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defaultThemeVersion="166925"/>
  <mc:AlternateContent xmlns:mc="http://schemas.openxmlformats.org/markup-compatibility/2006">
    <mc:Choice Requires="x15">
      <x15ac:absPath xmlns:x15ac="http://schemas.microsoft.com/office/spreadsheetml/2010/11/ac" url="/Users/yunxichen/Desktop/Cancer Research 2022ver/Papers/EVADD Paper_Thupten/revision/"/>
    </mc:Choice>
  </mc:AlternateContent>
  <xr:revisionPtr revIDLastSave="0" documentId="13_ncr:1_{80CB3A8E-D80F-B54F-8D3D-EDD11D417764}" xr6:coauthVersionLast="47" xr6:coauthVersionMax="47" xr10:uidLastSave="{00000000-0000-0000-0000-000000000000}"/>
  <bookViews>
    <workbookView xWindow="720" yWindow="0" windowWidth="26600" windowHeight="14560" xr2:uid="{00000000-000D-0000-FFFF-FFFF00000000}"/>
  </bookViews>
  <sheets>
    <sheet name="Combined 3278 (pubmed in blue)" sheetId="4" r:id="rId1"/>
    <sheet name="web of science raw 2152" sheetId="1" r:id="rId2"/>
    <sheet name="pubmed raw 1844" sheetId="2" r:id="rId3"/>
    <sheet name="dubplicated PubMedID in red" sheetId="3" r:id="rId4"/>
  </sheets>
  <definedNames>
    <definedName name="_xlnm._FilterDatabase" localSheetId="3" hidden="1">'dubplicated PubMedID in red'!$E$1:$E$2155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T939" i="1" l="1"/>
  <c r="BF939" i="1"/>
  <c r="BT754" i="1"/>
  <c r="BF754" i="1"/>
  <c r="BT753" i="1"/>
  <c r="BF753" i="1"/>
  <c r="BT1768" i="1"/>
  <c r="BF1768" i="1"/>
  <c r="BT710" i="1"/>
  <c r="BF710" i="1"/>
  <c r="BT469" i="1"/>
  <c r="BF469" i="1"/>
  <c r="BT1088" i="1"/>
  <c r="BF1088" i="1"/>
  <c r="BT2152" i="1"/>
  <c r="BF2152" i="1"/>
  <c r="BT1257" i="1"/>
  <c r="BF1257" i="1"/>
  <c r="BT359" i="1"/>
  <c r="BF359" i="1"/>
  <c r="BT774" i="1"/>
  <c r="BF774" i="1"/>
  <c r="BT1906" i="1"/>
  <c r="BT328" i="1"/>
  <c r="BF328" i="1"/>
  <c r="BT621" i="1"/>
  <c r="BF621" i="1"/>
  <c r="BT1641" i="1"/>
  <c r="BF1641" i="1"/>
  <c r="BT1316" i="1"/>
  <c r="BF1316" i="1"/>
  <c r="BT938" i="1"/>
  <c r="BF938" i="1"/>
  <c r="BT1116" i="1"/>
  <c r="BF1116" i="1"/>
  <c r="BT1640" i="1"/>
  <c r="BT1767" i="1"/>
  <c r="BF1767" i="1"/>
  <c r="BT829" i="1"/>
  <c r="BF829" i="1"/>
  <c r="BT1115" i="1"/>
  <c r="BF1115" i="1"/>
  <c r="BT21" i="1"/>
  <c r="BF21" i="1"/>
  <c r="BT2151" i="1"/>
  <c r="BF2151" i="1"/>
  <c r="BT1013" i="1"/>
  <c r="BF1013" i="1"/>
  <c r="BT1561" i="1"/>
  <c r="BF1561" i="1"/>
  <c r="BT937" i="1"/>
  <c r="BF937" i="1"/>
  <c r="BT1087" i="1"/>
  <c r="BF1087" i="1"/>
  <c r="BT2150" i="1"/>
  <c r="BF2150" i="1"/>
  <c r="BT591" i="1"/>
  <c r="BF591" i="1"/>
  <c r="BT2149" i="1"/>
  <c r="BT2148" i="1"/>
  <c r="BF2148" i="1"/>
  <c r="BT603" i="1"/>
  <c r="BF603" i="1"/>
  <c r="BT284" i="1"/>
  <c r="BF284" i="1"/>
  <c r="BT2147" i="1"/>
  <c r="BF2147" i="1"/>
  <c r="BT904" i="1"/>
  <c r="BF904" i="1"/>
  <c r="BT1114" i="1"/>
  <c r="BF1114" i="1"/>
  <c r="BT1766" i="1"/>
  <c r="BF1766" i="1"/>
  <c r="BT141" i="1"/>
  <c r="BF141" i="1"/>
  <c r="BT1483" i="1"/>
  <c r="BF1483" i="1"/>
  <c r="BT659" i="1"/>
  <c r="BF659" i="1"/>
  <c r="BT1043" i="1"/>
  <c r="BF1043" i="1"/>
  <c r="BT1428" i="1"/>
  <c r="BF1428" i="1"/>
  <c r="BT171" i="1"/>
  <c r="BF171" i="1"/>
  <c r="BT1905" i="1"/>
  <c r="BF1905" i="1"/>
  <c r="BT1113" i="1"/>
  <c r="BF1113" i="1"/>
  <c r="BT2146" i="1"/>
  <c r="BF2146" i="1"/>
  <c r="BT2145" i="1"/>
  <c r="BF2145" i="1"/>
  <c r="BT2144" i="1"/>
  <c r="BF2144" i="1"/>
  <c r="BT2143" i="1"/>
  <c r="BF2143" i="1"/>
  <c r="BT1560" i="1"/>
  <c r="BF1560" i="1"/>
  <c r="BT2142" i="1"/>
  <c r="BF2142" i="1"/>
  <c r="BT658" i="1"/>
  <c r="BF658" i="1"/>
  <c r="BT1559" i="1"/>
  <c r="BF1559" i="1"/>
  <c r="BT1086" i="1"/>
  <c r="BF1086" i="1"/>
  <c r="BT2141" i="1"/>
  <c r="BF2141" i="1"/>
  <c r="BT877" i="1"/>
  <c r="BF877" i="1"/>
  <c r="BT1639" i="1"/>
  <c r="BF1639" i="1"/>
  <c r="BT975" i="1"/>
  <c r="BF975" i="1"/>
  <c r="BT95" i="1"/>
  <c r="BF95" i="1"/>
  <c r="BT1638" i="1"/>
  <c r="BF1638" i="1"/>
  <c r="BT1482" i="1"/>
  <c r="BF1482" i="1"/>
  <c r="BT1904" i="1"/>
  <c r="BF1904" i="1"/>
  <c r="BT1370" i="1"/>
  <c r="BF1370" i="1"/>
  <c r="BT1903" i="1"/>
  <c r="BF1903" i="1"/>
  <c r="BT657" i="1"/>
  <c r="BF657" i="1"/>
  <c r="BT1369" i="1"/>
  <c r="BF1369" i="1"/>
  <c r="BT1167" i="1"/>
  <c r="BT1765" i="1"/>
  <c r="BF1765" i="1"/>
  <c r="BT245" i="1"/>
  <c r="BF245" i="1"/>
  <c r="BT1902" i="1"/>
  <c r="BF1902" i="1"/>
  <c r="BT773" i="1"/>
  <c r="BF773" i="1"/>
  <c r="BT1558" i="1"/>
  <c r="BF1558" i="1"/>
  <c r="BT1764" i="1"/>
  <c r="BF1764" i="1"/>
  <c r="BT936" i="1"/>
  <c r="BF936" i="1"/>
  <c r="BT1557" i="1"/>
  <c r="BF1557" i="1"/>
  <c r="BT1315" i="1"/>
  <c r="BF1315" i="1"/>
  <c r="BT1256" i="1"/>
  <c r="BF1256" i="1"/>
  <c r="BT876" i="1"/>
  <c r="BF876" i="1"/>
  <c r="BT1481" i="1"/>
  <c r="BF1481" i="1"/>
  <c r="BT32" i="1"/>
  <c r="BF32" i="1"/>
  <c r="BT436" i="1"/>
  <c r="BF436" i="1"/>
  <c r="BT1556" i="1"/>
  <c r="BF1556" i="1"/>
  <c r="BT735" i="1"/>
  <c r="BF735" i="1"/>
  <c r="BT2140" i="1"/>
  <c r="BF2140" i="1"/>
  <c r="BT270" i="1"/>
  <c r="BF270" i="1"/>
  <c r="BT656" i="1"/>
  <c r="BF656" i="1"/>
  <c r="BT573" i="1"/>
  <c r="BF573" i="1"/>
  <c r="BT1255" i="1"/>
  <c r="BF1255" i="1"/>
  <c r="BT2139" i="1"/>
  <c r="BF2139" i="1"/>
  <c r="BT42" i="1"/>
  <c r="BF42" i="1"/>
  <c r="BT402" i="1"/>
  <c r="BF402" i="1"/>
  <c r="BT1480" i="1"/>
  <c r="BF1480" i="1"/>
  <c r="BT1637" i="1"/>
  <c r="BF1637" i="1"/>
  <c r="BT2138" i="1"/>
  <c r="BF2138" i="1"/>
  <c r="BT809" i="1"/>
  <c r="BF809" i="1"/>
  <c r="BT283" i="1"/>
  <c r="BF283" i="1"/>
  <c r="BT80" i="1"/>
  <c r="BF80" i="1"/>
  <c r="BT590" i="1"/>
  <c r="BF590" i="1"/>
  <c r="BT2137" i="1"/>
  <c r="BF2137" i="1"/>
  <c r="BT1763" i="1"/>
  <c r="BF1763" i="1"/>
  <c r="BT1368" i="1"/>
  <c r="BF1368" i="1"/>
  <c r="BT655" i="1"/>
  <c r="BF655" i="1"/>
  <c r="BT1901" i="1"/>
  <c r="BF1901" i="1"/>
  <c r="BT2136" i="1"/>
  <c r="BF2136" i="1"/>
  <c r="BT1762" i="1"/>
  <c r="BF1762" i="1"/>
  <c r="BT1042" i="1"/>
  <c r="BF1042" i="1"/>
  <c r="BT1166" i="1"/>
  <c r="BF1166" i="1"/>
  <c r="BT383" i="1"/>
  <c r="BF383" i="1"/>
  <c r="BT164" i="1"/>
  <c r="BF164" i="1"/>
  <c r="BT648" i="1"/>
  <c r="BF648" i="1"/>
  <c r="BT1555" i="1"/>
  <c r="BF1555" i="1"/>
  <c r="BT1314" i="1"/>
  <c r="BT129" i="1"/>
  <c r="BF129" i="1"/>
  <c r="BT1900" i="1"/>
  <c r="BF1900" i="1"/>
  <c r="BT1041" i="1"/>
  <c r="BF1041" i="1"/>
  <c r="BT505" i="1"/>
  <c r="BF505" i="1"/>
  <c r="BT274" i="1"/>
  <c r="BF274" i="1"/>
  <c r="BT1313" i="1"/>
  <c r="BF1313" i="1"/>
  <c r="BT974" i="1"/>
  <c r="BF974" i="1"/>
  <c r="BT1367" i="1"/>
  <c r="BT134" i="1"/>
  <c r="BF134" i="1"/>
  <c r="BT853" i="1"/>
  <c r="BF853" i="1"/>
  <c r="BT875" i="1"/>
  <c r="BF875" i="1"/>
  <c r="BT1012" i="1"/>
  <c r="BF1012" i="1"/>
  <c r="BT2135" i="1"/>
  <c r="BF2135" i="1"/>
  <c r="BT2134" i="1"/>
  <c r="BF2134" i="1"/>
  <c r="BT1312" i="1"/>
  <c r="BF1312" i="1"/>
  <c r="BT935" i="1"/>
  <c r="BF935" i="1"/>
  <c r="BT307" i="1"/>
  <c r="BF307" i="1"/>
  <c r="BT2133" i="1"/>
  <c r="BF2133" i="1"/>
  <c r="BT195" i="1"/>
  <c r="BF195" i="1"/>
  <c r="BT415" i="1"/>
  <c r="BF415" i="1"/>
  <c r="BT66" i="1"/>
  <c r="BF66" i="1"/>
  <c r="BT589" i="1"/>
  <c r="BF589" i="1"/>
  <c r="BT602" i="1"/>
  <c r="BT452" i="1"/>
  <c r="BF452" i="1"/>
  <c r="BT2132" i="1"/>
  <c r="BF2132" i="1"/>
  <c r="BT1427" i="1"/>
  <c r="BF1427" i="1"/>
  <c r="BT22" i="1"/>
  <c r="BF22" i="1"/>
  <c r="BT676" i="1"/>
  <c r="BF676" i="1"/>
  <c r="BT1165" i="1"/>
  <c r="BF1165" i="1"/>
  <c r="BT1112" i="1"/>
  <c r="BF1112" i="1"/>
  <c r="BT504" i="1"/>
  <c r="BF504" i="1"/>
  <c r="BT1011" i="1"/>
  <c r="BF1011" i="1"/>
  <c r="BT1636" i="1"/>
  <c r="BF1636" i="1"/>
  <c r="BT693" i="1"/>
  <c r="BF693" i="1"/>
  <c r="BT647" i="1"/>
  <c r="BF647" i="1"/>
  <c r="BT1761" i="1"/>
  <c r="BF1761" i="1"/>
  <c r="BT320" i="1"/>
  <c r="BF320" i="1"/>
  <c r="BT874" i="1"/>
  <c r="BF874" i="1"/>
  <c r="BT414" i="1"/>
  <c r="BF414" i="1"/>
  <c r="BT873" i="1"/>
  <c r="BF873" i="1"/>
  <c r="BT147" i="1"/>
  <c r="BF147" i="1"/>
  <c r="BT336" i="1"/>
  <c r="BF336" i="1"/>
  <c r="BT62" i="1"/>
  <c r="BF62" i="1"/>
  <c r="BT1554" i="1"/>
  <c r="BF1554" i="1"/>
  <c r="BT903" i="1"/>
  <c r="BF903" i="1"/>
  <c r="BT1085" i="1"/>
  <c r="BF1085" i="1"/>
  <c r="BT169" i="1"/>
  <c r="BF169" i="1"/>
  <c r="BT1760" i="1"/>
  <c r="BF1760" i="1"/>
  <c r="BT1899" i="1"/>
  <c r="BF1899" i="1"/>
  <c r="BT1254" i="1"/>
  <c r="BF1254" i="1"/>
  <c r="BT1311" i="1"/>
  <c r="BF1311" i="1"/>
  <c r="BT601" i="1"/>
  <c r="BF601" i="1"/>
  <c r="BT1553" i="1"/>
  <c r="BF1553" i="1"/>
  <c r="BT2131" i="1"/>
  <c r="BF2131" i="1"/>
  <c r="BT1759" i="1"/>
  <c r="BF1759" i="1"/>
  <c r="BT852" i="1"/>
  <c r="BF852" i="1"/>
  <c r="BT772" i="1"/>
  <c r="BF772" i="1"/>
  <c r="BT94" i="1"/>
  <c r="BF94" i="1"/>
  <c r="BT572" i="1"/>
  <c r="BF572" i="1"/>
  <c r="BT1084" i="1"/>
  <c r="BF1084" i="1"/>
  <c r="BT1204" i="1"/>
  <c r="BF1204" i="1"/>
  <c r="BT1426" i="1"/>
  <c r="BF1426" i="1"/>
  <c r="BT646" i="1"/>
  <c r="BF646" i="1"/>
  <c r="BT973" i="1"/>
  <c r="BF973" i="1"/>
  <c r="BT1479" i="1"/>
  <c r="BF1479" i="1"/>
  <c r="BT1164" i="1"/>
  <c r="BF1164" i="1"/>
  <c r="BT294" i="1"/>
  <c r="BF294" i="1"/>
  <c r="BT327" i="1"/>
  <c r="BF327" i="1"/>
  <c r="BT1898" i="1"/>
  <c r="BF1898" i="1"/>
  <c r="BT2" i="1"/>
  <c r="BF2" i="1"/>
  <c r="BT1366" i="1"/>
  <c r="BF1366" i="1"/>
  <c r="BT482" i="1"/>
  <c r="BT1635" i="1"/>
  <c r="BF1635" i="1"/>
  <c r="BT808" i="1"/>
  <c r="BF808" i="1"/>
  <c r="BT1425" i="1"/>
  <c r="BF1425" i="1"/>
  <c r="BT451" i="1"/>
  <c r="BF451" i="1"/>
  <c r="BT1552" i="1"/>
  <c r="BF1552" i="1"/>
  <c r="BT558" i="1"/>
  <c r="BF558" i="1"/>
  <c r="BT1897" i="1"/>
  <c r="BF1897" i="1"/>
  <c r="BT441" i="1"/>
  <c r="BF441" i="1"/>
  <c r="BT1424" i="1"/>
  <c r="BF1424" i="1"/>
  <c r="BT1203" i="1"/>
  <c r="BF1203" i="1"/>
  <c r="BT1896" i="1"/>
  <c r="BF1896" i="1"/>
  <c r="BT222" i="1"/>
  <c r="BF222" i="1"/>
  <c r="BT1310" i="1"/>
  <c r="BF1310" i="1"/>
  <c r="BT2130" i="1"/>
  <c r="BF2130" i="1"/>
  <c r="BT370" i="1"/>
  <c r="BF370" i="1"/>
  <c r="BT1551" i="1"/>
  <c r="BF1551" i="1"/>
  <c r="BT1010" i="1"/>
  <c r="BF1010" i="1"/>
  <c r="BT1478" i="1"/>
  <c r="BF1478" i="1"/>
  <c r="BT1309" i="1"/>
  <c r="BF1309" i="1"/>
  <c r="BT1758" i="1"/>
  <c r="BF1758" i="1"/>
  <c r="BT425" i="1"/>
  <c r="BF425" i="1"/>
  <c r="BT2129" i="1"/>
  <c r="BF2129" i="1"/>
  <c r="BT675" i="1"/>
  <c r="BF675" i="1"/>
  <c r="BT362" i="1"/>
  <c r="BF362" i="1"/>
  <c r="BT872" i="1"/>
  <c r="BF872" i="1"/>
  <c r="BT1308" i="1"/>
  <c r="BF1308" i="1"/>
  <c r="BT350" i="1"/>
  <c r="BF350" i="1"/>
  <c r="BT1083" i="1"/>
  <c r="BF1083" i="1"/>
  <c r="BT588" i="1"/>
  <c r="BF588" i="1"/>
  <c r="BT2128" i="1"/>
  <c r="BF2128" i="1"/>
  <c r="BT435" i="1"/>
  <c r="BF435" i="1"/>
  <c r="BT299" i="1"/>
  <c r="BF299" i="1"/>
  <c r="BT2127" i="1"/>
  <c r="BF2127" i="1"/>
  <c r="BT1365" i="1"/>
  <c r="BF1365" i="1"/>
  <c r="BT1895" i="1"/>
  <c r="BF1895" i="1"/>
  <c r="BT213" i="1"/>
  <c r="BF213" i="1"/>
  <c r="BT1550" i="1"/>
  <c r="BF1550" i="1"/>
  <c r="BT1163" i="1"/>
  <c r="BF1163" i="1"/>
  <c r="BT692" i="1"/>
  <c r="BT1549" i="1"/>
  <c r="BF1549" i="1"/>
  <c r="BT851" i="1"/>
  <c r="BF851" i="1"/>
  <c r="BT691" i="1"/>
  <c r="BF691" i="1"/>
  <c r="BT1894" i="1"/>
  <c r="BF1894" i="1"/>
  <c r="BT1548" i="1"/>
  <c r="BF1548" i="1"/>
  <c r="BT2126" i="1"/>
  <c r="BF2126" i="1"/>
  <c r="BT1757" i="1"/>
  <c r="BF1757" i="1"/>
  <c r="BT807" i="1"/>
  <c r="BT463" i="1"/>
  <c r="BF463" i="1"/>
  <c r="BT1040" i="1"/>
  <c r="BF1040" i="1"/>
  <c r="BT1423" i="1"/>
  <c r="BF1423" i="1"/>
  <c r="BT30" i="1"/>
  <c r="BF30" i="1"/>
  <c r="BT163" i="1"/>
  <c r="BF163" i="1"/>
  <c r="BT771" i="1"/>
  <c r="BF771" i="1"/>
  <c r="BT1162" i="1"/>
  <c r="BF1162" i="1"/>
  <c r="BT29" i="1"/>
  <c r="BT2125" i="1"/>
  <c r="BF2125" i="1"/>
  <c r="BT192" i="1"/>
  <c r="BF192" i="1"/>
  <c r="BT629" i="1"/>
  <c r="BF629" i="1"/>
  <c r="BT571" i="1"/>
  <c r="BF571" i="1"/>
  <c r="BT902" i="1"/>
  <c r="BF902" i="1"/>
  <c r="BT1477" i="1"/>
  <c r="BF1477" i="1"/>
  <c r="BT1009" i="1"/>
  <c r="BF1009" i="1"/>
  <c r="BT113" i="1"/>
  <c r="BF113" i="1"/>
  <c r="BT1893" i="1"/>
  <c r="BF1893" i="1"/>
  <c r="BT934" i="1"/>
  <c r="BF934" i="1"/>
  <c r="BT1756" i="1"/>
  <c r="BF1756" i="1"/>
  <c r="BT806" i="1"/>
  <c r="BF806" i="1"/>
  <c r="BT1892" i="1"/>
  <c r="BF1892" i="1"/>
  <c r="BT257" i="1"/>
  <c r="BF257" i="1"/>
  <c r="BT557" i="1"/>
  <c r="BF557" i="1"/>
  <c r="BT1891" i="1"/>
  <c r="BF1891" i="1"/>
  <c r="BT2124" i="1"/>
  <c r="BF2124" i="1"/>
  <c r="BT1364" i="1"/>
  <c r="BF1364" i="1"/>
  <c r="BT972" i="1"/>
  <c r="BF972" i="1"/>
  <c r="BT2123" i="1"/>
  <c r="BF2123" i="1"/>
  <c r="BT1008" i="1"/>
  <c r="BF1008" i="1"/>
  <c r="BT805" i="1"/>
  <c r="BF805" i="1"/>
  <c r="BT1422" i="1"/>
  <c r="BF1422" i="1"/>
  <c r="BT1476" i="1"/>
  <c r="BF1476" i="1"/>
  <c r="BT41" i="1"/>
  <c r="BT261" i="1"/>
  <c r="BF261" i="1"/>
  <c r="BT1755" i="1"/>
  <c r="BF1755" i="1"/>
  <c r="BT83" i="1"/>
  <c r="BT828" i="1"/>
  <c r="BF828" i="1"/>
  <c r="BT709" i="1"/>
  <c r="BF709" i="1"/>
  <c r="BT901" i="1"/>
  <c r="BF901" i="1"/>
  <c r="BT1111" i="1"/>
  <c r="BF1111" i="1"/>
  <c r="BT199" i="1"/>
  <c r="BF199" i="1"/>
  <c r="BT752" i="1"/>
  <c r="BF752" i="1"/>
  <c r="BT90" i="1"/>
  <c r="BF90" i="1"/>
  <c r="BT620" i="1"/>
  <c r="BF620" i="1"/>
  <c r="BT1634" i="1"/>
  <c r="BF1634" i="1"/>
  <c r="BT2122" i="1"/>
  <c r="BF2122" i="1"/>
  <c r="BT1421" i="1"/>
  <c r="BF1421" i="1"/>
  <c r="BT208" i="1"/>
  <c r="BF208" i="1"/>
  <c r="BT1547" i="1"/>
  <c r="BF1547" i="1"/>
  <c r="BT1546" i="1"/>
  <c r="BF1546" i="1"/>
  <c r="BT1754" i="1"/>
  <c r="BF1754" i="1"/>
  <c r="BT1202" i="1"/>
  <c r="BF1202" i="1"/>
  <c r="BT265" i="1"/>
  <c r="BF265" i="1"/>
  <c r="BT1253" i="1"/>
  <c r="BF1253" i="1"/>
  <c r="BT139" i="1"/>
  <c r="BF139" i="1"/>
  <c r="BT1633" i="1"/>
  <c r="BF1633" i="1"/>
  <c r="BT4" i="1"/>
  <c r="BF4" i="1"/>
  <c r="BT1632" i="1"/>
  <c r="BF1632" i="1"/>
  <c r="BT369" i="1"/>
  <c r="BF369" i="1"/>
  <c r="BT871" i="1"/>
  <c r="BF871" i="1"/>
  <c r="BT310" i="1"/>
  <c r="BF310" i="1"/>
  <c r="BT382" i="1"/>
  <c r="BF382" i="1"/>
  <c r="BT1420" i="1"/>
  <c r="BF1420" i="1"/>
  <c r="BT468" i="1"/>
  <c r="BF468" i="1"/>
  <c r="BT1890" i="1"/>
  <c r="BF1890" i="1"/>
  <c r="BT1753" i="1"/>
  <c r="BF1753" i="1"/>
  <c r="BT1201" i="1"/>
  <c r="BT770" i="1"/>
  <c r="BF770" i="1"/>
  <c r="BT1545" i="1"/>
  <c r="BF1545" i="1"/>
  <c r="BT600" i="1"/>
  <c r="BF600" i="1"/>
  <c r="BT769" i="1"/>
  <c r="BF769" i="1"/>
  <c r="BT619" i="1"/>
  <c r="BF619" i="1"/>
  <c r="BT122" i="1"/>
  <c r="BF122" i="1"/>
  <c r="BT1110" i="1"/>
  <c r="BF1110" i="1"/>
  <c r="BT424" i="1"/>
  <c r="BF424" i="1"/>
  <c r="BT282" i="1"/>
  <c r="BF282" i="1"/>
  <c r="BT1889" i="1"/>
  <c r="BF1889" i="1"/>
  <c r="BT1161" i="1"/>
  <c r="BF1161" i="1"/>
  <c r="BT481" i="1"/>
  <c r="BF481" i="1"/>
  <c r="BT850" i="1"/>
  <c r="BF850" i="1"/>
  <c r="BT1082" i="1"/>
  <c r="BF1082" i="1"/>
  <c r="BT2121" i="1"/>
  <c r="BF2121" i="1"/>
  <c r="BT734" i="1"/>
  <c r="BF734" i="1"/>
  <c r="BT2120" i="1"/>
  <c r="BF2120" i="1"/>
  <c r="BT158" i="1"/>
  <c r="BF158" i="1"/>
  <c r="BT900" i="1"/>
  <c r="BF900" i="1"/>
  <c r="BT138" i="1"/>
  <c r="BF138" i="1"/>
  <c r="BT1200" i="1"/>
  <c r="BF1200" i="1"/>
  <c r="BT587" i="1"/>
  <c r="BF587" i="1"/>
  <c r="BT1307" i="1"/>
  <c r="BF1307" i="1"/>
  <c r="BT1631" i="1"/>
  <c r="BF1631" i="1"/>
  <c r="BT1752" i="1"/>
  <c r="BF1752" i="1"/>
  <c r="BT349" i="1"/>
  <c r="BF349" i="1"/>
  <c r="BT396" i="1"/>
  <c r="BF396" i="1"/>
  <c r="BT1544" i="1"/>
  <c r="BF1544" i="1"/>
  <c r="BT899" i="1"/>
  <c r="BF899" i="1"/>
  <c r="BT804" i="1"/>
  <c r="BT37" i="1"/>
  <c r="BF37" i="1"/>
  <c r="BT849" i="1"/>
  <c r="BF849" i="1"/>
  <c r="BT1475" i="1"/>
  <c r="BF1475" i="1"/>
  <c r="BT1007" i="1"/>
  <c r="BF1007" i="1"/>
  <c r="BT1306" i="1"/>
  <c r="BF1306" i="1"/>
  <c r="BT117" i="1"/>
  <c r="BF117" i="1"/>
  <c r="BT277" i="1"/>
  <c r="BF277" i="1"/>
  <c r="BT450" i="1"/>
  <c r="BF450" i="1"/>
  <c r="BT1109" i="1"/>
  <c r="BF1109" i="1"/>
  <c r="BT146" i="1"/>
  <c r="BF146" i="1"/>
  <c r="BT848" i="1"/>
  <c r="BF848" i="1"/>
  <c r="BT2119" i="1"/>
  <c r="BF2119" i="1"/>
  <c r="BT1751" i="1"/>
  <c r="BF1751" i="1"/>
  <c r="BT733" i="1"/>
  <c r="BF733" i="1"/>
  <c r="BT423" i="1"/>
  <c r="BF423" i="1"/>
  <c r="BT1081" i="1"/>
  <c r="BF1081" i="1"/>
  <c r="BT1750" i="1"/>
  <c r="BF1750" i="1"/>
  <c r="BT768" i="1"/>
  <c r="BF768" i="1"/>
  <c r="BT319" i="1"/>
  <c r="BF319" i="1"/>
  <c r="BT1199" i="1"/>
  <c r="BF1199" i="1"/>
  <c r="BT1363" i="1"/>
  <c r="BF1363" i="1"/>
  <c r="BT1362" i="1"/>
  <c r="BF1362" i="1"/>
  <c r="BT803" i="1"/>
  <c r="BF803" i="1"/>
  <c r="BT137" i="1"/>
  <c r="BF137" i="1"/>
  <c r="BT933" i="1"/>
  <c r="BF933" i="1"/>
  <c r="BT767" i="1"/>
  <c r="BF767" i="1"/>
  <c r="BT802" i="1"/>
  <c r="BF802" i="1"/>
  <c r="BT76" i="1"/>
  <c r="BF76" i="1"/>
  <c r="BT1419" i="1"/>
  <c r="BF1419" i="1"/>
  <c r="BT50" i="1"/>
  <c r="BF50" i="1"/>
  <c r="BT766" i="1"/>
  <c r="BF766" i="1"/>
  <c r="BT732" i="1"/>
  <c r="BF732" i="1"/>
  <c r="BT467" i="1"/>
  <c r="BF467" i="1"/>
  <c r="BT1305" i="1"/>
  <c r="BF1305" i="1"/>
  <c r="BT153" i="1"/>
  <c r="BF153" i="1"/>
  <c r="BT361" i="1"/>
  <c r="BF361" i="1"/>
  <c r="BT2118" i="1"/>
  <c r="BF2118" i="1"/>
  <c r="BT1543" i="1"/>
  <c r="BF1543" i="1"/>
  <c r="BT731" i="1"/>
  <c r="BF731" i="1"/>
  <c r="BT801" i="1"/>
  <c r="BF801" i="1"/>
  <c r="BT273" i="1"/>
  <c r="BF273" i="1"/>
  <c r="BT827" i="1"/>
  <c r="BF827" i="1"/>
  <c r="BT318" i="1"/>
  <c r="BF318" i="1"/>
  <c r="BT1630" i="1"/>
  <c r="BF1630" i="1"/>
  <c r="BT1361" i="1"/>
  <c r="BF1361" i="1"/>
  <c r="BT1252" i="1"/>
  <c r="BF1252" i="1"/>
  <c r="BT645" i="1"/>
  <c r="BF645" i="1"/>
  <c r="BT1418" i="1"/>
  <c r="BF1418" i="1"/>
  <c r="BT2117" i="1"/>
  <c r="BF2117" i="1"/>
  <c r="BT440" i="1"/>
  <c r="BF440" i="1"/>
  <c r="BT120" i="1"/>
  <c r="BF120" i="1"/>
  <c r="BT2116" i="1"/>
  <c r="BF2116" i="1"/>
  <c r="BT570" i="1"/>
  <c r="BF570" i="1"/>
  <c r="BT198" i="1"/>
  <c r="BF198" i="1"/>
  <c r="BT413" i="1"/>
  <c r="BF413" i="1"/>
  <c r="BT1160" i="1"/>
  <c r="BF1160" i="1"/>
  <c r="BT618" i="1"/>
  <c r="BF618" i="1"/>
  <c r="BT1159" i="1"/>
  <c r="BF1159" i="1"/>
  <c r="BT2115" i="1"/>
  <c r="BF2115" i="1"/>
  <c r="BT503" i="1"/>
  <c r="BF503" i="1"/>
  <c r="BT1417" i="1"/>
  <c r="BF1417" i="1"/>
  <c r="BT644" i="1"/>
  <c r="BF644" i="1"/>
  <c r="BT643" i="1"/>
  <c r="BF643" i="1"/>
  <c r="BT2114" i="1"/>
  <c r="BF2114" i="1"/>
  <c r="BT708" i="1"/>
  <c r="BF708" i="1"/>
  <c r="BT7" i="1"/>
  <c r="BF7" i="1"/>
  <c r="BT1304" i="1"/>
  <c r="BF1304" i="1"/>
  <c r="BT1416" i="1"/>
  <c r="BF1416" i="1"/>
  <c r="BT422" i="1"/>
  <c r="BF422" i="1"/>
  <c r="BT2113" i="1"/>
  <c r="BF2113" i="1"/>
  <c r="BT1303" i="1"/>
  <c r="BF1303" i="1"/>
  <c r="BT1629" i="1"/>
  <c r="BF1629" i="1"/>
  <c r="BT1628" i="1"/>
  <c r="BF1628" i="1"/>
  <c r="BT751" i="1"/>
  <c r="BF751" i="1"/>
  <c r="BT1474" i="1"/>
  <c r="BF1474" i="1"/>
  <c r="BT674" i="1"/>
  <c r="BF674" i="1"/>
  <c r="BT549" i="1"/>
  <c r="BF549" i="1"/>
  <c r="BT673" i="1"/>
  <c r="BF673" i="1"/>
  <c r="BT1627" i="1"/>
  <c r="BF1627" i="1"/>
  <c r="BT1158" i="1"/>
  <c r="BF1158" i="1"/>
  <c r="BT1749" i="1"/>
  <c r="BF1749" i="1"/>
  <c r="BT1157" i="1"/>
  <c r="BF1157" i="1"/>
  <c r="BT521" i="1"/>
  <c r="BF521" i="1"/>
  <c r="BT1748" i="1"/>
  <c r="BF1748" i="1"/>
  <c r="BT1888" i="1"/>
  <c r="BF1888" i="1"/>
  <c r="BT2112" i="1"/>
  <c r="BF2112" i="1"/>
  <c r="BT1251" i="1"/>
  <c r="BF1251" i="1"/>
  <c r="BT184" i="1"/>
  <c r="BF184" i="1"/>
  <c r="BT1415" i="1"/>
  <c r="BF1415" i="1"/>
  <c r="BT1542" i="1"/>
  <c r="BF1542" i="1"/>
  <c r="BT449" i="1"/>
  <c r="BF449" i="1"/>
  <c r="BT1887" i="1"/>
  <c r="BF1887" i="1"/>
  <c r="BT72" i="1"/>
  <c r="BF72" i="1"/>
  <c r="BT2111" i="1"/>
  <c r="BF2111" i="1"/>
  <c r="BT1250" i="1"/>
  <c r="BF1250" i="1"/>
  <c r="BT1006" i="1"/>
  <c r="BF1006" i="1"/>
  <c r="BT1108" i="1"/>
  <c r="BT932" i="1"/>
  <c r="BF932" i="1"/>
  <c r="BT309" i="1"/>
  <c r="BF309" i="1"/>
  <c r="BT898" i="1"/>
  <c r="BF898" i="1"/>
  <c r="BT1080" i="1"/>
  <c r="BF1080" i="1"/>
  <c r="BT548" i="1"/>
  <c r="BF548" i="1"/>
  <c r="BT6" i="1"/>
  <c r="BF6" i="1"/>
  <c r="BT1626" i="1"/>
  <c r="BF1626" i="1"/>
  <c r="BT1005" i="1"/>
  <c r="BF1005" i="1"/>
  <c r="BT102" i="1"/>
  <c r="BF102" i="1"/>
  <c r="BT2110" i="1"/>
  <c r="BT250" i="1"/>
  <c r="BF250" i="1"/>
  <c r="BT1414" i="1"/>
  <c r="BF1414" i="1"/>
  <c r="BT1107" i="1"/>
  <c r="BF1107" i="1"/>
  <c r="BT395" i="1"/>
  <c r="BF395" i="1"/>
  <c r="BT194" i="1"/>
  <c r="BF194" i="1"/>
  <c r="BT502" i="1"/>
  <c r="BF502" i="1"/>
  <c r="BT826" i="1"/>
  <c r="BF826" i="1"/>
  <c r="BT1156" i="1"/>
  <c r="BF1156" i="1"/>
  <c r="BT1302" i="1"/>
  <c r="BF1302" i="1"/>
  <c r="BT1886" i="1"/>
  <c r="BF1886" i="1"/>
  <c r="BT1413" i="1"/>
  <c r="BF1413" i="1"/>
  <c r="BT1885" i="1"/>
  <c r="BF1885" i="1"/>
  <c r="BT1747" i="1"/>
  <c r="BF1747" i="1"/>
  <c r="BT2109" i="1"/>
  <c r="BF2109" i="1"/>
  <c r="BT931" i="1"/>
  <c r="BF931" i="1"/>
  <c r="BT2108" i="1"/>
  <c r="BF2108" i="1"/>
  <c r="BT1625" i="1"/>
  <c r="BF1625" i="1"/>
  <c r="BT342" i="1"/>
  <c r="BF342" i="1"/>
  <c r="BT1249" i="1"/>
  <c r="BF1249" i="1"/>
  <c r="BT491" i="1"/>
  <c r="BF491" i="1"/>
  <c r="BT1301" i="1"/>
  <c r="BF1301" i="1"/>
  <c r="BT690" i="1"/>
  <c r="BF690" i="1"/>
  <c r="BT930" i="1"/>
  <c r="BF930" i="1"/>
  <c r="BT825" i="1"/>
  <c r="BF825" i="1"/>
  <c r="BT730" i="1"/>
  <c r="BF730" i="1"/>
  <c r="BT1300" i="1"/>
  <c r="BF1300" i="1"/>
  <c r="BT1299" i="1"/>
  <c r="BF1299" i="1"/>
  <c r="BT897" i="1"/>
  <c r="BF897" i="1"/>
  <c r="BT1884" i="1"/>
  <c r="BF1884" i="1"/>
  <c r="BT2107" i="1"/>
  <c r="BF2107" i="1"/>
  <c r="BT569" i="1"/>
  <c r="BF569" i="1"/>
  <c r="BT239" i="1"/>
  <c r="BF239" i="1"/>
  <c r="BT729" i="1"/>
  <c r="BF729" i="1"/>
  <c r="BT1412" i="1"/>
  <c r="BF1412" i="1"/>
  <c r="BT1198" i="1"/>
  <c r="BF1198" i="1"/>
  <c r="BT1106" i="1"/>
  <c r="BF1106" i="1"/>
  <c r="BT2106" i="1"/>
  <c r="BF2106" i="1"/>
  <c r="BT1079" i="1"/>
  <c r="BF1079" i="1"/>
  <c r="BT1624" i="1"/>
  <c r="BF1624" i="1"/>
  <c r="BT520" i="1"/>
  <c r="BF520" i="1"/>
  <c r="BT1746" i="1"/>
  <c r="BF1746" i="1"/>
  <c r="BT707" i="1"/>
  <c r="BF707" i="1"/>
  <c r="BT847" i="1"/>
  <c r="BF847" i="1"/>
  <c r="BT870" i="1"/>
  <c r="BF870" i="1"/>
  <c r="BT490" i="1"/>
  <c r="BF490" i="1"/>
  <c r="BT2105" i="1"/>
  <c r="BF2105" i="1"/>
  <c r="BT689" i="1"/>
  <c r="BF689" i="1"/>
  <c r="BT293" i="1"/>
  <c r="BF293" i="1"/>
  <c r="BT173" i="1"/>
  <c r="BF173" i="1"/>
  <c r="BT706" i="1"/>
  <c r="BF706" i="1"/>
  <c r="BT448" i="1"/>
  <c r="BF448" i="1"/>
  <c r="BT800" i="1"/>
  <c r="BF800" i="1"/>
  <c r="BT688" i="1"/>
  <c r="BF688" i="1"/>
  <c r="BT2104" i="1"/>
  <c r="BF2104" i="1"/>
  <c r="BT1473" i="1"/>
  <c r="BF1473" i="1"/>
  <c r="BT335" i="1"/>
  <c r="BF335" i="1"/>
  <c r="BT207" i="1"/>
  <c r="BF207" i="1"/>
  <c r="BT929" i="1"/>
  <c r="BF929" i="1"/>
  <c r="BT687" i="1"/>
  <c r="BF687" i="1"/>
  <c r="BT1883" i="1"/>
  <c r="BF1883" i="1"/>
  <c r="BT533" i="1"/>
  <c r="BT462" i="1"/>
  <c r="BF462" i="1"/>
  <c r="BT375" i="1"/>
  <c r="BF375" i="1"/>
  <c r="BT1039" i="1"/>
  <c r="BF1039" i="1"/>
  <c r="BT193" i="1"/>
  <c r="BF193" i="1"/>
  <c r="BT87" i="1"/>
  <c r="BF87" i="1"/>
  <c r="BT2103" i="1"/>
  <c r="BF2103" i="1"/>
  <c r="BT971" i="1"/>
  <c r="BF971" i="1"/>
  <c r="BT237" i="1"/>
  <c r="BF237" i="1"/>
  <c r="BT1541" i="1"/>
  <c r="BF1541" i="1"/>
  <c r="BT2102" i="1"/>
  <c r="BF2102" i="1"/>
  <c r="BT824" i="1"/>
  <c r="BF824" i="1"/>
  <c r="BT728" i="1"/>
  <c r="BF728" i="1"/>
  <c r="BT1540" i="1"/>
  <c r="BF1540" i="1"/>
  <c r="BT2101" i="1"/>
  <c r="BF2101" i="1"/>
  <c r="BT110" i="1"/>
  <c r="BF110" i="1"/>
  <c r="BT1882" i="1"/>
  <c r="BF1882" i="1"/>
  <c r="BT1105" i="1"/>
  <c r="BF1105" i="1"/>
  <c r="BT2100" i="1"/>
  <c r="BF2100" i="1"/>
  <c r="BT212" i="1"/>
  <c r="BF212" i="1"/>
  <c r="BT1745" i="1"/>
  <c r="BF1745" i="1"/>
  <c r="BT750" i="1"/>
  <c r="BF750" i="1"/>
  <c r="BT1078" i="1"/>
  <c r="BF1078" i="1"/>
  <c r="BT1298" i="1"/>
  <c r="BF1298" i="1"/>
  <c r="BT292" i="1"/>
  <c r="BF292" i="1"/>
  <c r="BT896" i="1"/>
  <c r="BF896" i="1"/>
  <c r="BT1004" i="1"/>
  <c r="BF1004" i="1"/>
  <c r="BT1411" i="1"/>
  <c r="BF1411" i="1"/>
  <c r="BT1539" i="1"/>
  <c r="BF1539" i="1"/>
  <c r="BT1881" i="1"/>
  <c r="BF1881" i="1"/>
  <c r="BT1197" i="1"/>
  <c r="BF1197" i="1"/>
  <c r="BT617" i="1"/>
  <c r="BF617" i="1"/>
  <c r="BT1038" i="1"/>
  <c r="BF1038" i="1"/>
  <c r="BT2099" i="1"/>
  <c r="BF2099" i="1"/>
  <c r="BT179" i="1"/>
  <c r="BF179" i="1"/>
  <c r="BT2098" i="1"/>
  <c r="BF2098" i="1"/>
  <c r="BT1744" i="1"/>
  <c r="BF1744" i="1"/>
  <c r="BT1003" i="1"/>
  <c r="BF1003" i="1"/>
  <c r="BT869" i="1"/>
  <c r="BF869" i="1"/>
  <c r="BT1743" i="1"/>
  <c r="BF1743" i="1"/>
  <c r="BT1623" i="1"/>
  <c r="BF1623" i="1"/>
  <c r="BT501" i="1"/>
  <c r="BF501" i="1"/>
  <c r="BT394" i="1"/>
  <c r="BF394" i="1"/>
  <c r="BT412" i="1"/>
  <c r="BF412" i="1"/>
  <c r="BT2097" i="1"/>
  <c r="BF2097" i="1"/>
  <c r="BT749" i="1"/>
  <c r="BF749" i="1"/>
  <c r="BT599" i="1"/>
  <c r="BF599" i="1"/>
  <c r="BT1410" i="1"/>
  <c r="BF1410" i="1"/>
  <c r="BT1742" i="1"/>
  <c r="BF1742" i="1"/>
  <c r="BT260" i="1"/>
  <c r="BT65" i="1"/>
  <c r="BF65" i="1"/>
  <c r="BT928" i="1"/>
  <c r="BF928" i="1"/>
  <c r="BT480" i="1"/>
  <c r="BF480" i="1"/>
  <c r="BT1880" i="1"/>
  <c r="BF1880" i="1"/>
  <c r="BT2096" i="1"/>
  <c r="BF2096" i="1"/>
  <c r="BT447" i="1"/>
  <c r="BF447" i="1"/>
  <c r="BT1297" i="1"/>
  <c r="BF1297" i="1"/>
  <c r="BT69" i="1"/>
  <c r="BT221" i="1"/>
  <c r="BF221" i="1"/>
  <c r="BT1538" i="1"/>
  <c r="BF1538" i="1"/>
  <c r="BT895" i="1"/>
  <c r="BF895" i="1"/>
  <c r="BT765" i="1"/>
  <c r="BF765" i="1"/>
  <c r="BT1296" i="1"/>
  <c r="BF1296" i="1"/>
  <c r="BT1196" i="1"/>
  <c r="BF1196" i="1"/>
  <c r="BT276" i="1"/>
  <c r="BF276" i="1"/>
  <c r="BT326" i="1"/>
  <c r="BF326" i="1"/>
  <c r="BT1155" i="1"/>
  <c r="BF1155" i="1"/>
  <c r="BT1037" i="1"/>
  <c r="BF1037" i="1"/>
  <c r="BT1002" i="1"/>
  <c r="BF1002" i="1"/>
  <c r="BT1472" i="1"/>
  <c r="BF1472" i="1"/>
  <c r="BT1360" i="1"/>
  <c r="BF1360" i="1"/>
  <c r="BT269" i="1"/>
  <c r="BF269" i="1"/>
  <c r="BT106" i="1"/>
  <c r="BF106" i="1"/>
  <c r="BT1077" i="1"/>
  <c r="BF1077" i="1"/>
  <c r="BT1195" i="1"/>
  <c r="BF1195" i="1"/>
  <c r="BT231" i="1"/>
  <c r="BF231" i="1"/>
  <c r="BT894" i="1"/>
  <c r="BF894" i="1"/>
  <c r="BT1295" i="1"/>
  <c r="BF1295" i="1"/>
  <c r="BT1537" i="1"/>
  <c r="BF1537" i="1"/>
  <c r="BT461" i="1"/>
  <c r="BF461" i="1"/>
  <c r="BT705" i="1"/>
  <c r="BT152" i="1"/>
  <c r="BF152" i="1"/>
  <c r="BT183" i="1"/>
  <c r="BF183" i="1"/>
  <c r="BT868" i="1"/>
  <c r="BF868" i="1"/>
  <c r="BT1359" i="1"/>
  <c r="BF1359" i="1"/>
  <c r="BT460" i="1"/>
  <c r="BF460" i="1"/>
  <c r="BT150" i="1"/>
  <c r="BF150" i="1"/>
  <c r="BT2095" i="1"/>
  <c r="BT654" i="1"/>
  <c r="BF654" i="1"/>
  <c r="BT1879" i="1"/>
  <c r="BF1879" i="1"/>
  <c r="BT1036" i="1"/>
  <c r="BF1036" i="1"/>
  <c r="BT2094" i="1"/>
  <c r="BF2094" i="1"/>
  <c r="BT598" i="1"/>
  <c r="BF598" i="1"/>
  <c r="BT927" i="1"/>
  <c r="BF927" i="1"/>
  <c r="BT1409" i="1"/>
  <c r="BF1409" i="1"/>
  <c r="BT642" i="1"/>
  <c r="BF642" i="1"/>
  <c r="BT1878" i="1"/>
  <c r="BF1878" i="1"/>
  <c r="BT616" i="1"/>
  <c r="BF616" i="1"/>
  <c r="BT1877" i="1"/>
  <c r="BF1877" i="1"/>
  <c r="BT1035" i="1"/>
  <c r="BF1035" i="1"/>
  <c r="BT2093" i="1"/>
  <c r="BF2093" i="1"/>
  <c r="BT1154" i="1"/>
  <c r="BF1154" i="1"/>
  <c r="BT479" i="1"/>
  <c r="BF479" i="1"/>
  <c r="BT1358" i="1"/>
  <c r="BF1358" i="1"/>
  <c r="BT893" i="1"/>
  <c r="BT298" i="1"/>
  <c r="BT1741" i="1"/>
  <c r="BF1741" i="1"/>
  <c r="BT259" i="1"/>
  <c r="BF259" i="1"/>
  <c r="BT1153" i="1"/>
  <c r="BF1153" i="1"/>
  <c r="BT672" i="1"/>
  <c r="BF672" i="1"/>
  <c r="BT748" i="1"/>
  <c r="BF748" i="1"/>
  <c r="BT2092" i="1"/>
  <c r="BF2092" i="1"/>
  <c r="BT381" i="1"/>
  <c r="BF381" i="1"/>
  <c r="BT1294" i="1"/>
  <c r="BF1294" i="1"/>
  <c r="BT2091" i="1"/>
  <c r="BF2091" i="1"/>
  <c r="BT191" i="1"/>
  <c r="BF191" i="1"/>
  <c r="BT823" i="1"/>
  <c r="BF823" i="1"/>
  <c r="BT268" i="1"/>
  <c r="BF268" i="1"/>
  <c r="BT1740" i="1"/>
  <c r="BF1740" i="1"/>
  <c r="BT185" i="1"/>
  <c r="BF185" i="1"/>
  <c r="BT822" i="1"/>
  <c r="BF822" i="1"/>
  <c r="BT1471" i="1"/>
  <c r="BF1471" i="1"/>
  <c r="BT568" i="1"/>
  <c r="BF568" i="1"/>
  <c r="BT256" i="1"/>
  <c r="BF256" i="1"/>
  <c r="BT970" i="1"/>
  <c r="BF970" i="1"/>
  <c r="BT926" i="1"/>
  <c r="BF926" i="1"/>
  <c r="BT867" i="1"/>
  <c r="BF867" i="1"/>
  <c r="BT892" i="1"/>
  <c r="BF892" i="1"/>
  <c r="BT111" i="1"/>
  <c r="BF111" i="1"/>
  <c r="BT1408" i="1"/>
  <c r="BF1408" i="1"/>
  <c r="BT459" i="1"/>
  <c r="BF459" i="1"/>
  <c r="BT2090" i="1"/>
  <c r="BT1194" i="1"/>
  <c r="BF1194" i="1"/>
  <c r="BT925" i="1"/>
  <c r="BF925" i="1"/>
  <c r="BT1739" i="1"/>
  <c r="BF1739" i="1"/>
  <c r="BT727" i="1"/>
  <c r="BF727" i="1"/>
  <c r="BT14" i="1"/>
  <c r="BF14" i="1"/>
  <c r="BT846" i="1"/>
  <c r="BF846" i="1"/>
  <c r="BT532" i="1"/>
  <c r="BF532" i="1"/>
  <c r="BT1536" i="1"/>
  <c r="BF1536" i="1"/>
  <c r="BT1622" i="1"/>
  <c r="BF1622" i="1"/>
  <c r="BT1876" i="1"/>
  <c r="BF1876" i="1"/>
  <c r="BT628" i="1"/>
  <c r="BF628" i="1"/>
  <c r="BT181" i="1"/>
  <c r="BF181" i="1"/>
  <c r="BT2089" i="1"/>
  <c r="BF2089" i="1"/>
  <c r="BT249" i="1"/>
  <c r="BF249" i="1"/>
  <c r="BT25" i="1"/>
  <c r="BF25" i="1"/>
  <c r="BT2088" i="1"/>
  <c r="BF2088" i="1"/>
  <c r="BT641" i="1"/>
  <c r="BF641" i="1"/>
  <c r="BT1470" i="1"/>
  <c r="BF1470" i="1"/>
  <c r="BT1001" i="1"/>
  <c r="BF1001" i="1"/>
  <c r="BT1738" i="1"/>
  <c r="BF1738" i="1"/>
  <c r="BT726" i="1"/>
  <c r="BF726" i="1"/>
  <c r="BT40" i="1"/>
  <c r="BF40" i="1"/>
  <c r="BT1737" i="1"/>
  <c r="BF1737" i="1"/>
  <c r="BT1736" i="1"/>
  <c r="BF1736" i="1"/>
  <c r="BT627" i="1"/>
  <c r="BF627" i="1"/>
  <c r="BT1735" i="1"/>
  <c r="BF1735" i="1"/>
  <c r="BT1734" i="1"/>
  <c r="BF1734" i="1"/>
  <c r="BT280" i="1"/>
  <c r="BF280" i="1"/>
  <c r="BT439" i="1"/>
  <c r="BF439" i="1"/>
  <c r="BT640" i="1"/>
  <c r="BF640" i="1"/>
  <c r="BT924" i="1"/>
  <c r="BF924" i="1"/>
  <c r="BT2087" i="1"/>
  <c r="BF2087" i="1"/>
  <c r="BT458" i="1"/>
  <c r="BF458" i="1"/>
  <c r="BT1152" i="1"/>
  <c r="BF1152" i="1"/>
  <c r="BT866" i="1"/>
  <c r="BF866" i="1"/>
  <c r="BT1076" i="1"/>
  <c r="BF1076" i="1"/>
  <c r="BT1733" i="1"/>
  <c r="BF1733" i="1"/>
  <c r="BT1535" i="1"/>
  <c r="BF1535" i="1"/>
  <c r="BT1621" i="1"/>
  <c r="BT132" i="1"/>
  <c r="BF132" i="1"/>
  <c r="BT1732" i="1"/>
  <c r="BF1732" i="1"/>
  <c r="BT821" i="1"/>
  <c r="BF821" i="1"/>
  <c r="BT1357" i="1"/>
  <c r="BF1357" i="1"/>
  <c r="BT1875" i="1"/>
  <c r="BF1875" i="1"/>
  <c r="BT1874" i="1"/>
  <c r="BF1874" i="1"/>
  <c r="BT1731" i="1"/>
  <c r="BF1731" i="1"/>
  <c r="BT1075" i="1"/>
  <c r="BF1075" i="1"/>
  <c r="BT1356" i="1"/>
  <c r="BF1356" i="1"/>
  <c r="BT182" i="1"/>
  <c r="BF182" i="1"/>
  <c r="BT1293" i="1"/>
  <c r="BF1293" i="1"/>
  <c r="BT671" i="1"/>
  <c r="BF671" i="1"/>
  <c r="BT1620" i="1"/>
  <c r="BF1620" i="1"/>
  <c r="BT865" i="1"/>
  <c r="BF865" i="1"/>
  <c r="BT1104" i="1"/>
  <c r="BF1104" i="1"/>
  <c r="BT165" i="1"/>
  <c r="BF165" i="1"/>
  <c r="BT1469" i="1"/>
  <c r="BF1469" i="1"/>
  <c r="BT820" i="1"/>
  <c r="BF820" i="1"/>
  <c r="BT434" i="1"/>
  <c r="BF434" i="1"/>
  <c r="BT864" i="1"/>
  <c r="BF864" i="1"/>
  <c r="BT267" i="1"/>
  <c r="BF267" i="1"/>
  <c r="BT70" i="1"/>
  <c r="BF70" i="1"/>
  <c r="BT1730" i="1"/>
  <c r="BF1730" i="1"/>
  <c r="BT1619" i="1"/>
  <c r="BF1619" i="1"/>
  <c r="BT133" i="1"/>
  <c r="BF133" i="1"/>
  <c r="BT969" i="1"/>
  <c r="BF969" i="1"/>
  <c r="BT175" i="1"/>
  <c r="BF175" i="1"/>
  <c r="BT1729" i="1"/>
  <c r="BF1729" i="1"/>
  <c r="BT1618" i="1"/>
  <c r="BF1618" i="1"/>
  <c r="BT279" i="1"/>
  <c r="BF279" i="1"/>
  <c r="BT1728" i="1"/>
  <c r="BF1728" i="1"/>
  <c r="BT99" i="1"/>
  <c r="BF99" i="1"/>
  <c r="BT478" i="1"/>
  <c r="BF478" i="1"/>
  <c r="BT670" i="1"/>
  <c r="BF670" i="1"/>
  <c r="BT264" i="1"/>
  <c r="BF264" i="1"/>
  <c r="BT799" i="1"/>
  <c r="BF799" i="1"/>
  <c r="BT586" i="1"/>
  <c r="BF586" i="1"/>
  <c r="BT1873" i="1"/>
  <c r="BF1873" i="1"/>
  <c r="BT1151" i="1"/>
  <c r="BF1151" i="1"/>
  <c r="BT1034" i="1"/>
  <c r="BF1034" i="1"/>
  <c r="BT923" i="1"/>
  <c r="BF923" i="1"/>
  <c r="BT1872" i="1"/>
  <c r="BF1872" i="1"/>
  <c r="BT1617" i="1"/>
  <c r="BF1617" i="1"/>
  <c r="BT1871" i="1"/>
  <c r="BF1871" i="1"/>
  <c r="BT615" i="1"/>
  <c r="BF615" i="1"/>
  <c r="BT2086" i="1"/>
  <c r="BF2086" i="1"/>
  <c r="BT547" i="1"/>
  <c r="BF547" i="1"/>
  <c r="BT1727" i="1"/>
  <c r="BF1727" i="1"/>
  <c r="BT2085" i="1"/>
  <c r="BF2085" i="1"/>
  <c r="BT1074" i="1"/>
  <c r="BF1074" i="1"/>
  <c r="BT1870" i="1"/>
  <c r="BF1870" i="1"/>
  <c r="BT1248" i="1"/>
  <c r="BF1248" i="1"/>
  <c r="BT1726" i="1"/>
  <c r="BF1726" i="1"/>
  <c r="BT1869" i="1"/>
  <c r="BF1869" i="1"/>
  <c r="BT1292" i="1"/>
  <c r="BF1292" i="1"/>
  <c r="BT1868" i="1"/>
  <c r="BF1868" i="1"/>
  <c r="BT1247" i="1"/>
  <c r="BF1247" i="1"/>
  <c r="BT639" i="1"/>
  <c r="BF639" i="1"/>
  <c r="BT1867" i="1"/>
  <c r="BF1867" i="1"/>
  <c r="BT393" i="1"/>
  <c r="BF393" i="1"/>
  <c r="BT392" i="1"/>
  <c r="BF392" i="1"/>
  <c r="BT421" i="1"/>
  <c r="BF421" i="1"/>
  <c r="BT1000" i="1"/>
  <c r="BF1000" i="1"/>
  <c r="BT391" i="1"/>
  <c r="BF391" i="1"/>
  <c r="BT1407" i="1"/>
  <c r="BF1407" i="1"/>
  <c r="BT2084" i="1"/>
  <c r="BF2084" i="1"/>
  <c r="BT2083" i="1"/>
  <c r="BF2083" i="1"/>
  <c r="BT1291" i="1"/>
  <c r="BF1291" i="1"/>
  <c r="BT368" i="1"/>
  <c r="BF368" i="1"/>
  <c r="BT1616" i="1"/>
  <c r="BF1616" i="1"/>
  <c r="BT819" i="1"/>
  <c r="BF819" i="1"/>
  <c r="BT798" i="1"/>
  <c r="BF798" i="1"/>
  <c r="BT653" i="1"/>
  <c r="BF653" i="1"/>
  <c r="BT1406" i="1"/>
  <c r="BT1615" i="1"/>
  <c r="BF1615" i="1"/>
  <c r="BT968" i="1"/>
  <c r="BF968" i="1"/>
  <c r="BT1725" i="1"/>
  <c r="BF1725" i="1"/>
  <c r="BT1866" i="1"/>
  <c r="BF1866" i="1"/>
  <c r="BT1355" i="1"/>
  <c r="BF1355" i="1"/>
  <c r="BT2082" i="1"/>
  <c r="BF2082" i="1"/>
  <c r="BT489" i="1"/>
  <c r="BF489" i="1"/>
  <c r="BT334" i="1"/>
  <c r="BF334" i="1"/>
  <c r="BT2081" i="1"/>
  <c r="BF2081" i="1"/>
  <c r="BT79" i="1"/>
  <c r="BF79" i="1"/>
  <c r="BT1865" i="1"/>
  <c r="BF1865" i="1"/>
  <c r="BT1614" i="1"/>
  <c r="BF1614" i="1"/>
  <c r="BT33" i="1"/>
  <c r="BF33" i="1"/>
  <c r="BT1724" i="1"/>
  <c r="BF1724" i="1"/>
  <c r="BT1864" i="1"/>
  <c r="BF1864" i="1"/>
  <c r="BT704" i="1"/>
  <c r="BF704" i="1"/>
  <c r="BT2080" i="1"/>
  <c r="BF2080" i="1"/>
  <c r="BT1354" i="1"/>
  <c r="BF1354" i="1"/>
  <c r="BT1073" i="1"/>
  <c r="BF1073" i="1"/>
  <c r="BT1863" i="1"/>
  <c r="BF1863" i="1"/>
  <c r="BT614" i="1"/>
  <c r="BF614" i="1"/>
  <c r="BT236" i="1"/>
  <c r="BF236" i="1"/>
  <c r="BT96" i="1"/>
  <c r="BF96" i="1"/>
  <c r="BT1534" i="1"/>
  <c r="BF1534" i="1"/>
  <c r="BT669" i="1"/>
  <c r="BF669" i="1"/>
  <c r="BT967" i="1"/>
  <c r="BF967" i="1"/>
  <c r="BT1533" i="1"/>
  <c r="BF1533" i="1"/>
  <c r="BT1723" i="1"/>
  <c r="BF1723" i="1"/>
  <c r="BT1722" i="1"/>
  <c r="BF1722" i="1"/>
  <c r="BT1613" i="1"/>
  <c r="BF1613" i="1"/>
  <c r="BT1721" i="1"/>
  <c r="BF1721" i="1"/>
  <c r="BT1612" i="1"/>
  <c r="BF1612" i="1"/>
  <c r="BT446" i="1"/>
  <c r="BF446" i="1"/>
  <c r="BT922" i="1"/>
  <c r="BF922" i="1"/>
  <c r="BT845" i="1"/>
  <c r="BF845" i="1"/>
  <c r="BT244" i="1"/>
  <c r="BF244" i="1"/>
  <c r="BT1611" i="1"/>
  <c r="BT477" i="1"/>
  <c r="BF477" i="1"/>
  <c r="BT546" i="1"/>
  <c r="BF546" i="1"/>
  <c r="BT686" i="1"/>
  <c r="BF686" i="1"/>
  <c r="BT668" i="1"/>
  <c r="BF668" i="1"/>
  <c r="BT703" i="1"/>
  <c r="BF703" i="1"/>
  <c r="BT1405" i="1"/>
  <c r="BF1405" i="1"/>
  <c r="BT1862" i="1"/>
  <c r="BF1862" i="1"/>
  <c r="BT2079" i="1"/>
  <c r="BT1072" i="1"/>
  <c r="BF1072" i="1"/>
  <c r="BT2078" i="1"/>
  <c r="BF2078" i="1"/>
  <c r="BT1720" i="1"/>
  <c r="BF1720" i="1"/>
  <c r="BT1404" i="1"/>
  <c r="BF1404" i="1"/>
  <c r="BT1861" i="1"/>
  <c r="BF1861" i="1"/>
  <c r="BT1353" i="1"/>
  <c r="BF1353" i="1"/>
  <c r="BT211" i="1"/>
  <c r="BF211" i="1"/>
  <c r="BT420" i="1"/>
  <c r="BF420" i="1"/>
  <c r="BT1532" i="1"/>
  <c r="BF1532" i="1"/>
  <c r="BT2077" i="1"/>
  <c r="BF2077" i="1"/>
  <c r="BT2076" i="1"/>
  <c r="BF2076" i="1"/>
  <c r="BT2075" i="1"/>
  <c r="BF2075" i="1"/>
  <c r="BT54" i="1"/>
  <c r="BF54" i="1"/>
  <c r="BT1071" i="1"/>
  <c r="BF1071" i="1"/>
  <c r="BT10" i="1"/>
  <c r="BF10" i="1"/>
  <c r="BT2074" i="1"/>
  <c r="BF2074" i="1"/>
  <c r="BT1719" i="1"/>
  <c r="BF1719" i="1"/>
  <c r="BT1193" i="1"/>
  <c r="BT220" i="1"/>
  <c r="BF220" i="1"/>
  <c r="BT1531" i="1"/>
  <c r="BF1531" i="1"/>
  <c r="BT1468" i="1"/>
  <c r="BF1468" i="1"/>
  <c r="BT999" i="1"/>
  <c r="BF999" i="1"/>
  <c r="BT2073" i="1"/>
  <c r="BF2073" i="1"/>
  <c r="BT725" i="1"/>
  <c r="BF725" i="1"/>
  <c r="BT116" i="1"/>
  <c r="BF116" i="1"/>
  <c r="BT2072" i="1"/>
  <c r="BF2072" i="1"/>
  <c r="BT1467" i="1"/>
  <c r="BF1467" i="1"/>
  <c r="BT1530" i="1"/>
  <c r="BF1530" i="1"/>
  <c r="BT797" i="1"/>
  <c r="BF797" i="1"/>
  <c r="BT724" i="1"/>
  <c r="BF724" i="1"/>
  <c r="BT998" i="1"/>
  <c r="BF998" i="1"/>
  <c r="BT1718" i="1"/>
  <c r="BF1718" i="1"/>
  <c r="BT26" i="1"/>
  <c r="BT145" i="1"/>
  <c r="BF145" i="1"/>
  <c r="BT419" i="1"/>
  <c r="BF419" i="1"/>
  <c r="BT255" i="1"/>
  <c r="BF255" i="1"/>
  <c r="BT1610" i="1"/>
  <c r="BF1610" i="1"/>
  <c r="BT1033" i="1"/>
  <c r="BF1033" i="1"/>
  <c r="BT519" i="1"/>
  <c r="BF519" i="1"/>
  <c r="BT997" i="1"/>
  <c r="BF997" i="1"/>
  <c r="BT996" i="1"/>
  <c r="BF996" i="1"/>
  <c r="BT2071" i="1"/>
  <c r="BF2071" i="1"/>
  <c r="BT613" i="1"/>
  <c r="BF613" i="1"/>
  <c r="BT2070" i="1"/>
  <c r="BF2070" i="1"/>
  <c r="BT2069" i="1"/>
  <c r="BF2069" i="1"/>
  <c r="BT796" i="1"/>
  <c r="BF796" i="1"/>
  <c r="BT1246" i="1"/>
  <c r="BF1246" i="1"/>
  <c r="BT1717" i="1"/>
  <c r="BF1717" i="1"/>
  <c r="BT488" i="1"/>
  <c r="BF488" i="1"/>
  <c r="BT2068" i="1"/>
  <c r="BF2068" i="1"/>
  <c r="BT1070" i="1"/>
  <c r="BF1070" i="1"/>
  <c r="BT1860" i="1"/>
  <c r="BF1860" i="1"/>
  <c r="BT187" i="1"/>
  <c r="BF187" i="1"/>
  <c r="BT235" i="1"/>
  <c r="BF235" i="1"/>
  <c r="BT1352" i="1"/>
  <c r="BF1352" i="1"/>
  <c r="BT585" i="1"/>
  <c r="BF585" i="1"/>
  <c r="BT1609" i="1"/>
  <c r="BF1609" i="1"/>
  <c r="BT2067" i="1"/>
  <c r="BF2067" i="1"/>
  <c r="BT1608" i="1"/>
  <c r="BF1608" i="1"/>
  <c r="BT401" i="1"/>
  <c r="BF401" i="1"/>
  <c r="BT2066" i="1"/>
  <c r="BF2066" i="1"/>
  <c r="BT795" i="1"/>
  <c r="BF795" i="1"/>
  <c r="BT500" i="1"/>
  <c r="BF500" i="1"/>
  <c r="BT1351" i="1"/>
  <c r="BF1351" i="1"/>
  <c r="BT2065" i="1"/>
  <c r="BF2065" i="1"/>
  <c r="BT1103" i="1"/>
  <c r="BF1103" i="1"/>
  <c r="BT1290" i="1"/>
  <c r="BT794" i="1"/>
  <c r="BF794" i="1"/>
  <c r="BT702" i="1"/>
  <c r="BF702" i="1"/>
  <c r="BT1289" i="1"/>
  <c r="BF1289" i="1"/>
  <c r="BT1466" i="1"/>
  <c r="BF1466" i="1"/>
  <c r="BT112" i="1"/>
  <c r="BF112" i="1"/>
  <c r="BT1032" i="1"/>
  <c r="BF1032" i="1"/>
  <c r="BT1859" i="1"/>
  <c r="BF1859" i="1"/>
  <c r="BT1716" i="1"/>
  <c r="BF1716" i="1"/>
  <c r="BT1465" i="1"/>
  <c r="BF1465" i="1"/>
  <c r="BT1069" i="1"/>
  <c r="BF1069" i="1"/>
  <c r="BT1715" i="1"/>
  <c r="BF1715" i="1"/>
  <c r="BT2064" i="1"/>
  <c r="BF2064" i="1"/>
  <c r="BT225" i="1"/>
  <c r="BF225" i="1"/>
  <c r="BT1464" i="1"/>
  <c r="BF1464" i="1"/>
  <c r="BT1714" i="1"/>
  <c r="BF1714" i="1"/>
  <c r="BT2063" i="1"/>
  <c r="BF2063" i="1"/>
  <c r="BT1713" i="1"/>
  <c r="BF1713" i="1"/>
  <c r="BT2062" i="1"/>
  <c r="BF2062" i="1"/>
  <c r="BT612" i="1"/>
  <c r="BF612" i="1"/>
  <c r="BT1245" i="1"/>
  <c r="BF1245" i="1"/>
  <c r="BT2061" i="1"/>
  <c r="BF2061" i="1"/>
  <c r="BT863" i="1"/>
  <c r="BF863" i="1"/>
  <c r="BT862" i="1"/>
  <c r="BF862" i="1"/>
  <c r="BT2060" i="1"/>
  <c r="BF2060" i="1"/>
  <c r="BT205" i="1"/>
  <c r="BF205" i="1"/>
  <c r="BT995" i="1"/>
  <c r="BF995" i="1"/>
  <c r="BT652" i="1"/>
  <c r="BF652" i="1"/>
  <c r="BT1150" i="1"/>
  <c r="BF1150" i="1"/>
  <c r="BT518" i="1"/>
  <c r="BF518" i="1"/>
  <c r="BT1712" i="1"/>
  <c r="BF1712" i="1"/>
  <c r="BT1711" i="1"/>
  <c r="BF1711" i="1"/>
  <c r="BT174" i="1"/>
  <c r="BF174" i="1"/>
  <c r="BT626" i="1"/>
  <c r="BF626" i="1"/>
  <c r="BT2059" i="1"/>
  <c r="BF2059" i="1"/>
  <c r="BT2058" i="1"/>
  <c r="BF2058" i="1"/>
  <c r="BT1607" i="1"/>
  <c r="BF1607" i="1"/>
  <c r="BT1606" i="1"/>
  <c r="BF1606" i="1"/>
  <c r="BT966" i="1"/>
  <c r="BF966" i="1"/>
  <c r="BT1403" i="1"/>
  <c r="BF1403" i="1"/>
  <c r="BT115" i="1"/>
  <c r="BF115" i="1"/>
  <c r="BT291" i="1"/>
  <c r="BF291" i="1"/>
  <c r="BT2057" i="1"/>
  <c r="BF2057" i="1"/>
  <c r="BT1858" i="1"/>
  <c r="BF1858" i="1"/>
  <c r="BT1463" i="1"/>
  <c r="BF1463" i="1"/>
  <c r="BT1605" i="1"/>
  <c r="BF1605" i="1"/>
  <c r="BT303" i="1"/>
  <c r="BF303" i="1"/>
  <c r="BT1710" i="1"/>
  <c r="BF1710" i="1"/>
  <c r="BT248" i="1"/>
  <c r="BF248" i="1"/>
  <c r="BT517" i="1"/>
  <c r="BF517" i="1"/>
  <c r="BT545" i="1"/>
  <c r="BF545" i="1"/>
  <c r="BT190" i="1"/>
  <c r="BF190" i="1"/>
  <c r="BT1709" i="1"/>
  <c r="BF1709" i="1"/>
  <c r="BT1708" i="1"/>
  <c r="BF1708" i="1"/>
  <c r="BT1707" i="1"/>
  <c r="BF1707" i="1"/>
  <c r="BT78" i="1"/>
  <c r="BF78" i="1"/>
  <c r="BT411" i="1"/>
  <c r="BF411" i="1"/>
  <c r="BT567" i="1"/>
  <c r="BF567" i="1"/>
  <c r="BT1857" i="1"/>
  <c r="BF1857" i="1"/>
  <c r="BT445" i="1"/>
  <c r="BF445" i="1"/>
  <c r="BT1149" i="1"/>
  <c r="BF1149" i="1"/>
  <c r="BT723" i="1"/>
  <c r="BF723" i="1"/>
  <c r="BT290" i="1"/>
  <c r="BF290" i="1"/>
  <c r="BT36" i="1"/>
  <c r="BF36" i="1"/>
  <c r="BT818" i="1"/>
  <c r="BF818" i="1"/>
  <c r="BT1068" i="1"/>
  <c r="BF1068" i="1"/>
  <c r="BT1102" i="1"/>
  <c r="BF1102" i="1"/>
  <c r="BT1462" i="1"/>
  <c r="BF1462" i="1"/>
  <c r="BT2056" i="1"/>
  <c r="BF2056" i="1"/>
  <c r="BT189" i="1"/>
  <c r="BF189" i="1"/>
  <c r="BT1856" i="1"/>
  <c r="BF1856" i="1"/>
  <c r="BT921" i="1"/>
  <c r="BF921" i="1"/>
  <c r="BT1288" i="1"/>
  <c r="BF1288" i="1"/>
  <c r="BT1529" i="1"/>
  <c r="BF1529" i="1"/>
  <c r="BT1148" i="1"/>
  <c r="BF1148" i="1"/>
  <c r="BT920" i="1"/>
  <c r="BF920" i="1"/>
  <c r="BT1706" i="1"/>
  <c r="BF1706" i="1"/>
  <c r="BT1101" i="1"/>
  <c r="BF1101" i="1"/>
  <c r="BT1244" i="1"/>
  <c r="BF1244" i="1"/>
  <c r="BT1604" i="1"/>
  <c r="BF1604" i="1"/>
  <c r="BT204" i="1"/>
  <c r="BF204" i="1"/>
  <c r="BT1100" i="1"/>
  <c r="BF1100" i="1"/>
  <c r="BT1287" i="1"/>
  <c r="BF1287" i="1"/>
  <c r="BT476" i="1"/>
  <c r="BF476" i="1"/>
  <c r="BT965" i="1"/>
  <c r="BT516" i="1"/>
  <c r="BF516" i="1"/>
  <c r="BT1067" i="1"/>
  <c r="BF1067" i="1"/>
  <c r="BT722" i="1"/>
  <c r="BF722" i="1"/>
  <c r="BT556" i="1"/>
  <c r="BF556" i="1"/>
  <c r="BT1066" i="1"/>
  <c r="BF1066" i="1"/>
  <c r="BT81" i="1"/>
  <c r="BF81" i="1"/>
  <c r="BT1286" i="1"/>
  <c r="BF1286" i="1"/>
  <c r="BT2055" i="1"/>
  <c r="BF2055" i="1"/>
  <c r="BT1461" i="1"/>
  <c r="BF1461" i="1"/>
  <c r="BT210" i="1"/>
  <c r="BF210" i="1"/>
  <c r="BT1603" i="1"/>
  <c r="BF1603" i="1"/>
  <c r="BT1528" i="1"/>
  <c r="BF1528" i="1"/>
  <c r="BT1855" i="1"/>
  <c r="BF1855" i="1"/>
  <c r="BT234" i="1"/>
  <c r="BF234" i="1"/>
  <c r="BT1854" i="1"/>
  <c r="BF1854" i="1"/>
  <c r="BT457" i="1"/>
  <c r="BF457" i="1"/>
  <c r="BT1147" i="1"/>
  <c r="BF1147" i="1"/>
  <c r="BT667" i="1"/>
  <c r="BF667" i="1"/>
  <c r="BT1402" i="1"/>
  <c r="BF1402" i="1"/>
  <c r="BT2054" i="1"/>
  <c r="BF2054" i="1"/>
  <c r="BT747" i="1"/>
  <c r="BF747" i="1"/>
  <c r="BT919" i="1"/>
  <c r="BF919" i="1"/>
  <c r="BT325" i="1"/>
  <c r="BF325" i="1"/>
  <c r="BT721" i="1"/>
  <c r="BF721" i="1"/>
  <c r="BT1243" i="1"/>
  <c r="BF1243" i="1"/>
  <c r="BT584" i="1"/>
  <c r="BF584" i="1"/>
  <c r="BT2053" i="1"/>
  <c r="BF2053" i="1"/>
  <c r="BT209" i="1"/>
  <c r="BF209" i="1"/>
  <c r="BT302" i="1"/>
  <c r="BF302" i="1"/>
  <c r="BT2052" i="1"/>
  <c r="BF2052" i="1"/>
  <c r="BT1350" i="1"/>
  <c r="BF1350" i="1"/>
  <c r="BT374" i="1"/>
  <c r="BF374" i="1"/>
  <c r="BT1527" i="1"/>
  <c r="BF1527" i="1"/>
  <c r="BT160" i="1"/>
  <c r="BF160" i="1"/>
  <c r="BT685" i="1"/>
  <c r="BF685" i="1"/>
  <c r="BT964" i="1"/>
  <c r="BF964" i="1"/>
  <c r="BT891" i="1"/>
  <c r="BF891" i="1"/>
  <c r="BT1526" i="1"/>
  <c r="BF1526" i="1"/>
  <c r="BT18" i="1"/>
  <c r="BF18" i="1"/>
  <c r="BT2051" i="1"/>
  <c r="BF2051" i="1"/>
  <c r="BT333" i="1"/>
  <c r="BF333" i="1"/>
  <c r="BT1349" i="1"/>
  <c r="BF1349" i="1"/>
  <c r="BT515" i="1"/>
  <c r="BF515" i="1"/>
  <c r="BT2050" i="1"/>
  <c r="BF2050" i="1"/>
  <c r="BT1285" i="1"/>
  <c r="BF1285" i="1"/>
  <c r="BT2049" i="1"/>
  <c r="BF2049" i="1"/>
  <c r="BT1242" i="1"/>
  <c r="BF1242" i="1"/>
  <c r="BT918" i="1"/>
  <c r="BF918" i="1"/>
  <c r="BT410" i="1"/>
  <c r="BF410" i="1"/>
  <c r="BT230" i="1"/>
  <c r="BF230" i="1"/>
  <c r="BT400" i="1"/>
  <c r="BF400" i="1"/>
  <c r="BT456" i="1"/>
  <c r="BF456" i="1"/>
  <c r="BT720" i="1"/>
  <c r="BF720" i="1"/>
  <c r="BT793" i="1"/>
  <c r="BF793" i="1"/>
  <c r="BT1602" i="1"/>
  <c r="BF1602" i="1"/>
  <c r="BT1031" i="1"/>
  <c r="BF1031" i="1"/>
  <c r="BT1853" i="1"/>
  <c r="BF1853" i="1"/>
  <c r="BT324" i="1"/>
  <c r="BF324" i="1"/>
  <c r="BT35" i="1"/>
  <c r="BF35" i="1"/>
  <c r="BT148" i="1"/>
  <c r="BF148" i="1"/>
  <c r="BT1192" i="1"/>
  <c r="BF1192" i="1"/>
  <c r="BT1241" i="1"/>
  <c r="BF1241" i="1"/>
  <c r="BT625" i="1"/>
  <c r="BF625" i="1"/>
  <c r="BT890" i="1"/>
  <c r="BF890" i="1"/>
  <c r="BT2048" i="1"/>
  <c r="BF2048" i="1"/>
  <c r="BT2047" i="1"/>
  <c r="BF2047" i="1"/>
  <c r="BT1852" i="1"/>
  <c r="BF1852" i="1"/>
  <c r="BT197" i="1"/>
  <c r="BF197" i="1"/>
  <c r="BT216" i="1"/>
  <c r="BF216" i="1"/>
  <c r="BT963" i="1"/>
  <c r="BF963" i="1"/>
  <c r="BT1460" i="1"/>
  <c r="BF1460" i="1"/>
  <c r="BT917" i="1"/>
  <c r="BF917" i="1"/>
  <c r="BT746" i="1"/>
  <c r="BF746" i="1"/>
  <c r="BT390" i="1"/>
  <c r="BF390" i="1"/>
  <c r="BT583" i="1"/>
  <c r="BF583" i="1"/>
  <c r="BT1065" i="1"/>
  <c r="BF1065" i="1"/>
  <c r="BT1240" i="1"/>
  <c r="BF1240" i="1"/>
  <c r="BT240" i="1"/>
  <c r="BF240" i="1"/>
  <c r="BT12" i="1"/>
  <c r="BF12" i="1"/>
  <c r="BT2046" i="1"/>
  <c r="BF2046" i="1"/>
  <c r="BT1851" i="1"/>
  <c r="BF1851" i="1"/>
  <c r="BT380" i="1"/>
  <c r="BF380" i="1"/>
  <c r="BT97" i="1"/>
  <c r="BF97" i="1"/>
  <c r="BT455" i="1"/>
  <c r="BF455" i="1"/>
  <c r="BT2045" i="1"/>
  <c r="BF2045" i="1"/>
  <c r="BT1284" i="1"/>
  <c r="BF1284" i="1"/>
  <c r="BT1239" i="1"/>
  <c r="BF1239" i="1"/>
  <c r="BT1850" i="1"/>
  <c r="BF1850" i="1"/>
  <c r="BT1849" i="1"/>
  <c r="BF1849" i="1"/>
  <c r="BT1601" i="1"/>
  <c r="BF1601" i="1"/>
  <c r="BT1525" i="1"/>
  <c r="BF1525" i="1"/>
  <c r="BT82" i="1"/>
  <c r="BF82" i="1"/>
  <c r="BT889" i="1"/>
  <c r="BF889" i="1"/>
  <c r="BT243" i="1"/>
  <c r="BF243" i="1"/>
  <c r="BT367" i="1"/>
  <c r="BF367" i="1"/>
  <c r="BT1524" i="1"/>
  <c r="BF1524" i="1"/>
  <c r="BT1401" i="1"/>
  <c r="BF1401" i="1"/>
  <c r="BT638" i="1"/>
  <c r="BF638" i="1"/>
  <c r="BT487" i="1"/>
  <c r="BF487" i="1"/>
  <c r="BT1030" i="1"/>
  <c r="BF1030" i="1"/>
  <c r="BT1348" i="1"/>
  <c r="BF1348" i="1"/>
  <c r="BT611" i="1"/>
  <c r="BF611" i="1"/>
  <c r="BT52" i="1"/>
  <c r="BF52" i="1"/>
  <c r="BT1347" i="1"/>
  <c r="BF1347" i="1"/>
  <c r="BT1848" i="1"/>
  <c r="BF1848" i="1"/>
  <c r="BT1847" i="1"/>
  <c r="BF1847" i="1"/>
  <c r="BT2044" i="1"/>
  <c r="BF2044" i="1"/>
  <c r="BT1705" i="1"/>
  <c r="BF1705" i="1"/>
  <c r="BT1704" i="1"/>
  <c r="BF1704" i="1"/>
  <c r="BT366" i="1"/>
  <c r="BF366" i="1"/>
  <c r="BT1846" i="1"/>
  <c r="BF1846" i="1"/>
  <c r="BT1400" i="1"/>
  <c r="BF1400" i="1"/>
  <c r="BT844" i="1"/>
  <c r="BF844" i="1"/>
  <c r="BT1703" i="1"/>
  <c r="BF1703" i="1"/>
  <c r="BT1064" i="1"/>
  <c r="BF1064" i="1"/>
  <c r="BT2043" i="1"/>
  <c r="BF2043" i="1"/>
  <c r="BT1600" i="1"/>
  <c r="BF1600" i="1"/>
  <c r="BT916" i="1"/>
  <c r="BF916" i="1"/>
  <c r="BT1099" i="1"/>
  <c r="BF1099" i="1"/>
  <c r="BT1238" i="1"/>
  <c r="BF1238" i="1"/>
  <c r="BT317" i="1"/>
  <c r="BF317" i="1"/>
  <c r="BT109" i="1"/>
  <c r="BF109" i="1"/>
  <c r="BT1399" i="1"/>
  <c r="BF1399" i="1"/>
  <c r="BT1398" i="1"/>
  <c r="BF1398" i="1"/>
  <c r="BT2042" i="1"/>
  <c r="BF2042" i="1"/>
  <c r="BT1845" i="1"/>
  <c r="BF1845" i="1"/>
  <c r="BT1397" i="1"/>
  <c r="BF1397" i="1"/>
  <c r="BT1459" i="1"/>
  <c r="BF1459" i="1"/>
  <c r="BT792" i="1"/>
  <c r="BF792" i="1"/>
  <c r="BT409" i="1"/>
  <c r="BF409" i="1"/>
  <c r="BT1523" i="1"/>
  <c r="BF1523" i="1"/>
  <c r="BT915" i="1"/>
  <c r="BF915" i="1"/>
  <c r="BT131" i="1"/>
  <c r="BF131" i="1"/>
  <c r="BT168" i="1"/>
  <c r="BF168" i="1"/>
  <c r="BT499" i="1"/>
  <c r="BF499" i="1"/>
  <c r="BT1346" i="1"/>
  <c r="BF1346" i="1"/>
  <c r="BT2041" i="1"/>
  <c r="BF2041" i="1"/>
  <c r="BT1599" i="1"/>
  <c r="BF1599" i="1"/>
  <c r="BT206" i="1"/>
  <c r="BF206" i="1"/>
  <c r="BT2040" i="1"/>
  <c r="BF2040" i="1"/>
  <c r="BT843" i="1"/>
  <c r="BF843" i="1"/>
  <c r="BT332" i="1"/>
  <c r="BF332" i="1"/>
  <c r="BT1191" i="1"/>
  <c r="BF1191" i="1"/>
  <c r="BT1063" i="1"/>
  <c r="BF1063" i="1"/>
  <c r="BT994" i="1"/>
  <c r="BF994" i="1"/>
  <c r="BT498" i="1"/>
  <c r="BF498" i="1"/>
  <c r="BT745" i="1"/>
  <c r="BF745" i="1"/>
  <c r="BT544" i="1"/>
  <c r="BF544" i="1"/>
  <c r="BT108" i="1"/>
  <c r="BF108" i="1"/>
  <c r="BT1146" i="1"/>
  <c r="BF1146" i="1"/>
  <c r="BT701" i="1"/>
  <c r="BF701" i="1"/>
  <c r="BT1844" i="1"/>
  <c r="BF1844" i="1"/>
  <c r="BT1190" i="1"/>
  <c r="BF1190" i="1"/>
  <c r="BT272" i="1"/>
  <c r="BF272" i="1"/>
  <c r="BT610" i="1"/>
  <c r="BF610" i="1"/>
  <c r="BT1843" i="1"/>
  <c r="BF1843" i="1"/>
  <c r="BT791" i="1"/>
  <c r="BF791" i="1"/>
  <c r="BT842" i="1"/>
  <c r="BF842" i="1"/>
  <c r="BT2039" i="1"/>
  <c r="BF2039" i="1"/>
  <c r="BT2038" i="1"/>
  <c r="BF2038" i="1"/>
  <c r="BT51" i="1"/>
  <c r="BF51" i="1"/>
  <c r="BT993" i="1"/>
  <c r="BF993" i="1"/>
  <c r="BT1145" i="1"/>
  <c r="BF1145" i="1"/>
  <c r="BT1598" i="1"/>
  <c r="BF1598" i="1"/>
  <c r="BT555" i="1"/>
  <c r="BF555" i="1"/>
  <c r="BT1062" i="1"/>
  <c r="BF1062" i="1"/>
  <c r="BT1345" i="1"/>
  <c r="BF1345" i="1"/>
  <c r="BT1189" i="1"/>
  <c r="BF1189" i="1"/>
  <c r="BT2037" i="1"/>
  <c r="BF2037" i="1"/>
  <c r="BT1237" i="1"/>
  <c r="BF1237" i="1"/>
  <c r="BT1236" i="1"/>
  <c r="BF1236" i="1"/>
  <c r="BT389" i="1"/>
  <c r="BF389" i="1"/>
  <c r="BT637" i="1"/>
  <c r="BF637" i="1"/>
  <c r="BT1235" i="1"/>
  <c r="BF1235" i="1"/>
  <c r="BT790" i="1"/>
  <c r="BF790" i="1"/>
  <c r="BT1597" i="1"/>
  <c r="BF1597" i="1"/>
  <c r="BT252" i="1"/>
  <c r="BF252" i="1"/>
  <c r="BT888" i="1"/>
  <c r="BF888" i="1"/>
  <c r="BT744" i="1"/>
  <c r="BF744" i="1"/>
  <c r="BT17" i="1"/>
  <c r="BF17" i="1"/>
  <c r="BT1842" i="1"/>
  <c r="BF1842" i="1"/>
  <c r="BT1596" i="1"/>
  <c r="BF1596" i="1"/>
  <c r="BT1029" i="1"/>
  <c r="BF1029" i="1"/>
  <c r="BT2036" i="1"/>
  <c r="BF2036" i="1"/>
  <c r="BT962" i="1"/>
  <c r="BF962" i="1"/>
  <c r="BT543" i="1"/>
  <c r="BF543" i="1"/>
  <c r="BT700" i="1"/>
  <c r="BF700" i="1"/>
  <c r="BT1702" i="1"/>
  <c r="BF1702" i="1"/>
  <c r="BT609" i="1"/>
  <c r="BF609" i="1"/>
  <c r="BT1028" i="1"/>
  <c r="BF1028" i="1"/>
  <c r="BT1841" i="1"/>
  <c r="BF1841" i="1"/>
  <c r="BT992" i="1"/>
  <c r="BF992" i="1"/>
  <c r="BT1458" i="1"/>
  <c r="BF1458" i="1"/>
  <c r="BT608" i="1"/>
  <c r="BF608" i="1"/>
  <c r="BT101" i="1"/>
  <c r="BF101" i="1"/>
  <c r="BT1595" i="1"/>
  <c r="BF1595" i="1"/>
  <c r="BT433" i="1"/>
  <c r="BF433" i="1"/>
  <c r="BT624" i="1"/>
  <c r="BF624" i="1"/>
  <c r="BT1840" i="1"/>
  <c r="BF1840" i="1"/>
  <c r="BT699" i="1"/>
  <c r="BF699" i="1"/>
  <c r="BT86" i="1"/>
  <c r="BF86" i="1"/>
  <c r="BT73" i="1"/>
  <c r="BF73" i="1"/>
  <c r="BT1283" i="1"/>
  <c r="BF1283" i="1"/>
  <c r="BT2035" i="1"/>
  <c r="BF2035" i="1"/>
  <c r="BT27" i="1"/>
  <c r="BF27" i="1"/>
  <c r="BT432" i="1"/>
  <c r="BF432" i="1"/>
  <c r="BT263" i="1"/>
  <c r="BF263" i="1"/>
  <c r="BT1839" i="1"/>
  <c r="BF1839" i="1"/>
  <c r="BT360" i="1"/>
  <c r="BF360" i="1"/>
  <c r="BT16" i="1"/>
  <c r="BF16" i="1"/>
  <c r="BT684" i="1"/>
  <c r="BF684" i="1"/>
  <c r="BT68" i="1"/>
  <c r="BF68" i="1"/>
  <c r="BT1522" i="1"/>
  <c r="BF1522" i="1"/>
  <c r="BT28" i="1"/>
  <c r="BF28" i="1"/>
  <c r="BF343" i="1"/>
  <c r="BT343" i="1"/>
  <c r="BF329" i="1"/>
  <c r="BT329" i="1"/>
  <c r="BF1769" i="1"/>
  <c r="BT1769" i="1"/>
  <c r="BF304" i="1"/>
  <c r="BT304" i="1"/>
  <c r="BF1258" i="1"/>
  <c r="BT1258" i="1"/>
  <c r="BF71" i="1"/>
  <c r="BT71" i="1"/>
  <c r="BF483" i="1"/>
  <c r="BT483" i="1"/>
  <c r="BF630" i="1"/>
  <c r="BT630" i="1"/>
  <c r="BF416" i="1"/>
  <c r="BT416" i="1"/>
  <c r="BF285" i="1"/>
  <c r="BT285" i="1"/>
  <c r="BF1089" i="1"/>
  <c r="BT1089" i="1"/>
  <c r="BF854" i="1"/>
  <c r="BT854" i="1"/>
  <c r="BF300" i="1"/>
  <c r="BT300" i="1"/>
  <c r="BF1371" i="1"/>
  <c r="BT1371" i="1"/>
  <c r="BF1014" i="1"/>
  <c r="BT1014" i="1"/>
  <c r="BF1907" i="1"/>
  <c r="BT1907" i="1"/>
  <c r="BF1044" i="1"/>
  <c r="BT1044" i="1"/>
  <c r="BT1908" i="1"/>
  <c r="BF1770" i="1"/>
  <c r="BT1770" i="1"/>
  <c r="BF1090" i="1"/>
  <c r="BT1090" i="1"/>
  <c r="BF775" i="1"/>
  <c r="BT775" i="1"/>
  <c r="BF1484" i="1"/>
  <c r="BT1484" i="1"/>
  <c r="BF1909" i="1"/>
  <c r="BT1909" i="1"/>
  <c r="BF88" i="1"/>
  <c r="BT88" i="1"/>
  <c r="BF214" i="1"/>
  <c r="BT214" i="1"/>
  <c r="BF1168" i="1"/>
  <c r="BT1168" i="1"/>
  <c r="BF1642" i="1"/>
  <c r="BT1642" i="1"/>
  <c r="BF1091" i="1"/>
  <c r="BT1091" i="1"/>
  <c r="BF1045" i="1"/>
  <c r="BT1045" i="1"/>
  <c r="BF1429" i="1"/>
  <c r="BT1429" i="1"/>
  <c r="BF736" i="1"/>
  <c r="BT736" i="1"/>
  <c r="BF940" i="1"/>
  <c r="BT940" i="1"/>
  <c r="BF44" i="1"/>
  <c r="BT44" i="1"/>
  <c r="BF1205" i="1"/>
  <c r="BT1205" i="1"/>
  <c r="BF403" i="1"/>
  <c r="BT403" i="1"/>
  <c r="BF1015" i="1"/>
  <c r="BT1015" i="1"/>
  <c r="BF1430" i="1"/>
  <c r="BT1430" i="1"/>
  <c r="BF522" i="1"/>
  <c r="BT522" i="1"/>
  <c r="BF1562" i="1"/>
  <c r="BT1562" i="1"/>
  <c r="BF100" i="1"/>
  <c r="BT100" i="1"/>
  <c r="BF1910" i="1"/>
  <c r="BT1910" i="1"/>
  <c r="BF1911" i="1"/>
  <c r="BT1911" i="1"/>
  <c r="BF492" i="1"/>
  <c r="BT492" i="1"/>
  <c r="BF154" i="1"/>
  <c r="BT154" i="1"/>
  <c r="BF631" i="1"/>
  <c r="BT631" i="1"/>
  <c r="BF1092" i="1"/>
  <c r="BT1092" i="1"/>
  <c r="BF226" i="1"/>
  <c r="BT226" i="1"/>
  <c r="BF1912" i="1"/>
  <c r="BT1912" i="1"/>
  <c r="BF1117" i="1"/>
  <c r="BT1117" i="1"/>
  <c r="BF384" i="1"/>
  <c r="BT384" i="1"/>
  <c r="BF1643" i="1"/>
  <c r="BT1643" i="1"/>
  <c r="BF574" i="1"/>
  <c r="BT574" i="1"/>
  <c r="BF855" i="1"/>
  <c r="BT855" i="1"/>
  <c r="BF1563" i="1"/>
  <c r="BT1563" i="1"/>
  <c r="BF176" i="1"/>
  <c r="BT176" i="1"/>
  <c r="BF1644" i="1"/>
  <c r="BT1644" i="1"/>
  <c r="BF45" i="1"/>
  <c r="BT45" i="1"/>
  <c r="BF1317" i="1"/>
  <c r="BT1317" i="1"/>
  <c r="BF1118" i="1"/>
  <c r="BT1118" i="1"/>
  <c r="BF1485" i="1"/>
  <c r="BT1485" i="1"/>
  <c r="BF1913" i="1"/>
  <c r="BT1913" i="1"/>
  <c r="BF506" i="1"/>
  <c r="BT506" i="1"/>
  <c r="BF161" i="1"/>
  <c r="BT161" i="1"/>
  <c r="BF1914" i="1"/>
  <c r="BT1914" i="1"/>
  <c r="BF976" i="1"/>
  <c r="BT976" i="1"/>
  <c r="BF376" i="1"/>
  <c r="BT376" i="1"/>
  <c r="BF1372" i="1"/>
  <c r="BT1372" i="1"/>
  <c r="BF1093" i="1"/>
  <c r="BT1093" i="1"/>
  <c r="BF1119" i="1"/>
  <c r="BT1119" i="1"/>
  <c r="BF1259" i="1"/>
  <c r="BT1259" i="1"/>
  <c r="BF91" i="1"/>
  <c r="BT91" i="1"/>
  <c r="BF1771" i="1"/>
  <c r="BT1771" i="1"/>
  <c r="BF1915" i="1"/>
  <c r="BT1915" i="1"/>
  <c r="BF1318" i="1"/>
  <c r="BT1318" i="1"/>
  <c r="BF351" i="1"/>
  <c r="BT351" i="1"/>
  <c r="BF404" i="1"/>
  <c r="BT404" i="1"/>
  <c r="BF1431" i="1"/>
  <c r="BT1431" i="1"/>
  <c r="BF1486" i="1"/>
  <c r="BT1486" i="1"/>
  <c r="BF1373" i="1"/>
  <c r="BT1373" i="1"/>
  <c r="BF810" i="1"/>
  <c r="BT810" i="1"/>
  <c r="BF1169" i="1"/>
  <c r="BT1169" i="1"/>
  <c r="BF1432" i="1"/>
  <c r="BT1432" i="1"/>
  <c r="BF711" i="1"/>
  <c r="BT711" i="1"/>
  <c r="BF123" i="1"/>
  <c r="BT123" i="1"/>
  <c r="BF1645" i="1"/>
  <c r="BT1645" i="1"/>
  <c r="BF977" i="1"/>
  <c r="BT977" i="1"/>
  <c r="BF1916" i="1"/>
  <c r="BT1916" i="1"/>
  <c r="BF1917" i="1"/>
  <c r="BT1917" i="1"/>
  <c r="BF755" i="1"/>
  <c r="BT755" i="1"/>
  <c r="BF1170" i="1"/>
  <c r="BT1170" i="1"/>
  <c r="BF677" i="1"/>
  <c r="BT677" i="1"/>
  <c r="BF941" i="1"/>
  <c r="BT941" i="1"/>
  <c r="BF1206" i="1"/>
  <c r="BT1206" i="1"/>
  <c r="BF156" i="1"/>
  <c r="BT156" i="1"/>
  <c r="BF1646" i="1"/>
  <c r="BT1646" i="1"/>
  <c r="BF1918" i="1"/>
  <c r="BT1918" i="1"/>
  <c r="BF47" i="1"/>
  <c r="BT47" i="1"/>
  <c r="BF1319" i="1"/>
  <c r="BT1319" i="1"/>
  <c r="BF978" i="1"/>
  <c r="BT978" i="1"/>
  <c r="BF1374" i="1"/>
  <c r="BT1374" i="1"/>
  <c r="BF1207" i="1"/>
  <c r="BT1207" i="1"/>
  <c r="BF1919" i="1"/>
  <c r="BT1919" i="1"/>
  <c r="BF246" i="1"/>
  <c r="BT246" i="1"/>
  <c r="BF1208" i="1"/>
  <c r="BT1208" i="1"/>
  <c r="BF1564" i="1"/>
  <c r="BT1564" i="1"/>
  <c r="BF1171" i="1"/>
  <c r="BT1171" i="1"/>
  <c r="BF1209" i="1"/>
  <c r="BT1209" i="1"/>
  <c r="BF1647" i="1"/>
  <c r="BT1647" i="1"/>
  <c r="BF1772" i="1"/>
  <c r="BT1772" i="1"/>
  <c r="BF1773" i="1"/>
  <c r="BT1773" i="1"/>
  <c r="BF1920" i="1"/>
  <c r="BT1920" i="1"/>
  <c r="BF1487" i="1"/>
  <c r="BT1487" i="1"/>
  <c r="BF1094" i="1"/>
  <c r="BT1094" i="1"/>
  <c r="BF1120" i="1"/>
  <c r="BT1120" i="1"/>
  <c r="BF550" i="1"/>
  <c r="BT550" i="1"/>
  <c r="BF1648" i="1"/>
  <c r="BT1648" i="1"/>
  <c r="BF1921" i="1"/>
  <c r="BT1921" i="1"/>
  <c r="BF534" i="1"/>
  <c r="BT534" i="1"/>
  <c r="BF149" i="1"/>
  <c r="BT149" i="1"/>
  <c r="BF1375" i="1"/>
  <c r="BT1375" i="1"/>
  <c r="BF905" i="1"/>
  <c r="BT905" i="1"/>
  <c r="BF442" i="1"/>
  <c r="BT442" i="1"/>
  <c r="BF330" i="1"/>
  <c r="BT330" i="1"/>
  <c r="BF1488" i="1"/>
  <c r="BT1488" i="1"/>
  <c r="BF830" i="1"/>
  <c r="BT830" i="1"/>
  <c r="BF64" i="1"/>
  <c r="BT64" i="1"/>
  <c r="BF38" i="1"/>
  <c r="BT38" i="1"/>
  <c r="BF348" i="1"/>
  <c r="BT348" i="1"/>
  <c r="BF1565" i="1"/>
  <c r="BT1565" i="1"/>
  <c r="BF811" i="1"/>
  <c r="BT811" i="1"/>
  <c r="BF1260" i="1"/>
  <c r="BT1260" i="1"/>
  <c r="BF1489" i="1"/>
  <c r="BT1489" i="1"/>
  <c r="BF979" i="1"/>
  <c r="BT979" i="1"/>
  <c r="BF1490" i="1"/>
  <c r="BT1490" i="1"/>
  <c r="BF286" i="1"/>
  <c r="BT286" i="1"/>
  <c r="BF1433" i="1"/>
  <c r="BT1433" i="1"/>
  <c r="BF1649" i="1"/>
  <c r="BT1649" i="1"/>
  <c r="BF776" i="1"/>
  <c r="BT776" i="1"/>
  <c r="BF200" i="1"/>
  <c r="BT200" i="1"/>
  <c r="BF1922" i="1"/>
  <c r="BT1922" i="1"/>
  <c r="BF417" i="1"/>
  <c r="BT417" i="1"/>
  <c r="BF1650" i="1"/>
  <c r="BT1650" i="1"/>
  <c r="BF1172" i="1"/>
  <c r="BT1172" i="1"/>
  <c r="BF493" i="1"/>
  <c r="BT493" i="1"/>
  <c r="BF1651" i="1"/>
  <c r="BT1651" i="1"/>
  <c r="BF1652" i="1"/>
  <c r="BT1652" i="1"/>
  <c r="BF1320" i="1"/>
  <c r="BT1320" i="1"/>
  <c r="BF1321" i="1"/>
  <c r="BT1321" i="1"/>
  <c r="BF1774" i="1"/>
  <c r="BT1774" i="1"/>
  <c r="BF1923" i="1"/>
  <c r="BT1923" i="1"/>
  <c r="BF1775" i="1"/>
  <c r="BT1775" i="1"/>
  <c r="BF980" i="1"/>
  <c r="BT980" i="1"/>
  <c r="BF812" i="1"/>
  <c r="BT812" i="1"/>
  <c r="BF20" i="1"/>
  <c r="BT20" i="1"/>
  <c r="BF144" i="1"/>
  <c r="BT144" i="1"/>
  <c r="BF352" i="1"/>
  <c r="BT352" i="1"/>
  <c r="BF223" i="1"/>
  <c r="BT223" i="1"/>
  <c r="BF363" i="1"/>
  <c r="BT363" i="1"/>
  <c r="BF1653" i="1"/>
  <c r="BT1653" i="1"/>
  <c r="BF813" i="1"/>
  <c r="BT813" i="1"/>
  <c r="BF1261" i="1"/>
  <c r="BT1261" i="1"/>
  <c r="BF1924" i="1"/>
  <c r="BT1924" i="1"/>
  <c r="BF1376" i="1"/>
  <c r="BT1376" i="1"/>
  <c r="BF1322" i="1"/>
  <c r="BT1322" i="1"/>
  <c r="BF1925" i="1"/>
  <c r="BT1925" i="1"/>
  <c r="BF1776" i="1"/>
  <c r="BT1776" i="1"/>
  <c r="BF1926" i="1"/>
  <c r="BT1926" i="1"/>
  <c r="BF1654" i="1"/>
  <c r="BT1654" i="1"/>
  <c r="BF1491" i="1"/>
  <c r="BT1491" i="1"/>
  <c r="BF364" i="1"/>
  <c r="BT364" i="1"/>
  <c r="BF201" i="1"/>
  <c r="BT201" i="1"/>
  <c r="BF592" i="1"/>
  <c r="BT592" i="1"/>
  <c r="BF385" i="1"/>
  <c r="BT385" i="1"/>
  <c r="BF1566" i="1"/>
  <c r="BT1566" i="1"/>
  <c r="BF507" i="1"/>
  <c r="BT507" i="1"/>
  <c r="BF104" i="1"/>
  <c r="BT104" i="1"/>
  <c r="BF1655" i="1"/>
  <c r="BT1655" i="1"/>
  <c r="BF1927" i="1"/>
  <c r="BT1927" i="1"/>
  <c r="BF1173" i="1"/>
  <c r="BT1173" i="1"/>
  <c r="BF981" i="1"/>
  <c r="BT981" i="1"/>
  <c r="BF593" i="1"/>
  <c r="BT593" i="1"/>
  <c r="BF1777" i="1"/>
  <c r="BT1777" i="1"/>
  <c r="BF1778" i="1"/>
  <c r="BT1778" i="1"/>
  <c r="BF1567" i="1"/>
  <c r="BT1567" i="1"/>
  <c r="BF1210" i="1"/>
  <c r="BT1210" i="1"/>
  <c r="BF1656" i="1"/>
  <c r="BT1656" i="1"/>
  <c r="BF1434" i="1"/>
  <c r="BT1434" i="1"/>
  <c r="BF1779" i="1"/>
  <c r="BT1779" i="1"/>
  <c r="BF1780" i="1"/>
  <c r="BT1780" i="1"/>
  <c r="BF266" i="1"/>
  <c r="BT266" i="1"/>
  <c r="BF426" i="1"/>
  <c r="BT426" i="1"/>
  <c r="BF1174" i="1"/>
  <c r="BT1174" i="1"/>
  <c r="BF1657" i="1"/>
  <c r="BT1657" i="1"/>
  <c r="BF1121" i="1"/>
  <c r="BT1121" i="1"/>
  <c r="BF1435" i="1"/>
  <c r="BT1435" i="1"/>
  <c r="BF353" i="1"/>
  <c r="BT353" i="1"/>
  <c r="BF1016" i="1"/>
  <c r="BT1016" i="1"/>
  <c r="BF1928" i="1"/>
  <c r="BT1928" i="1"/>
  <c r="BF1323" i="1"/>
  <c r="BT1323" i="1"/>
  <c r="BF1211" i="1"/>
  <c r="BT1211" i="1"/>
  <c r="BF1212" i="1"/>
  <c r="BT1212" i="1"/>
  <c r="BF1492" i="1"/>
  <c r="BT1492" i="1"/>
  <c r="BF831" i="1"/>
  <c r="BT831" i="1"/>
  <c r="BF427" i="1"/>
  <c r="BT427" i="1"/>
  <c r="BF982" i="1"/>
  <c r="BT982" i="1"/>
  <c r="BF1658" i="1"/>
  <c r="BT1658" i="1"/>
  <c r="BF1095" i="1"/>
  <c r="BT1095" i="1"/>
  <c r="BF1929" i="1"/>
  <c r="BT1929" i="1"/>
  <c r="BF170" i="1"/>
  <c r="BT170" i="1"/>
  <c r="BF983" i="1"/>
  <c r="BT983" i="1"/>
  <c r="BF1930" i="1"/>
  <c r="BT1930" i="1"/>
  <c r="BF1493" i="1"/>
  <c r="BT1493" i="1"/>
  <c r="BF712" i="1"/>
  <c r="BT712" i="1"/>
  <c r="BF1659" i="1"/>
  <c r="BT1659" i="1"/>
  <c r="BF1494" i="1"/>
  <c r="BT1494" i="1"/>
  <c r="BF1931" i="1"/>
  <c r="BT1931" i="1"/>
  <c r="BF84" i="1"/>
  <c r="BT84" i="1"/>
  <c r="BF632" i="1"/>
  <c r="BT632" i="1"/>
  <c r="BF1046" i="1"/>
  <c r="BT1046" i="1"/>
  <c r="BF1495" i="1"/>
  <c r="BT1495" i="1"/>
  <c r="BF1660" i="1"/>
  <c r="BT1660" i="1"/>
  <c r="BF1122" i="1"/>
  <c r="BT1122" i="1"/>
  <c r="BF13" i="1"/>
  <c r="BT13" i="1"/>
  <c r="BF166" i="1"/>
  <c r="BT166" i="1"/>
  <c r="BF756" i="1"/>
  <c r="BT756" i="1"/>
  <c r="BF1377" i="1"/>
  <c r="BT1377" i="1"/>
  <c r="BF1932" i="1"/>
  <c r="BT1932" i="1"/>
  <c r="BF23" i="1"/>
  <c r="BT23" i="1"/>
  <c r="BF1262" i="1"/>
  <c r="BT1262" i="1"/>
  <c r="BF142" i="1"/>
  <c r="BT142" i="1"/>
  <c r="BF121" i="1"/>
  <c r="BT121" i="1"/>
  <c r="BF1263" i="1"/>
  <c r="BT1263" i="1"/>
  <c r="BF777" i="1"/>
  <c r="BT777" i="1"/>
  <c r="BF1933" i="1"/>
  <c r="BT1933" i="1"/>
  <c r="BF1781" i="1"/>
  <c r="BT1781" i="1"/>
  <c r="BF856" i="1"/>
  <c r="BT856" i="1"/>
  <c r="BF713" i="1"/>
  <c r="BT713" i="1"/>
  <c r="BF1568" i="1"/>
  <c r="BT1568" i="1"/>
  <c r="BF1213" i="1"/>
  <c r="BT1213" i="1"/>
  <c r="BF714" i="1"/>
  <c r="BT714" i="1"/>
  <c r="BF1324" i="1"/>
  <c r="BT1324" i="1"/>
  <c r="BF1569" i="1"/>
  <c r="BT1569" i="1"/>
  <c r="BF1570" i="1"/>
  <c r="BT1570" i="1"/>
  <c r="BF694" i="1"/>
  <c r="BT694" i="1"/>
  <c r="BF1496" i="1"/>
  <c r="BT1496" i="1"/>
  <c r="BF1934" i="1"/>
  <c r="BT1934" i="1"/>
  <c r="BF1935" i="1"/>
  <c r="BT1935" i="1"/>
  <c r="BF1782" i="1"/>
  <c r="BT1782" i="1"/>
  <c r="BF1017" i="1"/>
  <c r="BT1017" i="1"/>
  <c r="BF1018" i="1"/>
  <c r="BT1018" i="1"/>
  <c r="BF67" i="1"/>
  <c r="BT67" i="1"/>
  <c r="BF337" i="1"/>
  <c r="BT337" i="1"/>
  <c r="BF1123" i="1"/>
  <c r="BT1123" i="1"/>
  <c r="BF1214" i="1"/>
  <c r="BT1214" i="1"/>
  <c r="BF1936" i="1"/>
  <c r="BT1936" i="1"/>
  <c r="BF1783" i="1"/>
  <c r="BT1783" i="1"/>
  <c r="BF1784" i="1"/>
  <c r="BT1784" i="1"/>
  <c r="BF660" i="1"/>
  <c r="BT660" i="1"/>
  <c r="BF1497" i="1"/>
  <c r="BT1497" i="1"/>
  <c r="BF1785" i="1"/>
  <c r="BT1785" i="1"/>
  <c r="BF371" i="1"/>
  <c r="BT371" i="1"/>
  <c r="BF778" i="1"/>
  <c r="BT778" i="1"/>
  <c r="BF1436" i="1"/>
  <c r="BT1436" i="1"/>
  <c r="BF397" i="1"/>
  <c r="BT397" i="1"/>
  <c r="BF1437" i="1"/>
  <c r="BT1437" i="1"/>
  <c r="BF715" i="1"/>
  <c r="BT715" i="1"/>
  <c r="BF857" i="1"/>
  <c r="BT857" i="1"/>
  <c r="BF1661" i="1"/>
  <c r="BT1661" i="1"/>
  <c r="BF484" i="1"/>
  <c r="BT484" i="1"/>
  <c r="BF1498" i="1"/>
  <c r="BT1498" i="1"/>
  <c r="BF1264" i="1"/>
  <c r="BT1264" i="1"/>
  <c r="BF1571" i="1"/>
  <c r="BT1571" i="1"/>
  <c r="BF1572" i="1"/>
  <c r="BT1572" i="1"/>
  <c r="BF559" i="1"/>
  <c r="BT559" i="1"/>
  <c r="BF1937" i="1"/>
  <c r="BT1937" i="1"/>
  <c r="BF1175" i="1"/>
  <c r="BT1175" i="1"/>
  <c r="BF1938" i="1"/>
  <c r="BT1938" i="1"/>
  <c r="BF1378" i="1"/>
  <c r="BT1378" i="1"/>
  <c r="BF604" i="1"/>
  <c r="BT604" i="1"/>
  <c r="BF1573" i="1"/>
  <c r="BT1573" i="1"/>
  <c r="BF1265" i="1"/>
  <c r="BT1265" i="1"/>
  <c r="BF1047" i="1"/>
  <c r="BT1047" i="1"/>
  <c r="BF649" i="1"/>
  <c r="BT649" i="1"/>
  <c r="BF1939" i="1"/>
  <c r="BT1939" i="1"/>
  <c r="BF1940" i="1"/>
  <c r="BT1940" i="1"/>
  <c r="BF1941" i="1"/>
  <c r="BT1941" i="1"/>
  <c r="BF1499" i="1"/>
  <c r="BT1499" i="1"/>
  <c r="BF1266" i="1"/>
  <c r="BT1266" i="1"/>
  <c r="BF1325" i="1"/>
  <c r="BT1325" i="1"/>
  <c r="BF1124" i="1"/>
  <c r="BT1124" i="1"/>
  <c r="BF942" i="1"/>
  <c r="BT942" i="1"/>
  <c r="BF878" i="1"/>
  <c r="BT878" i="1"/>
  <c r="BF295" i="1"/>
  <c r="BT295" i="1"/>
  <c r="BF74" i="1"/>
  <c r="BT74" i="1"/>
  <c r="BF338" i="1"/>
  <c r="BT338" i="1"/>
  <c r="BF757" i="1"/>
  <c r="BT757" i="1"/>
  <c r="BF92" i="1"/>
  <c r="BT92" i="1"/>
  <c r="BF118" i="1"/>
  <c r="BT118" i="1"/>
  <c r="BF1379" i="1"/>
  <c r="BT1379" i="1"/>
  <c r="BF93" i="1"/>
  <c r="BT93" i="1"/>
  <c r="BF858" i="1"/>
  <c r="BT858" i="1"/>
  <c r="BF53" i="1"/>
  <c r="BT53" i="1"/>
  <c r="BF1662" i="1"/>
  <c r="BT1662" i="1"/>
  <c r="BF1942" i="1"/>
  <c r="BT1942" i="1"/>
  <c r="BF1786" i="1"/>
  <c r="BT1786" i="1"/>
  <c r="BF943" i="1"/>
  <c r="BT943" i="1"/>
  <c r="BF241" i="1"/>
  <c r="BT241" i="1"/>
  <c r="BF879" i="1"/>
  <c r="BT879" i="1"/>
  <c r="BF906" i="1"/>
  <c r="BT906" i="1"/>
  <c r="BF1943" i="1"/>
  <c r="BT1943" i="1"/>
  <c r="BF1944" i="1"/>
  <c r="BT1944" i="1"/>
  <c r="BF1945" i="1"/>
  <c r="BT1945" i="1"/>
  <c r="BF1946" i="1"/>
  <c r="BT1946" i="1"/>
  <c r="BF1787" i="1"/>
  <c r="BT1787" i="1"/>
  <c r="BF321" i="1"/>
  <c r="BT321" i="1"/>
  <c r="BF1048" i="1"/>
  <c r="BT1048" i="1"/>
  <c r="BF15" i="1"/>
  <c r="BT15" i="1"/>
  <c r="BF984" i="1"/>
  <c r="BT984" i="1"/>
  <c r="BF1215" i="1"/>
  <c r="BT1215" i="1"/>
  <c r="BF1176" i="1"/>
  <c r="BT1176" i="1"/>
  <c r="BF880" i="1"/>
  <c r="BT880" i="1"/>
  <c r="BF5" i="1"/>
  <c r="BT5" i="1"/>
  <c r="BF177" i="1"/>
  <c r="BT177" i="1"/>
  <c r="BF1947" i="1"/>
  <c r="BT1947" i="1"/>
  <c r="BF944" i="1"/>
  <c r="BT944" i="1"/>
  <c r="BF758" i="1"/>
  <c r="BT758" i="1"/>
  <c r="BF1438" i="1"/>
  <c r="BT1438" i="1"/>
  <c r="BF535" i="1"/>
  <c r="BT535" i="1"/>
  <c r="BF162" i="1"/>
  <c r="BT162" i="1"/>
  <c r="BF1948" i="1"/>
  <c r="BT1948" i="1"/>
  <c r="BF1788" i="1"/>
  <c r="BT1788" i="1"/>
  <c r="BF985" i="1"/>
  <c r="BT985" i="1"/>
  <c r="BF1789" i="1"/>
  <c r="BT1789" i="1"/>
  <c r="BF312" i="1"/>
  <c r="BT312" i="1"/>
  <c r="BF1125" i="1"/>
  <c r="BT1125" i="1"/>
  <c r="BF316" i="1"/>
  <c r="BT316" i="1"/>
  <c r="BF1949" i="1"/>
  <c r="BT1949" i="1"/>
  <c r="BF1216" i="1"/>
  <c r="BT1216" i="1"/>
  <c r="BF470" i="1"/>
  <c r="BT470" i="1"/>
  <c r="BF232" i="1"/>
  <c r="BT232" i="1"/>
  <c r="BF1663" i="1"/>
  <c r="BT1663" i="1"/>
  <c r="BF1380" i="1"/>
  <c r="BT1380" i="1"/>
  <c r="BF633" i="1"/>
  <c r="BT633" i="1"/>
  <c r="BF1439" i="1"/>
  <c r="BT1439" i="1"/>
  <c r="BF1790" i="1"/>
  <c r="BT1790" i="1"/>
  <c r="BF1440" i="1"/>
  <c r="BT1440" i="1"/>
  <c r="BF311" i="1"/>
  <c r="BT311" i="1"/>
  <c r="BF859" i="1"/>
  <c r="BT859" i="1"/>
  <c r="BF536" i="1"/>
  <c r="BT536" i="1"/>
  <c r="BF428" i="1"/>
  <c r="BT428" i="1"/>
  <c r="BF523" i="1"/>
  <c r="BT523" i="1"/>
  <c r="BF508" i="1"/>
  <c r="BT508" i="1"/>
  <c r="BF247" i="1"/>
  <c r="BT247" i="1"/>
  <c r="BF1950" i="1"/>
  <c r="BT1950" i="1"/>
  <c r="BF945" i="1"/>
  <c r="BT945" i="1"/>
  <c r="BF509" i="1"/>
  <c r="BT509" i="1"/>
  <c r="BF1951" i="1"/>
  <c r="BT1951" i="1"/>
  <c r="BF1381" i="1"/>
  <c r="BT1381" i="1"/>
  <c r="BF1500" i="1"/>
  <c r="BT1500" i="1"/>
  <c r="BF1267" i="1"/>
  <c r="BT1267" i="1"/>
  <c r="BF1382" i="1"/>
  <c r="BT1382" i="1"/>
  <c r="BF1952" i="1"/>
  <c r="BT1952" i="1"/>
  <c r="BF1501" i="1"/>
  <c r="BT1501" i="1"/>
  <c r="BF716" i="1"/>
  <c r="BT716" i="1"/>
  <c r="BF986" i="1"/>
  <c r="BT986" i="1"/>
  <c r="BF1268" i="1"/>
  <c r="BT1268" i="1"/>
  <c r="BF1383" i="1"/>
  <c r="BT1383" i="1"/>
  <c r="BF1953" i="1"/>
  <c r="BT1953" i="1"/>
  <c r="BF1664" i="1"/>
  <c r="BT1664" i="1"/>
  <c r="BF1269" i="1"/>
  <c r="BT1269" i="1"/>
  <c r="BF1665" i="1"/>
  <c r="BT1665" i="1"/>
  <c r="BF779" i="1"/>
  <c r="BT779" i="1"/>
  <c r="BF1791" i="1"/>
  <c r="BT1791" i="1"/>
  <c r="BF780" i="1"/>
  <c r="BT780" i="1"/>
  <c r="BF1270" i="1"/>
  <c r="BT1270" i="1"/>
  <c r="BF85" i="1"/>
  <c r="BT85" i="1"/>
  <c r="BF1954" i="1"/>
  <c r="BT1954" i="1"/>
  <c r="BF377" i="1"/>
  <c r="BT377" i="1"/>
  <c r="BF151" i="1"/>
  <c r="BT151" i="1"/>
  <c r="BF1955" i="1"/>
  <c r="BT1955" i="1"/>
  <c r="BF1271" i="1"/>
  <c r="BT1271" i="1"/>
  <c r="BF1326" i="1"/>
  <c r="BT1326" i="1"/>
  <c r="BF143" i="1"/>
  <c r="BT143" i="1"/>
  <c r="BF946" i="1"/>
  <c r="BT946" i="1"/>
  <c r="BF1502" i="1"/>
  <c r="BT1502" i="1"/>
  <c r="BF781" i="1"/>
  <c r="BT781" i="1"/>
  <c r="BF405" i="1"/>
  <c r="BT405" i="1"/>
  <c r="BF1049" i="1"/>
  <c r="BT1049" i="1"/>
  <c r="BF1956" i="1"/>
  <c r="BT1956" i="1"/>
  <c r="BF1384" i="1"/>
  <c r="BT1384" i="1"/>
  <c r="BF24" i="1"/>
  <c r="BT24" i="1"/>
  <c r="BF947" i="1"/>
  <c r="BT947" i="1"/>
  <c r="BF1441" i="1"/>
  <c r="BT1441" i="1"/>
  <c r="BF1574" i="1"/>
  <c r="BT1574" i="1"/>
  <c r="BF1050" i="1"/>
  <c r="BT1050" i="1"/>
  <c r="BF1792" i="1"/>
  <c r="BT1792" i="1"/>
  <c r="BF1957" i="1"/>
  <c r="BT1957" i="1"/>
  <c r="BF159" i="1"/>
  <c r="BT159" i="1"/>
  <c r="BF737" i="1"/>
  <c r="BT737" i="1"/>
  <c r="BF524" i="1"/>
  <c r="BT524" i="1"/>
  <c r="BF1958" i="1"/>
  <c r="BT1958" i="1"/>
  <c r="BF1793" i="1"/>
  <c r="BT1793" i="1"/>
  <c r="BF1666" i="1"/>
  <c r="BT1666" i="1"/>
  <c r="BF1959" i="1"/>
  <c r="BT1959" i="1"/>
  <c r="BF1794" i="1"/>
  <c r="BT1794" i="1"/>
  <c r="BF1327" i="1"/>
  <c r="BT1327" i="1"/>
  <c r="BF1503" i="1"/>
  <c r="BT1503" i="1"/>
  <c r="BF1442" i="1"/>
  <c r="BT1442" i="1"/>
  <c r="BF1051" i="1"/>
  <c r="BT1051" i="1"/>
  <c r="BF356" i="1"/>
  <c r="BT356" i="1"/>
  <c r="BF1096" i="1"/>
  <c r="BT1096" i="1"/>
  <c r="BF1217" i="1"/>
  <c r="BT1217" i="1"/>
  <c r="BF661" i="1"/>
  <c r="BT661" i="1"/>
  <c r="BF485" i="1"/>
  <c r="BT485" i="1"/>
  <c r="BF1667" i="1"/>
  <c r="BT1667" i="1"/>
  <c r="BF1504" i="1"/>
  <c r="BT1504" i="1"/>
  <c r="BF560" i="1"/>
  <c r="BT560" i="1"/>
  <c r="BF1019" i="1"/>
  <c r="BT1019" i="1"/>
  <c r="BF622" i="1"/>
  <c r="BT622" i="1"/>
  <c r="BF1272" i="1"/>
  <c r="BT1272" i="1"/>
  <c r="BF948" i="1"/>
  <c r="BT948" i="1"/>
  <c r="BF464" i="1"/>
  <c r="BT464" i="1"/>
  <c r="BF127" i="1"/>
  <c r="BT127" i="1"/>
  <c r="BF1218" i="1"/>
  <c r="BT1218" i="1"/>
  <c r="BF1795" i="1"/>
  <c r="BT1795" i="1"/>
  <c r="BF398" i="1"/>
  <c r="BT398" i="1"/>
  <c r="BF537" i="1"/>
  <c r="BT537" i="1"/>
  <c r="BF1219" i="1"/>
  <c r="BT1219" i="1"/>
  <c r="BF386" i="1"/>
  <c r="BT386" i="1"/>
  <c r="BF1796" i="1"/>
  <c r="BT1796" i="1"/>
  <c r="BF1668" i="1"/>
  <c r="BT1668" i="1"/>
  <c r="BF1797" i="1"/>
  <c r="BT1797" i="1"/>
  <c r="BF202" i="1"/>
  <c r="BT202" i="1"/>
  <c r="BF782" i="1"/>
  <c r="BT782" i="1"/>
  <c r="BF1960" i="1"/>
  <c r="BT1960" i="1"/>
  <c r="BF56" i="1"/>
  <c r="BT56" i="1"/>
  <c r="BF1220" i="1"/>
  <c r="BT1220" i="1"/>
  <c r="BF678" i="1"/>
  <c r="BT678" i="1"/>
  <c r="BF378" i="1"/>
  <c r="BT378" i="1"/>
  <c r="BF759" i="1"/>
  <c r="BT759" i="1"/>
  <c r="BF19" i="1"/>
  <c r="BT19" i="1"/>
  <c r="BF34" i="1"/>
  <c r="BT34" i="1"/>
  <c r="BF1177" i="1"/>
  <c r="BT1177" i="1"/>
  <c r="BF1669" i="1"/>
  <c r="BT1669" i="1"/>
  <c r="BF1126" i="1"/>
  <c r="BT1126" i="1"/>
  <c r="BF1575" i="1"/>
  <c r="BT1575" i="1"/>
  <c r="BF1052" i="1"/>
  <c r="BT1052" i="1"/>
  <c r="BF949" i="1"/>
  <c r="BT949" i="1"/>
  <c r="BF987" i="1"/>
  <c r="BT987" i="1"/>
  <c r="BF538" i="1"/>
  <c r="BT538" i="1"/>
  <c r="BF1328" i="1"/>
  <c r="BT1328" i="1"/>
  <c r="BF1505" i="1"/>
  <c r="BT1505" i="1"/>
  <c r="BF437" i="1"/>
  <c r="BT437" i="1"/>
  <c r="BF1961" i="1"/>
  <c r="BT1961" i="1"/>
  <c r="BF760" i="1"/>
  <c r="BT760" i="1"/>
  <c r="BF1798" i="1"/>
  <c r="BT1798" i="1"/>
  <c r="BF738" i="1"/>
  <c r="BT738" i="1"/>
  <c r="BF1127" i="1"/>
  <c r="BT1127" i="1"/>
  <c r="BF305" i="1"/>
  <c r="BT305" i="1"/>
  <c r="BF1962" i="1"/>
  <c r="BT1962" i="1"/>
  <c r="BF242" i="1"/>
  <c r="BT242" i="1"/>
  <c r="BF1576" i="1"/>
  <c r="BT1576" i="1"/>
  <c r="BF525" i="1"/>
  <c r="BT525" i="1"/>
  <c r="BF832" i="1"/>
  <c r="BT832" i="1"/>
  <c r="BF1273" i="1"/>
  <c r="BT1273" i="1"/>
  <c r="BF228" i="1"/>
  <c r="BT228" i="1"/>
  <c r="BF465" i="1"/>
  <c r="BT465" i="1"/>
  <c r="BF196" i="1"/>
  <c r="BT196" i="1"/>
  <c r="BF296" i="1"/>
  <c r="BT296" i="1"/>
  <c r="BF695" i="1"/>
  <c r="BT695" i="1"/>
  <c r="BF1506" i="1"/>
  <c r="BT1506" i="1"/>
  <c r="BF679" i="1"/>
  <c r="BT679" i="1"/>
  <c r="BF1577" i="1"/>
  <c r="BT1577" i="1"/>
  <c r="BF1221" i="1"/>
  <c r="BT1221" i="1"/>
  <c r="BF1443" i="1"/>
  <c r="BT1443" i="1"/>
  <c r="BF379" i="1"/>
  <c r="BT379" i="1"/>
  <c r="BF1053" i="1"/>
  <c r="BT1053" i="1"/>
  <c r="BF717" i="1"/>
  <c r="BT717" i="1"/>
  <c r="BF1578" i="1"/>
  <c r="BT1578" i="1"/>
  <c r="BF1963" i="1"/>
  <c r="BT1963" i="1"/>
  <c r="BF739" i="1"/>
  <c r="BT739" i="1"/>
  <c r="BF372" i="1"/>
  <c r="BT372" i="1"/>
  <c r="BF418" i="1"/>
  <c r="BT418" i="1"/>
  <c r="BF1964" i="1"/>
  <c r="BT1964" i="1"/>
  <c r="BF1444" i="1"/>
  <c r="BT1444" i="1"/>
  <c r="BF1329" i="1"/>
  <c r="BT1329" i="1"/>
  <c r="BT761" i="1"/>
  <c r="BF1670" i="1"/>
  <c r="BT1670" i="1"/>
  <c r="BF1054" i="1"/>
  <c r="BT1054" i="1"/>
  <c r="BT1799" i="1"/>
  <c r="BF1800" i="1"/>
  <c r="BT1800" i="1"/>
  <c r="BF1965" i="1"/>
  <c r="BT1965" i="1"/>
  <c r="BF1801" i="1"/>
  <c r="BT1801" i="1"/>
  <c r="BF1178" i="1"/>
  <c r="BT1178" i="1"/>
  <c r="BF1330" i="1"/>
  <c r="BT1330" i="1"/>
  <c r="BF1966" i="1"/>
  <c r="BT1966" i="1"/>
  <c r="BF1579" i="1"/>
  <c r="BT1579" i="1"/>
  <c r="BF1802" i="1"/>
  <c r="BT1802" i="1"/>
  <c r="BF1020" i="1"/>
  <c r="BT1020" i="1"/>
  <c r="BF833" i="1"/>
  <c r="BT833" i="1"/>
  <c r="BF1179" i="1"/>
  <c r="BT1179" i="1"/>
  <c r="BF1222" i="1"/>
  <c r="BT1222" i="1"/>
  <c r="BF1671" i="1"/>
  <c r="BT1671" i="1"/>
  <c r="BF510" i="1"/>
  <c r="BT510" i="1"/>
  <c r="BF406" i="1"/>
  <c r="BT406" i="1"/>
  <c r="BF1180" i="1"/>
  <c r="BT1180" i="1"/>
  <c r="BF718" i="1"/>
  <c r="BT718" i="1"/>
  <c r="BF1967" i="1"/>
  <c r="BT1967" i="1"/>
  <c r="BF1803" i="1"/>
  <c r="BT1803" i="1"/>
  <c r="BF1672" i="1"/>
  <c r="BT1672" i="1"/>
  <c r="BF1580" i="1"/>
  <c r="BT1580" i="1"/>
  <c r="BF486" i="1"/>
  <c r="BT486" i="1"/>
  <c r="BF1581" i="1"/>
  <c r="BT1581" i="1"/>
  <c r="BF1804" i="1"/>
  <c r="BT1804" i="1"/>
  <c r="BF1968" i="1"/>
  <c r="BT1968" i="1"/>
  <c r="BF526" i="1"/>
  <c r="BT526" i="1"/>
  <c r="BF1805" i="1"/>
  <c r="BT1805" i="1"/>
  <c r="BF1969" i="1"/>
  <c r="BT1969" i="1"/>
  <c r="BF1055" i="1"/>
  <c r="BT1055" i="1"/>
  <c r="BF1128" i="1"/>
  <c r="BT1128" i="1"/>
  <c r="BF950" i="1"/>
  <c r="BT950" i="1"/>
  <c r="BF1129" i="1"/>
  <c r="BT1129" i="1"/>
  <c r="BF1673" i="1"/>
  <c r="BT1673" i="1"/>
  <c r="BF1445" i="1"/>
  <c r="BT1445" i="1"/>
  <c r="BF814" i="1"/>
  <c r="BT814" i="1"/>
  <c r="BF1331" i="1"/>
  <c r="BT1331" i="1"/>
  <c r="BF1970" i="1"/>
  <c r="BT1970" i="1"/>
  <c r="BF951" i="1"/>
  <c r="BT951" i="1"/>
  <c r="BF119" i="1"/>
  <c r="BT119" i="1"/>
  <c r="BF1971" i="1"/>
  <c r="BT1971" i="1"/>
  <c r="BF952" i="1"/>
  <c r="BT952" i="1"/>
  <c r="BF1582" i="1"/>
  <c r="BT1582" i="1"/>
  <c r="BF594" i="1"/>
  <c r="BT594" i="1"/>
  <c r="BF471" i="1"/>
  <c r="BT471" i="1"/>
  <c r="BF575" i="1"/>
  <c r="BT575" i="1"/>
  <c r="BF1972" i="1"/>
  <c r="BT1972" i="1"/>
  <c r="BF1507" i="1"/>
  <c r="BT1507" i="1"/>
  <c r="BF1674" i="1"/>
  <c r="BT1674" i="1"/>
  <c r="BF1675" i="1"/>
  <c r="BT1675" i="1"/>
  <c r="BF662" i="1"/>
  <c r="BT662" i="1"/>
  <c r="BF551" i="1"/>
  <c r="BT551" i="1"/>
  <c r="BF1508" i="1"/>
  <c r="BT1508" i="1"/>
  <c r="BF59" i="1"/>
  <c r="BT59" i="1"/>
  <c r="BF9" i="1"/>
  <c r="BT9" i="1"/>
  <c r="BF1676" i="1"/>
  <c r="BT1676" i="1"/>
  <c r="BF135" i="1"/>
  <c r="BT135" i="1"/>
  <c r="BF125" i="1"/>
  <c r="BT125" i="1"/>
  <c r="BF407" i="1"/>
  <c r="BT407" i="1"/>
  <c r="BF860" i="1"/>
  <c r="BT860" i="1"/>
  <c r="BF1806" i="1"/>
  <c r="BT1806" i="1"/>
  <c r="BF576" i="1"/>
  <c r="BT576" i="1"/>
  <c r="BF815" i="1"/>
  <c r="BT815" i="1"/>
  <c r="BF105" i="1"/>
  <c r="BT105" i="1"/>
  <c r="BF988" i="1"/>
  <c r="BT988" i="1"/>
  <c r="BF322" i="1"/>
  <c r="BT322" i="1"/>
  <c r="BF55" i="1"/>
  <c r="BT55" i="1"/>
  <c r="BF238" i="1"/>
  <c r="BT238" i="1"/>
  <c r="BF552" i="1"/>
  <c r="BT552" i="1"/>
  <c r="BF1385" i="1"/>
  <c r="BT1385" i="1"/>
  <c r="BF881" i="1"/>
  <c r="BT881" i="1"/>
  <c r="BF1807" i="1"/>
  <c r="BT1807" i="1"/>
  <c r="BF3" i="1"/>
  <c r="BT3" i="1"/>
  <c r="BF258" i="1"/>
  <c r="BT258" i="1"/>
  <c r="BF1509" i="1"/>
  <c r="BT1509" i="1"/>
  <c r="BF907" i="1"/>
  <c r="BT907" i="1"/>
  <c r="BF494" i="1"/>
  <c r="BT494" i="1"/>
  <c r="BF1973" i="1"/>
  <c r="BT1973" i="1"/>
  <c r="BF1386" i="1"/>
  <c r="BT1386" i="1"/>
  <c r="BF466" i="1"/>
  <c r="BT466" i="1"/>
  <c r="BF1677" i="1"/>
  <c r="BT1677" i="1"/>
  <c r="BF1678" i="1"/>
  <c r="BT1678" i="1"/>
  <c r="BF1974" i="1"/>
  <c r="BT1974" i="1"/>
  <c r="BF953" i="1"/>
  <c r="BT953" i="1"/>
  <c r="BF1021" i="1"/>
  <c r="BT1021" i="1"/>
  <c r="BF408" i="1"/>
  <c r="BT408" i="1"/>
  <c r="BF1679" i="1"/>
  <c r="BT1679" i="1"/>
  <c r="BF287" i="1"/>
  <c r="BT287" i="1"/>
  <c r="BF1680" i="1"/>
  <c r="BT1680" i="1"/>
  <c r="BF43" i="1"/>
  <c r="BT43" i="1"/>
  <c r="BF1808" i="1"/>
  <c r="BT1808" i="1"/>
  <c r="BF908" i="1"/>
  <c r="BT908" i="1"/>
  <c r="BF1681" i="1"/>
  <c r="BT1681" i="1"/>
  <c r="BF339" i="1"/>
  <c r="BT339" i="1"/>
  <c r="BF882" i="1"/>
  <c r="BT882" i="1"/>
  <c r="BF783" i="1"/>
  <c r="BT783" i="1"/>
  <c r="BF909" i="1"/>
  <c r="BT909" i="1"/>
  <c r="BF1682" i="1"/>
  <c r="BT1682" i="1"/>
  <c r="BF1510" i="1"/>
  <c r="BT1510" i="1"/>
  <c r="BT1583" i="1"/>
  <c r="BF634" i="1"/>
  <c r="BT634" i="1"/>
  <c r="BF1022" i="1"/>
  <c r="BT1022" i="1"/>
  <c r="BF1683" i="1"/>
  <c r="BT1683" i="1"/>
  <c r="BF561" i="1"/>
  <c r="BT561" i="1"/>
  <c r="BF910" i="1"/>
  <c r="BT910" i="1"/>
  <c r="BT1975" i="1"/>
  <c r="BF1181" i="1"/>
  <c r="BT1181" i="1"/>
  <c r="BF562" i="1"/>
  <c r="BT562" i="1"/>
  <c r="BF1584" i="1"/>
  <c r="BT1584" i="1"/>
  <c r="BF1684" i="1"/>
  <c r="BT1684" i="1"/>
  <c r="BF696" i="1"/>
  <c r="BT696" i="1"/>
  <c r="BF1976" i="1"/>
  <c r="BT1976" i="1"/>
  <c r="BF511" i="1"/>
  <c r="BT511" i="1"/>
  <c r="BT740" i="1"/>
  <c r="BF784" i="1"/>
  <c r="BT784" i="1"/>
  <c r="BF1977" i="1"/>
  <c r="BT1977" i="1"/>
  <c r="BT1978" i="1"/>
  <c r="BF313" i="1"/>
  <c r="BT313" i="1"/>
  <c r="BF1979" i="1"/>
  <c r="BT1979" i="1"/>
  <c r="BF1130" i="1"/>
  <c r="BT1130" i="1"/>
  <c r="BF527" i="1"/>
  <c r="BT527" i="1"/>
  <c r="BF512" i="1"/>
  <c r="BT512" i="1"/>
  <c r="BF1980" i="1"/>
  <c r="BT1980" i="1"/>
  <c r="BF605" i="1"/>
  <c r="BT605" i="1"/>
  <c r="BF387" i="1"/>
  <c r="BT387" i="1"/>
  <c r="BF1182" i="1"/>
  <c r="BT1182" i="1"/>
  <c r="BF1685" i="1"/>
  <c r="BT1685" i="1"/>
  <c r="BF1686" i="1"/>
  <c r="BT1686" i="1"/>
  <c r="BF1387" i="1"/>
  <c r="BT1387" i="1"/>
  <c r="BT1687" i="1"/>
  <c r="BF1223" i="1"/>
  <c r="BT1223" i="1"/>
  <c r="BF553" i="1"/>
  <c r="BT553" i="1"/>
  <c r="BT308" i="1"/>
  <c r="BF344" i="1"/>
  <c r="BT344" i="1"/>
  <c r="BF1981" i="1"/>
  <c r="BT1981" i="1"/>
  <c r="BF1585" i="1"/>
  <c r="BT1585" i="1"/>
  <c r="BF577" i="1"/>
  <c r="BT577" i="1"/>
  <c r="BF188" i="1"/>
  <c r="BT188" i="1"/>
  <c r="BF1586" i="1"/>
  <c r="BT1586" i="1"/>
  <c r="BF1056" i="1"/>
  <c r="BT1056" i="1"/>
  <c r="BF346" i="1"/>
  <c r="BT346" i="1"/>
  <c r="BF1982" i="1"/>
  <c r="BT1982" i="1"/>
  <c r="BF1332" i="1"/>
  <c r="BT1332" i="1"/>
  <c r="BF1446" i="1"/>
  <c r="BT1446" i="1"/>
  <c r="BF1983" i="1"/>
  <c r="BT1983" i="1"/>
  <c r="BF883" i="1"/>
  <c r="BT883" i="1"/>
  <c r="BF1224" i="1"/>
  <c r="BT1224" i="1"/>
  <c r="BF453" i="1"/>
  <c r="BT453" i="1"/>
  <c r="BF1511" i="1"/>
  <c r="BT1511" i="1"/>
  <c r="BF1512" i="1"/>
  <c r="BT1512" i="1"/>
  <c r="BF1809" i="1"/>
  <c r="BT1809" i="1"/>
  <c r="BF1688" i="1"/>
  <c r="BT1688" i="1"/>
  <c r="BF1984" i="1"/>
  <c r="BT1984" i="1"/>
  <c r="BF8" i="1"/>
  <c r="BT8" i="1"/>
  <c r="BF1689" i="1"/>
  <c r="BT1689" i="1"/>
  <c r="BF48" i="1"/>
  <c r="BT48" i="1"/>
  <c r="BF1447" i="1"/>
  <c r="BT1447" i="1"/>
  <c r="BF1131" i="1"/>
  <c r="BT1131" i="1"/>
  <c r="BF1810" i="1"/>
  <c r="BT1810" i="1"/>
  <c r="BF816" i="1"/>
  <c r="BT816" i="1"/>
  <c r="BF1690" i="1"/>
  <c r="BT1690" i="1"/>
  <c r="BF1985" i="1"/>
  <c r="BT1985" i="1"/>
  <c r="BF1513" i="1"/>
  <c r="BT1513" i="1"/>
  <c r="BF347" i="1"/>
  <c r="BT347" i="1"/>
  <c r="BF1132" i="1"/>
  <c r="BT1132" i="1"/>
  <c r="BF1811" i="1"/>
  <c r="BT1811" i="1"/>
  <c r="BF1812" i="1"/>
  <c r="BT1812" i="1"/>
  <c r="BF697" i="1"/>
  <c r="BT697" i="1"/>
  <c r="BF365" i="1"/>
  <c r="BT365" i="1"/>
  <c r="BF595" i="1"/>
  <c r="BT595" i="1"/>
  <c r="BF271" i="1"/>
  <c r="BT271" i="1"/>
  <c r="BF136" i="1"/>
  <c r="BT136" i="1"/>
  <c r="BF1183" i="1"/>
  <c r="BT1183" i="1"/>
  <c r="BF1986" i="1"/>
  <c r="BT1986" i="1"/>
  <c r="BF288" i="1"/>
  <c r="BT288" i="1"/>
  <c r="BF1987" i="1"/>
  <c r="BT1987" i="1"/>
  <c r="BF1133" i="1"/>
  <c r="BT1133" i="1"/>
  <c r="BT1587" i="1"/>
  <c r="BF741" i="1"/>
  <c r="BT741" i="1"/>
  <c r="BF345" i="1"/>
  <c r="BT345" i="1"/>
  <c r="BF1691" i="1"/>
  <c r="BT1691" i="1"/>
  <c r="BF1813" i="1"/>
  <c r="BT1813" i="1"/>
  <c r="BF578" i="1"/>
  <c r="BT578" i="1"/>
  <c r="BF289" i="1"/>
  <c r="BT289" i="1"/>
  <c r="BF39" i="1"/>
  <c r="BT39" i="1"/>
  <c r="BF1988" i="1"/>
  <c r="BT1988" i="1"/>
  <c r="BF89" i="1"/>
  <c r="BT89" i="1"/>
  <c r="BF1225" i="1"/>
  <c r="BT1225" i="1"/>
  <c r="BF357" i="1"/>
  <c r="BT357" i="1"/>
  <c r="BF1989" i="1"/>
  <c r="BT1989" i="1"/>
  <c r="BF911" i="1"/>
  <c r="BT911" i="1"/>
  <c r="BF1990" i="1"/>
  <c r="BT1990" i="1"/>
  <c r="BF1388" i="1"/>
  <c r="BT1388" i="1"/>
  <c r="BF63" i="1"/>
  <c r="BT63" i="1"/>
  <c r="BF1333" i="1"/>
  <c r="BT1333" i="1"/>
  <c r="BF180" i="1"/>
  <c r="BT180" i="1"/>
  <c r="BF1588" i="1"/>
  <c r="BT1588" i="1"/>
  <c r="BF719" i="1"/>
  <c r="BT719" i="1"/>
  <c r="BF1334" i="1"/>
  <c r="BT1334" i="1"/>
  <c r="BF1335" i="1"/>
  <c r="BT1335" i="1"/>
  <c r="BF1814" i="1"/>
  <c r="BT1814" i="1"/>
  <c r="BF1991" i="1"/>
  <c r="BT1991" i="1"/>
  <c r="BF1992" i="1"/>
  <c r="BT1992" i="1"/>
  <c r="BF1448" i="1"/>
  <c r="BT1448" i="1"/>
  <c r="BF354" i="1"/>
  <c r="BT354" i="1"/>
  <c r="BF1274" i="1"/>
  <c r="BT1274" i="1"/>
  <c r="BF834" i="1"/>
  <c r="BT834" i="1"/>
  <c r="BF1692" i="1"/>
  <c r="BT1692" i="1"/>
  <c r="BF912" i="1"/>
  <c r="BT912" i="1"/>
  <c r="BF1336" i="1"/>
  <c r="BT1336" i="1"/>
  <c r="BF1023" i="1"/>
  <c r="BT1023" i="1"/>
  <c r="BF1275" i="1"/>
  <c r="BT1275" i="1"/>
  <c r="BF49" i="1"/>
  <c r="BT49" i="1"/>
  <c r="BF1693" i="1"/>
  <c r="BT1693" i="1"/>
  <c r="BF1389" i="1"/>
  <c r="BT1389" i="1"/>
  <c r="BF1993" i="1"/>
  <c r="BT1993" i="1"/>
  <c r="BF1815" i="1"/>
  <c r="BT1815" i="1"/>
  <c r="BF513" i="1"/>
  <c r="BT513" i="1"/>
  <c r="BF528" i="1"/>
  <c r="BT528" i="1"/>
  <c r="BF579" i="1"/>
  <c r="BT579" i="1"/>
  <c r="BF606" i="1"/>
  <c r="BT606" i="1"/>
  <c r="BF1994" i="1"/>
  <c r="BT1994" i="1"/>
  <c r="BF954" i="1"/>
  <c r="BT954" i="1"/>
  <c r="BF1995" i="1"/>
  <c r="BT1995" i="1"/>
  <c r="BF1449" i="1"/>
  <c r="BT1449" i="1"/>
  <c r="BF229" i="1"/>
  <c r="BT229" i="1"/>
  <c r="BF1276" i="1"/>
  <c r="BT1276" i="1"/>
  <c r="BF1996" i="1"/>
  <c r="BT1996" i="1"/>
  <c r="BF203" i="1"/>
  <c r="BT203" i="1"/>
  <c r="BF554" i="1"/>
  <c r="BT554" i="1"/>
  <c r="BF884" i="1"/>
  <c r="BT884" i="1"/>
  <c r="BF742" i="1"/>
  <c r="BT742" i="1"/>
  <c r="BF140" i="1"/>
  <c r="BT140" i="1"/>
  <c r="BF75" i="1"/>
  <c r="BT75" i="1"/>
  <c r="BF1997" i="1"/>
  <c r="BT1997" i="1"/>
  <c r="BF114" i="1"/>
  <c r="BT114" i="1"/>
  <c r="BF1816" i="1"/>
  <c r="BT1816" i="1"/>
  <c r="BF885" i="1"/>
  <c r="BT885" i="1"/>
  <c r="BF301" i="1"/>
  <c r="BT301" i="1"/>
  <c r="BF1134" i="1"/>
  <c r="BT1134" i="1"/>
  <c r="BF1998" i="1"/>
  <c r="BT1998" i="1"/>
  <c r="BF1817" i="1"/>
  <c r="BT1817" i="1"/>
  <c r="BF680" i="1"/>
  <c r="BT680" i="1"/>
  <c r="BF1226" i="1"/>
  <c r="BT1226" i="1"/>
  <c r="BF340" i="1"/>
  <c r="BT340" i="1"/>
  <c r="BF743" i="1"/>
  <c r="BT743" i="1"/>
  <c r="BF1999" i="1"/>
  <c r="BT1999" i="1"/>
  <c r="BT2000" i="1"/>
  <c r="BF2001" i="1"/>
  <c r="BT2001" i="1"/>
  <c r="BF2002" i="1"/>
  <c r="BT2002" i="1"/>
  <c r="BF563" i="1"/>
  <c r="BT563" i="1"/>
  <c r="BF472" i="1"/>
  <c r="BT472" i="1"/>
  <c r="BF233" i="1"/>
  <c r="BT233" i="1"/>
  <c r="BF1694" i="1"/>
  <c r="BT1694" i="1"/>
  <c r="BF1277" i="1"/>
  <c r="BT1277" i="1"/>
  <c r="BF1514" i="1"/>
  <c r="BT1514" i="1"/>
  <c r="BF224" i="1"/>
  <c r="BT224" i="1"/>
  <c r="BF681" i="1"/>
  <c r="BT681" i="1"/>
  <c r="BF955" i="1"/>
  <c r="BT955" i="1"/>
  <c r="BF1135" i="1"/>
  <c r="BT1135" i="1"/>
  <c r="BF1057" i="1"/>
  <c r="BT1057" i="1"/>
  <c r="BF1278" i="1"/>
  <c r="BT1278" i="1"/>
  <c r="BF306" i="1"/>
  <c r="BT306" i="1"/>
  <c r="BF473" i="1"/>
  <c r="BT473" i="1"/>
  <c r="BF1136" i="1"/>
  <c r="BT1136" i="1"/>
  <c r="BF2003" i="1"/>
  <c r="BT2003" i="1"/>
  <c r="BF1184" i="1"/>
  <c r="BT1184" i="1"/>
  <c r="BF1589" i="1"/>
  <c r="BT1589" i="1"/>
  <c r="BF262" i="1"/>
  <c r="BT262" i="1"/>
  <c r="BF1818" i="1"/>
  <c r="BT1818" i="1"/>
  <c r="BF1695" i="1"/>
  <c r="BT1695" i="1"/>
  <c r="BF835" i="1"/>
  <c r="BT835" i="1"/>
  <c r="BF2004" i="1"/>
  <c r="BT2004" i="1"/>
  <c r="BF2005" i="1"/>
  <c r="BT2005" i="1"/>
  <c r="BF429" i="1"/>
  <c r="BT429" i="1"/>
  <c r="BF1819" i="1"/>
  <c r="BT1819" i="1"/>
  <c r="BF2006" i="1"/>
  <c r="BT2006" i="1"/>
  <c r="BF1279" i="1"/>
  <c r="BT1279" i="1"/>
  <c r="BF98" i="1"/>
  <c r="BT98" i="1"/>
  <c r="BF785" i="1"/>
  <c r="BT785" i="1"/>
  <c r="BF1820" i="1"/>
  <c r="BT1820" i="1"/>
  <c r="BF1821" i="1"/>
  <c r="BT1821" i="1"/>
  <c r="BF61" i="1"/>
  <c r="BT61" i="1"/>
  <c r="BF956" i="1"/>
  <c r="BT956" i="1"/>
  <c r="BF2007" i="1"/>
  <c r="BT2007" i="1"/>
  <c r="BF1390" i="1"/>
  <c r="BT1390" i="1"/>
  <c r="BF682" i="1"/>
  <c r="BT682" i="1"/>
  <c r="BF1280" i="1"/>
  <c r="BT1280" i="1"/>
  <c r="BF430" i="1"/>
  <c r="BT430" i="1"/>
  <c r="BF217" i="1"/>
  <c r="BT217" i="1"/>
  <c r="BF1515" i="1"/>
  <c r="BT1515" i="1"/>
  <c r="BF1185" i="1"/>
  <c r="BT1185" i="1"/>
  <c r="BF2008" i="1"/>
  <c r="BT2008" i="1"/>
  <c r="BF1186" i="1"/>
  <c r="BT1186" i="1"/>
  <c r="BF762" i="1"/>
  <c r="BT762" i="1"/>
  <c r="BF278" i="1"/>
  <c r="BT278" i="1"/>
  <c r="BF275" i="1"/>
  <c r="BT275" i="1"/>
  <c r="BF913" i="1"/>
  <c r="BT913" i="1"/>
  <c r="BF1822" i="1"/>
  <c r="BT1822" i="1"/>
  <c r="BF1823" i="1"/>
  <c r="BT1823" i="1"/>
  <c r="BF1024" i="1"/>
  <c r="BT1024" i="1"/>
  <c r="BF1824" i="1"/>
  <c r="BT1824" i="1"/>
  <c r="BF836" i="1"/>
  <c r="BT836" i="1"/>
  <c r="BF1281" i="1"/>
  <c r="BT1281" i="1"/>
  <c r="BF126" i="1"/>
  <c r="BT126" i="1"/>
  <c r="BF1337" i="1"/>
  <c r="BT1337" i="1"/>
  <c r="BF957" i="1"/>
  <c r="BT957" i="1"/>
  <c r="BF1137" i="1"/>
  <c r="BT1137" i="1"/>
  <c r="BF539" i="1"/>
  <c r="BT539" i="1"/>
  <c r="BF623" i="1"/>
  <c r="BT623" i="1"/>
  <c r="BF786" i="1"/>
  <c r="BT786" i="1"/>
  <c r="BF1825" i="1"/>
  <c r="BT1825" i="1"/>
  <c r="BF1516" i="1"/>
  <c r="BT1516" i="1"/>
  <c r="BF167" i="1"/>
  <c r="BT167" i="1"/>
  <c r="BF837" i="1"/>
  <c r="BT837" i="1"/>
  <c r="BF958" i="1"/>
  <c r="BT958" i="1"/>
  <c r="BF1138" i="1"/>
  <c r="BT1138" i="1"/>
  <c r="BF580" i="1"/>
  <c r="BT580" i="1"/>
  <c r="BF358" i="1"/>
  <c r="BT358" i="1"/>
  <c r="BF1058" i="1"/>
  <c r="BT1058" i="1"/>
  <c r="BF1097" i="1"/>
  <c r="BT1097" i="1"/>
  <c r="BF1450" i="1"/>
  <c r="BT1450" i="1"/>
  <c r="BF57" i="1"/>
  <c r="BT57" i="1"/>
  <c r="BF959" i="1"/>
  <c r="BT959" i="1"/>
  <c r="BF1282" i="1"/>
  <c r="BT1282" i="1"/>
  <c r="BT2009" i="1"/>
  <c r="BF1059" i="1"/>
  <c r="BT1059" i="1"/>
  <c r="BF1139" i="1"/>
  <c r="BT1139" i="1"/>
  <c r="BF77" i="1"/>
  <c r="BT77" i="1"/>
  <c r="BF2010" i="1"/>
  <c r="BT2010" i="1"/>
  <c r="BF1517" i="1"/>
  <c r="BT1517" i="1"/>
  <c r="BF1391" i="1"/>
  <c r="BT1391" i="1"/>
  <c r="BF989" i="1"/>
  <c r="BT989" i="1"/>
  <c r="BF1025" i="1"/>
  <c r="BT1025" i="1"/>
  <c r="BF1451" i="1"/>
  <c r="BT1451" i="1"/>
  <c r="BF683" i="1"/>
  <c r="BT683" i="1"/>
  <c r="BF2011" i="1"/>
  <c r="BT2011" i="1"/>
  <c r="BF607" i="1"/>
  <c r="BT607" i="1"/>
  <c r="BF1696" i="1"/>
  <c r="BT1696" i="1"/>
  <c r="BF128" i="1"/>
  <c r="BT128" i="1"/>
  <c r="BF314" i="1"/>
  <c r="BT314" i="1"/>
  <c r="BF1338" i="1"/>
  <c r="BT1338" i="1"/>
  <c r="BF1187" i="1"/>
  <c r="BT1187" i="1"/>
  <c r="BF253" i="1"/>
  <c r="BT253" i="1"/>
  <c r="BF1392" i="1"/>
  <c r="BT1392" i="1"/>
  <c r="BF2012" i="1"/>
  <c r="BT2012" i="1"/>
  <c r="BF251" i="1"/>
  <c r="BT251" i="1"/>
  <c r="BT1826" i="1"/>
  <c r="BF990" i="1"/>
  <c r="BT990" i="1"/>
  <c r="BF1697" i="1"/>
  <c r="BT1697" i="1"/>
  <c r="BF529" i="1"/>
  <c r="BT529" i="1"/>
  <c r="BF787" i="1"/>
  <c r="BT787" i="1"/>
  <c r="BF443" i="1"/>
  <c r="BT443" i="1"/>
  <c r="BF1698" i="1"/>
  <c r="BT1698" i="1"/>
  <c r="BF1227" i="1"/>
  <c r="BT1227" i="1"/>
  <c r="BF2013" i="1"/>
  <c r="BT2013" i="1"/>
  <c r="BF564" i="1"/>
  <c r="BT564" i="1"/>
  <c r="BF1590" i="1"/>
  <c r="BT1590" i="1"/>
  <c r="BF886" i="1"/>
  <c r="BT886" i="1"/>
  <c r="BF186" i="1"/>
  <c r="BT186" i="1"/>
  <c r="BF444" i="1"/>
  <c r="BT444" i="1"/>
  <c r="BF1452" i="1"/>
  <c r="BT1452" i="1"/>
  <c r="BF2014" i="1"/>
  <c r="BT2014" i="1"/>
  <c r="BF1827" i="1"/>
  <c r="BT1827" i="1"/>
  <c r="BF650" i="1"/>
  <c r="BT650" i="1"/>
  <c r="BF540" i="1"/>
  <c r="BT540" i="1"/>
  <c r="BF1228" i="1"/>
  <c r="BT1228" i="1"/>
  <c r="BF788" i="1"/>
  <c r="BT788" i="1"/>
  <c r="BF1229" i="1"/>
  <c r="BT1229" i="1"/>
  <c r="BF1339" i="1"/>
  <c r="BT1339" i="1"/>
  <c r="BF838" i="1"/>
  <c r="BT838" i="1"/>
  <c r="BF663" i="1"/>
  <c r="BT663" i="1"/>
  <c r="BF1591" i="1"/>
  <c r="BT1591" i="1"/>
  <c r="BF1140" i="1"/>
  <c r="BT1140" i="1"/>
  <c r="BF1340" i="1"/>
  <c r="BT1340" i="1"/>
  <c r="BF103" i="1"/>
  <c r="BT103" i="1"/>
  <c r="BF1453" i="1"/>
  <c r="BT1453" i="1"/>
  <c r="BF373" i="1"/>
  <c r="BT373" i="1"/>
  <c r="BF172" i="1"/>
  <c r="BT172" i="1"/>
  <c r="BF1454" i="1"/>
  <c r="BT1454" i="1"/>
  <c r="BF789" i="1"/>
  <c r="BT789" i="1"/>
  <c r="BF2015" i="1"/>
  <c r="BT2015" i="1"/>
  <c r="BF565" i="1"/>
  <c r="BT565" i="1"/>
  <c r="BF474" i="1"/>
  <c r="BT474" i="1"/>
  <c r="BF1592" i="1"/>
  <c r="BT1592" i="1"/>
  <c r="BF1141" i="1"/>
  <c r="BT1141" i="1"/>
  <c r="BF107" i="1"/>
  <c r="BT107" i="1"/>
  <c r="BF2016" i="1"/>
  <c r="BT2016" i="1"/>
  <c r="BF1828" i="1"/>
  <c r="BT1828" i="1"/>
  <c r="BF1829" i="1"/>
  <c r="BT1829" i="1"/>
  <c r="BF1230" i="1"/>
  <c r="BT1230" i="1"/>
  <c r="BF664" i="1"/>
  <c r="BT664" i="1"/>
  <c r="BF475" i="1"/>
  <c r="BT475" i="1"/>
  <c r="BF124" i="1"/>
  <c r="BT124" i="1"/>
  <c r="BF1341" i="1"/>
  <c r="BT1341" i="1"/>
  <c r="BF581" i="1"/>
  <c r="BT581" i="1"/>
  <c r="BF1518" i="1"/>
  <c r="BT1518" i="1"/>
  <c r="BF178" i="1"/>
  <c r="BT178" i="1"/>
  <c r="BF1231" i="1"/>
  <c r="BT1231" i="1"/>
  <c r="BF2017" i="1"/>
  <c r="BT2017" i="1"/>
  <c r="BF991" i="1"/>
  <c r="BT991" i="1"/>
  <c r="BF1830" i="1"/>
  <c r="BT1830" i="1"/>
  <c r="BF541" i="1"/>
  <c r="BT541" i="1"/>
  <c r="BF542" i="1"/>
  <c r="BT542" i="1"/>
  <c r="BF323" i="1"/>
  <c r="BT323" i="1"/>
  <c r="BF495" i="1"/>
  <c r="BT495" i="1"/>
  <c r="BF1142" i="1"/>
  <c r="BT1142" i="1"/>
  <c r="BF1519" i="1"/>
  <c r="BT1519" i="1"/>
  <c r="BF341" i="1"/>
  <c r="BT341" i="1"/>
  <c r="BF1699" i="1"/>
  <c r="BT1699" i="1"/>
  <c r="BF2018" i="1"/>
  <c r="BT2018" i="1"/>
  <c r="BF2019" i="1"/>
  <c r="BT2019" i="1"/>
  <c r="BF1342" i="1"/>
  <c r="BT1342" i="1"/>
  <c r="BF839" i="1"/>
  <c r="BT839" i="1"/>
  <c r="BF58" i="1"/>
  <c r="BT58" i="1"/>
  <c r="BF514" i="1"/>
  <c r="BT514" i="1"/>
  <c r="BF1520" i="1"/>
  <c r="BT1520" i="1"/>
  <c r="BF861" i="1"/>
  <c r="BT861" i="1"/>
  <c r="BF1098" i="1"/>
  <c r="BT1098" i="1"/>
  <c r="BF635" i="1"/>
  <c r="BT635" i="1"/>
  <c r="BF218" i="1"/>
  <c r="BT218" i="1"/>
  <c r="BF1393" i="1"/>
  <c r="BT1393" i="1"/>
  <c r="BF1700" i="1"/>
  <c r="BT1700" i="1"/>
  <c r="BF1831" i="1"/>
  <c r="BT1831" i="1"/>
  <c r="BF1394" i="1"/>
  <c r="BT1394" i="1"/>
  <c r="BF281" i="1"/>
  <c r="BT281" i="1"/>
  <c r="BF887" i="1"/>
  <c r="BT887" i="1"/>
  <c r="BF1593" i="1"/>
  <c r="BT1593" i="1"/>
  <c r="BF763" i="1"/>
  <c r="BT763" i="1"/>
  <c r="BF2020" i="1"/>
  <c r="BT2020" i="1"/>
  <c r="BF2021" i="1"/>
  <c r="BT2021" i="1"/>
  <c r="BF1060" i="1"/>
  <c r="BT1060" i="1"/>
  <c r="BF1188" i="1"/>
  <c r="BT1188" i="1"/>
  <c r="BF2022" i="1"/>
  <c r="BT2022" i="1"/>
  <c r="BF651" i="1"/>
  <c r="BT651" i="1"/>
  <c r="BF2023" i="1"/>
  <c r="BT2023" i="1"/>
  <c r="BF331" i="1"/>
  <c r="BT331" i="1"/>
  <c r="BT2024" i="1"/>
  <c r="BF840" i="1"/>
  <c r="BT840" i="1"/>
  <c r="BF817" i="1"/>
  <c r="BT817" i="1"/>
  <c r="BF11" i="1"/>
  <c r="BT11" i="1"/>
  <c r="BF254" i="1"/>
  <c r="BT254" i="1"/>
  <c r="BT2025" i="1"/>
  <c r="BF665" i="1"/>
  <c r="BT665" i="1"/>
  <c r="BF2026" i="1"/>
  <c r="BT2026" i="1"/>
  <c r="BF764" i="1"/>
  <c r="BT764" i="1"/>
  <c r="BF1701" i="1"/>
  <c r="BT1701" i="1"/>
  <c r="BF215" i="1"/>
  <c r="BT215" i="1"/>
  <c r="BF46" i="1"/>
  <c r="BT46" i="1"/>
  <c r="BF1832" i="1"/>
  <c r="BT1832" i="1"/>
  <c r="BF315" i="1"/>
  <c r="BT315" i="1"/>
  <c r="BF960" i="1"/>
  <c r="BT960" i="1"/>
  <c r="BF2027" i="1"/>
  <c r="BT2027" i="1"/>
  <c r="BF1833" i="1"/>
  <c r="BT1833" i="1"/>
  <c r="BF155" i="1"/>
  <c r="BT155" i="1"/>
  <c r="BF1594" i="1"/>
  <c r="BT1594" i="1"/>
  <c r="BF2028" i="1"/>
  <c r="BT2028" i="1"/>
  <c r="BF31" i="1"/>
  <c r="BT31" i="1"/>
  <c r="BF2029" i="1"/>
  <c r="BT2029" i="1"/>
  <c r="BF961" i="1"/>
  <c r="BT961" i="1"/>
  <c r="BT1455" i="1"/>
  <c r="BF60" i="1"/>
  <c r="BT60" i="1"/>
  <c r="BF914" i="1"/>
  <c r="BT914" i="1"/>
  <c r="BF2030" i="1"/>
  <c r="BT2030" i="1"/>
  <c r="BT596" i="1"/>
  <c r="BF1395" i="1"/>
  <c r="BT1395" i="1"/>
  <c r="BF582" i="1"/>
  <c r="BT582" i="1"/>
  <c r="BF1061" i="1"/>
  <c r="BT1061" i="1"/>
  <c r="BF157" i="1"/>
  <c r="BT157" i="1"/>
  <c r="BF1343" i="1"/>
  <c r="BT1343" i="1"/>
  <c r="BF1344" i="1"/>
  <c r="BT1344" i="1"/>
  <c r="BF388" i="1"/>
  <c r="BT388" i="1"/>
  <c r="BF2031" i="1"/>
  <c r="BT2031" i="1"/>
  <c r="BF496" i="1"/>
  <c r="BT496" i="1"/>
  <c r="BF2032" i="1"/>
  <c r="BT2032" i="1"/>
  <c r="BF530" i="1"/>
  <c r="BT530" i="1"/>
  <c r="BF2033" i="1"/>
  <c r="BT2033" i="1"/>
  <c r="BF438" i="1"/>
  <c r="BT438" i="1"/>
  <c r="BF636" i="1"/>
  <c r="BT636" i="1"/>
  <c r="BF1521" i="1"/>
  <c r="BT1521" i="1"/>
  <c r="BT1834" i="1"/>
  <c r="BF1456" i="1"/>
  <c r="BT1456" i="1"/>
  <c r="BF597" i="1"/>
  <c r="BT597" i="1"/>
  <c r="BF1457" i="1"/>
  <c r="BT1457" i="1"/>
  <c r="BF2034" i="1"/>
  <c r="BT2034" i="1"/>
  <c r="BF219" i="1"/>
  <c r="BT219" i="1"/>
  <c r="BF1835" i="1"/>
  <c r="BT1835" i="1"/>
  <c r="BF130" i="1"/>
  <c r="BT130" i="1"/>
  <c r="BF1836" i="1"/>
  <c r="BT1836" i="1"/>
  <c r="BF566" i="1"/>
  <c r="BT566" i="1"/>
  <c r="BF431" i="1"/>
  <c r="BT431" i="1"/>
  <c r="BF1143" i="1"/>
  <c r="BT1143" i="1"/>
  <c r="BT1026" i="1"/>
  <c r="BF1232" i="1"/>
  <c r="BT1232" i="1"/>
  <c r="BF1144" i="1"/>
  <c r="BT1144" i="1"/>
  <c r="BF698" i="1"/>
  <c r="BT698" i="1"/>
  <c r="BF227" i="1"/>
  <c r="BT227" i="1"/>
  <c r="BF355" i="1"/>
  <c r="BT355" i="1"/>
  <c r="BF1233" i="1"/>
  <c r="BT1233" i="1"/>
  <c r="BT454" i="1"/>
  <c r="BF1027" i="1"/>
  <c r="BT1027" i="1"/>
  <c r="BF1234" i="1"/>
  <c r="BT1234" i="1"/>
  <c r="BF399" i="1"/>
  <c r="BT399" i="1"/>
  <c r="BF1837" i="1"/>
  <c r="BT1837" i="1"/>
  <c r="BF497" i="1"/>
  <c r="BT497" i="1"/>
  <c r="BF666" i="1"/>
  <c r="BT666" i="1"/>
  <c r="BF841" i="1"/>
  <c r="BT841" i="1"/>
  <c r="BF297" i="1"/>
  <c r="BT297" i="1"/>
  <c r="BF531" i="1"/>
  <c r="BT531" i="1"/>
  <c r="BF1396" i="1"/>
  <c r="BT1396" i="1"/>
  <c r="BF1838" i="1"/>
  <c r="BT1838" i="1"/>
</calcChain>
</file>

<file path=xl/sharedStrings.xml><?xml version="1.0" encoding="utf-8"?>
<sst xmlns="http://schemas.openxmlformats.org/spreadsheetml/2006/main" count="163729" uniqueCount="40070">
  <si>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</si>
  <si>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</si>
  <si>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</si>
  <si>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</si>
  <si>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</si>
  <si>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</si>
  <si>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</si>
  <si>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</si>
  <si>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</si>
  <si>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</si>
  <si>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</si>
  <si>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</si>
  <si>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</si>
  <si>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</si>
  <si>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</si>
  <si>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</si>
  <si>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</si>
  <si>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</si>
  <si>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</si>
  <si>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</si>
  <si>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</si>
  <si>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</si>
  <si>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</si>
  <si>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</si>
  <si>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</si>
  <si>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</si>
  <si>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</si>
  <si>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</si>
  <si>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</si>
  <si>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</si>
  <si>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</si>
  <si>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</si>
  <si>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</si>
  <si>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</si>
  <si>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</si>
  <si>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</si>
  <si>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</si>
  <si>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</si>
  <si>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</si>
  <si>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</si>
  <si>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</si>
  <si>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</si>
  <si>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</si>
  <si>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</si>
  <si>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</si>
  <si>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</si>
  <si>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</si>
  <si>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</si>
  <si>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</si>
  <si>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</si>
  <si>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</si>
  <si>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</si>
  <si>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</si>
  <si>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</si>
  <si>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</si>
  <si>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</si>
  <si>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</si>
  <si>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</si>
  <si>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</si>
  <si>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</si>
  <si>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</si>
  <si>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</si>
  <si>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</si>
  <si>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</si>
  <si>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</si>
  <si>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</si>
  <si>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</si>
  <si>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</si>
  <si>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</si>
  <si>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</si>
  <si>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</si>
  <si>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</si>
  <si>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S</t>
  </si>
  <si>
    <t>Hauser, P; Wang, S; Didenko, VV</t>
  </si>
  <si>
    <t/>
  </si>
  <si>
    <t>Kalyuzhny, AE</t>
  </si>
  <si>
    <t>Hauser, Paul; Wang, Sha; Didenko, Vladimir V.</t>
  </si>
  <si>
    <t>Apoptotic Bodies: Selective Detection in Extracellular Vesicles</t>
  </si>
  <si>
    <t>SIGNAL TRANSDUCTION IMMUNOHISTOCHEMISTRY: METHODS AND PROTOCOLS, 2ND EDITION</t>
  </si>
  <si>
    <t>Methods in Molecular Biology</t>
  </si>
  <si>
    <t>Article; Book Chapter</t>
  </si>
  <si>
    <t>Apoptotic bodies; Extracellular vesicles; Exosomes; Microvesicles; ST blunt-ended DNA breaks; In situ ligation technique; Apoptotic bodies labeling; Cell signaling in apoptosis; find-me signal; eat-me signal; Clearance of apoptotic cells</t>
  </si>
  <si>
    <t>EAT-ME SIGNALS; DNA BREAKS; EXOSOMES; TOPOISOMERASE; MICROVESICLES; LIGATION</t>
  </si>
  <si>
    <t>Normal and dying cells release various types of membrane-bound vesicles including microvesicles, exosomes, and apoptotic bodies. These vesicles play important roles in intercellular communication and signal transduction. However, their diverse forms and subtypes fluctuate in size and other properties. In result current purification approaches do not frilly discriminate between different categories of extracellular vesicks. Here, we present a fluorescence technique that specifically identifies apoptotic bodies in preparations of microvesicles, exosomes, and other extracellular vesicles. The approach exclusively labels the vesicles that contain DNA with S'PO, blunt-ended DNA breaks, such as those produced by the apoptotic CAD nuclease during apoptotic DNA degradation. The technique can be useful in studies of apoptosis involving microvesicles and exosomes.</t>
  </si>
  <si>
    <t>[Hauser, Paul; Wang, Sha; Didenko, Vladimir V.] Baylor Coll Med, Houston, TX 77030 USA; [Hauser, Paul; Wang, Sha; Didenko, Vladimir V.] Michael K DeBakey Vet Affairs Med Ctr, Houston, TX 77030 USA</t>
  </si>
  <si>
    <t>Baylor College of Medicine</t>
  </si>
  <si>
    <t>Hauser, P (corresponding author), Baylor Coll Med, Houston, TX 77030 USA.;Hauser, P (corresponding author), Michael K DeBakey Vet Affairs Med Ctr, Houston, TX 77030 USA.</t>
  </si>
  <si>
    <t>Didenko, Vladimir/0000-0002-8293-5410</t>
  </si>
  <si>
    <t>1064-3745</t>
  </si>
  <si>
    <t>1940-6029</t>
  </si>
  <si>
    <t>978-1-4939-6759-9; 978-1-4939-6757-5</t>
  </si>
  <si>
    <t>10.1007/978-1-4939-6759-9_12</t>
  </si>
  <si>
    <t>10.1007/978-1-4939-6759-9</t>
  </si>
  <si>
    <t>Biochemical Research Methods; Biochemistry &amp; Molecular Biology</t>
  </si>
  <si>
    <t>Book Citation Index – Science (BKCI-S)</t>
  </si>
  <si>
    <t>Biochemistry &amp; Molecular Biology</t>
  </si>
  <si>
    <t>2022-08-19</t>
  </si>
  <si>
    <t>WOS:000430673300013</t>
  </si>
  <si>
    <t>J</t>
  </si>
  <si>
    <t>Kubo, H</t>
  </si>
  <si>
    <t>Kubo, Hiroshi</t>
  </si>
  <si>
    <t>Extracellular Vesicles in Lung Disease</t>
  </si>
  <si>
    <t>CHEST</t>
  </si>
  <si>
    <t>Article</t>
  </si>
  <si>
    <t>COPD; ectosomes; exosomes; extracellular vesicles; idiopathic pulmonary fibrosis</t>
  </si>
  <si>
    <t>CIRCULATING ENDOTHELIAL MICROPARTICLES; COPD PATIENTS; POTENTIAL BIOMARKER; EXOSOMES; CELLS; DIFFERENTIATION; MICROVESICLES; MEDIATORS; INJURY; SERUM</t>
  </si>
  <si>
    <t>Accumulating evidence suggests that extracellular vesicles (EVs) play a role in the pathogenesis of lung diseases. These vesicles include exosomes, ectosomes (ie, microparticles, extracellular vesicles, microvesicles, and shedding vesicles), and apoptotic bodies. Exosomes are generated by inward budding of themembrane (endocytosis), subsequent forming of multivesicular bodies, and release by exocytosis. Ectosomes are formed by outward blebbing from the plasma membrane and are then released by proteolytic cleavage from the cell surface. Apoptotic bodies are generated on apoptotic cell shrinkage and death. Extracellular vesicles are released when the cells are activated or undergo apoptosis under inflammatory conditions. The number and types of released EVs are different according to the pathophysiological status of the disease. Therefore, EVs can be novel biomarkers for various lung diseases. EVs contain several molecules, including proteins, mRNA, microRNA, and DNA; they transfer these molecules to distant recipient cells. Circulating EVs modify the targeted cells and influence the microenvironment of the lungs. For this unique capability, EVs are expected to be a new drug delivery system and a novel therapeutic target.</t>
  </si>
  <si>
    <t>[Kubo, Hiroshi] Tohoku Univ, Grad Sch Med, Dept Adv Prevent Med Infect Dis, Sendai, Miyagi, Japan</t>
  </si>
  <si>
    <t>Tohoku University</t>
  </si>
  <si>
    <t>Kubo, H (corresponding author), Tohoku Univ, Grad Sch Med, Dept Adv Prevent Med Infect Dis, Aoba Ku, 2-1 Seiryoumachi, Sendai, Miyagi 9808575, Japan.</t>
  </si>
  <si>
    <t>hkubo@med.tohoku.ac.jp</t>
  </si>
  <si>
    <t>Kubo, Hiroshi/B-2760-2009</t>
  </si>
  <si>
    <t>Kubo, Hiroshi/0000-0001-6097-4542</t>
  </si>
  <si>
    <t>0012-3692</t>
  </si>
  <si>
    <t>JAN</t>
  </si>
  <si>
    <t>10.1016/j.chest.2017.06.026</t>
  </si>
  <si>
    <t>Critical Care Medicine; Respiratory System</t>
  </si>
  <si>
    <t>Science Citation Index Expanded (SCI-EXPANDED)</t>
  </si>
  <si>
    <t>General &amp; Internal Medicine; Respiratory System</t>
  </si>
  <si>
    <t>WOS:000422771600033</t>
  </si>
  <si>
    <t>Liu, HS; Tian, Y; Xue, CF; Niu, Q; Chen, C; Yan, XM</t>
  </si>
  <si>
    <t>Liu, Haisheng; Tian, Ye; Xue, Chengfeng; Niu, Qian; Chen, Chen; Yan, Xiaomei</t>
  </si>
  <si>
    <t>Analysis of extracellular vesicle DNA at the single-vesicle level by nano-flow cytometry</t>
  </si>
  <si>
    <t>JOURNAL OF EXTRACELLULAR VESICLES</t>
  </si>
  <si>
    <t>DNA; DNase digestion; exosomes; extracellular vesicles; microvesicles; nano-flow cytometry; single particle analysis</t>
  </si>
  <si>
    <t>GENOMIC DNA; MUTANT KRAS; EXOSOMES; IDENTIFICATION; NANOPARTICLES; SECRETION; MECHANISM; CELLS</t>
  </si>
  <si>
    <t>It has been demonstrated recently that extracellular vesicles (EVs) carry DNA; however, many fundamental features of DNA in EVs (EV-DNA) remain elusive. In this study, a laboratory-built nano-flow cytometer (nFCM) that can detect single EVs as small as 40 nm in diameter and single DNA fragments of 200 bp upon SYTO 16 staining was used to study EV-DNA at the single-vesicle level. Through simultaneous sidescatter and fluorescence (FL) detection of single particles and with the combination of enzymatic treatment, present study revealed that: (1) naked DNA or DNA associated with non-vesicular entities is abundantly presented in EV samples prepared from cell culture medium by ultracentrifugation; (2) the quantity of EV-DNA in individual EVs exhibits large heterogeneity and the population of DNA positive (DNA(+)) EVs varies from 30% to 80% depending on the cell type; (3) external EV-DNA is mainly localized on relatively small size EVs (e.g. &lt;100 nm for HCT-15 cell line) and the secretion of external DNA+ EVs can be significantly reduced by exosome secretion pathway inhibition; (4) internal EV-DNA is mainly packaged inside the lumen of relatively large EVs (e.g. 80-200 nm for HCT-15 cell line); (5) double-stranded DNA (dsDNA) is the predominant form of both the external and internal EV-DNA; (6) histones (H3) are not found in EVs, and EV-DNA is not associated with histone proteins and (7) genotoxic drug induces an enhanced release of DNA(+) EVs, and the number of both external DNA(+) EVs and internal DNA(+) EVs as well as the DNA content in single EVs increase significantly. This study provides direct and conclusive experimental evidence for an in-depth understanding of how DNA is associated with EVs.</t>
  </si>
  <si>
    <t>[Liu, Haisheng; Tian, Ye; Xue, Chengfeng; Niu, Qian; Chen, Chen; Yan, Xiaomei] Xiamen Univ, MOE Key Lab Spectrochem Anal &amp; Instrumentat, Collaborat Innovat Ctr Chem Energy Mat, Key Lab Chem Biol Fujian Prov,Dept Chem Biol,Coll, 422 Siming South Rd, Xiamen, Peoples R China</t>
  </si>
  <si>
    <t>Xiamen University</t>
  </si>
  <si>
    <t>Yan, XM (corresponding author), Xiamen Univ, MOE Key Lab Spectrochem Anal &amp; Instrumentat, Collaborat Innovat Ctr Chem Energy Mat, Key Lab Chem Biol Fujian Prov,Dept Chem Biol,Coll, 422 Siming South Rd, Xiamen, Peoples R China.</t>
  </si>
  <si>
    <t>xmyan@xmu.edu.cn</t>
  </si>
  <si>
    <t>2001-3078</t>
  </si>
  <si>
    <t>APR</t>
  </si>
  <si>
    <t>e12206</t>
  </si>
  <si>
    <t>10.1002/jev2.12206</t>
  </si>
  <si>
    <t>Cell Biology</t>
  </si>
  <si>
    <t>WOS:000777720600001</t>
  </si>
  <si>
    <t>Nemeth, A; Orgovan, N; Sodar, BW; Osteikoetxea, X; Paloczi, K; Szabo-Taylor, KE; Vukman, KV; Kittel, A; Turiak, L; Wiener, Z; Toth, S; Drahos, L; Vekey, K; Horvath, R; Buzas, EI</t>
  </si>
  <si>
    <t>Nemeth, Andrea; Orgovan, Norbert; Sodar, Barbara W.; Osteikoetxea, Xabier; Paloczi, Krisztina; Szabo-Taylor, Katalin E.; Vukman, Krisztina V.; Kittel, Agnes; Turiak, Lilla; Wiener, Zoltan; Toth, Sara; Drahos, Laszlo; Vekey, Karoly; Horvath, Robert; Buzas, Edit I.</t>
  </si>
  <si>
    <t>Antibiotic-induced release of small extracellular vesicles (exosomes) with surface-associated DNA</t>
  </si>
  <si>
    <t>SCIENTIFIC REPORTS</t>
  </si>
  <si>
    <t>HORIZONTAL TRANSFER; MEMBRANE-VESICLES; MITOCHONDRIAL-DNA; MEDIATED TRANSFER; APOPTOTIC BODIES; MESSENGER-RNA; EMERGING ROLE; GENOMIC DNA; CIPROFLOXACIN; MICROVESICLES</t>
  </si>
  <si>
    <t>Recently, biological roles of extracellular vesicles (which include among others exosomes, microvesicles and apoptotic bodies) have attracted substantial attention in various fields of biomedicine. Here we investigated the impact of sustained exposure of cells to the fluoroquinolone antibiotic ciprofloxacin on the released extracellular vesicles. Ciprofloxacin is widely used in humans against bacterial infections as well as in cell cultures against Mycoplasma contamination. However, ciprofloxacin is an inducer of oxidative stress and mitochondrial dysfunction of mammalian cells. Unexpectedly, here we found that ciprofloxacin induced the release of both DNA (mitochondrial and chromosomal sequences) and DNA-binding proteins on the exofacial surfaces of small extracellular vesicles referred to in this paper as exosomes. Furthermore, a label-free optical biosensor analysis revealed DNA-dependent binding of exosomes to fibronectin. DNA release on the surface of exosomes was not affected any further by cellular activation or apoptosis induction. Our results reveal for the first time that prolonged low-dose ciprofloxacin exposure leads to the release of DNA associated with the external surface of exosomes.</t>
  </si>
  <si>
    <t>[Nemeth, Andrea; Sodar, Barbara W.; Osteikoetxea, Xabier; Paloczi, Krisztina; Szabo-Taylor, Katalin E.; Vukman, Krisztina V.; Wiener, Zoltan; Toth, Sara; Buzas, Edit I.] Semmelweis Univ, Dept Genet Cell &amp; Immunobiol, H-1085 Budapest, Hungary; [Orgovan, Norbert] Hungarian Acad Sci, Inst Tech Phys &amp; Mat Sci, H-1121 Budapest, Hungary; [Kittel, Agnes] Hungarian Acad Sci, Inst Expt Med, H-1083 Budapest, Hungary; [Turiak, Lilla; Drahos, Laszlo] Hungarian Acad Sci, Res Ctr Nat Sci, H-1117 Budapest, Hungary</t>
  </si>
  <si>
    <t>Semmelweis University; Hungarian Academy of Sciences; Hungarian Research Centre for Natural Sciences; Hungarian Academy of Sciences; Hungarian Institute of Experimental Medicine; Hungarian Academy of Sciences; Hungarian Research Centre for Natural Sciences</t>
  </si>
  <si>
    <t>Buzas, EI (corresponding author), Semmelweis Univ, Dept Genet Cell &amp; Immunobiol, H-1085 Budapest, Hungary.</t>
  </si>
  <si>
    <t>edit.buzas@gmail.com</t>
  </si>
  <si>
    <t>Osteikoetxea, Xabier/K-3067-2019; Horvath, Robert/AAW-9031-2020; Horvath, Robert/C-4602-2008</t>
  </si>
  <si>
    <t>Horvath, Robert/0000-0001-8617-2302; Horvath, Robert/0000-0001-8617-2302; Kittel, Agnes/0000-0002-6888-7731; Osteikoetxea, Xabier/0000-0003-3628-0174</t>
  </si>
  <si>
    <t>2045-2322</t>
  </si>
  <si>
    <t>AUG 15</t>
  </si>
  <si>
    <t>10.1038/s41598-017-08392-1</t>
  </si>
  <si>
    <t>Multidisciplinary Sciences</t>
  </si>
  <si>
    <t>Science &amp; Technology - Other Topics</t>
  </si>
  <si>
    <t>WOS:000407570000079</t>
  </si>
  <si>
    <t>Baysa, A; Fedorov, A; Kondratov, K; Ruusalepp, A; Minasian, S; Galagudza, M; Popov, M; Kurapeev, D; Yakovlev, A; Valen, G; Kostareva, A; Vaage, J; Stenslokken, KO</t>
  </si>
  <si>
    <t>Baysa, Anton; Fedorov, Anton; Kondratov, Kirill; Ruusalepp, Arno; Minasian, Sarkis; Galagudza, Michael; Popov, Maxim; Kurapeev, Dmitry; Yakovlev, Alexey; Valen, Guro; Kostareva, Anna; Vaage, Jarle; Stenslokken, Kare-Olav</t>
  </si>
  <si>
    <t>Release of Mitochondrial and Nuclear DNA During On-Pump Heart Surgery: Kinetics and Relation to Extracellular Vesicles</t>
  </si>
  <si>
    <t>JOURNAL OF CARDIOVASCULAR TRANSLATIONAL RESEARCH</t>
  </si>
  <si>
    <t>Extracellular DNA; Cardiac surgery; Exosomes; Microvesicles</t>
  </si>
  <si>
    <t>INFLAMMATORY RESPONSE; CELL-FREE; DAMPS</t>
  </si>
  <si>
    <t>During heart surgery with cardiopulmonary bypass (CPB), the release of mitochondrial (mtDNA) and nuclear DNA (nDNA) and their association to extracellular vesicles were investigated. In patients undergoing elective coronary artery bypass grafting (CABG, n=12), blood was sampled before, during, and after surgery from peripheral artery, pulmonary artery, and the coronary sinus. Plasma was separated in three fractions: microvesicles, exosomes, and supernatant. mtDNA and nDNA were measured by qPCR. mtDNA and nDNA levels increased after start of surgery, but before CPB, and increased further during CPB. mtDNA copy number was about 1000-fold higher than nDNA. mtDNA was predominantly localized to the vesicular fractions in plasma, whereas nDNA was predominantly in the supernatant. The amount of free mtDNA increased after surgery. There was no net release or disappearance of DNAs across the pulmonary, systemic, or coronary circulation. Extracellular DNAs, in particular mtDNA, may be important contributors to the whole-body inflammation during CPB.</t>
  </si>
  <si>
    <t>[Baysa, Anton; Valen, Guro; Stenslokken, Kare-Olav] Univ Oslo, Div Physiol, Dept Mol Med, Inst Basic Med Sci, Postbox 1103, N-0317 Oslo, Norway; [Baysa, Anton; Valen, Guro; Stenslokken, Kare-Olav] Univ Oslo, Ctr Heart Failure Res, Oslo, Norway; [Fedorov, Anton; Kondratov, Kirill; Minasian, Sarkis; Galagudza, Michael; Popov, Maxim; Kurapeev, Dmitry; Yakovlev, Alexey; Kostareva, Anna] Almazov Natl Med Res Ctr, St Petersburg, Russia; [Fedorov, Anton] St Petersburg State Univ, Dept Cytol &amp; Histol, St Petersburg, Russia; [Ruusalepp, Arno] Tartu Univ Hosp, Dept Cardiac Surg, Tartu, Estonia; [Vaage, Jarle] Univ Oslo, Oslo Univ Hosp, Inst Clin Med, Oslo, Norway</t>
  </si>
  <si>
    <t>University of Oslo; University of Oslo; Almazov National Medical Research Centre; Saint Petersburg State University; University of Oslo</t>
  </si>
  <si>
    <t>Stenslokken, KO (corresponding author), Univ Oslo, Div Physiol, Dept Mol Med, Inst Basic Med Sci, Postbox 1103, N-0317 Oslo, Norway.;Stenslokken, KO (corresponding author), Univ Oslo, Ctr Heart Failure Res, Oslo, Norway.</t>
  </si>
  <si>
    <t>k.o.stenslokken@medisin.uio.no</t>
  </si>
  <si>
    <t>Kurapeev, Dmitry I/A-4445-2014; Kostareva, Anna/AAO-5429-2020</t>
  </si>
  <si>
    <t>Stenslokken, Kare-Olav/0000-0003-2962-4143; Galagudza, Michael/0000-0001-5129-9944; Ruusalepp, Arno/0000-0001-5816-8613</t>
  </si>
  <si>
    <t>1937-5387</t>
  </si>
  <si>
    <t>1937-5395</t>
  </si>
  <si>
    <t>JUN</t>
  </si>
  <si>
    <t>10.1007/s12265-018-9848-3</t>
  </si>
  <si>
    <t>Cardiac &amp; Cardiovascular Systems; Medicine, Research &amp; Experimental</t>
  </si>
  <si>
    <t>Cardiovascular System &amp; Cardiology; Research &amp; Experimental Medicine</t>
  </si>
  <si>
    <t>WOS:000474567100003</t>
  </si>
  <si>
    <t>Lamichhane, TN; Raiker, RS; Jay, SM</t>
  </si>
  <si>
    <t>Lamichhane, Tek N.; Raiker, Rahul S.; Jay, Steven M.</t>
  </si>
  <si>
    <t>Exogenous DNA Loading into Extracellular Vesicles via Electroporation is Size-Dependent and Enables Limited Gene Delivery</t>
  </si>
  <si>
    <t>MOLECULAR PHARMACEUTICS</t>
  </si>
  <si>
    <t>extracellular vesicles (EVs); exosomes; microvesicles; electroporation; DNA delivery; gene therapy</t>
  </si>
  <si>
    <t>MESENCHYMAL STEM-CELL; IN-VITRO; PLASMID DNA; EXOSOMES; THERAPY; SIRNA; TRANSFORMATION; CANCER; VIVO; RNA</t>
  </si>
  <si>
    <t>Extracellular vesicles (EVs) hold immense promise for utilization as biotherapeutics and drug delivery vehicles due to their nature as biological nanoparticles that facilitate intercellular molecular transport. Specifically, EVs have been identified as natural carriers of nucleic acids, sparking interest in their use for gene therapy and RNA interference applications. So far, small RNAs (siRNA and miRNA) have been successfully loaded into EVs for a variety of delivery applications, but the potential use of EVs for DNA delivery has scarcely been explored. Here, we report that exogenous linear DNA can be associated with EVs via electroporation in quantities sufficient to yield an average of hundreds of DNA molecules per vesicle. We determined that loading efficiency and capacity of DNA in EVs is dependent on DNA size, with linear DNA molecules less than 1000 bp in length being more efficiently associated with EVs compared to larger linear DNAs and plasmid DNAs using this approach. We further showed that EV size is also determinant with regard to DNA loading, as larger microvesicles encapsulated more linear and plasmid DNA than smaller, exosome-like EVs. Additionally, we confirmed the ability of EVs to transfer foreign DNA loaded via electroporation into recipient cells, although functional gene delivery was not observed. These results establish critical parameters that inform the potential use of EVs for gene therapy and, in agreement with other recent results, suggest that substantial barriers must be overcome to establish EVs as broadly applicable DNA delivery vehicles.</t>
  </si>
  <si>
    <t>[Lamichhane, Tek N.; Raiker, Rahul S.; Jay, Steven M.] Univ Maryland, Fischell Dept Bioengn, College Pk, MD 20742 USA; [Jay, Steven M.] Univ Maryland, Program Oncol, Marlene &amp; Stewart Greenebaum Canc Ctr, College Pk, MD 20742 USA; [Jay, Steven M.] Univ Maryland, Program Mol &amp; Cell Biol, College Pk, MD 20742 USA</t>
  </si>
  <si>
    <t>University System of Maryland; University of Maryland College Park; University System of Maryland; University of Maryland College Park; University System of Maryland; University of Maryland College Park</t>
  </si>
  <si>
    <t>Jay, SM (corresponding author), Univ Maryland, Fischell Dept Bioengn, 3234 Jeong Kim Engn Bldg, College Pk, MD 20742 USA.</t>
  </si>
  <si>
    <t>smjay@umd.edu</t>
  </si>
  <si>
    <t>Jay, Steven/ABD-4344-2021</t>
  </si>
  <si>
    <t>Jay, Steven/0000-0002-3827-5988</t>
  </si>
  <si>
    <t>1543-8384</t>
  </si>
  <si>
    <t>OCT</t>
  </si>
  <si>
    <t>10.1021/acs.molpharmaceut.5b00364</t>
  </si>
  <si>
    <t>Medicine, Research &amp; Experimental; Pharmacology &amp; Pharmacy</t>
  </si>
  <si>
    <t>Research &amp; Experimental Medicine; Pharmacology &amp; Pharmacy</t>
  </si>
  <si>
    <t>Y</t>
  </si>
  <si>
    <t>N</t>
  </si>
  <si>
    <t>WOS:000362460500015</t>
  </si>
  <si>
    <t>Helmig, S; Frubeis, C; Kramer-Albers, EM; Simon, P; Tug, S</t>
  </si>
  <si>
    <t>Helmig, Susanne; Fruebeis, Carsten; Kraemer-Albers, Eva-Maria; Simon, Perikles; Tug, Suzan</t>
  </si>
  <si>
    <t>Release of bulk cell free DNA during physical exercise occurs independent of extracellular vesicles</t>
  </si>
  <si>
    <t>EUROPEAN JOURNAL OF APPLIED PHYSIOLOGY</t>
  </si>
  <si>
    <t>cfDNA; Extracellular vesicles; Exercise; Mitochondrial DNA</t>
  </si>
  <si>
    <t>FREE PLASMA DNA; FREE NUCLEIC-ACIDS; IMMUNE-RESPONSES; CIRCULATING DNA; CANCER-PATIENTS; EXOSOMES; MICROPARTICLES; MICROVESICLES; COMMUNICATION; BIOMARKERS</t>
  </si>
  <si>
    <t>Strenuous exercise induces a rapid and transient elevation of cell free DNA (cfDNA) concentration in blood plasma. The detection of cfDNA in the presence of plasma nucleases could indicate an association of cfDNA with protective vesicular structures. Several cell types release extracellular vesicles (EVs), including exosomes and shedding microvesicles, which are known to mediate the exchange of proteins and nucleic acids (largely RNA) between cells. Here, we assessed whether EVs play a role in the exercise-dependent release of cfDNA in blood plasma. Venous blood collected from healthy volunteers before and after incremental treadmill exercise was separated into vesicular (EV) and soluble fractions. Nuclear and mitochondrial DNA content in plasma supernatants and EV fractions was determined by quantitative real-time PCR (qPCR). We show that the majority of cfDNA is located in the plasma supernatants. Only minute amounts of DNA were observed in the EV-associated fractions including microvesicles and exosomes. Nuclear and mitochondrial DNA species differ in terms of their quantities in the several plasma fractions. Our results indicate that cfDNA liberated in response to acute physical exercise is not released by vesicular means and circulates in a soluble form in blood plasma which could indicate different biological functions exerted by cfDNA and EVs. The different nature of DNA species in plasma has major implications for the preparation of plasma and other bodily fluids prior to analysis.</t>
  </si>
  <si>
    <t>[Helmig, Susanne; Simon, Perikles; Tug, Suzan] Johannes Gutenberg Univ Mainz, Dept Sports Med, D-55128 Mainz, Germany; [Fruebeis, Carsten; Kraemer-Albers, Eva-Maria] Johannes Gutenberg Univ Mainz, Mol Cell Biol, D-55128 Mainz, Germany</t>
  </si>
  <si>
    <t>Johannes Gutenberg University of Mainz; Johannes Gutenberg University of Mainz</t>
  </si>
  <si>
    <t>Tug, S (corresponding author), Johannes Gutenberg Univ Mainz, Dept Sports Med, Albert Schweitzer Str 22, D-55128 Mainz, Germany.</t>
  </si>
  <si>
    <t>tug@uni-mainz.de</t>
  </si>
  <si>
    <t>Eva-Maria, Kraemer-Albers/AAP-8805-2020; Simon, Perikles D/B-2293-2013</t>
  </si>
  <si>
    <t>Eva-Maria, Kraemer-Albers/0000-0001-7994-1185; Simon, Perikles D/0000-0002-7996-4034</t>
  </si>
  <si>
    <t>1439-6319</t>
  </si>
  <si>
    <t>1439-6327</t>
  </si>
  <si>
    <t>NOV</t>
  </si>
  <si>
    <t>10.1007/s00421-015-3207-8</t>
  </si>
  <si>
    <t>Physiology; Sport Sciences</t>
  </si>
  <si>
    <t>WOS:000363057400004</t>
  </si>
  <si>
    <t>Iliev, D; Strandskog, G; Nepal, A; Aspar, A; Olsen, R; Jorgensen, J; Wolfson, D; Ahluwalia, BS; Handzhiyski, J; Mironova, R</t>
  </si>
  <si>
    <t>Iliev, Dimitar; Strandskog, Guro; Nepal, Arpita; Aspar, Augusta; Olsen, Randi; Jorgensen, Jorunn; Wolfson, Deanna; Ahluwalia, Balpreet Singh; Handzhiyski, Jordan; Mironova, Roumyana</t>
  </si>
  <si>
    <t>Stimulation of exosome release by extracellular DNA is conserved across multiple cell types</t>
  </si>
  <si>
    <t>FEBS JOURNAL</t>
  </si>
  <si>
    <t>exosomes; extracellular DNA; extracellular vesicles; microvesicles; phosphorothioate oligodeoxynucleotides; salmon leukocytes</t>
  </si>
  <si>
    <t>TOLL-LIKE RECEPTOR-9; MULTIVESICULAR ENDOSOMES; B-LYMPHOCYTES; K562 CELLS; CPG-DNA; VESICLES; ACTIVATION; CANCER; BIOGENESIS; INHIBITION</t>
  </si>
  <si>
    <t>Exosomes are distinguished from other types of extracellular vesicles by their small and relatively uniform size (30-100 nm) and their composition which reflects their endo-lysosomal origin. Involvement of these extracellular organelles in intercellular communication and their implication in pathological conditions has fuelled intensive research on mammalian exosomes; however, currently, very little is known about exosomes in lower vertebrates. Here we show that, in primary cultures of head kidney leukocytes from Atlantic salmon (Salmo salar), phosphorothioate CpG oligodeoxynucleotides induce secretion of vesicles with characteristics very similar to these of mammalian exosomes. Further experiments revealed that the oligonucleotide-induced exosome secretion did not depend on the CpG motifs but it relied on the phosphorothioate modification of the internucleotide linkage. Exosome secretion was also induced by genomic bacterial and eukaryotic DNA in toll-like receptor 9-negative piscine and human cell lines demonstrating that this is a phylogenetically conserved phenomenon which does not depend on activation of immune signaling pathways. In addition to exosomes, stimulation with phosphorothioate oligonucleotides and genomic DNA induced secretion of LC3B-II, an autophagosome marker, which was associated with vesicles of diverse size and morphology, possibly derived from autophagosome-related intracellular compartments. Overall, this work reveals a previously unrecognized biological activity of phosphorothioate ODNs and genomic DNA - their capacity to induce secretion of exosomes and other types of extracellular vesicles. This finding might help shed light on the side effects of therapeutic phosphorothioate oligodeoxynucleotides and the biological activity of extracellular genomic DNA which is often upregulated in pathological conditions.</t>
  </si>
  <si>
    <t>[Iliev, Dimitar; Strandskog, Guro; Nepal, Arpita; Jorgensen, Jorunn] UiT Arctic Univ Norway, Norwegian Coll Fishery Sci, N-9037 Tromso, Norway; [Aspar, Augusta; Olsen, Randi] UiT Arctic Univ Norway, Inst Med Biol, Fac Hlth Sci, Tromso, Norway; [Wolfson, Deanna; Ahluwalia, Balpreet Singh] UiT Arctic Univ Norway, Dept Phys &amp; Technol, Tromso, Norway; [Handzhiyski, Jordan; Mironova, Roumyana] Bulgarian Acad Sci, Inst Mol Biol Roumen Tsanev, Dept Gene Regulat, Sofia, Bulgaria</t>
  </si>
  <si>
    <t>UiT The Arctic University of Tromso; UiT The Arctic University of Tromso; UiT The Arctic University of Tromso; Bulgarian Academy of Sciences; Medical University Sofia</t>
  </si>
  <si>
    <t>Iliev, D (corresponding author), UiT Arctic Univ Norway, Norwegian Coll Fishery Sci, N-9037 Tromso, Norway.</t>
  </si>
  <si>
    <t>dimitar.iliev@uit.no</t>
  </si>
  <si>
    <t>Ahluwalia, Balpreet S/C-3316-2016</t>
  </si>
  <si>
    <t>jorgensen, jorunn/0000-0002-8163-6777; Ahluwalia, Balpreet Singh/0000-0001-7841-6952; Wolfson, Deanna/0000-0001-6059-2472</t>
  </si>
  <si>
    <t>1742-464X</t>
  </si>
  <si>
    <t>1742-4658</t>
  </si>
  <si>
    <t>AUG</t>
  </si>
  <si>
    <t>10.1111/febs.14601</t>
  </si>
  <si>
    <t>WOS:000442224000012</t>
  </si>
  <si>
    <t>Fan, ZJ; Xiao, K; Lin, JY; Liao, YH; Huang, X</t>
  </si>
  <si>
    <t>Fan, Zhijin; Xiao, Keng; Lin, Jingyan; Liao, Yuhui; Huang, Xi</t>
  </si>
  <si>
    <t>Functionalized DNA Enables Programming Exosomes/Vesicles for Tumor Imaging and Therapy</t>
  </si>
  <si>
    <t>SMALL</t>
  </si>
  <si>
    <t>biological treatment; chemotherapy; functionalized DNA; programming exosomes; vesicles</t>
  </si>
  <si>
    <t>QUANTUM DOTS; EXTRACELLULAR VESICLES; ACTIVE-SITE; EXOSOMES; DELIVERY; BIOGENESIS; MECHANISM; EXCHANGE</t>
  </si>
  <si>
    <t>Exosomes serve as significant information carriers that regulate important physiological and pathological processes. Herein, functionalized DNA is engineered to be a hinge that anchors quantum dots (QDs) onto the surface of exosomes, realizing a moderate and biocompatible labeling strategy. The QDs-labeled exosomes (exosome-DNA-QDs complex) can be swiftly engulfed by tumor cells, indicating that exosome-DNA-QDs can be applied as a specific agent for tumor labeling. Furthermore, the engineered artificial vesicles of M1 macrophages (M1mv) are constructed via a pneumatic liposome extruder. The results reveal that the individual M1mv can kill tumor cells and realize desirable biological treatment. To reinforce the antitumor efficacy of M1mv and the specificity of drug release, a target-triggered drug delivery system is constructed to realize a specific microRNA-responded delivery system for visual therapy of tumors. These strategies facilitate moderate labeling and functionalization of exosomes/vesicles and construct artificial drug-delivery vesicles that simultaneously possess biological treatment and chemotherapy functions, and thus have the potential to serve as a new paradigm for tumor labeling and therapy.</t>
  </si>
  <si>
    <t>[Fan, Zhijin; Xiao, Keng; Lin, Jingyan; Liao, Yuhui; Huang, Xi] Sun Yat Sen Univ, Affiliated Hosp 5, Ctr Infect &amp; Immun, Zhuhai 519000, Peoples R China</t>
  </si>
  <si>
    <t>Sun Yat Sen University</t>
  </si>
  <si>
    <t>Liao, YH; Huang, X (corresponding author), Sun Yat Sen Univ, Affiliated Hosp 5, Ctr Infect &amp; Immun, Zhuhai 519000, Peoples R China.</t>
  </si>
  <si>
    <t>liaoyh8@mail.sysu.edu.cn; huangxi6@mail.sysu.edu.cn</t>
  </si>
  <si>
    <t>Fan, Zhijin/T-2752-2018</t>
  </si>
  <si>
    <t>Fan, Zhijin/0000-0003-0018-4949; Liao, Yuhui/0000-0003-4702-9516</t>
  </si>
  <si>
    <t>1613-6810</t>
  </si>
  <si>
    <t>1613-6829</t>
  </si>
  <si>
    <t>10.1002/smll.201903761</t>
  </si>
  <si>
    <t>OCT 2019</t>
  </si>
  <si>
    <t>Chemistry, Multidisciplinary; Chemistry, Physical; Nanoscience &amp; Nanotechnology; Materials Science, Multidisciplinary; Physics, Applied; Physics, Condensed Matter</t>
  </si>
  <si>
    <t>Chemistry; Science &amp; Technology - Other Topics; Materials Science; Physics</t>
  </si>
  <si>
    <t>WOS:000490359800001</t>
  </si>
  <si>
    <t>Jin, Y; Chen, KY; Wang, ZY; Wang, Y; Liu, JZ; Lin, L; Shao, Y; Gao, LH; Yin, HH; Cui, C; Tan, ZL; Liu, LJ; Zhao, CH; Zhang, GR; Jia, R; Du, LJ; Chen, YL; Liu, RR; Xu, JM; Hu, XW; Wang, YL</t>
  </si>
  <si>
    <t>Jin, Yang; Chen, Keyan; Wang, Zongying; Wang, Yan; Liu, Jianzhi; Lin, Li; Shao, Yong; Gao, Lihua; Yin, Huihui; Cui, Cong; Tan, Zhaoli; Liu, Liejun; Zhao, Chuanhua; Zhang, Gairong; Jia, Ru; Du, Lijuan; Chen, Yuling; Liu, Rongrui; Xu, Jianming; Hu, Xianwen; Wang, Youliang</t>
  </si>
  <si>
    <t>DNA in serum extracellular vesicles is stable under different storage conditions</t>
  </si>
  <si>
    <t>BMC CANCER</t>
  </si>
  <si>
    <t>Extracellular vesicles; DNA; Stability; Different conditions</t>
  </si>
  <si>
    <t>TUMOR-DERIVED EXOSOMES; INTERCELLULAR COMMUNICATION; MOLECULAR-PATHOLOGY; COLORECTAL-CANCER; PANCREATIC-CANCER; NUCLEIC-ACIDS; CELLS; MICROVESICLES; SECRETION; MICRORNA</t>
  </si>
  <si>
    <t>Background: Extracellular vesicles (EVs), including exosomes, microvesicles, and apoptotic bodies, can be secreted by most cell types and released in perhaps all biological fluids. EVs contain multiple proteins, specific lipids and several kinds of nucleic acids such as RNAs and DNAs. Studies have found that EVs contain double-stranded DNA and that genetic information has a certain degree of consistency with tumor DNA. Therefore, if genes that exist in exosomes are stable, we may be able to use EVs genetic testing as a new means to monitor gene mutation. Methods: In this study, EVs were extracted from serum under various storage conditions (4 degrees C, room temperature and repeated freeze-thaw). We used western blotting to examine the stability of serum EVs. Then, we extracted DNA from EVs and tested the concentration changing under different conditions. We further assessed the stability of EVs DNA s using polymerase chain reaction (PCR) and Sanger sequencing. Results: EVs is stable under the conditions of 4 degrees C (for 24 h, 72 h, 168 h), room temperature (for 6 h, 12 h, 24 h, 48 h) and repeated freeze-thaw (after one time, three times, five times). Also, serum DNA is mainly present in EVs, especially in exosomes, and that the content and function of DNA in EVs is stable whether in a changing environment or not. We showed that EVs DNA stayed stable for 1 week at 4 degrees C, 1 day at room temperature and after repeated freeze-thaw cycles (less than three times). However, DNA from serum EVs after 2 days at room temperature or after five repeated freeze-thaw cycles could be used for PCR and sequencing. Conclusions: Serum EVs and EVs DNA can remain stable under different environments, which is the premise that EVs could serve as a novel means for genetic tumor detection and potential biomarkers for cancer diagnostics and prognostics.</t>
  </si>
  <si>
    <t>[Jin, Yang; Chen, Keyan; Shao, Yong; Gao, Lihua; Yin, Huihui; Cui, Cong; Tan, Zhaoli; Hu, Xianwen; Wang, Youliang] Inst Biotechnol, Lab Cell Engn, Beijing, Peoples R China; [Jin, Yang; Wang, Yan; Liu, Jianzhi; Lin, Li; Cui, Cong; Tan, Zhaoli; Liu, Liejun; Zhao, Chuanhua; Zhang, Gairong; Jia, Ru; Du, Lijuan; Chen, Yuling; Liu, Rongrui; Xu, Jianming] Acad Mil Med Sci, Affiliated Hosp Canc Ctr, Beijing, Peoples R China; [Wang, Zongying] Peoples Hosp, Dept Ultrason, Rizhao, Shandong, Peoples R China</t>
  </si>
  <si>
    <t>Academy of Military Medical Sciences - China</t>
  </si>
  <si>
    <t>Hu, XW; Wang, YL (corresponding author), Inst Biotechnol, Lab Cell Engn, Beijing, Peoples R China.;Xu, JM (corresponding author), Acad Mil Med Sci, Affiliated Hosp Canc Ctr, Beijing, Peoples R China.</t>
  </si>
  <si>
    <t>jmxu2003@163.com; huxw1969@163.com; wang_you_liang@aliyun.com</t>
  </si>
  <si>
    <t>1471-2407</t>
  </si>
  <si>
    <t>SEP 23</t>
  </si>
  <si>
    <t>10.1186/s12885-016-2783-2</t>
  </si>
  <si>
    <t>Oncology</t>
  </si>
  <si>
    <t>WOS:000384498200001</t>
  </si>
  <si>
    <t>Simon, B; Bolumar, D; Amadoz, A; Jimenez-Almazan, J; Valbuena, D; Vilella, F; Moreno, I</t>
  </si>
  <si>
    <t>Simon, Blanca; Bolumar, David; Amadoz, Alicia; Jimenez-Almazan, Jorge; Valbuena, Diana; Vilella, Felipe; Moreno, Inmaculada</t>
  </si>
  <si>
    <t>Identification and Characterization of Extracellular Vesicles and Its DNA Cargo Secreted During Murine Embryo Development</t>
  </si>
  <si>
    <t>GENES</t>
  </si>
  <si>
    <t>extracellular vesicles; exosomes; microvesicles; apoptotic bodies; DNA; preimplantation embryos; murine blastocysts</t>
  </si>
  <si>
    <t>DIFFERENTIAL EXPRESSION ANALYSIS; CELL-FREE DNA; CULTURE-MEDIUM; GENOMIC DNA; RNA-SEQ; EXOSOMES; MICROVESICLES; BIOGENESIS; DISCOVERY; EDGER</t>
  </si>
  <si>
    <t>Extracellular vesicles (EVs) are known to transport DNA, but their implications in embryonic implantation are unknown. The aim of this study was to investigate EVs production and secretion by preimplantation embryos and assess their DNA cargo. Murine oocytes and embryos were obtained from six- to eight-week-old females, cultured until E4.5 and analyzed using transmission electron microscopy to examine EVs production. EVs were isolated from E4.5-day conditioned media and quantified by nanoparticle tracking analysis, characterized by immunogold, and their DNA cargo sequenced. Multivesicular bodies were observed in murine oocytes and preimplantation embryos together with the secretion of EVs to the blastocoel cavity and blastocyst spent medium. Embryo-derived EVs showed variable electron-densities and sizes (20-500 nm) and total concentrations of 1.74 x 10(7) +/- 2.60 x 10(6) particles/mL. Embryo secreted EVs were positive for CD63 and ARF6. DNA cargo sequencing demonstrated no differences in DNA between apoptotic bodies or smaller EVs, although they showed significant gene enrichment compared to control medium. The analysis of sequences uniquely mapping the murine genome revealed that DNA contained in EVs showed higher representation of embryo genome than vesicle-free DNA. Murine blastocysts secrete EVs containing genome-wide sequences of DNA to the medium, reinforcing the relevance of studying these vesicles and their cargo in the preimplantation moment, where secreted DNA may help the assessment of the embryo previous to implantation.</t>
  </si>
  <si>
    <t>[Simon, Blanca; Bolumar, David; Vilella, Felipe; Moreno, Inmaculada] Igenomix Fdn, INCLIVA Biomed Res Inst, Ronda Narcis Monturiol 11B, Paterna 46980, Spain; [Simon, Blanca; Bolumar, David] Univ Valencia, Sch Med, Dept Pediat Obstet &amp; Gynecol, Av Blasco Ibanez 15, Valencia 46010, Spain; [Amadoz, Alicia; Jimenez-Almazan, Jorge; Valbuena, Diana; Moreno, Inmaculada] Igenomix R&amp;D, Parque Tecnol Paterna,Ronda Narcis Monturiol 11B, Paterna 46980, Spain</t>
  </si>
  <si>
    <t>University of Valencia</t>
  </si>
  <si>
    <t>Vilella, F; Moreno, I (corresponding author), Igenomix Fdn, INCLIVA Biomed Res Inst, Ronda Narcis Monturiol 11B, Paterna 46980, Spain.;Moreno, I (corresponding author), Igenomix R&amp;D, Parque Tecnol Paterna,Ronda Narcis Monturiol 11B, Paterna 46980, Spain.</t>
  </si>
  <si>
    <t>blansi@alumni.uv.es; david.bolumar@igenomix.com; alicia.amadoz@igenomix.com; jorge.jimenez@igenomix.com; diana.valbuena@igenomix.com; felipe.vilella@igenomix.com; Inmaculada.moreno@igenomix.com</t>
  </si>
  <si>
    <t>Moreno, Inmaculada/D-3955-2018; Vilella, Felipe/C-2970-2018; Valbuena, Diana M/I-1949-2015</t>
  </si>
  <si>
    <t>Moreno, Inmaculada/0000-0001-6910-7509; Valbuena, Diana M/0000-0002-0742-3669; Vilella, Felipe/0000-0002-0039-9846; Bolumar Recuero, David/0000-0002-6234-3821</t>
  </si>
  <si>
    <t>2073-4425</t>
  </si>
  <si>
    <t>FEB</t>
  </si>
  <si>
    <t>10.3390/genes11020203</t>
  </si>
  <si>
    <t>Genetics &amp; Heredity</t>
  </si>
  <si>
    <t>WOS:000519271500072</t>
  </si>
  <si>
    <t>Lazo, S; Hooten, NN; Green, J; Eitan, E; Mode, NA; Liu, QR; Zonderman, AB; Ezike, N; Mattson, MP; Ghosh, P; Evans, MK</t>
  </si>
  <si>
    <t>Lazo, Stephanie; Noren Hooten, Nicole; Green, Jamal; Eitan, Erez; Mode, Nicolle A.; Liu, Qing-Rong; Zonderman, Alan B.; Ezike, Ngozi; Mattson, Mark P.; Ghosh, Paritosh; Evans, Michele K.</t>
  </si>
  <si>
    <t>Mitochondrial DNA in extracellular vesicles declines with age</t>
  </si>
  <si>
    <t>AGING CELL</t>
  </si>
  <si>
    <t>aging; biomarker; circulating cell&amp;#8208; free mitochondrial DNA; exosomes; extracellular vesicles; intercellular communication; microvesicles; mitochondrial DNA</t>
  </si>
  <si>
    <t>TIME QUANTITATIVE PCR; MUTATIONS; EXOSOMES; QUANTIFICATION; RESPONSES; NUCLEAR; BIOLOGY; HEALTH; CELLS; RACE</t>
  </si>
  <si>
    <t>The mitochondrial free radical theory of aging suggests that accumulating oxidative damage to mitochondria and mitochondrial DNA (mtDNA) plays a central role in aging. Circulating cell-free mtDNA (ccf-mtDNA) isolated from blood may be a biomarker of disease. Extracellular vesicles (EVs) are small (30-400 nm), lipid-bound vesicles capable of shuttling proteins, nucleic acids, and lipids as part of intercellular communication systems. Here, we report that a portion of ccf-mtDNA in plasma is encapsulated in EVs. To address whether EV mtDNA levels change with human age, we analyzed mtDNA in EVs from individuals aged 30-64 years cross-sectionally and longitudinally. EV mtDNA levels decreased with age. Furthermore, the maximal mitochondrial respiration of cultured cells was differentially affected by EVs from old and young donors. Our results suggest that plasma mtDNA is present in EVs, that the level of EV-derived mtDNA is associated with age, and that EVs affect mitochondrial energetics in an EV age-dependent manner.</t>
  </si>
  <si>
    <t>[Lazo, Stephanie; Noren Hooten, Nicole; Green, Jamal; Mode, Nicolle A.; Zonderman, Alan B.; Ezike, Ngozi; Evans, Michele K.] NIH, NIA, Lab Epidemiol &amp; Populat Sci, Baltimore, MD USA; [Eitan, Erez; Mattson, Mark P.] Natl Inst Hlth, NIA, Lab Neurosci, Baltimore, MD USA; [Liu, Qing-Rong; Ghosh, Paritosh] Natl Inst Hlth, NIA, Lab Clin Invest, Baltimore, MD USA</t>
  </si>
  <si>
    <t>National Institutes of Health (NIH) - USA; NIH National Institute on Aging (NIA); National Institutes of Health (NIH) - USA; NIH National Institute on Aging (NIA); National Institutes of Health (NIH) - USA; NIH National Institute on Aging (NIA)</t>
  </si>
  <si>
    <t>Evans, MK (corresponding author), Natl Inst Hlth, NIA, Baltimore, MD 21224 USA.</t>
  </si>
  <si>
    <t>me42v@nih.gov</t>
  </si>
  <si>
    <t>Ezike, Ngozi/AAL-3075-2021; Noren Hooten, Nicole/J-5498-2019; Liu, Qing-Rong/A-3059-2012</t>
  </si>
  <si>
    <t>Noren Hooten, Nicole/0000-0002-1683-3838; Lazo, Stephanie/0000-0001-8016-3181; Mode, Nicolle/0000-0002-8193-0554; Liu, Qing-Rong/0000-0001-8477-6452</t>
  </si>
  <si>
    <t>1474-9718</t>
  </si>
  <si>
    <t>1474-9726</t>
  </si>
  <si>
    <t>e13283</t>
  </si>
  <si>
    <t>10.1111/acel.13283</t>
  </si>
  <si>
    <t>DEC 2020</t>
  </si>
  <si>
    <t>Cell Biology; Geriatrics &amp; Gerontology</t>
  </si>
  <si>
    <t>WOS:000601040400001</t>
  </si>
  <si>
    <t>Lazaro-Ibanez, E; Lasser, C; Shelke, GV; Crescitelli, R; Jang, SC; Cvjetkovic, A; Garcia-Rodriguez, A; Lotvall, J</t>
  </si>
  <si>
    <t>Lazaro-Ibanez, Elisa; Lasser, Cecilia; Shelke, Ganesh Vilas; Crescitelli, Rossella; Jang, Su Chul; Cvjetkovic, Aleksander; Garcia-Rodriguez, Anais; Lotvall, Jan</t>
  </si>
  <si>
    <t>DNA analysis of low- and high-density fractions defines heterogeneous subpopulations of small extracellular vesicles based on their DNA cargo and topology</t>
  </si>
  <si>
    <t>Small extracellular vesicles; sEVs; exosomes; extracellular DNA; cell-free DNA; DNA topology; histones; density gradient</t>
  </si>
  <si>
    <t>DOUBLE-STRANDED DNA; HORIZONTAL TRANSFER; MEDIATED TRANSFER; MUTANT KRAS; EXOSOMES; MICROVESICLES; ACTIVATE; CELLS; MECHANISM; PROGRAM</t>
  </si>
  <si>
    <t>Extracellular vesicles have the capacity to transfer lipids, proteins, and nucleic acids between cells, thereby influencing the recipient cell's phenotype. While the role of RNAs in EVs has been extensively studied, the function of DNA remains elusive. Here, we distinguished novel heterogeneous subpopulations of small extracellular vesicles (sEVs) based on their DNA content and topology. Low- and high-density sEV subsets from a human mast cell line (HMC-1) and an erythroleukemic cell line (TF-1) were separated using high-resolution iodixanol density gradients to discriminate the nature of the DNA cargo of the sEVs. Paired comparisons of the sEV-associated DNA and RNA molecules showed that RNA was more abundant than DNA and that most of the DNA was present in the high-density fractions, demonstrating that sEV subpopulations have different DNA content. DNA was predominately localised on the outside or surface of sEVs, with only a small portion being protected from enzymatic degradation. Whole-genome sequencing identified DNA fragments spanning all chromosomes and mitochondrial DNA when sEVs were analysed in bulk. Our work contributes to the understanding of how DNA is associated with sEVs and thus provides direction for distinguishing subtypes of EVs based on their DNA cargo and topology.</t>
  </si>
  <si>
    <t>[Lazaro-Ibanez, Elisa; Lasser, Cecilia; Shelke, Ganesh Vilas; Crescitelli, Rossella; Jang, Su Chul; Cvjetkovic, Aleksander; Garcia-Rodriguez, Anais; Lotvall, Jan] Univ Gothenburg, Sahlgrenska Acad, Inst Med, Krefting Res Ctr, Gothenburg, Sweden</t>
  </si>
  <si>
    <t>University of Gothenburg</t>
  </si>
  <si>
    <t>Lazaro-Ibanez, E; Lotvall, J (corresponding author), Univ Gothenburg, Sahlgrenska Acad, Inst Med, Krefting Res Ctr, Gothenburg, Sweden.</t>
  </si>
  <si>
    <t>ellzaib.1988@gmail.com; jan.lotvall@gu.se</t>
  </si>
  <si>
    <t>Crescitelli, Rossella/AAC-8461-2022; Shelke, Ganesh/L-2853-2019</t>
  </si>
  <si>
    <t>Shelke, Ganesh/0000-0001-5883-8082; Crescitelli, Rossella/0000-0002-1714-3169; Lasser, Cecilia/0000-0003-1279-1746; Cvjetkovic, Aleksander/0000-0002-9131-9791; Lazaro-Ibanez, Elisa/0000-0002-3542-7069; Lotvall, Jan/0000-0001-9195-9249; Jang, Su Chul/0000-0003-3326-1007; Garcia-Rodriguez, Anais/0000-0001-8189-7021</t>
  </si>
  <si>
    <t>DEC 1</t>
  </si>
  <si>
    <t>10.1080/20013078.2019.1656993</t>
  </si>
  <si>
    <t>WOS:000482882600001</t>
  </si>
  <si>
    <t>Chang, XL; Fang, LQ; Bai, J; Wang, ZB</t>
  </si>
  <si>
    <t>Chang, Xiulin; Fang, Liaoqiong; Bai, Jin; Wang, Zhibiao</t>
  </si>
  <si>
    <t>Characteristics and Changes of DNA in Extracellular Vesicles</t>
  </si>
  <si>
    <t>DNA AND CELL BIOLOGY</t>
  </si>
  <si>
    <t>extracellular vesicles; DNA; histone; differences</t>
  </si>
  <si>
    <t>BIOLOGICAL SIGNIFICANCE; MEMBRANE-VESICLES; MITOCHONDRIAL-DNA; CIRCULATING DNA; EXOSOMES; MICROVESICLES; SERUM; IDENTIFICATION; TRAITS; CELLS</t>
  </si>
  <si>
    <t>Extracellular vesicles (EVs) have been known to carry multiple bioactive molecules, including lipids, mRNA/miRNA, and proteins. However, recent studies show that specific DNAs are also packed into EVs secreted by various cells, which are considered as powerful markers for diagnosis and prognosis of disease. DNAs in EVs are derived from parental cells, representing the mutation and even spanning of the whole genomic DNA of parental cells. Interestingly, increasing numbers of studies have found that the genetic materials in different EVs are not only universal but also random and different, which may be related to the size of EVs. In this review, we discuss the different characteristics of DNAs in EVs and the rules of their variation. We hope our review will trigger the continuing exploration of the origins, characteristics, and variations of DNAs in EVs.</t>
  </si>
  <si>
    <t>[Chang, Xiulin; Fang, Liaoqiong; Bai, Jin; Wang, Zhibiao] Chongqing Med Univ, Coll Biomed Engn, State Key Lab Ultrasound Engn Med Cofounded Chong, Chongqing Key Lab Biomed Engn, Chongqing 400016, Peoples R China</t>
  </si>
  <si>
    <t>Chongqing Medical University</t>
  </si>
  <si>
    <t>Wang, ZB (corresponding author), Chongqing Med Univ, Coll Biomed Engn, State Key Lab Ultrasound Engn Med Cofounded Chong, Chongqing Key Lab Biomed Engn, Chongqing 400016, Peoples R China.</t>
  </si>
  <si>
    <t>wangzb@cqmu.edu.cn</t>
  </si>
  <si>
    <t>1044-5498</t>
  </si>
  <si>
    <t>1557-7430</t>
  </si>
  <si>
    <t>SEP 1</t>
  </si>
  <si>
    <t>10.1089/dna.2019.5005</t>
  </si>
  <si>
    <t>JUN 2020</t>
  </si>
  <si>
    <t>Biochemistry &amp; Molecular Biology; Cell Biology; Genetics &amp; Heredity</t>
  </si>
  <si>
    <t>WOS:000541768700001</t>
  </si>
  <si>
    <t>Chang, WH; Cerione, RA; Antonyak, MA</t>
  </si>
  <si>
    <t>Robles-Flores, M</t>
  </si>
  <si>
    <t>Chang, Wen-Hsuan; Cerione, Richard A.; Antonyak, Marc A.</t>
  </si>
  <si>
    <t>Extracellular Vesicles and Their Roles in Cancer Progression</t>
  </si>
  <si>
    <t>CANCER CELL SIGNALING, 3 EDITION: Methods and Protocols</t>
  </si>
  <si>
    <t>Microvesicles; Extracellular vesicles; Intercellular communication; Exosomes; Tumor microenvironment; Multivesicular bodies; Therapy deliver system</t>
  </si>
  <si>
    <t>INTERCELLULAR TRANSFER; TRANSFERRIN RECEPTOR; EXOSOME SECRETION; PANCREATIC-CANCER; TUMOR-CELLS; MICROVESICLES; ADENOSINE; MECHANISMS; PROTEINS; BIOGENESIS</t>
  </si>
  <si>
    <t>Extracellular vesicles (EVs) produced by cancer cells function as a unique form of intercellular communication that can promote cell growth and survival, help shape the tumor microenvironment, and increase invasive and metastatic activity. There are two major classes of EVs, microvesicles (MVs) and exosomes, and they differ in how they are formed. MVs are generated by the outward budding and fission of the plasma membrane. On the other hand, exosomes are derived as multivesicular bodies (MVBs) fuse with the plasma membrane and release their contents. What makes EVs especially interesting is how they mediate their effects. Both MVs and exosomes have been shown to contain a wide-variety of bioactive cargo, including cell surface, cytosolic, and nuclear proteins, as well as RNA transcripts, micro-RNAs (miRNAs), and even fragments of DNA. EVs, and their associated cargo, can be transferred to other cancer cells, as well as to normal cell types, causing the recipient cells to undergo phenotypic changes that promote different aspects of cancer progression. These findings, combined with those demonstrating that the amounts and contents of EVs produced by cancer cells can vary depending on their cell of origin, stage of development, or response to therapies, have raised the exciting possibility that EVs can be used for diagnostic purposes. Moreover, the pharmaceutical community is aggressively pursuing the use of EVs as a potential drug delivery platform. Here, in this chapter, we will highlight what is currently known about how EVs are generated, how they impact cancer progression, and the different ways they are being exploited for clinical applications.</t>
  </si>
  <si>
    <t>[Chang, Wen-Hsuan; Cerione, Richard A.] Cornell Univ, Dept Chem &amp; Chem Biol, Ithaca, NY USA; [Cerione, Richard A.; Antonyak, Marc A.] Cornell Univ, Dept Mol Med, Ithaca, NY USA; [Cerione, Richard A.] Cornell Univ, Vet Med Ctr, Ithaca, NY USA</t>
  </si>
  <si>
    <t>Cornell University; Cornell University; Cornell University</t>
  </si>
  <si>
    <t>Chang, WH (corresponding author), Cornell Univ, Dept Chem &amp; Chem Biol, Ithaca, NY USA.</t>
  </si>
  <si>
    <t>Chang, Wen-Hsuan/AAG-2092-2021</t>
  </si>
  <si>
    <t>Chang, Wen-Hsuan/0000-0002-5751-6345; Reis, AlessanRSS/0000-0001-8486-7469</t>
  </si>
  <si>
    <t>978-1-0716-0759-6; 978-1-0716-0758-9</t>
  </si>
  <si>
    <t>10.1007/978-1-0716-0759-6_10</t>
  </si>
  <si>
    <t>10.1007/978-1-0716-0759-6</t>
  </si>
  <si>
    <t>Biochemical Research Methods; Biochemistry &amp; Molecular Biology; Oncology</t>
  </si>
  <si>
    <t>Biochemistry &amp; Molecular Biology; Oncology</t>
  </si>
  <si>
    <t>WOS:000684295200011</t>
  </si>
  <si>
    <t>Garcia-Silva, S; Ximenez-Embun, P; Munoz, J; Peinado, H</t>
  </si>
  <si>
    <t>Hargadon, KM</t>
  </si>
  <si>
    <t>Garcia-Silva, Susana; Ximenez-Embun, Pilar; Munoz, Javier; Peinado, Hector</t>
  </si>
  <si>
    <t>Postlymphadenectomy Analysis of Exosomes from Lymphatic Exudate/Exudative Seroma of Melanoma Patients</t>
  </si>
  <si>
    <t>MELANOMA: Methods and Protocols</t>
  </si>
  <si>
    <t>Lymphatic exudate; Lymphadenectomy; Extracellular vesicles; Exosomes; Ultracentrifugation; Iodixanol gradient</t>
  </si>
  <si>
    <t>CHAIN-REACTION ASSAY; EXTRACELLULAR VESICLES; NODE DISSECTION; CANCER EXOSOMES; MUTANT KRAS; DNA; CELLS; ULTRAFILTRATION; DRAINAGE; BLOOD</t>
  </si>
  <si>
    <t>Circulating extracellular vesicles in biofluids have become an interesting approach to analyse disease biomarkers. There are multiple methods for isolation of extracellular vesicles, though differential ultracentrifugation is still considered as the gold-standard isolation technique for exosomes. Furthermore, exosomes purified by this method have been demonstrated to display functional activity in vitro and in vivo and exhibit great versatility for subsequent analysis including proteomics, electron microscopy, mass spectrometry, or nucleic acid analysis. Here, we describe the method for isolation of exosomes from lymphatic exudate (seroma) obtained postlymphadenectomy for liquid biopsy approaches.</t>
  </si>
  <si>
    <t>[Garcia-Silva, Susana; Peinado, Hector] Spanish Natl Canc Res Ctr CNIO, Microenvironm &amp; Metastasis Lab, Mol Oncol Programme, Madrid, Spain; [Ximenez-Embun, Pilar; Munoz, Javier] Spanish Natl Canc Res Ctr CNIO, Prote Unit ProteoRed ISCIII, Madrid, Spain</t>
  </si>
  <si>
    <t>Centro Nacional de Investigaciones Oncologicas (CNIO); Centro Nacional de Investigaciones Oncologicas (CNIO)</t>
  </si>
  <si>
    <t>Garcia-Silva, S (corresponding author), Spanish Natl Canc Res Ctr CNIO, Microenvironm &amp; Metastasis Lab, Mol Oncol Programme, Madrid, Spain.</t>
  </si>
  <si>
    <t>Garcia-Silva, Susana/AAW-8528-2021; Munoz, Javier/I-4891-2012</t>
  </si>
  <si>
    <t>Garcia-Silva, Susana/0000-0003-1065-0245; Munoz, Javier/0000-0003-3288-3496</t>
  </si>
  <si>
    <t>978-1-0716-1205-7; 978-1-0716-1204-0</t>
  </si>
  <si>
    <t>10.1007/978-1-0716-1205-7_25</t>
  </si>
  <si>
    <t>10.1007/978-1-0716-1205-7</t>
  </si>
  <si>
    <t>Biochemical Research Methods; Oncology; Dermatology</t>
  </si>
  <si>
    <t>Biochemistry &amp; Molecular Biology; Oncology; Dermatology</t>
  </si>
  <si>
    <t>WOS:000685158600026</t>
  </si>
  <si>
    <t>D'Souza, A; Burch, A; Dave, KM; Sreeram, A; Reynolds, MJ; Dobbins, DX; Kamte, YS; Zhao, W; Sabatelle, C; Joy, GM; Soman, V; Chandran, UR; Shiva, SS; Quillinan, N; Herson, PS; Manickam, DS</t>
  </si>
  <si>
    <t>D'Souza, Anisha; Burch, Amelia; Dave, Kandarp M.; Sreeram, Aravind; Reynolds, Michael J.; Dobbins, Duncan X.; Kamte, Yashika S.; Zhao, Wanzhu; Sabatelle, Courtney; Joy, Gina M.; Soman, Vishal; Chandran, Uma R.; Shiva, Sruti S.; Quillinan, Nidia; Herson, Paco S.; Manickam, Devika S.</t>
  </si>
  <si>
    <t>Microvesicles transfer mitochondria and increase mitochondrial function in brain endothelial cells</t>
  </si>
  <si>
    <t>JOURNAL OF CONTROLLED RELEASE</t>
  </si>
  <si>
    <t>Extracellular vesicles; Microvesicles; Exosomes; Mitochondrial transfer; Mitochondrial function; BBB protection; Ischemic stroke</t>
  </si>
  <si>
    <t>DRUG-DELIVERY; EXTRACELLULAR VESICLES; MEMBRANE-VESICLES; MEDIATED TRANSFER; EXOSOMES; STROKE; ATP; DNA; MECHANISM; BARRIER</t>
  </si>
  <si>
    <t>We have demonstrated, for the first time that microvesicles, a sub-type of extracellular vesicles (EVs) derived from hCMEC/D3: a human brain endothelial cell (BEC) line transfer polarized mitochondria to recipient BECs in culture and to neurons in mice acute brain cortical and hippocampal slices. This mitochondrial transfer increased ATP levels by 100 to 200-fold (relative to untreated cells) in the recipient BECs exposed to oxygen-glucose deprivation, an in vitro model of cerebral ischemia. We have also demonstrated that transfer of microvesicles, the larger EV fraction, but not exosomes resulted in increased mitochondrial function in hypoxic endothelial cultures. Gene ontology and pathway enrichment analysis of EVs revealed a very high association to glycolysisrelated processes. In comparison to heterotypic macrophage-derived EVs, BEC-derived EVs demonstrated a greater selectivity to transfer mitochondria and increase endothelial cell survival under ischemic conditions.</t>
  </si>
  <si>
    <t>[D'Souza, Anisha; Dave, Kandarp M.; Dobbins, Duncan X.; Kamte, Yashika S.; Zhao, Wanzhu; Sabatelle, Courtney; Joy, Gina M.; Manickam, Devika S.] Duquesne Univ, Grad Sch Pharmaceut Sci, Pittsburgh, PA USA; [D'Souza, Anisha; Dave, Kandarp M.; Dobbins, Duncan X.; Kamte, Yashika S.; Zhao, Wanzhu; Sabatelle, Courtney; Joy, Gina M.; Manickam, Devika S.] Duquesne Univ, Sch Pharm, Pittsburgh, PA USA; [Burch, Amelia; Quillinan, Nidia; Herson, Paco S.] Univ Colorado, Dept Anesthesiol, Sch Med, Anschutz Med Campus, Aurora, CO USA; [Sreeram, Aravind] Coll William &amp; Mary, Williamsburg, VA USA; [Reynolds, Michael J.; Shiva, Sruti S.] Univ Pittsburgh, Sch Med, Heart Lung Blood Vasc Inst, Pittsburgh, PA 15260 USA; [Shiva, Sruti S.] Univ Pittsburgh, Pittsburgh Heart Lung Blood Vasc Inst, Dept Pharmacol &amp; Chem Biol, Sch Med, Pittsburgh, PA 15260 USA; [Soman, Vishal; Chandran, Uma R.] Univ Pittsburgh, Dept Biomed Informat, Sch Med, Pittsburgh, PA 15260 USA; [Herson, Paco S.] Ohio State Univ, Sch Med, Cerebrovasc Res Inst, Columbus, OH 43210 USA; [D'Souza, Anisha] Harvard Med Sch, Massachusetts Eye &amp; Ear Infirm, Boston, MA 02115 USA</t>
  </si>
  <si>
    <t>Duquesne University; Duquesne University; University of Colorado System; University of Colorado Anschutz Medical Campus; William &amp; Mary; Pennsylvania Commonwealth System of Higher Education (PCSHE); University of Pittsburgh; Pennsylvania Commonwealth System of Higher Education (PCSHE); University of Pittsburgh; Pennsylvania Commonwealth System of Higher Education (PCSHE); University of Pittsburgh; Ohio State University; Harvard University; Harvard Medical School; Massachusetts Eye &amp; Ear Infirmary</t>
  </si>
  <si>
    <t>Manickam, DS (corresponding author), 600 Forbes Ave,453 Mellon Hall, Pittsburgh, PA 15282 USA.</t>
  </si>
  <si>
    <t>soundaramanickd@duq.edu</t>
  </si>
  <si>
    <t>DSouza, Anisha A./AAH-9932-2019</t>
  </si>
  <si>
    <t>DSouza, Anisha A./0000-0003-2457-671X; S Manickam, Devika/0000-0002-6363-3679; Burch, Amelia/0000-0001-8533-4293; Reynolds, Michael/0000-0003-3550-0382</t>
  </si>
  <si>
    <t>0168-3659</t>
  </si>
  <si>
    <t>1873-4995</t>
  </si>
  <si>
    <t>OCT 10</t>
  </si>
  <si>
    <t>10.1016/j.jconrel.2021.08.038</t>
  </si>
  <si>
    <t>SEP 2021</t>
  </si>
  <si>
    <t>Chemistry, Multidisciplinary; Pharmacology &amp; Pharmacy</t>
  </si>
  <si>
    <t>Chemistry; Pharmacology &amp; Pharmacy</t>
  </si>
  <si>
    <t>WOS:000702763000008</t>
  </si>
  <si>
    <t>Popiolek, K; Grzesiak, M</t>
  </si>
  <si>
    <t>Popiolek, Katarzyna; Grzesiak, Malgorzata</t>
  </si>
  <si>
    <t>ISOLATION OF EXTRACELLULAR VESICLES - ADVANTAGES AND DISADVATAGES</t>
  </si>
  <si>
    <t>POSTEPY BIOLOGII KOMORKI</t>
  </si>
  <si>
    <t>extracellular vesicles; exosomes; isolation methods</t>
  </si>
  <si>
    <t>HIGH-YIELD ISOLATION; CANCER DEVELOPMENT; MICROVESICLES; MICROPARTICLES; EXOSOMES; FOCUS</t>
  </si>
  <si>
    <t>Extracellular vesicles are nanometer biological structures released from almost all cells in physiological and pathological conditions. They transport numerous active molecules (proteins, lipids, DNA and RNA) and represent a major mode of intercellular communication. Due to their functionality and the possibility of practical use as diagnostic markers of many diseases, they rapidly became an inspiration for the scientific community. Small size and structure of extracellular vesicles make difficult to find universal method of their isolation. Lack of standardization of present methods lead to explore new and universal techniques. This article is an overview of previously known and widely used methods of extracellular vesicles isolations, taking into account their advantages and disadvantages. In addition, individual types of vesicles were defined, indicating their biological importance and diagnostic application.</t>
  </si>
  <si>
    <t>[Popiolek, Katarzyna; Grzesiak, Malgorzata] Agr Univ Krakow, Katedra Fizjol &amp; Endokrynol Zwierzat, Ul Al Mickiewicza 24-28, PL-30059 Krakow, Poland</t>
  </si>
  <si>
    <t>Agricultural University Krakow</t>
  </si>
  <si>
    <t>Grzesiak, M (corresponding author), Agr Univ Krakow, Katedra Fizjol &amp; Endokrynol Zwierzat, Ul Al Mickiewicza 24-28, PL-30059 Krakow, Poland.</t>
  </si>
  <si>
    <t>malgorzata.grzesiak@urk.edu.pl</t>
  </si>
  <si>
    <t>0324-833X</t>
  </si>
  <si>
    <t>2080-2218</t>
  </si>
  <si>
    <t>Biology; Cell Biology</t>
  </si>
  <si>
    <t>Life Sciences &amp; Biomedicine - Other Topics; Cell Biology</t>
  </si>
  <si>
    <t>WOS:000458229300004</t>
  </si>
  <si>
    <t>Lee, D; Wee, KW; Kim, H; Han, SI; Kwak, S; Yoon, DS; Lee, JH</t>
  </si>
  <si>
    <t>Lee, Dohwan; Wee, Kyung Wook; Kim, Hyerin; Han, Sung Il; Kwak, Seungmin; Yoon, Dae Sung; Lee, Jeong Hoon</t>
  </si>
  <si>
    <t>Paper-Based Preconcentration and Isolation of Microvesicles and Exosomes</t>
  </si>
  <si>
    <t>JOVE-JOURNAL OF VISUALIZED EXPERIMENTS</t>
  </si>
  <si>
    <t>Biochemistry; Issue 158; paper-based microfluidics; ion concentration polarization; sample preconcentration; sample preparation; microvesicle; exosome</t>
  </si>
  <si>
    <t>EXTRACELLULAR VESICLES</t>
  </si>
  <si>
    <t>Microvesicles and exosomes are small membranous vesicles released to the extracellular environment and circulated throughout the body. Because they contain various parental cell-derived biomolecules such as DNA, mRNA, miRNA, proteins, and lipids, their enrichment and isolation are critical steps for their exploitation as potential biomarkers for clinical applications. However, conventional isolation methods (e.g., ultracentrifugation) cause significant loss and damage to microvesicles and exosomes. These methods also require multiple repetitive steps of ultracentrifugation, loading, and wasting of reagents. This article describes a detailed method to fabricate an origami-paper-based device (Exo-PAD) designed for the effective enrichment and isolation of microvesicles and exosomes in a simple manner. The unique design of the Exo-PAD, consisting of accordion-like multifolded layers with convergent sample areas, is integrated with the ion concentration polarization technique, thereby enabling fivefold enrichment of the microvesicles and exosomes on specific layers. In addition, the enriched microvesicles and exosomes are isolated by simply unfolding the Exo-PAD.</t>
  </si>
  <si>
    <t>[Lee, Dohwan; Wee, Kyung Wook; Kim, Hyerin; Han, Sung Il; Kwak, Seungmin; Lee, Jeong Hoon] Kwangwoon Univ, Dept Elect Engn, Seoul, South Korea; [Kwak, Seungmin] Korea Inst Sci &amp; Technol KIST, Seoul, South Korea; [Yoon, Dae Sung] Korea Univ, Sch Biomed Engn, Seoul, South Korea</t>
  </si>
  <si>
    <t>Kwangwoon University; Korea Institute of Science &amp; Technology (KIST); Korea University</t>
  </si>
  <si>
    <t>Lee, JH (corresponding author), Kwangwoon Univ, Dept Elect Engn, Seoul, South Korea.;Yoon, DS (corresponding author), Korea Univ, Sch Biomed Engn, Seoul, South Korea.</t>
  </si>
  <si>
    <t>dsyoon@korea.ac.kr; jhlee@kw.ac.kr</t>
  </si>
  <si>
    <t>Lee, Jeong Hoon/J-5534-2019</t>
  </si>
  <si>
    <t>Lee, Jeong Hoon/0000-0001-7344-6060</t>
  </si>
  <si>
    <t>1940-087X</t>
  </si>
  <si>
    <t>e61292</t>
  </si>
  <si>
    <t>10.3791/61292</t>
  </si>
  <si>
    <t>WOS:000530896100060</t>
  </si>
  <si>
    <t>Yuan, QL; Zhang, YG; Chen, Q</t>
  </si>
  <si>
    <t>Yuan, Qi-ling; Zhang, Yin-gang; Chen, Qian</t>
  </si>
  <si>
    <t>Mesenchymal Stem Cell (MSC)-Derived Extracellular Vesicles: Potential Therapeutics as MSC Trophic Mediators in Regenerative Medicine</t>
  </si>
  <si>
    <t>ANATOMICAL RECORD-ADVANCES IN INTEGRATIVE ANATOMY AND EVOLUTIONARY BIOLOGY</t>
  </si>
  <si>
    <t>extracellular vesicles; exosomes; mesenchymal stem cells; regenerative medicine</t>
  </si>
  <si>
    <t>STROMAL CELLS; NEUROVASCULAR PLASTICITY; FUNCTIONAL RECOVERY; BONE-MARROW; EXOSOMES; MICROVESICLES; ANGIOGENESIS; BIOGENESIS; ISCHEMIA; DELIVERY</t>
  </si>
  <si>
    <t>Mesenchymal stem cells (MSCs) are pluripotent progenitor cells with the capabilities of self-renewing, differentiating into multiple lineages, and achieving trophic effects during tissue repair. MSCs can secrete extracellular vesicles (EVs) including exosomes and microvesicles, which mediate their trophic effects on other cells. Carrying a variety of intracellular molecules of MSCs including lipids, proteins, RNA (mRNA and noncoding RNA), and DNA, EVs deliver them into other cells to regulate tissue regeneration process. The therapeutic effects of MSC-derived EVs have been observed in a number of animal disease models. In this review, we focus on the current state and future directions of MSC-derived EVs in regenerative medicine. Anat Rec, 2019. (c) 2019 Wiley Periodicals, Inc.</t>
  </si>
  <si>
    <t>[Yuan, Qi-ling; Zhang, Yin-gang] Xi An Jiao Tong Univ, Bone &amp; Joint Res Ctr, Dept Orthopaed, Affiliated Hosp 1, Xian, Peoples R China; [Chen, Qian] Brown Univ, Rhode Isl Hosp, Dept Orthopaed, Providence, RI 02903 USA</t>
  </si>
  <si>
    <t>Xi'an Jiaotong University; Brown University; Lifespan Health Rhode Island; Rhode Island Hospital</t>
  </si>
  <si>
    <t>Chen, Q (corresponding author), Brown Univ, Rhode Isl Hosp, Dept Orthopaed, Providence, RI 02903 USA.</t>
  </si>
  <si>
    <t>qian_chen@brown.edu</t>
  </si>
  <si>
    <t>Yuan, Qiling/AGX-7768-2022; Chen, Qian/C-4354-2011</t>
  </si>
  <si>
    <t>Yuan, Qiling/0000-0002-4822-2513; Chen, Qian/0000-0003-4406-5618</t>
  </si>
  <si>
    <t>1932-8486</t>
  </si>
  <si>
    <t>1932-8494</t>
  </si>
  <si>
    <t>SI</t>
  </si>
  <si>
    <t>10.1002/ar.24186</t>
  </si>
  <si>
    <t>Anatomy &amp; Morphology</t>
  </si>
  <si>
    <t>WOS:000535037500023</t>
  </si>
  <si>
    <t>Grigor'eva, AE; Tamkovich, SN; Eremina, AV; Tupikin, AE; Kabilov, MR; Chernykh, VV; Vlassov, VV; Laktionov, PP; Ryabchikova, EI</t>
  </si>
  <si>
    <t>Grigor'eva, A. E.; Tamkovich, S. N.; Eremina, A. V.; Tupikin, A. E.; Kabilov, M. R.; Chernykh, V. V.; Vlassov, V. V.; Laktionov, P. P.; Ryabchikova, E. I.</t>
  </si>
  <si>
    <t>Exosomes in Tears of Healthy Individuals: Isolation, Identification, and Characterization</t>
  </si>
  <si>
    <t>BIOCHEMISTRY MOSCOW-SUPPLEMENT SERIES B-BIOMEDICAL CHEMISTRY</t>
  </si>
  <si>
    <t>tears; electron microscopy; extracellular vesicles; exosomes; DNA</t>
  </si>
  <si>
    <t>EXTRACELLULAR VESICLES; CIRCULATING DNA; CANCER</t>
  </si>
  <si>
    <t>Exosomes represent a sort of extracellular vesicles, which transfer molecular signals in the body and contain markers of the exosome-producing cell. This study was aimed at search of exosomes in the tears of healthy humans, validation of their nature and examination of their morphological and molecular-biological characteristics. Samples of the tears individually collected from 24 healthy donors (aged 45-60 years) were centrifuged at 20000 g for 15 min to pellet cell debris. The supernatants were examined in an electron microscope using negative staining and were also used for isolation and purification of exosomes by filtration (100 nm pore-size) and double ultracentrifugation (90 min at 100000 g, 4 degrees C). Resultant pellets were investigated by electron microscopy and immunolabeling, RNA and DNA were isolated and their sizes were determined by capillary electrophoresis, concentration and localization of nucleic acids in the isolated exosomes were studied. DNA sequencing was performed using MiSeq (Illumina, USA), data were analyzed using CLC GW 7.5 (Qiagen, USA). Sequences were mapped on human genome (hg19). Supernatants of the tears contained cell debris, spherical microparticles (20-40 nm), and vesicles; some of the vesicles had morphology and sizes corresponding to exosomes. The pellets obtained after ultracentrifugation of tears contained microparticles (17%), spherical and cup-shaped vesicles (40-100 nm, 83%), which were positive for CD63, CD9, and CD24 receptors (specific markers of exosomes). The study revealed high concentrations of exosomes in human tears; these exosomes contained both RNA (of less than 200 nucleotides in size) and DNA (of 3-9 kb in size). DNA sequencing demonstrated that about 92% of the reads was mapped to human genome.</t>
  </si>
  <si>
    <t>[Grigor'eva, A. E.; Tamkovich, S. N.; Tupikin, A. E.; Kabilov, M. R.; Vlassov, V. V.; Laktionov, P. P.; Ryabchikova, E. I.] Russian Acad Sci, Siberian Branch, ICBFM, Pr Lavrenteva 8, Novosibirsk 630090, Russia; [Eremina, A. V.; Chernykh, V. V.] Fyodorov Eye Microsurg Complex, Novosibirsk Branch, Novosibirsk, Russia; [Tamkovich, S. N.] Novosibirsk State Univ, Novosibirsk, Russia</t>
  </si>
  <si>
    <t>Institute of Chemical Biology &amp; Fundamental Medicine, Siberian Branch of the RAS; Russian Academy of Sciences; Novosibirsk State University</t>
  </si>
  <si>
    <t>Ryabchikova, EI (corresponding author), Russian Acad Sci, Siberian Branch, ICBFM, Pr Lavrenteva 8, Novosibirsk 630090, Russia.</t>
  </si>
  <si>
    <t>lenryab@yandex.ru</t>
  </si>
  <si>
    <t>Tupikin, Alexey E/G-1660-2015; Kabilov, Marsel R./B-6669-2013; Chernykh, Valery/AAH-6121-2020; Ryabchikova, Elena/G-3089-2013; Tupikin, Alexey/AAE-9025-2021; Trunov, Aleksandr/R-7867-2019; Grigor’eva, Alina/I-3881-2014; Vlassov, Valentin/F-4720-2013; Tamkovich, Svetlana/G-9790-2013</t>
  </si>
  <si>
    <t>Tupikin, Alexey E/0000-0002-8194-0322; Kabilov, Marsel R./0000-0003-2777-0833; Ryabchikova, Elena/0000-0003-4714-1524; Tupikin, Alexey/0000-0002-8194-0322; Trunov, Aleksandr/0000-0002-7592-8984; Vlassov, Valentin/0000-0003-2845-2992; Grigor'eva, Alina/0000-0001-9853-223X; Tamkovich, Svetlana/0000-0001-7774-943X</t>
  </si>
  <si>
    <t>1990-7508</t>
  </si>
  <si>
    <t>1990-7516</t>
  </si>
  <si>
    <t>10.1134/S1990750816020049</t>
  </si>
  <si>
    <t>Emerging Sources Citation Index (ESCI)</t>
  </si>
  <si>
    <t>WOS:000383051100008</t>
  </si>
  <si>
    <t>Neuberger, EWI; Hillen, B; Mayr, K; Simon, P; Kramer-Albers, EM; Brahmer, A</t>
  </si>
  <si>
    <t>Neuberger, Elmo W., I; Hillen, Barlo; Mayr, Katharina; Simon, Perikles; Kraemer-Albers, Eva-Maria; Brahmer, Alexandra</t>
  </si>
  <si>
    <t>Kinetics and Topology of DNA Associated with Circulating Extracellular Vesicles Released during Exercise</t>
  </si>
  <si>
    <t>extracellular vesicles; exosomes; cell-free DNA; extracellular DNA; corona; intraluminal; physical exercise; vesicular genomic DNA; human plasma</t>
  </si>
  <si>
    <t>Although it is widely accepted that cancer-derived extracellular vesicles (EVs) carry DNA cargo, the association of cell-free circulating DNA (cfDNA) and EVs in plasma of healthy humans remains elusive. Using a physiological exercise model, where EVs and cfDNA are synchronously released, we aimed to characterize the kinetics and localization of DNA associated with EVs. EVs were separated from human plasma using size exclusion chromatography or immuno-affinity capture for CD9(+), CD63(+), and CD81(+) EVs. DNA was quantified with an ultra-sensitive qPCR assay targeting repetitive LINE elements, with or without DNase digestion. This model shows that a minute part of circulating cell-free DNA is associated with EVs. During rest and following exercise, only 0.12% of the total cfDNA occurs in association with CD9(+)/CD63(+)/CD81(+)EVs. DNase digestion experiments indicate that the largest part of EV associated DNA is sensitive to DNase digestion and only similar to 20% are protected within the lumen of the separated EVs. A single bout of running or cycling exercise increases the levels of EVs, cfDNA, and EV-associated DNA. While EV surface DNA is increasing, DNAse-resistant DNA remains at resting levels, indicating that EVs released during exercise (ExerVs) do not contain DNA. Consequently, DNA is largely associated with the outer surface of circulating EVs. ExerVs recruit cfDNA to their corona, but do not carry DNA in their lumen.</t>
  </si>
  <si>
    <t>[Neuberger, Elmo W., I; Hillen, Barlo; Simon, Perikles; Brahmer, Alexandra] Johannes Gutenberg Univ Mainz, Dept Sports Med Rehabil &amp; Dis Prevent, D-55099 Mainz, Germany; [Mayr, Katharina; Kraemer-Albers, Eva-Maria; Brahmer, Alexandra] Johannes Gutenberg Univ Mainz, Inst Dev Biol &amp; Neurobiol, Extracellular Vesicles Res Grp, D-55099 Mainz, Germany</t>
  </si>
  <si>
    <t>Neuberger, EWI; Brahmer, A (corresponding author), Johannes Gutenberg Univ Mainz, Dept Sports Med Rehabil &amp; Dis Prevent, D-55099 Mainz, Germany.;Brahmer, A (corresponding author), Johannes Gutenberg Univ Mainz, Inst Dev Biol &amp; Neurobiol, Extracellular Vesicles Res Grp, D-55099 Mainz, Germany.</t>
  </si>
  <si>
    <t>neuberge@uni-mainz.de; b.hillen@uni-mainz.de; K.Mayr@imb-mainz.de; simonpe@uni-mainz.de; alberse@uni-mainz.de; albrahme@uni-mainz.de</t>
  </si>
  <si>
    <t>Hillen, Barlo/GPP-3526-2022; Simon, Perikles D/B-2293-2013</t>
  </si>
  <si>
    <t>Hillen, Barlo/0000-0002-5090-2286; Simon, Perikles D/0000-0002-7996-4034; Neuberger, Elmo Wanja Immanuel/0000-0003-2021-6477; Kramer-Albers, Eva-Maria/0000-0001-7994-1185; Brahmer, Alexandra/0000-0001-5963-4209</t>
  </si>
  <si>
    <t>10.3390/genes12040522</t>
  </si>
  <si>
    <t>WOS:000643026900001</t>
  </si>
  <si>
    <t>Garcia-Romero, N; Rackov, G; Belda-Iniesta, C; Ayuso-Sacido, A</t>
  </si>
  <si>
    <t>Kuo, WP; Jia, S</t>
  </si>
  <si>
    <t>Garcia-Romero, Noemi; Rackov, Gorjana; Belda-Iniesta, Cristobal; Ayuso-Sacido, Angel</t>
  </si>
  <si>
    <t>The Use of Peripheral Extracellular Vesicles for Identification of Molecular Biomarkers in a Solid Tumor Mouse Model</t>
  </si>
  <si>
    <t>EXTRACELLULAR VESICLES: METHODS AND PROTOCOLS</t>
  </si>
  <si>
    <t>Extracellular vesicles; Glioblastoma; Xenograft; Biomarkers; Peripheral blood</t>
  </si>
  <si>
    <t>TRANSFERRIN RECEPTOR; MICROVESICLES</t>
  </si>
  <si>
    <t>Extracellular vesicles (EVs) have been increasingly recognized as a potential source of disease biomarkers, since they contain a multitude of biologically active protein, DNA and RNA species, and they can be retrieved from circulating blood of patients. Here, we describe a protocol for DNA extraction from exosomes, shedding microvesicles and apoptotic bodies isolated from peripheral blood in a mouse xenograft model of solid tumor. In this model, human DNA isolated from tumor-derived EVs can be readily distinguished from the one of the hosts, which is of particular interest for studies aimed at molecular characterization of tumor biomarkers.</t>
  </si>
  <si>
    <t>[Garcia-Romero, Noemi; Rackov, Gorjana; Ayuso-Sacido, Angel] Inst Madrileno Estudios Avanzados, IMDEA Nanociencia, Madrid, Spain; [Garcia-Romero, Noemi; Rackov, Gorjana; Belda-Iniesta, Cristobal; Ayuso-Sacido, Angel] Hosp Madrid Grp, Fdn Invest HM Hosp, Madrid, Spain; [Ayuso-Sacido, Angel] San Pablo CEU Univ, Sch Med, Inst Med Mol Aplicada IMMA, Madrid, Spain</t>
  </si>
  <si>
    <t>San Pablo CEU University</t>
  </si>
  <si>
    <t>Garcia-Romero, N (corresponding author), Inst Madrileno Estudios Avanzados, IMDEA Nanociencia, Madrid, Spain.;Garcia-Romero, N (corresponding author), Hosp Madrid Grp, Fdn Invest HM Hosp, Madrid, Spain.</t>
  </si>
  <si>
    <t>Rackov, Gorjana/AAC-4954-2021; Sacido, Angel Ayuso/AAV-9331-2021</t>
  </si>
  <si>
    <t>Rackov, Gorjana/0000-0001-6561-6357; Sacido, Angel Ayuso/0000-0003-3919-5880; GARCIA-ROMERO, NOEMI/0000-0001-7744-8848; Belda Iniesta, Cristobal/0000-0003-3254-7492</t>
  </si>
  <si>
    <t>978-1-4939-7253-1; 978-1-4939-7251-7</t>
  </si>
  <si>
    <t>10.1007/978-1-4939-7253-1_33</t>
  </si>
  <si>
    <t>10.1007/978-1-4939-7253-1</t>
  </si>
  <si>
    <t>Biochemical Research Methods; Biochemistry &amp; Molecular Biology; Cell Biology</t>
  </si>
  <si>
    <t>Biochemistry &amp; Molecular Biology; Cell Biology</t>
  </si>
  <si>
    <t>WOS:000429457100034</t>
  </si>
  <si>
    <t>Lazaro-Ibanez, E; Sanz-Garcia, A; Visakorpi, T; Escobedo-Lucea, C; Siljander, P; Ayuso-Sacido, A; Yliperttula, M</t>
  </si>
  <si>
    <t>Lazaro-Ibanez, Elisa; Sanz-Garcia, Andres; Visakorpi, Tapio; Escobedo-Lucea, Carmen; Siljander, Pia; Ayuso-Sacido, Angel; Yliperttula, Marjo</t>
  </si>
  <si>
    <t>Different gDNA Content in the Subpopulations of Prostate Cancer Extracellular Vesicles: Apoptotic Bodies, Microvesicles, and Exosomes</t>
  </si>
  <si>
    <t>PROSTATE</t>
  </si>
  <si>
    <t>HORIZONTAL TRANSFER; PROGENITOR CELLS; MICRORNAS; GENE; RNA</t>
  </si>
  <si>
    <t>BACKGROUND. Extracellular vesicles (EVs) are cell-derived membrane vesicles. EVs contain several RNAs such as mRNA, microRNAs, and ncRNAs, but less is known of their genomic DNA (gDNA) content. It is also unknown whether the DNA cargo is randomly sorted or if it is systematically packed into specific EV subpopulations. The aim of this study was to analyze whether different prostate cancer (PCa) cell-derived EV subpopulations (apoptotic bodies, microvesicles, and exosomes) carry different gDNA fragments. METHODS. EV subpopulations were isolated from three PCa cell lines (LNCaP, PC-3, and RC92a/hTERT) and the plasma of PCa patients and healthy donors, and characterized by transmission electron microscopy, nanoparticle tracking analysis and total protein content. gDNA fragments of different genes were detected by real time quantitative PCR and confirmed by DNA sequencing. RESULTS. We report that the concentration of EVs was higher in the cancer patients than in the healthy controls. EV subpopulations differed from each other in terms of total protein and DNA content. Analysis of gDNA fragments of MLH1, PTEN, and TP53 genes from the PCa cell-derived EV subpopulations showed that different EVs carried different gDNA content, which could even harbor specific mutations. Altogether, these results suggest that both nucleic acids and proteins are selectively and cell-dependently packed into the EV subtypes. CONCLUSIONS. EVs derived from PCa cell lines and human plasma samples contain double-stranded gDNA fragments which could be used to detect specific mutations, making EVs potential biomarkers for cancer diagnostics and prognostics. (C) 2014 The Authors. The Prostate published by Wiley Periodicals, Inc.</t>
  </si>
  <si>
    <t>[Lazaro-Ibanez, Elisa; Sanz-Garcia, Andres; Escobedo-Lucea, Carmen; Siljander, Pia; Ayuso-Sacido, Angel; Yliperttula, Marjo] Univ Helsinki, Div Pharmaceut Biosci, Fac Pharm, Helsinki, Finland; [Visakorpi, Tapio] Univ Tampere, Inst Biomed Technol &amp; BioMediTech, FIN-33101 Tampere, Finland; [Visakorpi, Tapio] Tampere Univ Hosp, Tampere, Finland; [Siljander, Pia] Univ Helsinki, Dept Biosci, Div Biochem &amp; Biotechnol, Helsinki, Finland; [Ayuso-Sacido, Angel] Fdn Hosp Madrid, IMMA CIOCC, Madrid, Spain</t>
  </si>
  <si>
    <t>University of Helsinki; Tampere University; Tampere University; Tampere University Hospital; University of Helsinki</t>
  </si>
  <si>
    <t>Yliperttula, M (corresponding author), Univ Helsinki, Div Pharmaceut Biosci, Fac Pharm, Helsinki, Finland.</t>
  </si>
  <si>
    <t>ayusosacido@fundacionhm.com; marjo.yliperttula@helsinki.fi</t>
  </si>
  <si>
    <t>Lucea, Carmen Escobedo/X-8015-2019; Sanz-Garcia, Andres/F-7981-2012; Sacido, Angel Ayuso/AAV-9331-2021; Escobedo-Lucea, Carmen/J-2846-2013</t>
  </si>
  <si>
    <t>Sanz-Garcia, Andres/0000-0003-0413-4965; Sacido, Angel Ayuso/0000-0003-3919-5880; Escobedo-Lucea, Carmen/0000-0002-5642-0536; Siljander, Pia/0000-0003-2326-5821; Lazaro-Ibanez, Elisa/0000-0002-3542-7069; Visakorpi, Tapio/0000-0002-5004-0364</t>
  </si>
  <si>
    <t>0270-4137</t>
  </si>
  <si>
    <t>1097-0045</t>
  </si>
  <si>
    <t>10.1002/pros.22853</t>
  </si>
  <si>
    <t>Endocrinology &amp; Metabolism; Urology &amp; Nephrology</t>
  </si>
  <si>
    <t>WOS:000341019400003</t>
  </si>
  <si>
    <t>Kooijmans, SAA; Schiffelers, RM; Zarovni, N; Vago, R</t>
  </si>
  <si>
    <t>Kooijmans, Sander A. A.; Schiffelers, Raymond M.; Zarovni, Natasa; Vago, Riccardo</t>
  </si>
  <si>
    <t>Modulation of tissue tropism and biological activity of exosomes and other extracellular vesicles: New nanotools for cancer treatment</t>
  </si>
  <si>
    <t>PHARMACOLOGICAL RESEARCH</t>
  </si>
  <si>
    <t>Exosomes; Drug delivery; Extracellular vesicles; Cancer treatment; Targeted therapy; Diagnostic nanosystems</t>
  </si>
  <si>
    <t>MESENCHYMAL STROMAL CELLS; DRUG-DELIVERY VEHICLES; PROMOTE TUMOR-GROWTH; BREAST-CANCER; STEM-CELLS; IN-VITRO; B16BL6-DERIVED EXOSOMES; QUANTITATIVE-ANALYSIS; INTERFERING RNA; MICRORNA</t>
  </si>
  <si>
    <t>Exosomes are naturally secreted nanovesicles that have recently aroused a great interest in the scientific and clinical community for their roles in intercellular communication in almost all physiological and pathological processes. These 30-100 nm sized vesicles are released from the cells into the extracellular space and ultimately into biofluids in a tightly regulated way. Their molecular composition reflects their cells of origin, may confer specific cell or tissue tropism and underlines their biological activity. Exosomes and other extracellular vesicles (EVs) carry specific sets of proteins, nucleic acids (DNA, mRNA and regulatory RNAs), lipids and metabolites that represent an appealing source of novel noninvasive markers through biofluid biopsies. Exosome-shuttled molecules maintain their biological activity and are capable of modulating and reprogramming recipient cells. This multi-faceted nature of exosomes hold great promise for improving cancer treatment featuring them as novel diagnostic sensors as well as therapeutic effectors and drug delivery vectors. Natural biological activity including the therapeutic payload and targeting behavior of EVs can be tuned via genetic and chemical engineering. In this review we describe the properties that EVs share with conventional synthetic nanoparticles, including size, liposome-like membrane bilayer with customizable surface, and multifunctional capacity. We also highlight unique characteristics of EVs, which possibly allow them to circumvent some limitations of synthetic nanoparticle systems and facilitate clinical translation. The latter are in particular correlated with their innate stability, ability to cross biological barriers, efficiently deliver bioactive cargos or evade immune recognition. Furthermore, we discuss the potential roles for EVs in diagnostics and theranostics, and highlight the challenges that still need to be overcome before EVs can be applied to routine clinical practice. (C) 2016 Elsevier Ltd. All rights reserved.</t>
  </si>
  <si>
    <t>[Kooijmans, Sander A. A.; Schiffelers, Raymond M.] Univ Med Ctr Utrecht, Dept Clin Chem &amp; Hematol, Utrecht, Netherlands; [Zarovni, Natasa] Estonia &amp; Exos Siena SpA, HansaBioMed OU Tallinn, Siena, Estonia; [Vago, Riccardo] IRCCS San Raffaele Hosp, Urol Res Inst, Div Expt Oncol, Milan, Italy; [Vago, Riccardo] Univ Vita Salute San Raffaele, Milan, Italy</t>
  </si>
  <si>
    <t>Utrecht University; Utrecht University Medical Center; IRCCS Ospedale San Raffaele; Vita-Salute San Raffaele University; Vita-Salute San Raffaele University</t>
  </si>
  <si>
    <t>Vago, R (corresponding author), IRCCS San Raffaele Hosp, Urol Res Inst, Div Expt Oncol, Milan, Italy.</t>
  </si>
  <si>
    <t>vago.riccardo@hsr.it</t>
  </si>
  <si>
    <t>Schiffelers, Raymond/E-8786-2011; Vago, Riccardo/K-3256-2018</t>
  </si>
  <si>
    <t>Schiffelers, Raymond/0000-0002-1012-9815; Vago, Riccardo/0000-0002-3781-6770</t>
  </si>
  <si>
    <t>1043-6618</t>
  </si>
  <si>
    <t>SEP</t>
  </si>
  <si>
    <t>10.1016/j.phrs.2016.07.006</t>
  </si>
  <si>
    <t>Pharmacology &amp; Pharmacy</t>
  </si>
  <si>
    <t>WOS:000384784000047</t>
  </si>
  <si>
    <t>O'Neil, EV; Burns, GW; Spencer, TE</t>
  </si>
  <si>
    <t>O'Neil, Eleanore, V; Burns, Gregory W.; Spencer, Thomas E.</t>
  </si>
  <si>
    <t>Extracellular vesicles: Novel regulators of conceptus-uterine interactions?</t>
  </si>
  <si>
    <t>THERIOGENOLOGY</t>
  </si>
  <si>
    <t>Extracellular vesicle; Uterus; Conceptus; Pregnancy</t>
  </si>
  <si>
    <t>ENDOGENOUS RETROVIRUSES; IMMUNE PRIVILEGE; NORMAL-PREGNANCY; FAS LIGAND; EXOSOMES; MICRORNAS; PLACENTA; EMBRYO; RNA; MICROVESICLES</t>
  </si>
  <si>
    <t>This review focuses on extracellular vesicles (EV) in the uterus and their potential biological roles as mediators of conceptus-uterine interactions essential for implantation and pregnancy establishment. Growing evidence supports the idea that EV are produced by both the endometrium and conceptus during pregnancy. Exosomes and microvesicles, collectively termed EV, mediate cell-cell communication in other tissues and organs. EV have distinct cargo, including lipids, proteins, RNAs, and DNA, that vary depending on the cell of origin and regulate processes including angiogenesis, adhesion, proliferation, cell survival, inflammation, and immune response in recipient cells. Molecular crosstalk between the endometrial epithelium and the blastocyst/conceptus, particularly the trophectoderm, regulates early pregnancy events and is a prerequisite for successful implantation. Trafficking of EV between the conceptus and endometrium may represent a key form of communication important for pregnancy establishment. Increased understanding of EV in the uterine environment and their physiological roles in endometrial-conceptus interactions is expected to provide opportunities to improve pregnancy success. (C) 2020 Elsevier Inc. All rights reserved.</t>
  </si>
  <si>
    <t>[O'Neil, Eleanore, V; Burns, Gregory W.; Spencer, Thomas E.] Univ Missouri, Div Anim Sci, Columbia, MO 65203 USA</t>
  </si>
  <si>
    <t>University of Missouri System; University of Missouri Columbia</t>
  </si>
  <si>
    <t>Spencer, TE (corresponding author), Univ Missouri, Div Anim Sci, Columbia, MO 65203 USA.</t>
  </si>
  <si>
    <t>spencerte@missouri.edu</t>
  </si>
  <si>
    <t>O'Neil, Eleanore/0000-0002-4919-2715; Burns, Gregory/0000-0003-0021-4319</t>
  </si>
  <si>
    <t>0093-691X</t>
  </si>
  <si>
    <t>1879-3231</t>
  </si>
  <si>
    <t>JUL 1</t>
  </si>
  <si>
    <t>10.1016/j.theriogenology.2020.01.083</t>
  </si>
  <si>
    <t>Reproductive Biology; Veterinary Sciences</t>
  </si>
  <si>
    <t>WOS:000533539400016</t>
  </si>
  <si>
    <t>Seo, N; Nakamura, J; Kaneda, T; Tateno, H; Shimoda, A; Ichiki, T; Furukawa, K; Hirabayashi, J; Akiyoshi, K; Shiku, H</t>
  </si>
  <si>
    <t>Seo, Naohiro; Nakamura, Junko; Kaneda, Tsuguhiro; Tateno, Hiroaki; Shimoda, Asako; Ichiki, Takanori; Furukawa, Koichi; Hirabayashi, Jun; Akiyoshi, Kazunari; Shiku, Hiroshi</t>
  </si>
  <si>
    <t>Distinguishing functional exosomes and other extracellular vesicles as a nucleic acid cargo by the anion-exchange method</t>
  </si>
  <si>
    <t>anion-exchange; exosome; extracellular vesicle; large-preparation; membrane charge; microvesicle; ultra-filtration</t>
  </si>
  <si>
    <t>MEMBRANE-VESICLES; RELEASE; PHOSPHATIDYLSERINE; MICROVESICLES; CELLS; BIOGENESIS; LYMPHOCYTE; EXPRESSION; SECRETION; EXPOSURE</t>
  </si>
  <si>
    <t>The development of a new large-scale purification protocol is required for research on the reliable bioactivity and drug discovery of extracellular vesicles (EVs). To address this issue, herein, we propose an effective method for preparing high-performance exosomes (EXOs) by using an anion-exchange method. Cytotoxic T-lymphocyte (CTL) EVs from 4 L of culture supernatant through a 220 nm cut-off filter are divided into two populations at a deproteinization rate of over 99.97%, which are eluted at low (0.15 M-0.3 M) and high (0.3 M-0.5 M) NaCl concentrations (approximately 2 x 10(12) and 1.5 x 10(12) particles, respectively) through the anion-exchange column chromatography. The former are abundant in EXO proteins, including late endosome-associated proteins and rab-family and integrin-family proteins, and functional micro (mi) RNAs, and have bioactivity for preventing tumour metastasis by depleting mesenchymal cell populations in the primary tumour lesions. By contrast, the latter is microvesicle (MV)-like particles including DNA, core histone and ribosomal proteins, and GC-rich miRNAs with unknown function, and are easily phagocytosed by mannose receptor(+) Kupffer cells. Thus, the anion-exchange method is suitable for the large-scale separation of bioactive EXOs and MV-like EVs as a cargo for dangerous nucleic acids at high-purity.</t>
  </si>
  <si>
    <t>[Seo, Naohiro; Nakamura, Junko; Kaneda, Tsuguhiro; Shiku, Hiroshi] Mie Univ, Dept Personalized Canc Immunotherapy, Grad Sch Med, 2-174 Edobashi, Tsu, Mie 5148507, Japan; [Seo, Naohiro; Tateno, Hiroaki; Shimoda, Asako; Furukawa, Koichi; Hirabayashi, Jun; Akiyoshi, Kazunari] Japan Sci &amp; Technol Agcy JST, Core Res Evolut Sci &amp; Technol CREST, Tokyo, Japan; [Tateno, Hiroaki] Natl Inst Adv Ind Sci &amp; Technol, Res Ctr Med Glycosci, Tsukuba, Japan; [Shimoda, Asako; Akiyoshi, Kazunari] Kyoto Univ, Katsura Inttech Ctr, Grad Sch Engn, Dept Polymer Chem, Kyoto, Japan; [Ichiki, Takanori] Univ Tokyo, Sch Engn, Dept Mat Engn, Tokyo, Japan; [Furukawa, Koichi] Chubu Univ, Dept Biomed Sci, Coll Life &amp; Hlth Sci, Kasugai, Aichi, Japan; [Hirabayashi, Jun] Nagoya Univ, Inst Glycocore Res iGCORE, Nagoya, Aichi, Japan</t>
  </si>
  <si>
    <t>Mie University; Japan Science &amp; Technology Agency (JST); National Institute of Advanced Industrial Science &amp; Technology (AIST); Kyoto University; University of Tokyo; Chubu University; Nagoya University</t>
  </si>
  <si>
    <t>Seo, N (corresponding author), Mie Univ, Dept Personalized Canc Immunotherapy, Grad Sch Med, 2-174 Edobashi, Tsu, Mie 5148507, Japan.</t>
  </si>
  <si>
    <t>seo-naohiro@med.mie-u.ac.jp</t>
  </si>
  <si>
    <t>Tateno, Hiroaki/M-2706-2018; Ichiki, Takanori/E-6430-2014; Hirabayashi, Jun/M-3998-2018</t>
  </si>
  <si>
    <t>Tateno, Hiroaki/0000-0003-3006-1659; Furukawa, Koichi/0000-0002-3321-9784; Seo, Naohiro/0000-0002-8556-2437; Ichiki, Takanori/0000-0002-3917-7140; Hirabayashi, Jun/0000-0002-8571-359X</t>
  </si>
  <si>
    <t>MAR</t>
  </si>
  <si>
    <t>e12205</t>
  </si>
  <si>
    <t>10.1002/jev2.12205</t>
  </si>
  <si>
    <t>WOS:000768511000001</t>
  </si>
  <si>
    <t>Aharon, A</t>
  </si>
  <si>
    <t>Aharon, Anat</t>
  </si>
  <si>
    <t>The role of extracellular vesicles in placental vascular complications</t>
  </si>
  <si>
    <t>THROMBOSIS RESEARCH</t>
  </si>
  <si>
    <t>Extracellular membrane vesicles (EVs); Exosomes; Microparticles (MPs); microRNA (miRNA); Pregnancy; Gestational vascular complications (GVC)</t>
  </si>
  <si>
    <t>FACTOR PATHWAY INHIBITOR; TISSUE-FACTOR; INTERCELLULAR COMMUNICATION; ACTIVATED PLATELETS; ENDOTHELIAL-CELLS; MICROPARTICLES; MICRORNAS; EXOSOMES; PREECLAMPSIA; BLOOD</t>
  </si>
  <si>
    <t>Extracellular membrane vesicles (EVs) also termed microvesicles (MVs) are secreted from different cells, are present in the blood circulation under normal physiological conditions, and their levels increase in a wide range of disease states. EVs contain proteins, growth and apoptotic factors, DNA fragments, microRNAs as well as messenger RNAs (mRNAs); therefore, they may function as regulators in cell-cell communication and mediators of cell signaling during multiple biological processes. The current review focuses on the role of EVs in healthy pregnancy and gestational vascular complications and discusses the involvement of EVs in gene regulation, placental hemostasis and cell function that overall reflect the placental-maternal crosstalk. (C) 2015 Elsevier Ltd. All rights reserved.</t>
  </si>
  <si>
    <t>[Aharon, Anat] Rambam Hlth Care Campus, Dept Hematol, Microvesicles Res Lab, Thrombosis &amp; Hemostasis Unit, IL-31096 Haifa, Israel; [Aharon, Anat] Technion Israel Inst Technol, Bruce Rappaport Fac Med, Haifa, Israel</t>
  </si>
  <si>
    <t>Rambam Health Care Campus; Technion Israel Institute of Technology; Rappaport Faculty of Medicine</t>
  </si>
  <si>
    <t>Aharon, A (corresponding author), Rambam Hlth Care Campus, Dept Hematol, Microvesicles Res Lab, Thrombosis &amp; Hemostasis Unit, POB 9602, IL-31096 Haifa, Israel.</t>
  </si>
  <si>
    <t>a_aharon@yahoo.com</t>
  </si>
  <si>
    <t>0049-3848</t>
  </si>
  <si>
    <t>S23</t>
  </si>
  <si>
    <t>S25</t>
  </si>
  <si>
    <t>10.1016/S0049-3848(15)50435-0</t>
  </si>
  <si>
    <t>Hematology; Peripheral Vascular Disease</t>
  </si>
  <si>
    <t>Hematology; Cardiovascular System &amp; Cardiology</t>
  </si>
  <si>
    <t>WOS:000349632300006</t>
  </si>
  <si>
    <t>Saari, H; Turunen, T; Lohmus, A; Turunen, M; Jalasvuori, M; Butcher, SJ; Yla-Herttuala, S; Viitala, T; Cerullo, V; Siljander, PRM; Yliperttula, M</t>
  </si>
  <si>
    <t>Saari, Heikki; Turunen, Tiia; Lohmus, Andres; Turunen, Mikko; Jalasvuori, Matti; Butcher, Sarah J.; Yla-Herttuala, Seppo; Viitala, Tapani; Cerullo, Vincenzo; Siljander, Pia R. M.; Yliperttula, Marjo</t>
  </si>
  <si>
    <t>Extracellular vesicles provide a capsid-free vector for oncolytic adenoviral DNA delivery</t>
  </si>
  <si>
    <t>Extracellular vesicles; adenovirus; cancer therapy; DNA delivery</t>
  </si>
  <si>
    <t>HEPATITIS-B-VIRUS; GENE DELIVERY; CELLS; EXOSOMES; MICROVESICLES; MECHANISM; MICROPARTICLES; TETRASPANIN; AUTOPHAGY; PATHWAY</t>
  </si>
  <si>
    <t>Extracellular vesicles (EVs) have been showcased as auspicious candidates for delivering therapeutic cargo, including oncolytic viruses for cancer treatment. Delivery of oncolytic viruses in EVs could provide considerable advantages, hiding the viruses from the immune system and providing alternative entry pathways into cancer cells. Here we describe the formation and viral cargo of EVs secreted by cancer cells infected with an oncolytic adenovirus (IEVs, infected cell-derived EVs) as a function of time after infection. IEVs were secreted already before the lytic release of virions and their structure resembled normally secreted EVs, suggesting that they were not just apoptotic fragments of infected cells. IEVs were able to carry the viral genome and induce infection in other cancer cells. As such, the role of EVs in the life cycle of adenoviruses may be an important part of a successful infection and may also be harnessed for cancer- and gene therapy.</t>
  </si>
  <si>
    <t>[Saari, Heikki; Lohmus, Andres; Viitala, Tapani; Cerullo, Vincenzo; Siljander, Pia R. M.; Yliperttula, Marjo] Univ Helsinki, Fac Pharm, Div Pharmaceut Biosci, POB 56,Viikinkaari 5, FIN-00014 Helsinki, Finland; [Saari, Heikki; Lohmus, Andres; Viitala, Tapani; Cerullo, Vincenzo; Siljander, Pia R. M.; Yliperttula, Marjo] Univ Helsinki, Fac Pharm, Drug Res Program, POB 56,Viikinkaari 5, FIN-00014 Helsinki, Finland; [Turunen, Tiia; Turunen, Mikko; Yla-Herttuala, Seppo] Univ Eastern Finland, AI Virtanen Inst Mol Sci, Kuopio, Finland; [Jalasvuori, Matti] Univ Jyvaskyla, Nanosci Ctr, Dept Biol &amp; Environm Sci, Jyvaskyla, Finland; [Butcher, Sarah J.] Univ Helsinki, Fac Biol &amp; Environm Sci, Mol &amp; Integrat Biosci Res Programme, Helsinki, Finland; [Butcher, Sarah J.] Univ Helsinki, Helsinki Inst Life Sci, Inst Biotechnol, Helsinki, Finland; [Siljander, Pia R. M.] Univ Helsinki, Fac Biol &amp; Environm Sci, Mol &amp; Integrat Biosci Res Programme, EV Grp,EV Core Unit, Helsinki, Finland</t>
  </si>
  <si>
    <t>University of Helsinki; University of Helsinki; University of Eastern Finland; University of Jyvaskyla; University of Helsinki; University of Helsinki; EV Group; University of Helsinki</t>
  </si>
  <si>
    <t>Saari, H (corresponding author), Univ Helsinki, Fac Pharm, Div Pharmaceut Biosci, POB 56,Viikinkaari 5, FIN-00014 Helsinki, Finland.</t>
  </si>
  <si>
    <t>heikki.o.saari@helsinki.fi; marjo.yliperttula@helsinki.fi</t>
  </si>
  <si>
    <t>Turunen, Tiia/AAQ-2086-2021; Viitala, Tapani/N-1434-2014; Cerullo, Vincenzo/B-9075-2015</t>
  </si>
  <si>
    <t>Turunen, Tiia/0000-0001-7536-451X; Viitala, Tapani/0000-0001-9074-9450; Jalasvuori, Matti/0000-0003-3499-5248; Saari, Heikki Olavi/0000-0002-6678-0439; Lohmus, Andres/0000-0001-9591-2560; Cerullo, Vincenzo/0000-0003-4901-3796; Siljander, Pia/0000-0003-2326-5821</t>
  </si>
  <si>
    <t>JAN 1</t>
  </si>
  <si>
    <t>10.1080/20013078.2020.1747206</t>
  </si>
  <si>
    <t>WOS:000526440300001</t>
  </si>
  <si>
    <t>Park, KS; Svennerholm, K; Crescitelli, R; Lasser, C; Gribonika, I; Lotvall, J</t>
  </si>
  <si>
    <t>Park, Kyong-Su; Svennerholm, Kristina; Crescitelli, Rossella; Lasser, Cecilia; Gribonika, Inta; Lotvall, Jan</t>
  </si>
  <si>
    <t>Synthetic bacterial vesicles combined with tumour extracellular vesicles as cancer immunotherapy</t>
  </si>
  <si>
    <t>cancer immunotherapy; synthetic bacterial vesicles; tumour tissue extracellular vesicles</t>
  </si>
  <si>
    <t>OUTER-MEMBRANE VESICLES; DENDRITIC CELLS; ESCHERICHIA-COLI; T-CELLS; VACCINE; INFLAMMATION; EXOSOMES; INNATE; BIOGENESIS; EXPRESSION</t>
  </si>
  <si>
    <t>Bacterial outer membrane vesicles (OMV) have gained attention as a promising new cancer vaccine platform for efficiently provoking immune responses. However, OMV induce severe toxicity by activating the innate immune system. In this study, we applied a simple isolation approach to produce artificial OMV that we have named Synthetic Bacterial Vesicles (SyBV) that do not induce a severe toxic response. We also explored the potential of SyBV as an immunotherapy combined with tumour extracellular vesicles to induce anti-tumour immunity. Bacterial SyBV were produced with high yield by a protocol including lysozyme and high pH treatment, resulting in pure vesicles with very few cytosolic components and no RNA or DNA. These SyBV did not cause systemic pro-inflammatory cytokine responses in mice compared to naturally released OMV. However, SyBV and OMV were similarly effective in activation of mouse bone marrow-derived dendritic cells. Co-immunization with SyBV and melanoma extracellular vesicles elicited tumour regression in melanoma-bearing mice through Th-1 type T cell immunity and balanced antibody production. Also, the immunotherapeutic effect of SyBV was synergistically enhanced by anti-PD-1 inhibitor. Moreover, SyBV displayed significantly greater adjuvant activity than other classical adjuvants. Taken together, these results demonstrate a safe and efficient strategy for eliciting specific anti-tumour responses using immunotherapeutic bacterial SyBV.</t>
  </si>
  <si>
    <t>[Park, Kyong-Su; Crescitelli, Rossella; Lasser, Cecilia; Lotvall, Jan] Univ Gothenburg, Inst Med, Krefting Res Ctr, S-40530 Gothenburg, Sweden; [Svennerholm, Kristina] Univ Gothenburg, Sahlgrenska Acad, Inst Clin Sci, Dept Anesthesiol &amp; Intens Care Med, Gothenburg, Sweden; [Gribonika, Inta] Univ Gothenburg, Inst Biomed, Dept Microbiol &amp; Immunol, Gothenburg, Sweden</t>
  </si>
  <si>
    <t>University of Gothenburg; University of Gothenburg; University of Gothenburg</t>
  </si>
  <si>
    <t>Park, KS; Lotvall, J (corresponding author), Univ Gothenburg, Inst Med, Krefting Res Ctr, S-40530 Gothenburg, Sweden.</t>
  </si>
  <si>
    <t>kyong-su.park@gu.se; jan.lotvall@gu.se</t>
  </si>
  <si>
    <t>Crescitelli, Rossella/AAC-8461-2022</t>
  </si>
  <si>
    <t>Gribonika, Inta/0000-0002-5694-1315</t>
  </si>
  <si>
    <t>JUL</t>
  </si>
  <si>
    <t>e12120</t>
  </si>
  <si>
    <t>10.1002/jev2.12120</t>
  </si>
  <si>
    <t>WOS:000669197100001</t>
  </si>
  <si>
    <t>Sanada, T; Hirata, Y; Naito, Y; Yamamoto, N; Kikkawa, Y; Ishida, Y; Yamasaki, C; Tateno, C; Ochiya, T; Kohara, M</t>
  </si>
  <si>
    <t>Sanada, Takahiro; Hirata, Yuichi; Naito, Yutaka; Yamamoto, Naoki; Kikkawa, Yoshiaki; Ishida, Yuji; Yamasaki, Chihiro; Tateno, Chise; Ochiya, Takahiro; Kohara, Michinori</t>
  </si>
  <si>
    <t>Transmission of HBV DNA Mediated by Ceramide-Triggered Extracellular Vesicles</t>
  </si>
  <si>
    <t>CELLULAR AND MOLECULAR GASTROENTEROLOGY AND HEPATOLOGY</t>
  </si>
  <si>
    <t>HBV; Extracellular Vesicles; Transmission Pathway</t>
  </si>
  <si>
    <t>B-VIRUS REPLICATION; EXOSOMES; CELLS; GAMMA-2-ADAPTIN; INHIBITION; INFECTION; RESPONSES; ENVELOPE; ADAPTER</t>
  </si>
  <si>
    <t>Extracellular vesicle is a nanovesicle that shuttles proteins, nucleic acids, and lipids, thereby influencing cell behavior. This article shows that ceramide-triggered extracellular vesicles work as DNA cargo for hepatitis B virus-DNA and are capable of trasmitting to naive hepatocytes. Further, this article demonstrates that the transmission of hepatitis B virus-DNA via these extracellular vesicles is resistant to antibody neutralization. BACKGROUND &amp; AIMS: An extracellular vesicle (EV) is a nanovesicle that shuttles proteins, nucleic acids, and lipids, thereby influencing cell behavior. Arecent crop of reports have shownthat EVs are involved in infectious biology, influencing host immunity and playing a role in the viral life cycle. In the present work, we investigated the EV-mediated transmission of hepatitis B virus (HBV) infection. METHODS: We investigated the EV-mediated transmission of HBV infection by using a HBV infectious culture system that uses primary human hepatocytes derived from humanized chimeric mice (PXB-cells). Purified EVs were isolated by ultracentrifugation. To analyze the EVs and virions, we used stimulated emission depletion microscopy. RESULTS: Purified EVs from HBV-infected PXB-cells were shown to contain HBV DNA and to be capable of transmitting HBV DNA to naive PXB-cells. These HBV-DNA-transmitting EVs were shown to be generated through a ceramide-triggered EV production pathway. Furthermore, we showed that these HBV-DNA- transmitting EVs were resistant to antibody neutralization; stimulated emission depletion microscopy showed that EVs lacked hepatitis B surface antigen, the target of neutralizing antibodies. CONCLUSIONS: These findings suggest that EVs harbor a DNA cargo capable of transmitting viral DNA into hepatocytes during HBV infection, representing an additional antibody-neutralization- resistant route of HBV infection.</t>
  </si>
  <si>
    <t>[Sanada, Takahiro; Hirata, Yuichi; Yamamoto, Naoki; Kohara, Michinori] Tokyo Metropolitan Inst Med Sci, Dept Microbiol &amp; Cell Biol, Setagaya Ku, 2-1-6 Kamikitazawa, Tokyo 1568506, Japan; [Kikkawa, Yoshiaki] Tokyo Metropolitan Inst Med Sci, Mammalian Genet Project, Setagaya Ku, Tokyo, Japan; [Naito, Yutaka; Ochiya, Takahiro] Natl Canc Ctr, Div Mol &amp; Cellular Med, Chuo Ku, Tokyo, Japan; [Ishida, Yuji; Yamasaki, Chihiro; Tateno, Chise] PhoenixBio Co Ltd, Higashihiroshima, Hiroshima, Japan</t>
  </si>
  <si>
    <t>Tokyo Metropolitan Institute of Medical Science; Tokyo Metropolitan Institute of Medical Science; National Cancer Center - Japan; PHOENIXBIO CO. LTD.</t>
  </si>
  <si>
    <t>Kohara, M (corresponding author), Tokyo Metropolitan Inst Med Sci, Dept Microbiol &amp; Cell Biol, Setagaya Ku, 2-1-6 Kamikitazawa, Tokyo 1568506, Japan.</t>
  </si>
  <si>
    <t>kohara-mc@igakuken.or.jp</t>
  </si>
  <si>
    <t>Ochiya, Takahiro/AAH-7585-2019; Kikkawa, Yoshiaki/AAI-7229-2020</t>
  </si>
  <si>
    <t>Kikkawa, Yoshiaki/0000-0001-8859-4998; Sanada, Takahiro/0000-0002-6362-7762</t>
  </si>
  <si>
    <t>2352-345X</t>
  </si>
  <si>
    <t>10.1016/j.jcmgh.2016.10.003</t>
  </si>
  <si>
    <t>Gastroenterology &amp; Hepatology</t>
  </si>
  <si>
    <t>WOS:000424537700018</t>
  </si>
  <si>
    <t>Fowler, CD</t>
  </si>
  <si>
    <t>Fowler, Christie D.</t>
  </si>
  <si>
    <t>NeuroEVs: Characterizing Extracellular Vesicles Generated in the Neural Domain</t>
  </si>
  <si>
    <t>JOURNAL OF NEUROSCIENCE</t>
  </si>
  <si>
    <t>exosomes; microvesicles; extracellular RNA signaling; intercellular communication; blood-brain barrier</t>
  </si>
  <si>
    <t>INTERCELLULAR TRANSFER; MEDIATED TRANSFER; EXOSOMES; MICROVESICLES; MICROGLIA; CELLS; MECHANISM; COMMUNICATION; PROGRESSION; MICRORNAS</t>
  </si>
  <si>
    <t>Intercellular communication has recently been shown to occur via transfer of cargo loaded within extracellular vesicles (EVs). Present within all biofluids of the body, EVs can contain various signaling factors, including coding and noncoding RNAs (e.g., mRNA, miRNA, lncRNA, snRNA, tRNA, yRNA), DNA, proteins, and enzymes. Multiple types of cells appear to be capable of releasing EVs, including cancer, stem, epithelial, immune, glial, and neuronal cells. However, the functional impact of these circulating signals among neural networks within the brain has been difficult to establish given the complexity of cellular populations involved in release and uptake, as well as inherent limitations of examining a biofluid. In this brief commentary, we provide an analysis of the conceptual and technical considerations that limit our current understanding of signaling mediated by circulating EVs relative to their impact on neural function.</t>
  </si>
  <si>
    <t>[Fowler, Christie D.] Univ Calif Irvine, Dept Neurobiol &amp; Behav, Irvine, CA 92697 USA</t>
  </si>
  <si>
    <t>University of California System; University of California Irvine</t>
  </si>
  <si>
    <t>Fowler, CD (corresponding author), Univ Calif Irvine, Dept Neurobiol &amp; Behav, Irvine, CA 92697 USA.</t>
  </si>
  <si>
    <t>cdfowler@uci.edu</t>
  </si>
  <si>
    <t>Fowler, Christie D/A-1754-2015</t>
  </si>
  <si>
    <t>Fowler, Christie/0000-0003-2864-2163</t>
  </si>
  <si>
    <t>0270-6474</t>
  </si>
  <si>
    <t>1529-2401</t>
  </si>
  <si>
    <t>NOV 20</t>
  </si>
  <si>
    <t>10.1523/JNEUROSCI.0146-18.2019</t>
  </si>
  <si>
    <t>Neurosciences</t>
  </si>
  <si>
    <t>Neurosciences &amp; Neurology</t>
  </si>
  <si>
    <t>WOS:000497964300001</t>
  </si>
  <si>
    <t>Kanada, M; Bachmann, MH; Hardy, JW; Frimannson, DO; Bronsart, L; Wang, A; Sylvester, MD; Schmidt, TL; Kaspar, RL; Butte, MJ; Matin, AC; Contag, CH</t>
  </si>
  <si>
    <t>Kanada, Masamitsu; Bachmann, Michael H.; Hardy, Jonathan W.; Frimannson, Daniel Omar; Bronsart, Laura; Wang, Andrew; Sylvester, Matthew D.; Schmidt, Tobi L.; Kaspar, Roger L.; Butte, Manish J.; Matin, A. C.; Contag, Christopher H.</t>
  </si>
  <si>
    <t>Differential fates of biomolecules delivered to target cells via extracellular vesicles</t>
  </si>
  <si>
    <t>PROCEEDINGS OF THE NATIONAL ACADEMY OF SCIENCES OF THE UNITED STATES OF AMERICA</t>
  </si>
  <si>
    <t>cell communication; extracellular vesicle; exosome; microvesicle; apoptotic body</t>
  </si>
  <si>
    <t>TUMOR-DERIVED MICROVESICLES; MULTIVESICULAR BODIES; IN-VIVO; HORIZONTAL TRANSFER; MEMBRANE-VESICLES; PROTEIN-SYNTHESIS; GENE-EXPRESSION; MESSENGER-RNAS; EXOSOMES; SIRNA</t>
  </si>
  <si>
    <t>Extracellular vesicles (EVs), specifically exosomes and microvesicles (MVs), are presumed to play key roles in cell-cell communication via transfer of biomolecules between cells. The biogenesis of these two types of EVs differs as they originate from either the endosomal (exosomes) or plasma (MVs) membranes. To elucidate the primary means through which EVs mediate intercellular communication, we characterized their ability to encapsulate and deliver different types of macromolecules from transiently transfected cells. Both EV types encapsulated reporter proteins and mRNA but only MVs transferred the reporter function to recipient cells. De novo reporter protein expression in recipient cells resulted only from plasmid DNA (pDNA) after delivery via MVs. Reporter mRNA was delivered to recipient cells by both EV types, but was rapidly degraded without being translated. MVs also mediated delivery of functional pDNA encoding Cre recombinase in vivo to tissues in transgenic Crelox reporter mice. Within the parameters of this study, MVs delivered functional pDNA, but not RNA, whereas exosomes from the same source did not deliver functional nucleic acids. These results have significant implications for understanding the role of EVs in cellular communication and for development of EVs as delivery tools. Moreover, studies using EVs from transiently transfected cells may be confounded by a predominance of pDNA transfer.</t>
  </si>
  <si>
    <t>[Kanada, Masamitsu; Bachmann, Michael H.; Hardy, Jonathan W.; Bronsart, Laura; Wang, Andrew; Schmidt, Tobi L.; Butte, Manish J.; Contag, Christopher H.] Stanford Univ, Sch Med, Dept Pediat, Stanford, CA 94305 USA; [Frimannson, Daniel Omar; Sylvester, Matthew D.; Matin, A. C.; Contag, Christopher H.] Stanford Univ, Sch Med, Dept Microbiol &amp; Immunol, Stanford, CA 94305 USA; [Contag, Christopher H.] Stanford Univ, Sch Med, Dept Radiol, Stanford, CA 94305 USA; [Kaspar, Roger L.] TransDerm Inc, Santa Cruz, CA 95060 USA</t>
  </si>
  <si>
    <t>Stanford University; Stanford University; Stanford University</t>
  </si>
  <si>
    <t>Contag, CH (corresponding author), Stanford Univ, Sch Med, Dept Pediat, Stanford, CA 94305 USA.</t>
  </si>
  <si>
    <t>ccontag@stanford.edu</t>
  </si>
  <si>
    <t>Butte, Manish/T-8860-2019; Butte, Manish/AAM-8604-2020; Matin, AC/A-1315-2007; Bachmann, Michael/N-9339-2016; Hardy, Jonathan/AAO-9306-2020; Kanada, Masamitsu/AAP-1664-2020</t>
  </si>
  <si>
    <t>Butte, Manish/0000-0002-4490-5595; Butte, Manish/0000-0002-4490-5595; Matin, AC/0000-0003-4468-980X; Bachmann, Michael/0000-0002-0204-3720; Contag, Christopher/0000-0002-1011-8278</t>
  </si>
  <si>
    <t>0027-8424</t>
  </si>
  <si>
    <t>MAR 24</t>
  </si>
  <si>
    <t>E1433</t>
  </si>
  <si>
    <t>E1442</t>
  </si>
  <si>
    <t>10.1073/pnas.1418401112</t>
  </si>
  <si>
    <t>WOS:000351477000008</t>
  </si>
  <si>
    <t>Dave, KM; Zhao, WZ; Hoover, C; D'Souza, A; Manickam, DS</t>
  </si>
  <si>
    <t>Dave, Kandarp M.; Zhao, Wanzhu; Hoover, Catherine; D'Souza, Anisha; Manickam, Devika S.</t>
  </si>
  <si>
    <t>Extracellular Vesicles Derived from a Human Brain Endothelial Cell Line Increase Cellular ATP Levels</t>
  </si>
  <si>
    <t>AAPS PHARMSCITECH</t>
  </si>
  <si>
    <t>exosomes and microvesicles; mitochondria and mtDNA; ATP increase; brain endothelial cells; ischemic stroke</t>
  </si>
  <si>
    <t>EXOSOMES; MITOCHONDRIA; BARRIER; MODELS; MICROVESICLES; OPPORTUNITIES; TRANSPORTERS; ASTROCYTES; INJECTION; MECHANISM</t>
  </si>
  <si>
    <t>Engineered cell-derived extracellular vesicles (EVs) such as exosomes and microvesicles hold immense potential as safe and efficient drug carriers due to their lower immunogenicity and inherent homing capabilities to target cells. In addition to innate vesicular cargo such as lipids, proteins, and nucleic acids, EVs are also known to contain functional mitochondria/mitochondrial DNA that can be transferred to recipient cells to increase cellular bioenergetics. In this proof-of-concept study, we isolated naive EVs and engineered EVs loaded with an exogenous plasmid DNA encoding for brain-derived neurotrophic factor (BDNF-EVs) from hCMEC/D3, a human brain endothelial cell line, and RAW 264.7 macrophages. We tested whether mitochondrial components in naive or engineered EVs can increase ATP levels in the recipient brain endothelial cells. EVs (e.g., exosomes and microvesicles; EXOs and MVs) were isolated from the conditioned medium of either untreated (naive) or pDNA-transfected (Luc-DNA or BDNF-DNA) cells using a differential centrifugation method. RAW 264.7 cell line-derived EVs showed a significantly higher DNA loading and increased luciferase expression in the recipient hCMEC/D3 cells at 72 h compared with hCMEC/D3 cell line-derived EVs. Naive EVs from hCMEC/D3 cells and BDNF-EVs from RAW 264.7 cells showed a small, but a significantly greater increase in the ATP levels of recipient hCMEC/D3 cells at 24 and 48 h post-exposure. In summary, we have demonstrated (1) differences in exogenous pDNA loading into EVs as a function of cell type using brain endothelial and macrophage cell lines and (2) EV-mediated increases in the intracellular ATP levels in the recipient hCMEC/D3 monolayers.</t>
  </si>
  <si>
    <t>[Dave, Kandarp M.; Zhao, Wanzhu; D'Souza, Anisha; Manickam, Devika S.] Duquesne Univ, Grad Sch Pharmaceut Sci, 453 Mellon Hall,600 Forbes Ave, Pittsburgh, PA 15282 USA; [Hoover, Catherine] Mansfield Univ, Dept Chem &amp; Phys, Mansfield, PA USA</t>
  </si>
  <si>
    <t>Duquesne University; Pennsylvania State System of Higher Education (PASSHE); Mansfield University - Pennsylvania</t>
  </si>
  <si>
    <t>Manickam, DS (corresponding author), Duquesne Univ, Grad Sch Pharmaceut Sci, 453 Mellon Hall,600 Forbes Ave, Pittsburgh, PA 15282 USA.</t>
  </si>
  <si>
    <t>DSouza, Anisha A./0000-0003-2457-671X; S Manickam, Devika/0000-0002-6363-3679</t>
  </si>
  <si>
    <t>1530-9932</t>
  </si>
  <si>
    <t>JAN 3</t>
  </si>
  <si>
    <t>10.1208/s12249-020-01892-w</t>
  </si>
  <si>
    <t>WOS:000606487900004</t>
  </si>
  <si>
    <t>Silva, BMA; Prados-Rosales, R; Espadas-Moreno, J; Wolf, JM; Luque-Garcia, JL; Goncalves, T; Casadevall, A</t>
  </si>
  <si>
    <t>Silva, Branca M. A.; Prados-Rosales, Rafael; Espadas-Moreno, Javier; Wolf, Julie M.; Luque-Garcia, Jose L.; Goncalves, Teresa; Casadevall, Arturo</t>
  </si>
  <si>
    <t>Characterization of Alternaria infectoria extracellular vesicles</t>
  </si>
  <si>
    <t>MEDICAL MYCOLOGY</t>
  </si>
  <si>
    <t>Alternaria infectoria; extracellular vesicles; secreted proteins</t>
  </si>
  <si>
    <t>FISSION YEAST; SACCHAROMYCES-CEREVISIAE; CRYPTOCOCCUS-NEOFORMANS; PROTEOMIC ANALYSIS; MEMBRANE-VESICLES; TRANSPORT; PROTEINS; PATHOGEN; DNA; BIOSYNTHESIS</t>
  </si>
  <si>
    <t>Many fungi use membrane vesicles to transport complex molecules across their cell walls. Like mammalian exosomes, fungal vesicles contain lipids, proteins, and polysaccharides, many of which are associated with virulence. Here we identify and characterize extracellular vesicles (EVs) in Alternaria infectoria, a ubiquitous, environmental filamentous fungus that is also an opportunistic human pathogen. Examination of the A. infectoria EVs revealed a morphology similar to that of vesicles described in other fungal species. Of note, proteomic analysis detected a reduced number of vesicle-associated proteins. There were two prevalent categories among the 20 identified proteins, including the polysaccharide metabolism group, probably related to plant host invasion or biosynthesis/degradation of cell wall components, and the nuclear proteins, especially DNA repair enzymes. We also found enzymes related to pigment synthesis, adhesion to the host cell, and trafficking of vesicles/organelles/molecules. This is the first time EV secretions have been identified in a filamentous fungus. We believe that these vesicles might have a role in virulence.</t>
  </si>
  <si>
    <t>[Silva, Branca M. A.; Goncalves, Teresa] Univ Coimbra, Ctr Neurosci &amp; Cell Biol, P-3004517 Coimbra, Portugal; [Prados-Rosales, Rafael; Wolf, Julie M.; Casadevall, Arturo] Albert Einstein Coll Med, Dept Microbiol &amp; Immunol, New York, NY USA; [Espadas-Moreno, Javier; Luque-Garcia, Jose L.] Univ Complutense Madrid, Dept Analyt Chem, Fac Chem, E-28040 Madrid, Spain; [Goncalves, Teresa] Univ Coimbra, Fac Med, P-3000 Coimbra, Portugal</t>
  </si>
  <si>
    <t>Universidade de Coimbra; Yeshiva University; Complutense University of Madrid; Universidade de Coimbra</t>
  </si>
  <si>
    <t>Goncalves, T (corresponding author), Univ Coimbra, Ctr Neurosci &amp; Cell Biol, P-3004517 Coimbra, Portugal.</t>
  </si>
  <si>
    <t>tmfog@ci.uc.pt</t>
  </si>
  <si>
    <t>Prados-Rosales, Rafael/D-5840-2019; Gonçalves, Teresa/F-5146-2011; Luque-Garcia, Jose L/A-5624-2011; Prados-Rosales, Rafael/B-1240-2016</t>
  </si>
  <si>
    <t>Prados-Rosales, Rafael/0000-0001-5964-0166; Gonçalves, Teresa/0000-0001-9347-0535; Luque-Garcia, Jose L/0000-0001-6273-0349; Espadas Moreno, Javier/0000-0002-4559-5410; Silva, Branca/0000-0002-5529-6174</t>
  </si>
  <si>
    <t>1369-3786</t>
  </si>
  <si>
    <t>1460-2709</t>
  </si>
  <si>
    <t>10.1093/mmy/myt003</t>
  </si>
  <si>
    <t>Infectious Diseases; Mycology; Veterinary Sciences</t>
  </si>
  <si>
    <t>WOS:000339911800011</t>
  </si>
  <si>
    <t>Choi, DS; Gho, YS</t>
  </si>
  <si>
    <t>Posch, A</t>
  </si>
  <si>
    <t>Choi, Dong-Sic; Gho, Yong Song</t>
  </si>
  <si>
    <t>Isolation of Extracellular Vesicles for Proteomic Profiling</t>
  </si>
  <si>
    <t>PROTEOMIC PROFILING: METHODS AND PROTOCOLS</t>
  </si>
  <si>
    <t>Exosomes; Ectosomes; Microvesicles; Proteomics; Iodixanol; Ultracentrifugation; Methanol/chloroform precipitation; Biomarker</t>
  </si>
  <si>
    <t>EXOSOMES; MICROVESICLES; PROTEIN</t>
  </si>
  <si>
    <t>Extracellular vesicles are nano-sized lipid bilayer vesicles released from most cells, including archaea, bacteria, and eukaryotic cells. These membrane vesicles play multiple roles in cell-to-cell communication, including immune modulation, angiogenesis, and transformation of cells by transferring genetic material and functional proteins. They contain specific subsets of proteins, DNA, RNA, and lipids that represent their cellular status. Furthermore, extracellular vesicles are enriched in cell type-or disease-specific vesicular proteins, especially plasma membrane proteins, which have pathophysiological functions; these vesicular proteins are considered novel diagnostic biomarkers as well as therapeutic targets. To profile the proteome, various purification methods of extracellular vesicles have been developed, but density gradient ultracentrifugation is considered the most promising. In this chapter, we describe the isolation of extracellular vesicles derived from SW480 cells and the preparation of tryptic peptides for mass-spectrometry-based proteomic analysis.</t>
  </si>
  <si>
    <t>[Choi, Dong-Sic; Gho, Yong Song] Pohang Univ Sci &amp; Technol, Dept Life Sci, Pohang, South Korea</t>
  </si>
  <si>
    <t>Pohang University of Science &amp; Technology (POSTECH)</t>
  </si>
  <si>
    <t>Choi, DS (corresponding author), Pohang Univ Sci &amp; Technol, Dept Life Sci, Pohang, South Korea.</t>
  </si>
  <si>
    <t>Choi, Dongsic/AAZ-9386-2020</t>
  </si>
  <si>
    <t>Choi, Dongsic/0000-0002-2516-5616</t>
  </si>
  <si>
    <t>978-1-4939-2550-6; 978-1-4939-2549-0</t>
  </si>
  <si>
    <t>10.1007/978-1-4939-2550-6_14</t>
  </si>
  <si>
    <t>10.1007/978-1-4939-2550-6</t>
  </si>
  <si>
    <t>WOS:000372953500015</t>
  </si>
  <si>
    <t>Choi, D; Rak, J; Gho, YS</t>
  </si>
  <si>
    <t>Choi, Dongsic; Rak, Janusz; Gho, Yong Song</t>
  </si>
  <si>
    <t>PROTEOMIC PROFILING, 2 EDITION: Methods and Protocols</t>
  </si>
  <si>
    <t>Exosomes; Ectosomes; Microvesicles; Proteomics; Iodixanol; Extracellular vesicle-depleted; Ultracentrifugation; Methanol/chloroform precipitation; Biomarker</t>
  </si>
  <si>
    <t>EXOSOMES; PROTEIN</t>
  </si>
  <si>
    <t>Extracellular vesicles (EVs) are nano-sized lipid bilayer surrounded by structures released from most cells, including archaea, bacteria, and eukaryotic cells. EVs play multiple roles in cell-to-cell communication, including immune modulation, angiogenesis, and phenotypic transformation of cells by transferring genetic material and functional proteins. They contain specific subsets of proteins, DNA, RNA, and lipids that represent their cellular origin. Furthermore, EVs are enriched in cell type- or disease-specific proteins, especially plasma membrane proteins, which have pathophysiological functions; many of these vesicular proteins are investigated as novel diagnostic biomarkers, as well as therapeutic targets. To profile the global EV proteome, their various purification methods have been developed, of which density gradient ultracentrifugation is considered especially promising. In this chapter, we describe the isolation of EVs derived from SW480 cells with serum-free media and from U373 cells with EV-depleted serum-containing media, and the preparation of tryptic peptides for mass-spectrometry-based proteomic analysis.</t>
  </si>
  <si>
    <t>[Choi, Dongsic; Rak, Janusz] McGill Univ, Ctr Hlth, Res Inst, Glen Site, Montreal, PQ, Canada; [Gho, Yong Song] Pohang Univ Sci Technol, Dept Life Sci, Pohang, South Korea</t>
  </si>
  <si>
    <t>McGill University; Pohang University of Science &amp; Technology (POSTECH)</t>
  </si>
  <si>
    <t>Choi, D (corresponding author), McGill Univ, Ctr Hlth, Res Inst, Glen Site, Montreal, PQ, Canada.</t>
  </si>
  <si>
    <t>978-1-0716-1186-9; 978-1-0716-1185-2</t>
  </si>
  <si>
    <t>10.1007/978-1-0716-1186-9_11</t>
  </si>
  <si>
    <t>10.1007/978-1-0716-1186-9</t>
  </si>
  <si>
    <t>WOS:000688758500012</t>
  </si>
  <si>
    <t>Menck, K; Bleckmann, A; Schulz, M; Ries, L; Binder, C</t>
  </si>
  <si>
    <t>Menck, Kerstin; Bleckmann, Annalen; Schulz, Matthias; Ries, Lena; Binder, Claudia</t>
  </si>
  <si>
    <t>Isolation and Characterization of Microvesicles from Peripheral Blood</t>
  </si>
  <si>
    <t>Cellular Biology; Issue 119; extracellular vesicles; microvesicles; blood; flow cytometry; biomarkers; liquid biopsy; cancer</t>
  </si>
  <si>
    <t>ENDOTHELIAL MICROPARTICLES; EXTRACELLULAR VESICLES; SERUM EXOSOMES; CANCER; IDENTIFICATION; DNA</t>
  </si>
  <si>
    <t>The release of extracellular vesicles (EVs) including small endosomal-derived exosomes (Exos, diameter &lt; 100 nm) and large plasma membrane-derived microvesicles (MVs, diameter &gt; 100 nm) is a fundamental cellular process that occurs in all living cells. These vesicles transport proteins, lipids and nucleic acids specific for their cell of origin and in vitro studies have highlighted their importance as mediators of intercellular communication. EVs have been successfully isolated from various body fluids and especially EVs in blood have been identified as promising biomarkers for cancer or infectious diseases. In order to allow the study of MV subpopulations in blood, we present a protocol for the standardized isolation and characterization of MVs from peripheral blood samples. MVs are pelleted from EDTA-anticoagulated plasma samples by differential centrifugation and typically possess a diameter of 100 - 600 nm. Due to their larger size, they can easily be studied by flow cytometry, a technique that is routinely used in clinical diagnostics and available in most laboratories. Several examples for quality control assays of the isolated MVs will be given and markers that can be used for the discrimination of different MV subpopulations in blood will be presented.</t>
  </si>
  <si>
    <t>[Menck, Kerstin; Bleckmann, Annalen; Schulz, Matthias; Ries, Lena; Binder, Claudia] Univ Med Ctr Gottingen, Dept Hematol Med Oncol, Gottingen, Germany</t>
  </si>
  <si>
    <t>University of Gottingen</t>
  </si>
  <si>
    <t>Menck, K (corresponding author), Univ Med Ctr Gottingen, Dept Hematol Med Oncol, Gottingen, Germany.</t>
  </si>
  <si>
    <t>kerstin.menck@inserm.fr</t>
  </si>
  <si>
    <t>Menck, Kerstin/AAP-9066-2021</t>
  </si>
  <si>
    <t>Menck, Kerstin/0000-0002-8188-0163</t>
  </si>
  <si>
    <t>e55057</t>
  </si>
  <si>
    <t>10.3791/55057</t>
  </si>
  <si>
    <t>WOS:000397847200045</t>
  </si>
  <si>
    <t>Hagey, DW; Kordes, M; Gorgens, A; Mowoe, MO; Nordin, JZ; Moro, CF; Lohr, JM; El Andaloussi, S</t>
  </si>
  <si>
    <t>Hagey, Daniel W.; Kordes, Maximilian; Gorgens, Andre; Mowoe, Metoboroghene O.; Nordin, Joel Z.; Moro, Carlos Fernandez; Lohr, J-Matthias; El Andaloussi, Samir</t>
  </si>
  <si>
    <t>Extracellular vesicles are the primary source of blood-borne tumour-derived mutant KRAS DNA early in pancreatic cancer</t>
  </si>
  <si>
    <t>apoptotic bodies; cancer diagnostics; ctDNA; digital PCR; exosomes; extracellular vesicles; liquid biopsy; microvesicles; pancreatic cancer; platelets</t>
  </si>
  <si>
    <t>Up to now, the field of liquid biopsies has focused on circulating tumour DNA and cells, though extracellular vesicles (EVs) have been of increasing interest in recent years. Thus, reported sources of tumour-derived nucleic acids include leukocytes, platelets and apoptotic bodies (AB), as well as large (LEV) and small (SEV) EVs. Despite these competing claims, there has yet to be a standardized comparison of the tumour-derived DNA associated with different components of blood. To address this issue, we collected twenty-three blood samples from seventeen patients with pancreatic cancers of known mutant KRAS G12 genotype, and divided them into two groups based on the time of patient survival following sampling. After collecting red and white blood cells, we subjected 1 ml aliquots of platelet rich plasma to differential centrifugation in order to separate the platelets, ABs, LEVs, SEVs and soluble proteins (SP) present. We then confirmed the enrichment of specific blood components in each differential centrifugation fraction using electron microscopy, Western blotting, nanoparticle tracking analysis and bead-based multiplex flow cytometry assays. By targeting wild type and tumour-specific mutant KRAS alleles using digital PCR, we found that the levels of mutant KRAS DNA were highest in association with LEVs and SEVs early, and with SEVs and SP late in disease progression. Importantly, we established that SEVs were the most enriched in tumour-derived DNA throughout disease progression, and verified this association using size exclusion chromatography. This work provides important direction for the rapidly expanding field of liquid biopsies by supporting an increased focus on EVs as a source of tumour-derived DNA.</t>
  </si>
  <si>
    <t>[Hagey, Daniel W.; Gorgens, Andre; Mowoe, Metoboroghene O.; Nordin, Joel Z.; Moro, Carlos Fernandez; El Andaloussi, Samir] Karolinska Inst, Dept Lab Med, Stockholm, Sweden; [Kordes, Maximilian; Lohr, J-Matthias] Karolinska Inst, Dept Clin Sci Intervent &amp; Technol, Stockholm, Sweden; [Kordes, Maximilian; Lohr, J-Matthias] Karolinska Univ Hosp, Dept Upper Abdominal Dis, Stockholm, Sweden; [Gorgens, Andre] Univ Duisburg Essen, Univ Hosp Essen, Inst Transfus Med, Essen, Germany; [Mowoe, Metoboroghene O.] Univ Cape Town, Inst Infect Dis &amp; Mol Med, Div Chem &amp; Syst Biol, Cape Town, South Africa; [Nordin, Joel Z.] Natl Ctr Neurol &amp; Psychiat NCNP, Natl Inst Neurosci, Dept Mol Therapy, Tokyo, Japan; [Moro, Carlos Fernandez] Karolinska Univ Hosp, Dept Clin Pathol Cytol, Stockholm, Sweden</t>
  </si>
  <si>
    <t>Karolinska Institutet; Karolinska Institutet; Karolinska Institutet; Karolinska University Hospital; University of Duisburg Essen; University of Cape Town; National Center for Neurology &amp; Psychiatry - Japan; Karolinska Institutet; Karolinska University Hospital</t>
  </si>
  <si>
    <t>Hagey, DW (corresponding author), Karolinska Inst, Dept Lab Med, Stockholm, Sweden.</t>
  </si>
  <si>
    <t>daniel.hagey@ki.se</t>
  </si>
  <si>
    <t>Görgens, André/C-3835-2016</t>
  </si>
  <si>
    <t>Görgens, André/0000-0001-9198-0857; Hagey, Daniel/0000-0001-9246-6235; Kokaraki, Georgia/0000-0002-6372-4239; Mowoe, Metoboroghene/0000-0003-2064-7234</t>
  </si>
  <si>
    <t>e12142</t>
  </si>
  <si>
    <t>10.1002/jev2.12142</t>
  </si>
  <si>
    <t>WOS:000702270100001</t>
  </si>
  <si>
    <t>Fruhbeis, C; Helmig, S; Tug, S; Simon, P; Kramer-Albers, EM</t>
  </si>
  <si>
    <t>Fruehbeis, Carsten; Helmig, Susanne; Tug, Suzan; Simon, Perikles; Kraemer-Albers, Eva-Maria</t>
  </si>
  <si>
    <t>Physical exercise induces rapid release of small extracellular vesicles into the circulation</t>
  </si>
  <si>
    <t>extracellular vesicles; exosomes; exercise; ergometer cycling; treadmill running; plasma; Hsp70; Flotillin</t>
  </si>
  <si>
    <t>CELL-FREE DNA; PLATELET-DERIVED MICROPARTICLES; POSITION STATEMENT; BLOOD LACTATE; PROCOAGULANT MICROPARTICLES; MULTIVESICULAR BODIES; THROMBIN GENERATION; MEMBRANE-VESICLES; SHEAR-STRESS; EXOSOMES</t>
  </si>
  <si>
    <t>Cells secrete extracellular vesicles (EVs) by default and in response to diverse stimuli for the purpose of cell communication and tissue homeostasis. EVs are present in all body fluids including peripheral blood, and their appearance correlates with specific physiological and pathological conditions. Here, we show that physical activity is associated with the release of nano-sized EVs into the circulation. Healthy individuals were subjected to an incremental exercise protocol of cycling or running until exhaustion, and EVs were isolated from blood plasma samples taken before, immediately after and 90 min after exercise. Small EVs with the size of 100-130 nm, that carried proteins characteristic of exosomes, were significantly increased immediately after cycling exercise and declined again within 90 min at rest. In response to treadmill running, elevation of small EVs was moderate but appeared more sustained. To delineate EV release kinetics, plasma samples were additionally taken at the end of each increment of the cycling exercise protocol. Release of small EVs into the circulation was initiated in an early phase of exercise, before the individual anaerobic threshold, which is marked by the rise of lactate. Taken together, our study revealed that exercise triggers a rapid release of EVs with the characteristic size of exosomes into the circulation, initiated in the aerobic phase of exercise. We hypothesize that EVs released during physical activity may participate in cell communication during exercise-mediated adaptation processes that involve signalling across tissues and organs.</t>
  </si>
  <si>
    <t>[Fruehbeis, Carsten; Kraemer-Albers, Eva-Maria] Johannes Gutenberg Univ Mainz, Mol Cell Biol, Bentzelweg 3, D-55128 Mainz, Germany; [Helmig, Susanne; Tug, Suzan; Simon, Perikles] Johannes Gutenberg Univ Mainz, Dept Sports Med, D-55128 Mainz, Germany</t>
  </si>
  <si>
    <t>Kramer-Albers, EM (corresponding author), Johannes Gutenberg Univ Mainz, Mol Cell Biol, Bentzelweg 3, D-55128 Mainz, Germany.</t>
  </si>
  <si>
    <t>simonpe@uni-mainz.de; alberse@uni-mainz.de</t>
  </si>
  <si>
    <t>Simon, Perikles D/B-2293-2013; Eva-Maria, Kraemer-Albers/AAP-8805-2020</t>
  </si>
  <si>
    <t>Simon, Perikles D/0000-0002-7996-4034; Eva-Maria, Kraemer-Albers/0000-0001-7994-1185</t>
  </si>
  <si>
    <t>10.3402/jev.v4.28239</t>
  </si>
  <si>
    <t>WOS:000365074800001</t>
  </si>
  <si>
    <t>Konecna, B; Vlkova, B; Repiska, G; Tothova, L</t>
  </si>
  <si>
    <t>Konecna, Barbora; Vlkova, Barbora; Repiska, Gabriela; Tothova, L'ubomira</t>
  </si>
  <si>
    <t>Transfection of maternal cells with placental extracellular vesicles in preeclampsia</t>
  </si>
  <si>
    <t>MEDICAL HYPOTHESES</t>
  </si>
  <si>
    <t>Exosomes; cell-free DNA; Gestation; Intercellular communication</t>
  </si>
  <si>
    <t>FETAL DNA; CIRCULATING MICROPARTICLES; POTENTIAL BIOMARKERS; INDUCE PREECLAMPSIA; NORMAL-PREGNANCY; NUCLEIC-ACIDS; EXOSOMES; SERUM; MICRORNAS; PROTEINS</t>
  </si>
  <si>
    <t>The role of extracellular vesicles is widely studied. As well as other organs, placenta produces extracellular vesicles during both, normal and pathological pregnancies. During pregnancy, placental/fetal free DNA circulates in maternal blood. Concentrations of free placental DNA are much higher when pregnancy complications of various etiologies occur. Such a complication could be preeclampsia. In our previous animal model, administration of pure DNA isolated from fetus did not induce any prenatal complications. Here we hypothesize that in real life during preeclampsia or other pregnancy complications, placental DNA might be transported by extracellular vesicles to maternal cells. Also, our preliminary data prove that placental DNA is present in circulating exosomes in maternal blood. Therefore, a lipid bilayer of extracellular vesicles could protect DNA from degradation by enzymes. Extracellular vesicles tend to merge with other cells, therefore, following expression of fetal genes from placental extracellular vesicles in maternal cells could lead to an immune response already observed in pregnancy complications. Future studies should be mainly focused on verification of our hypothesis and evaluate the potential of placental/fetal extracellular vesicles and their gene transfer in preeclampsia or other pregnancy complications.</t>
  </si>
  <si>
    <t>[Konecna, Barbora; Vlkova, Barbora; Tothova, L'ubomira] Comenius Univ, Fac Med, Inst Mol Biomed, Sasinkova 2, Bratislava, Slovakia; [Repiska, Gabriela] Comenius Univ, Fac Med, Inst Physiol, Sasinkova 2, Bratislava, Slovakia</t>
  </si>
  <si>
    <t>Comenius University Bratislava; Comenius University Bratislava; Slovak Academy of Sciences</t>
  </si>
  <si>
    <t>Konecna, B (corresponding author), Comenius Univ, Fac Med, Inst Mol Biomed, Sasinkova 2, Bratislava, Slovakia.</t>
  </si>
  <si>
    <t>barbora.konecna@imbm.sk</t>
  </si>
  <si>
    <t>Vlkova, Barbora/I-5014-2014; Konecna, Barbora/Q-4617-2017</t>
  </si>
  <si>
    <t>Vlkova, Barbora/0000-0003-3907-5432; Konecna, Barbora/0000-0002-5544-1482; Repiska, Gabriela/0000-0003-2069-8859</t>
  </si>
  <si>
    <t>0306-9877</t>
  </si>
  <si>
    <t>1532-2777</t>
  </si>
  <si>
    <t>10.1016/j.mehy.2020.109721</t>
  </si>
  <si>
    <t>Medicine, Research &amp; Experimental</t>
  </si>
  <si>
    <t>Research &amp; Experimental Medicine</t>
  </si>
  <si>
    <t>WOS:000542189700006</t>
  </si>
  <si>
    <t>Antonopoulos, D; Tsilioni, I; Tsiara, S; Moustaka, E; Ladias, S; Perlepe, G; Theoharides, TC; Gourgoulianis, KI; Balatsos, NAA</t>
  </si>
  <si>
    <t>Antonopoulos, Dionysios; Tsilioni, Irene; Tsiara, Sophia; Moustaka, Eirini; Ladias, Spyridon; Perlepe, Garyfallia; Theoharides, Theoharis C.; Gourgoulianis, Konstantinos, I; Balatsos, Nikolaos A. A.</t>
  </si>
  <si>
    <t>ExoProK: A Practical Method for the Isolation of Small Extracellular Vesicles from Pleural Effusions</t>
  </si>
  <si>
    <t>METHODS AND PROTOCOLS</t>
  </si>
  <si>
    <t>extracellular vesicles; exosomes; pleural effusion; proteinase K; RNA biomarkers</t>
  </si>
  <si>
    <t>LUNG-CANCER; EXOSOMES; EXPRESSION; STABILITY</t>
  </si>
  <si>
    <t>Extracellular vesicles (EVs) are cell-secreted, lipid membrane-enclosed nanoparticles without functional nucleus. EV is a general term that includes various subtypes of particles named microvesicles, microparticles, ectosomes or exosomes. EVs transfer RNA, DNA and protein cargo between proximal and distant cells and tissues, thus constituting an organism-wide signal transduction network. Pathological tissues secrete EVs that differ in their cargo composition compared to their healthy counterparts. The detection of biomarkers in EVs from biological fluids may aid the diagnosis of disease and/or monitor its progression in a minimally invasive manner. Among biological fluids, pleural effusions (PEs) are integrated to clinical practice, as they accompany a wide variety of lung disorders. Due to the proximity with the pleura and the lungs, PEs are expected to be especially enriched in EVs that originate from diseased tissues. However, PEs are among the least studied biofluids regarding EV-specialized isolation methods and related biomarkers. Herein, we describe a practical EV isolation method from PEs for the screening of EV RNA biomarkers in clinical routine. It is based on a Proteinase K treatment step to digest contaminants prior to standard polyethylene-glycol precipitation. The efficiency of the method was confirmed by transmission electron microscopy, nanoparticle tracking analysis and Western blot. The reliability and sensitivity of the method towards the detection of EV-enriched RNA biomarkers from multiple PEs was also demonstrated.</t>
  </si>
  <si>
    <t>[Antonopoulos, Dionysios; Tsiara, Sophia; Moustaka, Eirini; Balatsos, Nikolaos A. A.] Univ Thessaly, Dept Biochem &amp; Biotechnol, Larisa 41500, Greece; [Tsilioni, Irene; Theoharides, Theoharis C.] Tufts Univ, Dept Immunol, Sch Med, 136 Harrison Ave,Suite J304, Boston, MA 02111 USA; [Ladias, Spyridon; Perlepe, Garyfallia; Gourgoulianis, Konstantinos, I] Univ Thessaly, Fac Med, Resp Med Dept, Viopolis 41110, Larissa, Greece</t>
  </si>
  <si>
    <t>University of Thessaly; Tufts University</t>
  </si>
  <si>
    <t>Balatsos, NAA (corresponding author), Univ Thessaly, Dept Biochem &amp; Biotechnol, Larisa 41500, Greece.;Gourgoulianis, KI (corresponding author), Univ Thessaly, Fac Med, Resp Med Dept, Viopolis 41110, Larissa, Greece.</t>
  </si>
  <si>
    <t>diadonop@uth.gr; Eirini.Tsilioni@tufts.edu; stsiara@bio.uth.gr; moustaka.renia@gmail.com; spyrosladias@yahoo.gr; perlepef19@gmail.com; theoharis.theoharides@tufts.edu; kgourg@med.uth.gr; balatsos@bio.uth.gr</t>
  </si>
  <si>
    <t>GOURGOULIANIS, KONSTANTINOS I/0000-0001-9541-1010</t>
  </si>
  <si>
    <t>2409-9279</t>
  </si>
  <si>
    <t>10.3390/mps4020031</t>
  </si>
  <si>
    <t>Biochemical Research Methods</t>
  </si>
  <si>
    <t>WOS:000668172100001</t>
  </si>
  <si>
    <t>Picca, A; Guerra, F; Calvani, R; Bucci, C; Lo Monaco, MR; Bentivoglio, AR; Landi, F; Bernabei, R; Marzetti, E</t>
  </si>
  <si>
    <t>Picca, Anna; Guerra, Flora; Calvani, Riccardo; Bucci, Cecilia; Lo Monaco, Maria Rita; Bentivoglio, Anna Rita; Landi, Francesco; Bernabei, Roberto; Marzetti, Emanuele</t>
  </si>
  <si>
    <t>Mitochondrial-Derived Vesicles as Candidate Biomarkers in Parkinson's Disease: Rationale, Design and Methods of the EXosomes in PArkiNson Disease (EXPAND) Study</t>
  </si>
  <si>
    <t>INTERNATIONAL JOURNAL OF MOLECULAR SCIENCES</t>
  </si>
  <si>
    <t>exosomes; mitophagy; mitochondrial quality control; mitochondrial-lysosomal axis; mtDNA; extracellular vesicles</t>
  </si>
  <si>
    <t>EXTRACELLULAR VESICLES; DNA HOMEOSTASIS; MICROVESICLES; ACTIVATION; MARKERS; STRESS; CELLS</t>
  </si>
  <si>
    <t>The progressive loss of dopaminergic neurons in the nigro-striatal system is a major trait of Parkinson's disease (PD), manifesting clinically as motor and non-motor symptoms. Mitochondrial dysfunction and oxidative stress are alleged pathogenic mechanisms underlying aggregation of misfolded -synuclein that in turn triggers dopaminergic neurotoxicity. Peripheral processes, including inflammation, may precede and contribute to neurodegeneration. Whether mitochondrial dyshomeostasis in the central nervous system and systemic inflammation are linked to one another in PD is presently unclear. Extracellular vesicles (EVs) are delivery systems through which cells can communicate or unload noxious materials. EV trafficking also participates in mitochondrial quality control (MQC) by generating mitochondrial-derived vesicles to dispose damaged organelles. Disruption of MQC coupled with abnormal EV secretion may play a role in the pathogenesis of PD. Furthermore, due to its bacterial ancestry, circulating mitochondrial DNA can elicit an inflammatory response. Therefore, purification and characterisation of molecules packaged in, and secreted through, small EVs (sEVs)/exosomes in body fluids may provide meaningful insights into the association between mitochondrial dysfunction and systemic inflammation in PD. The EXosomes in PArkiNson Disease (EXPAND) study was designed to characterise the cargo of sEVs/exosomes isolated from the serum of PD patients and to identify candidate biomarkers for PD.</t>
  </si>
  <si>
    <t>[Picca, Anna; Calvani, Riccardo; Landi, Francesco; Bernabei, Roberto] Univ Cattolica Sacro Cuore, Inst Internal Med &amp; Geriatr, I-00168 Rome, Italy; [Picca, Anna; Calvani, Riccardo; Lo Monaco, Maria Rita; Bentivoglio, Anna Rita; Landi, Francesco; Bernabei, Roberto; Marzetti, Emanuele] Fdn Policlin Univ Agostino Gemelli IRCCS, I-00168 Rome, Italy; [Guerra, Flora; Bucci, Cecilia] Univ Salento, Dept Biol &amp; Environm Sci &amp; Technol, I-73100 Lecce, Italy; [Bentivoglio, Anna Rita] Univ Cattolica Sacro Cuore, Inst Neurol, I-00168 Rome, Italy</t>
  </si>
  <si>
    <t>Catholic University of the Sacred Heart; IRCCS Policlinico Gemelli; Catholic University of the Sacred Heart; IRCCS Policlinico Gemelli; University of Salento; Catholic University of the Sacred Heart; IRCCS Policlinico Gemelli</t>
  </si>
  <si>
    <t>Calvani, R; Bernabei, R (corresponding author), Univ Cattolica Sacro Cuore, Inst Internal Med &amp; Geriatr, I-00168 Rome, Italy.;Calvani, R; Bernabei, R (corresponding author), Fdn Policlin Univ Agostino Gemelli IRCCS, I-00168 Rome, Italy.</t>
  </si>
  <si>
    <t>anna.picca1@gmail.com; guerraflora@gmail.com; riccardo.calvani@gmail.com; cecilia.bucci@unisalento.it; mariarita.lomonaco@policlinicogemelli.it; annarita.bentivoglio@unicatt.it; francesco.landi@unicatt.it; roberto.bernabei@unicatt.it; emanuele.marzetti@policlinicogemelli.it</t>
  </si>
  <si>
    <t>Calvani, Riccardo/K-2011-2018; Bentivoglio, Anna Rita/K-3752-2018; Bernabei, Roberto/AAB-2704-2019; Guerra, Flora/AFM-8764-2022; Guerra, Flora/D-1755-2014; BUCCI, CECILIA/F-6699-2012; Marzetti, Emanuele/A-9430-2010; Picca, Anna/K-2305-2018</t>
  </si>
  <si>
    <t>Calvani, Riccardo/0000-0001-5472-2365; Bernabei, Roberto/0000-0002-9197-004X; Guerra, Flora/0000-0003-3379-7469; Guerra, Flora/0000-0003-3379-7469; BUCCI, CECILIA/0000-0002-6232-6183; Marzetti, Emanuele/0000-0001-9567-6983; Picca, Anna/0000-0001-7032-3487; Lo Monaco, Maria Rita/0000-0002-1457-7981</t>
  </si>
  <si>
    <t>1422-0067</t>
  </si>
  <si>
    <t>MAY 2</t>
  </si>
  <si>
    <t>10.3390/ijms20102373</t>
  </si>
  <si>
    <t>Biochemistry &amp; Molecular Biology; Chemistry, Multidisciplinary</t>
  </si>
  <si>
    <t>Biochemistry &amp; Molecular Biology; Chemistry</t>
  </si>
  <si>
    <t>WOS:000471001400004</t>
  </si>
  <si>
    <t>Garcia-Romero, N; Carrion-Navarro, J; Esteban-Rubio, S; Lazaro-Ibanez, E; Peris-Celda, M; Alonso, MM; Guzman-De-Villoria, J; Fernandez-Carballal, C; de Mendivil, AO; Garcia-Duque, S; Escobedo-Lucea, C; Prat-Acin, R; Belda-Iniesta, C; Ayuso-Sacido, A</t>
  </si>
  <si>
    <t>Garcia-Romero, Noemi; Carrion-Navarro, Josefa; Esteban-Rubio, Susana; Lazaro-Ibanez, Elisa; Peris-Celda, Maria; Alonso, Marta M.; Guzman-De-Villoria, Juan; Fernandez-Carballal, Carlos; Ortiz de Mendivil, Ana; Garcia-Duque, Sara; Escobedo-Lucea, Carmen; Prat-Acin, Ricardo; Belda-Iniesta, Cristobal; Ayuso-Sacido, Angel</t>
  </si>
  <si>
    <t>DNA sequences within glioma-derived extracellular vesicles can cross the intact blood-brain barrier and be detected in peripheral blood of patients</t>
  </si>
  <si>
    <t>ONCOTARGET</t>
  </si>
  <si>
    <t>extracellular vesicles; brain tumors; blood-brain barrier; biomarkers</t>
  </si>
  <si>
    <t>CODON 132 MUTATION; HUMAN GLIOBLASTOMA; MESSENGER-RNA; MICROVESICLES; EXOSOMES; CANCER; CELLS; TUMORS; MICROPARTICLES; PARTICLES</t>
  </si>
  <si>
    <t>Tumor-cell-secreted extracellular vesicles (EVs) can cross the disrupted bloodbrain barrier (BBB) into the bloodstream. However, in certain gliomas, the BBB remains intact, which might limit EVs release. To evaluate the ability of tumor-derived EVs to cross the BBB, we used an orthotopic xenotransplant mouse model of human glioma-cancer stem cells featuring an intact BBB. We demonstrated that all types of tumor cells-derived EVs-apoptotic bodies, shedding microvesicles and exosomes-cross the intact BBB and can be detected in the peripheral blood, which provides a minimally invasive method for their detection compared to liquid biopsies obtained from cerebrospinal fluid (CSF). Furthermore, these EVs can be readily distinguished from total murine EVs, since they carry human-specific DNA sequences relevant for GBM biology. In a small cohort of glioma patients, we finally demonstrated that peripheral blood EVs cargo can be successfully used to detect the presence of IDH1(G395A), an essential biomarker in the current management of human glioma</t>
  </si>
  <si>
    <t>[Garcia-Romero, Noemi; Carrion-Navarro, Josefa; Esteban-Rubio, Susana; Ortiz de Mendivil, Ana; Garcia-Duque, Sara; Belda-Iniesta, Cristobal; Ayuso-Sacido, Angel] HM Hosp, Fdn Invest HM Hosp, Madrid, Spain; [Garcia-Romero, Noemi; Ayuso-Sacido, Angel] IMDEA Nanosci, Madrid, Spain; [Carrion-Navarro, Josefa; Esteban-Rubio, Susana; Belda-Iniesta, Cristobal; Ayuso-Sacido, Angel] Univ San Pablo, CEU, Fac Med IMMA, Madrid, Spain; [Lazaro-Ibanez, Elisa; Escobedo-Lucea, Carmen] Univ Helsinki, Fac Pharm, Div Pharmaceut Biosci, Helsinki, Finland; [Peris-Celda, Maria] Univ Pittsburgh, Sch Med, Dept Neurolog Surg, Pittsburgh, PA USA; [Alonso, Marta M.] Clin Univ Navarra, CIMA, Pamplona, Spain; [Guzman-De-Villoria, Juan] Univ Gregorio Maranon, Gen Hosp, Serv Radiodiagnost, Madrid, Spain; [Fernandez-Carballal, Carlos] Univ Gregorio Maranon, Gen Hosp, Serv Neurocirugia, Madrid, Spain; [Prat-Acin, Ricardo] Hosp Univ Fe, Dept Neurocirugia, Valencia, Spain</t>
  </si>
  <si>
    <t>IMDEA Nanociencia; San Pablo CEU University; University of Helsinki; Pennsylvania Commonwealth System of Higher Education (PCSHE); University of Pittsburgh; University of Navarra; General University Gregorio Maranon Hospital; General University Gregorio Maranon Hospital</t>
  </si>
  <si>
    <t>Ayuso-Sacido, A (corresponding author), HM Hosp, Fdn Invest HM Hosp, Madrid, Spain.;Ayuso-Sacido, A (corresponding author), IMDEA Nanosci, Madrid, Spain.;Ayuso-Sacido, A (corresponding author), Univ San Pablo, CEU, Fac Med IMMA, Madrid, Spain.</t>
  </si>
  <si>
    <t>ayusosacido@gmail.com</t>
  </si>
  <si>
    <t>Alonso, Marta M/AAI-9457-2020; Sacido, Angel Ayuso/AAV-9331-2021; Lucea, Carmen Escobedo/X-8015-2019; Adan, Guzman-De-Villoria Juan/AAY-5733-2020</t>
  </si>
  <si>
    <t>Alonso, Marta M/0000-0002-7520-7351; Sacido, Angel Ayuso/0000-0003-3919-5880; Ortiz de Mendivil, Ana/0000-0002-3567-7041; Carrion-Navarro, Josefa/0000-0001-6661-1240; Guzman-De-Villoria, Juan Adan/0000-0003-3653-0065; GARCIA-ROMERO, NOEMI/0000-0001-7744-8848; Lazaro-Ibanez, Elisa/0000-0002-3542-7069</t>
  </si>
  <si>
    <t>1949-2553</t>
  </si>
  <si>
    <t>10.18632/oncotarget.13635</t>
  </si>
  <si>
    <t>Oncology; Cell Biology</t>
  </si>
  <si>
    <t>WOS:000391503300110</t>
  </si>
  <si>
    <t>Sedlik, C; Vigneron, J; Torrieri-Dramard, L; Pitoiset, F; Denizeau, J; Chesneau, C; de la Rochere, P; Lantz, O; Thery, C; Bellier, B</t>
  </si>
  <si>
    <t>Sedlik, Christine; Vigneron, James; Torrieri-Dramard, Lea; Pitoiset, Fabien; Denizeau, Jordan; Chesneau, Caroline; de la Rochere, Philippe; Lantz, Olivier; Thery, Clotilde; Bellier, Bertrand</t>
  </si>
  <si>
    <t>Different immunogenicity but similar antitumor efficacy of two DNA vaccines coding for an antigen secreted in different membrane vesicle-associated forms</t>
  </si>
  <si>
    <t>extracellular vesicles; microvesicles; exosomes; virus-like particles; tumour immunity; vaccination</t>
  </si>
  <si>
    <t>PARTICLE-BASED VACCINES; VIRUS-LIKE PARTICLES; CROSS-PRESENTATION; IMMUNE-RESPONSES; CANCER VACCINES; TUMOR-ANTIGENS; ELECTROPORATION; EXOSOMES; ACCUMULATION; VACCINATION</t>
  </si>
  <si>
    <t>The induction of an active immune response to control or eliminate tumours is still an unfulfilled challenge. We focused on plasmid DNA vaccines using an innovative approach whereby the antigen is expressed in association with extracellular vesicles (EVs) to facilitate antigen cross-presentation and improve induced immunity. Our two groups had independently shown previously that DNA vaccines encoding EV-associated antigens are more efficient at inducing cytotoxic T-cell responses than vaccines encoding the non-EV-associated antigen. Here, we compared our two approaches to associate the ovalbumin (OVA) antigen to EVs: (a) by fusion to the lipid-binding domain C1C2 of MFGE8(= lactadherin), which is exposed on the surface of secreted membrane vesicles; and (b) by fusion to retroviral Gag capsid protein, which is incorporated inside membrane-enclosed virus-like particles. Plasmids encoding either form of modified OVA were used as DNA-based vaccines (i.e. injected into mice to allow in vivo expression of the antigen associated to EVs). We show that both DNA vaccines induced, with similar efficiency, OVA-specific CD8(+) T cells and total IgG antibodies. By contrast, each vaccine preferentially stimulated different isotypes of immunoglobulins, and the OVA-C1C2-encoding vaccine favoured antigen-specific CD4(+) T lymphocyte induction as compared to the Gag-OVA vaccine. Nevertheless, both OVA-C1C2 and Gag-OVA vaccines efficiently prevented in vivo outgrowth of OVA-expressing tumours and reduced tumour progression when administered to tumour-bearing mice, although with variable efficacies depending on the tumour models. DNA vaccines encoding EV-associated antigens are thus promising immunotherapy tools in cancer but also potentially other diseases.</t>
  </si>
  <si>
    <t>[Sedlik, Christine; Vigneron, James; Chesneau, Caroline; de la Rochere, Philippe; Lantz, Olivier; Thery, Clotilde] INSERM, Paris, France; [Sedlik, Christine; Denizeau, Jordan; Lantz, Olivier; Thery, Clotilde] Clin Investigat Center, IGR Curie 1428 &amp; Inst Curie, Paris, France; [Vigneron, James; Torrieri-Dramard, Lea; Pitoiset, Fabien; Bellier, Bertrand] Univ Paris 06, Sorbonne Univ, UMRS 959, Paris, France; [Vigneron, James; Torrieri-Dramard, Lea; Pitoiset, Fabien; Bellier, Bertrand] INSERM, UMRS 959, Paris, France; [Vigneron, James; Torrieri-Dramard, Lea; Pitoiset, Fabien; Bellier, Bertrand] CNRS, Paris, France; [Bellier, Bertrand] Grp Hosp Pitie Salpetriere, Clin Invest Ctr Biotherapy, AP HP, Dept Biotherapies, Paris, France</t>
  </si>
  <si>
    <t>Institut National de la Sante et de la Recherche Medicale (Inserm); UDICE-French Research Universities; Sorbonne Universite; Institut National de la Sante et de la Recherche Medicale (Inserm); Centre National de la Recherche Scientifique (CNRS); UDICE-French Research Universities; Universite de Paris; Assistance Publique Hopitaux Paris (APHP); Hopital Universitaire Pitie-Salpetriere - APHP; UDICE-French Research Universities; Sorbonne Universite</t>
  </si>
  <si>
    <t>Bellier, B (corresponding author), INSERM, Inst Curie, 26 Rue Ulm, F-75005 Paris, France.</t>
  </si>
  <si>
    <t>bertrand.bellier@upmc.fr</t>
  </si>
  <si>
    <t>Bellier, Bertrand/AAI-7852-2021; thery, clotilde/F-6373-2013</t>
  </si>
  <si>
    <t>thery, clotilde/0000-0001-8294-6884; Bellier, Bertrand/0000-0001-8921-5478; De La Rochere, Philippe/0000-0002-2006-0372; Lantz, olivier/0000-0003-3161-7719; SEDLIK, Christine/0000-0001-8502-0905; Pitoiset, Fabien/0000-0001-9950-4011</t>
  </si>
  <si>
    <t>10.3402/jev.v3.24646</t>
  </si>
  <si>
    <t>WOS:000215617200011</t>
  </si>
  <si>
    <t>Mata-Rocha, M; Rodriguez-Hernandez, RM; Chavez-Olmos, P; Garrido, E; Robles-Vazquez, C; Aguilar-Ruiz, S; Torres-Aguilar, H; Gonzalez-Torres, C; Gaytan-Cervantes, J; Mejia-Arangure, JM; Romero-Tlalolini, MDA</t>
  </si>
  <si>
    <t>Mata-Rocha, Minerva; Monserrat Rodriguez-Hernandez, Ruth; Chavez-Olmos, Pedro; Garrido, Efrain; Robles-Vazquez, Conrado; Aguilar-Ruiz, Sergio; Torres-Aguilar, Honorio; Gonzalez-Torres, Carolina; Gaytan-Cervantes, Javier; Manuel Mejia-Arangure, Juan; Angeles Romero-Tlalolini, Maria de los</t>
  </si>
  <si>
    <t>Presence of HPV DNA in extracellular vesicles from HeLa cells and cervical samples</t>
  </si>
  <si>
    <t>ENFERMEDADES INFECCIOSAS Y MICROBIOLOGIA CLINICA</t>
  </si>
  <si>
    <t>Exosomal DNA-seq; Exosomal HPV DNA; Exosomes of cervical exudate; Episomal HPV DNA in exosomes</t>
  </si>
  <si>
    <t>HUMAN-PAPILLOMAVIRUS; CANCER; EXPRESSION; SPECIMENS; PCR; E6</t>
  </si>
  <si>
    <t>Introduction: The main cause of cervical cancer is an infection of keratinocytes in the basal layer of the stratified epithelium of the cervix by human papillomavirus (HPV). Other than in cervical samples, HPV DNA has been found in serum and other fluids but its origin is unclear. Extracellular vesicles (EV) could be a conveyance of viral DNA given their emerging role in cellular communication. The content of EV derived from cervical cells has not been properly explored and it is not known whether or not they contain HPV DNA. Methods: We evaluated the DNA content of exosomes purified from cultures of HeLa cells by Next Generation Sequencing (NGS) and confirmed its presence by PCR. The presence of HPV DNA was also evaluated by PCR and NGS in EV from HPV-positive cervical samples without apparent lesion or with LSIL. Results: We detected the integrated form of viral -DNA in exosomes from HeLa cells by NGS and confirmed its presence by PCR. The search for HPV sequences in EV obtained from cervical exudate samples without apparent lesion or with LSIL, where we expected to find the viral genome as an episome, indicated that HPV DNA, including the E6 and E7 oncogenes, is present in these EV. Conclusion: HPV DNA, including the viral oncogenes E6/E7, is found in exosomes regardless of the integration status of the virus in the infected cell. (C) 2019 Elsevier Espana, S.L.U. and Sociedad Espaliola de Enfermedades Infecciosas y Microbiologla Clinica. All rights reserved.</t>
  </si>
  <si>
    <t>[Mata-Rocha, Minerva] Ctr Med Nacl Siglo XXI, Hosp Pediat, IMSS, CONACyT Unidad Invest Med Epidemiol Clin, Mexico City, DF, Mexico; [Monserrat Rodriguez-Hernandez, Ruth; Torres-Aguilar, Honorio] Univ Autonoma Benito Juarez Oaxaca, Fac Ciencias Quim, Oaxaca, Oaxaca, Mexico; [Chavez-Olmos, Pedro; Garrido, Efrain] IPN, Dept Genet &amp; Biol Mol, CINVESTAV, Ciudad De Mexico, Mexico; [Robles-Vazquez, Conrado; Aguilar-Ruiz, Sergio] Univ Autonoma Benito Juarez Oaxaca, Fac Med &amp; Cirugia, Oaxaca, Oaxaca, Mexico; [Gonzalez-Torres, Carolina; Gaytan-Cervantes, Javier] Ctr Med Nacl Siglo XXI, Div Desarrollo Invest, Lab Secuenciac, IMSS, Ciudad De Mexico, Mexico; [Manuel Mejia-Arangure, Juan] Torre Acad Nacl Med, IMSS, Coordinac Invest Salud, Ciudad De Mexico, Mexico; [Angeles Romero-Tlalolini, Maria de los] Fac Med &amp; Cirugia, CONACYT UABJO, Oaxaca, Oaxaca, Mexico</t>
  </si>
  <si>
    <t>Instituto Mexicano del Seguro Social; Universidad Autonoma Benito Juarez de Oaxaca; CINVESTAV - Centro de Investigacion y de Estudios Avanzados del Instituto Politecnico Nacional; Instituto Politecnico Nacional - Mexico; Universidad Autonoma Benito Juarez de Oaxaca</t>
  </si>
  <si>
    <t>Romero-Tlalolini, MDA (corresponding author), Fac Med &amp; Cirugia, CONACYT UABJO, Oaxaca, Oaxaca, Mexico.</t>
  </si>
  <si>
    <t>mdlaromerotl@conacyt.mx</t>
  </si>
  <si>
    <t>Mejia-Arangure, Juan Manuel/T-6743-2019</t>
  </si>
  <si>
    <t>Mejia-Arangure, Juan Manuel/0000-0001-8027-6231; GONZALEZ, CAROLINA/0000-0003-0688-9333; Rodriguez Hernandez, Ruth Monserrat/0000-0001-5606-647X; Romero-Tlalolini, Maria de los Angeles/0000-0001-9867-8765; Torres-Aguilar, Honorio/0000-0003-2853-4891; Gaytan Cervantes, Fco. Javier/0000-0003-3386-2849; Aguilar Ruiz, Sergio Roberto/0000-0002-2412-0360</t>
  </si>
  <si>
    <t>0213-005X</t>
  </si>
  <si>
    <t>1578-1852</t>
  </si>
  <si>
    <t>10.1016/j.eime.2019.06.011</t>
  </si>
  <si>
    <t>Infectious Diseases; Microbiology</t>
  </si>
  <si>
    <t>WOS:000530699600004</t>
  </si>
  <si>
    <t>Soler, N; Marguet, E; Verbavatz, JM; Forterre, P</t>
  </si>
  <si>
    <t>Soler, Nicolas; Marguet, Evelyne; Verbavatz, Jean-Marc; Forterre, Patrick</t>
  </si>
  <si>
    <t>Virus-like vesicles and extracellular DNA produced by hyperthermophilic archaea of the order Thermococcales</t>
  </si>
  <si>
    <t>RESEARCH IN MICROBIOLOGY</t>
  </si>
  <si>
    <t>membrane vesicles; Thermococcales; archaea; hyperthermophiles; viral ecology; extracellular DNA; DNA resistance; nanobacteria</t>
  </si>
  <si>
    <t>OUTER-MEMBRANE VESICLES; SEA HYDROTHERMAL VENTS; SYBR GREEN-I; MARINE VIRUSES; PYROCOCCUS-FURIOSUS; VIRULENCE GENES; GENOME; EPIFLUORESCENCE; BACTERIA; PARTICLE</t>
  </si>
  <si>
    <t>Cultures of hyperthermophilic archaea (order Thermococcales) have been analyzed by electron microscopy and epifluorescence staining for the presence of virus-like particles. We found that most strains of Thermococcus and Pyrococcus produce various types of spherical membrane vesicles and unusual filamentous structures. Cellular DNA can be strongly associated with vesicles and appears as fluorescent dots by epifluorescence microscopy, suggesting that some particles assumed to be viruses in ecological studies might instead be vesicles associated with extracellular DNA. DNA in vesicle preparations is remarkably resistant to DNase treatment and thermodenaturation, indicating that association with vesicles could be an important factor determining DNA stability in natural environments. (C) 2008 Elsevier Masson SAS. All rights reserved.</t>
  </si>
  <si>
    <t>[Soler, Nicolas; Forterre, Patrick] Univ Paris 11, CNRS, Inst Genet &amp; Microbiol, UMR 8621, F-91405 Orsay, France; [Marguet, Evelyne; Verbavatz, Jean-Marc] CEA Saclay, IBITEC S, F-91191 Gif Sur Yvette, France; [Marguet, Evelyne; Verbavatz, Jean-Marc] CEA Saclay, CNRS, URA 2096, F-91191 Gif Sur Yvette, France</t>
  </si>
  <si>
    <t>Centre National de la Recherche Scientifique (CNRS); UDICE-French Research Universities; Universite Paris Saclay; CEA; UDICE-French Research Universities; Universite Paris Saclay; CEA; Centre National de la Recherche Scientifique (CNRS)</t>
  </si>
  <si>
    <t>Forterre, P (corresponding author), Univ Paris 11, CNRS, Inst Genet &amp; Microbiol, UMR 8621, F-91405 Orsay, France.</t>
  </si>
  <si>
    <t>nicolas.soler@curie.u-psud.fr; evelyne.marguet@igmors.upsud.fr; jean-marc.verbavatz@cea.fr; patrick.forterre@igmors.u-psud.fr</t>
  </si>
  <si>
    <t>Soler, Nicolas/B-7720-2016</t>
  </si>
  <si>
    <t>Soler, Nicolas/0000-0002-4292-4020; Verbavatz, Jean-Marc/0000-0002-4654-1174</t>
  </si>
  <si>
    <t>0923-2508</t>
  </si>
  <si>
    <t>1769-7123</t>
  </si>
  <si>
    <t>10.1016/j.resmic.2008.04.015</t>
  </si>
  <si>
    <t>Microbiology</t>
  </si>
  <si>
    <t>WOS:000259413800012</t>
  </si>
  <si>
    <t>Elzanowska, J; Berrocal, L; Garcia-Pelaez, B; Vives-Usano, M; Sebo, BP; Maia, J; Batista, S; Teppo, J; Varjosalo, M; Moraes, MCS; Molina-Vila, MA; Costa-Silva, B</t>
  </si>
  <si>
    <t>Elzanowska, Julia; Berrocal, Laura; Garcia-Pelaez, Beatriz; Vives-Usano, Marta; Sebo, Beatriz Passos; Maia, Joana; Batista, Silvia; Teppo, Jaakko; Varjosalo, Markku; Moraes, Maria Carolina Strano; Molina-Vila, Miguel Angel; Costa-Silva, Bruno</t>
  </si>
  <si>
    <t>Defining Optimal Conditions for Tumor Extracellular Vesicle DNA Extraction for Mutation Profiling</t>
  </si>
  <si>
    <t>CANCERS</t>
  </si>
  <si>
    <t>extracellular vesicles (EVs); DNA; mutation profiling; liquid biopsy</t>
  </si>
  <si>
    <t>DOUBLE-STRANDED DNA; GENOMIC DNA; MUTANT KRAS; EXOSOMES</t>
  </si>
  <si>
    <t>Simple Summary We here performed a comprehensive comparison of commonly used approaches for EV-DNA extraction, by assessing DNA quantity, its quality, and its suitability for downstream analyses. We found that the tested methods resulted in different DNA yields and fragment sizes. As a consequence, we found that different EV-DNA extraction methods had an impact on the detection of specific mutations by qPCR and on the suitability of next-generation sequencing (NGS), which could impact downstream clinical applications. (1) Background: Extracellular vesicles (EVs) have emerged as crucial players in the communication between cells in both physiological and pathological scenarios. The functions of EVs are strongly determined by their molecular content, which includes all bioactive molecules, such as proteins, lipids, RNA, and, as more recently described, double-stranded DNA. It has been shown that in oncological settings DNA associated with EVs (EV-DNA) is representative of the genome of parental cells and that it reflects the mutational status of the tumor, gaining much attention as a promising source of biomarker mutant DNA. However, one of the challenges in studies of EV-DNA is the lack of standardization of protocols for the DNA extraction from EVs, as well as ways to assess quality control, which hinders its future implementation in clinics. (2) Methods: We performed a comprehensive comparison of commonly used approaches for EV-DNA extraction by assessing DNA quantity, quality, and suitability for downstream analyses. (3) Results: We here established strategic points to consider for EV-DNA preparation for mutational analyses, including qPCR and NGS. (4) Conclusions: We put in place a workflow that can be applied for the detection of clinically relevant mutations in the EV-DNA of cancer patients.</t>
  </si>
  <si>
    <t>[Elzanowska, Julia; Sebo, Beatriz Passos; Maia, Joana; Batista, Silvia; Moraes, Maria Carolina Strano; Costa-Silva, Bruno] Champalimaud Fdn, Champalimaud Physiol &amp; Canc Programme, P-1400038 Lisbon, Portugal; [Berrocal, Laura; Garcia-Pelaez, Beatriz; Vives-Usano, Marta; Molina-Vila, Miguel Angel] Hosp Univ Quiron Dexeus, Lab Oncol Pangaea Oncol, Barcelona 08028, Spain; [Teppo, Jaakko] Univ Helsinki, Drug Res Program, Fac Pharm, Helsinki 00014, Finland; [Teppo, Jaakko; Varjosalo, Markku] Univ Helsinki, Inst Biotechnol, Mol Syst Biol Res Grp &amp; Prote Unit, Helsinki 00014, Finland</t>
  </si>
  <si>
    <t>Fundacao Champalimaud; quironsalud Group; University of Helsinki; University of Helsinki</t>
  </si>
  <si>
    <t>Costa-Silva, B (corresponding author), Champalimaud Fdn, Champalimaud Physiol &amp; Canc Programme, P-1400038 Lisbon, Portugal.;Molina-Vila, MA (corresponding author), Hosp Univ Quiron Dexeus, Lab Oncol Pangaea Oncol, Barcelona 08028, Spain.</t>
  </si>
  <si>
    <t>julia.elzanowska@research.fchampalimaud.org; lberrocal@panoncology.com; beatriz.sebo@research.fchampalimaud.org; mvives@panoncology.com; beatriz.sebo@research.fchampalimaud.org; joanatcmaia@gmail.com; saabatista@gmail.com; jaakko.teppo@helsinki.fi; markku.varjosalo@helsinki.fi; carolina.stranomoraes@research.fchampalimaud.org; mamolina@panoncology.com; bruno.costa-silva@research.fchampalimaud.org</t>
  </si>
  <si>
    <t>; Varjosalo, Markku/K-6424-2015</t>
  </si>
  <si>
    <t>Costa-Silva, Bruno/0000-0002-5932-6211; Molina-Vila, Miguel/0000-0001-8866-9881; Varjosalo, Markku/0000-0002-1340-9732</t>
  </si>
  <si>
    <t>2072-6694</t>
  </si>
  <si>
    <t>10.3390/cancers14133258</t>
  </si>
  <si>
    <t>WOS:000823670200001</t>
  </si>
  <si>
    <t>Martelli, F; Macera, L; Spezia, PG; Medici, C; Pistello, M; Guasti, D; Romagnoli, P; Maggi, F; Giannecchini, S</t>
  </si>
  <si>
    <t>Martelli, Francesco; Macera, Lisa; Spezia, Pietro Giorgio; Medici, Chiara; Pistello, Mauro; Guasti, Daniele; Romagnoli, Paolo; Maggi, Fabrizio; Giannecchini, Simone</t>
  </si>
  <si>
    <t>Torquetenovirus detection in exosomes enriched vesicles circulating in human plasma samples</t>
  </si>
  <si>
    <t>VIROLOGY JOURNAL</t>
  </si>
  <si>
    <t>Anelloviruses; Torquetenovirus; Exosomes; DNA viral load; Viral persistence; HIV; transplant recipients</t>
  </si>
  <si>
    <t>TORQUE-TENO-VIRUS; HUMAN-IMMUNODEFICIENCY-VIRUS; TT-VIRUS; EXTRACELLULAR VESICLES; HUMAN ANELLOVIRUSES; URANYL ACETATE; HUMAN VIROME; HEPATITIS; INFECTION; CELLS</t>
  </si>
  <si>
    <t>Background: Torquetenovirus (TTV) belongs to Anelloviridae family, infects nearly all people indefinitely without causing overt disease establishing a fine and successful interaction with the host. Increasing evidence have shown some human viruses exploit extracellular vesicles thereby helping viral persistence in the host. Here, the presence of TTV in extracellular vesicles circulating in human plasma was investigated. Methods: TTV DNA was quantified in plasma-derived exosomes from 122 samples collected from 97 diseased patients and 25 healthy donors. Exosomes enriched vesicles (EEVs) were extracted from plasma and characterized by Nanoparticle tracking analysis, by western blot for presence of tetraspanin CD63, CD81 and annexin II protein and, finally, by electron microscopy (EM). Presence and quantitation of TTV DNA were assessed with an universal single step real-time TaqMan PCR assay. Results: Preliminary investigation showed that the human plasma extracted extracellular vesicles exhibited a main size of 70 nm, had concentration of 2.5 x 10(9)/ml, and scored positive for tetraspanin CD63, CD81 and annexin II, typical characteristic of the exosomes vesicles. EEVs extracted from pooled plasma with TTV DNA viremia of 9.7 x 10(4) copies/ml showed to contain 6.3 x 10(2) TTV copies/ml, corresponding to 0.65% of total viral load. Important TTV yield changed significantly following freezing/thawing, detergents and DNAse treatment of plasma before EEVs extraction. EEVs purified by sucrose-density gradient centrifugation and analysis of gradient fraction positive for exosomes marker CD63 harbored 10(2) TTV copies/ml. Moreover, EM evidenced the presence of TTV-like particles in EEVs. Successive investigation of plasma EEVs from 122 subjects (37 HIV-positive, 20 HCV infected, 20 HBV infected, 20 kidney transplant recipients, and 25 healthy) reported TTV DNA detection in 42 (34%) of the viremic samples (37 were from diseased patients and 5 from healthy people) at a mean level of 4.8 x 10(3) copies/ml. The examination of EEVs selected samples reported the presence of TTV genogroup 1, 3, 4 and 5, with genogroup 3 highly observed. Conclusions: Collectively, although these observations should be confirmed by further studies, circulation of TTV particles in EEVs opens new avenues and mechanistic insights on the molecular strategies adopted by anelloviruses to persist in the host.</t>
  </si>
  <si>
    <t>[Martelli, Francesco; Guasti, Daniele; Romagnoli, Paolo; Giannecchini, Simone] Univ Florence, Dept Expt &amp; Clin Med, Viale Morgagni 48, I-150134 Florence, Italy; [Macera, Lisa; Spezia, Pietro Giorgio; Medici, Chiara; Pistello, Mauro; Maggi, Fabrizio] Pisa Univ Hosp, Virol Unit, Pisa, Italy; [Macera, Lisa; Spezia, Pietro Giorgio; Pistello, Mauro] Univ Pisa, Retrovirus Ctr &amp; Virol Sect, Dept Translat Res, Pisa, Italy</t>
  </si>
  <si>
    <t>University of Florence; University of Pisa; Azienda Ospedaliero Universitaria Pisana; University of Pisa</t>
  </si>
  <si>
    <t>Giannecchini, S (corresponding author), Univ Florence, Dept Expt &amp; Clin Med, Viale Morgagni 48, I-150134 Florence, Italy.</t>
  </si>
  <si>
    <t>simone.giannecchini@unifi.it</t>
  </si>
  <si>
    <t>Maggi, Fabrizio/AAU-5965-2021; MEDICI, CHIARA/AAC-8734-2022; Maggi, Fabrizio/L-2974-2013; Giannecchini, Simone/K-2136-2016; Pistello, Mauro/AAD-4214-2022; Romagnoli, Paolo/AAJ-9636-2020</t>
  </si>
  <si>
    <t>Maggi, Fabrizio/0000-0001-7489-5271; Maggi, Fabrizio/0000-0001-7489-5271; Giannecchini, Simone/0000-0003-3374-7621; Medici, Chiara/0000-0002-7348-9674; Spezia, Pietro Giorgio/0000-0002-6743-014X; DANIELE, GUASTI/0000-0002-2856-6829</t>
  </si>
  <si>
    <t>1743-422X</t>
  </si>
  <si>
    <t>SEP 20</t>
  </si>
  <si>
    <t>10.1186/s12985-018-1055-y</t>
  </si>
  <si>
    <t>Virology</t>
  </si>
  <si>
    <t>WOS:000445244400001</t>
  </si>
  <si>
    <t>Silva, M; Melo, SA</t>
  </si>
  <si>
    <t>Silva, Miguel; Melo, Sonia A.</t>
  </si>
  <si>
    <t>Non-coding RNAs in Exosomes: New Players in Cancer Biology</t>
  </si>
  <si>
    <t>CURRENT GENOMICS</t>
  </si>
  <si>
    <t>Exosomes; Extracellular vesicles; microRNAs; microRNA biogenesis; Non-coding RNAs</t>
  </si>
  <si>
    <t>MICRORNA EXPRESSION; EXTRACELLULAR VESICLES; MEMBRANE-VESICLES; MESSENGER-RNAS; MICROVESICLES; BIOGENESIS; CELLS; DELIVERY; IDENTIFICATION; BIOMARKERS</t>
  </si>
  <si>
    <t>Exosomes are lipid bilayer extracellular vesicles (EVs) of 50-150nm in size, which contain nucleic acids (mRNA, ncRNAs and DNA), proteins and lipids. They are secreted by all cells and circulate in all body fluids. Exosomes are key mediators of several processes in cancer that mediate tumor progression and metastasis. These nano-vesicles, when secreted from cancer cells, are enriched in non-coding RNAs (e.g. microRNAs) complexed with the RNA-Induced Silencing Complex (RISC), that mediate an efficient and rapid silencing of mRNAs at the recipient cell, reprogramming their transcriptome. MicroRNAs in circulation encapsulated in exosomes are protected from degradation by a lipid bilayer and might serve as potential non-invasive diagnostic and screening tools to detect early stage cancer, to facilitate treatment options and possible help in curative surgical therapy decisions. Additionally, engineered exosomes can be used as therapy vehicles for targeted delivery of RNAi molecules, escaping the immune system detection.</t>
  </si>
  <si>
    <t>[Silva, Miguel; Melo, Sonia A.] Univ Porto, Inst Invest &amp; Inovacao Saude, P-4200 Oporto, Portugal; [Silva, Miguel; Melo, Sonia A.] Univ Porto IPATIMUP, Inst Pathol &amp; Mol Immunol, P-4200 Oporto, Portugal</t>
  </si>
  <si>
    <t>Universidade do Porto; i3S - Instituto de Investigacao e Inovacao em Saude, Universidade do Porto; Universidade do Porto</t>
  </si>
  <si>
    <t>Melo, SA (corresponding author), Univ Porto IPATIMUP, Inst Mol Pathol &amp; Immunol, Rua Dr Roberto Frias S-N, P-4200465 Oporto, Portugal.</t>
  </si>
  <si>
    <t>smelo@ipatimup.pt</t>
  </si>
  <si>
    <t>Silva, Miguel/AAD-4511-2022; MELO, SONIA/H-8972-2013</t>
  </si>
  <si>
    <t>MELO, SONIA/0000-0002-2291-4263; Silva, Miguel/0000-0002-2940-0732</t>
  </si>
  <si>
    <t>1389-2029</t>
  </si>
  <si>
    <t>1875-5488</t>
  </si>
  <si>
    <t>10.2174/1389202916666150707154719</t>
  </si>
  <si>
    <t>Biochemistry &amp; Molecular Biology; Genetics &amp; Heredity</t>
  </si>
  <si>
    <t>WOS:000357942100002</t>
  </si>
  <si>
    <t>Jeyaraman, M; Muthu, S; Gulati, A; Jeyaraman, N; Prajwal, GS; Jain, R</t>
  </si>
  <si>
    <t>Jeyaraman, Madhan; Muthu, Sathish; Gulati, Arun; Jeyaraman, Naveen; Prajwal, G. S.; Jain, Rashmi</t>
  </si>
  <si>
    <t>Mesenchymal Stem Cell-Derived Exosomes: A Potential Therapeutic Avenue in Knee Osteoarthritis</t>
  </si>
  <si>
    <t>CARTILAGE</t>
  </si>
  <si>
    <t>mesenchymal stem cells; exosomes; microvesicles; cartilage</t>
  </si>
  <si>
    <t>EXTRACELLULAR VESICLES; CARTILAGE DEGRADATION; HIP-OSTEOARTHRITIS; STROMAL CELLS; CANCER; SERUM; CHONDROCYTE; BIOMARKERS; MARKER; DNA</t>
  </si>
  <si>
    <t>Knee osteoarthritis is the leading cause of functional disability in adults. The goals of knee osteoarthritis management are directed toward symptomatic pain relief along with the attainment of the functional quality of life. The treatment strategy ranges from conservative to surgical management with reparative and restorative techniques. The emergence of cell-based therapies has paved the way for the usage of mesenchymal stem cells (MSCs) in cartilage disorders. Currently, global researchers are keen on their research on nanomedicine and targeted drug delivery. MSC-derived exosomes act as a directed therapy to halt the disease progression and to provide a pain-free range of movements with increased quality of cartilage on regeneration. International Society for Extracellular Vesicles and the European Network on Microvesicles and Exosomes in Health and Disease have formed guidelines to foster the use of the growing therapeutic potential of exosomal therapy in osteoarthritis. Although regenerative therapies with MSC are being seen to hold a future in the management of osteoarthritis, extracellular vesicle-based technology holds the key to unlock the potential toward knee preservation and regeneration. The intricate composition and uncertain functioning of exosomes are inquisitive facets warranting further exploration.</t>
  </si>
  <si>
    <t>[Jeyaraman, Madhan] Sharda Univ, Sch Med Sci &amp; Res, Dept Orthoped, Greater Noida 201306, Uttar Pradesh, India; [Muthu, Sathish] Govt Hosp, Karur, Tamil Nadu, India; [Gulati, Arun] Kalpana Chawla Govt Med Coll, Karnal, Haryana, India; [Jeyaraman, Naveen] Manipal Univ, Manipal, Karnataka, India; [Prajwal, G. S.] JJM Med Coll, Davangere, Karnataka, India; [Jain, Rashmi] Sharda Univ, Sch Med Sci &amp; Res, Greater Noida, Uttar Pradesh, India</t>
  </si>
  <si>
    <t>Sharda University; Manipal Academy of Higher Education (MAHE); Sharda University</t>
  </si>
  <si>
    <t>Jeyaraman, M (corresponding author), Sharda Univ, Sch Med Sci &amp; Res, Dept Orthoped, Greater Noida 201306, Uttar Pradesh, India.</t>
  </si>
  <si>
    <t>madhanjeyaraman@gmail.com</t>
  </si>
  <si>
    <t>Gulati, Arun/ABE-9195-2020; Muthu, Sathish/G-5756-2018; Jeyaraman, Madhan/ABB-8464-2020</t>
  </si>
  <si>
    <t>Muthu, Sathish/0000-0002-7143-4354; Jeyaraman, Madhan/0000-0002-9045-9493; GS, Prajwal/0000-0001-7345-2321</t>
  </si>
  <si>
    <t>1947-6035</t>
  </si>
  <si>
    <t>1947-6043</t>
  </si>
  <si>
    <t>DEC</t>
  </si>
  <si>
    <t>1_SUPPL</t>
  </si>
  <si>
    <t>1_</t>
  </si>
  <si>
    <t>1572S</t>
  </si>
  <si>
    <t>1585S</t>
  </si>
  <si>
    <t>10.1177/1947603520962567</t>
  </si>
  <si>
    <t>OCT 2020</t>
  </si>
  <si>
    <t>Orthopedics</t>
  </si>
  <si>
    <t>WOS:000579270600001</t>
  </si>
  <si>
    <t>Rooj, AK; Mineo, M; Godlewski, J</t>
  </si>
  <si>
    <t>Rooj, Arun K.; Mineo, Marco; Godlewski, Jakub</t>
  </si>
  <si>
    <t>MicroRNA and extracellular vesicles in glioblastoma: small but powerful</t>
  </si>
  <si>
    <t>BRAIN TUMOR PATHOLOGY</t>
  </si>
  <si>
    <t>Article; Proceedings Paper</t>
  </si>
  <si>
    <t>33rd Annual Meeting of the Japan-Society-of-Brain-Tumor-Pathology (JSBTP)</t>
  </si>
  <si>
    <t>MAY 29-30, 2015</t>
  </si>
  <si>
    <t>Kagawa, JAPAN</t>
  </si>
  <si>
    <t>Exosomes; Extracellular vesicles; Glioblastoma; microRNA</t>
  </si>
  <si>
    <t>GROWTH-FACTOR RECEPTOR; DOWN-REGULATION; STEM-CELLS; EXPRESSION PROFILE; MEMBRANE-VESICLES; MALIGNANT GLIOMA; TUMOR-GROWTH; EXOSOMES; RNA; ANGIOGENESIS</t>
  </si>
  <si>
    <t>To promote the tumor growth, angiogenesis, metabolism, and invasion, glioblastoma (GBM) cells subvert the surrounding microenvironment by influencing the endogenous activity of other brain cells including endothelial cells, macrophages, astrocytes, and microglia. Large number of studies indicates that the intra-cellular communication between the different cell types of the GBM microenvironment occurs through the functional transfer of oncogenic components such as proteins, non-coding RNAs, DNA and lipids via the release and uptake of extracellular vesicles (EVs). Unlike the communication through the secretion of chemokines and cytokines, the transfer and gene silencing activity of microRNAs through EVs is more complex as the biogenesis and proper packaging of microRNAs is crucial for their uptake by recipient cells. Although the specific mechanism of EV-derived microRNA uptake and processing in recipient cells is largely unknown, the screening, identifying and finally targeting of the EV-associated pro-tumorigenic microRNAs are emerging as new therapeutic strategy to combat the GBM.</t>
  </si>
  <si>
    <t>[Rooj, Arun K.; Mineo, Marco; Godlewski, Jakub] Harvard Univ, Sch Med, Brigham &amp; Womens Hosp, Dept Neurosurg, 4 Blackfan Circle, Boston, MA 02115 USA</t>
  </si>
  <si>
    <t>Harvard University; Brigham &amp; Women's Hospital</t>
  </si>
  <si>
    <t>Godlewski, J (corresponding author), Harvard Univ, Sch Med, Brigham &amp; Womens Hosp, Dept Neurosurg, 4 Blackfan Circle, Boston, MA 02115 USA.</t>
  </si>
  <si>
    <t>jgodlewski@partners.org</t>
  </si>
  <si>
    <t>Godlewski, Jakub/U-4700-2019</t>
  </si>
  <si>
    <t>Godlewski, Jakub/0000-0003-2122-9798</t>
  </si>
  <si>
    <t>1433-7398</t>
  </si>
  <si>
    <t>1861-387X</t>
  </si>
  <si>
    <t>10.1007/s10014-016-0259-3</t>
  </si>
  <si>
    <t>Oncology; Clinical Neurology; Pathology</t>
  </si>
  <si>
    <t>Science Citation Index Expanded (SCI-EXPANDED); Conference Proceedings Citation Index - Science (CPCI-S)</t>
  </si>
  <si>
    <t>Oncology; Neurosciences &amp; Neurology; Pathology</t>
  </si>
  <si>
    <t>WOS:000373565700002</t>
  </si>
  <si>
    <t>Skliar, M; Chernyshev, VS</t>
  </si>
  <si>
    <t>Skliar, Mikhail; Chernyshev, Vasiliy S.</t>
  </si>
  <si>
    <t>Imaging of Extracellular Vesicles by Atomic Force Microscopy</t>
  </si>
  <si>
    <t>Biochemistry; Issue 151; atomic force microscopy; exosomes and extracellular vesicles; surface immobilization; dimensional characterization; morphological characterization; biophysical characterization; size of membrane vesicles; hydrated and desiccated samples; image analysis</t>
  </si>
  <si>
    <t>EXOSOMES; MICA; ADSORPTION; AFM; DNA</t>
  </si>
  <si>
    <t>Exosomes and other extracellular vesicles (EVs) are molecular complexes consisting of a lipid membrane vesicle, its surface decoration by membrane proteins and other molecules, and diverse luminal content inherited from a parent cell, which includes RNAs, proteins, and DNAs. The characterization of the hydrodynamic sizes of EVs, which depends on the size of the vesicle and its coronal layer formed by surface decorations, has become routine. For exosomes, the smallest of EVs, the relative difference between the hydrodynamic and vesicles sizes is significant. The characterization of vesicles sizes by the cryogenic transmission electron microscopy (cryo-TEM) imaging, a gold standard technique, remains a challenge due to the cost of the instrument, the expertise required to perform the sample preparation, imaging and data analysis, and a small number of particles often observed in images. A widely available and accessible alternative is the atomic force microscopy (AFM), which can produce versatile data on three-dimensional geometry, size, and other biophysical properties of extracellular vesicles. The developed protocol guides the users in utilizing this analytical tool and outlines the workflow for the analysis of EVs by the AFM, which includes the sample preparation for imaging EVs in hydrated or desiccated form, the electrostatic immobilization of vesicles on a substrate, data acquisition, its analysis, and interpretation. The representative results demonstrate that the fixation of EVs on the modified mica surface is predictable, customizable, and allows the user to obtain sizing results for a large number of vesicles. The vesicle sizing based on the AFM data was found to be consistent with the cryo-TEM imaging.</t>
  </si>
  <si>
    <t>[Skliar, Mikhail] Univ Utah, Dept Chem Engn, Salt Lake City, UT 84112 USA; [Skliar, Mikhail] Univ Utah, Nano Inst Utah, Salt Lake City, UT 84112 USA; [Chernyshev, Vasiliy S.] Skolkovo Inst Sci &amp; Technol, Ctr Photon &amp; Quantum Mat, Moscow, Russia; [Chernyshev, Vasiliy S.] Moscow Inst Phys &amp; Technol, Biopharmaceut Cluster Northern, Moscow, Russia</t>
  </si>
  <si>
    <t>Utah System of Higher Education; University of Utah; Utah System of Higher Education; University of Utah; Skolkovo Institute of Science &amp; Technology; Moscow Institute of Physics &amp; Technology</t>
  </si>
  <si>
    <t>Skliar, M (corresponding author), Univ Utah, Dept Chem Engn, Salt Lake City, UT 84112 USA.;Skliar, M (corresponding author), Univ Utah, Nano Inst Utah, Salt Lake City, UT 84112 USA.</t>
  </si>
  <si>
    <t>mikhail.skliar@utah.edu</t>
  </si>
  <si>
    <t>Solodushenkova, Anastasia/H-1732-2019; Chernyshev, Vasiliy S/P-7342-2015</t>
  </si>
  <si>
    <t>Chernyshev, Vasiliy S/0000-0003-2372-7037</t>
  </si>
  <si>
    <t>e59254</t>
  </si>
  <si>
    <t>10.3791/59254</t>
  </si>
  <si>
    <t>WOS:000493374200009</t>
  </si>
  <si>
    <t>Andreeva, OE; Shchegolev, YY; Scherbakov, AM; Mikhaevich, EI; Sorokin, DV; Gudkova, MV; Bure, IV; Kuznetsova, EB; Mikhaylenko, DS; Nemtsova, MV; Bagrov, DV; Krasil'nikov, MA</t>
  </si>
  <si>
    <t>Andreeva, Olga E.; Shchegolev, Yuri Y.; Scherbakov, Alexander M.; Mikhaevich, Ekaterina I.; Sorokin, Danila V.; Gudkova, Margarita V.; Bure, Irina V.; Kuznetsova, Ekaterina B.; Mikhaylenko, Dmitry S.; Nemtsova, Marina V.; Bagrov, Dmitry V.; Krasil'nikov, Mikhail A.</t>
  </si>
  <si>
    <t>Secretion of Mutant DNA and mRNA by the Exosomes of Breast Cancer Cells</t>
  </si>
  <si>
    <t>MOLECULES</t>
  </si>
  <si>
    <t>exosomes; breast cancer cells; DNA transferring; cancer; signalling</t>
  </si>
  <si>
    <t>STRANDED GENOMIC DNA; EXTRACELLULAR VESICLES; SERUM EXOSOMES; KRAS</t>
  </si>
  <si>
    <t>Exosomes are the small vesicles that are secreted by different types of normal and tumour cells and can incorporate and transfer their cargo to the recipient cells. The main goal of the present work was to study the tumour exosomes' ability to accumulate the parent mutant DNA or RNA transcripts with their following transfer to the surrounding cells. The experiments were performed on the MCF7 breast cancer cells that are characterized by the unique coding mutation in the PIK3CA gene. Using two independent methods, Sanger sequencing and allele-specific real-time PCR, we revealed the presence of the fragments of the mutant DNA and RNA transcripts in the exosomes secreted by the MCF7 cells. Furthermore, we demonstrated the MCF7 exosomes' ability to incorporate into the heterologous MDA-MB-231 breast cancer cells supporting the possible transferring of the exosomal cargo into the recipient cells. Sanger sequencing of the DNA from MDA-MB-231 cells (originally bearing a wild type of PIK3CA) treated with MCF7 exosomes showed no detectable amount of mutant DNA or RNA; however, using allele-specific real-time PCR, we revealed a minor signal from amplification of a mutant allele, showing a slight increase of mutant DNA in the exosome-treated MDA-MB-231 cells. The results demonstrate the exosome-mediated secretion of the fragments of mutant DNA and mRNA by the cancer cells and the exosomes' ability to transfer their cargo into the heterologous cells.</t>
  </si>
  <si>
    <t>[Andreeva, Olga E.; Shchegolev, Yuri Y.; Scherbakov, Alexander M.; Mikhaevich, Ekaterina I.; Sorokin, Danila V.; Gudkova, Margarita V.; Krasil'nikov, Mikhail A.] Minist Hlth Russia, NN Blokhin Natl Med Res Ctr Oncol, Inst Carcinogenesis, Dept Expt Tumor Biol, Moscow 115522, Russia; [Bure, Irina V.; Kuznetsova, Ekaterina B.; Mikhaylenko, Dmitry S.; Nemtsova, Marina V.] Sechenov Univ, IM Sechenov First Moscow State Med Univ, Inst Mol Med, Lab Med Genet, Moscow 119991, Russia; [Bagrov, Dmitry V.] Lomonosov Moscow State Univ, Fac Biol, Dept Bioengn, Moscow 119234, Russia</t>
  </si>
  <si>
    <t>Ministry of Health of the Russian Federation; Sechenov First Moscow State Medical University; Lomonosov Moscow State University</t>
  </si>
  <si>
    <t>Scherbakov, AM (corresponding author), Minist Hlth Russia, NN Blokhin Natl Med Res Ctr Oncol, Inst Carcinogenesis, Dept Expt Tumor Biol, Moscow 115522, Russia.</t>
  </si>
  <si>
    <t>tilberta@gmail.com; yurashhegolev@gmail.com; alex.scherbakov@gmail.com; k.mihaevich@gmail.com; dsorokin2018@gmail.com; gudkova@ronc.ru; bureira@mail.ru; kuznetsova.k@bk.ru; dimserg@mail.ru; nemtsova_m_v@mail.ru; bagrov@mail.bio.msu.ru; krasilnikovm1@yandex.ru</t>
  </si>
  <si>
    <t>Andreeva, Olga E/K-1304-2015; Kuznetsova, Ekaterina B/D-1671-2012; Mikhaylenko, Dmitry S/D-1637-2012; Gudkova, Margarita/ABC-7468-2021; Bagrov, Dmitry V./E-5867-2014; Nemtsova, Marina V/D-2156-2012; Scherbakov, Alexander/F-4914-2013</t>
  </si>
  <si>
    <t>Andreeva, Olga E/0000-0002-6015-6619; Kuznetsova, Ekaterina B/0000-0001-5825-0430; Mikhaylenko, Dmitry S/0000-0001-9780-8708; Bagrov, Dmitry V./0000-0002-6355-7282; Scherbakov, Alexander/0000-0002-2974-9555; Mikhaevich, Ekaterina/0000-0002-1299-9080; Shchegolev, Yuri/0000-0002-1490-6781</t>
  </si>
  <si>
    <t>1420-3049</t>
  </si>
  <si>
    <t>MAY</t>
  </si>
  <si>
    <t>10.3390/molecules26092499</t>
  </si>
  <si>
    <t>WOS:000650724100001</t>
  </si>
  <si>
    <t>Liu, C; Zhao, JX; Tian, F; Chang, JQ; Zhang, W; Sun, JS</t>
  </si>
  <si>
    <t>Liu, Chao; Zhao, Junxiang; Tian, Fei; Chang, Jianqiao; Zhang, Wei; Sun, Jiashu</t>
  </si>
  <si>
    <t>lambda-DNA- and Aptamer-Mediated Sorting and Analysis of Extracellular Vesicles</t>
  </si>
  <si>
    <t>JOURNAL OF THE AMERICAN CHEMICAL SOCIETY</t>
  </si>
  <si>
    <t>EXOSOMES</t>
  </si>
  <si>
    <t>Extracellular vesicles (EVs) are heavily implicated in diverse pathological processes. Due to their small size, distinct biogenesis, and heterogeneous marker expression, isolation and detection of single EV subpopulations are difficult. Here, we develop a lambda-DNA-and aptamer-mediated approach allowing for simultaneous size-selective separation and surface protein analysis of individual EVs. Using a machine learning algorithm to EV signature based on their size and marker expression, we demonstrate that the isolated microvesicles are more efficient than exosomes and apoptotic bodies in discriminating breast cell lines and Stage II breast cancer patients with varied immunohistochemical expression of HER2. Our method provides an important tool to assess the EV heterogeneity at the single EV level with potential value in clinical diagnostics.</t>
  </si>
  <si>
    <t>[Liu, Chao; Zhao, Junxiang; Tian, Fei; Chang, Jianqiao; Zhang, Wei; Sun, Jiashu] Chinese Acad Sci, Natl Ctr Nanosci &amp; Technol, Ctr Excellence Nanosci, Key Lab Standardizat &amp; Measurement Nanotechnol, Beijing 100190, Peoples R China; [Liu, Chao; Zhao, Junxiang; Zhang, Wei; Sun, Jiashu] Univ Chinese Acad Sci, Beijing 100049, Peoples R China</t>
  </si>
  <si>
    <t>Chinese Academy of Sciences; National Center for Nanoscience &amp; Technology - China; Chinese Academy of Sciences; University of Chinese Academy of Sciences, CAS</t>
  </si>
  <si>
    <t>Sun, JS (corresponding author), Chinese Acad Sci, Natl Ctr Nanosci &amp; Technol, Ctr Excellence Nanosci, Key Lab Standardizat &amp; Measurement Nanotechnol, Beijing 100190, Peoples R China.;Sun, JS (corresponding author), Univ Chinese Acad Sci, Beijing 100049, Peoples R China.</t>
  </si>
  <si>
    <t>sunjs@nanoctr.cn</t>
  </si>
  <si>
    <t>Sun, Jiashu/P-9876-2018</t>
  </si>
  <si>
    <t>Sun, Jiashu/0000-0003-4255-6202</t>
  </si>
  <si>
    <t>0002-7863</t>
  </si>
  <si>
    <t>MAR 6</t>
  </si>
  <si>
    <t>10.1021/jacs.9b00007</t>
  </si>
  <si>
    <t>Chemistry, Multidisciplinary</t>
  </si>
  <si>
    <t>Chemistry</t>
  </si>
  <si>
    <t>WOS:000460996500013</t>
  </si>
  <si>
    <t>Tarnopolsky, MA; Kerkhof, J; Stuart, A; Bujak, A; Nilsson, ML; Hettinga, B; May, L; Rupar, CA; Sadikovic, B</t>
  </si>
  <si>
    <t>Tarnopolsky, Mark A.; Kerkhof, Jennifer; Stuart, Alan; Bujak, Adam; Nilsson, Mats L.; Hettinga, Bart; May, Linda; Rupar, C. Anthony; Sadikovic, Bekim</t>
  </si>
  <si>
    <t>Bone marrow-derived mitochondrial DNA has limited capacity for inter-tissue transfer in vivo</t>
  </si>
  <si>
    <t>FASEB JOURNAL</t>
  </si>
  <si>
    <t>exosomes; extracellular vesicles; microvesicles; mitochondrial transplant; mitochondrial disease</t>
  </si>
  <si>
    <t>SKELETAL-MUSCLE; TRANSPLANTATION; CELLS; PROTECTS; RESCUE; MTDNA; MELAS; ASTROCYTES; VESICLES; EXERCISE</t>
  </si>
  <si>
    <t>Studies have shown that mitochondrial DNA (mtDNA) can be exchanged between tissues; however, the mechanism(s) behind this phenomenon remain unclear. Exosomes and other extracellular vesicles (EVs) including microvesicles (MV) have been shown to contain mtDNA. EVs can be derived from a number of tissues; however, the source and relative proportion of EVs containing mtDNA remains unknown. We sampled whole blood and the EV fractions (exosome-enriched, MV-enriched, and apoptotic body-enriched) as well as several tissues (epithelial-cheek and urine sediment), connective (fibroblasts), and skeletal muscle in two subjects who received allogenic bone marrow transplants. Next generation sequencing of the mtDNA confirmed that all EV fractions contained mtDNA and most was derived from the donor, confirming that most of the EV fractions in the serum are bone marrow/blood cell-derived. Even after exposure to the donor mtDNA in EV fractions (and potentially free in the plasma) for years, there was little to no transfer of the donor mtDNA to the host mtDNA fraction in epithelial, connective, or skeletal muscle tissues. These data call into question the potential therapeutic use of bone marrow transplant or EV-based delivery systems for mtDNA-based disorders and establish bone marrow as the primary source of most of the mtDNA enriched EVs in serum.</t>
  </si>
  <si>
    <t>[Tarnopolsky, Mark A.; Nilsson, Mats L.; May, Linda] McMaster Univ, Dept Pediat, Hamilton, ON L8N 3Z5, Canada; [Kerkhof, Jennifer; Stuart, Alan; Sadikovic, Bekim] London Hlth Sci Ctr, Childrens Hlth Res Inst, Mol Diagnost Div, Mol Genet Lab, London, ON, Canada; [Bujak, Adam; Hettinga, Bart] McMaster Univ, Exerkine Corp, Hamilton, ON, Canada; [Rupar, C. Anthony] Western Univ, Dept Pathol &amp; Lab Med, London, ON, Canada; [Rupar, C. Anthony] Western Univ, Dept Pediat, London, ON, Canada; [Rupar, C. Anthony] Western Univ, Dept Biochem, London, ON, Canada; [Rupar, C. Anthony] Western Univ, Childrens Hlth Res Inst, London, ON, Canada</t>
  </si>
  <si>
    <t>McMaster University; London Health Sciences Centre; McMaster University; Western University (University of Western Ontario); Western University (University of Western Ontario); Western University (University of Western Ontario); Western University (University of Western Ontario)</t>
  </si>
  <si>
    <t>Tarnopolsky, MA (corresponding author), McMaster Univ, Dept Pediat, Hamilton, ON L8N 3Z5, Canada.;Sadikovic, B (corresponding author), London Hlth Sci Ctr, Childrens Hlth Res Inst, Mol Genet Lab, London, ON, Canada.</t>
  </si>
  <si>
    <t>tarnopol@mcmaster.ca; Bekim.Sadikovic@lhsc.on.ca</t>
  </si>
  <si>
    <t>Nilsson, Mats/AAG-2068-2021</t>
  </si>
  <si>
    <t>Nilsson, Mats/0000-0001-5656-5578; Stuart, Alan/0000-0001-6370-8581</t>
  </si>
  <si>
    <t>0892-6638</t>
  </si>
  <si>
    <t>1530-6860</t>
  </si>
  <si>
    <t>10.1096/fj.202000463R</t>
  </si>
  <si>
    <t>MAY 2020</t>
  </si>
  <si>
    <t>Biochemistry &amp; Molecular Biology; Biology; Cell Biology</t>
  </si>
  <si>
    <t>Biochemistry &amp; Molecular Biology; Life Sciences &amp; Biomedicine - Other Topics; Cell Biology</t>
  </si>
  <si>
    <t>WOS:000535411400001</t>
  </si>
  <si>
    <t>Waldenstrom, A; Genneback, N; Hellman, U; Ronquist, G</t>
  </si>
  <si>
    <t>Waldenstrom, Anders; Genneback, Nina; Hellman, Urban; Ronquist, Gunnar</t>
  </si>
  <si>
    <t>Cardiomyocyte Microvesicles Contain DNA/RNA and Convey Biological Messages to Target Cells</t>
  </si>
  <si>
    <t>PLOS ONE</t>
  </si>
  <si>
    <t>EXTRACELLULAR ORGANELLES PROSTASOMES; ADENOSINE-TRIPHOSPHATASE; MEMBRANE-VESICLES; EPITHELIAL-CELLS; EXOSOMES; SECRETION; ASSOCIATION; SPERMATOZOA; ACTIVATION; FUSION</t>
  </si>
  <si>
    <t>Background: Shedding microvesicles are membrane released vesicles derived directly from the plasma membrane. Exosomes are released membrane vesicles of late endosomal origin that share structural and biochemical characteristics with prostasomes. Microvesicles/exosomes can mediate messages between cells and affect various cell-related processes in their target cells. We describe newly detected microvesicles/exosomes from cardiomyocytes and depict some of their biological functions. Methodology/Principal Findings: Microvesicles/exosomes from media of cultured cardiomyocytes derived from adult mouse heart were isolated by differential centrifugation including preparative ultracentrifugation and identified by transmission electron microscopy and flow cytometry. They were surrounded by a bilayered membrane and flow cytometry revealed presence of both caveolin-3 and flotillin-1 while clathrin and annexin-2 were not detected. Microvesicle/exosome mRNA was identified and out of 1520 detected mRNA, 423 could be directly connected in a biological network. Furthermore, by a specific technique involving TDT polymerase, 343 different chromosomal DNA sequences were identified in the microvesicles/exosomes. Microvesicle/exosomal DNA transfer was possible into target fibroblasts, where exosomes stained for DNA were seen in the fibroblast cytosol and even in the nuclei. The gene expression was affected in fibroblasts transfected by microvesicles/exosomes and among 333 gene expression changes there were 175 upregulations and 158 downregulations compared with controls. Conclusions/Significance: Our study suggests that microvesicles/exosomes released from cardiomyocytes, where we propose that exosomes derived from cardiomyocytes could be denoted cardiosomes, can be involved in a metabolic course of events in target cells by facilitating an array of metabolism-related processes including gene expression changes.</t>
  </si>
  <si>
    <t>[Waldenstrom, Anders; Genneback, Nina; Hellman, Urban] Umea Univ, Dept Publ Hlth &amp; Clin Med Med, Umea, Sweden; [Waldenstrom, Anders; Hellman, Urban] Umea Univ Hosp, Ctr Heart, S-90185 Umea, Sweden; [Ronquist, Gunnar] Univ Uppsala Hosp, Dept Med Sci, Uppsala, Sweden</t>
  </si>
  <si>
    <t>Umea University; Umea University; Uppsala University; Uppsala University Hospital</t>
  </si>
  <si>
    <t>Waldenstrom, A (corresponding author), Umea Univ, Dept Publ Hlth &amp; Clin Med Med, Umea, Sweden.</t>
  </si>
  <si>
    <t>anders.waldenstrom@medicin.umu.se</t>
  </si>
  <si>
    <t>Hellman, Urban/L-7820-2019</t>
  </si>
  <si>
    <t>Hellman, Urban/0000-0002-3822-0725; Waldenstrom, Anders/0000-0002-5304-0802</t>
  </si>
  <si>
    <t>1932-6203</t>
  </si>
  <si>
    <t>APR 10</t>
  </si>
  <si>
    <t>e34653</t>
  </si>
  <si>
    <t>10.1371/journal.pone.0034653</t>
  </si>
  <si>
    <t>WOS:000305297500049</t>
  </si>
  <si>
    <t>Garcia-Silva, S; Gallardo, M; Peinado, H</t>
  </si>
  <si>
    <t>Garcia-Silva, Susana; Gallardo, Miguel; Peinado, Hector</t>
  </si>
  <si>
    <t>DNA-Loaded Extracellular Vesicles in Liquid Biopsy: Tiny Players With Big Potential?</t>
  </si>
  <si>
    <t>FRONTIERS IN CELL AND DEVELOPMENTAL BIOLOGY</t>
  </si>
  <si>
    <t>extracellular vesicles; exosomes; cancer; liquid biopsy; plasma; cfDNA</t>
  </si>
  <si>
    <t>[Garcia-Silva, Susana; Peinado, Hector] Spanish Natl Canc Res Ctr CNIO, Microenvironm &amp; Metastasis Lab, Mol Oncol Programme, Madrid, Spain; [Gallardo, Miguel] Spanish Natl Canc Res Ctr CNIO, CNIO Hematol Malignancies Clin Res Unit H12O, Clin Res Programme, Madrid, Spain</t>
  </si>
  <si>
    <t>Garcia-Silva, S; Peinado, H (corresponding author), Spanish Natl Canc Res Ctr CNIO, Microenvironm &amp; Metastasis Lab, Mol Oncol Programme, Madrid, Spain.</t>
  </si>
  <si>
    <t>sgsilva@cnio.es; hpeinado@cnio.es</t>
  </si>
  <si>
    <t>Garcia-Silva, Susana/AAW-8528-2021</t>
  </si>
  <si>
    <t>Garcia-Silva, Susana/0000-0003-1065-0245</t>
  </si>
  <si>
    <t>2296-634X</t>
  </si>
  <si>
    <t>JAN 21</t>
  </si>
  <si>
    <t>10.3389/fcell.2020.622579</t>
  </si>
  <si>
    <t>Cell Biology; Developmental Biology</t>
  </si>
  <si>
    <t>WOS:000616323300001</t>
  </si>
  <si>
    <t>Brambilla, D; Sola, L; Chiari, M</t>
  </si>
  <si>
    <t>Brambilla, Dario; Sola, Laura; Chiari, Marcella</t>
  </si>
  <si>
    <t>Advantageous antibody microarray fabrication through DNA-directed immobilization: A step toward use of extracellular vesicles in diagnostics</t>
  </si>
  <si>
    <t>TALANTA</t>
  </si>
  <si>
    <t>Microarray; DNA-directed immobilization; Antibody; DNA; Extracellular vesicles; Diagnostics</t>
  </si>
  <si>
    <t>PROTEIN</t>
  </si>
  <si>
    <t>Microarrays were introduced to run multiple assays on a single platform. Since then, researchers developed DNA and protein microarrays to study both transcription and expression of genes. Protein microarray technology represents a powerful tool to get an insight into living systems. However, despite their enormous potential, the fabrication of protein arrays is affected by technological hurdles that limit their application. One of the significant challenges is the immobilization of proteins on solid surfaces. To overcome this limitation, DNA-directed immobilization (DDI) of proteins, an approach that exploits DNA-protein conjugates to transform DNA microarrays into a protein array, has been developed. The adoption of DDI is limited, as this approach requires the synthesis of DNA-protein conjugates. Herein, we introduce an optimized general protocol for DNA-protein ligation, and demonstrate the use of conjugates to convert DNA arrays into antibody microarrays. Arrays obtained through DDI were used to capture and characterize extracellular vesicles (EVs), an emerging class of biomarkers. The proposed platform was tested against commercially available antibody microarrays, showing good performance combined with ease of fabrication.</t>
  </si>
  <si>
    <t>[Brambilla, Dario; Sola, Laura; Chiari, Marcella] CNR, SCITEC, Natl Res Council Italy, Inst Chem Sci &amp; Technol, Milan, Italy</t>
  </si>
  <si>
    <t>Consiglio Nazionale delle Ricerche (CNR); Istituto di Scienze Tecnologie Chimiche Giulio Natta (SCITEC-CNR)</t>
  </si>
  <si>
    <t>Brambilla, D (corresponding author), CNR, SCITEC, Natl Res Council Italy, Inst Chem Sci &amp; Technol, Milan, Italy.</t>
  </si>
  <si>
    <t>dario.brambilla@scitec.cnr.it</t>
  </si>
  <si>
    <t>Brambilla, Dario/0000-0003-3490-4481</t>
  </si>
  <si>
    <t>0039-9140</t>
  </si>
  <si>
    <t>1873-3573</t>
  </si>
  <si>
    <t>JAN 15</t>
  </si>
  <si>
    <t>10.1016/j.talanta.2020.121542</t>
  </si>
  <si>
    <t>Chemistry, Analytical</t>
  </si>
  <si>
    <t>WOS:000589942800001</t>
  </si>
  <si>
    <t>Guo, KZ; Li, ZB; Win, A; Coreas, R; Adkins, GB; Cui, XP; Yan, D; Cao, MH; Wang, SE; Zhong, WW</t>
  </si>
  <si>
    <t>Guo, Kaizhu; Li, Zongbo; Win, Allison; Coreas, Roxana; Adkins, Gary Brent; Cui, Xinping; Yan, Dong; Cao, Minghui; Wang, Shizhen Emily; Zhong, Wenwan</t>
  </si>
  <si>
    <t>Calibration-free analysis of surface proteins on single extracellular vesicles enabled by DNA nanostructure</t>
  </si>
  <si>
    <t>BIOSENSORS &amp; BIOELECTRONICS</t>
  </si>
  <si>
    <t>Extracellular vesicle; DNA nanostructure; Fluorescence microscopy; Protein profiling; Cancer diagnosis</t>
  </si>
  <si>
    <t>BIOLOGY; AMPLIFICATION; EXOSOMES; GROWTH</t>
  </si>
  <si>
    <t>Extracellular vesicles (EVs) are essential intercellular communicators that are of increasing interest as diagnostic biomarkers. Exploring their biological functions and clinical values, however, remains challenging due to their small sizes and high heterogeneity. Herein, we report an ultrasensitive method that employs target-initiated construction of DNA nanostructure to detect single EVs with an input as low as 100 vesicles/mu L. Taking advantage of both DNA nanostructure labeling and EV membrane staining, the method can also permit calibration-free analysis of the protein profiles among different EV samples, leading to clear EV differentiation by their cell of origin. Moreover, this method allows co-localization of dual protein markers on the same EV, and the increased number of EVs carrying dual tumor proteins present in human serum could differentiate cancer patients at the early developmental stage from healthy controls. Our results demonstrate the great potential of this single-EV visualization method in non-invasive detection of the EV-based protein biomarkers for cancer diagnosis and treatment monitoring.</t>
  </si>
  <si>
    <t>[Guo, Kaizhu; Li, Zongbo; Win, Allison; Adkins, Gary Brent; Zhong, Wenwan] Univ Calif Riverside, Dept Chem, Riverside, CA 92521 USA; [Coreas, Roxana; Zhong, Wenwan] Univ Calif Riverside, Environm Toxicol Grad Program, Riverside, CA 92521 USA; [Cui, Xinping] Univ Calif Riverside, Dept Stat, Riverside, CA 92521 USA; [Yan, Dong] Univ Calif Riverside, Nanofabricat Facil, Riverside, CA 92521 USA; [Cao, Minghui; Wang, Shizhen Emily] Univ Calif San Diego, Dept Pathol, La Jolla, CA 92093 USA</t>
  </si>
  <si>
    <t>University of California System; University of California Riverside; University of California System; University of California Riverside; University of California System; University of California Riverside; University of California System; University of California Riverside; University of California System; University of California San Diego</t>
  </si>
  <si>
    <t>Zhong, WW (corresponding author), Univ Calif Riverside, Dept Chem, Riverside, CA 92521 USA.</t>
  </si>
  <si>
    <t>wenwan.zhong@ucr.edu</t>
  </si>
  <si>
    <t>Coreas, Roxana/0000-0001-6057-4717</t>
  </si>
  <si>
    <t>0956-5663</t>
  </si>
  <si>
    <t>1873-4235</t>
  </si>
  <si>
    <t>NOV 15</t>
  </si>
  <si>
    <t>10.1016/j.bios.2021.113502</t>
  </si>
  <si>
    <t>JUL 2021</t>
  </si>
  <si>
    <t>Biophysics; Biotechnology &amp; Applied Microbiology; Chemistry, Analytical; Electrochemistry; Nanoscience &amp; Nanotechnology</t>
  </si>
  <si>
    <t>Biophysics; Biotechnology &amp; Applied Microbiology; Chemistry; Electrochemistry; Science &amp; Technology - Other Topics</t>
  </si>
  <si>
    <t>WOS:000704056300003</t>
  </si>
  <si>
    <t>Hooten, NN; Byappanahalli, AM; Vannoy, M; Omoniyi, V; Evans, MK</t>
  </si>
  <si>
    <t>Hooten, Nicole Noren; Byappanahalli, Anjali M.; Vannoy, Mya; Omoniyi, Victor; Evans, Michele K.</t>
  </si>
  <si>
    <t>Influences of age, race, and sex on extracellular vesicle characteristics</t>
  </si>
  <si>
    <t>THERANOSTICS</t>
  </si>
  <si>
    <t>extracellular vesicles; exosomes; cargo; biomarker; age; race; sex</t>
  </si>
  <si>
    <t>PROSTATE-CANCER; EXOSOMES; GENDER; PERSPECTIVE; MICRORNAS; PHENOTYPE; SMOKING; PROTEIN; NUMBER; HEALTH</t>
  </si>
  <si>
    <t>Recent attention has focused on the use of extracellular vesicles (EVs) as biological indicators of health and disease. These small, nano-sized membrane bound vesicles are secreted from cells into the extracellular space and can be readily isolated from bodily fluids. EVs can carry various bioactive molecules as cargo including DNA, RNA, proteins, and lipids. These EVs can provide a snapshot of the cell of origin and a window of opportunity to assess normal physiological states as well as pathophysiological states. For EVs to further develop as potential biomarkers of disease, it is important to characterize whether these vesicles and their associated cargo are altered in the context of demographic factors. Here, we summarize the current literature on how demographics such as age, race, and sex affect the levels and cargo of EVs. Age and sex influence both EV cargo and concentration while race studies report differences mostly in EV protein cargo. This review also identifies areas of future research and important considerations for the clinical use of EVs as biomarkers.</t>
  </si>
  <si>
    <t>[Hooten, Nicole Noren; Byappanahalli, Anjali M.; Vannoy, Mya; Omoniyi, Victor; Evans, Michele K.] NIA, Lab Epidemiol &amp; Populat Sci, NIH, 251 Bayview Blvd, Baltimore, MD 21224 USA</t>
  </si>
  <si>
    <t>National Institutes of Health (NIH) - USA; NIH National Institute on Aging (NIA)</t>
  </si>
  <si>
    <t>Hooten, NN (corresponding author), NIA, NIH, Biomed Res Ctr, 251 Bayview Blvd,Suite 100,Room 9C-228, Baltimore, MD 21224 USA.</t>
  </si>
  <si>
    <t>norenhootenn@mail.nih.gov</t>
  </si>
  <si>
    <t>Noren Hooten, Nicole/J-5498-2019</t>
  </si>
  <si>
    <t>Noren Hooten, Nicole/0000-0002-1683-3838</t>
  </si>
  <si>
    <t>1838-7640</t>
  </si>
  <si>
    <t>10.7150/thno.72676</t>
  </si>
  <si>
    <t>WOS:000802758700007</t>
  </si>
  <si>
    <t>Hur, JY; Kim, HJ; Lee, JS; Choi, CM; Lee, JC; Jung, MK; Pack, CG; Lee, KY</t>
  </si>
  <si>
    <t>Hur, Jae Young; Kim, Hee Joung; Lee, Jong Sik; Choi, Chang-Min; Lee, Jae Cheol; Jung, Min Kyo; Pack, Chan Gi; Lee, Kye Young</t>
  </si>
  <si>
    <t>Extracellular vesicle-derived DNA for performing EGFR genotyping of NSCLC patients</t>
  </si>
  <si>
    <t>MOLECULAR CANCER</t>
  </si>
  <si>
    <t>Liquid biopsy; Bronchoalveolar lavage fluid; Extracellular vesicles; EGFR mutant DNA; Non-small cell lung cancer</t>
  </si>
  <si>
    <t>PANCREATIC-CANCER; LUNG-CANCER; TUMOR-DNA; EXOSOMES; PLASMA; KRAS</t>
  </si>
  <si>
    <t>Tumor cells shed an abundance of extracellular vesicles (EVs) to body fluids containing bioactive molecules including DNA, RNA, and protein. Investigations in the field of tumor-derived EVs open a new horizon in understanding cancer biology and its potential as cancer biomarkers as well as platforms for personalized medicine. This study demonstrates that successfully isolated EVs from plasma and bronchoalveolar lavage fluid (BALF) of non-small cell lung cancer (NSCLC) patients contain DNA that can be used for EGFR genotyping through liquid biopsy. In both plasma and BALF samples, liquid biopsy results using EV DNA show higher accordance with conventional tissue biopsy compared to the liquid biopsy of cfDNA. Especially, liquid biopsy with BALF EV DNA is tissue-specific and extremely sensitive compared to using cfDNA. Furthermore, use of BALF EV DNA also demonstrates higher efficiency in comparison to tissue rebiopsy for detecting p. T790 M mutation in the patients who developed resistance to EGFR-TKIs. These finding demonstrate possibility of liquid biopsy using EV DNA potentially replacing the current diagnostic methods for more accurate, cheaper, and faster results.</t>
  </si>
  <si>
    <t>[Hur, Jae Young; Kim, Hee Joung; Lee, Jong Sik; Lee, Kye Young] Konkuk Univ, Lung Canc Ctr, Med Ctr, Seoul, South Korea; [Hur, Jae Young] Konkuk Univ, Dept Pathol, Med Ctr, Seoul, South Korea; [Kim, Hee Joung; Lee, Kye Young] Konkuk Univ, Dept Pulm Med, Sch Med, 120-1 Hwayang Dong, Seoul 05030, South Korea; [Choi, Chang-Min] Univ Ulsan, Dept Pulm &amp; Crit Care Med, Coll Med, Asan Med Ctr, Seoul, South Korea; [Choi, Chang-Min; Lee, Jae Cheol] Univ Ulsan, Dept Oncol, Coll Med, Asan Med Ctr, Seoul, South Korea; [Jung, Min Kyo; Pack, Chan Gi] Univ Ulsan, Dept Convergence Med, Coll Med, Seoul, South Korea; [Jung, Min Kyo; Pack, Chan Gi] Asan Med Ctr, Asan Inst Life Sci, Seoul, South Korea</t>
  </si>
  <si>
    <t>Konkuk University; Konkuk University Medical Center; Konkuk University; Konkuk University Medical Center; Konkuk University; Konkuk University Medical Center; University of Ulsan; University of Ulsan; University of Ulsan; University of Ulsan; Asan Medical Center</t>
  </si>
  <si>
    <t>Lee, KY (corresponding author), Konkuk Univ, Lung Canc Ctr, Med Ctr, Seoul, South Korea.;Lee, KY (corresponding author), Konkuk Univ, Dept Pulm Med, Sch Med, 120-1 Hwayang Dong, Seoul 05030, South Korea.</t>
  </si>
  <si>
    <t>kyleemd@kuh.ac.kr</t>
  </si>
  <si>
    <t>Lee, Jae Cheol/AAA-2678-2021</t>
  </si>
  <si>
    <t>1476-4598</t>
  </si>
  <si>
    <t>JAN 27</t>
  </si>
  <si>
    <t>10.1186/s12943-018-0772-6</t>
  </si>
  <si>
    <t>WOS:000423572600001</t>
  </si>
  <si>
    <t>Tatischeff, I; Larquet, E; Falcon-Perez, JM; Turpin, PY; Kruglik, SG</t>
  </si>
  <si>
    <t>Tatischeff, Irene; Larquet, Eric; Falcon-Perez, Juan M.; Turpin, Pierre-Yves; Kruglik, Sergei G.</t>
  </si>
  <si>
    <t>Fast characterisation of cell-derived extracellular vesicles by nanoparticles tracking analysis, cryo-electron microscopy, and Raman tweezers microspectroscopy</t>
  </si>
  <si>
    <t>extracellular vesicles; nanoparticle tracking analysis; cryo-electron microscopy; Raman tweezers microspectroscopy; urinary exosomes; Dictyostelium discoideum</t>
  </si>
  <si>
    <t>SPECTROSCOPY; MICROPARTICLES; SPECTRA</t>
  </si>
  <si>
    <t>The joint use of 3 complementary techniques, namely, nanoparticle tracking analysis (NTA), cryo-electron microscopy (Cryo-EM) and Raman tweezers microspectroscopy (RTM), is proposed for a rapid characterisation of extracellular vesicles (EVs) of various origins. NTA is valuable for studying the size distribution and concentration, Cryo-EM is outstanding for the morphological characterisation, including observation of vesicle heterogeneity, while RTM provides the global chemical composition without using any exogenous label. The capabilities of this approach are evaluated on the example of cell-derived vesicles of Dictyostelium discoideum, a convenient general model for eukaryotic EVs. At least 2 separate species differing in chemical composition (relative amounts of DNA, lipids and proteins, presence of carotenoids) were found for each of the 2 physiological states of this non-pathogenic microorganism, that is, cell growth and starvation-induced aggregation. These findings demonstrate the specific potency of RTM. In addition, the first Raman spectra of human urinary exosomes are reported, presumably constituting the primary step towards Raman characterisation of EVs for the purpose of human diseases diagnoses.</t>
  </si>
  <si>
    <t>[Tatischeff, Irene; Turpin, Pierre-Yves; Kruglik, Sergei G.] Univ Paris 06, CNRS, FRE 3231, Lab Jean Perrin, 4 Pl Jussieu Case Courrier 114, FR-75005 Paris, France; [Larquet, Eric] CNRS, Lab Enzymol &amp; Biochim Struct, UPR 3082, Gif Sur Yvette, France; [Falcon-Perez, Juan M.] Basque Fdn Sci, Ikerbasque, CIBERehd, CIC BioGUNE,Metabol Unit, Bilbao, Spain</t>
  </si>
  <si>
    <t>Centre National de la Recherche Scientifique (CNRS); UDICE-French Research Universities; Sorbonne Universite; Universite de Paris; Centre National de la Recherche Scientifique (CNRS); UDICE-French Research Universities; Universite Paris Saclay; Basque Foundation for Science; CIBER - Centro de Investigacion Biomedica en Red; CIBEREHD; CIC bioGUNE</t>
  </si>
  <si>
    <t>Tatischeff, I (corresponding author), Univ Paris 06, CNRS, FRE 3231, Lab Jean Perrin, 4 Pl Jussieu Case Courrier 114, FR-75005 Paris, France.</t>
  </si>
  <si>
    <t>irene.tatischeff@upmc.fr</t>
  </si>
  <si>
    <t>larquet, eric/ABB-3063-2021; Falcon-Perez, Juan M/F-5920-2011</t>
  </si>
  <si>
    <t>larquet, eric/0000-0002-9994-6845; Falcon-Perez, Juan M/0000-0003-3133-0670</t>
  </si>
  <si>
    <t>10.3402/jev.v1i0.19179</t>
  </si>
  <si>
    <t>WOS:000215614200011</t>
  </si>
  <si>
    <t>Chetty, VK; Ghanam, J; Anchan, S; Reinhardt, K; Brenzel, A; Gelleri, M; Cremer, C; Grueso-Navarro, E; Schneider, M; Von Neuhoff, N; Reinhardt, D; Jablonska, J; Nazarenko, I; Thakur, BK</t>
  </si>
  <si>
    <t>Chetty, Venkatesh Kumar; Ghanam, Jamal; Anchan, Srishti; Reinhardt, Katarina; Brenzel, Alexandra; Gelleri, Marton; Cremer, Christoph; Grueso-Navarro, Elena; Schneider, Markus; von Neuhoff, Nils; Reinhardt, Dirk; Jablonska, Jadwiga; Nazarenko, Irina; Thakur, Basant Kumar</t>
  </si>
  <si>
    <t>Efficient Small Extracellular Vesicles (EV) Isolation Method and Evaluation of EV-Associated DNA Role in Cell-Cell Communication in Cancer</t>
  </si>
  <si>
    <t>small extracellular vesicles; pure EVs; EV isolation; EV characterization; exosomes; EV-DNA; cell-free DNA; extracellular dsDNA; EV communication; EV in cancer</t>
  </si>
  <si>
    <t>SIZE-EXCLUSION CHROMATOGRAPHY; MITOCHONDRIAL-DNA; MEDIATED TRANSFER; GENOMIC DNA; EXOSOMES; QUANTIFICATION; MECHANISM; THERAPY; IMAGEJ</t>
  </si>
  <si>
    <t>Simple Summary Small extracellular vesicles (sEVs) released by all cell types function as a mediator in intercellular communication that can promote cell division and survival to remodel the tumor microenvironment to develop tumor invasion and metastasis. Even though dsDNA baggage is associated with all small EV populations, the functional role of EV-DNA in cancer remains poorly understood. This is due to a lack of methods allowing the efficient separation of small EVs (sEVs) from other non-sEV components. The main aim of our study was to develop an efficient sEV isolation method along with EV-associated DNA (EV-DNA) monitoring tool to evaluate the role of EV-DNA as a mediator of cell-cell communication in cancer. Our detailed small EV-DNA characterization confirmed that isolated sEVs using the TSU method (Tangential flow filtration + Size exclusion chromatography + Ultrafiltration) are free from contaminants such as cell-free and apoptotic bodies DNA, making TSU ideal for performing EV-DNA functional studies. Next, we revealed the exact EV-DNA distribution in the recipient cells using 3D image analysis and the association of EV-DNA with key cellular proteins, which may have an essential role in cancer. In the leukemia model, EV-DNA isolated from leukemia cell lines associated with mesenchymal stromal cells (MSCs), a crucial factor in the bone marrow (BM) microenvironment. Small extracellular vesicles (sEVs) play essential roles in intercellular signaling both in normal and pathophysiological conditions. Comprehensive studies of dsDNA associated with sEVs are hampered by a lack of methods, allowing efficient separation of sEVs from free-circulating DNA and apoptotic bodies. In this work, using controlled culture conditions, we enriched the reproducible separation of sEVs from free-circulated components by combining tangential flow filtration, size-exclusion chromatography, and ultrafiltration (TSU). EV-enriched fractions (F2 and F3) obtained using TSU also contained more dsDNA derived from the host genome and mitochondria, predominantly localized inside the vesicles. Three-dimensional reconstruction of high-resolution imaging showed that the recipient cell membrane barrier restricts a portion of EV-DNA. Simultaneously, the remaining EV-DNA overcomes it and enters the cytoplasm and nucleus. In the cytoplasm, EV-DNA associates with dsDNA-inflammatory sensors (cGAS/STING) and endosomal proteins (Rab5/Rab7). Relevant to cancer, we found that EV-DNA isolated from leukemia cell lines communicates with mesenchymal stromal cells (MSCs), a critical component in the BM microenvironment. Furthermore, we illustrated the arrangement of sEVs and EV-DNA at a single vesicle level using super-resolution microscopy. Altogether, employing TSU isolation, we demonstrated EV-DNA distribution and a tool to evaluate the exact EV-DNA role of cell-cell communication in cancer.</t>
  </si>
  <si>
    <t>[Chetty, Venkatesh Kumar; Ghanam, Jamal; Anchan, Srishti; Reinhardt, Katarina; Schneider, Markus; von Neuhoff, Nils; Reinhardt, Dirk; Thakur, Basant Kumar] Univ Hosp Essen, Dept Pediat 3, D-45147 Essen, Germany; [Brenzel, Alexandra] Univ Hosp Essen, Imaging Ctr Essen IMCES, D-45147 Essen, Germany; [Gelleri, Marton; Cremer, Christoph] Inst Mol Biol IMB, D-55128 Mainz, Germany; [Cremer, Christoph] Max Planck Inst Polymer Res &amp; Chem, D-55128 Mainz, Germany; [Grueso-Navarro, Elena; Nazarenko, Irina] Univ Freiburg, Med Ctr, Fac Med, Inst Infect Prevent, D-79106 Freiburg, Germany; [Grueso-Navarro, Elena; Nazarenko, Irina] Univ Freiburg, Med Ctr, Fac Med, Hosp Epidemiol, D-79106 Freiburg, Germany; [Jablonska, Jadwiga] Univ Hosp Essen, Dept Otorhinolaryngol, D-45147 Essen, Germany; [Nazarenko, Irina] Partner Site Freiburg &amp; German Canc Res Ctr DKFZ, German Canc Consortium DKTK, D-69120 Heidelberg, Germany</t>
  </si>
  <si>
    <t>University of Duisburg Essen; University of Duisburg Essen; Institute of Molecular Biology (IMB); University of Freiburg; University of Freiburg; University of Duisburg Essen; Helmholtz Association; German Cancer Research Center (DKFZ)</t>
  </si>
  <si>
    <t>Thakur, BK (corresponding author), Univ Hosp Essen, Dept Pediat 3, D-45147 Essen, Germany.</t>
  </si>
  <si>
    <t>venkateshkumar.chetty@uk-essen.de; jamal.ghanam@uk-essen.de; anchsana@gmail.com; katarina.reinhardt@uk-essen.de; alexandra.brenzel@uk-essen.de; m.gelleri@imb-mainz.de; c.cremer@imb-mainz.de; elenagru4@gmail.com; markus.schneider@uk-essen.de; nils.vonneuhoff@uk-essen.de; dirk.reinhardt@uk-essen.de; jadwiga.jablonska@uk-essen.de; irina.nazarenko@uniklinik-freiburg.de; basant-kumar.thakur@uk-essen.de</t>
  </si>
  <si>
    <t>von Neuhoff, Nils/0000-0003-4138-5341; Grueso Navarro, Elena/0000-0002-5384-9978; Reinhardt, Dirk/0000-0002-7027-4483; Jablonska, Jadwiga/0000-0003-1490-2542</t>
  </si>
  <si>
    <t>10.3390/cancers14092068</t>
  </si>
  <si>
    <t>WOS:000794791600001</t>
  </si>
  <si>
    <t>Tatischeff, I; Bomsel, M; de Paillerets, C; Durand, H; Geny, B; Segretain, D; Turpin, E; Alfsen, A</t>
  </si>
  <si>
    <t>Dictyostelium discoideum cells shed vesicles with associated DNA and vital stain Hoechst 33342</t>
  </si>
  <si>
    <t>CELLULAR AND MOLECULAR LIFE SCIENCES</t>
  </si>
  <si>
    <t>multidrug resistance; extracellular vesicles; Hoechst 33342; DNA; Dictyostelium discoideum</t>
  </si>
  <si>
    <t>MULTIDRUG-RESISTANCE; MICROSATELLITE ALTERATIONS; CANCER PATIENTS; P-GLYCOPROTEIN; LEUKEMIA-CELLS; PROTEIN; ACCUMULATION; DAUNORUBICIN; HEAD</t>
  </si>
  <si>
    <t>Dictyostelium discoideum cells are highly resistant to xenobiotics. We previously observed that these primitive eukaryotic cells contain a 170-kDa P-glycoprotein, mediating multidrug resistance in mammalian cells, but nonfunctional in Dictyostelium cells. We show here that D. discoideum cells vitally stained with the DNA-specific dye, Hoechst 33342, release fluorescent material in their culture medium. Electron microscopy and lipid analysis demonstrate the vesicular nature of this material. Moreover, nucleic acids associate with these extracellular vesicles independently of Hoechst vital staining. The main vesicular DNA component exhibits a size &gt;21 kb. Shedding of microvesicles during cell growth is not concomitant with programmed cell death. We propose that these extracellular vesicles are involved in a new cellular resistance mechanism against xenobiotics. Furthermore, since the association of DNA with vesicles occurs in physiological growth conditions and independently of vital staining, the new shedding process might be involved in a more general intercellular mechanism.</t>
  </si>
  <si>
    <t>Univ Paris 06, CNRS URA 2056, Lab Physicochim Biomol &amp; Cellulaire, F-75252 Paris 05, France; Inst Cochin Genet Mol, U332, F-75014 Paris, France; Univ Paris 05, F-75270 Paris 06, France; CHU Paris Ouest, Fac Med, Lab Histol &amp; Embryol, F-75270 Paris 06, France</t>
  </si>
  <si>
    <t>UDICE-French Research Universities; Sorbonne Universite; Institut National de la Sante et de la Recherche Medicale (Inserm); UDICE-French Research Universities; Universite de Paris; UDICE-French Research Universities; Universite de Paris</t>
  </si>
  <si>
    <t>Tatischeff, I (corresponding author), Univ Paris 06, CNRS URA 2056, Lab Physicochim Biomol &amp; Cellulaire, 4 Pl Jussieu,Case 138, F-75252 Paris 05, France.</t>
  </si>
  <si>
    <t>tati@lpbc.jussieu.fr</t>
  </si>
  <si>
    <t>Durand, Herve/0000-0002-8167-4693; Bomsel, Morgane/0000-0002-9577-7474</t>
  </si>
  <si>
    <t>1420-682X</t>
  </si>
  <si>
    <t>1420-9071</t>
  </si>
  <si>
    <t>10.1007/s000180050176</t>
  </si>
  <si>
    <t>WOS:000074179000009</t>
  </si>
  <si>
    <t>Zhang, KX; Yue, YL; Wu, SX; Liu, W; Shi, JJ; Zhang, ZZ</t>
  </si>
  <si>
    <t>Zhang, Kaixiang; Yue, Yale; Wu, Sixuan; Liu, Wei; Shi, Jinjin; Zhang, Zhenzhong</t>
  </si>
  <si>
    <t>Rapid Capture and Nondestructive Release of Extracellular Vesicles Using Aptamer-Based Magnetic Isolation</t>
  </si>
  <si>
    <t>ACS SENSORS</t>
  </si>
  <si>
    <t>extracellular vesicles; DNA aptamer; magnetic isolation; DNA structure-switch; nondestructive release</t>
  </si>
  <si>
    <t>EXOSOMES; BIOMARKERS; QUANTIFICATION; SEPARATION</t>
  </si>
  <si>
    <t>Extracellular vesicles (EVs) play important roles in cell- cell communication by transferring cargo proteins and nucleic acids between cells. Due to their small size (50-150 nm) and low density, rapid capture and nondestructive release of EVs remains a technical challenge which significantly hinders study of their biofunction and biomedical application. To address this issue, we designed a DNA aptamer-based system that enabled rapid capture and nondestructive release of EVs in 90 min with similar isolation efficiency to ultracentrifugation (around 78%). Moreover, because we designed a DNA structure-switch process to release the exosomes, the isolated EVs maintained high bioactivity in cell-uptake assay and wound-healing assays. Using this method, we can isolate EVs from clinical samples and found that the amount of MUC1 positive EVs in breast cancer patient plasma sample is significantly higher than that in healthy donors. This DNA aptamer-based magnetic isolation strategy can be potentially applied for the biofunction study of EVs and EV-based point-of-care clinical tests.</t>
  </si>
  <si>
    <t>[Zhang, Kaixiang; Yue, Yale; Wu, Sixuan; Liu, Wei; Shi, Jinjin; Zhang, Zhenzhong] Zhengzhou Univ, Sch Pharmaceut Sci, Zhengzhou 450001, Henan, Peoples R China; [Yue, Yale] Zhengzhou Univ, Acad Med Sci, Zhengzhou 450001, Henan, Peoples R China; [Zhang, Kaixiang; Wu, Sixuan; Liu, Wei; Shi, Jinjin; Zhang, Zhenzhong] Collaborat Innovat Ctr New Drug Res &amp; Safety Eval, Zhengzhou 450001, Henan, Peoples R China; [Zhang, Kaixiang; Wu, Sixuan; Liu, Wei; Shi, Jinjin; Zhang, Zhenzhong] Key Lab Targeting Therapy &amp; Diag Crit Dis, Zhengzhou 450001, Henan, Peoples R China</t>
  </si>
  <si>
    <t>Zhengzhou University; Zhengzhou University</t>
  </si>
  <si>
    <t>Liu, W; Shi, JJ; Zhang, ZZ (corresponding author), Zhengzhou Univ, Sch Pharmaceut Sci, Zhengzhou 450001, Henan, Peoples R China.;Liu, W; Shi, JJ; Zhang, ZZ (corresponding author), Collaborat Innovat Ctr New Drug Res &amp; Safety Eval, Zhengzhou 450001, Henan, Peoples R China.;Liu, W; Shi, JJ; Zhang, ZZ (corresponding author), Key Lab Targeting Therapy &amp; Diag Crit Dis, Zhengzhou 450001, Henan, Peoples R China.</t>
  </si>
  <si>
    <t>liuwei012@zzu.edu.cn; shijinyxy@zzu.edu.cn; zhangzhenzhong@zzu.edu.cn</t>
  </si>
  <si>
    <t>Zhang, Kaixiang/M-7659-2016</t>
  </si>
  <si>
    <t>Zhang, Kaixiang/0000-0002-6812-6342</t>
  </si>
  <si>
    <t>2379-3694</t>
  </si>
  <si>
    <t>10.1021/acssensors.9b00060</t>
  </si>
  <si>
    <t>Chemistry, Multidisciplinary; Chemistry, Analytical; Nanoscience &amp; Nanotechnology</t>
  </si>
  <si>
    <t>Chemistry; Science &amp; Technology - Other Topics</t>
  </si>
  <si>
    <t>WOS:000469410100016</t>
  </si>
  <si>
    <t>Mbagwu, S; Walch, M; Filgueira, L; Mantel, PY</t>
  </si>
  <si>
    <t>Mbagwu, Smart; Walch, Michael; Filgueira, Luis; Mantel, Pierre-Yves</t>
  </si>
  <si>
    <t>Production and Characterization of Extracellular Vesicles in Malaria</t>
  </si>
  <si>
    <t>Malaria; Extracellular vesicles; Plasmodium falciparum; Cellular communication</t>
  </si>
  <si>
    <t>MICROPARTICLES; COMMUNICATION; MICROVESICLES; POPULATION; COMPLEXES; PARASITES</t>
  </si>
  <si>
    <t>Growing attention is drawn toward the role of extracellular vesicles (EVs) in infectious diseases. EVs, which are small vesicles released by cells, are involved in cellular communication, immune regulation, and pathogenesis. EVs act as messenger carrying functional cargoes, including RNA, DNA, lipids and proteins from a donor cell to regulate the function of a recipient cell. In malaria, EVs play a key role in regulating the progression from the blood to the transmission stage by promoting the switch between asexual and sexual stages that are taken up by mosquitoes. In addition to their role in parasite communication, EVs modulate the immune system and regulate endothelial cell function. In this chapter, we describe protocols to isolate, purify and characterize EVs derived from Plasmodium falciparum infected red blood cell culture.</t>
  </si>
  <si>
    <t>[Mbagwu, Smart; Walch, Michael; Filgueira, Luis; Mantel, Pierre-Yves] Univ Fribourg, Dept Med, Unit Anat, Fribourg, Switzerland</t>
  </si>
  <si>
    <t>University of Fribourg</t>
  </si>
  <si>
    <t>Mbagwu, S (corresponding author), Univ Fribourg, Dept Med, Unit Anat, Fribourg, Switzerland.</t>
  </si>
  <si>
    <t>Mantel, Pierre-Yves/N-3065-2015; Mbagwu, Smart/AAJ-9531-2020</t>
  </si>
  <si>
    <t>Mantel, Pierre-Yves/0000-0001-9526-9309; Mbagwu, Smart/0000-0003-4297-6303; Filgueira, Luis/0000-0002-2266-6650</t>
  </si>
  <si>
    <t>10.1007/978-1-4939-7253-1_31</t>
  </si>
  <si>
    <t>WOS:000429457100032</t>
  </si>
  <si>
    <t>Han, PP; Bartold, PM; Salomon, C; Ivanovski, S</t>
  </si>
  <si>
    <t>Han, Pingping; Bartold, Peter Mark; Salomon, Carlos; Ivanovski, Saso</t>
  </si>
  <si>
    <t>Salivary Outer Membrane Vesicles and DNA Methylation of Small Extracellular Vesicles as Biomarkers for Periodontal Status: A Pilot Study</t>
  </si>
  <si>
    <t>bacterial outer membrane vesicles; global DNA methylation; small extracellular vesicles; periodontitis</t>
  </si>
  <si>
    <t>PORPHYROMONAS-GINGIVALIS; CEMENTOGENIC DIFFERENTIATION; SIGNALING PATHWAY; LIGAMENT CELLS; EXOSOMES; ACTIVATION; IONS; WNT</t>
  </si>
  <si>
    <t>Periodontitis is an inflammatory disease, associated with a microbial dysbiosis. Early detection using salivary small extracellular vesicles (sEVs) biomarkers may facilitate timely prevention. sEVs derived from different species (i.e., humans, bacteria) are expected to circulate in saliva. This pilot study recruited 22 participants (seven periodontal healthy, seven gingivitis and eight periodontitis) and salivary sEVs were isolated using the size-exclusion chromatography (SEC) method. The healthy, gingivitis and periodontitis groups were compared in terms of salivary sEVs in the CD9+ sEV subpopulation, Gram-negative bacteria-enriched lipopolysaccharide (LPS+) outer membrane vesicles (OMVs) and global DNA methylation pattern of 5-methylcytosine (5mC), 5-hydroxymethylcytosine (5hmC) and N6-Methyladenosine (m6dA). It was found that LPS+ OMVs, global 5mC methylation and four periodontal pathogens (T. denticola, E. corrodens, P. gingivalis and F. nucleatum) that secreted OMVs were significantly increased in periodontitis sEVs compared to those from healthy groups. These differences were more pronounced in sEVs than the whole saliva and were more superior in distinguishing periodontitis than gingivitis, in comparison to healthy patients. Of note, global 5mC hypermethylation in salivary sEVs can distinguish periodontitis patients from both healthy controls and gingivitis patients with high sensitivity and specificity (AUC = 1). The research findings suggest that assessing global sEV methylation may be a useful biomarker for periodontitis.</t>
  </si>
  <si>
    <t>[Han, Pingping; Ivanovski, Saso] Univ Queensland, Sch Dent, Fac Hlth &amp; Behav Sci, Brisbane, Qld 4006, Australia; [Han, Pingping; Ivanovski, Saso] Univ Queensland, Epigenet Nanodiagnost &amp; Therapeut Grp, Ctr Oral Facial Regenerat Rehabil &amp; Reconstruct C, Sch Dent,Fac Hlth &amp; Behav Sci, Brisbane, Qld 4006, Australia; [Bartold, Peter Mark] Univ Adelaide, Sch Dent, Adelaide, SA 5000, Australia; [Salomon, Carlos] Univ Queensland, Royal Brisbane &amp; Womens Hosp, Clin Res Ctr, Ctr Clin Diagnost,Exosome Biol Lab, Brisbane, Qld 4029, Australia</t>
  </si>
  <si>
    <t>University of Queensland; University of Queensland; University of Adelaide; Royal Brisbane &amp; Women's Hospital; University of Queensland</t>
  </si>
  <si>
    <t>Han, PP; Ivanovski, S (corresponding author), Univ Queensland, Sch Dent, Fac Hlth &amp; Behav Sci, Brisbane, Qld 4006, Australia.;Han, PP; Ivanovski, S (corresponding author), Univ Queensland, Epigenet Nanodiagnost &amp; Therapeut Grp, Ctr Oral Facial Regenerat Rehabil &amp; Reconstruct C, Sch Dent,Fac Hlth &amp; Behav Sci, Brisbane, Qld 4006, Australia.</t>
  </si>
  <si>
    <t>p.han@uq.edu.au; mark.bartold@adelaide.edu.au; c.salomongallo@uq.edu.au; s.ivanovski@uq.edu.au</t>
  </si>
  <si>
    <t>Han, Pingping/AAD-1353-2022; Salomon, Carlos/L-2167-2013</t>
  </si>
  <si>
    <t>Bartold, Peter/0000-0002-5695-3877; Salomon, Carlos/0000-0003-4474-0046; Han, Pingping/0000-0001-7546-1635</t>
  </si>
  <si>
    <t>10.3390/ijms22052423</t>
  </si>
  <si>
    <t>WOS:000628261300001</t>
  </si>
  <si>
    <t>Han, ZW; Wan, FN; Deng, JQ; Zhao, JX; Li, YK; Yang, YJ; Jiang, Q; Ding, BQ; Liu, C; Dai, B; Sun, JS</t>
  </si>
  <si>
    <t>Han, Ziwei; Wan, Fangning; Deng, Jinqi; Zhao, Junxiang; Li, Yike; Yang, Yunjie; Jiang, Qiao; Ding, Baoquan; Liu, Chao; Dai, Bo; Sun, Jiashu</t>
  </si>
  <si>
    <t>Ultrasensitive detection of mRNA in extracellular vesicles using DNA tetrahedron-based thermophoretic assay</t>
  </si>
  <si>
    <t>NANO TODAY</t>
  </si>
  <si>
    <t>DNA tetrahedron; Thermophoresis; Extracellular vesicles; MRNA; Detection</t>
  </si>
  <si>
    <t>MOLECULAR BEACON; PROSTATE-CANCER</t>
  </si>
  <si>
    <t>The analysis of messenger RNA (mRNA) in extracellular vesicles (EVs) may provide unprecedented opportunities for non-invasive and rapid diagnosis of cancers. However, clinical utility of EV mRNA is often hampered by the extremely low abundance of mRNA in EVs and the complicated procedures for mRNA detection. Here we address these challenges by developing an ultrasensitive assay for in situ measurement of EV mRNA, which combines FRET-based DNA tetrahedron (FDT) for efficient EV internalization and target mRNA detection, and size-selective thermophoretic accumulation for amplification of FRET signal in EVs. This DNA tetrahedron-based thermophoretic assay (DTTA) achieves a limit of detection (LoD) of 14 aM for detecting PSA mRNA in serum EVs, with resorting to RNA extraction and enzyme amplification. The DTTA showed that EV PSA mRNA outperforms serum PSA protein, the gold standard in PCa screening, for discrimination between prostate cancer and benign prostatic hyperplasia (area under the curve: 0.93 versus 0.74; 42 patients). This technology may greatly expand the applications of DNA nanostructure-enabled liquid biopsy. (c) 2021 Elsevier Ltd. All rights reserved.</t>
  </si>
  <si>
    <t>[Han, Ziwei; Deng, Jinqi; Zhao, Junxiang; Li, Yike; Jiang, Qiao; Ding, Baoquan; Liu, Chao; Sun, Jiashu] CAS Ctr Excellence Nanosci, Beijing Engn Res Ctr BioNanotechnol, Natl Ctr Nanosci &amp; Technol, CAS Key Lab Standardizat &amp; Measurement Nanotechno, Beijing 100190, Peoples R China; [Han, Ziwei; Deng, Jinqi; Zhao, Junxiang; Li, Yike; Jiang, Qiao; Ding, Baoquan; Liu, Chao; Sun, Jiashu] Univ Chinese Acad Sci, Sch Future Technol, Beijing 100049, Peoples R China; [Wan, Fangning; Yang, Yunjie; Dai, Bo] Fudan Univ, Dept Urol, Shanghai Canc Ctr, Shanghai 200032, Peoples R China; [Wan, Fangning; Yang, Yunjie; Dai, Bo] Fudan Univ, Shanghai Med Coll, Dept Oncol, Shanghai 200032, Peoples R China</t>
  </si>
  <si>
    <t>Chinese Academy of Sciences; National Center for Nanoscience &amp; Technology - China; Chinese Academy of Sciences; University of Chinese Academy of Sciences, CAS; Fudan University; Fudan University</t>
  </si>
  <si>
    <t>Liu, C; Sun, JS (corresponding author), CAS Ctr Excellence Nanosci, Beijing Engn Res Ctr BioNanotechnol, Natl Ctr Nanosci &amp; Technol, CAS Key Lab Standardizat &amp; Measurement Nanotechno, Beijing 100190, Peoples R China.;Dai, B (corresponding author), Fudan Univ, Dept Urol, Shanghai Canc Ctr, Shanghai 200032, Peoples R China.</t>
  </si>
  <si>
    <t>liuc@nanoctr.cn; bodai1978@126.com; sunjs@nanoctr.cn</t>
  </si>
  <si>
    <t>1748-0132</t>
  </si>
  <si>
    <t>1878-044X</t>
  </si>
  <si>
    <t>10.1016/j.nantod.2021.101203</t>
  </si>
  <si>
    <t>MAY 2021</t>
  </si>
  <si>
    <t>Chemistry, Multidisciplinary; Nanoscience &amp; Nanotechnology; Materials Science, Multidisciplinary</t>
  </si>
  <si>
    <t>Chemistry; Science &amp; Technology - Other Topics; Materials Science</t>
  </si>
  <si>
    <t>WOS:000670252700003</t>
  </si>
  <si>
    <t>Casadei, L; Choudhury, A; Sarchet, P; Sundaram, PM; Lopez, G; Braggio, D; Balakirsky, G; Pollock, R; Prakash, S</t>
  </si>
  <si>
    <t>Casadei, Lucia; Choudhury, Adarsh; Sarchet, Patricia; Mohana Sundaram, Prashanth; Lopez, Gonzalo; Braggio, Danielle; Balakirsky, Gita; Pollock, Raphael; Prakash, Shaurya</t>
  </si>
  <si>
    <t>Cross-flow microfiltration for isolation, selective capture and release of liposarcoma extracellular vesicles</t>
  </si>
  <si>
    <t>cross flow filtration; DNA; eEV; extracellular vesicles; lEV; liposarcoma; MDM2; microfluidics; nanofluidics; tangential flow separation</t>
  </si>
  <si>
    <t>SOFT-TISSUE SARCOMA; SURFACE MODIFICATION; MEMBRANE-VESICLES; EXOSOME ISOLATION; SILICA SURFACES; CURRENT STATE; MICROVESICLES; DIFFERENTIATION; IDENTIFICATION; DEVICE</t>
  </si>
  <si>
    <t>We present a resource-efficient approach to fabricate and operate a micro-nanofluidic device that uses cross-flow filtration to isolate and capture liposarcoma derived extracellular vesicles (EVs). The isolated extracellular vesicles were captured using EV-specific protein markers to obtain vesicle enriched media, which was then eluted for further analysis. Therefore, the micro-nanofluidic device integrates the unit operations of size-based separation with CD63 antibody immunoaffinity-based capture of extracellular vesicles in the same device to evaluate EV-cargo content for liposarcoma. The eluted media collected showed similar to 76% extracellular vesicle recovery from the liposarcoma cell conditioned media and similar to 32% extracellular vesicle recovery from dedifferentiated liposarcoma patient serum when compared against state-of-art extracellular vesicle isolation and subsequent quantification by ultracentrifugation. The results reported here also show a five-fold increase in amount of critical liposarcoma- relevant extracellular vesicle cargo obtained in 30 min presenting a significant advance over existing state-of-art.</t>
  </si>
  <si>
    <t>[Casadei, Lucia; Sarchet, Patricia; Lopez, Gonzalo; Braggio, Danielle; Balakirsky, Gita; Prakash, Shaurya] Ohio State Univ, Ctr Comprehens Canc, Columbus, OH 43210 USA; [Choudhury, Adarsh; Mohana Sundaram, Prashanth; Pollock, Raphael; Prakash, Shaurya] Ohio State Univ, Dept Mech &amp; Aerosp Engn, Columbus, OH 43210 USA</t>
  </si>
  <si>
    <t>James Cancer Hospital &amp; Solove Research Institute; Ohio State University; Ohio State University</t>
  </si>
  <si>
    <t>Pollock, R; Prakash, S (corresponding author), Ohio State Univ, Dept Mech &amp; Aerosp Engn, Columbus, OH 43210 USA.</t>
  </si>
  <si>
    <t>raphael.pollock@osumc.edu; prakash.31@osu.edu</t>
  </si>
  <si>
    <t>Prakash, Shaurya/B-5674-2012</t>
  </si>
  <si>
    <t>Choudhury, Adarsh/0000-0002-3288-9356; CASADEI, Lucia/0000-0002-5731-8197</t>
  </si>
  <si>
    <t>e12062</t>
  </si>
  <si>
    <t>10.1002/jev2.12062</t>
  </si>
  <si>
    <t>WOS:000623673500007</t>
  </si>
  <si>
    <t>Vagner, T; Spinelli, C; Minciacchi, VR; Balaj, L; Zandian, M; Conley, A; Zijlstra, A; Freeman, MR; Demichelis, F; De, S; Posadas, EM; Tanaka, H; Di Vizio, D</t>
  </si>
  <si>
    <t>Vagner, Tatyana; Spinelli, Cristiana; Minciacchi, Valentina R.; Balaj, Leonora; Zandian, Mandana; Conley, Andrew; Zijlstra, Andries; Freeman, Michael R.; Demichelis, Francesca; De, Subhajyoti; Posadas, Edwin M.; Tanaka, Hisashi; Di Vizio, Dolores</t>
  </si>
  <si>
    <t>Large extracellular vesicles carry most of the tumour DNA circulating in prostate cancer patient plasma</t>
  </si>
  <si>
    <t>DNA; L-EVs; S-EVs; plasma; prostate cancer; liquid biopsy</t>
  </si>
  <si>
    <t>DOUBLE-STRANDED DNA; LARGE ONCOSOMES; METASTATIC-DISEASE; PANCREATIC-CANCER; EXOSOMES; MICROVESICLES; PROGRESSION; SECRETION; KRAS; RAS</t>
  </si>
  <si>
    <t>Cancer-derived extracellular vesicles (EVs) are membrane-enclosed structures of highly variable size. EVs contain a myriad of substances (proteins, lipid, RNA, DNA) that provide a reservoir of circulating molecules, thus offering a good source of biomarkers. We demonstrate here that large EVs (L-EV) (large oncosomes) isolated from prostate cancer (PCa) cells and patient plasma are an EV population that is enriched in chromosomal DNA, including large fragments up to 2 million base pair long. While L-EVs and small EVs (S-EV) (exosomes) isolated from the same cells contained similar amounts of protein, the DNA was more abundant in L-EV, despite S-EVs being more numerous. Consistent with in vitro observations, the abundance of DNA in L-EV obtained from PCa patient plasma was variable but frequently high. Conversely, negligible amounts of DNA were present in the S-EVs from the same patients. Controlled experimental conditions, with spike-ins of L-EVs and S-EVs from cancer cells in human plasma from healthy subjects, showed that circulating DNA is almost exclusively enclosed in L-EVs. Whole genome sequencing revealed that the DNA in L-EVs reflects genetic aberrations of the cell of origin, including copy number variations of genes frequently altered in metastatic PCa (i.e. MYC, AKT1, PTK2, KLF10 and PTEN). These results demonstrate that L-EV-derived DNA reflects the genomic make-up of the tumour of origin. They also support the conclusion that L-EVs are the fraction of plasma EVs with DNA content that should be interrogated for tumour-derived genomic alterations.</t>
  </si>
  <si>
    <t>[Vagner, Tatyana; Spinelli, Cristiana; Minciacchi, Valentina R.; Zandian, Mandana; Freeman, Michael R.; Tanaka, Hisashi; Di Vizio, Dolores] Cedars Sinai Med Ctr, Dept Biomed Sci, Div Canc Biol &amp; Therapeut, Los Angeles, CA 90048 USA; [Vagner, Tatyana; Spinelli, Cristiana; Minciacchi, Valentina R.; Zandian, Mandana; Conley, Andrew; Freeman, Michael R.; Di Vizio, Dolores] Cedars Sinai Med Ctr, Dept Pathol &amp; Lab Med, Div Canc Biol &amp; Therapeut, Los Angeles, CA 90048 USA; [Vagner, Tatyana; Spinelli, Cristiana; Minciacchi, Valentina R.; Zandian, Mandana; Freeman, Michael R.; Tanaka, Hisashi; Di Vizio, Dolores] Cedars Sinai Med Ctr, Samuel Oschin Comprehens Canc Inst, Div Canc Biol &amp; Therapeut, Los Angeles, CA 90048 USA; [Vagner, Tatyana; Spinelli, Cristiana; Minciacchi, Valentina R.; Zandian, Mandana; Freeman, Michael R.; Tanaka, Hisashi; Di Vizio, Dolores] Cedars Sinai Med Ctr, Dept Surg, Div Canc Biol &amp; Therapeut, Los Angeles, CA 90048 USA; [Minciacchi, Valentina R.] Georg Speyer Haus, Inst Tumor Biol &amp; Expt Therapy, Frankfurt, Germany; [Balaj, Leonora] Harvard Med Sch, Massachusetts Gen Hosp, Program Neurosci, Dept Neurol, Boston, MA USA; [Zijlstra, Andries] Vanderbilt Univ, Med Ctr, Dept Pathol Microbiol &amp; Immunol, Nashville, TN USA; [Freeman, Michael R.] Univ Calif Los Angeles, Dept Med, Los Angeles, CA 90024 USA; [Demichelis, Francesca] Univ Trento, Ctr Integrat Biol, Trento, Italy; [De, Subhajyoti] Rutgers State Univ, Rutgers Canc Inst, Dept Pathol &amp; Lab Med, New Brunswick, NJ USA; [Posadas, Edwin M.] Cedars Sinai Med Ctr, Samuel Oschin Comprehens Canc Inst, Urol Oncol Program, Los Angeles, CA 90048 USA; [Posadas, Edwin M.] Cedars Sinai Med Ctr, Samuel Oschin Comprehens Canc Inst, Urooncol Res Labs, Los Angeles, CA 90048 USA; [Spinelli, Cristiana] McGill Univ, Hlth Ctr, Res Inst, Dept Pediat, Montreal, PQ, Canada</t>
  </si>
  <si>
    <t>Cedars Sinai Medical Center; Cedars Sinai Medical Center; Cedars Sinai Medical Center; Cedars Sinai Medical Center; Octapharma; Harvard University; Harvard Medical School; Massachusetts General Hospital; Vanderbilt University; University of California System; University of California Los Angeles; University of Trento; Rutgers State University New Brunswick; Rutgers State University Medical Center; Rutgers Cancer Institute of New Jersey; Cedars Sinai Medical Center; Cedars Sinai Medical Center; McGill University</t>
  </si>
  <si>
    <t>Di Vizio, D (corresponding author), Cedars Sinai Med Ctr, Dept Biomed Sci, Div Canc Biol &amp; Therapeut, Los Angeles, CA 90048 USA.</t>
  </si>
  <si>
    <t>dolores.divizio@cshs.org</t>
  </si>
  <si>
    <t>Demichelis, Francesca/J-9829-2016; Vagner, Tatyana/AAQ-4075-2020</t>
  </si>
  <si>
    <t>Demichelis, Francesca/0000-0002-8266-8631; Tanaka, Hisashi/0000-0001-9223-4186; Balaj, Leonora/0000-0003-0931-9715</t>
  </si>
  <si>
    <t>AUG 7</t>
  </si>
  <si>
    <t>10.1080/20013078.2018.1505403</t>
  </si>
  <si>
    <t>WOS:000441055200001</t>
  </si>
  <si>
    <t>Heatlie, J; Chang, VE; Fitzgerald, S; Nursalim, Y; Parker, K; Lawrence, B; Print, CG; Blenkiron, C</t>
  </si>
  <si>
    <t>Heatlie, Jessica; Chang, Vanessa; Fitzgerald, Sandra; Nursalim, Yohanes; Parker, Kate; Lawrence, Ben; Print, Cristin G.; Blenkiron, Cherie</t>
  </si>
  <si>
    <t>Specialized Cell-Free DNA Blood Collection Tubes Can Be Repurposed for Extracellular Vesicle Isolation: A Pilot Study</t>
  </si>
  <si>
    <t>BIOPRESERVATION AND BIOBANKING</t>
  </si>
  <si>
    <t>exosomes; extracellular vesicles; cell-free DNA; cancer biomarker</t>
  </si>
  <si>
    <t>FREE RNA; PLASMA; SAMPLES</t>
  </si>
  <si>
    <t>Background:Liquid biopsies offer a minimally invasive approach to patient disease diagnosis and monitoring. However, these are highly affected by preprocessing variables with many protocols designed for downstream analysis of a single molecular biomarker. Here we investigate whether specialized blood tubes could be repurposed for the analysis of an increasingly valuable biomarker, extracellular vesicles (EVs). Methods:Blood was collected from three donors into K3-EDTA, Roche, or Streck cell-free DNA (cfDNA) collection tubes and processed using sequential centrifugation either immediately or after storage for 3 days. MicroEV were collected from platelet-poor plasma by 10,000gcentrifugation and NanoEVs isolated using size exclusion chromatography. Particle size and counts were assessed by Nanoparticle Tracking Analysis, protein quantitation by bicinchoninic acid assay (BCA) assay, and dot blotting for blood cell surface proteins. Results:MicroEVs and NanoEVs could be isolated from plasma collected using all three tube types. Major variations were seen with delayed time to processing. Both MicroEV particle number and protein content increased with the processing delay. The NanoEV number did not change with the time-delay but their protein quantity increased. EV-associated proteins predominantly arose from platelets (CD61) and erythrocytes (CD235a). However, leukocyte marker CD45 was only increased in NanoEVs from ethylenediaminetetraacetic acid (EDTA) tubes, suggestive of stabilization of nucleated cells by the specialized blood tubes. Epithelial cell surface marker EpCAM, often used as a marker of cancer, remained the same across conditions in both MicroEV and NanoEV preparations indicating that these EVs were stable with time. Conclusions:Specialized cfDNA collection tubes can be repurposed for MicroEV and NanoEV analysis; however, simple counting or using protein quantity as a surrogate of EV number may be confounded by preanalytical processing. The EVs would be suitable for disease selective EV subtype analysis if the molecular target of interest is not present in blood cells.</t>
  </si>
  <si>
    <t>[Heatlie, Jessica] Univ South Australia, Clin &amp; Hlth Sci, Adelaide, SA, Australia; [Heatlie, Jessica] Freemasons Fdn Ctr Mens Hlth, Adelaide, SA, Australia; [Chang, Vanessa; Nursalim, Yohanes] Univ Auckland, Fac Med &amp; Hlth Sci, Dept Obstet &amp; Gynaecol, Auckland, New Zealand; [Fitzgerald, Sandra; Print, Cristin G.; Blenkiron, Cherie] Univ Auckland, Fac Med &amp; Hlth Sci, Dept Mol Med &amp; Pathol, Auckland, New Zealand; [Parker, Kate; Lawrence, Ben] Univ Auckland, Fac Med &amp; Hlth Sci, Discipline Oncol, Auckland, New Zealand; [Lawrence, Ben; Print, Cristin G.; Blenkiron, Cherie] Univ Auckland, Maurice Wilkins Ctr Biodiscovery, Auckland, New Zealand</t>
  </si>
  <si>
    <t>University of South Australia; University of Auckland; University of Auckland; University of Auckland; University of Auckland</t>
  </si>
  <si>
    <t>Blenkiron, C (corresponding author), Univ Auckland, Dept Mol Med &amp; Pathol, Private Bag 92019, Auckland 1142, New Zealand.</t>
  </si>
  <si>
    <t>c.blenkiron@auckland.ac.nz</t>
  </si>
  <si>
    <t>Blenkiron, Cherie/0000-0002-0217-3808; Nursalim, Yohanes/0000-0002-9653-3762; Chang, Vanessa/0000-0002-5815-3478</t>
  </si>
  <si>
    <t>1947-5535</t>
  </si>
  <si>
    <t>1947-5543</t>
  </si>
  <si>
    <t>OCT 1</t>
  </si>
  <si>
    <t>10.1089/bio.2020.0060</t>
  </si>
  <si>
    <t>AUG 2020</t>
  </si>
  <si>
    <t>Cell Biology; Chemistry, Applied; Medical Laboratory Technology</t>
  </si>
  <si>
    <t>Cell Biology; Chemistry; Medical Laboratory Technology</t>
  </si>
  <si>
    <t>WOS:000566067300001</t>
  </si>
  <si>
    <t>Sung, SE; Seo, MS; Kang, KK; Choi, JH; Lee, S; Sung, M; Kim, K; Lee, GW; Lim, JH; Yang, SY; Yim, SG; Kim, SK; Park, S; Kwon, YS; Yun, S</t>
  </si>
  <si>
    <t>Sung, Soo-Eun; Seo, Min-Soo; Kang, Kyung-Ku; Choi, Joo-Hee; Lee, Sijoon; Sung, Minkyoung; Kim, Kilsoo; Lee, Gun Woo; Lim, Ju-Hyeon; Yang, Seung Yun; Yim, Sang-Gu; Kim, Seul-Ki; Park, Sangbum; Kwon, Young-Sam; Yun, Sungho</t>
  </si>
  <si>
    <t>Mesenchymal Stem Cell Exosomes Derived from Feline Adipose Tissue Enhance the Effects of Anti-Inflammation Compared to Fibroblasts-Derived Exosomes</t>
  </si>
  <si>
    <t>VETERINARY SCIENCES</t>
  </si>
  <si>
    <t>feline; mesenchymal stem cells; exosomes; extracellular vesicles; anti-inflammation</t>
  </si>
  <si>
    <t>EXTRACELLULAR VESICLES; DELIVERY VEHICLES; CYTOKINES; INTERLEUKIN-8; RANTES; RNA</t>
  </si>
  <si>
    <t>Adipose tissue-derived mesenchymal stem cells (AD-MSCs) release extracellular vesicles such as exosomes, apoptotic bodies, and microparticles. In particular, exosomes are formed inside cells via multivesicular bodies (MVBs), thus their protein, DNA, and RNA content are similar to those of the parent cells. Exosome research is rapidly expanding, with an increase in the number of related publications observed in recent years; therefore, the function and application of MSC-derived exosomes could emerge as cell-free therapeutics. Exosomes have been isolated from feline AD-MSCs and feline fibroblast cell culture media using ultracentrifugation. Feline exosomes have been characterized by FACS, nanoparticle tracking analysis, and transmission electron microscopy imaging. Moreover, cytokine levels were detected by sandwich enzyme-linked immunosorbent assay in exosomes and LPS-induced THP-1 macrophages. The size of the isolated exosomes was that of a typical exosome, i.e., approximately 150 nm, and they expressed tetraspanins CD9 and CD81. The anti-inflammatory factor IL-10 was increased in feline AD-MSC-derived exosomes. However, pro-inflammatory factors such as IL-1 beta, IL-8, IL-2, RANTES, and IFN-gamma were significantly decreased in feline AD-MSC-derived exosomes. This was the first demonstration that feline AD-MSC-derived exosomes enhance the inflammatory suppressive effects and have potential for the treatment of immune diseases or as an inflammation-inhibition therapy.</t>
  </si>
  <si>
    <t>[Sung, Soo-Eun; Seo, Min-Soo; Kang, Kyung-Ku; Choi, Joo-Hee; Lee, Sijoon; Sung, Minkyoung; Kim, Kilsoo] Daegu Gyeongbuk Med Innovat Fdn DGMIF, Lab Anim Ctr, Daegu 41061, South Korea; [Sung, Soo-Eun; Yang, Seung Yun; Yim, Sang-Gu] Pusan Natl Univ, Dept Biomat Sci, BK21 Program 4, Miryang 50463, South Korea; [Kim, Kilsoo] Kyungpook Natl Univ, Coll Vet Med, 80 Daehakro, Daegu 41566, South Korea; [Lee, Gun Woo; Lim, Ju-Hyeon] Yeungnam Univ Coll Med, Yeungnam Univ Med Ctr, Dept Orthoped Surg, 170 Hyochung Ro, Daegu 42415, South Korea; [Lim, Ju-Hyeon] Osong Med Innovat Fdn, New Drug Dev Ctr, Chungbuk 28160, South Korea; [Kim, Seul-Ki] KolmarBNH CO LTD, Food Sci R&amp;D Ctr, Efficacy Evaluat Team, 61 Heolleungro 8-Gil, Seoul 06800, South Korea; [Park, Sangbum] Michigan State Univ, Inst Quantitat Hlth Sci &amp; Engn IQ, Auditorium Rd 775 Woodlot Dr, E Lansing, MI 48824 USA; [Park, Sangbum] Michigan State Univ, Coll Human Med, Dept Med, Div Dermatol, Auditorium Rd 775 Woodlot Dr, E Lansing, MI 48824 USA; [Park, Sangbum] Michigan State Univ, Coll Human Med, Dept Pharmacol &amp; Toxicol, 775 Woodlot Dr, E Lansing, MI 48824 USA; [Kwon, Young-Sam; Yun, Sungho] Kyungpook Natl Univ, Dept Vet Surg, Coll Vet Med, Daegu 41566, South Korea</t>
  </si>
  <si>
    <t>Pusan National University; Kyungpook National University; Osong Medical Innovation Foundation; Michigan State University; Michigan State University; Michigan State University College of Human Medicine; Michigan State University; Michigan State University College of Human Medicine; Kyungpook National University</t>
  </si>
  <si>
    <t>Kwon, YS; Yun, S (corresponding author), Kyungpook Natl Univ, Dept Vet Surg, Coll Vet Med, Daegu 41566, South Korea.</t>
  </si>
  <si>
    <t>sesung@dgmif.re.kr; msseo@dgmif.re.kr; kangkk@dgmif.re.kr; cjh522@dgmif.re.kr; sjlee1013@dgmif.re.kr; tjdalsrud27@naver.com; kskim728@knu.ac.kr; gwlee1871@gmail.com; globaljh2019@gmail.com; syang@pusan.ac.kr; sg.yim0425@gmail.com; lovesshot@kolmarbnh.co.kr; spark@msu.edu; kwon@knu.ac.kr; shyun@knu.ac.kr</t>
  </si>
  <si>
    <t>Kwon, Young-Sam/0000-0002-6489-0327; Seo, Min-Soo/0000-0001-7817-2222; Sung, Soo-Eun/0000-0001-9971-2443</t>
  </si>
  <si>
    <t>2306-7381</t>
  </si>
  <si>
    <t>10.3390/vetsci8090182</t>
  </si>
  <si>
    <t>Veterinary Sciences</t>
  </si>
  <si>
    <t>WOS:000700084300001</t>
  </si>
  <si>
    <t>Chattapadhyaya, S; Haldar, S; Banerjee, S</t>
  </si>
  <si>
    <t>Chattapadhyaya, Saran; Haldar, Srijan; Banerjee, Subrata</t>
  </si>
  <si>
    <t>Microvesicles promote megakaryopoiesis by regulating DNA methyltransferase and methylation of Notch1 promoter</t>
  </si>
  <si>
    <t>JOURNAL OF CELLULAR PHYSIOLOGY</t>
  </si>
  <si>
    <t>differentiation; DNA methyltransferase; megakaryopoiesis; microvesicles; Notch</t>
  </si>
  <si>
    <t>HEMATOPOIETIC STEM; MESSENGER-RNA; DIFFERENTIATION; MEGAKARYOCYTES; PROLIFERATION; EXPRESSION; CELLS; PROGENITOR; SURVIVAL; RELEASE</t>
  </si>
  <si>
    <t>Megakaryopoiesis is the process of formation of mature megakaryocytes that takes place in the bone marrow niche resulting in the release of platelets into the peripheral blood. It has been suggested that cell to cell communication in this dense bone marrow niche may influence the fate of the cells. Numerous studies point to the role of exosomes and microvesicles not only as a messenger of the cellular crosstalk but also in growth and developmental process of various cell types. In the current study, we explored the effects of megakaryocyte-derived microvesicles in hematopoietic cell lines in the context of differentiation. Our study demonstrated that microvesicles isolated from the induced megakaryocytic cell lines have the ability to stimulate noninduced cells specifically into that particular lineage. We showed that this lineage commencement comes from the change in the methylation status of Notch1 promoter, which is regulated by DNA methyltransferases.</t>
  </si>
  <si>
    <t>[Chattapadhyaya, Saran; Haldar, Srijan; Banerjee, Subrata] Homi Bhabha Natl Inst, Saha Inst Nucl Phys, Biophys &amp; Struct Genom Div, Kolkata, India; [Haldar, Srijan] Adamas Univ, Barrackpore Rd,24 Parganas North, Kolkata 700126, W Bengal, India</t>
  </si>
  <si>
    <t>Homi Bhabha National Institute; Saha Institute of Nuclear Physics</t>
  </si>
  <si>
    <t>Banerjee, S (corresponding author), HBNI, Saha Inst Nucl Phys, Biophys &amp; Struct Genom Div, 1-AF Bidhannagar, Kolkata 700064, W Bengal, India.</t>
  </si>
  <si>
    <t>subrata.banerjee@saha.ac.in</t>
  </si>
  <si>
    <t>Haldar, Dr. Srijan/0000-0002-7162-6022</t>
  </si>
  <si>
    <t>0021-9541</t>
  </si>
  <si>
    <t>1097-4652</t>
  </si>
  <si>
    <t>10.1002/jcp.29166</t>
  </si>
  <si>
    <t>SEP 2019</t>
  </si>
  <si>
    <t>Cell Biology; Physiology</t>
  </si>
  <si>
    <t>WOS:000485366600001</t>
  </si>
  <si>
    <t>Lee, TH; Chennakrishnaiah, S; Meehan, B; Montermini, L; Garnier, D; D'Asti, E; Hou, WY; Magnus, N; Gayden, T; Jabado, N; Eppert, K; Majewska, L; Rak, J</t>
  </si>
  <si>
    <t>Lee, Tae Hoon; Chennakrishnaiah, Shilpa; Meehan, Brian; Montermini, Laura; Garnier, Delphine; D'Asti, Esterina; Hou, Wenyang; Magnus, Nathalie; Gayden, Tenzin; Jabado, Nada; Eppert, Kolja; Majewska, Loydie; Rak, Janusz</t>
  </si>
  <si>
    <t>Barriers to horizontal cell transformation by extracellular vesicles containing oncogenic H-ras</t>
  </si>
  <si>
    <t>exosomes; extracellular vesicles; horizontal transformation; oncogenes; ras</t>
  </si>
  <si>
    <t>STEM-CELL; CANCER; MICROVESICLES; EXPRESSION; EXOSOMES; EVOLUTION; INDUCE; GROWTH; DNA; HETEROGENEITY</t>
  </si>
  <si>
    <t>Extracellular vesicles (EVs) enable the exit of regulatory, mutant and oncogenic macromolecules (proteins, RNA and DNA) from their parental tumor cells and uptake of this material by unrelated cellular populations. Among the resulting biological effects of interest is the notion that cancer-derived EVs may mediate horizontal transformation of normal cells through transfer of mutant genes, including mutant ras. Here, we report that H-ras-mediated transformation of intestinal epithelial cells (IEC-18) results in the emission of exosome-like EVs containing genomic DNA, HRAS oncoprotein and transcript. However, EV-mediated horizontal transformation of non-transformed cells (epithelial, astrocytic, fibroblastic and endothelial) is transient, limited or absent due to barrier mechanisms that curtail the uptake, retention and function of oncogenic H-ras in recipient cells. Thus, epithelial cells and astrocytes are resistant to EV uptake, unless they undergo malignant transformation. In contrast, primary and immortalized fibroblasts are susceptible to the EV uptake, retention of H-ras DNA and phenotypic transformation, but these effects are transient and fail to produce a permanent tumorigenic conversion of these cells in vitro and in vivo, even after several months of observation. Increased exposure to EVs isolated from H-ras-transformed cancer cells, but not to those from their indolent counterparts, triggers demise of recipient fibroblasts. Uptake of H-ras-containing EVs stimulates but fails to transform primary endothelial cells. Thus, we suggest that intercellular transfer of oncogenes exerts regulatory rather than transforming influence on recipient cells, while cancer cells may often act as preferential EV recipients.</t>
  </si>
  <si>
    <t>[Lee, Tae Hoon; Chennakrishnaiah, Shilpa; Meehan, Brian; Montermini, Laura; Garnier, Delphine; D'Asti, Esterina; Hou, Wenyang; Magnus, Nathalie; Gayden, Tenzin; Jabado, Nada; Eppert, Kolja; Majewska, Loydie; Rak, Janusz] McGill Univ, Ctr Hlth, Res Inst, Glen Site, Montreal, PQ H4A 3J1, Canada</t>
  </si>
  <si>
    <t>McGill University</t>
  </si>
  <si>
    <t>Rak, J (corresponding author), McGill Univ, Ctr Hlth, Res Inst, Glen Site, Montreal, PQ H4A 3J1, Canada.</t>
  </si>
  <si>
    <t>janusz.rak@mcgill.ca</t>
  </si>
  <si>
    <t>Jabado, Nada/AAN-4026-2020</t>
  </si>
  <si>
    <t>Garnier, Delphine/0000-0002-5744-5612; Eppert, Kolja/0000-0001-9061-8856</t>
  </si>
  <si>
    <t>AUG 9</t>
  </si>
  <si>
    <t>10.18632/oncotarget.10627</t>
  </si>
  <si>
    <t>WOS:000385429100097</t>
  </si>
  <si>
    <t>Osaki, M; Okada, F</t>
  </si>
  <si>
    <t>Osaki, Mitsuhiko; Okada, Futoshi</t>
  </si>
  <si>
    <t>Exosomes and Their Role in Cancer Progression</t>
  </si>
  <si>
    <t>YONAGO ACTA MEDICA</t>
  </si>
  <si>
    <t>cancer progression; exosome; extracellular vesicle</t>
  </si>
  <si>
    <t>PROMOTE TUMOR-GROWTH; EXTRACELLULAR VESICLES; DENDRITIC CELLS; MICROVESICLES; DNA; SECRETION; MICRORNAS; PATHWAY; ANGIOGENESIS; MECHANISMS</t>
  </si>
  <si>
    <t>Exosomes are a subset of extracellular vesicles and their size is approximately 100 nm in diameter. They are surrounded by a lipid bilayer membrane and secreted from almost all of cells. Exosomes are generated within the endocytic system as ILV (intraluminal membrane vesicle) and secreted during the fusion of MVB (multivesicular body) with the cell membrane. Recently it has been reported that exosomes modulate cell-cell communication contributing to the maintenance of tissue homeostasis by molecules including exosomes. Moreover, exosomes released from cancer cells are involved in cancer progression. Thus, data regarding the role of the exosomes in malignant cancer will lead to development of novel diagnostic and therapeutic methods.</t>
  </si>
  <si>
    <t>[Osaki, Mitsuhiko; Okada, Futoshi] Tottori Univ, Sch Life Sci, Dept Biomed Sci, Div Pathol Biochem,Fac Med, Yonago, Tottori 6838503, Japan; [Osaki, Mitsuhiko; Okada, Futoshi] Tottori Univ, Chromosome Engn Res Ctr, Yonago, Tottori 6838503, Japan</t>
  </si>
  <si>
    <t>Tottori University; Tottori University</t>
  </si>
  <si>
    <t>Osaki, M (corresponding author), Tottori Univ, Sch Life Sci, Dept Biomed Sci, Div Pathol Biochem,Fac Med, Yonago, Tottori 6838503, Japan.;Osaki, M (corresponding author), Tottori Univ, Chromosome Engn Res Ctr, Yonago, Tottori 6838503, Japan.</t>
  </si>
  <si>
    <t>osamitsu@med.tottori-u.ac.jp</t>
  </si>
  <si>
    <t>Okada, Futoshi/0000-0003-4733-1037</t>
  </si>
  <si>
    <t>0513-5710</t>
  </si>
  <si>
    <t>1346-8049</t>
  </si>
  <si>
    <t>10.33160/yam.2019.06.002</t>
  </si>
  <si>
    <t>WOS:000473701500002</t>
  </si>
  <si>
    <t>Poveda, E; Tabernilla, A; Fitzgerald, W; Salgado-Barreira, A; Grandal, M; Perez, A; Marino, A; Alvarez, H; Valcarce, N; Gonzalez-Garcia, J; Bernardino, JI; Gutierrez, F; Fujioka, H; Crespo, M; Ruiz-Mateos, E; Margolis, L; Lederman, MM; Freeman, ML</t>
  </si>
  <si>
    <t>Poveda, Eva; Tabernilla, Andres; Fitzgerald, Wendy; Salgado-Barreira, Angel; Grandal, Marta; Perez, Alexandre; Marino, Ana; Alvarez, Hortensia; Valcarce, Nieves; Gonzalez-Garcia, Juan; Ignacio Bernardino, Jose; Gutierrez, Felix; Fujioka, Hisashi; Crespo, Manuel; Ruiz-Mateos, Ezequiel; Margolis, Leonid; Lederman, Michael M.; Freeman, Michael L.</t>
  </si>
  <si>
    <t>ECRIS Integrated Spanish AIDS Res</t>
  </si>
  <si>
    <t>Massive Release of CD9(+) Microvesicles in Human Immunodeficiency Virus Infection, Regardless of Virologic Control</t>
  </si>
  <si>
    <t>JOURNAL OF INFECTIOUS DISEASES</t>
  </si>
  <si>
    <t>elite controllers; extracellular vesicles; HIV; microvesicles; mitochondria</t>
  </si>
  <si>
    <t>T-CELL-ACTIVATION; MITOCHONDRIAL-DNA; HIV-INFECTION; PLASMA; ELITE; INFLAMMATION; LYMPHOCYTES; EXOSOMES; MARKERS</t>
  </si>
  <si>
    <t>A massive release of platelet-derived CD9(+) microvesicles occurs during HIV infection, regardless of virologic control or antiretroviral therapy administration. Some of these microvesicles contain mitochondria, but their prevalence and mitochondrial density are reduced in HIV infection. Background The role of extracellular vesicles (EVs) in human immunodeficiency virus (HIV) pathogenesis is unknown. We examine the cellular origin of plasma microvesicles (MVs), a type of ectocytosis-derived EV, the presence of mitochondria in MVs, and their relationship to circulating cell-free mitochondrial deoxyribonucleic acid (ccf-mtDNA) in HIV-infected patients and controls. Methods Five participant groups were defined: 30 antiretroviral therapy (ART)-naive; 30 ART-treated with nondetectable viremia; 30 elite controllers; 30 viremic controllers; and 30 HIV-uninfected controls. Microvesicles were quantified and characterized from plasma samples by flow cytometry. MitoTrackerDeepRed identified MVs containing mitochondria and ccf-mtDNA was quantified by real-time polymerase chain reaction. Results Microvesicle numbers were expanded at least 10-fold in all HIV-infected groups compared with controls. More than 79% were platelet-derived MVs. Proportions of MVs containing mitochondria (22.3% vs 41.6%) and MV mitochondrial density (706 vs 1346) were significantly lower among HIV-infected subjects than controls, lowest levels for those on ART. Microvesicle numbers correlated with ccf-mtDNA levels that were higher among HIV-infected patients. Conclusions A massive release of platelet-derived MVs occurs during HIV infection. Some MVs contain mitochondria, but their proportion and mitochondrial densities were lower in HIV infection than in controls. Platelet-derived MVs may be biomarkers of platelet activation, possibly reflecting pathogenesis even in absence of HIV replication.</t>
  </si>
  <si>
    <t>[Poveda, Eva; Tabernilla, Andres; Grandal, Marta] Complexo Hosp Univ Vigo, SERGAS UVigo, Grp Virol &amp; Pathogenesis, Galicia Sur Hlth Res Inst IIS Galicia Sur, Vigo, Spain; [Fitzgerald, Wendy; Margolis, Leonid] Eunice Kennedy Shriver Natl Inst Child Hlth &amp; Hum, Sect Intercellular Interact, NIH, Bethesda, MD USA; [Salgado-Barreira, Angel] Complexo Hosp Univ Vigo, Methodol &amp; Stat Unit, SERGAS UVigo, Galicia Sur Hlth Res Inst IIS Galicia Sur, Vigo, Spain; [Perez, Alexandre; Crespo, Manuel] Complexo Hosp Univ Vigo, Dept Internal Med, Infect Dis Unit, IIS Galicia Sur,SERGAS UVigo, Vigo, Spain; [Marino, Ana; Alvarez, Hortensia; Valcarce, Nieves] Univ Hosp Ferrol, Infect Dis Unit, La Coruna, Spain; [Gonzalez-Garcia, Juan; Ignacio Bernardino, Jose] Hosp Univ La Paz IdiPAZ, Infect Dis Unit, Madrid, Spain; [Gutierrez, Felix] Hosp Gen Elche, Infect Dis Unit, Alicante, Spain; [Gutierrez, Felix] Miguel Hernandez Univ, Alicante, Spain; [Fujioka, Hisashi] Case Western Reserve Univ, Sch Med, Cryoelectron Microscopy Core, Cleveland, OH USA; [Ruiz-Mateos, Ezequiel] Univ Seville, Virgen del Rocio Univ Hosp, Inst Biomed Seville IBiS, Clin Unit Infect Dis Clin Microbiol &amp; Prevent Med, Seville, Spain; [Lederman, Michael M.; Freeman, Michael L.] Case Western Reserve Univ, Div Infect Dis &amp; HIV Med, Cleveland, OH 44106 USA</t>
  </si>
  <si>
    <t>Complexo Hospitalario Universitario de Vigo; National Institutes of Health (NIH) - USA; NIH Eunice Kennedy Shriver National Institute of Child Health &amp; Human Development (NICHD); Complexo Hospitalario Universitario de Vigo; Complexo Hospitalario Universitario de Vigo; Complejo Hospitalario Universitario de Ferrol; Hospital Universitario La Paz; Universidad Miguel Hernandez de Elche; Case Western Reserve University; Consejo Superior de Investigaciones Cientificas (CSIC); University of Sevilla; CSIC-JA-USE - Instituto de Biomedicina de Sevilla (IBIS); Virgen del Rocio University Hospital; Case Western Reserve University</t>
  </si>
  <si>
    <t>Poveda, E (corresponding author), Hosp Alvaro Cunqueiro, Grp Virol &amp; Patogenesis, Inst Invest Sanitaria Galicia Sur IISGS, Bloque Tecn,Planta 2 Estr Clara Campoamor 341, Vigo 36312, Spain.</t>
  </si>
  <si>
    <t>eva.poveda.lopez@sergas.es</t>
  </si>
  <si>
    <t>Rodero, Félix Gutiérrez/Q-7880-2018; González, Alexandre Pérez/AAV-9311-2021</t>
  </si>
  <si>
    <t>Rodero, Félix Gutiérrez/0000-0002-9485-6867; González, Alexandre Pérez/0000-0003-4836-6768; POVEDA, EVA/0000-0003-4835-9875; Salgado-Barreira, Angel/0000-0003-4349-4947; Tabernilla, Andres/0000-0002-6141-9337; Gonzalez-Garcia, Juan/0000-0002-3652-002X</t>
  </si>
  <si>
    <t>0022-1899</t>
  </si>
  <si>
    <t>1537-6613</t>
  </si>
  <si>
    <t>MAR 15</t>
  </si>
  <si>
    <t>10.1093/infdis/jiaa375</t>
  </si>
  <si>
    <t>Immunology; Infectious Diseases; Microbiology</t>
  </si>
  <si>
    <t>WOS:000769069400015</t>
  </si>
  <si>
    <t>Erkan, EP; Saydam, O</t>
  </si>
  <si>
    <t>Erkan, Erdogan Pekcan; Saydam, Okay</t>
  </si>
  <si>
    <t>Extracellular Vesicles as Novel Delivery Tools for Cancer Treatment</t>
  </si>
  <si>
    <t>CURRENT CANCER DRUG TARGETS</t>
  </si>
  <si>
    <t>Cancer; delivery; extracellular vesicles; therapeutics</t>
  </si>
  <si>
    <t>CELL-DERIVED EXOSOMES; MEDIATED TRANSFER; MULTIVESICULAR BODY; DENDRITIC CELLS; MESSENGER-RNAS; MICROVESICLES; PROTEINS; BIOGENESIS; MICRORNA; SECRETION</t>
  </si>
  <si>
    <t>Extracellular vesicles (EVs) are different types of membrane-derived vesicles that originate from the endosomal pathway or the plasma membrane. These vesicles are used as carriers in intercellular communication, and are responsible for the transfer of biological cargo (lipids, proteins, RNA species, and DNA) between different cells. Despite the shortcomings in our knowledge of EV biology, attempts to employ EVs as natural delivery tools for therapeutic purposes have been partly successful in different settings. In this review, we highlight this unique potential of EVs, and discuss previous examples and future scenarios.</t>
  </si>
  <si>
    <t>[Erkan, Erdogan Pekcan] Dokuz Eylul Univ, Izmir Biomed &amp; Genome Ctr, Izmir, Turkey; [Erkan, Erdogan Pekcan] Dokuz Eylul Univ, Dept Neurosci, Inst Hlth Sci, Izmir, Turkey; [Saydam, Okay] Med Univ Vienna, Dept Pediat &amp; Adolescent Med, Vienna, Austria</t>
  </si>
  <si>
    <t>Dokuz Eylul University; Dokuz Eylul University; Medical University of Vienna</t>
  </si>
  <si>
    <t>Saydam, O (corresponding author), Med Univ Vienna, Dept Pediat &amp; Adolescent Med, Vienna, Austria.</t>
  </si>
  <si>
    <t>okay.saydam@meduniwien.ac</t>
  </si>
  <si>
    <t>Erkan, Erdogan Pekcan/ABI-6822-2020</t>
  </si>
  <si>
    <t>Erkan, Erdogan Pekcan/0000-0001-9287-4773</t>
  </si>
  <si>
    <t>1568-0096</t>
  </si>
  <si>
    <t>1873-5576</t>
  </si>
  <si>
    <t>10.2174/1568009615666150923115439</t>
  </si>
  <si>
    <t>WOS:000366900100003</t>
  </si>
  <si>
    <t>Alqurashi, H; Asencio, IO; Lambert, DW</t>
  </si>
  <si>
    <t>Alqurashi, Hatim; Asencio, Ilida Ortega; Lambert, Daniel W.</t>
  </si>
  <si>
    <t>The Emerging Potential of Extracellular Vesicles in Cell-Free Tissue Engineering and Regenerative Medicine</t>
  </si>
  <si>
    <t>TISSUE ENGINEERING PART B-REVIEWS</t>
  </si>
  <si>
    <t>extracellular vesicles; exosomes; tissue engineering; regenerative medicine</t>
  </si>
  <si>
    <t>MESENCHYMAL STROMAL CELLS; EXOSOME-MEDIATED TRANSFER; SUSTAINED-RELEASE; SCHWANN-CELL; HYDROGEL; BIODISTRIBUTION; MICROVESICLES; ANGIOGENESIS; MECHANISM; DELIVERY</t>
  </si>
  <si>
    <t>Extracellular vesicles (Evs) are membrane-enclosed vesicles secreted by all cell types that mediate cell-cell communication via their protein, lipid, carbohydrate, and nucleic acid (RNA, DNA) cargo. EVs are involved in a multitude of physiological processes, including development, cell differentiation, and angiogenesis, and have been implicated in tissue repair. Thus, they have been suggested to offer opportunities for the development of novel cell-free tissue engineering (TE) approaches. In this review, we provide an overview of current understanding and emerging applications of EVs in TE and address opportunities and challenges for clinical translation. In addition, we discuss systemic and local routes of delivery of EVs and the advantages and disadvantages of different biomaterials in providing a substrate for the sustained release of EVs in vivo. Impact statement Extracellular vesicles (EVs) are nanoscale, membrane-bound vesicles released by most, if not all, cells in the body. They are implicated in a wide range of physiological processes and diseases ranging from cancer to neurodegeneration, and hold huge potential as mediators of tissue regeneration. This has led to an explosion of interest in using EVs in a variety of tissue engineering applications. In this review, we provide an overview of current progress in the field and highlight the opportunities and challenges of harnessing the potential of EVs in regenerative medicine.</t>
  </si>
  <si>
    <t>[Alqurashi, Hatim; Asencio, Ilida Ortega; Lambert, Daniel W.] Univ Sheffield, Sch Clin Dent, Sheffield S10 2TA, S Yorkshire, England; [Alqurashi, Hatim] King Faisal Univ, Coll Dent, Alhassa, Saudi Arabia</t>
  </si>
  <si>
    <t>University of Sheffield; King Faisal University</t>
  </si>
  <si>
    <t>Lambert, DW (corresponding author), Univ Sheffield, Sch Clin Dent, Sheffield S10 2TA, S Yorkshire, England.</t>
  </si>
  <si>
    <t>d.w.lambert@sheffield.ac.uk</t>
  </si>
  <si>
    <t>Asencio, Ilida Ortega/ABG-5612-2020</t>
  </si>
  <si>
    <t>Asencio, Ilida Ortega/0000-0002-2674-664X; alqurashi, hatim/0000-0002-8726-1443</t>
  </si>
  <si>
    <t>1937-3368</t>
  </si>
  <si>
    <t>1937-3376</t>
  </si>
  <si>
    <t>10.1089/ten.teb.2020.0222</t>
  </si>
  <si>
    <t>Cell &amp; Tissue Engineering; Biotechnology &amp; Applied Microbiology; Cell Biology; Engineering, Biomedical; Materials Science, Biomaterials</t>
  </si>
  <si>
    <t>Cell Biology; Biotechnology &amp; Applied Microbiology; Engineering; Materials Science</t>
  </si>
  <si>
    <t>WOS:000595883500001</t>
  </si>
  <si>
    <t>Blesa, A; Berenguer, J</t>
  </si>
  <si>
    <t>Blesa, Alba; Berenguer, Jose</t>
  </si>
  <si>
    <t>Contribution of vesicle-protected extracellular DNA to horizontal gene transfer in Thermus spp.</t>
  </si>
  <si>
    <t>INTERNATIONAL MICROBIOLOGY</t>
  </si>
  <si>
    <t>Thermus; horizontal gene transfer; extracellular vesicles</t>
  </si>
  <si>
    <t>MEMBRANE-VESICLES; PSEUDOMONAS-AERUGINOSA; BIOFILM DEVELOPMENT; GENOME INNOVATION; RELEASE; GROWTH; LYSIS; THERMOPHILUS; BIOGENESIS; MECHANISM</t>
  </si>
  <si>
    <t>Highly efficient apparatus for natural competence and conjugation have been shown as the major contributors to horizontal gene transfer (HGT) in Thermus thermophilus. In practical terms, both mechanisms can be distinguished by the sensitivity of the former to the presence of DNAse, and the requirement for cell to cell contacts in the second. Here we demonstrate that culture supernatants of different strains of Thermus spp. produce DNAse-resistant extracellular DNA (eDNA) in a growth-rate dependent manner. This eDNA was double stranded, similar in size to isolated genomic DNA (around 20 kbp), and represented the whole genome of the producer strain. Protection against DNAse was the consequence of association of the eDNA to membrane vesicles which composition was shown to include a great diversity of cell envelope proteins with minor content of cytoplasmic proteins. Access of the recipient cell to the protected eDNA depended on the natural competence apparatus and elicited the DNA-DNA interference defence mediated by the Argonaute protein. We hypothesize on the lytic origin of the eDNA carrying vesicles and discuss the relevance of this alternative mechanism for HGT in natural thermal environments.</t>
  </si>
  <si>
    <t>[Blesa, Alba; Berenguer, Jose] Autonomous Univ Madrid, Ctr Mol Biol Severo Ochoa, CSIC, E-28049 Madrid, Spain</t>
  </si>
  <si>
    <t>Autonomous University of Madrid; Consejo Superior de Investigaciones Cientificas (CSIC); CSIC - Centro de Biologia Molecular Severo Ochoa (CBM)</t>
  </si>
  <si>
    <t>Berenguer, J (corresponding author), Univ Autonoma Madrid, Fac Ciencias, Ctr Biol Mol Severo Ochoa UAM CSIC, Canto Blanco 28049, Madrid, Spain.</t>
  </si>
  <si>
    <t>jberenguer@cbm.csic.es</t>
  </si>
  <si>
    <t>Blesa, Alba/Y-6471-2019; Berenguer, Jose/R-2507-2019</t>
  </si>
  <si>
    <t>Berenguer, Jose/0000-0002-9689-6272; Blesa Esteban, Alba/0000-0003-1509-5615</t>
  </si>
  <si>
    <t>1139-6709</t>
  </si>
  <si>
    <t>1618-1905</t>
  </si>
  <si>
    <t>10.2436/20.1501.01.248</t>
  </si>
  <si>
    <t>Biotechnology &amp; Applied Microbiology; Microbiology</t>
  </si>
  <si>
    <t>WOS:000377768600006</t>
  </si>
  <si>
    <t>Chen, XH; Jia, M; Liu, LH; Qiu, XP; Zhang, H; Yu, XL; Gu, W; Qing, GC; Li, QM; Hu, XL; Wang, RX; Zhao, XX; Zhang, LL; Wang, XF; Durkan, C; Wang, N; Wang, GX; Luo, Y</t>
  </si>
  <si>
    <t>Chen, Xiaohui; Jia, Mei; Liu, Lianhua; Qiu, Xiaopei; Zhang, Hong; Yu, Xingle; Gu, Wei; Qing, Guangchao; Li, Qingmei; Hu, Xiaolin; Wang, Ruixuan; Zhao, Xianxian; Zhang, Liangliang; Wang, Xianfeng; Durkan, Colm; Wang, Nan; Wang, Guixue; Luo, Yang</t>
  </si>
  <si>
    <t>High-Fidelity Determination and Tracing of Small Extracellular Vesicle Cargoes</t>
  </si>
  <si>
    <t>exosomes; liquid biopsies; nucleic acids; small extracellular vesicles; tetrahedrons</t>
  </si>
  <si>
    <t>MESSENGER-RNA; DNA; IDENTIFICATION; NANOPARTICLES; EXOSOMES</t>
  </si>
  <si>
    <t>Direct tracing of small extracellular vesicle (sEV) cargoes holds unprecedented importance for elucidating the mechanisms involved in intercellular communication. However, high-fidelity determination of sEVs' molecular cargoes in situ has yet to be achieved due to the difficulty in transporting molecular probes into intact sEVs. Herein, a fLuorescent Intracellular-Guided Hairpin-Tetrahedron (fLIGHT) nanoprobe is described for direct visualization of sEV microRNAs in situ. Integrating the advantages of nondestructive sEV penetration via DNA origami and single-nucleotide discrimination as well as wash-free fluorescence readout using a hairpin probe, the proposed approach enables high-fidelity fluorescence visualization of sEVs' microRNA without RNA extraction or leakage, demonstrating the potential of on-site tracing of sEV cargoes. This strategy opens an avenue to establishing universal molecular detection and labeling platforms that can facilitate both sEV-derived fundamental biological studies and molecular diagnostics.</t>
  </si>
  <si>
    <t>[Chen, Xiaohui; Zhang, Hong; Yu, Xingle; Gu, Wei; Qing, Guangchao; Li, Qingmei; Hu, Xiaolin; Zhang, Liangliang; Luo, Yang] Chongqing Univ, Med Coll, Ctr Smart Lab &amp; Mol Med, Chongqing 400044, Peoples R China; [Chen, Xiaohui; Qiu, Xiaopei; Zhang, Hong; Yu, Xingle; Gu, Wei; Qing, Guangchao; Li, Qingmei; Hu, Xiaolin; Zhang, Liangliang; Wang, Xianfeng; Wang, Guixue; Luo, Yang] Chongqing Univ, State &amp; Local Joint Engn Lab Vasc Implants, Key Lab Biorheol Sci &amp; Technol, Minist Educ,Coll Bioengn, P R China 400044, Peoples R China; [Jia, Mei; Liu, Lianhua] Peking Univ, Dept Clin Lab, Peoples Hosp, Beijing 100044, Peoples R China; [Qiu, Xiaopei; Wang, Ruixuan; Zhao, Xianxian] Third Mil Med Univ, Southwest Hosp, Dept Clin Med Lab Sci, Chongqing 400038, Peoples R China; [Durkan, Colm; Wang, Nan] Univ Cambridge, Nanosci Ctr, Cambridge CB3 0FF, England</t>
  </si>
  <si>
    <t>Chongqing University; Chongqing University; Peking University; Army Medical University; University of Cambridge</t>
  </si>
  <si>
    <t>Luo, Y (corresponding author), Chongqing Univ, Med Coll, Ctr Smart Lab &amp; Mol Med, Chongqing 400044, Peoples R China.;Wang, GX; Luo, Y (corresponding author), Chongqing Univ, State &amp; Local Joint Engn Lab Vasc Implants, Key Lab Biorheol Sci &amp; Technol, Minist Educ,Coll Bioengn, P R China 400044, Peoples R China.</t>
  </si>
  <si>
    <t>wanggx@cqu.edu.cn; luoy@cqu.edu.cn</t>
  </si>
  <si>
    <t>; LUO, Yang/C-2406-2011</t>
  </si>
  <si>
    <t>Durkan, Colm/0000-0001-9398-2813; Zhao, Xianxian/0000-0002-8118-204X; LUO, Yang/0000-0002-0166-9027; Wang, Xianfeng/0000-0002-7760-6647</t>
  </si>
  <si>
    <t>10.1002/smll.202002800</t>
  </si>
  <si>
    <t>SEP 2020</t>
  </si>
  <si>
    <t>WOS:000565042200001</t>
  </si>
  <si>
    <t>Chiozzini, C; Manfredi, F; Arenaccio, C; Ferrantelli, F; Leone, P; Federico, M</t>
  </si>
  <si>
    <t>Chiozzini, Chiara; Manfredi, Francesco; Arenaccio, Claudia; Ferrantelli, Flavia; Leone, Patrizia; Federico, Maurizio</t>
  </si>
  <si>
    <t>N-Terminal Fatty Acids of NEF(MUT)Are Required for the CD8(+)T-Cell Immunogenicity of In Vivo Engineered Extracellular Vesicles</t>
  </si>
  <si>
    <t>VACCINES</t>
  </si>
  <si>
    <t>CD8(+)T-cell immunity; exosomes; extracellular vesicles; HIV-1 Nef; DNA immunization</t>
  </si>
  <si>
    <t>EXOSOMES; NEF</t>
  </si>
  <si>
    <t>We recently described a cytotoxic CD8(+)T lymphocyte (CTL) vaccine platform based on the intramuscular (i.m.) injection of DNA eukaryotic vectors expressing antigens of interest fused at the C-terminus of HIV-1 Nef(mut), i.e., a functionally defective mutant that is incorporated at quite high levels into exosomes/extracellular vesicles (EVs). This system has been proven to elicit strong CTL immunity against a plethora of both viral and tumor antigens, as well as inhibit both transplantable and orthotopic tumors in mice. However, a number of open issues remain regarding the underlying mechanism. Here we provide evidence that hindering the uploading into EVs of Nef(mut)-derived products by removing the Nef(mut) N-terminal fatty acids leads to a dramatic reduction of the downstream antigen-specific CD8(+)T-cell activation after i.m. injection of DNA vectors in mice. This result formally demonstrates that the generation of engineered EVs is part of the mechanism underlying the in vivo induced CD8(+)T-cell immunogenicity. Gaining new insights on the EV-based vaccine platform can be relevant in view of its possible translation into the clinic to counteract both chronic and acute infections as well as tumors.</t>
  </si>
  <si>
    <t>[Chiozzini, Chiara; Manfredi, Francesco; Arenaccio, Claudia; Ferrantelli, Flavia; Leone, Patrizia; Federico, Maurizio] Ist Super Sanita, Natl Ctr Global Hlth, Viale Regina Elena 299, I-00161 Rome, Italy</t>
  </si>
  <si>
    <t>Istituto Superiore di Sanita (ISS)</t>
  </si>
  <si>
    <t>Federico, M (corresponding author), Ist Super Sanita, Natl Ctr Global Hlth, Viale Regina Elena 299, I-00161 Rome, Italy.</t>
  </si>
  <si>
    <t>chiara.chiozzini@iss.it; francesco.manfredi@iss.it; claudia.arenaccio@iss.it; flavia.ferrantelli@iss.it; patrizia.leone@iss.it; maurizio.federico@iss.it</t>
  </si>
  <si>
    <t>Chiozzini, Chiara/AAH-1790-2021; Manfredi, Francesco/ABA-7166-2021; Federico, Maurizio/J-5867-2016; Ferrantelli, Flavia/J-7794-2016</t>
  </si>
  <si>
    <t>Chiozzini, Chiara/0000-0002-4153-0927; manfredi, francesco/0000-0002-1746-1546; Federico, Maurizio/0000-0003-4154-1025; Ferrantelli, Flavia/0000-0002-0768-1078; Leone, Patrizia/0000-0002-5281-4917</t>
  </si>
  <si>
    <t>2076-393X</t>
  </si>
  <si>
    <t>10.3390/vaccines8020243</t>
  </si>
  <si>
    <t>Immunology; Medicine, Research &amp; Experimental</t>
  </si>
  <si>
    <t>Immunology; Research &amp; Experimental Medicine</t>
  </si>
  <si>
    <t>WOS:000550816700001</t>
  </si>
  <si>
    <t>Zavridou, M; Strati, A; Bournakis, E; Smilkou, S; Tserpeli, V; Lianidou, E</t>
  </si>
  <si>
    <t>Zavridou, Martha; Strati, Areti; Bournakis, Evangelos; Smilkou, Stavroula; Tserpeli, Victoria; Lianidou, Evi</t>
  </si>
  <si>
    <t>Prognostic Significance of Gene Expression and DNA Methylation Markers in Circulating Tumor Cells and Paired Plasma Derived Exosomes in Metastatic Castration Resistant Prostate Cancer</t>
  </si>
  <si>
    <t>prostate cancer; liquid biopsy; CTCs; extracellular vesicles; exosomes; DNA methylation; gene expression; RT-qPCR; MSP</t>
  </si>
  <si>
    <t>SLFN11; AR-V7</t>
  </si>
  <si>
    <t>Simple Summary Liquid biopsy, based on the analysis of circulating tumor cells (CTCs) and circulating tumor DNA (ctDNA), provides non-invasive real-time monitoring of tumor evolution and therapeutic efficacy. We performed for the first time a direct comparison study on gene expression and DNA methylation markers in CTCs and paired plasma-derived exosomes and evaluated their prognostic significance in metastatic castration resistant prostate cancer. Our results revealed for the first time a significantly higher positivity of all markers in EpCAM-positive CTCs compared to plasma-derived exosomes. We report that in EpCAM-positive CTCs, CK-19, PSMA, TWIST1 expression and GSTP1 methylation are significantly correlated with worse overall survival (OS), while in exosomes, CK-8 expression and GSTP1 and RASSF1A methylation status were significantly correlated with a lower OS. We also enumerated CTC and tumor-derived extracellular vesicles (tdEVs) using CellSearch (CS) and found a correlation between the CTC and tumor-derived extracellular vesicles (tdEVs) enumeration values. Liquid biopsy, based on the analysis of circulating tumor cells (CTCs) and circulating tumor DNA (ctDNA), provides non-invasive real-time monitoring of tumor evolution and therapeutic efficacy. We performed for the first time a direct comparison study on gene expression and DNA methylation markers in CTCs and paired plasma-derived exosomes and evaluated their prognostic significance in metastatic castration resistant prostate cancer. This prospective liquid biopsy (LB) study was based on a group of 62 metastatic castration resistant prostate cancer (mCRPC) patients and 10 healthy donors (HD) as controls. Identical blood draws were used to: (a) enumerate CTC and tumor-derived extracellular vesicles (tdEVs) using CellSearch (CS) and (b) analyze CTCs and paired plasma-derived exosomes at the gene expression and DNA methylation level. CTCs were enumerated using CellSearch in 57/62 patients, with values ranging from 5 to 854 cells/7.5 mL PB. Our results revealed for the first time a significantly higher positivity of gene expression markers (CK-8, CK-18, TWIST1, PSMA, AR-FL, AR-V7, AR-567 and PD-L1 mRNA) in EpCAM-positive CTCs compared to plasma-derived exosomes. GSTP1, RASSF1A and SCHLAFEN were methylated both in CTC and exosomes. In CTCs, Kaplan-Meier analysis revealed that CK-19 (p = 0.009), PSMA (p = 0.001), TWIST1 (p = 0.001) expression and GSTP1 (p = 0.001) methylation were correlated with OS, while in exosomes GSTP1 (p = 0.007) and RASSF1A (p = 0.001) methylation was correlated with OS. Our direct comparison study of CTCs and exosomes at gene expression and DNA methylation level, revealed for the first time a significantly higher positivity in EpCAM-positive CTCs compared to plasma-derived exosomes. Future perspective of this study should be the evaluation of clinical utility of molecular biomarkers in CTCs and exosomes on independent multicentric cohorts with mCRPC patients.</t>
  </si>
  <si>
    <t>[Zavridou, Martha; Strati, Areti; Smilkou, Stavroula; Tserpeli, Victoria; Lianidou, Evi] Natl &amp; Kapodistrian Univ Athens, Dept Chem, Lab Analyt Chem, Anal Circulating Tumor Cells Lab, Athens 15771, Greece; [Bournakis, Evangelos] Natl &amp; Kapodistrian Univ Athens, Med Sch, Aretaieio Hosp, Dept Surg 2,Oncol Unit, Athens 11528, Greece</t>
  </si>
  <si>
    <t>National &amp; Kapodistrian University of Athens; National &amp; Kapodistrian University of Athens</t>
  </si>
  <si>
    <t>Lianidou, E (corresponding author), Natl &amp; Kapodistrian Univ Athens, Dept Chem, Lab Analyt Chem, Anal Circulating Tumor Cells Lab, Athens 15771, Greece.</t>
  </si>
  <si>
    <t>mzavridou@chem.uoa.gr; astrati@chem.uoa.gr; vagimith@yahoo.com; ssmilkou@chem.uoa.gr; victserp@chem.uoa.gr; lianidou@chem.uoa.gr</t>
  </si>
  <si>
    <t>Smilkou, Stavroula/0000-0002-5338-0276; Lianidou, Evi/0000-0002-7796-5914; Zavridou, Martha/0000-0001-5198-479X; Strati, Areti/0000-0001-9644-5538</t>
  </si>
  <si>
    <t>10.3390/cancers13040780</t>
  </si>
  <si>
    <t>WOS:000623354700001</t>
  </si>
  <si>
    <t>Ekstrom, K; Valadi, H; Sjostrand, M; Malmhall, C; Bossios, A; Eldh, M; Lotvall, J</t>
  </si>
  <si>
    <t>Ekstroem, Karin; Valadi, Hadi; Sjoestrand, Margareta; Malmhaell, Carina; Bossios, Apostolos; Eldh, Maria; Loetvall, Jan</t>
  </si>
  <si>
    <t>Characterization of mRNA and microRNA in human mast cell-derived exosomes and their transfer to other mast cells and blood CD34 progenitor cells</t>
  </si>
  <si>
    <t>exosomes; extracellular vesicles; human mast cells; RNA; esRNA</t>
  </si>
  <si>
    <t>COMPLEX CLASS-II; DENDRITIC CELLS; T-CELLS; MECHANISM; IDENTIFICATION; STIMULATION; MATURATION; BIOMARKERS; MOLECULES; VESICLES</t>
  </si>
  <si>
    <t>Background: Exosomes are nanosized vesicles of endocytic origin that are released into the extracellular environment by many different cells. It has been shown that exosomes from various cellular origins contain a substantial amount of RNA (mainly mRNA and microRNA). More importantly, exosomes are capable of delivering their RNA content to target cells, which is a novel way of cell-to-cell communication. The aim of this study was to evaluate whether exosomal shuttle RNA could play a role in the communication between human mast cells and between human mast cells and human CD34(+) progenitor cells. Methods: The mRNA and microRNA content of exosomes from a human mast cell line, HMC-1, was analysed by using microarray technology. Co-culture experiments followed by flow cytometry analysis and confocal microscopy as well as radioactive labeling experiments were performed to examine the uptake of these exosomes and the shuttle of the RNA to other mast cells and CD34(+) progenitor cells. Results: In this study, we show that human mast cells release RNA-containing exosomes, with the capacity to shuttle RNA between cells. Interestingly, by using microRNA microarray analysis, 116 microRNAs could be identified in the exosomes and 134 microRNAs in the donor mast cells. Furthermore, DNA microarray experiments revealed the presence of approximately 1800 mRNAs in the exosomes, which represent 15% of the donor cell mRNA content. In addition, transfer experiments revealed that exosomes can shuttle RNA between human mast cells and to CD34(+) hematopoietic progenitor cells. Conclusion: These findings suggest that exosomal shuttle RNA (esRNA) can play a role in the communication between cells, including mast cells and CD34 (+) progenitor cells, implying a role in cells maturation process.</t>
  </si>
  <si>
    <t>[Ekstroem, Karin; Sjoestrand, Margareta; Malmhaell, Carina; Bossios, Apostolos; Eldh, Maria; Loetvall, Jan] Univ Gothenburg, Sahlgrenska Acad, Krefting Res Ctr, Gothenburg, Sweden; [Ekstroem, Karin] Univ Gothenburg, Sahlgrenska Acad, Dept Biomat, Gothenburg, Sweden; [Ekstroem, Karin] BIOMATCELL VINN Excellence Ctr Biomat &amp; Cell Ther, Gothenburg, Sweden; [Valadi, Hadi] Univ Gothenburg, Sahlgrenska Acad, Dept Rheumatol &amp; Inflammat Res, Gothenburg, Sweden</t>
  </si>
  <si>
    <t>Ekstrom, K (corresponding author), Univ Gothenburg, Sahlgrenska Acad, Krefting Res Ctr, Gothenburg, Sweden.</t>
  </si>
  <si>
    <t>karin.ekstrom@biomaterials.gu.se</t>
  </si>
  <si>
    <t>Valadi, Hadi/ABH-9766-2020; Ekström, Karin/M-7501-2013; Bossios, Apostolos/ABH-8262-2020; Eldh, Maria/AFO-1744-2022</t>
  </si>
  <si>
    <t>Valadi, Hadi/0000-0003-3482-2451; Ekström, Karin/0000-0001-7808-4572; Bossios, Apostolos/0000-0002-0494-2690; Lotvall, Jan/0000-0001-9195-9249; Eldh, Maria/0000-0003-2173-1796</t>
  </si>
  <si>
    <t>10.3402/jev.v1i0.18389</t>
  </si>
  <si>
    <t>WOS:000215614200005</t>
  </si>
  <si>
    <t>An, HJ; Kim, MH; Kim, SH; Lee, GW; Song, DH</t>
  </si>
  <si>
    <t>An, Hyo Jung; Kim, Min Hye; Kim, Sung Hwan; Lee, Gyeong-Won; Song, Dae Hyun</t>
  </si>
  <si>
    <t>Prognostic role of extracellular vesicles in squamous cell carcinoma of the lung</t>
  </si>
  <si>
    <t>THORACIC CANCER</t>
  </si>
  <si>
    <t>Amphisome; exosome; extracellular vesicles; lung; squamous cell carcinoma</t>
  </si>
  <si>
    <t>EXOSOMES; DNA; PLAYERS; KRAS</t>
  </si>
  <si>
    <t>Background Research on diagnosing recurrent non-small cell lung cancer (NSCLC) and applying target gene treatment using exosomes in a less invasive way is very important. Recently, however, it has been argued that exosomes do not contain double-stranded DNA (dsDNA) or histones. In this study, we describe the expression of extracellular vesicle (EV) markers in specimens from squamous cell carcinoma (SCC) of the lung and analyze their relationship with the prognosis of patients. Methods Clinical and pathological data were obtained from 96 patients who had undergone surgery for SCC of the lung. Tissue microarray blocks were made using representative paraffin blocks of samples from patients with SCC of the lung. Two pathologists graded the intensity of CD63, CD9, LC3A/B, P62, and ANXA1 expression as high or low expression. In addition, the authors designated the combined expression of these five independent markers as positive EV expression in this article. Results SCCs with low CD63 and SCCs with low EV expression showed unfavorable disease-free survival (DFS) (P-value = 0.037 and 0.006, respectively) in the survival analysis. The Kaplan-Meier survival curve confirmed that the low EV expression showed a statistically significant relationship with unfavorable DFS (P-value = 0.004). There were no statistically significant differences in DFS and disease-specific survival in each low and high expression group for CD9, LC3A/B, ANXA1, and P62 in the Cox regression analysis. Conclusions As EV expression was related to the prognosis of lung SCC patients, a broader approach using different extracellular vesicles rather than a conventional exosome-dependent one is needed.</t>
  </si>
  <si>
    <t>[An, Hyo Jung; Song, Dae Hyun] Gyeongsang Natl Univ, Dept Pathol, Changwon Hosp, Chang Won, South Korea; [Kim, Min Hye] Gyeongsang Natl Univ Hosp, Dept Pathol, Jinju, South Korea; [Kim, Sung Hwan; Lee, Gyeong-Won; Song, Dae Hyun] Gyeongsang Natl Univ, Sch Med, Jinju, South Korea; [Kim, Sung Hwan; Lee, Gyeong-Won; Song, Dae Hyun] Gyeongsang Inst Hlth Sci, Jinju, South Korea; [Kim, Sung Hwan] Gyeongsang Natl Univ, Dept Thorac Surg, Changwon Hosp, Chang Won, South Korea; [Kim, Sung Hwan] Gyeongsang Natl Univ, Dept Cardiovasc Surg, Changwon Hosp, Chang Won, South Korea; [Lee, Gyeong-Won] Gyeongsang Natl Univ Hosp, Dept Internal Med, Jinju, South Korea</t>
  </si>
  <si>
    <t>Gyeongsang National University; Gyeongsang National University; Gyeongsang National University Hospital; Gyeongsang National University; Gyeongsang National University; Gyeongsang National University; Gyeongsang National University; Gyeongsang National University; Gyeongsang National University Hospital</t>
  </si>
  <si>
    <t>Song, DH (corresponding author), Gyeongsang Natl Univ, Dept Pathol, Sch Med, 15 Jinju Daero 816 Beon Gil, Jinju 660751, South Korea.</t>
  </si>
  <si>
    <t>golgy@hanmail.net</t>
  </si>
  <si>
    <t>1759-7706</t>
  </si>
  <si>
    <t>1759-7714</t>
  </si>
  <si>
    <t>10.1111/1759-7714.13492</t>
  </si>
  <si>
    <t>Oncology; Respiratory System</t>
  </si>
  <si>
    <t>WOS:000536239300001</t>
  </si>
  <si>
    <t>Luo, ZL; Ji, YD; Gao, H; Dos Reis, FCG; Bandyopadhyay, G; Jin, ZM; Ly, C; Chang, YJ; Zhang, DH; Kumar, D; Ying, W</t>
  </si>
  <si>
    <t>Luo, Zhenlong; Ji, Yudong; Gao, Hong; Dos Reis, Felipe Castellani Gomes; Bandyopadhyay, Gautam; Jin, Zhongmou; Ly, Crystal; Chang, Ya-ju; Zhang, Dinghong; Kumar, Deepak; Ying, Wei</t>
  </si>
  <si>
    <t>CRIg(+) Macrophages Prevent Gut Microbial DNA-Containing Extracellular Vesicle-Induced Tissue Inflammation and Insulin Resistance</t>
  </si>
  <si>
    <t>GASTROENTEROLOGY</t>
  </si>
  <si>
    <t>Microbial DNA; Extracellular Vesicle; Obesity; Tissue Inflammation</t>
  </si>
  <si>
    <t>COMPLEMENT RECEPTOR; MEMBRANE VESICLES; PHAGOCYTOSIS; BACTERIA; OBESITY; PHOSPHATIDYLCHOLINE; TRANSLOCATION; PERMEABILITY; ENDOTOXEMIA; IMMUNOLOGY</t>
  </si>
  <si>
    <t>BACKGROUND &amp; AIMS: Liver CRIg(+) (complement receptor of the immunoglobulin superfamily) macrophages play a critical role in filtering bacteria and their products from circulation. Translocation of microbiota-derived products from an impaired gut barrier contributes to the development of obesity-associated tissue inflammation and insulin resistance. However, the critical role of CRIg(+) macrophages in clearing microbiota-derived products from the bloodstream in the context of obesity is largely unknown. METHODS: We performed studies with CRIg(-/-), C3(-/-), cGAS(-/-), and their wild-type littermate mice. The CRIg(+) macrophage population and bacterial DNA abundance were examined in both mouse and human liver by either flow cytometric or immunohistochemistry analysis. Gut microbial DNA-containing extracellular vesicles (mEVs) were adoptively transferred into CRIg(-/-), C3(-/-), or wildtype mice, and tissue inflammation and insulin sensitivity were measured in these mice. After coculture with gut mEVs, cellular insulin responses and cGAS/STING-mediated inflammatory responses were evaluated. RESULTS: Gut mEVs can reach metabolic tissues in obesity. Liver CRIg(+) macrophages efficiently clear mEVs from the bloodstream through a C3-dependent opsonization mechanism, whereas obesity elicits a marked reduction in the CRIg(+) macrophage population. Depletion of CRIg(+) cells results in the spread of mEVs into distant metabolic tissues, subsequently exacerbating tissue inflammation and metabolic disorders. Additionally, in vitro treatment of obese mEVs directly triggers inflammation and insulin resistance of insulin target cells. Depletion of microbial DNA blunts the pathogenic effects of intestinal EVs. Furthermore, the cGAS/STING pathway is crucial for microbial DNA-mediated inflammatory responses. CONCLUSIONS: Deficiency of CRIg(+) macrophages and leakage of intestinal EVs containing microbial DNA contribute to the development of obesity-associated tissue inflammation and metabolic diseases.</t>
  </si>
  <si>
    <t>[Luo, Zhenlong; Ji, Yudong; Gao, Hong; Dos Reis, Felipe Castellani Gomes; Bandyopadhyay, Gautam; Chang, Ya-ju; Zhang, Dinghong; Kumar, Deepak; Ying, Wei] Univ Calif San Diego, Dept Med, Div Endocrinol &amp; Metab, San Diego, CA 92103 USA; [Luo, Zhenlong] Huazhong Univ Sci &amp; Technol, Tongji Hosp, Dept Gastroenterol, Tongji Med Coll, Wuhan, Peoples R China; [Ji, Yudong] Huazhong Univ Sci &amp; Technol, Inst Anesthesiol &amp; Crit Care, Union Hosp, Dept Anesthesiol, Wuhan, Peoples R China; [Jin, Zhongmou; Ly, Crystal] Univ Calif San Diego, Div Biol Sci, San Diego, CA 92103 USA</t>
  </si>
  <si>
    <t>University of California System; University of California San Diego; Huazhong University of Science &amp; Technology; Huazhong University of Science &amp; Technology; University of California System; University of California San Diego</t>
  </si>
  <si>
    <t>Ying, W (corresponding author), Univ Calif San Diego, Room 229,Stein Clin Res Bldg,9500 Gilman Dr, La Jolla, CA 92093 USA.</t>
  </si>
  <si>
    <t>weying@health.ucsd.edu</t>
  </si>
  <si>
    <t>dos Reis, Felipe C Gomes/J-9867-2012</t>
  </si>
  <si>
    <t>dos Reis, Felipe C Gomes/0000-0001-8357-5261; zhang, dinghong/0000-0002-6291-0750</t>
  </si>
  <si>
    <t>0016-5085</t>
  </si>
  <si>
    <t>1528-0012</t>
  </si>
  <si>
    <t>10.1053/j.gastro.2020.10.042</t>
  </si>
  <si>
    <t>FEB 2021</t>
  </si>
  <si>
    <t>WOS:000627420700040</t>
  </si>
  <si>
    <t>Clancy, JW; Sheehan, CS; Boomgarden, AC; D'Souza-Schorey, C</t>
  </si>
  <si>
    <t>Clancy, James W.; Sheehan, Colin S.; Boomgarden, Alex C.; D'Souza-Schorey, Crislyn</t>
  </si>
  <si>
    <t>Recruitment of DNA to tumor-derived microvesicles</t>
  </si>
  <si>
    <t>CELL REPORTS</t>
  </si>
  <si>
    <t>DOUBLE-STRANDED DNA; EXTRACELLULAR VESICLES; GENOMIC DNA; CANCER; EXOSOMES; CGAS; METASTASIS; EXPRESSION; CHROMATIN</t>
  </si>
  <si>
    <t>The shedding of extracellular vesicles (EVs) represents an important but understudied means of cell-cell communication in cancer. Among the currently described classes of EVs, tumor-derived microvesicles (TMVs) comprise a class of vesicles released directly from the cell surface. TMVs contain abundant cargo, including functional proteins and miRNA, which can be transferred to and alter the behavior of recipient cells. Here, we document that a fraction of extracellular double-stranded DNA (dsDNA) is enclosed within TMVs and protected from nuclease degradation. dsDNA inclusion in TMVs is regulated by ARF6 cycling and occurs with the cytosolic DNA sensor, cGAS, but independent of amphisome or micronuclei components. Our studies suggest that dsDNA is trafficked to TMVs via a mechanism distinct from the multivesicular body dependent secretion reported for the extracellular release of cytosolic DNA. Furthermore, TMV dsDNA can be transferred to recipient cells with consequences to recipient cell behavior, reinforcing its relevance in mediating cell-cell communication.</t>
  </si>
  <si>
    <t>[Clancy, James W.; Sheehan, Colin S.; Boomgarden, Alex C.; D'Souza-Schorey, Crislyn] Univ Notre Dame, Dept Biol Sci, Notre Dame, IN 46556 USA</t>
  </si>
  <si>
    <t>University of Notre Dame</t>
  </si>
  <si>
    <t>D'Souza-Schorey, C (corresponding author), Univ Notre Dame, Dept Biol Sci, Notre Dame, IN 46556 USA.</t>
  </si>
  <si>
    <t>cdsouzas@nd.edu</t>
  </si>
  <si>
    <t>2211-1247</t>
  </si>
  <si>
    <t>MAR 1</t>
  </si>
  <si>
    <t>10.1016/j.celrep.2022.110443</t>
  </si>
  <si>
    <t>WOS:000764354700007</t>
  </si>
  <si>
    <t>Hua, YQ; Chang, XL; Fang, LQ; Wang, ZB</t>
  </si>
  <si>
    <t>Hua, Yanqiu; Chang, Xiulin; Fang, Liaoqiong; Wang, Zhibiao</t>
  </si>
  <si>
    <t>Subgroups of Extracellular Vesicles: Can They Be Defined by Labels?</t>
  </si>
  <si>
    <t>extracellular vesicles; subgroups; label; heterogeneity</t>
  </si>
  <si>
    <t>GRADIENT SEPARATION; EXOSOMES; RNA; IDENTIFICATION; MICROVESICLES; PROGENITORS; SIGNATURES; MICRORNAS; RELEASE; CELLS</t>
  </si>
  <si>
    <t>Extracellular vesicles (EVs) are a class of lipid bilayer membranes, containing lipids, nucleic acids (DNA and RNA), proteins, and other substances. They are produced by almost all types of cells and act as signaling intermediaries between cells and/or tissues through different mechanisms involving complex signals. EVs produced by each type of cells are composed of highly heterogeneous and inhomogeneous subgroups with different biological functions. Therefore, in the past few decades, researchers have tried to use different labels to define the subgroups of EVs, and explore the differences in them. However, a unified standard for defining the populations of EVs has not yet been established so far. In this study, we review and summarize the use of different labels to define subgroups of EVs.</t>
  </si>
  <si>
    <t>[Hua, Yanqiu; Chang, Xiulin; Fang, Liaoqiong; Wang, Zhibiao] Chongqing Med Univ, Coll Biomed Engn, State Key Lab Ultrasound Med &amp; Engn, Chongqing 400016, Peoples R China</t>
  </si>
  <si>
    <t>Wang, ZB (corresponding author), Chongqing Med Univ, Coll Biomed Engn, State Key Lab Ultrasound Med &amp; Engn, Chongqing 400016, Peoples R China.</t>
  </si>
  <si>
    <t>10.1089/dna.2021.0488</t>
  </si>
  <si>
    <t>FEB 2022</t>
  </si>
  <si>
    <t>WOS:000759190800001</t>
  </si>
  <si>
    <t>Gori, A; Romanato, A; Greta, B; Strada, A; Gagni, P; Frigerio, R; Brambilla, D; Vago, R; Galbiati, S; Picciolini, S; Bedoni, M; Daaboul, GG; Chiari, M; Cretich, M</t>
  </si>
  <si>
    <t>Gori, Alessandro; Romanato, Alessandro; Greta, Bergamaschi; Strada, Alessandro; Gagni, Paola; Frigerio, Roberto; Brambilla, Dario; Vago, Riccardo; Galbiati, Silvia; Picciolini, Silvia; Bedoni, Marzia; Daaboul, George G.; Chiari, Marcella; Cretich, Marina</t>
  </si>
  <si>
    <t>Membrane-binding peptides for extracellular vesicles on-chip analysis</t>
  </si>
  <si>
    <t>Extracellular vesicles; peptides; microarrays; membrane binding; membrane curvature</t>
  </si>
  <si>
    <t>CURVATURE; DNA; EXOSOMES</t>
  </si>
  <si>
    <t>Small extracellular vesicles (sEVs) present fairly distinctive lipid membrane features in the extracellular environment. These include high curvature, lipid-packing defects and a relative abundance in lipids such as phosphatidylserine and ceramide. sEV membrane could be then considered as a universal marker, alternative or complementary to traditional, characteristic, surface-associated proteins. Here, we introduce the use of membrane-sensing peptides as new, highly efficient ligands to directly integrate sEV capturing and analysis on a microarray platform. Samples were analysed by label-free, single-particle counting and sizing, and by fluorescence co-localisation immune staining with fluorescent anti-CD9/anti-CD63/anti-CD81 antibodies. Peptides performed as selective yet general sEV baits and showed a binding capacity higher than anti-tetraspanins antibodies. Insights into surface chemistry for optimal peptide performances are also discussed, as capturing efficiency is strictly bound to probes surface orientation effects. We anticipate that this new class of ligands, also due to the versatility and limited costs of synthetic peptides, may greatly enrich the molecular toolbox for EV analysis.</t>
  </si>
  <si>
    <t>[Gori, Alessandro; Romanato, Alessandro; Greta, Bergamaschi; Strada, Alessandro; Gagni, Paola; Frigerio, Roberto; Brambilla, Dario; Chiari, Marcella; Cretich, Marina] CNR, Ist Sci &amp; Tecnol Chim Giulio Natta SCITEC, Milan, Italy; [Vago, Riccardo] IRCCS Osped San Raffaele, Urol Res Inst, Milan, Italy; [Galbiati, Silvia] IRCCS Osped San Raffaele, San Raffaele Diabet Res Inst, Milan, Italy; [Galbiati, Silvia; Picciolini, Silvia; Bedoni, Marzia] IRCCS Fdn Don Carlo Gnocchi, Lab Nanomed &amp; Clin Biophoton LABION, Milan, Italy; [Daaboul, George G.] NanoView Biosci, Boston, MA USA</t>
  </si>
  <si>
    <t>Consiglio Nazionale delle Ricerche (CNR); Istituto di Scienze Tecnologie Chimiche Giulio Natta (SCITEC-CNR); IRCCS Ospedale San Raffaele; Vita-Salute San Raffaele University; IRCCS Ospedale San Raffaele; Vita-Salute San Raffaele University; IRCCS Fondazione Don Carlo Gnocchi Onlus</t>
  </si>
  <si>
    <t>Gori, A; Cretich, M (corresponding author), CNR, Ist Sci &amp; Tecnol Chim Giulio Natta SCITEC, Milan, Italy.</t>
  </si>
  <si>
    <t>alessandro.gori@cnr.it; marina.cretich@cnr.it</t>
  </si>
  <si>
    <t>Picciolini, Silvia/J-7423-2018; Cretich, Marina/AAA-8780-2022; Bergamaschi, Greta/O-5387-2018; Vago, Riccardo/K-3256-2018; Gori, Alessandro/A-1357-2019</t>
  </si>
  <si>
    <t>Picciolini, Silvia/0000-0002-7592-0253; Cretich, Marina/0000-0001-8251-5275; Bergamaschi, Greta/0000-0002-4501-4057; Vago, Riccardo/0000-0002-3781-6770; Frigerio, Roberto/0000-0001-5855-7010; Bedoni, Marzia/0000-0003-2618-3661; Galbiati, Silvia/0000-0003-1642-8506; Brambilla, Dario/0000-0003-3490-4481; Gori, Alessandro/0000-0003-1640-7238</t>
  </si>
  <si>
    <t>10.1080/20013078.2020.1751428</t>
  </si>
  <si>
    <t>WOS:000526442500001</t>
  </si>
  <si>
    <t>Shang, MY; Ji, JS; Song, C; Gao, BJ; Jin, JG; Kuo, WP; Kang, HJ</t>
  </si>
  <si>
    <t>Shang, Mingyi; Ji, John S.; Song, Chao; Gao, Bao Jun; Jin, Jason Gang; Kuo, Winston Patrick; Kang, Hongjun</t>
  </si>
  <si>
    <t>Extracellular Vesicles: A Brief Overview and Its Role in Precision Medicine</t>
  </si>
  <si>
    <t>Exosomes; Biogenesis; Extracellular vesicles; Precision medicine; Liquid biopsy; Diagnostics; Therapeutics</t>
  </si>
  <si>
    <t>CELL-DERIVED-EXOSOMES; INTERCELLULAR COMMUNICATION; MULTIVESICULAR ENDOSOMES; DIAGNOSTIC BIOMARKERS; TRANSFERRIN RECEPTOR; TUMOR HETEROGENEITY; PROTEOMICS ANALYSIS; MEMBRANE-FRAGMENTS; PROSTATE-CANCER; PLASMA-MEMBRANE</t>
  </si>
  <si>
    <t>Precision medicine has emerged as an approach to tailor therapies for an individual at the time of diagnosis and/or treatment. This emergence has been fueled by the ability to profile nucleic acids, along with proteins and lipids isolated from biofluids, a method called liquid biopsy, either by or in combination of one of the following components: circulating tumor cells (CTCs), cell-free DNA (cfDNA), and/or extracellular vesicles (EVs). EVs are membrane-surrounded structures released by cells in an evolutionarily conserved manner. EVs have gained much attention from both the basic and clinical research areas, as EVs appear to play a role in many diseases; however, the well-known case is cancer. The hallmark of EVs in cancer is their role as mediators of communication between cells both at physiological and pathophysiological levels; hence, EVs are thought to contribute to the creation of a microenvironmental niche that promotes cancer cell survival, as well as reprogramming distant tissue for invasion. It is important to understand the mechanistic and functional aspects at the basic science level of EVs to get a better grasp on their role in healthy and disease states. EVs range from 30-1000 nm membrane-enclosed vesicles that are released by many mammalian cell types and present in a variety of biofluids. EVs have emerged as an area of clinical interest in the era of Precision Medicine, from their role in liquid biopsy (tissue biopsy free) approach for screening, assessing tumor heterogeneity, monitoring therapeutic responses, and minimal residual disease detection to EV-based therapeutics. EVs' diagnostic and therapeutic exploitation is under intense investigation in various indications. This chapter highlights EV biogenesis, composition of EVs, and their potential role in liquid biopsy diagnostics and therapeutics in the area of cancer.</t>
  </si>
  <si>
    <t>[Shang, Mingyi] Shanghai Tongren Hosp, Dept Radiol, Shanghai, Peoples R China; [Ji, John S.] Duke Kunshan Univ, Environm Hlth Sci, Shanghai, Peoples R China; [Song, Chao; Gao, Bao Jun; Jin, Jason Gang; Kuo, Winston Patrick] CloudHlth Genom Ltd, Shanghai, Peoples R China; [Kuo, Winston Patrick] Westchester Biotech Project, Asbury Pk, NJ USA; [Kang, Hongjun] Chinese Peoples Liberat Army Gen Hosp, Dept Crit Care Med, Beijing, Peoples R China</t>
  </si>
  <si>
    <t>Shanghai Jiao Tong University; Duke Kunshan University; Chinese People's Liberation Army General Hospital</t>
  </si>
  <si>
    <t>Shang, MY (corresponding author), Shanghai Tongren Hosp, Dept Radiol, Shanghai, Peoples R China.</t>
  </si>
  <si>
    <t>Ji, John/AAT-4219-2021</t>
  </si>
  <si>
    <t>Ji, John/0000-0002-5002-118X</t>
  </si>
  <si>
    <t>10.1007/978-1-4939-7253-1_1</t>
  </si>
  <si>
    <t>WOS:000429457100002</t>
  </si>
  <si>
    <t>Maji, S; Yan, IK; Parasramka, M; Mohankumar, S; Matsuda, A; Patel, T</t>
  </si>
  <si>
    <t>Maji, Sayantan; Yan, Irene K.; Parasramka, Mansi; Mohankumar, Swathi; Matsuda, Akiko; Patel, Tushar</t>
  </si>
  <si>
    <t>In vitro toxicology studies of extracellular vesicles</t>
  </si>
  <si>
    <t>JOURNAL OF APPLIED TOXICOLOGY</t>
  </si>
  <si>
    <t>extracellular vesicles; mesenchymal stem cell-extracellular vesicles; bovine milk-extracellular vesicles; toxicity</t>
  </si>
  <si>
    <t>MESENCHYMAL STEM-CELLS; DNA DAMAGE; EXOSOMES; ASSAYS; TUMOR; COMET</t>
  </si>
  <si>
    <t>Extracellular vesicles (EVs) are membrane-bound vesicles released from cells into the extracellular environment. There is emerging interest in the use of EVs as potential therapeutic interventions. We sought to evaluate the safety of EVs that may be therapeutically used by performing in vitro toxicological assessments. EVs were obtained from mesenchymal stem cells (MSC-EV) or from bovine milk (BM-EV) by differential ultracentrifugation, and quantitated using nanoparticle tracking analysis. Genotoxic effects, hematological effects, immunological effects and endotoxin production were evaluated at two dose levels. Neither MSC-EVs nor BM-EVs elicited detectable genotoxic effects using either the alkaline comet assay or micronucleus assay. Hemolysis was observed with BM-EVs but not with MSC-EVs. MSC-EVs did not have any significant effect on either spontaneous or collagen-induced platelet aggregation. In contrast, BM-EVs were noted to increase collagen-induced platelet aggregation, even though no spontaneous increase in platelet aggregation was noted. Both types of EVs induced leukocyte proliferation, which was greater with BM-EV. Neither MSC-EVs nor BM-EVs induced HL-60 phagocytosis, although BM-EVs decreased zymosan-induced phagocytosis. Furthermore, neither MSC-EVs nor BM-EVs induced nitric oxide production. Unlike MSC-EVs, BM-EVs tested positive for endotoxin and induced complement activation. There are significant differences in toxicological profiles between MSC-EVs and BM-EVs that may reflect variations in techniques for EV isolation, EV content or cross-species differences. The safety of MSC-EV supports their use for disease therapeutics, whereas detailed safety and toxicological assessment will be necessary before the use of BM-EVs. Copyright (c) 2016 John Wiley &amp; Sons, Ltd. The use of extracellular vesicles (EV) for therapeutic applications requires demonstration of their safety. We performed detailed toxicological studies on two types of EVs that may be used for this purpose. EV from human mesenchymal stem cells have a greater safety profile than those derived from bovine milk and are attractive for further development as disease therapeutics. Detailed safety and toxicological assessment will be necessary before the use of biologically derived EVs for in vivo studies or for clinical indications.</t>
  </si>
  <si>
    <t>[Patel, Tushar] Mayo Clin, Dept Transplantat, 4500 San Pablo Rd, Jacksonville, FL 32224 USA; [Patel, Tushar] Mayo Clin, Dept Canc Biol, 4500 San Pablo Rd, Jacksonville, FL 32224 USA</t>
  </si>
  <si>
    <t>Mayo Clinic; Mayo Clinic</t>
  </si>
  <si>
    <t>Patel, T (corresponding author), Mayo Clin, Dept Transplantat, 4500 San Pablo Rd, Jacksonville, FL 32224 USA.;Patel, T (corresponding author), Mayo Clin, Dept Canc Biol, 4500 San Pablo Rd, Jacksonville, FL 32224 USA.</t>
  </si>
  <si>
    <t>patel.tushar@mayo.edu</t>
  </si>
  <si>
    <t>Maji, Sayantan/AAB-7080-2019; Maji, Sayantan/AAB-7070-2019</t>
  </si>
  <si>
    <t>0260-437X</t>
  </si>
  <si>
    <t>1099-1263</t>
  </si>
  <si>
    <t>10.1002/jat.3362</t>
  </si>
  <si>
    <t>Toxicology</t>
  </si>
  <si>
    <t>WOS:000394425600007</t>
  </si>
  <si>
    <t>Madison, MN; Welch, JL; Okeoma, CM</t>
  </si>
  <si>
    <t>Madison, Marisa N.; Welch, Jennifer L.; Okeoma, Chioma M.</t>
  </si>
  <si>
    <t>Isolation of Exosomes from Semen for in vitro Uptake and HIV-1 Infection Assays</t>
  </si>
  <si>
    <t>BIO-PROTOCOL</t>
  </si>
  <si>
    <t>Semen; Exosomes; Extracellular; Vesicles; Prostasomes; HIV</t>
  </si>
  <si>
    <t>Exosomes are membranous extracellular nanovesicles of endocytic origin. Exosomes are known to carry host and pathogen-derived genomic, proteomic, lipidomic cargos and other extraneous molecules. Exosomes are secreted by diverse cell types into the extracellular milieu and are subsequently internalized by recipient neighboring or distal cells. Upon internalization, exosomes condition recipient cells by donating their cargos and/or activating various signal transduction pathways, consequently regulating physiological and pathophysiological processes. Exosomes facilitate intercellular communication, modulate cellular phenotype, and regulate microbial pathogenesis. We have previously shown that semen exosomes (SE) inhibit HIV-1 replication in various cell types. Here, we describe detailed protocols for characterizing SE. This protocol can be adapted or modified and used for evaluation of other extracellular vesicles of interest.</t>
  </si>
  <si>
    <t>[Madison, Marisa N.] Miami Dade Coll, Dept Math &amp; Nat Sci, Homestead, FL USA; [Welch, Jennifer L.; Okeoma, Chioma M.] Univ Iowa, Dept Microbiol, Carver Coll Med, Iowa City, IA 52242 USA; [Okeoma, Chioma M.] Univ Iowa, Interdisciplinary Program Mol &amp; Cellular Biol, Iowa City, IA 52242 USA</t>
  </si>
  <si>
    <t>University of Iowa; University of Iowa</t>
  </si>
  <si>
    <t>Okeoma, CM (corresponding author), Univ Iowa, Dept Microbiol, Carver Coll Med, Iowa City, IA 52242 USA.;Okeoma, CM (corresponding author), Univ Iowa, Interdisciplinary Program Mol &amp; Cellular Biol, Iowa City, IA 52242 USA.</t>
  </si>
  <si>
    <t>chioma-okeoma@uiowa.edu</t>
  </si>
  <si>
    <t>Welch, Jennifer/0000-0003-2725-9875; Okeoma, Chioma/0000-0001-7737-6493</t>
  </si>
  <si>
    <t>2331-8325</t>
  </si>
  <si>
    <t>APR 5</t>
  </si>
  <si>
    <t>e2216</t>
  </si>
  <si>
    <t>10.21769/BioProtoc.2216</t>
  </si>
  <si>
    <t>Biology</t>
  </si>
  <si>
    <t>Life Sciences &amp; Biomedicine - Other Topics</t>
  </si>
  <si>
    <t>WOS:000457827500022</t>
  </si>
  <si>
    <t>Tayebi, M; Yang, DH; Collins, DJ; Ai, Y</t>
  </si>
  <si>
    <t>Tayebi, Mahnoush; Yang, Dahou; Collins, David J.; Ai, Ye</t>
  </si>
  <si>
    <t>Deterministic Sorting of Submicrometer Particles and Extracellular Vesicles Using a Combined Electric and Acoustic Field</t>
  </si>
  <si>
    <t>NANO LETTERS</t>
  </si>
  <si>
    <t>submicrometer particle manipulation; acoustofluidics; dielectrophoresis; surface acoustic waves; extracellular vesicles; exosome purification</t>
  </si>
  <si>
    <t>SEPARATION; MANIPULATION; CELLS; NANOPARTICLES; BACTERIA; BLOOD; DNA; ULTRAFILTRATION; PROTEIN; DEVICE</t>
  </si>
  <si>
    <t>Sorting of extracellular vesicles has important applications in early stage diagnostics. Current exosome isolation techniques, however, suffer from being costly, having long processing times, and producing low purities. Recent work has shown that active sorting via acoustic and electric fields are useful techniques for microscale separation activities, where combining these has the potential to take advantage of multiple force mechanisms simultaneously. In this work, we demonstrate an approach using both electrical and acoustic forces to manipulate bioparticles and submicrometer particles for deterministic sorting, where we find that the concurrent application of dielectrophoretic (DEP) and acousto-phoretic forces decreases the critical diameter at which particles can be separated. We subsequently utilize this approach to sort subpopulations of extracellular vesicles, specifically exosomes (&lt;200 nm) and microvesicles (&gt;300 nm). Using our combined acoustic/electric approach, we demonstrate exosome purification with more than 95% purity and 81% recovery, well above comparable approaches.</t>
  </si>
  <si>
    <t>[Tayebi, Mahnoush; Yang, Dahou; Ai, Ye] Singapore Univ Technol &amp; Design, Pillar Engn Prod Dev, Singapore 487372, Singapore; [Collins, David J.] Univ Melbourne, Dept Biomed Engn, Melbourne, Vic 3010, Australia</t>
  </si>
  <si>
    <t>Singapore University of Technology &amp; Design; University of Melbourne</t>
  </si>
  <si>
    <t>Ai, Y (corresponding author), Singapore Univ Technol &amp; Design, Pillar Engn Prod Dev, Singapore 487372, Singapore.;Collins, DJ (corresponding author), Univ Melbourne, Dept Biomed Engn, Melbourne, Vic 3010, Australia.</t>
  </si>
  <si>
    <t>david.collins@unimelb.edu.au; aiye@sutd.edu.sg</t>
  </si>
  <si>
    <t>Collins, David/D-3439-2015; Ai, Ye/F-3411-2011</t>
  </si>
  <si>
    <t>Collins, David/0000-0001-5382-9718; Ai, Ye/0000-0001-8638-1649</t>
  </si>
  <si>
    <t>1530-6984</t>
  </si>
  <si>
    <t>1530-6992</t>
  </si>
  <si>
    <t>AUG 25</t>
  </si>
  <si>
    <t>10.1021/acs.nanolett.1c01827</t>
  </si>
  <si>
    <t>AUG 2021</t>
  </si>
  <si>
    <t>WOS:000691792400015</t>
  </si>
  <si>
    <t>Tofino-Vian, M; Guillen, MI; del Caz, MDP; Silvestre, A; Alcaraz, MJ</t>
  </si>
  <si>
    <t>Tofino-Vian, Miguel; Isabel Guillen, Maria; Perez del Caz, Maria Dolores; Silvestre, Antonio; Jose Alcaraz, Maria</t>
  </si>
  <si>
    <t>Microvesicles from Human Adipose Tissue-Derived Mesenchymal Stem Cells as a New Protective Strategy in Osteoarthritic Chondrocytes</t>
  </si>
  <si>
    <t>CELLULAR PHYSIOLOGY AND BIOCHEMISTRY</t>
  </si>
  <si>
    <t>Extracellular vesicles; Adipose tissue-derived mesenchymal stem cells; Chondrocyte; Inflammation; Osteoarthritis</t>
  </si>
  <si>
    <t>FACTOR-KAPPA-B; MATRIX-METALLOPROTEINASE; ARTICULAR CHONDROCYTES; PROSTAGLANDIN E-2; GENE-EXPRESSION; NITRIC-OXIDE; DIFFERENTIAL REGULATION; EXTRACELLULAR VESICLES; REGENERATIVE MEDICINE; CARTILAGE METABOLISM</t>
  </si>
  <si>
    <t>Background/Aims: Chronic inflammation contributes to cartilage degeneration during the progression of osteoarthritis (OA). Adipose tissue-derived mesenchymal stem cells (ADMSC) show great potential to treat inflammatory and degradative processes in OA and have demonstrated paracrine effects in chondrocytes. In the present work, we have isolated and characterized the extracellular vesicles from human AD-MSC to investigate their role in the chondroprotective actions of these cells. Methods: AD-MSC were isolated by collagenase treatment from adipose tissue from healthy individuals subjected to abdominal lipectomy surgery. Microvesicles and exosomes were obtained from conditioned medium by filtration and differential centrifugation. Chondrocytes from OA patients were used in primary culture and stimulated with 10 ng/ml interleukin(IL)-1 beta in the presence or absence of AD-MSC microvesicles, exosomes or conditioned medium. Protein expression was investigated by ELISA and immunofluorescence, transcription factor-DNA binding by ELISA, gene expression by real-time PCR, prostaglandin E-2 (PGE(2)) by radioimmunoassay, and matrix metalloproteinase (MMP) activity and nitric oxide (NO) production by fluorometry. Results: In OA chondrocytes stimulated with IL-1 beta, microvesicles and exosomes reduced the production of inflammatory mediators tumor necrosis factor-alpha, IL-6, PGE(2) and NO. The downregulation of cyclooxygenase-2 and microsomal prostaglandin E synthase-1 would lead to the decreased PGE(2) production while the effect on NO could depend on the reduction of inducible nitric oxide synthase expression. Treatment of OA chondrocytes with extracellular vesicles also decreased the release of MMP activity and MMP-13 expression whereas the production of the anti-inflammatory cytokine IL-10 and the expression of collagen II were significantly enhanced. The reduction of inflammatory and catabolic mediators could be the consequence of a lower activation of nuclear factor-kappa B and activator protein-1. The upregulation of annexin A1 specially in MV may contribute to the anti-inflammatory and chondroprotective effects of AD-MSC. Conclusions: Our data support the interest of AD-MSC extracellular vesicles to develop new therapeutic approaches in joint conditions. (C) 2018 The Author(s) Published by S. Karger AG, Basel</t>
  </si>
  <si>
    <t>[Tofino-Vian, Miguel; Isabel Guillen, Maria; Jose Alcaraz, Maria] Univ Valencia, Univ Politecn Valencia, Inst Interuniv Invest Reconocimiento Mol &amp; Desarr, Av Vicent A Estelles S-N, E-46100 Valencia, Spain; [Isabel Guillen, Maria] Cardenal Herrera CEU Univ, Dept Pharm, Valencia, Spain; [Perez del Caz, Maria Dolores] La Fe Polytech Univ Hosp, Dept Burn &amp; Plast Surg, Valencia, Spain; [Silvestre, Antonio] Univ Valencia, Fac Med, Dept Surg, Valencia, Spain</t>
  </si>
  <si>
    <t>Universitat Politecnica de Valencia; University of Valencia; Universidad CEU Cardenal Herrera; University of Valencia</t>
  </si>
  <si>
    <t>Alcaraz, MJ (corresponding author), Univ Valencia, Univ Politecn Valencia, Inst Interuniv Invest Reconocimiento Mol &amp; Desarr, Av Vicent A Estelles S-N, E-46100 Valencia, Spain.</t>
  </si>
  <si>
    <t>maria.j.alcaraz@uv.es</t>
  </si>
  <si>
    <t>Alcaraz, Maria Jose/D-8195-2018</t>
  </si>
  <si>
    <t>1015-8987</t>
  </si>
  <si>
    <t>1421-9778</t>
  </si>
  <si>
    <t>10.1159/000489739</t>
  </si>
  <si>
    <t>WOS:000434795200002</t>
  </si>
  <si>
    <t>Ben-Hur, S; Biton, M; Regev-Rudzki, N</t>
  </si>
  <si>
    <t>Ben-Hur, Sharon; Biton, Mirit; Regev-Rudzki, Neta</t>
  </si>
  <si>
    <t>Extracellular Vesicles: A Prevalent Tool for Microbial Gene Delivery?</t>
  </si>
  <si>
    <t>PROTEOMICS</t>
  </si>
  <si>
    <t>extracellular vesicles; horizontal gene transfer</t>
  </si>
  <si>
    <t>MEMBRANE-VESICLES; MEDIATED TRANSFER; DNA; EXOSOMES; DEOXYRIBONUCLEASE; IDENTIFICATION; COMMUNICATION; MICROVESICLES; BIOGENESIS; BACTERIA</t>
  </si>
  <si>
    <t>Genetic plasticity of prokaryotic microbial communities is largely dependent on the ongoing exchange of genetic determinants by Horizontal Gene Transfer (HGT). HGT events allow beneficial genetic transitions to occur throughout microbial life, thus promoting adaptation to changing environmental conditions. Here, the significance of secreted vesicles in mediating HGT between microorganisms is discussed, while focusing on the benefits gained by vesicle-mediated gene delivery and its occurrence under different environmental cues. The potential use of secreted DNA-harboring vesicles as a mechanism of currently unresolved HGT events in eukaryotic microbes is further discussed.</t>
  </si>
  <si>
    <t>[Ben-Hur, Sharon; Biton, Mirit; Regev-Rudzki, Neta] Weizmann Inst Sci, Dept Biomol Sci, Fac Biochem, Rehovot, Israel</t>
  </si>
  <si>
    <t>Weizmann Institute of Science</t>
  </si>
  <si>
    <t>Regev-Rudzki, N (corresponding author), Weizmann Inst Sci, Dept Biomol Sci, Fac Biochem, Rehovot, Israel.</t>
  </si>
  <si>
    <t>neta.regev-rudzki@weizmann.ac.il</t>
  </si>
  <si>
    <t>1615-9853</t>
  </si>
  <si>
    <t>1615-9861</t>
  </si>
  <si>
    <t>1-2</t>
  </si>
  <si>
    <t>10.1002/pmic.201800170</t>
  </si>
  <si>
    <t>WOS:000456808000014</t>
  </si>
  <si>
    <t>Liu, W; Ota, M; Tabushi, M; Takahashi, Y; Takakura, Y</t>
  </si>
  <si>
    <t>Liu, Wen; Ota, Maki; Tabushi, Mayu; Takahashi, Yuki; Takakura, Yoshinobu</t>
  </si>
  <si>
    <t>Development of allergic rhinitis immunotherapy using antigen-loaded small extracellular vesicles</t>
  </si>
  <si>
    <t>Small extracellular vesicles; CpG DNA; Allergic rhinitis</t>
  </si>
  <si>
    <t>CPG-ODN; EXOSOMES; CELLS; DELIVERY; DNA; INFLAMMATION; RESPONSES; EXPOSURE; PHASE</t>
  </si>
  <si>
    <t>Allergic rhinitis is caused by a breakdown of the Th1/Th2 balance, in which the allergen-induced Th2 immune response predominates over the Th1 immune response, culminating in IgE-mediated anaphylaxis. In this study, we used small extracellular vesicles (sEVs), cell-derived membrane vesicles with a particle size of 100 nm, as simultaneous delivery carriers for allergens (ovalbumin, OVA) and CpG DNA, an adjuvant that can induce a Th1 immune response, for the treatment of allergic rhinitis. sEVs loaded with CpG DNA and OVA(CpG-OVA-sEVs) were successfully prepared. CpG-OVA-sEVs possessed an average particle size of 90 nm and average zeta potential of-30 mV. CpG DNA modification did not influence the uptake of sEVs by dendritic cells and CpG-OVAsEV can activate dendritic cells. The CpG-OVA-sEVs were delivered to the nasopharynx-associated lymphoid tissue (NALT) of mice and were primarily taken up by the CD11c positive cells after intranasal administration. Intranasally administering CpG-OVA-sEVs significantly enhanced OVA-specific IgG antibody titers in mice models of allergic rhinitis, suggesting a transformed Th1/2 balance. Moreover, The CpG-OVA-sEV administration alleviated allergic symptoms compared to the control group. Further, the amount of IgE secreted in mouse serum decreased. Thus, CpG-OVA-sEVs could be a useful therapeutic method for treating allergic rhinitis.</t>
  </si>
  <si>
    <t>[Liu, Wen; Ota, Maki; Tabushi, Mayu; Takahashi, Yuki; Takakura, Yoshinobu] Kyoto Univ, Grad Sch Pharmaceut Sci, Dept Biopharmaceut &amp; Drug Metab, Sakyo Ku, 46-29 Yoshidashimoadachi Cho, Kyoto 6068501, Japan</t>
  </si>
  <si>
    <t>Kyoto University</t>
  </si>
  <si>
    <t>Takahashi, Y (corresponding author), Kyoto Univ, Grad Sch Pharmaceut Sci, Dept Biopharmaceut &amp; Drug Metab, Sakyo Ku, 46-29 Yoshidashimoadachi Cho, Kyoto 6068501, Japan.</t>
  </si>
  <si>
    <t>ytakahashi@pharm.kyoto-u.ac.jp</t>
  </si>
  <si>
    <t>10.1016/j.jconrel.2022.03.016</t>
  </si>
  <si>
    <t>WOS:000793719500001</t>
  </si>
  <si>
    <t>Wang, S; Zhang, LQ; Wan, S; Cansiz, S; Cui, C; Liu, Y; Cai, R; Hong, CY; Teng, IT; Shi, ML; Wu, Y; Dong, YY; Tan, WH</t>
  </si>
  <si>
    <t>Wang, Sai; Zhang, Liqin; Wan, Shuo; Cansiz, Sena; Cui, Cheng; Liu, Yuan; Cai, Ren; Hong, Chengyi; Teng, I-Ting; Shi, Muling; Wu, Yuan; Dong, Yiyang; Tan, Weihong</t>
  </si>
  <si>
    <t>Aptasensor with Expanded Nucleotide Using DNA Nanotetrahedra for Electrochemical Detection of Cancerous Exosomes</t>
  </si>
  <si>
    <t>ACS NANO</t>
  </si>
  <si>
    <t>aptasensor; exosomes; nanotetrahedron; expanded nucleotide; electrochemistry</t>
  </si>
  <si>
    <t>EXTRACELLULAR VESICLES; PANCREATIC-CANCER; MICROVESICLES; ASSAY; NANOSTRUCTURE; GLIOBLASTOMA; BIOMARKERS; APTAMERS; SENSOR; CELLS</t>
  </si>
  <si>
    <t>Exosomes are extracellular vesicles (50-100 nm) circulating in biofluids as intercellular signal transmitters. Although the potential of cancerous exosomes as tumor biomarkers is promising, sensitive and rapid detection of exosomes remains, challenging. Herein, we combined the strengths of advanced aptamer technology, DNA-based nano structure, and portable electrochemical devices to develop a nanotetrahedron (NTH)-assisted aptasensor for direct capture and detection of hepatocellular exosomes. The oriented immobilization of aptamers significantly improved the accessibility of an artificial nucleobase-containing aptamer to suspended exosomes, and the NTH-assisted aptasensor could detect exosomes with 100-fold higher sensitivity when compared to the single-stranded aptamer-functionalized aptasensor. The present study provides a proof-of-concept for sensitive and efficient quantification of tumor-derived exosomes. We thus expect the NTH-assisted electrochemical aptasensor to become a powerful tool for comprehensive exosome studies.</t>
  </si>
  <si>
    <t>[Zhang, Liqin; Liu, Yuan; Shi, Muling; Wu, Yuan; Tan, Weihong] Hunan Univ, Collaborat Innovat Ctr Chem &amp; Mol Med, State Key Lab ChemoBiosensing &amp; Chemometr, Mol Sci &amp; Biomed Lab,Coll Chem &amp; Chem Engn,Coll B, Changsha 410082, Hunan, Peoples R China; [Wang, Sai; Dong, Yiyang] Beijing Univ Chem Technol, Coll Life Sci &amp; Technol, Beijing Key Lab Bioproc, Beijing 100029, Peoples R China; [Wang, Sai; Zhang, Liqin; Wan, Shuo; Cansiz, Sena; Cui, Cheng; Liu, Yuan; Cai, Ren; Hong, Chengyi; Teng, I-Ting; Shi, Muling; Wu, Yuan; Tan, Weihong] Univ Florida, Ctr Res Bio Nano Interface, Hlth Canc Ctr, Dept Chem,McKnight Brain Inst,UF Genet Inst, Gainesville, FL 32611 USA; [Wang, Sai; Zhang, Liqin; Wan, Shuo; Cansiz, Sena; Cui, Cheng; Liu, Yuan; Cai, Ren; Hong, Chengyi; Teng, I-Ting; Shi, Muling; Wu, Yuan; Tan, Weihong] Univ Florida, Ctr Res Bio Nano Interface, Hlth Canc Ctr, Dept Physiol &amp; Funct Genom,McKnight Brain Inst,UF, Gainesville, FL 32611 USA</t>
  </si>
  <si>
    <t>Hunan University; Beijing University of Chemical Technology; State University System of Florida; University of Florida; State University System of Florida; University of Florida</t>
  </si>
  <si>
    <t>Tan, WH (corresponding author), Hunan Univ, Collaborat Innovat Ctr Chem &amp; Mol Med, State Key Lab ChemoBiosensing &amp; Chemometr, Mol Sci &amp; Biomed Lab,Coll Chem &amp; Chem Engn,Coll B, Changsha 410082, Hunan, Peoples R China.;Dong, YY (corresponding author), Beijing Univ Chem Technol, Coll Life Sci &amp; Technol, Beijing Key Lab Bioproc, Beijing 100029, Peoples R China.;Tan, WH (corresponding author), Univ Florida, Ctr Res Bio Nano Interface, Hlth Canc Ctr, Dept Chem,McKnight Brain Inst,UF Genet Inst, Gainesville, FL 32611 USA.;Tan, WH (corresponding author), Univ Florida, Ctr Res Bio Nano Interface, Hlth Canc Ctr, Dept Physiol &amp; Funct Genom,McKnight Brain Inst,UF, Gainesville, FL 32611 USA.</t>
  </si>
  <si>
    <t>yydong@mail.buct.edu.cn; tan@chem.ufl.edu</t>
  </si>
  <si>
    <t>Tan, Weihong/AAA-4536-2020; Liu, Yuan/G-4834-2016; Tan, Weihong/A-5412-2008; Cai, Ren/AAB-1473-2021; Cai, Ren/ABD-6442-2021</t>
  </si>
  <si>
    <t>Liu, Yuan/0000-0002-0024-9290; Tan, Weihong/0000-0002-8066-1524; Cai, Ren/0000-0003-2583-7133; Wang, Sai/0000-0003-1735-6516</t>
  </si>
  <si>
    <t>1936-0851</t>
  </si>
  <si>
    <t>1936-086X</t>
  </si>
  <si>
    <t>10.1021/acsnano.7b00373</t>
  </si>
  <si>
    <t>Chemistry, Multidisciplinary; Chemistry, Physical; Nanoscience &amp; Nanotechnology; Materials Science, Multidisciplinary</t>
  </si>
  <si>
    <t>WOS:000400233200053</t>
  </si>
  <si>
    <t>Yap, SA; Munster-Wandowski, A; Nonnenmacher, A; Keilholz, U; Liebs, S</t>
  </si>
  <si>
    <t>Yap, Soo Ann; Muenster-Wandowski, Agnieszka; Nonnenmacher, Anika; Keilholz, Ulrich; Liebs, Sandra</t>
  </si>
  <si>
    <t>Analysis of cancer-related mutations in extracellular vesicles RNA by Droplet Digital (TM) PCR</t>
  </si>
  <si>
    <t>BIOTECHNIQUES</t>
  </si>
  <si>
    <t>colorectal cancer; ddPCR; exosomes; extracellular vesicles; liquid biopsy; melanoma</t>
  </si>
  <si>
    <t>LIQUID BIOPSY; MEMBRANE-VESICLES; NUCLEIC-ACIDS; EXOSOMES; DNA; KRAS; BRAF; MICROVESICLES; PROGRESSION; INHIBITION</t>
  </si>
  <si>
    <t>Extracellular vesicles (EVs) are taking their place as potential biomarkers in the field of liquid biopsy. In this study, EVs were isolated from plasma samples of 31 patients with colorectal cancer and melanoma via differential centrifugation and Droplet Digital (TM) PCR (Bio-Rad, CA, USA) was used to profile BRAF V600E/K, KRAS G12A/C/D/V and KRAS G13D mutations from EV-derived cDNA. The concordance rates with corresponding tissue were 54% and 44% in the colorectal cancer and melanoma cohort, respectively. Two patients displayed mutations in EVs not previously detected in tissue as evidence for emerging molecular resistance to anti-EGFR and BRAF/MEK inhibitor therapy prior to radiological evidence of tumor progression. We concluded that EV-derived nucleic acids may provide clinically relevant diagnostic information and mirror evolution of the disease. METHOD SUMMARY Extracellular vesicles (EVs) derived from patient plasma were isolated via serial centrifugation, followed by EV-RNA isolation and EV-cDNA amplification. Amplified EV-cDNAs were analyzed with the Bio-Rad QX200(TM) ddPCR system (CA, USA). EVs were also morphologically visualized with transmission electron microscopy, while their proteomic content was verified by western blotting.</t>
  </si>
  <si>
    <t>[Yap, Soo Ann; Nonnenmacher, Anika; Keilholz, Ulrich; Liebs, Sandra] Charite Univ Med Berlin, Berlin, Germany; [Yap, Soo Ann; Muenster-Wandowski, Agnieszka; Nonnenmacher, Anika; Keilholz, Ulrich; Liebs, Sandra] Free Univ Berlin, Berlin, Germany; [Yap, Soo Ann; Muenster-Wandowski, Agnieszka; Nonnenmacher, Anika; Keilholz, Ulrich; Liebs, Sandra] Humboldt Univ, Berlin, Germany; [Yap, Soo Ann; Nonnenmacher, Anika; Keilholz, Ulrich; Liebs, Sandra] Berlin Inst Hlth, Charite Comprehens Canc Ctr, Berlin, Germany; [Muenster-Wandowski, Agnieszka] Charite Univ Med Berlin, Inst Integrat Neuroanat, Berlin, Germany; [Muenster-Wandowski, Agnieszka] Berlin Inst Hlth, Berlin, Germany; [Keilholz, Ulrich; Liebs, Sandra] German Canc Res Ctr, German Canc Consortium DKTK, Heidelberg, Germany</t>
  </si>
  <si>
    <t>Free University of Berlin; Humboldt University of Berlin; Charite Universitatsmedizin Berlin; Free University of Berlin; Humboldt University of Berlin; Free University of Berlin; Humboldt University of Berlin; Charite Universitatsmedizin Berlin; Free University of Berlin; Humboldt University of Berlin; Charite Universitatsmedizin Berlin; Helmholtz Association; German Cancer Research Center (DKFZ)</t>
  </si>
  <si>
    <t>Keilholz, U (corresponding author), Charite Univ Med Berlin, Berlin, Germany.;Keilholz, U (corresponding author), Free Univ Berlin, Berlin, Germany.;Keilholz, U (corresponding author), Humboldt Univ, Berlin, Germany.;Keilholz, U (corresponding author), Berlin Inst Hlth, Charite Comprehens Canc Ctr, Berlin, Germany.;Keilholz, U (corresponding author), German Canc Res Ctr, German Canc Consortium DKTK, Heidelberg, Germany.</t>
  </si>
  <si>
    <t>ulrich.keilholz@charite.de</t>
  </si>
  <si>
    <t>Münster-Wandowski, Agnieszka/Q-5690-2016</t>
  </si>
  <si>
    <t>Münster-Wandowski, Agnieszka/0000-0002-5401-0218; Yap, Soo Ann/0000-0002-9450-9822</t>
  </si>
  <si>
    <t>0736-6205</t>
  </si>
  <si>
    <t>1940-9818</t>
  </si>
  <si>
    <t>10.2144/btn-2020-0028</t>
  </si>
  <si>
    <t>WOS:000588651700005</t>
  </si>
  <si>
    <t>Klump, J; Phillipp, U; Follo, M; Eremin, A; Lehmann, H; Nestel, S; von Bubnoff, N; Nazarenko, I</t>
  </si>
  <si>
    <t>Klump, Jennifer; Phillipp, Ulrike; Follo, Marie; Eremin, Anna; Lehmann, Hannes; Nestel, Sigrun; von Bubnoff, Nikolas; Nazarenko, Irina</t>
  </si>
  <si>
    <t>Extracellular vesicles or free circulating DNA: where to search for BRAF and cKIT mutations?</t>
  </si>
  <si>
    <t>NANOMEDICINE-NANOTECHNOLOGY BIOLOGY AND MEDICINE</t>
  </si>
  <si>
    <t>Free-circulating DNA; Extracellular vesicles; BRAF; BRAFV600E; cKIT; cKITD816V; Liquid biopsy; Therapy monitoring; Predictive biomarkers</t>
  </si>
  <si>
    <t>METASTATIC COLORECTAL-CANCER; PANCREATIC-CANCER; LIQUID BIOPSY; LUNG-CANCER; TUMOR DNA; EXOSOMES; KRAS; IDENTIFICATION; BIOMARKER; CETUXIMAB</t>
  </si>
  <si>
    <t>Clinical evidence in oncology argues for the advantages of performing molecular analysis of blood biomarkers to provide information about systemic changes and tumor heterogeneity. Whereas the diagnostic value of cell-free circulating DNA (fcDNA) has successfully been demonstrated in several studies, DNA enclosed in extracellular vesicles (EV) has only recently been described, and its potential diagnostic value is unclear. We established a protocol for separation of EV and fc fractions and tested for presence of mutant BRAFV600E mediating resistance to Vemurafenib and cKITD816V mediating resistance to Imatinib in blood of patients with melanoma and mastocytosis. Our results show that EV contain significantly higher amounts of total DNA as compared to the fc fraction. However, about ten-fold higher copy numbers of the wild type and mutant BRAF and cKIT were detected in the fcDNA fraction supporting its diagnostic value and pointing to differences in fc and EV DNA content. (c) 2017 Elsevier Inc. All rights reserved.</t>
  </si>
  <si>
    <t>[Klump, Jennifer; Eremin, Anna; Lehmann, Hannes; Nazarenko, Irina] Inst Infect Prevent &amp; Hosp Epidemiol, D-79106 Freiburg, Germany; [Klump, Jennifer; Eremin, Anna; Lehmann, Hannes; Nazarenko, Irina] Univ Freiburg, Med Ctr, Fac Med, D-79106 Freiburg, Germany; [Phillipp, Ulrike; Follo, Marie; von Bubnoff, Nikolas] German Canc Consortium DKTK, Partner Site Freiburg, Heidelberg, Germany; [Phillipp, Ulrike; Follo, Marie; von Bubnoff, Nikolas] German Canc Res Ctr, Heidelberg, Germany; [Nestel, Sigrun] Univ Freiburg, Inst Anat &amp; Cell Biol, Freiburg, Germany</t>
  </si>
  <si>
    <t>University of Freiburg; Helmholtz Association; German Cancer Research Center (DKFZ); Helmholtz Association; German Cancer Research Center (DKFZ); University of Freiburg</t>
  </si>
  <si>
    <t>Nazarenko, I (corresponding author), Inst Infect Prevent &amp; Hosp Epidemiol, D-79106 Freiburg, Germany.;Nazarenko, I (corresponding author), Univ Freiburg, Med Ctr, Fac Med, D-79106 Freiburg, Germany.</t>
  </si>
  <si>
    <t>irina.nazarenko@uniklinik-freiburg.de</t>
  </si>
  <si>
    <t>Nazarenko, Irina/E-5714-2010; von Bubnoff, Nikolas/AAG-1845-2021</t>
  </si>
  <si>
    <t xml:space="preserve">Nazarenko, Irina/0000-0002-2633-1161; </t>
  </si>
  <si>
    <t>1549-9634</t>
  </si>
  <si>
    <t>1549-9642</t>
  </si>
  <si>
    <t>10.1016/j.nano.2017.12.009</t>
  </si>
  <si>
    <t>Nanoscience &amp; Nanotechnology; Medicine, Research &amp; Experimental</t>
  </si>
  <si>
    <t>Science &amp; Technology - Other Topics; Research &amp; Experimental Medicine</t>
  </si>
  <si>
    <t>WOS:000429528900022</t>
  </si>
  <si>
    <t>Ruhen, O; Mirzai, B; Clark, ME; Nguyen, B; Salomon, C; Erber, W; Meehan, K</t>
  </si>
  <si>
    <t>Ruhen, Olivia; Mirzai, Bob; Clark, Michael E.; Nguyen, Bella; Salomon, Carlos; Erber, Wendy; Meehan, Katie</t>
  </si>
  <si>
    <t>Comparison of Circulating Tumour DNA and Extracellular Vesicle DNA by Low-Pass Whole-Genome Sequencing Reveals Molecular Drivers of Disease in a Breast Cancer Patient</t>
  </si>
  <si>
    <t>BIOMEDICINES</t>
  </si>
  <si>
    <t>breast cancer; biomarkers; extracellular vesicle DNA; circulating tumour DNA; liquid biopsy</t>
  </si>
  <si>
    <t>CELL-FREE DNA; COPY NUMBER ALTERATIONS; EXOSOMES; IDENTIFICATION; CHEMOTHERAPY; SURVIVAL; REGIONS; PLASMA</t>
  </si>
  <si>
    <t>There is increasing recognition of circulating tumour DNA (ctDNA) as a non-invasive alternative to tumour tissue for the molecular characterisation and monitoring of disease. Recent evidence suggests that cancer-associated changes can also be detected in the DNA contained within extracellular vesicles (EVs). As yet, there has been limited investigation into the relationship between EV DNA and ctDNA, and no studies have examined the EV DNA of breast cancer patients. The aim of this study was to use low-pass whole-genome sequencing to identify copy number variants (CNVs) in serial samples of both ctDNA and EV DNA from a patient with breast cancer. Of the 52 CNVs identified in tumour DNA, 36 (69%) were detected in at least one ctDNA sample and 13 (25%) in at least one EV DNA sample. The number of detectable variants in ctDNA and EV DNA increased over the natural history of the patient's disease, which was associated with progression to cerebral metastases. This case study demonstrates that, while CNVs are detectable in patient EV DNA, ctDNA has greater sensitivity than EV DNA for serial monitoring of breast cancer.</t>
  </si>
  <si>
    <t>[Ruhen, Olivia; Mirzai, Bob; Nguyen, Bella; Erber, Wendy] Univ Western Australia, Sch Biomed Sci, Translat Canc Pathol Lab, Perth, WA 6009, Australia; [Ruhen, Olivia] Inst Canc Res, Sarcoma Mol Pathol Team, Sutton SM2 5NG, Surrey, England; [Mirzai, Bob; Erber, Wendy] PathWest Lab Med, Nedlands, WA 6009, Australia; [Clark, Michael E.] Edith Cowan Univ, Sch Med &amp; Hlth Sci, Melanoma Res Grp, Nedlands, WA 6027, Australia; [Nguyen, Bella] Sir Charles Gairdner Hosp, Dept Med Oncol, Nedlands, WA 6009, Australia; [Salomon, Carlos] Univ Queensland, Royal Brisbane &amp; Womens Hosp, UQ Ctr Clin Res, Exosome Biol Lab,Ctr Clin Diagnost, Brisbane, Qld 4029, Australia; [Salomon, Carlos] Univ Concepcion, Fac Biol Sci, Dept Pharmacol, Concepcion 4030000, Chile; [Meehan, Katie] Chinese Univ Hong Kong, Dept Otorhinolaryngol Head &amp; Neck Surg, Hong Kong 999077, Peoples R China</t>
  </si>
  <si>
    <t>University of Western Australia; University of London; Institute of Cancer Research - UK; University of Western Australia; Edith Cowan University; University of Western Australia; Royal Brisbane &amp; Women's Hospital; University of Queensland; Universidad de Concepcion; Chinese University of Hong Kong</t>
  </si>
  <si>
    <t>Meehan, K (corresponding author), Chinese Univ Hong Kong, Dept Otorhinolaryngol Head &amp; Neck Surg, Hong Kong 999077, Peoples R China.</t>
  </si>
  <si>
    <t>olivia.ruhen@icr.ac.uk; bob.mirzai@uwa.edu.au; m.clark@ecu.edu.au; bella.nguyen@research.uwa.edu.au; c.salomongallo@uq.edu.au; wendy.erber@uwa.edu.au; katiemeehan@ent.cuhk.edu.hk</t>
  </si>
  <si>
    <t>; Meehan, Katie/H-5431-2014; Salomon, Carlos/L-2167-2013</t>
  </si>
  <si>
    <t>Ruhen, Olivia/0000-0002-4961-9352; Meehan, Katie/0000-0002-9179-4592; Clark, Michael/0000-0002-9748-5221; Salomon, Carlos/0000-0003-4474-0046; Erber, Wendy/0000-0002-1028-9376</t>
  </si>
  <si>
    <t>2227-9059</t>
  </si>
  <si>
    <t>10.3390/biomedicines9010014</t>
  </si>
  <si>
    <t>Biochemistry &amp; Molecular Biology; Medicine, Research &amp; Experimental; Pharmacology &amp; Pharmacy</t>
  </si>
  <si>
    <t>Biochemistry &amp; Molecular Biology; Research &amp; Experimental Medicine; Pharmacology &amp; Pharmacy</t>
  </si>
  <si>
    <t>WOS:000609829400001</t>
  </si>
  <si>
    <t>Kondratov, K; Nikitin, Y; Fedorov, A; Kostareva, A; Mikhailovskii, V; Isakov, D; Ivanov, A; Golovkin, A</t>
  </si>
  <si>
    <t>Kondratov, Kirill; Nikitin, Yuri; Fedorov, Anton; Kostareva, Anna; Mikhailovskii, Vladimir; Isakov, Dmitry; Ivanov, Andrey; Golovkin, Alexey</t>
  </si>
  <si>
    <t>Heterogeneity of the nucleic acid repertoire of plasma extracellular vesicles demonstrated using high-sensitivity fluorescence-activated sorting</t>
  </si>
  <si>
    <t>Subpopulations of extracellular vesicles; high-sensitivity flow cytometry (hs-FCM); nucleic acid repertoire; microRNA; high-sensitivity fluorescence-activated vesicles sorting (hs-FAVS); platelet-derived extracellular vesicles; erythrocyte-derived extracellular vesicles</t>
  </si>
  <si>
    <t>MICROVESICLES; PLATELETS; RELEASE; MITOCHONDRIAL; MICROSCOPY; EXOSOMES; STORAGE; CELLS; SIZE</t>
  </si>
  <si>
    <t>The aim of this study was to investigate cell source-dependent nucleic acids repertoire of diverse subpopulations of plasma extracellular vesicles (EVs). Blood plasma from nine healthy volunteers was used for the analysis. Samples of EVs were obtained by differential centrifugation of plasma. The application of high-sensitivity fluorescence-activated vesicles sorting (hs-FAVS) using fluorophore-conjugated anti-CD41-FITC (Fluorescein isothiocyanate) and anti-CD235a-PE antibodies allowed the isolation of three subpopulations of EVs, namely CD41+ CD235a-, CD41-CD235a+ and CD41-CD235a dim. The high purity (&gt;97%) of the sorted subpopulations was verified by high-sensitivity flow cytometry. Presence of nanosized objects in sorted samples was confirmed by combination of low-voltage scanning electron microscopy and dynamic light scattering. The amount of material in sorted samples was enough to perform Quantitative polymerase chain reaction (qPCR)-based nucleic acid quantification. The most prominent differences in the nucleic acid repertoire were noted between CD41+ CD235- vs. CD41-CD235a+ vesicles: the former contained significantly (p = 0.004) higher amount of mitochondrial DNA, and platelet enriched miR-21-5p (4-fold), miR-223-3p (38-fold) and miR-199a-3p (187-fold), but lower amount of erythrocyte enriched miR-451a (90-fold). CD41-CD235a+ and CD41-CD235a dim vesicles differed in levels of miR-451a (p = 0.016) and miR-21-5p (p = 0.031). Nuclear DNA was below the limit of detection in all EV subpopulations. The hs-FCM-based determination of the number of sorted EVs allowed the calculation of per single-event miRNA concentrations. It was demonstrated that the most abundant marker in CD41+ CD235a- subpopulation was miR-223-3p, reaching 38.2 molecules per event. In the CD41-CD235+ subpopulation, the most abundant marker was miR-451a, reaching 24.7 molecules per event. Taken together, our findings indicate that erythrocyte- and platelet-derived EVs carry different repertoires of nucleic acids, which were similar to the composition of their cellular sources.</t>
  </si>
  <si>
    <t>[Kondratov, Kirill; Fedorov, Anton; Kostareva, Anna; Golovkin, Alexey] Almazov Natl Med Res Ctr, Inst Mol Biol &amp; Genet, St Petersburg, Russia; [Nikitin, Yuri; Ivanov, Andrey] Mil Med Acad, Dept Clin Biochem &amp; Lab Diagnost, St Petersburg, Russia; [Kostareva, Anna] Karolinska Inst, Dept Woman &amp; Child Hlth, Stockholm, Sweden; [Mikhailovskii, Vladimir] St Petersburg State Univ, Interdisciplinary Resource Ctr Nanotechnol, St Petersburg, Russia; [Isakov, Dmitry] Inst Expt Med, Dept Immunol, St Petersburg, Russia; [Isakov, Dmitry] Pavlov First St Petersburg State Med Univ, Dept Immunol, St Petersburg, Russia</t>
  </si>
  <si>
    <t>Almazov National Medical Research Centre; Karolinska Institutet; Saint Petersburg State University; Institute of Experimental Medicine; Pavlov First Saint Petersburg State Medical University</t>
  </si>
  <si>
    <t>Golovkin, A (corresponding author), Almazov Natl Med Res Ctr, Inst Mol Biol &amp; Genet, St Petersburg, Russia.</t>
  </si>
  <si>
    <t>golovkin_a@mails.ru</t>
  </si>
  <si>
    <t>Mikhailovskii, Vladimir/E-9974-2014; Kostareva, Anna/AAO-5429-2020; Golovkin, Alexey S/I-2583-2014</t>
  </si>
  <si>
    <t>Mikhailovskii, Vladimir/0000-0003-1168-771X; Golovkin, Alexey S/0000-0002-7577-628X; Nikitin, Iurii/0000-0001-7892-2783; Ivanov, Andrei/0000-0002-8899-7524</t>
  </si>
  <si>
    <t>10.1080/20013078.2020.1743139</t>
  </si>
  <si>
    <t>WOS:000522185000001</t>
  </si>
  <si>
    <t>Nguyen, DB; Tran, HT; Kaestner, L; Bernhardt, I</t>
  </si>
  <si>
    <t>Nguyen, Duc Bach; Tran, Hanh Triet; Kaestner, Lars; Bernhardt, Ingolf</t>
  </si>
  <si>
    <t>The Relation Between Extracellular Vesicles Released From Red Blood Cells, Their Cargo, and the Clearance by Macrophages</t>
  </si>
  <si>
    <t>FRONTIERS IN PHYSIOLOGY</t>
  </si>
  <si>
    <t>human red blood cells; macrophages; THP-1 cells; cell-based vehicles; extracellular vesicles; clearance</t>
  </si>
  <si>
    <t>MICROVESICLES; EXOSOMES; DELIVERY; STORAGE; PHOSPHATIDYLSERINE; COMMUNICATION; DISEASE; SIGNAL</t>
  </si>
  <si>
    <t>Extracellular vesicles (EVs) are cell-derived membrane particles that include exosomes, ectosomes, microvesicles, microparticles, apoptotic bodies, and other EV subsets. EVs are involved in intercellular communication and the transport of macromolecules between cells. Here, we propose and test the ability of red blood cell (RBC)-derived EVs (RBC-EVs) as putative drug carriers. EVs were produced by treating RBCs with Phorbol-12-myristate-13-acetate (PMA) and separating from the cells by differential centrifugation steps. RBC-EVs were characterized by size determination, flow cytometry, and scanning electron microscopy (SEM). EVs were loaded with DNA plasmids coding for the green fluorescent protein (GFP) by electroporation. The DNA-loaded EVs (DNA-EVs) were used to transfect THP-1-derived macrophages and analyzed by fluorescence microscopy and flow cytometry. The results showed that RBC-EVs had an almost spherical shape and a polydispersity in their size with an average of 197 +/- 44 nm and with a zeta potential of -36 +/- 8 mV. RBC-EVs were successfully loaded with DNA but associated with an increase of the polydispersity index (PdI) and showed a positive signal with Picogreen. DNA-EVs were almost completely taken up by macrophages within 24 h, however, resulting in the expression of the GFP in a subpopulation of macrophages. As the way, we designed that RBC-EVs could be potential nucleic acid carriers when the immune system was addressed. This study may contribute to the understanding of the role of EVs in the development of microvesicle-based vehicles.</t>
  </si>
  <si>
    <t>[Nguyen, Duc Bach] Vietnam Natl Univ Agr, Fac Biotechnol, Dept Mol Biol, Hanoi, Vietnam; [Tran, Hanh Triet] Biotechnol Ctr Ho Chi Minh City, Div Aquacultural Biotechnol, Ho Chi Minh City, Vietnam; [Kaestner, Lars] Saarland Univ, Med Fac, Theoret Med &amp; Biosci, Homburg, Germany; [Kaestner, Lars] Saarland Univ, Dynam Fluids, Expt Phys, Saarbrucken, Germany; [Bernhardt, Ingolf] Saarland Univ, Fac Nat &amp; Tech Sci, Lab Biophys, Saarbrucken, Germany</t>
  </si>
  <si>
    <t>Vietnam National University of Agriculture (VNUA); Universitatsklinikum des Saarlandes; Saarland University; Saarland University</t>
  </si>
  <si>
    <t>Nguyen, DB (corresponding author), Vietnam Natl Univ Agr, Fac Biotechnol, Dept Mol Biol, Hanoi, Vietnam.;Bernhardt, I (corresponding author), Saarland Univ, Fac Nat &amp; Tech Sci, Lab Biophys, Saarbrucken, Germany.</t>
  </si>
  <si>
    <t>ndbach@vnua.edu.vn; i.bernhardt@mx.uni-saarland.de</t>
  </si>
  <si>
    <t>1664-042X</t>
  </si>
  <si>
    <t>MAR 31</t>
  </si>
  <si>
    <t>10.3389/fphys.2022.783260</t>
  </si>
  <si>
    <t>Physiology</t>
  </si>
  <si>
    <t>WOS:000788682700001</t>
  </si>
  <si>
    <t>Brahmer, A; Neuberger, E; Esch-Heisser, L; Haller, N; Jorgensen, MM; Baek, R; Mobius, W; Simon, P; Kramer-Albers, EM</t>
  </si>
  <si>
    <t>Brahmer, Alexandra; Neuberger, Elmo; Esch-Heisser, Leona; Haller, Nils; Jorgensen, Malene Moeller; Baek, Rikke; Moebius, Wiebke; Simon, Perikles; Kraemer-Albers, Eva-Maria</t>
  </si>
  <si>
    <t>Platelets, endothelial cells and leukocytes contribute to the exercise-triggered release of extracellular vesicles into the circulation</t>
  </si>
  <si>
    <t>Extracellular vesicles; exosomes; exercise; plasma; size exclusion chromatography; immunobead isolation; multiplex phenotyping</t>
  </si>
  <si>
    <t>IMAGING FLOW-CYTOMETRY; PHYSICAL-EXERCISE; PREANALYTICAL PARAMETERS; FREE DNA; RESPONSES; MUSCLE; POPULATIONS; BIOLOGY; LOOKING; IMPACT</t>
  </si>
  <si>
    <t>Physical activity initiates a wide range of multi-systemic adaptations that promote mental and physical health. Recent work demonstrated that exercise triggers the release of extracellular vesicles (EVs) into the circulation, possibly contributing to exercise-associated adaptive systemic signalling. Circulating EVs comprise a heterogeneous collection of different EV-subclasses released from various cell types. So far, a comprehensive picture of the parental and target cell types, EV-subpopulation diversity and functional properties of EVs released during exercise (ExerVs) is lacking. Here, we performed a detailed EV-phenotyping analysis to explore the cellular origin and potential subtypes of ExerVs. Healthy male athletes were subjected to an incremental cycling test until exhaustion and blood was drawn before, during, and immediately after the test. Analysis of total blood plasma by EV Array suggested endothelial and leukocyte characteristics of ExerVs. We further purified ExerVs from plasma by size exclusion chromatography as well as CD9-, CD63- or CD81-immunobead isolation to examine ExerV-subclass dynamics. EV-marker analysis demonstrated increasing EV-levels during cycling exercise, with highest levels at peak exercise in all EV-subclasses analysed. Phenotyping of ExerVs using a multiplexed flow-cytometry platform revealed a pattern of cell surface markers associated with ExerVs and identified lymphocytes (CD4, CD8), monocytes (CD14), platelets (CD41, CD42, CD62P), endothelial cells (CD105, CD146) and antigen presenting cells (MHC-II) as ExerV-parental cells. We conclude that multiple cell types associated with the circulatory system contribute to a pool of heterogeneous ExerVs, which may be involved in exercise-related signalling mechanisms and tissue crosstalk.</t>
  </si>
  <si>
    <t>[Brahmer, Alexandra; Esch-Heisser, Leona; Kraemer-Albers, Eva-Maria] Johannes Gutenberg Univ Mainz, Inst Dev Biol &amp; Neurobiol, Biol Extracellular Vesicles, Mainz, Germany; [Brahmer, Alexandra; Neuberger, Elmo; Haller, Nils; Simon, Perikles] Johannes Gutenberg Univ Mainz, Dept Sports Med Rehabil &amp; Dis Prevent, Mainz, Germany; [Jorgensen, Malene Moeller; Baek, Rikke] Aalborg Univ Hosp, Dept Clin Immunol, Aalborg, Denmark; [Jorgensen, Malene Moeller; Baek, Rikke] Part Extracellular Vesicle Res Ctr Denmark EVsear, Aalborg, Denmark; [Moebius, Wiebke] Max Planck Inst Expt Med, Dept Neurogenet, Electron Microscopy Core Unit, Gottingen, Germany; [Moebius, Wiebke] Ctr Nanoscale Microscopy &amp; Mol Physiol Brain CNMP, Gottingen, Germany</t>
  </si>
  <si>
    <t>Johannes Gutenberg University of Mainz; Johannes Gutenberg University of Mainz; Aalborg University; Max Planck Society</t>
  </si>
  <si>
    <t>Kramer-Albers, EM (corresponding author), Johannes Gutenberg Univ Mainz, Inst Dev Biol &amp; Neurobiol, Biol Extracellular Vesicles, Mainz, Germany.;Simon, P (corresponding author), Johannes Gutenberg Univ Mainz, Dept Sports Med Rehabil &amp; Dis Prevent, Mainz, Germany.</t>
  </si>
  <si>
    <t>Haller, Nils/AAF-1107-2021; Brahmer, Alexandra/ABI-6051-2020; Joergensen, Malene/AFS-0738-2022; Eva-Maria, Kraemer-Albers/AAP-8805-2020; Simon, Perikles D/B-2293-2013</t>
  </si>
  <si>
    <t>Haller, Nils/0000-0002-7066-7615; Brahmer, Alexandra/0000-0001-5963-4209; Eva-Maria, Kraemer-Albers/0000-0001-7994-1185; Simon, Perikles D/0000-0002-7996-4034; Jorgensen, Malene Moller/0000-0003-1381-3863; /0000-0002-2902-7165</t>
  </si>
  <si>
    <t>10.1080/20013078.2019.1615820</t>
  </si>
  <si>
    <t>WOS:000469231700001</t>
  </si>
  <si>
    <t>Barclay, RA; Khatkar, P; Mensah, G; DeMarino, C; Chu, JSC; Lepene, B; Zhou, W; Gillevet, P; Torkzaban, B; Khalili, K; Liotta, L; Kashanchi, F</t>
  </si>
  <si>
    <t>Barclay, Robert A.; Khatkar, Pooja; Mensah, Gifty; DeMarino, Catherine; Chu, Jeffery S. C.; Lepene, Benjamin; Zhou, Weidong; Gillevet, Patrick; Torkzaban, Bahareh; Khalili, Kamel; Liotta, Lance; Kashanchi, Fatah</t>
  </si>
  <si>
    <t>An Omics Approach to Extracellular Vesicles from HIV-1 Infected Cells</t>
  </si>
  <si>
    <t>CELLS</t>
  </si>
  <si>
    <t>HIV-1; extracellular vesicle; proteomics; RNA sequencing</t>
  </si>
  <si>
    <t>SRC-FAMILY KINASES; MITOCHONDRIAL-DNA; HIV-1 LATENCY; EXOSOMES; RNA; VIRUS; TRANSCRIPTION; BIOGENESIS; POLYPLOIDY; SECRETION</t>
  </si>
  <si>
    <t>Human Immunodeficiency Virus-1 (HIV-1) is the causative agent of Acquired Immunodeficiency Syndrome (AIDS), infecting nearly 37 million people worldwide. Currently, there is no definitive cure, mainly due to HIV-1 ' s ability to enact latency. Our previous work has shown that exosomes, a small extracellular vesicle, from uninfected cells can activate HIV-1 in latent cells, leading to increased mostly short and some long HIV-1 RNA transcripts. This is consistent with the notion that none of the FDA-approved antiretroviral drugs used today in the clinic are transcription inhibitors. Furthermore, these HIV-1 transcripts can be packaged into exosomes and released from the infected cell. Here, we examined the differences in protein and nucleic acid content between exosomes from uninfected and HIV-1-infected cells. We found increased cyclin-dependent kinases, among other kinases, in exosomes from infected T-cells while other kinases were present in exosomes from infected monocytes. Additionally, we found a series of short antisense HIV-1 RNA from the 3 ' LTR that appears heavily mutated in exosomes from HIV-1-infected cells along with the presence of cellular noncoding RNAs and cellular miRNAs. Both physical and functional validations were performed on some of the key findings. Collectively, our data indicate distinct differences in protein and RNA content between exosomes from uninfected and HIV-1-infected cells, which can lead to different functional outcomes in recipient cells.</t>
  </si>
  <si>
    <t>[Barclay, Robert A.; Khatkar, Pooja; Mensah, Gifty; DeMarino, Catherine; Kashanchi, Fatah] George Mason Univ, Lab Mol Virol, Manassas, VA 20110 USA; [Chu, Jeffery S. C.] Appl Biol Mat Inc, 1-3671 Viking Way, Richmond, BC V6V 2J5, Canada; [Lepene, Benjamin] Ceres Nanosci Inc, Manassas, VA 20110 USA; [Zhou, Weidong; Liotta, Lance] George Mason Univ, Ctr Appl Prote &amp; Mol Med, Manassas, VA 20110 USA; [Gillevet, Patrick] George Mason Univ, Microbiome Anal Ctr, Manassas, VA 20110 USA; [Torkzaban, Bahareh; Khalili, Kamel] Temple Univ, Ctr Neurovirol, Philadelphia, PA 19122 USA</t>
  </si>
  <si>
    <t>George Mason University; George Mason University; George Mason University; Pennsylvania Commonwealth System of Higher Education (PCSHE); Temple University</t>
  </si>
  <si>
    <t>Kashanchi, F (corresponding author), George Mason Univ, Lab Mol Virol, Manassas, VA 20110 USA.</t>
  </si>
  <si>
    <t>fkashanc@gmu.edu</t>
  </si>
  <si>
    <t>khatkar, pooja/0000-0003-3842-5146</t>
  </si>
  <si>
    <t>2073-4409</t>
  </si>
  <si>
    <t>10.3390/cells8080787</t>
  </si>
  <si>
    <t>WOS:000484537500020</t>
  </si>
  <si>
    <t>Mangino, G; Iuliano, M; Carlomagno, S; Bernardini, N; Rosa, P; Chiantore, MV; Skroza, N; Calogero, A; Potenza, C; Romeo, G</t>
  </si>
  <si>
    <t>Mangino, Giorgio; Iuliano, Marco; Carlomagno, Silvia; Bernardini, Nicoletta; Rosa, Paolo; Chiantore, Maria Vincenza; Skroza, Nevena; Calogero, Antonella; Potenza, Concetta; Romeo, Giovanna</t>
  </si>
  <si>
    <t>Interleukin-17A affects extracellular vesicles release and cargo in human keratinocytes</t>
  </si>
  <si>
    <t>EXPERIMENTAL DERMATOLOGY</t>
  </si>
  <si>
    <t>extracellular vesicles; interleukin-17; keratinocytes; psoriasis; beta-Defensin 2</t>
  </si>
  <si>
    <t>PLATELET-DERIVED MICROPARTICLES; GENETIC-VARIATIONS; PSORIASIS; CELLS; CANCER; MICROVESICLES; METASTASIS; EXPRESSION; EXOSOMES; IL-6</t>
  </si>
  <si>
    <t>Psoriasis is a chronic inflammatory systemic disease caused by deregulation of the interleukin-23/-17 axis that allows the activation of Th17 lymphocytes and the reprogramming of keratinocytes proliferative response, thereby inducing the secretion of cyto-/chemokines and antimicrobial peptides. Beside cell-to-cell contacts and release of cytokines, hormones and second messengers, cells communicate each other through the release of extracellular vesicles containing DNA, RNA, microRNAs and proteins. It has been reported the alteration of extracellular vesicles trafficking in several diseases, but there is scarce evidence of the involvement of extracellular vesicles trafficking in the pathogenesis of psoriasis. The main goal of the study was to characterize the release, the cargo content and the capacity to transfer bioactive molecules of extracellular vesicles produced by keratinocytes following recombinant IL-17A treatment if compared to untreated keratinocytes. A combined approach of standard ultracentrifugation, RNA isolation and real-time RT-PCR techniques was used to characterize extracellular vesicles cargo. Flow cytometry was used to quantitatively and qualitatively analyse extracellular vesicles and to evaluate cell-to-cell extracellular vesicles transfer. We report that the treatment of human keratinocytes with IL-17A significantly modifies the extracellular vesicles cargo and release. Vesicles from IL-17A-treated cells display a specific pattern of mRNA which is undid by IL-17A neutralization. Extracellular vesicles are taken up by acceptor cells irrespective of their content but only those derived from IL-17A-treated cells enable recipient cells to express psoriasis-associated mRNA. The results imply a role of extracellular vesicles in amplifying the pro-inflammatory cascade induced in keratinocyte by pro-psoriatic cytokines.</t>
  </si>
  <si>
    <t>[Mangino, Giorgio; Iuliano, Marco; Carlomagno, Silvia; Bernardini, Nicoletta; Rosa, Paolo; Skroza, Nevena; Calogero, Antonella; Potenza, Concetta; Romeo, Giovanna] Sapienza Univ Rome, Dept Medicosurg Sci &amp; Biotechnol, Cso Repubbl 79, I-04100 Latina, Italy; [Bernardini, Nicoletta; Skroza, Nevena; Potenza, Concetta] Fiorini Hosp, Dermatol Unit Daniele Innocenzi, Terracina, Italy; [Chiantore, Maria Vincenza] Ist Super Sanita, Dept Infect Dis, Rome, Italy; [Calogero, Antonella] ICOT, Latina, Italy; [Romeo, Giovanna] CNR, Inst Mol Biol &amp; Pathol, Rome, Italy</t>
  </si>
  <si>
    <t>Sapienza University Rome; Istituto Superiore di Sanita (ISS); Consiglio Nazionale delle Ricerche (CNR); Istituto di Biologia e Patologia Molecolari (IBPM-CNR)</t>
  </si>
  <si>
    <t>Mangino, G (corresponding author), Sapienza Univ Rome, Dept Medicosurg Sci &amp; Biotechnol, Cso Repubbl 79, I-04100 Latina, Italy.</t>
  </si>
  <si>
    <t>giorgio.mangino@uniroma1.it</t>
  </si>
  <si>
    <t>skroza, nevena/F-3931-2011; Mangino, Giorgio/C-7310-2009; Rosa, Paolo/AAB-3320-2022; CHIANTORE, MARIA VINCENZA/C-2948-2016; romeo, giovanna/P-8348-2015</t>
  </si>
  <si>
    <t>Mangino, Giorgio/0000-0002-8950-9780; Rosa, Paolo/0000-0002-8468-0677; CHIANTORE, MARIA VINCENZA/0000-0001-5163-2698; calogero, antonella/0000-0002-3322-2916; Skroza, Nevena/0000-0003-4478-5404; romeo, giovanna/0000-0002-7638-1001; Potenza, Concetta/0000-0002-6300-8697</t>
  </si>
  <si>
    <t>0906-6705</t>
  </si>
  <si>
    <t>1600-0625</t>
  </si>
  <si>
    <t>10.1111/exd.14015</t>
  </si>
  <si>
    <t>Dermatology</t>
  </si>
  <si>
    <t>WOS:000484460700011</t>
  </si>
  <si>
    <t>Gagni, P; Cretich, M; Benussi, L; Tonoli, E; Ciani, M; Ghidoni, R; Santini, B; Galbiati, E; Prosperi, D; Chiari, M</t>
  </si>
  <si>
    <t>Gagni, Paola; Cretich, Marina; Benussi, Luisa; Tonoli, Elisa; Ciani, Miriam; Ghidoni, Roberta; Santini, Benedetta; Galbiati, Elisabetta; Prosperi, Davide; Chiari, Marcella</t>
  </si>
  <si>
    <t>Combined mass quantitation and phenotyping of intact extracellular vesicles by a microarray platform</t>
  </si>
  <si>
    <t>ANALYTICA CHIMICA ACTA</t>
  </si>
  <si>
    <t>Extracellular vesicles; Exosomes Biomarkers; Interferometry; Fluorescence; Microarrays</t>
  </si>
  <si>
    <t>LABEL-FREE; SILICON BIOCHIPS; PROTEIN; EXOSOMES; QUANTIFICATION; SIGNAL; CELLS; DNA</t>
  </si>
  <si>
    <t>The interest towards extracellular vesicles (EVs) has grown exponentially over the last few years; being involved in intercellular communication and serving as reservoirs for biomarkers for tumors, they have a great potential for liquid biopsy development, possibly replacing many costly and invasive tissue biopsies. Here we propose, for the first time, the use of a Si/SiO2 interferometric, microarray platform for multiparametric intact EVs analysis combining label-free EVs mass quantitation and high sensitivity fluorescence based phenotyping. Label free interferometric measurement allows to quantify the amount of vesicles captured by printed antibodies while, on the same chip, EVs are also detected by fluorescence in a sandwich immunoassay. The proposed method simultaneously detects, quantify and phenotype intact EVs in a microarray format. (C) 2015 Elsevier B.V. All rights reserved.</t>
  </si>
  <si>
    <t>[Gagni, Paola; Cretich, Marina; Chiari, Marcella] ICRM, Consiglio Nazl Ric, Milan, Italy; [Benussi, Luisa; Tonoli, Elisa; Ciani, Miriam; Ghidoni, Roberta] IRCCS Ist Ctr San Giovanni Dio Fatebenefratelli, Mol Markers Lab, Brescia, Italy; [Santini, Benedetta; Galbiati, Elisabetta; Prosperi, Davide] Univ Milano Bicocca, Dipartimento Biotecnol &amp; Biosci, NanoBioLab, Milan, Italy</t>
  </si>
  <si>
    <t>Consiglio Nazionale delle Ricerche (CNR); Istituto di Chimica del Riconoscimento Molecolare (ICRM-CNR); IRCCS Fatebenefratelli; University of Milano-Bicocca</t>
  </si>
  <si>
    <t>Cretich, M (corresponding author), ICRM, Consiglio Nazl Ric, Milan, Italy.</t>
  </si>
  <si>
    <t>marina.cretich@icrm.cnr.it</t>
  </si>
  <si>
    <t>BENUSSI, LUISA/K-4409-2016; Prosperi, Davide/A-4379-2008; Ghidoni, Roberta/K-4507-2016; Ciani, Miriam/J-7698-2016; Cretich, Marina/AAA-8780-2022</t>
  </si>
  <si>
    <t>BENUSSI, LUISA/0000-0003-2836-8141; Prosperi, Davide/0000-0003-4577-9575; Ghidoni, Roberta/0000-0002-7691-1957; Ciani, Miriam/0000-0002-6780-1799; Cretich, Marina/0000-0001-8251-5275; Tonoli, Elisa/0000-0001-9774-1048; Gagni, Paola/0000-0002-3652-6173</t>
  </si>
  <si>
    <t>0003-2670</t>
  </si>
  <si>
    <t>1873-4324</t>
  </si>
  <si>
    <t>10.1016/j.aca.2015.10.017</t>
  </si>
  <si>
    <t>WOS:000366866500019</t>
  </si>
  <si>
    <t>Li, YJ; Guo, X; Guo, SS; Wang, Y; Chen, L; Liu, Y; Jia, M; An, JZ; Tao, KS; Xing, JL</t>
  </si>
  <si>
    <t>Li, Yijie; Guo, Xu; Guo, Shanshan; Wang, Yang; Chen, Lin; Liu, Yang; Jia, Min; An, Jiaze; Tao, Kaishan; Xing, Jinliang</t>
  </si>
  <si>
    <t>Next generation sequencing-based analysis of mitochondrial DNA characteristics in plasma extracellular vesicles of patients with hepatocellular carcinoma</t>
  </si>
  <si>
    <t>ONCOLOGY LETTERS</t>
  </si>
  <si>
    <t>extracellular vesicles; mitochondrial DNA; hepatocellular carcinoma; liquid biopsy</t>
  </si>
  <si>
    <t>COPY NUMBER; EXOSOMES; MUTATIONS; BIOMARKER; RELEASE; KRAS</t>
  </si>
  <si>
    <t>Emerging evidence has revealed that mitochondrial DNA (mtDNA) is encapsulated in plasma extracellular vesicles (EVs). However, the characteristics of mtDNA in EVs from patients with cancer remain largely unexplored, which greatly limits its clinical application. Whole genome and capture-based sequencing found that EV mtDNA covered the whole mitochondrial genome. The medium fragment size in EV mtDNA was significantly larger compared with that in cell-free mtDNA [cfmtDNA; 159 vs. 109 base pairs (bp); P&lt;0.001]. EV DNA appeared to have a higher mtDNA copy number compared with cfDNA. Of note, patients with hepatitis had &gt;300-bp fragments in EV mtDNA compared with patients with hepatocellular carcinoma (HCC) and healthy controls. EV mtDNA fragments &gt;300 bp in length exhibited a significantly higher proportion of EV mtDNA fragment ends than those that were &lt;= 300 bp in length in patients with hepatitis. The EV mtDNA copy number in patients with HCC and hepatitis were significantly lower compared with those in healthy controls. Furthermore, inconsistencies in the mtDNA heteroplasmic variant were observed among HCC tissues, plasma and EVs. In conclusion, EV mtDNA exhibited different characteristics among patients with HCC, hepatitis and healthy controls, indicating the potential value of EV mtDNA as a diagnostic biomarker that complements cfmtDNA.</t>
  </si>
  <si>
    <t>[Li, Yijie; Wang, Yang; An, Jiaze; Tao, Kaishan] Fourth Mil Med Univ, Xijing Hosp, Dept Hepatobiliary Surg, 169 Changle West Rd, Xian 710032, Shaanxi, Peoples R China; [Guo, Xu; Guo, Shanshan; Chen, Lin; Liu, Yang; Jia, Min; Xing, Jinliang] Fourth Mil Med Univ, State Key Lab Canc Biol, 169 Changle West Rd, Xian 710032, Shaanxi, Peoples R China; [Guo, Xu; Guo, Shanshan; Chen, Lin; Liu, Yang; Jia, Min; Xing, Jinliang] Fourth Mil Med Univ, Dept Physiol &amp; Pathophysiol, 169 Changle West Rd, Xian 710032, Shaanxi, Peoples R China</t>
  </si>
  <si>
    <t>Air Force Military Medical University; Air Force Military Medical University; Air Force Military Medical University</t>
  </si>
  <si>
    <t>Tao, KS (corresponding author), Fourth Mil Med Univ, Xijing Hosp, Dept Hepatobiliary Surg, 169 Changle West Rd, Xian 710032, Shaanxi, Peoples R China.;Xing, JL (corresponding author), Fourth Mil Med Univ, State Key Lab Canc Biol, 169 Changle West Rd, Xian 710032, Shaanxi, Peoples R China.;Xing, JL (corresponding author), Fourth Mil Med Univ, Dept Physiol &amp; Pathophysiol, 169 Changle West Rd, Xian 710032, Shaanxi, Peoples R China.</t>
  </si>
  <si>
    <t>taokaishan0686@163.com; xingjl@fmmu.edu.cn</t>
  </si>
  <si>
    <t>1792-1074</t>
  </si>
  <si>
    <t>1792-1082</t>
  </si>
  <si>
    <t>10.3892/ol.2020.11831</t>
  </si>
  <si>
    <t>WOS:000563938300081</t>
  </si>
  <si>
    <t>Sundaram, PM; Casadei, L; Lopez, G; Braggio, D; Balakirsky, G; Pollock, R; Prakash, S</t>
  </si>
  <si>
    <t>Sundaram, Prashanth Mohana; Casadei, Lucia; Lopez, Gonzalo; Braggio, Danielle; Balakirsky, Gita; Pollock, Raphael; Prakash, Shaurya</t>
  </si>
  <si>
    <t>Multi-Layer Micro-Nanofluidic Device for Isolation and Capture of Extracellular Vesicles Derived From Liposarcoma Cell Conditioned Media</t>
  </si>
  <si>
    <t>JOURNAL OF MICROELECTROMECHANICAL SYSTEMS</t>
  </si>
  <si>
    <t>Silicon; Biomembranes; Extracellular; Plasmas; Cancer; DNA; Scanning electron microscopy; Extracellular vesicles; exosomes; microfluidics; nanofluidics; liposarcoma; cancer</t>
  </si>
  <si>
    <t>EXOSOMES; MDM2; BENIGN; TISSUE; LIPOMA</t>
  </si>
  <si>
    <t>We report on isolation, capture, and subsequent elution for analysis of extracellular vesicles derived from human liposarcoma cell conditioned media, using a multi-layer micro-nanofluidic device operated with tangential flow separation. Our device integrates size-based separation followed by immunoaffinity-based capture of extracellular vesicles in the same device. For liposarcomas, this is the first report on isolating, capturing, and then eluting the extracellular vesicles using a micro-nanofluidic device. The results show a significantly higher yield of the eluted extracellular vesicles (similar to 84%) compared to the current methods of ultracentrifugation (similar to 6%) and ExoQuick-based separations (similar to 16%). [2020-0155]</t>
  </si>
  <si>
    <t>[Sundaram, Prashanth Mohana; Prakash, Shaurya] Ohio State Univ, Dept Mech &amp; Aerosp Engn, Columbus, OH 43210 USA; [Casadei, Lucia; Lopez, Gonzalo; Braggio, Danielle; Balakirsky, Gita; Pollock, Raphael; Prakash, Shaurya] Ohio State Univ, Comprehens Canc Ctr, Columbus, OH 43210 USA</t>
  </si>
  <si>
    <t>Ohio State University; James Cancer Hospital &amp; Solove Research Institute; Ohio State University</t>
  </si>
  <si>
    <t>Prakash, S (corresponding author), Ohio State Univ, Dept Mech &amp; Aerosp Engn, Columbus, OH 43210 USA.</t>
  </si>
  <si>
    <t>prakash.31@osu.edu</t>
  </si>
  <si>
    <t>Pollock, Raphael/0000-0002-0443-1583; Mohana Sundaram, Prashanth/0000-0002-9747-3060; Prakash, Shaurya/0000-0002-5263-0843; CASADEI, Lucia/0000-0002-5731-8197</t>
  </si>
  <si>
    <t>1057-7157</t>
  </si>
  <si>
    <t>1941-0158</t>
  </si>
  <si>
    <t>10.1109/JMEMS.2020.3006786</t>
  </si>
  <si>
    <t>Engineering, Electrical &amp; Electronic; Nanoscience &amp; Nanotechnology; Instruments &amp; Instrumentation; Physics, Applied</t>
  </si>
  <si>
    <t>Engineering; Science &amp; Technology - Other Topics; Instruments &amp; Instrumentation; Physics</t>
  </si>
  <si>
    <t>WOS:000576466500023</t>
  </si>
  <si>
    <t>Chowdhury, SG; Ray, R; Bhattacharya, D; Karmakar, P</t>
  </si>
  <si>
    <t>Chowdhury, Sougata Ghosh; Ray, Rachayeeta; Bhattacharya, Debalina; Karmakar, Parimal</t>
  </si>
  <si>
    <t>DNA damage induced cellular senescence and it's PTEN-armed exosomes-the warriors against prostate carcinoma cells</t>
  </si>
  <si>
    <t>MEDICAL ONCOLOGY</t>
  </si>
  <si>
    <t>Extracellular vesicles (EVs); Exosomes; Prostate carcinoma cells (PC3); PTEN; Cell cycle arrest; DNA damage</t>
  </si>
  <si>
    <t>DOWN-REGULATION; CANCER; GROWTH; PROLIFERATION; TUMORS</t>
  </si>
  <si>
    <t>Exosomes are one type of small extracellular vesicles (EVs) having a size range of 30-150 nm and secreted by the endosomal compartment of most eukaryotic cells. It has been found that exosomes (EVs) can serve as a communicating vehicle to transfer information among cells and thus can be associated with numerous physiological and pathological functions. In this study, we have isolated exosomes (EVs) from two different human cancer cell lines. Isolated exosomes (EVs) were characterized by scanning electron microscopy, nanoparticle tracking analysis, DLS, and by western blotting. It was observed that exosomes (EVs) isolated from mock-treated human lung epithelial carcinoma (A549) cells or HeLa cells exerted growth arrest to the human prostate carcinoma (PC3) cells, but no growth arrest was observed in case of normal human lung fibroblast cell line (WI-38). Additionally, exosomes (EVs) isolated from PC3 cells have no effect on PC3 cells. This is also true for exosomes (EVs) isolated from H2O2-induced senescent human lung cancer cells (A549). Analysis of exosome (EVs) content by western blotting reveals the presence of PTEN in the exosome (EVs) of lung cancer cells. Functional analysis of PTEN pathways in PC3 cells indicates the inactivation of Akt in exosome (EV)-treated cells. Therefore, from our study we have concluded that exosomes (EVs) secreted from A549 cells which contain functional PTEN may be used for delivery of PTEN to cancer cells without functional PTEN.</t>
  </si>
  <si>
    <t>[Chowdhury, Sougata Ghosh; Ray, Rachayeeta; Karmakar, Parimal] Jadavpur Univ, Dept Life Sci &amp; Biotechnol, Kolkata 700032, India; [Bhattacharya, Debalina] Maulana Azad Coll, Dept Microbiol, Kolkata 700013, India</t>
  </si>
  <si>
    <t>Jadavpur University</t>
  </si>
  <si>
    <t>Karmakar, P (corresponding author), Jadavpur Univ, Dept Life Sci &amp; Biotechnol, Kolkata 700032, India.</t>
  </si>
  <si>
    <t>pkarmakar_28@yahoo.co.in</t>
  </si>
  <si>
    <t>karmakar, parimal/0000-0002-9423-9906</t>
  </si>
  <si>
    <t>1357-0560</t>
  </si>
  <si>
    <t>1559-131X</t>
  </si>
  <si>
    <t>10.1007/s12032-021-01614-7</t>
  </si>
  <si>
    <t>WOS:000745033700007</t>
  </si>
  <si>
    <t>Barnes, B; Caws, T; Thomas, S; Shephard, AP; Corteling, R; Hole, P; Bracewell, DG</t>
  </si>
  <si>
    <t>Barnes, Benjamin; Caws, Thomas; Thomas, Samantha; Shephard, Alex P.; Corteling, Randolph; Hole, Paul; Bracewell, Daniel G.</t>
  </si>
  <si>
    <t>Investigating heparin affinity chromatography for extracellular vesicle purification and fractionation</t>
  </si>
  <si>
    <t>JOURNAL OF CHROMATOGRAPHY A</t>
  </si>
  <si>
    <t>Extracellular vesicles; Exosomes; Heparin; Purification; Isolation</t>
  </si>
  <si>
    <t>The purification of extracellular vesicles (EVs) remains a major hurdle in the progression of fundamental research and the commercial application of EV-based products. In this study, we evaluated the potential of heparin affinity chromatography (HAC) to purify neural stem cell-derived EVs as part of a multistep process. Bind-elute chromatography, such as HAC, is an attractive method of purification because it is highly scalable, robust and can be automated. Our findings support an interaction between EVs and heparin. The recovery of EVs using HAC based on particle counts was a minimum of 68.7%. We found HAC could remove on average 98.8% and 99.0% of residual protein and DNA respectively. In addition to EV purification, HAC was used to separate EVs into three populations based on their affinity to the heparin column. Within these populations, we detected differences in the expression of the exosome-associated protein TSG101 and the tetraspanin immunophenotype. However, the significance of these observations is not clear. Overall HAC shows promise as a potential purification method to capture EVs and this study proposes a novel application of HAC for EV fractionation. Moving forward, a better understanding of the heparin-EV interaction would be required before HAC can be more widely adopted for these applications (c) 2022 The Authors. Published by Elsevier B.V. This is an open access article under the CC BY license ( http://creativecommons.org/licenses/by/4.0/ )</t>
  </si>
  <si>
    <t>[Barnes, Benjamin; Bracewell, Daniel G.] UCL, Dept Biochem Engn, Bernard Katz Bldg,Gower St, London WC1E 6BT, England; [Caws, Thomas; Thomas, Samantha; Corteling, Randolph; Hole, Paul] ReNeuron, Pencoed Business Pk, Bridgend CF35 5HY, M Glam, Wales; [Thomas, Samantha] Swansea Univ, Med Sch, Inst Life Sci, Reprod Biol &amp; Gynaecol Oncol Grp, Singleton Pk, Swansea SA2 8PP, W Glam, Wales; [Shephard, Alex P.] NanoView Biosci, Malvern Hills Sci Pk, Geraldine Rd, Malvern WR14 3SZ, Worcs, England</t>
  </si>
  <si>
    <t>University of London; University College London; Swansea University</t>
  </si>
  <si>
    <t>Bracewell, DG (corresponding author), UCL, Dept Biochem Engn, Bernard Katz Bldg,Gower St, London WC1E 6BT, England.</t>
  </si>
  <si>
    <t>d.bracewell@ucl.ac.uk</t>
  </si>
  <si>
    <t>; Bracewell, Daniel/B-1988-2008</t>
  </si>
  <si>
    <t>Barnes, Benjamin/0000-0003-1917-0694; Bracewell, Daniel/0000-0003-3866-3304; Thomas, Samantha/0000-0001-6669-4031</t>
  </si>
  <si>
    <t>0021-9673</t>
  </si>
  <si>
    <t>1873-3778</t>
  </si>
  <si>
    <t>MAY 10</t>
  </si>
  <si>
    <t>10.1016/j.chroma.2022.462987</t>
  </si>
  <si>
    <t>Biochemical Research Methods; Chemistry, Analytical</t>
  </si>
  <si>
    <t>WOS:000790444300001</t>
  </si>
  <si>
    <t>Zorova, LD; Kovalchuk, SI; Popkov, VA; Chernikov, VP; Zharikova, AA; Khutornenko, AA; Zorov, SD; Plokhikh, KS; Zinovkin, RA; Evtushenko, EA; Babenko, VA; Pevzner, IB; Shevtsova, YA; Goryunov, KV; Plotnikov, EY; Silachev, DN; Sukhikh, GT; Zorov, DB</t>
  </si>
  <si>
    <t>Zorova, Ljubava D.; Kovalchuk, Sergei I.; Popkov, Vasily A.; Chernikov, Valery P.; Zharikova, Anastasia A.; Khutornenko, Anastasia A.; Zorov, Savva D.; Plokhikh, Konstantin S.; Zinovkin, Roman A.; Evtushenko, Ekaterina A.; Babenko, Valentina A.; Pevzner, Irina B.; Shevtsova, Yulia A.; Goryunov, Kirill V.; Plotnikov, Egor Y.; Silachev, Denis N.; Sukhikh, Gennady T.; Zorov, Dmitry B.</t>
  </si>
  <si>
    <t>Do Extracellular Vesicles Derived from Mesenchymal Stem Cells Contain Functional Mitochondria?</t>
  </si>
  <si>
    <t>stem cells; mesenchymal stromal cells; extracellular vesicles; exosomes; ectosomes; mitochondria</t>
  </si>
  <si>
    <t>COMPUTATIONAL PLATFORM; ACRIDINE-ORANGE; STROMAL CELLS; CARDIOMYOCYTES; MICROVESICLES; CARDIOLIPIN</t>
  </si>
  <si>
    <t>Extracellular vesicles (EV) derived from stem cells have become an effective complement to the use in cell therapy of stem cells themselves, which has led to an explosion of research into the mechanisms of vesicle formation and their action. There is evidence demonstrating the presence of mitochondrial components in EV, but a definitive conclusion about whether EV contains fully functional mitochondria has not yet been made. In this study, two EV fractions derived from mesenchymal stromal stem cells (MSC) and separated by their size were examined. Flow cytometry revealed the presence of mitochondrial lipid components capable of interacting with mitochondrial dyes MitoTracker Green and 10-nonylacridine orange; however, the EV response to the probe for mitochondrial membrane potential was negative. Detailed analysis revealed components from all mitochondria compartments, including house-keeping mitochondria proteins and DNA as well as energy-related proteins such as membrane-localized proteins of complexes I, IV, and V, and soluble proteins from the Krebs cycle. When assessing the functional activity of mitochondria, high variability in oxygen consumption was noted, which was only partially attributed to mitochondrial respiratory activity. Our findings demonstrate that the EV contain all parts of mitochondria; however, their independent functionality inside EV has not been confirmed, which may be due either to the absence of necessary cofactors and/or the EV formation process and, probably the methodology of obtaining EV.</t>
  </si>
  <si>
    <t>[Zorova, Ljubava D.; Popkov, Vasily A.; Zorov, Savva D.; Zinovkin, Roman A.; Babenko, Valentina A.; Pevzner, Irina B.; Plotnikov, Egor Y.; Silachev, Denis N.; Zorov, Dmitry B.] Lomonosov Moscow State Univ, AN Belozersky Inst Physicochem Biol, Moscow 119992, Russia; [Zorova, Ljubava D.; Popkov, Vasily A.; Khutornenko, Anastasia A.; Babenko, Valentina A.; Pevzner, Irina B.; Shevtsova, Yulia A.; Goryunov, Kirill V.; Plotnikov, Egor Y.; Silachev, Denis N.; Sukhikh, Gennady T.; Zorov, Dmitry B.] VI Kulakov Natl Med Res Ctr Obstet Gynecol &amp; Peri, Moscow 117997, Russia; [Kovalchuk, Sergei I.] Russian Acad Sci, Shemyakin Ovchinnikov Inst Bioorgan Chem, Moscow 117997, Russia; [Chernikov, Valery P.] AP Avtsyn Res Inst Human Morphol, Moscow 117418, Russia; [Zharikova, Anastasia A.; Zorov, Savva D.; Shevtsova, Yulia A.] Lomonosov Moscow State Univ, Fac Bioengn &amp; Bioinformat, Moscow 119992, Russia; [Plokhikh, Konstantin S.] Kurchatov Inst, Natl Res Ctr, Moscow 123182, Russia; [Evtushenko, Ekaterina A.] Lomonosov Moscow State Univ, Biol Fac, Moscow 119992, Russia</t>
  </si>
  <si>
    <t>Lomonosov Moscow State University; Russian Academy of Medical Sciences; Research Center for Obstetrics, Gynecology &amp; Perinatology; Russian Academy of Sciences; Institute of Bioorganic Chemistry of the Russian Academy of Sciences; Lomonosov Moscow State University; National Research Centre - Kurchatov Institute; Lomonosov Moscow State University</t>
  </si>
  <si>
    <t>Silachev, DN; Zorov, DB (corresponding author), Lomonosov Moscow State Univ, AN Belozersky Inst Physicochem Biol, Moscow 119992, Russia.;Silachev, DN; Zorov, DB (corresponding author), VI Kulakov Natl Med Res Ctr Obstet Gynecol &amp; Peri, Moscow 117997, Russia.</t>
  </si>
  <si>
    <t>lju_2003@list.ru; s.kovalchuk@ibch.ru; popkov.vas@gmail.com; 1200555@mail.ru; azharikova89@gmail.com; khutornenko@oparina4.ru; savva@belozersky.msu.ru; konstantin.plokhikh@phystech.edu; roman.zinovkin@gmail.com; trifonova@mail.bio.msu.ru; babenkova@belozersky.msu.ru; pevzner_ib@belozersky.msu.ru; yu_shevtsova@oparina4.ru; k_gorunov@oparina4.ru; plotnikov@belozersky.msu.ru; silachevdn@belozersky.msu.ru; g_sukhikh@oparina4.ru; zorov@belozersky.msu.ru</t>
  </si>
  <si>
    <t>Popkov, Vasily/N-9030-2016; Plotnikov, Egor/F-8592-2019</t>
  </si>
  <si>
    <t>Popkov, Vasily/0000-0003-2913-5091; Plotnikov, Egor/0000-0003-2838-3704; Plokhikh, Konstantin/0000-0002-9600-9733; Zorov, Dmitry/0000-0003-0863-8490</t>
  </si>
  <si>
    <t>10.3390/ijms23137408</t>
  </si>
  <si>
    <t>WOS:000824617200001</t>
  </si>
  <si>
    <t>Zhang, SY; Dong, Y; Wang, YX; Sun, WQ; Wei, MY; Yuan, LJ; Yang, GD</t>
  </si>
  <si>
    <t>Zhang, Siyan; Dong, Yan; Wang, Yixiao; Sun, Wenqi; Wei, Mengying; Yuan, Lijun; Yang, Guodong</t>
  </si>
  <si>
    <t>Selective Encapsulation of Therapeutic mRNA in Engineered Extracellular Vesicles by DNA Aptamer</t>
  </si>
  <si>
    <t>Extracellular vesicles; encapsulation; therapeutic mRNA; DNA aptamer; engineering; browning of white adipocytes; inflammatory bowel disease</t>
  </si>
  <si>
    <t>IN-VIVO; OBESITY; DELIVERY; BIOLOGY; IL-10</t>
  </si>
  <si>
    <t>Extracellular vesicles (EV)-based delivery of therapeutic mRNAs is challenged by the low loading efficiency. In this study, we designed a DNA aptamer consisting of two parts: the single strand part recognized the AUG region of target mRNA, preventing mRNA from translation and ribosome assembly; and the double strand part containing the elements recognized by the CD9-ZF (zinc finger) motifs, sorting DNA aptamer-mRNA complex into CD9-ZF engineered EVs. In vitro and in vivo studies revealed that the system could efficiently load functional mRNAs to the EVs. Furthermore, adipose specific delivery of loaded Pgc1 alpha mRNA via the strategy could efficiently induce white adipocyte browning. Similarly, delivery of interleukin-10 (Il-10) mRNA via the strategy had potent anti-inflammatory effect in inflammatory bowel disease (IBD) mouse model. Together, our study has proposed an efficient strategy to load therapeutic mRNAs of interest into EVs, which could be used as a promising strategy for gene therapy.</t>
  </si>
  <si>
    <t>[Zhang, Siyan; Wang, Yixiao; Sun, Wenqi; Yuan, Lijun] Fourth Mil Med Univ, Tangdu Hosp, Dept Ultrasound Diagnost, Xian 710038, Peoples R China; [Dong, Yan] Fourth Mil Med Univ, Tangdu Hosp, Dept Hematol, Xian 710038, Peoples R China; [Wei, Mengying; Yang, Guodong] Fourth Mil Med Univ, Dept Biochem &amp; Mol Biol, State Lab Canc Biol, Xian 710032, Peoples R China</t>
  </si>
  <si>
    <t>Yuan, LJ (corresponding author), Fourth Mil Med Univ, Tangdu Hosp, Dept Ultrasound Diagnost, Xian 710038, Peoples R China.;Yang, GD (corresponding author), Fourth Mil Med Univ, Dept Biochem &amp; Mol Biol, State Lab Canc Biol, Xian 710032, Peoples R China.</t>
  </si>
  <si>
    <t>yuanlj@fmmu.edu.cn; yanggd@fmmu.edu.cn</t>
  </si>
  <si>
    <t>Mengying, Wei/0000-0002-0445-9586</t>
  </si>
  <si>
    <t>OCT 27</t>
  </si>
  <si>
    <t>10.1021/acs.nanolett.1c01817</t>
  </si>
  <si>
    <t>OCT 2021</t>
  </si>
  <si>
    <t>WOS:000713060900005</t>
  </si>
  <si>
    <t>Matsumoto, A; Takahashi, Y; Ariizumi, R; Nishikawa, M; Takakura, Y</t>
  </si>
  <si>
    <t>Matsumoto, Akihiro; Takahashi, Yuki; Ariizumi, Reiichi; Nishikawa, Makiya; Takakura, Yoshinobu</t>
  </si>
  <si>
    <t>Development of DNA-anchored assembly of small extracellular vesicle for efficient antigen delivery to antigen presenting cells</t>
  </si>
  <si>
    <t>BIOMATERIALS</t>
  </si>
  <si>
    <t>Small extracellular vesicle (sEV); CpG-DNA; DNA nanotechnology; Assembly; Antigen presenting cell (APC); Immunotherapy</t>
  </si>
  <si>
    <t>B16BL6-DERIVED EXOSOMES; TUMOR; NANOPARTICLES; INJECTION; PROTEIN; SIZE</t>
  </si>
  <si>
    <t>Tumor-cell derived small extracellular vesicle (sEV) combined with immunostimulatory adjuvants may serve as a promising tumor vaccine through the induction of the cytotoxic T cell response. To achieve an efficient immune response, the prolonged tissue residence after intradermal injection followed by the sustained and efficient delivery of tumor-cell derived sEV combined with adjuvants to antigen-presenting cells (APCs) is a promising strategy. In the present study, we constructed a DNA-anchored sEV superstructure in which tumor-cell derived sEVs were assembled with each other to achieve prolonged tissue residence and the ability to encourage selective uptake by dendritic cells. We prepared sEVs modified with immunostimulatory CpG-DNA containing an additional sticky end (CpG-sEV). CpG-sEVs were mixed with an oligonucleotide duplex containing the sequence complementary to the sticky end of the CpG-DNA, resulting in the self-assembly of CpG-sEV into a micrometersized superstructure. The CpG-DNA anchored sEV assembly (CpG-sEV assembly) was selectively taken up by APCs, compared to tumor cells or fibroblast cells, and it efficiently activated dendritic cells in vitro. Moreover, CpG-sEV assembly formation significantly prolonged tissue residence and increased the immune responses of immunostimulatory CpG-DNA intradermally injected into mice. These results indicate that CpG-sEV assembly is an effective system which may be useful for tumor immunotherapy.</t>
  </si>
  <si>
    <t>[Matsumoto, Akihiro; Takahashi, Yuki; Ariizumi, Reiichi; Takakura, Yoshinobu] Kyoto Univ, Grad Sch Pharmaceut Sci, Dept Biopharmaceut &amp; Drug Metab, Kyoto, Japan; [Nishikawa, Makiya] Tokyo Univ Sci, Fac Pharmaceut Sci, Lab Biopharmaceut, Tokyo, Japan</t>
  </si>
  <si>
    <t>Kyoto University; Tokyo University of Science</t>
  </si>
  <si>
    <t>Takahashi, Y (corresponding author), Kyoto Univ, Grad Sch Pharmaceut Sci, Dept Biopharmaceut &amp; Drug Metab, Sakyo Ku, Kyoto 6068501, Japan.</t>
  </si>
  <si>
    <t>Takahashi, Yuki/0000-0002-8772-2772</t>
  </si>
  <si>
    <t>0142-9612</t>
  </si>
  <si>
    <t>1878-5905</t>
  </si>
  <si>
    <t>10.1016/j.biomaterials.2019.119518</t>
  </si>
  <si>
    <t>Engineering, Biomedical; Materials Science, Biomaterials</t>
  </si>
  <si>
    <t>Engineering; Materials Science</t>
  </si>
  <si>
    <t>WOS:000495519700019</t>
  </si>
  <si>
    <t>Barreiro, K; Huber, TB; Holthofer, H</t>
  </si>
  <si>
    <t>Gnudi, L; Long, DA</t>
  </si>
  <si>
    <t>Barreiro, Karina; Huber, Tobias B.; Holthofer, Harry</t>
  </si>
  <si>
    <t>Isolating Urinary Extracellular Vesicles as Biomarkers for Diabetic Disease</t>
  </si>
  <si>
    <t>DIABETIC NEPHROPATHY: METHODS AND PROTOCOLS</t>
  </si>
  <si>
    <t>Urinary extracellular vesicle isolation; Hydrostatic filtration dialysis; Electron microscopy; Transcriptomic; Proteomics</t>
  </si>
  <si>
    <t>CELL COMMUNICATION; EXOSOMES</t>
  </si>
  <si>
    <t>Extracellular vesicles are lipid bilayer enclosed structures secreted by all cell types. Their cargo includes proteins, lipids, RNAs, and DNA, which reflect the physiological state of their cells of origin. Recently, urinary extracellular vesicles have emerged as a valuable source of biomarkers for kidney and systemic disease. Unfortunately, all existing methods for extracellular vesicle isolation from urine are time consuming and/or expensive. Thus, they are not adaptable to large-scale studies and unsuitable for clinical use without special equipment in the laboratory. Recently, our group has devised a set of new, quick, simple, and inexpensive techniques, based on hydrostatic filtration dialysis (HFD) of urine extremely suitable for diagnostic purposes. This novel approach represents a great potential for new diagnostics and understanding disease biology in general and brings the biomarker detection to the scope of all laboratories.</t>
  </si>
  <si>
    <t>[Barreiro, Karina; Holthofer, Harry] Univ Helsinki, Finnish Inst Mol Med, Helsinki, Finland; [Huber, Tobias B.; Holthofer, Harry] Univ Med Ctr Hamburg Eppendorf, Dept Med, Hamburg, Germany</t>
  </si>
  <si>
    <t>University of Helsinki; University of Hamburg; University Medical Center Hamburg-Eppendorf</t>
  </si>
  <si>
    <t>Barreiro, K (corresponding author), Univ Helsinki, Finnish Inst Mol Med, Helsinki, Finland.</t>
  </si>
  <si>
    <t>Huber, Tobias B./0000-0001-7175-5062</t>
  </si>
  <si>
    <t>978-1-4939-9841-8; 978-1-4939-9840-1</t>
  </si>
  <si>
    <t>10.1007/978-1-4939-9841-8_13</t>
  </si>
  <si>
    <t>10.1007/978-1-4939-9841-8</t>
  </si>
  <si>
    <t>Biochemical Research Methods; Endocrinology &amp; Metabolism; Urology &amp; Nephrology</t>
  </si>
  <si>
    <t>Biochemistry &amp; Molecular Biology; Endocrinology &amp; Metabolism; Urology &amp; Nephrology</t>
  </si>
  <si>
    <t>WOS:000563322500014</t>
  </si>
  <si>
    <t>Chennakrishnaiah, S; Meehan, B; D'Asti, E; Montermini, L; Lee, TH; Karatzas, N; Buchanan, M; Tawil, N; Choi, D; Divangahi, M; Basik, M; Rak, J</t>
  </si>
  <si>
    <t>Chennakrishnaiah, S.; Meehan, B.; D'Asti, E.; Montermini, L.; Lee, T-H.; Karatzas, N.; Buchanan, M.; Tawil, N.; Choi, D.; Divangahi, M.; Basik, M.; Rak, J.</t>
  </si>
  <si>
    <t>Leukocytes as a reservoir of circulating oncogenic DNA and regulatory targets of tumor-derived extracellular vesicles</t>
  </si>
  <si>
    <t>JOURNAL OF THROMBOSIS AND HAEMOSTASIS</t>
  </si>
  <si>
    <t>extracellular vesicles; neutrophils; nucleosomes; oncogenes; thrombosis</t>
  </si>
  <si>
    <t>TISSUE FACTOR EXPRESSION; DOUBLE-STRANDED DNA; VENOUS THROMBOSIS; CANCER-CELLS; COLORECTAL-CANCER; PANCREATIC-CANCER; LIQUID BIOPSIES; H-RAS; MICROPARTICLES; EXOSOMES</t>
  </si>
  <si>
    <t>Background Tumor-derived extracellular vesicles (EVs) and free nucleosomes (NSs) carry into the circulation a wealth of cancer-specific, bioactive and poorly understood molecular cargoes, including genomic DNA (gDNA). Objective Here we investigated the distribution of extracellular oncogenic gDNA sequences (HRAS and HER2) in the circulation of tumor-bearing mice. Methods and Results Surprisingly, circulating leukocytes (WBCs), especially neutrophils, contained the highest levels of mutant gDNA, which exceeded the amount of this material recovered from soluble fractions of plasma, circulating EVs, platelets, red blood cells (RBCs) and peripheral organs, as quantified by digital droplet PCR (ddPCR). Tumor excision resulted in disappearance of the WBC-associated gDNA signal within 2-9 days, which is in line with the expected half-life of these cells. EVs and nucleosomes were essential for the uptake of tumor-derived extracellular DNA by neutrophil-like cells and impacted their phenotype. Indeed, the exposure of granulocytic HL-60 cells to EVs from HRAS-driven cancer cells resulted in a selective increase in tissue factor (TF) procoagulant activity and interleukin 8 (IL-8) production. The levels of circulating thrombin-antithrombin complexes (TAT) were markedly elevated in mice harboring HRAS-driven xenografts. Conclusions Myeloid cells may represent a hitherto unrecognized reservoir of cancer-derived, EV/NS-associated oncogenic gDNA in the circulation, and a possible novel platform for liquid biopsy in cancer. In addition, uptake of this material alters the phenotype of myeloid cells, induces procoagulant and proinflammatory activity and may contribute to systemic effects associated with cancer.</t>
  </si>
  <si>
    <t>[Chennakrishnaiah, S.; Meehan, B.; D'Asti, E.; Montermini, L.; Lee, T-H.; Karatzas, N.; Tawil, N.; Choi, D.; Rak, J.] McGill Univ, Hlth Ctr, Res Inst, Glen Site, Montreal, PQ, Canada; [Buchanan, M.; Basik, M.] Jewish Gen Hosp, Lady Davis Inst, Dept Oncol &amp; Surg, Montreal, PQ, Canada; [Divangahi, M.] McGill Univ Hlth Ctr, Dept Microbiol &amp; Immunol, Dept Pathol, Dept Med,McGill Int TB Ctr,Meakins Christie Labs, Montreal, PQ, Canada</t>
  </si>
  <si>
    <t>McGill University; Lady Davis Institute; McGill University; McGill University</t>
  </si>
  <si>
    <t>Rak, J (corresponding author), McGill Univ, Dept Pediat, 4060 Ste Catherine West, Montreal, PQ H3Z 2Z3, Canada.</t>
  </si>
  <si>
    <t>1538-7933</t>
  </si>
  <si>
    <t>1538-7836</t>
  </si>
  <si>
    <t>10.1111/jth.14222</t>
  </si>
  <si>
    <t>WOS:000443571100015</t>
  </si>
  <si>
    <t>Veraguas, D; Aguilera, C; Henriquez, C; Velasquez, AE; Melo-Baez, B; Silva-Ibanez, P; Castro, FO; Rodriguez-Alvarez, L</t>
  </si>
  <si>
    <t>Veraguas, Daniel; Aguilera, Constanza; Henriquez, Carlos; Velasquez, Alejandra E.; Melo-Baez, Barbara; Silva-Ibanez, Pedro; Castro, Fidel O.; Rodriguez-Alvarez, Lleretny</t>
  </si>
  <si>
    <t>Evaluation of extracellular vesicles and gDNA from culture medium as a possible indicator of developmental competence in human embryos</t>
  </si>
  <si>
    <t>ZYGOTE</t>
  </si>
  <si>
    <t>Chromosome abnormalities; Embryo quality; Exosomes; Microvesicles; Preimplantation diagnosis</t>
  </si>
  <si>
    <t>PREIMPLANTATION GENETIC DIAGNOSIS; IN-VITRO; MITOCHONDRIAL-DNA; BLASTOCOELE FLUID; EXOSOMES; ANEUPLOIDY; PREGNANCY; OUTCOMES; RATES; IVF</t>
  </si>
  <si>
    <t>Human embryos generated in vitro have a high incidence of chromosomal abnormalities that negatively affect pregnancy rate. Embryos generated in vitro secrete extracellular vesicles (EVs) into the culture medium that could be used potentially as indicators of embryo competence. This research aimed to evaluate the concentration and size of EVs and their gDNA content as an indicator of developmental competence in human embryos. Human embryos generated by intracytoplasmic sperm injection (ICSI) were classified morphologically as of either TOP, FAIR or POOR quality. Culture medium and developmentally arrested embryos (which were not able to be used for embryo transfer) were collected. Microvesicles, exosomes (MV/Exo) and apoptotic bodies (ABs) were isolated from culture medium. Nanoparticle tracking analysis (NTA) and array comparative genomic hybridization (aCGH) analysis were performed to evaluate EVs and their gDNA content. From NTA, the diameter (mean) of MVs/Exo from TOP quality embryos was higher (112.17 nm) compared with that of FAIR (108.02) and POOR quality embryos (102.78 nm) (P &lt; 0.05). aCGH analysis indicated that MVs/Exo and ABs carried gDNA with the presence of 23 chromosome pairs. However, when arrested embryos were compared with their respective MVs/Exo and ABs, the latter had an increased rate of chromosomal abnormalities (24.9%) compared with embryos (8.7%) (P &lt; 0.05). In conclusion, the size of EVs from culture medium might be an alternative for evaluating competence of human embryos, however more studies are needed to validate the use of gDNA from EVs as an indicator of embryo competence.</t>
  </si>
  <si>
    <t>[Veraguas, Daniel; Aguilera, Constanza; Velasquez, Alejandra E.; Melo-Baez, Barbara; Silva-Ibanez, Pedro; Castro, Fidel O.; Rodriguez-Alvarez, Lleretny] Univ Concepcion, Chillan, Chile; [Henriquez, Carlos; Velasquez, Alejandra E.] Ctr Reprod Asistida &amp; Especialidades Mujer CRAM, Concepcion, Chile</t>
  </si>
  <si>
    <t>Universidad de Concepcion</t>
  </si>
  <si>
    <t>Rodriguez-Alvarez, L (corresponding author), Univ Concepcion, Chillan, Chile.</t>
  </si>
  <si>
    <t>llrodriguez@udec.cl</t>
  </si>
  <si>
    <t>Velasquez Ordenes, Alejandra Estela/0000-0003-2230-6417; Veraguas, Daniel/0000-0003-3401-1237; Melo-Baez, Barbara/0000-0002-6716-2843</t>
  </si>
  <si>
    <t>0967-1994</t>
  </si>
  <si>
    <t>1469-8730</t>
  </si>
  <si>
    <t>PII S0967199420000593</t>
  </si>
  <si>
    <t>10.1017/S0967199420000593</t>
  </si>
  <si>
    <t>Cell Biology; Developmental Biology; Reproductive Biology</t>
  </si>
  <si>
    <t>WOS:000646755300007</t>
  </si>
  <si>
    <t>Sykaras, AG; Christofidis, K; Politi, E; Theocharis, S</t>
  </si>
  <si>
    <t>Sykaras, Alexandros G.; Christofidis, Konstantinos; Politi, Ekaterini; Theocharis, Stamatios</t>
  </si>
  <si>
    <t>Exosomes on Endometrial Cancer: A Biomarkers Treasure Trove?</t>
  </si>
  <si>
    <t>endometrial cancer; extracellular vesicles; exosomes; liquid biopsy; biomarkers; microRNA</t>
  </si>
  <si>
    <t>LIQUID BIOPSY; EXPRESSION; MICRORNAS; PROLIFERATION; CLASSIFICATION; INVASION; OUTCOMES; HYPOXIA; OVARIAN; CELLS</t>
  </si>
  <si>
    <t>Simple Summary Endometrial cancer (EC) is one of the main causes of cancer-related death among women. Despite the advances in gynecologic oncology, the incidence of EC is on the rise, and the relative 5-year survival remains unchanged in the last decade. This creates an urgent need for a deeper understanding of the pathogenesis of EC that will result in new diagnostic and therapeutic approaches. Ideally, we need biomarkers of clinical value that can be analyzed in non-invasive ways. Exosomes are abundant in biological fluids and are considered as a valuable source of biomarkers. Exosomes are extracellular vesicles that originate from cells and function as shuttles, transferring biomolecules between cells. These biomolecules have a critical role in the cancer pathogenesis and progression and in regulating the tumor cells' proliferation and metastasis, and they represent attractive therapeutic targets. Here, we review the functions of exosomes in EC, focusing on the potential biomarkers of diagnostic and prognostic significance or potential therapeutic use. Endometrial cancer (EC) is one of the main causes of cancer-related death among women. In the last decade, the incidence of EC is on the rise, and the relative 5-year survival remains unchanged. This creates a dire need for new diagnostic and therapeutic approaches that can only result from a deeper understanding of the pathogenesis of the disease. In this direction, exosomes are under heavy research, with two main aims: to identify the potential diagnostic and prognostic markers and to develop technologies based on their use as therapeutic vectors targeting EC cells. Exosomes are widely available in all bodily fluids and are sources of ideal biomarkers for liquid biopsies. They are extracellular vesicles containing DNA, RNA, lipids, and proteins, which they transfer between cells, serving multiple functions and being implicated in both the physiological processes and the pathogenesis of diseases. Of all the biomolecules contained in exosomes, microRNAs (miRNAs) seem to have the most clinical utility in the diagnosis and treatment of EC. Exosomal miRNAs mediate the communication between EC cells, cancer-associated fibroblasts (CAFs), and tumor-associated macrophages (TAMs) and have a pivotal role in the tumor cells' proliferation, epithelial to mesenchymal transition (EMT), and the formation of a tumor microenvironment. They participate in many processes that are tied to carcinogenesis and cancer progression, and they are therefore considered as attractive therapeutic targets. Here, we review the functions of exosomes in EC, focusing on potential biomarkers of diagnostic and prognostic significance or potential therapeutic use.</t>
  </si>
  <si>
    <t>[Sykaras, Alexandros G.; Christofidis, Konstantinos; Theocharis, Stamatios] Natl &amp; Kapodistrian Univ Athens, Med Sch, Dept Pathol 1, Athens 11527, Greece; [Sykaras, Alexandros G.; Politi, Ekaterini] Natl &amp; Kapodistrian Univ Athens, Aretaieion Hosp, Med Sch, Dept Cytopathol, Athens 11528, Greece</t>
  </si>
  <si>
    <t>Theocharis, S (corresponding author), Natl &amp; Kapodistrian Univ Athens, Med Sch, Dept Pathol 1, Athens 11527, Greece.</t>
  </si>
  <si>
    <t>alexander.sykaras@gmail.com; konstantinos.christofidis@gmail.com; ekpoliti@med.uoa.gr; stamtheo@med.uoa.gr</t>
  </si>
  <si>
    <t>Christofidis, Konstantinos/0000-0002-8074-8419; Sykaras, Alexandros/0000-0002-2972-0138</t>
  </si>
  <si>
    <t>10.3390/cancers14071733</t>
  </si>
  <si>
    <t>WOS:000780547500001</t>
  </si>
  <si>
    <t>Ofir-Birin, Y; Abou Karam, P; Rudik, A; Giladi, T; Porat, Z; Regev-Rudzki, N</t>
  </si>
  <si>
    <t>Ofir-Birin, Yifat; Abou Karam, Paula; Rudik, Ariel; Giladi, Tal; Porat, Ziv; Regev-Rudzki, Neta</t>
  </si>
  <si>
    <t>Monitoring extracellular Vesicle Cargo Active Uptake by Imaging Flow Cytometry</t>
  </si>
  <si>
    <t>FRONTIERS IN IMMUNOLOGY</t>
  </si>
  <si>
    <t>extracellular vesicles; imaging flow cytometry; malaria; Plasmodium falciparum; vesicle uptake</t>
  </si>
  <si>
    <t>EXOSOMES; COMMUNICATION; CELLS</t>
  </si>
  <si>
    <t>Extracellular vesicles are essential for long distance cell-cell communication. They function as carriers of different compounds, including proteins, lipids and nucleic acids. Pathogens, like malaria parasites (Plasmodium falciparum, Pf), excel in employing vesicle release to mediate cell communication in diverse processes, particularly in manipulating the host response. Establishing research tools to study the interface between pathogen-derived vesicles and their host recipient cells will greatly benefit the scientific community. Here, we present an imaging flow cytometry (IFC) method for monitoring the uptake of malaria-derived vesicles by host immune cells. By staining different cargo components, we were able to directly track the cargo's internalization over time and measure the kinetics of its delivery. Impressively, we demonstrate that this method can be used to specifically monitor the translocation of a specific protein within the cellular milieu upon internalization of parasitic cargo; namely, we were able to visually observe how uptaken parasitic Pf-DNA cargo leads to translocation of transcription factor IRF3 from the cytosol to the nucleus within the recipient immune cell. Our findings demonstrate that our method can be used to study cellular dynamics upon vesicle uptake in different host-pathogen and pathogen-pathogen systems.</t>
  </si>
  <si>
    <t>[Ofir-Birin, Yifat; Abou Karam, Paula; Rudik, Ariel; Giladi, Tal; Regev-Rudzki, Neta] Weizmann Inst Sci, Fac Biochem, Dept Biomol Sci, Rehovot, Israel; [Porat, Ziv] Weizmann Inst Sci, Flow Cytometry Unit, Life Sci Core Facil, Rehovot, Israel</t>
  </si>
  <si>
    <t>Weizmann Institute of Science; Weizmann Institute of Science</t>
  </si>
  <si>
    <t>Regev-Rudzki, N (corresponding author), Weizmann Inst Sci, Fac Biochem, Dept Biomol Sci, Rehovot, Israel.;Porat, Z (corresponding author), Weizmann Inst Sci, Flow Cytometry Unit, Life Sci Core Facil, Rehovot, Israel.</t>
  </si>
  <si>
    <t>ziv.porat@weizmann.ac.il; neta.regev-rudzki@weizmann.ac.il</t>
  </si>
  <si>
    <t>Porat, Ziv/K-1672-2012</t>
  </si>
  <si>
    <t>Porat, Ziv/0000-0003-3059-181X</t>
  </si>
  <si>
    <t>1664-3224</t>
  </si>
  <si>
    <t>MAY 24</t>
  </si>
  <si>
    <t>10.3389/fimmu.2018.01011</t>
  </si>
  <si>
    <t>Immunology</t>
  </si>
  <si>
    <t>WOS:000432943000002</t>
  </si>
  <si>
    <t>McGough, IJ; Vincent, JP</t>
  </si>
  <si>
    <t>McGough, Ian John; Vincent, Jean-Paul</t>
  </si>
  <si>
    <t>Exosomes in developmental signalling</t>
  </si>
  <si>
    <t>DEVELOPMENT</t>
  </si>
  <si>
    <t>Exosomes; Hedgehog; Signalling; WNT</t>
  </si>
  <si>
    <t>CELL-DERIVED EXOSOMES; LONG-RANGE ACTIVITY; SONIC-HEDGEHOG; CHOLESTEROL MODIFICATION; EXTRACELLULAR VESICLES; ESCRT-III; RETICULOCYTE MATURATION; MEDIATED ENDOCYTOSIS; TRANSFERRIN RECEPTOR; DROSOPHILA ORTHOLOG</t>
  </si>
  <si>
    <t>In order to achieve coordinated growth and patterning during development, cells must communicate with one another, sending and receiving signals that regulate their activities. Such developmental signals can be soluble, bound to the extracellular matrix, or tethered to the surface of adjacent cells. Cells can also signal by releasing exosomes - extracellular vesicles containing bioactive molecules such as RNA, DNA and enzymes. Recent work has suggested that exosomes can also carry signalling proteins, including ligands of the Notch receptor and secreted proteins of the Hedgehog and WNT families. Here, we describe the various types of exosomes and their biogenesis. We then survey the experimental strategies used so far to interfere with exosome formation and critically assess the role of exosomes in developmental signalling.</t>
  </si>
  <si>
    <t>[McGough, Ian John; Vincent, Jean-Paul] Francis Crick Inst, Mill Hill Lab, Lab Epithelial Interact, London NW7 1AA, England</t>
  </si>
  <si>
    <t>Francis Crick Institute</t>
  </si>
  <si>
    <t>Vincent, JP (corresponding author), Francis Crick Inst, Mill Hill Lab, Lab Epithelial Interact, London NW7 1AA, England.</t>
  </si>
  <si>
    <t>jp.vincent@crick.ac.uk</t>
  </si>
  <si>
    <t>McGough, Ian/AAW-6299-2020</t>
  </si>
  <si>
    <t>McGough, Ian/0000-0002-4622-5358</t>
  </si>
  <si>
    <t>0950-1991</t>
  </si>
  <si>
    <t>1477-9129</t>
  </si>
  <si>
    <t>JUL 15</t>
  </si>
  <si>
    <t>10.1242/dev.126516</t>
  </si>
  <si>
    <t>Developmental Biology</t>
  </si>
  <si>
    <t>WOS:000392715600002</t>
  </si>
  <si>
    <t>Lee, JH; Yoon, JY; Lee, JH; Lee, HH; Knowles, JC; Kim, HW</t>
  </si>
  <si>
    <t>Lee, Jung-Hwan; Yoon, Ji-Young; Lee, Jun Hee; Lee, Hae-Hyoung; Knowles, Jonathan C.; Kim, Hae-Won</t>
  </si>
  <si>
    <t>Emerging biogenesis technologies of extracellular vesicles for tissue regenerative therapeutics</t>
  </si>
  <si>
    <t>JOURNAL OF TISSUE ENGINEERING</t>
  </si>
  <si>
    <t>Extracellular vesicles; therapeutics; biogenesis technologies; tissue regeneration</t>
  </si>
  <si>
    <t>EXOSOME SECRETION; STEM-CELLS; MICRORNA; FORCES</t>
  </si>
  <si>
    <t>Extracellular vesicles (EVs), including exosomes, carry the genetic packages of RNA, DNA, and proteins and are heavily involved in cell-cell communications and intracellular signalings. Therefore, EVs are spotlighted as therapeutic mediators for the treatment of injured and dysfunctional tissues as well as biomarkers for the detection of disease status and progress. Several key issues in EVs, including payload content and bioactivity, targeting and bio-imaging ability, and mass-production, need to be improved to enable effective therapeutics and clinical translation. For this, significant efforts have been made recently, including genetic modification, biomolecular and chemical treatment, application of physical/mechanical cues, and 3D cultures. Here we communicate those recent technological advances made mainly in the biogenesis process of EVs or at post-collection stages, which ultimately aimed to improve the therapeutic efficacy in tissue healing and disease curing and the possibility of clinical translation. This communication will help tissue engineers and biomaterial scientists design and produce EVs optimally for tissue regenerative therapeutics.</t>
  </si>
  <si>
    <t>[Lee, Jung-Hwan; Yoon, Ji-Young; Lee, Jun Hee; Lee, Hae-Hyoung; Kim, Hae-Won] Dankook Univ, Inst Tissue Regenerat Engn ITREN, Chungcheongnam Do 31116, Cheonan, South Korea; [Lee, Jung-Hwan; Yoon, Ji-Young; Lee, Jun Hee; Kim, Hae-Won] Dankook Univ, Dept Nanobiomed Sci, Chungcheongnam Do, Cheonan, South Korea; [Lee, Jung-Hwan; Yoon, Ji-Young; Lee, Jun Hee; Kim, Hae-Won] Dankook Univ, BK21 FOUR NBM Global Res Ctr Regenerat Med, Chungcheongnam Do, Cheonan, South Korea; [Lee, Jung-Hwan; Lee, Hae-Hyoung; Kim, Hae-Won] Dankook Univ, Coll Dent, Dept Biomat Sci, Chungcheongnam Do, Cheonan, South Korea; [Lee, Jung-Hwan; Lee, Jun Hee; Kim, Hae-Won] Dankook Univ, Coll Dent, Dept Regenerat Dent Med, Chungcheongnam Do, Cheonan, South Korea; [Lee, Jung-Hwan; Lee, Jun Hee; Kim, Hae-Won] Dankook Univ, Cell &amp; Matter Inst, Chungcheongnam Do, Cheonan, South Korea; [Lee, Jung-Hwan; Lee, Jun Hee; Lee, Hae-Hyoung; Knowles, Jonathan C.; Kim, Hae-Won] Dankook Univ, UCL Eastman Korea Dent Med Innovat Ctr, Chungcheongnam Do, Cheonan, South Korea; [Knowles, Jonathan C.] UCL, Royal Free Hosp, Eastman Dent Inst, Div Biomat &amp; Tissue Engn, London, England; [Knowles, Jonathan C.] UCL, Discoveries Ctr Regenerat &amp; Precis Med, Eastman Dent Inst, London, England</t>
  </si>
  <si>
    <t>Dankook University; Dankook University; Dankook University; Dankook University; Dankook University; Dankook University; Dankook University; University of London; University College London; Royal Free London NHS Foundation Trust; UCL Medical School; University of London; University College London</t>
  </si>
  <si>
    <t>Lee, JH; Kim, HW (corresponding author), Dankook Univ, Inst Tissue Regenerat Engn ITREN, Chungcheongnam Do 31116, Cheonan, South Korea.</t>
  </si>
  <si>
    <t>ducious@gmail.com; kimhw@dku.edu</t>
  </si>
  <si>
    <t>Lee, Jung-Hwan/AFK-0831-2022; Knowles, Jonathan Campbell/B-9019-2008</t>
  </si>
  <si>
    <t>Lee, Jung-Hwan/0000-0001-8678-5459; Knowles, Jonathan Campbell/0000-0003-3917-3446; Kim, Hae-Won/0000-0001-6400-6100</t>
  </si>
  <si>
    <t>2041-7314</t>
  </si>
  <si>
    <t>10.1177/20417314211019015</t>
  </si>
  <si>
    <t>Cell &amp; Tissue Engineering</t>
  </si>
  <si>
    <t>WOS:000687827200001</t>
  </si>
  <si>
    <t>De Carolis, S; Storci, G; Ceccarelli, C; Savini, C; Gallucci, L; Sansone, P; Santini, D; Seracchioli, R; Taffurelli, M; Fabbri, F; Romani, F; Compagnone, G; Giuliani, C; Garagnani, P; Bonafe, M; Cricca, M</t>
  </si>
  <si>
    <t>De Carolis, Sabrina; Storci, Gianluca; Ceccarelli, Claudio; Savini, Claudia; Gallucci, Lara; Sansone, Pasquale; Santini, Donatella; Seracchioli, Renato; Taffurelli, Mario; Fabbri, Francesco; Romani, Fabrizio; Compagnone, Gaetano; Giuliani, Cristina; Garagnani, Paolo; Bonafe, Massimiliano; Cricca, Monica</t>
  </si>
  <si>
    <t>HPV DNA Associates With Breast Cancer Malignancy and It Is Transferred to Breast Cancer Stromal Cells by Extracellular Vesicles</t>
  </si>
  <si>
    <t>FRONTIERS IN ONCOLOGY</t>
  </si>
  <si>
    <t>Human Papillomavirus (HPV); extracellular vesicles (EVs); triple negative BC; stromal cells; circulating HPV DNA</t>
  </si>
  <si>
    <t>HUMAN-PAPILLOMAVIRUS DNA; VIRAL-INFECTIONS; EXOSOMES; SECRETION; RADIATION</t>
  </si>
  <si>
    <t>A causal link between Human Papillomavirus (HPV) and breast cancer (BC) remains controversial. In spite of this, the observation that HPV DNA is over-represented in the Triple Negative (TN) BC has been reported. Here we remark the high prevalence of HPV DNA (44.4%) in aggressive BC subtypes (TN and HER2+) in a population of 273 Italian women and we convey the presence of HPV DNA in the epithelial and stromal compartments by in situ hybridization. As previously reported, we also found that serum derived-extracellular vesicles (EVs) from BC affected patients contain HPV DNA. Interestingly, in one TNBC patient, the same HPV DNA type was detected in the serum-derived EVs, cervical and BC tissue samples. Then, we report that HPV DNA can be transferred by EVs to recipient BC stromal cells that show an activated phenotype (e.g., CD44, IL6 expression) and an enhanced capability to sustain mammospheres (MS) formation. These data suggest that HPV DNA vehiculated by EVs is a potential trigger for BC niche aggressiveness.</t>
  </si>
  <si>
    <t>[De Carolis, Sabrina; Storci, Gianluca; Ceccarelli, Claudio; Savini, Claudia; Giuliani, Cristina; Garagnani, Paolo; Bonafe, Massimiliano; Cricca, Monica] Univ Bologna, Dept Expt Diagnost &amp; Specialty Med, Bologna, Italy; [De Carolis, Sabrina; Storci, Gianluca; Bonafe, Massimiliano] St Orsola Marcello Malpighi Hosp, Ctr Appl Biomed Res CRBA, Bologna, Italy; [Savini, Claudia; Sansone, Pasquale] Mem Sloan Kettering Canc Ctr, Dept Med, 1275 York Ave, New York, NY 10021 USA; [Gallucci, Lara] Univ Hosp Heidelberg, CIID, Dept Infect Dis, Integrat Virol, Heidelberg, Germany; [Sansone, Pasquale] Weill Cornell Med, Childrens Canc &amp; Blood Fdn Labs, New York, NY USA; [Santini, Donatella] St Orsola Marcello Malpighi Hosp, Operat Unit Pathol, Bologna, Italy; [Seracchioli, Renato; Taffurelli, Mario] Univ Bologna, Dept Med &amp; Surg Sci, Bologna, Italy; [Fabbri, Francesco] IRCCS, Ist Sci Romagnolo Studio &amp; Cura Tumori IRST, Biosci Lab, Medola, Italy; [Romani, Fabrizio; Compagnone, Gaetano] S Orsola Malpighi Univ Hosp, Dept Med Phys, Bologna, Italy; [Giuliani, Cristina; Garagnani, Paolo] Univ Bologna, Interdept Ctr L Galvani CIG, Bologna, Italy</t>
  </si>
  <si>
    <t>University of Bologna; IRCCS Azienda Ospedaliero-Universitaria di Bologna; Memorial Sloan Kettering Cancer Center; Ruprecht Karls University Heidelberg; Cornell University; IRCCS Azienda Ospedaliero-Universitaria di Bologna; University of Bologna; IRCCS Meldola (IRST); IRCCS Azienda Ospedaliero-Universitaria di Bologna; University of Bologna</t>
  </si>
  <si>
    <t>Bonafe, M; Cricca, M (corresponding author), Univ Bologna, Dept Expt Diagnost &amp; Specialty Med, Bologna, Italy.;Bonafe, M (corresponding author), St Orsola Marcello Malpighi Hosp, Ctr Appl Biomed Res CRBA, Bologna, Italy.</t>
  </si>
  <si>
    <t>massimiliano.bonafe@unibo.it; monica.cricca3@unibo.it</t>
  </si>
  <si>
    <t>ceccarelli, claudio/AAS-6105-2020; Santini, Donatella/AAO-1490-2021; Fabbri, Francesco/K-1751-2018</t>
  </si>
  <si>
    <t>ceccarelli, claudio/0000-0003-0743-2087; Fabbri, Francesco/0000-0002-7885-3025; Giuliani, Cristina/0000-0002-5318-6502; STORCI, GIANLUCA/0000-0001-5145-3091; santini, donatella/0000-0002-1692-6348; Gallucci, Lara/0000-0001-6032-2675</t>
  </si>
  <si>
    <t>2234-943X</t>
  </si>
  <si>
    <t>SEP 16</t>
  </si>
  <si>
    <t>10.3389/fonc.2019.00860</t>
  </si>
  <si>
    <t>WOS:000486516900001</t>
  </si>
  <si>
    <t>Nazarenko, I; Rupp, AK; Altevogt, P</t>
  </si>
  <si>
    <t>Malek, A; Tchernitsa, O</t>
  </si>
  <si>
    <t>Nazarenko, Irina; Rupp, Anne-Kathleen; Altevogt, Peter</t>
  </si>
  <si>
    <t>Exosomes as a Potential Tool for a Specific Delivery of Functional Molecules</t>
  </si>
  <si>
    <t>OVARIAN CANCER: METHODS AND PROTOCOLS</t>
  </si>
  <si>
    <t>Exosomes; Microvesicles; Exosome uptake; Exosome labelling; Ovarian cancer; Cell-specific delivery</t>
  </si>
  <si>
    <t>VESICLES; MICROVESICLES; BIOGENESIS; SECRETION; BLOOD; CELLS</t>
  </si>
  <si>
    <t>Extracellular membrane vesicles derived from the endosomal compartments and released by the fusion of the multivesicular bodies with the cell membrane are referred as exosomes (Exo) [Van Niel et al., J Biochem 140:13-21, 2006]. They function as mediators of intercellular communication and are employed by the organism in the regulation of systemic and local processes. Meantime, Exo are recognized as an indispensable entity of physiological fluids [Caby et al., Int Immunol 17:879-887, 2005; Lasser et al., J Transl Med 9:9, 2011; Lasser et al., Am J Rhinol Allergy 25:89-93, 2011]. Exo and other types of extracellular vesicles, e. g., exosome-like vesicles [van Niel et al., Gastroenterology 121:337-349, 2001] and microvesicles (MV) [Daveloose et al., Thromb Res 22:195-201, 1981], contain multiple functional molecules including lipids [Vidal et al., J Cell Physiol 140:455-462, 1989]; proteins [Simpson et al., Expert Rev Proteomics 6:267-283, 2009]; mRNA [Valadi et al., Nat Cell Biol 9:654-659, 2007]; DNA [Waldenstrom et al., PLoS One 7:e34653, 2012]; noncoding RNA, e. g., miRNA [Simpson et al., Expert Rev Proteomics 6:267-283, 2009]; and retrotransposon elements [Balaj et al., Nat Commun 2:180, 2011]. Assessment of the biological functions of Exo showed that they deliver specifically their cargo from the donor to recipient cells. Albeit the molecular mechanisms of this process are not fully understood, approaches for the application of Exo and MV as a tool for a cell-specific delivery of signalling molecules were successfully tested in in vitro and in vivo models [Maguire et al., Mol Ther 20:960-971, 2012]. Ovarian cancer cells release Exo, which bind stroma cells as well as donor cancer cells [Escrevente et al., BMC Cancer 11:108, 2011]. Here we describe an experimental approach for the assessment of Exo interaction and uptake by target cells. Methods for the isolation and purification of Exo from cell culture supernatants are included. To allow visualization of vesicle uptake, labelling of Exo with different fluorescent dyes, such as CFSE, PKH, DHPE, and DiOC 18, is presented. Finally, we explain qualitative and quantitative analysis of Exo uptake by immunofluorescence and flow cytometry, respectively.</t>
  </si>
  <si>
    <t>[Nazarenko, Irina] Univ Freiburg, Med Ctr, Dept Environm Hlth Sci, Freiburg, Germany; [Rupp, Anne-Kathleen; Altevogt, Peter] German Canc Res Ctr, Heidelberg, Germany</t>
  </si>
  <si>
    <t>University of Freiburg; Helmholtz Association; German Cancer Research Center (DKFZ)</t>
  </si>
  <si>
    <t>Nazarenko, I (corresponding author), Univ Freiburg, Med Ctr, Dept Environm Hlth Sci, Freiburg, Germany.</t>
  </si>
  <si>
    <t>Nazarenko, Irina/E-5714-2010</t>
  </si>
  <si>
    <t>Nazarenko, Irina/0000-0002-2633-1161</t>
  </si>
  <si>
    <t>978-1-62703-547-7; 978-1-62703-546-0</t>
  </si>
  <si>
    <t>10.1007/978-1-62703-547-7_37</t>
  </si>
  <si>
    <t>10.1007/978-1-62703-547-7</t>
  </si>
  <si>
    <t>WOS:000325614400038</t>
  </si>
  <si>
    <t>Mensa, E; Guescini, M; Giuliani, A; Bacalini, MG; Ramini, D; Corleone, G; Ferracin, M; Fulgenzi, G; Graciotti, L; Prattichizzo, F; Sorci, L; Battistelli, M; Monsurro, V; Bonfigli, AR; Cardelli, M; Recchioni, R; Marcheselli, F; Latini, S; Maggio, S; Fanelli, M; Amatori, S; Storci, G; Ceriello, A; Stocchi, V; De Luca, M; Magnani, L; Rippo, MR; Procopio, AD; Sala, C; Budimir, I; Bassi, C; Negrini, M; Garagnani, P; Franceschi, C; Sabbatinelli, J; Bonafe, M; Olivieri, F</t>
  </si>
  <si>
    <t>Mensa, Emanuela; Guescini, Michele; Giuliani, Angelica; Bacalini, Maria Giulia; Ramini, Deborah; Corleone, Giacomo; Ferracin, Manuela; Fulgenzi, Gianluca; Graciotti, Laura; Prattichizzo, Francesco; Sorci, Leonardo; Battistelli, Michela; Monsurro, Vladia; Bonfigli, Anna Rita; Cardelli, Maurizio; Recchioni, Rina; Marcheselli, Fiorella; Latini, Silvia; Maggio, Serena; Fanelli, Mirco; Amatori, Stefano; Storci, Gianluca; Ceriello, Antonio; Stocchi, Vilberto; De Luca, Maria; Magnani, Luca; Rippo, Maria Rita; Procopio, Antonio Domenico; Sala, Claudia; Budimir, Iva; Bassi, Cristian; Negrini, Massimo; Garagnani, Paolo; Franceschi, Claudio; Sabbatinelli, Jacopo; Bonafe, Massimiliano; Olivieri, Fabiola</t>
  </si>
  <si>
    <t>Small extracellular vesicles deliver miR-21 and miR-217 as pro-senescence effectors to endothelial cells</t>
  </si>
  <si>
    <t>Cellular senescence; microRNAs; DNMT1; SIRT1; extracellular vesicles</t>
  </si>
  <si>
    <t>CELLULAR SENESCENCE; DNA; MICRORNAS; EXOSOMES; CANCER; PERSPECTIVE; MECHANISMS; EXPRESSION; CONTRIBUTE; MARKER</t>
  </si>
  <si>
    <t>The role of epigenetics in endothelial cell senescence is a cutting-edge topic in ageing research. However, little is known of the relative contribution to pro-senescence signal propagation provided by microRNAs shuttled by extracellular vesicles (EVs) released from senescent cells. Analysis of microRNA and DNA methylation profiles in non-senescent (control) and senescent (SEN) human umbilical vein endothelial cells (HUVECs), and microRNA profiling of their cognate small EVs (sEVs) and large EVs demonstrated that SEN cells released a significantly greater sEV number than control cells. sEVs were enriched in miR-21-5p and miR-217, which target DNMT1 and SIRT1. Treatment of control cells with SEN sEVs induced a miR-21/miR-217-related impairment of DNMT1-SIRT1 expression, the reduction of proliferation markers, the acquisition of a senescent phenotype and a partial demethylation of the locus encoding for miR-21. MicroRNA profiling of sEVs from plasma of healthy subjects aged 40-100 years showed an inverse U-shaped age-related trend for miR-21-5p, consistent with senescence-associated biomarker profiles. Our findings suggest that miR-21-5p/miR-217 carried by SEN sEVs spread pro-senescence signals, affecting DNA methylation and cell replication.</t>
  </si>
  <si>
    <t>[Mensa, Emanuela; Giuliani, Angelica; Ramini, Deborah; Fulgenzi, Gianluca; Graciotti, Laura; Latini, Silvia; Rippo, Maria Rita; Procopio, Antonio Domenico; Sabbatinelli, Jacopo; Olivieri, Fabiola] Univ Politecn Marche, Dept Clin &amp; Mol Sci, Via Tronto 10-A, Ancona, Italy; [Guescini, Michele; Battistelli, Michela; Maggio, Serena; Stocchi, Vilberto] Univ Urbino Carlo Bo, Dept Biomol Sci, Urbino, Italy; [Bacalini, Maria Giulia; Franceschi, Claudio] IRCCS Ist Sci Neurol Bologna, Bologna, Italy; [Corleone, Giacomo; Magnani, Luca] Imperial Coll London, Dept Surg &amp; Canc, London, England; [Ferracin, Manuela; Storci, Gianluca; Garagnani, Paolo; Bonafe, Massimiliano] Univ Bologna, Dept Expt Diagnost &amp; Specialty Med, Bologna, Italy; [Prattichizzo, Francesco; Ceriello, Antonio] IRCCS MultiMed, Milan, Italy; [Sorci, Leonardo] Univ Politecn Marche, Dept Mat Environm Sci &amp; Urban Planning, Ancona, Italy; [Monsurro, Vladia] Univ Verona, Dept Med, Verona, Italy; [Bonfigli, Anna Rita] IRCCS INRCA, Sci Direct, Ancona, Italy; [Cardelli, Maurizio] IRCCS INRCA, Adv Technol Ctr Aging Res, Sci Technol Area, Ancona, Italy; [Recchioni, Rina; Marcheselli, Fiorella; Procopio, Antonio Domenico; Olivieri, Fabiola] IRCCS INRCA, Ctr Clin Pathol &amp; Innovat Therapy, Ancona, Italy; [Fanelli, Mirco; Amatori, Stefano] Univ Urbino Carlo Bo, Dept Biomol Sci, Mol Pathol Lab Paola, Fano, Italy; [De Luca, Maria] Univ Alabama Birmingham, Dept Nutr Sci, Birmingham, AL 35294 USA; [Sala, Claudia; Budimir, Iva] Univ Bologna, Dept Phys &amp; Astron, Bologna, Italy; [Bassi, Cristian; Negrini, Massimo] Univ Ferrara, Dept Morphol Surg &amp; Expt Med, Tecnopolo, Ferrara, Italy; [Bassi, Cristian; Negrini, Massimo] Univ Ferrara, Lab Technol Adv Therapies, Tecnopolo, Ferrara, Italy; [Garagnani, Paolo] Karolinska Inst, Dept Lab Med, Clin Chem, Huddinge Univ Hosp, Stockholm, Sweden; [Garagnani, Paolo] Personal Genom Srl, Verona, Italy; [Franceschi, Claudio] Lobachevsky State Univ Nizhny Novgorod, Nizhnii Novgorod, Russia</t>
  </si>
  <si>
    <t>Marche Polytechnic University; University of Urbino; IRCCS Istituto delle Scienze Neurologiche di Bologna (ISNB); Imperial College London; University of Bologna; IRCCS Multimedica; Marche Polytechnic University; University of Verona; IRCCS INRCA; IRCCS INRCA; IRCCS INRCA; University of Urbino; University of Alabama System; University of Alabama Birmingham; University of Bologna; University of Ferrara; University of Ferrara; Karolinska Institutet; Lobachevsky State University of Nizhni Novgorod</t>
  </si>
  <si>
    <t>Sabbatinelli, J (corresponding author), Univ Politecn Marche, Dept Clin &amp; Mol Sci, Via Tronto 10-A, Ancona, Italy.</t>
  </si>
  <si>
    <t>j.sabbatinelli@pm.univpm.it</t>
  </si>
  <si>
    <t>Corleone, Giacomo/ABH-6432-2020; SORCI, LEONARDO/AAD-7395-2019; Cardelli, Maurizio/I-5505-2014; Ramini, Deborah/AAD-2603-2022; Battistelli, Michela/AAN-1138-2021; Olivieri, Fabiola/K-6465-2016; Guescini, Michele/L-1297-2019; Procopio, Antonio Domenico/AAB-2451-2021; Prattichizzo, Francesco/J-3046-2018; Sabbatinelli, Jacopo/U-1851-2018; Giuliani, Angelica/AAB-9024-2019; Recchioni, Rina/ABH-7802-2020; NEGRINI, Massimo/J-2377-2016; Ferracin, Manuela/K-2097-2016</t>
  </si>
  <si>
    <t>Corleone, Giacomo/0000-0002-6170-9780; SORCI, LEONARDO/0000-0002-4356-8873; Cardelli, Maurizio/0000-0002-4480-2473; Olivieri, Fabiola/0000-0002-9606-1144; Guescini, Michele/0000-0001-9372-7038; Procopio, Antonio Domenico/0000-0001-6897-8724; Prattichizzo, Francesco/0000-0002-2959-2658; Sabbatinelli, Jacopo/0000-0001-9947-6778; Recchioni, Rina/0000-0002-7596-3077; Giuliani, Angelica/0000-0002-8477-8519; NEGRINI, Massimo/0000-0002-0007-1920; RIPPO, Maria Rita/0000-0003-3024-3495; STORCI, GIANLUCA/0000-0001-5145-3091; Amatori, Stefano/0000-0003-3988-3480; Graciotti, Laura/0000-0002-1874-5217; Marcheselli, Fiorella/0000-0003-1188-1651; Ramini, Deborah/0000-0001-8925-8195; Ferracin, Manuela/0000-0002-1595-6887; Fulgenzi, Gianluca/0000-0003-2646-7728</t>
  </si>
  <si>
    <t>10.1080/20013078.2020.1725285</t>
  </si>
  <si>
    <t>WOS:000546688100001</t>
  </si>
  <si>
    <t>Taylor, C; Chacko, S; Davey, M; Lacroix, J; MacPherson, A; Finn, N; Wajnberg, G; Ghosh, A; Crapoulet, N; Lewis, SM; Ouellette, RJ</t>
  </si>
  <si>
    <t>Taylor, Catherine; Chacko, Simi; Davey, Michelle; Lacroix, Jacynthe; MacPherson, Alexander; Finn, Nicholas; Wajnberg, Gabriel; Ghosh, Anirban; Crapoulet, Nicolas; Lewis, Stephen M.; Ouellette, Rodney J.</t>
  </si>
  <si>
    <t>Peptide-Affinity Precipitation of Extracellular Vesicles and Cell-Free DNA Improves Sequencing Performance for the Detection of Pathogenic Mutations in Lung Cancer Patient Plasma</t>
  </si>
  <si>
    <t>biomarkers; lung cancer; exosomes; extracellular vesicles; liquid biopsy; genetic profiling; next generation sequencing</t>
  </si>
  <si>
    <t>TUMOR-DNA; EXOSOMES; BIOMARKERS; PROTEINS</t>
  </si>
  <si>
    <t>Liquid biopsy is a minimally-invasive diagnostic method that may improve access to molecular profiling for non-small cell lung cancer (NSCLC) patients. Although cell-free DNA (cf-DNA) isolation from plasma is the standard liquid biopsy method for detecting DNA mutations in cancer patients, the sensitivity can be highly variable. Vn96 is a peptide with an affinity for both extracellular vesicles (EVs) and circulating cf-DNA. In this study, we evaluated whether peptide-affinity (PA) precipitation of EVs and cf-DNA from NSCLC patient plasma improves the sensitivity of single nucleotide variants (SNVs) detection and compared observed SNVs with those reported in the matched tissue biopsy. NSCLC patient plasma was subjected to either PA precipitation or cell-free methods and total nucleic acid (TNA) was extracted; SNVs were then detected by next-generation sequencing (NGS). PA led to increased recovery of DNA as well as an improvement in NGS sequencing parameters when compared to cf-TNA. Reduced concordance with tissue was observed in PA-TNA (62%) compared to cf-TNA (81%), mainly due to identification of SNVs in PA-TNA that were not observed in tissue. EGFR mutations were detected in PA-TNA with 83% sensitivity and 100% specificity. In conclusion, PA-TNA may improve the detection limits of low-abundance alleles using NGS.</t>
  </si>
  <si>
    <t>[Taylor, Catherine; Chacko, Simi; Davey, Michelle; Lacroix, Jacynthe; MacPherson, Alexander; Wajnberg, Gabriel; Ghosh, Anirban; Crapoulet, Nicolas; Lewis, Stephen M.; Ouellette, Rodney J.] Atlantic Canc Res Inst, Moncton, NB E1C 8X3, Canada; [Finn, Nicholas] Dr Leon Richard Oncol Ctr, Moncton, NB E1C 8X3, Canada; [Lewis, Stephen M.; Ouellette, Rodney J.] Univ Moncton, Dept Chem &amp; Biochem, Moncton, NB E1A 3E9, Canada; [Lewis, Stephen M.] Beatrice Hunter Canc Res Inst, Halifax, NS B3H 4R2, Canada; [Ghosh, Anirban] Concordia Univ, Dept Mech Ind &amp; Aerosp Engn, Montreal, PQ H3G 1M8, Canada</t>
  </si>
  <si>
    <t>University of Moncton; Concordia University - Canada</t>
  </si>
  <si>
    <t>Ouellette, RJ (corresponding author), Atlantic Canc Res Inst, Moncton, NB E1C 8X3, Canada.;Ouellette, RJ (corresponding author), Univ Moncton, Dept Chem &amp; Biochem, Moncton, NB E1A 3E9, Canada.</t>
  </si>
  <si>
    <t>catherinet@canceratl.ca; SimiC@canceratl.ca; MichelleD@canceratl.ca; Jacynthe.Lacroix@canceratl.ca; AlexanderM@canceratl.ca; Nicholas.Finn@vitalitenb.ca; GabrielW@canceratl.ca; anirgho@gmail.com; Nicolas.Crapoulet@vitalitenb.ca; StephenL@canceratl.ca; RodneyO@canceratl.ca</t>
  </si>
  <si>
    <t>Wajnberg, Gabriel/AAQ-4270-2021; Lewis, Stephen/E-5533-2010</t>
  </si>
  <si>
    <t>Wajnberg, Gabriel/0000-0002-4479-4063; Lewis, Stephen/0000-0001-9537-5822; Finn, Nicholas/0000-0002-4908-6824</t>
  </si>
  <si>
    <t>10.3390/ijms21239083</t>
  </si>
  <si>
    <t>WOS:000597589700001</t>
  </si>
  <si>
    <t>Hitomi, K; Okada, R; Loo, TM; Miyata, K; Nakamura, AJ; Takahashi, A</t>
  </si>
  <si>
    <t>Hitomi, Kazuhiro; Okada, Ryo; Loo, Tze Mun; Miyata, Kenichi; Nakamura, Asako J.; Takahashi, Akiko</t>
  </si>
  <si>
    <t>DNA Damage Regulates Senescence-Associated Extracellular Vesicle Release via the Ceramide Pathway to Prevent Excessive Inflammatory Responses</t>
  </si>
  <si>
    <t>DNA damage; extracellular vesicle (EV); exosome; ceramide pathway; cellular senescence; senescence-associated secretory phenotype (SASP); senescence-associated extracellular vesicle (SA-EV); autophagy; bacterial infection; Bacillus Calmette-Guerin (BCG)</t>
  </si>
  <si>
    <t>MYCOBACTERIUM-TUBERCULOSIS DNA; CELLULAR SENESCENCE; IN-VIVO; AUTOPHAGY; CELLS; CGAS; SECRETION; EXOSOMES; SENSOR; P21(WAF1/CIP1)</t>
  </si>
  <si>
    <t>DNA damage, caused by various oncogenic stresses, can induce cell death or cellular senescence as an important tumor suppressor mechanism. Senescent cells display the features of a senescence-associated secretory phenotype (SASP), secreting inflammatory proteins into surrounding tissues, and contributing to various age-related pathologies. In addition to this inflammatory protein secretion, the release of extracellular vesicles (EVs) is also upregulated in senescent cells. However, the molecular mechanism underlying this phenomenon remains unclear. Here, we show that DNA damage activates the ceramide synthetic pathway, via the downregulation of sphingomyelin synthase 2 (SMS2) and the upregulation of neutral sphingomyelinase 2 (nSMase2), leading to an increase in senescence-associated EV (SA-EV) biogenesis. The EV biogenesis pathway, together with the autophagy-mediated degradation pathway, functions to block apoptosis by removing cytoplasmic DNA fragments derived from chromosomal DNA or bacterial infections. Our data suggest that this SA-EV pathway may play a prominent role in cellular homeostasis, particularly in senescent cells. In summary, DNA damage provokes SA-EV release by activating the ceramide pathway to protect cells from excessive inflammatory responses.</t>
  </si>
  <si>
    <t>[Hitomi, Kazuhiro; Okada, Ryo; Loo, Tze Mun; Miyata, Kenichi; Takahashi, Akiko] Japanese Fdn Canc Res, Inst Canc, Project Cellular Senescence, Koto Ku, Tokyo 1358550, Japan; [Hitomi, Kazuhiro; Nakamura, Asako J.] Ibaraki Univ, Grad Sch Sci &amp; Engn, Mito, Ibaraki 3108512, Japan; [Takahashi, Akiko] Japan Sci &amp; Technol Agcy JST, Precursory Res Embryon Sci &amp; Technol PRESTO, Kawaguchi, Saitama 3320012, Japan; [Takahashi, Akiko] Japan Agcy Med Res &amp; Dev AMED, Adv Res &amp; Dev Programs Med Innovat PRIME, Chiyoda Ku, Tokyo 1040004, Japan</t>
  </si>
  <si>
    <t>Japanese Foundation for Cancer Research; Ibaraki University; Japan Science &amp; Technology Agency (JST)</t>
  </si>
  <si>
    <t>Takahashi, A (corresponding author), Japanese Fdn Canc Res, Inst Canc, Project Cellular Senescence, Koto Ku, Tokyo 1358550, Japan.;Takahashi, A (corresponding author), Japan Sci &amp; Technol Agcy JST, Precursory Res Embryon Sci &amp; Technol PRESTO, Kawaguchi, Saitama 3320012, Japan.;Takahashi, A (corresponding author), Japan Agcy Med Res &amp; Dev AMED, Adv Res &amp; Dev Programs Med Innovat PRIME, Chiyoda Ku, Tokyo 1040004, Japan.</t>
  </si>
  <si>
    <t>kazuhiro.hitomi@jfcr.or.jp; ryo.okada@jfcr.or.jp; tzemunloo@jfcr.or.jp; kenichi.miyata@jfcr.or.jp; asako.nakamura.wasabi@vc.ibaraki.ac.jp; akiko.takahashi@jfcr.or.jp</t>
  </si>
  <si>
    <t>Loo, Tze Mun/0000-0001-5725-1423; Takahashi, Akiko/0000-0003-1904-7645; Nakamura, Asako/0000-0001-7219-448X</t>
  </si>
  <si>
    <t>10.3390/ijms21103720</t>
  </si>
  <si>
    <t>WOS:000539312100316</t>
  </si>
  <si>
    <t>Duijvesz, D; Luider, T; Bangma, CH; Jenster, G</t>
  </si>
  <si>
    <t>Duijvesz, Diederick; Luider, Theo; Bangma, Chris H.; Jenster, Guido</t>
  </si>
  <si>
    <t>Exosomes as Biomarker Treasure Chests for Prostate Cancer</t>
  </si>
  <si>
    <t>EUROPEAN UROLOGY</t>
  </si>
  <si>
    <t>Prostate cancer; Urology; Exosomes; Biomarker; Microvesicles</t>
  </si>
  <si>
    <t>TUMOR-DERIVED EXOSOMES; HUMAN SEMINAL PLASMA; TRANSFERRIN RECEPTOR; DIAGNOSTIC BIOMARKERS; MULTIVESICULAR BODIES; SHEEP RETICULOCYTES; PROTEOMICS ANALYSIS; HUMAN SEMEN; IN-VITRO; PROSTASOMES</t>
  </si>
  <si>
    <t>Context: Although progress has been made with regard to types of markers (protein, DNA, RNA, and metabolites) and implementation of improved technologies (mass spectrometry, arrays, and deep sequencing), the discovery of novel biomarkers for prostate cancer (PCa) in complex fluids, such as serum and urine, remains a challenge. Meanwhile, recent studies have reported that many cancer-derived proteins and RNAs are secreted through small vesicles known as exosomes. Objective: This narrative review describes recent progress in exosome research, focusing on the potential role of exosomes as novel biomarkers for PCa. The purpose of this review is to acquaint clinicians and researchers in the field of urology with the potential role of exosomes as biomarker treasure chests and with their clinical value. Evidence acquisition: Medline and Embase entries between 1966 and September 2010 were searched using the keywords exosomes, microvesicles, prostasomes, biomarkers, prostate cancer, and urology. Leading publications and articles constructively contributing to exosome research were selected for this review. Evidence synthesis: Exosomes are small vesicles (50-100 nm) secreted by almost all tissues; they represent their tissue origin. Purification of prostate- and PCa-derived exosomes will allow us to profile exosomes, providing a promising source of protein and RNA biomarkers for PCa. This profiling will contribute to the discovery of novel markers for the early diagnosis and reliable prognosis of PCa. Conclusions: Although the initial results are promising, further investigations are required to assess the clinical value of these exosomes in PCa. (C) 2010 European Association of Urology. Published by Elsevier B.V. All rights reserved.</t>
  </si>
  <si>
    <t>[Jenster, Guido] Erasmus MC, Josephine Nefkens Inst, Dept Urol, NL-3000 CA Rotterdam, Netherlands; [Luider, Theo] Erasmus MC, Dept Neurol, NL-3000 CA Rotterdam, Netherlands</t>
  </si>
  <si>
    <t>Erasmus University Rotterdam; Erasmus MC; Erasmus University Rotterdam; Erasmus MC</t>
  </si>
  <si>
    <t>Jenster, G (corresponding author), Erasmus MC, Josephine Nefkens Inst, Dept Urol, Room Be362A,POB 2040, NL-3000 CA Rotterdam, Netherlands.</t>
  </si>
  <si>
    <t>g.jenster@erasmusmc.nl</t>
  </si>
  <si>
    <t>Duijvesz, Diederick/W-6029-2019</t>
  </si>
  <si>
    <t>Duijvesz, Diederick/0000-0001-6678-3384</t>
  </si>
  <si>
    <t>0302-2838</t>
  </si>
  <si>
    <t>1873-7560</t>
  </si>
  <si>
    <t>10.1016/j.eururo.2010.12.031</t>
  </si>
  <si>
    <t>Urology &amp; Nephrology</t>
  </si>
  <si>
    <t>WOS:000288991500029</t>
  </si>
  <si>
    <t>Miranda, KC; Bond, DT; McKee, M; Skog, J; Paunescu, TG; Da Silva, N; Brown, D; Russo, LM</t>
  </si>
  <si>
    <t>Miranda, Kevin C.; Bond, Daniel T.; McKee, Mary; Skog, Johan; Paunescu, Teodor G.; Da Silva, Nicolas; Brown, Dennis; Russo, Leileata M.</t>
  </si>
  <si>
    <t>Nucleic acids within urinary exosomes/microvesicles are potential biomarkers for renal disease</t>
  </si>
  <si>
    <t>KIDNEY INTERNATIONAL</t>
  </si>
  <si>
    <t>acute kidney injury; chronic kidney disease; exosome; transcriptional profiling</t>
  </si>
  <si>
    <t>EXOSOMES; MARKER; ATPASE; CELLS; RNAS</t>
  </si>
  <si>
    <t>Urinary exosomes or microvesicles are being studied intensively to identify potential new biomarkers for renal disease. We sought to identify whether these microvesicles contain nucleic acids. We isolated microvesicles from human urine in the same density range as that previously described for urinary exosomes and found them to have an RNA integrity profile similar to that of kidney tissue, including 18S and 28S rRNA. This profile was better preserved in urinary microvesicles compared with whole cells isolated from urine, suggesting that microvesicles may protect RNA during urine passage. We were able to detect mRNA in the human urinary microvesicles encoding proteins from all regions of the nephron and the collecting duct. Further, to provide a proof of principle, we found that microvesicles isolated from the urine of the V-ATPase B1 subunit knockout mice lacked mRNA of this subunit while containing a normal amount of the B2 subunit and aquaporin 2. The microvesicles were found to be contaminated with extraneous DNA potentially on their surface; therefore, we developed a rapid and reliable means to isolate nucleic acids from within urine microvesicles devoid of this extraneous contamination. Our study provides an experimental strategy for the routine isolation and use of urinary microvesicles as a novel and non-invasive source of nucleic acids to further renal disease biomarker discovery. Kidney International (2010) 78, 191-199; doi:10.1038/ki.2010.106; published online 28 April 2010</t>
  </si>
  <si>
    <t>[Miranda, Kevin C.; Bond, Daniel T.; McKee, Mary; Paunescu, Teodor G.; Da Silva, Nicolas; Brown, Dennis; Russo, Leileata M.] Harvard Univ, Massachusetts Gen Hosp, Sch Med, Program Membrane Biol, Boston, MA 02114 USA; [Skog, Johan] Harvard Univ, Massachusetts Gen Hosp, Sch Med, Div Nephrol,Ctr Syst Biol, Boston, MA 02114 USA; [Skog, Johan] Harvard Univ, Sch Med, Charlestown, MA USA; [Skog, Johan] Massachusetts Gen Hosp, Dept Neurol, Charlestown, MA USA; [Skog, Johan] Massachusetts Gen Hosp, Dept Radiol, Charlestown, MA USA; [Skog, Johan] Massachusetts Gen Hosp, Neurosci Program, Charlestown, MA USA</t>
  </si>
  <si>
    <t>Harvard University; Massachusetts General Hospital; Harvard University; Massachusetts General Hospital; Harvard University; Harvard University; Massachusetts General Hospital; Harvard University; Massachusetts General Hospital; Harvard University; Massachusetts General Hospital</t>
  </si>
  <si>
    <t>Russo, LM (corresponding author), Harvard Univ, Massachusetts Gen Hosp, Sch Med, Program Membrane Biol, 185 Cambridge St,Room 8206, Boston, MA 02114 USA.</t>
  </si>
  <si>
    <t>Lrusso@mgh.harvard.edu</t>
  </si>
  <si>
    <t>Paunescu, Teodor/AAX-7533-2020; Da Silva, Nicolas/T-3528-2019</t>
  </si>
  <si>
    <t>Paunescu, Teodor/0000-0003-0227-9028; Skog, Johan/0000-0002-0926-1691</t>
  </si>
  <si>
    <t>0085-2538</t>
  </si>
  <si>
    <t>1523-1755</t>
  </si>
  <si>
    <t>10.1038/ki.2010.106</t>
  </si>
  <si>
    <t>WOS:000279375200011</t>
  </si>
  <si>
    <t>Quesenberry, PJ; Goldberg, LR; Aliotta, JM; Dooner, MS; Pereira, MG; Wen, SC; Camussi, G</t>
  </si>
  <si>
    <t>Quesenberry, Peter J.; Goldberg, Laura R.; Aliotta, Jason M.; Dooner, Mark S.; Pereira, Mandy G.; Wen, Sicheng; Camussi, Giovanni</t>
  </si>
  <si>
    <t>Cellular Phenotype and Extracellular Vesicles: Basic and Clinical Considerations</t>
  </si>
  <si>
    <t>STEM CELLS AND DEVELOPMENT</t>
  </si>
  <si>
    <t>STEM-CELLS; HORIZONTAL TRANSFER; GENE-EXPRESSION; MURINE MODEL; EXOSOMES; MICROVESICLES; MICROPARTICLES; LUNG; CONVERSION; INDUCTION</t>
  </si>
  <si>
    <t>Early work on platelet and erythrocyte vesicles interpreted the phenomena as a discard of material from cells. Subsequently, vesicles were studied as possible vaccines and, most recently, there has been a focus on the effects of vesicles on cell fate. Recent studies have indicated that extracellular vesicles, previously referred to as microvesicles or exosomes, have the capacity to change the phenotype of neighboring cells. Extensive work has shown that vesicles derived from either the lung or liver can enter bone marrow cells (this is a prerequisite) and alter their fate toward that of the originating liver and lung tissue. Lung vesicles interacted with bone marrow cells result in the bone marrow cells expressing surfactants A-D, Clara cell protein, and aquaporin-5 mRNA. In a similar vein, liver-derived vesicles induce albumin mRNA in target marrow cells. The vesicles contain protein, mRNA, microRNA, and noncoding RNA and variably some DNA. This genetic package is delivered to cells and alters the phenotype. Further studies have shown that initially the altered phenotype is due to the transfer of mRNA and a transcriptional modulator, but long-term epigenetic changes are induced through transfer of a transcriptional factor, and the mRNA is rapidly degraded in the cell. Studies on the capacity of vesicles to restore injured tissue have been quite informative. Mesenchymal stem cell-derived vesicles are able to reverse the injury to the damaged liver and kidney. Other studies have shown that mesenchymal stem cell-derived vesicles can reverse radiation toxicity of bone marrow stem cells. Extracellular vesicles offer an intriguing strategy for treating a number of diseases characterized by tissue injury.</t>
  </si>
  <si>
    <t>[Quesenberry, Peter J.; Goldberg, Laura R.; Aliotta, Jason M.; Wen, Sicheng] Rhode Isl Hosp, Dept Med, Providence, RI 02903 USA; [Quesenberry, Peter J.; Goldberg, Laura R.; Dooner, Mark S.; Pereira, Mandy G.] Rhode Isl Hosp, Dept Med Oncol Res, Providence, RI 02903 USA; [Quesenberry, Peter J.; Goldberg, Laura R.] Rhode Isl Hosp, Dept Hematol Oncol, Providence, RI 02903 USA; [Camussi, Giovanni] Univ Turin, Dept Internal Med, Turin, Italy</t>
  </si>
  <si>
    <t>Lifespan Health Rhode Island; Rhode Island Hospital; Lifespan Health Rhode Island; Rhode Island Hospital; Lifespan Health Rhode Island; Rhode Island Hospital; University of Turin</t>
  </si>
  <si>
    <t>Quesenberry, PJ (corresponding author), Rhode Isl Hosp, Dept Med, 593 Eddy St, Providence, RI 02903 USA.</t>
  </si>
  <si>
    <t>pquesenberry@lifespan.org</t>
  </si>
  <si>
    <t>Camussi, Giovanni/J-7624-2016</t>
  </si>
  <si>
    <t>Camussi, Giovanni/0000-0003-2795-232X; Dooner, Mark/0000-0003-0653-6562</t>
  </si>
  <si>
    <t>1547-3287</t>
  </si>
  <si>
    <t>1557-8534</t>
  </si>
  <si>
    <t>10.1089/scd.2013.0594</t>
  </si>
  <si>
    <t>Cell &amp; Tissue Engineering; Hematology; Medicine, Research &amp; Experimental; Transplantation</t>
  </si>
  <si>
    <t>Cell Biology; Hematology; Research &amp; Experimental Medicine; Transplantation</t>
  </si>
  <si>
    <t>WOS:000337955400001</t>
  </si>
  <si>
    <t>Singh, PK; Patel, A; Kaffenes, A; Hord, C; Kesterson, D; Prakash, S</t>
  </si>
  <si>
    <t>Singh, Premanshu Kumar; Patel, Aarti; Kaffenes, Anastasia; Hord, Catherine; Kesterson, Delaney; Prakash, Shaurya</t>
  </si>
  <si>
    <t>Microfluidic Approaches and Methods Enabling Extracellular Vesicle Isolation for Cancer Diagnostics</t>
  </si>
  <si>
    <t>MICROMACHINES</t>
  </si>
  <si>
    <t>extracellular vesicles; exosome; microfluidics; cancer diagnosis</t>
  </si>
  <si>
    <t>TOTAL ANALYSIS SYSTEMS; LIQUID-BIOPSY; EXOSOME ISOLATION; PRIMARY TUMORS; ELECTROKINETICS; MICROVESICLES; PURIFICATION; SEPARATION; RNA; DNA</t>
  </si>
  <si>
    <t>Advances in cancer research over the past half-century have clearly determined the molecular origins of the disease. Central to the use of molecular signatures for continued progress, including rapid, reliable, and early diagnosis is the use of biomarkers. Specifically, extracellular vesicles as biomarker cargo holders have generated significant interest. However, the isolation, purification, and subsequent analysis of these extracellular vesicles remain a challenge. Technological advances driven by microfluidics-enabled devices have made the challenges for isolation of extracellular vesicles an emerging area of research with significant possibilities for use in clinical settings enabling point-of-care diagnostics for cancer. In this article, we present a tutorial review of the existing microfluidic technologies for cancer diagnostics with a focus on extracellular vesicle isolation methods.</t>
  </si>
  <si>
    <t>[Singh, Premanshu Kumar; Prakash, Shaurya] Ohio State Univ, Dept Mech &amp; Aerosp Engn, Coll Engn, Columbus, OH 43210 USA; [Patel, Aarti] Ohio State Univ, Coll Engn, Dept Biomed Engn, Columbus, OH 43210 USA; [Kaffenes, Anastasia] Ohio State Univ, Coll Arts &amp; Sci, Dept Neurosci, Columbus, OH 43210 USA; [Kaffenes, Anastasia] Ohio State Univ, Coll Med, Columbus, OH 43210 USA; [Hord, Catherine; Kesterson, Delaney] Ohio State Univ, Ctr Life Sci Educ, Columbus, OH 43210 USA; [Prakash, Shaurya] Ohio State Univ, Comprehens Canc Ctr, Columbus, OH 43210 USA</t>
  </si>
  <si>
    <t>Ohio State University; Ohio State University; Ohio State University; Ohio State University; Ohio State University; James Cancer Hospital &amp; Solove Research Institute; Ohio State University</t>
  </si>
  <si>
    <t>Prakash, S (corresponding author), Ohio State Univ, Dept Mech &amp; Aerosp Engn, Coll Engn, Columbus, OH 43210 USA.;Prakash, S (corresponding author), Ohio State Univ, Comprehens Canc Ctr, Columbus, OH 43210 USA.</t>
  </si>
  <si>
    <t>singh.1651@osu.edu; patel.4097@osu.edu; kaffenes.1@osu.edu; hord.63@osu.edu; kesterson.18@osu.edu; prakash.31@osu.edu</t>
  </si>
  <si>
    <t>2072-666X</t>
  </si>
  <si>
    <t>10.3390/mi13010139</t>
  </si>
  <si>
    <t>Chemistry, Analytical; Nanoscience &amp; Nanotechnology; Instruments &amp; Instrumentation; Physics, Applied</t>
  </si>
  <si>
    <t>Chemistry; Science &amp; Technology - Other Topics; Instruments &amp; Instrumentation; Physics</t>
  </si>
  <si>
    <t>WOS:000747108500001</t>
  </si>
  <si>
    <t>Jeon, H; Lee, J; Lee, S; Kang, SK; Park, SJ; Yoo, SM; Lee, MS</t>
  </si>
  <si>
    <t>Jeon, Hyungtaek; Lee, Jisu; Lee, Suhyuk; Kang, Su-Kyung; Park, Sang June; Yoo, Seung-Min; Lee, Myung-Shin</t>
  </si>
  <si>
    <t>Extracellular Vesicles From KSHV-Infected Cells Stimulate Antiviral Immune Response Through Mitochondrial DNA</t>
  </si>
  <si>
    <t>extracellular vesicles; interferon-stimulated gens; innate immunity; KSHV; virus; antiviral response</t>
  </si>
  <si>
    <t>SARCOMA-ASSOCIATED HERPESVIRUS; EXOSOMES; MICROVESICLES; INFLAMMASOME; RECOGNITION; INDUCTION; VIRUSES; PATHWAY; EVASION; IFN</t>
  </si>
  <si>
    <t>Kaposi's Sarcoma-associated herpesvirus (KSHV) is the etiologic agent of Kaposi's sarcoma, which is the most common cancer in acquired immune deficiency syndrome patients. KSHV contains a variety of immunoregulatory proteins. There have been many studies on the modulation of antiviral response by these immunoregulatory proteins of KSHV. However, the antiviral effects of extracellular vesicles (EVs) during de novo KSHV infection have not been investigated to our best knowledge. In this study, we showed that KSHV-infected cells induce interferon-stimulated genes (ISGs) response but not type I interferon in uninfected bystander cells using EVs. mRNA microarray analysis showed that ISGs and IRF-activating genes were prominently activated in EVs from KSHV-infected cells (KSHV EVs)-treated human endothelial cells, which were validated by RT-qPCR and western blot analysis. We also found that this response was not associated with cell death or apoptosis by virus infection. Mechanistically, the cGAS-STING pathway was linked with these KSHV EVs-mediated ISGs expressions, and mitochondrial DNA on the surface of KSHV EVs was one of the causative factors. Besides, KSHV EVs-treated cells showed lower infectivity for KSHV and viral replication activity than mock EVs-treated cells. Our results indicate that EVs from KSHV-infected cells could be an initiating factor for the innate immune response against viral infection, which may be critical to understanding the microenvironment of virus-infected cells.</t>
  </si>
  <si>
    <t>[Jeon, Hyungtaek; Lee, Jisu; Lee, Suhyuk; Kang, Su-Kyung; Park, Sang June; Yoo, Seung-Min; Lee, Myung-Shin] Eulji Univ, Dept Microbiol &amp; Immunol, Sch Med, Daejeon, South Korea</t>
  </si>
  <si>
    <t>Eulji University</t>
  </si>
  <si>
    <t>Lee, MS (corresponding author), Eulji Univ, Dept Microbiol &amp; Immunol, Sch Med, Daejeon, South Korea.</t>
  </si>
  <si>
    <t>mslee@eulji.ac.kr</t>
  </si>
  <si>
    <t>Lee, Myung-Shin/AAB-8407-2020</t>
  </si>
  <si>
    <t>Lee, Myung-Shin/0000-0001-9145-6190</t>
  </si>
  <si>
    <t>APR 24</t>
  </si>
  <si>
    <t>10.3389/fimmu.2019.00876</t>
  </si>
  <si>
    <t>WOS:000465395900002</t>
  </si>
  <si>
    <t>Gill, S; Forterre, P</t>
  </si>
  <si>
    <t>Gill, S.; Forterre, P.</t>
  </si>
  <si>
    <t>Origin of life: LUCA and extracellular membrane vesicles (EMVs)</t>
  </si>
  <si>
    <t>INTERNATIONAL JOURNAL OF ASTROBIOLOGY</t>
  </si>
  <si>
    <t>extracellular membrane vesicles (EMVs); LUCA; origin of life; viruses and protocells</t>
  </si>
  <si>
    <t>HYPERTHERMOPHILIC ARCHAEON IGNICOCCUS; OUTER-MEMBRANE; PSEUDOMONAS-AERUGINOSA; EXOSOMES; CELL; DNA; MICROVESICLES; RELEASE; VIRUSES; EVOLUTION</t>
  </si>
  <si>
    <t>Cells from the three domains of life produce extracellular membrane vesicles (EMVs), suggesting that EMV production is an important aspect of cellular physiology. EMVs have been implicated in many aspects of cellular life in all domains, including stress response, toxicity against competing strains, pathogenicity, detoxification and resistance against viral attack. These EMVs represent an important mode of inter-cellular communication by serving as vehicles for transfer of DNA, RNA, proteins and lipids between cells. Here, we review recent progress in the understanding of EMV biology and their various roles. We focus on the role of membrane vesicles in early cellular evolution and how they would have helped shape the nature of the last universal common ancestor. A membrane-protected micro-environment would have been a key to the survival of spontaneous molecular systems and efficient metabolic reactions. Interestingly, the morphology of EMVs is strongly reminiscent of the morphology of some virions. It is thus tempting to make a link between the origin of the first protocell via the formation of vesicles and the origin of viruses.</t>
  </si>
  <si>
    <t>[Gill, S.] Univ Paris 11, CNRS, Inst Integrat Biol Cell I2BC, CEA,Biol Cellulaire Archees, F-91405 Orsay, France; [Forterre, P.] Inst Pasteur, Unite Biol Mol Gene Chez Extremophiles, Dept Microbiol, F-75015 Paris, France</t>
  </si>
  <si>
    <t>CEA; Centre National de la Recherche Scientifique (CNRS); UDICE-French Research Universities; Universite Paris Saclay; Le Reseau International des Instituts Pasteur (RIIP); Institut Pasteur Paris</t>
  </si>
  <si>
    <t>Gill, S (corresponding author), Univ Paris 11, CNRS, Inst Integrat Biol Cell I2BC, CEA,Biol Cellulaire Archees, F-91405 Orsay, France.</t>
  </si>
  <si>
    <t>sukhi.gill@i2bc.paris-saclay.fr</t>
  </si>
  <si>
    <t>1473-5504</t>
  </si>
  <si>
    <t>1475-3006</t>
  </si>
  <si>
    <t>10.1017/S1473550415000282</t>
  </si>
  <si>
    <t>Astronomy &amp; Astrophysics; Biology; Geosciences, Multidisciplinary</t>
  </si>
  <si>
    <t>Astronomy &amp; Astrophysics; Life Sciences &amp; Biomedicine - Other Topics; Geology</t>
  </si>
  <si>
    <t>WOS:000365824000003</t>
  </si>
  <si>
    <t>Visan, KS; Lobb, RJ; Moller, A</t>
  </si>
  <si>
    <t>Visan, Kekoolani S.; Lobb, Richard J.; Moller, Andreas</t>
  </si>
  <si>
    <t>The role of exosomes in the promotion of epithelial-to-mesenchymal transition and metastasis</t>
  </si>
  <si>
    <t>FRONTIERS IN BIOSCIENCE-LANDMARK</t>
  </si>
  <si>
    <t>Extracellular vesicles; Exosomes; Epithelial-To-Mesenchymal Transition; Cancer; Review</t>
  </si>
  <si>
    <t>CIRCULATING TUMOR DNA; CANCER STEM-CELL; EXTRACELLULAR VESICLES; LIQUID BIOPSY; E-CADHERIN; SIGNALING PATHWAY; DRUG-RESISTANCE; TIGHT JUNCTIONS; POTENTIAL ROLE; UP-REGULATION</t>
  </si>
  <si>
    <t>The progression of a solid cancer from a localised disease to metastatic stages is a key reason for mortality in patients. Amongst the drivers of cancer progression, Epithelial-to-Mesenchymal Transition (EMT) has been shown to be of crucial importance. EMT results in the phenotypic shift of an immotile, treatment-sensitive epithelial cell into an elongated, metastatic and treatment-resistant mesenchymal cell. Depending on the cellular and molecular setting, a myriad of studies have demonstrated that EMT causes increased cancer cell motility, invasiveness, resistance to therapies, dormancy and cancer-stem cell phenotypes, all of which are prerequisites for metastasis. The alteration of non-canonical intercellular signalling events in cancer EMT is a phenomenon that is not completely understood. Recently, extracellular vesicles, especially small vesicles called exosomes, have shown to be involved in cancer cell EMT. Most intriguingly, across different cancer types, cancer-derived exosomes have demonstrated to be capable of transferring a mesenchymal phenotype upon recipient epithelial cells, including epithelial cancer cells. The uptake of EMT-inducing exosomes results in molecular changes, altering miRNA, mRNA, and protein levels, either through direct transfer of these components, or by altering gene expression networks involved in EMT. In this review, we are presenting the current state of research of exosomes in cancer EMT, highlight gaps in our current knowledge and propose strategies for future experiments in this area.</t>
  </si>
  <si>
    <t>[Visan, Kekoolani S.; Lobb, Richard J.; Moller, Andreas] QIMR Berghofer Med Res Inst, Tumour Microenvironm Lab, Herston, Qld, Australia; [Visan, Kekoolani S.; Moller, Andreas] Univ Queensland, Sch Med, Brisbane, Qld, Australia</t>
  </si>
  <si>
    <t>QIMR Berghofer Medical Research Institute; University of Queensland</t>
  </si>
  <si>
    <t>Moller, A (corresponding author), 300 Herston Rd, Herston, Qld 4006, Australia.</t>
  </si>
  <si>
    <t>andreas.moller@qimrberghofer.edu.au</t>
  </si>
  <si>
    <t>Visan, Kekoolani/0000-0002-8393-4209</t>
  </si>
  <si>
    <t>1093-9946</t>
  </si>
  <si>
    <t>1093-4715</t>
  </si>
  <si>
    <t>PMID 32114423</t>
  </si>
  <si>
    <t>10.2741/4846</t>
  </si>
  <si>
    <t>WOS:000563769600002</t>
  </si>
  <si>
    <t>Liu, H; Chen, YH; Yin, G; Xie, QB</t>
  </si>
  <si>
    <t>Liu, Huan; Chen, Yuehong; Yin, Geng; Xie, Qibing</t>
  </si>
  <si>
    <t>Therapeutic prospects of MicroRNAs carried by mesenchymal stem cells-derived extracellular vesicles in autoimmune diseases</t>
  </si>
  <si>
    <t>LIFE SCIENCES</t>
  </si>
  <si>
    <t>Mesenchymal stem cells; Extracellular vesicles; Exosomes; microRNAs; Autoimmune diseases</t>
  </si>
  <si>
    <t>SYSTEMIC-SCLEROSIS; DENDRITIC CELLS; RAT MODEL; EXOSOMES; DIFFERENTIATION; TRANSPLANTATION; MICROPARTICLES; MICROVESICLES; AUTOPHAGY; ENHANCE</t>
  </si>
  <si>
    <t>Autoimmune diseases (ADs) are a class of chronic disease conditions with impaired tolerance to autoantigens. Currently, there is no effective treatment for ADs, and the existing medications have limitations due to nonspecific targets and side effects. Accumulating evidence has shown that mesenchymal stem cells (MSCs) play a role in ADs treatment. These beneficial effects mainly rely on cell-to-cell communication through the secretion of extracellular vesicles (EVs) and soluble factors. MSC-derived EVs (MSC-EVs) could modulate adjacent and distinct cells by transferring various DNA, mRNA, non-coding RNAs, proteins, and lipids from parent cells to recipient cells. MicroRNAs (miRNAs) are small non-coding RNAs that negatively regulate multiple target genes at the post-transcriptional level and are involved in chronic inflammatory and immune processes. Compared to fluid, MSC-EVs delivery can protect miRNAs from the degradation of ribonucleases, ensuring that miRNAs are able to perform their respective crucial roles in AD recipient cells. In this review, we discussed the therapeutic prospects and challenges of miRNAs secreted by MSC-EVs (MSC-EV-miRNAs) by reviewing the experimentally verified therapeutic outcomes of MSC-EV-miRNAs for several ADs, including rheumatoid arthritis (RA), autoimmune hepatitis (AIH), asthma, colitis, systemic sclerosis (SSc) and graft-versus-host disease (GVHD).</t>
  </si>
  <si>
    <t>[Liu, Huan; Chen, Yuehong; Yin, Geng; Xie, Qibing] Sichuan Univ, West China Hosp, Dept Rheumatol &amp; Immunol, 37 Guoxue Xiang, Chengdu 610041, Sichuan, Peoples R China</t>
  </si>
  <si>
    <t>Sichuan University</t>
  </si>
  <si>
    <t>Yin, G; Xie, QB (corresponding author), Sichuan Univ, West China Hosp, Dept Rheumatol &amp; Immunol, 37 Guoxue Xiang, Chengdu 610041, Sichuan, Peoples R China.</t>
  </si>
  <si>
    <t>yingeng1975@163.com; xieqibing1971@163.com</t>
  </si>
  <si>
    <t>0024-3205</t>
  </si>
  <si>
    <t>1879-0631</t>
  </si>
  <si>
    <t>10.1016/j.lfs.2021.119458</t>
  </si>
  <si>
    <t>WOS:000663407300001</t>
  </si>
  <si>
    <t>Bathini, S; Pakkiriswami, S; Ouellette, RJ; Ghosh, A; Packirisamy, M</t>
  </si>
  <si>
    <t>Bathini, Srinivas; Pakkiriswami, Shanmugasundaram; Ouellette, Rodney J.; Ghosh, Anirban; Packirisamy, Muthukumaran</t>
  </si>
  <si>
    <t>Magnetic particle based liquid biopsy chip for isolation of extracellular vesicles and characterization by gene amplification</t>
  </si>
  <si>
    <t>Extracellular vesicles; Microfluidics; Immunoaffinity isolation; DNA quantification</t>
  </si>
  <si>
    <t>ON-CHIP; EXOSOMES; PROTEIN; QUANTIFICATION; BIOMARKERS; SIZE</t>
  </si>
  <si>
    <t>Extracellular vesicles (EVs) are the cell-derived vesicles which play a critical role in cell-to-cell communication, and disease progression. These vesicles contain a myriad of substances like RNA, DNA, proteins, and lipids from their origin cells, offering a good source of biomarkers. The existing methods for the isolation of EVs are timeconsuming, lack yield and purity, and expensive. In this work, we present a magnetic particle based liquid biopsy chip for the isolation of EVs by using a synthetic peptide, Vn96. To ensure capture efficiency, a 3D mixer is integrated in the chip, along with a sedimentation unit, which allows EV-captured magnetic particles to settle in it based on gravity assisted sedimentation. The captured EVs are then isolated for their elution and validation. The EVs are characterized by the scanning electron microscopy (SEM) measurements and the ability of capture and isolation of EVs is validated by the nanoparticle tracking analysis (NTA) and atomic force microscopy (AFM). The DNA content of the EVs is further characterized by the absolute quantification of a housekeeping gene (RNase P) copies using droplet digital PCR (ddPCR). The results show that the chip can capture and isolate the EVs, without affecting their morphology. Thus, the liquid biopsy chip can be considered as a potential point of care device for diagnostics in a clinical setting.</t>
  </si>
  <si>
    <t>[Bathini, Srinivas; Ghosh, Anirban; Packirisamy, Muthukumaran] Concordia Univ, Dept Mech Engn, Opt Biomicrosyst Lab, Montreal, PQ, Canada; [Pakkiriswami, Shanmugasundaram] Dalhousie Med New Brunswick, Dept Biochem &amp; Mol Biol, St John, NB, Canada; [Ouellette, Rodney J.] Atlantic Canc Res Inst, Moncton, NB, Canada</t>
  </si>
  <si>
    <t>Concordia University - Canada</t>
  </si>
  <si>
    <t>Packirisamy, M (corresponding author), Concordia Univ, Dept Mech Engn, Opt Biomicrosyst Lab, Montreal, PQ, Canada.</t>
  </si>
  <si>
    <t>pmuthu@alcor.concordia.ca</t>
  </si>
  <si>
    <t>Packirisamy, Muthukumaran/0000-0002-1769-6986; Ouellette, Rodney/0000-0002-2281-2769</t>
  </si>
  <si>
    <t>DEC 15</t>
  </si>
  <si>
    <t>10.1016/j.bios.2021.113585</t>
  </si>
  <si>
    <t>WOS:000697624400001</t>
  </si>
  <si>
    <t>Choi, D; Montermini, L; Jeong, H; Sharma, S; Meehan, B; Rak, J</t>
  </si>
  <si>
    <t>Choi, Dongsic; Montermini, Laura; Jeong, Hyeonju; Sharma, Shivani; Meehan, Brian; Rak, Janusz</t>
  </si>
  <si>
    <t>Mapping Subpopulations of Cancer Cell-Derived Extracellular Vesicles and Particles by Nano-Flow Cytometry</t>
  </si>
  <si>
    <t>exosomes; ectosomes; extracellular DNA; single particles; nano-flow cytometry; heterogeneity</t>
  </si>
  <si>
    <t>DOUBLE-STRANDED DNA; EXOSOMES; MICROVESICLES; MICROPARTICLES; PHENOTYPE; IDENTIFICATION; EXPRESSION; SECRETION; RELEASE; LEADS</t>
  </si>
  <si>
    <t>The elusive complexity of membranous extracellular vesicle (EV) and membrane-less extracellular particle (EP) populations released from various cellular sources contains clues as to their biological functions and diagnostic utility. In this study, we employed optimized multicolor nano-flow cytometry, structured illumination (SIM), and atomic force microscopy (AFM) to bridge sensitive detection at the single EV/EP level and high-throughput analysis of cancer cell secretomes. We applied these approaches to particles released from intact cells driven by several different transforming mechanisms or to cells under therapeutic stress imposed by pharmacological inhibition of their oncogenic drivers, such as epidermal growth factor receptor (EGFR). We demonstrate a highly heterogeneous distribution of biologically relevant elements of the EV/EP cargo, including oncoproteins (EGFR), clotting factors (tissue factor), prometastatic integrins (ITGA6, ITGA4), tetraspanins (CD63), and genomic DNA across the entire particulate secretome of cancer cells. We observed that targeting EGFR activity with irreversible kinase inhibitors (dacomitinib) triggers emission of DNA containing EP/EV subpopulations, including particles (chromatimeres) harboring both EGFR and DNase-resistant chromatin. While nano-flow cytometry enables quantification of these changes across the entire particular secretome, SIM reveals individual molecular topography of EV/EP subsets and AFM exposes some of their physical properties, including the presence of nanofilaments and other substructures. We describe differential uptake rates of distinct EV subsets, resulting in preferential internalization of exosome-like small EVs by cancer cells to the exclusion of larger EVs. Thus, our study illustrates the potential of nano-flow cytometry coupled with high-resolution microscopy to explore the cancer-related EV/EP landscape.</t>
  </si>
  <si>
    <t>[Choi, Dongsic; Montermini, Laura; Jeong, Hyeonju; Meehan, Brian; Rak, Janusz] McGill Univ, Hlth Ctr, Res Inst, Glen Site, Montreal, PQ H4A 3J1, Canada; [Sharma, Shivani] Univ Calif Los Angeles, Dept Pathol &amp; Lab Med, Los Angeles, CA 90095 USA; [Sharma, Shivani] Univ Calif Los Angeles, Calif Nanosyst Inst, Los Angeles, CA 90095 USA</t>
  </si>
  <si>
    <t>McGill University; University of California System; University of California Los Angeles; University of California System; University of California Los Angeles</t>
  </si>
  <si>
    <t>Rak, J (corresponding author), McGill Univ, Hlth Ctr, Res Inst, Glen Site, Montreal, PQ H4A 3J1, Canada.</t>
  </si>
  <si>
    <t>Choi, Dongsic/0000-0002-2516-5616; Rak, Janusz/0000-0002-2912-5566</t>
  </si>
  <si>
    <t>10.1021/acsnano.9b04480</t>
  </si>
  <si>
    <t>WOS:000487859600069</t>
  </si>
  <si>
    <t>Allen, ER; Lempke, SL; Miller, MM; Bush, DM; Braswell, BG; Estes, CL; Benedict, EL; Mahon, AR; Sabo, SL; Greenlee-Wacker, MC</t>
  </si>
  <si>
    <t>Allen, Edwina R.; Lempke, Samantha L.; Miller, Michaela M.; Bush, Delaney M.; Braswell, Brandyn G.; Estes, Casey L.; Benedict, Everett L.; Mahon, Andrew R.; Sabo, Shasta L.; Greenlee-Wacker, Mallary C.</t>
  </si>
  <si>
    <t>Effect of extracellular vesicles from S. aureus-challenged human neutrophils on macrophages</t>
  </si>
  <si>
    <t>JOURNAL OF LEUKOCYTE BIOLOGY</t>
  </si>
  <si>
    <t>CD86 and HLA-DR; ectosomes; exosomes; extracellular DNA; microparticles; MRSA</t>
  </si>
  <si>
    <t>STAPHYLOCOCCUS-AUREUS; MICROPARTICLES; MICROVESICLES; MECHANISM; NUCLEAR</t>
  </si>
  <si>
    <t>Staphylococcus aureus enhances neutrophil extracellular vesicle (EV) production. To investigate whether S. aureus viability influences EV biogenesis, EVs were isolated from human neutrophils incubated with viable bacteria (bEVs) or heat-killed bacteria (heat-killed EVs). Protein analysis, nanoparticle tracking and transmission electron microscopy showed comparable EV production between subsets, and both viable and nonviable bacteria were also detected in respective EV subsets. As anticipated, S. aureus, as well as bEVs with viable bacteria, were proinflammatory, and killing bacteria with gentamicin reduced cytokine production to baseline levels. Although heat-killed bacteria induced macrophage IL-6 production, heat-killed EVs did not. Additionally, we found that human and bacterial DNA associated with bEVs, but not heat-killed EVs, and that the DNA association could be partially decreased by disrupting electrostatic interactions. We investigated the potential for DNA isolated from EVs (EV-DNA) or EVs to cause inflammation. Although liposomal encapsulation of EV-DNA increased IL-6 production from baseline by 7.5-fold, treatment of bEVs with DNase I had no effect on IL-6 and IL-1 beta production, suggesting that the DNA did not contribute to the inflammatory response. Filtered EVs, which lacked DNA and associated bacteria, exhibited less proinflammatory activity relative to bEVs, and enhanced macrophage expression of CD86 and HLA-DR. Ultimately, we show that bEVs isolated by differential centrifugation co-purify with bacteria and DNA, and studying their concerted activity and relative contribution to immune response is important to the study of host-pathogen interactions.</t>
  </si>
  <si>
    <t>[Allen, Edwina R.; Miller, Michaela M.; Bush, Delaney M.; Braswell, Brandyn G.; Estes, Casey L.; Benedict, Everett L.; Mahon, Andrew R.; Sabo, Shasta L.; Greenlee-Wacker, Mallary C.] Cent Michigan Univ, Dept Biol, 1455 Calumet Ct,4107 Biosci Bldg, Mt Pleasant, MI 48859 USA; [Lempke, Samantha L.] Univ Virginia, Dept Microbiol Immunol &amp; Canc Biol, Charlottesville, VA USA</t>
  </si>
  <si>
    <t>Central Michigan University; University of Virginia</t>
  </si>
  <si>
    <t>Greenlee-Wacker, MC (corresponding author), Cent Michigan Univ, Dept Biol, 1455 Calumet Ct,4107 Biosci Bldg, Mt Pleasant, MI 48859 USA.</t>
  </si>
  <si>
    <t>wacke1m@cmich.edu</t>
  </si>
  <si>
    <t>Allen, Edwina Rose/0000-0002-3190-4948; Greenlee-Wacker, Mallary/0000-0001-9893-7309; Sabo, Shasta/0000-0001-6386-7443</t>
  </si>
  <si>
    <t>0741-5400</t>
  </si>
  <si>
    <t>1938-3673</t>
  </si>
  <si>
    <t>10.1002/JLB.3AB0320-156R</t>
  </si>
  <si>
    <t>Cell Biology; Hematology; Immunology</t>
  </si>
  <si>
    <t>WOS:000535121800001</t>
  </si>
  <si>
    <t>Castellano, JJ; Canals, J; Han, B; Diaz, T; Monzo, M; Navarro, A</t>
  </si>
  <si>
    <t>Navarro, A</t>
  </si>
  <si>
    <t>Castellano, Joan J.; Canals, Jordi; Han, Bing; Diaz, Tania; Monzo, Mariano; Navarro, Alfons</t>
  </si>
  <si>
    <t>LncRNA Quantification from Extracellular Vesicles Isolated from Blood Plasma or Conditioned Media</t>
  </si>
  <si>
    <t>LONG NON-CODING RNAS IN CANCER</t>
  </si>
  <si>
    <t>Extracellular vesicles; Exosomes; Biofluids; Liquid Biopsy; lncRNA; Plasma; Conditioned media</t>
  </si>
  <si>
    <t>EXOSOMES; RNA; NORMALIZATION; BIOGENESIS; RESISTANCE; SECRETION; CELLS</t>
  </si>
  <si>
    <t>During the last years, the study of extracellular vesicles (EVs) and its cargo has gained interest in the scientific media. EVs have been found in all biofluids and it is postulated that all cells are capable to secrete a wide variety of these vesicles, which play a key role in different cell-to-cell communication processes as well as in the microenvironment modulation. In the EV cargo, DNA, protein, and RNA molecules can be found, including long noncoding RNAs (lncRNAs). Several authors consider the study of EV lncRNAs an ideal source of biomarkers due to the easy sampling of EVs in different biofluids and the high specificity of the lncRNA expression pattern. In the present chapter, a detailed explanation of the EV isolation workflow followed by RNA isolation and lncRNA gene expression study is provided for two sample sources: blood plasma and cell culture conditioned media. EVs from both plasma samples and cell cultured media are isolated using sequential ultracentrifugation method (UC), which has been reported as one of the best methods available to date in terms of purity. UC is followed by RNA extraction based on the combination of phenol/guanidine-based lysis of samples with silica-membrane-based purification of total RNA. LncRNA quantification is performed by qRT-PCR. This chapter includes detailed discussion on lncRNA quantification using hydrolysis probes, recommended housekeeping genes and evaluation of methods for comparing lncRNA levels between EVs and its parental cells. In summary, we describe here the main steps for a successful isolation of the EVs-lncRNA cargo, paying attention to how overcome the different challenges found in the experimental procedure and in the data analysis of lncRNA expression from this source.</t>
  </si>
  <si>
    <t>[Castellano, Joan J.; Canals, Jordi; Han, Bing; Diaz, Tania; Monzo, Mariano; Navarro, Alfons] Univ Barcelona, Fac Med &amp; Hlth Sci, IDIBAPS, Mol Oncol &amp; Embryol Lab,Human Anat Unit, Barcelona, Spain; [Monzo, Mariano; Navarro, Alfons] Hosp Clin Barcelona, Thorac Oncol Unit, Barcelona, Spain</t>
  </si>
  <si>
    <t>University of Barcelona; Hospital Clinic de Barcelona; IDIBAPS; University of Barcelona; Hospital Clinic de Barcelona</t>
  </si>
  <si>
    <t>Castellano, JJ (corresponding author), Univ Barcelona, Fac Med &amp; Hlth Sci, IDIBAPS, Mol Oncol &amp; Embryol Lab,Human Anat Unit, Barcelona, Spain.</t>
  </si>
  <si>
    <t>Canals, Jordi/CAG-7470-2022; Navarro, Alfons/C-2453-2015</t>
  </si>
  <si>
    <t>Canals, Jordi/0000-0002-8309-6073; Navarro, Alfons/0000-0001-6071-0926</t>
  </si>
  <si>
    <t>978-1-0716-1581-2; 978-1-0716-1580-5</t>
  </si>
  <si>
    <t>10.1007/978-1-0716-1581-2_20</t>
  </si>
  <si>
    <t>10.1007/978-1-0716-1581-2</t>
  </si>
  <si>
    <t>WOS:000684293500021</t>
  </si>
  <si>
    <t>Abdelhamed, S; Butler, JT; Doron, B; Halse, A; Nemecek, E; Wilmarth, PA; Marks, DL; Chang, BH; Horton, T; Kurre, P</t>
  </si>
  <si>
    <t>Abdelhamed, Sherif; Butler, John T.; Doron, Ben; Halse, Amber; Nemecek, Eneida; Wilmarth, Phillip A.; Marks, Daniel L.; Chang, Bill H.; Horton, Terzah; Kurre, Peter</t>
  </si>
  <si>
    <t>Extracellular vesicles impose quiescence on residual hematopoietic stem cells in the leukemic niche</t>
  </si>
  <si>
    <t>EMBO REPORTS</t>
  </si>
  <si>
    <t>AML; DNA damage; extracellular vesicles; hematopoiesis</t>
  </si>
  <si>
    <t>ACUTE MYELOID-LEUKEMIA; MESENCHYMAL STROMAL CELLS; BONE-MARROW NICHE; PROTEIN-SYNTHESIS; DNA-DAMAGE; COORDINATE REGULATION; RIBOSOME BIOGENESIS; RNA TRANSLATION; MICROENVIRONMENT; CHEMOTHERAPY</t>
  </si>
  <si>
    <t>Progressive remodeling of the bone marrow microenvironment is recognized as an integral aspect of leukemogenesis. Expanding acute myeloid leukemia (AML) clones not only alter stroma composition, but also actively constrain hematopoiesis, representing a significant source of patient morbidity and mortality. Recent studies revealed the surprising resistance of long-term hematopoietic stem cells (LT-HSC) to elimination from the leukemic niche. Here, we examine the fate and function of residual LT-HSC in the BM of murine xenografts with emphasis on the role of AML-derived extracellular vesicles (EV). AML-EV rapidly enter HSC, and their trafficking elicits protein synthesis suppression and LT-HSC quiescence. Mechanistically, AML-EV transfer a panel of miRNA, including miR-1246, that target the mTOR subunit Raptor, causing ribosomal protein S6 hypo-phosphorylation, which in turn impairs protein synthesis in LT-HSC. While HSC functionally recover from quiescence upon transplantation to an AML-naive environment, they maintain relative gains in repopulation capacity. These phenotypic changes are accompanied by DNA double-strand breaks and evidence of a sustained DNA-damage response. In sum, AML-EV contribute to niche-dependent, reversible quiescence and elicit persisting DNA damage in LT-HSC.</t>
  </si>
  <si>
    <t>[Abdelhamed, Sherif; Butler, John T.; Doron, Ben; Halse, Amber; Marks, Daniel L.; Chang, Bill H.] Oregon Hlth &amp; Sci Univ, Dept Pediat, Pape Family Pediat Res Inst, 3181 Sw Sam Jackson Pk Rd, Portland, OR 97201 USA; [Abdelhamed, Sherif; Nemecek, Eneida; Marks, Daniel L.; Chang, Bill H.] Oregon Hlth &amp; Sci Univ, Knight Canc Inst, Portland, OR 97201 USA; [Butler, John T.] Oregon Hlth &amp; Sci Univ, Dept Biomed Engn, Portland, OR 97201 USA; [Wilmarth, Phillip A.] Oregon Hlth &amp; Sci Univ, Dept Biochem &amp; Mol Biol, Portland, OR 97201 USA; [Wilmarth, Phillip A.] Oregon Hlth &amp; Sci Univ, Prote Shared Resources, Portland, OR 97201 USA; [Marks, Daniel L.] Oregon Hlth &amp; Sci Univ, Brenden Colson Ctr Pancreat Care, Portland, OR 97201 USA; [Horton, Terzah] Baylor Coll Med, Texas Childrens Canc &amp; Hematol Ctr, Houston, TX 77030 USA; [Kurre, Peter] Univ Penn, Childrens Hosp Philadelphia, Comprehens Bone Marrow Failure Ctr, Perelman Sch Med, Philadelphia, PA 19104 USA</t>
  </si>
  <si>
    <t>Oregon Health &amp; Science University; Oregon Health &amp; Science University; Oregon Health &amp; Science University; Oregon Health &amp; Science University; Oregon Health &amp; Science University; Oregon Health &amp; Science University; Baylor College of Medicine; Texas Children's Cancer Center; University of Pennsylvania; Childrens Hospital of Philadelphia</t>
  </si>
  <si>
    <t>Kurre, P (corresponding author), Univ Penn, Childrens Hosp Philadelphia, Comprehens Bone Marrow Failure Ctr, Perelman Sch Med, Philadelphia, PA 19104 USA.</t>
  </si>
  <si>
    <t>kurrep@email.chop.edu</t>
  </si>
  <si>
    <t>Butler, John/0000-0001-9945-9791; Abdelhamed, Sherif/0000-0002-3319-2403</t>
  </si>
  <si>
    <t>1469-221X</t>
  </si>
  <si>
    <t>1469-3178</t>
  </si>
  <si>
    <t>e47546</t>
  </si>
  <si>
    <t>10.15252/embr.201847546</t>
  </si>
  <si>
    <t>WOS:000474489700010</t>
  </si>
  <si>
    <t>Puhm, F; Afonyushkin, T; Resch, U; Obermayer, G; Rohde, M; Penz, T; Schuster, M; Wagner, G; Rendeiro, AF; Melki, I; Kaun, C; Wojta, J; Bock, C; Jilma, B; Mackman, N; Boilard, E; Binder, CJ</t>
  </si>
  <si>
    <t>Puhm, Florian; Afonyushkin, Taras; Resch, Ulrike; Obermayer, Georg; Rohde, Manfred; Penz, Thomas; Schuster, Michael; Wagner, Gabriel; Rendeiro, Andre F.; Melki, Imene; Kaun, Christoph; Wojta, Johann; Bock, Christoph; Jilma, Bernd; Mackman, Nigel; Boilard, Eric; Binder, Christoph J.</t>
  </si>
  <si>
    <t>Mitochondria Are a Subset of Extracellular Vesicles Released by Activated Monocytes and Induce Type I IFN and TNF Responses in Endothelial Cells</t>
  </si>
  <si>
    <t>CIRCULATION RESEARCH</t>
  </si>
  <si>
    <t>endothelial cells; extracellular vesicles; inflammation; mitochondria; monocytes</t>
  </si>
  <si>
    <t>DENDRITIC CELL; INNATE; DNA; IMMUNOMETABOLISM; OXIDATION; DISTINCT</t>
  </si>
  <si>
    <t>Rationale: Extracellular vesicles, including microvesicles, are increasingly recognized as important mediators in cardiovascular disease. The cargo and surface proteins they carry are considered to define their biological activity, including their inflammatory properties. Monocyte to endothelial cell signaling is a prerequisite for the propagation of inflammatory responses. However, the contribution of microvesicles in this process is poorly understood. Objective: To elucidate the mechanisms by which microvesicles derived from activated monocytic cells exert inflammatory effects on endothelial cells. Methods and Results: LPS (lipopolysaccharide)-stimulated monocytic cells release free mitochondria and microvesicles with mitochondrial content as demonstrated by flow cytometry, quantitative polymerase chain reaction, Western Blot, and transmission electron microscopy. Using RNAseq analysis and quantitative reverse transcription-polymerase chain reaction, we demonstrated that both mitochondria directly isolated from and microvesicles released by LPS-activated monocytic cells, as well as circulating microvesicles isolated from volunteers receiving low-dose LPS-injections, induce type I IFN (interferon), and TNF (tumor necrosis factor) responses in endothelial cells. Depletion of free mitochondria significantly reduced the ability of these microvesicles to induce type I IFN and TNF-dependent genes. We identified mitochondria-associated TNF alpha and RNA from stressed mitochondria as major inducers of these responses. Finally, we demonstrated that the proinflammatory potential of microvesicles and directly isolated mitochondria were drastically reduced when they were derived from monocytic cells with nonrespiring mitochondria or monocytic cells cultured in the presence of pyruvate or the mitochondrial reactive oxygen species scavenger MitoTEMPO. Conclusions: Mitochondria and mitochondria embedded in microvesicles constitute a major subset of extracellular vesicles released by activated monocytes, and their proinflammatory activity on endothelial cells is determined by the activation status of their parental cells. Thus, mitochondria may represent critical intercellular mediators in cardiovascular disease and other inflammatory settings associated with type I IFN and TNF signaling.</t>
  </si>
  <si>
    <t>[Puhm, Florian; Afonyushkin, Taras; Obermayer, Georg; Wagner, Gabriel; Bock, Christoph; Binder, Christoph J.] Med Univ Vienna, Dept Lab Med, Lazarettgasse 14,AKH BT25-2, A-1090 Vienna, Austria; [Resch, Ulrike] Med Univ Vienna, Ctr Physiol &amp; Pharmacol, Vienna, Austria; [Kaun, Christoph; Wojta, Johann] Med Univ Vienna, Dept Internal Med 2, Vienna, Austria; [Wojta, Johann] Med Univ Vienna, Core Facil, Vienna, Austria; [Jilma, Bernd] Med Univ Vienna, Dept Clin Pharmacol, Vienna, Austria; [Puhm, Florian; Afonyushkin, Taras; Obermayer, Georg; Penz, Thomas; Schuster, Michael; Rendeiro, Andre F.; Bock, Christoph; Binder, Christoph J.] Austrian Acad Sci, Res Ctr Mol Med CeMM, Vienna, Austria; [Rohde, Manfred] Helmholtz Ctr Infect Res, Cent Facil Microscopy, Braunschweig, Germany; [Melki, Imene; Boilard, Eric] Univ Laval, Ctr Hosp Univ Quebec, Ctr Rech, Dept Infect Dis &amp; Immun,Fac Med, Quebec City, PQ, Canada; [Wojta, Johann] Ludwig Boltzmann Cluster Cardiovasc Res, Vienna, Austria; [Mackman, Nigel] Univ N Carolina, Dept Med, Div Hematol &amp; Oncol, Chapel Hill, NC 27515 USA</t>
  </si>
  <si>
    <t>Medical University of Vienna; Medical University of Vienna; Medical University of Vienna; Medical University of Vienna; Medical University of Vienna; Austrian Academy of Sciences; CeMM Research Center for Molecular Medicine of the Austrian Academy of Sciences; Helmholtz Association; Helmholtz-Center for Infection Research; Laval University; Ludwig Boltzmann Institute; University of North Carolina; University of North Carolina Chapel Hill</t>
  </si>
  <si>
    <t>Afonyushkin, T; Binder, CJ (corresponding author), Med Univ Vienna, Dept Lab Med, Lazarettgasse 14,AKH BT25-2, A-1090 Vienna, Austria.</t>
  </si>
  <si>
    <t>taras.afonyushkin@meduniwien.ac.at; christoph.binder@meduniwien.ac.at</t>
  </si>
  <si>
    <t>Bock, Christoph/AAE-7618-2019; Wojta, Johann/AAC-8433-2020; Rendeiro, André F./AAC-4747-2019</t>
  </si>
  <si>
    <t>Bock, Christoph/0000-0001-6091-3088; Wojta, Johann/0000-0002-1282-9276; Rendeiro, André F./0000-0001-9362-5373; Binder, Christoph J./0000-0001-8313-7050; Puhm, Florian/0000-0001-5699-6626; Obermayer, Georg/0000-0003-4930-6628; Jilma, Bernd/0000-0001-5652-7977</t>
  </si>
  <si>
    <t>0009-7330</t>
  </si>
  <si>
    <t>1524-4571</t>
  </si>
  <si>
    <t>JUN 21</t>
  </si>
  <si>
    <t>10.1161/CIRCRESAHA.118.314601</t>
  </si>
  <si>
    <t>Cardiac &amp; Cardiovascular Systems; Hematology; Peripheral Vascular Disease</t>
  </si>
  <si>
    <t>Cardiovascular System &amp; Cardiology; Hematology</t>
  </si>
  <si>
    <t>WOS:000472205200011</t>
  </si>
  <si>
    <t>Song, Q; Yu, H; Han, J; Lv, JC; Lv, Q; Yang, HW</t>
  </si>
  <si>
    <t>Song, Qiang; Yu, Hao; Han, Jie; Lv, Jiancheng; Lv, Qiang; Yang, Haiwei</t>
  </si>
  <si>
    <t>Exosomes in urological diseases- Biological functions and clinical applications</t>
  </si>
  <si>
    <t>CANCER LETTERS</t>
  </si>
  <si>
    <t>Extracellular vesicle; Exosome; Urological malignancy; Urological benign disease; Biomarker</t>
  </si>
  <si>
    <t>LONG NONCODING RNAS; PROSTATE-CANCER; EXTRACELLULAR VESICLES; NONINVASIVE BIOMARKERS; URINARY EXOSOMES; TUMOR MICROENVIRONMENT; EXPRESSION SIGNATURES; CELL-PROLIFERATION; BLADDER; THERAPY</t>
  </si>
  <si>
    <t>Exosomes are extracellular vesicles with a variety of biological functions that exist in various biological body fluids and exert their functions through proteins, nucleic acids, lipids, and metabolites. Recent discoveries have revealed the functional and biomarker roles of miRNAs in urological diseases, including benign diseases and malignancies. Exosomes have several uses in the diagnosis, treatment, and monitoring of urological diseases, especially cancer. Proteins and nucleic acids can be used as alternative biomarkers for detecting urological diseases. Additionally, exosomes can be detected in most body fluids, thereby avoiding pathogenesis. More importantly, for urological tumors, exosomes display a higher sensitivity than circulating tumor cells and tumor -derived DNA in body fluid biopsies because of their low immunogenicity and high stability. These advantages have made it a research hotspot in recent years. In this review, we focus on the biological characteristics and functions of exosomes and summarize their advantages and the latest progress in the diagnosis and treatment of urological diseases.</t>
  </si>
  <si>
    <t>[Song, Qiang; Yu, Hao; Han, Jie; Lv, Jiancheng; Lv, Qiang; Yang, Haiwei] Nanjing Med Univ, Affiliated Hosp 1, Jiangsu Prov Hosp, Dept Urol, Nanjing 210029, Peoples R China</t>
  </si>
  <si>
    <t>Nanjing Medical University</t>
  </si>
  <si>
    <t>Lv, Q; Yang, HW (corresponding author), Nanjing Med Univ, Affiliated Hosp 1, Jiangsu Prov Hosp, Dept Urol, Nanjing 210029, Peoples R China.</t>
  </si>
  <si>
    <t>doctorlvqiang@njmu.edu.cn; haiweiyang@njmu.edu.cn</t>
  </si>
  <si>
    <t>0304-3835</t>
  </si>
  <si>
    <t>1872-7980</t>
  </si>
  <si>
    <t>SEP 28</t>
  </si>
  <si>
    <t>10.1016/j.canlet.2022.215809</t>
  </si>
  <si>
    <t>WOS:000827123600003</t>
  </si>
  <si>
    <t>Bakkour, S; Acker, JP; Chafets, DM; Inglis, HC; Norris, PJ; Lee, TH; Busch, MP</t>
  </si>
  <si>
    <t>Bakkour, S.; Acker, J. P.; Chafets, D. M.; Inglis, H. C.; Norris, P. J.; Lee, T. -H.; Busch, M. P.</t>
  </si>
  <si>
    <t>Manufacturing method affects mitochondrial DNA release and extracellular vesicle composition in stored red blood cells</t>
  </si>
  <si>
    <t>VOX SANGUINIS</t>
  </si>
  <si>
    <t>blood component; extracellular vesicles; manufacture; microparticles; mitochondrial DNA; process; red blood cells; storage</t>
  </si>
  <si>
    <t>ACUTE LUNG INJURY; IN-VITRO QUALITY; WHOLE-BLOOD; INFLAMMATORY RESPONSES; CLINICAL-RELEVANCE; FLOW-CYTOMETRY; MICROPARTICLES; PLASMA; UNITS; MICROVESICLES</t>
  </si>
  <si>
    <t>Background and Objectives Damage-associated molecular patterns (DAMPs) are found in transfusion products, but their potential impacts are not fully understood. We examined the influence of manufacturing method on levels of mitochondrial (mt) DNA and extracellular vesicle (EV) DAMPs in red cell concentrates (RCCs). Materials and Methods Eighty-seven RCCs were prepared using nine different methods (6-15 units/method), including three apheresis, five whole blood (WB)-derived leucoreduced (LR) and one WB-derived non-LR method. On storage days 5 and 42, levels of mtDNA (by PCR) and number and cell of origin of EVs (by flow cytometry) were assessed in RCC supernatants. Results There was a 100-fold difference in mtDNA levels among methods, with highest levels in non-LR, followed by MCS+ and Trima apheresis RCCs. There was a 10-fold difference in EV levels among methods. RBC-derived CD235a+ EVs were found in fresh RCCs and increased in most during storage. Platelet-derived CD41a+ EVs were highest in non-LR and Trima RCCs and did not change during storage. WBC-derived EVs were low in most RCCs; CD14+ EVs increased in several RCCs during storage. Conclusion DAMPs in RCCs vary by manufacturing method. MtDNA and EV could be informative quality markers that may be relevant to RCC immunomodulatory potential.</t>
  </si>
  <si>
    <t>[Bakkour, S.; Chafets, D. M.; Inglis, H. C.; Norris, P. J.; Lee, T. -H.; Busch, M. P.] Blood Syst Res Inst, 270 Masonic Ave, San Francisco, CA 94118 USA; [Acker, J. P.] Canadian Blood Serv, Ctr Innovat, Edmonton, AB, Canada; [Acker, J. P.] Univ Alberta, Dept Lab Med &amp; Pathol, Edmonton, AB, Canada; [Norris, P. J.; Busch, M. P.] Univ Calif San Francisco, Dept Lab Med, San Francisco, CA 94143 USA; [Norris, P. J.] Univ Calif San Francisco, Dept Med, San Francisco, CA USA</t>
  </si>
  <si>
    <t>Vitalant; Vitalant Research Institute; Canadian Blood Services; University of Alberta; University of California System; University of California San Francisco; University of California System; University of California San Francisco</t>
  </si>
  <si>
    <t>Bakkour, S (corresponding author), Blood Syst Res Inst, 270 Masonic Ave, San Francisco, CA 94118 USA.</t>
  </si>
  <si>
    <t>sbakkour@bloodsystems.org</t>
  </si>
  <si>
    <t>Acker, Jason/0000-0002-1445-827X</t>
  </si>
  <si>
    <t>0042-9007</t>
  </si>
  <si>
    <t>1423-0410</t>
  </si>
  <si>
    <t>10.1111/vox.12390</t>
  </si>
  <si>
    <t>Hematology</t>
  </si>
  <si>
    <t>WOS:000382772900004</t>
  </si>
  <si>
    <t>Dansako, H; Ueda, Y; Satoh, S; Kato, N</t>
  </si>
  <si>
    <t>Dansako, Hiromichi; Ueda, Youki; Satoh, Shinya; Kato, Nobuyuki</t>
  </si>
  <si>
    <t>Extracellular vesicles activate ATM-Chk2 signaling pathway through the intercellular transfer of mitochondrial DNA in HBV-infected human hepatocytes</t>
  </si>
  <si>
    <t>ATM&amp;#8208; Chk2 signaling pathway; extracellular vesicles; hepatitis B virus; mitochondrial DNA</t>
  </si>
  <si>
    <t>CANCER; INFLAMMATION; HEPATITIS; EXOSOMES; DAMAGE; CELLS</t>
  </si>
  <si>
    <t>Hepatitis B virus (HBV) is a human hepatotropic pathogen causing hepatocellular carcinoma. We recently obtained HBV-susceptible immortalized human hepatocyte NKNT-3 by exogenously expressing NTCP and its derived cell clones, #28.3.8 and #28.3.25.13 exhibiting different levels of HBV susceptibility. In the present study, we showed that HBV infection activated the ATM-Chk2 signaling pathway in #28.3.25.13 cells but not in #28.3.8 cells. Both the cell culture supernatant and extracellular vesicles (EVs) derived from HBV-infected #28.3.25.13 cells also activated the ATM-Chk2 signaling pathway in naive #28.3.25.13 cells. Interestingly, EVs derived from HBV-infected #28.3.25.13 cells included higher level of mitochondrial DNA (mtDNA) than those from HBV-infected #28.3.8 cells. Based on our results, we propose the novel model that EVs mediate the activation of ATM-Chk2 signaling pathway by the intercellular transfer of mtDNA in HBV-infected human hepatocyte.</t>
  </si>
  <si>
    <t>[Dansako, Hiromichi; Ueda, Youki; Satoh, Shinya; Kato, Nobuyuki] Okayama Univ, Dept Tumor Virol, Grad Sch Med Dent &amp; Pharmaceut Sci, 2-5-1 Shikata Cho, Okayama 7008558, Japan</t>
  </si>
  <si>
    <t>Okayama University</t>
  </si>
  <si>
    <t>Dansako, H (corresponding author), Okayama Univ, Dept Tumor Virol, Grad Sch Med Dent &amp; Pharmaceut Sci, 2-5-1 Shikata Cho, Okayama 7008558, Japan.</t>
  </si>
  <si>
    <t>dansako@md.okayama-u.ac.jp</t>
  </si>
  <si>
    <t>Dansako, Hiromichi/B-2025-2011</t>
  </si>
  <si>
    <t>Dansako, Hiromichi/0000-0002-2353-3024</t>
  </si>
  <si>
    <t>e21680</t>
  </si>
  <si>
    <t>10.1096/fj.202002678R</t>
  </si>
  <si>
    <t>WOS:000655695900057</t>
  </si>
  <si>
    <t>Kamyabi, N; Abbasgholizadeh, R; Maitra, A; Ardekani, A; Biswal, SL; Grande-Allen, KJ</t>
  </si>
  <si>
    <t>Kamyabi, Nabiollah; Abbasgholizadeh, Reza; Maitra, Anirban; Ardekani, Arezoo; Biswal, Sibani L.; Grande-Allen, K. Jane</t>
  </si>
  <si>
    <t>Isolation and mutational assessment of pancreatic cancer extracellular vesicles using a microfluidic platform</t>
  </si>
  <si>
    <t>BIOMEDICAL MICRODEVICES</t>
  </si>
  <si>
    <t>Extracellular vesicles; Microfluidics; Pancreatic cancer; ddPCR</t>
  </si>
  <si>
    <t>PLASMA; KRAS; DNA</t>
  </si>
  <si>
    <t>Cancer cells release extracellular vesicles known as extracellular vesicles (EVs), containing tumor-derived DNA, RNA and proteins within their cargo, into the circulation. Circulating tumor-derived extracellular vesicles (TEV) can be used in the context of serial liquid biopsies for early detection of cancer, for monitoring disease burden in patients, and for assessing recurrence in the post-resection setting. Nonetheless, isolating sufficient TEV by ultracentrifugation-based approaches, in order to enable molecular assessment of EVs cargo, can be an arduous, time-consuming process and is inconsistent in the context of yield and purity among institutions. Herein, we describe a microfluidic platform, which we have named MITEV (Microfluidic Isolation of Tumor-derived Extracellular Vesicles) for the rapid isolation of TEV from the plasma of pancreatic cancer patients. The device, which has 100,000 pillars placed in a zigzag pattern and is coated with antibodies against generic EV surface proteins (anti-CD63, -CD9, and -CD81 antibodies) or the TEV specific anti-Epithelial Cell Adhesion Molecule (EpCAM) antibody, is capable of high-throughput EVs isolation and yields sufficient DNA (total of 2-14 ng from 2-ml plasma) for downstream genomic analysis. Using two independent quantitative platforms, droplet digital polymerase chain reaction (ddPCR) and molecular barcoding using nanoString nCounter (R) technology, we can reliably identify KRAS mutations within isolated TEV of treatment-naive metastatic pancreatic cancer patients. Our study suggests that the MITEV device can be used for point-of-care applications, such as in the context of monitoring residual or recurrent tumor presence in pancreatic cancer patients undergoing therapy.</t>
  </si>
  <si>
    <t>[Kamyabi, Nabiollah; Grande-Allen, K. Jane] Rice Univ, Dept Bioengn, 6566 Main St, Houston, TX 77030 USA; [Kamyabi, Nabiollah; Maitra, Anirban] Univ Texas MD Anderson Canc Ctr, Dept Translat Mol Pathol, Houston, TX 77030 USA; [Kamyabi, Nabiollah; Abbasgholizadeh, Reza; Maitra, Anirban] Univ Texas MD Anderson Canc Ctr, Sheikh Ahmed Pancreat Canc Res Ctr, Houston, TX 77030 USA; [Abbasgholizadeh, Reza] Univ Texas MD Anderson Canc Ctr, Dept Pathol, Houston, TX 77030 USA; [Ardekani, Arezoo] Purdue Univ, Dept Mech Engn, W Lafayette, IN 47907 USA; [Biswal, Sibani L.] Rice Univ, Dept Chem &amp; Biomol Engn, Houston, TX USA</t>
  </si>
  <si>
    <t>Rice University; University of Texas System; UTMD Anderson Cancer Center; University of Texas System; UTMD Anderson Cancer Center; University of Texas System; UTMD Anderson Cancer Center; Purdue University System; Purdue University; Purdue University West Lafayette Campus; Rice University</t>
  </si>
  <si>
    <t>Kamyabi, N (corresponding author), Rice Univ, Dept Bioengn, 6566 Main St, Houston, TX 77030 USA.;Kamyabi, N (corresponding author), Univ Texas MD Anderson Canc Ctr, Dept Translat Mol Pathol, Houston, TX 77030 USA.;Kamyabi, N (corresponding author), Univ Texas MD Anderson Canc Ctr, Sheikh Ahmed Pancreat Canc Res Ctr, Houston, TX 77030 USA.</t>
  </si>
  <si>
    <t>nk44@rice.edu</t>
  </si>
  <si>
    <t>Ardekani, Arezoo M/A-7039-2013</t>
  </si>
  <si>
    <t>Ardekani, Arezoo M/0000-0003-3301-3193</t>
  </si>
  <si>
    <t>1387-2176</t>
  </si>
  <si>
    <t>1572-8781</t>
  </si>
  <si>
    <t>MAR 11</t>
  </si>
  <si>
    <t>10.1007/s10544-020-00483-7</t>
  </si>
  <si>
    <t>Engineering, Biomedical; Nanoscience &amp; Nanotechnology</t>
  </si>
  <si>
    <t>Engineering; Science &amp; Technology - Other Topics</t>
  </si>
  <si>
    <t>WOS:000519158300001</t>
  </si>
  <si>
    <t>Wan, Y; Liu, B; Lei, H; Zhang, B; Wang, Y; Huang, H; Chen, S; Feng, Y; Zhu, L; Gu, Y; Zhang, Q; Ma, H; Zheng, SY</t>
  </si>
  <si>
    <t>Wan, Y.; Liu, B.; Lei, H.; Zhang, B.; Wang, Y.; Huang, H.; Chen, S.; Feng, Y.; Zhu, L.; Gu, Y.; Zhang, Q.; Ma, H.; Zheng, S-Y</t>
  </si>
  <si>
    <t>Nanoscale extracellular vesicle-derived DNA is superior to circulating cell-free DNA for mutation detection in early-stage non-small-cell lung cancer</t>
  </si>
  <si>
    <t>ANNALS OF ONCOLOGY</t>
  </si>
  <si>
    <t>liquid biopsy; extracellular vesicles; circulating tumor DNA; non-small-cell lung cancer; epidermal growth factor receptor; PCR</t>
  </si>
  <si>
    <t>EXOSOMES; SERUM; BIOMARKER; LABEL; PCR</t>
  </si>
  <si>
    <t>The comparison between relatively intact nanoscale extracellular vesicle-derived DNA (nEV-DNA) and fragmented circulating cell-free DNA (cfDNA) in mutation detection among patients with non-small-cell lung cancer (NSCLC) has not been carried out yet, and thus deserves investigation. Both nEV-DNA and cfDNA was obtained from 377 NSCLC patients with known EGFR mutation status and 69 controls. The respective EGFR(E19del/T790M/L858R) mutation status was interrogated with amplification-refractory-mutation-system-based PCR assays (ARMS-PCR). Neither nEV-DNA nor cfDNA levels show a strong correlation with tumor volumes. There is no correlation between cfDNA and nEV-DNA levels either. The detection sensitivity of nEV-DNA and cfDNA using ARMS-PCR in early-stage NSCLC was 25.7% and 14.2%, respectively, with 96.6% and 91.7% specificity, respectively. In late-stage NSCLC, both nEV-DNA and cfDNA show similar to 80% sensitivity and over 95% specificity. nEV-DNA is superior to cfDNA for mutation detection in early-stage NSCLC using ARMS-PCR. However, the advantages vanish in late-stage NSCLC.</t>
  </si>
  <si>
    <t>[Wan, Y.; Zheng, S-Y] Penn State Univ, Micro &amp; Nano Integrated Biosyst MINIBio Lab, Dept Biomed Engn, University Pk, PA 16802 USA; [Wan, Y.; Zheng, S-Y] Penn State Univ, Penn State Mat Res Inst, University Pk, PA 16802 USA; [Liu, B.] Nanjing Med Univ, Affiliate Hosp, Suzhou Municipal Hosp, Dept Pathol, Suzhou, Jiangsu, Peoples R China; [Lei, H.; Zhang, B.; Huang, H.; Chen, S.; Feng, Y.; Ma, H.] Soochow Univ, Affiliated Hosp 1, Dept Thorac Surg, 296 Shizi St, Suzhou 215000, Jiangsu, Peoples R China; [Lei, H.; Wang, Y.; Zhu, L.; Gu, Y.; Zhang, Q.] PerMed Biomed Inst, Shanghai, Peoples R China; [Zheng, S-Y] Penn State Univ, Penn State Canc Inst, University Pk, PA USA; [Zheng, S-Y] Penn State Univ, Dept Elect Engn, University Pk, PA 16802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</si>
  <si>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Nanjing Medical University; Soochow University - China; Pennsylvania Commonwealth System of Higher Education (PCSHE); Pennsylvania State University; Penn State Health; Pennsylvania State University - University Park; Pennsylvania Commonwealth System of Higher Education (PCSHE); Pennsylvania State University; Pennsylvania State University - University Park</t>
  </si>
  <si>
    <t>Ma, H (corresponding author), Soochow Univ, Affiliated Hosp 1, Dept Thorac Surg, 296 Shizi St, Suzhou 215000, Jiangsu, Peoples R China.;Zheng, SY (corresponding author), Penn State Univ, Dept Biomed Engn, N-238 Millennium Sci Complex, University Pk, PA 16802 USA.</t>
  </si>
  <si>
    <t>mht7403@163.com; sxz10@psu.edu</t>
  </si>
  <si>
    <t>LIU, Biao/0000-0003-3477-6782</t>
  </si>
  <si>
    <t>0923-7534</t>
  </si>
  <si>
    <t>1569-8041</t>
  </si>
  <si>
    <t>10.1093/annonc/mdy458</t>
  </si>
  <si>
    <t>WOS:000456859200019</t>
  </si>
  <si>
    <t>Dekel, E; Abou Karam, P; Ohana-Daniel, Y; Biton, M; Regev-Rudzki, N; Porat, Z</t>
  </si>
  <si>
    <t>Dekel, Elya; Abou Karam, Paula; Ohana-Daniel, Yael; Biton, Mirit; Regev-Rudzki, Neta; Porat, Ziv</t>
  </si>
  <si>
    <t>Antibody-Free Labeling of Malaria-Derived Extracellular Vesicles Using Flow Cytometry</t>
  </si>
  <si>
    <t>malaria; extracellular vesicles; Plasmodium falciparum; flow cytometry</t>
  </si>
  <si>
    <t>EXOSOMES; CELLS; COMMUNICATION; INFECTION; DNA</t>
  </si>
  <si>
    <t>Extracellular vesicles (EVs) are cell-derived membrane-bound structures that are believed to play a major role in intercellular communication by allowing cells to exchange proteins and genetic cargo between them. In particular, pathogens, such as the malaria parasite Plasmodium (P.) falciparum, utilize EVs to promote their growth and to alter their host's response. Thus, better characterization of these secreted organelles will enhance our understanding of the cellular processes that govern EVs' biology and pathological functions. Here we present a method that utilizes a high-end flow cytometer system to characterize small EVs, i.e., with a diameter less than 200 nm. Using this method, we could evaluate different parasite-derived EV populations according to their distinct cargo by using antibody-free labeling. It further allows to closely monitor a sub-population of vesicles carrying parasitic DNA cargo. This ability paves the way to conducting a more 'educated' analysis of the various EV cargo components.</t>
  </si>
  <si>
    <t>[Dekel, Elya; Abou Karam, Paula; Ohana-Daniel, Yael; Biton, Mirit; Regev-Rudzki, Neta] Weizmann Inst Sci, Fac Biochem, Dept Biomol Sci, IL-7610001 Rehovot, Israel; [Porat, Ziv] Weizmann Inst Sci, Flow Cytometry Unit, Life Sci Core Facil, IL-7610001 Rehovot, Israel</t>
  </si>
  <si>
    <t>Regev-Rudzki, N (corresponding author), Weizmann Inst Sci, Fac Biochem, Dept Biomol Sci, IL-7610001 Rehovot, Israel.;Porat, Z (corresponding author), Weizmann Inst Sci, Flow Cytometry Unit, Life Sci Core Facil, IL-7610001 Rehovot, Israel.</t>
  </si>
  <si>
    <t>elya.dekel@weizmann.ac.il; paula.aboukaram@weizmann.ac.il; yaelimeli@gmail.com; mirit.biton@weizmann.ac.il; neta.regev-rudzki@weizmann.ac.il; ziv.porat@weizmann.ac.il</t>
  </si>
  <si>
    <t>10.3390/biomedicines8050098</t>
  </si>
  <si>
    <t>WOS:000540842200034</t>
  </si>
  <si>
    <t>Wang, LY; Sun, ZC; Wang, HM</t>
  </si>
  <si>
    <t>Wang, Lingyun; Sun, Zhichao; Wang, Hongmei</t>
  </si>
  <si>
    <t>Extracellular vesicles and the regulation of tumor immunity: Current progress and future directions</t>
  </si>
  <si>
    <t>JOURNAL OF CELLULAR BIOCHEMISTRY</t>
  </si>
  <si>
    <t>exosome; extracellular vesicle; tumor immunology; tumor metastasis; tumor&amp;#8208; derived exosomes</t>
  </si>
  <si>
    <t>As nano-level information carriers, extracellular vesicles (EVs) contain proteins, DNA or RNA, which maintain the transmembrane transport of biomolecules and the homeostasis of normal cells. EVs can be released by most cell types and absorbed by specific recipient cells, subsequently affecting phenotypic expression. EVs are believed to play an important role in cellular communication, especially in immune cells. During tumor development, EVs of different origins have different effects on the survival and growth of tumor cells. Some tumor cell-derived EVs can mediate tumor immunosuppressive responses by inhibiting the differentiation and maturation of dendritic cells (DCs) and by negatively regulating the expression of T cell receptors, causing tumor cells to escape immune surveillance and proliferate. EVs have therefore become a key component of tumor cell proliferation and metastasis. In contrast, EVs derived from DCs mediate antitumor immune activation by inducing the killing and inhibitory effects of the immune system. This makes it an antigen component of the antitumor response. Integrating the interaction and connection of EVs to immunosuppression and immune response is significant for the application of EVs in clinical practice. Here, we reviewed the research progress on the role of EVs in the immune regulation of tumors.</t>
  </si>
  <si>
    <t>[Wang, Lingyun; Sun, Zhichao; Wang, Hongmei] Nanchang Univ, Sch Basic Med Sci, Dept Pathophysiol, 461 Bayi Ave, Nanchang 330006, Jiangxi, Peoples R China; [Wang, Lingyun] Jiangxi Hlth Vocat Coll, Basic Dept, Nanchang, Jiangxi, Peoples R China; [Sun, Zhichao] Nanchang Univ, Acad Queen Mary, Nanchang, Jiangxi, Peoples R China</t>
  </si>
  <si>
    <t>Nanchang University; Nanchang University</t>
  </si>
  <si>
    <t>Wang, LY (corresponding author), Nanchang Univ, Sch Basic Med Sci, Dept Pathophysiol, 461 Bayi Ave, Nanchang 330006, Jiangxi, Peoples R China.</t>
  </si>
  <si>
    <t>wanghongmay@hotmail.com</t>
  </si>
  <si>
    <t>Wang, Hongmei/0000-0002-2703-3406</t>
  </si>
  <si>
    <t>0730-2312</t>
  </si>
  <si>
    <t>1097-4644</t>
  </si>
  <si>
    <t>10.1002/jcb.29904</t>
  </si>
  <si>
    <t>WOS:000618560000001</t>
  </si>
  <si>
    <t>Langlete, P; Krabberod, AK; Winther-Larsen, HC</t>
  </si>
  <si>
    <t>Langlete, Petter; Krabberod, Anders Kristian; Winther-Larsen, Hanne Cecilie</t>
  </si>
  <si>
    <t>Vesicles From Vibrio cholerae Contain AT-Rich DNA and Shorter mRNAs That Do Not Correlate With Their Protein Products</t>
  </si>
  <si>
    <t>FRONTIERS IN MICROBIOLOGY</t>
  </si>
  <si>
    <t>Vibrio cholerae; extracellular vesicles; bacteriophages; RNA; DNA; extracellular proteomics</t>
  </si>
  <si>
    <t>OUTER-MEMBRANE VESICLES; ENTERICA SEROVAR TYPHIMURIUM; RUGOSE COLONY MORPHOLOGY; ESCHERICHIA-COLI; NUCLEOTIDE-SEQUENCE; PROTEOMIC ANALYSIS; BIOFILM FORMATION; STRUCTURAL BASIS; GENE-CLUSTER; HFQ PROTEIN</t>
  </si>
  <si>
    <t>Extracellular vesicles secreted by Gram-negative bacteria have proven to be important in bacterial defense, communication and host-pathogen relationships. They resemble smaller versions of the bacterial mother cell, with similar contents of proteins, LPS, DNA, and RNA. Vesicles can elicit a protective immune response in a range of hosts, and as vaccine candidates, it is of interest to properly characterize their cargo. Genetic sequencing data is already available for vesicles from several bacterial strains, but it is not yet clear how the genetic makeup of vesicles differ from that of their parent cells, and which properties may characterize enriched genetic material. The present study provides evidence for DNA inside vesicles from Vibrio cholerae O395, and key characteristics of their genetic and proteomic content are compared to that of whole cells. DNA analysis reveals enrichment of fragments containing ToxR binding sites, as well as a positive correlation between AT-content and enrichment. Some mRNAs were highly enriched in the vesicle fraction, such as membrane protein genes ompV, ompK, and ompU, DNA-binding protein genes hupA, hupB, ihfB, fis, and ssb, and a negative correlation was found between mRNA enrichment and transcript length, suggesting mRNA inclusion in vesicles may be a size-dependent process. Certain non-coding and functional RNAs were found to be enriched, such as VrrA, GcvB, tmRNA, RNase P, CsrB2, and CsrB3. Mass spectrometry revealed enrichment of outer membrane proteins, known virulence factors, phage components, flagella and extracellular proteins in the vesicle fraction, and a low, negative correlation was found between transcript-, and protein enrichment. This result opposes the hypothesis that a significant degree of protein translation occurs in vesicles after budding. The abundance of viral-, and flagellar proteins in the vesicle fraction underlines the importance of purification during vesicle isolation.</t>
  </si>
  <si>
    <t>[Langlete, Petter; Winther-Larsen, Hanne Cecilie] Univ Oslo, Dept Pharm, Sect Pharmacol &amp; Pharmaceut Biosci, Oslo, Norway; [Langlete, Petter; Krabberod, Anders Kristian; Winther-Larsen, Hanne Cecilie] Univ Oslo, Ctr Integrat Microbial Evolut CIME, Dept Biosci, Oslo, Norway; [Krabberod, Anders Kristian] Univ Oslo, Dept Biosci, Sect Genet &amp; Evolutionary Biol EVOGENE, Oslo, Norway</t>
  </si>
  <si>
    <t>University of Oslo; University of Oslo; University of Oslo</t>
  </si>
  <si>
    <t>Winther-Larsen, HC (corresponding author), Univ Oslo, Dept Pharm, Sect Pharmacol &amp; Pharmaceut Biosci, Oslo, Norway.;Winther-Larsen, HC (corresponding author), Univ Oslo, Ctr Integrat Microbial Evolut CIME, Dept Biosci, Oslo, Norway.</t>
  </si>
  <si>
    <t>hannewi@farmasi.uio.no</t>
  </si>
  <si>
    <t>Krabberod, Anders Kristian/0000-0001-9481-8396</t>
  </si>
  <si>
    <t>1664-302X</t>
  </si>
  <si>
    <t>NOV 22</t>
  </si>
  <si>
    <t>10.3389/fmicb.2019.02708</t>
  </si>
  <si>
    <t>WOS:000585865700001</t>
  </si>
  <si>
    <t>Dogrammatzis, C; Saleh, S; Deighan, C; Kalamvoki, M</t>
  </si>
  <si>
    <t>Dogrammatzis, Christos; Saleh, Shadia; Deighan, Clayton; Kalamvoki, Maria</t>
  </si>
  <si>
    <t>Diverse Populations of Extracellular Vesicles with Opposite Functions during Herpes Simplex Virus 1 Infection</t>
  </si>
  <si>
    <t>JOURNAL OF VIROLOGY</t>
  </si>
  <si>
    <t>extracellular vesicles; tetraspanins; CD63; CD81; HSV-1; ESCRT; biogenesis of extracellular vesicles; L-particles; biogenesis of extracellular vesicles</t>
  </si>
  <si>
    <t>ESCRT MACHINERY; EXOSOMES; BIOGENESIS; SECRETION; ICP0; MICROVESICLES; MEMBRANE</t>
  </si>
  <si>
    <t>Extracellular vesicles (EVs) are released by all types of cells as a means of intercellular communication. Their significance lies in the fact that they can alter recipient cell functions, despite their limited capacity for cargo. We have previously demonstrated that herpes simplex virus 1 (HSV-1) infection influences the cargo and functions of EVs released by infected cells and that these EVs negatively impact a subsequent HSV-1 infection. In the present study, we have implemented cuttingedge technologies to further characterize EVs released during HSV-1 infection. We identified distinct EV populations that were separable through a gradient approach. One population was positive for the tetraspanin CD63 and was distinct from EVs carrying components of the endosomal sorting complexes required for transport (ESCRT). Nanoparticle tracking analysis (NTA) combined with protein analysis indicated that the production of CD63(+) EVs was selectively induced upon HSV-1 infection. The ExoView platform supported these data and suggested that the amount of CD63 per vesicle is larger upon infection. This platform also identified EV populations positive for other tetraspanins, including CD81 and CD9, whose abundance decreased upon HSV-1 infection. The stimulator of interferon genes (STING) was found in CD63(+) EVs released during HSV-1 infection, while viral components were found in ESCRT+ EVs. Functional characterization of these EVs demonstrated that they have opposite effects on the infection, but the dominant effect was negative. Overall, we have identified the dominant population of EVs, and other EV populations produced during HSV1 infection, and we have provided information about potential roles. IMPORTANCE Extracellular vesicles mediate cell-to-cell communication and convey messages important for cell homeostasis. Pathways of EV biogenesis are often hijacked by pathogens to facilitate their dissemination and to establish a favorable microenvironment for the infection. We have previously shown that HSV-1 infection alters the cargo and functions of the released EVs, which negatively impact the infection. We have built upon our previous findings by developing procedures to separate EV populations from HSV-1-infected cells. We identified the major population of EVs released during infection, which carries the DNA sensor STING and has an antiviral effect. We also identified an EV population that carries selected viral proteins and has a proviral role. This is the first study to characterize EV populations during infection. These data indicate that the complex interactions between the virus and the host are extended to the extracellular environment and could impact HSV-1 dissemination and persistence in the host.</t>
  </si>
  <si>
    <t>[Dogrammatzis, Christos; Saleh, Shadia; Kalamvoki, Maria] Univ Kansas, Med Ctr, Dept Microbiol Mol Genet &amp; Immunol, Kansas City, KS 66103 USA; [Deighan, Clayton] NanoView Biosci, Boston, MA USA</t>
  </si>
  <si>
    <t>University of Kansas; University of Kansas Medical Center</t>
  </si>
  <si>
    <t>Kalamvoki, M (corresponding author), Univ Kansas, Med Ctr, Dept Microbiol Mol Genet &amp; Immunol, Kansas City, KS 66103 USA.</t>
  </si>
  <si>
    <t>mkalamvoki@kumc.edu</t>
  </si>
  <si>
    <t>0022-538X</t>
  </si>
  <si>
    <t>1098-5514</t>
  </si>
  <si>
    <t>e02357-20</t>
  </si>
  <si>
    <t>10.1128/JVI.02357-20</t>
  </si>
  <si>
    <t>WOS:000623419500001</t>
  </si>
  <si>
    <t>Tutanov, O; Shtam, T; Grigor'eva, A; Tupikin, A; Tsentalovich, Y; Tamkovich, S</t>
  </si>
  <si>
    <t>Tutanov, Oleg; Shtam, Tatiana; Grigor'eva, Alina; Tupikin, Alexey; Tsentalovich, Yuri; Tamkovich, Svetlana</t>
  </si>
  <si>
    <t>Blood Plasma Exosomes Contain Circulating DNA in Their Crown</t>
  </si>
  <si>
    <t>DIAGNOSTICS</t>
  </si>
  <si>
    <t>circulating DNA; exosomes; DNA-binding proteins; histone-binding proteins; crown</t>
  </si>
  <si>
    <t>CANCER-PATIENTS; GASTRIC-CANCER; TUMOR DNA; BINDING; CHROMATIN; PROTEINS; DOMAINS; DISEASE; BENIGN; BREAST</t>
  </si>
  <si>
    <t>It is known that circulating DNA (cirDNA) is protected from nuclease activity by proteins that form macromolecular complexes with DNA. In addition, it was previously shown that cirDNA can bind to the outer surface of exosomes. NTA analysis and real-time PCR show that exosomes from healthy females (HF) or breast cancer patients (BCP) plasma contain less than 1.4 x 10(-8) pg of DNA. Thus, only a minor part of cirDNA is attached to the outer side of the exosome as part of the vesicle crown: the share of exosomal DNA does not exceed 0.025% HF plasma DNA and 0.004% BCP plasma DNA. Treatment of plasma exosomes with DNase I with subsequent dot immunoassay reveals that H2a, H2b, and H3 histones are not part of the exosomal membrane, but are part of the cirDNA-protein macromolecular complex associated with the surface of the exosome either through interaction with DNA-binding proteins or with histone-binding proteins. Using bioinformatics approaches after identification by MALDI-TOF mass spectrometry, 16 exosomal DNA-binding proteins were identified. It was shown that four proteins-AIFM1, IGHM, CHD5, and KCNIP3-are candidates for DNA binding on the outer membrane of exosomes; the crown of exosomes may include five DNA-binding proteins: H2a, H2b, H3, IGHM, and ALB. Of note, AIFM1, IGHM, and CHD5 proteins are found only in HF plasma exosomes; KCNIP3 protein is identified only in BCP plasma exosomes; and H2a, H2b, H3, and ALB are revealed in all samples of plasma exosomes. Two histone-binding proteins, CHD5 and KDM6B, have been found in exosomes from HF plasma. The data obtained indicate that cirDNA preferentially binds to the outer membrane of exosomes by association with DNA-binding proteins.</t>
  </si>
  <si>
    <t>[Tutanov, Oleg; Tamkovich, Svetlana] Novosibirsk State Univ, V Zelman Inst Med &amp; Psychol, Novosibirsk 630090, Russia; [Shtam, Tatiana] Natl Res Ctr, Petersburg Nucl Phys Inst, Kurchatov Inst, Gatchina 188300, Russia; [Grigor'eva, Alina; Tupikin, Alexey] Russian Acad Sci, Inst Chem Biol &amp; Fundamental Med, Siberian Branch, Novosibirsk 630090, Russia; [Tsentalovich, Yuri] Russian Acad Sci, Int Tomog Ctr, Siberian Branch, Novosibirsk 630090, Russia</t>
  </si>
  <si>
    <t>Novosibirsk State University; National Research Centre - Kurchatov Institute; Petersburg Nuclear Physics Institute; Institute of Chemical Biology &amp; Fundamental Medicine, Siberian Branch of the RAS; Russian Academy of Sciences; International Tomography Center, Siberian Branch of Russian Academy of Sciences; Russian Academy of Sciences</t>
  </si>
  <si>
    <t>Tamkovich, S (corresponding author), Novosibirsk State Univ, V Zelman Inst Med &amp; Psychol, Novosibirsk 630090, Russia.</t>
  </si>
  <si>
    <t>ostutanov@gmail.com; shtam_ta@pnpi.nrcki.ru; feabelit@mail.ru; alenare@niboch.nsc.ru; yura@tomo.nsc.ru; s.tamkovich@g.nsu.ru</t>
  </si>
  <si>
    <t>Shtam, Tatyana/AGM-9038-2022; Tamkovich, Svetlana/G-9790-2013; Tutanov, Oleg/R-3938-2016</t>
  </si>
  <si>
    <t>Shtam, Tatyana/0000-0003-0651-4785; Tamkovich, Svetlana/0000-0001-7774-943X; Tutanov, Oleg/0000-0003-4794-6322; Tsentalovich, Yuri/0000-0002-1380-3000</t>
  </si>
  <si>
    <t>2075-4418</t>
  </si>
  <si>
    <t>10.3390/diagnostics12040854</t>
  </si>
  <si>
    <t>Medicine, General &amp; Internal</t>
  </si>
  <si>
    <t>General &amp; Internal Medicine</t>
  </si>
  <si>
    <t>WOS:000785521400001</t>
  </si>
  <si>
    <t>Pando, A; Fast, L; Dubielecka, PM; Chorzalska, A; Wen, SC; Reagan, J</t>
  </si>
  <si>
    <t>Pando, Alejandro; Fast, Loren; Dubielecka, Patrycja M.; Chorzalska, Anna; Wen, Sicheng; Reagan, John</t>
  </si>
  <si>
    <t>Murine Leukemia-Derived Extracellular Vesicles Elicit Antitumor Immune Response</t>
  </si>
  <si>
    <t>JOURNAL OF BLOOD MEDICINE</t>
  </si>
  <si>
    <t>extracellular vesicles; acute myeloid leukemia; immune responses</t>
  </si>
  <si>
    <t>T-CELLS; TUMOR-CELLS; ALLOREACTIVITY; IMMUNOTHERAPY; EXOSOMES</t>
  </si>
  <si>
    <t>Background: Extracellular vesicles (EVs) are heterogeneous lipid bilayer particles secreted by cells. EVs contain proteins, RNA, DNA and other cargo that can have immunomodulatory effects. Cancer-derived EVs have been described as having immunomodulating effects in vivo with immunosuppressive and pro-tumor growth capabilities. However, cancer-derived EVs have also been harnessed and utilized for anti-cancer potential. Methods: To assess the immunomodulatory effect of EVs produced by acute myeloid leukemia (AML) cells, we isolated vesicles secreted by the murine AML cell line, C1498, and investigated their effect on in vitro and in vivo immune responses. Results: These leukemia-derived EVs were found to induce increased proliferation of CD3+ cells and enhanced cytolytic activity of CD3+ cells directed toward leukemic cells in vitro. Injection of leukemia-derived EVs into syngeneic naive mice induced T cell responses in vivo and resulted in enhanced immune responses upon T cell re-stimulation in vitro. Conclusion: These findings indicate that C1498-derived EVs have immunomodulatory effects on cell-mediated immune responses that could potentially be utilized to facilitate antileukemia immune responses.</t>
  </si>
  <si>
    <t>Brown Univ, Rhode Isl Hosp, Div Hematol Oncol, Dept Med, Providence, RI 02903 USA; Brown Univ, Warren Alpert Sch Med, Providence, RI 02903 USA</t>
  </si>
  <si>
    <t>Brown University; Lifespan Health Rhode Island; Rhode Island Hospital; Brown University</t>
  </si>
  <si>
    <t>Fast, L (corresponding author), Brown Univ, Dept Med, Rhode Isl Hosp, Div Hematol Oncol, 31 S Killingly Rd, Foster, RI 02825 USA.;Fast, L (corresponding author), Div Hematol Oncol, Warren Alpert Sch Med, 31 S Killingly Rd, Foster, RI 02825 USA.</t>
  </si>
  <si>
    <t>Loren_Fast@brown.edu</t>
  </si>
  <si>
    <t>1179-2736</t>
  </si>
  <si>
    <t>10.2147/JBM.S308861</t>
  </si>
  <si>
    <t>WOS:000651826000001</t>
  </si>
  <si>
    <t>Carvalho, AS; Baeta, H; Henriques, AFA; Ejtehadifar, M; Tranfield, EM; Sousa, AL; Farinho, A; Silva, BC; Cabecadas, J; Gameiro, P; da Silva, MG; Beck, HC; Matthiesen, R</t>
  </si>
  <si>
    <t>Carvalho, Ana Sofia; Baeta, Henrique; Henriques, Andreia F. A.; Ejtehadifar, Mostafa; Tranfield, Erin M.; Sousa, Ana Laura; Farinho, Ana; Silva, Bruno Costa; Cabecadas, Jose; Gameiro, Paula; da Silva, Maria Gomes; Beck, Hans Christian; Matthiesen, Rune</t>
  </si>
  <si>
    <t>Proteomic Landscape of Extracellular Vesicles for Diffuse Large B-Cell Lymphoma Subtyping</t>
  </si>
  <si>
    <t>extracellular vesicles; exosomes; DLBCL; diffuse large B-cell lymphoma; proteomics; mass spectrometry</t>
  </si>
  <si>
    <t>EXPRESSION; SURVIVAL; EXOSOMES; CLASSIFICATION; HETEROGENEITY; CHEMOTHERAPY; TARGETS; DNA</t>
  </si>
  <si>
    <t>The role of extracellular vesicles (EVs) proteome in diffuse large B-cell lymphoma (DLBCL) pathology, subclassification, and patient screening is unexplored. We analyzed by state-of-the-art mass spectrometry the whole cell and secreted extracellular vesicles (EVs) proteomes of different molecular subtypes of DLBCL, germinal center B cell (GCB subtype), and activated B cell (ABC subtype). After quality control assessment, we compared whole-cell and secreted EVs proteomes of the two cell-of-origin (COO) categories, GCB and ABC subtypes, resulting in 288/1115 significantly differential expressed proteins from the whole-cell proteome and 228/608 proteins from EVs (adjust p-value &lt; 0.05/p-value &lt; 0.05). In our preclinical model system, we demonstrated that the EV proteome and the whole-cell proteome possess the capacity to separate cell lines into ABC and GCB subtypes. KEGG functional analysis and GO enrichment analysis for cellular component, molecular function, and biological process of differential expressed proteins (DEP) between ABC and GCB EVs showed a significant enrichment of pathways involved in immune response function. Other enriched functional categories for DEPs constitute cellular signaling and intracellular trafficking such as B-cell receptor (BCR), Fc_gamma R-mediated phagocytosis, ErbB signaling, and endocytosis. Our results suggest EVs can be explored as a tool for patient diagnosis, follow-up, and disease monitoring. Finally, this study proposes novel drug targets based on highly expressed proteins, for which antitumor drugs are available suggesting potential combinatorial therapies for aggressive forms of DLBCL.</t>
  </si>
  <si>
    <t>[Carvalho, Ana Sofia; Baeta, Henrique; Henriques, Andreia F. A.; Ejtehadifar, Mostafa; Matthiesen, Rune] Univ NOVA Lisboa, Computat &amp; Expt Biol Grp, Chron Dis Res Ctr, NOVA Med Sch,Fac Ciencias Med,CEDOC, P-1169056 Lisbon, Portugal; [Tranfield, Erin M.; Sousa, Ana Laura] Inst Gulbenkian Ciencias, Electron Microscopy Facil, P-2780156 Oeiras, Portugal; [Farinho, Ana] Univ NOVA Lisboa, iNOVA4Hlth Adv Precis Med, CEDOC Chron Dis Res Ctr, NOVA Med Sch,Fac Ciencias Med, P-1169056 Lisbon, Portugal; [Silva, Bruno Costa] Champalimaud Ctr Unknown, Champalimaud Res, Syst Oncol Grp, P-1400038 Lisbon, Portugal; [Cabecadas, Jose] Inst Portugues Oncol Francisco Gentil, Pathol Dept, P-1099023 Lisbon, Portugal; [Gameiro, Paula; da Silva, Maria Gomes] Inst Portugues Oncol Francisco Gentil, Haematol Unit, P-1099023 Lisbon, Portugal; [Beck, Hans Christian] Odense Univ Hosp, Ctr Clin Prote, Dept Clin Biochem &amp; Pharmacol, DK-5000 Odense, Denmark</t>
  </si>
  <si>
    <t>Universidade Nova de Lisboa; Instituto Gulbenkian de Ciencia; Universidade Nova de Lisboa; Fundacao Champalimaud; Portuguese Institute of Oncology; Portuguese Institute of Oncology; University of Southern Denmark; Odense University Hospital</t>
  </si>
  <si>
    <t>Carvalho, AS; Matthiesen, R (corresponding author), Univ NOVA Lisboa, Computat &amp; Expt Biol Grp, Chron Dis Res Ctr, NOVA Med Sch,Fac Ciencias Med,CEDOC, P-1169056 Lisbon, Portugal.</t>
  </si>
  <si>
    <t>ana.carvalho@nms.unl.pt; henriquebaetah@gmail.com; andreia.henriques@nms.unl.pt; mostafa.ejtehadifar@nms.unl.pt; etranfield@igc.gulbenkian.pt; alsousa@igc.gulbenkian.pt; ana.farinho@nms.unl.pt; bruno.costadasilva@research.f.champalimaud.org; jcabecadas@ipolisboa.min-saude.pt; pgameiro@ipolisboa.min-saude.pt; mgsilva@ipolisboa.min-saude.pt; hans.christian.beck@rsyd.dk; rune.matthiesen@nms.unl.pt</t>
  </si>
  <si>
    <t>Tranfield, Erin M/AAU-4177-2020</t>
  </si>
  <si>
    <t>Tranfield, Erin M/0000-0002-1542-7459; Cabecadas, Jose/0000-0001-6232-1596; Beck, Hans Christian/0000-0002-7763-3637; Gomes da Silva, Maria/0000-0002-6993-2450; Baeta, Henrique/0000-0001-8481-9416; Ejtehadifar, Mostafa/0000-0002-6508-8707; Costa-Silva, Bruno/0000-0002-5932-6211; Matthiesen, Rune/0000-0002-6353-2616; Sousa, Ana Laura/0000-0001-6067-8794; Almeida Henriques, Andreia/0000-0001-7763-873X; Gameiro, Paula/0000-0002-3761-7050; Carvalho, Ana Sofia/0000-0003-0657-1907</t>
  </si>
  <si>
    <t>10.3390/ijms222011004</t>
  </si>
  <si>
    <t>WOS:000746850700001</t>
  </si>
  <si>
    <t>Ko, JN; Wang, YC; Sheng, KW; Weitz, DA; Weissleder, R</t>
  </si>
  <si>
    <t>Ko, Jina; Wang, Yongcheng; Sheng, Kuanwei; Weitz, David A.; Weissleder, Ralph</t>
  </si>
  <si>
    <t>Sequencing-Based Protein Analysis of Single Extracellular Vesicles</t>
  </si>
  <si>
    <t>sequencing; extracellular vesicles; droplet microfluidics; high throughput; multiplexing</t>
  </si>
  <si>
    <t>Circulating extracellular vesicles (EVs)-biological nanomaterials shed from most mammalian cells. have emerged as promising biomarkers, drug delivery vesicles, and treatment modulators. While different types of vesicles are being explored for these applications, it is becoming clear that human EVs are quite heterogeneous even in homogeneous or monoclonal cell populations. Since it is the surface EV protein composition that will largely dictate their biological behavior, high-throughput single EV profiling methods are needed to better define EV subpopulations. Here, we present an antibody-based immunosequencing method that allows multiplexed measurement of protein molecules from individual nanometer-sized EVs. We use droplet microfluidics to compartmentalize and barcode individual EVs. The barcodes/antibody-DNA are then sequenced to determine protein composition. Using this highly sensitive technology, we detected specific proteins at the single EV level. We expect that this technology can be further adapted for multiplexed protein analysis of any nanoparticle.</t>
  </si>
  <si>
    <t>[Ko, Jina; Weissleder, Ralph] Massachusetts Gen Hosp, Ctr Syst Biol, Boston, MA 02114 USA; [Ko, Jina; Wang, Yongcheng; Sheng, Kuanwei; Weitz, David A.] Harvard Univ, Wyss Inst Biol Inspired Engn, Boston, MA 02115 USA; [Wang, Yongcheng; Weitz, David A.] Harvard Univ, John A Paulson Sch Engn &amp; Appl Sci, Cambridge, MA 02138 USA; [Wang, Yongcheng; Weitz, David A.] Harvard Univ, Dept Phys, Cambridge, MA 02138 USA; [Wang, Yongcheng] Harvard Univ, Dept Chem &amp; Chem Biol, Cambridge, MA 02138 USA; [Weissleder, Ralph] Harvard Med Sch, Dept Syst Biol, Boston, MA 02115 USA</t>
  </si>
  <si>
    <t>Harvard University; Massachusetts General Hospital; Harvard University; Harvard University; Harvard University; Harvard University; Harvard University; Harvard Medical School</t>
  </si>
  <si>
    <t>Weissleder, R (corresponding author), Massachusetts Gen Hosp, Ctr Syst Biol, Boston, MA 02114 USA.;Weissleder, R (corresponding author), Harvard Med Sch, Dept Syst Biol, Boston, MA 02115 USA.</t>
  </si>
  <si>
    <t>rweissleder@mgh.harvard.edu</t>
  </si>
  <si>
    <t>Wang, Yongcheng/0000-0003-2820-4243</t>
  </si>
  <si>
    <t>MAR 23</t>
  </si>
  <si>
    <t>10.1021/acsnano.1c00782</t>
  </si>
  <si>
    <t>MAR 2021</t>
  </si>
  <si>
    <t>WOS:000634569100170</t>
  </si>
  <si>
    <t>Guescini, M; Maggio, S; Ceccaroli, P; Battistelli, M; Annibalini, G; Piccoli, G; Sestili, P; Stocchi, V</t>
  </si>
  <si>
    <t>Guescini, Michele; Maggio, Serena; Ceccaroli, Paola; Battistelli, Michela; Annibalini, Giosue; Piccoli, Giovanni; Sestili, Piero; Stocchi, Vilberto</t>
  </si>
  <si>
    <t>Extracellular Vesicles Released by Oxidatively Injured or Intact C2C12 Myotubes Promote Distinct Responses Converging toward Myogenesis</t>
  </si>
  <si>
    <t>exosomes; extracellular vesicles; oxidative stress; myogenic differentiation; intercellular communication; C2C12; H2O2</t>
  </si>
  <si>
    <t>MUSCLE SATELLITE CELL; SKELETAL-MUSCLE; STEM-CELL; EXOSOMAL PROTEINS; IN-VITRO; MICRORNAS; RNA; BIOGENESIS; STIMULATE; EXOCARTA</t>
  </si>
  <si>
    <t>Myogenic differentiation is triggered, among other situations, in response to muscle damage for regenerative purposes. It has been shown that during myogenic differentiation, myotubes release extracellular vesicles (EVs) which participate in the signalling pattern of the microenvironment. Here we investigated whether EVs released by myotubes exposed or not to mild oxidative stress modulate the behaviour of targeted differentiating myoblasts and macrophages to promote myogenesis. We found that EVs released by oxidatively challenged myotubes (H2O2-EVs) are characterized by an increased loading of nucleic acids, mainly DNA. In addition, incubation of myoblasts with H2O2-EVs resulted in a significant decrease of myotube diameter, myogenin mRNA levels and myosin heavy chain expression along with an upregulation of proliferating cell nuclear antigen: these effects collectively lead to an increase of recipient myoblast proliferation. Notably, the EVs from untreated myotubes induced an opposite trend in myoblasts, that is, a slight pro-differentiation effect. Finally, H2O2-EVs were capable of eliciting an increased interleukin 6 mRNA expression in RAW264.7 macrophages. Notably, this is the first demonstration that myotubes communicate with surrounding macrophages via EV release. Collectively, the data reported herein suggest that myotubes, depending on their conditions, release EVs carrying differential signals which could contribute to finely and coherently orchestrate the muscle regeneration process.</t>
  </si>
  <si>
    <t>[Guescini, Michele; Maggio, Serena; Ceccaroli, Paola; Battistelli, Michela; Annibalini, Giosue; Piccoli, Giovanni; Sestili, Piero; Stocchi, Vilberto] Univ Urbino Carlo Bo, Dept Biomol Sci, Via I Maggetti 26, I-61029 Urbino, Italy</t>
  </si>
  <si>
    <t>University of Urbino</t>
  </si>
  <si>
    <t>Guescini, M (corresponding author), Univ Urbino Carlo Bo, Dept Biomol Sci, Via I Maggetti 26, I-61029 Urbino, Italy.</t>
  </si>
  <si>
    <t>michele.guescini@uniurb.it; serena.maggio@uniurb.it; paola.ceccaroli@uniurb.it; michela.battistelli@uniurb.it; giosue.annibalini@uniurb.it; giovanni.piccoli@uniurb.it; piero.sestili@uniurb.it; vilberto.stocchi@uniurb.it</t>
  </si>
  <si>
    <t>Annibalini, Giosuè/J-7701-2016; Battistelli, Michela/AAN-1138-2021; Guescini, Michele/L-1297-2019</t>
  </si>
  <si>
    <t>Annibalini, Giosuè/0000-0002-6914-4905; Guescini, Michele/0000-0001-9372-7038; PICCOLI, Giovanni/0000-0001-8114-7888; Sestili, Piero/0000-0001-9412-1660; Maggio, Serena/0000-0001-8778-6576</t>
  </si>
  <si>
    <t>10.3390/ijms18112488</t>
  </si>
  <si>
    <t>WOS:000416811300258</t>
  </si>
  <si>
    <t>Guescini, M; Genedani, S; Stocchi, V; Agnati, LF</t>
  </si>
  <si>
    <t>Guescini, Michele; Genedani, Susanna; Stocchi, Vilberto; Agnati, Luigi Francesco</t>
  </si>
  <si>
    <t>Astrocytes and Glioblastoma cells release exosomes carrying mtDNA</t>
  </si>
  <si>
    <t>JOURNAL OF NEURAL TRANSMISSION</t>
  </si>
  <si>
    <t>Glioblastoma cells; Astrocytes; Mitochondrial DNA; Exosomes; Intercellular communication</t>
  </si>
  <si>
    <t>PROTEINS; DISEASE; TRANSPORT; NANOTUBES; PEPTIDES; PROVIDE</t>
  </si>
  <si>
    <t>Cells can exchange information not only by means of chemical and/or electrical signals, but also via microvesicles released into the intercellular space. The present paper, for the first time, provides evidence that Glioblastoma and Astrocyte cells release microvesicles, which carry mitochondrial DNA (mtDNA). These microvesicles have been characterised as exosomes in view of the presence of some protein markers of exosomes, such as Tsg101, CD9 and Alix. Thus, the important finding has been obtained that bonafide exosomes, constitutively released by Glioblastoma cells and Astrocytes, can carry mtDNA, which can be, therefore, transferred between cells. This datum may help the understanding of some diseases due to mitochondrial alterations.</t>
  </si>
  <si>
    <t>[Genedani, Susanna; Agnati, Luigi Francesco] Univ Modena &amp; Reggio Emilia, Dept Biomed Sci, I-41100 Modena, Italy; [Guescini, Michele; Stocchi, Vilberto] Univ Urbino Carlo Bo, Dept Biomol Sci, Urbino, Italy; [Agnati, Luigi Francesco] IRCCS Lido, Venice, Italy</t>
  </si>
  <si>
    <t>Universita di Modena e Reggio Emilia; University of Urbino</t>
  </si>
  <si>
    <t>Agnati, LF (corresponding author), Univ Modena &amp; Reggio Emilia, Dept Biomed Sci, Via Campi 287, I-41100 Modena, Italy.</t>
  </si>
  <si>
    <t>luigiagnati@tin.it</t>
  </si>
  <si>
    <t>Guescini, Michele/L-1297-2019; Genedani, Susanna/K-4370-2016</t>
  </si>
  <si>
    <t>Guescini, Michele/0000-0001-9372-7038; Genedani, Susanna/0000-0003-1526-153X</t>
  </si>
  <si>
    <t>0300-9564</t>
  </si>
  <si>
    <t>1435-1463</t>
  </si>
  <si>
    <t>10.1007/s00702-009-0288-8</t>
  </si>
  <si>
    <t>Clinical Neurology; Neurosciences</t>
  </si>
  <si>
    <t>WOS:000272464800001</t>
  </si>
  <si>
    <t>Wen, S; Dooner, M; Cheng, Y; Papa, E; Del Tatto, M; Pereira, M; Deng, Y; Goldberg, L; Aliotta, J; Chatterjee, D; Stewart, C; Carpanetto, A; Collino, F; Bruno, S; Camussi, G; Quesenberry, P</t>
  </si>
  <si>
    <t>Wen, S.; Dooner, M.; Cheng, Y.; Papa, E.; Del Tatto, M.; Pereira, M.; Deng, Y.; Goldberg, L.; Aliotta, J.; Chatterjee, D.; Stewart, C.; Carpanetto, A.; Collino, F.; Bruno, S.; Camussi, G.; Quesenberry, P.</t>
  </si>
  <si>
    <t>Mesenchymal stromal cell-derived extracellular vesicles rescue radiation damage to murine marrow hematopoietic cells</t>
  </si>
  <si>
    <t>LEUKEMIA</t>
  </si>
  <si>
    <t>EXOSOME-MEDIATED TRANSFER; STEM-CELL; BONE-MARROW; MICROVESICLES; TRANSPLANTATION; ENGRAFTMENT; MECHANISM; APOPTOSIS; SURVIVAL; GROWTH</t>
  </si>
  <si>
    <t>Mesenchymal stromal cells (MSCs) have been shown to reverse radiation damage to marrow stem cells. We have evaluated the capacity of MSC-derived extracellular vesicles (MSC-EVs) to mitigate radiation injury to marrow stem cells at 4 h to 7 days after irradiation. Significant restoration of marrow stem cell engraftment at 4, 24 and 168 h post irradiation by exposure to MSC-EVs was observed at 3 weeks to 9 months after transplant and further confirmed by secondary engraftment. Intravenous injection of MSC-EVs to 500cGy exposed mice led to partial recovery of peripheral blood counts and restoration of the engraftment of marrow. The murine hematopoietic cell line, FDC-P1 exposed to 500cGy, showed reversal of growth inhibition, DNA damage and apoptosis on exposure to murine or human MSC-EVs. Both murine and human MSC-EVs reverse radiation damage to murine marrow cells and stimulate normal murine marrow stem cell/progenitors to proliferate. A preparation with both exosomes and microvesicles was found to be superior to either microvesicles or exosomes alone. Biologic activity was seen in freshly isolated vesicles and in vesicles stored for up to 6 months in 10% dimethyl sulfoxide at -80 degrees C. These studies indicate that MSC-EVs can reverse radiation damage to bone marrow stem cells.</t>
  </si>
  <si>
    <t>[Wen, S.; Dooner, M.; Cheng, Y.; Papa, E.; Del Tatto, M.; Pereira, M.; Deng, Y.; Goldberg, L.; Aliotta, J.; Chatterjee, D.; Stewart, C.; Quesenberry, P.] Brown Univ, Rhode Isl Hosp, Div Hematol Oncol, 593 Eddy St, Providence, RI 02903 USA; [Carpanetto, A.; Collino, F.; Bruno, S.; Camussi, G.] Univ Torino, Dept Med Sci, Turin, Italy</t>
  </si>
  <si>
    <t>Brown University; Lifespan Health Rhode Island; Rhode Island Hospital; University of Turin</t>
  </si>
  <si>
    <t>Wen, S; Quesenberry, P (corresponding author), Brown Univ, Rhode Isl Hosp, Div Hematol Oncol, 593 Eddy St, Providence, RI 02903 USA.</t>
  </si>
  <si>
    <t>sicheng_wen@brown.edu; pquesenberry@lifespan.org</t>
  </si>
  <si>
    <t>Collino, Federica/B-9956-2018; Collino, Federica/AAC-6032-2022; Camussi, Giovanni/J-7624-2016</t>
  </si>
  <si>
    <t>Collino, Federica/0000-0002-3619-7701; Collino, Federica/0000-0002-3619-7701; Camussi, Giovanni/0000-0003-2795-232X; BRUNO, Stefania/0000-0002-8879-9536; Dooner, Mark/0000-0003-0653-6562</t>
  </si>
  <si>
    <t>0887-6924</t>
  </si>
  <si>
    <t>1476-5551</t>
  </si>
  <si>
    <t>10.1038/leu.2016.107</t>
  </si>
  <si>
    <t>Oncology; Hematology</t>
  </si>
  <si>
    <t>WOS:000387803100013</t>
  </si>
  <si>
    <t>Seo, W; Gao, YH; He, Y; Sung, J; Xu, HQ; Feng, DC; Park, SH; Cho, YE; Guillot, A; Ren, TY; Wu, RH; Wang, JY; Kim, SJ; Hwang, S; Liangpunsakul, S; Yang, YZ; Niu, JQ; Gao, B</t>
  </si>
  <si>
    <t>Seo, Wonhyo; Gao, Yanhang; He, Yong; Sung, Jing; Xu, Hongqin; Feng, Dechun; Park, Seol Hee; Cho, Young-Eun; Guillot, Adrien; Ren, Tianyi; Wu, Ruihong; Wang, Jingyun; Kim, Seung-Jin; Hwang, Seonghwan; Liangpunsakul, Suthat; Yang, Yingzi; Niu, Junqi; Gao, Bin</t>
  </si>
  <si>
    <t>ALDH2 deficiency promotes alcohol-associated liver cancer by activating oncogenic pathways via oxidized DNA-enriched extracellular vesicles</t>
  </si>
  <si>
    <t>JOURNAL OF HEPATOLOGY</t>
  </si>
  <si>
    <t>Aldehyde dehydrogenase 2; Ethanol; Acetaldehyde; Hepatocellular carcinoma; Cirrhosis; Extracellular vesicles; HBV; TAZ</t>
  </si>
  <si>
    <t>RELEASE; POLYMORPHISMS; ACETALDEHYDE; SENESCENCE; EXOSOMES; ADDUCTS</t>
  </si>
  <si>
    <t>Background &amp; Aims: Excessive alcohol consumption is one of the major causes of hepatocellular carcinoma (HCC). Approximately 30-40% of the Asian population are deficient for aldehyde dehydrogenase 2 (ALDH2), a key enzyme that detoxifies the ethanol metabolite acetaldehyde. However, how ALDH2 deficiency affects alcohol-related HCC remains unclear. Methods: ALDH2 polymorphisms were studied in 646 patients with viral hepatitis B (HBV) infection, who did or did not drink alcohol. A new model of HCC induced by chronic carbon tetrachloride (CCl4) and alcohol administration was developed and studied in 3 lines of Aldh2-deficient mice: including Aldh2 global knockout (KO) mice, Aldh2*1/*2 knock-in mutant mice, and liver-specific Aldh2 KO mice. Results: We demonstrated that ALDH2 deficiency was not associated with liver disease progression but was associated with an increased risk of HCC development in cirrhotic patients with HBV who consumed excessive alcohol. The mechanisms underlying HCC development associated with cirrhosis and alcohol consumption were studied in Aldh2-deficient mice. We found that all 3 lines of Aldh2-deficient mice were more susceptible to CCl4 plus alcohol-associated liver fibrosis and HCC development. Furthermore, our results from in vivo and in vitro mechanistic studies revealed that after CCl4 plus ethanol exposure, Aldh2-deficient hepatocytes produced a large amount of harmful oxidized mitochondrial DNA via extracellular vesicles, which were then transferred into neighboring HCC cells and together with acetaldehyde activated multiple oncogenic pathways (INK, STAT3, BCL-2, and TAZ), thereby promoting HCC. Conclusions: ALDH2 deficiency is associated with an increased risk of alcohol-related HCC development from fibrosis in patients and in mice. Mechanistic studies reveal a novel mechanism that Aldh2-deficient hepatocytes promote alcohol-associated HCC by transferring harmful oxidized mitochondrial DNA-enriched extracellular vesicles into HCC and subsequently activating multiple oncogenic pathways in HCC. Lay summary: Alcoholics with an ALDH2 polymorphism have an increased risk of digestive tract cancer development, however, the link between ALDH2 deficiency and hepatocellular carcinoma (HCC) development has not been well established. In this study, we show that ALDH2 deficiency exacerbates alcohol-associated HCC development both in patients and mouse models. Mechanistic studies revealed that after chronic alcohol exposure, Aldh2-deficient hepatocytes produce a large amount of harmful oxidized mitochondrial DNA via extracellular vesicles, which can be delivered into neighboring HCC cells and subsequently activate multiple oncogenic pathways, promoting HCC. Published by Elsevier B.V. on behalf of European Association for the Study of the Liver.</t>
  </si>
  <si>
    <t>[Seo, Wonhyo; Gao, Yanhang; He, Yong; Feng, Dechun; Park, Seol Hee; Guillot, Adrien; Ren, Tianyi; Kim, Seung-Jin; Hwang, Seonghwan; Gao, Bin] NIAAA, Lab Liver Dis, NIH, Bethesda, MD 20892 USA; [Gao, Yanhang; Sung, Jing; Xu, Hongqin; Wu, Ruihong; Wang, Jingyun; Niu, Junqi] Jilin Univ, First Hosp Jilin Univ, Dept Hepatol, Changchun 130021, Jilin, Peoples R China; [Cho, Young-Eun] NIAAA, Sect Mol Pharmacol &amp; Toxicol, Lab Membrane Biochem &amp; Biophys, NIH, Bethesda, MD 20892 USA; [Liangpunsakul, Suthat] Indiana Univ, Dept Med, Div Gastroenterol &amp; Hepatol, Indianapolis, IN USA; [Liangpunsakul, Suthat] Indiana Univ, Dept Biochem &amp; Mol Biol, Indianapolis, IN 46204 USA; [Liangpunsakul, Suthat] Richard L Roudebush Vet Adm Med Ctr, Indianapolis, IN USA; [Yang, Yingzi] Harvard Sch Dent Med, Dept Dev Biol, Boston, MA USA</t>
  </si>
  <si>
    <t>National Institutes of Health (NIH) - USA; NIH National Institute on Alcohol Abuse &amp; Alcoholism (NIAAA); Jilin University; National Institutes of Health (NIH) - USA; NIH National Institute on Alcohol Abuse &amp; Alcoholism (NIAAA); Indiana University System; Indiana University-Purdue University Indianapolis; Indiana University System; Indiana University-Purdue University Indianapolis; US Department of Veterans Affairs; Veterans Health Administration (VHA); Richard L. Roudebush VA Medical Center; Harvard University; Harvard School of Dental Medicine</t>
  </si>
  <si>
    <t>Gao, B (corresponding author), NIAAA, Lab Liver Dis, NIH, Bethesda, MD 20892 USA.</t>
  </si>
  <si>
    <t>bgao@mail.nih.gov</t>
  </si>
  <si>
    <t>Guillot, Adrien/0000-0002-6002-9986</t>
  </si>
  <si>
    <t>0168-8278</t>
  </si>
  <si>
    <t>1600-0641</t>
  </si>
  <si>
    <t>10.1016/j.jhep.2019.06.018</t>
  </si>
  <si>
    <t>WOS:000490139600020</t>
  </si>
  <si>
    <t>Kouwaki, T; Fukushima, Y; Daito, T; Sanada, T; Yamamoto, N; Mifsud, EJ; Leong, CR; Tsukiyama-Kohara, K; Kohara, M; Matsumoto, M; Seya, T; Oshiumi, H</t>
  </si>
  <si>
    <t>Kouwaki, Takahisa; Fukushima, Yoshimi; Daito, Takuji; Sanada, Takahiro; Yamamoto, Naoki; Mifsud, Edin J.; Leong, Chean Ring; Tsukiyama-Kohara, Kyoko; Kohara, Michinori; Matsumoto, Misako; Seya, Tsukasa; Oshiumi, Hiroyuki</t>
  </si>
  <si>
    <t>Extracellular Vesicles Including Exosomes Regulate Innate Immune Responses to Hepatitis B Virus Infection</t>
  </si>
  <si>
    <t>virus; innate immunity; exosome</t>
  </si>
  <si>
    <t>HUMAN DENDRITIC CELLS; HEPATOCELLULAR-CARCINOMA; INTRACELLULAR DNA; VIRAL-RNA; EXPRESSION; SENSOR; INFLAMMATION; REPLICATION; RECEPTORS; PATHWAY</t>
  </si>
  <si>
    <t>The innate immune system is essential for controlling viral infection. Hepatitis B virus (HBV) persistently infects human hepatocytes and causes hepatocellular carcinoma. However, the innate immune response to HBV infection in vivo remains unclear. Using a tree shrew animal model, we showed that HBV infection induced hepatic interferon (IFN)-gamma expression during early infection. Our in vitro study demonstrated that hepatic NK cells produced IFN-gamma in response to HBV only in the presence of hepatic F4/80(+) cells. Moreover, extracellular vesicles (EVs) released from HBV-infected hepatocytes contained viral nucleic acids and induced NKG2D ligand expression in macrophages by stimulating MyD88, TICAM-1, and MAVS-dependent pathways. In addition, depletion of exosomes from EVs markedly reduced NKG2D ligand expression, suggesting the importance of exosomes for NK cell activation. In contrast, infection of hepatocytes with HBV increased immunoregulatory microRNA levels in EVs and exosomes, which were transferred to macrophages, thereby suppressing IL-12p35 mRNA expression in macrophages to counteract the host innate immune response. IFN-gamma increased the hepatic expression of DDX60 and augmented the DDX60-dependent degradation of cytoplasmic HBV RNA. Our results elucidated the crucial role of exosomes in antiviral innate immune response against HBV.</t>
  </si>
  <si>
    <t>[Kouwaki, Takahisa; Fukushima, Yoshimi; Oshiumi, Hiroyuki] Kumamoto Univ, Grad Sch Med Sci, Dept Immunol, Chuo Ku, Kumamoto, Japan; [Daito, Takuji; Mifsud, Edin J.; Oshiumi, Hiroyuki] Hokkaido Univ, Res Ctr Zoonosis Control, Dev Biol Lab, GI CoRE Global Stn Zoonosis Control,Kita Ku, Sapporo, Hokkaido, Japan; [Sanada, Takahiro; Yamamoto, Naoki; Kohara, Michinori] Tokyo Metropolitan Inst Med Sci, Dept Microbiol &amp; Cell Biol, Setagaya Ku, Tokyo, Japan; [Leong, Chean Ring] Univ Kuala Lumpur UniKL MICET, Sect Bioengn Technol, Melaka, Malaysia; [Tsukiyama-Kohara, Kyoko] Kagoshima Univ, Joint Fac Vet Med, Transboundary Anim Dis Ctr, Kagoshima, Japan; [Matsumoto, Misako; Seya, Tsukasa; Oshiumi, Hiroyuki] Hokkaido Univ, Grad Sch Med, Dept Microbiol &amp; Immunol, Kita Ku, Sapporo, Hokkaido, Japan; [Oshiumi, Hiroyuki] JST, PREST, Chuo Ku, Kumamoto, Japan</t>
  </si>
  <si>
    <t>Kumamoto University; Hokkaido University; Tokyo Metropolitan Institute of Medical Science; Kagoshima University; Hokkaido University; Japan Science &amp; Technology Agency (JST)</t>
  </si>
  <si>
    <t>Oshiumi, H (corresponding author), Kumamoto Univ, Grad Sch Med Sci, Dept Immunol, Chuo Ku, Kumamoto, Japan.;Oshiumi, H (corresponding author), Hokkaido Univ, Res Ctr Zoonosis Control, Dev Biol Lab, GI CoRE Global Stn Zoonosis Control,Kita Ku, Sapporo, Hokkaido, Japan.;Oshiumi, H (corresponding author), Hokkaido Univ, Grad Sch Med, Dept Microbiol &amp; Immunol, Kita Ku, Sapporo, Hokkaido, Japan.;Oshiumi, H (corresponding author), JST, PREST, Chuo Ku, Kumamoto, Japan.</t>
  </si>
  <si>
    <t>oshiumi@kumamoto-u.ac.jp</t>
  </si>
  <si>
    <t>Seya, Tsukasa/A-4336-2012; Oshiumi, Hiroyuki/G-1645-2012</t>
  </si>
  <si>
    <t>Sanada, Takahiro/0000-0002-6362-7762; Mifsud, Edin Jessica/0000-0001-9601-3356; Oshiumi, Hiroyuki/0000-0003-1567-8722</t>
  </si>
  <si>
    <t>AUG 31</t>
  </si>
  <si>
    <t>10.3389/fimmu.2016.00335</t>
  </si>
  <si>
    <t>WOS:000382232400001</t>
  </si>
  <si>
    <t>Ronquist, GK; Larsson, A; Stavreus-Evers, A; Ronquist, G</t>
  </si>
  <si>
    <t>Ronquist, Goran K.; Larsson, Anders; Stavreus-Evers, Anneli; Ronquist, Gunnar</t>
  </si>
  <si>
    <t>Prostasomes Are Heterogeneous Regarding Size and Appearance but Affiliated to one DNA-Containing Exosome Family</t>
  </si>
  <si>
    <t>microvesicles; prostasomes; exosomes; DNA; CD38; PSMA</t>
  </si>
  <si>
    <t>PROTEOMIC ANALYSIS; MEMBRANE; VESICLES; IDENTIFICATION; MATURATION; ANTIGEN; EPIDIDYMOSOMES; MICROVESICLES; ASSOCIATION; SECRETION</t>
  </si>
  <si>
    <t>BACKGROUND. Prostate acinar epithelial cells release microvesicles (prostasomes) that possess pleiotropic biological effects relevant for successful fertilization. Prostasomes are formed in a similar way as exosomes but are heterogeneous as regards size and appearance. Like exosomes they are thought to be mediators of intercellular communication. METHODS. We prepared seminal prostasomes in accordance with the prevailing protocol for exosome preparation including passage through a 0.2 mu m filter and centrifugation in a sucrose gradient. RESULTS. We compared the filterable prostasomes with those trapped on the filter (nonfilterable prostasomes) and, qualitatively, no conspicuous differences were apparent regarding ultrastructure and SDS-PAGE banding pattern. Moreover, both types of prostasomes contained DNA fragments and Western blot revealed presence of prostate specific membrane antigen (PSMA), CD38, and annexin A1. CONCLUSIONS. Reasonably, prostasomes could be included in the exosome family and be regarded as one entity containing chromosomal DNA. Prostate 72: 1736-1745, 2012. (C) 2012 Wiley Periodicals, Inc.</t>
  </si>
  <si>
    <t>[Ronquist, Goran K.; Larsson, Anders; Ronquist, Gunnar] Uppsala Univ, Dept Med Sci, S-75185 Uppsala, Sweden; [Stavreus-Evers, Anneli] Uppsala Univ, Dept Womens &amp; Childrens Hlth, S-75185 Uppsala, Sweden</t>
  </si>
  <si>
    <t>Uppsala University; Uppsala University</t>
  </si>
  <si>
    <t>Ronquist, GK (corresponding author), Uppsala Univ, Dept Med Sci, S-75185 Uppsala, Sweden.</t>
  </si>
  <si>
    <t>goran.ronquist@medsci.uu.se</t>
  </si>
  <si>
    <t>Ronquist, Goran/0000-0001-5885-8067</t>
  </si>
  <si>
    <t>10.1002/pros.22526</t>
  </si>
  <si>
    <t>WOS:000310487200005</t>
  </si>
  <si>
    <t>Abad, E; Lyakhovich, A</t>
  </si>
  <si>
    <t>Abad, Etna; Lyakhovich, Alex</t>
  </si>
  <si>
    <t>Movement of Mitochondria with Mutant DNA through Extracellular Vesicles Helps Cancer Cells Acquire Chemoresistance</t>
  </si>
  <si>
    <t>CHEMMEDCHEM</t>
  </si>
  <si>
    <t>mitochondrial horizontal transfer; extracellular vesicles; tunnelling nanotubes; exosomes; acquired chemoresistance</t>
  </si>
  <si>
    <t>BREAST-CANCER; TUNNELING NANOTUBES; MUTATIONS; EXOSOMES; ROS; DYSFUNCTION; PROGRESSION; ACTIVATION; TARGET</t>
  </si>
  <si>
    <t>Triple negative breast cancer (TNBC) is one of the most aggressive subtypes of breast cancer with the worst prognosis after chemo- or radiation therapy. This is mainly due to the development of cancer chemoresistance accompanied by tumor recurrence. In this work, we investigated a new mechanism of acquired chemoresistance of TNBC cells. We showed that extracellular vehicles (EVs) of chemoresistant TNBC cells can transfer mitochondria to sensitive cancer cells, thus increasing their chemoresistance. Such transfer, but with less efficiency, can be carried out over short distances using tunneling nanotubes. In addition, we showed that exosome fractions carrying mitochondria from resistant TNBC cells contribute to acquired chemoresistance by increasing mtDNA levels with mutations in the mtND4 gene responsible for tumorigenesis. Blocking mitochondrial transport by exosome inhibitors, including GW4869, reduced acquired TNBC chemoresistance. These results could lead to the identification of new molecular targets necessary for more effective treatment of this type of cancer.</t>
  </si>
  <si>
    <t>[Abad, Etna] Univ Pompeu Fabra, Dept Expt &amp; Hlth Sci, Doctor Aiguader 88, Barcelona 08003, Spain; [Lyakhovich, Alex] Sabanci Univ, Fac Engn &amp; Nat Sci, TR-34956 Istanbul, Turkey</t>
  </si>
  <si>
    <t>Pompeu Fabra University; Sabanci University</t>
  </si>
  <si>
    <t>Lyakhovich, A (corresponding author), Sabanci Univ, Fac Engn &amp; Nat Sci, TR-34956 Istanbul, Turkey.</t>
  </si>
  <si>
    <t>alex.lyakhovich@sabanciuniv.edu</t>
  </si>
  <si>
    <t>ABAD, ETNA/0000-0002-9431-5817; Lyakhovich, Alex/0000-0002-8279-4697</t>
  </si>
  <si>
    <t>1860-7179</t>
  </si>
  <si>
    <t>1860-7187</t>
  </si>
  <si>
    <t>FEB 16</t>
  </si>
  <si>
    <t>10.1002/cmdc.202100642</t>
  </si>
  <si>
    <t>DEC 2021</t>
  </si>
  <si>
    <t>Chemistry, Medicinal; Pharmacology &amp; Pharmacy</t>
  </si>
  <si>
    <t>WOS:000728441300001</t>
  </si>
  <si>
    <t>Chernov, VM; Chernova, OA; Mouzykantov, AA; Efimova, IR; Shaymardanova, GF; Medvedeva, ES; Trushin, MV</t>
  </si>
  <si>
    <t>Chernov, Vladislav M.; Chernova, Olga A.; Mouzykantov, Alexey A.; Efimova, Irina R.; Shaymardanova, Gulnara F.; Medvedeva, Elena S.; Trushin, Maxim V.</t>
  </si>
  <si>
    <t>Extracellular Vesicles Derived from Acholeplasma laidlawii PG8</t>
  </si>
  <si>
    <t>THESCIENTIFICWORLDJOURNAL</t>
  </si>
  <si>
    <t>mycoplasmas; Acholeplasma laidlawii; ultramicroforms; membrane vesicles; morphology; DNA; proteins; mutagenicity</t>
  </si>
  <si>
    <t>MEMBRANE-VESICLES; PROTEOMICS; BACTERIA; CELLS</t>
  </si>
  <si>
    <t>Extracellular vesicle production is believed to be a ubiquitous process in bacteria, but the data on such a process in Mollicutes are absent. We report the isolation of ultramicroforms - extracellular vesicles from supernatants of Acholeplasma laidlawii PG8 (ubiquitous mycoplasma; the main contaminant of cell culture). Considering sizes, morphology, and ultrastructural organization, the ultramicroforms of A. laidlawii PG8 are similar to membrane vesicles of Gram-positive and Gram-negative bacteria. We demonstrate that A. laidlawii PG8 vesicles contain genetic material and proteins, and are mutagenic to lymphocytes of human peripheral blood. We show that Mycoplasma gallisepticum S6, the other mycoplasma, also produce similar structures, which suggests that shedding of the vesicles might be the common phenomenon in Mollicutes. We found that the action of stress conditions results in the intensive formation of ultramicroforms in mycoplasmas. The role of vesicular formation in mycoplasmas remains to be studied.</t>
  </si>
  <si>
    <t>[Chernov, Vladislav M.; Chernova, Olga A.; Mouzykantov, Alexey A.; Efimova, Irina R.; Shaymardanova, Gulnara F.; Medvedeva, Elena S.; Trushin, Maxim V.] Russian Acad Sci, Kazan Inst Biochem &amp; Biophys, Kazan, Russia; [Trushin, Maxim V.] Kazan Fed Univ, Kazan, Russia</t>
  </si>
  <si>
    <t>Russian Academy of Sciences; Kazan Scientific Centre of the Russian Academy of Sciences; Kazan Institute of Biochemistry &amp; Biophysics; Kazan Federal University</t>
  </si>
  <si>
    <t>Chernov, VM (corresponding author), Russian Acad Sci, Kazan Inst Biochem &amp; Biophys, Kazan, Russia.</t>
  </si>
  <si>
    <t>mtrushin@mail.ru</t>
  </si>
  <si>
    <t>A, Mouzykantov A/D-8454-2019</t>
  </si>
  <si>
    <t>Chernova, Olga/0000-0003-2737-0223; Chernov, Vladislav/0000-0002-2058-6358</t>
  </si>
  <si>
    <t>1537-744X</t>
  </si>
  <si>
    <t>10.1100/tsw.2011.109</t>
  </si>
  <si>
    <t>Environmental Sciences; Multidisciplinary Sciences</t>
  </si>
  <si>
    <t>Environmental Sciences &amp; Ecology; Science &amp; Technology - Other Topics</t>
  </si>
  <si>
    <t>WOS:000310229700026</t>
  </si>
  <si>
    <t>Lavado-Garcia, J; Gonzalez-Dominguez, I; Cervera, L; Jorge, I; Vazquez, J; Godia, F</t>
  </si>
  <si>
    <t>Lavado-Garcia, Jesus; Gonzalez-Dominguez, Irene; Cervera, Laura; Jorge, Inmaculada; Vazquez, Jesus; Godia, Francesc</t>
  </si>
  <si>
    <t>Molecular Characterization of the Coproduced Extracellular Vesicles in HEK293 during Virus-Like Particle Production</t>
  </si>
  <si>
    <t>JOURNAL OF PROTEOME RESEARCH</t>
  </si>
  <si>
    <t>extracellular vesicles; VLP; exosome; vaccine; proteomics</t>
  </si>
  <si>
    <t>TRANSIENT TRANSFECTION; EXOSOMES; BIOGENESIS; PROTEOMICS; PROTEINS; MICROVESICLES; INFORMATION; MACROPHAGES; REVEALS; BIOLOGY</t>
  </si>
  <si>
    <t>Vaccine therapies based on virus-like particles (VLPs) are currently in the spotlight due to their potential for generating high immunogenic responses while presenting fewer side effects than conventional vaccines. These self-assembled nanostructures resemble the native conformation of the virus but lack genetic material. They are becoming a promising platform for vaccine candidates against several diseases due to the ability of modifying their membrane with antigens from different viruses. The coproduction of extracellular vesicles (EVs) when producing VLPs is a key phenomenon currently still under study. In order to characterize this extracellular environment, a quantitative proteomics approach has been carried out. Three conditions were studied: non-transfected, transfected with an empty plasmid as control, and transfected with a plasmid coding for HIV-1 Gag polyprotein. A shift in EV biogenesis has been detected upon transfection, changing the production from large to small EVs. Another remarkable trait found was the presence of DNA being secreted within vesicles smaller than 200 nm. Studying the protein profile of these biological nanocarriers, it was observed that EVs were reflecting an overall energy homeostasis disruption via mitochondrial protein deregulation. Also, immunomodulatory proteins like ITGB1, ENO3, and PRDXS were identified and quantified in VLP and EV fractions. These findings provide insight on the nature of the VLP extracellular environment defining the characteristics and protein profile of EVs, with potential to develop new downstream separation strategies or using them as adjuvants in viral therapies.</t>
  </si>
  <si>
    <t>[Lavado-Garcia, Jesus; Gonzalez-Dominguez, Irene; Cervera, Laura; Godia, Francesc] Univ Autonoma Barcelona, Grp Engn Cellular &amp; Bioprocas, Escola Engn, Barcelona 08193, Spain; [Jorge, Inmaculada; Vazquez, Jesus] Ctr Nacl Invest Cardiovasculares CNIC, Lab Cardiovasc Prote, Madrid 28029, Spain; [Jorge, Inmaculada; Vazquez, Jesus] Ctr Invest Biomed Red Enfermedades Cardiovasc CIB, Madrid, Spain</t>
  </si>
  <si>
    <t>Autonomous University of Barcelona; CIBER - Centro de Investigacion Biomedica en Red; CIBERCV</t>
  </si>
  <si>
    <t>Lavado-Garcia, J (corresponding author), Univ Autonoma Barcelona, Grp Engn Cellular &amp; Bioprocas, Escola Engn, Barcelona 08193, Spain.</t>
  </si>
  <si>
    <t>jesus.lavado@uab.cat</t>
  </si>
  <si>
    <t>González-Domínguez, Irene/AAD-2344-2021; Vazquez, Jesus/B-7697-2015; Lavado-García, Jesús/AAX-1460-2020</t>
  </si>
  <si>
    <t>González-Domínguez, Irene/0000-0002-7920-5505; Vazquez, Jesus/0000-0003-1461-5092; Lavado-García, Jesús/0000-0001-9993-6332</t>
  </si>
  <si>
    <t>1535-3893</t>
  </si>
  <si>
    <t>1535-3907</t>
  </si>
  <si>
    <t>NOV 6</t>
  </si>
  <si>
    <t>10.1021/acs.jproteome.0c00581</t>
  </si>
  <si>
    <t>WOS:000589944200027</t>
  </si>
  <si>
    <t>Reiners, KS; Dassler-Plenker, J; Coch, C; Hartmann, G</t>
  </si>
  <si>
    <t>Reiners, Katrin S.; Dassler-Plenker, Juliane; Coch, Christoph; Hartmann, Gunther</t>
  </si>
  <si>
    <t>Functions of extracellular vesicles and their application as biomarkers</t>
  </si>
  <si>
    <t>LABORATORIUMSMEDIZIN-JOURNAL OF LABORATORY MEDICINE</t>
  </si>
  <si>
    <t>biomarker; exosome; extracellular vesicle</t>
  </si>
  <si>
    <t>TRANSFERRIN RECEPTOR; MESSENGER-RNAS; EXOSOMES; CELLS; DNA; EXTERNALIZATION; MICROPARTICLES; RETICULOCYTES; POPULATION; MATURATION</t>
  </si>
  <si>
    <t>Extracellular vesicles (EV) are released by healthy and diseased cells, including virus-infected and malignant cells. They carry a multitude of functional molecules such as proteins, nucleic acids and lipids. Numerous studies have revealed EV as important mediators of intercellular communication acting on neighboring cells as well as distant tissues. The content of EV is determined by the originating cell type and its functional state. Thus, phenotypic differences in EV content can be useful to identify pathological changes in the originating cell types. The analysis of changes in the molecular composition of EV provide the basis for the use of EV as biomarkers for clinical diagnostics. Here, we summarize the current knowledge regarding the physiological function of EV and discuss their potential for the development of prognostic and diagnostic biomarkers.</t>
  </si>
  <si>
    <t>[Reiners, Katrin S.; Dassler-Plenker, Juliane; Coch, Christoph; Hartmann, Gunther] Univ Klinikum Bonn, Inst Klin Chem &amp; Klin Pharmakol, Sigmund Freud Str 25, D-53127 Bonn, Germany</t>
  </si>
  <si>
    <t>University of Bonn</t>
  </si>
  <si>
    <t>Hartmann, G (corresponding author), Univ Klinikum Bonn, Inst Klin Chem &amp; Klin Pharmakol, Sigmund Freud Str 25, D-53127 Bonn, Germany.</t>
  </si>
  <si>
    <t>gunther.hartmann@uni-bonn.de</t>
  </si>
  <si>
    <t>Coch, Christoph/AAW-5336-2021; Dassler Plenker, Juliane/GOH-1141-2022; Hartmann, Gunther/P-7492-2017</t>
  </si>
  <si>
    <t>Hartmann, Gunther/0000-0003-1021-2018</t>
  </si>
  <si>
    <t>0342-3026</t>
  </si>
  <si>
    <t>1439-0477</t>
  </si>
  <si>
    <t>10.1515/labmed-2017-0078</t>
  </si>
  <si>
    <t>Medical Laboratory Technology</t>
  </si>
  <si>
    <t>WOS:000417846000004</t>
  </si>
  <si>
    <t>Li, YB; Bax, C; Patel, J; Vazquez, T; Ravishankar, A; Bashir, MM; Grinnell, M; Diaz, D; Werth, VP</t>
  </si>
  <si>
    <t>Li, Yubin; Bax, Christina; Patel, Jay; Vazquez, Thomas; Ravishankar, Adarsh; Bashir, Muhammad M.; Grinnell, Madison; Diaz, DeAnna; Werth, Victoria P.</t>
  </si>
  <si>
    <t>Plasma-derived DNA containing-extracellular vesicles induce STING-mediated proinflammatory responses in dermatomyositis</t>
  </si>
  <si>
    <t>extracellular vesicles; dsDNA; type I interferon; stimulator of interferon genes; dermatomyositis</t>
  </si>
  <si>
    <t>INTERFERON; INFLAMMATION; ACTIVATION; SIGNATURE; PEPTIDE; PATHWAY; ADULT</t>
  </si>
  <si>
    <t>Objectives: Extracellular vesicles (EVs) are lipid bilayer membrane vesicles that are present in various bodily fluids and have been implicated in autoimmune disease pathogenesis. Type I interferons (IFN), specifically IFN-beta, are uniquely elevated in dermatomyositis (DM). The stimulator of interferon genes (STING) works as a critical nucleic acid sensor and adaptor in type I IFN signaling with possible implications in autoimmune diseases such as DM. In the current study, we investigated whether circulating EVs contribute to proinflammatory effects in DM, whether these proinflammatory responses are mediated by the STING signaling pathway, and if so, by what mechanism STING is activated. Methods: We collected and characterized EVs from plasma of healthy controls (HC) and DM patients; analyzed their abilities to trigger proinflammatory cytokines release by ELISA, and explored STING signaling pathway activation using immunoblot and immunofluorescent staining. STING signaling pathway inhibitors and RNAi were used to further investigate whether STING was involved in EVs-triggered proinflammatory response. DNase/lipid destabilizing agent was utilized to digest EVs and their captured DNA contents to evaluate how EVs triggered STING-mediated proinflammatory response in DM. Results: EVs isolated from DM plasma triggered proinflammatory cytokines including type I IFN release with STING signaling pathway activation. The activated STING pathway was preferentially mediated by dsDNA captured by EVs. Suppression of STING or its downstream signaling proteins attenuated the EVs-mediated proinflammatory response. Conclusions: Plasma-derived, DNA containing-EVs induced STING-mediated proinflammatory effects in DM. Targeting the STING pathway may be a potential therapeutic approach for DM.</t>
  </si>
  <si>
    <t>[Li, Yubin; Bax, Christina; Patel, Jay; Vazquez, Thomas; Ravishankar, Adarsh; Bashir, Muhammad M.; Grinnell, Madison; Diaz, DeAnna; Werth, Victoria P.] Corporal Michael J Crescenz Vet Affairs Med Ctr, Philadelphia, PA USA; [Li, Yubin; Bax, Christina; Patel, Jay; Vazquez, Thomas; Ravishankar, Adarsh; Bashir, Muhammad M.; Grinnell, Madison; Diaz, DeAnna; Werth, Victoria P.] Univ Penn, Sch Med, Dept Dermatol, Philadelphia, PA 19104 USA</t>
  </si>
  <si>
    <t>University of Pennsylvania</t>
  </si>
  <si>
    <t>Werth, VP (corresponding author), Univ Penn, Dept Dermatol, Perelman Ctr Adv Med, Suite 1-330A,3400 Civ Ctr Blvd, Philadelphia, PA 19104 USA.</t>
  </si>
  <si>
    <t>werth@pennmedicine.upenn.edu</t>
  </si>
  <si>
    <t>Diaz, DeAnna/0000-0001-7056-0212</t>
  </si>
  <si>
    <t>10.7150/thno.59152</t>
  </si>
  <si>
    <t>WOS:000655136400002</t>
  </si>
  <si>
    <t>Degli Esposti, C; Iadarola, B; Maestri, S; Beltrami, C; Lavezzari, D; Morini, M; De Marco, P; Erminio, G; Garaventa, A; Zara, F; Delledonne, M; Ognibene, M; Pezzolo, A</t>
  </si>
  <si>
    <t>Degli Esposti, Chiara; Iadarola, Barbara; Maestri, Simone; Beltrami, Cristina; Lavezzari, Denise; Morini, Martina; De Marco, Patrizia; Erminio, Giovanni; Garaventa, Alberto; Zara, Federico; Delledonne, Massimo; Ognibene, Marzia; Pezzolo, Annalisa</t>
  </si>
  <si>
    <t>Exosomes from Plasma of Neuroblastoma Patients Contain Doublestranded DNA Reflecting the Mutational Status of Parental Tumor Cells</t>
  </si>
  <si>
    <t>neuroblastoma; exosomes; exo-DNA; ALK; genotypability; tumor mutation load</t>
  </si>
  <si>
    <t>Neuroblastoma (NB) is an aggressive infancy tumor, leading cause of death among preschool age diseases. Here we focused on characterization of exosomal DNA (exo-DNA) isolated from plasma cell-derived exosomes of neuroblastoma patients, and its potential use for detection of somatic mutations present in the parental tumor cells. Exosomes are small extracellular membrane vesicles secreted by most cells, playing an important role in intercellular communications. Using an enzymatic method, we provided evidence for the presence of double-stranded DNA in the NB exosomes. Moreover, by whole exome sequencing, we demonstrated that NB exo-DNA represents the entire exome and that it carries tumor-specific genetic mutations, including those occurring on known oncogenes and tumor suppressor genes in neuroblastoma (ALK, CHD5, SHANK2, PHOX2B, TERT, FGFR1, and BRAF). NB exo-DNA can be useful to identify variants responsible for acquired resistance, such as mutations of ALK, TP53, and RAS/MAPK genes that appear in relapsed patients. The possibility to isolate and to enrich NB derived exosomes from plasma using surface markers, and the quick and easy extraction of exo-DNA, gives this methodology a translational potential in the clinic. Exo-DNA can be an attractive non-invasive biomarker for NB molecular diagnostic, especially when tissue biopsy cannot be easily available.</t>
  </si>
  <si>
    <t>[Degli Esposti, Chiara; Iadarola, Barbara; Maestri, Simone; Beltrami, Cristina; Lavezzari, Denise; Delledonne, Massimo] Univ Verona, Dipartimento Biotecnol, I-37134 Verona, Italy; [Morini, Martina] IRCCS Giannina Gaslini, Lab Biol Mol, I-16147 Genoa, Italy; [De Marco, Patrizia; Zara, Federico; Ognibene, Marzia] IRCCS Giannina Gaslini, UOC Genet Med, I-16147 Genoa, Italy; [Erminio, Giovanni] IRCCS Giannina Gaslini, Epidemiol &amp; Biostat, I-16147 Genoa, Italy; [Garaventa, Alberto] IRCCS Giannina Gaslini, Div Oncol, I-16147 Genoa, Italy; [Pezzolo, Annalisa] IRCCS Giannina Gaslini, I-16147 Genoa, Italy</t>
  </si>
  <si>
    <t>University of Verona; University of Genoa; IRCCS Istituto Giannina Gaslini; University of Genoa; IRCCS Istituto Giannina Gaslini; University of Genoa; IRCCS Istituto Giannina Gaslini; University of Genoa; IRCCS Istituto Giannina Gaslini; University of Genoa; IRCCS Istituto Giannina Gaslini</t>
  </si>
  <si>
    <t>Ognibene, M (corresponding author), IRCCS Giannina Gaslini, UOC Genet Med, I-16147 Genoa, Italy.</t>
  </si>
  <si>
    <t>chiara.degliesposti@univr.it; barbara.iadarola@univr.it; simone.maestri@univr.it; cristina.beltrami_01@univr.it; denise.lavezzari@univr.it; martinamorini@gaslini.org; patriziademarco@gaslini.org; giovannierminio@gaslini.org; albertogaraventa@gaslini.org; federicozara@gaslini.org; massimo.delledonne@univr.it; marziaognibene@gaslini.org; annalisapezzolo@gaslini.org</t>
  </si>
  <si>
    <t>Erminio, Giovanni/AAA-7376-2020; Ognibene, Marzia/AAA-7275-2020; Degli Esposti, Chiara/AAC-1077-2022; Delledonne, Massimo/O-8685-2017; Morini, Martina/K-3725-2018; Maestri, Simone/AFU-6196-2022; Zara, Federico/U-3477-2017</t>
  </si>
  <si>
    <t>Erminio, Giovanni/0000-0001-9675-3848; Ognibene, Marzia/0000-0003-3698-9319; Morini, Martina/0000-0003-2569-4515; Maestri, Simone/0000-0002-1192-0684; Zara, Federico/0000-0001-9744-5222; Iadarola, Barbara/0000-0002-8173-3200; Pezzolo, Annalisa/0000-0001-6321-5701; Delledonne, Massimo/0000-0002-7100-4581; Degli Esposti, Chiara/0000-0002-5974-4915; Lavezzari, Denise/0000-0003-2859-5424</t>
  </si>
  <si>
    <t>10.3390/ijms22073667</t>
  </si>
  <si>
    <t>WOS:000638661700001</t>
  </si>
  <si>
    <t>Hu, K; McKay, PF; Samnuan, K; Najer, A; Blakney, AK; Che, JY; O'Driscoll, G; Cihova, M; Stevens, MM; Shattock, RJ</t>
  </si>
  <si>
    <t>Hu, Kai; McKay, Paul F.; Samnuan, Karnyart; Najer, Adrian; Blakney, Anna K.; Che, Junyi; O'Driscoll, Gwen; Cihova, Martina; Stevens, Molly M.; Shattock, Robin J.</t>
  </si>
  <si>
    <t>Presentation of antigen on extracellular vesicles using transmembrane domains from viral glycoproteins for enhanced immunogenicity</t>
  </si>
  <si>
    <t>extracellular vesicle; immunogenicity; transmembrane domain; viral glycoprotein</t>
  </si>
  <si>
    <t>FLUORESCENCE CORRELATION SPECTROSCOPY; PROTEIN; EXOSOMES; DELIVERY; MECHANISMS; FORMS; RNA</t>
  </si>
  <si>
    <t>A vaccine antigen, when launched as DNA or RNA, can be presented in various forms, including intracellular, secreted, membrane-bound, or on extracellular vesicles (EVs). Whether an antigen in one or more of these forms is superior in immune induction remains unclear. In this study, we used GFP as a model antigen and first compared the EV-loading efficiency of transmembrane domains (TMs) from various viral glycoproteins, and then investigated whether EV-bound GFP (EV-GFP) would enhance immune induction. Our data showed that GFP fused to viral TMs was successfully loaded onto the surface of EVs. In addition, GFP-bound EVs were predominantly associated with the exosome marker CD81. Immunogenicity study with EV-GFP-producing plasmids in mice demonstrated that antigen-specific IgG and IgA were significantly increased in EV-GFP groups, compared to soluble and intracellular GFP groups. Similarly, GFP-specific T cell response-related cytokines produced by antigen-stimulated splenocytes were also enhanced in mice immunized with EV-GFP constructs. Immunogenicity study with purified soluble GFP and GFP EVs further confirmed the immune enhancement property of EV-GFP in mice. In vitro uptake assays indicated that EV-GFP was more efficiently taken up than soluble GFP by mouse splenocytes and such uptake was B cell preferential. Taken together, our data indicate that viral TMs can efficiently load antigens onto the EV surface, and that EV-bound antigen enhances both humoral and cell-mediated antigen-specific responses.</t>
  </si>
  <si>
    <t>[Hu, Kai; McKay, Paul F.; Samnuan, Karnyart; Blakney, Anna K.; Shattock, Robin J.] Imperial Coll London, Dept Infect Dis, London W2 1PG, England; [Najer, Adrian; Che, Junyi; O'Driscoll, Gwen; Cihova, Martina; Stevens, Molly M.] Imperial Coll London, Dept Mat, Dept Bioengn, London, England; [Najer, Adrian; Che, Junyi; O'Driscoll, Gwen; Cihova, Martina; Stevens, Molly M.] Imperial Coll London, Inst Biomed Engn, London, England; [O'Driscoll, Gwen] Inst Canc Res, Div Radiotherapy &amp; Imaging, London, England</t>
  </si>
  <si>
    <t>Imperial College London; Imperial College London; Imperial College London; Royal Marsden NHS Foundation Trust; University of London; Institute of Cancer Research - UK</t>
  </si>
  <si>
    <t>Shattock, RJ (corresponding author), Imperial Coll London, Dept Infect Dis, London W2 1PG, England.</t>
  </si>
  <si>
    <t>r.shattock@imperial.ac.uk</t>
  </si>
  <si>
    <t>O'Driscoll, Gwen/0000-0002-1215-9989; Stevens, Molly/0000-0002-7335-266X; Najer, Adrian/0000-0003-4868-9364; Hu, Kai/0000-0002-5684-1373</t>
  </si>
  <si>
    <t>e12199</t>
  </si>
  <si>
    <t>10.1002/jev2.12199</t>
  </si>
  <si>
    <t>WOS:000762512000001</t>
  </si>
  <si>
    <t>Galbiati, S; Damin, F; Brambilla, D; Ferraro, L; Soriani, N; Ferretti, AM; Burgio, V; Ronzoni, M; Vago, R; Sola, L; Chiari, M</t>
  </si>
  <si>
    <t>Galbiati, Silvia; Damin, Francesco; Brambilla, Dario; Ferraro, Lucia; Soriani, Nadia; Ferretti, Anna M.; Burgio, Valentina; Ronzoni, Monica; Vago, Riccardo; Sola, Laura; Chiari, Marcella</t>
  </si>
  <si>
    <t>Small EVs-Associated DNA as Complementary Biomarker to Circulating Tumor DNA in Plasma of Metastatic Colorectal Cancer Patients</t>
  </si>
  <si>
    <t>PHARMACEUTICALS</t>
  </si>
  <si>
    <t>exosomes; extracellular vesicles; liquid biopsy; cancer biomarkers; ddPCR; microarray</t>
  </si>
  <si>
    <t>It is widely accepted that assessing circular tumor DNA (ctDNA) in the plasma of cancer patients is a promising practice to evaluate somatic mutations from solid tumors noninvasively. Recently, it was reported that isolation of extracellular vesicles improves the detection of mutant DNA from plasma in metastatic patients; however, no consensus on the presence of dsDNA in exosomes has been reached yet. We analyzed small extracellular vesicle (sEV)-associated DNA of eleven metastatic colorectal cancer (mCRC) patients and compared the results obtained by microarray and droplet digital PCR (ddPCR) to those reported on the ctDNA fraction. We detected the same mutations found in tissue biopsies and ctDNA in all samples but, unexpectedly, in one sample, we found a KRAS mutation that was not identified either in ctDNA or tissue biopsy. Furthermore, to assess the exact location of sEV-associated DNA (outside or inside the vesicle), we treated with DNase I sEVs isolated with three different methodologies. We found that the DNA inside the vesicles is only a small fraction of that surrounding the vesicles. Its amount seems to correlate with the total amount of circulating tumor DNA. The results obtained in our experimental setting suggest that integrating ctDNA and sEV-associated DNA in mCRC patient management could provide a complete real-time assessment of the cancer mutation status.</t>
  </si>
  <si>
    <t>[Galbiati, Silvia] IRCCS San Raffaele Sci Inst, Diabet Res Inst, Complicat Diabet Units, I-20132 Milan, Italy; [Damin, Francesco; Brambilla, Dario; Ferraro, Lucia; Ferretti, Anna M.; Sola, Laura; Chiari, Marcella] Ist Sci &amp; Tecnol Chim Giulio Natta SCITEC CNR, I-20131 Milan, Italy; [Soriani, Nadia] IRCCS San Raffaele Sci Inst, Div Genet &amp; Cell Biol, Unit Genom Diag Human Pathol, I-20132 Milan, Italy; [Burgio, Valentina; Ronzoni, Monica] IRCCS Osped San Raffaele, Dipartimento Oncol Med, I-20132 Milan, Italy; [Vago, Riccardo] IRCCS Osped San Raffaele, Div Expt Oncol, Urol Res Inst, I-20132 Milan, Italy; [Vago, Riccardo] Univ Vita Salute San Raffaele, I-20132 Milan, Italy</t>
  </si>
  <si>
    <t>IRCCS Ospedale San Raffaele; Consiglio Nazionale delle Ricerche (CNR); Istituto di Scienze Tecnologie Chimiche Giulio Natta (SCITEC-CNR); IRCCS Ospedale San Raffaele; IRCCS Ospedale San Raffaele; Vita-Salute San Raffaele University; IRCCS Ospedale San Raffaele; Vita-Salute San Raffaele University; Vita-Salute San Raffaele University</t>
  </si>
  <si>
    <t>Galbiati, S (corresponding author), IRCCS San Raffaele Sci Inst, Diabet Res Inst, Complicat Diabet Units, I-20132 Milan, Italy.;Damin, F (corresponding author), Ist Sci &amp; Tecnol Chim Giulio Natta SCITEC CNR, I-20131 Milan, Italy.</t>
  </si>
  <si>
    <t>galbiati.silvia@hsr.it; francesco.damin@scitec.cnr.it; dario.brambilla@scitec.cnr.it; lucia.ferraro@scitec.cnr.it; soriani.nadia@hsr.it; annalerretti@scitec.cnr.it; burgio.valentina@hsr.it; ronzoni.monica@hsr.it; vago.riccardo@hsr.it; laura.sola@scitec.cnr.it; marcella.chiari@scitec.cnr.it</t>
  </si>
  <si>
    <t>Sola, Laura/ABD-8155-2021; Damin, Francesco/AAL-8998-2021; Vago, Riccardo/K-3256-2018</t>
  </si>
  <si>
    <t>Damin, Francesco/0000-0003-1780-7823; Galbiati, Silvia/0000-0003-1642-8506; Brambilla, Dario/0000-0003-3490-4481; Vago, Riccardo/0000-0002-3781-6770; Sola, Laura/0000-0002-2603-0318</t>
  </si>
  <si>
    <t>1424-8247</t>
  </si>
  <si>
    <t>10.3390/ph14020128</t>
  </si>
  <si>
    <t>WOS:000622957400001</t>
  </si>
  <si>
    <t>Zhang, YY; Huang, MJ; Jiang, LJ; Li, TJ; Wang, J; Zhao, L; Zhou, J</t>
  </si>
  <si>
    <t>Zhang, Yuanyuan; Huang, Meijuan; Jiang, Lijun; Li, Tongjuan; Wang, Jue; Zhao, Lei; Zhou, Jianfeng</t>
  </si>
  <si>
    <t>Autophagy inhibitors enhance biomolecular delivery efficiency of extracellular vesicles</t>
  </si>
  <si>
    <t>BIOCHEMICAL AND BIOPHYSICAL RESEARCH COMMUNICATIONS</t>
  </si>
  <si>
    <t>Extracellular vesicle; Autophagy inhibitor; Delivery efficiency; CRISPR/Cas9 system</t>
  </si>
  <si>
    <t>EXOSOMES; CELLS; BRAIN</t>
  </si>
  <si>
    <t>In recent years, extracellular vesicles (EVs) were loaded with therapeutic molecules to be delivered to recipient cells, so the possibility of utilizing EVs for drug delivery has been investigated in various models. Nonetheless, most EVs are degraded through the autophagy pathway after being up-taken by recipient cells, resulting in a low delivery efficiency. Here we introduced a strategy to overcome inefficient delivery of EVs. We demonstrated that autophagy inhibitors, used for reducing lysosomal degradation of EVs, enhanced the protein or plasmid DNA delivery efficiency of EVs in recipient cells without influencing the uptake of EVs by recipient cells. Moreover, autophagy inhibitors could also improve gene-editing efficiency of EV-loaded CRISPR/Cas9 system. (C) 2022 Elsevier Inc. All rights reserved.</t>
  </si>
  <si>
    <t>[Zhang, Yuanyuan; Huang, Meijuan; Jiang, Lijun; Li, Tongjuan; Wang, Jue; Zhao, Lei; Zhou, Jianfeng] Huazhong Univ Sci &amp; Technol, Tongji Hosp, Dept Hematol, Tongji Med Coll, Wuhan 430030, Peoples R China</t>
  </si>
  <si>
    <t>Huazhong University of Science &amp; Technology</t>
  </si>
  <si>
    <t>Zhao, L; Zhou, J (corresponding author), Huazhong Univ Sci &amp; Technol, Tongji Hosp, Dept Hematol, Tongji Med Coll, Wuhan 430030, Peoples R China.</t>
  </si>
  <si>
    <t>zl103311@tjh.tjmu.edu.cn</t>
  </si>
  <si>
    <t>0006-291X</t>
  </si>
  <si>
    <t>1090-2104</t>
  </si>
  <si>
    <t>MAY 7</t>
  </si>
  <si>
    <t>10.1016/j.bbrc.2022.03.006</t>
  </si>
  <si>
    <t>Biochemistry &amp; Molecular Biology; Biophysics</t>
  </si>
  <si>
    <t>WOS:000791649900018</t>
  </si>
  <si>
    <t>Ferrantelli, F; Manfredi, F; Chiozzini, C; Leone, P; Giovannelli, A; Olivetta, E; Federico, M</t>
  </si>
  <si>
    <t>Ferrantelli, Flavia; Manfredi, Francesco; Chiozzini, Chiara; Leone, Patrizia; Giovannelli, Andrea; Olivetta, Eleonora; Federico, Maurizio</t>
  </si>
  <si>
    <t>Long-Term Antitumor CD8(+) T Cell Immunity Induced by Endogenously Engineered Extracellular Vesicles</t>
  </si>
  <si>
    <t>extracellular vesicles; antitumor vaccines; HPV16; CD8(+) T cell immunity</t>
  </si>
  <si>
    <t>DNA VACCINE; EXOSOMES; GENE; ELECTROPORATION; EXPRESSION</t>
  </si>
  <si>
    <t>Simple Summary The induction of an effective immune response against tumor cells is of a great benefit in the battle against cancers. We recently characterized a novel, safe, and cost-effective strategy to induce an efficient CD8(+) T cell immune response against potentially whatever antigen. This technique is based on in vivo engineering of exosomes/extracellular vesicles (EVs), i.e., nanovesicles constitutively released by all healthy cells. Immunogenic EVs are generated by intramuscular injection of a DNA vector expressing an EV-anchoring protein fused with the antigen of interest. In this paper, we applied our vaccine platform to counteract the growth of tumors expressing antigens of Human Papilloma Virus (HPV). We demonstrated that this method is instrumental in curing mice already developing HPV-related tumors. In addition, cured mice were shown to resist a second tumor cell implantation. These results could be of relevance for a possible translation into the clinic of our technology. We developed an innovative method to induce antigen-specific CD8(+) T cytotoxic lymphocyte (CTL) immunity based on in vivo engineering of extracellular vesicles (EVs). This approach employs a DNA vector expressing a mutated HIV-1 Nef protein (Nef(mut)) deprived of the anti-cellular effects typical of the wild-type isoform, meanwhile showing an unusual efficiency of incorporation into EVs. This function persists even when foreign antigens are fused to its C-terminus. In this way, Nef(mut) traffics large amounts of antigens fused to it into EVs spontaneously released by the recipient cells. We previously provided evidence that mice injected with a DNA vector expressing the Nef(mut)/HPV16-E7 fusion protein developed an E7-specific CTL immune response as detected 2 weeks after the second immunization. Here, we extended and optimized the anti-HPV16 CD8(+) T cell immune response induced by the endogenously engineered EVs, and evaluated the therapeutic antitumor efficacy over time. We found that the co-injection of DNA vectors expressing Nef(mut) fused with E6 and E7 generated a stronger anti-HPV16 immune response compared to that observed in mice injected with the single vectors. When HPV16-E6 and -E7 co-expressing tumor cells were implanted before immunization, all mice survived at day 44, whereas no mice injected with either void or Nef(mut)-expressing vectors survived until day 32 after tumor implantation. A substantial part of immunized mice (7 out of 12) cleared the tumor. When the cured mice were re-challenged with a second tumor cell implantation, none of them developed tumors. Both E6- and E7-specific CD8(+) T immunities were still detectable at the end of the observation time. We concluded that the immunity elicited by engineered EVs, besides counteracting and curing already developed tumors, was strong enough to guarantee the resistance to additional tumor attacks. These results can be of relevance for the therapy of both metastatic and relapsing tumors.</t>
  </si>
  <si>
    <t>[Ferrantelli, Flavia; Manfredi, Francesco; Chiozzini, Chiara; Leone, Patrizia; Olivetta, Eleonora; Federico, Maurizio] Ist Super Sanita, Natl Ctr Global Hlth, Viale Regina Elena 299, I-00161 Rome, Italy; [Giovannelli, Andrea] Ist Super Sanita, Natl Ctr Anim Expt &amp; Welf, Viale Regina Elena 299, I-00161 Rome, Italy</t>
  </si>
  <si>
    <t>Istituto Superiore di Sanita (ISS); Istituto Superiore di Sanita (ISS)</t>
  </si>
  <si>
    <t>flavia.ferrantelli@iss.it; francesco.manfredi@iss.it; chiara.chiozzini@iss.it; patrizia.leone@iss.it; andrea.giovannelli@iss.it; eleonora.olivetta@iss.it; maurizio.federico@iss.it</t>
  </si>
  <si>
    <t>Manfredi, Francesco/ABA-7166-2021; Olivetta, Eleonora/N-5736-2017; Federico, Maurizio/J-5867-2016; Ferrantelli, Flavia/J-7794-2016</t>
  </si>
  <si>
    <t>Leone, Patrizia/0000-0002-5281-4917; Federico, Maurizio/0000-0003-4154-1025; Chiozzini, Chiara/0000-0002-4153-0927; Ferrantelli, Flavia/0000-0002-0768-1078</t>
  </si>
  <si>
    <t>10.3390/cancers13092263</t>
  </si>
  <si>
    <t>WOS:000649860700001</t>
  </si>
  <si>
    <t>Cheng, M; Dietz, L; Gong, Y; Eichler, F; Nammour, J; Ng, C; Grimm, D; Maguire, CA</t>
  </si>
  <si>
    <t>Cheng, Ming; Dietz, Laura; Gong, Yi; Eichler, Florian; Nammour, Josette; Ng, Carrie; Grimm, Dirk; Maguire, Casey A.</t>
  </si>
  <si>
    <t>Neutralizing Antibody Evasion and Transduction with Purified Extracellular Vesicle-Enveloped Adeno-Associated Virus Vectors</t>
  </si>
  <si>
    <t>HUMAN GENE THERAPY</t>
  </si>
  <si>
    <t>adeno-associated virus; extracellular vesicles; exosomes; immune-evasion; neutralizing antibodies; scalable purification</t>
  </si>
  <si>
    <t>EXOSOME-ASSOCIATED AAV; GENE DELIVERY; ROBUST; IMAGE</t>
  </si>
  <si>
    <t>Adeno-associated virus (AAV) is classified as a nonenveloped DNA virus. However, several years ago, we discovered that in media of packaging cells producing recombinant AAV vectors, AAV capsids can associate with the interior and surface of extracellular vesicles (EVs), sometimes referred to as exosomes. Since then, we and others have demonstrated that exosome-enveloped AAV, exo-AAV, can enhance transduction in vivo as well as evade neutralizing antibodies.While promising, these data were generated with differential centrifugation to pellet the exo-AAV. This method results in a heterogeneous mixture of exo-AAV, coprecipitating proteins, as well as free AAV capsids. To define the properties of exo-AAV more accurately, in this study, we used a density gradient method to purify exo-AAV. We next performed head-to-head comparisons of standard AAV1, differential centrifuged exo-AAV1, and gradient purified exo-AAV1 for antibody evasion and transgene expression in the murine brain. We found purified exo-AAV1 to be more resistant to neutralizing antibodies than the other AAV preparations. Direct intracranial injection of purified exo-AAV1 into mice resulted in robust transduction, which transduced a larger area of brain than standard AAV1. We also identified the recently described membrane-associated accessory protein by mass spectrometry of purified exo-AAV1 preparations. Finally, we used a scalable method, size-exclusion chromatography to isolate exo-AAV1, and demonstrated functional transduction in cultured cells and increased antibody resistance. Together, these data suggest that higher purity exo-AAV will have beneficial characteristics for gene delivery and also may lead to mechanistic insights into the incorporation of AAV into EVs.</t>
  </si>
  <si>
    <t>[Cheng, Ming; Gong, Yi; Eichler, Florian; Nammour, Josette; Ng, Carrie; Maguire, Casey A.] Harvard Med Sch, Massachusetts Gen Hosp, Mol Neurogenet Unit, 149 13th St, Charlestown, MA 02114 USA; [Dietz, Laura; Grimm, Dirk] Heidelberg Univ, BioQuant Ctr, Dept Infect Dis Virol, Med Fac, Heidelberg, Germany; [Grimm, Dirk] German Ctr Infect Res DZIF, Heidelberg, Germany; [Grimm, Dirk] German Ctr Cardiovasc Res DZHK, Heidelberg, Germany</t>
  </si>
  <si>
    <t>Harvard University; Massachusetts General Hospital; Ruprecht Karls University Heidelberg; German Center for Infection Research; German Centre for Cardiovascular Research</t>
  </si>
  <si>
    <t>Maguire, CA (corresponding author), Harvard Med Sch, Massachusetts Gen Hosp, Mol Neurogenet Unit, 149 13th St, Charlestown, MA 02114 USA.</t>
  </si>
  <si>
    <t>cmaguire@mgh.harvard.edu</t>
  </si>
  <si>
    <t>1043-0342</t>
  </si>
  <si>
    <t>1557-7422</t>
  </si>
  <si>
    <t>23-24</t>
  </si>
  <si>
    <t>10.1089/hum.2021.122</t>
  </si>
  <si>
    <t>Biotechnology &amp; Applied Microbiology; Genetics &amp; Heredity; Medicine, Research &amp; Experimental</t>
  </si>
  <si>
    <t>Biotechnology &amp; Applied Microbiology; Genetics &amp; Heredity; Research &amp; Experimental Medicine</t>
  </si>
  <si>
    <t>WOS:000733060200010</t>
  </si>
  <si>
    <t>Samuel, P; Mulcahy, LA; Furlong, F; McCarthy, HO; Brooks, SA; Fabbri, M; Pink, RC; Carter, DRF</t>
  </si>
  <si>
    <t>Samuel, Priya; Mulcahy, Laura Ann; Furlong, Fiona; McCarthy, Helen O.; Brooks, Susan Ann; Fabbri, Muller; Pink, Ryan Charles; Carter, David Raul Francisco</t>
  </si>
  <si>
    <t>Cisplatin induces the release of extracellular vesicles from ovarian cancer cells that can induce invasiveness and drug resistance in bystander cells</t>
  </si>
  <si>
    <t>PHILOSOPHICAL TRANSACTIONS OF THE ROYAL SOCIETY B-BIOLOGICAL SCIENCES</t>
  </si>
  <si>
    <t>extracellular vesicles; exosomes; drug resistance; tumour microenvironment; bystander effect</t>
  </si>
  <si>
    <t>MOLECULAR-WEIGHT HEPARIN; MEDIATED MICRORNA TRANSFER; HUMAN PROSTATE-CANCER; IONIZING-RADIATION; INTERCELLULAR TRANSFER; PANCREATIC-CANCER; STEM-CELLS; EXOSOMES; SUPPRESSION; MECHANISM</t>
  </si>
  <si>
    <t>Ovarian cancer has a poor overall survival that is partly caused by resistance to drugs such as cisplatin. Resistance can be acquired as a result of changes to the tumour or due to altered interactions within the tumour microenvironment. Extracellular vesicles (EVs), small lipid-bound vesicles that are loaded with macromolecular cargo and released by cells, are emerging as mediators of communication in the tumour microenvironment. We previously showed that EVs mediate the bystander effect, a phenomenon in which stressed cells can communicate with neighbouring naive cells leading to various effects including DNA damage; however, the role of EVs released following cisplatin treatment has not been tested. Here we show that treatment of cells with cisplatin led to the release of EVs that could induce invasion and increased resistance when taken up by bystander cells. This coincided with changes in p38 and JNK signalling, suggesting that these pathways may be involved in mediating the effects. We also show that EV uptake inhibitors could prevent this EV-mediated adaptive response and thus sensitize cells in vitro to the effects of cisplatin. Our results suggest that preventing pro-tumourigenic EV cross-talk during chemotherapy is a potential therapeutic target for improving outcome in ovarian cancer patients. This article is part of the discussion meeting issue 'Extracellular vesicles and the tumour microenvironment'.</t>
  </si>
  <si>
    <t>[Samuel, Priya; Mulcahy, Laura Ann; Brooks, Susan Ann; Pink, Ryan Charles; Carter, David Raul Francisco] Oxford Brookes Univ, Fac Hlth &amp; Life Sci, Dept Biol &amp; Med Sci, Gipsy Lane, Oxford OX3 0BP, England; [Furlong, Fiona; McCarthy, Helen O.] Queens Univ Belfast, Sch Pharm, Belfast BT9 7BL, Antrim, North Ireland; [Fabbri, Muller] Childrens Hosp Los Angeles, Childrens Ctr Canc &amp; Blood Dis, Los Angeles, CA 90027 USA; [Fabbri, Muller] Univ Southern Calif, Keck Sch Med, Norris Comprehens Canc Ctr, Dept Pediat, Los Angeles, CA 90027 USA; [Fabbri, Muller] Univ Southern Calif, Keck Sch Med, Norris Comprehens Canc Ctr, Dept Mol Microbiol &amp; Immunol, Los Angeles, CA 90027 USA</t>
  </si>
  <si>
    <t>Oxford Brookes University; Queens University Belfast; Children's Hospital Los Angeles; University of Southern California; University of Southern California</t>
  </si>
  <si>
    <t>Carter, DRF (corresponding author), Oxford Brookes Univ, Fac Hlth &amp; Life Sci, Dept Biol &amp; Med Sci, Gipsy Lane, Oxford OX3 0BP, England.</t>
  </si>
  <si>
    <t>dcarter@brookes.ac.uk</t>
  </si>
  <si>
    <t>Samuel, Priya/0000-0002-3133-7517; McCarthy, Helen/0000-0002-1254-3745; Fabbri, Muller/0000-0002-8797-4793; Pink, Ryan Charles/0000-0001-7501-558X; Mulcahy, Laura/0000-0001-5839-7141</t>
  </si>
  <si>
    <t>0962-8436</t>
  </si>
  <si>
    <t>1471-2970</t>
  </si>
  <si>
    <t>JAN 5</t>
  </si>
  <si>
    <t>10.1098/rstb.2017.0065</t>
  </si>
  <si>
    <t>WOS:000415824500012</t>
  </si>
  <si>
    <t>Bryzgunova, OE; Zaripov, MM; Skvortsova, TE; Lekchnov, EA; Grigor'eva, AE; Zaporozhchenko, IA; Morozkin, ES; Ryabchikova, EI; Yurchenko, YB; Voitsitskiy, VE; Laktionov, PP</t>
  </si>
  <si>
    <t>Bryzgunova, Olga E.; Zaripov, Marat M.; Skvortsova, Tatyana E.; Lekchnov, Evgeny A.; Grigor'eva, Alina E.; Zaporozhchenko, Ivan A.; Morozkin, Evgeny S.; Ryabchikova, Elena I.; Yurchenko, Yuri B.; Voitsitskiy, Vladimir E.; Laktionov, Pavel P.</t>
  </si>
  <si>
    <t>Comparative Study of Extracellular Vesicles from the Urine of Healthy Individuals and Prostate Cancer Patients</t>
  </si>
  <si>
    <t>CIRCULATING MICRORNA; BIOMARKER DISCOVERY; EXOSOMES; IDENTIFICATION; MICROVESICLES; KIDNEY; CELLS; DNA; EXOSOMES/MICROVESICLES; QUANTIFICATION</t>
  </si>
  <si>
    <t>Recent studies suggest that extracellular vesicles may be the key to timely diagnosis and monitoring of genito-urological malignancies. In this study we investigated the composition and content of extracellular vesicles found in the urine of healthy donors and prostate cancer patients. Urine of 14 PCa patients and 20 healthy volunteers was clarified by low-speed centrifugation and total extracellular vesicles fraction was obtain by high-speed centrifugation. The exosome-enriched fraction was obtained by filtration of total extracellular vesicles through a 0.1 mu m pore filter. Transmission electron microscopy showed that cell-free urine in both groups contained vesicles from 20 to 230 nm. Immunogold staining after ultrafiltration demonstrated that 95% and 90% of extracellular vesicles in healthy individuals and cancer patients, respectively, were exosomes. Protein, DNA and RNA concentrations as well as size distribution of extracellular vesicles in both fractions were analyzed. Only 75% of the total protein content of extracellular vesicles was associated with exosomes which amounted to 90-95% of all vesicles. Median DNA concentrations in total extracellular vesicles and exosome-enriched fractions were 18 pg/ml and 2.6 pg/ml urine, correspondingly. Urine extracellular vesicles carried a population of RNA molecules 25 nt to 200 nt in concentration of no more than 290 pg/ml of urine. Additionally, concentrations of miR-19b, miR-25, miR-125b, and miR-205 were quantified by qRT-PCR. MiRNAs were shown to be differently distributed between different fractions of extracellular vesicles. Detection of miR-19b versus miR-16 in total vesicles and exosome-enriched fractions achieved 100%/93% and 95%/79% specificity/sensitivity in distinguishing cancer patients from healthy individuals, respectively, demonstrating the diagnostic value of urine extracellular vesicles.</t>
  </si>
  <si>
    <t>[Bryzgunova, Olga E.; Skvortsova, Tatyana E.; Lekchnov, Evgeny A.; Zaporozhchenko, Ivan A.; Morozkin, Evgeny S.; Laktionov, Pavel P.] Inst Chem Biol &amp; Fundamental Med CD RAS, Mol Med Lab, Novosibirsk, Russia; [Zaripov, Marat M.; Voitsitskiy, Vladimir E.] Novosibirsk Reg Oncol Ctr, Dispensary Dept 2, Novosibirsk, Russia; [Grigor'eva, Alina E.; Ryabchikova, Elena I.] Inst Chem Biol &amp; Fundamental Med CD RAS, Grp Microscopy, Novosibirsk, Russia; [Morozkin, Evgeny S.; Laktionov, Pavel P.] Novosibirsk Res Inst Circulat Pathol Academician, Ctr Oncol &amp; Radiotherapy, Novosibirsk, Russia; [Yurchenko, Yuri B.] ICBFM SB RAS, Ctr New Med Technol, Novosibirsk, Russia</t>
  </si>
  <si>
    <t>Institute of Chemical Biology &amp; Fundamental Medicine, Siberian Branch of the RAS; Institute of Chemical Biology &amp; Fundamental Medicine, Siberian Branch of the RAS; Meshalkin National Medical Research Center; Institute of Chemical Biology &amp; Fundamental Medicine, Siberian Branch of the RAS; Russian Academy of Sciences</t>
  </si>
  <si>
    <t>Zaporozhchenko, IA (corresponding author), Inst Chem Biol &amp; Fundamental Med CD RAS, Mol Med Lab, Novosibirsk, Russia.</t>
  </si>
  <si>
    <t>ivanzap@niboch.nsc.ru</t>
  </si>
  <si>
    <t>Bryzgunova, Olga E/G-6279-2014; Morozkin, Evgeny/AAJ-1779-2020; Grigor’eva, Alina/I-3881-2014; Yurchenko, Yuri A/B-8549-2009; Ryabchikova, Elena/G-3089-2013</t>
  </si>
  <si>
    <t>Ryabchikova, Elena/0000-0003-4714-1524; Grigor'eva, Alina/0000-0001-9853-223X; Zaporozhchenko, Ivan/0000-0001-9101-2207</t>
  </si>
  <si>
    <t>JUN 15</t>
  </si>
  <si>
    <t>e0157566</t>
  </si>
  <si>
    <t>10.1371/journal.pone.0157566</t>
  </si>
  <si>
    <t>WOS:000377824800073</t>
  </si>
  <si>
    <t>Abramowicz, A; Wojakowska, A; Marczak, L; Lysek-Gladysinska, M; Smolarz, M; Story, MD; Polanska, J; Widlak, P; Pietrowska, M</t>
  </si>
  <si>
    <t>Abramowicz, Agata; Wojakowska, Anna; Marczak, Lukasz; Lysek-Gladysinska, Malgorzata; Smolarz, Mateusz; Story, Michael D.; Polanska, Joanna; Widlak, Piotr; Pietrowska, Monika</t>
  </si>
  <si>
    <t>Ionizing radiation affects the composition of the proteome of extracellular vesicles released by head-and-neck cancer cells in vitro</t>
  </si>
  <si>
    <t>JOURNAL OF RADIATION RESEARCH</t>
  </si>
  <si>
    <t>exosomes; head-and-neck cancer; proteomics; radiation response</t>
  </si>
  <si>
    <t>EXOSOMES; SECRETION; DNA</t>
  </si>
  <si>
    <t>Exosomes and other extracellular vesicles are key players in cell-to-cell communication, and it has been proposed that they are involved in different aspects of the response to ionizing radiation, including transmitting the radiation-induced bystander effect and mediating radioresistance. The functional role of exosomes depends on their molecular cargo, including proteome content. Here we aimed to establish the proteome profile of exosomes released in vitro by irradiated UM-SCC6 cells derived from human head-and-neck cancer and to identify processes associated with radiation-affected proteins. Exosomes and other small extracellular vesicles were purified by size-exclusion chromatography from cell culture media collected 24 h after irradiation of cells with a single 2, 4 or 8 Gy dose, and then proteins were identified using a shotgun LC-MS/MS approach. Exosome-specific proteins encoded by 1217 unique genes were identified. There were 472 proteins whose abundance in exosomes was significantly affected by radiation (at any dose), including 425 upregulated and 47 downregulated species. The largest group of proteins affected by radiation (369 species) included those with increased abundance at all radiation doses (2 Gy). Several gene ontology terms were associated with radiation-affected exosome proteins. Among overrepresented processes were those involved in the response to radiation, the metabolism of radical oxygen species, DNA repair, chromatin packaging, and protein folding. Hence, the protein content of exosomes released by irradiated cells indicates their actual role in mediating the response to ionizing radiation.</t>
  </si>
  <si>
    <t>[Abramowicz, Agata; Wojakowska, Anna; Smolarz, Mateusz; Widlak, Piotr; Pietrowska, Monika] Maria Sklodowska Curie Inst, Ctr Oncol, Ctr Translat Res &amp; Mol Biol Canc, Gliwice Branch, Ul Wybrzeze Armii Krajowej 15, PL-44101 Gliwice, Poland; [Marczak, Lukasz] Polish Acad Sci, Inst Bioorgan Chem, Ul Noskowskiego 12-14, PL-61704 Poznan, Poland; [Lysek-Gladysinska, Malgorzata] Jan Kochanowski Univ Humanities &amp; Sci, Inst Biol, Dept Cell Biol &amp; Electron Microscopy, Ul Swietokrzyska 15, PL-25406 Kielce, Poland; [Story, Michael D.] Univ Texas Southwestern Med Ctr Dallas, Dept Radiat Oncol, Div Mol Radiat Biol, 5323 Harry Hines Blvd, Dallas, TX 75390 USA; [Polanska, Joanna] Silesian Tech Univ, Fac Automat Control Elect &amp; Comp Sci, Ul Akad 16, PL-44100 Gliwice, Poland</t>
  </si>
  <si>
    <t>Maria Sklodowska-Curie National Research Institute of Oncology; Polish Academy of Sciences; Institute of Bioorganic Chemistry of the Polish Academy of Sciences; Jan Kochanowski University; University of Texas System; University of Texas Southwestern Medical Center Dallas; Silesian University of Technology</t>
  </si>
  <si>
    <t>Pietrowska, M (corresponding author), Maria Sklodowska Curie Inst, Ctr Oncol, Ctr Translat Res &amp; Mol Biol Canc, Gliwice Branch, Ul Wybrzeze Armii Krajowej 15, PL-44101 Gliwice, Poland.</t>
  </si>
  <si>
    <t>monika.pietrowska@io.gliwice.pl</t>
  </si>
  <si>
    <t>Story, Michael/AAX-2864-2021; Widlak, Piotr/AAL-8075-2021; Polanska, Joanna/H-4513-2013; Wojakowska, Anna/C-2075-2013; Marczak, Lukasz/C-9069-2011</t>
  </si>
  <si>
    <t>Story, Michael/0000-0001-6522-4169; Widlak, Piotr/0000-0001-5099-4726; Polanska, Joanna/0000-0001-8004-9864; Wojakowska, Anna/0000-0002-4541-1239; Marczak, Lukasz/0000-0001-8602-0077; Smolarz, Mateusz/0000-0003-1124-0029; Pietrowska, Monika/0000-0001-9317-7822; Lysek-Gladysinska, Malgorzata/0000-0002-0327-3202; Abramowicz, Agata/0000-0002-7826-9398</t>
  </si>
  <si>
    <t>0449-3060</t>
  </si>
  <si>
    <t>1349-9157</t>
  </si>
  <si>
    <t>10.1093/jrr/rrz001</t>
  </si>
  <si>
    <t>Biology; Oncology; Radiology, Nuclear Medicine &amp; Medical Imaging</t>
  </si>
  <si>
    <t>Life Sciences &amp; Biomedicine - Other Topics; Oncology; Radiology, Nuclear Medicine &amp; Medical Imaging</t>
  </si>
  <si>
    <t>WOS:000470057300002</t>
  </si>
  <si>
    <t>Lee, JS; Hur, JY; Kim, IA; Kim, HJ; Choi, CM; Lee, JC; Kim, WS; Lee, KY</t>
  </si>
  <si>
    <t>Lee, Jong Sik; Hur, Jae Young; Kim, In Ae; Kim, Hee Joung; Choi, Chang Min; Lee, Jae Chol; Kim, Wan Seop; Lee, Kye Young</t>
  </si>
  <si>
    <t>Liquid biopsy using the supernatant of a pleural effusion for EGFR genotyping in pulmonary adenocarcinoma patients: a comparison between cell-free DNA and extracellular vesicle-derived DNA</t>
  </si>
  <si>
    <t>Pleural effusion; Pulmonary adenocarcinoma; EGFR mutation; Extracellular vesicles; Liquid biopsy</t>
  </si>
  <si>
    <t>CIRCULATING TUMOR DNA; DOUBLE-STRANDED DNA; LUNG-CANCER; MUTATION; EXOSOMES; BLOOD</t>
  </si>
  <si>
    <t>BackgroundEGFR genotyping in pulmonary adenocarcinoma patients who develop pleural effusions is mostly performed using cytology or cell block slides with low sensitivity. Liquid biopsy using the supernatant of pleural effusions may be more effective because they contain many components released by cancer cells. Extracellular vesicles (EVs) are known to carry oncogenic double-stranded DNA that is considered a notable biomarker. Here, we investigate the efficiency of liquid biopsy using cell-free DNA (cfDNA) and extracellular vesicle-derived DNA (EV-derived DNA) from the supernatant of pleural effusions for EGFR genotyping in patients with pulmonary adenocarcinoma.MethodsFifty pleural effusion samples from patients with pulmonary adenocarcinoma were evaluated. The supernatant, after removing the cell pellet by centrifugation, was used for liquid biopsy, and EVs were isolated from the pleural effusion by ultracentrifugation. EV-derived DNA and cfDNA were extracted separately, and EGFR genotyping was performed by the PNA clamping method.ResultsAmong 32 patients who were EGFR-tyrosine kinase inhibitor (TKI) naive with a known tissue EGFR genotype, liquid biopsy using EV-derived DNA from the pleural effusion supernatant showed 100% matching results with tissue EGFR genotyping in 19 EGFR mutant cases and detected three additional EGFR mutations in patients with wild-type (WT) tissue. Liquid biopsy using cfDNA from pleural effusion supernatants missed two cases of tissue-based EGFR mutations and found two additional EGFR mutation cases. In 18 patients who acquired resistance to EGFR-TKI, EGFR genotyping using EV-derived DNA from the pleural effusion supernatant detected the T790M mutation in 13 of 18 (72.2%) patients, and this mutation was detected in 11 (61.1%) patients using cfDNA. By contrast, only three patients were found to present the T790M mutation when using cell block or cytology slides.ConclusionsLiquid biopsy using the supernatant of pleural effusions showed significantly improved results for EGFR genotyping compared to those using conventional cell block or cytology samples. Liquid biopsy using EV-derived DNA is promising for EGFR genotyping, including T790M detection in pulmonary adenocarcinoma patients who develop pleural effusions.</t>
  </si>
  <si>
    <t>[Lee, Jong Sik; Hur, Jae Young; Kim, In Ae; Kim, Hee Joung; Lee, Kye Young] Konkuk Univ, Sch Med, Med Ctr &amp; Med, Lung Canc Ctr,Dept Pulm, 120-1 Hwayang Dong, Seoul 05030, South Korea; [Kim, Hee Joung; Lee, Kye Young] Konkuk Univ, Sch Med, Dept Pulm Med, Seoul, South Korea; [Hur, Jae Young; Kim, Wan Seop] Konkuk Univ, Sch Med, Dept Pathol, Seoul, South Korea; [Choi, Chang Min; Lee, Jae Chol] Univ Ulsan, Coll Med, Asan Med Ctr, Dept Pulm &amp; Crit Care Med, Seoul, South Korea; [Choi, Chang Min; Lee, Jae Chol] Univ Ulsan, Coll Med, Asan Med Ctr, Dept Oncol, Seoul, South Korea</t>
  </si>
  <si>
    <t>Konkuk University; Konkuk University Medical Center; Konkuk University; Konkuk University Medical Center; Konkuk University; Konkuk University Medical Center; University of Ulsan; Asan Medical Center; University of Ulsan; Asan Medical Center</t>
  </si>
  <si>
    <t>Lee, KY (corresponding author), Konkuk Univ, Sch Med, Med Ctr &amp; Med, Lung Canc Ctr,Dept Pulm, 120-1 Hwayang Dong, Seoul 05030, South Korea.;Lee, KY (corresponding author), Konkuk Univ, Sch Med, Dept Pulm Med, Seoul, South Korea.</t>
  </si>
  <si>
    <t>LEE, KYE YOUNG/0000-0003-4687-5593</t>
  </si>
  <si>
    <t>DEC 10</t>
  </si>
  <si>
    <t>10.1186/s12885-018-5138-3</t>
  </si>
  <si>
    <t>WOS:000452726600006</t>
  </si>
  <si>
    <t>Engin, A</t>
  </si>
  <si>
    <t>Engin, AB; Engin, A</t>
  </si>
  <si>
    <t>Engin, Atilla</t>
  </si>
  <si>
    <t>Dark-Side of Exosomes</t>
  </si>
  <si>
    <t>PROTEIN KINASE-MEDIATED DECISIONS BETWEEN LIFE AND DEATH</t>
  </si>
  <si>
    <t>Advances in Experimental Medicine and Biology</t>
  </si>
  <si>
    <t>Exosome; Extracellular vesicle; Immune synapse; Diacylglycerol kinase-alpha; Tumor-derived exosomes; Reactive oxygen species; NOD-like receptor NACHT; LRR and PYD domains-containing protein (NLRP3); Phosphatase and tensin homolog (PTEN)</t>
  </si>
  <si>
    <t>CELL-DERIVED-EXOSOMES; DIACYLGLYCEROL-KINASE-ALPHA; BEARING FAS LIGAND; EXTRACELLULAR VESICLES; T-CELLS; DENDRITIC CELLS; EMERGING ROLES; CANCER CELLS; MULTIVESICULAR BODIES; MEDIATES NECROPTOSIS</t>
  </si>
  <si>
    <t>Exosomes are nanoscale extracellular vesicles that can transport cargos of proteins, lipids, DNA, various RNA species and microRNAs (miRNAs). Exosomes can enter cells and deliver their contents to recipient cell. Owing to their cargo exosomes can transfer different molecules to the target cells and change the phenotype of these cells. The fate of the contents of an exosome depends on its target destination. Various mechanisms for exosome uptake by target cells have been proposed, but the mechanisms responsible for exosomes internalization into cells are still debated. Exosomes exposed cells produce labeled protein kinases, which are expressed by other cells. This means that these kinases are internalized by exosomes, and transported into the cytoplasm of recipient cells. Many studies have confirmed that exosomes are not only secreted by living cells, but also internalized or accumulated by the other cells. The next cell hypothesis supports the notion that exosomes constitute communication vehicles between neighboring cells. By this mechanism, exosomes participate in the development of diabetes and its associated complications, critically contribute to the spreading of neuronal damage in Alzheimer's disease, and non-proteolysed form of Fas ligand (mFasL)-bearing exosomes trigger the apoptosis of T lymphocytes. Furthermore, exosomes derived from human B lymphocytes induce antigen-specific major histocompatibility complex (MHC) class II-restricted T cell responses. Interestingly, exosomes secreted by cancer cells have been demonstrated to express tumor antigens, as well as immune suppressive molecules. This process is defined as exosome-immune suppression concept. The interplay via the exchange of exosomes between cancer cells and between cancer cells and the tumor stroma promote the transfer of oncogenes and onco-miRNAs from one cell to other. Circulating exosomes that are released from hypertrophic adipocytes are effective in obesity-related complications. On the other hand, the inflammasome-induced exosomes can activate inflammatory responses in recipient cells. In this chapter protein kinases-related checkpoints are emphasized considering the regulation of exosome biogenesis, secretory traffic, and their impacts on cell death, tumor growth, immune system, and obesity.</t>
  </si>
  <si>
    <t>[Engin, Atilla] Gazi Univ, Fac Med, Dept Gen Surg, Ankara, Turkey</t>
  </si>
  <si>
    <t>Gazi University</t>
  </si>
  <si>
    <t>Engin, A (corresponding author), Gazi Univ, Fac Med, Dept Gen Surg, Ankara, Turkey.</t>
  </si>
  <si>
    <t>0065-2598</t>
  </si>
  <si>
    <t>2214-8019</t>
  </si>
  <si>
    <t>978-3-030-49844-3; 978-3-030-49843-6</t>
  </si>
  <si>
    <t>10.1007/978-3-030-49844-3_4</t>
  </si>
  <si>
    <t>10.1007/978-3-030-49844-3</t>
  </si>
  <si>
    <t>Biochemistry &amp; Molecular Biology; Medicine, Research &amp; Experimental</t>
  </si>
  <si>
    <t>Book Citation Index – Science (BKCI-S); Science Citation Index Expanded (SCI-EXPANDED)</t>
  </si>
  <si>
    <t>Biochemistry &amp; Molecular Biology; Research &amp; Experimental Medicine</t>
  </si>
  <si>
    <t>WOS:000624289200004</t>
  </si>
  <si>
    <t>Yerneni, SS; Lathwall, S; Shrestha, P; Shirwan, H; Matyjaszewski, K; Weiss, L; Yolcu, ES; Campbell, PG; Das, SR</t>
  </si>
  <si>
    <t>Yerneni, Saigopalakrishna S.; Lathwall, Sushil; Shrestha, Pradeep; Shirwan, Haval; Matyjaszewski, Krzysztof; Weiss, Lee; Yolcu, Esma S.; Campbell, Phil G.; Das, Subha R.</t>
  </si>
  <si>
    <t>Rapid On-Demand Extracellular Vesicle Augmentation with Versatile Oligonucleotide Tethers</t>
  </si>
  <si>
    <t>drug delivery; extracellular vesicle; exosome; DNA; aptamer; membrane engineering; immunomodulation</t>
  </si>
  <si>
    <t>LIPOSOMAL DRUG-DELIVERY; FAS LIGAND; CELL-SURFACE; EXOSOMES; DISPLAY; CANCER; SIRNA; TOLERANCE; SYSTEMS; IMMUNOMODULATION</t>
  </si>
  <si>
    <t>Exosomes show potential as ideal vehicles for drug delivery because of their natural role in transferring biological cargo between cells. However, current methods to engineer exosomes without negatively impacting their function remain challenging. Manipulating exosome-secreting cells is complex and time-consuming, while direct functionalization of exosome surface proteins suffers from low specificity and low efficiency. We demonstrate a rapid, versatile, and scalable method with oligonucleotide tethers to enable diverse surface functionalization on both human and murine exosomes. These exosome surface modifiers, which range from reactive functional groups and small molecules to aptamers and large proteins, can readily and efficiently enhance native exosome properties. We show that cellular uptake of exosomes can be specifically altered with a tethered AS1411 aptamer, and targeting specificity can be altered with a tethered protein. We functionalize exosomes with an immunomodulatory protein, FasL, and demonstrate their biological activity both in vitro and in vivo. FasL-functionalized exosomes, when bioprinted on a collagen matrix, allows spatial induction of apoptosis in tumor cells and, when injected in mice, suppresses proliferation of alloreactive T cells. This oligonucleotide tethering strategy is independent of the exosome source and further circumvents the need to genetically modify exosome-secreting cells.</t>
  </si>
  <si>
    <t>[Yerneni, Saigopalakrishna S.; Weiss, Lee; Campbell, Phil G.] Carnegie Mellon Univ, Dept Biomed Engn, Pittsburgh, PA 15213 USA; [Lathwall, Sushil; Matyjaszewski, Krzysztof; Das, Subha R.] Carnegie Mellon Univ, Dept Chem, 4400 5th Ave, Pittsburgh, PA 15213 USA; [Lathwall, Sushil; Das, Subha R.] Carnegie Mellon Univ, Ctr Nucle Acids Sci &amp; Technol, Pittsburgh, PA 15213 USA; [Shrestha, Pradeep; Shirwan, Haval; Yolcu, Esma S.] Univ Louisville, Inst Cellular Therapeut, Louisville, KY 40292 USA; [Shrestha, Pradeep; Shirwan, Haval; Yolcu, Esma S.] Univ Louisville, Dept Microbiol &amp; Immunol, Louisville, KY 40292 USA; [Weiss, Lee] Carnegie Mellon Univ, Robot Inst, Pittsburgh, PA 15213 USA; [Campbell, Phil G.] Carnegie Mellon Univ, Engn Res Accelerator, Pittsburgh, PA 15213 USA</t>
  </si>
  <si>
    <t>Carnegie Mellon University; Carnegie Mellon University; Carnegie Mellon University; University of Louisville; University of Louisville; Carnegie Mellon University; Carnegie Mellon University</t>
  </si>
  <si>
    <t>Campbell, PG (corresponding author), Carnegie Mellon Univ, Dept Biomed Engn, Pittsburgh, PA 15213 USA.;Das, SR (corresponding author), Carnegie Mellon Univ, Dept Chem, 4400 5th Ave, Pittsburgh, PA 15213 USA.;Das, SR (corresponding author), Carnegie Mellon Univ, Ctr Nucle Acids Sci &amp; Technol, Pittsburgh, PA 15213 USA.;Yolcu, ES (corresponding author), Univ Louisville, Inst Cellular Therapeut, Louisville, KY 40292 USA.;Yolcu, ES (corresponding author), Univ Louisville, Dept Microbiol &amp; Immunol, Louisville, KY 40292 USA.;Campbell, PG (corresponding author), Carnegie Mellon Univ, Engn Res Accelerator, Pittsburgh, PA 15213 USA.</t>
  </si>
  <si>
    <t>esma.yolcu@louisville.edu; pcampbel@cs.cmu.edu; srdas@andrew.cmu.edu</t>
  </si>
  <si>
    <t>Matyjaszewski, Krzysztof/A-2508-2008; Das, Subha/H-4733-2014</t>
  </si>
  <si>
    <t>Matyjaszewski, Krzysztof/0000-0003-1960-3402; Das, Subha/0000-0002-5353-0422; Shrestha, Pradeep/0000-0003-3418-6790</t>
  </si>
  <si>
    <t>10.1021/acsnano.9b04651</t>
  </si>
  <si>
    <t>WOS:000487859600074</t>
  </si>
  <si>
    <t>Cai, J; Han, Y; Ren, HM; Chen, CY; He, DF; Zhou, L; Eisner, GM; Asico, LD; Jose, PA; Zeng, CY</t>
  </si>
  <si>
    <t>Cai, Jin; Han, Yu; Ren, Hongmei; Chen, Caiyu; He, Duofen; Zhou, Lin; Eisner, Gilbert M.; Asico, Laureano D.; Jose, Pedro A.; Zeng, Chunyu</t>
  </si>
  <si>
    <t>Extracellular vesicle-mediated transfer of donor genomic DNA to recipient cells is a novel mechanism for genetic influence between cells</t>
  </si>
  <si>
    <t>JOURNAL OF MOLECULAR CELL BIOLOGY</t>
  </si>
  <si>
    <t>extracellular vesicles; genomic DNA; AT(1) receptor; BCR; ABL hybrid gene</t>
  </si>
  <si>
    <t>D-3 DOPAMINE-RECEPTORS; PROXIMAL TUBULE CELLS; ANGIOTENSIN-II; TUMOR-CELLS; EXOSOMES; ACTIVATION; BIOMARKERS; MICRORNAS; PROTEINS; AT(1)</t>
  </si>
  <si>
    <t>Extracellular vesicles (EVs) carry signals within or at their limiting membranes, providing a mechanism by which cells can exchange more complex information than what was previously thought. In addition to mRNAs and microRNAs, there are DNA fragments in EVs. Solexa sequencing indicated the presence of at least 16434 genomic DNA (gDNA) fragments in the EVs from human plasma. Immunofluorescence study showed direct evidence that acridine orange-stained EV DNAs could be transferred into the cells and localize to and inside the nuclear membrane. However, whether the transferred EV DNAs are functional or not is not clear. We found that EV gDNAs could be homologously or heterologously transferred from donor cells to recipient cells, and increase gDNA-coding mRNA, protein expression, and function (e.g. AT(1) receptor). An endogenous promoter of the AT(1) receptor, NF-B, could be recruited to the transferred DNAs in the nucleus, and increase the transcription of AT(1) receptor in the recipient cells. Moreover, the transferred EV gDNAs have pathophysiological significance. BCR/ABL hybrid gene, involved in the pathogenesis of chronic myeloid leukemia, could be transferred from K562 EVs to HEK293 cells or neutrophils. Our present study shows that the gDNAs transferred from EVs to cells have physiological significance, not only to increase the gDNA-coding mRNA and protein levels, but also to influence function in recipient cells.</t>
  </si>
  <si>
    <t>[Cai, Jin; Han, Yu; Ren, Hongmei; Chen, Caiyu; He, Duofen; Zhou, Lin; Zeng, Chunyu] Third Mil Med Univ, Daping Hosp, Dept Cardiol, Chongqing 400042, Peoples R China; [Eisner, Gilbert M.] Georgetown Univ, Med Ctr, Washington, DC 20007 USA; [Asico, Laureano D.; Jose, Pedro A.] Univ Maryland, Sch Med, Dept Med, Div Nephrol, Baltimore, MD 21201 USA</t>
  </si>
  <si>
    <t>Army Medical University; Georgetown University; University System of Maryland; University of Maryland Baltimore</t>
  </si>
  <si>
    <t>Zeng, CY (corresponding author), Third Mil Med Univ, Daping Hosp, Dept Cardiol, Chongqing 400042, Peoples R China.</t>
  </si>
  <si>
    <t>chunyuzeng01@163.com</t>
  </si>
  <si>
    <t>Asico, Laureano/AAM-6321-2020</t>
  </si>
  <si>
    <t>1674-2788</t>
  </si>
  <si>
    <t>10.1093/jmcb/mjt011</t>
  </si>
  <si>
    <t>WOS:000322914000003</t>
  </si>
  <si>
    <t>Karam, J; Constanzo, J; Pichard, A; Gros, L; Chopineau, J; Morille, M; Pouget, JP</t>
  </si>
  <si>
    <t>Karam, Jihad; Constanzo, Julie; Pichard, Alexandre; Gros, Laurent; Chopineau, Joel; Morille, Marie; Pouget, Jean-Pierre</t>
  </si>
  <si>
    <t>Rapid communication: insights into the role of extracellular vesicles during Auger radioimmunotherapy</t>
  </si>
  <si>
    <t>INTERNATIONAL JOURNAL OF RADIATION BIOLOGY</t>
  </si>
  <si>
    <t>Article; Early Access</t>
  </si>
  <si>
    <t>Targeted radionuclide therapy; radiotherapy; Auger electrons; exosomes; extracellular vesicles</t>
  </si>
  <si>
    <t>IONIZING-RADIATION; CELL-MEMBRANE; TUMOR; RADIONUCLIDES; SECRETION; DOSIMETRY; EXOSOMES; CANCER</t>
  </si>
  <si>
    <t>Purpose Non-targeted effects, including bystander and systemic effects, play a crucial role during Auger targeted radionuclide therapy. Here, we investigated whether small extracellular vesicles (sEVs) produced by irradiated cells could contribute to the bystander cytotoxic effects in vitro and also to therapeutic efficacy in vivo, after their injection in tumor xenografts. Materials and methods B16F10 melanoma donor cells were exposed to radiolabeled antibodies (Auger radioimmunotherapy, RIT) for 48 h or to X-rays (donor cells). Then, donor cells were incubated with fresh medium for 2 h to prepare conditioned medium (CM) that was transferred onto recipient cells for bystander effect assessment, or used for sEVs enrichment. Resulting sEVs were incubated in vitro with recipient cells for determining bystander cytotoxicity, or injected in B16F10 melanoma tumors harbored by athymic and C57BL/6 mice. Results In vitro analysis of bystander cytotoxic effects showed that CM killed about 30-40% of melanoma cells. SEVs isolated from CM contributed to this effect. Moreover, the double-stranded DNA (dsDNA) content was increased in sEVs isolated from CM of exposed cells compared to control (not exposed), but the difference was significant only for the X-ray condition. These results were supported by immunodetection of cytosolic dsDNA in donor cells, a phenomenon that should precede dsDNA enrichment in sEVs. However, sEVs cytotoxicity could not be detected in vivo. Indeed, in athymic and in immunocompetent mice that received four intratumoral injections of sEVs (1/day), tumor growth was not delayed compared with untreated controls. Tumor growth was slightly (not significantly) delayed in immunocompetent mice treated with sEVs from X-ray-exposed cells, and significantly with sEVs purified from CM collected after 48 h of incubation. These results highlight the need to determine the optimal conditions, including radiation absorbed dose and sEVs collection time, to obtain the strongest cytotoxic effects. Conclusions This study demonstrates that sEVs could play a role during Auger RIT through bystander effects in vitro. No systemic effects were observed in vivo, under our experimental conditions. However, X-rays experiments showed that sEVs collection time might be influencing the nature of sEVs, a parameter that should also be investigated during Auger RIT.</t>
  </si>
  <si>
    <t>[Karam, Jihad; Constanzo, Julie; Pichard, Alexandre; Gros, Laurent; Pouget, Jean-Pierre] Univ Montpellier, Inst Rech Cancerol Montpellier IRCM, Inst Reg Canc Montpellier ICM, INSERM,U1194, Montpellier, France; [Chopineau, Joel; Morille, Marie] Univ Montpellier, ICGM, ENSCM, CNRS, Montpellier, France</t>
  </si>
  <si>
    <t>Institut National de la Sante et de la Recherche Medicale (Inserm); UNICANCER; Universite de Montpellier; Institut Regional du Cancer Montpellier / Val d'Aurelle (ICM); Centre National de la Recherche Scientifique (CNRS); Ecole nationale superieure de chimie de Montpellier; Universite de Montpellier</t>
  </si>
  <si>
    <t>Pouget, JP (corresponding author), Univ Montpellier, Inst Rech Cancerol Montpellier IRCM, Inst Reg Canc Montpellier ICM, INSERM,U1194, Montpellier, France.</t>
  </si>
  <si>
    <t>jean-pierre.pouget@inserm.fr</t>
  </si>
  <si>
    <t>chopineau, joel/J-6674-2015; Morille, Marie/A-6177-2011</t>
  </si>
  <si>
    <t>chopineau, joel/0000-0001-8307-0167; Morille, Marie/0000-0001-8224-7346; POUGET, Jean-Pierre/0000-0001-8551-2029; Karam, Jihad/0000-0002-8651-8681; Constanzo, Julie/0000-0002-4153-7942</t>
  </si>
  <si>
    <t>0955-3002</t>
  </si>
  <si>
    <t>1362-3095</t>
  </si>
  <si>
    <t>10.1080/09553002.2021.1955999</t>
  </si>
  <si>
    <t>Biology; Nuclear Science &amp; Technology; Radiology, Nuclear Medicine &amp; Medical Imaging</t>
  </si>
  <si>
    <t>Life Sciences &amp; Biomedicine - Other Topics; Nuclear Science &amp; Technology; Radiology, Nuclear Medicine &amp; Medical Imaging</t>
  </si>
  <si>
    <t>WOS:000678919900001</t>
  </si>
  <si>
    <t>Pan, M; Lu, JF; Liu, ZY; Shi, HJ; Bai, YF; Chen, PS; Ge, QY</t>
  </si>
  <si>
    <t>Pan, Min; Lu, Jiafeng; Liu, Zhiyu; Shi, Huajuan; Bai, Yunfei; Chen, Pingsheng; Ge, Qinyu</t>
  </si>
  <si>
    <t>Integrity of cell-free DNA in maternal plasma extracellular vesicles as a potential biomarker for non-invasive prenatal testing</t>
  </si>
  <si>
    <t>INTERNATIONAL JOURNAL OF GYNECOLOGY &amp; OBSTETRICS</t>
  </si>
  <si>
    <t>cell-free DNA; evcfDI; extracellular vesicles; maternal plasma; non-invasive prenatal testing</t>
  </si>
  <si>
    <t>FETAL DNA; SIZE DISTRIBUTIONS; BREAST-CANCER; BLOOD-PLASMA; EXOSOMES; ANEUPLOIDIES; METHYLATION; TRISOMIES; MARKER</t>
  </si>
  <si>
    <t>Objective Large proportions of cell-free DNA (cfDNA) in plasma are localized in extracellular vesicles (EVs), which are secreted from placental cells. This study was conducted to reveal the integrity pattern of cfDNA in maternal plasma EVs (evcfDI) across gestation, and explore if evcfDI could be a potential biomarker in screening for aneuploid fetus in non-invasive prenatal testing (NIPT). Methods A total of 180 maternal plasma samples were collected during NIPT. Both evcfDNA and fetal evcfDNA (evcffDNA) were measured by quantitative PCR of LINE1 and SRY gene amplicons with different sizes. The evcfDI was calculated as the ratio of long to short fragments. Results evcfDI is not affected by gestational age; whereas evcffDI has a mild decreasing trend with increasing gestational age (P = 0.048). evcfDI is significantly and negatively correlated with maternal body mass index (BMI; calculated as weight in kilograms divided by the square of height in meters: &lt;= 18.5, 18.5-25, and &gt;= 25) (P &lt; 0.01) and age (&lt;35 and &gt;= 35 years) (P &lt; 0.01). Mean evcfDI decreases from 2.113 in euploid controls to 0.681 in those with an aneuploid fetus in NIPT (P = 0.003). Conclusion Maternal clinical characteristics such as BMI and age could be innovative biomarkers to calibrate evcfDI, which was shown to be a potential indicator of an aneuploid fetus. Analysis of evcfDI based on quantitative PCR could serve as a novel, rapid, and low-cost NIPT strategy, which might facilitate testing at earlier gestations.</t>
  </si>
  <si>
    <t>[Pan, Min; Chen, Pingsheng] Southeast Univ, Sch Med, Nanjing, Peoples R China; [Lu, Jiafeng] Nanjing Med Univ, Suzhou Municipal Hosp, Ctr Reprod &amp; Genet, Affiliated Suzhou Hosp, Suzhou, Peoples R China; [Liu, Zhiyu; Shi, Huajuan; Bai, Yunfei; Ge, Qinyu] Southeast Univ, Sch Biol Sci &amp; Med Engn, State Key Lab Bioelect, Nanjing, Peoples R China</t>
  </si>
  <si>
    <t>Southeast University - China; Nanjing Medical University; Southeast University - China</t>
  </si>
  <si>
    <t>Ge, QY (corresponding author), Southeast Univ, Sch Biol Sci &amp; Med Engn, State Key Lab Bioelect, Nanjing, Peoples R China.</t>
  </si>
  <si>
    <t>geqinyu@seu.edu.cn</t>
  </si>
  <si>
    <t>0020-7292</t>
  </si>
  <si>
    <t>1879-3479</t>
  </si>
  <si>
    <t>10.1002/ijgo.13976</t>
  </si>
  <si>
    <t>NOV 2021</t>
  </si>
  <si>
    <t>Obstetrics &amp; Gynecology</t>
  </si>
  <si>
    <t>WOS:000714974700001</t>
  </si>
  <si>
    <t>Nishiyama, K; Takaki, T; Sugiyama, M; Fukuda, I; Aiso, M; Mukai, T; Odamaki, T; Xiao, JZ; Osawa, R; Okada, N</t>
  </si>
  <si>
    <t>Nishiyama, Keita; Takaki, Takashi; Sugiyama, Makoto; Fukuda, Itsuko; Aiso, Maho; Mukai, Takao; Odamaki, Toshitaka; Xiao, Jin-Zhong; Osawa, Ro; Okada, Nobuhiko</t>
  </si>
  <si>
    <t>Extracellular Vesicles Produced by Bifidobacterium longum Export Mucin-Binding Proteins</t>
  </si>
  <si>
    <t>APPLIED AND ENVIRONMENTAL MICROBIOLOGY</t>
  </si>
  <si>
    <t>Bifidobacterium; adhesion; colonization; extracellular vesicle; fecal fermentation; symbiosis</t>
  </si>
  <si>
    <t>ELONGATION-FACTOR TU; PLASMINOGEN BINDING; MEMBRANE-VESICLES; ADHESION PROPERTIES; HOST; RECEPTOR; SUBUNIT; PILI; LA1</t>
  </si>
  <si>
    <t>Extracellular proteins are important factors in host-microbe interactions; however, the specific factors that enable bifidobacterial adhesion and survival in the gastrointestinal (GI) tract are not fully characterized. Here, we discovered that Bifidobacterium longum NCC2705 cultured in bacterium-free supernatants of human fecal fermentation broth released a myriad of particles into the extracellular environment. The aim of this study was to characterize the physiological properties of these extracellular particles. The particles, approximately 50 to 80 nm in diameter, had high protein and double-stranded DNA contents, suggesting that they were extracellular vesicles (EVs). A proteomic analysis showed that the EVs primarily consisted of cytoplasmic proteins with crucial functions in essential cellular processes. We identified several mucin-binding proteins by performing a biomolecular interaction analysis of phosphoketolase, GroEL, elongation factor Tu (EF-Tu), phosphoglycerate kinase, transaldolase (Tal), and heat shock protein 20 (Hsp20). The recombinant GroEL and Tal proteins showed high binding affinities to mucin. Furthermore, the immobilization of these proteins on microbeads affected the permanence of the microbeads in the murine GI tract. These results suggest that bifidobacterial exposure conditions that mimic the intestine stimulate B. longum EV production. The resulting EVs exported several cytoplasmic proteins that may have promoted B. Iongum adhesion. This study improved our understanding of the Bifidobacterium colonization strategy in the intestinal microbiome. IMPORTANCE Bifidobacterium is a natural inhabitant of the human gastrointestinal (GI) tract. Morphological observations revealed that extracellular appendages of bifidobacteria in complex microbial communities are important for understanding its adaptations to the GI tract environment. We identified dynamic extracellular vesicle (EV) production by Bifidobacterium longum in bacterium-free fecal fermentation broth that was strongly suggestive of differing bifidobacterial extracellular appendages in the GI tract. In addition, export of the adhesive moonlighting proteins mediated by EVs may promote bifidobacterial colonization. This study provides new insight into the roles of EVs in bifidobacterial colonization processes as these bacteria adapt to the GI environment.</t>
  </si>
  <si>
    <t>[Nishiyama, Keita; Okada, Nobuhiko] Kitasato Univ, Sch Pharm, Dept Microbiol, Tokyo, Japan; [Takaki, Takashi] Showa Univ, Sect Electron Microscopy, Tokyo, Japan; [Sugiyama, Makoto] Kitasato Univ, Sch Vet Med, Lab Vet Anat, Towada, Aomori, Japan; [Fukuda, Itsuko; Osawa, Ro] Kobe Univ, Res Ctr Food Safety &amp; Secur, Grad Sch Agr Sci, Kobe, Hyogo, Japan; [Aiso, Maho; Mukai, Takao] Kitasato Univ, Sch Vet Med, Dept Anim Sci, Towada, Aomori, Japan; [Odamaki, Toshitaka; Xiao, Jin-Zhong] Morinaga Milk Ind Co Ltd, Next Generat Sci Inst, Zama, Kanagawa, Japan; [Osawa, Ro] Kobe Univ, Grad Sch Agr Sci, Dept Bioresource Sci, Kobe, Hyogo, Japan; [Nishiyama, Keita] Keio Univ, Sch Med, Dept Microbiol &amp; Immunol, Tokyo, Japan</t>
  </si>
  <si>
    <t>Kitasato University; Showa University; Kitasato University; Kobe University; Kitasato University; Morinaga Milk Industry Company, Ltd; Kobe University; Keio University</t>
  </si>
  <si>
    <t>Nishiyama, K (corresponding author), Kitasato Univ, Sch Pharm, Dept Microbiol, Tokyo, Japan.;Nishiyama, K (corresponding author), Keio Univ, Sch Med, Dept Microbiol &amp; Immunol, Tokyo, Japan.</t>
  </si>
  <si>
    <t>keita.nishiyama@keio.jp</t>
  </si>
  <si>
    <t>SUGIYAMA, Makoto/0000-0001-9340-6015</t>
  </si>
  <si>
    <t>0099-2240</t>
  </si>
  <si>
    <t>1098-5336</t>
  </si>
  <si>
    <t>e01464-20</t>
  </si>
  <si>
    <t>10.1128/AEM.01464-20</t>
  </si>
  <si>
    <t>WOS:000577023300018</t>
  </si>
  <si>
    <t>Joy, AP; Ayre, DC; Chute, IC; Beauregard, AP; Wajnberg, G; Ghosh, A; Lewis, SM; Ouellette, RJ; Barnett, DA</t>
  </si>
  <si>
    <t>Joy, Andrew P.; Ayre, D. Craig; Chute, Ian C.; Beauregard, Annie-Pier; Wajnberg, Gabriel; Ghosh, Anirban; Lewis, Stephen M.; Ouellette, Rodney J.; Barnett, David A.</t>
  </si>
  <si>
    <t>Proteome profiling of extracellular vesicles captured with the affinity peptide Vn96: comparison of Laemmli and TRIzol (c) protein-extraction methods</t>
  </si>
  <si>
    <t>extracellular vesicle; exosomes; MCF-10A; MCF-7; MDA-MB-231; cell-conditioned media; Vn96</t>
  </si>
  <si>
    <t>BREAST-CARCINOMA; CELL-LINE; EXOSOMES</t>
  </si>
  <si>
    <t>Sample amount is often a limiting factor for multi-parametric analyses that encompass at least three areas of '-omics' research: genomics, transcriptomics and proteomics. Limited sample amounts are also an important consideration when these multi-parametric analyses are performed on extracellular vesicles (EVs), as the amount of EVs (and EV cargo) that can be isolated is often very low. It is well understood that a monophasic solution of phenol and guanidine isothiocyanate (i.e. TRIzol (c)) can simultaneously isolate DNA, RNA and proteins from biological samples; however, it is most commonly used for the extraction of RNA. Validation of this reagent for the isolation of multiple classes of biological molecules from EVs would provide a widely applicable method for performing multi-parametric analyses of EV material. In this report, we describe a comparison of proteins identified from EVs processed with either TRIzol (c) or the conventional Laemmli buffer protein-extraction reagents. EVs were isolated from 3 mL of cell-culture supernatant derived from MCF-10A, MCF-7 and MDA-MB-231 cells using the Vn96 EV capture technology. For the TRIzol (c) extraction protocol, proteins were precipitated with acetone from the organic phase and then re-solubilized in a mixture of 8M urea, 0.2% SDS and 1 M TrisHCl pH 6.8, followed by dilution in 5x loading buffer prior to fractionation with 1D SDS-PAGE. NanoLC-MS/MS of the trypsin-digested proteins was used to generate proteomic profiles from EV protein samples extracted with each method. Of the identified proteins, 57.7%, 69.2% and 57.0% were common to both extraction methods for EVs from MCF-10A, MCF-7 and MDA-MB-231, respectively. Our results suggest that TRIzol (c) extraction of proteins from EVs has significant equivalence to the traditional Laemmli method. The advantage of using TRIzol (c) reagent is the ability to accumulate multi-parametric data (e.g., RNA and protein profiles) on the same limited EV sample while minimizing sample preparation and processing time.</t>
  </si>
  <si>
    <t>[Joy, Andrew P.; Ayre, D. Craig; Chute, Ian C.; Beauregard, Annie-Pier; Wajnberg, Gabriel; Ghosh, Anirban; Lewis, Stephen M.; Ouellette, Rodney J.; Barnett, David A.] Atlantic Canc Res Inst, Hotel Dieu Pavil,35 Providence St, Moncton, NB E1C 8X3, Canada; [Ghosh, Anirban; Ouellette, Rodney J.; Barnett, David A.] Univ Moncton, Dept Chim &amp; Biochim, Moncton, NB, Canada; [Lewis, Stephen M.] Dalhousie Univ, Dept Microbiol &amp; Immunol, Halifax, NS, Canada; [Lewis, Stephen M.] Univ New Brunswick, Dept Biol, St John, NB, Canada</t>
  </si>
  <si>
    <t>University of Moncton; Dalhousie University; University of New Brunswick</t>
  </si>
  <si>
    <t>Barnett, DA (corresponding author), Atlantic Canc Res Inst, Hotel Dieu Pavil,35 Providence St, Moncton, NB E1C 8X3, Canada.</t>
  </si>
  <si>
    <t>davidb@canceratl.ca</t>
  </si>
  <si>
    <t>Wajnberg, Gabriel/0000-0002-4479-4063; Joy, Andrew/0000-0002-5477-1615; Ouellette, Rodney/0000-0002-2281-2769; Lewis, Stephen/0000-0001-9537-5822</t>
  </si>
  <si>
    <t>FEB 26</t>
  </si>
  <si>
    <t>10.1080/20013078.2018.1438727</t>
  </si>
  <si>
    <t>WOS:000427782000001</t>
  </si>
  <si>
    <t>Joncas, FH; Lucien, F; Rouleau, M; Morin, F; Leong, HS; Pouliot, F; Fradet, Y; Gilbert, C; Toren, P</t>
  </si>
  <si>
    <t>Joncas, France-Helene; Lucien, Fabrice; Rouleau, Melanie; Morin, Fannie; Leong, Hon Sing; Pouliot, Frederic; Fradet, Yves; Gilbert, Caroline; Toren, Paul</t>
  </si>
  <si>
    <t>Plasma extracellular vesicles as phenotypic biomarkers in prostate cancer patients</t>
  </si>
  <si>
    <t>androgen receptor splice variant; circulating biomarkers; extracellular vesicles; prostate-specific membrane antigen; sex steroids</t>
  </si>
  <si>
    <t>SPLICE VARIANT 7; RESISTANCE; AR-V7</t>
  </si>
  <si>
    <t>Background The development of phenotypic biomarkers to aid the selection of treatment for patients with castrate-resistant prostate cancer (CRPC) is an important priority. Plasma exosomes have excellent potential as real-time biomarkers to characterize the tumor because they are easily accessible in the blood and contain DNA, RNA, and protein from the parent cell. This study aims to investigate the characteristics of putative prostate-specific plasma extracellular vesicle (EV) markers and their relationship with clinical outcomes. Methods and Patients We investigated plasma EVs in a total of 89 patients with prostate cancer (PCa) at different stages of disease progression. EVs were isolated using both precipitation and ultracentrifugation methods; physical characterization was performed using dynamic light scattering, acetylcholinesterase (AChE) activity, and velocity gradients. An immunocapture method was developed for the evaluation of prostate-specific membrane antigen (PSMA)-positive exosomes. Exosomal messenger RNA (mRNA) was quantified using droplet digital polymerase chain reaction for the expression of KLK3 and androgen receptor splice variant 7 (AR-V7) genes, which code prostate-specific antigen (PSA) and AR-V7, respectively. Serum sex steroids were measured using liquid chromatography-tandem mass spectroscopy. Results Isolated exosomes from patients with CRPC had a smaller hydrodynamic size than those isolated from localized patients with PCa, while AChE activity showed no difference. Moreover, no differences were observed after initiation of androgen deprivation therapy in serial patient samples. Velocity gradients identified that PSMA-positive exosomes occupied a specific fraction of isolated EVs. A total of 35 patients with CRPC had mRNA analyzed from isolated plasma exosomes. Detectable exosomal KLK3 corresponded with higher concomitant serum PSA measurements, as expected (mean, 112.6 vs 26.61 ng/mL; P = .065). Furthermore, detectable levels of AR-V7 mRNA were associated with a shorter time to progression (median, 16.0 vs 28.0 months; P = .0499). Furthermore, detectable exosomal AR-V7 was significantly associated with testosterone levels below the lower limit of quantification (&lt;0.1 nM). Conclusions Our results suggest that exosomal AR-V7 is correlated with lower sex steroid levels in CRPC patients with a poorer prognosis. PSMA immunocapture does not appear sufficient to isolate PCa-specific exosomes.</t>
  </si>
  <si>
    <t>[Joncas, France-Helene; Rouleau, Melanie; Morin, Fannie; Pouliot, Frederic; Fradet, Yves; Gilbert, Caroline; Toren, Paul] Univ Laval, CHU Quebec, Res Ctr, Oncol Div, 10 McMahon,Rm 0877, Quebec City, PQ G1R 3S1, Canada; [Lucien, Fabrice; Leong, Hon Sing] Mayo Clin, Dept Urol, Canc Ctr, Rochester, MN USA</t>
  </si>
  <si>
    <t>Laval University; Mayo Clinic</t>
  </si>
  <si>
    <t>Toren, P (corresponding author), Univ Laval, CHU Quebec, Res Ctr, Oncol Div, 10 McMahon,Rm 0877, Quebec City, PQ G1R 3S1, Canada.</t>
  </si>
  <si>
    <t>paul.toren@crchudequebec.ulaval.ca</t>
  </si>
  <si>
    <t>Fradet, Yves/0000-0002-7581-2500; Leong, Hon/0000-0001-7801-1402; Rouleau, Melanie/0000-0003-4154-3127; Toren, Paul/0000-0002-5762-5787; Gilbert, Caroline/0000-0003-2722-1180; Pouliot, Frederic/0000-0002-6651-1079</t>
  </si>
  <si>
    <t>10.1002/pros.23901</t>
  </si>
  <si>
    <t>WOS:000484689500001</t>
  </si>
  <si>
    <t>Sinha, S; Mannerstrom, B; Seppanen-Kaijansinkko, R; Kaur, S</t>
  </si>
  <si>
    <t>Sinha, Snehadri; Mannerstrom, Bettina; Seppanen-Kaijansinkko, Riitta; Kaur, Sippy</t>
  </si>
  <si>
    <t>LINE-1 Methylation Analysis in Mesenchymal Stem Cells Treated with Osteosarcoma-Derived Extracellular Vesicles</t>
  </si>
  <si>
    <t>Genetics; Issue 156; DNA methylation; LINE-1; epigenetics; extracellular vesicles; EV-depleted fetal bovine serum; osteosarcoma</t>
  </si>
  <si>
    <t>CANCER; HYPOMETHYLATION; MICROVESICLES; MEDIATORS</t>
  </si>
  <si>
    <t>Methylation-specific probe amplification (MSPA) is a simple and robust technique that can be used to detect relative differences in methylation levels of DNA samples. It is resourceful, requires small amounts of DNA, and takes around 4-5 h of hands-on work. In the presented technique, DNA samples are first denatured then hybridized to probes that target DNA at either methylated or reference sites as a control. Hybridized DNA is separated into parallel reactions, one undergoing only ligation and the other undergoing ligation followed by Hhal-mediated digestion at unmethylated GCGC sequences. The resultant DNA fragments are amplified by PCR and separated by capillary electrophoresis. Methylated GCGC sites are not digested by Hhal and produce peak signals, while unmethylated GCGC sites are digested and no peak signals are generated. Comparing the control-normalized peaks of digested and undigested versions of each sample provides the methylation dosage ratio of a DNA sample. Here, MSPA is used to detect the effects of osteosarcoma-derived extracellular vesicles (EVs) on the methylation status of long interspersed nuclear element-1 (LINE-1) in mesenchymal stem cells. LINE-1s are repetitive DNA elements that typically undergo hypomethylation in cancer and, in this capacity, may serve as a biomarker. Ultracentrifugation is also used as a cost-effective method to separate extracellular vesicles from biological fluids (i.e., when preparing EV-depleted fetal bovine serum [FBS] and isolating EVs from osteosarcoma conditioned media [differential centrifugation]). For methylation analysis, custom LINE-1 probes are designed to target three methylation sites in the LINE-1 promoter sequence and seven control sites. This protocol demonstrates the use of MSPA for LINE-1 methylation analysis and describes the preparation of EV-depleted FBS by ultracentrifugation.</t>
  </si>
  <si>
    <t>[Sinha, Snehadri; Mannerstrom, Bettina; Seppanen-Kaijansinkko, Riitta; Kaur, Sippy] Univ Helsinki, Dept Oral &amp; Maxillofacial Dis, Helsinki, Finland; [Sinha, Snehadri; Mannerstrom, Bettina; Seppanen-Kaijansinkko, Riitta; Kaur, Sippy] Helsinki Univ Hosp, Helsinki, Finland</t>
  </si>
  <si>
    <t>University of Helsinki; University of Helsinki; Helsinki University Central Hospital</t>
  </si>
  <si>
    <t>Sinha, S (corresponding author), Univ Helsinki, Dept Oral &amp; Maxillofacial Dis, Helsinki, Finland.;Sinha, S (corresponding author), Helsinki Univ Hosp, Helsinki, Finland.</t>
  </si>
  <si>
    <t>snehadri.sinha@helsinki.fi</t>
  </si>
  <si>
    <t>Seppänen-Kaijasinkko, Riitta/AAE-1476-2021; Mannerström, Bettina/AAL-4214-2020</t>
  </si>
  <si>
    <t>Seppanen-Kaijansinkko, Riitta/0000-0001-5348-7121; Sinha, Snehadri/0000-0002-8080-5305</t>
  </si>
  <si>
    <t>e60705</t>
  </si>
  <si>
    <t>10.3791/60705</t>
  </si>
  <si>
    <t>WOS:000518403300063</t>
  </si>
  <si>
    <t>Thakur, K; Singh, MS; Feldstein-Davydova, S; Hannes, V; Hershkovitz, D; Tsuriel, S</t>
  </si>
  <si>
    <t>Thakur, Kavita; Singh, Manu Smriti; Feldstein-Davydova, Sara; Hannes, Victoria; Hershkovitz, Dov; Tsuriel, Shlomo</t>
  </si>
  <si>
    <t>Extracellular Vesicle-Derived DNA vs. CfDNA as a Biomarker for the Detection of Colon Cancer</t>
  </si>
  <si>
    <t>liquid biopsy; colon cancer; cfDNA; ctDNA; EV-DNA</t>
  </si>
  <si>
    <t>CIRCULATING DNA; STRANDED-DNA; EXOSOMES; KRAS</t>
  </si>
  <si>
    <t>Liquid biopsy has emerged as a promising non-invasive way to diagnose tumor and monitor its progression. Different types of liquid biopsies have different advantages and limitations. In the present research, we compared the use of two types of liquid biopsy, extracellular vesicle-derived DNA (EV-DNA) and cell-free DNA (cfDNA) for identifying tumor mutations in patients with colon carcinoma. Method: DNA was extracted from the tumor tissue of 33 patients diagnosed with colon carcinoma. Targeted NGS panel, based on the hotspots panel, was used to identify tumor mutations. Pre-surgery serum and plasma were taken from the patients in which mutation was found in the tumor tissue. Extracellular vesicles were isolated from the serum followed by the extraction of EV-DNA. CfDNA was extracted from the plasma. The mutations found in the tumor were used to detect the circulating tumor DNA using ultra-deep sequencing. We compared the sensitivity of mutation detection and allele frequency obtained in EV-DNA and cfDNA. Results: The sensitivity of mutation detection in EV-DNA and cfDNA was 61.90% and 66.67%, respectively. We obtained almost identical sensitivity of mutation detection in EV-DNA and cfDNA in each of the four stages of colon carcinoma. The total DNA concentration and number mutant copies were higher in cfDNA vs. EV-DNA (p value = 0.002 and 0.003, respectively). Conclusion: Both cfDNA and EV-DNA can serve as tumor biomarkers. The use of EV-DNA did not lead to improved sensitivity or better detection of tumor DNA in the circulation.</t>
  </si>
  <si>
    <t>[Thakur, Kavita; Feldstein-Davydova, Sara; Hannes, Victoria; Hershkovitz, Dov; Tsuriel, Shlomo] Tel Aviv Sourasky Med Ctr, Dept Pathol, IL-62431 Tel Aviv, Israel; [Thakur, Kavita; Feldstein-Davydova, Sara; Hershkovitz, Dov] Tel Aviv Univ, Sackler Fac Med, IL-69978 Tel Aviv, Israel; [Singh, Manu Smriti] Tel Aviv Univ, Lab Precis Nano Med, IL-69978 Tel Aviv, Israel; [Singh, Manu Smriti] Tel Aviv Univ, George S Wise Fac Life Sci, Sch Mol Cell Biol &amp; Biotechnol, IL-69978 Tel Aviv, Israel; [Singh, Manu Smriti] Tel Aviv Univ, Iby &amp; Aladar Fleischman Fac Engn, Dept Mat Sci &amp; Engn, IL-69978 Tel Aviv, Israel; [Singh, Manu Smriti] Ctr Nanosci &amp; Nanotechnol, IL-69978 Tel Aviv, Israel; [Singh, Manu Smriti] Tel Aviv Univ, IL-69978 Tel Aviv, Israel; [Singh, Manu Smriti] Tel Aviv Univ, Canc Biol Res Ctr, IL-69978 Tel Aviv, Israel; [Singh, Manu Smriti] Bennett Univ, Sch Engn &amp; Appl Sci, Dept Biotechnol, Tech Zone 2, Greater Noida 201310, India</t>
  </si>
  <si>
    <t>Tel Aviv University; Sackler Faculty of Medicine; Tel Aviv Sourasky Medical Center; Tel Aviv University; Sackler Faculty of Medicine; Tel Aviv University; Tel Aviv University; Tel Aviv University; Tel Aviv University; Tel Aviv University</t>
  </si>
  <si>
    <t>Tsuriel, S (corresponding author), Tel Aviv Sourasky Med Ctr, Dept Pathol, IL-62431 Tel Aviv, Israel.</t>
  </si>
  <si>
    <t>drkavitathakur20@gmail.com; Manu.Singh@bennettedu.in; sarafe@tivmc.gov.il; victoriaha@tivmc.gov.il; dovh@tlvmc.gov.il; shlomots@tivmc.gov.il</t>
  </si>
  <si>
    <t>Hershkovitz, Dov/0000-0002-7954-4486</t>
  </si>
  <si>
    <t>10.3390/genes12081171</t>
  </si>
  <si>
    <t>WOS:000689122500001</t>
  </si>
  <si>
    <t>Weiss, C; Kornicka-Grabowska, K; Mularczyk, M; Siwinska, N; Marycz, K</t>
  </si>
  <si>
    <t>Weiss, C.; Kornicka-Grabowska, K.; Mularczyk, M.; Siwinska, N.; Marycz, K.</t>
  </si>
  <si>
    <t>Extracellular Microvesicles (MV's) Isolated from 5-Azacytidine-and-Resveratrol-Treated Cells Improve Viability and Ameliorate Endoplasmic Reticulum Stress in Metabolic Syndrome Derived Mesenchymal Stem Cells</t>
  </si>
  <si>
    <t>STEM CELL REVIEWS AND REPORTS</t>
  </si>
  <si>
    <t>Stem cells; Extracellular vesicles; Rejuvenation</t>
  </si>
  <si>
    <t>AUTOPHAGY; DEATH; REGENERATION; MECHANISM; PROTECT; TISSUE</t>
  </si>
  <si>
    <t>Extracellular vesicles (EVs), a spherical membrane fragments including exosomes, are released from several cell types, including mesenchymal stromal cells (MSCs), constitutively or under stimulation. As MVs cargo include DNA, RNA, miRNA, lipids and proteins their have gain special attention in the field of regenerative medicine. Depending on the type of transferred molecules, MVs may exert wide range of biological effects in recipient cells including pro-inflammatory and anti-apoptotic action. In presented paper, we isolated MVs form adipose derived mesenchymal stem cells (ASC) which underwent stimulation with 5-azacytydine and resveratrol (AZA/RES) in order to improve their therapeutic potential. Then, isolated MVs were applied to ASC with impaired cytophysiological properties, isolated from equine metabolic syndrome diagnosed animals. Using RT-PCR, immunofluorescence, ELISA, confocal microscopy and western blot, we have evaluated the effects of MVs on recipient cells. We have found, that MVs derived from AZA/RES treated ASC ameliorates apoptosis, senescence and endoplasmic reticulum (ER) stress in deteriorated cells, restoring their proper functions. The work indicates, that cells treated with AZA/RES through their paracrine action can rejuvenate recipient cells. However, further research needs to be performed in order to fully understand the molecular mechanisms of these bioactive factors action.</t>
  </si>
  <si>
    <t>[Weiss, C.] PferdePraxis Dr Med Vet Daniel Weiss, Postmatte 14, CH-8807 Freienbach, Switzerland; [Kornicka-Grabowska, K.; Mularczyk, M.; Marycz, K.] Wroclaw Univ Environm &amp; Life Sci, Dept Expt Biol, Norwida 27B St,A7 Bldg, PL-50375 Wroclaw, Poland; [Kornicka-Grabowska, K.; Mularczyk, M.; Marycz, K.] Int Inst Translat Med, Jesionowa 11, PL-55114 Wisznia Mala, Poland; [Siwinska, N.] Wroclaw Univ Environm &amp; Life Sci, Fac Vet Med, Dept Internal Med &amp; Clin Dis Horses Dogs &amp; Cats, Pl Grunwaldzki 47, PL-50366 Wroclaw, Poland; [Marycz, K.] Justus Liebig Univ, Fac Vet Med, Equine Clin Equine Surg, D-35392 Giessen, Germany</t>
  </si>
  <si>
    <t>Wroclaw University of Environmental &amp; Life Sciences; Wroclaw University of Environmental &amp; Life Sciences; Justus Liebig University Giessen</t>
  </si>
  <si>
    <t>Marycz, K (corresponding author), Wroclaw Univ Environm &amp; Life Sci, Dept Expt Biol, Norwida 27B St,A7 Bldg, PL-50375 Wroclaw, Poland.;Marycz, K (corresponding author), Int Inst Translat Med, Jesionowa 11, PL-55114 Wisznia Mala, Poland.;Marycz, K (corresponding author), Justus Liebig Univ, Fac Vet Med, Equine Clin Equine Surg, D-35392 Giessen, Germany.</t>
  </si>
  <si>
    <t>krzysztofmarycz@interia.pl</t>
  </si>
  <si>
    <t>2629-3269</t>
  </si>
  <si>
    <t>2629-3277</t>
  </si>
  <si>
    <t>10.1007/s12015-020-10035-4</t>
  </si>
  <si>
    <t>Cell &amp; Tissue Engineering; Cell Biology; Medicine, Research &amp; Experimental</t>
  </si>
  <si>
    <t>Cell Biology; Research &amp; Experimental Medicine</t>
  </si>
  <si>
    <t>WOS:000565828800002</t>
  </si>
  <si>
    <t>Carvalho, AS; Baeta, H; Silva, BC; Moraes, MCS; Bodo, C; Beck, HC; Rodriguez, MS; Saraswat, M; Pandey, A; Matthiesen, R</t>
  </si>
  <si>
    <t>Carvalho, Ana Sofia; Baeta, Henrique; Silva, Bruno Costa; Strano Moraes, Maria Carolina; Bodo, Cristian; Beck, Hans Christian; Rodriguez, Manuel S.; Saraswat, Mayank; Pandey, Akhilesh; Matthiesen, Rune</t>
  </si>
  <si>
    <t>Extra-cellular vesicles carry proteome of cancer hallmarks</t>
  </si>
  <si>
    <t>Cancer exosomes; Cancer extracellular microvesicles; Proteomics; Biomarkers; Drug resistance; Review</t>
  </si>
  <si>
    <t>BREAST-CANCER; RECEPTOR; EXOSOMES; SECRETION; CARCINOMA; INVASION; PROLIFERATION; GROWTH; CELLS</t>
  </si>
  <si>
    <t>Through lateral transfer, extra-cellular vesicles (EVs) transport their DNA, miRNA, mRNA and proteins such as enzymes mediating drug resistance, transporters as well as growth factors to neighboring cells. By virtue of this horizontal transfer, EVs potentially regulate cell growth, migration, angiogenesis and metastasis and increase tissue permeability in cancer. Furthermore, EVs regulate immune factors and allow the tumor cells to evade immune recognition and cell death. To explore if the proteomes of exosomes support functional transfer of cancer hallmarks, in this meta-analysis, we compared EVs and whole cell proteomes from the NCI-60 human tumor cell line panel. We observed a subgroup of proteins in each cancer hallmark signature as highly abundant and consistently expressed in EVs from all cell lines. Among these were oncoproteins frequently targeted in cancer therapies whose presence on EVs could potentially render therapies less effective by serving as decoys.</t>
  </si>
  <si>
    <t>[Carvalho, Ana Sofia; Baeta, Henrique; Matthiesen, Rune] Univ NOVA Lisboa, Fac Ciencias Med, Chron Dis Res Ctr, NOVA Med Sch,CEDOC,Computat &amp; Expt Biol Grp, Campo Martires Patria 130, P-1169056 Lisbon, Portugal; [Silva, Bruno Costa; Strano Moraes, Maria Carolina; Bodo, Cristian] Champalimaud Ctr Unknown, Champalimaud Res, Syst Oncol Grp, Av Brasilia, P-1400038 Lisbon, Portugal; [Beck, Hans Christian] Odense Univ Hosp, Dept Clin Biochem &amp; Pharmacol, Ctr Clin Prote, Sdr Blvd 29, DK-5000 Odense C, Denmark; [Rodriguez, Manuel S.] ITAV IPBS Ups CNRS USR3505, 1 Pl Pierre Potier,Oncopole Entree B, F-31106 Toulouse, France; [Saraswat, Mayank; Pandey, Akhilesh] Natl Inst Mental Hlth &amp; Neurosci NIMHANS, Ctr Mol Med, Bangalore 560029, Karnataka, India; [Saraswat, Mayank; Pandey, Akhilesh] Manipal Acad Higher Educ MAHE, Manipal 576104, Karnataka, India; [Saraswat, Mayank; Pandey, Akhilesh] ITPL, Inst Bioinformat, Discoverer Bldg, Bangalore 560066, Karnataka, India; [Saraswat, Mayank; Pandey, Akhilesh] Mayo Clin, Dept Lab Med &amp; Pathol, Rochester, MN 55905 USA</t>
  </si>
  <si>
    <t>Universidade Nova de Lisboa; Fundacao Champalimaud; University of Southern Denmark; Odense University Hospital; National Institute of Mental Health &amp; Neurosciences - India; Manipal Academy of Higher Education (MAHE); Mayo Clinic</t>
  </si>
  <si>
    <t>Matthiesen, R (corresponding author), Univ NOVA Lisboa, Fac Ciencias Med, Chron Dis Res Ctr, NOVA Med Sch,CEDOC,Computat &amp; Expt Biol Grp, Campo Martires Patria 130, P-1169056 Lisbon, Portugal.</t>
  </si>
  <si>
    <t>rne.matthiesen@nms.unl.pt</t>
  </si>
  <si>
    <t>Saraswat, Mayank/F-2985-2015; Pandey, Akhilesh/CAI-9458-2022; Beck, Hans Christian/AAK-9147-2021; Costa-Silva, Bruno/AAY-2266-2020; Moraes, Maria Carolina Strano/AAS-7557-2021</t>
  </si>
  <si>
    <t>Saraswat, Mayank/0000-0002-5021-8150; Pandey, Akhilesh/0000-0001-9943-6127; Moraes, Maria Carolina Strano/0000-0003-4032-5101; Beck, Hans Christian/0000-0002-7763-3637; Matthiesen, Rune/0000-0002-6353-2616; Costa-Silva, Bruno/0000-0002-5932-6211; Carvalho, Ana Sofia/0000-0003-0657-1907; Baeta, Henrique/0000-0001-8481-9416</t>
  </si>
  <si>
    <t>PMID 31585894</t>
  </si>
  <si>
    <t>10.2741/4811</t>
  </si>
  <si>
    <t>WOS:000563768500001</t>
  </si>
  <si>
    <t>Sun, L; Du, MJ; Kohli, M; Huang, CC; Chen, XX; Xu, M; Shen, HB; Wang, SK; Wang, L</t>
  </si>
  <si>
    <t>Sun, Li; Du, Meijun; Kohli, Manish; Huang, Chiang-Ching; Chen, Xiaoxiang; Xu, Mu; Shen, Hongbing; Wang, Shukui; Wang, Liang</t>
  </si>
  <si>
    <t>An Improved Detection of Circulating Tumor DNA in Extracellular Vesicles-Depleted Plasma</t>
  </si>
  <si>
    <t>ctDNA; liquid biopsy; plasma; exosome; copy number variation</t>
  </si>
  <si>
    <t>CELL-FREE DNA; LIQUID BIOPSIES; LUNG-CANCER; DISEASE</t>
  </si>
  <si>
    <t>Circulating tumor DNA (ctDNA) in plasma has been used as a biomarker for cancer detection and outcome prediction. In this study, we collected the five precipitates (fractions 1-5) and leftover supernatant plasma component (fraction 6) by a sequential centrifugation in plasma samples from nine small cell lung cancer (SCLC) patients. The fractions 3, 5 and 6 were large vesicles, exosomes and extracellular vesicles (EVs)-depleted plasma, respectively. Fragment size analysis using DNAs from these fractions showed dramatical differences from a peak of 7-10 kb in fraction 1 to 140-160 bp in fraction 6. To determine ctDNA content, we performed whole genome sequencing and applied copy number-based algorithm to calculate ctDNA percentage. This analysis showed the highest ctDNA content in EV-depleted plasma (average = 27.22%), followed by exosomes (average = 22.09%) and large vesicles (average = 19.70%). Comparatively, whole plasma, which has been used in most ctDNA studies, showed an average of 23.84% ctDNA content in the same group of patients. To further demonstrate higher ctDNA content in fraction 6, we performed mutational analysis in the plasma samples from 22 non-small cell lung cancer (NSCLC) patients with known EGFR mutations. This analysis confirmed higher mutation detection rates in fraction 6 (14/22) than whole plasma (10/22). This study provides a new insight into potential application of using fractionated plasma for an improved ctDNA detection.</t>
  </si>
  <si>
    <t>[Sun, Li] Nanjing Med Univ, Affiliated Hosp 2, Lab Med Ctr, Nanjing, Peoples R China; [Sun, Li; Chen, Xiaoxiang; Xu, Mu; Wang, Shukui] Nanjing Med Univ, Nanjing Hosp 1, Dept Gen Clin Res Ctr, Nanjing, Peoples R China; [Sun, Li; Du, Meijun; Wang, Liang] Med Coll Wisconsin, Dept Pathol, Milwaukee, WI USA; [Sun, Li; Shen, Hongbing] Nanjing Med Univ, Sch Publ Hlth, Collaborat Innovat Ctr Canc Med, Dept Epidemiol &amp; Biostatist,Jiangsu Key lab Canc, Nanjing, Peoples R China; [Kohli, Manish] Univ Utah, Huntsman Canc Inst, Div Oncol, Salt Lake City, UT USA; [Huang, Chiang-Ching] Univ Wisconsin, Zilber Sch Publ Hlth, Milwaukee, WI USA; [Wang, Liang] H Lee Moffitt Canc Ctr &amp; Res Inst, Dept Tumor Biol, Tampa, FL USA</t>
  </si>
  <si>
    <t>Nanjing Medical University; Nanjing Medical University; Medical College of Wisconsin; Nanjing Medical University; Huntsman Cancer Institute; Utah System of Higher Education; University of Utah; University of Wisconsin System; University of Wisconsin Milwaukee; H Lee Moffitt Cancer Center &amp; Research Institute</t>
  </si>
  <si>
    <t>Wang, SK (corresponding author), Nanjing Med Univ, Nanjing Hosp 1, Dept Gen Clin Res Ctr, Nanjing, Peoples R China.;Wang, L (corresponding author), Med Coll Wisconsin, Dept Pathol, Milwaukee, WI USA.;Wang, L (corresponding author), H Lee Moffitt Canc Ctr &amp; Res Inst, Dept Tumor Biol, Tampa, FL USA.</t>
  </si>
  <si>
    <t>sk_wang@njmu.edu.cn; liang.wang@moffitt.org</t>
  </si>
  <si>
    <t>Shen, Hongbing/0000-0002-2581-5906</t>
  </si>
  <si>
    <t>JUN 11</t>
  </si>
  <si>
    <t>10.3389/fonc.2021.691798</t>
  </si>
  <si>
    <t>WOS:000665794400001</t>
  </si>
  <si>
    <t>Lin, XZ; Wei, FX; Major, P; Al-Nedawi, K; Al Saleh, HA; Tang, DM</t>
  </si>
  <si>
    <t>Lin, Xiaozeng; Wei, Fengxiang; Major, Pierre; Al-Nedawi, Khalid; Al Saleh, Hassan A.; Tang, Damu</t>
  </si>
  <si>
    <t>Microvesicles Contribute to the Bystander Effect of DNA Damage</t>
  </si>
  <si>
    <t>DNA damage response; microvesicles; gamma H2AX; ATM; ATR</t>
  </si>
  <si>
    <t>CHILDHOOD-CANCER; KINASES MODULATE; CERVICAL-CANCER; CELLS; REPAIR; ATR; RADIOTHERAPY; ACTIVATION; BREAST; PLASMA</t>
  </si>
  <si>
    <t>Genotoxic treatments elicit DNA damage response (DDR) not only in cells that are directly exposed but also in cells that are not in the field of treatment (bystander cells), a phenomenon that is commonly referred to as the bystander effect (BE). However, mechanisms underlying the BE remain elusive. We report here that etoposide and ultraviolet (UV) exposure stimulate the production of microvesicles (MVs) in DU145 prostate cancer cells. MVs isolated from UV-treated DU145 and A431 epidermoid carcinoma cells as well as etoposide-treated DU145 cells induced phosphorylation of ataxia-telangiectasia mutated (ATM) at serine 1981 (indicative of ATM activation) and phosphorylation of histone H2AX at serine 139 (gamma H2AX) in naive DU145 cells. Importantly, neutralization of MVs derived from UV-treated cells with annexin V significantly reduced the MV-associated BE activities. Etoposide and UV are known to induce DDR primarily through the ATM and ATM-and Rad3-related (ATR) pathways, respectively. In this regard, MV is likely a common source for the DNA damage-induced bystander effect. However, pre-treatment of DU145 naive cells with an ATM (KU55933) inhibitor does not affect the BE elicited by MVs isolated from etoposide-treated cells, indicating that the BE is induced upstream of ATM actions. Taken together, we provide evidence supporting that MVs are a source of the DNA damage-induced bystander effect.</t>
  </si>
  <si>
    <t>[Lin, Xiaozeng; Al-Nedawi, Khalid; Al Saleh, Hassan A.; Tang, Damu] McMaster Univ, Dept Med, Div Nephrol, Hamilton, ON L8N 4A6, Canada; [Lin, Xiaozeng; Al-Nedawi, Khalid; Al Saleh, Hassan A.; Tang, Damu] Father Sean OSullivan Res Inst, Hamilton, ON L8N 4A6, Canada; [Lin, Xiaozeng; Al-Nedawi, Khalid; Al Saleh, Hassan A.; Tang, Damu] St Josephs Hosp, Hamilton Ctr Kidney Res, Hamilton, ON L8N 4A6, Canada; [Wei, Fengxiang] Longgang Dist Matern &amp; Child Healthcare Hosp, Genet Lab, Shenzhen 518116, Guangdong, Peoples R China; [Major, Pierre] McMaster Univ, Dept Oncol, Hamilton, ON L8V 5C2, Canada</t>
  </si>
  <si>
    <t>McMaster University; McGill University; McMaster University; McMaster University</t>
  </si>
  <si>
    <t>Tang, DM (corresponding author), McMaster Univ, Dept Med, Div Nephrol, Hamilton, ON L8N 4A6, Canada.;Tang, DM (corresponding author), Father Sean OSullivan Res Inst, Hamilton, ON L8N 4A6, Canada.;Tang, DM (corresponding author), St Josephs Hosp, Hamilton Ctr Kidney Res, Hamilton, ON L8N 4A6, Canada.</t>
  </si>
  <si>
    <t>linx36@mcmaster.ca; haowei727499@163.com; pierrepaulmajor@gmail.com; alnedaw@mcmaster.ca; alsaleha@mcmaster.ca; damut@mcmaster.ca</t>
  </si>
  <si>
    <t>Tang, Damu/AAQ-1786-2021</t>
  </si>
  <si>
    <t>Tang, Damu/0000-0002-3282-9521</t>
  </si>
  <si>
    <t>10.3390/ijms18040788</t>
  </si>
  <si>
    <t>WOS:000402639400112</t>
  </si>
  <si>
    <t>DeLaCruz, F</t>
  </si>
  <si>
    <t>Methods to Identify and Analyze Vesicle-Protected DNA Transfer</t>
  </si>
  <si>
    <t>HORIZONTAL GENE TRANSFER: METHODS AND PROTOCOLS</t>
  </si>
  <si>
    <t>DNase-resistant; Extracellular vesicles; Horizontal gene transfer; Thermus</t>
  </si>
  <si>
    <t>OUTER-MEMBRANE VESICLES; GENE-TRANSFER; EXTRACELLULAR DNA</t>
  </si>
  <si>
    <t>Conjugation, transformation, and transduction constitute the three classical mechanisms involved in horizontal gene transfer (HGT) among prokaryotes. In addition, alternative HGT mechanisms exist in groups of organisms. Among them, the use of DNA-containing membrane vesicles as shuttle elements for HGT has been described for a number of microorganisms, including both thermophiles and mesophiles. Here we describe the methods followed to detect, purify, and analyze these vesicles.</t>
  </si>
  <si>
    <t>[Blesa, Alba; Berenguer, Jose] Univ Autonoma Madrid, Consejo Super Invest Cient, Ctr Biol Mol Severo Ochoa, Madrid, Spain; [Blesa, Alba] Univ Francisco de Vitoria, Fac Expt Sci, Dept Biotechnol, Madrid, Spain</t>
  </si>
  <si>
    <t>Autonomous University of Madrid; Consejo Superior de Investigaciones Cientificas (CSIC); CSIC - Centro de Biologia Molecular Severo Ochoa (CBM); Universidad Francisco de Vitoria</t>
  </si>
  <si>
    <t>Blesa, A (corresponding author), Univ Autonoma Madrid, Consejo Super Invest Cient, Ctr Biol Mol Severo Ochoa, Madrid, Spain.;Blesa, A (corresponding author), Univ Francisco de Vitoria, Fac Expt Sci, Dept Biotechnol, Madrid, Spain.</t>
  </si>
  <si>
    <t>Berenguer, Jose/0000-0002-9689-6272</t>
  </si>
  <si>
    <t>978-1-4939-9877-7; 978-1-4939-9876-0</t>
  </si>
  <si>
    <t>10.1007/978-1-4939-9877-7_15</t>
  </si>
  <si>
    <t>10.1007/978-1-4939-9877-7</t>
  </si>
  <si>
    <t>Biochemical Research Methods; Biochemistry &amp; Molecular Biology; Biotechnology &amp; Applied Microbiology</t>
  </si>
  <si>
    <t>Biochemistry &amp; Molecular Biology; Biotechnology &amp; Applied Microbiology</t>
  </si>
  <si>
    <t>WOS:000555507400016</t>
  </si>
  <si>
    <t>Vaillancourt, M; Hubert, A; Subra, C; Boucher, J; Bazie, WW; Vitry, J; Berrazouane, S; Routy, JP; Trottier, S; Tremblay, C; Jenabian, MA; Benmoussa, A; Provost, P; Tessier, PA; Gilbert, C</t>
  </si>
  <si>
    <t>Vaillancourt, Myriam; Hubert, Audrey; Subra, Caroline; Boucher, Julien; Bazie, Wilfried Wenceslas; Vitry, Julien; Berrazouane, Sofiane; Routy, Jean-Pierre; Trottier, Sylvie; Tremblay, Cecile; Jenabian, Mohammad-Ali; Benmoussa, Abderrahim; Provost, Patrick; Tessier, Philippe A.; Gilbert, Caroline</t>
  </si>
  <si>
    <t>Velocity Gradient Separation Reveals a New Extracellular Vesicle Population Enriched in miR-155 and Mitochondrial DNA</t>
  </si>
  <si>
    <t>PATHOGENS</t>
  </si>
  <si>
    <t>biomarker; calprotectin; extracellular vesicles; HIV; miR-92; miR-155; miR-223; mtDNA; velocity gradient; virions</t>
  </si>
  <si>
    <t>EXOSOME ISOLATION; HIV-1 INFECTION; T-LYMPHOCYTES; PLASMA; CELLS; MICRORNAS; REPLICATION; ASSOCIATION; MECHANISM; PROTEINS</t>
  </si>
  <si>
    <t>Extracellular vesicles (EVs) and their contents (proteins, lipids, messenger RNA, microRNA, and DNA) are viewed as intercellular signals, cell-transforming agents, and shelters for viruses that allow both diagnostic and therapeutic interventions. EVs circulating in the blood of individuals infected with human immunodeficiency virus (HIV-1) may provide insights into pathogenesis, inflammation, and disease progression. However, distinguishing plasma membrane EVs from exosomes, exomeres, apoptotic bodies, virions, and contaminating proteins remains challenging. We aimed at comparing sucrose and iodixanol density and velocity gradients along with commercial kits as a means of separating EVs from HIV particles and contaminating protein like calprotectin; and thereby evaluating the suitability of current plasma EVs analysis techniques for identifying new biomarkers of HIV-1 immune activation. Multiple analysis have been performed on HIV-1 infected cell lines, plasma from HIV-1 patients, or plasma from HIV-negative individuals spiked with HIV-1. Commercial kits, the differential centrifugation and density or velocity gradients to precipitate and separate HIV, EVs, and proteins such as calprotectin, have been used. EVs, virions, and contaminating proteins were characterized using Western blot, ELISA, RT-PCR, hydrodynamic size measurement, and enzymatic assay. Conversely to iodixanol density or velocity gradient, protein and virions co-sedimented in the same fractions of the sucrose density gradient than AChE-positive EVs. Iodixanol velocity gradient provided the optimal separation of EVs from viruses and free proteins in culture supernatants and plasma samples from a person living with HIV (PLWH) or a control and revealed a new population of large EVs enriched in microRNA miR-155 and mitochondrial DNA. Although EVs and their contents provide helpful information about several key events in HIV-1 pathogenesis, their purification and extensive characterization by velocity gradient must be investigated thoroughly before further use as biomarkers. By revealing a new population of EVs enriched in miR-155 and mitochondrial DNA, this study paves a way to increase our understanding of HIV-1 pathogenesis.</t>
  </si>
  <si>
    <t>[Vaillancourt, Myriam; Hubert, Audrey; Subra, Caroline; Boucher, Julien; Bazie, Wilfried Wenceslas; Vitry, Julien; Berrazouane, Sofiane; Trottier, Sylvie; Benmoussa, Abderrahim; Provost, Patrick; Tessier, Philippe A.; Gilbert, Caroline] Ctr Rech CHU Quebec Univ Laval, T1-49,2705 Blvd Laurier, Quebec City, PQ G1V 4G2, Canada; [Subra, Caroline] Henry M Jackson Fdn Adv Mil Med, Bethesda, MD 20817 USA; [Subra, Caroline] Walter Reed Army Inst Res, US Mil HIV Res Program, Silver Spring, MD 20910 USA; [Bazie, Wilfried Wenceslas] Inst Natl Sante Publ, Ctr Muraz, Programme Rech Malad Infect, 01 BP 390, Bobo Dioulasso, Burkina Faso; [Routy, Jean-Pierre] McGill Univ Hlth Ctr, Chron Viral Illness Serv, Montreal, PQ H4A 3J1, Canada; [Routy, Jean-Pierre] McGill Univ Hlth Ctr, Div Hematol, Montreal, PQ H4A 3J1, Canada; [Routy, Jean-Pierre] McGill Univ Hlth Ctr, Res Inst, Infect Dis &amp; Immun Global Hlth Program, Montreal, PQ H4A 3J1, Canada; [Trottier, Sylvie; Provost, Patrick; Tessier, Philippe A.; Gilbert, Caroline] Univ Laval, Ctr Rech CHU Quebec, Dept Microbiol Infectiol &amp; Immunol, Fac Med, T1-49,2705 Blvd Laurier, Quebec City, PQ G1V 4G2, Canada; [Tremblay, Cecile] Ctr Hosp Univ Montreal, Ctr Rech, Montreal, PQ H3C 3J7, Canada; [Tremblay, Cecile] Univ Montreal, Fac Med, Dept Microbiol Infectiol &amp; Immunol, Montreal, PQ H3T 1J4, Canada; [Jenabian, Mohammad-Ali] Univ Quebec Montreal UQAM, Dept Sci Biol, Montreal, PQ H2L 2C4, Canada; [Jenabian, Mohammad-Ali] Univ Quebec Montreal UQAM, Ctr Rech CERMO FC, Montreal, PQ H2L 2C4, Canada; [Benmoussa, Abderrahim] CHU St Justine Univ Montreal, Dept Nutr, Montreal, PQ H3T 1J4, Canada</t>
  </si>
  <si>
    <t>Henry M. Jackson Foundation for the Advancement of Military Medicine, Inc; United States Department of Defense; United States Army; Walter Reed Army Institute of Research (WRAIR); Centre Muraz; McGill University; McGill University; McGill University; Laval University; Universite de Montreal; Universite de Montreal; University of Quebec; University of Quebec Montreal; University of Quebec; University of Quebec Montreal; Universite de Montreal; Centre Hospitalier Universitaire Sainte-Justine</t>
  </si>
  <si>
    <t>Gilbert, C (corresponding author), Ctr Rech CHU Quebec Univ Laval, T1-49,2705 Blvd Laurier, Quebec City, PQ G1V 4G2, Canada.;Gilbert, C (corresponding author), Univ Laval, Ctr Rech CHU Quebec, Dept Microbiol Infectiol &amp; Immunol, Fac Med, T1-49,2705 Blvd Laurier, Quebec City, PQ G1V 4G2, Canada.</t>
  </si>
  <si>
    <t>myriam.vaillancourt@crchudequebec.ulaval.ca; audrey_hubert15@hotmail.com; caro_subra@yahoo.fr; julien.boucher.2@ulaval.ca; wilfried-wenceslas.bazie.1@ulaval.ca; Julien.Vitry@crchudequebec.ulaval.ca; Sofiane.Berrazouane@crchudequebec.ulaval.ca; jean-pierre.routy@mcgill.ca; sylvie.trottier@crchudequebec.ulaval.ca; c.tremblay@umontreal.ca; jenabian.mohammad-ali@uqam.ca; rahimbenmoussa@gmail.com; patrick.provost@crchudequebec.ulaval.ca; philippe.tessier@crchudequebec.ulaval.ca; caroline.gilbert@crchudequebec.ulaval.ca</t>
  </si>
  <si>
    <t>Provost, Patrick/G-2786-2010; Benmoussa, Abderrahim/AAR-1642-2021</t>
  </si>
  <si>
    <t>Provost, Patrick/0000-0002-6099-6562; Gilbert, Caroline/0000-0003-2722-1180; Vitry, Julien/0000-0001-8107-9336; Routy, Jean-Pierre/0000-0001-9897-7589; Bazie, Wilfried Wenceslas/0000-0002-7660-9280; Benmoussa, Abderrahim/0000-0002-9504-3120; Trottier, Sylvie/0000-0002-3986-5146</t>
  </si>
  <si>
    <t>2076-0817</t>
  </si>
  <si>
    <t>10.3390/pathogens10050526</t>
  </si>
  <si>
    <t>WOS:000654411000001</t>
  </si>
  <si>
    <t>Safdar, A; Tarnopolsky, MA</t>
  </si>
  <si>
    <t>Safdar, Adeel; Tarnopolsky, Mark A.</t>
  </si>
  <si>
    <t>Exosomes as Mediators of the Systemic Adaptations to Endurance Exercise</t>
  </si>
  <si>
    <t>COLD SPRING HARBOR PERSPECTIVES IN MEDICINE</t>
  </si>
  <si>
    <t>LIFE-STYLE INTERVENTION; EXTRACELLULAR VESICLES EXOSOMES; VIGOROUS PHYSICAL-ACTIVITY; MUSCLE-SPECIFIC MICRORNAS; CELL-CELL COMMUNICATION; TUMOR-DERIVED EXOSOMES; QUALITY-OF-LIFE; SKELETAL-MUSCLE; MITOCHONDRIAL BIOGENESIS; INSULIN-RESISTANCE</t>
  </si>
  <si>
    <t>Habitual endurance exercise training is associated with multisystemic metabolic adaptations that lower the risk of inactivity-associated disorders such as obesity and type 2 diabetes mellitus (T2DM). Identification of complex systemic signaling networks responsible for these benefits are of great interest because of their therapeutic potential in metabolic diseases; however, specific signals that modulate the multisystemic benefits of exercise in multiple tissues and organs are only recently being discovered. Accumulated evidence suggests that muscle and other tissues have an endocrine function and release peptides and nucleic acids into the circulation in response to acute endurance exercise to mediate the multisystemic adaptations. Factors released from skeletal muscle have been termed myokines and we propose that the total of all factors released in response to endurance exercise (including peptides, nucleic acids, and metabolites) be termed, exerkines. We propose that many of the exerkines are released within extracellular vesicles called exosomes, which regulate peripheral organ cross talk. Exosomes (30-140 nm) and larger microvesicles [MVs] (100-1000 nm) are subcategories of extracellular vesicles that are released into the circulation. Exosomes contain peptides and several nucleic acids (microRNA [miRNA], messenger RNA [mRNA], mitochondrial DNA [mtDNA]) and are involved in intercellular/tissue exchange of their contents. An acute bout of endurance exercise increases circulating exosomes that are hypothesized to mediate organ cross talk to promote systemic adaptation to endurance exercise. Further support for the role of exosomes (and possibly MVs) in mediating the systemic benefits of exercise comes from the fact that the majority of the previously reported myokines/exerkines are found in extracellular vesicles databases (Vesiclepedia and ExoCarta). We propose that exosomes isolated from athletes following exercise or exosomes bioengineered to incorporate one or many of known exerkines will be therapeutically useful in the treatment of obesity, T2DM, and other aging-associated metabolic disorders.</t>
  </si>
  <si>
    <t>[Safdar, Adeel; Tarnopolsky, Mark A.] McMaster Univ, Dept Pediat, Hamilton, ON L8N 3Z5, Canada; [Tarnopolsky, Mark A.] McMaster Univ, Dept Pediat &amp; Med, Hamilton, ON L8N 3Z5, Canada</t>
  </si>
  <si>
    <t>McMaster University; McMaster University</t>
  </si>
  <si>
    <t>Tarnopolsky, MA (corresponding author), McMaster Univ, Dept Pediat, Hamilton, ON L8N 3Z5, Canada.;Tarnopolsky, MA (corresponding author), McMaster Univ, Dept Pediat &amp; Med, Hamilton, ON L8N 3Z5, Canada.</t>
  </si>
  <si>
    <t>tarnopol@mcmaster.ca</t>
  </si>
  <si>
    <t>Safdar, Adeel/0000-0003-2469-0467</t>
  </si>
  <si>
    <t>2157-1422</t>
  </si>
  <si>
    <t>a029827</t>
  </si>
  <si>
    <t>10.1101/cshperspect.a029827</t>
  </si>
  <si>
    <t>WOS:000429144400005</t>
  </si>
  <si>
    <t>Tsilioni, I; Theoharides, TC</t>
  </si>
  <si>
    <t>Tsilioni, Irene; Theoharides, Theoharis C.</t>
  </si>
  <si>
    <t>Extracellular vesicles are increased in the serum of children with autism spectrum disorder, contain mitochondrial DNA, and stimulate human microglia to secrete IL-1 beta</t>
  </si>
  <si>
    <t>JOURNAL OF NEUROINFLAMMATION</t>
  </si>
  <si>
    <t>Autism spectrum disorder; Brain; Exosomes; Extracellular vesicles; Inflammation; IL-1 beta; Microglia; Mitochondrial DNA</t>
  </si>
  <si>
    <t>MAST-CELLS; EXOSOMES; BRAIN; NEUROINFLAMMATION; MEDIATORS; COMMUNICATION; NEUROBIOLOGY; ACTIVATION; INDUCTION; RESPONSES</t>
  </si>
  <si>
    <t>Background: Autism spectrum disorder (ASD) has been associated with brain inflammation as indicated by the activation of microglia, but the triggers are not known. Extracellular vesicles (EVs) are secreted from many cells in the blood and other biological fluids and carry molecules that could influence the function of target cells. EVs have been recently implicated in several diseases, but their presence or function in ASD has not been studied. Methods: EVs were isolated from the serum of children with ASD (n = 20, 16 males and 4 females, 4-12 years old) and unrelated age and sex-matched normotypic controls (n = 8, 6 males and 2 females, 4-12 years old) using the exoEasy Qiagen kit. EVs were characterized by determining the CD9 and CD81 membrane-associated markers with Western blot analysis, while their morphology and size were assessed by transmission electron microscopy (TEM). Human microglia SV40 were cultured for 24 h and then stimulated with EVs (1 or 5 mu g/mL), quantitated as total EV-associated protein, for 24 or 48 h. IL-1 beta secretion was measured by ELISA. The results were analyzed using the Mann-Whitney U non-parametric test, and all statistical analyses were performed using Graph Pad Prism 5. Results: EVs were isolated and shown to be spherical structures (about 100 nm) surrounded by a membrane. Total EV-associated protein was found to be significantly increased (p = 0.02) in patients as compared to normotypic controls. EVs (5 mu g/mL) isolated from the serum of patients with ASD stimulated cultured human microglia to secrete significantly more of the pro-inflammatory cytokine interleukin IL-1 beta (163.5 +/- 13.34 pg/mL) as compared to the control (117.7 +/- 3.96 pg/mL, p &lt; 0.0001). The amount of mitochondrial DNA (mtDNA7S) contained in EVs from children with ASD was found to be increased (p = 0.046) compared to the normotypic controls. Conclusions: These findings provide novel information that may help explain what triggers inflammation in the brain of children with ASD and could lead to novel effective treatments.</t>
  </si>
  <si>
    <t>[Tsilioni, Irene; Theoharides, Theoharis C.] Tufts Univ, Dept Immunol, Sch Med, 136 Harrison Ave,Suite J304, Boston, MA 02111 USA; [Theoharides, Theoharis C.] Tufts Univ, Sackler Sch Grad Biomed Sci, Tufts Med Ctr, Sch Med, Boston, MA 02111 USA; [Theoharides, Theoharis C.] Tufts Univ, Sch Med, Dept Internal Med, Tufts Med Ctr, Boston, MA 02111 USA; [Theoharides, Theoharis C.] Tufts Univ, Sch Med, Dept Psychiat, Tufts Med Ctr, Boston, MA 02111 USA</t>
  </si>
  <si>
    <t>Tufts University; Tufts Medical Center; Tufts University; Tufts Medical Center; Tufts University; Tufts Medical Center; Tufts University</t>
  </si>
  <si>
    <t>Theoharides, TC (corresponding author), Tufts Univ, Dept Immunol, Sch Med, 136 Harrison Ave,Suite J304, Boston, MA 02111 USA.;Theoharides, TC (corresponding author), Tufts Univ, Sackler Sch Grad Biomed Sci, Tufts Med Ctr, Sch Med, Boston, MA 02111 USA.;Theoharides, TC (corresponding author), Tufts Univ, Sch Med, Dept Internal Med, Tufts Med Ctr, Boston, MA 02111 USA.;Theoharides, TC (corresponding author), Tufts Univ, Sch Med, Dept Psychiat, Tufts Med Ctr, Boston, MA 02111 USA.</t>
  </si>
  <si>
    <t>theoharis.theoharides@tufts.edu</t>
  </si>
  <si>
    <t>1742-2094</t>
  </si>
  <si>
    <t>AUG 27</t>
  </si>
  <si>
    <t>10.1186/s12974-018-1275-5</t>
  </si>
  <si>
    <t>Immunology; Neurosciences</t>
  </si>
  <si>
    <t>Science Citation Index Expanded (SCI-EXPANDED); Social Science Citation Index (SSCI)</t>
  </si>
  <si>
    <t>Immunology; Neurosciences &amp; Neurology</t>
  </si>
  <si>
    <t>WOS:000442840300001</t>
  </si>
  <si>
    <t>Zhang, WT; Lu, S; Pu, DD; Zhang, HP; Yang, L; Zeng, P; Su, FX; Chen, ZC; Guo, M; Gu, Y; Luo, YM; Hu, HM; Lu, YP; Chen, F; Gao, Y</t>
  </si>
  <si>
    <t>Zhang, Weiting; Lu, Sen; Pu, Dandan; Zhang, Haiping; Yang, Lin; Zeng, Peng; Su, Fengxia; Chen, Zhichao; Guo, Mei; Gu, Ying; Luo, Yanmei; Hu, Huamei; Lu, Yanping; Chen, Fang; Gao, Ya</t>
  </si>
  <si>
    <t>Detection of fetal trisomy and single gene disease by massively parallel sequencing of extracellular vesicle DNA in maternal plasma: a proof-of-concept validation</t>
  </si>
  <si>
    <t>BMC MEDICAL GENOMICS</t>
  </si>
  <si>
    <t>Extracellular vesicles; evDNA; Plasma cell-free DNA; Massively parallel sequencing; Fetal trisomy; Single gene disease</t>
  </si>
  <si>
    <t>PLACENTA-DERIVED EXOSOMES; SYNCYTIOTROPHOBLAST MICROVESICLES; GENOMIC DNA; BIOMARKER; CIRCULATION; MIRNA</t>
  </si>
  <si>
    <t>Background During human pregnancy, placental trophectoderm cells release extracellular vesicles (EVs) into maternal circulation. Trophoblasts also give rise to cell-free DNA (cfDNA) in maternal blood, and has been used for noninvasive prenatal screening for chromosomal aneuploidy. We intended to prove the existence of DNA in the EVs (evDNA) of maternal blood, and compared evDNA with plasma cfDNA in terms of genome distribution, fragment length, and the possibility of detecting genetic diseases. Methods Maternal blood from 20 euploid pregnancies, 9 T21 pregnancies, 3 T18 pregnancies, 1 T13 pregnancy, and 2 pregnancies with FGFR3 mutations were obtained. EVs were separated from maternal plasma, and confirmed by transmission electronic microscopy (TEM), western blotting, and flow cytometry (FACS). evDNA was extracted and its fetal origin was confirmed by quantitative PCR (qPCR). Pair-end (PE) whole genome sequencing was performed to characterize evDNA, and the results were compared with that of cfDNA. The fetal risk of aneuploidy and monogenic diseases was analyzed using the evDNA sequencing data. Results EVs separated from maternal plasma were confirmed with morphology by TEM, and protein markers of CD9, CD63, CD81 as well as the placental specific protein placental alkaline phosphatase (PLAP) were confirmed by western blotting or flow cytometry. EvDNA could be successfully extracted for qPCR and sequencing from the plasma EVs. Sequencing data showed that evDNA span on all 23 pairs of chromosomes and mitochondria, sharing a similar distribution pattern and higher GC content comparing with cfDNA. EvDNA showed shorter fragments yet lower fetal fraction than cfDNA. EvDNA could be used to correctly determine fetal gender, trisomies, and de novo FGFR3 mutations. Conclusions We proved that fetal DNA could be detected in EVs separated from maternal plasma. EvDNA shared some similar features to plasma cfDNA, and could potentially be used to detect genetic diseases in fetus.</t>
  </si>
  <si>
    <t>[Zhang, Weiting; Lu, Sen; Pu, Dandan; Zhang, Haiping; Yang, Lin; Zeng, Peng; Su, Fengxia; Gu, Ying; Chen, Fang; Gao, Ya] BGI Shenzhen, Shenzhen 518083, Peoples R China; [Zhang, Weiting; Chen, Fang; Gao, Ya] BGI Shenzhen, China Natl GeneBank, Shenzhen 518120, Peoples R China; [Chen, Zhichao; Guo, Mei] BGI Shenzhen, BGI Genom, Shenzhen 518083, Peoples R China; [Luo, Yanmei; Hu, Huamei] Army Med Univ, Third Mil Med Univ, Southwest Hosp, Prenatal Diag Ctr,Dept Gynecol &amp; Obstet, Chongqing, Peoples R China; [Lu, Yanping] Chinese Peoples Liberat Army Gen Hosp, Dept Obstet &amp; Gynecol, Beijing 100853, Peoples R China</t>
  </si>
  <si>
    <t>Beijing Genomics Institute (BGI); Beijing Genomics Institute (BGI); Beijing Genomics Institute (BGI); Army Medical University; Chinese People's Liberation Army General Hospital</t>
  </si>
  <si>
    <t>Chen, F; Gao, Y (corresponding author), BGI Shenzhen, Shenzhen 518083, Peoples R China.;Chen, F; Gao, Y (corresponding author), BGI Shenzhen, China Natl GeneBank, Shenzhen 518120, Peoples R China.</t>
  </si>
  <si>
    <t>fangchen@genomics.cn; gaoya@genomics.cn</t>
  </si>
  <si>
    <t>1755-8794</t>
  </si>
  <si>
    <t>NOV 4</t>
  </si>
  <si>
    <t>10.1186/s12920-019-0590-8</t>
  </si>
  <si>
    <t>WOS:000494467900001</t>
  </si>
  <si>
    <t>Higuchi, MD; Kawakami, JT; Ikegami, RN; Reis, MM; Pereira, JD; Ianni, BM; Buck, P; Oliveira, LMD; Santos, MHH; Hajjar, LA; Bocchi, EA</t>
  </si>
  <si>
    <t>Higuchi, Maria de Lourdes; Kawakami, Joyce T.; Ikegami, Renata N.; Reis, Marcia M.; Pereira, Jaqueline de Jesus; Ianni, Barbara M.; Buck, Paula; da Silva Oliveira, Luanda Mara; Santos, Marilia H. H.; Hajjar, Ludhmila A.; Bocchi, Edimar A.</t>
  </si>
  <si>
    <t>Archaea Symbiont of T. cruzi Infection May Explain Heart Failure in Chagas Disease</t>
  </si>
  <si>
    <t>FRONTIERS IN CELLULAR AND INFECTION MICROBIOLOGY</t>
  </si>
  <si>
    <t>heart failure; microvesicles; Chagas disease; exosomes; biomarkers</t>
  </si>
  <si>
    <t>MICROPARTICLES; CARDIOMYOPATHY; ASSOCIATION; MYOCARDITIS; PROTEASOME; EXOSOMES; CELLS; IDENTIFICATION; QUANTITATION; PATHOGENESIS</t>
  </si>
  <si>
    <t>Background: Archaeal genes present in Trypanosoma cruzi may represent symbionts that would explain development of heart failure in 30% of Chagas disease patients. Extracellular vesicles in peripheral blood, called exosomes (&lt;0.1 mu m) or microvesicles (&gt;0.1 mu m), present in larger numbers in heart failure, were analyzed to determine whether they are derived from archaea in heart failure Chagas disease. Methods: Exosomes and microvesicles in serum supernatant from 3 groups were analyzed: heart failure Chagas disease (N = 26), asymptomatic indeterminate form (N = 21) and healthy non-chagasic control (N = 16). Samples were quantified with transmission electron microscopy, flow cytometer immunolabeled with anti-archaemetzincin-1 antibody (AMZ 1, archaea collagenase) and probe anti-archaeal DNA and zymography to determine AMZ1 (Archaeal metalloproteinase) activity. Results: Indeterminate form patients had higher median numbers of exosomes/case vs. heart failure patients (58.5 vs. 25.5, P &lt; 0.001), higher exosome content of AMZ1 antigens (2.0 vs. 0.0; P &lt; 0.001), and lower archaeal DNA content (0.2 vs. 1.5, P = 0.02). A positive correlation between exosomes and AMZ1 content was seen in indeterminate form (r = 0.5, P &lt; 0.001), but not in heart failure patients (r = 0.002, P = 0.98). Higher free archaeal DNA (63.0 vs. 11.1, P &lt; 0.001) in correlation with exosome numbers (r = 0.66, P = 0.01) was seen in heart failure but not in indeterminate form (r = 0.29, P = 0.10). Flow cytometer showed higher numbers of AMZ1 microvesicles in indeterminate form (64 vs. 36, P = 0.02) and higher archaeal DNA microvesicles in heart failure (8.1 vs. 0.9, P &lt; 0.001). Zymography showed strong% collagenase activity in HF group, mild activity in IF compared to non-chagasic healthy group (121 +/- 14, 106 +/- 13 and 100; P &lt; 0.001). Conclusions: Numerous exosomes, possibly removing and degrading abnormal AMZ1 collagenase, are associated with indeterminate form. Archaeal microvesicles and their exosomes, possibly associated with release of archaeal AMZ1 in heart failure, are future candidates of heart failure biomarkers if confirmed in larger series, and the therapeutic focus in the treatment of Chagas disease.</t>
  </si>
  <si>
    <t>[Higuchi, Maria de Lourdes; Kawakami, Joyce T.; Ikegami, Renata N.; Reis, Marcia M.; Pereira, Jaqueline de Jesus; Ianni, Barbara M.; Buck, Paula; da Silva Oliveira, Luanda Mara; Santos, Marilia H. H.; Hajjar, Ludhmila A.; Bocchi, Edimar A.] Univ Sao Paulo, Fac Med, Hosp Clin HCFMUSP, Inst Coracao, Sao Paulo, Brazil</t>
  </si>
  <si>
    <t>Universidade de Sao Paulo</t>
  </si>
  <si>
    <t>Higuchi, MD (corresponding author), Univ Sao Paulo, Fac Med, Hosp Clin HCFMUSP, Inst Coracao, Sao Paulo, Brazil.</t>
  </si>
  <si>
    <t>anplourdes@incor.usp.br</t>
  </si>
  <si>
    <t>da Silva Oliveira, Luanda Mara/E-7273-2013; Ianni, Barbara Maria/C-7689-2012; de Lourdes Higuchi, Maria/K-3886-2017; Buck, Paula C/F-8781-2012</t>
  </si>
  <si>
    <t>da Silva Oliveira, Luanda Mara/0000-0003-0903-8219; Ianni, Barbara Maria/0000-0002-1588-5492; de Lourdes Higuchi, Maria/0000-0002-1673-6456; Buck, Paula C/0000-0002-1411-4485; SANTOS, MARILIA/0000-0003-4107-0470; Abrahao Hajjar, Ludhmila/0000-0001-5645-2055</t>
  </si>
  <si>
    <t>2235-2988</t>
  </si>
  <si>
    <t>NOV 21</t>
  </si>
  <si>
    <t>10.3389/fcimb.2018.00412</t>
  </si>
  <si>
    <t>Immunology; Microbiology</t>
  </si>
  <si>
    <t>WOS:000450940900001</t>
  </si>
  <si>
    <t>Bielska, E; Birch, PRJ; Buck, AH; Abreu-Goodger, C; Innes, RW; Jin, H; Pfaffl, MW; Robatzekh, S; Regev-Rudzki, N; Tisseranth, C; Wang, S; Weiberg, A</t>
  </si>
  <si>
    <t>Bielska, E.; Birch, P. R. J.; Buck, A. H.; Abreu-Goodger, C.; Innes, R. W.; Jin, H.; Pfaffl, M. W.; Robatzekh, S.; Regev-Rudzki, N.; Tisseranth, C.; Wang, S.; Weiberg, A.</t>
  </si>
  <si>
    <t>Highlights of the mini-symposium on extracellular vesicles in inter-organismal communication, held in Munich, Germany, August 2018</t>
  </si>
  <si>
    <t>Extracellular vesicles (EVs); inter-organismal interactions; cell-to-cell communication; small RNAs; plants; nematodes; protists; fungi; oomycetes; bacteria</t>
  </si>
  <si>
    <t>CROSS-KINGDOM REGULATION; OUTER-MEMBRANE VESICLES; PHYTOPHTHORA-INFESTANS; EXOSOMES; DELIVERY; RNA; PROTEINS</t>
  </si>
  <si>
    <t>All living organisms secrete molecules for intercellular communication. Recent research has revealed that extracellular vesicles (EVs) play an important role in inter-organismal cell-to-cell communication by transporting diverse messenger molecules, including RNA, DNA, lipids and proteins. These discoveries have raised fundamental questions regarding EV biology. How are EVs biosynthesized and loaded with messenger/cargo molecules? How are EVs secreted into the extracellular matrix? What are the EV uptake mechanisms of recipient cells? As EVs are produced by all kind of organisms, from unicellular bacteria and protists, filamentous fungi and oomycetes, to complex multicellular life forms such as plants and animals, basic research in diverse model systems is urgently needed to shed light on the multifaceted biology of EVs and their role in inter-organismal communications. To help catalyse progress in this emerging field, a mini-symposium was held in Munich, Germany in August 2018. This report highlights recent progress and major questions being pursued across a very diverse group of model systems, all united by the question of how EVs contribute to inter-organismal communication.</t>
  </si>
  <si>
    <t>[Bielska, E.] Univ Birmingham, Sch Biosci, Inst Microbiol &amp; Infect, Birmingham, W Midlands, England; [Birch, P. R. J.; Wang, S.] Univ Dundee, Sch Life Sci, Div Plant Sci, James Hutton Inst, Dundee, Scotland; [Buck, A. H.] Univ Edinburgh, Inst Immunol &amp; Infect Res, Sch Biol Sci, Edinburgh, Midlothian, Scotland; [Buck, A. H.] Univ Edinburgh, Ctr Immun Infect &amp; Evolut, Sch Biol Sci, Edinburgh, Midlothian, Scotland; [Abreu-Goodger, C.] Ctr Invest &amp; Estudios Avanzados IPN Cinvestav, Unidad Genom Avanzada Langebio, Guanajuato, Mexico; [Innes, R. W.] Indiana Univ, Dept Biol, Bloomington, IN USA; [Jin, H.] Univ Calif Riverside, Ctr Plant Cell Biol, Inst Integrat Genome Biol, Dept Microbiol &amp; Plant Pathol, Riverside, CA 92521 USA; [Pfaffl, M. W.] Tech Univ Munich, TUM Sch Life Sci, Div Anim Physiol &amp; Immunol, Freising Weihenstephan, Germany; [Robatzekh, S.; Tisseranth, C.; Weiberg, A.] Ludwig Maximilians Univ Munchen, Bioctr, Grosshaderner Str 2-4, D-82152 Martinsried, Germany; [Regev-Rudzki, N.] Weizmann Inst Sci, Fac Biochem, Dept Biomol Sci, Rehovot, Israel</t>
  </si>
  <si>
    <t>University of Birmingham; James Hutton Institute; University of Dundee; University of Edinburgh; University of Edinburgh; Indiana University System; Indiana University Bloomington; University of California System; University of California Riverside; Technical University of Munich; University of Munich; Weizmann Institute of Science</t>
  </si>
  <si>
    <t>Weiberg, A (corresponding author), Ludwig Maximilians Univ Munchen, Bioctr, Grosshaderner Str 2-4, D-82152 Martinsried, Germany.</t>
  </si>
  <si>
    <t>a.weiberg@lmu.de</t>
  </si>
  <si>
    <t>Pfaffl, Michael W./G-6622-2013; Jin, Hailing/Z-1168-2019; Abreu-Goodger, Cei/A-1268-2010; Bielska, Ewa/B-4936-2019; Weiberg, Arne/L-1105-2015</t>
  </si>
  <si>
    <t>Pfaffl, Michael W./0000-0002-3192-1019; Jin, Hailing/0000-0001-5778-5193; Abreu-Goodger, Cei/0000-0001-8302-9893; Bielska, Ewa/0000-0002-3138-4719; Weiberg, Arne/0000-0003-4300-4864; Buck, Amy/0000-0003-2645-7191; Birch, Paul/0000-0002-6559-3746; Innes, Roger/0000-0001-9634-1413</t>
  </si>
  <si>
    <t>10.1080/20013078.2019.1590116</t>
  </si>
  <si>
    <t>WOS:000461630700001</t>
  </si>
  <si>
    <t>Drees, EEE; Roemer, MGM; Groenewegen, NJ; Perez-Boza, J; van Eijndhoven, MAJ; Prins, LI; Verkuijlen, SAWM; Tran, XM; Driessen, J; Zwezerijnen, GJC; Stathi, P; Mol, K; Karregat, JJJP; Kalantidou, A; Valles-Marti, A; Molenaar, TJ; Aparicio-Puerta, E; van Dijk, E; Ylstra, B; Groothuis-Oudshoorn, CGM; Hackenberg, M; de Jong, D; Zijlstra, JM; Pegtel, DM</t>
  </si>
  <si>
    <t>Drees, Esther E. E.; Roemer, Margaretha G. M.; Groenewegen, Nils J.; Perez-Boza, Jennifer; van Eijndhoven, Monique A. J.; Prins, Leah I.; Verkuijlen, Sandra A. W. M.; Tran, Xuan-Mai; Driessen, Julia; Zwezerijnen, G. J. C.; Stathi, Phylicia; Mol, Kevin; Karregat, Joey J. J. P.; Kalantidou, Aikaterini; Valles-Marti, Andrea; Molenaar, T. J.; Aparicio-Puerta, Ernesto; van Dijk, Erik; Ylstra, Bauke; Groothuis-Oudshoorn, Catharina G. M.; Hackenberg, Michael; de Jong, Daphne; Zijlstra, Josee M.; Pegtel, D. Michiel</t>
  </si>
  <si>
    <t>Extracellular vesicle miRNA predict FDG-PET status in patients with classical Hodgkin Lymphoma</t>
  </si>
  <si>
    <t>blood; extracellular vesicles; Hodgkin lymphoma; liquid biopsy; miRNA; response monitoring</t>
  </si>
  <si>
    <t>DISEASE RESPONSE BIOMARKERS; SERUM TARC LEVELS; MICROENVIRONMENT; GUIDELINES; MICRORNA; CANCERS; CELLS; DNA</t>
  </si>
  <si>
    <t>Minimally-invasive tools to assess tumour presence and burden may improve clinical management. FDG-PET (metabolic) imaging is the current gold standard for interim response assessment in patients with classical Hodgkin Lymphoma (cHL), but this technique cannot be repeated frequently. Here we show that microRNAs (miRNA) associated with tumour-secreted extracellular vesicles (EVs) in the circulation of cHL patients may improve response assessment. Small RNA sequencing and qRT-PCR reveal that the relative abundance of cHL-expressed miRNAs, miR-127-3p, miR-155-5p, miR-21-5p, miR-24-3p and let-7a-5p is up to hundred-fold increased in plasma EVs of cHL patients pre-treatment when compared to complete metabolic responders (CMR). Notably, in partial responders (PR) or treatment-refractory cases (n = 10) the EV-miRNA levels remain elevated. In comparison, tumour specific copy number variations (CNV) were detected in cell-free DNA of 8 out of 10 newly diagnosed cHL patients but not in patients with PR. Combining EV-miR-127-3p and/or EV-let-7a-5p levels, with serum TARC (a validated protein cHL biomarker), increases the accuracy for predicting PET-status (n = 129) to an area under the curve of 0.93 (CI: 0.87-0.99), 93.5% sensitivity, 83.8/85.0% specificity and a negative predictive value of 96%. Thus the level of tumour-associated miRNAs in plasma EVs is predictive of metabolic tumour activity in cHL patients. Our findings suggest that plasma EV-miRNA are useful for detection of small residual lesions and may be applied as serial response prediction tool.</t>
  </si>
  <si>
    <t>[Drees, Esther E. E.; Roemer, Margaretha G. M.; Groenewegen, Nils J.; Perez-Boza, Jennifer; van Eijndhoven, Monique A. J.; Prins, Leah I.; Verkuijlen, Sandra A. W. M.; Tran, Xuan-Mai; Stathi, Phylicia; Mol, Kevin; Karregat, Joey J. J. P.; Kalantidou, Aikaterini; Valles-Marti, Andrea; Molenaar, T. J.; van Dijk, Erik; Ylstra, Bauke; de Jong, Daphne; Pegtel, D. Michiel] Vrije Univ Amsterdam, Amsterdam UMC, Canc Ctr Amsterdam, Dept Pathol, Amsterdam, Netherlands; [Groenewegen, Nils J.; Hackenberg, Michael] ExBiome BV, Amsterdam, Netherlands; [Driessen, Julia] Univ Amsterdam, Canc Ctr Amsterdam, Amsterdam UMC, Dept Hematol, Amsterdam, Netherlands; [Zwezerijnen, G. J. C.] Vrije Univ Amsterdam, Amsterdam UMC, Canc Ctr Amsterdam, Dept Radiol &amp; Nucl Med, Amsterdam, Netherlands; [Aparicio-Puerta, Ernesto; Hackenberg, Michael] Univ Granada, Dept Genet Computat Epigenom &amp; Bioinformat, Granada, Spain; [Groothuis-Oudshoorn, Catharina G. M.] Univ Twente, Tech Med Ctr, Dept Hlth Technol &amp; Serv Res, Enschede, Netherlands; [Zijlstra, Josee M.] Vrije Univ Amsterdam, Amsterdam UMC, Canc Ctr Amsterdam, Dept Hematol, Amsterdam, Netherlands</t>
  </si>
  <si>
    <t>University of Amsterdam; Vrije Universiteit Amsterdam; University of Amsterdam; Vrije Universiteit Amsterdam; University of Amsterdam; Vrije Universiteit Amsterdam; University of Granada; University of Twente; University of Amsterdam; Vrije Universiteit Amsterdam</t>
  </si>
  <si>
    <t>Pegtel, DM (corresponding author), Vrije Univ Amsterdam Med Ctr, Amsterdam UMC, Canc Ctr Amsterdam, Dept Pathol, Boelelaan 1117, Amsterdam, Netherlands.</t>
  </si>
  <si>
    <t>d.pegtel@amsterdamumc.nl</t>
  </si>
  <si>
    <t>Aparicio-Puerta, Ernesto/AGS-5367-2022; Pegtel, Dirk Michiel/ABD-5481-2021; Hackenberg, Michael/X-9662-2018; Ylstra, Bauke/D-2906-2012</t>
  </si>
  <si>
    <t>Pegtel, Dirk Michiel/0000-0002-7357-4406; Hackenberg, Michael/0000-0003-2248-3114; Roemer, Margaretha Gesina Maria/0000-0003-0220-3496; Ylstra, Bauke/0000-0001-9479-3010; Groothuis-Oudshoorn, Catharina/0000-0002-4875-5379; Drees, Esther/0000-0003-3551-0038; van Dijk, Erik/0000-0002-6272-2039; Perez Boza, Jennifer/0000-0003-3843-494X; Aparicio-Puerta, Ernesto/0000-0002-3470-1425</t>
  </si>
  <si>
    <t>e12121</t>
  </si>
  <si>
    <t>10.1002/jev2.12121</t>
  </si>
  <si>
    <t>WOS:000674092100001</t>
  </si>
  <si>
    <t>Fischer, S; Cornils, K; Speiseder, T; Badbaran, A; Reimer, R; Indenbirken, D; Grundhoff, A; Brunswig-Spickenheier, B; Alawi, M; Lange, C</t>
  </si>
  <si>
    <t>Fischer, Stefanie; Cornils, Kerstin; Speiseder, Thomas; Badbaran, Anita; Reimer, Rudolph; Indenbirken, Daniela; Grundhoff, Adam; Brunswig-Spickenheier, Baerbel; Alawi, Malik; Lange, Claudia</t>
  </si>
  <si>
    <t>Indication of Horizontal DNA Gene Transfer by Extracellular Vesicles</t>
  </si>
  <si>
    <t>MESENCHYMAL STEM-CELLS; ACUTE-RENAL-FAILURE; EXOSOMES; MICROVESICLES; MECHANISMS; SECRETION</t>
  </si>
  <si>
    <t>The biological relevance of extracellular vesicles (EV) in intercellular communication has been well established. Thus far, proteins and RNA were described as main cargo. Here, we show that EV released from human bone marrow derived mesenchymal stromal cells (BM-hMSC) also carry high-molecular DNA in addition. Extensive EV characterization revealed this DNA mainly associated with the outer EV membrane and to a smaller degree also inside the EV. Our EV purification protocol secured that DNA is not derived from apoptotic or necrotic cells. To analyze the relevance of EV-associated DNA we lentivirally transduced Arabidopsis thaliana-DNA (A.t.-DNA) as indicator into BM-hMSC and generated EV. Using quantitative polymerase chain reaction (qPCR) techniques we detected high copy numbers of A.t.-DNA in EV. In recipient hMSC incubated with tagged EV for two weeks we identified A.t.-DNA transferred to recipient cells. Investigation of recipient cell DNA using quantitative PCR and verification of PCR-products by sequencing suggested stable integration of A.t.-DNA. In conclusion, for the first time our proof-of-principle experiments point to horizontal DNA transfer into recipient cells via EV. Based on our results we assume that eukaryotic cells are able to exchange genetic information in form of DNA extending the known cargo of EV by genomic DNA. This mechanism might be of relevance in cancer but also during cell evolution and development.</t>
  </si>
  <si>
    <t>[Fischer, Stefanie; Cornils, Kerstin; Badbaran, Anita; Brunswig-Spickenheier, Baerbel; Lange, Claudia] Univ Med Ctr Hamburg Eppendorf, Res Dept Cell &amp; Gene Therapy, Clin Stem Cell Transplantat, Hamburg, Germany; [Speiseder, Thomas] Leibniz Inst Expt Virol, Heinrich Pette Inst, Res Unit Viral Transformat, Hamburg, Germany; [Reimer, Rudolph] Leibniz Inst Expt Virol, Heinrich Pette Inst, Dept Electron Microscopy, Hamburg, Germany; [Indenbirken, Daniela; Grundhoff, Adam] Leibniz Inst Expt Virol, Heinrich Pette Inst, Res Grp Virus Genom, Hamburg, Germany; [Alawi, Malik] Univ Med Ctr Hamburg Eppendorf, Bioinformat Core, Hamburg, Germany</t>
  </si>
  <si>
    <t>University of Hamburg; University Medical Center Hamburg-Eppendorf; Heinrich Pette Institute; Heinrich Pette Institute; Heinrich Pette Institute; University of Hamburg; University Medical Center Hamburg-Eppendorf</t>
  </si>
  <si>
    <t>Lange, C (corresponding author), Univ Med Ctr Hamburg Eppendorf, Res Dept Cell &amp; Gene Therapy, Clin Stem Cell Transplantat, Hamburg, Germany.</t>
  </si>
  <si>
    <t>cllange@uke.de</t>
  </si>
  <si>
    <t>, Malik/AAB-7437-2021</t>
  </si>
  <si>
    <t>, Malik/0000-0002-5993-7709; Grundhoff, Adam/0000-0003-0940-7045</t>
  </si>
  <si>
    <t>SEP 29</t>
  </si>
  <si>
    <t>e0163665</t>
  </si>
  <si>
    <t>10.1371/journal.pone.0163665</t>
  </si>
  <si>
    <t>WOS:000384328500090</t>
  </si>
  <si>
    <t>Han, PP; Lai, A; Salomon, C; Ivanovski, S</t>
  </si>
  <si>
    <t>Han, Pingping; Lai, Andrew; Salomon, Carlos; Ivanovski, Saso</t>
  </si>
  <si>
    <t>Detection of Salivary Small Extracellular Vesicles Associated Inflammatory Cytokines Gene Methylation in Gingivitis</t>
  </si>
  <si>
    <t>salivary small extracellular vesicles; ultracentrifuge; size exclusion chromatography; DNA methylation; cellular uptake</t>
  </si>
  <si>
    <t>PERIODONTAL-LIGAMENT CELLS; CEMENTOGENIC DIFFERENTIATION; SIGNALING PATHWAY; LIQUID BIOPSIES; ACTIVATION; EXOSOMES; EXPRESSION; DISEASES; IONS; WNT</t>
  </si>
  <si>
    <t>Salivary small extracellular vesicles (sEV) are emerging as a potential liquid biopsy for oral diseases. However, technical difficulties for salivary sEV isolation remain a challenge. Twelve participants (five periodontally healthy, seven gingivitis patients) were recruited and salivary sEV were isolated by ultracentrifuge (UC-sEV) and size exclusion chromatography (SEC-sEV). The effect of UC and SEC on sEV yield, DNA methylation of five cytokine gene promoters (interleukin (IL)-6, tumor necrosis factor (TNF)-alpha, IL-1 beta, IL-8, and IL-10), and functional uptake by human primary gingival fibroblasts (hGFs) was investigated. The results demonstrated that SEC-sEV had a higher yield of particles and particle/protein ratios compared to UC-sEV, with a minimal effect on the detection of DNA methylation of five cytokine genes and functional uptake in hGFs (n= 3). Comparing salivary sEV characteristics between gingivitis and healthy patients, gingivitis-UC-sEV were increased compared to the healthy group; while no differences were found in sEV size, oral bacterial gDNA, and DNA methylation for five cytokine gene promoters, for both UC-sEV and SEC-sEV. Overall, the data indicate that SEC results in a higher yield of salivary sEV, with no significant differences in sEV DNA epigenetics, compared to UC.</t>
  </si>
  <si>
    <t>[Han, Pingping; Ivanovski, Saso] Univ Queensland, Sch Dent, Herston, Qld 4006, Australia; [Lai, Andrew; Salomon, Carlos] Univ Queensland, Royal Brisbane &amp; Womens Hosp, Clin Res Ctr, Exosome Biol Lab,Ctr Clin Diagnost, Brisbane, Qld 4029, Australia; [Salomon, Carlos] Ochsner Baptist Hosp, Dept Obstet &amp; Gynecol, New Orleans, LA 70422 USA; [Salomon, Carlos] Univ Concepcion, Fac Pharm, Dept Clin Biochem &amp; Immunol, Concepcion 4030000, Chile</t>
  </si>
  <si>
    <t>University of Queensland; Royal Brisbane &amp; Women's Hospital; University of Queensland; Ochsner Health System; Universidad de Concepcion</t>
  </si>
  <si>
    <t>Han, PP; Ivanovski, S (corresponding author), Univ Queensland, Sch Dent, Herston, Qld 4006, Australia.</t>
  </si>
  <si>
    <t>p.han@uq.edu.au; a.lai@uq.edu.au; c.salomongallo@uq.edu.au; s.ivanovski@uq.edu.au</t>
  </si>
  <si>
    <t>Han, Pingping/AAD-1353-2022; Han, Pingping/L-4446-2019; Lai, Andrew/S-8920-2016</t>
  </si>
  <si>
    <t>Han, Pingping/0000-0001-7546-1635; Lai, Andrew/0000-0002-4424-8767</t>
  </si>
  <si>
    <t>10.3390/ijms21155273</t>
  </si>
  <si>
    <t>WOS:000568099100001</t>
  </si>
  <si>
    <t>Das, S; Jain, S; Ilyas, M; Anand, A; Kumar, S; Sharma, N; Singh, K; Mahlawat, R; Sharma, TK; Atmakuri, K</t>
  </si>
  <si>
    <t>Das, Soonjyoti; Jain, Sapna; Ilyas, Mohd; Anand, Anjali; Kumar, Saurabh; Sharma, Nishant; Singh, Kuljit; Mahlawat, Rahul; Sharma, Tarun Kumar; Atmakuri, Krishnamohan</t>
  </si>
  <si>
    <t>Development of DNA Aptamers to Visualize Release of Mycobacterial Membrane-Derived Extracellular Vesicles in Infected Macrophages</t>
  </si>
  <si>
    <t>mycobacteria; extracellular vesicles; aptamers; nucleic acids; SELEX; ALISA; tuberculosis</t>
  </si>
  <si>
    <t>GRAM-POSITIVE BACTERIA; IDENTIFICATION; DIAGNOSTICS; DELIVERY; SPP.</t>
  </si>
  <si>
    <t>Extracellular vesicles (EVs) have emerged into a novel vaccine platform, a biomarker and a nano-carrier for approved drugs. Their accurate detection and visualization are central to their utility in varied biomedical fields. Owing to the limitations of fluorescent dyes and antibodies, here, we describe DNA aptamer as a promising tool for visualizing mycobacterial EVs in vitro. Employing SELEX from a large DNA aptamer library, we identified a best-performing aptamer that is highly specific and binds at nanomolar affinity to EVs derived from three diverse mycobacterial strains (pathogenic, attenuated and avirulent). Confocal microscopy revealed that this aptamer was not only bound to in vitro-enriched mycobacterial EVs but also detected EVs that were internalized by THP-1 macrophages and released by infecting mycobacteria. To the best of our knowledge, this is the first study that detects EVs released by mycobacteria during infection in host macrophages. Within 4 h, most released mycobacterial EVs spread to other parts of the host cell. We predict that this tool will soon hold huge potential in not only delineating mycobacterial EVs-driven pathogenic functions but also in harboring immense propensity to act as a non-invasive diagnostic tool against tuberculosis in general, and extra-pulmonary tuberculosis in particular.</t>
  </si>
  <si>
    <t>[Das, Soonjyoti; Anand, Anjali; Sharma, Nishant; Singh, Kuljit; Mahlawat, Rahul; Sharma, Tarun Kumar] Translat Hlth Sci &amp; Technol Inst, Aptamer Technol &amp; Diagnost Lab ATDL, Multidisciplinary Clin &amp; Translat Res Grp MCTR, Faridabad 121001, Haryana, India; [Jain, Sapna; Ilyas, Mohd; Kumar, Saurabh; Atmakuri, Krishnamohan] Translat Hlth Sci &amp; Technol Inst, Bacterial Pathogenesis Lab, Infect &amp; Immunol Grp, Faridabad 121001, Haryana, India; [Jain, Sapna; Ilyas, Mohd] Jawaharlal Nehru Univ, Special Ctr Mol Med, New Delhi 110067, India; [Sharma, Nishant] Jamia Hamdard, Dept Biotechnol, New Delhi 110062, India; [Singh, Kuljit] CSIR Indian Inst Integrat Med, Div Clin Microbiol, Jammu 18001, Jammu &amp; Kashmir, India</t>
  </si>
  <si>
    <t>Department of Biotechnology (DBT) India; Translational Health Science &amp; Technology Institute (THSTI); Department of Biotechnology (DBT) India; Translational Health Science &amp; Technology Institute (THSTI); Jawaharlal Nehru University, New Delhi; Jamia Hamdard University; Council of Scientific &amp; Industrial Research (CSIR) - India; CSIR - Indian Institute of Integrative Medicine (IIIM)</t>
  </si>
  <si>
    <t>Sharma, TK (corresponding author), Translat Hlth Sci &amp; Technol Inst, Aptamer Technol &amp; Diagnost Lab ATDL, Multidisciplinary Clin &amp; Translat Res Grp MCTR, Faridabad 121001, Haryana, India.;Atmakuri, K (corresponding author), Translat Hlth Sci &amp; Technol Inst, Bacterial Pathogenesis Lab, Infect &amp; Immunol Grp, Faridabad 121001, Haryana, India.</t>
  </si>
  <si>
    <t>soonjyotidas.jyoti9@gmail.com; sapna.jain@thsti.res.in; m.ilyas@thsti.res.in; anjalianand@thsti.res.in; saurabhkandwal@hotmail.com; nishant@thsti.res.in; kuljitniper@gmail.com; rahulmahlawat40@gmail.com; tarun@thsti.res.in; atmakrish@thsti.res.in</t>
  </si>
  <si>
    <t>Sharma, Tarun/0000-0002-0065-6099</t>
  </si>
  <si>
    <t>10.3390/ph15010045</t>
  </si>
  <si>
    <t>WOS:000747502100001</t>
  </si>
  <si>
    <t>Macedo-da-Silva, J; Santiago, VF; Rosa-Fernandes, L; Marinho, CRF; Palmisano, G</t>
  </si>
  <si>
    <t>Macedo-da-Silva, Janaina; Santiago, Veronica F.; Rosa-Fernandes, Livia; Marinho, Claudio R. F.; Palmisano, Giuseppe</t>
  </si>
  <si>
    <t>Protein glycosylation in extracellular vesicles: Structural characterization and biological functions</t>
  </si>
  <si>
    <t>MOLECULAR IMMUNOLOGY</t>
  </si>
  <si>
    <t>Extracellular vesicles; Glycosylation; Glycoconjugates; Lectins; Glycomics; Glycoproteomics</t>
  </si>
  <si>
    <t>PROSTATE-CANCER; GLYCANS; EXOSOMES; LECTINS</t>
  </si>
  <si>
    <t>Extracellular vesicles (EVs) are lipid bilayer-enclosed particles involved in intercellular communication, delivery of biomolecules from donor to recipient cells, cellular disposal and homeostasis, potential biomarkers and drug carriers. The content of EVs includes DNA, lipids, metabolites, proteins, and microRNA, which have been studied in various diseases, such as cancer, diabetes, pregnancy, neurodegenerative, and cardiovascular disorders. EVs are enriched in glycoconjugates and exhibit specific glycosignatures. Protein glycosylation is a co- and post-translational modification (PTM) that plays an important role in the expression and function of exosomal proteins. N- and O-linked protein glycosylation has been mapped in exosomal proteins. The purpose of this review is to highlight the importance of glycosylation in EVs proteins. Initially, we describe the main PTMs in EVs with a focus on glycosylation. Then, we explore glycan-binding proteins describing the main findings of studies that investigated the glycosylation of EVs in cancer, pregnancy, infectious diseases, diabetes, mental disorders, and animal fluids. We have highlighted studies that have developed innovative methods for studying the content of EVs. In addition, we present works related to lipid glycosylation. We explored the content of studies deposited in public databases, such as Exocarta and Vesiclepedia. Finally, we discuss analytical methods for structural characterization of glycoconjugates and present an overview of the critical points of the study of glycosylation EVs, as well as perspectives in this field.</t>
  </si>
  <si>
    <t>[Macedo-da-Silva, Janaina; Santiago, Veronica F.; Rosa-Fernandes, Livia; Marinho, Claudio R. F.; Palmisano, Giuseppe] Univ Sao Paulo, Inst Biomed Sci, Dept Parasitol, Sao Paulo, Brazil</t>
  </si>
  <si>
    <t>Palmisano, G (corresponding author), Univ Sao Paulo, ICB, Dept Parasitol, Glycoprote Lab, Ave Prof Lineu Prestes 1374, BR-05508900 Sao Paulo, SP, Brazil.</t>
  </si>
  <si>
    <t>palmisano.gp@gmail.com</t>
  </si>
  <si>
    <t>Palmisano, Giuseppe/N-3602-2013; Fernandes, Lívia Rosa/K-6818-2014</t>
  </si>
  <si>
    <t>Palmisano, Giuseppe/0000-0003-1336-6151; Fernandes, Lívia Rosa/0000-0003-1612-1950; Feijoli Santiago, Veronica/0000-0002-0052-9532</t>
  </si>
  <si>
    <t>0161-5890</t>
  </si>
  <si>
    <t>1872-9142</t>
  </si>
  <si>
    <t>10.1016/j.molimm.2021.04.017</t>
  </si>
  <si>
    <t>APR 2021</t>
  </si>
  <si>
    <t>Biochemistry &amp; Molecular Biology; Immunology</t>
  </si>
  <si>
    <t>WOS:000658544200022</t>
  </si>
  <si>
    <t>Tatischeff, I; Lavialle, F; Pigaglio-Deshayes, S; Pechoux-Longin, C; Chinsky, L; Alfsen, A</t>
  </si>
  <si>
    <t>Tatischeff, Irene; Lavialle, Francoise; Pigaglio-Deshayes, Sophie; Pechoux-Longin, Christine; Chinsky, Laurent; Alfsen, Annette</t>
  </si>
  <si>
    <t>Dictyostelium extracellular vesicles containing Hoechst 33342 transfer the dye into the nuclei of living cells: A fluorescence study</t>
  </si>
  <si>
    <t>JOURNAL OF FLUORESCENCE</t>
  </si>
  <si>
    <t>Extracellular vesicles; Fluorescence; Hoechst 33342; Drug delivery; Dictyostelium discoideum</t>
  </si>
  <si>
    <t>EXOSOMES; DELIVERY; BIOGENESIS; DISCOIDEUM; SECRETION; ASSAY; DNA</t>
  </si>
  <si>
    <t>Cells of the eukaryotic unicellular microorganism Dictyostelium discoideum are constitutively resistant to vital staining of their nuclei by the DNA-specific dye Hoechst 33342. By studying the mechanisms of this resistance, we evidenced that these cells expel vesicles containing the dye for detoxification (Tatischeff et al., Cell Mol Life Sci, 54: 476-87, 1998). The question to be addressed in the present work is the potential use of these extracellular vesicles as a biological drug delivery tool, using Hoechst 33342 as a model of a DNA-targeting drug. After cell growth with or without the dye, vesicles were prepared from the cell-free growth medium by differential centrifugation, giving rise to two types of vesicles. Negative staining electron microscopy showed their large heterogeneity in size. Using fluorescence techniques, data were obtained on the dye loading and its environment inside the vesicles. By UV video-microscopy, it was demonstrated that the dye-containing vesicles were able to deliver it into the nuclei of naive Dictyostelium cells, thus overcoming their constitutive resistance to the free dye. A vesicle-mediated dye-transfer into the nuclei of living human leukaemia multidrug resistant K562r cells was also observed.</t>
  </si>
  <si>
    <t>[Tatischeff, Irene; Lavialle, Francoise; Pigaglio-Deshayes, Sophie; Chinsky, Laurent] Univ Paris 06, Lab Biophys Mol Cellulaire &amp;Tissulaire BioMoCeTi, UMR CNRS 7033, F-91030 Evry, France; [Pechoux-Longin, Christine] INRA, Lab Genome &amp; Physiol Lactat, F-780352 Jouy En Josas, France; [Alfsen, Annette] Univ Paris 05, INSERM U 567, UMR CNRS 8104, Inst Cochin,Dept Biol Cellulaire,Lab Entree Muque, F-75014 Paris, France</t>
  </si>
  <si>
    <t>UDICE-French Research Universities; Sorbonne Universite; INRAE; UDICE-French Research Universities; Universite Paris Saclay; Assistance Publique Hopitaux Paris (APHP); Hopital Universitaire Cochin - APHP; Institut National de la Sante et de la Recherche Medicale (Inserm); UDICE-French Research Universities; Universite de Paris</t>
  </si>
  <si>
    <t>Tatischeff, I (corresponding author), Univ Paris 06, Lab Biophys Mol Cellulaire &amp;Tissulaire BioMoCeTi, UMR CNRS 7033, Genopole Campus 1,5 Rue Henri Desbrueres, F-91030 Evry, France.</t>
  </si>
  <si>
    <t>tati@ccr.jussieu.fr</t>
  </si>
  <si>
    <t>1053-0509</t>
  </si>
  <si>
    <t>1573-4994</t>
  </si>
  <si>
    <t>10.1007/s10895-007-0271-4</t>
  </si>
  <si>
    <t>Biochemical Research Methods; Chemistry, Analytical; Chemistry, Physical</t>
  </si>
  <si>
    <t>WOS:000253896400010</t>
  </si>
  <si>
    <t>Venturella, M; Carpi, FM; Zocco, D</t>
  </si>
  <si>
    <t>Venturella, Marta; Carpi, Francesco M.; Zocco, Davide</t>
  </si>
  <si>
    <t>Standardization of Blood Collection and Processing for the Diagnostic Use of Extracellular Vesicles</t>
  </si>
  <si>
    <t>CURRENT PATHOBIOLOGY REPORTS</t>
  </si>
  <si>
    <t>Standardization; Extracellular vesicles; Blood; Preanalytical variables; Liquid biopsy; RNA biomarkers</t>
  </si>
  <si>
    <t>MICRORNAS; WORKING; MICROVESICLES; SUBSETS</t>
  </si>
  <si>
    <t>Purpose of Review Extracellular vesicles (EVs) are lipid membrane vesicles released by many types of cells in both health and disease. EVs can be found in most body fluids, carrying a plethora of biomolecules, including proteins, RNA, and DNA, that reflect the biomolecular composition of the tissue of origin. Parenchymal and stromal cells actively release EVs in the extracellular milieu and in circulation, providing valuable information that may be exploited for diagnostic applications. However, isolation of these EV subpopulations in circulation is extremely challenging as they are diluted within more abundant EV subpopulations derived from blood cells (red blood cells, platelets, and white blood cells). Recent Findings A number of preanalytical variables during blood collection and processing greatly impact the levels of bloodderived EVs, thus affecting sample quality. So far, lack of standard protocols for blood collection and processing as well as quality control metrics has limited the clinical validation and adoption of EV-based diagnostic assays. Summary In this review, we describe the preanalytical variables that affect sample quality and suitability for EV-based diagnostic approaches. Furthermore, we suggest biochemical and molecular quality control (QC) metrics to minimize intra- and interstudy variability and improve data robustness and reproducibility.</t>
  </si>
  <si>
    <t>[Venturella, Marta; Carpi, Francesco M.; Zocco, Davide] Exosomics SpA, Str Petriccio &amp; Behiguardo 35, I-53100 Siena, Italy</t>
  </si>
  <si>
    <t>Zocco, D (corresponding author), Exosomics SpA, Str Petriccio &amp; Behiguardo 35, I-53100 Siena, Italy.</t>
  </si>
  <si>
    <t>dzocco@exosomics.eu</t>
  </si>
  <si>
    <t>2167-485X</t>
  </si>
  <si>
    <t>10.1007/s40139-019-00189-3</t>
  </si>
  <si>
    <t>Cell Biology; Pathology</t>
  </si>
  <si>
    <t>WOS:000512883900001</t>
  </si>
  <si>
    <t>Lee, SE; Park, H; Hur, JY; Kim, HJ; Kim, IA; Kim, WS; Lee, KY</t>
  </si>
  <si>
    <t>Lee, Seung Eun; Park, Ha Young; Hur, Jae Young; Kim, Hee Joung; Kim, In Ae; Kim, Wan Seop; Lee, Kye Young</t>
  </si>
  <si>
    <t>Genomic profiling of extracellular vesicle-derived DNA from bronchoalveolar lavage fluid of patients with lung adenocarcinoma</t>
  </si>
  <si>
    <t>TRANSLATIONAL LUNG CANCER RESEARCH</t>
  </si>
  <si>
    <t>Extracellular vesicles (EV); bronchoalveolar lavage fluid (BALF); liquid biopsy; next-generation sequencing (NGS); non-small cell lung cancer (NSCLC)</t>
  </si>
  <si>
    <t>GENETIC-VARIATION; CANCER; EXOSOMES; IDENTIFICATION; MUTATIONS; KRAS</t>
  </si>
  <si>
    <t>Background: Extracellular vesicles (EVs) are membrane-bound and nanometer-sized particles released from most types of cells, containing double-stranded DNA reflecting mutational status of the parental tumor cells. Furthermore, epidermal growth factor receptor (EGFR) genotyping using EV-derived DNA (EV DNA) in bronchoalveolar lavage fluid (BALF) showed almost 100% sensitivity in patients with advanced non-small cell lung cancer (NSCLC). Methods: We assessed the technical performance of DNA derived from BALF-EV (BALF EV DNA) in targeted next-generation sequencing (NGS) for detection and quantification of mutations compared with the matching tissue DNA in 20 lung adenocarcinomas. Results: DNA yields, tumor purity, and depth of coverage were higher using the tissue DNA than using the BALF EV DNA. However, estimated library size was not significantly different between the two samples, and BALF EV DNA yielded longer fragments than tissue DNA. Overall mutation concordance between the two samples were 56% for nonsynonymous somatic mutations and increased to 81% for clinically significant mutations. By-variant sensitivity for clinically significant somatic mutations increased from 62% to 83% in the NGS of BALF EV DNA. Allele frequencies of EGFR and TP53 were higher in tissue DNA (10-25%) than in BALF EV DNA (&lt;5%). Tumor mutation burden of BALF EV DNA correlated with that of tissue DNA. Conclusions: Our findings demonstrate, for the first time, that BALF EV DNA in patients with NSCLC can be a reliable DNA source for targeted NGS for the identification of actionable genetic alterations and that this approach has high clinical feasibility and utility.</t>
  </si>
  <si>
    <t>[Lee, Seung Eun; Hur, Jae Young; Kim, Wan Seop] Konkuk Univ, Dept Pathol, Sch Med, Seoul, South Korea; [Park, Ha Young] Inje Univ, Busan Paik Hosp, Dept Pathol, Coll Med, Gimhae, South Korea; [Hur, Jae Young; Kim, Hee Joung; Kim, In Ae; Lee, Kye Young] Konkuk Univ, Precis Med Lung Canc Ctr, Med Ctr, 120-1 Hwayang Dong, Seoul 05030, South Korea; [Kim, Hee Joung; Kim, In Ae; Lee, Kye Young] Konkuk Univ, Dept Internal Med, Sch Med, Seoul, South Korea</t>
  </si>
  <si>
    <t>Konkuk University; Konkuk University Medical Center; Inje University; Konkuk University; Konkuk University Medical Center; Konkuk University; Konkuk University Medical Center</t>
  </si>
  <si>
    <t>Lee, KY (corresponding author), Konkuk Univ, Precis Med Lung Canc Ctr, Med Ctr, 120-1 Hwayang Dong, Seoul 05030, South Korea.;Lee, KY (corresponding author), Konkuk Univ, Dept Pulm Med, Sch Med, 120-1 Hwayang Dong, Seoul 05030, South Korea.</t>
  </si>
  <si>
    <t>2218-6751</t>
  </si>
  <si>
    <t>2226-4477</t>
  </si>
  <si>
    <t>+</t>
  </si>
  <si>
    <t>10.21037/tlcr-20-888</t>
  </si>
  <si>
    <t>WOS:000723882000012</t>
  </si>
  <si>
    <t>Walbrecq, G; Lecha, O; Gaigneaux, A; Fougeras, MR; Philippidou, D; Margue, C; Nomigni, MT; Bernardin, F; Dittmar, G; Behrmann, I; Kreis, S</t>
  </si>
  <si>
    <t>Walbrecq, Geoffroy; Lecha, Odile; Gaigneaux, Anthoula; Fougeras, Miriam R.; Philippidou, Demetra; Margue, Christiane; Nomigni, Milene Tetsi; Bernardin, Francois; Dittmar, Gunnar; Behrmann, Iris; Kreis, Stephanie</t>
  </si>
  <si>
    <t>Hypoxia-Induced Adaptations of miRNomes and Proteomes in Melanoma Cells and Their Secreted Extracellular Vesicles</t>
  </si>
  <si>
    <t>melanoma; hypoxia; extracellular vesicles; proteome; miRNome</t>
  </si>
  <si>
    <t>ARGININE METHYLTRANSFERASE; CANCER-CELLS; EXOSOMES; MELANOCYTES; METABOLISM; EXPRESSION; INVASION</t>
  </si>
  <si>
    <t>Reduced levels of intratumoural oxygen are associated with hypoxia-induced pro-oncogenic events such as invasion, metabolic reprogramming, epithelial-mesenchymal transition, metastasis and resistance to therapy, all favouring cancer progression. Small extracellular vesicles (EV) shuttle various cargos (proteins, miRNAs, DNA and others). Tumour-derived EVs can be taken up by neighbouring or distant cells in the tumour microenvironment, thus facilitating intercellular communication. The quantity of extracellular vesicle secretion and their composition can vary with changing microenvironmental conditions and disease states. Here, we investigated in melanoma cells the influence of hypoxia on the content and number of secreted EVs. Whole miRNome and proteome profiling revealed distinct expression patterns in normoxic or hypoxic growth conditions. Apart from the well-known miR-210, we identified miR-1290 as a novel hypoxia-associated microRNA, which was highly abundant in hypoxic EVs. On the other hand, miR-23a-5p and -23b-5p were consistently downregulated in hypoxic conditions, while the protein levels of the miR-23a/b-5p-predicted target IPO11 were concomitantly upregulated. Furthermore, hypoxic melanoma EVs exhibit a signature consisting of six proteins (AKR7A2, DDX39B, EIF3C, FARSA, PRMT5, VARS), which were significantly associated with a poor prognosis for melanoma patients, indicating that proteins and/or miRNAs secreted by cancer cells may be exploited as biomarkers.</t>
  </si>
  <si>
    <t>[Walbrecq, Geoffroy; Lecha, Odile; Gaigneaux, Anthoula; Philippidou, Demetra; Margue, Christiane; Nomigni, Milene Tetsi; Dittmar, Gunnar; Behrmann, Iris; Kreis, Stephanie] Univ Luxembourg, Dept Life Sci &amp; Med, 6 Ave Swing, L-4367 Belvaux, Luxembourg; [Fougeras, Miriam R.; Bernardin, Francois; Dittmar, Gunnar] Luxembourg Inst Hlth, Quantitat Biol Unit, Prote Cellular Signaling, 1A-B Rue Thomas Edison, L-1445 Strassen, Luxembourg; [Fougeras, Miriam R.] Univ Luxembourg, Fac Sci Technol &amp; Med, Doctoral Sch Sci &amp; Engn DSSE, 2 Ave Univ, L-4365 Esch Sur Alzette, Luxembourg</t>
  </si>
  <si>
    <t>University of Luxembourg; Luxembourg Institute of Health; University of Luxembourg</t>
  </si>
  <si>
    <t>Kreis, S (corresponding author), Univ Luxembourg, Dept Life Sci &amp; Med, 6 Ave Swing, L-4367 Belvaux, Luxembourg.</t>
  </si>
  <si>
    <t>geoffroy.walbrecq@uni.lu; odile.lecha@uni.lu; anthoula.gaigneaux@uni.lu; miriam.fougeras@lih.lu; demetra.philippidou@uni.lu; christiane.margue@uni.lu; milene.tetsi@uni.lu; francois.bernardin@lih.lu; gunnar.dittmar@lih.lu; iris.behrmann@uni.lu; stephanie.kreis@uni.lu</t>
  </si>
  <si>
    <t>BERNARDIN, François/ABC-3927-2021; Dittmar, Gunnar/B-6383-2016</t>
  </si>
  <si>
    <t>BERNARDIN, François/0000-0002-6329-5542; Kreis, Stephanie/0000-0003-1865-3889; Fougeras, Miriam Rebecca/0000-0002-0077-4490; Behrmann, Iris/0000-0003-3688-3645; Dittmar, Gunnar/0000-0003-3647-8623</t>
  </si>
  <si>
    <t>10.3390/cancers12030692</t>
  </si>
  <si>
    <t>WOS:000530232300168</t>
  </si>
  <si>
    <t>Zhupanyn, P; Ewe, A; Buch, T; Malek, A; Rademacher, P; Muller, C; Reinert, A; Jaimes, Y; Aigner, A</t>
  </si>
  <si>
    <t>Zhupanyn, Petro; Ewe, Alexander; Buech, Thomas; Malek, Anastasia; Rademacher, Phil; Mueller, Claudia; Reinert, Anja; Jaimes, Yarua; Aigner, Achim</t>
  </si>
  <si>
    <t>Extracellular vesicle (ECV)-modified polyethylenimine (PEI) complexes for enhanced siRNA delivery in vitro and in vivo</t>
  </si>
  <si>
    <t>Polyethlyenimine; Extracellular vesicles; ECVs; Exosomes; siRNA transfection; Therapeutic siRNA delivery; RNAi in vivo</t>
  </si>
  <si>
    <t>GENE-TRANSFER; EXOSOME; CELLS; TUMOR; DNA; MICRORNAS; LIPOPOLYPLEXES; EFFICIENCY; THERAPY; MIR-155</t>
  </si>
  <si>
    <t>Extracellular vesicles (ECVs) are secreted cell-derived membrane particles involved in intercellular signaling and cell-cell communication. By transporting various bio-macromolecules, ECVs and in particular exosomes are relevant in various (patho-) physiological processes. ECVs are also released by cancer cells and can confer protumorigenic effects. Their target cell tropism, effects on proliferation rates, natural stability in blood and immunotolerance makes ECVs particularly interesting as delivery vehicles. Polyethylenimines (PEIs) are linear or branched polymers which are capable of forming non-covalent complexes with small RNA molecules including siRNAs or antimiRs, for their delivery in vitro and in vivo. This study explores for the first time the combination of PEI-based nanoparticles with naturally occurring ECVs from different cell lines, for the delivery of small RNAs. ECV-modified PEI/siRNA complexes are analyzed by electron microscopy vs. ECV or complex alone. On the functional side, we demonstrate increased knockdown efficacy and storage stability of PEI/siRNA complexes upon their modification with ECVs. This is paralleled by enhanced tumor cell-inhibition by ECV-modified PEI/siRNA complexes targeting Survivin. Pre-treatment with various inhibitors of cellular internalization reveals alterations in cellular uptake mechanisms and biological activities of PEI/siRNA complexes upon their ECV modification. Extending our studies towards PEI-complexed antimiRs against miR-155 or miR-1246, dose-dependent cellular and molecular effects are enhanced in ECV-modified complexes, based on the de-repression of direct miRNA target genes. Differences between ECVs from different cell lines are observed regarding their capacity of enhancing PEI/siRNA efficacies, independent of the target cell line for transfection. Finally, an in vivo therapy study in mice bearing s.c. PC3 prostate carcinoma xenografts reveals marked inhibition of tumor growth upon treatment with ECVPC3-modified PEI/siSurvivin complexes, based on profound target gene knockdown. We conclude that ECV-modification enhances the activity of PEI-based complexes, by altering pivotal physicochemical and biological nanoparticle properties.</t>
  </si>
  <si>
    <t>[Zhupanyn, Petro; Ewe, Alexander; Buech, Thomas; Aigner, Achim] Univ Leipzig, Rudolf Boehm Inst Pharmacol &amp; Toxicol, Clin Pharmacol, Haertelstr 16-18, D-04107 Leipzig, Germany; [Malek, Anastasia] NN Petrov NMRC Inst Oncol, St Petersburg, Russia; [Rademacher, Phil; Jaimes, Yarua] Fraunhofer Inst Cell Therapy &amp; Immunol IZI, Dept Cell Therapy, Vesicles Based Immunomodulat Unit, Leipzig, Germany; [Rademacher, Phil; Jaimes, Yarua] Univ Leipzig, Inst Clin Immunol IKI, Immune Diagnost Dept, Leipzig, Germany; [Mueller, Claudia] Fraunhofer Inst Cell Therapy &amp; Immunol IZI, Dept Therapy Validat, Grp Preclin Models, Leipzig, Germany; [Reinert, Anja] Univ Leipzig, Inst Anat Histol &amp; Embryol, Fac Vet Med, Leipzig, Germany</t>
  </si>
  <si>
    <t>Leipzig University; Fraunhofer Gesellschaft; Leipzig University; Fraunhofer Gesellschaft; Leipzig University</t>
  </si>
  <si>
    <t>Aigner, A (corresponding author), Univ Leipzig, Rudolf Boehm Inst Pharmacol &amp; Toxicol, Clin Pharmacol, Haertelstr 16-18, D-04107 Leipzig, Germany.</t>
  </si>
  <si>
    <t>achim.aigner@medizin.uni-leipzig.de</t>
  </si>
  <si>
    <t>Aigner, Achim/R-4429-2017; Malek, Anastasia V/R-8804-2016</t>
  </si>
  <si>
    <t>Aigner, Achim/0000-0002-2778-6256; Malek, Anastasia V/0000-0001-5334-7292</t>
  </si>
  <si>
    <t>MAR 10</t>
  </si>
  <si>
    <t>10.1016/j.jconrel.2019.12.032</t>
  </si>
  <si>
    <t>WOS:000515538300005</t>
  </si>
  <si>
    <t>Zhang, TM; Ma, SH; Lv, JK; Wang, XY; Afewerky, HK; Li, H; Lu, YM</t>
  </si>
  <si>
    <t>Zhang, Tongmei; Ma, Sehui; Lv, Junkai; Wang, Xinyuan; Afewerky, Henok Kessete; Li, Hao; Lu, Youming</t>
  </si>
  <si>
    <t>The emerging role of exosomes in Alzheimer's disease</t>
  </si>
  <si>
    <t>AGEING RESEARCH REVIEWS</t>
  </si>
  <si>
    <t>Alzheimer's disease; Exosomes; Pathogenesis; Diagnosis; Therapeutics</t>
  </si>
  <si>
    <t>ASTROCYTE-DERIVED EXOSOMES; EXTRACELLULAR VESICLES EXOSOMES; BLOOD-BRAIN-BARRIER; AMYLOID-BETA; PRECURSOR PROTEIN; MULTIVESICULAR BODIES; NEURONAL EXOSOMES; TRANSSYNAPTIC TRANSMISSION; SYNAPTIC DYSFUNCTION; CEREBROSPINAL-FLUID</t>
  </si>
  <si>
    <t>Alzheimer's disease (AD), manifested by memory loss and a decline in cognitive functions, is the most prevalent neurodegenerative disease accounting for 60-80 % of dementia cases. But, to-date, there is no effective treatment available to slow or stop the progression of AD. Exosomes are small extracellular vesicles that carry constituents, such as functional messenger RNAs, non-coding RNAs, proteins, lipids, DNA, and other bioactive substances of their source cells. In the brain, exosomes are likely to be sourced by almost all cell types and involve in cell communication to regulate cellular functions. The yet, accumulated evidence on the roles of exosomes and their constituents in the AD pathological process suggests their significance as additional biomarkers and therapeutic targets for AD. This review summarizes the current reported research findings on exosomes roles in the pathogenesis, diagnosis, and treatment of AD.</t>
  </si>
  <si>
    <t>[Zhang, Tongmei; Ma, Sehui; Lv, Junkai; Li, Hao; Lu, Youming] Huazhong Univ Sci &amp; Technol, Sch Basic Med, Dept Pathophysiol, Wuhan 430030, Peoples R China; [Zhang, Tongmei; Ma, Sehui; Lv, Junkai; Li, Hao; Lu, Youming] Huazhong Univ Sci &amp; Technol, Tongji Med Coll, Wuhan 430030, Peoples R China; [Zhang, Tongmei; Ma, Sehui; Lv, Junkai; Afewerky, Henok Kessete; Li, Hao; Lu, Youming] Huazhong Univ Sci &amp; Technol, Wuhan Ctr Brain Sci, Wuhan 430030, Peoples R China; [Zhang, Tongmei; Ma, Sehui; Lv, Junkai; Afewerky, Henok Kessete; Li, Hao; Lu, Youming] Huazhong Univ Sci &amp; Technol, Sch Basic Med, Dept Physiol, Wuhan 430030, Peoples R China; [Wang, Xinyuan] Huazhong Univ Sci &amp; Technol, Tongji Hosp, Tongji Med Coll, Dept Pediat, Wuhan 430030, Peoples R China; [Afewerky, Henok Kessete] Huazhong Univ Sci &amp; Technol, Sch Basic Med, Dept Neurobiol, Wuhan 430030, Peoples R China</t>
  </si>
  <si>
    <t>Huazhong University of Science &amp; Technology; Huazhong University of Science &amp; Technology; Huazhong University of Science &amp; Technology; Huazhong University of Science &amp; Technology; Huazhong University of Science &amp; Technology; Huazhong University of Science &amp; Technology</t>
  </si>
  <si>
    <t>Li, H; Lu, YM (corresponding author), Huazhong Univ Sci &amp; Technol, Sch Basic Med, Dept Pathophysiol, Wuhan 430030, Peoples R China.;Li, H; Lu, YM (corresponding author), Huazhong Univ Sci &amp; Technol, Tongji Med Coll, Wuhan 430030, Peoples R China.</t>
  </si>
  <si>
    <t>lihhhhao@hust.edu.cn; lym@hust.edu.cn</t>
  </si>
  <si>
    <t>Afewerky, Henok Kessete/AAD-4371-2022</t>
  </si>
  <si>
    <t>Afewerky, Henok Kessete/0000-0001-7030-3224; zhang, tongmei/0000-0002-5973-5795</t>
  </si>
  <si>
    <t>1568-1637</t>
  </si>
  <si>
    <t>1872-9649</t>
  </si>
  <si>
    <t>10.1016/j.arr.2021.101321</t>
  </si>
  <si>
    <t>WOS:000663077400012</t>
  </si>
  <si>
    <t>Lee, TH; Chennakrishnaiah, S; Rak, J</t>
  </si>
  <si>
    <t>Lee, Tae Hoon; Chennakrishnaiah, Shilpa; Rak, Janusz</t>
  </si>
  <si>
    <t>ONCOGENE-DEPENDENT SURVIVAL OF HIGHLY TRANSFORMED CANCER CELLS UNDER CONDITIONS OF EXTREME CENTRIFUGAL FORCE - IMPLICATIONS FOR STUDIES ON EXTRACELLULAR VESICLES</t>
  </si>
  <si>
    <t>CELLULAR &amp; MOLECULAR BIOLOGY LETTERS</t>
  </si>
  <si>
    <t>Extracellular vesicle; H-ras; v-src; Ultracentrifugation; PP2; Hyperacceleration; Filtration; TEM</t>
  </si>
  <si>
    <t>MEMBRANE-VESICLES; RAS ONCOGENES; EXOSOMES; MICROVESICLES; GROWTH; DNA; EXPRESSION</t>
  </si>
  <si>
    <t>Extracellular vesicles (EVs), including exosomes, are a subject of intense interest due to their emission by cancer cells and role in intercellular communication. Earlier reports suggested that oncogenes, such as RAS, MET or EGFR, drive cellular vesiculation. Interestingly, these oncogenes may also traffic between cells using the EV-mediated emission and uptake processes. One of the main tools in the analysis of EVs are ultracentrifugation protocols designed to efficiently separate parental cells from vesicles through a sequence of steps involving increasing g-force. Here we report that ultracentrifugationonly EV preparations from highly transformed cancer cells, driven by the overexpression of oncogenic H-ras (RAS-3) and v-src (SRC-3), may contain clonogenic cancer cells, while preparations of normal or less aggressive human cell lines are generally free from such contamination. Introduction of a filtration step eliminates clonogenic cells from the ultracentrifugate. The survival of RAS-3 and SRC-3 cells under extreme conditions of centrifugal force (110,000 g) is oncogene-induced, as EV preparations of their parental non-tumourigenic cell line (IEC-18) contain negligible numbers of clonogenic cells. Moreover, treatment of SRC-3 cells with the SRC inhibitor (PP2) markedly reduces the presence of such cells in the unfiltered ultracentrifugate. These observations enforce the notion that EV preparations require careful filtration steps, especially in the case of material produced by highly transformed cancer cell types. We also suggest that oncogenic transformation may render cells unexpectedly resistant to extreme physical forces, which may affect their biological properties in vivo.</t>
  </si>
  <si>
    <t>[Lee, Tae Hoon; Chennakrishnaiah, Shilpa; Rak, Janusz] Montreal Childrens Hosp, Res Inst, Montreal, PQ H3Z 2Z3, Canada</t>
  </si>
  <si>
    <t>Rak, J (corresponding author), Montreal Childrens Hosp, Res Inst, 4060 Ste Catherine West, Montreal, PQ H3Z 2Z3, Canada.</t>
  </si>
  <si>
    <t>1425-8153</t>
  </si>
  <si>
    <t>1689-1392</t>
  </si>
  <si>
    <t>10.1515/cmble-2015-0003</t>
  </si>
  <si>
    <t>WOS:000355146700008</t>
  </si>
  <si>
    <t>Brinkman, K; Meyer, L; Bickel, A; Enderle, D; Berking, C; Skog, J; Noerholm, M</t>
  </si>
  <si>
    <t>Brinkman, Kay; Meyer, Lisa; Bickel, Anne; Enderle, Daniel; Berking, Carola; Skog, Johan; Noerholm, Mikkel</t>
  </si>
  <si>
    <t>Extracellular vesicles from plasma have higher tumour RNA fraction than platelets</t>
  </si>
  <si>
    <t>Extracellular vesicles; liquid biopsy; RNA biomarker; platelets; BRAF V600E; plasma; tumour RNA</t>
  </si>
  <si>
    <t>EDUCATED PLATELETS; BLOOD-PLATELETS; LIQUID BIOPSY; CANCER</t>
  </si>
  <si>
    <t>In addition to Circulating Tumour Cells (CTCs), cell-free DNA (cfDNA) and Extracellular Vesicles (EVs), the notion of Tumour-Educated Platelets (TEP) has recently emerged as a potential source of tumour-derived biomarkers accessible through blood liquid biopsies. Here we sought to confirm the suitability of the platelet blood fraction for biomarker detection in comparison to their corresponding EV fraction. As publications have claimed that tumour RNA and other tumour-derived material are transferred from tumour cells to the platelets and that tumour-derived transcripts can be detected in platelets, we chose to focus on RNA carrying a mutation as being of bona fide tumour origin. After informed consent, we collected prospective blood samples from a cohort of 12 melanoma patients with tissue-confirmed BRAF V600E mutation. Each blood specimen was processed immediately post collection applying two published standard protocols in parallel selecting for EVs and platelets, respectively. The RNA of each fraction was analysed by a highly sensitive ARMS RT-qPCR enabling the quantification of the mutant allele fraction (%MAF) of BRAF V600E down to 0.01%. In a direct comparative analysis, the EV fraction contained detectable BRAF V600E in 10 out of 12 patients, whereas none of the patient platelet fractions resulted in a mutant allele signal. The platelet fraction of all 12 patients contained high amounts of wild-type BRAF signal, but no mutation signal above background was detectable in any of the samples. Our observations suggest that the phenomenon of tumour RNA transfer to platelets occurs below detection limit since even a very sensitive qPCR assay did not allow for a reliable detection of BRAF V600E in the platelet fraction. In contrast, EV fractions derived from the same patients allowed for detection of BRAF V600E in 10 of 12 blood specimens.</t>
  </si>
  <si>
    <t>[Brinkman, Kay; Meyer, Lisa; Bickel, Anne; Enderle, Daniel; Noerholm, Mikkel] Exosome Diagnost GmbH, Martinsried, Germany; [Berking, Carola] Univ Hosp Munich LMU, Dept Dermatol &amp; Allergy, Munich, Germany; [Skog, Johan] Exosome Diagnost Inc, 266 Second Ave,Suite 200, Waltham, MA 02451 USA</t>
  </si>
  <si>
    <t>University of Munich</t>
  </si>
  <si>
    <t>Skog, J (corresponding author), Exosome Diagnost Inc, 266 Second Ave,Suite 200, Waltham, MA 02451 USA.</t>
  </si>
  <si>
    <t>Johan.Skog@bio-techne.com</t>
  </si>
  <si>
    <t>Skog, Johan/0000-0002-0926-1691</t>
  </si>
  <si>
    <t>10.1080/20013078.2020.1741176</t>
  </si>
  <si>
    <t>WOS:000521276200001</t>
  </si>
  <si>
    <t>Barone, M; Barone, M; Ricci, F; Auteri, G; Fabbri, F; Bandini, E; Francia, F; Tazzari, PL; Vianelli, N; Turroni, S; Cavo, M; Catani, L; Candela, M; Palandri, F</t>
  </si>
  <si>
    <t>Barone, Martina; Barone, Monica; Ricci, Francesca; Auteri, Giuseppe; Fabbri, Francesco; Bandini, Erika; Francia, Francesco; Tazzari, Pier Luigi; Vianelli, Nicola; Turroni, Silvia; Cavo, Michele; Catani, Lucia; Candela, Marco; Palandri, Francesca</t>
  </si>
  <si>
    <t>A Specific Host/Microbial Signature of Plasma-Derived Extracellular Vesicles Is Associated to Thrombosis and Marrow Fibrosis in Polycythemia Vera</t>
  </si>
  <si>
    <t>polycythemia vera; extracellular vesicles; microbial DNA cargo; biomarker; thrombosis; marrow fibrosis</t>
  </si>
  <si>
    <t>STAPHYLOCOCCUS-AUREUS; MICROBIOME</t>
  </si>
  <si>
    <t>Simple Summary: Patients with polycythemia vera, a myeloproliferative neoplasm, are at increased risk of thrombosis and progression to myelofibrosis. However, no disease-specific risk factors have been identified so far. Extracellular vesicles, released from a broad variety of cells, are receiving increasing attention for their effects on cell-to-cell communication. In addition, they play a role in cancer and thrombosis. Interestingly, circulating microbial components/microbes have been recently indicated as potential modifiers of inflammation and coagulation. Here, we identified a signature of thrombosis history and marrow fibrosis by analyzing the phenotype and the microbial DNA cargo of the circulating extracellular vesicles after isolation from the plasma of patients with polycythemia vera. These data may support the role of extracellular vesicles as liquid biomarkers of aggressive disease, thus contributing to refining the prognosis of polycythemia vera. Polycythemia vera is a myeloproliferative neoplasm with increased risk of thrombosis and progression to myelofibrosis. However, no disease-specific risk factors have been identified so far. Circulating extracellular vesicles (EVs) are mostly of megakaryocyte (MK-EVs) and platelet (PLT-EVs) origin and, along with phosphatidylethanolamine (PE)-EVs, play a role in cancer and thrombosis. Interestingly, circulating microbial components/microbes have been recently indicated as potential modifiers of inflammation and coagulation. Here, we investigated phenotype and microbial DNA cargo of EVs after isolation from the plasma of 38 patients with polycythemia vera. Increased proportion of MK-EVs and reduced proportion of PLT-EVs identify patients with thrombosis history. Interestingly, EVs from patients with thrombosis history were depleted in Staphylococcus DNA but enriched in DNA from Actinobacteria members as well as Anaerococcus. In addition, patients with thrombosis history had also lower levels of lipopolysaccharide-associated EVs. In regard to fibrosis, along with increased proportion of PE-EVs, the EVs of patients with marrow fibrosis were enriched in DNA from Collinsella and Flavobacterium. Here, we identified a polycythemia-vera-specific host/microbial EV-based signature associated to thrombosis history and marrow fibrosis. These data may contribute to refining PV prognosis and to identifying novel druggable targets.</t>
  </si>
  <si>
    <t>[Barone, Martina; Auteri, Giuseppe; Cavo, Michele; Catani, Lucia] Univ Bologna, Ist Ematol Seragnoli, Dept Expt Diagnost &amp; Specialty Med, I-40138 Bologna, Italy; [Barone, Monica] Univ Bologna, Dept Med &amp; Surg Sci, I-40138 Bologna, Italy; [Barone, Monica; Francia, Francesco; Turroni, Silvia; Candela, Marco] Univ Bologna, Dept Pharm &amp; Biotechnol, I-40138 Bologna, Italy; [Ricci, Francesca; Tazzari, Pier Luigi] Azienda Osped Univ Bologna, IRCCS, Serv Immunoematol &amp; Trasfus, I-40138 Bologna, Italy; [Fabbri, Francesco; Bandini, Erika] IRCCS, Ist Romagnolo Studio Tumori IRST Dino Amadori, I-47014 Meldola, Italy; [Vianelli, Nicola; Cavo, Michele; Catani, Lucia; Palandri, Francesca] Azienda Osped Univ Bologna, IRCCS, Ist Ematol Seragnoli, I-40138 Bologna, Italy</t>
  </si>
  <si>
    <t>University of Bologna; University of Bologna; University of Bologna; IRCCS Azienda Ospedaliero-Universitaria di Bologna; University of Bologna; IRCCS Azienda Ospedaliero-Universitaria di Bologna; University of Bologna</t>
  </si>
  <si>
    <t>Catani, L (corresponding author), Univ Bologna, Ist Ematol Seragnoli, Dept Expt Diagnost &amp; Specialty Med, I-40138 Bologna, Italy.;Catani, L (corresponding author), Azienda Osped Univ Bologna, IRCCS, Ist Ematol Seragnoli, I-40138 Bologna, Italy.</t>
  </si>
  <si>
    <t>martina.barone5@unibo.it; monica.barone@unibo.it; francesca.ricci@aosp.bo.it; pierluigi.tazzari@aosp.bo.it; francesco.fabbri@irst.emr.it; erika.bandini@irst.emr.it; francesco.francia@unibo.it; pierluigi.tazzari@aosp.bo.it; nicola.vianelli@unibo.it; silvia.turroni@unibo.it; michele.cavo@unibo.it; lucia.catani@unibo.it; marco.candela@unibo.it; francesca.palandri@unibo.it</t>
  </si>
  <si>
    <t>Fabbri, Francesco/K-1751-2018</t>
  </si>
  <si>
    <t>Fabbri, Francesco/0000-0002-7885-3025; Turroni, Silvia/0000-0003-2345-9482; Ricci, Francesca/0000-0003-4387-1415; PALANDRI, FRANCESCA/0000-0001-8367-5668; Bandini, Erika/0000-0002-4378-3573; FRANCIA, FRANCESCO/0000-0003-2888-0938; Catani, Lucia/0000-0002-4650-201X; CAVO, MICHELE/0000-0003-4514-3227</t>
  </si>
  <si>
    <t>10.3390/cancers13194968</t>
  </si>
  <si>
    <t>WOS:000709624800001</t>
  </si>
  <si>
    <t>Rahman, MA; Barger, JF; Lovat, F; Gao, M; Otterson, GA; Nana-Sinkam, P</t>
  </si>
  <si>
    <t>Rahman, Mohammad A.; Barger, Jennifer F.; Lovat, Francesca; Gao, Min; Otterson, Gregory A.; Nana-Sinkam, Patrick</t>
  </si>
  <si>
    <t>Lung cancer exosomes as drivers of epithelial mesenchymal transition</t>
  </si>
  <si>
    <t>exosomes; vimentin; EMT; metastasis; lung cancer</t>
  </si>
  <si>
    <t>COMPLEX CLASS-II; TUMOR-MICROENVIRONMENT; CELLS; EXPRESSION; MICROVESICLES; ACCUMULATION; MOLECULES; VESICLES</t>
  </si>
  <si>
    <t>Exosomes, a subgroup of extracellular vesicles ( EVs), have been shown to serve as a conduit for the exchange of genetic information between cells. Exosomes are released from all types of cells but in abundance from cancer cells. The contents of exosomes consist of proteins and genetic material ( mRNA, DNA and miRNA) from the cell of origin. In this study, we examined the effects of exosomes derived from human lung cancer serum and both highly metastatic and non-metastatic cells on recipient human bronchial epithelial cells ( HBECs). We found that exosomes derived from highly metastatic lung cancer cells and human late stage lung cancer serum induced vimentin expression, and epithelial to mesenchymal transition ( EMT) in HBECs. Exosomes derived from highly metastatic cancer cells as well as late stage lung cancer serum induce migration, invasion and proliferation in non-cancerous recipient cells. Our results suggest that cancer derived exosomes could be a potential mediator of EMT in the recipient cells.</t>
  </si>
  <si>
    <t>[Rahman, Mohammad A.; Barger, Jennifer F.; Nana-Sinkam, Patrick] Ohio State Univ, Div Pulm Allergy Crit Care &amp; Sleep Med, Columbus, OH 43210 USA; [Lovat, Francesca; Nana-Sinkam, Patrick] Ohio State Univ, Dept Mol Virol Immunol &amp; Med Genet, Columbus, OH 43210 USA; [Gao, Min] Kent State Univ, Inst Liquid Crystal, Kent, OH 44242 USA; [Gao, Min] Kent State Univ, Chem Phys Interdisciplinary Program, Kent, OH 44242 USA; [Otterson, Gregory A.; Nana-Sinkam, Patrick] Ohio State Univ, Div Med Oncol, James Comprehens Canc Ctr, Columbus, OH 43210 USA</t>
  </si>
  <si>
    <t>Ohio State University; Ohio State University; Kent State University; Kent State University Kent; Kent State University Salem; Kent State University; Kent State University Kent; Kent State University Salem; James Cancer Hospital &amp; Solove Research Institute; Ohio State University</t>
  </si>
  <si>
    <t>Nana-Sinkam, P (corresponding author), Ohio State Univ, Div Pulm Allergy Crit Care &amp; Sleep Med, Columbus, OH 43210 USA.;Nana-Sinkam, P (corresponding author), Ohio State Univ, Dept Mol Virol Immunol &amp; Med Genet, Columbus, OH 43210 USA.;Nana-Sinkam, P (corresponding author), Ohio State Univ, Div Med Oncol, James Comprehens Canc Ctr, Columbus, OH 43210 USA.</t>
  </si>
  <si>
    <t>patrick.nana-sinkam@osumc.edu</t>
  </si>
  <si>
    <t>AUG 23</t>
  </si>
  <si>
    <t>10.18632/oncotarget.10243</t>
  </si>
  <si>
    <t>WOS:000385435000062</t>
  </si>
  <si>
    <t>Zhang, JL; Shi, JJ; Zhang, HL; Zhu, YF; Liu, W; Zhang, KX; Zhang, ZZ</t>
  </si>
  <si>
    <t>Zhang, Junli; Shi, Jinjin; Zhang, Hongling; Zhu, Yifan; Liu, Wei; Zhang, Kaixiang; Zhang, Zhenzhong</t>
  </si>
  <si>
    <t>Localized fluorescent imaging of multiple proteins on individual extracellular vesicles using rolling circle amplification for cancer diagnosis</t>
  </si>
  <si>
    <t>cancer diagnosis; cancer subtype differentiation; individual extracellular vesicles heterogeneity; localized fluorescent imaging; rolling circle amplification</t>
  </si>
  <si>
    <t>ADHESION MOLECULE EPCAM; EARLY BREAST-CANCER; SURFACE-PROTEINS; EXOSOMES; MUC1; MICROVESICLES; EXPRESSION; BIOMARKERS; LEUKEMIA; BIOPSY</t>
  </si>
  <si>
    <t>Extracellular vesicles (EV) have attracted increasing attention as tumour biomarkers due to their unique biological property. However, conventional methods for EV analysis are mainly based on bulk measurements, which masks the EV-to-EV heterogeneity in tumour diagnosis and classification. Herein, a localized fluorescent imaging method (termed Digital Profiling of Proteins on Individual EV, DPPIE) was developed for analysis of multiple proteins on individual EV. In this assay, an anti-CD9 antibody engineered biochip was used to capture EV from clinical plasma sample. Then the captured EV was specifically recognized by multiple DNA aptamers (CD63/EpCAM/MUC1), followed by rolling circle amplification to generate localized fluorescent signals. By-analyzing the heterogeneity of individual EV, we found that the high-dimensional data collected from each individual EV would provide more precise information than bulk measurement (ELISA) and the percent of CD63/EpCAM/MUC1-triple-positive EV in breast cancer patients was significantly higher than that of healthy donors, and this method can achieve an overall accuracy of 91%. Moreover, using DPPIE, we are able to distinguish the EV between lung adenocarcinoma and lung squamous carcinoma patients. This individual EV heterogeneity analysis strategy provides a new way for digging more information on EV to achieve multi-cancer diagnosis and classification.</t>
  </si>
  <si>
    <t>[Zhang, Junli; Shi, Jinjin; Zhang, Hongling; Zhu, Yifan; Liu, Wei; Zhang, Kaixiang; Zhang, Zhenzhong] Zhengzhou Univ, Sch Pharmaceut Sci, Henan Key Lab Targeting Therapy &amp; Diag Crit Dis, Zhengzhou 450001, Peoples R China</t>
  </si>
  <si>
    <t>Zhengzhou University</t>
  </si>
  <si>
    <t>Zhang, KX; Zhang, ZZ (corresponding author), Zhengzhou Univ, Sch Pharmaceut Sci, Henan Key Lab Targeting Therapy &amp; Diag Crit Dis, Zhengzhou 450001, Peoples R China.</t>
  </si>
  <si>
    <t>zhangkx@zzu.edu.cn; zhangzhenzhong@zzu.edu.cn</t>
  </si>
  <si>
    <t>e12025</t>
  </si>
  <si>
    <t>10.1002/jev2.12025</t>
  </si>
  <si>
    <t>WOS:000610415200005</t>
  </si>
  <si>
    <t>Zmigrodzka, M; Witkowska-Pilaszewicz, O; Pingwara, R; Winnicka, A</t>
  </si>
  <si>
    <t>Zmigrodzka, Magdalena; Witkowska-Pilaszewicz, Olga; Pingwara, Rafal; Winnicka, Anna</t>
  </si>
  <si>
    <t>Platelet Extracellular Vesicles Are Taken up by Canine T Lymphocytes but Do Not Play a Role in Their Proliferation, Differentiation and Cytokine Production In Vitro</t>
  </si>
  <si>
    <t>extracellular vesicles; exosomes; platelets; lymphocytes; dog; T-cells; B-cells; proliferation; IFN-gamma; IL-17</t>
  </si>
  <si>
    <t>ACTIVATED PLATELETS; MICROPARTICLES; MICROVESICLES; BLOOD; CELLS; EXOSOMES; INDUCTION; APOPTOSIS; TIME</t>
  </si>
  <si>
    <t>Eukaryotic and prokaryotic cells in physiological and pathological conditions form membrane-bound extracellular vesicles, known as EVs. The ability of these submicron structures to transfer their cargoes (miRNA, DNA, protein, cytokines, receptors, etc.) into recipient cells is described. Recent data revealed that platelet-derived extracellular vesicles (PEVs) crosstalk promotes cancer growth and metastasis formation. Moreover, they exert immunosuppressive activities on phagocytes. This EV subpopulation is the most abundant amongst all types in circulation. According to the authors' best knowledge, there is no information regarding the impact of PEVs on canine lymphocytes. The aim of this study was to evaluate the influence of PEVs on lymphocyte proliferation, phenotype and cytokine production in vitro. In the study, it was demonstrated (i) that PEVs interact differently with lymphocyte subsets and are preferentially associated with T-lymphocytes PBMC, while (ii) they are rarely detected in association with B-lymphocytes, and there is evidence that (iii) PEV uptake is observed after 7 h of co-culturing with lymphocytes. In addition, obtained data support the notion that PEVs do not influence in vitro lymphocyte proliferation, differentiation and cytokine production in a canine model.</t>
  </si>
  <si>
    <t>[Zmigrodzka, Magdalena; Winnicka, Anna] Warsaw Univ Life Sci WULS SGGW, Inst Vet Med, Dept Pathol &amp; Vet Diagnost, PL-02787 Warsaw, Poland; [Witkowska-Pilaszewicz, Olga] Warsaw Univ Life Sci WULS SGGW, Inst Vet Med, Dept Large Anim Dis &amp; Clin, PL-02787 Warsaw, Poland; [Pingwara, Rafal] Warsaw Univ Life Sci WULS SGGW, Inst Vet Med, Dept Physiol Sci, PL-02787 Warsaw, Poland</t>
  </si>
  <si>
    <t>Warsaw University of Life Sciences; Warsaw University of Life Sciences; Warsaw University of Life Sciences</t>
  </si>
  <si>
    <t>Zmigrodzka, M (corresponding author), Warsaw Univ Life Sci WULS SGGW, Inst Vet Med, Dept Pathol &amp; Vet Diagnost, PL-02787 Warsaw, Poland.</t>
  </si>
  <si>
    <t>magdalena_zmigrodzka@sggw.edu.pl; pilaszewicz@sggw.edu.pl; rafal_pingwara@sggw.edu.pl; anna_winnicka@sggw.edu.pl</t>
  </si>
  <si>
    <t>Pingwara, Rafał/ABH-6254-2020</t>
  </si>
  <si>
    <t>Pingwara, Rafał/0000-0001-8650-1161</t>
  </si>
  <si>
    <t>10.3390/ijms23105504</t>
  </si>
  <si>
    <t>WOS:000801725800001</t>
  </si>
  <si>
    <t>Winters, CM; Hong-Brown, LQ; Chiang, HL</t>
  </si>
  <si>
    <t>Winters, Chelsea M.; Hong-Brown, Ly Q.; Chiang, Hui-Ling</t>
  </si>
  <si>
    <t>The Shape of Vesicle-Containing Organelles Is Critical for Their Functions in Vesicle Endocytosis</t>
  </si>
  <si>
    <t>Pil1p; eisosomes; extracellular vesicles; vacuole import; degradation</t>
  </si>
  <si>
    <t>VID VESICLES; EXTRACELLULAR VESICLES; DEGRADATION PATHWAY; VACUOLE IMPORT; SACCHAROMYCES-CEREVISIAE; ACTIN PATCHES; FRUCTOSE-1,6-BISPHOSPHATASE; PROTEIN; ORGANIZATION; ASSOCIATION</t>
  </si>
  <si>
    <t>Exosomes are small vesicles secreted by a variety of cell types under physiological and pathological conditions. When Saccharomyces cerevisiae are grown in low glucose, small vesicles carrying more than 300 proteins with diverse biological functions are secreted. Upon glucose addition, secreted vesicles are endocytosed that requires cup-shaped organelles containing the major eisosome protein Pil1p at the rims. We aim to identify genes that regulate the function of cup-shaped organelles in vesicle endocytosis. In cells lacking either VID27 or VID21, Pil1p distribution was altered and cup-shaped organelles became elongated with narrower openings. Change in shape reduced the number of vesicles in the deeper areas and impaired vesicle endocytosis. Vid21p and Vid27p were localized to vesicle clusters and interacted with other Vid proteins. In the absence of these genes, these vesicles failed to aggregate and were secreted. Vid21p and Vid27p are required for the aggregation and retention of vesicles that contain Vid proteins in the cytoplasm. Increased vesicles near the plasma membrane in mutant strains correlate with an increased Pil1p movement resulting in the fusion of cup-shaped organelles. We conclude that the shape of vesicle-containing organelles is critical for their functions in vesicle endocytosis.</t>
  </si>
  <si>
    <t>[Winters, Chelsea M.; Hong-Brown, Ly Q.; Chiang, Hui-Ling] Penn State Univ, Dept Cellular &amp; Mol Physiol, Coll Med, 500 Univ Dr, Hershey, PA 17033 USA</t>
  </si>
  <si>
    <t>Pennsylvania Commonwealth System of Higher Education (PCSHE); Pennsylvania State University; Penn State Health</t>
  </si>
  <si>
    <t>Chiang, HL (corresponding author), Penn State Univ, Dept Cellular &amp; Mol Physiol, Coll Med, 500 Univ Dr, Hershey, PA 17033 USA.</t>
  </si>
  <si>
    <t>hchiang@pennstatehealth.psu.edu</t>
  </si>
  <si>
    <t>10.1089/dna.2017.3847</t>
  </si>
  <si>
    <t>WOS:000415091900005</t>
  </si>
  <si>
    <t>Pinto, DO; DeMarino, C; Pleet, ML; Cowen, M; Branscome, H; Al Sherif, S; Jones, J; Dutartre, H; Lepene, B; Liotta, LA; Mahieux, R; Kashanchi, F</t>
  </si>
  <si>
    <t>Pinto, Daniel O.; DeMarino, Catherine; Pleet, Michelle L.; Cowen, Maria; Branscome, Heather; Al Sherif, Sarah; Jones, Jennifer; Dutartre, Helene; Lepene, Benjamin; Liotta, Lance A.; Mahieux, Renaud; Kashanchi, Fatah</t>
  </si>
  <si>
    <t>HTLV-1 Extracellular Vesicles Promote Cell-to-Cell Contact</t>
  </si>
  <si>
    <t>HTLV-1; extracellular vesicle; viral spread; tax; cell-to-cell contact; infection; RNA; DNA</t>
  </si>
  <si>
    <t>VIRUS TYPE-I; 1-INFECTED CELLS; TYPE-1 INFECTION; VIRAL SOURCE; LEUKEMIA; EXOSOMES; TAX; P53; TRANSCRIPTION; EXPRESSION</t>
  </si>
  <si>
    <t>Human T-cell leukemia virus-1 (HTLV-1) is a neglected and incurable retrovirus estimated to infect 5 to 10 million worldwide. Specific indigenous Australian populations report infection rates of more than 40%, suggesting a potential evolution of the virus with global implications. HTLV-1 causes adult T-cell leukemia/lymphoma (ATLL), and a neurological disease named HTLV-1 associated myelopathy/tropical spastic paraparesis (HAM/TSP). Even though HTLV-1 transmission primarily occurs from cell-to-cell, there is still a gap of knowledge regarding the mechanisms of viral spread and disease progression. We have recently shown that Extracellular Vesicles (EVs) ubiquitously produced by cells may be used by HTLV-1 to transport viral proteins and RNA, and elicit adverse effects on recipient uninfected cells. The viral proteins Tax and HBZ are involved in disease progression and impairment of autophagy in infected cells. Here, we show that activation of HTLV-1 via ionizing radiation (IR) causes a significant increase of intracellular Tax, but not EV-associated Tax. Also, lower density EVs from HTLV-1-infected cells, separated by an lodixanol density gradient, are positive for gp61+++/Tax+++/HBZ+ proteins (HTLV-1 EVs). We found that HTLV-1 EVs are not infectious when tested in multiple cell lines. However, these EVs promote cell-to-cell contact of uninfected cells, a phenotype which was enhanced with IR, potentially promoting viral spread. We treated humanized NOG mice with HTLV-1 EVs prior to infection and observed an increase in viral RNA synthesis in mice compared to control (EVs from uninfected cells). Proviral DNA levels were also quantified in blood, lung, spleen, liver, and brain post-treatment with HTLV1 EVs, and we observed a consistent increase in viral DNA levels across all tissues, especially the brain. Finally, we show direct implications of EVs in viral spread and disease progression and suggest a two-step model of infection including the release of EVs from donor cells and recruitment of recipient cells as well as an increase in recipient cell-to-cell contact promoting viral spread.</t>
  </si>
  <si>
    <t>[Pinto, Daniel O.; DeMarino, Catherine; Pleet, Michelle L.; Cowen, Maria; Branscome, Heather; Al Sherif, Sarah; Kashanchi, Fatah] George Mason Univ, Sch Syst Biol, Lab Mol Virol, Manassas, VA 20110 USA; [Jones, Jennifer] NCI, Vaccine Branch, NIH, Bethesda, MD 20892 USA; [Dutartre, Helene; Mahieux, Renaud] Univ Claude Bernard Lyon 1, Int Ctr Res Infect Retroviral Oncogenesis Lab, Univ Lyon,Fdn Rech Med,Labex Ecofect, INSERM U1111,CNRS,UMR5308,Ecole Normale Super Lyo, Lyon, France; [Lepene, Benjamin] Ceres Nanosci Inc, Manassas, VA USA; [Liotta, Lance A.] George Mason Univ, Ctr Appl Prote &amp; Mol Med, Manassas, VA USA</t>
  </si>
  <si>
    <t>George Mason University; National Institutes of Health (NIH) - USA; NIH National Cancer Institute (NCI); Centre National de la Recherche Scientifique (CNRS); CNRS - National Institute for Biology (INSB); Institut National de la Sante et de la Recherche Medicale (Inserm); UDICE-French Research Universities; Universite Claude Bernard Lyon 1; George Mason University</t>
  </si>
  <si>
    <t>Kashanchi, F (corresponding author), George Mason Univ, Sch Syst Biol, Lab Mol Virol, Manassas, VA 20110 USA.</t>
  </si>
  <si>
    <t>Dutartre, Helene/L-7463-2019; Jones, Jennifer C/C-8691-2015</t>
  </si>
  <si>
    <t>Dutartre, Helene/0000-0002-2682-4302; Jones, Jennifer C/0000-0002-9488-7719; Pinto, Daniel/0000-0002-1716-0217; mahieux, renaud/0000-0002-5129-6804</t>
  </si>
  <si>
    <t>SEP 18</t>
  </si>
  <si>
    <t>10.3389/fmicb.2019.02147</t>
  </si>
  <si>
    <t>WOS:000486384600001</t>
  </si>
  <si>
    <t>Podgornaya, OI; Vasilyeva, IN; Bespalov, VG</t>
  </si>
  <si>
    <t>Gahan, PB; Fleischhacker, M; Schmidt, B</t>
  </si>
  <si>
    <t>Podgornaya, Olga I.; Vasilyeva, Irina N.; Bespalov, Vladimir G.</t>
  </si>
  <si>
    <t>Heterochromatic Tandem Repeats in the Extracellular DNA</t>
  </si>
  <si>
    <t>CIRCULATING NUCLEIC ACIDS IN SERUM AND PLASMA - CNAPS IX</t>
  </si>
  <si>
    <t>9th International Conference on Circulating Nucleic Acids in Plasma and Serum (CNAPS)</t>
  </si>
  <si>
    <t>SEP 10-12, 2015</t>
  </si>
  <si>
    <t>Berlin, GERMANY</t>
  </si>
  <si>
    <t>Extracellular DNA; Tandem repeats; Centromeric proteins; Apoptosis; Membrane-associated DNA</t>
  </si>
  <si>
    <t>MOUSE GENOME; PLASMA DNA; CELL-FREE</t>
  </si>
  <si>
    <t>Only limited sequencing data of the normal extracellular DNA (ecDNA) are currently available. The uptake of the ecDNA by cultured cells and its integration into the host chromatin have been demonstrated. A number of membrane-bearing vesicles in plasma and serum have been shown to carry nucleic acids. The presence of Tandem Repeat (TR) in both apoptotic DNA of HUVEC culture medium and membrane-associated DNA is shown. The existence and successful application of CREST serum also show the presence of fragments of the centromeric heterochromatin together with their TR and specific proteins in blood. Apparently, pericentromeric and centromeric DNA (TR) should be part of ecDNA in all cases.</t>
  </si>
  <si>
    <t>[Podgornaya, Olga I.] Inst Cytol, St Petersburg, Russia; [Podgornaya, Olga I.] Far Eastern Fed Univ, Vladivostok, Russia; [Vasilyeva, Irina N.; Bespalov, Vladimir G.] NN Petrov Res Inst Oncol, St Petersburg, Russia</t>
  </si>
  <si>
    <t>Russian Academy of Sciences; St. Petersburg Scientific Centre of the Russian Academy of Sciences; Institute of Cytology RAS; Far Eastern Federal University; N.N. Petrov Research Institute of Oncology</t>
  </si>
  <si>
    <t>Podgornaya, OI (corresponding author), Inst Cytol, St Petersburg, Russia.;Podgornaya, OI (corresponding author), Far Eastern Fed Univ, Vladivostok, Russia.</t>
  </si>
  <si>
    <t>opodg@yahoo.com</t>
  </si>
  <si>
    <t>Bespalov, Vladimir VG/K-4239-2013; Podgornaya, Olga/E-4325-2013</t>
  </si>
  <si>
    <t>Bespalov, Vladimir VG/0000-0003-4976-8515; Podgornaya, Olga/0000-0001-5065-5783</t>
  </si>
  <si>
    <t>978-3-319-42044-8; 978-3-319-42042-4</t>
  </si>
  <si>
    <t>10.1007/978-3-319-42044-8_16</t>
  </si>
  <si>
    <t>10.1007/978-3-319-42044-8</t>
  </si>
  <si>
    <t>Book Citation Index – Science (BKCI-S); Conference Proceedings Citation Index - Science (CPCI-S); Science Citation Index Expanded (SCI-EXPANDED)</t>
  </si>
  <si>
    <t>WOS:000401116800017</t>
  </si>
  <si>
    <t>Miao, P; Ma, XY; Xie, LJ; Tang, YG; Sun, XH; Wen, Z; Wang, ZL</t>
  </si>
  <si>
    <t>Miao, Peng; Ma, Xiaoyi; Xie, Lingjie; Tang, Yuguo; Sun, Xuhui; Wen, Zhen; Wang, Zhonglin</t>
  </si>
  <si>
    <t>Tetrahedral DNA mediated direct quantification of exosomes by contact-electrification effect</t>
  </si>
  <si>
    <t>NANO ENERGY</t>
  </si>
  <si>
    <t>Triboelectric nanogenerator; Contact-electrification effect; Aptamer; Exosome; Tetrahedral DNA</t>
  </si>
  <si>
    <t>PROBE FORCE MICROSCOPY; ELECTROCHEMICAL DETECTION; APTASENSOR; MICRORNA; ENERGY</t>
  </si>
  <si>
    <t>Exosomes are membrane-enclosed extracellular vesicles carrying multiple biomolecules for intercellular communications. Accurate detection of exosomes could provide critical clinical information and show great significance for early diagnosis and personalized therapy of cancer. In this work, we propose a triboelectric sensing strategy for direct quantification of exosomes based on the contact-electrification effect. The target exosomes can be selectively captured on the three-dimensional tetrahedral DNA (TDNA) monolayer. The electrons transfer between abundant amino groups from exosomes and the tribo-materials contribute to the measured signal. Due to the specific output characteristic, it is able to directly discriminate 3 exosomes /mu L with a linear range from 20 to 1000 exosomes/mu L, even without any signal amplification. The challenges for distinguishing different cell linederived exosomes and anti-interference in complicated biological serum systems show good performances. The presence of target exosomes can also be easily determined by visual observation of LED lighted by the generated electric energy. The proposed method can be used as a powerful tool for ultrasensitive analysis of exosomes, which is expected to have broad biological and analytical applications.</t>
  </si>
  <si>
    <t>[Miao, Peng; Ma, Xiaoyi; Tang, Yuguo] Chinese Acad Sci, Suzhou Inst Biomed Engn &amp; Technol, Suzhou 215163, Peoples R China; [Wang, Zhonglin] Chinese Acad Sci, Beijing Inst Nanoenergy &amp; Nanosyst, Beijing 100083, Peoples R China; [Xie, Lingjie; Sun, Xuhui; Wen, Zhen] Soochow Univ, Inst Funct Nano &amp; Soft Mat FUNSOM, Jiangsu Key Lab Carbon Based Funct Mat &amp; Devices, Suzhou 215123, Peoples R China; [Wang, Zhonglin] Georgia Inst Technol, Sch Mat Sci &amp; Engn, Atlanta, GA 30332 USA</t>
  </si>
  <si>
    <t>Chinese Academy of Sciences; Suzhou Institute of Biomedical Engineering &amp; Technology, CAS; Chinese Academy of Sciences; Beijing Institute of Nanoenergy &amp; Nanosystems, CAS; Soochow University - China; University System of Georgia; Georgia Institute of Technology</t>
  </si>
  <si>
    <t>Wang, ZL (corresponding author), Chinese Acad Sci, Beijing Inst Nanoenergy &amp; Nanosyst, Beijing 100083, Peoples R China.;Wen, Z (corresponding author), Soochow Univ, Inst Funct Nano &amp; Soft Mat FUNSOM, Jiangsu Key Lab Carbon Based Funct Mat &amp; Devices, Suzhou 215123, Peoples R China.</t>
  </si>
  <si>
    <t>wenzhen2011@suda.edu.cn; zhong.wang@mse.gatech.edu</t>
  </si>
  <si>
    <t>Wen, Zhen/B-2462-2016</t>
  </si>
  <si>
    <t>Wen, Zhen/0000-0001-9780-6876</t>
  </si>
  <si>
    <t>2211-2855</t>
  </si>
  <si>
    <t>2211-3282</t>
  </si>
  <si>
    <t>10.1016/j.nanoen.2021.106781</t>
  </si>
  <si>
    <t>Chemistry, Physical; Nanoscience &amp; Nanotechnology; Materials Science, Multidisciplinary; Physics, Applied</t>
  </si>
  <si>
    <t>WOS:000726773700001</t>
  </si>
  <si>
    <t>Kong, LH; Tang, XF; Kang, YY; Dong, L; Tong, JH; Xu, JZ; Gao, PJ; Wang, JG; Shen, WL; Zhu, LM</t>
  </si>
  <si>
    <t>Kong, Linghui; Tang, Xiaofeng; Kang, Yuanyuan; Dong, Lei; Tong, Jianhua; Xu, Jianzhong; Gao, Ping-jin; Wang, Ji-guang; Shen, Weili; Zhu, Limin</t>
  </si>
  <si>
    <t>The Role of Urinary Extracellular Vesicles Sodium Chloride Cotransporter in Subtyping Primary Aldosteronism</t>
  </si>
  <si>
    <t>FRONTIERS IN ENDOCRINOLOGY</t>
  </si>
  <si>
    <t>primary aldosteronism; adrenal venous sampling; extracellular vesicles; NCC; KCNJ5</t>
  </si>
  <si>
    <t>KCNJ5 MUTATION; POTASSIUM; EXOSOMES</t>
  </si>
  <si>
    <t>BackgroundAdrenal venous sampling (AVS) is recognized as the gold standard for subtyping primary aldosteronism (PA), but its invasive nature and technical challenges limit its availability. A recent study reported that sodium chloride cotransporter (NCC) in urinary extracellular vesicles (uEVs) is a promising marker for assessing the biological activity of aldosterone and can be treated as a potential biomarker of PA. The current study was conducted to verify the hypothesis that the expression of NCC and its phosphorylated form (pNCC) in uEVs are different in various subtypes and genotypes of PA and can be used to select AVS candidates. MethodsA total of 50 patients with PA were enrolled in the study. Urinary extracellular vesicles (uEVs) were isolated from spot urine samples using ultracentrifugation. NCC and pNCC expressions were tested in patients diagnosed with PA who underwent AVS. Sanger sequencing of KCNJ5 was performed on DNA extracted from adrenal adenoma. ResultspNCC (1.89 folds, P&lt;.0001) and NCC (1.82 folds, P=0.0002) was more abundant in the uEVs in the high lateralization index (h-LI, &gt;= 4) group than in the low LI (l-LI, &lt; 4) group. Carriers of the somatic KCNJ5 mutations, compared with non-carriers, had more abundant pNCC expression (2.16 folds, P=0.0039). Positive correlation between pNCC abundance and plasma aldosterone level was found in this study (R = 0.1220, P = 0.0129). ConclusionsThe expression of pNCC in uEVs in patients with PA with various subtypes and genotypes was different. It can be used as biomarker of AVS for PA subtyping.</t>
  </si>
  <si>
    <t>[Kong, Linghui; Tang, Xiaofeng; Kang, Yuanyuan; Xu, Jianzhong; Gao, Ping-jin; Wang, Ji-guang; Shen, Weili; Zhu, Limin] Shanghai Jiao Tong Univ, Dept Cardiovasc Med, State Key Lab Med Genom,Ruijin Hosp,Sch Med, Shanghai Key Lab Hypertens,Shanghai Inst Hyperten, Shanghai, Peoples R China; [Dong, Lei] Shanghai Jiao Tong Univ, Dept Pathol, Ruijin Hosp, Sch Med, Shanghai, Peoples R China; [Tong, Jianhua] Shanghai Jiao Tong Univ, Dept Lab Med &amp; Cent Lab, Sch Med, Shanghai, Peoples R China</t>
  </si>
  <si>
    <t>Chinese Academy of Sciences; Shanghai Jiao Tong University; Shanghai Jiao Tong University; Shanghai Jiao Tong University</t>
  </si>
  <si>
    <t>Shen, WL; Zhu, LM (corresponding author), Shanghai Jiao Tong Univ, Dept Cardiovasc Med, State Key Lab Med Genom,Ruijin Hosp,Sch Med, Shanghai Key Lab Hypertens,Shanghai Inst Hyperten, Shanghai, Peoples R China.</t>
  </si>
  <si>
    <t>wlshen@sibs.ac.cn; zhulimin@rjh.com.cn</t>
  </si>
  <si>
    <t>1664-2392</t>
  </si>
  <si>
    <t>APR 4</t>
  </si>
  <si>
    <t>10.3389/fendo.2022.834409</t>
  </si>
  <si>
    <t>Endocrinology &amp; Metabolism</t>
  </si>
  <si>
    <t>WOS:000788688300001</t>
  </si>
  <si>
    <t>Ibsen, SD; Wright, J; Lewis, JM; Kim, S; Ko, SY; Ong, J; Manouchehri, S; Vyas, A; Akers, J; Chen, CC; Carter, BS; Esener, SC; Heller, MJ</t>
  </si>
  <si>
    <t>Ibsen, Stuart D.; Wright, Jennifer; Lewis, Jean M.; Kim, Sejung; Ko, Seo-Yeon; Ong, Jiye; Manouchehri, Sareh; Vyas, Ankit; Akers, Johnny; Chen, Clark C.; Carter, Bob S.; Esener, Sadik C.; Heller, Michael J.</t>
  </si>
  <si>
    <t>Rapid Isolation and Detection of Exosomes and Associated Biomarkers from Plasma</t>
  </si>
  <si>
    <t>dielectrophoresis; exosomes; blood plasma; cancer biomarkers; extracellular vesicles</t>
  </si>
  <si>
    <t>HUMAN BLOOD-PLASMA; DIELECTROPHORETIC ISOLATION; PANCREATIC-CANCER; RNA; DNA; NANOPARTICLES; VESICLES; MICROVESICLES; SEPARATION; STABILITY</t>
  </si>
  <si>
    <t>Exosomes found in the circulation are a primary source of important cancer-related RNA and protein biomarkers that are expected to lead to early detection, liquid biopsy, and point-of-care diagnostic applications. Unfortunately, due to their small size (50-150 nm) and low density, exosomes are extremely difficult to isolate from plasma. Current isolation methods are time-consuming multistep procedures that are unlikely to translate into diagnostic applications. To address this issue, we demonstrate the ability of an alternating current electrokinetic (ACE) microarray chip device to rapidly isolate and recover glioblastoma exosomes from undiluted human plasma samples. The ACE device requires a small plasma sample (30-50 mu L) and is able to concentrate the exosomes into high-field regions around the ACE microelectrodes within 15 min. A simple buffer wash removes bulk plasma materials, leaving the exosomes concentrated on the microelectrodes. The entire isolation process and on-chip fluorescence analysis is completed in less than 30 min which enables subsequent on-chip immunofluorescence detection of exosomal proteins, and provides viable mRNA for RT-PCR analysis. These results demonstrate the ability of the ACE device to streamline the process for isolation and recovery of exosomes, significantly reducing the number of processing steps and time required.</t>
  </si>
  <si>
    <t>[Ibsen, Stuart D.; Wright, Jennifer; Lewis, Jean M.; Ko, Seo-Yeon; Ong, Jiye; Vyas, Ankit; Esener, Sadik C.; Heller, Michael J.] Univ Calif San Diego, Dept Nanoengn, La Jolla, CA 92093 USA; [Kim, Sejung] Univ Calif San Diego, Mat Sci &amp; Engn, La Jolla, CA 92093 USA; [Manouchehri, Sareh] Univ Calif San Diego, Dept Bioengn, La Jolla, CA 92093 USA; [Akers, Johnny; Chen, Clark C.; Carter, Bob S.] Univ Calif San Diego, Moores Canc Ctr, La Jolla, CA 92093 USA</t>
  </si>
  <si>
    <t>University of California System; University of California San Diego; University of California System; University of California San Diego; University of California System; University of California San Diego; University of California System; University of California San Diego</t>
  </si>
  <si>
    <t>Heller, MJ (corresponding author), Univ Calif San Diego, Dept Nanoengn, La Jolla, CA 92093 USA.</t>
  </si>
  <si>
    <t>mheller@ucsd.edu</t>
  </si>
  <si>
    <t>Carter, Bob/AAB-4868-2021</t>
  </si>
  <si>
    <t>Carter, Bob/0000-0002-3586-1324; Lewis, Jean/0000-0001-6978-5166</t>
  </si>
  <si>
    <t>10.1021/acsnano.7b00549</t>
  </si>
  <si>
    <t>WOS:000406649700012</t>
  </si>
  <si>
    <t>Nair, RR; Mazza, D; Brambilla, F; Gorzanelli, A; Agresti, A; Bianchi, ME</t>
  </si>
  <si>
    <t>Nair, Rohini Ravindran; Mazza, Davide; Brambilla, Francesca; Gorzanelli, Andrea; Agresti, Alessandra; Bianchi, Marco E.</t>
  </si>
  <si>
    <t>LPS-Challenged Macrophages Release Microvesicles Coated With Histones</t>
  </si>
  <si>
    <t>histones; nucleosomes; macrophages; microvesicles; LPS; inflammation</t>
  </si>
  <si>
    <t>EXTRACELLULAR HISTONES; SURVIVAL; DEATH; MEDIATORS; TLR2</t>
  </si>
  <si>
    <t>Histones are the protein component of nucleosomes, which are the basic packing unit of chromatin. However, histones are also found in the blood, both as components of nucleosomes leaked out from dead cells, or expelled from neutrophils in the active process of NET formation. Circulating histones contribute to inflammation, and to lethality in sepsis, a hyperinflammatory condition, by interacting with specific receptors, notably toll-like receptor 4 (TLR4). Here, we show that histones are also actively released by LPS-activated macrophages in association with extracellular vesicles. Vesicle-associated histones can be recovered from the plasma of mice with sepsis. Actively released his tones are on the outer surface of vesicles and can interact with TLR4. Thus, activated macrophages release histones without dying, at the same time, making their DNA more accessible and communicating to other cells that infection is present.</t>
  </si>
  <si>
    <t>[Nair, Rohini Ravindran; Mazza, Davide; Brambilla, Francesca; Gorzanelli, Andrea; Agresti, Alessandra; Bianchi, Marco E.] San Raffaele Univ, San Raffaele Sci Inst, Milan, Italy</t>
  </si>
  <si>
    <t>Vita-Salute San Raffaele University</t>
  </si>
  <si>
    <t>Agresti, A; Bianchi, ME (corresponding author), San Raffaele Univ, San Raffaele Sci Inst, Milan, Italy.</t>
  </si>
  <si>
    <t>agresti.alessandra@hsr.it; bianchi.marco@hsr.it</t>
  </si>
  <si>
    <t>Bianchi, Marco Emilio/K-3417-2018; Nair, Rohini/AAX-9658-2020; Agresti, Alessandra/Q-4394-2019; Agresti, Alessandra/K-5228-2016; Mazza, Davide/R-5340-2016</t>
  </si>
  <si>
    <t>Bianchi, Marco Emilio/0000-0002-5329-6445; Nair, Rohini/0000-0002-7584-1010; Agresti, Alessandra/0000-0001-5006-9506; Agresti, Alessandra/0000-0001-5006-9506; Mazza, Davide/0000-0003-2776-4142; Brambilla, Francesca/0000-0001-9982-6133</t>
  </si>
  <si>
    <t>JUN 27</t>
  </si>
  <si>
    <t>10.3389/fimmu.2018.01463</t>
  </si>
  <si>
    <t>WOS:000436466800001</t>
  </si>
  <si>
    <t>Ayed, Z; Cuvillier, L; Dobhal, G; Goreham, RV</t>
  </si>
  <si>
    <t>Ayed, Zeineb; Cuvillier, Luana; Dobhal, Garima; Goreham, Renee, V</t>
  </si>
  <si>
    <t>Electroporation of outer membrane vesicles derived from Pseudomonas aeruginosa with gold nanoparticles</t>
  </si>
  <si>
    <t>SN APPLIED SCIENCES</t>
  </si>
  <si>
    <t>Extracellular vesicle; Drug delivery; Nanoparticle; Electron microscopy; Exosomes</t>
  </si>
  <si>
    <t>DRUG-DELIVERY; EXOSOMES; SIRNA; BRAIN</t>
  </si>
  <si>
    <t>Since their discovery, extracellular vesicles have gained considerable scientific interest as a novel drug delivery system. In particular, outer membrane vesicles (OMVs) play a critical role in bacteria-bacteria communication and bacteria-host interactions by trafficking cell signalling biochemicals (i.e. DNA, RNA, proteins). Although previous studies have focused on the use of OMVs as vaccines, little work has been done on loading them with functional nanomaterials for drug delivery. We have developed a novel drug delivery system by loading OMVs with gold nanoparticles (AuNPs). AuNPs are versatile nanoparticles that have been extensively used in disease therapeutics. The particles were loaded into the vesicles via electroporation, which uses an electric pulse to create a short-lived electric field. The resulting capacitance on the membrane generates pores in the lipid bilayer of the OMVs allowing AuNPs (or any nanoparticle under 10 nm) inside the vesicles. Closure of the pores of the lipid membrane of the OMVs entraps the nanoparticles as cargo. Transmission electron microscopy was used to confirm the loading of AuNPs inside the OMVs and dynamic light scattering (DLS) and cryogenic scanning electron microscopy (cryo-SEM) verified the size and integrity of the OMVs. This is the first report to load nanoparticles into OMVs, demonstrating a potential method for drug delivery.</t>
  </si>
  <si>
    <t>[Ayed, Zeineb] MacDiarmid Inst, Wellington 6012, New Zealand; [Ayed, Zeineb] Victoria Univ Wellington, Sch Chem Phys Sci, Wellington 6012, New Zealand; [Cuvillier, Luana] Grad Sch Chem Phys &amp; Biol Bordeaux, F-33000 Bordeaux, France; [Dobhal, Garima; Goreham, Renee, V] Univ Newcastle, Sch Math &amp; Phys Sci, Callaghan, NSW 2308, Australia</t>
  </si>
  <si>
    <t>Victoria University Wellington; Victoria University Wellington; University of Newcastle</t>
  </si>
  <si>
    <t>Goreham, RV (corresponding author), Univ Newcastle, Sch Math &amp; Phys Sci, Callaghan, NSW 2308, Australia.</t>
  </si>
  <si>
    <t>zeineb.ayed@vuw.ac.nz; renee.goreham@newcastle.edu.au</t>
  </si>
  <si>
    <t>Goreham, Renee/AAP-6920-2020</t>
  </si>
  <si>
    <t>Goreham, Renee/0000-0002-6511-6464; Ayed, zeineb/0000-0002-9524-749X</t>
  </si>
  <si>
    <t>2523-3963</t>
  </si>
  <si>
    <t>2523-3971</t>
  </si>
  <si>
    <t>10.1007/s42452-019-1646-2</t>
  </si>
  <si>
    <t>WOS:000502036600007</t>
  </si>
  <si>
    <t>Guo, YH; Cao, QH; Zhao, CC; Feng, QM</t>
  </si>
  <si>
    <t>Guo, Yuehua; Cao, Qihang; Zhao, Changchun; Feng, Qiumei</t>
  </si>
  <si>
    <t>Stimuli-responsive DNA microcapsules for homogeneous electrochemiluminescence sensing of tumor exosomes</t>
  </si>
  <si>
    <t>SENSORS AND ACTUATORS B-CHEMICAL</t>
  </si>
  <si>
    <t>ECL; Tumor exosomes; Homogeneous system; DNA microcapsules; Target recycling amplification</t>
  </si>
  <si>
    <t>AMPLIFICATION; RELEASE; SENSOR</t>
  </si>
  <si>
    <t>A homogeneous electrochemiluminescence (ECL) sensing system was designed for highly sensitive detection of tumor exosomes by combining stimuli-responsive DNA microcapsules with target recycling amplification. In this work, CdS quantum dots (QDs) as ECL emitters were sealed in the inner pores of DNA microcapsules with crosslinking DNA shells. In the presence of target exosomes, S4-combined exosomes were formed and then hybridized with the crosslinking base sequences of DNA shells. Thus, DNA microcapsules were effectively unlocked, leading to the release of CdS QDs. The target exosomes-dependent amount of release CdS QDs could be conveniently monitored by ECL technique. With enzymatic recycling binding of target amplification, the proposed homogeneous ECL sensor possessed a wide detection range, high sensitivity and selectivity in complex biological samples.</t>
  </si>
  <si>
    <t>[Cao, Qihang; Zhao, Changchun; Feng, Qiumei] Jiangsu Normal Univ, Sch Chem &amp; Mat Sci, Xuzhou 221116, Jiangsu, Peoples R China; [Guo, Yuehua] Nantong Univ, Res Ctr Clin Med, Affiliated Hosp, Nantong 226001, Peoples R China</t>
  </si>
  <si>
    <t>Jiangsu Normal University; Nantong University</t>
  </si>
  <si>
    <t>Zhao, CC; Feng, QM (corresponding author), Jiangsu Normal Univ, Sch Chem &amp; Mat Sci, Xuzhou 221116, Jiangsu, Peoples R China.</t>
  </si>
  <si>
    <t>zcch@jsnu.edu.cn; fengqiumei@jsnu.edu.cn</t>
  </si>
  <si>
    <t>Feng, Qiumei/0000-0002-6576-6811</t>
  </si>
  <si>
    <t>0925-4005</t>
  </si>
  <si>
    <t>FEB 15</t>
  </si>
  <si>
    <t>10.1016/j.snb.2020.129136</t>
  </si>
  <si>
    <t>JAN 2021</t>
  </si>
  <si>
    <t>Chemistry, Analytical; Electrochemistry; Instruments &amp; Instrumentation</t>
  </si>
  <si>
    <t>Chemistry; Electrochemistry; Instruments &amp; Instrumentation</t>
  </si>
  <si>
    <t>WOS:000612073100004</t>
  </si>
  <si>
    <t>Sauter, ER</t>
  </si>
  <si>
    <t>Sauter, Edward R.</t>
  </si>
  <si>
    <t>Future perspectives for body fluid exosomes and cancer</t>
  </si>
  <si>
    <t>TRANSLATIONAL CANCER RESEARCH</t>
  </si>
  <si>
    <t>Epithelial mesenchymal transition (EMT); transforming growth factor beta; breast milk; exosomes</t>
  </si>
  <si>
    <t>CELL-DERIVED EXOSOMES; PANCREATIC-CANCER; THERAPY; BREAST; DELIVERY; VACCINE; GROWTH</t>
  </si>
  <si>
    <t>Exosomes are extracellular vesicles which contain DNA, RNAs, proteins, carbohydrates and lipids derived from normal and tumor cells that are secreted into body fluids. Exosomes can influence other cells at distance once in body fluids. There are ongoing studies being conducted to determine how exosomes can be used for both the early detection and treatment of cancer. In this article, we discuss some of these diagnostic and therapeutic investigations, some of which may make their way to clinical applicability in the future.</t>
  </si>
  <si>
    <t>[Sauter, Edward R.] Hartford Hosp, Dept Surg, Hartford, CT 06115 USA; [Sauter, Edward R.] Univ Connecticut, Sch Med, Hartford, CT 06112 USA</t>
  </si>
  <si>
    <t>Hartford Hospital; University of Connecticut</t>
  </si>
  <si>
    <t>Sauter, ER (corresponding author), 85 Seymour St, Hartford, CT 06102 USA.</t>
  </si>
  <si>
    <t>edward.sauter@hhchealth.org</t>
  </si>
  <si>
    <t>2218-676X</t>
  </si>
  <si>
    <t>2219-6803</t>
  </si>
  <si>
    <t>S1394</t>
  </si>
  <si>
    <t>S1397</t>
  </si>
  <si>
    <t>10.21037/tcr.2017.09.28</t>
  </si>
  <si>
    <t>WOS:000413979800012</t>
  </si>
  <si>
    <t>Oshchepkova, A; Neumestova, A; Matveeva, V; Artemyeva, L; Morozova, K; Kiseleva, E; Zenkova, M; Vlassov, V</t>
  </si>
  <si>
    <t>Oshchepkova, Anastasiya; Neumestova, Alexandra; Matveeva, Vera; Artemyeva, Lyudmila; Morozova, Ksenia; Kiseleva, Elena; Zenkova, Marina; Vlassov, Valentin</t>
  </si>
  <si>
    <t>Cytochalasin-B-Inducible Nanovesicle Mimics of Natural Extracellular Vesicles That Are Capable of Nucleic Acid Transfer</t>
  </si>
  <si>
    <t>extracellular vesicles (EVs); cytochalasin B; mesenchymal stem cells (MSCs); nucleic acid delivery; nanovesicles; freezing and thawing</t>
  </si>
  <si>
    <t>MESENCHYMAL STEM-CELLS; DELIVERY VEHICLES; CELLULAR DELIVERY; EXOSOMES; SIRNA; DIFFERENTIATION; LIPOSOMES; EXPANSION; CARRIERS; THERAPY</t>
  </si>
  <si>
    <t>Extracellular vesicles provide cell-to-cell communication and have great potential for use as therapeutic carriers. This study was aimed at the development of an extracellular vesicle-based system for nucleic acid delivery. Three types of nanovesicles were assayed as oligonucleotide carriers: Mesenchymal stem cell-derived extracellular vesicles and mimics prepared either by cell treatment with cytochalasin B or by vesicle generation from plasma membrane. Nanovesicles were loaded with a DNA oligonucleotide by freezing/thawing, sonication, or permeabilization with saponin. Oligonucleotide delivery was assayed using HEK293 cells. Extracellular vesicles and mimics were characterized by a similar oligonucleotide loading level but different efficiency of oligonucleotide delivery. Cytochalasin-B-inducible nanovesicles exhibited the highest level of oligonucleotide accumulation in HEK293 cells and a loading capacity of 0.44 +/- 0.05 pmol/mu g. The loaded oligonucleotide was mostly protected from nuclease action.</t>
  </si>
  <si>
    <t>[Oshchepkova, Anastasiya; Neumestova, Alexandra; Matveeva, Vera; Artemyeva, Lyudmila; Zenkova, Marina; Vlassov, Valentin] Inst Chem Biol &amp; Fundamental Med SB RAS, Novosibirsk 630090, Russia; [Morozova, Ksenia; Kiseleva, Elena] Inst Cytol &amp; Genet SB RAS, Novosibirsk 630090, Russia</t>
  </si>
  <si>
    <t>Institute of Chemical Biology &amp; Fundamental Medicine, Siberian Branch of the RAS; Russian Academy of Sciences; Russian Academy of Sciences; Institute of Cytology &amp; Genetics ICG SB RAS</t>
  </si>
  <si>
    <t>Zenkova, M (corresponding author), Inst Chem Biol &amp; Fundamental Med SB RAS, Novosibirsk 630090, Russia.</t>
  </si>
  <si>
    <t>marzen@niboch.nsc.ru</t>
  </si>
  <si>
    <t>Morozova, Ksenia N./N-4990-2019; Oshchepkova, Anastasiya/ABC-8357-2021; Vlassov, Valentin/F-4720-2013</t>
  </si>
  <si>
    <t>Morozova, Ksenia N./0000-0003-3307-8819; Oshchepkova, Anastasiya/0000-0002-0134-0328; Vlassov, Valentin/0000-0003-2845-2992; Zenkova, Marina/0000-0003-4044-1049</t>
  </si>
  <si>
    <t>10.3390/mi10110750</t>
  </si>
  <si>
    <t>WOS:000502255300036</t>
  </si>
  <si>
    <t>Kahlert, C; Melo, SA; Protopopov, A; Tang, JB; Seth, S; Koch, M; Zhang, JH; Weitz, J; Chin, L; Futreal, A; Kalluri, R</t>
  </si>
  <si>
    <t>Kahlert, Christoph; Melo, Sonia A.; Protopopov, Alexei; Tang, Jiabin; Seth, Sahil; Koch, Moritz; Zhang, Jianhua; Weitz, Juergen; Chin, Lynda; Futreal, Andrew; Kalluri, Raghu</t>
  </si>
  <si>
    <t>Identification of Double-stranded Genomic DNA Spanning All Chromosomes with Mutated KRAS and p53 DNA in the Serum Exosomes of Patients with Pancreatic Cancer</t>
  </si>
  <si>
    <t>JOURNAL OF BIOLOGICAL CHEMISTRY</t>
  </si>
  <si>
    <t>Chromosomes; DNA; Exosomes; p53; Pancreatic Cancer; Serum; KRAS; Double-stranded genomic DNA; Mutations</t>
  </si>
  <si>
    <t>TUMOR; MICROVESICLES; CELLS; VESICLES; MICROENVIRONMENT; FORM</t>
  </si>
  <si>
    <t>Exosomes are small vesicles (50-150 nm) of endocytic origin that are released by many different cell types. Exosomes in the tumor microenvironment may play a key role in facilitating cell-cell communication. Exosomes are reported to predominantly contain RNA and proteins. In this study, we investigated whether exosomes from pancreatic cancer cells and serum from patients with pancreatic ductal adenocarcinoma contain genomic DNA. Our results provide evidence that exosomes contain &gt;10-kb fragments of double-stranded genomic DNA. Mutations in KRAS and p53 can be detected using genomic DNA from exosomes derived from pancreatic cancer cell lines and serum from patients with pancreatic cancer. In addition, using whole genome sequencing, we demonstrate that serum exosomes from patients with pancreatic cancer contain genomic DNA spanning all chromosomes. These results indicate that serum-derived exosomes can be used to determine genomic DNA mutations for cancer prediction, treatment, and therapy resistance.</t>
  </si>
  <si>
    <t>[Kahlert, Christoph; Melo, Sonia A.; Kalluri, Raghu] Univ Texas MD Anderson Canc Ctr, Dept Canc Biol, Metastasis Res Ctr, Houston, TX 77030 USA; [Kahlert, Christoph; Chin, Lynda] Heidelberg Univ, Dept Gen Visceral &amp; Transplantat Surg, D-69120 Heidelberg, Germany; [Protopopov, Alexei; Tang, Jiabin; Seth, Sahil; Zhang, Jianhua] Univ Texas MD Anderson Canc Ctr, Inst Appl Canc Sci, Houston, TX 77030 USA; [Koch, Moritz; Weitz, Juergen] Tech Univ Dresden, Dept Gen Visceral &amp; Thorac Surg, D-01307 Dresden, Germany; [Chin, Lynda; Futreal, Andrew] Univ Texas MD Anderson Canc Ctr, Dept Genom Med, Houston, TX 77054 USA</t>
  </si>
  <si>
    <t>University of Texas System; UTMD Anderson Cancer Center; Ruprecht Karls University Heidelberg; University of Texas System; UTMD Anderson Cancer Center; Technische Universitat Dresden; University of Texas System; UTMD Anderson Cancer Center</t>
  </si>
  <si>
    <t>Kalluri, R (corresponding author), Univ Texas MD Anderson Canc Ctr, Dept Canc Biol, Metastasis Res Ctr, 1515 Holcombe Blvd, Houston, TX 77030 USA.</t>
  </si>
  <si>
    <t>rkalluri@MDAnderson.org</t>
  </si>
  <si>
    <t>Seth, Sahil/I-5809-2019; Weitz, Juergen/L-7136-2018; MELO, SONIA/H-8972-2013; Kalluri, Raghu/E-2677-2015</t>
  </si>
  <si>
    <t>Seth, Sahil/0000-0003-4579-3959; MELO, SONIA/0000-0002-2291-4263; Kalluri, Raghu/0000-0002-2190-547X</t>
  </si>
  <si>
    <t>0021-9258</t>
  </si>
  <si>
    <t>1083-351X</t>
  </si>
  <si>
    <t>FEB 14</t>
  </si>
  <si>
    <t>10.1074/jbc.C113.532267</t>
  </si>
  <si>
    <t>WOS:000331403800004</t>
  </si>
  <si>
    <t>Puhka, M; Takatalo, M; Nordberg, ME; Valkonen, S; Nandania, J; Aatonen, M; Yliperttula, M; Laitinen, S; Velagapudi, V; Mirtti, T; Kallioniemi, O; Rannikko, A; Siljander, PRM; Af Hallstrom, TM</t>
  </si>
  <si>
    <t>Puhka, Maija; Takatalo, Maarit; Nordberg, Maria-Elisa; Valkonen, Sami; Nandania, Jatin; Aatonen, Maria; Yliperttula, Marjo; Laitinen, Saara; Velagapudi, Vidya; Mirtti, Tuomas; Kallioniemi, Olli; Rannikko, Antti; Siljander, Pia R-M; Af Hallstrom, Taija Maria</t>
  </si>
  <si>
    <t>Metabolomic Profiling of Extracellular Vesicles and Alternative Normalization Methods Reveal Enriched Metabolites and Strategies to Study Prostate Cancer-Related Changes</t>
  </si>
  <si>
    <t>extracellular vesicles; exosomes; metabolomics; urine; platelets; prostate cancer</t>
  </si>
  <si>
    <t>HUMAN URINARY EXOSOMES; BIOMARKER DISCOVERY; HYALURONAN</t>
  </si>
  <si>
    <t>Body fluids are a rich source of extracellular vesicles (EVs), which carry cargo derived from the secreting cells. So far, biomarkers for pathological conditions have been mainly searched from their protein, (mi) RNA, DNA and lipid cargo. Here, we explored the small molecule metabolites from urinary and platelet EVs relative to their matched source samples. As a proof-of-concept study of intra-EV metabolites, we compared alternative normalization methods to profile urinary EVs from prostate cancer patients before and after prostatectomy and from healthy controls. Methods: We employed targeted ultra-performance liquid chromatography-tandem mass spectrometry to profile over 100 metabolites in the isolated EVs, original urine samples and platelets. We determined the enrichment of the metabolites in the EVs and analyzed their subcellular origin, pathways and relevant enzymes or transporters through data base searches. EV-and urine-derived factors and ratios between metabolites were tested for normalization of the metabolomics data. Results: Approximately 1 x 10(10) EVs were sufficient for detection of metabolite profiles from EVs. The profiles of the urinary and platelet EVs overlapped with each other and with those of the source materials, but they also contained unique metabolites. The EVs enriched a selection of cytosolic metabolites including members from the nucleotide and spermidine pathways, which linked to a number of EV-resident enzymes or transporters. Analysis of the urinary EVs from the patients indicated that the levels of glucuronate, D-ribose 5-phosphate and isobutyryl-L-carnitine were 2-26-fold lower in all pre-prostatectomy samples compared to the healthy control and post-prostatectomy samples (p &lt; 0.05). These changes were only detected from EVs by normalization to EV-derived factors or with metabolite ratios, and not from the original urine samples. Conclusions: Our results suggest that metabolite analysis of EVs from different samples is feasible using a high-throughput platform and relatively small amount of sample material. With the knowledge about the specific enrichment of metabolites and normalization methods, EV metabolomics could be used to gain novel biomarker data not revealed by the analysis of the original EV source materials.</t>
  </si>
  <si>
    <t>[Puhka, Maija; Nordberg, Maria-Elisa; Mirtti, Tuomas; Kallioniemi, Olli; Rannikko, Antti; Af Hallstrom, Taija Maria] Univ Helsinki, Inst Mol Med Finland FIMM, Tukholmankatu 8,POB 20, Helsinki, Finland; [Takatalo, Maarit; Valkonen, Sami; Aatonen, Maria; Siljander, Pia R-M] Univ Helsinki, Fac Pharm, EV Grp, Div Biochem &amp; Biotechnol,Dept Biosci, Helsinki, Finland; [Takatalo, Maarit; Valkonen, Sami; Aatonen, Maria; Siljander, Pia R-M] Univ Helsinki, Fac Pharm, Div Pharmaceut Biosci, Helsinki, Finland; [Valkonen, Sami; Laitinen, Saara] Finnish Red Cross Blood Serv, Helsinki, Finland; [Yliperttula, Marjo] Univ Helsinki, Fac Pharm, Ctr Drug Res, Div Pharmaceut Biosci, Helsinki, Finland; [Nandania, Jatin; Velagapudi, Vidya] Inst Mol Med Finland FIMM, Metabol Unit, Helsinki, Finland; [Mirtti, Tuomas] Helsinki Univ Hosp, Dept Pathol HUSLAB, Helsinki, Finland; [Kallioniemi, Olli] Karolinska Inst, Dept Pathol &amp; Oncol, Sci Life Lab, Solna, Sweden; [Rannikko, Antti] Univ Helsinki, Cent Hosp, Dept Urol, Helsinki, Finland; [Af Hallstrom, Taija Maria] Orion Corp, Orion Pharma, Espoo, Finland</t>
  </si>
  <si>
    <t>University of Helsinki; EV Group; University of Helsinki; University of Helsinki; University of Helsinki; University of Helsinki; Helsinki University Central Hospital; Karolinska Institutet; University of Helsinki; Helsinki University Central Hospital; Orion Corporation</t>
  </si>
  <si>
    <t>Puhka, M (corresponding author), Univ Helsinki, Inst Mol Med Finland FIMM, Tukholmankatu 8,POB 20, Helsinki, Finland.</t>
  </si>
  <si>
    <t>Maija.Puhka@Helsinki.fi</t>
  </si>
  <si>
    <t>Puhka, Maija/AEA-7157-2022; Velagapudi, Vidya/L-7278-2015; Kallioniemi, Olli P/H-5111-2011; Rannikko, Antti/ABB-8453-2020</t>
  </si>
  <si>
    <t>Velagapudi, Vidya/0000-0002-8261-7164; Kallioniemi, Olli P/0000-0002-3231-0332; Rannikko, Antti/0000-0002-4261-3484; Valkonen, Sami/0000-0002-9804-7266; Aatonen, Maria/0000-0002-4819-6722; Mirtti, Tuomas/0000-0003-0455-9891; Siljander, Pia/0000-0003-2326-5821; Takatalo, Maarit/0000-0003-4825-6358; Puhka, Maija/0000-0002-6445-1017</t>
  </si>
  <si>
    <t>10.7150/thno.19890</t>
  </si>
  <si>
    <t>WOS:000410122600002</t>
  </si>
  <si>
    <t>Mannerstrom, B; Kornilov, R; Abu-Shahba, AG; Chowdhury, IM; Sinha, S; Seppanen-Kaijansinkko, R; Kaur, S</t>
  </si>
  <si>
    <t>Mannerstrom, Bettina; Kornilov, Roman; Abu-Shahba, Ahmed G.; Chowdhury, Iftekhar M.; Sinha, Snehadri; Seppanen-Kaijansinkko, Riitta; Kaur, Sippy</t>
  </si>
  <si>
    <t>Epigenetic alterations in mesenchymal stem cells by osteosarcoma-derived extracellular vesicles</t>
  </si>
  <si>
    <t>EPIGENETICS</t>
  </si>
  <si>
    <t>Osteosarcoma; mesenchymal stem cells; osteogenesis; extracellular vesicles; LINE-1 methylation; DNA methylation; flow cytometry</t>
  </si>
  <si>
    <t>CANCER PROGRESSION; MEDIATED TRANSFER; PROGENITOR-CELL; MICROVESICLES; EXOSOMES; HYPERMETHYLATION; MICROENVIRONMENT; HYPOMETHYLATION; PROTEINS; DNA</t>
  </si>
  <si>
    <t>Extracellular vesicles (EVs) are central to intercellular communication and play an important role in cancer progression and development. Osteosarcoma (OS) is an aggressive bone tumour, characterized by the presence of malignant mesenchymal cells. The specific tumour-driving genetic alterations that are associated with OS development are currently poorly understood. Mesenchymal stem cells (MSCs) of osteogenic lineage have been postulated as likely candidates as the cells of origin for OS, thus indicating that MSCs and OS stroma cells may be related cell types. Therefore, this study set out to examine the EV-mediated intercellular crosstalk of MSCs and OS. MSCs and pre-osteoblasts were treated with OS-EVs at different time points, and the epigenetic signature of OS-EVs was assessed by methylation analysis of LINE-1 (long interspersed element) and tumour suppressor genes. In addition, surface markers and expression of specific genes were also evaluated. Our data indicated that OS-EVs mediated LINE-1 hypomethylation in MSCs, whereas an opposite effect was seen in pre-osteoblasts, indicating that MSCs but not pre-osteoblasts were susceptible to epigenetic transformation. Thus, OS-EVs modulated the fate of MSCs by modulating the epigenetic status, and also influenced the expression of genes related to bone microenvironment remodelling. Overall, this study provided evidence that epigenetic regulation appears to be an early event in the transformation of MSCs during the development of OS. Elucidating the mechanisms of EV-mediated communication may lead to new avenues for therapeutic exploitation.</t>
  </si>
  <si>
    <t>[Mannerstrom, Bettina; Kornilov, Roman; Abu-Shahba, Ahmed G.; Chowdhury, Iftekhar M.; Sinha, Snehadri; Seppanen-Kaijansinkko, Riitta; Kaur, Sippy] Univ Helsinki, Dept Oral &amp; Maxillofacial Dis, POB 63, FIN-00014 Helsinki, Finland; [Mannerstrom, Bettina; Kornilov, Roman; Abu-Shahba, Ahmed G.; Chowdhury, Iftekhar M.; Sinha, Snehadri; Seppanen-Kaijansinkko, Riitta; Kaur, Sippy] Helsinki Univ Hosp, POB 63, FIN-00014 Helsinki, Finland; [Abu-Shahba, Ahmed G.] Tanta Univ, Fac Dent, Dept Oral &amp; Maxillofacial Surg, Tanta, Egypt</t>
  </si>
  <si>
    <t>University of Helsinki; University of Helsinki; Helsinki University Central Hospital; Egyptian Knowledge Bank (EKB); Tanta University</t>
  </si>
  <si>
    <t>Kaur, S (corresponding author), Univ Helsinki, Dept Oral &amp; Maxillofacial Dis, POB 63, FIN-00014 Helsinki, Finland.;Kaur, S (corresponding author), Helsinki Univ Hosp, POB 63, FIN-00014 Helsinki, Finland.</t>
  </si>
  <si>
    <t>sippy.kaur@helsinki.fi</t>
  </si>
  <si>
    <t>Mannerström, Bettina/AAL-4214-2020; Seppänen-Kaijasinkko, Riitta/AAE-1476-2021; Mannerström, Bettina IC/F-4002-2016; Abushahba, Ahmed/AAD-7767-2021</t>
  </si>
  <si>
    <t>Mannerström, Bettina IC/0000-0001-9316-5581; Abushahba, Ahmed/0000-0003-2298-9828; Sinha, Snehadri/0000-0002-8080-5305; Chowdhury, Iftekhar Mahmud/0000-0002-0360-6951; Seppanen-Kaijansinkko, Riitta/0000-0001-5348-7121</t>
  </si>
  <si>
    <t>1559-2294</t>
  </si>
  <si>
    <t>1559-2308</t>
  </si>
  <si>
    <t>APR 3</t>
  </si>
  <si>
    <t>10.1080/15592294.2019.1585177</t>
  </si>
  <si>
    <t>MAR 2019</t>
  </si>
  <si>
    <t>WOS:000463538700001</t>
  </si>
  <si>
    <t>Liu, H; Zhang, Q; Wang, SC; Weng, WZ; Jing, YY; Su, JC</t>
  </si>
  <si>
    <t>Liu, Han; Zhang, Qin; Wang, Sicheng; Weng, Weizong; Jing, Yingying; Su, Jiacan</t>
  </si>
  <si>
    <t>Bacterial extracellular vesicles as bioactive nanocarriers for drug delivery: Advances and perspectives</t>
  </si>
  <si>
    <t>BIOACTIVE MATERIALS</t>
  </si>
  <si>
    <t>Bacterial extracellular vesicles; Bioactive nanocarriers; Isolation and purification; Drug delivery</t>
  </si>
  <si>
    <t>OUTER-MEMBRANE VESICLES; GRAM-POSITIVE BACTERIA; PSEUDOMONAS-AERUGINOSA; GUT MICROBIOTA; CELL-WALLS; CANCER; DNA; GENTAMICIN; MECHANISM; PROTEINS</t>
  </si>
  <si>
    <t>Nanosized extracellular vesicles derived from bacteria contain diverse cargo and transfer intercellular bioactive molecules to cells. Due to their favorable intercellular interactions, cell membrane-derived bacterial extracellular vesicles (BEVs) have great potential to become novel drug delivery platforms. In this review, we summarize the biogenesis mechanism and compositions of various BEVs. In addition, an overview of effective isolation and purification techniques of BEVs is provided. In particular, we focus on the application of BEVs as bioactive nanocarriers for drug delivery. Finally, we summarize the advances and challenges of BEVs after providing a comprehensive discussion in each section. We believe that a deeper understanding of BEVs will open new avenues for their exploitation in drug delivery applications.</t>
  </si>
  <si>
    <t>[Liu, Han; Zhang, Qin; Wang, Sicheng; Weng, Weizong; Jing, Yingying; Su, Jiacan] Shanghai Univ, Inst Translat Med, Shanghai 200444, Peoples R China; [Wang, Sicheng] Shanghai Zhongye Hosp, Dept Orthoped, Shanghai, Peoples R China</t>
  </si>
  <si>
    <t>Shanghai University</t>
  </si>
  <si>
    <t>Weng, WZ; Jing, YY; Su, JC (corresponding author), Shanghai Univ, Inst Translat Med, Shanghai 200444, Peoples R China.</t>
  </si>
  <si>
    <t>drwengweizong@163.com; jingy4172@shu.edu.cn; jiacansu@smmu.edu.cn</t>
  </si>
  <si>
    <t>Jiacan, Su/N-7068-2019</t>
  </si>
  <si>
    <t>Su, Jiacan/0000-0001-7080-263X</t>
  </si>
  <si>
    <t>2452-199X</t>
  </si>
  <si>
    <t>10.1016/j.bioactmat.2021.12.006</t>
  </si>
  <si>
    <t>WOS:000788667100001</t>
  </si>
  <si>
    <t>Pedrioli, G; Barberis, M; Magrin, C; Morone, D; Piovesana, E; Senesi, G; Sola, M; Papin, S; Paganetti, P</t>
  </si>
  <si>
    <t>Pedrioli, Giona; Barberis, Marialuisa; Magrin, Claudia; Morone, Diego; Piovesana, Ester; Senesi, Giorgia; Sola, Martina; Papin, Stephanie; Paganetti, Paolo</t>
  </si>
  <si>
    <t>Tau Seeds in Extracellular Vesicles Induce Tau Accumulation in Degradative Organelles of Cells</t>
  </si>
  <si>
    <t>extracellular vesicles; degradative organelles; neurodegeneration; Tau</t>
  </si>
  <si>
    <t>ALZHEIMERS-DISEASE; FIBRIL FORMATION; AUTOPHAGY; PROTEIN; PH; PROPAGATION; LYSOSOME; INTERNALIZATION; TRANSMISSION; AGGREGATION</t>
  </si>
  <si>
    <t>Clinical progression of tauopathies may result from transcellular propagation of pathogenic Tau seeds with the possible involvement of extracellular vesicles (EVs) as transport vectors. We established a cell model for investigating EV delivery of proteins, since the mechanism regulating EV cargo delivery to recipient cells is poorly understood. In our cell model, EVs are readily internalized and accumulate in degradative organelles (DOs). We then show for the first time that in this acidic compartment, profibrillogenic Tau delivered by EVs interacts with Tau expressed by the recipient cells and cause its accumulation by a process that involves the participation of autophagy. Thus, the degradative compartment of cells may represent the subcellular site initiating a cascade of events resulting in early hallmarks of tauopathies. These are characterized by seeded Tau accumulation, pathology-associated epitopes, DO stress, and cytotoxicity. The involvement of autophagy to this process and the relative accessibility of the degradative pathway for extracellular agents, support possible modes of intervention to slow down the progression of neurodegeneration.</t>
  </si>
  <si>
    <t>[Pedrioli, Giona; Barberis, Marialuisa; Magrin, Claudia; Piovesana, Ester; Senesi, Giorgia; Sola, Martina; Papin, Stephanie; Paganetti, Paolo] Ente Osped Cantonale, Neuroctr Southern Switzerland, Neurodegenerat Res Grp, Lab Biomed Neurosci, Lugano, Switzerland; [Pedrioli, Giona] Univ Basel, Program Sci Res, Biozentrum, Basel, Switzerland; [Magrin, Claudia; Piovesana, Ester; Sola, Martina; Paganetti, Paolo] Univ Svizzera Italiana USI, Fac Biomed Sci, Lugano, Switzerland; [Morone, Diego] Univ Svizzera Italiana USI, Fac Biomed Sci, Inst Res Biomed, Lugano, Switzerland; [Senesi, Giorgia] Univ Pavia, Sci Biomed Biomol, Pavia, Italy</t>
  </si>
  <si>
    <t>University of Basel; Universita della Svizzera Italiana; Universita della Svizzera Italiana; University of Pavia</t>
  </si>
  <si>
    <t>Paganetti, P (corresponding author), Ente Osped Cantonale, Neurodegenerat Res Grp, Lab Biomed Neurosci, Neuroctr Southern Switzerland, Via Soi 24, CH-6807 Bellinzona, Switzerland.</t>
  </si>
  <si>
    <t>paolo.paganetti@eoc.ch</t>
  </si>
  <si>
    <t>Paganetti, Paolo/0000-0003-1896-6324</t>
  </si>
  <si>
    <t>10.1089/dna.2021.0485</t>
  </si>
  <si>
    <t>WOS:000683910900001</t>
  </si>
  <si>
    <t>Kanwar, SS; Dunlay, CJ; Simeone, DM; Nagrath, S</t>
  </si>
  <si>
    <t>Kanwar, Shailender Singh; Dunlay, Christopher James; Simeone, Diane M.; Nagrath, Sunitha</t>
  </si>
  <si>
    <t>Microfluidic device (ExoChip) for on-chip isolation, quantification and characterization of circulating exosomes</t>
  </si>
  <si>
    <t>LAB ON A CHIP</t>
  </si>
  <si>
    <t>TUMOR-DERIVED EXOSOMES; EXTRACELLULAR VESICLES; DIAGNOSTIC BIOMARKERS; MICRORNA SIGNATURES; MEMBRANE-VESICLES; PANCREATIC-CANCER; MESSENGER-RNAS; OVARIAN-CANCER; CELLS; MICROVESICLES</t>
  </si>
  <si>
    <t>Membrane bound vesicles, including microvesicles and exosomes, are secreted by both normal and cancerous cells into the extracellular space and in blood circulation. These circulating extracellular vesicles (cirEVs) and exosomes in particular are recognized as a potential source of disease biomarkers. However, to exploit the use of circulatory exosomes as a biomarker, a rapid, high-throughput and reproducible method is required for their isolation and molecular analysis. We have developed a simple, low cost microfluidic-based platform to isolate cirEVs enriched in exosomes directly from blood serum allowing simultaneous capture and quantification of exosomes in a single device. To capture specific exosomes, we employed ExoChip, a microfluidic device fabricated in polydimethylsiloxane (PDMS) and functionalized with antibodies against CD63, an antigen commonly overexpressed in exosomes. Subsequent staining with a fluorescent carbocyanine dye (DiO) that specifically labels the exosomes, we quantitated exosomes using a standard plate-reader. Ten independent ExoChip experiments performed using serum obtained from five pancreatic cancer patients and five healthy individuals revealed a statistically significant increase (2.34 +/- 0.31 fold, p &lt; 0.001) in exosomes captured in cancer patients when compared to healthy individuals. Exosomal origins of ExoChip immobilized vesicles were further confirmed using immuno-electron-microscopy and Western blotting. In addition, we demonstrate the ability of ExoChip to recover exosomes with intact RNA enabling profiling of exosomal-microRNAs through openarray analysis, which has potential applications in biomarker discovery. Based on our findings, ExoChip is a well suited platform to be used as an exosome-based diagnostic and research tool for molecular screening of human cancers.</t>
  </si>
  <si>
    <t>[Kanwar, Shailender Singh; Dunlay, Christopher James; Nagrath, Sunitha] Univ Michigan, Coll Engn, Dept Chem Engn, Ann Arbor, MI 48109 USA; [Kanwar, Shailender Singh; Nagrath, Sunitha] Univ Michigan, Biointerfaces Inst, Ann Arbor, MI 48109 USA; [Simeone, Diane M.; Nagrath, Sunitha] Univ Michigan, Translat Oncol Program, Ann Arbor, MI 48109 USA; [Simeone, Diane M.] Univ Michigan, Dept Surg, Ann Arbor, MI 48109 USA; [Simeone, Diane M.] Univ Michigan, Dept Mol &amp; Integrat Physiol, Ann Arbor, MI 48109 USA</t>
  </si>
  <si>
    <t>University of Michigan System; University of Michigan; University of Michigan System; University of Michigan; University of Michigan System; University of Michigan; University of Michigan System; University of Michigan; University of Michigan System; University of Michigan</t>
  </si>
  <si>
    <t>Nagrath, S (corresponding author), Univ Michigan, Coll Engn, Dept Chem Engn, 2300 Hayward St, Ann Arbor, MI 48109 USA.</t>
  </si>
  <si>
    <t>snagrath@umich.edu</t>
  </si>
  <si>
    <t>1473-0197</t>
  </si>
  <si>
    <t>1473-0189</t>
  </si>
  <si>
    <t>10.1039/c4lc00136b</t>
  </si>
  <si>
    <t>Biochemical Research Methods; Chemistry, Multidisciplinary; Chemistry, Analytical; Nanoscience &amp; Nanotechnology; Instruments &amp; Instrumentation</t>
  </si>
  <si>
    <t>Biochemistry &amp; Molecular Biology; Chemistry; Science &amp; Technology - Other Topics; Instruments &amp; Instrumentation</t>
  </si>
  <si>
    <t>WOS:000335925400014</t>
  </si>
  <si>
    <t>Anselmo, A; Frank, D; Papa, L; Anselmi, CV; Di Pasquale, E; Mazzola, M; Panico, C; Clemente, F; Soldani, C; Pagiatakis, C; Hinkel, R; Thalmann, R; Kozlik-Feldmann, R; Miragoli, M; Carullo, P; Vacchiano, M; Chaves-Sanjuan, A; Santo, N; Losi, MA; Ferrari, MC; Puca, AA; Christiansen, V; Seoudy, H; Freitag-Wolf, S; Frey, N; Dempfle, A; Mercola, M; Esposito, G; Briguori, C; Kupatt, C; Condorelli, G</t>
  </si>
  <si>
    <t>Anselmo, Achille; Frank, Derk; Papa, Laura; Anselmi, Chiara Viviani; Di Pasquale, Elisa; Mazzola, Marta; Panico, Cristina; Clemente, Francesca; Soldani, Cristiana; Pagiatakis, Christina; Hinkel, Rabea; Thalmann, Ruth; Kozlik-Feldmann, Reiner; Miragoli, Michele; Carullo, Pierluigi; Vacchiano, Marco; Chaves-Sanjuan, Antonio; Santo, Nadia; Losi, Maria Angela; Ferrari, Matteo Carlo; Puca, Annibale Alessandro; Christiansen, Vincent; Seoudy, Hatim; Freitag-Wolf, Sandra; Frey, Norbert; Dempfle, Astrid; Mercola, Mark; Esposito, Giovanni; Briguori, Carlo; Kupatt, Christian; Condorelli, Gianluigi</t>
  </si>
  <si>
    <t>Myocardial hypoxic stress mediates functional cardiac extracellular vesicle release</t>
  </si>
  <si>
    <t>EUROPEAN HEART JOURNAL</t>
  </si>
  <si>
    <t>Myocardium; CD172a; Extracellular vesicles; Aortic stenosis; Cardiomyocytes</t>
  </si>
  <si>
    <t>CIRCULATING MICROPARTICLES; ENDOTHELIAL MICROPARTICLES; ACID SPHINGOMYELINASE; DNA-SYNTHESIS; CELL; MICROVESICLES; CERAMIDE; ACTIVATION; BIOMARKERS; MICRORNAS</t>
  </si>
  <si>
    <t>Aims Increased shedding of extracellular vesicles (EVs)-small, lipid bilayer-delimited particles with a role in paracrine signalling-has been associated with human pathologies, e.g. atherosclerosis, but whether this is true for cardiac diseases is unknown. Methods amnd results Here, we used the surface antigen CD172a as a specific marker of cardiomyocyte (CM)-derived EVs; the CM origin of CD172a(+) EVs was supported by their content of cardiac-specific proteins and heart-enriched microRNAs. We found that patients with aortic stenosis, ischaemic heart disease, or cardiomyopathy had higher circulating CD172a(+) cardiac EV counts than did healthy subjects. Cellular stress was a major determinant of EV release from CMs, with hypoxia increasing shedding in in vitro and in vivo experiments. At the functional level, EVs isolated from the supernatant of CMs derived from human-induced pluripotent stem cells and cultured in a hypoxic atmosphere elicited a positive inotropic response in unstressed CMs, an effect we found to be dependent on an increase in the number of EVs expressing ceramide on their surface. Of potential clinical relevance, aortic stenosis patients with the highest counts of circulating cardiac CD172a(+) EVs had a more favourable prognosis for transcatheter aortic valve replacement than those with Lower counts. Conclusion We identified circulating CD172a(+) EVs as cardiac derived, showing their release and function and providing evidence for their prognostic potential in aortic stenosis patients. [GRAPHICS] .</t>
  </si>
  <si>
    <t>[Anselmo, Achille; Papa, Laura; Anselmi, Chiara Viviani; Di Pasquale, Elisa; Mazzola, Marta; Panico, Cristina; Clemente, Francesca; Soldani, Cristiana; Pagiatakis, Christina; Miragoli, Michele; Carullo, Pierluigi; Vacchiano, Marco; Ferrari, Matteo Carlo; Condorelli, Gianluigi] IRCCS Humanitas Res Hosp, Via Manzoni 56, I-20089 Rozzano, MI, Italy; [Frank, Derk; Kozlik-Feldmann, Reiner; Seoudy, Hatim; Frey, Norbert] German Ctr Cardiovasc Res DZHK, Hamburg Kiel Lubeck Partner Site, Arnold Heller Str 3, D-24105 Kiel, Germany; [Frank, Derk; Kozlik-Feldmann, Reiner; Christiansen, Vincent; Seoudy, Hatim; Frey, Norbert] Univ Hosp Schleswig Holstein, Dept Internal Med Cardiol &amp; Angiol 3, Arnold Heller Str 3, D-24105 Kiel, Germany; [Di Pasquale, Elisa; Carullo, Pierluigi; Condorelli, Gianluigi] Natl Res Council Italy, Inst Genet &amp; Biomed Res, Arnold Heller Str 3, I-24105 Milan, Italy; [Mazzola, Marta; Miragoli, Michele] Univ Parma, Dept Med &amp; Surg, Via Gramsci 14, I-43126 Parma, Italy; [Hinkel, Rabea; Thalmann, Ruth; Kupatt, Christian] DZHK, Munich Partner Site, Ismaninger Str 22, D-81675 Munich, Germany; [Hinkel, Rabea; Thalmann, Ruth; Kupatt, Christian] Tech Univ Munich, Univ Clin Rechts Isar, Med Klin &amp; Poliklin 1, Ismaninger Str 22, D-81675 Munich, Germany; [Kozlik-Feldmann, Reiner] Univ Med Ctr Hamburg Eppendorf, Dept Paediat Cardiol, Martinistr 52, D-20251 Hamburg, Germany; [Chaves-Sanjuan, Antonio] Univ Milan, Ctr Ric Pediat ER Invernizzi, Via Celoria 26, I-20133 Milan, Italy; [Santo, Nadia] Univ Milan, Bioimaging Facil Unitech Nolimits, Via Golgi 19, I-20133 Milan, Italy; [Losi, Maria Angela; Esposito, Giovanni] Univ Naples Federico II, Dept Adv Biomed Sci, Via S Pansini 5, I-80131 Naples, Italy; [Puca, Annibale Alessandro] IRCCS MultiMed, Ageing Unit, Via G Fantoli 16-15, I-20138 Milan, Italy; [Puca, Annibale Alessandro] Univ Salerno, Dept Med Surg &amp; Dent, Scuola Med Salernitana, Via S Allende, I-84081 Baronissi, SA, Italy; [Freitag-Wolf, Sandra; Dempfle, Astrid] Univ Kiel, Inst Med Informat &amp; Stat, Brunswiker Str 10, D-10 Kiel, Germany; [Mercola, Mark] Stanford Univ, Cardiovasc Inst, 891 Campus Dr, Palo Alto, CA 94305 USA; [Mercola, Mark] Stanford Univ, Dept Med, 891 Campus Dr, Palo Alto, CA 94305 USA; [Briguori, Carlo] Mediterranea Cardioctr, Intervent Cardiol Unit, Via Orazio 2, I-80121 Naples, Italy</t>
  </si>
  <si>
    <t>German Centre for Cardiovascular Research; University of Kiel; Schleswig Holstein University Hospital; Consiglio Nazionale delle Ricerche (CNR); Istituto di Ricerca Genetica e Biomedica (IRGB-CNR); University of Parma; University Hospital of Parma; German Centre for Cardiovascular Research; Technical University of Munich; University of Hamburg; University Medical Center Hamburg-Eppendorf; University of Milan; University of Milan; University of Naples Federico II; IRCCS Multimedica; University of Salerno; University of Kiel; Stanford University; Stanford University</t>
  </si>
  <si>
    <t>Condorelli, G (corresponding author), IRCCS Humanitas Res Hosp, Via Manzoni 56, I-20089 Rozzano, MI, Italy.;Condorelli, G (corresponding author), Natl Res Council Italy, Inst Genet &amp; Biomed Res, Arnold Heller Str 3, I-24105 Milan, Italy.</t>
  </si>
  <si>
    <t>christian.kupatt@tum.de; gianluigi.condorelli@hunimed.eu</t>
  </si>
  <si>
    <t>Chaves-Sanjuan, Antonio/AAA-7172-2019; Hinkel, Rabea/I-9165-2014; Chaves-Sanjuan, Antonio/GLR-8353-2022; Anselmo, Achille/H-7010-2018; Frey, Norbert/M-7749-2019; ESPOSITO, Giovanni/F-2880-2010; Di Pasquale, Elisa/A-4751-2014</t>
  </si>
  <si>
    <t>Chaves-Sanjuan, Antonio/0000-0003-3287-9024; Hinkel, Rabea/0000-0002-2936-0400; Chaves-Sanjuan, Antonio/0000-0003-3287-9024; Anselmo, Achille/0000-0001-6431-8518; Frey, Norbert/0000-0001-7611-378X; Clemente, Francesca/0000-0002-2095-590X; Soldani, Cristiana/0000-0001-5041-9588; Canciello, Grazia/0000-0002-1546-1737; ESPOSITO, Giovanni/0000-0003-0565-7127; Pagiatakis, Christina/0000-0002-9315-9648; Papa, Laura/0000-0001-6564-0496; LOSI, Maria Angela/0000-0001-9819-0401; Di Pasquale, Elisa/0000-0003-2373-5635</t>
  </si>
  <si>
    <t>0195-668X</t>
  </si>
  <si>
    <t>1522-9645</t>
  </si>
  <si>
    <t>JUL 21</t>
  </si>
  <si>
    <t>10.1093/eurheartj/ehab247</t>
  </si>
  <si>
    <t>JUN 2021</t>
  </si>
  <si>
    <t>Cardiac &amp; Cardiovascular Systems</t>
  </si>
  <si>
    <t>Cardiovascular System &amp; Cardiology</t>
  </si>
  <si>
    <t>WOS:000713797700012</t>
  </si>
  <si>
    <t>Kervadec, A; Bellamy, V; El Harane, N; Arakelian, L; Vanneaux, V; Cacciapuoti, I; Nemetalla, H; Perier, MC; Toeg, HD; Richart, A; Lemitre, M; Yin, M; Loyer, X; Larghero, J; Hagege, A; Ruel, M; Boulanger, CM; Silvestre, JS; Menasche, P; Renault, NKE</t>
  </si>
  <si>
    <t>Kervadec, Anais; Bellamy, Valerie; El Harane, Nadia; Arakelian, Lousineh; Vanneaux, Valerie; Cacciapuoti, Isabelle; Nemetalla, Hany; Perier, Marie-Cecile; Toeg, Hadi D.; Richart, Adele; Lemitre, Mathilde; Yin, Min; Loyer, Xavier; Larghero, Jerome; Hagege, Albert; Ruel, Marc; Boulanger, Chantal M.; Silvestre, Jean-Sebastien; Menasche, Philippe; Renault, Nisa K. E.</t>
  </si>
  <si>
    <t>Cardiovascular progenitor-derived extracellular vesicles recapitulate the beneficial effects of their parent cells in the treatment of chronic heart failure</t>
  </si>
  <si>
    <t>JOURNAL OF HEART AND LUNG TRANSPLANTATION</t>
  </si>
  <si>
    <t>extracellular vesicles; microparticles; exosomes; heart failure; cell therapy; embryonic stem cells; cardiovascular progenitor cells</t>
  </si>
  <si>
    <t>MESENCHYMAL STEM-CELLS; MYOCARDIAL-INFARCTION; CARDIAC PROGENITORS; EXOSOMES; THERAPY; MODEL; MICROVESICLES; REGENERATION; COMMUNICATION; MECHANISMS</t>
  </si>
  <si>
    <t>BACKGROUND: Cell-based therapies are being explored as a therapeutic option for patients with chronic heart failure following myocardial infarction. Extracellular vesicles (EV), including exosomes and microparticles, secreted by transplanted cells may orchestrate their paracrine therapeutic effects. We assessed whether post-infarction administration of EV released by human embryonic stem cell derived cardiovascular progenitors (hESC-Pg) can provide equivalent benefits to administered hESC-Pg and whether hESC-Pg and EV treatments activate similar endogenous pathways. METHODS: Mice underwent surgical occlusion of their left coronary arteries. After 2-3 weeks, 95 mice included in the study were treated with hESC-Pg, EV, or Minimal Essential Medium Alpha Medium (alpha-MEM; vehicle control) delivered by percutaneous injections under echocardiographic guidance into the peri-infarct,myocardium. functional and histologic end-points were blindly assessed 6 weeks later, and hearts were processed for gene profiling. Genes differentially expressed between control hearts and hESC-Pg-treated and EV-treated hearts were clustered into functionally relevant pathways. RESULTS: At 6 weeks after hESC-Pg administration, treated mice had significantly reduced left ventricular end-systolic (-4.20 +/- 0.96 mu l or -7.5%, p = 0.0007) and end-diastolic (-4.48 +/- 1.47 mu l or -4.4%, p = 0.009) volumes compared with baseline values despite the absence of any transplanted hESC-Pg or human embryonic stem cell derived cardiomyocytes in the treated mouse hearts. Equal benefits were seen with the injection of hESC-Pg-derived EV, whereas animals injected with alpha-MEM (vehicle control) did not improve significantly. Histologic examination suggested a slight reduction in infarct size in hESC-Pg-treated animals and EV-treated animals compared with alpha-MEM treated control animals. In the hESC-Pg-treated and EV-treated groups, heart gene profiling identified 927 genes that were similarly upregulated compared with the control group. Among the 49 enriched pathways associated with these up-regulated genes that could be related to cardiac function or regeneration, 78% were predicted to improve cardiac function through increased cell survival and/or proliferation or DNA repair as well as pathways related to decreased fibrosis and heart failure. CONCLUSIONS: In this post-infarct heart failure model, either hESC-Pg or their secreted EV enhance recovery of cardiac function and similarly affect cardiac gene expression patterns that could be related to this recovery. Although the mechanisms by which EV improve cardiac function remain to be determined, these results support the idea that a paracrine mechanism is sufficient to effect functional recovery in cell-based therapies for post-infarction related chronic heart failure. (C) 2016 International Society for Heart and Lung Transplantation. All rights reserved.</t>
  </si>
  <si>
    <t>[Kervadec, Anais; Bellamy, Valerie; El Harane, Nadia; Perier, Marie-Cecile; Richart, Adele; Lemitre, Mathilde; Yin, Min; Loyer, Xavier; Hagege, Albert; Boulanger, Chantal M.; Silvestre, Jean-Sebastien; Menasche, Philippe; Renault, Nisa K. E.] Hop Europeen Georges Pompidou, Paris Ctr Rech Cardiovasc, INSERM, U970, Paris, France; [Kervadec, Anais; Bellamy, Valerie; El Harane, Nadia; Perier, Marie-Cecile; Richart, Adele; Lemitre, Mathilde; Yin, Min; Loyer, Xavier; Hagege, Albert; Boulanger, Chantal M.; Silvestre, Jean-Sebastien; Menasche, Philippe; Renault, Nisa K. E.] Univ Paris 05, Sorbonne Paris Cite, UMR S970, Paris, France; [Arakelian, Lousineh; Vanneaux, Valerie; Cacciapuoti, Isabelle; Larghero, Jerome] Hop St Louis, AP HP, Cell Therapy Unit, Paris, France; [Arakelian, Lousineh; Vanneaux, Valerie; Cacciapuoti, Isabelle; Larghero, Jerome] Hop St Louis, INSERM, CIC Biotherapies CBT 501, Paris, France; [Arakelian, Lousineh; Vanneaux, Valerie; Cacciapuoti, Isabelle; Larghero, Jerome] Hop St Louis, U1160, Inst Univ Hematol, Paris, France; [Nemetalla, Hany; Hagege, Albert] Hop Europeen Georges Pompidou, AP HP, Dept Cardiol, Paris, France; [Toeg, Hadi D.; Ruel, Marc] Univ Ottawa, Inst Heart, Div Cardiac Surg, Ottawa, ON, Canada; [Yin, Min; Larghero, Jerome] Univ Paris Diderot, Sorbonne Paris Cite, Paris, France; [Menasche, Philippe] Hop Europeen Georges Pompidou, AP HP, Dept Cardiovasc Surg, Paris, France</t>
  </si>
  <si>
    <t>Assistance Publique Hopitaux Paris (APHP); Hopital Universitaire Europeen Georges-Pompidou - APHP; Institut National de la Sante et de la Recherche Medicale (Inserm); UDICE-French Research Universities; Universite de Paris; UDICE-French Research Universities; Universite de Paris; Assistance Publique Hopitaux Paris (APHP); Hopital Universitaire Saint-Louis - APHP; UDICE-French Research Universities; Universite de Paris; Assistance Publique Hopitaux Paris (APHP); Hopital Universitaire Saint-Louis - APHP; Institut National de la Sante et de la Recherche Medicale (Inserm); UDICE-French Research Universities; Universite de Paris; Assistance Publique Hopitaux Paris (APHP); Hopital Universitaire Saint-Louis - APHP; UDICE-French Research Universities; Universite de Paris; Assistance Publique Hopitaux Paris (APHP); Hopital Universitaire Europeen Georges-Pompidou - APHP; UDICE-French Research Universities; Universite de Paris; University of Ottawa; University of Ottawa Heart Institute; UDICE-French Research Universities; Universite de Paris; Assistance Publique Hopitaux Paris (APHP); Hopital Universitaire Europeen Georges-Pompidou - APHP; UDICE-French Research Universities; Universite de Paris</t>
  </si>
  <si>
    <t>Menasche, P (corresponding author), Hop Europeen Georges Pompidou, Dept Cardiovasc Surg, 20 Rue Leblanc, F-75015 Paris, France.</t>
  </si>
  <si>
    <t>philippe.menasche@aphp.fr</t>
  </si>
  <si>
    <t>LOYER, Xavier/O-7281-2017; Vanneaux, Valérie/D-7853-2017; Boulanger, Chantal M./K-4349-2017; LOYER, Xavier/AAR-2492-2020; Silvestre, Jean-Sebastien/K-7695-2017</t>
  </si>
  <si>
    <t>LOYER, Xavier/0000-0003-4294-3608; Vanneaux, Valérie/0000-0003-0813-2318; Boulanger, Chantal M./0000-0002-3687-651X; LOYER, Xavier/0000-0003-4294-3608; Silvestre, Jean-Sebastien/0000-0003-3962-2205; Kervadec, Anais/0000-0001-8105-6871; RUEL, MARC/0000-0002-0487-1319; HAGEGE, Albert/0000-0003-4685-6077; Cacciapuoti, Isabelle/0000-0001-9290-4661</t>
  </si>
  <si>
    <t>1053-2498</t>
  </si>
  <si>
    <t>1557-3117</t>
  </si>
  <si>
    <t>10.1016/j.healun.2016.01.013</t>
  </si>
  <si>
    <t>Cardiac &amp; Cardiovascular Systems; Respiratory System; Surgery; Transplantation</t>
  </si>
  <si>
    <t>Cardiovascular System &amp; Cardiology; Respiratory System; Surgery; Transplantation</t>
  </si>
  <si>
    <t>WOS:000379367700013</t>
  </si>
  <si>
    <t>Wan, S; Zhang, LQ; Wang, S; Liu, Y; Wu, CC; Cui, C; Sun, H; Shi, ML; Jiang, Y; Li, L; Qiu, LP; Tan, WH</t>
  </si>
  <si>
    <t>Wan, Shuo; Zhang, Liqin; Wang, Sai; Liu, Yuan; Wu, Cuichen; Cui, Cheng; Sun, Hao; Shi, Muling; Jiang, Ying; Li, Long; Qiu, Liping; Tan, Weihong</t>
  </si>
  <si>
    <t>Molecular Recognition-Based DNA Nanoassemblies on the Surfaces of Nanosized Exosomes</t>
  </si>
  <si>
    <t>EXTRACELLULAR VESICLES; PANCREATIC-CANCER; DRUG-DELIVERY; IN-VIVO; CELL; INTERNALIZATION; INJECTION; THERAPY; SIRNA</t>
  </si>
  <si>
    <t>Exosomes are membrane-enclosed extracellular vesicles derived from cells, carrying biomolecules that include proteins and nucleic acids for intercellular communication. Owning to their advantages of size, structure, stability, and biocompatibility, exosomes have been used widely as natural nanocarriers for intracellular delivery of theranostic agents. Meanwhile, surface modifications needed to endow exosomes with additional functionalities remain challenging by their small size and the complexity of their membrane surfaces. Current methods have used genetic engineering and chemical conjugation, but these strategies require complex manipulations and have only limited applications. Herein, we present an aptamer-based DNA nanoassemblies on exosome surfaces. This in situ assembly method is based on molecular recognition between DNA aptamers and their exosome surface markers, as well as DNA hybridization chain reaction initiated by an aptamer-chimeric trigger. It further demonstrated selective assembly on target cell-derived exosomes, but not exosomes derived from nontarget cells. The present work shows that DNA nanostructures can successfully be assembled on a nanosized organelle. This approach is useful for exosome modification and functionalization, which is expected to have broad biomedical and bioanalytical applications.</t>
  </si>
  <si>
    <t>[Wan, Shuo; Zhang, Liqin; Wang, Sai; Liu, Yuan; Wu, Cuichen; Cui, Cheng; Sun, Hao; Shi, Muling; Jiang, Ying; Li, Long; Qiu, Liping; Tan, Weihong] Univ Florida, Dept Chem, Ctr Res Bio Nano Interface, Gainesville, FL 32611 USA; [Wan, Shuo; Zhang, Liqin; Wang, Sai; Liu, Yuan; Wu, Cuichen; Cui, Cheng; Sun, Hao; Shi, Muling; Jiang, Ying; Li, Long; Qiu, Liping; Tan, Weihong] Univ Florida, Dept Physiol &amp; Funct Genom, UF Hlth Canc Ctr, UF Genet Inst, Gainesville, FL 32611 USA; [Wan, Shuo; Zhang, Liqin; Wang, Sai; Liu, Yuan; Wu, Cuichen; Cui, Cheng; Sun, Hao; Shi, Muling; Jiang, Ying; Li, Long; Qiu, Liping; Tan, Weihong] Univ Florida, McKnight Brain Inst, Gainesville, FL 32611 USA; [Zhang, Liqin; Liu, Yuan; Wu, Cuichen; Shi, Muling; Jiang, Ying; Qiu, Liping; Tan, Weihong] Hunan Univ, State Key Lab Chemo Biosensing &amp; Chemometr, Collaborat Innovat Ctr Chem &amp; Mol Med, Mol Sci &amp; Biomed Lab,Coll Chem &amp; Chem Engn,Coll L, Changsha 410082, Hunan, Peoples R China</t>
  </si>
  <si>
    <t>State University System of Florida; University of Florida; State University System of Florida; University of Florida; State University System of Florida; University of Florida; Hunan University</t>
  </si>
  <si>
    <t>Tan, WH (corresponding author), Univ Florida, Dept Chem, Ctr Res Bio Nano Interface, Gainesville, FL 32611 USA.;Tan, WH (corresponding author), Univ Florida, Dept Physiol &amp; Funct Genom, UF Hlth Canc Ctr, UF Genet Inst, Gainesville, FL 32611 USA.;Tan, WH (corresponding author), Univ Florida, McKnight Brain Inst, Gainesville, FL 32611 USA.;Tan, WH (corresponding author), Hunan Univ, State Key Lab Chemo Biosensing &amp; Chemometr, Collaborat Innovat Ctr Chem &amp; Mol Med, Mol Sci &amp; Biomed Lab,Coll Chem &amp; Chem Engn,Coll L, Changsha 410082, Hunan, Peoples R China.</t>
  </si>
  <si>
    <t>tan@chem.ufl.edu</t>
  </si>
  <si>
    <t>Liu, Yuan/G-4834-2016; Tan, Weihong/A-5412-2008; Tan, Weihong/AAA-4536-2020; Sun, Hao/I-4252-2019</t>
  </si>
  <si>
    <t>Liu, Yuan/0000-0002-0024-9290; Tan, Weihong/0000-0002-8066-1524; Sun, Hao/0000-0001-9153-4021; Wang, Sai/0000-0003-1735-6516</t>
  </si>
  <si>
    <t>APR 19</t>
  </si>
  <si>
    <t>10.1021/jacs.7b00319</t>
  </si>
  <si>
    <t>WOS:000399966000005</t>
  </si>
  <si>
    <t>Kaddour, H; Lyu, Y; Shouman, N; Mohan, M; Okeoma, CM</t>
  </si>
  <si>
    <t>Kaddour, Hussein; Lyu, Yuan; Shouman, Nadia; Mohan, Mahesh; Okeoma, Chioma M.</t>
  </si>
  <si>
    <t>Development of Novel High-Resolution Size-Guided Turbidimetry-Enabled Particle Purification Liquid Chromatography (PPLC): Extracellular Vesicles and Membraneless Condensates in Focus</t>
  </si>
  <si>
    <t>extracellular vesicles (EVs); exosomes; membraneless condensates (MCs); gradient size exclusion chromatography (gSEC); UV-Vis spectroscopy</t>
  </si>
  <si>
    <t>LIGHT-SCATTERING; SEMINAL PLASMA; EXOSOMES; SEMEN; NANOPARTICLES; DYNAMICS; HIV-1; APPROXIMATION; TRANSMISSION; REPLICATION</t>
  </si>
  <si>
    <t>Acellular particles (extracellular vesicles and membraneless condensates) have important research, drug discovery, and therapeutic implications. However, their isolation and retrieval have faced enormous challenges, impeding their use. Here, a novel size-guided particle purification liquid chromatography (PPLC) is integrated into a turbidimetry-enabled system for dye-free isolation, online characterization, and retrieval of intact acellular particles from biofluids. The chromatographic separation of particles from different biofluids-semen, blood, urine, milk, and cell culture supernatants-is achieved using a first-in-class gradient size exclusion column (gSEC). Purified particles are collected using a fraction collector. Online UV-Vis monitoring reveals biofluid-dependent particle spectral differences, with semen being the most complex. Turbidimetry provides the accurate physical characterization of seminal particle (Sp) lipid contents, sizes, and concentrations, validated by a nanoparticle tracking analysis, transmission electron microscopy, and naphthopyrene assay. Furthermore, different fractions of purified Sps contain distinct DNA, RNA species, and protein compositions. The integration of Sp physical and compositional properties identifies two archetypal membrane-encased seminal extracellular vesicles (SEV)-notably SEV large (SEVL), SEV small (SEVS), and a novel non-archetypal-membraneless Sps, herein named membraneless condensates (MCs). This study demonstrates a comprehensive yet affordable platform for isolating, collecting, and analyzing acellular particles to facilitate extracellular particle research and applications in drug delivery and therapeutics. Ongoing efforts focus on increased resolution by tailoring bead/column chemistry for each biofluid type.</t>
  </si>
  <si>
    <t>[Kaddour, Hussein; Lyu, Yuan; Shouman, Nadia; Okeoma, Chioma M.] SUNY Stony Brook, Dept Pharmacol, Renaissance Sch Med, Stony Brook, NY 11794 USA; [Mohan, Mahesh] Texas Biomed Res Inst, Southwest Natl Primate Res Ctr, Host Pathogen Interact Program, San Antonio, TX 78227 USA</t>
  </si>
  <si>
    <t>State University of New York (SUNY) System; State University of New York (SUNY) Stony Brook; Stony Brook University Hospital; Texas Biomedical Research Institute</t>
  </si>
  <si>
    <t>Okeoma, CM (corresponding author), SUNY Stony Brook, Dept Pharmacol, Renaissance Sch Med, Stony Brook, NY 11794 USA.</t>
  </si>
  <si>
    <t>hussein.kaddour@stonybrook.edu; yuan.lyu@stonybrook.edu; nadia.shouman@stonybrook.edu; mmohan@txbiomed.org; chioma.okeoma@stonybrook.edu</t>
  </si>
  <si>
    <t>Kaddour, Hussein/P-4255-2016; Lyu, Yuan/ABI-4182-2020</t>
  </si>
  <si>
    <t>Kaddour, Hussein/0000-0002-4371-0809; Lyu, Yuan/0000-0003-4351-5672; Mohan, Mahesh/0000-0003-4360-3277; Okeoma, Chioma/0000-0001-7737-6493</t>
  </si>
  <si>
    <t>10.3390/ijms21155361</t>
  </si>
  <si>
    <t>WOS:000559072800001</t>
  </si>
  <si>
    <t>Bao, SQ; Hu, T; Liu, JQ; Su, JZ; Sun, J; Ming, Y; Li, JX; Wu, N; Chen, HY; Zhou, M</t>
  </si>
  <si>
    <t>Bao, Siqi; Hu, Ting; Liu, Jiaqi; Su, Jianzhong; Sun, Jie; Ming, Yue; Li, Jiaxin; Wu, Nan; Chen, Hongyan; Zhou, Meng</t>
  </si>
  <si>
    <t>Genomic instability-derived plasma extracellular vesicle-microRNA signature as a minimally invasive predictor of risk and unfavorable prognosis in breast cancer</t>
  </si>
  <si>
    <t>JOURNAL OF NANOBIOTECHNOLOGY</t>
  </si>
  <si>
    <t>Breast cancer; Genomic instability; Extracellular vesicle; Exosomes; microRNA</t>
  </si>
  <si>
    <t>BIOGENESIS; TARGETS; RNA; DNA; CHECKPOINT; EXPRESSION; PATHWAYS; MARKERS; CELLS; MIRNA</t>
  </si>
  <si>
    <t>Background: Breast cancer (BC) is the most frequently diagnosed cancer and the leading cause of cancer-associated deaths in women. Recent studies have indicated that microRNA (miRNA) regulation in genomic instability (GI) is associated with disease risk and clinical outcome. Herein, we aimed to identify the GI-derived miRNA signature in extracellular vesicles (EVs) as a minimally invasive biomarker for early diagnosis and prognostic risk stratification. Experimental design: Integrative analysis of miRNA expression and somatic mutation profiles was performed to identify GI-associated miRNAs. Then, we constructed a discovery and validation study with multicenter prospective cohorts. The GI-derived miRNA signature (miGISig) was developed in the TCGA discovery cohort (n = 261), and was subsequently independently validated in internal TCGA validation (n = 261) and GSE22220 (n = 210) cohorts for prognosis prediction, and in GSE73002 (n = 3966), GSE41922 (n = 54), and in-house clinical exosome (n = 30) cohorts for diagnostic performance. Results: We identified a GI-derived three miRNA signature (MIR421, MIR128-1 and MIR128-2) in the serum extracellular vesicles of BC patients, which was significantly associated with poor prognosis in all the cohorts tested and remained as an independent prognostic factor using multivariate analyses. When integrated with the clinical characteristics, the composite miRNA-clinical prognostic indicator showed improved prognostic performance. The miGISig also showed high accuracy in differentiating BC from healthy controls with the area under the receiver operating characteristics curve (ROC) with 0.915, 0.794 and 0.772 in GSE73002, GSE41922 and TCGA cohorts, respectively. Furthermore, circulating EVs from BC patients in the in-house cohort harbored elevated levels of miGISig, with effective diagnostic accuracy. Conclusions: We report a novel GI-derived three miRNA signature in EVs, as an excellent minimally invasive biomarker for the early diagnosis and unfavorable prognosis in BC.</t>
  </si>
  <si>
    <t>[Bao, Siqi; Su, Jianzhong; Sun, Jie; Zhou, Meng] Wenzhou Med Univ, Sch Ophthalmol &amp; Optometry, Sch Biomed Engn, Wenzhou 325027, Peoples R China; [Bao, Siqi; Su, Jianzhong; Sun, Jie; Zhou, Meng] Wenzhou Med Univ, Eye Hosp, Wenzhou 325027, Peoples R China; [Hu, Ting; Chen, Hongyan] Chinese Acad Med Sci &amp; Peking Union Med Coll, Natl Canc Ctr, State Key Lab Mol Oncol, Natl Clin Res Ctr Canc,Canc Hosp, Beijing 100021, Peoples R China; [Liu, Jiaqi; Li, Jiaxin] Chinese Acad Med Sci &amp; Peking Union Med Coll, Natl Canc Ctr, Dept Breast Surg Oncol, Natl Clin Res Ctr Canc,Canc Hosp, Beijing 100021, Peoples R China; [Ming, Yue] Chinese Acad Med Sci &amp; Peking Union Med Coll, Natl Canc Ctr, Pet CT Ctr, Canc Hosp, Beijing 100021, Peoples R China; [Wu, Nan] Peking Union Med Coll &amp; Chinese Acad Med Sci, All Peking Union Med Coll Hosp, Dept Orthoped Surg, Beijing Key Lab Genet Res Skeletal Deform, Beijing 100730, Peoples R China; [Wu, Nan] Peking Union Med Coll &amp; Chinese Acad Med Sci, All Peking Union Med Coll Hosp, Key Lab Big Data Spinal Deform, State Key Lab Complex Severe &amp; Rare Dis, Beijing 100730, Peoples R China</t>
  </si>
  <si>
    <t>Wenzhou Medical University; Wenzhou Medical University; Chinese Academy of Medical Sciences - Peking Union Medical College; Cancer Institute &amp; Hospital - CAMS; Peking Union Medical College; Chinese Academy of Medical Sciences - Peking Union Medical College; Cancer Institute &amp; Hospital - CAMS; Peking Union Medical College; Chinese Academy of Medical Sciences - Peking Union Medical College; Cancer Institute &amp; Hospital - CAMS; Peking Union Medical College; Chinese Academy of Medical Sciences - Peking Union Medical College; Peking Union Medical College; Chinese Academy of Medical Sciences - Peking Union Medical College; Peking Union Medical College</t>
  </si>
  <si>
    <t>Zhou, M (corresponding author), Wenzhou Med Univ, Sch Ophthalmol &amp; Optometry, Sch Biomed Engn, Wenzhou 325027, Peoples R China.;Zhou, M (corresponding author), Wenzhou Med Univ, Eye Hosp, Wenzhou 325027, Peoples R China.;Chen, HY (corresponding author), Chinese Acad Med Sci &amp; Peking Union Med Coll, Natl Canc Ctr, State Key Lab Mol Oncol, Natl Clin Res Ctr Canc,Canc Hosp, Beijing 100021, Peoples R China.;Wu, N (corresponding author), Peking Union Med Coll &amp; Chinese Acad Med Sci, All Peking Union Med Coll Hosp, Dept Orthoped Surg, Beijing Key Lab Genet Res Skeletal Deform, Beijing 100730, Peoples R China.;Wu, N (corresponding author), Peking Union Med Coll &amp; Chinese Acad Med Sci, All Peking Union Med Coll Hosp, Key Lab Big Data Spinal Deform, State Key Lab Complex Severe &amp; Rare Dis, Beijing 100730, Peoples R China.</t>
  </si>
  <si>
    <t>dr.wunan@pumch.cn; chenhongyan@cicams.ac.cn; zhoumeng@wmu.edu.cn</t>
  </si>
  <si>
    <t>Zhou, Meng/G-7674-2011</t>
  </si>
  <si>
    <t>Zhou, Meng/0000-0001-9987-9024</t>
  </si>
  <si>
    <t>1477-3155</t>
  </si>
  <si>
    <t>JAN 12</t>
  </si>
  <si>
    <t>10.1186/s12951-020-00767-3</t>
  </si>
  <si>
    <t>Biotechnology &amp; Applied Microbiology; Nanoscience &amp; Nanotechnology</t>
  </si>
  <si>
    <t>Biotechnology &amp; Applied Microbiology; Science &amp; Technology - Other Topics</t>
  </si>
  <si>
    <t>WOS:000607396600001</t>
  </si>
  <si>
    <t>Cui, WW; Ye, C; Wang, KX; Yang, X; Zhu, PY; Hu, K; Lan, T; Huang, LY; Wang, W; Gu, B; Yan, C; Ma, P; Qi, SH; Luo, L</t>
  </si>
  <si>
    <t>Cui, Wen-Wen; Ye, Cong; Wang, Kai-Xuan; Yang, Xu; Zhu, Pei-Yan; Hu, Kan; Lan, Ting; Huang, Lin-Yan; Wang, Wan; Gu, Bing; Yan, Chen; Ma, Ping; Qi, Su-Hua; Luo, Lan</t>
  </si>
  <si>
    <t>Momordica. charantia-Derived Extracellular Vesicles-Like Nanovesicles Protect Cardiomyocytes Against Radiation Injury via Attenuating DNA Damage and Mitochondria Dysfunction</t>
  </si>
  <si>
    <t>FRONTIERS IN CARDIOVASCULAR MEDICINE</t>
  </si>
  <si>
    <t>Momordica; charantia-derived extracellular vesicles-like nanovesicles; radiation-induced heart disease; DNA damage; mitochondria dysfunction</t>
  </si>
  <si>
    <t>CEREBRAL ISCHEMIA/REPERFUSION; POLYSACCHARIDES; PLANT</t>
  </si>
  <si>
    <t>Thoracic radiotherapy patients have higher risks of developing radiation-induced heart disease (RIHD). Ionizing radiation generates excessive reactive oxygens species (ROS) causing oxidative stress, while Momordica. charantia and its extract have antioxidant activity. Plant-derived extracellular vesicles (EVs) is emerging as novel therapeutic agent. Therefore, we explored the protective effects of Momordica. charantia-derived EVs-like nanovesicles (MCELNs) against RIHD. Using density gradient centrifugation, we successfully isolated MCELNs with similar shape, size, and markers as EVs. Confocal imaging revealed that rat cardiomyocytes H9C2 cells internalized PKH67 labeled MCELNs time-dependently. In vitro assay identified that MCELNs promoted cell proliferation, suppressed cell apoptosis, and alleviated the DNA damage in irradiated (16 Gy, X-ray) H9C2 cells. Moreover, elevated mitochondria ROS in irradiated H9C2 cells were scavenged by MCELNs, protecting mitochondria function with re-balanced mitochondria membrane potential. Furthermore, the phosphorylation of ROS-related proteins was recovered with increased ratios of p-AKT/AKT and p-ERK/ERK in MCELNs treated irradiated H9C2 cells. Last, intraperitoneal administration of MCELNs mitigated myocardial injury and fibrosis in a thoracic radiation mice model. Our data demonstrated the potential protective effects of MCELNs against RIHD. The MCELNs shed light on preventive regime development for radiation-related toxicity.</t>
  </si>
  <si>
    <t>suhuaqi@xzhmu.edu.cn; luolan@xzhmu.edu.cn</t>
  </si>
  <si>
    <t>yan, chen/ACO-6451-2022</t>
  </si>
  <si>
    <t>2297-055X</t>
  </si>
  <si>
    <t>APR 18</t>
  </si>
  <si>
    <t>10.3389/fcvm.2022.864188</t>
  </si>
  <si>
    <t>WOS:000810265400001</t>
  </si>
  <si>
    <t>Potrich, C; Lunelli, L; Vaghi, V; Pasquardini, L; Pederzolli, C</t>
  </si>
  <si>
    <t>Potrich, C.; Lunelli, L.; Vaghi, V.; Pasquardini, L.; Pederzolli, C.</t>
  </si>
  <si>
    <t>Cell transfer of information via miR-loaded exosomes: a biophysical approach</t>
  </si>
  <si>
    <t>EUROPEAN BIOPHYSICS JOURNAL WITH BIOPHYSICS LETTERS</t>
  </si>
  <si>
    <t>7th Regional Biophysics Conference (RBC)</t>
  </si>
  <si>
    <t>AUG 25-28, 2016</t>
  </si>
  <si>
    <t>Univ Trieste, Trieste, ITALY</t>
  </si>
  <si>
    <t>Univ Trieste</t>
  </si>
  <si>
    <t>Exosomes; microRNA; Intercellular communication; Fluorescence imaging</t>
  </si>
  <si>
    <t>EXTRACELLULAR VESICLES; PROSTATE-CANCER; BREAST-CANCER; MICRORNAS</t>
  </si>
  <si>
    <t>A new communication route among cells was reported in recent years, via extracellular vesicles and their cargo. Exosomes in particular are attracting increasing interest as privileged mediators of this cell communication route. The exosome-mediated transfer of nucleic acids, especially of microRNAs, is particularly promising for their use both as biomarkers of pathologies and as a therapeutic tool. Here, a simplified model of interaction among cells, microRNAs and vesicles is studied using a biophysical approach. A synthetic and fluorescent microRNA (i.e. miR-1246 conjugated with TAMRA) was selected to model cell communication, monitoring its internalization in cells. The fluorescent miR-1246, either naked or included in synthetic or natural vesicles, was incubated with human breast adenocarcinoma cells (MCF7) for different times. A comparison between this human microRNA and its DNA copy or an exogenous microRNA (from Caenorhabditis elegans) allowed assessment of the specificity of the information transfer through microRNAs, and especially associated with exosomes. The uptake of naked miR-1246 was indeed higher both in terms of number of targeted cells and intensity of fluorescence signal with respect to the other nucleic acids tested. The same occurred with miR-1246 loaded exosomes, evidencing a specific uptake only partially due to the lipidic components and present only when the human microRNA was loaded in exosomes, which were themselves derived from the same MCF7 cells.</t>
  </si>
  <si>
    <t>[Potrich, C.; Lunelli, L.; Vaghi, V.; Pasquardini, L.; Pederzolli, C.] FBK, Lab Biomarker Studies &amp; Struct Anal Hlth, Via Sommar 18, I-38123 Povo, Trento, Italy; [Potrich, C.; Lunelli, L.] CNR, Inst Biophys, Unit Trento, Via Cascata 56, I-38123 Povo, Trento, Italy</t>
  </si>
  <si>
    <t>Fondazione Bruno Kessler; Consiglio Nazionale delle Ricerche (CNR); Istituto di Biofisica (IBF-CNR)</t>
  </si>
  <si>
    <t>Potrich, C (corresponding author), FBK, Lab Biomarker Studies &amp; Struct Anal Hlth, Via Sommar 18, I-38123 Povo, Trento, Italy.;Potrich, C (corresponding author), CNR, Inst Biophys, Unit Trento, Via Cascata 56, I-38123 Povo, Trento, Italy.</t>
  </si>
  <si>
    <t>cpotrich@fbk.eu</t>
  </si>
  <si>
    <t>Potrich, Cristina/AAR-7812-2020</t>
  </si>
  <si>
    <t>Potrich, Cristina/0000-0002-0793-7547; Pederzolli, Cecilia/0000-0002-3449-7874; Lunelli, Lorenzo/0000-0002-8824-2084; Pasquardini, Laura/0000-0001-9171-7856</t>
  </si>
  <si>
    <t>0175-7571</t>
  </si>
  <si>
    <t>1432-1017</t>
  </si>
  <si>
    <t>10.1007/s00249-017-1262-2</t>
  </si>
  <si>
    <t>Biophysics</t>
  </si>
  <si>
    <t>WOS:000415817400011</t>
  </si>
  <si>
    <t>Ha, JY; Choi, SY; Lee, JH; Hong, SH; Lee, HJ</t>
  </si>
  <si>
    <t>Ha, Jae Yeong; Choi, Song-Yi; Lee, Ji Hye; Hong, Su-Hyung; Lee, Heon-Jin</t>
  </si>
  <si>
    <t>Delivery of Periodontopathogenic Extracellular Vesicles to Brain Monocytes and Microglial IL-6 Promotion by RNA Cargo</t>
  </si>
  <si>
    <t>FRONTIERS IN MOLECULAR BIOSCIENCES</t>
  </si>
  <si>
    <t>periodontitis; small RNA; extracellular vesicle; Aggregatibacter actinomycetemcomitans; outer membrane vesicle</t>
  </si>
  <si>
    <t>OUTER-MEMBRANE VESICLES; ACTINOBACILLUS-ACTINOMYCETEMCOMITANS; MICRORNA-SIZE; LOCALIZATION; MACROPHAGES</t>
  </si>
  <si>
    <t>Gram-negative bacterial extracellular vesicles (EVs), also known as outer membrane vesicles (OMVs), are secreted from bacterial cells and have attracted research attention due to their role in cell-to-cell communication. During OMV secretion, a variety of cargo such as extracellular RNA (exRNA) is loaded into the OMV. The involvement of exRNAs from a range of bacteria has been identified in several diseases, however, their mechanism of action has not been elucidated. We have recently demonstrated that OMVs secreted by the periodontopathogen Aggregatibacter actinomycetemcomitans can cross the blood-brain barrier (BBB) and that its exRNA cargo could promote the secretion of proinflammatory cytokines in the brain. However, it was unclear whether the brain immune cells could actually take up bacterial OMVs, which originate outside of the brain, in an appropriate immune response. In the present study, using monocyte-specific live CX3CR1-GFP mice, we visualized OMV-colocalized meningeal macrophages and microglial cells into which bacterial OMVs had been loaded and intravenously injected through tail veins. Our results suggested that meningeal macrophages uptake BBB-crossed OMVs earlier than do cortex microglia. BV2 cells (a murine microglia cell line) and exRNAs were also visualized after OMV treatment and their proinflammatory cytokine levels were observed. Interleukin (IL)-6 and NF-kappa B of BV2 cells were activated by A. actinomycetemcomitans exRNAs but not by OMV DNA cargo. Altogether, these findings indicate that OMVs can successfully deliver exRNAs into brain monocyte/microglial cells and cause neuroinflammation, implicating a novel pathogenic mechanism in neuroinflammatory diseases.</t>
  </si>
  <si>
    <t>[Ha, Jae Yeong; Choi, Song-Yi; Hong, Su-Hyung; Lee, Heon-Jin] Kyungpook Natl Univ, Sch Dent, Dept Microbiol &amp; Immunol, Daegu, South Korea; [Lee, Ji Hye] Pusan Natl Univ, Sch Dent, Dent &amp; Life Sci Inst, Dept Oral Pathol, Yangsan, South Korea; [Lee, Heon-Jin] Kyungpook Natl Univ, Brain Sci &amp; Engn Inst, Daegu, South Korea</t>
  </si>
  <si>
    <t>Kyungpook National University; Pusan National University; Pusan National University Hospital; Kyungpook National University</t>
  </si>
  <si>
    <t>Lee, HJ (corresponding author), Kyungpook Natl Univ, Sch Dent, Dept Microbiol &amp; Immunol, Daegu, South Korea.;Lee, HJ (corresponding author), Kyungpook Natl Univ, Brain Sci &amp; Engn Inst, Daegu, South Korea.</t>
  </si>
  <si>
    <t>heonlee@knu.ac.kr</t>
  </si>
  <si>
    <t>2296-889X</t>
  </si>
  <si>
    <t>NOV 24</t>
  </si>
  <si>
    <t>10.3389/fmolb.2020.596366</t>
  </si>
  <si>
    <t>WOS:000596758000001</t>
  </si>
  <si>
    <t>Ko, JN; Wang, YC; Carlson, JCT; Marquard, A; Gungabeesoon, J; Charest, A; Weitz, D; Pittet, MJ; Weissleder, R</t>
  </si>
  <si>
    <t>Ko, Jina; Wang, Yongcheng; Carlson, Jonathan C. T.; Marquard, Angela; Gungabeesoon, Jeremy; Charest, Alain; Weitz, David; Pittet, Mikael J.; Weissleder, Ralph</t>
  </si>
  <si>
    <t>Single Extracellular Vesicle Protein Analysis Using Immuno-Droplet Digital Polymerase Chain Reaction Amplification</t>
  </si>
  <si>
    <t>ADVANCED BIOSYSTEMS</t>
  </si>
  <si>
    <t>droplet digital PCR; extracellular vesicles; microfluidics</t>
  </si>
  <si>
    <t>CELLS; EXPRESSION; COMMON</t>
  </si>
  <si>
    <t>There is a need for novel analytical techniques to study the composition of single extracellular vesicles (EV). Such techniques are required to improve the understanding of heterogeneous EV populations, to allow identification of unique subpopulations, and to enable earlier and more sensitive disease detection. Because of the small size of EV and their low protein content, ultrahigh sensitivity technologies are required. Here, an immuno-droplet digital polymerase chain reaction (iddPCR) amplification method is described that allows multiplexed single EV protein profiling. Antibody-DNA conjugates are used to label EV, followed by stochastic microfluidic incorporation of single EV into droplets. In situ PCR with fluorescent reporter probes converts and amplifies the barcode signal for subsequent read-out by droplet imaging. In these proof-of-principle studies, it is shown that multiplex protein analysis is possible in single EV, opening the door for future analyses.</t>
  </si>
  <si>
    <t>[Ko, Jina; Carlson, Jonathan C. T.; Marquard, Angela; Gungabeesoon, Jeremy; Pittet, Mikael J.; Weissleder, Ralph] Massachusetts Gen Hosp, Ctr Syst Biol, 185 Cambridge St,CPZN 5206, Boston, MA 02114 USA; [Ko, Jina; Wang, Yongcheng; Weitz, David] Harvard Univ, Wyss Inst Biol Inspired Engn, Boston, MA 02115 USA; [Wang, Yongcheng; Weitz, David] Harvard Univ, John A Paulson Sch Engn &amp; Appl Sci, Cambridge, MA 02138 USA; [Wang, Yongcheng; Weitz, David] Harvard Univ, Dept Phys, Cambridge, MA 02138 USA; [Wang, Yongcheng] Harvard Univ, Dept Chem &amp; Chem Biol, Cambridge, MA 02138 USA; [Carlson, Jonathan C. T.; Weissleder, Ralph] Massachusetts Gen Hosp, Harvard Canc Ctr, Boston, MA 02114 USA; [Carlson, Jonathan C. T.; Weissleder, Ralph] Harvard Med Sch, Boston, MA 02114 USA; [Charest, Alain] Beth Israel Deaconess Med Ctr, Dept Med, Boston, MA 02215 USA; [Weissleder, Ralph] Harvard Med Sch, Dept Syst Biol, 200 Longwood Ave, Boston, MA 02115 USA</t>
  </si>
  <si>
    <t>Harvard University; Massachusetts General Hospital; Harvard University; Harvard University; Harvard University; Harvard University; Harvard University; Massachusetts General Hospital; Harvard University; Harvard Medical School; Harvard University; Beth Israel Deaconess Medical Center; Harvard University; Harvard Medical School</t>
  </si>
  <si>
    <t>Weissleder, R (corresponding author), Massachusetts Gen Hosp, Ctr Syst Biol, 185 Cambridge St,CPZN 5206, Boston, MA 02114 USA.;Weissleder, R (corresponding author), Massachusetts Gen Hosp, Harvard Canc Ctr, Boston, MA 02114 USA.;Weissleder, R (corresponding author), Harvard Med Sch, Boston, MA 02114 USA.;Weissleder, R (corresponding author), Harvard Med Sch, Dept Syst Biol, 200 Longwood Ave, Boston, MA 02115 USA.</t>
  </si>
  <si>
    <t>Pittet, Mikael/ABD-6300-2021</t>
  </si>
  <si>
    <t>Carlson, Jonathan/0000-0003-4139-9057; Wang, Yongcheng/0000-0003-2820-4243; Gungabeesoon, Jeremy/0000-0002-4505-3160</t>
  </si>
  <si>
    <t>2366-7478</t>
  </si>
  <si>
    <t>10.1002/adbi.201900307</t>
  </si>
  <si>
    <t>MAR 2020</t>
  </si>
  <si>
    <t>Materials Science, Biomaterials</t>
  </si>
  <si>
    <t>Materials Science</t>
  </si>
  <si>
    <t>WOS:000565303200001</t>
  </si>
  <si>
    <t>Tkach, M; Thalmensi, J; Timperi, E; Gueguen, P; Nevo, N; Grisard, E; Sirven, P; Cocozza, F; Gouronnec, A; Martin-Jaular, L; Jouve, M; Delisle, F; Manel, N; Rookhuizen, DC; Guerin, CL; Soumelis, V; Romano, E; Segura, E; Thery, C</t>
  </si>
  <si>
    <t>Tkach, Mercedes; Thalmensi, Jessie; Timperi, Eleonora; Gueguen, Paul; Nevo, Nathalie; Grisard, Eleonora; Sirven, Philemon; Cocozza, Federico; Gouronnec, Alizee; Martin-Jaular, Lorena; Jouve, Mabel; Delisle, Fabien; Manel, Nicolas; Rookhuizen, Derek C.; Guerin, Coralie L.; Soumelis, Vassili; Romano, Emanuela; Segura, Elodie; Thery, Clotilde</t>
  </si>
  <si>
    <t>Extracellular vesicles from triple negative breast cancer promote pro-inflammatory macrophages associated with better clinical outcome</t>
  </si>
  <si>
    <t>extracellular vesicles; exosomes; macrophages; triple-negative breast cancer; CSF-1</t>
  </si>
  <si>
    <t>IMMUNITY SPREADS; DNA; CELLS; REVEALS; PATHWAY; CGAMP; POLARIZATION; INFECTIONS; EXPRESSION; LANDSCAPE</t>
  </si>
  <si>
    <t>Tumor associated macrophages (TAMs), which differentiate from circulating monocytes, are pervasive across human cancers and comprise heterogeneous populations. The contribution of tumor-derived signals to TAM heterogeneity is not well understood. In particular, tumors release both soluble factors and extracellular vesicles (EVs), whose respective impact on TAM precursors may be different. Here, we show that triple negative breast cancer cells (TNBCs) release EVs and soluble molecules promoting monocyte differentiation toward distinct macrophage fates. EVs specifically promoted proinflam-matory macrophages bearing an interferon response signature. The combination in TNBC EVs of surface CSF-1 promoting survival and cargoes promoting cGAS/STING or other activation pathways led to differentiation of this particular macrophage subset. Notably, macrophages expressing the EV-induced signature were found among patients- TAMs. Furthermore, higher expression of this signature was associated with T cell infil-tration and extended patient survival. Together, this data indicates that TNBC-released CSF-1-bearing EVs promote a tumor immune microenvironment associated with a better prognosis in TNBC patients.</t>
  </si>
  <si>
    <t>[Tkach, Mercedes; Thalmensi, Jessie; Timperi, Eleonora; Gueguen, Paul; Nevo, Nathalie; Grisard, Eleonora; Sirven, Philemon; Cocozza, Federico; Gouronnec, Alizee; Martin-Jaular, Lorena; Delisle, Fabien; Manel, Nicolas; Rookhuizen, Derek C.; Romano, Emanuela; Segura, Elodie; Thery, Clotilde] PSL Res Univ, Inst Curie, INSERM, U932, F-75005 Paris, France; [Jouve, Mabel] PSL Res Univ, Inst Curie, CNRS, UMR3215, F-75005 Paris, France; [Guerin, Coralie L.] Inst Curie, CurieCoreTech, Cytometry Platform, F-75005 Paris, France; [Guerin, Coralie L.] Univ Paris, INSERM, Innovat Therapies Haemostasis, F-75006 Paris, France; [Soumelis, Vassili] Univ Paris, INSERM, U976, HIPI Unit, F-75006 Paris, France; [Soumelis, Vassili] Hop St Louis, AP HP, Lab Immunol &amp; Histocompatibilite, F-75010 Paris, France</t>
  </si>
  <si>
    <t>UDICE-French Research Universities; PSL Research University Paris; UNICANCER; Institut Curie; Institut National de la Sante et de la Recherche Medicale (Inserm); Universite de Paris; Centre National de la Recherche Scientifique (CNRS); CNRS - National Institute for Biology (INSB); UDICE-French Research Universities; PSL Research University Paris; UNICANCER; Institut Curie; Institut National de la Sante et de la Recherche Medicale (Inserm); UDICE-French Research Universities; PSL Research University Paris; UNICANCER; Institut Curie; Institut National de la Sante et de la Recherche Medicale (Inserm); UDICE-French Research Universities; Universite de Paris; Institut National de la Sante et de la Recherche Medicale (Inserm); UDICE-French Research Universities; Universite de Paris; Assistance Publique Hopitaux Paris (APHP); Hopital Universitaire Saint-Louis - APHP; UDICE-French Research Universities; Universite de Paris</t>
  </si>
  <si>
    <t>Tkach, M; Thery, C (corresponding author), PSL Res Univ, Inst Curie, INSERM, U932, F-75005 Paris, France.</t>
  </si>
  <si>
    <t>mercedes.tkach@gmail.com; clotilde.thery@curie.fr</t>
  </si>
  <si>
    <t>Martin Jaular, Lorena/ABI-7121-2020</t>
  </si>
  <si>
    <t>Martin Jaular, Lorena/0000-0002-1511-8576; Jouve San Roman, Mabel Juana/0000-0002-3115-4681; Cocozza, Federico/0000-0003-4311-3083; Gueguen, Paul/0000-0003-2930-6073</t>
  </si>
  <si>
    <t>1091-6490</t>
  </si>
  <si>
    <t>APR 26</t>
  </si>
  <si>
    <t>e2107394119</t>
  </si>
  <si>
    <t>10.1073/pnas.2107394119</t>
  </si>
  <si>
    <t>WOS:000796327900015</t>
  </si>
  <si>
    <t>Galindo-Hernandez, O; Gonzales-Vazquez, C; Cortes-Reynosa, P; Reyes-Uribe, E; Chavez-Ocana, S; Reyes-Hernandez, O; Sierra-Martinez, M; Salazar, EP</t>
  </si>
  <si>
    <t>Galindo-Hernandez, Octavio; Gonzales-Vazquez, Cristina; Cortes-Reynosa, Pedro; Reyes-Uribe, Emmanuel; Chavez-Ocana, Sonia; Reyes-Hernandez, Octavio; Sierra-Martinez, Mnica; Perez Salazar, Eduardo</t>
  </si>
  <si>
    <t>Extracellular vesicles from women with breast cancer promote an epithelial-mesenchymal transition-like process in mammary epithelial cells MCF10A</t>
  </si>
  <si>
    <t>TUMOR BIOLOGY</t>
  </si>
  <si>
    <t>Extracellular vesicles; Breast cancer; EMT; MCF10A</t>
  </si>
  <si>
    <t>NF-KAPPA-B; E-CADHERIN EXPRESSION; MOLECULAR-MECHANISMS; MICROVESICLES; MICROPARTICLES; PROGRESSION; METASTASIS; BIOMARKERS; TISSUE; COMMUNICATION</t>
  </si>
  <si>
    <t>Extracellular vesicles (EVs) mediate many stages of tumor progression including angiogenesis, escape from immune surveillance, and extracellular matrix degradation. We studied whether EVs from plasma of women with breast cancer are able to induce an epithelial-mesenchymal transition (EMT) process in mammary epithelial cells MCF10A. Our findings demonstrate that EVs from plasma of breast cancer patients induce a downregulation of E-cadherin expression and an increase of vimentin and N-cadherin expression. Moreover, EVs induce migration and invasion, as well as an increase of NF kappa B-DNA binding activity and MMP-2 and MMP-9 secretions. In summary, our findings demonstrate, for the first time, that EVs from breast cancer patients induce an EMT-like process in human mammary non-tumorigenic epithelial cells MCF10A.</t>
  </si>
  <si>
    <t>[Galindo-Hernandez, Octavio; Gonzales-Vazquez, Cristina; Cortes-Reynosa, Pedro; Reyes-Uribe, Emmanuel; Perez Salazar, Eduardo] Cinvestav IPN, Dept Biol Celular, Mexico City 07360, DF, Mexico; [Chavez-Ocana, Sonia; Reyes-Hernandez, Octavio; Sierra-Martinez, Mnica] Hosp Juarez Mexico, Lab Genet &amp; Diagnost Mol, Unidad Invest, Mexico City, DF, Mexico</t>
  </si>
  <si>
    <t>CINVESTAV - Centro de Investigacion y de Estudios Avanzados del Instituto Politecnico Nacional</t>
  </si>
  <si>
    <t>Salazar, EP (corresponding author), Cinvestav IPN, Dept Biol Celular, Av IPN 2508, Mexico City 07360, DF, Mexico.</t>
  </si>
  <si>
    <t>jperez@cell.cinvestav.mx</t>
  </si>
  <si>
    <t>Galindo-Hernandez, Octavio/R-2743-2016; URIBE, EMMANUEL REYES/AAV-8814-2020</t>
  </si>
  <si>
    <t>Galindo-Hernandez, Octavio/0000-0003-4960-7551; URIBE, EMMANUEL REYES/0000-0002-3602-9273; Gonzalez Vazquez, Maria Cristina/0000-0001-8062-4160</t>
  </si>
  <si>
    <t>1010-4283</t>
  </si>
  <si>
    <t>1423-0380</t>
  </si>
  <si>
    <t>10.1007/s13277-015-3711-9</t>
  </si>
  <si>
    <t>WOS:000367329300060</t>
  </si>
  <si>
    <t>Garcia-Romero, N; Madurga, R; Rackov, G; Palacin-Aliana, I; Nunez-Torres, R; Asensi-Puig, A; Carrion-Navarro, J; Esteban-Rubio, S; Peinado, H; Gonzalez-Neira, A; Gonzalez-Rumayor, V; Belda-Iniesta, C; Ayuso-Sacido, A</t>
  </si>
  <si>
    <t>Garcia-Romero, N.; Madurga, R.; Rackov, G.; Palacin-Aliana, I.; Nunez-Torres, R.; Asensi-Puig, A.; Carrion-Navarro, J.; Esteban-Rubio, S.; Peinado, H.; Gonzalez-Neira, A.; Gonzalez-Rumayor, V.; Belda-Iniesta, C.; Ayuso-Sacido, A.</t>
  </si>
  <si>
    <t>Polyethylene glycol improves current methods for circulating extracellular vesicle-derived DNA isolation</t>
  </si>
  <si>
    <t>JOURNAL OF TRANSLATIONAL MEDICINE</t>
  </si>
  <si>
    <t>Extracellular vesicles; Liquid biopsy; Polyethylene glycol; ExoQuick((R)); PureExo((R)); Ultracentrifugation</t>
  </si>
  <si>
    <t>EXOSOME ISOLATION; CANCER; MICRORNA; RNA; MICROPARTICLES; BIOMARKERS; PROTEIN; BIOPSY; SERUM</t>
  </si>
  <si>
    <t>BackgroundExtracellular vesicles (EVs) are small membrane-bound vesicles which play an important role in cell-to-cell communication. Their molecular cargo analysis is presented as a new source for biomarker detection, and it might provide an alternative to traditional solid biopsies. However, the most effective approach for EV isolation is not yet wellestablished.ResultsHere, we study the efficiency of the most common EV isolation methods-ultracentrifugation, Polyethlyene glycol and two commercial kits, Exoquick((R)) and PureExo((R)). We isolated circulating EVs from the bloodstream of healthy donors, characterized the size and yield of EVs and analyzed their protein profiles and concentration. Moreover, we have used for the first time Digital-PCR to identify and detect specific gDNA sequences, which has several implications for diagnostic and monitoring many types of diseases.ConclusionsOur findings present Polyethylene glycol precipitation as the most feasible and less cost-consuming EV isolation technique.</t>
  </si>
  <si>
    <t>[Garcia-Romero, N.; Madurga, R.; Rackov, G.; Palacin-Aliana, I.; Carrion-Navarro, J.; Esteban-Rubio, S.; Belda-Iniesta, C.; Ayuso-Sacido, A.] HM Hosp, Fdn Invest HM Hosp, C Ona 10, Madrid 28050, Spain; [Rackov, G.] IMDEA Nanosci, Madrid, Spain; [Nunez-Torres, R.; Peinado, H.; Gonzalez-Neira, A.] Spanish Natl Canc Res Ctr CNIO, Madrid 28029, Spain; [Asensi-Puig, A.; Gonzalez-Rumayor, V.] Atrys Hlth, Barcelona, Spain; [Esteban-Rubio, S.; Ayuso-Sacido, A.] Univ San Pablo CEU, Fac Med IMMA, Madrid, Spain</t>
  </si>
  <si>
    <t>IMDEA Nanociencia; Centro Nacional de Investigaciones Oncologicas (CNIO); San Pablo CEU University</t>
  </si>
  <si>
    <t>Ayuso-Sacido, A (corresponding author), HM Hosp, Fdn Invest HM Hosp, C Ona 10, Madrid 28050, Spain.</t>
  </si>
  <si>
    <t>Gonzalez-Neira, Anna/C-5791-2015; Sacido, Angel Ayuso/AAV-9331-2021; Rackov, Gorjana/AAC-4954-2021; Aliana, Irina Palacín/X-7255-2019; Peinado, Hector/A-6417-2013; Madurga, Rodrigo/ABG-3485-2021</t>
  </si>
  <si>
    <t>Gonzalez-Neira, Anna/0000-0002-5421-2020; Sacido, Angel Ayuso/0000-0003-3919-5880; Rackov, Gorjana/0000-0001-6561-6357; Aliana, Irina Palacín/0000-0003-1420-9940; Peinado, Hector/0000-0002-4256-3413; Madurga, Rodrigo/0000-0002-1381-2599; Belda Iniesta, Cristobal/0000-0003-3254-7492; GARCIA-ROMERO, NOEMI/0000-0001-7744-8848</t>
  </si>
  <si>
    <t>1479-5876</t>
  </si>
  <si>
    <t>10.1186/s12967-019-1825-3</t>
  </si>
  <si>
    <t>WOS:000461326700001</t>
  </si>
  <si>
    <t>Chen, JF; Zhang, Q; Liu, DW; Liu, ZS</t>
  </si>
  <si>
    <t>Chen, Jingfang; Zhang, Qing; Liu, Dongwei; Liu, Zhangsuo</t>
  </si>
  <si>
    <t>Exosomes: Advances, development and potential therapeutic strategies in diabetic nephropathy</t>
  </si>
  <si>
    <t>METABOLISM-CLINICAL AND EXPERIMENTAL</t>
  </si>
  <si>
    <t>Exosomes; Diabetic nephropathy; Intercellular communication; Biomarkers; Therapies</t>
  </si>
  <si>
    <t>EXTRACELLULAR VESICLES; INSULIN-RESISTANCE; URINARY EXOSOMES; MESANGIAL CELLS; KIDNEY; DISEASE; BIOGENESIS; MECHANISMS; BIOMARKERS; MICRORNAS</t>
  </si>
  <si>
    <t>Exosomes, a major type of extracellular vesicles (EVs), are nanoscale vesicles excreted by almost all cell types via invagination of the endosomal membrane pathway. Exosomes play a crucial role in the mediation of intercellular communication both in health and disease, which can be ascribed to their capacity to be transported to neighboring or distant cells, thus regulating the biological function of recipient cells through cargos such as DNA, mRNA, proteins and microRNA. Diabetic nephropathy (DN) is a serious microvascular complication associated with diabetes mellitus as well as a significant cause of end-stage renal disease worldwide, which has resulted in a substantial economic burden on individuals and society. However, despite extensive efforts, therapeutic approaches that prevent the progression of DN do not exist, which implies new approaches are required. An increasing number of studies suggest that exosomes are involved in the pathophysiological processes associated with DN, which may potentially provide novel biomarkers and therapeutic targets for DN. Hence, this review summarizes recent advances involving exosome mechanisms in DN and their potential as biomarkers and therapeutic targets. (c) 2021 The Authors. Published by Elsevier Inc. This is an open access article under the CC BY-NC-ND license (http:// creativecommons.org/licenses/by-nc-nd/4.0/).</t>
  </si>
  <si>
    <t>[Liu, Dongwei; Liu, Zhangsuo] Zhengzhou Univ, Affiliated Hosp 1, Dept Nephrol, Zhengzhou 450052, Peoples R China; Zhengzhou Univ, Res Inst Nephrol, Zhengzhou 450052, Peoples R China; Key Lab Precis Diag &amp; Treatment Chron Kidney Dis, Zhengzhou 450052, Peoples R China; Natl Clin Med Res Ctr Kidney Dis, Core Unit, Zhengzhou 450052, Peoples R China</t>
  </si>
  <si>
    <t>Liu, DW; Liu, ZS (corresponding author), Zhengzhou Univ, Affiliated Hosp 1, Dept Nephrol, Zhengzhou 450052, Peoples R China.</t>
  </si>
  <si>
    <t>liu-dongwei@zzu.edu.cn; zhangsuoliu@zzu.edu.cn</t>
  </si>
  <si>
    <t>0026-0495</t>
  </si>
  <si>
    <t>1532-8600</t>
  </si>
  <si>
    <t>10.1016/j.metabol.2021.154834</t>
  </si>
  <si>
    <t>WOS:000687296800009</t>
  </si>
  <si>
    <t>Xu, ZQ; Xie, YS; Zhou, C; Hu, Q; Gu, T; Yang, J; Zheng, EQ; Huang, SX; Xu, Z; Cai, GY; Liu, DW; Wu, ZF; Hong, LJ</t>
  </si>
  <si>
    <t>Xu, Zhiqian; Xie, Yanshe; Zhou, Chen; Hu, Qun; Gu, Ting; Yang, Jie; Zheng, Enqin; Huang, Sixiu; Xu, Zheng; Cai, Gengyuan; Liu, Dewu; Wu, Zhenfang; Hong, Linjun</t>
  </si>
  <si>
    <t>Expression Pattern of Seminal Plasma Extracellular Vesicle Small RNAs in Boar Semen</t>
  </si>
  <si>
    <t>FRONTIERS IN VETERINARY SCIENCE</t>
  </si>
  <si>
    <t>seminal plasma; extracellular vesicles; miRNA; piRNA; boar</t>
  </si>
  <si>
    <t>DNA METHYLTRANSFERASE EXPRESSION; MATURATION; BIOLOGY; SPERM; CELLS</t>
  </si>
  <si>
    <t>Extracellular vesicles (EVs) regulate multiple physiological processes. Seminal plasma contains numerous EVs that may deliver functional molecules such as small RNAs (sRNAs) to the sperm. However, the RNA profiles in the boar seminal plasma extracellular vesicles (SP-EVs) and its function have not been characterized. The aim of this study was to characterize the functions and sRNA profiles in the boar SP-EVs using deep sequencing technology. Briefly, boar SP-EVs were isolated by differential ultracentrifugation and confirmed with a transmission electron microscope (TEM), nanoparticle tracking analysis (NTA), and Western blot. The isolated boar SP-EVs contained numerous and diverse sRNA families, including microRNAs (miRNAs, 9.45% of the total reads), PIWI-interacting RNAs (piRNAs, 15.25% of the total reads), messenger RNA fragments (mRNA, 25.30% of the total reads), and tRNA-derived small RNAs (tsRNA, 0.01% of the total reads). A total of 288 known miRNAs, 37 novel miRNA, and 19,749 piRNAs were identified in boar SP-EVs. The identified ssc-miR-21-5p may confer negative effects on sperm fertility based on a dual-luciferase reporter experiment. This study therefore provides an effective method to isolate SP-EVs and characterizes the sRNA profile.</t>
  </si>
  <si>
    <t>[Xu, Zhiqian; Xie, Yanshe; Zhou, Chen; Hu, Qun; Gu, Ting; Yang, Jie; Zheng, Enqin; Huang, Sixiu; Xu, Zheng; Cai, Gengyuan; Liu, Dewu; Wu, Zhenfang; Hong, Linjun] South China Agr Univ, Coll Anim Sci, Guangdong Prov Key Lab Agroanim Genom &amp; Mol Breed, Natl Engn Res Ctr Breeding Swine Ind, Guangzhou, Peoples R China; [Xu, Zhiqian; Xie, Yanshe; Zhou, Chen; Hu, Qun; Gu, Ting; Yang, Jie; Zheng, Enqin; Huang, Sixiu; Xu, Zheng; Cai, Gengyuan; Liu, Dewu; Wu, Zhenfang; Hong, Linjun] Lingnan Guangdong Lab Modern Agr, Guangzhou, Peoples R China</t>
  </si>
  <si>
    <t>South China Agricultural University</t>
  </si>
  <si>
    <t>Wu, ZF; Hong, LJ (corresponding author), South China Agr Univ, Coll Anim Sci, Guangdong Prov Key Lab Agroanim Genom &amp; Mol Breed, Natl Engn Res Ctr Breeding Swine Ind, Guangzhou, Peoples R China.;Wu, ZF; Hong, LJ (corresponding author), Lingnan Guangdong Lab Modern Agr, Guangzhou, Peoples R China.</t>
  </si>
  <si>
    <t>wzfemail@163.com; linjun.hong@scau.edu.cn</t>
  </si>
  <si>
    <t>Xu, Zhiqian/0000-0002-2368-421X</t>
  </si>
  <si>
    <t>2297-1769</t>
  </si>
  <si>
    <t>NOV 11</t>
  </si>
  <si>
    <t>10.3389/fvets.2020.585276</t>
  </si>
  <si>
    <t>WOS:000591903200001</t>
  </si>
  <si>
    <t>Driscoll, J; Moirangthem, A; Yan, IK; Patel, T</t>
  </si>
  <si>
    <t>Driscoll, Julia; Moirangthem, Anuradha; Yan, Irene K.; Patel, Tushar</t>
  </si>
  <si>
    <t>Fabrication and Characterization of a Biomaterial Based on Extracellular-Vesicle Functionalized Graphene Oxide</t>
  </si>
  <si>
    <t>FRONTIERS IN BIOENGINEERING AND BIOTECHNOLOGY</t>
  </si>
  <si>
    <t>extracellular vesicles; graphene; therapeutics; biomaterials; toxicology</t>
  </si>
  <si>
    <t>STEM-CELLS; DRUG-DELIVERY; EXOSOMES; DOXORUBICIN; DERIVATIVES</t>
  </si>
  <si>
    <t>Mesenchymal stem cell (MSC) derived extracellular vesicles (EV) are emerging as acellular therapeutics for solid organ injury and as carriers for drug delivery. Graphene-based materials are novel two-dimensional crystal structure-based materials with unique characteristics of stiffness, strength and elasticity that are being explored for various structural and biological applications. We fabricated a biomaterial that would capture desirable properties of both graphene and stem cell derived EV. Metabolically engineered EV that express azide groups were cross-linked with alkyne-functionalized graphene oxide (GO) via a copper catalyzed alkyne-azide cycloaddition (CuAAC) reaction. The crosslinking between EV and GO was accomplished without the need for ligand expression on the metal. Scanning electron and fluorescence microscopy demonstrated excellent cross-linking between EV and GO. Biological effects were assessed by phagocytosis studies and cell viability studies. The uptake of GO or sonicated GO (sGO) resulted in a durable pro-inflammatory immune response. Cell studies further showed that crosslinked GO-EV scaffolds exhibited cell-type dependent cytotoxicity on liver cancer cells whereas there was minimal impact on healthy hepatocyte proliferation. In vitro, neither GO-EV nor sGO-EV induced DNA strand breaks. In vivo studies in zebrafish revealed gross developmental malformations but treatment-induced mortality was only seen with the highest doses of GO-EV and sGO-EV. With these advantages, this engineered biomaterial combining the versatility of graphene with the therapeutic effects of MSC-EV has potential for applications in tissue engineering and regenerative medicine.</t>
  </si>
  <si>
    <t>[Driscoll, Julia; Moirangthem, Anuradha; Yan, Irene K.; Patel, Tushar] Mayo Clin, Dept Transplantat, Jacksonville, FL 32224 USA</t>
  </si>
  <si>
    <t>Mayo Clinic</t>
  </si>
  <si>
    <t>Patel, T (corresponding author), Mayo Clin, Dept Transplantat, Jacksonville, FL 32224 USA.</t>
  </si>
  <si>
    <t>2296-4185</t>
  </si>
  <si>
    <t>JUN 9</t>
  </si>
  <si>
    <t>10.3389/fbioe.2021.686510</t>
  </si>
  <si>
    <t>Biotechnology &amp; Applied Microbiology; Multidisciplinary Sciences</t>
  </si>
  <si>
    <t>WOS:000664508700001</t>
  </si>
  <si>
    <t>Pap, E</t>
  </si>
  <si>
    <t>Dittmar, T; Zanker, KS</t>
  </si>
  <si>
    <t>Pap, Erna</t>
  </si>
  <si>
    <t>The Role of Microvesicles in Malignancies</t>
  </si>
  <si>
    <t>CELL FUSION IN HEALTH AND DISEASE II: CELL FUSION IN DISEASE</t>
  </si>
  <si>
    <t>TUMOR-DERIVED MICROVESICLES; EXTRACELLULAR MEMBRANE-VESICLES; PLATELET MICROPARTICLES; INTERCELLULAR TRANSFER; T-LYMPHOCYTES; CANCER-CELLS; RELEASED MICROVESICLES; COLORECTAL-CANCER; ENDOTHELIAL-CELLS; MELANOMA-CELLS</t>
  </si>
  <si>
    <t>Microvesicles are membrane-covered cell fragments whose size varies between 30 and 1,000 nm. They are generated by all cell types, constituvely and in response to activation signals. Their importance in intercellular communication has been only recently discovered. They seem to enhance the potential of information transfer between cells, displaying a large number of proteins and lipids as membrane constituents and as components of the inner vesicular content. The content reflects the phenotype of the donor cell and allows the identification of the microvesicular origine as well. Complex packets of molecules are transmitted to the target cells this way, modifying their cellular physiology. Additionally, epigenetic changes may be induced by transmitted DNA and RNAs, that have also been identified in these vesicles. The vesicles can act in close and far distances as well. Microvesicles have been implicated in several physiological and pathological processes. There is an increasing evidence, that they play a pivotal role in tumorigenesis. Vesicles shedding from tumor cells reflect the special potential of the tumor for survival and expansion, independently from cell-to-cell contact. Tumor derived vesicles are fully equipped to facilitate the escape of tumor cells from immune surveillance through their protein and RNA content, at the same time they are involved in the establishment of an optimal environment for newly formed and metastatic tumor cells, influencing angiogenesis and the reorganization of the extracellular matrix. As immune cells, endothels, platelets and stem cells also release microvesicles, a multilevel communication network draws up, allowing a complex interplay between the cells. The concentration of tumor derived vesicles increases in blood plasma and other body fluids with the progression of the disease; therefor they may serve as prognostic markers. The microvesicular approach can offer new perspectives: interfering with the formation, release and propagation of these vesicles, they can be considered as new targets in tumor therapy.</t>
  </si>
  <si>
    <t>Semmelweis Univ, Dept Genet Cell &amp; Immunobiol, H-1089 Budapest, Hungary</t>
  </si>
  <si>
    <t>Semmelweis University</t>
  </si>
  <si>
    <t>Pap, E (corresponding author), Semmelweis Univ, Dept Genet Cell &amp; Immunobiol, H-1089 Budapest, Hungary.</t>
  </si>
  <si>
    <t>nyierna@dgci.sote.hu</t>
  </si>
  <si>
    <t>978-94-007-0781-8</t>
  </si>
  <si>
    <t>10.1007/978-94-007-0782-5_10</t>
  </si>
  <si>
    <t>Biology; Medicine, Research &amp; Experimental</t>
  </si>
  <si>
    <t>Life Sciences &amp; Biomedicine - Other Topics; Research &amp; Experimental Medicine</t>
  </si>
  <si>
    <t>WOS:000290775400010</t>
  </si>
  <si>
    <t>Kwon, YM; Patra, AK; Chiura, HX; Kim, SJ</t>
  </si>
  <si>
    <t>Kwon, Yong Min; Patra, Ajit Kumar; Chiura, Hiroshi Xavier; Kim, Sang-Jin</t>
  </si>
  <si>
    <t>Production of extracellular vesicles with light-induced proton pump activity by proteorhodopsin-containing marine bacteria</t>
  </si>
  <si>
    <t>MICROBIOLOGYOPEN</t>
  </si>
  <si>
    <t>extracellular vesicles; flavobacteria; light-induced proton pump activity; metagenomics; proteorhodopsin; S13EVs</t>
  </si>
  <si>
    <t>OUTER-MEMBRANE VESICLES; FUNCTIONAL-ANALYSIS; PSEUDOMONAS-AERUGINOSA; DNA; PHOTOTROPHY; BIOGENESIS; ACTIVATION; DIVERSITY; RELEASE; ARCHAEA</t>
  </si>
  <si>
    <t>The production and release of extracellular vesicles (EVs) is a common process occurring in various types of bacteria. However, little is known regarding the functions of EVs derived from marine bacteria. We observed that during cell growth, Sediminicola sp. YIK13, a proteorhodopsin (PR)-containing marine flavobacterium, produces EVs (S13EVs). Transmission electron microscopy showed that Sediminicola sp. YIK13 released two spherical vesicle types, with mono- and/or bi-layered membranes, in the culture. Interestingly, the S13EVs have an orange pigment, indicating the presence of putative carotenoid and PR pigments ascribed to the parental cells. The S13EVs demonstrated the same PR-derived absorption peak spectrum and light-induced proton pump activity as the parental cells. Western blot (immunoblot) analysis of the S13EVs revealed the presence of PR. We confirmed the 16S rRNA gene, pro gene, and genes required for chromophore retinal synthesis, namely blh and crtI, in the DNA packaged into these vesicles. In addition, by metagenomic sequencing, we found microbial rhodopsin-related genes in vesicles derived from natural aquatic environments. Our results suggest that EVs as well potentially pursue horizontal gene transfer of diverse microbial rhodopsin genes in marine ecosystems.</t>
  </si>
  <si>
    <t>[Kwon, Yong Min; Patra, Ajit Kumar] Natl Marine Biodivers Inst Korea, Seocheon, South Korea; [Chiura, Hiroshi Xavier] Univ Tokyo, Atmosphere &amp; Ocean Res Inst, Ctr Earth Surface Syst Dynam, Genet Res Grp, Kashiwa, Chiba, Japan; [Chiura, Hiroshi Xavier] Tokyo Univ Agr &amp; Technol, Grad Sch Agr, Lab Mol &amp; Cellular Biol, Dept Bioregulat &amp; Biointeract, Tokyo, Japan; [Kim, Sang-Jin] Korea Inst Ocean Sci &amp; Technol, Marine Biotechnol Res Ctr, Pusan, South Korea; [Kim, Sang-Jin] BJC Co Ltd, Songdo SMART Valley E1508,Songdomiraero 30, Incheon 21990, South Korea</t>
  </si>
  <si>
    <t>Marine Biodiversity Institute of Korea (MABIK); University of Tokyo; Tokyo University of Agriculture &amp; Technology; Korea Institute of Ocean Science &amp; Technology (KIOST)</t>
  </si>
  <si>
    <t>Kim, SJ (corresponding author), BJC Co Ltd, Songdo SMART Valley E1508,Songdomiraero 30, Incheon 21990, South Korea.</t>
  </si>
  <si>
    <t>sjkim19@gmail.com</t>
  </si>
  <si>
    <t>Kwon, Yong Min/0000-0001-9989-6190</t>
  </si>
  <si>
    <t>2045-8827</t>
  </si>
  <si>
    <t>e808</t>
  </si>
  <si>
    <t>10.1002/mbo3.808</t>
  </si>
  <si>
    <t>WOS:000481526900002</t>
  </si>
  <si>
    <t>Zhang, Y; Wu, Y; Luo, SH; Yang, C; Zhong, GZ; Huang, GN; Zhang, XH; Li, B; Liu, CC; Li, L; Yan, XH; Zheng, L; Situ, B</t>
  </si>
  <si>
    <t>Zhang, Ye; Wu, Yuan; Luo, Shihua; Yang, Chao; Zhong, Guangzhi; Huang, Guoni; Zhang, Xiaohe; Li, Bo; Liu, Chunchen; Li, Ling; Yan, Xiaohui; Zheng, Lei; Situ, Bo</t>
  </si>
  <si>
    <t>DNA Nanowire Guided-Catalyzed Hairpin Assembly Nanoprobe for In Situ Profiling of Circulating Extracellular Vesicle-Associated MicroRNAs</t>
  </si>
  <si>
    <t>DNA nanowire; catalyzed hairpin assembly; extracellular vesicle miRNAs; early cancer diagnostics; cancer recurrence risk</t>
  </si>
  <si>
    <t>HYBRIDIZATION-CHAIN-REACTION</t>
  </si>
  <si>
    <t>Extracellular vesicle-associated miRNAs (EV-miRNAs) are emerging as a new type of noninvasive biomarker for disease diagnosis. Their relatively low abundance, however, makes accurate detection challenging. Here, we designed a DNAnanowire guided-catalyzed hairpin assembly (NgCHA) nanoprobe for profiling EV-miRNAs. NgCHA showed high penetrability to EVs, which allowed rapid delivery of the probes into EVs. In the presence of targeted miRNAs within EVs, afluorescent signal could be generated and amplified by confining the catalytic hairpin assembly system within the nanowires, thus greatly enhancing theanalytical sensitivity. We showed that EV-miRNAs from various cell lines could be accurately quantified by NgCHAin situ. By usinga four-EV-miRNA panel, this platform can identify patients with breast cancer at an early stage with 95.2% sensitivity and 86.7%specificity. Its applications for risk assessment as well as cancer type prediction were also successfully demonstrated. This platform issensitive, low-cost, and simple compared with current methods. It may thus serve as a promising tool for the noninvasive diagnosis and monitoring of cancers and other diseases through EV-miRNA profiling</t>
  </si>
  <si>
    <t>[Zhang, Ye; Wu, Yuan; Luo, Shihua; Yang, Chao; Zhong, Guangzhi; Huang, Guoni; Zhang, Xiaohe; Li, Bo; Liu, Chunchen; Yan, Xiaohui; Zheng, Lei; Situ, Bo] Southern Med Univ, Nanfang Hosp, Dept Lab Med, Guangzhou 510515, Peoples R China; [Zhang, Ye; Luo, Shihua; Yang, Chao; Zhang, Xiaohe; Li, Bo; Liu, Chunchen; Yan, Xiaohui; Zheng, Lei; Situ, Bo] Southern Med Univ, Nanfang Hosp, Guangdong Engn &amp; Technol Res Ctr Rapid Diagnost B, Guangzhou 510515, Peoples R China; [Wu, Yuan] Guangdong Med Univ, Sch Basic Med, Dongguan 523808, Peoples R China; [Zhong, Guangzhi] Guangdong Second Tradit Chinese Med Hosp, Dept Lab Med, Guangzhou 5I0515, Peoples R China; [Huang, Guoni] Peoples Hosp Shenzhen Baoan Dist, Dept Lab Med, Shenzhen 518100, Peoples R China; [Li, Ling] Southern Med Univ, Sch Basic Med Sci, Guangzhou 510515, Peoples R China</t>
  </si>
  <si>
    <t>Southern Medical University - China; Southern Medical University - China; Guangdong Medical University; Southern Medical University - China</t>
  </si>
  <si>
    <t>Yan, XH; Zheng, L; Situ, B (corresponding author), Southern Med Univ, Nanfang Hosp, Dept Lab Med, Guangzhou 510515, Peoples R China.;Yan, XH; Zheng, L; Situ, B (corresponding author), Southern Med Univ, Nanfang Hosp, Guangdong Engn &amp; Technol Res Ctr Rapid Diagnost B, Guangzhou 510515, Peoples R China.</t>
  </si>
  <si>
    <t>gzyanxh@126.com; nfyyzhenglei@smu.edu.cn; bositu@smu.edu.cn</t>
  </si>
  <si>
    <t>Li, Bo/0000-0002-6129-321X</t>
  </si>
  <si>
    <t>APR 22</t>
  </si>
  <si>
    <t>10.1021/acssensors.1c02717</t>
  </si>
  <si>
    <t>WOS:000794994500016</t>
  </si>
  <si>
    <t>Liu, BW; Jin, Y; Yang, JY; Han, Y; Shan, H; Qiu, MT; Zhao, XY; Liu, AH; Jin, Y; Yin, YX</t>
  </si>
  <si>
    <t>Liu, Bowen; Jin, Yuan; Yang, Jingyi; Han, Yue; Shan, Hui; Qiu, Mantang; Zhao, Xuyang; Liu, Anhang; Jin, Yan; Yin, Yuxin</t>
  </si>
  <si>
    <t>Extracellular vesicles from lung tissue drive bone marrow neutrophil recruitment in inflammation</t>
  </si>
  <si>
    <t>dsDNA; lung EVs; neutrophil chemotaxis</t>
  </si>
  <si>
    <t>SINGLE-CELL; CPG-DNA; EXOSOMES; TLR9; EXPRESSION; KNOWLEDGE</t>
  </si>
  <si>
    <t>Extracellular vesicles (EVs) are single-membrane vesicles that play an essential role in long-range intercellular communications. EV investigation has been explored largely through cell-culture systems, but it remains unclear how physiological EVs exert homeostatic or pathological functions in vivo. Here, we report that lung EVs promote chemotaxis of neutrophils in bone marrow through delivery of double stranded DNA (dsDNA). We have identified and characterized EVs containing dsDNA collected from both human and murine lung tissues using newly developed approaches. Our analysis of EV proteomics together with single-cell RNA sequencing data reveals that type II alveolar epithelial cells are the main source of the lung EVs. Furthermore, we demonstrate that the lung EVs accumulate in bone marrow and enhance neutrophil recruitment under inflammation conditions. Moreover, lung EV-DNA stimulates neutrophils to release the chemokines CXCL1 and CXCL2 via DNA-TLR9 signalling. Our findings establish a molecular basis of lung EVs in enhancement of host immune response to bacterial infection and provide new insights into understanding of vesicle-mediated systematic communications.</t>
  </si>
  <si>
    <t>[Liu, Bowen; Jin, Yuan; Yang, Jingyi; Han, Yue; Zhao, Xuyang; Liu, Anhang; Jin, Yan; Yin, Yuxin] Peking Univ Hlth Sci Ctr, Beijing Key Lab Tumour Syst Biol, Peking Tsinghua Ctr Life Sci, Inst Syst Biomed,Dept Pathol,Sch Basic Med Sci, Beijing, Peoples R China; [Shan, Hui; Yin, Yuxin] Peking Univ Shenzhen Hosp, Inst Precis Med, Shenzhen, Peoples R China; [Qiu, Mantang] Peking Univ Peoples Hosp, Dept Thorac Surg, Beijing, Peoples R China</t>
  </si>
  <si>
    <t>Peking University</t>
  </si>
  <si>
    <t>Yin, YX (corresponding author), Peking Univ Hlth Sci Ctr, Sch Basic Med Sci, Inst Syst Biomed, 38 Xueyuan Rd, Beijing 100191, Peoples R China.</t>
  </si>
  <si>
    <t>yinyuxin@bjmu.edu.cn</t>
  </si>
  <si>
    <t>e12223</t>
  </si>
  <si>
    <t>10.1002/jev2.12223</t>
  </si>
  <si>
    <t>WOS:000798058200001</t>
  </si>
  <si>
    <t>Barone, M; Barone, M; Ricci, F; Auteri, G; Corradi, G; Fabbri, F; Papa, V; Bandini, E; Cenacchi, G; Tazzari, PL; Vianelli, N; Turroni, S; Cavo, M; Palandri, F; Candela, M; Catani, L</t>
  </si>
  <si>
    <t>Barone, Monica; Barone, Martina; Ricci, Francesca; Auteri, Giuseppe; Corradi, Giulia; Fabbri, Francesco; Papa, Valentina; Bandini, Erika; Cenacchi, Giovanna; Tazzari, Pier Luigi; Vianelli, Nicola; Turroni, Silvia; Cavo, Michele; Palandri, Francesca; Candela, Marco; Catani, Lucia</t>
  </si>
  <si>
    <t>An Abnormal Host/Microbiomes Signature of Plasma-Derived Extracellular Vesicles Is Associated to Polycythemia Vera</t>
  </si>
  <si>
    <t>polycythemia vera; cancer; extracellular vesicles; microbial DNA cargo; gut microbiota</t>
  </si>
  <si>
    <t>MEGAKARYOCYTES; INFLAMMATION; NEOPLASMS</t>
  </si>
  <si>
    <t>Polycythemia Vera (PV) is a myeloproliferative neoplasm with increased risk of thrombosis and progression to myelofibrosis. Chronic inflammation is commonly observed in myeloproliferative neoplasms including PV. The inflammatory network includes the extracellular vesicles (EVs), which play a role in cell-cell communication. Recent evidence points to circulating microbial components/microbes as potential players in hemopoiesis regulation. To address the role of EVs in PV, here we investigated phenotype and microbial DNA cargo of circulating EVs through multidimensional analysis. Peripheral blood and feces were collected from PV patients (n=38) and healthy donors (n=30). Circulating megakaryocyte (MK)- and platelet (PLT)-derived EVs were analyzed by flow cytometry. After microbial DNA extraction from feces and isolated EVs, the 16S rDNA V3-V4 region was sequenced. We found that the proportion of circulating MK-derived EVs was significantly decreased in PV patients as compared with the healthy donors. By contrast, the proportion of the PLT-derived EVs was increased. Interestingly, PV was also associated with a microbial DNA signature of the isolated EVs with higher diversity and distinct microbial composition than the healthy counterparts. Of note, increased proportion of isolated lipopolysaccharide-associated EVs has been demonstrated in PV patients. Conversely, the gut microbiome profile failed to identify a distinct layout between PV patients and healthy donors. In conclusion, PV is associated with circulating EVs harbouring abnormal phenotype and dysbiosis signature with a potential role in the (inflammatory) pathogenesis of the disease.</t>
  </si>
  <si>
    <t>[Barone, Monica] Univ Bologna, Dept Med &amp; Surg Sci, Bologna, Italy; [Barone, Monica; Turroni, Silvia; Candela, Marco] Univ Bologna, Dept Pharm &amp; Biotechnol, Bologna, Italy; [Barone, Martina; Auteri, Giuseppe; Corradi, Giulia; Cavo, Michele; Catani, Lucia] Univ Bologna, IRCCS Azienda Osped Univ Bologna, Ist Ematol Seragnoli, Dipartimento Med Specialist Diagnost &amp; Sperimenta, Bologna, Italy; [Ricci, Francesca; Tazzari, Pier Luigi] IRCCS Azienda Osped Univ Bologna, Serv Immunoematol &amp; Trasfus, Bologna, Italy; [Fabbri, Francesco; Bandini, Erika] Ist Romagnolo Studio Tumori IRST Dino Amadori, IRCCS, Biosci Lab, Meldola, Italy; [Papa, Valentina; Cenacchi, Giovanna] Univ Bologna, Dept Biomed &amp; Neuromotor Sci, Bologna, Italy; [Vianelli, Nicola; Palandri, Francesca] IRCCS Azienda Osped Univ Bologna, Ist Ematol Seragnoli, Bologna, Italy</t>
  </si>
  <si>
    <t>University of Bologna; University of Bologna; IRCCS Azienda Ospedaliero-Universitaria di Bologna; University of Bologna; IRCCS Azienda Ospedaliero-Universitaria di Bologna; University of Bologna; IRCCS Azienda Ospedaliero-Universitaria di Bologna</t>
  </si>
  <si>
    <t>Palandri, F (corresponding author), IRCCS Azienda Osped Univ Bologna, Ist Ematol Seragnoli, Bologna, Italy.</t>
  </si>
  <si>
    <t>francesca.palandri@unibo.it</t>
  </si>
  <si>
    <t>Fabbri, Francesco/0000-0002-7885-3025; Bandini, Erika/0000-0002-4378-3573; CAVO, MICHELE/0000-0003-4514-3227</t>
  </si>
  <si>
    <t>NOV 25</t>
  </si>
  <si>
    <t>10.3389/fonc.2021.715217</t>
  </si>
  <si>
    <t>WOS:000728893400001</t>
  </si>
  <si>
    <t>Qin, YH; Zhang, CQ</t>
  </si>
  <si>
    <t>Qin, Yunhao; Zhang, Changqing</t>
  </si>
  <si>
    <t>Endothelial progenitor cell-derived extracellular vesicle-meditated cell-to-cell communication regulates the proliferation and osteoblastic differentiation of bone mesenchymal stromal cells</t>
  </si>
  <si>
    <t>MOLECULAR MEDICINE REPORTS</t>
  </si>
  <si>
    <t>extracellular vesicles; endothelial progenitor cells; bone mesenchymal stromal cells; osteoblastic differentiation</t>
  </si>
  <si>
    <t>IN-VITRO; EXOSOMES; MICROVESICLES; ANGIOGENESIS; ACCUMULATION; REGENERATION; DELIVERY</t>
  </si>
  <si>
    <t>Bone tissue engineering is a promising treatment strategy to increase bone regeneration. Endothelial progenitor cells (EPCs) and bone marrow stromal cells (BMSCs) are commonly used to promote vessel formation and osteoblastic differentiation in tissue engineering. Previous studies have demonstrated that EPCs regulate both proliferation and differentiation of BMSCs. However, the underlying mechanism remains unclear. Understanding this mechanism is critical to developing more effective treatments. The role of extracellular vesicles in cell-to-cell communication has attracted substantial attention. These small vesicles deliver proteins, DNA, and RNA and consequently regulate the commitment, function, and differentiation of target cells. In the present study, EPC-derived extracellular vesicles (EPC-EVs were isolated using gradient ultracentrifugation and ultrafiltration and the influence of EPC-EVs on BMSC osteoblastic differentiation and proliferation was examined in vitro. The results indicated that EPC-EVs regulate the osteoblastic differentiation of BMSCs by inhibiting the expression of osteogenic genes and increasing proliferation in vitro. It is suggested that the results regarding the role of EPC-EVs will provide a novel way to explain the crosstalk between EPCs and BMSCs.</t>
  </si>
  <si>
    <t>[Qin, Yunhao; Zhang, Changqing] Shanghai Jiao Tong Univ, Affiliated Peoples Hosp 6, Dept Orthopaed, 600 Yishan Rd, Shanghai 200030, Peoples R China</t>
  </si>
  <si>
    <t>Shanghai Jiao Tong University</t>
  </si>
  <si>
    <t>Zhang, CQ (corresponding author), Shanghai Jiao Tong Univ, Affiliated Peoples Hosp 6, Dept Orthopaed, 600 Yishan Rd, Shanghai 200030, Peoples R China.</t>
  </si>
  <si>
    <t>zhangcq@sjtu.edu.cn</t>
  </si>
  <si>
    <t>1791-2997</t>
  </si>
  <si>
    <t>1791-3004</t>
  </si>
  <si>
    <t>10.3892/mmr.2017.7403</t>
  </si>
  <si>
    <t>Oncology; Medicine, Research &amp; Experimental</t>
  </si>
  <si>
    <t>Oncology; Research &amp; Experimental Medicine</t>
  </si>
  <si>
    <t>WOS:000414698900167</t>
  </si>
  <si>
    <t>Yin, YA; Shelke, GV; Lasser, C; Brismar, H; Lotvall, J</t>
  </si>
  <si>
    <t>Yin, Yanan; Shelke, Ganesh Vilas; Lasser, Cecilia; Brismar, Hjalmar; Loetvall, Jan</t>
  </si>
  <si>
    <t>Extracellular vesicles from mast cells induce mesenchymal transition in airway epithelial cells</t>
  </si>
  <si>
    <t>RESPIRATORY RESEARCH</t>
  </si>
  <si>
    <t>Mast cells; Epithelial cells; Extracellular vesicles; Exosomes; Phosphorylated proteins; Protein microarray; Epithelial-mesenchymal transition</t>
  </si>
  <si>
    <t>CANCER-CELLS; INTERCELLULAR-ADHESION; HEPARAN-SULFATE; LUNG; EXPRESSION; EMT; ANGIOGENESIS; MACROPHAGES; RECRUITMENT; ACTIVATION</t>
  </si>
  <si>
    <t>BackgroundIn the airways, mast cells are present in close vicinity to epithelial cells, and they can interact with each other via multiple factors, including extracellular vesicles (EVs). Mast cell-derived EVs have a large repertoire of cargos, including proteins and RNA, as well as surface DNA. In this study, we hypothesized that these EVs can induce epithelial to mesenchymal transition (EMT) in airway epithelial cells.MethodsIn this in-vitro study we systematically determined the effects of mast cell-derived EVs on epithelial A549 cells. We determined the changes that are induced by EVs on A549 cells at both the RNA and protein levels. Moreover, we also analyzed the rapid changes in phosphorylation events in EV-recipient A549 cells using a phosphorylated protein microarray. Some of the phosphorylation-associated events associated with EMT were validated using immunoblotting.ResultsMorphological and transcript analysis of epithelial A549 cells indicated that an EMT-like phenotype was induced by the EVs. Transcript analysis indicated the upregulation of genes involved in EMT, including TWIST1, MMP9, TGFB1, and BMP-7. This was accompanied by downregulation of proteins such as E-cadherin and upregulation of Slug-Snail and matrix metalloproteinases. Additionally, our phosphorylated-protein microarray analysis revealed proteins associated with the EMT cascade that were upregulated after EV treatment. We also found that transforming growth factor beta-1, a well-known EMT inducer, is associated with EVs and mediates the EMT cascade induced in the A549 cells.ConclusionMast cell-derived EVs mediate the induction of EMT in epithelial cells, and our evidence suggests that this is triggered through the induction of protein phosphorylation cascades.</t>
  </si>
  <si>
    <t>[Yin, Yanan; Shelke, Ganesh Vilas; Lasser, Cecilia; Loetvall, Jan] Univ Gothenburg, Krefting Res Ctr, Inst Med, Sahlgrenska Acad, Gothenburg, Sweden; [Yin, Yanan] Shanghai Jiao Tong Univ, Dept Biochem &amp; Mol Cell Biol, Sch Med, 280 South Chongqing Rd, Shanghai 200025, Peoples R China; [Shelke, Ganesh Vilas] Univ Gothenburg, Sahlgrenska Canc Ctr, Gothenburg, Sweden; [Shelke, Ganesh Vilas] Univ Gothenburg, Dept Surg, Inst Clin Sci, Gothenburg, Sweden; [Shelke, Ganesh Vilas] Sahlgrens Univ Hosp, Gothenburg, Sweden; [Brismar, Hjalmar] Royal Inst Technol, Sci Life Lab, Dept Appl Phys, POB 1031, Solna 17121, Sweden</t>
  </si>
  <si>
    <t>University of Gothenburg; Shanghai Jiao Tong University; University of Gothenburg; University of Gothenburg; Sahlgrenska University Hospital; Royal Institute of Technology</t>
  </si>
  <si>
    <t>Shelke, GV (corresponding author), Univ Gothenburg, Krefting Res Ctr, Inst Med, Sahlgrenska Acad, Gothenburg, Sweden.;Shelke, GV (corresponding author), Univ Gothenburg, Sahlgrenska Canc Ctr, Gothenburg, Sweden.</t>
  </si>
  <si>
    <t>ganesh.shelke@gu.se</t>
  </si>
  <si>
    <t>Brismar, Hjalmar/E-8524-2011; Shelke, Ganesh/L-2853-2019</t>
  </si>
  <si>
    <t>Brismar, Hjalmar/0000-0003-0578-4003; Shelke, Ganesh/0000-0001-5883-8082; Lasser, Cecilia/0000-0003-1279-1746</t>
  </si>
  <si>
    <t>1465-993X</t>
  </si>
  <si>
    <t>MAY 1</t>
  </si>
  <si>
    <t>10.1186/s12931-020-01346-8</t>
  </si>
  <si>
    <t>Respiratory System</t>
  </si>
  <si>
    <t>WOS:000531288400001</t>
  </si>
  <si>
    <t>Enderle, D; Spiel, A; Coticchia, CM; Berghoff, E; Mueller, R; Schlumpberger, M; Sprenger-Haussels, M; Shaffer, JM; Lader, E; Skog, J; Noerholm, M</t>
  </si>
  <si>
    <t>Enderle, Daniel; Spiel, Alexandra; Coticchia, Christine M.; Berghoff, Emily; Mueller, Romy; Schlumpberger, Martin; Sprenger-Haussels, Markus; Shaffer, Jonathan M.; Lader, Eric; Skog, Johan; Noerholm, Mikkel</t>
  </si>
  <si>
    <t>Characterization of RNA from Exosomes and Other Extracellular Vesicles Isolated by a Novel Spin Column-Based Method</t>
  </si>
  <si>
    <t>CIRCULATING TUMOR DNA; MICROVESICLES; PLASMA; CELLS; MICRORNAS; RECEPTOR; SERUM; RESISTANCE; STABILITY; GROWTH</t>
  </si>
  <si>
    <t>Exosomes and other extracellular vesicles (commonly referred to as EVs) have generated a lot of attention for their potential applications in both diagnostics and therapeutics. The contents of these vesicles are the subject of intense research, and the relatively recent discovery of RNA inside EVs has raised interest in the biological function of these RNAs as well as their potential as biomarkers for cancer and other diseases. Traditional ultracentrifugation-based protocols to isolate EVs are labor-intensive and subject to significant variability. Various attempts to develop methods with robust, reproducible performance have not yet been completely successful. Here, we report the development and characterization of a spin column-based method for the isolation of total RNA from EVs in serum and plasma. This method isolates highly pure RNA of equal or higher quantity compared to ultracentrifugation, with high specificity for vesicular over non-vesicular RNA. The spin columns have a capacity to handle up to 4 mL sample volume, enabling detection of low-abundance transcripts in serum and plasma. We conclude that the method is an improvement over traditional methods in providing a faster, more standardized way to achieve reliable high quality RNA preparations from EVs in biofluids such as serum and plasma. The first kit utilizing this new method has recently been made available by Qiagen as exoRNeasy Serum/Plasma Maxi Kit.</t>
  </si>
  <si>
    <t>[Enderle, Daniel; Spiel, Alexandra; Mueller, Romy; Noerholm, Mikkel] Exosome Diagnost GmbH, D-82152 Martinsried, Germany; [Coticchia, Christine M.; Berghoff, Emily; Skog, Johan] Exosome Diagnost Inc, Cambridge, MA 02139 USA; [Schlumpberger, Martin; Sprenger-Haussels, Markus] QIAGEN GmbH, D-40274 Hilden, Germany; [Shaffer, Jonathan M.; Lader, Eric] QIAGEN, Frederick, MD 21703 USA</t>
  </si>
  <si>
    <t>QIAGEN GmbH</t>
  </si>
  <si>
    <t>Enderle, D (corresponding author), Exosome Diagnost GmbH, Klopferspitz 19a, D-82152 Martinsried, Germany.</t>
  </si>
  <si>
    <t>daniel@exosomedx.com</t>
  </si>
  <si>
    <t>AUG 28</t>
  </si>
  <si>
    <t>e0136133</t>
  </si>
  <si>
    <t>10.1371/journal.pone.0136133</t>
  </si>
  <si>
    <t>WOS:000360299100059</t>
  </si>
  <si>
    <t>Manning, AJ; Kuehn, MJ</t>
  </si>
  <si>
    <t>Manning, Andrew J.; Kuehn, Meta J.</t>
  </si>
  <si>
    <t>Functional Advantages Conferred by Extracellular Prokaryotic Membrane Vesicles</t>
  </si>
  <si>
    <t>JOURNAL OF MOLECULAR MICROBIOLOGY AND BIOTECHNOLOGY</t>
  </si>
  <si>
    <t>Outer membrane vesicles; Transformation; Virulence factor transmission; Antimicrobial protection; Biofilm; Prokaryotic envelope</t>
  </si>
  <si>
    <t>HEAT-LABILE ENTEROTOXIN; GRAM-NEGATIVE BACTERIA; OUTER-MEMBRANE; PSEUDOMONAS-AERUGINOSA; ESCHERICHIA-COLI; HELICOBACTER-PYLORI; SECRETION SYSTEMS; BIOFILM FORMATION; NEISSERIA-GONORRHOEAE; VIRULENCE FACTORS</t>
  </si>
  <si>
    <t>The absence of subcellular organelles is a characteristic typically used to distinguish prokaryotic from eukaryotic cells. But recent discoveries do not support this dogma. Over the past 50 years, researchers have begun to appreciate and characterize Gram-negative bacterial outer membrane-derived vesicles and Gram-positive and archaeal membrane vesicles. These extracellular, membrane-bound organelles can perform a variety of functions, including binding and delivery of DNA, transport of virulence factors, protection of the cell from outer membrane targeting antimicrobials and ridding the cell of toxic envelope proteins. Here, we review the contributions of these extracellular organelles to prokaryotic physiology and compare these with the contributions of the bacterial interior membrane-bound organelles responsible for harvesting light energy and for generating magnetic crystals of heavy metals. Understanding the roles of these multifunctional extracellular vesicle organelles as microbial tools will help us to better realize the diverse interactions that occur in our polymicrobial world. Copyright (C) 2013 S. Karger AG, Basel</t>
  </si>
  <si>
    <t>[Manning, Andrew J.; Kuehn, Meta J.] Duke Univ, Med Ctr, Dept Biochem, Durham, NC 27710 USA</t>
  </si>
  <si>
    <t>Duke University</t>
  </si>
  <si>
    <t>Kuehn, MJ (corresponding author), Duke Univ, Med Ctr, Dept Biochem, 221 Nanaline Duke Bldg,BOX 3711 Biochem, Durham, NC 27710 USA.</t>
  </si>
  <si>
    <t>meta.kuehn@duke.edu</t>
  </si>
  <si>
    <t>Kuehn, Meta/AAL-2950-2021</t>
  </si>
  <si>
    <t>Kuehn, Meta/0000-0003-0519-3019</t>
  </si>
  <si>
    <t>1464-1801</t>
  </si>
  <si>
    <t>1660-2412</t>
  </si>
  <si>
    <t>10.1159/000346548</t>
  </si>
  <si>
    <t>WOS:000317899600011</t>
  </si>
  <si>
    <t>Samra, M; Nam, SK; Lim, DH; Kim, DH; Yang, J; Kim, YK; Kim, JH</t>
  </si>
  <si>
    <t>Samra, Mona; Nam, Soo Kyung; Lim, Dae Hyun; Kim, Dong Hyun; Yang, Jinho; Kim, Yoon-Keun; Kim, Jeong Hee</t>
  </si>
  <si>
    <t>Urine Bacteria-Derived Extracellular Vesicles and Allergic Airway Diseases in Children</t>
  </si>
  <si>
    <t>INTERNATIONAL ARCHIVES OF ALLERGY AND IMMUNOLOGY</t>
  </si>
  <si>
    <t>Asthma; Rhinitis; Microbiota; Extracellular vesicle; Metagenomic analysis</t>
  </si>
  <si>
    <t>CHRONIC RHINOSINUSITIS; MEMBRANE-VESICLES; RHINITIS; ASTHMA; MICROBIOME; DIVERSITY; WORLD</t>
  </si>
  <si>
    <t>Background: Microbiota and human allergic airway diseases have been proven to be interrelated. Bacteria-derived extracellular vesicle (EV)s are known to play important roles in interbacterial and human-bacteria communications, but their relationship with allergies has not been examined yet. Urine EVs were investigated to determine whether they could be used as biomarkers for monitoring allergic airway diseases in children. Methods: Subjects were 4 groups of chronic rhinitis (CR), allergic rhinitis (AR), atopic asthma (AS) and healthy controls. Single voided urine samples were collected. Urine EVs were isolated and their DNA was extracted for 16S-rDNA pyrosequencing. Results: A total of 118 children participated in this study; 27, 39, 19, and 33 were in the CR, AR, AS, and control group, respectively. The AR had a significantly high Chao-1 index than that of controls. Principal component analysis revealed dysbiosis in the CR, AR, and AS compared to the controls. One phylum and 19 families and genera were significantly enriched or depleted in the disease groups compared to the controls; the Actinobacteria phylum and the Sphingomonadaceae family were more abundant in the AS and CR, the Comamonadaceae family, the Propionibacteraceae family, Propionibacterium and Enhydrobacter were more enriched in the CR, and the Methylobacteriaceae family and Methylobacterium were more abundant in each disease group, while the Enterobacteriaceae family was depleted in each disease group. Conclusions: CR, AR, and AS had a distinct composition of urine EVs. Urine EVs could be an indicator for assessing allergic airway diseases in children. (C) 2018 S. Karger AG, Basel</t>
  </si>
  <si>
    <t>[Samra, Mona; Lim, Dae Hyun; Kim, Jeong Hee] Inha Univ, Sch Med, Dept Pediat, Incheon, South Korea; [Samra, Mona; Lim, Dae Hyun; Kim, Dong Hyun; Kim, Jeong Hee] Inha Univ Hosp, Environm Hlth Ctr Allerg Rhinitis, Incheon, South Korea; [Nam, Soo Kyung; Lim, Dae Hyun; Kim, Dong Hyun; Kim, Jeong Hee] Inha Univ Hosp, Dept Pediat, 27 Inhang Ro, Incheon 400711, South Korea; [Yang, Jinho; Kim, Yoon-Keun] MD Healthcare Inc, Seoul, South Korea</t>
  </si>
  <si>
    <t>Inha University; Inha University; Inha University Hospital; Inha University; Inha University Hospital</t>
  </si>
  <si>
    <t>Kim, JH (corresponding author), Inha Univ Hosp, Dept Pediat, 27 Inhang Ro, Incheon 400711, South Korea.</t>
  </si>
  <si>
    <t>kimjhmd@inha.ac.kr</t>
  </si>
  <si>
    <t>Yang, Jinho/0000-0001-7207-6846; Kim, Dong Hyun/0000-0001-9883-0229</t>
  </si>
  <si>
    <t>1018-2438</t>
  </si>
  <si>
    <t>1423-0097</t>
  </si>
  <si>
    <t>10.1159/000492677</t>
  </si>
  <si>
    <t>Allergy; Immunology</t>
  </si>
  <si>
    <t>WOS:000459512200006</t>
  </si>
  <si>
    <t>Sammarco, A; Finesso, G; Cavicchioli, L; Ferro, S; Caicci, F; Zanetti, R; Sacchetto, R; Zappulli, V</t>
  </si>
  <si>
    <t>Sammarco, A.; Finesso, G.; Cavicchioli, L.; Ferro, S.; Caicci, F.; Zanetti, R.; Sacchetto, R.; Zappulli, V.</t>
  </si>
  <si>
    <t>Preliminary investigation of extracellular vesicles in mammary cancer of dogs and cats: Identification and characterization</t>
  </si>
  <si>
    <t>VETERINARY AND COMPARATIVE ONCOLOGY</t>
  </si>
  <si>
    <t>Alix; CD63; extracellular vesicles; mammary tumours; nanoparticle tracking analysis; TSG101</t>
  </si>
  <si>
    <t>NANOPARTICLE TRACKING ANALYSIS; MEMBRANE-VESICLES; INTERCELLULAR TRANSFER; LARGE ONCOSOMES; TUMOR-GROWTH; EXOSOMES; MICROVESICLES; PLASMA; CELLS; SIZE</t>
  </si>
  <si>
    <t>Extracellular vesicles (EVs) are membrane-bound vesicles produced by cells, known to play a key role in cell-to-cell communication. They exert pleiotropic biological functions via the horizontal transfer of bioactive molecules (DNA, RNAs, proteins, and lipids) within the tumour microenvironment and throughout the body. In human cancer, EVs are known to interfere with pathways that lead to tumour progression and are used as novel cancer biomarkers. In veterinary medicine, very little is known on cancer-derived EVs. In this study, we preliminarily characterized EVs in mammary gland cancer of dogs and cats. EVs were isolated by ultracentrifugation from canine (CYPp), feline (FMCp) and human (MCF7) mammary tumour cell lines. EVs were visualized by transmission electron microscopy (TEM), counted using nanoparticle tracking analysis (NTA) and characterized by immunogold (CD63 and Alix) and western blot (Alix and TSG101). Additionally, EV production by donor cells (palmtdTomato(+)) and uptake by recipient cells (GFP(+)) were assessed. EVs were successfully isolated from all 3 cell lines by ultracentrifugation. Membrane-bound structures (50-400 nm) were identified by TEM and were positive for both CD63 and Alix at immunogold. Western blot showed positivity of EVs to Alix and TSG101. NTA analysis detected EVs from cell culture media ranging from 1.67 to 2.56 x 10(2) as number of EVs/cell and from 80 to 600 nm in size. Confocal microscopy identified the presence of palmtdTomato(+) EVs into the cytoplasm of GFP(+) cells. This preliminary study identified and characterized canine and feline mammary tumour cell-derived EVs, opening in veterinary medicine a new interesting unexplored field with several applications and limitless potential.</t>
  </si>
  <si>
    <t>[Sammarco, A.; Finesso, G.; Cavicchioli, L.; Ferro, S.; Zanetti, R.; Sacchetto, R.; Zappulli, V.] Univ Padua, Dept Comparat Biomed &amp; Food Sci, Padua, Italy; [Caicci, F.] Univ Padua, Dept Biol, Padua, Italy</t>
  </si>
  <si>
    <t>University of Padua; University of Padua</t>
  </si>
  <si>
    <t>Sammarco, A (corresponding author), Univ Padua, Dept Comparat Biomed &amp; Food Sci, Padua, Italy.</t>
  </si>
  <si>
    <t>alessandro.sammarco6@gmail.com</t>
  </si>
  <si>
    <t>Ferro, Silvia/AAA-7772-2021</t>
  </si>
  <si>
    <t>Sammarco, Alessandro/0000-0003-1977-3292; Zanetti, Rossella/0000-0002-4673-6668</t>
  </si>
  <si>
    <t>1476-5810</t>
  </si>
  <si>
    <t>1476-5829</t>
  </si>
  <si>
    <t>10.1111/vco.12405</t>
  </si>
  <si>
    <t>WOS:000450018900009</t>
  </si>
  <si>
    <t>You, JX; Qi, SN; Fu, JL; Wang, CG; Su, GF</t>
  </si>
  <si>
    <t>You, J-X; Qi, S-N; Fu, J-L; Wang, C-G; Su, G-F</t>
  </si>
  <si>
    <t>Circulating exosomes in ophthalmic disease: novel carriers of biological information circulating exosomes in ophthalmic disease</t>
  </si>
  <si>
    <t>EUROPEAN REVIEW FOR MEDICAL AND PHARMACOLOGICAL SCIENCES</t>
  </si>
  <si>
    <t>Exosomes; Biological functions; Diagnosis; Target treatment; Ophthalmic disease</t>
  </si>
  <si>
    <t>RETINAL-PIGMENT EPITHELIUM; CELL-DERIVED EXOSOMES; EXTRACELLULAR VESICLES; AQUEOUS-HUMOR; STEM-CELLS; IN-VITRO; BIOMARKERS; MICRORNAS; MYOCILIN; RNA</t>
  </si>
  <si>
    <t>Exosomes, small membrane vesicles with a diameter of 30-100 nm, transport lipids. proteins, DNA, and RNA. Exosomes originate from endocytic vessels and are processed and released through exocytosis, They can be taken up by target cells and mediate intercellular communication. Initially, exosomes were thought to be waste products excreted by cells. However, with more research, they have been found to play important roles in physiological and pathological processes. Therefore, they are promising biomarkers for the diagnosis and treatment of a variety of disease conditions, including fundus diseases, ocular surface diseases. retinal diseases, tumors, ocular trauma, and light damage. In this review, we discuss the history, biogenesis, release, isolation, characterization, and biological functions of exosomes, as well as their future application prospects in ophthalmic diseases.</t>
  </si>
  <si>
    <t>[You, J-X; Qi, S-N; Fu, J-L; Wang, C-G; Su, G-F] Second Hosp Jilin Univ, Dept Ophthalmol, Changchun, Jilin, Peoples R China</t>
  </si>
  <si>
    <t>Jilin University</t>
  </si>
  <si>
    <t>Su, GF (corresponding author), Second Hosp Jilin Univ, Dept Ophthalmol, Changchun, Jilin, Peoples R China.</t>
  </si>
  <si>
    <t>sgf@jlu.edu.cn</t>
  </si>
  <si>
    <t>1128-3602</t>
  </si>
  <si>
    <t>10.26355/eurrev_202103_25208</t>
  </si>
  <si>
    <t>WOS:000627906600013</t>
  </si>
  <si>
    <t>Gonda, A; Zhao, NX; Shah, JV; Siebert, JN; Gunda, S; Inan, B; Kwon, M; Libutti, SK; Moghe, PV; Francis, NL; Ganapathy, V</t>
  </si>
  <si>
    <t>Gonda, Amber; Zhao, Nanxia; Shah, Jay, V; Siebert, Jake N.; Gunda, Srujanesh; Inan, Berk; Kwon, Mijung; Libutti, Steven K.; Moghe, Prabhas V.; Francis, Nicola L.; Ganapathy, Vidya</t>
  </si>
  <si>
    <t>Extracellular Vesicle Molecular Signatures Characterize Metastatic Dynamicity in Ovarian Cancer</t>
  </si>
  <si>
    <t>extracellular vesicle; exosome; gene signatures; metastasis; ovarian cancer 2</t>
  </si>
  <si>
    <t>LIQUID BIOPSY; OVEREXPRESSION; OPPORTUNITIES; BIOMARKERS; INVASION</t>
  </si>
  <si>
    <t>BackgroundLate-stage diagnosis of ovarian cancer, a disease that originates in the ovaries and spreads to the peritoneal cavity, lowers 5-year survival rate from 90% to 30%. Early screening tools that can: i) detect with high specificity and sensitivity before conventional tools such as transvaginal ultrasound and CA-125, ii) use non-invasive sampling methods and iii) longitudinally significantly increase survival rates in ovarian cancer are needed. Studies that employ blood-based screening tools using circulating tumor-cells, -DNA, and most recently tumor-derived small extracellular vesicles (sEVs) have shown promise in non-invasive detection of cancer before standard of care. Our findings in this study show the promise of a sEV-derived signature as a non-invasive longitudinal screening tool in ovarian cancer. MethodsHuman serum samples as well as plasma and ascites from a mouse model of ovarian cancer were collected at various disease stages. Small extracellular vesicles (sEVs) were extracted using a commercially available kit. RNA was isolated from lysed sEVs, and quantitative RT-PCR was performed to identify specific metastatic gene expression. ConclusionThis paper highlights the potential of sEVs in monitoring ovarian cancer progression and metastatic development. We identified a 7-gene panel in sEVs derived from plasma, serum, and ascites that overlapped with an established metastatic ovarian carcinoma signature. We found the 7-gene panel to be differentially expressed with tumor development and metastatic spread in a mouse model of ovarian cancer. The most notable finding was a significant change in the ascites-derived sEV gene signature that overlapped with that of the plasma-derived sEV signature at varying stages of disease progression. While there were quantifiable changes in genes from the 7-gene panel in serum-derived sEVs from ovarian cancer patients, we were unable to establish a definitive signature due to low sample number. Taken together our findings show that differential expression of metastatic genes derived from circulating sEVs present a minimally invasive screening tool for ovarian cancer detection and longitudinal monitoring of molecular changes associated with progression and metastatic spread.</t>
  </si>
  <si>
    <t>[Gonda, Amber; Shah, Jay, V; Siebert, Jake N.; Moghe, Prabhas V.; Francis, Nicola L.; Ganapathy, Vidya] Rutgers State Univ, Dept Biomed Engn, Piscataway, NJ 08854 USA; [Zhao, Nanxia; Moghe, Prabhas V.] Rutgers State Univ, Dept Chem &amp; Biochem Engn, Piscataway, NJ USA; [Siebert, Jake N.] Rutgers State Univ, Rutgers Robert Wood Johnson Med Sch, New Brunswick, NJ USA; [Gunda, Srujanesh; Inan, Berk] Rutgers State Univ, Sch Environm &amp; Biol Sci, New Brunswick, NJ USA; [Kwon, Mijung; Libutti, Steven K.] Rutgers State Univ, Rutgers Canc Inst New Jersey, New Brunswick, NJ USA</t>
  </si>
  <si>
    <t>Rutgers State University New Brunswick; Rutgers State University New Brunswick; Rutgers State University New Brunswick; Rutgers State University Medical Center; Rutgers State University New Brunswick; Rutgers State University New Brunswick; Rutgers State University Medical Center; Rutgers Cancer Institute of New Jersey</t>
  </si>
  <si>
    <t>Francis, NL; Ganapathy, V (corresponding author), Rutgers State Univ, Dept Biomed Engn, Piscataway, NJ 08854 USA.</t>
  </si>
  <si>
    <t>nicola.francis@rutgers.edu; vg180@soe.rutgers.edu</t>
  </si>
  <si>
    <t>Francis, Nicola/0000-0002-5542-253X</t>
  </si>
  <si>
    <t>NOV 18</t>
  </si>
  <si>
    <t>10.3389/fonc.2021.718408</t>
  </si>
  <si>
    <t>WOS:000741811000001</t>
  </si>
  <si>
    <t>Bandini, E; Rossi, T; Scarpi, E; Gallerani, G; Vannini, I; Salvi, S; Azzali, I; Melloni, M; Salucci, S; Battistelli, M; Serra, P; Maltoni, R; Cho, WC; Fabbri, F</t>
  </si>
  <si>
    <t>Bandini, Erika; Rossi, Tania; Scarpi, Emanuela; Gallerani, Giulia; Vannini, Ivan; Salvi, Samanta; Azzali, Irene; Melloni, Mattia; Salucci, Sara; Battistelli, Michela; Serra, Patrizia; Maltoni, Roberta; Cho, William C.; Fabbri, Francesco</t>
  </si>
  <si>
    <t>Early Detection and Investigation of Extracellular Vesicles Biomarkers in Breast Cancer</t>
  </si>
  <si>
    <t>breast cancer; extracellular vesicles; plasma; liquid biopsy; biomarkers</t>
  </si>
  <si>
    <t>ENDOTHELIAL-CELLS</t>
  </si>
  <si>
    <t>Breast cancer (BC) is the most commonly diagnosed malignant tumor in women worldwide, and the leading cause of cancer death in the female population. The percentage of patients experiencing poor prognosis along with the risk of developing metastasis remains high, also affecting the resistance to current main therapies. Cancer progression and metastatic development are no longer due entirely to their intrinsic characteristics, but also regulated by signals derived from cells of the tumor microenvironment. Extracellular vesicles (EVs) packed with DNA, RNA, and proteins, are the most attractive targets for both diagnostic and therapeutic applications, and represent a decisive challenge as liquid biopsy-based markers. Here we performed a study based on a multiplexed phenotyping flow cytometric approach to characterize BC-derived EVs from BC patients and cell lines, through the detection of multiple antigens. Our data reveal the expression of EVs-related biomarkers derived from BC patient plasma and cell line supernatants, suggesting that EVs could be exploited for characterizing and monitoring disease progression.</t>
  </si>
  <si>
    <t>[Bandini, Erika; Rossi, Tania; Gallerani, Giulia; Vannini, Ivan; Salvi, Samanta; Melloni, Mattia; Fabbri, Francesco] IRCCS Ist Romagnolo Tumori IRST Dino Amadori, Biosci Lab, Meldola, Italy; [Scarpi, Emanuela; Azzali, Irene; Serra, Patrizia] IRCCS Ist Romagnolo Tumori IRST Dino Amadori, Biostat &amp; Clin Trials Unit, Meldola, Italy; [Salucci, Sara] Univ Bologna, Dept Biomed &amp; NeuroMotor Sci DIBINEM, Cellular Signalling Lab, Bologna, Italy; [Battistelli, Michela] Univ Urbino Carlo Bo, Dept Biomol Sci, Urbino, Italy; [Maltoni, Roberta] IRCCS Ist Romagnolo Tumori IRST Dino Amadori, Dept Med Oncol, Meldola, Italy; [Cho, William C.] Queen Elizabeth Hosp, Dept Clin Oncol, Kowloon, Hong Kong, Peoples R China</t>
  </si>
  <si>
    <t>University of Bologna; University of Urbino</t>
  </si>
  <si>
    <t>Bandini, E (corresponding author), IRCCS Ist Romagnolo Tumori IRST Dino Amadori, Biosci Lab, Meldola, Italy.</t>
  </si>
  <si>
    <t>erika.bandini@irst.emr.it</t>
  </si>
  <si>
    <t>Gallerani, Giulia/H-6427-2016; Azzali, Irene/AAC-1890-2022</t>
  </si>
  <si>
    <t>Gallerani, Giulia/0000-0003-0121-9621; Azzali, Irene/0000-0002-5808-7044; Melloni, Mattia/0000-0003-3987-7267; Bandini, Erika/0000-0002-4378-3573</t>
  </si>
  <si>
    <t>NOV 8</t>
  </si>
  <si>
    <t>10.3389/fmolb.2021.732900</t>
  </si>
  <si>
    <t>WOS:000720771200001</t>
  </si>
  <si>
    <t>Erozenci, LA; Bottger, F; Bijnsdorp, IV; Jimenez, CR</t>
  </si>
  <si>
    <t>Erozenci, Leyla Ayse; Bottger, Franziska; Bijnsdorp, Irene V.; Jimenez, Connie R.</t>
  </si>
  <si>
    <t>Urinary exosomal proteins as (pan-)cancer biomarkers: insights from the proteome</t>
  </si>
  <si>
    <t>FEBS LETTERS</t>
  </si>
  <si>
    <t>44th FEBS Congress on Celebrating the Multidisciplinarity of Biological Research</t>
  </si>
  <si>
    <t>Krakow, POLAND</t>
  </si>
  <si>
    <t>cancer; exosomes; extracellular vesicles; mass spectrometry; proteomics; urine</t>
  </si>
  <si>
    <t>EXTRACELLULAR VESICLES; LIQUID BIOPSIES; CLINICAL IMPACT; NUCLEIC-ACIDS; CANCER; IDENTIFICATION; DISCOVERY; MICROVESICLES; CELLS; DNA</t>
  </si>
  <si>
    <t>Exosomes are extracellular vesicles (EVs) released from cells under both physiological and pathological conditions, and may, thus, be present in biofluids. Urine is one of the most accessible biofluids implemented in clinical diagnostics. Recent mass spectrometry (MS)-based proteomic analyses have enabled high-throughput, deep proteome profiling of urinary EVs for the discovery, quantification and characterization of cancer-specific exosome biomarkers. The protein cargo of urine exosomes is emerging as an attractive source for biomarkers, not only for urological cancers, such as prostate, bladder and kidney cancer, but potentially also for nonurological cancers, including gastric, lung, oesophageal and colorectal cancer. More recently, exosome proteomics dissected protein cargo in the lumen and at the surface of EVs, and unexpectedly indicated that RNA- and DNA-binding proteins might also be present on vesicular surfaces. Here, we analyse MS-based proteomic data on urinary exosomes from cancer patients, and discuss the potential of urinary exosome-derived biomarkers in cancer.</t>
  </si>
  <si>
    <t>[Erozenci, Leyla Ayse; Bottger, Franziska; Jimenez, Connie R.] Vrije Univ Amsterdam, Amsterdam UMC, Canc Ctr Amsterdam, Dept Med Oncol, NL-1081 HV Amsterdam, Netherlands; [Erozenci, Leyla Ayse; Bottger, Franziska; Bijnsdorp, Irene V.; Jimenez, Connie R.] Vrije Univ Amsterdam, Amsterdam UMC, Canc Ctr Amsterdam, OncoProte Lab, Amsterdam, Netherlands; [Bijnsdorp, Irene V.] Vrije Univ Amsterdam, Amsterdam UMC, Dept Urol, Amsterdam, Netherlands</t>
  </si>
  <si>
    <t>University of Amsterdam; Vrije Universiteit Amsterdam; University of Amsterdam; Vrije Universiteit Amsterdam; University of Amsterdam; Vrije Universiteit Amsterdam</t>
  </si>
  <si>
    <t>Jimenez, CR (corresponding author), Vrije Univ Amsterdam, Amsterdam UMC, Canc Ctr Amsterdam, Dept Med Oncol, NL-1081 HV Amsterdam, Netherlands.</t>
  </si>
  <si>
    <t>c.jimenez@amsterdamumc.nl</t>
  </si>
  <si>
    <t>Jimenez, Connie/AAI-3763-2020</t>
  </si>
  <si>
    <t>Jimenez, Connie R/0000-0002-3103-4508</t>
  </si>
  <si>
    <t>0014-5793</t>
  </si>
  <si>
    <t>1873-3468</t>
  </si>
  <si>
    <t>10.1002/1873-3468.13487</t>
  </si>
  <si>
    <t>Biochemistry &amp; Molecular Biology; Biophysics; Cell Biology</t>
  </si>
  <si>
    <t>WOS:000477916000014</t>
  </si>
  <si>
    <t>Kadhim, M; Cagatay, ST; Elbakrawy, EM</t>
  </si>
  <si>
    <t>Kadhim, Munira; Tuncay Cagatay, Seda; Elbakrawy, Eman Mohammed</t>
  </si>
  <si>
    <t>Non-targeted effects of radiation: a personal perspective on the role of exosomes in an evolving paradigm</t>
  </si>
  <si>
    <t>Ionizing radiation; exosomes; bystander effects; genomic instability; intercellular communication; extracellular vesicles</t>
  </si>
  <si>
    <t>INDUCED GENOMIC INSTABILITY; MEDIATED INTERCELLULAR COMMUNICATION; INDUCED CHROMOSOMAL INSTABILITY; IONIZING-RADIATION; BYSTANDER CELLS; IN-VIVO; OXIDATIVE STRESS; IRRADIATED-CELLS; MESSENGER-RNAS; LOW FLUENCES</t>
  </si>
  <si>
    <t>Purpose Radiation-induced non-targeted effects (NTE) have implications in a variety of areas relevant to radiation biology. Here we evaluate the various cargo associated with exosomal signaling and how they work synergistically to initiate and propagate the non-targeted effects including genomic instability and bystander effects. Conclusions Extra cellular vesicles, in particular exosomes, have been shown to carry bystander signals. Exosome cargo may contain nucleic acids, both DNA and RNA, as well as proteins, lipids, and metabolites. These cargo molecules have all been considered as potential mediators of NTE. A review of current literature shows mounting evidence of a role for ionizing radiation in modulating both the numbers of exosomes released from affected cells as well as the content of their cargo, and that these exosomes can instigate functional changes in recipient cells. However, there are significant gaps in our understanding, particularly regarding modified exosome cargo after radiation exposure and the functional changes induced in recipient cells.</t>
  </si>
  <si>
    <t>[Kadhim, Munira; Tuncay Cagatay, Seda; Elbakrawy, Eman Mohammed] Oxford Brookes Univ, Dept Biol &amp; Med Sci, Oxford, England; [Elbakrawy, Eman Mohammed] Atom Energy Author, Natl Ctr Radiat Res &amp; Technol, Dept Radiat Phys, Cairo, Egypt</t>
  </si>
  <si>
    <t>Oxford Brookes University; Egyptian Knowledge Bank (EKB); Egyptian Atomic Energy Authority (EAEA); National Center for Radiation Research &amp; Technology</t>
  </si>
  <si>
    <t>Kadhim, M (corresponding author), Oxford Brookes Univ, Dept Biol &amp; Med Sci, Genom Instabil &amp; Cell Commun Res Grp, Oxford OX3 0BP, England.</t>
  </si>
  <si>
    <t>mkadhim@brookes.ac.uk</t>
  </si>
  <si>
    <t>, SEDA/0000-0001-6045-5523</t>
  </si>
  <si>
    <t>MAR 4</t>
  </si>
  <si>
    <t>10.1080/09553002.2021.1980630</t>
  </si>
  <si>
    <t>WOS:000709674900001</t>
  </si>
  <si>
    <t>B</t>
  </si>
  <si>
    <t>Obi, PO; Bydak, B; Safdar, A; Saleem, A</t>
  </si>
  <si>
    <t>Tappia, PS; Ramjiawan, B; Dhalla, NS</t>
  </si>
  <si>
    <t>Obi, Patience Oluchukwu; Bydak, Benjamin; Safdar, Adeel; Saleem, Ayesha</t>
  </si>
  <si>
    <t>Extracellular Vesicles and Circulating miRNAs-Exercise-Induced Mitigation of Obesity and Associated Metabolic Diseases</t>
  </si>
  <si>
    <t>PATHOPHYSIOLOGY OF OBESITY-INDUCED HEALTH COMPLICATIONS</t>
  </si>
  <si>
    <t>Advances in Biochemistry in Health and Disease</t>
  </si>
  <si>
    <t>Exercise; Extracellular vesicles; Exosomes; Obesity; Metabolic syndrome; Diabetes; Cancer; Browning of fat; Myokines; miRNA</t>
  </si>
  <si>
    <t>WHITE ADIPOSE-TISSUE; SKELETAL-MUSCLE; PHYSICAL-ACTIVITY; ENDURANCE EXERCISE; BREAST-CANCER; OXIDATIVE STRESS; GENE-EXPRESSION; MUTATOR MOUSE; HEART-DISEASE; FAT</t>
  </si>
  <si>
    <t>Obesity is a progressive chronic disease that is defined by increased adiposity and dysregulated blood lipid and glucose profiles. This, coupled with insulin resistance and hypertension, leads to the development of the metabolic syndrome in obese patients. Furthermore, obesity correlates strongly with an elevated risk and progression of a number of different cancers. Endurance exercise is a gold standard method for rescuing obesity and the associated metabolic dysfunction. Physical activity stimulates fat loss, evokes metabolic adaptations and induces browning of white adipose tissue. The 'brown' fat depots are thermogenically active, thereby facilitating energy expenditure and weight loss. New evidence suggests that the systemic effects of exercise are mediated by extracellular vesicles (EVs). These are released from all cell types, and contain canonical myokines that are shed from skeletal muscle, as well as a plethora of other molecular cargo including miRNA, mRNA, DNA, metabolites and proteins. Pro-metabolic myokines include proteins, as well as miRNAs that are linked to rescuing obesity and associated metabolic syndrome. Circulating miRNAs have been shown to be useful biomarkers of pathological conditions including obesity, cancer and the metabolic syndrome. EVs and their enclosed molecular cargo offers a viable therapeutic target for future studies designed to mimic exercise and recapitulate the beneficial effects of exercise in obese subjects.</t>
  </si>
  <si>
    <t>[Obi, Patience Oluchukwu; Bydak, Benjamin; Saleem, Ayesha] Univ Manitoba, Fac Kinesiol &amp; Recreat Management, Frank Kennedy Ctr 120, Winnipeg, MB R3T 2N2, Canada; [Saleem, Ayesha] Diabet Res Envisioned &amp; Accomplished Manitoba DRE, Winnipeg, MB, Canada; [Saleem, Ayesha] Dev Origins Chron Dis Children Network DEVOTION, Winnipeg, MB, Canada; [Obi, Patience Oluchukwu; Bydak, Benjamin; Saleem, Ayesha] Childrens Hosp Res Inst Manitoba CHRIM, John Buhler Res Ctr, 600A-715 McDermot Ave, Winnipeg, MB R3E 3P4, Canada</t>
  </si>
  <si>
    <t>University of Manitoba; University of Manitoba; Children's Hospital Research Institute of Manitoba</t>
  </si>
  <si>
    <t>Saleem, A (corresponding author), Univ Manitoba, Fac Kinesiol &amp; Recreat Management, Frank Kennedy Ctr 120, Winnipeg, MB R3T 2N2, Canada.</t>
  </si>
  <si>
    <t>ayesha.saleem@umanitoba.ca</t>
  </si>
  <si>
    <t>978-3-030-35358-2; 978-3-030-35357-5</t>
  </si>
  <si>
    <t>10.1007/978-3-030-35358-2_4</t>
  </si>
  <si>
    <t>10.1007/978-3-030-35358-2</t>
  </si>
  <si>
    <t>Medicine, Research &amp; Experimental; Pathology</t>
  </si>
  <si>
    <t>Research &amp; Experimental Medicine; Pathology</t>
  </si>
  <si>
    <t>WOS:000674463100005</t>
  </si>
  <si>
    <t>Terrasini, N; Lionetti, V</t>
  </si>
  <si>
    <t>Terrasini, Nora; Lionetti, Vincenzo</t>
  </si>
  <si>
    <t>Exosomes in Critical Illness</t>
  </si>
  <si>
    <t>CRITICAL CARE MEDICINE</t>
  </si>
  <si>
    <t>biomarkers; critical illness; exosomes; multiple organ failure; theranostics</t>
  </si>
  <si>
    <t>ACUTE MYOCARDIAL-INFARCTION; RENAL ISCHEMIA-REPERFUSION; PLATELET-DERIVED EXOSOMES; ACUTE LUNG INJURY; EXTRACELLULAR VESICLES; BIOLOGICAL-PROPERTIES; SEPSIS BIOMARKERS; URINARY EXOSOMES; TROPONIN-T; MICRORNA</t>
  </si>
  <si>
    <t>Objective: Exosomes are small, cell-released vesicles (40-100 nm in size) with the potential to transfer proteins, lipids, small RNAs, messenger RNAs, or DNA between cells via interstitial fluids. Due to their role in tissue homeostasis, exosomes have emerged as a new type of therapeutic and diagnostic (theranostic) tool in the noninvasive assessment of organ response to injury or treatment and in the development of reliable organ-protective intensive therapy. Our review provides current insights into the role of exosomes in the personalized management of injury and repair responses in critical illness. Data Source: Data were obtained from a PubMed search of the most recent medical literature, including the PubMed related articles search methodology. Study Selection: Articles considered include original articles, review articles and conference proceedings. Data Extraction: A detailed review of scientific, peer-reviewed data was performed. Relevant pre-clinical and clinical studies were included and summarized. Data Synthesis: Current scientific evidence is focused on the following: 1) Frontiers in the management of critical illness; 2) Biogenesis, characterization, and function of circulating exosomes; 3) The role of exosomes in acute lung injury; 4) The role of exosomes in acute cardiac injury; 5) The role of exosomes in acute kidney injury; 6) The role of exosomes in sepsis; 7) Limitations of exosome isolation protocols; and 8) Perspectives in the theranostic use of exosomes. Conclusions: Circulating levels of exosomes are associated with the onset and clinical course of critical illness. Exosomes released from cells with different phenotypes exert different functions in order to protect tissue and preserve organ function. Therefore, multifunctional exosomes with combined diagnostic and therapeutic functions show great promise in terms of personalized nanomedicine for patient-specific diagnosis and treatment of critical illness.</t>
  </si>
  <si>
    <t>[Terrasini, Nora; Lionetti, Vincenzo] Scuola Normale Super Pisa, Inst Life Sci, Lab Translat Crit Care Med TRANCRILAB, Pisa, Italy; [Terrasini, Nora; Lionetti, Vincenzo] Fdn Toscana G Monasterio, UOS Anesthesiol &amp; Intens Care Med, Pisa, Italy</t>
  </si>
  <si>
    <t>Scuola Normale Superiore di Pisa</t>
  </si>
  <si>
    <t>Lionetti, V (corresponding author), Scuola Normale Super Pisa, Inst Life Sci, Lab Translat Crit Care Med TRANCRILAB, Pisa, Italy.;Lionetti, V (corresponding author), Fdn Toscana G Monasterio, UOS Anesthesiol &amp; Intens Care Med, Pisa, Italy.</t>
  </si>
  <si>
    <t>v.lionetti@sssup.it</t>
  </si>
  <si>
    <t>Lionetti, Vincenzo/AAN-1994-2020; Lionetti, Vincenzo/AAH-9503-2020; Lionetti, Vincenzo/G-9528-2014</t>
  </si>
  <si>
    <t xml:space="preserve">Lionetti, Vincenzo/0000-0002-0640-8651; </t>
  </si>
  <si>
    <t>0090-3493</t>
  </si>
  <si>
    <t>1530-0293</t>
  </si>
  <si>
    <t>10.1097/CCM.0000000000002328</t>
  </si>
  <si>
    <t>Critical Care Medicine</t>
  </si>
  <si>
    <t>WOS:000401690000017</t>
  </si>
  <si>
    <t>Abdouh, M; Floris, M; Gao, ZH; Arena, V; Arena, M; Arena, GO</t>
  </si>
  <si>
    <t>Abdouh, Mohamed; Floris, Matteo; Gao, Zu-Hua; Arena, Vincenzo; Arena, Manuel; Arena, Goffredo Orazio</t>
  </si>
  <si>
    <t>Colorectal cancer-derived extracellular vesicles induce transformation of fibroblasts into colon carcinoma cells</t>
  </si>
  <si>
    <t>JOURNAL OF EXPERIMENTAL &amp; CLINICAL CANCER RESEARCH</t>
  </si>
  <si>
    <t>Extracellular vesicles; Colorectal Cancer; Metastasis; Genetic material; Horizontal transfer</t>
  </si>
  <si>
    <t>E-CADHERIN; EXOSOMES; TRANSITIONS; METASTASIS; DNA; EXPRESSION; MICRORNAS; BIOMARKER; PLASMA; SERUM</t>
  </si>
  <si>
    <t>BackgroundWe reported that horizontal transfer of malignant traits to target cells is a potential pathway to explain cancer dissemination. Although these results were encouraging, they were never corroborated by data showing the molecular mechanisms responsible for the observed phenomenon.MethodsIn the present study, we exposed BRCA1-KO fibroblasts to extracellular vesicles (EVs) isolated from a colon cancer cell line (HT29) and from sera of patients with colorectal cancer. Three weeks after exposure, fibroblasts were injected subcutaneously into NOD-SCID mice. Whole genome sequencing, transcriptome analysis and RNA sequencing of cancer EVs and fibroblasts prior and after exposure to cancer EVs were performed.ResultsPhenotypical transformation of the fibroblasts into colon cancer cells was confirmed by histopathological study of the xenotransplants. We observed that EV-mediated transfer of cancer microRNAs was responsible for the transition from a mesenchymal to an epithelial phenotype (MET) in the treated fibroblasts as well as activation of cell cycle progression and cell survival pathways. DNA and RNA sequencing suggested that cancer DNA was transferred and possibly transcribed in target cells. Furthermore, injection of colon cancer EVs in the tail vein of NOD-SCID mice determined neoplastic transformation and metastases in the lungs of the mice confirming for the first time the hypothesis that transfer of malignant epithelial cancer traits to distant target cells is a concept applicable to in vivo models.ConclusionsThese discoveries shed new light into the molecular mechanisms behind the horizontal transfer of malignant traits and confirm the notion that metastatic disease might be reproduced through transfer of circulating genetic material.</t>
  </si>
  <si>
    <t>[Abdouh, Mohamed; Arena, Goffredo Orazio] McGill Univ, Canc Res Program, Hlth Ctr, Res Inst, 1001 Decarie Blvd, Montreal, PQ H4A 3J1, Canada; [Floris, Matteo] Sassari Univ, Dept Biomed Sci, Piazza Univ 11, Sassari, Italy; [Gao, Zu-Hua] McGill Univ, Dept Pathol, Hlth Ctr, Res Inst, 1001 Decarie Blvd, Montreal, PQ H4A 3J1, Canada; [Arena, Vincenzo] Santo Bambino Hosp, Dept Obstet &amp; Gynecol, Via Torre Vescovo 4, Catania, Italy; [Arena, Manuel] Univ Catania, Dept Surg Sci Organ Transplantat &amp; Adv Technol, Via Santa Sofia 84, Catania, Italy; [Arena, Goffredo Orazio] McGill Univ, St Mary Hosp, Dept Surg, 3830 Lacombe Ave, Montreal, PQ H3T 1M5, Canada</t>
  </si>
  <si>
    <t>McGill University; University of Sassari; McGill University; University of Catania; McGill University</t>
  </si>
  <si>
    <t>Arena, GO (corresponding author), McGill Univ, Canc Res Program, Hlth Ctr, Res Inst, 1001 Decarie Blvd, Montreal, PQ H4A 3J1, Canada.;Arena, GO (corresponding author), McGill Univ, St Mary Hosp, Dept Surg, 3830 Lacombe Ave, Montreal, PQ H3T 1M5, Canada.</t>
  </si>
  <si>
    <t>goffredo.arena@mcgill.ca</t>
  </si>
  <si>
    <t>Floris, Matteo/ABH-1274-2020; arena, goffredo/AAR-5283-2020</t>
  </si>
  <si>
    <t>Floris, Matteo/0000-0003-4385-9336; Arena, Goffredo/0000-0002-5293-2972; Abdouh, Mohamed/0000-0003-0702-9335</t>
  </si>
  <si>
    <t>1756-9966</t>
  </si>
  <si>
    <t>JUN 14</t>
  </si>
  <si>
    <t>10.1186/s13046-019-1248-2</t>
  </si>
  <si>
    <t>WOS:000471625700001</t>
  </si>
  <si>
    <t>Budden, CF; Gearing, LJ; Kaiser, R; Standke, L; Hertzog, PJ; Latz, E</t>
  </si>
  <si>
    <t>Budden, Christina F.; Gearing, Linden J.; Kaiser, Romina; Standke, Lena; Hertzog, Paul J.; Latz, Eicke</t>
  </si>
  <si>
    <t>Inflammasome-induced extracellular vesicles harbour distinct RNA signatures and alter bystander macrophage responses</t>
  </si>
  <si>
    <t>cell communication; extracellular vesicle; inflammasome; inflammation; interferon beta; nucleotide-binding oligomerization domain (NOD)-containing protein with a pyrin domain (NLRP3); pyroptosis</t>
  </si>
  <si>
    <t>UNCONVENTIONAL PROTEIN SECRETION; MITOCHONDRIAL-DNA; NLRP3 INFLAMMASOME; ACTIVATION; EXOSOMES; PROTEOMICS; IFN; INTERLEUKIN-1-BETA; INTERFERON; IL-1-BETA</t>
  </si>
  <si>
    <t>Infectious organisms and damage of cells can activate inflammasomes, which mediate tissue inflammation and adaptive immunity. These mechanisms evolved to curb the spread of microbes and to induce repair of the damaged tissue. Chronic activation of inflammasomes, however, contributes to non-resolving inflammatory responses that lead to immuno-pathologies. Inflammasome-activated cells undergo an inflammatory cell death associated with the release of potent pro-inflammatory cytokines and poorly characterized extracellular vesicles (EVs). Since inflammasome-induced EVs could signal inflammasome pathway activation in patients with chronic inflammation and modulate bystander cell activation, we performed a systems analysis of the ribonucleic acid (RNA) content and function of two EV classes. We show that EVs released from inflammasome-activated macrophages carry a specific RNA signature and contain interferon beta (IFN beta). EV-associated IFN beta induces an interferon signature in bystander cells and results in dampening of NLRP3 inflammasome responses. EVs could, therefore, serve as biomarkers for inflammasome activation and act to prevent systemic hyper-inflammatory states by restricting NLRP3 activation in bystander cells.</t>
  </si>
  <si>
    <t>[Budden, Christina F.; Kaiser, Romina; Standke, Lena; Latz, Eicke] Univ Bonn, Univ Hosp, Inst Innate Immun, Bonn, Germany; [Budden, Christina F.; Standke, Lena; Hertzog, Paul J.] Univ Melbourne, Peter Doherty Inst Infect &amp; Immun, Dept Microbiol &amp; Immunol, Melbourne, Vic, Australia; [Budden, Christina F.; Gearing, Linden J.; Hertzog, Paul J.] Hudson Inst Med Res, Ctr Innate Immun &amp; Infect Dis, Clayton, Vic, Australia; [Gearing, Linden J.; Hertzog, Paul J.] Monash Univ, Dept Mol &amp; Translat Sci, Clayton, Vic, Australia; [Latz, Eicke] Univ Massachusetts, Med Sch, Dept Infect Dis &amp; Immunol, Worcester, MA 01605 USA; [Latz, Eicke] German Ctr Neurodegenerat Dis DZNE, Bonn, Germany</t>
  </si>
  <si>
    <t>University of Bonn; University of Melbourne; Hudson Institute of Medical Research; Monash University; University of Massachusetts System; University of Massachusetts Worcester; Helmholtz Association; German Center for Neurodegenerative Diseases (DZNE)</t>
  </si>
  <si>
    <t>Latz, E (corresponding author), Univ Bonn, Univ Hosp, Inst Innate Immun, Bonn, Germany.</t>
  </si>
  <si>
    <t>eicke.latz@uni-bonn.de</t>
  </si>
  <si>
    <t>Latz, Eicke/H-3951-2014; Hertzog, Paul/I-7053-2013</t>
  </si>
  <si>
    <t>Latz, Eicke/0000-0003-1488-5666; Standke, Lena/0000-0003-3113-125X; Hertzog, Paul/0000-0002-1373-8472</t>
  </si>
  <si>
    <t>e12127</t>
  </si>
  <si>
    <t>10.1002/jev2.12127</t>
  </si>
  <si>
    <t>WOS:000680065200001</t>
  </si>
  <si>
    <t>Bewicke-Copley, F; Mulcahy, LA; Jacobs, LA; Samuel, P; Akbar, N; Pink, RC; Carter, DRF</t>
  </si>
  <si>
    <t>Bewicke-Copley, Findlay; Mulcahy, Laura Ann; Jacobs, Laura Ann; Samuel, Priya; Akbar, Naveed; Pink, Ryan Charles; Carter, David Raul Francisco</t>
  </si>
  <si>
    <t>Extracellular vesicles released following heat stress induce bystander effect in unstressed populations</t>
  </si>
  <si>
    <t>Cancer; intercellular communication; DNA damage; apoptosis; stress response</t>
  </si>
  <si>
    <t>IONIZING-RADIATION; EXOSOMES; BIOGENESIS; CELLS; SECRETION; CANCER; EXPRESSION; LEADS</t>
  </si>
  <si>
    <t>Cells naive to stress can display the effects of stress, such as DNA damage and apoptosis, when they are exposed to signals from stressed cells; this phenomenon is known as the bystander effect. We previously showed that bystander effect induced by ionising radiation are mediated by extracellular vesicles (EVs). Bystander effect can also be induced by other types of stress, including heat shock, but it is unclear whether EVs are involved. Here we show that EVs released from heat shocked cells are also able to induce bystander damage in unstressed populations. Naive cells treated with media conditioned by heat shocked cells showed higher levels of DNA damage and apoptosis than cells treated with media from control cells. Treating naive cells with EVs derived from media conditioned by heat shocked cells also induced a bystander effect when compared to control, with DNA damage and apoptosis increasing whilst the level of cell viability was reduced. We demonstrate that treatment of naive cells with heat shocked cell-derived EVs leads to greater invasiveness in a trans-well Matrigel assay. Finally, we show that naive cells treated with EVs from heat-shocked cells are more likely to survive a subsequent heat shock, suggesting that these EVs mediate an adaptive response. We propose that EVs released following stress mediate an intercellular response that leads to apparent stress in neighbouring cells but also greater robustness in the face of a subsequent insult.</t>
  </si>
  <si>
    <t>[Bewicke-Copley, Findlay; Mulcahy, Laura Ann; Jacobs, Laura Ann; Samuel, Priya; Pink, Ryan Charles; Carter, David Raul Francisco] Oxford Brookes Univ, Dept Biol &amp; Med Sci, Oxford, England; [Akbar, Naveed] Univ Oxford, Radcliffe Dept Med, Div Cardiovasc Med, Oxford, England</t>
  </si>
  <si>
    <t>Oxford Brookes University; University of Oxford</t>
  </si>
  <si>
    <t>Carter, DRF (corresponding author), Oxford Brookes Univ, Sinclair Bldg,Gipsy Lane, Oxford OX3 0BP, England.</t>
  </si>
  <si>
    <t>Bewicke-Copley, Findlay/AAH-3222-2021</t>
  </si>
  <si>
    <t>Bewicke-Copley, Findlay/0000-0003-1292-7965; Pink, Ryan Charles/0000-0001-7501-558X; Mulcahy, Laura/0000-0001-5839-7141; Akbar, Naveed/0000-0003-4620-6373; Samuel, Priya/0000-0002-3133-7517</t>
  </si>
  <si>
    <t>JUL 3</t>
  </si>
  <si>
    <t>10.1080/20013078.2017.1340746</t>
  </si>
  <si>
    <t>WOS:000405336500001</t>
  </si>
  <si>
    <t>Tortolici, F; Vumbaca, S; Incocciati, B; Dayal, R; Aquilano, K; Giovanetti, A; Rufini, S</t>
  </si>
  <si>
    <t>Tortolici, Flavia; Vumbaca, Simone; Incocciati, Bernadette; Dayal, Renu; Aquilano, Katia; Giovanetti, Anna; Rufini, Stefano</t>
  </si>
  <si>
    <t>Ionizing Radiation-Induced Extracellular Vesicle Release Promotes AKT-Associated Survival Response in SH-SY5Y Neuroblastoma Cells</t>
  </si>
  <si>
    <t>X-rays; exosomes; EVs; radiotherapy; radio-resistance; EMT; DNA damage; DNA repair; cancer; bystander effect</t>
  </si>
  <si>
    <t>Radiation therapy is one of the most effective methods of tumor eradication; however, in some forms of neuroblastoma, radiation can increase the risk of secondary neoplasms, due to the ability of irradiated cells to transmit pro-survival signals to non-irradiated cells through vesicle secretion. The aims of this study were to characterize the vesicles released by the human neuroblastoma cell line SH-SY5Y following X-ray radiations and their ability to increase invasiveness in non-irradiated SH-SY5Y cells. We first purified the extracellular vesicles released by the SH-SY5Y cells following X-rays, and then determined their total amount, dimensions, membrane protein composition, and cellular uptake. We also examined the effects of these extracellular vesicles on viability, migration, and DNA damage in recipient SH-SY5Y cells. We found that exposure to X-rays increased the release of extracellular vesicles and altered their protein composition. These vesicles were readily uptaken by non-irradiated cells, inducing an increase in viability, migration, and radio-resistance. The same results were obtained in an MYCN-amplified SK-N-BE cell line. Our study demonstrates that vesicles released from irradiated neuroblastoma cells stimulate proliferation and invasiveness that correlate with the epithelial to mesenchymal transition in non-irradiated cells. Moreover, our results suggest that, at least in neuroblastomas, targeting the extracellular vesicles may represent a novel therapeutic approach to counteract the side effects associated with radiotherapy.</t>
  </si>
  <si>
    <t>[Tortolici, Flavia; Vumbaca, Simone; Incocciati, Bernadette; Aquilano, Katia; Rufini, Stefano] Univ Roma Tor Vergata, Dept Biol, I-00133 Rome, Italy; [Dayal, Renu] Sanorva Biotech Private Ltd, Mysuru 570008, India; [Giovanetti, Anna] ENEA, Dept Energy &amp; Sustainable Econ, I-00123 Rome, Italy</t>
  </si>
  <si>
    <t>University of Rome Tor Vergata; Italian National Agency New Technical Energy &amp; Sustainable Economics Development</t>
  </si>
  <si>
    <t>Rufini, S (corresponding author), Univ Roma Tor Vergata, Dept Biol, I-00133 Rome, Italy.</t>
  </si>
  <si>
    <t>flavia.tortolici@hotmail.it; simonevum41@gmail.com; bincocciati@gmail.com; renu.dayal10@gmail.com; katia.aquilano@uniroma2.it; anna.giovanetti@enea.it; rufini@uniroma2.it</t>
  </si>
  <si>
    <t>RUFINI, STEFANO/AAG-1762-2019; AQUILANO, KATIA/K-8888-2016</t>
  </si>
  <si>
    <t>AQUILANO, KATIA/0000-0002-5905-9870; Incocciati, Bernadette/0000-0002-4984-2255</t>
  </si>
  <si>
    <t>10.3390/cells10010107</t>
  </si>
  <si>
    <t>WOS:000610013800001</t>
  </si>
  <si>
    <t>Sanchez, MBH; Previdi, S; Bruno, S; Fonsato, V; Deregibus, MC; Kholia, S; Petrillo, S; Tolosano, E; Critelli, R; Spada, M; Romagnoli, R; Salizzoni, M; Tetta, C; Camussi, G</t>
  </si>
  <si>
    <t>Sanchez, Maria Beatriz Herrera; Previdi, Sara; Bruno, Stefania; Fonsato, Valentina; Deregibus, Maria Chiara; Kholia, Sharad; Petrillo, Sara; Tolosano, Emanuela; Critelli, Rossana; Spada, Marco; Romagnoli, Renato; Salizzoni, Mauro; Tetta, Ciro; Camussi, Giovanni</t>
  </si>
  <si>
    <t>Extracellular vesicles from human liver stem cells restore argininosuccinate synthase deficiency</t>
  </si>
  <si>
    <t>STEM CELL RESEARCH &amp; THERAPY</t>
  </si>
  <si>
    <t>Liver transplantation; Citrullinemia type I; Stem cells; Extracellular vesicles</t>
  </si>
  <si>
    <t>UREA CYCLE DISORDERS; HORIZONTAL TRANSFER; MESSENGER-RNA; MICROVESICLES; EXOSOMES; COMMUNICATION; INJURY; MODEL</t>
  </si>
  <si>
    <t>Background: Argininosuccinate synthase (ASS) 1 is a urea cycle enzyme that catalyzes the conversion of citrulline and aspartate to argininosuccinate. Mutations in the ASS1 gene cause citrullinemia type I, a rare autosomal recessive disorder characterized by neonatal hyperammonemia, elevated citrulline levels, and early neonatal death. Treatment for this disease is currently restricted to liver transplantation; however, due to limited organ availability, substitute therapies are required. Recently, extracellular vesicles (EVs) have been reported to act as intercellular transporters carrying genetic information responsible for cell reprogramming. In previous studies, we isolated a population of stem cell-like cells known as human liver stem cells (HLSCs) from healthy liver tissue. Moreover, EVs derived from HLSCs were reported to exhibit regenerative effects on the liver parenchyma in models of acute liver injury. The aim of this study was to evaluate whether EVs derived from normal HLSCs restored ASS1 enzymatic activity and urea production in hepatocytes differentiated from HLSCs derived from a patient with type I citrullinemia. Methods: HLSCs were isolated from the liver of a patient with type I citrullinemia (ASS1-HLSCs) and characterized by fluorescence-activated cell sorting (FACS), immunofluorescence, and DNA sequencing analysis. Furthermore, their differentiation capabilities in vitro were also assessed. Hepatocytes differentiated from ASS1-HLSCs were evaluated by the production of urea and ASS enzymatic activity. EVs derived from normal HLSCs were purified by differential ultracentrifugation followed by floating density gradient. The EV content was analyzed to identify the presence of ASS1 protein, mRNA, and ASS1 gene. In order to obtain ASS1-depleted EVs, a knockdown of the ASS1 gene in HLSCs was performed followed by EV isolation from these cells. Results: Treating ASS1-HLSCs with EVs from HLSCs restored both ASS1 activity and urea production mainly through the transfer of ASS1 enzyme and mRNA. In fact, EVs from ASS1-knockdown HLSCs contained low amounts of ASS1 mRNA and protein, and were unable to restore urea production in hepatocytes differentiated from ASS1-HLSCs. Conclusions: Collectively, these results suggest that EVs derived from normal HLSCs may compensate the loss of ASS1 enzyme activity in hepatocytes differentiated from ASS1-HLSCs.</t>
  </si>
  <si>
    <t>[Sanchez, Maria Beatriz Herrera; Fonsato, Valentina; Deregibus, Maria Chiara] Scarl Univ Torino, Soc Gest Incubatore Imprese &amp; Trasferimento Tecno, 2i3T, Turin, Italy; [Sanchez, Maria Beatriz Herrera; Fonsato, Valentina; Deregibus, Maria Chiara; Kholia, Sharad] Univ Torino, Mol Biotechnol Ctr, Turin, Italy; [Previdi, Sara] Mimetas BV, Leiden, Netherlands; [Bruno, Stefania; Petrillo, Sara; Tolosano, Emanuela] Univ Torino, Dept Mol Biotechnol &amp; Hlth Sci, Turin, Italy; [Critelli, Rossana] Human Genet Fdn, Mol &amp; Genet Epidemiol Unit, Turin, Italy; [Spada, Marco] Univ Torino, Regina Margherita Childrens Hosp, Dept Pediat, Turin, Italy; [Romagnoli, Renato; Salizzoni, Mauro] Univ Torino, Liver Transplantat Ctr, Turin, Italy; [Tetta, Ciro] Unicyte AG, Oberdorf, NW, Switzerland; [Camussi, Giovanni] Univ Torino, Dept Med Sci, Corso Dogliotti 14, I-10126 Turin, Italy</t>
  </si>
  <si>
    <t>University of Turin; University of Turin; A.O.U. Citta della Salute e della Scienza di Torino; University of Turin; University of Turin; University of Turin</t>
  </si>
  <si>
    <t>Camussi, G (corresponding author), Univ Torino, Dept Med Sci, Corso Dogliotti 14, I-10126 Turin, Italy.</t>
  </si>
  <si>
    <t>giovanni.camussi@unito.it</t>
  </si>
  <si>
    <t>Romagnoli, Renato/AAB-9311-2019; Tolosano, Emanuela/L-8080-2019; Petrillo, Sara/AAE-7656-2019</t>
  </si>
  <si>
    <t>Romagnoli, Renato/0000-0001-8340-8885; Tolosano, Emanuela/0000-0002-1622-2340; Petrillo, Sara/0000-0002-4349-726X; Critelli, Rossana/0000-0001-8982-6762; Herrera Sanchez, Maria Beatriz/0000-0002-5272-6773; kholia, sharad/0000-0001-6488-8334; Spada, Marco/0000-0002-8894-350X; BRUNO, Stefania/0000-0002-8879-9536</t>
  </si>
  <si>
    <t>1757-6512</t>
  </si>
  <si>
    <t>JUL 27</t>
  </si>
  <si>
    <t>10.1186/s13287-017-0628-9</t>
  </si>
  <si>
    <t>WOS:000406580400004</t>
  </si>
  <si>
    <t>Mitton, E; Gohr, CM; McNally, MT; Rosenthal, AK</t>
  </si>
  <si>
    <t>Mitton, Elizabeth; Gohr, Claudia M.; McNally, Mark T.; Rosenthal, Ann K.</t>
  </si>
  <si>
    <t>Articular cartilage vesicles contain RNA</t>
  </si>
  <si>
    <t>Articular cartilage vesicles; Matrix vesicles; RNA; Articular cartilage; Chondrocytes; Extracellular vesicles</t>
  </si>
  <si>
    <t>MATRIX VESICLES; GROWTH; CRYSTALS; CELLS; TRANSGLUTAMINASE; CALCIFICATION; ELABORATION; ACTIVATION; EXPRESSION; MICRORNAS</t>
  </si>
  <si>
    <t>Small membrane-bound extracellular organelles known as articular cartilage matrix vesicles (ACVs) participate in pathologic mineralization in osteoarthritic articular cartilage. ACVs are also present in normal cartilage, although they have no known functions other than mineralization. Recently, RNA was identified in extracellular vesicles derived from mast cells, suggesting that such vesicles might carry coding information from cell to cell. We found that ACVs from normal porcine and human articular cartilage and primary chondrocyte conditioned media contained 1 mu g RNA/80 mu g ACV protein. No DNA could be detected. RT-PCR of ACV RNA demonstrated the presence of full length mRNAs for factor XIIIA, type II transglutaminase, collagen II, aggrecan, ANKH and GAPDH. RNA in intact ACVs was resistant to RNase, despite the fact that ACV preparations contained measurable levels of active RNases. Significantly, radiolabeled RNA in ACVs could be transferred to unlabeled chondrocytes by co-incubation and produced changes in levels of chondrocyte enzymes and proteins. The demonstration that ACVs contain mRNAs suggests that they may function to shuttle genetic information between articular cells and indicate novel functions for these structures in articular cartilage. (C) 2009 Elsevier Inc. All rights reserved.</t>
  </si>
  <si>
    <t>[Mitton, Elizabeth; Gohr, Claudia M.; Rosenthal, Ann K.] Med Coll Wisconsin, Dept Med, Div Rheumatol, Milwaukee, WI 53295 USA; [McNally, Mark T.] Med Coll Wisconsin, Dept Microbiol &amp; Mol Genet, Milwaukee, WI 53295 USA</t>
  </si>
  <si>
    <t>Medical College of Wisconsin; Medical College of Wisconsin</t>
  </si>
  <si>
    <t>Rosenthal, AK (corresponding author), Med Ctr, Zablocki VA, Rheumatol Sect, Cc 111W,5000W Natl Ave, Milwaukee, WI 53295 USA.</t>
  </si>
  <si>
    <t>ann.rosenthal@va.gov</t>
  </si>
  <si>
    <t>OCT 23</t>
  </si>
  <si>
    <t>10.1016/j.bbrc.2009.08.038</t>
  </si>
  <si>
    <t>WOS:000275061900013</t>
  </si>
  <si>
    <t>Li, HZ; Xu, W; Li, F; Zeng, R; Zhang, XM; Wang, XW; Zhao, SJ; Weng, J; Li, Z; Sun, LP</t>
  </si>
  <si>
    <t>Li, Huizhen; Xu, Wan; Li, Fang; Zeng, Ru; Zhang, Xiuming; Wang, Xianwu; Zhao, Shaojun; Weng, Jian; Li, Zhu; Sun, Liping</t>
  </si>
  <si>
    <t>Amplification of anticancer efficacy by co-delivery of doxorubicin and lonidamine with extracellular vesicles</t>
  </si>
  <si>
    <t>DRUG DELIVERY</t>
  </si>
  <si>
    <t>Extracellular vesicles; doxorubicin; lonidamine; cancer therapy; lung cancer</t>
  </si>
  <si>
    <t>INDUCED APOPTOSIS; DRUG LONIDAMINE; EXOSOMES; CHEMOTHERAPY</t>
  </si>
  <si>
    <t>Chemotherapy is commonly used for the treatment of lung cancer, but strong side effects and low treatment efficacy limit its clinical application. Here, extracellular vesicles (EVs) as natural drug delivery carriers were used to load conventional anticancer drug doxorubicin (DOX) and a chemosensitizer lonidamine (LND). Two types of EVs with different sizes (16k EVs and 120k EVs) were prepared using different centrifugation forces. We found that co-delivery of DOX and LND with both EVs enhanced the cytotoxicity and reduced the dose of the anticancer drug significantly in vitro. Effective delivery of anti-cancer drugs to cancer cells was achieved by direct fusion of EVs with the plasma membrane of cancer cells. On the other hand, DOX and LND inhibited cancer cell proliferation by increasing DNA damage, suppressing ATP production, and accelerating ROS generation synergistically. DOX and LND loaded EVs were also applied to the mouse lung cancer model and exhibited significant anticancer activity. In vivo study showed that smaller EVs exhibited higher anticancer efficiency. In conclusion, the co-delivery of the anticancer drug and the chemosensitizer with EVs may have potential clinical applications for cancer therapy.</t>
  </si>
  <si>
    <t>[Li, Huizhen; Xu, Wan; Zhang, Xiuming; Weng, Jian; Sun, Liping] Xiamen Univ, Higher Educ Key Lab Biomed Engn Fujian Prov, Res Ctr Biomed Engn Xiamen, Dept Biomat,Coll Mat, Xiamen, Peoples R China; [Li, Huizhen] Zhengzhou Univ, Dept Radiotherapy, Affiliated Hosp 1, Zhengdong Branch, Zhengzhou, Peoples R China; [Li, Fang] Minist Nat Resources, Inst Oceanog 3, Key Lab Marine Genet Resources, Xiamen, Peoples R China; [Zeng, Ru] Xiamen Univ, Dept Med Oncol, Affiliated Hosp 1, Xiamen, Peoples R China; [Wang, Xianwu; Zhao, Shaojun; Li, Zhu] Xiamen Nuokangde Biol Technol Co Ltd, Xiamen, Peoples R China</t>
  </si>
  <si>
    <t>Xiamen University; Zhengzhou University; Xiamen University</t>
  </si>
  <si>
    <t>Sun, LP (corresponding author), Xiamen Univ, Higher Educ Key Lab Biomed Engn Fujian Prov, Res Ctr Biomed Engn Xiamen, Dept Biomat,Coll Mat, Xiamen, Peoples R China.;Li, F (corresponding author), Minist Nat Resources, Inst Oceanog 3, Key Lab Marine Genet Resources, Xiamen, Peoples R China.;Li, Z (corresponding author), Xiamen Nuokangde Biol Technol Co Ltd, Xiamen, Peoples R China.</t>
  </si>
  <si>
    <t>lifang@tio.org.cn; lizhu@nkdbio.com; sunliping@xmu.edu.cn</t>
  </si>
  <si>
    <t>Sun, Liping/0000-0001-8707-7446</t>
  </si>
  <si>
    <t>1071-7544</t>
  </si>
  <si>
    <t>1521-0464</t>
  </si>
  <si>
    <t>DEC 31</t>
  </si>
  <si>
    <t>10.1080/10717544.2021.2023697</t>
  </si>
  <si>
    <t>WOS:000739359600001</t>
  </si>
  <si>
    <t>Zhao, M; Liu, SY; Wang, CS; Wang, YZ; Wan, MH; Liu, F; Gong, M; Yuan, YJ; Chen, YN; Cheng, JQ; Lu, YR; Liu, JP</t>
  </si>
  <si>
    <t>Zhao, Meng; Liu, Shuyun; Wang, Chengshi; Wang, Yizhuo; Wan, Meihua; Liu, Fang; Gong, Meng; Yuan, Yujia; Chen, Younan; Cheng, Jingqiu; Lu, Yanrong; Liu, Jingping</t>
  </si>
  <si>
    <t>Mesenchymal Stem Cell-Derived Extracellular Vesicles Attenuate Mitochondrial Damage and Inflammation by Stabilizing Mitochondrial DNA</t>
  </si>
  <si>
    <t>MSC; extracellular vesicle; regenerative medicine; TFAM; mitochondria; mtDNA</t>
  </si>
  <si>
    <t>Mitochondrial dysfunction is a key feature of injury to numerous tissues and stem cell aging. Although the tissue regenerative role of mesenchymal stem cell (MSC)-derived extracellular vesicles (MSC-EVs) is well known, their specific role in regulating mitochondrial function in target cells remains elusive. Here, we report that MSC-EVs attenuated mtDNA damage and inflammation after acute kidney injury (AKI) and that this effect was at least partially dependent on the mitochondrial transcription factor A (TFAM) pathway. In detail, TFAM and mtDNA were depleted by oxidative stress in MSCs from aged or diabetic donors. Higher levels of TFAM mRNA and mtDNA were detected in normal control (NC) MSC-EVs than in TFAM-knockdown (TFAM-KD) and aged EVs. EV-mediated TFAM mRNA transfer in recipient cells was unaffected by transcriptional inhibition. Accordingly, the application of MSC-EVs restored TFAM protein and TFAM-mtDNA complex (nucleoid) stability, thereby reversing mtDNA deletion and mitochondria] oxidative phosphorylation (OXPHOS) defects in injured renal tubular cells. Loss of TFAM also led to downregulation of multiple anti-inflammatory miRNAs and proteins in MSC-EVs. In vivo, intravenously injected EVs primarily accumulated in the liver, kidney, spleen, and lung. MSC-EVs attenuated renal lesion formation, mitochondrial damage, and inflammation in mice with MU, whereas EVs from TFAM-KD or aged MSCs resulted in poor therapeutic outcomes. Moreover, TFAM overexpression (TFAM-OE) improved the rescue effect of MSC-EVs on mitochondrial damage and inflammation to some extent. This study suggests that MSC-EVs are promising nanotherapeutics for diseases characterized by mitochondrial damage, and TFAM signaling is essential for maintaining their regenerative capacity.</t>
  </si>
  <si>
    <t>[Zhao, Meng; Liu, Shuyun; Wang, Chengshi; Wang, Yizhuo; Yuan, Yujia; Chen, Younan; Cheng, Jingqiu; Lu, Yanrong; Liu, Jingping] Sichuan Univ, Key Lab Transplant Engn &amp; Immunol, Natl Clin Res Ctr Geriatr,West China Hosp, Frontiers Sci Ctr Dis Related Mol Network, Chengdu 610041, Peoples R China; [Wan, Meihua] Sichuan Univ, West China Hosp, Dept Integrated Tradit Chinese &amp; Western Med, Chengdu 610041, Peoples R China; [Liu, Fang] Sichuan Univ, West China Hosp, Dept Nephrol, Chengdu 610041, Peoples R China; [Gong, Meng] Sichuan Univ, West China Hosp, West China Washington Mitochondria &amp; Metab Res Ct, Chengdu 610041, Peoples R China</t>
  </si>
  <si>
    <t>Sichuan University; Sichuan University; Sichuan University; Sichuan University</t>
  </si>
  <si>
    <t>Liu, JP (corresponding author), Sichuan Univ, Key Lab Transplant Engn &amp; Immunol, Natl Clin Res Ctr Geriatr,West China Hosp, Frontiers Sci Ctr Dis Related Mol Network, Chengdu 610041, Peoples R China.</t>
  </si>
  <si>
    <t>liujingping@scu.edu.cn</t>
  </si>
  <si>
    <t>wang, chengshi/AAX-4864-2021</t>
  </si>
  <si>
    <t>wang, chengshi/0000-0002-0650-4109</t>
  </si>
  <si>
    <t>JAN 26</t>
  </si>
  <si>
    <t>10.1021/acsnano.0c08947</t>
  </si>
  <si>
    <t>WOS:000613942700123</t>
  </si>
  <si>
    <t>Bart, G; Fischer, D; Samoylenko, A; Zhyvolozhnyi, A; Stehantsev, P; Miinalainen, I; Kaakinen, M; Nurmi, T; Singh, P; Kosamo, S; Rannaste, L; Viitala, S; Hiltunen, J; Vainio, SJ</t>
  </si>
  <si>
    <t>Bart, Genevieve; Fischer, Daniel; Samoylenko, Anatoliy; Zhyvolozhnyi, Artem; Stehantsev, Pavlo; Miinalainen, Ilkka; Kaakinen, Mika; Nurmi, Tuomas; Singh, Prateek; Kosamo, Susanna; Rannaste, Lauri; Viitala, Sirja; Hiltunen, Jussi; Vainio, Seppo J.</t>
  </si>
  <si>
    <t>Characterization of nucleic acids from extracellular vesicle-enriched human sweat</t>
  </si>
  <si>
    <t>BMC GENOMICS</t>
  </si>
  <si>
    <t>Extracellular vesicles (EV); Sweat; Genomics; Transcriptomics; Exercise; Microbiome; Metagenomics; Skin</t>
  </si>
  <si>
    <t>PROTEOMIC ANALYSIS; SKIN; DNA; MITOCHONDRIA; ULTRAFAST; ALIGNMENT; GLANDS; SECRETION; SEQUENCES; REVEALS</t>
  </si>
  <si>
    <t>Background The human sweat is a mixture of secretions from three types of glands: eccrine, apocrine, and sebaceous. Eccrine glands open directly on the skin surface and produce high amounts of water-based fluid in response to heat, emotion, and physical activity, whereas the other glands produce oily fluids and waxy sebum. While most body fluids have been shown to contain nucleic acids, both as ribonucleoprotein complexes and associated with extracellular vesicles (EVs), these have not been investigated in sweat. In this study we aimed to explore and characterize the nucleic acids associated with sweat particles. Results We used next generation sequencing (NGS) to characterize DNA and RNA in pooled and individual samples of EV-enriched sweat collected from volunteers performing rigorous exercise. In all sequenced samples, we identified DNA originating from all human chromosomes, but only the mitochondrial chromosome was highly represented with 100% coverage. Most of the DNA mapped to unannotated regions of the human genome with some regions highly represented in all samples. Approximately 5 % of the reads were found to map to other genomes: including bacteria (83%), archaea (3%), and virus (13%), identified bacteria species were consistent with those commonly colonizing the human upper body and arm skin. Small RNA-seq from EV-enriched pooled sweat RNA resulted in 74% of the trimmed reads mapped to the human genome, with 29% corresponding to unannotated regions. Over 70% of the RNA reads mapping to an annotated region were tRNA, while misc. RNA (18,5%), protein coding RNA (5%) and miRNA (1,85%) were much less represented. RNA-seq from individually processed EV-enriched sweat collection generally resulted in fewer percentage of reads mapping to the human genome (7-45%), with 50-60% of those reads mapping to unannotated region of the genome and 30-55% being tRNAs, and lower percentage of reads being rRNA, LincRNA, misc. RNA, and protein coding RNA. Conclusions Our data demonstrates that sweat, as all other body fluids, contains a wealth of nucleic acids, including DNA and RNA of human and microbial origin, opening a possibility to investigate sweat as a source for biomarkers for specific health parameters.</t>
  </si>
  <si>
    <t>[Bart, Genevieve; Samoylenko, Anatoliy; Zhyvolozhnyi, Artem; Stehantsev, Pavlo; Miinalainen, Ilkka; Kaakinen, Mika; Nurmi, Tuomas; Singh, Prateek; Kosamo, Susanna; Vainio, Seppo J.] Univ Oulu, Fac Biochem &amp; Mol Med, Dis Networks Res Unit, Lab Dev Biol,Kvantum Inst,Infotech Oulu, Oulu 90014, Finland; [Fischer, Daniel; Viitala, Sirja] Nat Resources Inst Finland LUKE, Prod Syst, Jokioinen 31600, Finland; [Singh, Prateek] Finnadvance, Aapistie 5, Oulu 90220, Finland; [Rannaste, Lauri; Hiltunen, Jussi] Tech Res Ctr Finland Ltd, Biosensors, VTT, Kaitovayla 1, Oulu 90570, Finland</t>
  </si>
  <si>
    <t>University of Oulu; Natural Resources Institute Finland (Luke); VTT Technical Research Center Finland</t>
  </si>
  <si>
    <t>Vainio, SJ (corresponding author), Univ Oulu, Fac Biochem &amp; Mol Med, Dis Networks Res Unit, Lab Dev Biol,Kvantum Inst,Infotech Oulu, Oulu 90014, Finland.</t>
  </si>
  <si>
    <t>seppo.vainio@oulu.fi</t>
  </si>
  <si>
    <t>Samoylenko, Anatoliy/AAN-1992-2021; Samoylenko, Anatoliy/AAZ-9623-2021</t>
  </si>
  <si>
    <t>Samoylenko, Anatoliy/0000-0002-0240-897X; Bart, Genevieve/0000-0001-9809-150X; Singh, Prateek/0000-0001-6255-8243; Kosamo, Susanna/0000-0001-5151-9361</t>
  </si>
  <si>
    <t>1471-2164</t>
  </si>
  <si>
    <t>10.1186/s12864-021-07733-9</t>
  </si>
  <si>
    <t>Biotechnology &amp; Applied Microbiology; Genetics &amp; Heredity</t>
  </si>
  <si>
    <t>WOS:000659215600001</t>
  </si>
  <si>
    <t>Liu, HY; Kumar, R; Zhong, CT; Gorji, S; Paniushkina, L; Masood, R; Wittel, UA; Fuchs, H; Nazarenko, I; Hirtz, M</t>
  </si>
  <si>
    <t>Liu, Hui-Yu; Kumar, Ravi; Zhong, Chunting; Gorji, Saleh; Paniushkina, Liliia; Masood, Ramsha; Wittel, Uwe A.; Fuchs, Harald; Nazarenko, Irina; Hirtz, Michael</t>
  </si>
  <si>
    <t>Rapid Capture of Cancer Extracellular Vesicles by Lipid Patch Microarrays</t>
  </si>
  <si>
    <t>ADVANCED MATERIALS</t>
  </si>
  <si>
    <t>breast cancer; dip-pen nanolithography; extracellular vesicles; scanning probe lithography; supported lipid bilayers</t>
  </si>
  <si>
    <t>MEMBRANE-FUSION; ALLERGEN ARRAYS; TUMOR-CELLS; EXOSOMES; ACTIVATION; EFFICIENCY; BIOCHIP; BLOOD; CHIP</t>
  </si>
  <si>
    <t>Extracellular vesicles (EVs) contain various bioactive molecules such as DNA, RNA, and proteins, and play a key role in the regulation of cancer progression. Furthermore, cancer-associated EVs carry specific biomarkers and can be used in liquid biopsy for cancer detection. However, it is still technically challenging and time consuming to detect or isolate cancer-associated EVs from complex biofluids (e.g., blood). Here, a novel EV-capture strategy based on dip-pen nanolithography generated microarrays of supported lipid membranes is presented. These arrays carry specific antibodies recognizing EV- and cancer-specific surface biomarkers, enabling highly selective and efficient capture. Importantly, it is shown that the nucleic acid cargo of captured EVs is retained on the lipid array, providing the potential for downstream analysis. Finally, the feasibility of EV capture from patient sera is demonstrated. The demonstrated platform offers rapid capture, high specificity, and sensitivity, with only a small need in analyte volume and without additional purification steps. The platform is applied in context of cancer-associated EVs, but it can easily be adapted to other diagnostic EV targets by use of corresponding antibodies.</t>
  </si>
  <si>
    <t>[Liu, Hui-Yu; Kumar, Ravi; Zhong, Chunting; Gorji, Saleh; Fuchs, Harald; Hirtz, Michael] Karlsruhe Inst Technol KIT, Inst Nanotechnol INT, Hermann von Helmholtz Pl 1, D-76344 Eggenstein Leopoldshafen, Germany; [Liu, Hui-Yu; Kumar, Ravi; Zhong, Chunting; Gorji, Saleh; Fuchs, Harald; Hirtz, Michael] Karlsruhe Inst Technol KIT, Karlsruhe Nano Micro Facil KNMF, Hermann von Helmholtz Pl 1, D-76344 Eggenstein Leopoldshafen, Germany; [Gorji, Saleh] Tech Univ Darmstadt TUD, Joint Res Lab Nanomat KIT &amp; TUD, D-64287 Darmstadt, Germany; [Paniushkina, Liliia; Masood, Ramsha; Nazarenko, Irina] Univ Freiburg, Fac Med, Med Ctr, Inst Infect Prevent &amp; Hosp Epidemiol, Breisacher Str 115 B, D-79106 Freiburg, Germany; [Wittel, Uwe A.] Univ Freiburg, Dept Gen &amp; Visceral Surg, Ctr Surg, Med Ctr,Fac Med, Breisacher Str 86, D-79110 Freiburg, Germany; [Fuchs, Harald] Westfalische Wilhelms Univ, Phys Inst, Wilhelm Klemm Str 10, D-48149 Munster, Germany; [Fuchs, Harald] Westfalische Wilhelms Univ, Ctr Nanotechnol CeNTech, Wilhelm Klemm Str 10, D-48149 Munster, Germany; [Nazarenko, Irina] German Canc Consortium DKTK, Partner Site Freiburg, Neuenheimer Feld 280, D-69120 Heidelberg, Germany; [Nazarenko, Irina] German Canc Res Ctr, Neuenheimer Feld 280, D-69120 Heidelberg, Germany</t>
  </si>
  <si>
    <t>Helmholtz Association; Karlsruhe Institute of Technology; Helmholtz Association; Karlsruhe Institute of Technology; Technical University of Darmstadt; University of Freiburg; University of Freiburg; University of Munster; University of Munster; Helmholtz Association; German Cancer Research Center (DKFZ); Helmholtz Association; German Cancer Research Center (DKFZ)</t>
  </si>
  <si>
    <t>Hirtz, M (corresponding author), Karlsruhe Inst Technol KIT, Inst Nanotechnol INT, Hermann von Helmholtz Pl 1, D-76344 Eggenstein Leopoldshafen, Germany.;Hirtz, M (corresponding author), Karlsruhe Inst Technol KIT, Karlsruhe Nano Micro Facil KNMF, Hermann von Helmholtz Pl 1, D-76344 Eggenstein Leopoldshafen, Germany.</t>
  </si>
  <si>
    <t>michael.hirtz@kit.edu</t>
  </si>
  <si>
    <t>Hirtz, Michael/C-8821-2011; Nazarenko, Irina/E-5714-2010</t>
  </si>
  <si>
    <t>Hirtz, Michael/0000-0002-2647-5317; Nazarenko, Irina/0000-0002-2633-1161; KUMAR, Dr. RAVI/0000-0002-7099-6865</t>
  </si>
  <si>
    <t>0935-9648</t>
  </si>
  <si>
    <t>1521-4095</t>
  </si>
  <si>
    <t>10.1002/adma.202008493</t>
  </si>
  <si>
    <t>WOS:000678864200001</t>
  </si>
  <si>
    <t>Brambilla, D; Sola, L; Ferretti, AM; Chiodi, E; Zarovni, N; Fortunato, D; Criscuoli, M; Dolo, V; Giusti, I; Murdica, V; Czernek, L; Duchler, M; Vago, R; Chiari, M; Kluszczyriska, K</t>
  </si>
  <si>
    <t>Brambilla, Dario; Sola, Laura; Ferretti, Anna Maria; Chiodi, Elisa; Zarovni, Natasa; Fortunato, Diogo; Criscuoli, Mattia; Dolo, Vincenza; Giusti, Ilaria; Murdica, Valentina; Czernek, Liliana; Duchler, Markus; Vago, Riccardo; Chiari, Marcella; Kluszczyriska, Katarzyna</t>
  </si>
  <si>
    <t>EV Separation: Release of Intact Extracellular Vesicles Immunocaptured on Magnetic Particles</t>
  </si>
  <si>
    <t>ANALYTICAL CHEMISTRY</t>
  </si>
  <si>
    <t>Extracellular vesicles (EVs) have attracted considerable interest due to their role in cell-cell communication, disease diagnosis, and drug delivery. Despite their potential in the medical field, there is no consensus on the best method for separating micro- and nanovesicles from cell culture supernatant and complex biological fluids. Obtaining a good recovery yield and preserving physical characteristics is critical for the diagnostic and therapeutic use of EVs. The separation of a single class of EVs, such as exosomes, is complex because blood and cell culture media contain many nanoparticles in the same size range. Methods that exploit immunoaffinity capture provide high-purity samples and overcome the issues of currently used separation methods. However, the release of captured nanovesicles usually requires harsh conditions that hinder their use in certain types of downstream analysis. A novel capture and release approach for small extracellular vesicles (sEVs) is presented based on DNA-directed immobilization of antiCD63 antibody. The flexible DNA linker increases the capture efficiency and allows for releasing EVs by exploiting the endonuclease activity of DNAse I. This separation protocol works under mild conditions, enabling the release of vesicles suitable for analysis by imaging techniques. In this study, sEVs recovered from plasma were characterized by established techniques for EV analysis, including nanoparticle tracking and transmission electron microscopy.</t>
  </si>
  <si>
    <t>[Brambilla, Dario; Sola, Laura; Chiodi, Elisa; Chiari, Marcella] Natl Res Council Italy CNR SCITEC, Inst Chem Sci &amp; Technol Giulio Natta, I-20131 Milan, Italy; [Ferretti, Anna Maria] Natl Res Council Italy CNR SCITEC, Inst Chem Sci &amp; Technol Giulio Natta, I-20138 Milan, Italy; [Zarovni, Natasa; Fortunato, Diogo; Criscuoli, Mattia] Exos Siena SpA, I-53100 Siena, Italy; [Dolo, Vincenza; Giusti, Ilaria] Univ Aquila, Dept Life Hlth &amp; Environm Sci, I-67100 Laquila, Italy; [Murdica, Valentina; Vago, Riccardo] IRCCS San Raffaele Sci Inst, Urol Res Inst, Div Expt Oncol, I-20132 Milan, Italy; [Kluszczyriska, Katarzyna] Med Univ Lodz, Dept Mol Biol Canc, PL-92215 Lodz, Poland; [Czernek, Liliana; Duchler, Markus] Polish Acad Sci, Ctr Mol &amp; Macromol Studies, Dept Bioorgan Chem, PL-90363 Lodz, Poland; [Vago, Riccardo] Univ Vita Salute San Raffaele, I-20132 Milan, Italy</t>
  </si>
  <si>
    <t>Consiglio Nazionale delle Ricerche (CNR); Istituto di Scienze Tecnologie Chimiche Giulio Natta (SCITEC-CNR); Consiglio Nazionale delle Ricerche (CNR); Istituto di Scienze Tecnologie Chimiche Giulio Natta (SCITEC-CNR); University of L'Aquila; IRCCS Ospedale San Raffaele; Medical University Lodz; Polish Academy of Sciences; Centre of Molecular &amp; Macromolecular Studies of the Polish Academy of Sciences; Vita-Salute San Raffaele University</t>
  </si>
  <si>
    <t>Brambilla, D (corresponding author), Natl Res Council Italy CNR SCITEC, Inst Chem Sci &amp; Technol Giulio Natta, I-20131 Milan, Italy.</t>
  </si>
  <si>
    <t>Murdica, Valentina/J-5368-2018; Sola, Laura/ABD-8155-2021; Dolo, Vincenza/AAB-2885-2021; Ferretti, Anna Maria/E-6861-2010; Kluszczyńska, Katarzyna/AAK-1284-2021</t>
  </si>
  <si>
    <t>Murdica, Valentina/0000-0002-5187-1696; Dolo, Vincenza/0000-0003-0424-6676; Ferretti, Anna Maria/0000-0002-7373-7965; Kluszczyńska, Katarzyna/0000-0002-7290-1647; Fortunato, Diogo/0000-0003-2732-477X; Brambilla, Dario/0000-0003-3490-4481; Czernek, Liliana/0000-0001-9008-5041; Duechler, Markus/0000-0001-7869-9577; Chiodi, Elisa/0000-0003-2036-4584</t>
  </si>
  <si>
    <t>0003-2700</t>
  </si>
  <si>
    <t>1520-6882</t>
  </si>
  <si>
    <t>APR 6</t>
  </si>
  <si>
    <t>10.1021/acs.analchem.0c05194</t>
  </si>
  <si>
    <t>WOS:000638986400018</t>
  </si>
  <si>
    <t>Jena, SR; Nayak, J; Kumar, S; Kar, S; Dixit, A; Samanta, L</t>
  </si>
  <si>
    <t>Jena, Soumya R.; Nayak, Jasmine; Kumar, Sugandh; Kar, Sujata; Dixit, Anshuman; Samanta, Luna</t>
  </si>
  <si>
    <t>Paternal contributors in recurrent pregnancy loss: Cues from comparative proteome profiling of seminal extracellular vesicles</t>
  </si>
  <si>
    <t>MOLECULAR REPRODUCTION AND DEVELOPMENT</t>
  </si>
  <si>
    <t>comparative proteomics; hub genes; paternal factors; recurrent pregnancy loss; seminal extracellular vesicles</t>
  </si>
  <si>
    <t>CHROMATIN-STRUCTURE ASSAY; SPERM FUNCTION; HUMAN SEMEN; EXOSOMES; PLASMA; DNA; KINASE; PROSTASOMES; MATURATION; PHOSPHORYLATION</t>
  </si>
  <si>
    <t>Recent evidence entail paternal factors as plausible contributors in spontaneous recurrent pregnancy loss (RPL). Seminal extracellular vesicles secreted from cells of male reproductive tract carry regulatory proteins and RNAs. They are proposed to regulate sperm maturation and function while their fusion to endometrial stromal cells helps in decidualization. Nevertheless, the mechanism(s) involved in these processes are poorly understood. This study aims at elucidating the molecular basis of paternal contribution by comparative proteomics (label-free LC-MS/MS) of isolated seminal extracellular vesicles from fertile men and partners of patients with RPL (n = 21 per group). Bioinformatics analysis revealed the identified differentially expressed proteins to be involved in DNA replication, recombination and repair, gene expression, cellular assembly and organization, cell death, and survival. Major disease pathways affected were identified as developmental, hereditary, and immunological disorders. Of the three identified hub genes regulating the above disease pathways, two (HNRNPC and HNRNPU) are overexpressed while RUVBL1 is underexpressed along with over expression of HIST1H1C, DDX1, surmising defective chromatin packaging, and histone removal in spermatozoa resulting in improper expression in paternal genes thereby leading to abnormal embryo development. Besides, alteration in GSTP1 expression points oxidative predominance in RPL group. Differential expression of C3, C4a/C4b, CFB, and GDF 15 may be involved in altered maternal immune response to paternal antigens resulting in impaired decidualization.</t>
  </si>
  <si>
    <t>[Jena, Soumya R.; Nayak, Jasmine; Samanta, Luna] Ravenshaw Univ, Dept Zool, Redox Biol Lab, Sch Life Sci, Cuttack, Odisha, India; [Jena, Soumya R.; Nayak, Jasmine] Ravenshaw Univ, Ctr Excellence Environm &amp; Publ Hlth, Cuttack, Odisha, India; [Kumar, Sugandh; Dixit, Anshuman] Inst Life Sci, Computat Biol &amp; Bioinformat Lab, Bhubaneswar, Odisha, India; [Kar, Sujata] Kar Clin &amp; Hosp Pvt Ltd, Dept Obstet &amp; Gynaecol, Bhubaneswar, India</t>
  </si>
  <si>
    <t>Ravenshaw University; Ravenshaw University; Department of Biotechnology (DBT) India; Institute of Life Sciences India (ILS)</t>
  </si>
  <si>
    <t>Samanta, L (corresponding author), Ravenshaw Univ, Dept Zool, Redox Biol Lab, Sch Life Sci, Cuttack, Odisha, India.</t>
  </si>
  <si>
    <t>lsamanta@ravenshawuniversity.ac.in</t>
  </si>
  <si>
    <t>Samanta, Luna/H-4206-2019; Kumar, Sugandh/ABA-1910-2021; Jena, Soumya Ranjan/AGF-7035-2022; Kumar, Sugandh/GLQ-6445-2022</t>
  </si>
  <si>
    <t>Samanta, Luna/0000-0002-2969-0071; Jena, Soumya Ranjan/0000-0001-8931-6818; Kumar, Sugandh/0000-0001-7000-4718; Nayak, Jasmine/0000-0002-7237-1316; Kar, Sujata/0000-0003-2795-6558</t>
  </si>
  <si>
    <t>1040-452X</t>
  </si>
  <si>
    <t>1098-2795</t>
  </si>
  <si>
    <t>10.1002/mrd.23445</t>
  </si>
  <si>
    <t>Biochemistry &amp; Molecular Biology; Cell Biology; Developmental Biology; Reproductive Biology</t>
  </si>
  <si>
    <t>WOS:000600354900001</t>
  </si>
  <si>
    <t>Kruglik, SG; Royo, F; Guigner, JM; Palomo, L; Seksek, O; Turpin, PY; Tatischeff, I; Falcon-Perez, JM</t>
  </si>
  <si>
    <t>Kruglik, Sergei G.; Royo, Felix; Guigner, Jean-Michel; Palomo, Laura; Seksek, Olivier; Turpin, Pierre-Yves; Tatischeff, Irene; Falcon-Perez, Juan M.</t>
  </si>
  <si>
    <t>Raman tweezers microspectroscopy of circa 100 nm extracellular vesicles</t>
  </si>
  <si>
    <t>NANOSCALE</t>
  </si>
  <si>
    <t>HUMAN CORONARY ATHEROSCLEROSIS; EXOSOME-LIKE VESICLES; MEMBRANE-VESICLES; NUCLEIC-ACIDS; BREAST-CANCER; SPECTROSCOPY; CELLS; MICROVESICLES; IDENTIFICATION; MICROSCOPY</t>
  </si>
  <si>
    <t>The technique of Raman tweezers microspectroscopy (RTM) for the global biomolecular content characterization of a single extracellular vesicle (EV) or a small number of EVs or other nanoscale bioparticles in an aqueous dispersion in the difficult-to-access size range of near 100 nm is described in detail. The particularities and potential of RTM are demonstrated using the examples of DOPC liposomes, exosomes from human urine and rat hepatocytes, and a mixed sample of the transfection reagent FuGENE in diluted DNA solution. The approach of biomolecular component analysis for the estimation of the main biomolecular contributions (proteins, lipids, nucleic acids, carotenoids, etc.) is proposed and discussed. Direct Raman evidence for strong intra-sample biomolecular heterogeneity of individual optically trapped EVs, due to variable contributions from nucleic acids and carotenoids in some preparations, is reported. On the basis of the results obtained, we are making an attempt to convince the scientific community that RTM is a promising method of single-EV research; to our knowledge, it is the only technique available at the moment that provides unique information about the global biomolecular composition of a single vesicle or a small number of vesicles, thus being capable of unravelling the high diversity of EV subpopulations, which is one of the most significant urgent challenges to overcome. Possible RTM applications include, among others, searching for DNA biomarkers, cancer diagnosis, and discrimination between different subpopulations of EVs, lipid bodies, protein aggregates and viruses.</t>
  </si>
  <si>
    <t>[Kruglik, Sergei G.] Sorbonne Univ, CNRS UMR 8237, Lab Jean Perrin, 4 Pl Jussieu, F-75005 Paris, France; [Royo, Felix; Palomo, Laura; Falcon-Perez, Juan M.] CIBERehd, CIC bioGUNE, Bizkaia Sci &amp; Technol Pk, Derio 48160, Bizkaia, Spain; [Guigner, Jean-Michel] Sorbonne Univ, CNRS UMR 7590, IMPMC, IRD,MNHN, F-75005 Paris, France; [Palomo, Laura; Falcon-Perez, Juan M.] Ikerbasque, Basque Fdn Sci, Bilbao 48013, Bizkaia, Spain; [Seksek, Olivier] Univ Paris Sud, CNRS UMR 8165, IMNC, F-91405 Orsay, France; [Turpin, Pierre-Yves] Sorbonne Univ, UR6 Enzymol ARN, F-75005 Paris, France; [Tatischeff, Irene] RevInterCell, 49T Rue Francois Leroux, F-91400 Orsay, France</t>
  </si>
  <si>
    <t>Centre National de la Recherche Scientifique (CNRS); CNRS - Institute of Physics (INP); UDICE-French Research Universities; Sorbonne Universite; CIBER - Centro de Investigacion Biomedica en Red; CIBEREHD; CIC bioGUNE; Centre National de la Recherche Scientifique (CNRS); CNRS - Institute of Physics (INP); Museum National d'Histoire Naturelle (MNHN); UDICE-French Research Universities; Sorbonne Universite; Institut de Recherche pour le Developpement (IRD); Basque Foundation for Science; Centre National de la Recherche Scientifique (CNRS); CNRS - National Institute of Nuclear and Particle Physics (IN2P3); UDICE-French Research Universities; Universite Paris Saclay; UDICE-French Research Universities; Sorbonne Universite</t>
  </si>
  <si>
    <t>Kruglik, SG (corresponding author), Sorbonne Univ, CNRS UMR 8237, Lab Jean Perrin, 4 Pl Jussieu, F-75005 Paris, France.</t>
  </si>
  <si>
    <t>sergei.kruglik@upmc.fr</t>
  </si>
  <si>
    <t>Seksek, Olivier/AAO-1837-2020; Royo, Felix/ABE-8064-2021; Falcon-Perez, Juan M/F-5920-2011</t>
  </si>
  <si>
    <t xml:space="preserve">Seksek, Olivier/0000-0002-3053-3022; Royo, Felix/0000-0001-9769-4165; </t>
  </si>
  <si>
    <t>2040-3364</t>
  </si>
  <si>
    <t>2040-3372</t>
  </si>
  <si>
    <t>JAN 28</t>
  </si>
  <si>
    <t>10.1039/c8nr04677h</t>
  </si>
  <si>
    <t>Chemistry, Multidisciplinary; Nanoscience &amp; Nanotechnology; Materials Science, Multidisciplinary; Physics, Applied</t>
  </si>
  <si>
    <t>WOS:000459910900015</t>
  </si>
  <si>
    <t>Kereliuk, SM; Xiao, FX; Burger, D; Dolinsky, VW</t>
  </si>
  <si>
    <t>Kereliuk, Stephanie M.; Xiao, Fengxia; Burger, Dylan; Dolinsky, Vernon W.</t>
  </si>
  <si>
    <t>Extracellular Vesicles as an Index for Endothelial Injury and Cardiac Dysfunction in a Rodent Model of GDM</t>
  </si>
  <si>
    <t>extracellular vesicles; pregnancy; diabetes; gestational diabetes; mitochondria</t>
  </si>
  <si>
    <t>GESTATIONAL DIABETES-MELLITUS; CELL COMMUNICATION; MICROPARTICLES; PREGNANCY; RISK; TYPE-1; WOMEN; COMPLICATIONS; ASSOCIATION; MECHANISMS</t>
  </si>
  <si>
    <t>Gestational diabetes mellitus (GDM) increases risk of adverse pregnancy outcomes and maternal cardiovascular complications. It is widely believed that maternal endothelial dysfunction is a critical determinant of these risks, however, connections to maternal cardiac dysfunction and mechanisms of pathogenesis are unclear. Circulating extracellular vesicles (EVs) are emerging biomarkers that may provide insights into the pathogenesis of GDM. We examined the impact of GDM on maternal cardiac and vascular health in a rat model of diet-induced obesity-associated GDM. We observed a &gt;3-fold increase in circulating levels of endothelial EVs (p &lt; 0.01) and von Willebrand factor (p &lt; 0.001) in GDM rats. A significant increase in mitochondrial DNA (mtDNA) within circulating extracellular vesicles was also observed suggesting possible mitochondrial dysfunction in the vasculature. This was supported by nicotinamide adenine dinucleotide deficiency in aortas of GDM mice. GDM was also associated with cardiac remodeling (increased LV mass) and a marked impairment in maternal diastolic function (increased isovolumetric relaxation time [IVRT], p &lt; 0.01). Finally, we observed a strong positive correlation between endothelial EV levels and IVRT (r = 0.57, p &lt; 0.05). In summary, we observed maternal vascular and cardiac dysfunction in rodent GDM accompanied by increased circulating endothelial EVs and EV-associated mitochondrial DNA. Our study highlights a novel method for assessment of vascular injury in GDM and highlights vascular mitochondrial injury as a possible therapeutic target.</t>
  </si>
  <si>
    <t>[Kereliuk, Stephanie M.; Dolinsky, Vernon W.] Childrens Hosp Res Inst Manitoba, Res Theme, Diabet Res Envisioned &amp; Accomplished Manitoba DRE, 715 McDermot Ave, Winnipeg, MB R3E 3P4, Canada; [Dolinsky, Vernon W.] Univ Manitoba, Dept Pharmacol &amp; Therapeut, Winnipeg, MB R3E 0T6, Canada; [Xiao, Fengxia; Burger, Dylan] Ottawa Hosp Res Inst, Kidney Res Ctr, Ottawa, ON K1H 7N9, Canada; [Burger, Dylan] Univ Ottawa, Dept Cellular &amp; Mol Med, Ottawa, ON K1H 7N9, Canada</t>
  </si>
  <si>
    <t>University of Manitoba; Children's Hospital Research Institute of Manitoba; University of Manitoba; University of Ottawa; Ottawa Hospital Research Institute; University of Ottawa</t>
  </si>
  <si>
    <t>Dolinsky, VW (corresponding author), Childrens Hosp Res Inst Manitoba, Res Theme, Diabet Res Envisioned &amp; Accomplished Manitoba DRE, 715 McDermot Ave, Winnipeg, MB R3E 3P4, Canada.;Dolinsky, VW (corresponding author), Univ Manitoba, Dept Pharmacol &amp; Therapeut, Winnipeg, MB R3E 0T6, Canada.;Burger, D (corresponding author), Ottawa Hosp Res Inst, Kidney Res Ctr, Ottawa, ON K1H 7N9, Canada.;Burger, D (corresponding author), Univ Ottawa, Dept Cellular &amp; Mol Med, Ottawa, ON K1H 7N9, Canada.</t>
  </si>
  <si>
    <t>umkereli@myumanitoba.ca; fxiao@ohri.ca; dburger@uottawa.ca; vernon.dolinsky@umanitoba.ca</t>
  </si>
  <si>
    <t>Burger, Dylan/0000-0003-3951-2911; Kereliuk, Stephanie/0000-0003-0293-5646</t>
  </si>
  <si>
    <t>10.3390/ijms23094970</t>
  </si>
  <si>
    <t>WOS:000796171800001</t>
  </si>
  <si>
    <t>Kim, KM; Meng, Q; de Acha, OP; Mustapic, M; Cheng, AW; Eren, E; Kundu, G; Piao, YL; Munk, R; Wood, WH; De, S; Noh, JH; Delannoy, M; Cheng, L; Abdelmohsen, K; Kapogiannis, D; Gorospe, M</t>
  </si>
  <si>
    <t>Kim, Kyoung Mi; Meng, Qiong; Perez de Acha, Olivia; Mustapic, Maja; Cheng, Aiwu; Eren, Erden; Kundu, Gautam; Piao, Yulan; Munk, Rachel; Wood, William H., III; De, Supriyo; Noh, Ji Heon; Delannoy, Michael; Cheng, Lesley; Abdelmohsen, Kotb; Kapogiannis, Dimitrios; Gorospe, Myriam</t>
  </si>
  <si>
    <t>Mitochondrial RNA in Alzheimer's Disease Circulating Extracellular Vesicles</t>
  </si>
  <si>
    <t>extracellular vesicles; Alzheimer&amp;#8217; s disease; mitochondrial protein; mitochondrial RNA; biomarker</t>
  </si>
  <si>
    <t>ASSOCIATION WORKGROUPS; DIAGNOSTIC GUIDELINES; NATIONAL INSTITUTE; RECOMMENDATIONS; EXOSOMES; ASTROCYTES; SERUM; DNA</t>
  </si>
  <si>
    <t>Alzheimer's disease (AD) is the most common type of dementia. Amyloid beta (A beta) plaques, tau-containing neurofibrillary tangles, and neuronal loss leading to brain atrophy are pathologic hallmarks of AD. Given the importance of early diagnosis, extensive efforts have been undertaken to identify diagnostic and prognostic biomarkers for AD. Circulating extracellular vesicles (EVs) provide a platform for liquid biopsy biomarkers for AD. Here, we characterized the RNA contents of plasma EVs of age-matched individuals who were cognitively normal (healthy controls (HC)) or had mild cognitive impairment (MCI) due to AD or had mild AD dementia (AD). Using RNA sequencing analysis, we found that mitochondrial (mt)-RNAs, including MT-ND1-6 mRNAs and other protein-coding and non-coding mt-RNAs, were strikingly elevated in plasma EVs of MCI and AD individuals compared with HC. EVs secreted from cultured astrocytes, microglia, and neurons after exposure to toxic conditions relevant to AD pathogenesis (A beta aggregates and H2O2), contained mitochondrial structures (detected by electron microscopy) and mitochondrial RNA and protein. We propose that in the AD brain, toxicity-causing mitochondrial damage results in the packaging of mitochondrial components for export in EVs and further propose that mt-RNAs in plasma EVs can be diagnostic and prognostic biomarkers for MCI and AD.</t>
  </si>
  <si>
    <t>[Kim, Kyoung Mi; Meng, Qiong; Perez de Acha, Olivia; Cheng, Aiwu; Kundu, Gautam; Piao, Yulan; Munk, Rachel; Wood, William H., III; De, Supriyo; Abdelmohsen, Kotb; Gorospe, Myriam] NIA, Lab Genet &amp; Genom, Intramural Res Program, NIH, Baltimore, MD 21224 USA; [Kim, Kyoung Mi] Chungnam Natl Univ, Dept Biol Sci, Daejeon, South Korea; [Mustapic, Maja; Eren, Erden; Kapogiannis, Dimitrios] NIA, Lab Clin Invest, Intramural Res Program, NIH, Baltimore, MD 21224 USA; [Noh, Ji Heon] Chungnam Natl Univ, Dept Biochem, Daejeon, South Korea; [Delannoy, Michael] Johns Hopkins Univ, Sch Med, Dept Cell Biol &amp; Imaging Facil, Baltimore, MD USA; [Cheng, Lesley] La Trobe Univ, Dept Biochem &amp; Genet, Sch Mol Sci, Melbourne, Vic, Australia</t>
  </si>
  <si>
    <t>National Institutes of Health (NIH) - USA; NIH National Institute on Aging (NIA); Chungnam National University; National Institutes of Health (NIH) - USA; NIH National Institute on Aging (NIA); Chungnam National University; Johns Hopkins University; La Trobe University</t>
  </si>
  <si>
    <t>Gorospe, M (corresponding author), NIA, Lab Genet &amp; Genom, Intramural Res Program, NIH, Baltimore, MD 21224 USA.;Kapogiannis, D (corresponding author), NIA, Lab Clin Invest, Intramural Res Program, NIH, Baltimore, MD 21224 USA.</t>
  </si>
  <si>
    <t>kapogiannisd@mail.nih.gov; myriam-gorospe@nih.gov</t>
  </si>
  <si>
    <t>Kim, Kyoung Mi/AAE-9847-2021; Kapogiannis, Dimitrios/AAW-4934-2020; Eren, Erden/AHA-0315-2022</t>
  </si>
  <si>
    <t>Kim, Kyoung Mi/0000-0002-2845-5678; Kapogiannis, Dimitrios/0000-0003-2181-3118; Eren, Erden/0000-0002-5190-9500; Meng, Qiong/0000-0002-8378-9021; Cheng, Lesley/0000-0002-8075-6144; Mustapic, Maja/0000-0003-0511-2047</t>
  </si>
  <si>
    <t>NOV 16</t>
  </si>
  <si>
    <t>10.3389/fcell.2020.581882</t>
  </si>
  <si>
    <t>WOS:000593926900001</t>
  </si>
  <si>
    <t>Qin, YF; Guo, ZH; Huang, HN; Zhu, LT; Dong, SJ; Zhu, YG; Cui, L; Huang, QS</t>
  </si>
  <si>
    <t>Qin, Yifei; Guo, Zihan; Huang, Haining; Zhu, Liting; Dong, Sijun; Zhu, Yong-Guan; Cui, Li; Huang, Qiansheng</t>
  </si>
  <si>
    <t>Widespread of Potential Pathogen-Derived Extracellular Vesicles Carrying Antibiotic Resistance Genes in Indoor Dust</t>
  </si>
  <si>
    <t>ENVIRONMENTAL SCIENCE &amp; TECHNOLOGY</t>
  </si>
  <si>
    <t>extracellular vesicles; antibiotic resistance genes; indoor dust; mobile genetic elements; pathogen; urban health</t>
  </si>
  <si>
    <t>MEMBRANE-VESICLES; ABUNDANCE</t>
  </si>
  <si>
    <t>Extracellular vesicles (EVs) are newly recognized as important vectors for carrying and spreading antibiotic resistance genes (ARGs). However, the ARGs harbored by EVs in ambient environments and the transfer potential are still unclear. In this study, the prevalence of ARGs and mobile genetic elements (MGEs) in EVs and their microbial origins were studied in indoor dust from restaurants, kindergarten, dormitories, and vehicles. The amount of EVs ranged from 3.40 x 10(7) to 1.09 x 10(11) particles/g dust. The length of EV-associated DNA fragments was between 21 bp and 9.7 kb. Metagenomic sequencing showed that a total of 241 antibiotic ARG subtypes encoding resistance to 16 common classes were detected in the EVs from all four fields. Multidrug, quinolone, and macrolide resistance genes were the dominant types. 15 ARG subtypes were exclusively carried and even enriched in EVs compared to the indoor microbiome. Moreover, several ARGs showed co-occurrence with MGEs. The EVs showed distinct taxonomic composition with their original dust microbiota. 30.23% of EV-associated DNA was predicted to originate from potential pathogens. Our results indicated the widespread of EVs carrying ARGs and virulence genes in daily life indoor dust, provided new insights into the status of extracellular DNA, and raised risk concerns on their gene transfer potential.</t>
  </si>
  <si>
    <t>[Qin, Yifei; Huang, Haining; Zhu, Liting; Zhu, Yong-Guan; Cui, Li; Huang, Qiansheng] Chinese Acad Sci, Inst Urban Environm, Xiamen Key Lab Indoor Air &amp; Hlth, Key Lab Urban Environm &amp; Hlth, Xiamen 361021, Peoples R China; [Qin, Yifei; Zhu, Liting] Univ Chinese Acad Sci, Coll Resources &amp; Environm, Beijing 100049, Peoples R China; [Guo, Zihan; Dong, Sijun] Hebei Univ, Inst Life Sci &amp; Green Dev, Baoding 071002, Peoples R China; [Huang, Qiansheng] Natl Basic Sci Data Ctr, Beijing 100190, Peoples R China</t>
  </si>
  <si>
    <t>Chinese Academy of Sciences; Institute of Urban Environment, CAS; Chinese Academy of Sciences; University of Chinese Academy of Sciences, CAS; Hebei University</t>
  </si>
  <si>
    <t>Cui, L; Huang, QS (corresponding author), Chinese Acad Sci, Inst Urban Environm, Xiamen Key Lab Indoor Air &amp; Hlth, Key Lab Urban Environm &amp; Hlth, Xiamen 361021, Peoples R China.;Huang, QS (corresponding author), Natl Basic Sci Data Ctr, Beijing 100190, Peoples R China.</t>
  </si>
  <si>
    <t>lcui@iue.ac.cn; qshuang@iue.ac.cn</t>
  </si>
  <si>
    <t>Zhu, Yong-Guan/A-1412-2009</t>
  </si>
  <si>
    <t>Zhu, Yong-Guan/0000-0003-3861-8482; cui, li/0000-0002-0708-8899</t>
  </si>
  <si>
    <t>0013-936X</t>
  </si>
  <si>
    <t>1520-5851</t>
  </si>
  <si>
    <t>MAY 3</t>
  </si>
  <si>
    <t>10.1021/acs.est.1c08654</t>
  </si>
  <si>
    <t>Engineering, Environmental; Environmental Sciences</t>
  </si>
  <si>
    <t>Engineering; Environmental Sciences &amp; Ecology</t>
  </si>
  <si>
    <t>WOS:000798709200035</t>
  </si>
  <si>
    <t>Park, J; Kim, NE; Yoon, H; Shin, CM; Kim, N; Lee, DH; Park, JY; Choi, CH; Kim, JG; Kim, YK; Shin, TS; Yang, J; Park, YS</t>
  </si>
  <si>
    <t>Park, Jihye; Kim, Nam-Eun; Yoon, Hyuk; Shin, Cheol Min; Kim, Nayoung; Lee, Dong Ho; Park, Jae Yong; Choi, Chang Hwan; Kim, Jae Gyu; Kim, Yoon-Keun; Shin, Tae-Seop; Yang, Jinho; Park, Young Soo</t>
  </si>
  <si>
    <t>Fecal Microbiota and Gut Microbe-Derived Extracellular Vesicles in Colorectal Cancer</t>
  </si>
  <si>
    <t>microbiome; metagenome; gut microbe-derived extracellular vesicles; colorectal cancer; cancer stage</t>
  </si>
  <si>
    <t>DIETARY PATTERNS; EXOSOMES</t>
  </si>
  <si>
    <t>The human microbiota comprises trillions of microbes, and the relationship between cancer and microbiota is very complex. The impact of fecal microbiota alterations on colorectal cancer (CRC) pathogenesis is emerging. This study analyzed changes in the microbial composition in CRC subjects with both fecal microbiota and gut microbe-derived extracellular vesicles (EVs). From August 2017 to August 2018, 70 CRC patients and 158 control subjects were enrolled in the study. Metagenomic profiling of fecal microbiota and gut microbe-derived EVs in stool was performed using 16S ribosomal DNA sequencing. Relative abundance, evenness, and diversity in both the gut microbiota and gut microbe-derived EVs were analyzed. Additionally, microbial composition changes according to the stage and location of CRC were analyzed. Microbial composition was significantly changed in CRC subjects compared to control subjects, with evenness and diversity significantly lower in the fecal microbiota of CRC subjects. Gut microbe-derived EVs of stool demonstrated significant differences in the microbial composition, evenness, and diversity in CRC subjects compared to the control subjects. Additionally, microbial composition, evenness, and diversity significantly changed in late CRC subjects compared to early CRC subjects with both fecal microbiota and gut microbe-derived EVs. Alistipes-derived EVs could be novel biomarkers for diagnosing CRC and predicting CRC stages. Ruminococcus 2-derived EVs significantly decreased in distal CRC subjects than in proximal CRC subjects. Gut microbe-derived EVs in CRC had a distinct microbial composition compared to the controls. Profiling of microbe-derived EVs may offer a novel biomarker for detecting and predicting CRC prognosis.&lt;/p&gt;</t>
  </si>
  <si>
    <t>[Park, Jihye] Yonsei Univ, Dept Internal Med, Coll Med, Seoul, South Korea; [Kim, Nam-Eun] Seoul Natl Univ, Grad Sch Publ Hlth, Dept Publ Hlth Sci, Seoul, South Korea; [Yoon, Hyuk; Shin, Cheol Min; Kim, Nayoung; Lee, Dong Ho; Park, Young Soo] Seoul Natl Univ, Dept Internal Med, Bundang Hosp, Seongnam, South Korea; [Park, Jae Yong; Choi, Chang Hwan; Kim, Jae Gyu] Chung Ang Univ, Dept Internal Med, Coll Med, Seoul, South Korea; [Kim, Yoon-Keun; Shin, Tae-Seop; Yang, Jinho] Inst MD Healthcare Inc, R&amp;D Ctr, Seoul, South Korea</t>
  </si>
  <si>
    <t>Yonsei University; Yonsei University Health System; Seoul National University (SNU); Seoul National University (SNU); Chung Ang University; Chung Ang University Hospital</t>
  </si>
  <si>
    <t>Park, YS (corresponding author), Seoul Natl Univ, Dept Internal Med, Bundang Hosp, Seongnam, South Korea.</t>
  </si>
  <si>
    <t>dkree@snubh.org</t>
  </si>
  <si>
    <t>Park, Jihye/AAC-1333-2022</t>
  </si>
  <si>
    <t>Park, Jihye/0000-0002-5836-8735; Kim, Nam-Eun/0000-0003-4155-2584</t>
  </si>
  <si>
    <t>SEP 14</t>
  </si>
  <si>
    <t>10.3389/fonc.2021.650026</t>
  </si>
  <si>
    <t>WOS:000704875200001</t>
  </si>
  <si>
    <t>Zhang, W; Jiang, LM; Diefenbach, RJ; Campbell, DH; Walsh, BJ; Packer, NH; Wang, YL</t>
  </si>
  <si>
    <t>Zhang, Wei; Jiang, Lianmei; Diefenbach, Russell J.; Campbell, Douglas H.; Walsh, Bradley J.; Packer, Nicolle H.; Wang, Yuling</t>
  </si>
  <si>
    <t>Enabling Sensitive Phenotypic Profiling of Cancer-Derived Small Extracellular Vesicles Using Surface-Enhanced Raman Spectroscopy Nanotags</t>
  </si>
  <si>
    <t>extracellular vesicles; SERS nanotags; immunoassay; multiplex detection; phenotype</t>
  </si>
  <si>
    <t>MEMBRANE-VESICLES; BREAST-CANCER; EXOSOMES; DIAGNOSIS; PROTEIN; EPCAM; NANOPARTICLES; GLYPICAN-1; BIOMARKERS; CELLS</t>
  </si>
  <si>
    <t>Circulating cancer-derived small extracellular vesicles (EVs) are nanoscale membranous vesicles shed from cancer cells that are released into surrounding body fluids. Small EVs contain biomolecules associated with cancer such as DNA and proteins for cell-to-cell communication. Therefore, small EVs have been regarded as important cancer biomarkers for liquid biopsy-based cancer diagnosis and drug treatment monitoring. However, because of the high heterogeneity and low level of small EVs in body fluids, there is a high demand for sensitive detection and characterization of such vesicles at a molecular level. In this study, we have developed a sensitive and effective approach to simultaneously profile multiple protein biomarkers expressed on cancer-derived small EVs using surface-enhanced Raman spectroscopy (SERS) nanotags in a single test, without complex isolation steps. Rapid and multiplexed phenotypic profiling of small EVs is achieved by mixing specific detection antibody-coated SERS nanotags, filtered conditioned EV-suspended medium (conditioned EVs), and capture antibody (CD63)-conjugated magnetic beads to form a sandwich immunoassay. As a proof-of-concept demonstration, we applied this approach to characterize pancreatic cancer-derived EVs by simultaneously detecting three specific EV surface receptors including Glypican-1, epithelial cell adhesion molecules (EpCAMs), and CD44 variant isoform 6 (CD44V6). The sensitivity of this method was measured down to 2.3 x 10(6) particles/mL, which is more sensitive and shows higher multiplexing capability than most other reported EV profiling techniques, such as western blot, enzyme-linked immunosorbent assay, and flow cytometry. Furthermore, phenotypic profiling of small EVs from colorectal cancer and bladder cancer cell lines (SW480 and C3) was conducted and compared to those derived from pancreatic cancer (Panc-1), highlighting the significant difference in EV phenotypes for various cancer cell types suspended in both phosphate-buffered saline and plasma. Thus, we believe that this technology enables a comprehensive evaluation of small secreted EV heterogeneity with high sensitivity, offering strong potential for accurate noninvasive cancer diagnosis and monitoring of drug treatment. In addition, this assay provides point-of-care use because of the easy sample preparation and portable nature of the Raman spectrometer.</t>
  </si>
  <si>
    <t>[Zhang, Wei; Jiang, Lianmei; Packer, Nicolle H.; Wang, Yuling] Macquarie Univ, ARC Excellence Ctr Nanoscale BioPhoton CNBP, Dept Mol Sci, Sydney, NSW 2109, Australia; [Diefenbach, Russell J.] Macquarie Univ, Dept Biomed Sci, Sydney, NSW 2109, Australia; [Campbell, Douglas H.; Walsh, Bradley J.] Minomic Int Ltd, Macquarie Pk, NSW 2113, Australia</t>
  </si>
  <si>
    <t>Macquarie University; Macquarie University</t>
  </si>
  <si>
    <t>Wang, YL (corresponding author), Macquarie Univ, ARC Excellence Ctr Nanoscale BioPhoton CNBP, Dept Mol Sci, Sydney, NSW 2109, Australia.</t>
  </si>
  <si>
    <t>yuling.wang@mq.edu.au</t>
  </si>
  <si>
    <t>; Wang, Yuling/D-4222-2012; Diefenbach, Russell/E-9602-2015</t>
  </si>
  <si>
    <t>Walsh, Brad/0000-0003-3571-4399; Wang, Yuling/0000-0003-3627-7397; Zhang, Wei/0000-0001-7005-5726; Packer, Nicolle/0000-0002-7532-4021; Diefenbach, Russell/0000-0002-8433-4336</t>
  </si>
  <si>
    <t>MAR 27</t>
  </si>
  <si>
    <t>10.1021/acssensors.9b02377</t>
  </si>
  <si>
    <t>WOS:000526377600019</t>
  </si>
  <si>
    <t>Mecocci, S; Pietrucci, D; Milanesi, M; Pascucci, L; Filippi, S; Rosato, V; Chillemi, G; Capomaccio, S; Cappelli, K</t>
  </si>
  <si>
    <t>Mecocci, Samanta; Pietrucci, Daniele; Milanesi, Marco; Pascucci, Luisa; Filippi, Silvia; Rosato, Vittorio; Chillemi, Giovanni; Capomaccio, Stefano; Cappelli, Katia</t>
  </si>
  <si>
    <t>Transcriptomic Characterization of Cow, Donkey and Goat Milk Extracellular Vesicles Reveals Their Anti-inflammatory and Immunomodulatory Potential</t>
  </si>
  <si>
    <t>milk; extracellular vesicles; mEVs; RNAseq; miRNA; anti-inflammatory; immunomodulatory; cow; donkey; goat</t>
  </si>
  <si>
    <t>GENE-EXPRESSION; ADIPOSE-TISSUE; MICRORNAS; EXOSOMES; BOVINE; INFLAMMATION; CELLS; MICROVESICLES; RNA; CYTOSCAPE</t>
  </si>
  <si>
    <t>Milk extracellular vesicles (mEVs) seem to be one of the main maternal messages delivery systems. Extracellular vesicles (EVs) are micro/nano-sized membrane-bound structures enclosing signaling molecules and thus acting as signal mediators between distant cells and/or tissues, exerting biological effects such as immune modulation and pro-regenerative activity. Milk is also a unique, scalable, and reliable source of EVs. Our aim was to characterize the RNA content of cow, donkey, and goat mEVs through transcriptomic analysis of mRNA and small RNA libraries. Over 10,000 transcripts and 2000 small RNAs were expressed in mEVs of each species. Among the most represented transcripts, 110 mRNAs were common between the species with cow acting as the most divergent. The most represented small RNA class was miRNA in all the species, with 10 shared miRNAs having high impact on the immune regulatory function. Functional analysis for the most abundant mRNAs shows epigenetic functions such as histone modification, telomere maintenance, and chromatin remodeling for cow; lipid catabolism, oxidative stress, and vitamin metabolism for donkey; and terms related to chemokine receptor interaction, leukocytes migration, and transcriptional regulation in response to stress for goat. For miRNA targets, shared terms emerged as the main functions for all the species: immunity modulation, protein synthesis, cellular cycle regulation, transmembrane exchanges, and ion channels. Moreover, donkey and goat showed additional terms related to epigenetic modification and DNA maintenance. Our results showed a potential mEVs immune regulatory purpose through their RNA cargo, although in vivo validation studies are necessary.</t>
  </si>
  <si>
    <t>[Mecocci, Samanta; Pascucci, Luisa; Capomaccio, Stefano; Cappelli, Katia] Univ Perugia, Dept Vet Med, I-06123 Perugia, Italy; [Mecocci, Samanta; Capomaccio, Stefano; Cappelli, Katia] Univ Perugia, Sports Horse Res Ctr CRCS, I-06123 Perugia, Italy; [Pietrucci, Daniele; Milanesi, Marco; Chillemi, Giovanni] Univ Tuscia, Dept Innovat Biol Agrofood &amp; Forest Syst DIBAF, I-01100 Viterbo, Italy; [Pietrucci, Daniele; Chillemi, Giovanni] CNR, Inst Biomembranes Bioenerget &amp; Mol Biotechnol, IBIOM, I-70126 Bari, Italy; [Filippi, Silvia] Univ Tuscia, Dept Ecol &amp; Biol Sci, I-01100 Viterbo, Italy; [Rosato, Vittorio] Genechron Srl, Via Giunio Antonio Resti 63, I-00143 Rome, Italy</t>
  </si>
  <si>
    <t>University of Perugia; University of Perugia; Tuscia University; Consiglio Nazionale delle Ricerche (CNR); Istituto di Biomembrane, Bioenergetica e Biotecnologie Molecolari (IBIOM-CNR); Tuscia University</t>
  </si>
  <si>
    <t>Chillemi, G (corresponding author), Univ Tuscia, Dept Innovat Biol Agrofood &amp; Forest Syst DIBAF, I-01100 Viterbo, Italy.;Chillemi, G (corresponding author), CNR, Inst Biomembranes Bioenerget &amp; Mol Biotechnol, IBIOM, I-70126 Bari, Italy.</t>
  </si>
  <si>
    <t>samanta.mecocci@studenti.unipg.it; daniele.pietrucci.89@gmail.com; marco.milanesi@unitus.it; luisa.pascucci@unipg.it; silvia.filippi@unitus.it; vittorio.rosato@genechron.com; gchillemi@unitus.it; stefano.capomaccio@unipg.it; katia.cappelli@unipg.it</t>
  </si>
  <si>
    <t>Pietrucci, Daniele/ABI-4717-2020; MILANESI, Marco/P-7473-2015; Chillemi, Giovanni/E-5201-2010; CAPPELLI, Katia/K-6047-2015; Capomaccio, Stefano/K-6042-2015</t>
  </si>
  <si>
    <t>MILANESI, Marco/0000-0001-6244-7455; Pascucci, Luisa/0000-0002-2562-1140; Mecocci, Samanta/0000-0003-2998-0412; Pietrucci, Daniele/0000-0002-4233-0839; FILIPPI, Silvia/0000-0001-6213-7350; Chillemi, Giovanni/0000-0003-3901-6926; CAPPELLI, Katia/0000-0002-3141-771X; Capomaccio, Stefano/0000-0002-0004-9272</t>
  </si>
  <si>
    <t>10.3390/ijms222312759</t>
  </si>
  <si>
    <t>WOS:000735647100001</t>
  </si>
  <si>
    <t>Gerdtsson, AS; Setayesh, SM; Malihi, PD; Ruiz, C; Carlsson, A; Nevarez, R; Matsumoto, N; Gerdtsson, E; Zurita, A; Logothetis, C; Corn, PG; Aparicio, AM; Hicks, J; Kuhn, P</t>
  </si>
  <si>
    <t>Gerdtsson, Anna S.; Setayesh, Sonia M.; Malihi, Paymaneh D.; Ruiz, Carmen; Carlsson, Anders; Nevarez, Rafael; Matsumoto, Nicholas; Gerdtsson, Erik; Zurita, Amado; Logothetis, Christopher; Corn, Paul G.; Aparicio, Ana M.; Hicks, James; Kuhn, Peter</t>
  </si>
  <si>
    <t>Large Extracellular Vesicle Characterization and Association with Circulating Tumor Cells in Metastatic Castrate Resistant Prostate Cancer</t>
  </si>
  <si>
    <t>large extracellular vesicles; oncosomes; CTCs; liquid biopsy; metastatic castrate-resistant prostate cancer; aggressive variant prostate cancer</t>
  </si>
  <si>
    <t>Simple Summary Non-invasive, liquid biopsies are an attractive means for tumor diagnosis and monitoring. In addition to DNA and cells, tumors have an increased propensity compared to normal cells to shed vesicles. These large extracellular vesicles, which are believed to be more frequent in aggressive cancers, carry tumor DNA and proteins and can thus be informative sources for diagnosis and prognosis. In this study, we developed a method to identify and molecularly characterize large extracellular vesicles in parallel to circulating tumor cells at a single-cell/single-vesicle level. We show that the number of large extracellular vesicles correlates to and exceeds the number of circulating tumor cells, and that analysis of tumor-derived large extracellular vesicles hence increases the sensitivity of the liquid biopsy assay. Liquid biopsies hold potential as minimally invasive sources of tumor biomarkers for diagnosis, prognosis, therapy prediction or disease monitoring. We present an approach for parallel single-object identification of circulating tumor cells (CTCs) and tumor-derived large extracellular vesicles (LEVs) based on automated high-resolution immunofluorescence followed by downstream multiplexed protein profiling. Identification of LEVs &gt;6 mu m in size and CTC enumeration was highly correlated, with LEVs being 1.9 times as frequent as CTCs, and additional LEVs were identified in 73% of CTC-negative liquid biopsy samples from metastatic castrate resistant prostate cancer. Imaging mass cytometry (IMC) revealed that 49% of cytokeratin (CK)-positive LEVs and CTCs were EpCAM-negative, while frequently carrying prostate cancer tumor markers including AR, PSA, and PSMA. HSPD1 was shown to be a specific biomarker for tumor derived circulating cells and LEVs. CTCs and LEVs could be discriminated based on size, morphology, DNA load and protein score but not by protein signatures. Protein profiles were overall heterogeneous, and clusters could be identified across object classes. Parallel analysis of CTCs and LEVs confers increased sensitivity for liquid biopsies and expanded specificity with downstream characterization. Combined, it raises the possibility of a more comprehensive assessment of the disease state for precise diagnosis and monitoring.</t>
  </si>
  <si>
    <t>[Gerdtsson, Anna S.; Setayesh, Sonia M.; Malihi, Paymaneh D.; Ruiz, Carmen; Carlsson, Anders; Nevarez, Rafael; Matsumoto, Nicholas; Gerdtsson, Erik; Hicks, James; Kuhn, Peter] Univ Southern Calif, USC Michelson Ctr Convergent Biosci, Los Angeles, CA 90089 USA; [Zurita, Amado; Logothetis, Christopher; Corn, Paul G.; Aparicio, Ana M.] Univ Texas MD Anderson Canc Ctr, Dept Genitourinary Med Oncol, Houston, TX 77030 USA</t>
  </si>
  <si>
    <t>University of Southern California; University of Texas System; UTMD Anderson Cancer Center</t>
  </si>
  <si>
    <t>Kuhn, P (corresponding author), Univ Southern Calif, USC Michelson Ctr Convergent Biosci, Los Angeles, CA 90089 USA.</t>
  </si>
  <si>
    <t>anna.sandstrom_gerdtsson@immun.lth.se; msetayes@usc.edu; Peymaneh87@gmail.com; ruizvela@usc.edu; anders@bionamic.io; rnevarez@usc.edu; matsumon@usc.edu; erik.gerdtsson@gmail.com; azurita@mdanderson.org; clogothe@mdanderson.org; PCorn@mdanderson.org; aaparicio@mdanderson.org; jameshic@usc.edu; pkuhn@usc.edu</t>
  </si>
  <si>
    <t>Sandstrom Gerdtsson, Anna/0000-0003-1932-0365; Matsumoto, Nicholas/0000-0002-3280-9678</t>
  </si>
  <si>
    <t>10.3390/cancers13051056</t>
  </si>
  <si>
    <t>WOS:000627966100001</t>
  </si>
  <si>
    <t>Zahran, R; Ghozy, A; Elkholy, SS; El-Taweel, F; Abu El-Magd, M</t>
  </si>
  <si>
    <t>Zahran, Rasha; Ghozy, Asmaa; Elkholy, Sanad S.; El-Taweel, Fathy; Abu El-Magd, Mohammed</t>
  </si>
  <si>
    <t>Combination therapy with melatonin, stem cells and extracellular vesicles is effective in limiting renal ischemia-reperfusion injury in a rat model</t>
  </si>
  <si>
    <t>INTERNATIONAL JOURNAL OF UROLOGY</t>
  </si>
  <si>
    <t>exosomes; ischemia-reperfusion injury; melatonin; mesenchymal stem cells; oxidative stress</t>
  </si>
  <si>
    <t>OXIDATIVE STRESS; KIDNEY INJURY; EXOSOMES; ACTIVATION; RECOVERY; SURVIVAL</t>
  </si>
  <si>
    <t>Objective To evaluate the therapeutic value of melatonin, mesenchymal stem cells and their extracellular vesicles, exosomes, on renal ischemia-reperfusion. Methods Female albino rats (n = 64) were divided into eight groups (n = 8 per group): control, sham (only laparotomy), renal ischemia-reperfusion (renal ischemia-reperfusion + phosphate-buffered saline), melatonin (renal ischemia-reperfusion + melatonin), mesenchymal stem cells (renal ischemia-reperfusion + mesenchymal stem cells), exosomes (renal ischemia-reperfusion + exosomes), melatonin + mesenchymal stem cells (renal ischemia-reperfusion + melatonin + mesenchymal stem cells) and melatonin + exosomes (renal ischemia-reperfusion + melatonin + exosomes). After the establishment of the renal ischemia-reperfusion model, rats in each group were bilaterally injected once with either mesenchymal stem cells or exosomes in both renal arteries during reperfusion. Results Notable improvement of renal ischemia-reperfusion was obtained after different treatments, as evidenced by a lower histopathological score of kidney injury; decreased serum levels of urea, creatinine and retinol-binding protein; reduced lipid peroxidation marker malondialdehyde; increased superoxide dismutase and catalase activities; reduced apoptosis (lower DNA damage and B-cell lymphoma 2-associated X protein, and higher B-cell lymphoma 2 genes/proteins); and inhibition of kidney inflammatory and damage markers (tumor necrosis alpha, interleukin-1 beta, nuclear factor kappa B, kidney injury molecule-1,IL-18, matrix metalloproteinase 9, neutrophil gelatinase-associated lipocalin). The improvement order was (highest to lowest): melatonin + exosomes, melatonin + mesenchymal stem cells, exosomes, mesenchymal stem cells and melatonin group. Conclusions Our data suggest a potential therapeutic effect of combined therapy with melatonin, mesenchymal stem cells and their exosomes to minimize renal ischemia-reperfusion injury in rats.</t>
  </si>
  <si>
    <t>[Zahran, Rasha; Ghozy, Asmaa] Damietta Univ, Fac Sci, Dept Chem, Biochem Div, Dumyat, Egypt; [Elkholy, Sanad S.] Kafrelsheikh Univ, Fac Med, Dept Physiol, Kafr El Shaikh, Egypt; [El-Taweel, Fathy] Damietta Univ, Fac Sci, Dept Chem, Dumyat, Egypt; [Abu El-Magd, Mohammed] Kafrelsheikh Univ, Fac Vet Med, Dept Anat, Kafr El Shaikh 33516, Egypt</t>
  </si>
  <si>
    <t>Egyptian Knowledge Bank (EKB); Damietta University; Egyptian Knowledge Bank (EKB); Kafrelsheikh University; Egyptian Knowledge Bank (EKB); Damietta University; Egyptian Knowledge Bank (EKB); Kafrelsheikh University</t>
  </si>
  <si>
    <t>Abu El-Magd, M (corresponding author), Kafrelsheikh Univ, Fac Vet Med, Dept Anat, Kafr El Shaikh 33516, Egypt.</t>
  </si>
  <si>
    <t>mohamed.abouelmagd@vet.kfs.edu.eg</t>
  </si>
  <si>
    <t>El-Magd, Mohammed/O-2673-2019</t>
  </si>
  <si>
    <t>zahran, Rasha/0000-0001-9530-1751</t>
  </si>
  <si>
    <t>0919-8172</t>
  </si>
  <si>
    <t>1442-2042</t>
  </si>
  <si>
    <t>10.1111/iju.14345</t>
  </si>
  <si>
    <t>WOS:000559460000001</t>
  </si>
  <si>
    <t>Zhang, Y; Xu, J; Liu, SY; Lim, MK; Zhao, S; Zhang, KY; Wang, LL; Ji, Q; Han, ZC; Kong, DL; Li, ZJ; Liu, N; Cui, K</t>
  </si>
  <si>
    <t>Zhang, Yan; Xu, Jia; Liu, Siying; Lim, Meikuang; Zhao, Shuang; Zhang, Kaiyue; Wang, Lingling; Ji, Qian; Han, Zhongchao; Kong, Deling; Li, Zongjin; Liu, Na; Cui, kaige</t>
  </si>
  <si>
    <t>Embryonic stem cell-derived extracellular vesicles enhance the therapeutic effect of mesenchymal stem cells</t>
  </si>
  <si>
    <t>Cellular senescence; Mesenchymal stem cells; Embryonic stem cells; Extracellular vesicles; IGF1/PI3K/AKT pathway</t>
  </si>
  <si>
    <t>CONDITIONED MEDIUM; PROGENITOR CELLS; SELF-RENEWAL; SENESCENCE; MOUSE; EXOSOMES; MODEL; IGF-1; DIFFERENTIATION; PROLIFERATION</t>
  </si>
  <si>
    <t>Background: Embryonic stem cells (ES) have a great potential for cell-based therapies in a regenerative medicine. However, the ethical and safety issues limit its clinical application. ES-derived extracellular vesicles (ES-EVs) have been reported suppress cellular senescence. Mesenchymal stem cells (MSCs) are widely used for clinical cell therapy. In this study, we investigated the beneficial effects of ES-EVs on aging MSCs to further enhancing their therapeutic effects. Methods: In vitro, we explored the rejuvenating effects of ES-EVs on senescent MSCs by senescence-associated beta-gal (SA-beta-gal) staining, immunostaining, and DNA damage foci analysis. The therapeutic effect of senescent MSC pre-treated with ES-EVs was also evaluated by using mouse cutaneous wound model. Results: We found that ES-EVs significantly rejuvenated the senescent MSCs in vitro and improve the therapeutic effects of MSCs in a mouse cutaneous wound model. In addition, we also identified that the IGFI/PI3K/AKT pathway mediated the antisenescence effects of ES-EVs on MSCs. Conclusions: Our results suggested that ES cells derived-extracellular vesicles possess the antisenescence properties, which significantly rejuvenate the senescent MSCs and enhance the therapeutic effects of MSCs. This strategy might emerge as a novel therapeutic strategy for MSCs clinical application.</t>
  </si>
  <si>
    <t>[Zhang, Yan; Xu, Jia; Liu, Siying; Zhang, Kaiyue; Li, Zongjin; Liu, Na; Cui, kaige] Nankai Univ, Sch Med, Tianjin 300071, Peoples R China; [Zhang, Yan; Xu, Jia; Liu, Siying; Zhao, Shuang; Zhang, Kaiyue; Kong, Deling; Li, Zongjin; Liu, Na; Cui, kaige] Nankai Univ, Coll Life Sci, Minist Educ, Key Lab Bioact Mat, Tianjin 300071, Peoples R China; [Zhao, Shuang; Wang, Lingling] Nankai Univ, Coll Life Sci, Tianjin 300071, Peoples R China; [Ji, Qian] Tianjin First Cent Hosp, Dept Radiol, Tianjin, Peoples R China; [Ji, Qian] 24 Fukang Rd, Tianjin 300071, Peoples R China; [Lim, Meikuang; Han, Zhongchao] Hlth &amp; Biotech Co, Beijing Inst Hlth &amp; Stem Cells, Beijing Engn Lab Perinatal Stem Cells, Beijing 100176, Peoples R China</t>
  </si>
  <si>
    <t>Nankai University; Nankai University; Nankai University; Tianjin Medical University</t>
  </si>
  <si>
    <t>Li, ZJ; Liu, N (corresponding author), Nankai Univ, Sch Med, Tianjin 300071, Peoples R China.;Li, ZJ; Liu, N (corresponding author), Nankai Univ, Coll Life Sci, Minist Educ, Key Lab Bioact Mat, Tianjin 300071, Peoples R China.</t>
  </si>
  <si>
    <t>zongjinli@nankai.edu.cn; liuna@nankai.edu.cn</t>
  </si>
  <si>
    <t>Li, Zongjin/G-3118-2010; Zhang, Kaiyue/AAA-3680-2019; xu, jiayun/AAQ-1492-2020; Li, Zongjin/A-1115-2014; Liu, Na/E-5674-2012</t>
  </si>
  <si>
    <t>Li, Zongjin/0000-0002-4603-3743; Zhang, Kaiyue/0000-0002-9906-9053; Li, Zongjin/0000-0002-4603-3743; Liu, Na/0000-0003-3832-5591</t>
  </si>
  <si>
    <t>10.7150/thno.35305</t>
  </si>
  <si>
    <t>WOS:000487830500017</t>
  </si>
  <si>
    <t>Miljkovic-Licina, M; Arraud, N; Zahra, AD; Ropraz, P; Matthes, T</t>
  </si>
  <si>
    <t>Miljkovic-Licina, Marijana; Arraud, Nicolas; Zahra, Aicha Dorra; Ropraz, Patricia; Matthes, Thomas</t>
  </si>
  <si>
    <t>Quantification and Phenotypic Characterization of Extracellular Vesicles from Patients with Acute Myeloid and B-Cell Lymphoblastic Leukemia</t>
  </si>
  <si>
    <t>extracellular vesicles; flow cytometry; acute leukemia; AML; B-ALL</t>
  </si>
  <si>
    <t>BONE-MARROW; HEMATOPOIETIC PROGENITORS; EXPRESSION; MICROVESICLES; ANTIGENS; SSEA-4; BLOOD; LINES; CD34</t>
  </si>
  <si>
    <t>Simple Summary Extracellular vesicles (EVs) are lipid bound vesicles secreted by cells into the extracellular space. They play an important role in cell-to-cell communication by transporting diverse messenger molecules, including DNA, RNA, lipids, and proteins. Cancer cells in patients with acute leukemia also produce EVs that can influence cells from the surrounding bone marrow microenvironment and play a role in disease progression. In our study, we applied several methods such as cryo-electron microscopy, fluorescence triggering flow cytometry, and nanoparticle tracking analysis to quantify and phenotypically characterize EVs from a series of acute leukemia patient blood samples. Our results show how these methods can be used to study the functional role of EVs in leukemia development and to evaluate their potential as targets for therapy and as biomarkers of the disease. Extracellular vesicles (EVs) act in cell-to-cell communication, delivering cargo from donor to recipient cells and modulating their physiological condition. EVs secreted by leukemic blasts in patients with leukemia have been shown to influence the fate of recipient cells in the bone marrow microenvironment. Methods to quantify and to characterize them phenotypically are therefore urgently needed to study their functional role in leukemia development and to evaluate their potential as targets for therapy. We have used cryo-electron microscopy to study morphology and size of leukemic EVs, and nanoparticle tracking analysis and fluorescence triggering flow cytometry to quantify EVs in platelet-free plasma from a small cohort of leukemia patients and healthy blood donors. Additional studies with a capture bead-based assay allowed us to establish phenotypic signatures of leukemic EVs from 17 AML and 3 B-ALL patients by evaluating the expression of 37 surface antigens. In addition to tetraspanins and lineage-specific markers we found several adhesion molecules (CD29, and CD146) to be highly expressed by EVs from B-ALL and several leukemic stem cell antigens (CD44, CD105, CD133, and SSEA-4) to be expressed by EVs from AML patients. Further improvements in analytical methods to study EVs are needed before potentially using them as biomarkers for leukemia prognosis and follow-up.</t>
  </si>
  <si>
    <t>[Miljkovic-Licina, Marijana; Zahra, Aicha Dorra; Ropraz, Patricia; Matthes, Thomas] Univ Geneva, Sch Med, Lab R&amp;D Hematol, Ctr Translat Res Oncohematol, CH-1206 Geneva, Switzerland; [Miljkovic-Licina, Marijana; Matthes, Thomas] Geneva Univ Hosp, Dept Oncol, Hematol Serv, CH-1205 Geneva, Switzerland; [Arraud, Nicolas; Matthes, Thomas] Geneva Univ Hosp, Dept Diagnost, Clin Pathol Serv, CH-1205 Geneva, Switzerland</t>
  </si>
  <si>
    <t>University of Geneva; University of Geneva; University of Geneva</t>
  </si>
  <si>
    <t>Matthes, T (corresponding author), Univ Geneva, Sch Med, Lab R&amp;D Hematol, Ctr Translat Res Oncohematol, CH-1206 Geneva, Switzerland.;Matthes, T (corresponding author), Geneva Univ Hosp, Dept Oncol, Hematol Serv, CH-1205 Geneva, Switzerland.;Matthes, T (corresponding author), Geneva Univ Hosp, Dept Diagnost, Clin Pathol Serv, CH-1205 Geneva, Switzerland.</t>
  </si>
  <si>
    <t>marijana.licina@unige.ch; arraud@hp-hl.de; aicha.zahra@ulb.be; patricia.ropraz@unige.ch; Thomas.Matthes@hcuge.ch</t>
  </si>
  <si>
    <t>Miljkovic-Licina, Marijana/0000-0001-9023-2208</t>
  </si>
  <si>
    <t>10.3390/cancers14010056</t>
  </si>
  <si>
    <t>WOS:000741214200001</t>
  </si>
  <si>
    <t>Asadujjaman, M; Jang, DJ; Cho, KH; Hwang, SR; Jee, JP</t>
  </si>
  <si>
    <t>Chun, HJ; Reis, RL; Motta, A; Khang, G</t>
  </si>
  <si>
    <t>Asadujjaman, Md.; Jang, Dong-Jin; Cho, Kwan Hyung; Hwang, Seung Rim; Jee, Jun-Pil</t>
  </si>
  <si>
    <t>Extracellular Vesicles: The Next Frontier in Regenerative Medicine and Drug Delivery</t>
  </si>
  <si>
    <t>BIOINSPIRED BIOMATERIALS: ADVANCES IN TISSUE ENGINEERING AND REGENERATIVE MEDICINE</t>
  </si>
  <si>
    <t>Drug delivery; Endocytosis; Extracellular vesicles (EVs); Regenerative medicine; Target cells; Therapeutic agents</t>
  </si>
  <si>
    <t>MESENCHYMAL STEM-CELLS; ACUTE LUNG INJURY; STROMAL CELLS; INTRATRACHEAL TRANSPLANTATION; ENHANCE ANGIOGENESIS; ALZHEIMERS-DISEASE; EXOSOME ISOLATION; OXIDATIVE STRESS; IN-VIVO; MICRORNA</t>
  </si>
  <si>
    <t>Extracellular vesicles (EVs) are nanosized membrane particles secreted by cells to convey intercellular information. In recent years, EVs have enticed scientists owing to their prevalent distribution, enormous possibility as therapeutic aspirants, and probable roles as disease biomarkers. As natural transporters in the endogenous communication system, they play a role in protein, lipid, miRNA, mRNA, and DNA transport. In this chapter, we recapitulate the roles of EVs in the vast field of regenerative medicine. This summary mainly describes the potential roles of EVs in the regeneration of extensively studied organs or tissues, such as the heart, kidney, lung, liver, skin, and hair. Furthermore, EV can also transport drugs and corroborate their uptake by target cells through endocytosis; therefore, this chapter also highlights the use of EVs in the field of drug delivery.</t>
  </si>
  <si>
    <t>[Asadujjaman, Md.; Hwang, Seung Rim; Jee, Jun-Pil] Chosun Univ, Coll Pharm, Gwangju, South Korea; [Jang, Dong-Jin] Inje Univ, Dept Pharmaceut Engn, Gimhae, South Korea; [Cho, Kwan Hyung] Inje Univ, Coll Pharm, Dept Pharm, Gimhae, South Korea</t>
  </si>
  <si>
    <t>Chosun University; Inje University; Inje University</t>
  </si>
  <si>
    <t>Jee, JP (corresponding author), Chosun Univ, Coll Pharm, Gwangju, South Korea.</t>
  </si>
  <si>
    <t>jee@chosun.ac.kr</t>
  </si>
  <si>
    <t>978-981-15-3258-0; 978-981-15-3257-3</t>
  </si>
  <si>
    <t>10.1007/978-981-15-3258-0_10</t>
  </si>
  <si>
    <t>10.1007/978-981-15-3258-0</t>
  </si>
  <si>
    <t>Cell &amp; Tissue Engineering; Materials Science, Biomaterials</t>
  </si>
  <si>
    <t>Cell Biology; Materials Science</t>
  </si>
  <si>
    <t>WOS:000556133400011</t>
  </si>
  <si>
    <t>Wang, JL; Zhu, L; Wang, C; Lei, SB; Yang, YL</t>
  </si>
  <si>
    <t>Wang, Jiali; Zhu, Ling; Wang, Chen; Lei, Shengbin; Yang, Yanlian</t>
  </si>
  <si>
    <t>Nanotechnology for Detection of Circulating Tumor Cells and Extracellular Vesicles</t>
  </si>
  <si>
    <t>PROGRESS IN CHEMISTRY</t>
  </si>
  <si>
    <t>liquid biopsy; extracellular vesicles; circulating tumor cells; functionalized nanomaterials; in vitro diagnosis of tumor</t>
  </si>
  <si>
    <t>CANCER-PATIENTS; LIQUID BIOPSY; ENERGY-TRANSFER; EXOSOMES; NANOPARTICLES; QUANTIFICATION; NANOMATERIALS; BLOOD; ASSAY; DNA</t>
  </si>
  <si>
    <t>Tumor liquid biopsy achieves accurate diagnosis of disease by detecting biomarkers in the body fluids which are of great importance for early diagnosis and dynamic monitoring of malignant tumors and are essential biomarkers for liquid biopsies. Circulating tumor cells (CTC) are tumor cells released into the blood from tumor tissue, and extracellular vesicles (EV) are membrane vesicles secreted by cells. Both of them carry tumor molecular information and are closely related to tumor progression and metastasis. Nanomaterials are widely used to detect CTCs and EVs due to their high specific surface area, unique optical, electrical, magnetic and other physical and chemical characteristics that can improve the detection sensitivity and specificity. Nanomaterial-based detection of CTCs and EVs has provided important information for tumor formation, progression, metastasis , and treatment response, and holds great potential in the clinical application. This article reviewes the progress of nanotechnology in three aspects : specific recognition, efficient capture or isolation, and identification of CTC and EV. It includes the functionalization of recognition probes on the surface of nanomaterials to improve the detection specificity and the latest advances in capture and identification of nanomaterials and nanotechnology. It may provide information for the development of liquid biopsy nanotechnology by discussing the advantages and challenges of liquid biopsy technology based on functionalized nanomaterials.</t>
  </si>
  <si>
    <t>[Wang, Jiali; Lei, Shengbin] Tianjin Univ, Tianjin 300350, Peoples R China; [Zhu, Ling; Wang, Chen; Yang, Yanlian] Chinese Acad Sci, Natl Ctr Nanosci &amp; Technol, Key Lab Standardizat &amp; Measurement Nanotechnol, Key Lab Biol Effects Nanomat &amp; Nanosafety, Beijing 100190, Peoples R China</t>
  </si>
  <si>
    <t>Tianjin University; Chinese Academy of Sciences; National Center for Nanoscience &amp; Technology - China</t>
  </si>
  <si>
    <t>Lei, SB (corresponding author), Tianjin Univ, Tianjin 300350, Peoples R China.;Wang, C; Yang, YL (corresponding author), Chinese Acad Sci, Natl Ctr Nanosci &amp; Technol, Key Lab Standardizat &amp; Measurement Nanotechnol, Key Lab Biol Effects Nanomat &amp; Nanosafety, Beijing 100190, Peoples R China.</t>
  </si>
  <si>
    <t>wangch@nanoctr.cn; shengbin.lei@tju.edu.cn; yangyl@nanoctr.cn</t>
  </si>
  <si>
    <t>1005-281X</t>
  </si>
  <si>
    <t>JAN 20</t>
  </si>
  <si>
    <t>10.7536/PC210346</t>
  </si>
  <si>
    <t>WOS:000797206600001</t>
  </si>
  <si>
    <t>Guo, YH; Liu, SH; Yang, HL; Wang, P; Feng, QM</t>
  </si>
  <si>
    <t>Guo, Yuehua; Liu, Shihua; Yang, Huili; Wang, Po; Feng, Qiumei</t>
  </si>
  <si>
    <t>Regenerable electrochemical biosensor for exosomes detection based on the dual-recognition proximity binding-induced DNA walker</t>
  </si>
  <si>
    <t>Regenerable sensor; Dual-recognition; Proximity binding; DNA walker; Exosomes</t>
  </si>
  <si>
    <t>CARBONS; WALKING</t>
  </si>
  <si>
    <t>Exosomes are secreted in the early stage of cancer at low levels that are difficult to detect due to the complex interferents of the sample matrix. Improved cancer detection requires the development of an accurate, reliable, and reusable method to assay exosomes. Here, a regenerable electrochemical biosensor was developed for exosomes detection based on the dual-recognition proximity binding-induced DNA walker and on-off-on strategy. First, we designed two proximity probes, which composed of a Pb2+-dependent DNAzyme tail sequence and identifying units (cholesterol and aptamer). By integrating two proximity probes with target exosomes, a dual-recognition proximity binding-induced DNA walker was achieved to convert one exosome to abundant intermediate DNA strands. Second, the conformational change of hairpin DNA (H) was observed with the hybridization of intermediate DNA, resulting in the increment of the distance between electroactive tag and electrode surface (off state of the sensor). These signal changes allowed the quantitative measurement of exosomes. Exonuclease treatment resulted in the hydrolysis of the intermediate DNA and the original hairpin structure, restoring this sensor to the on state. With the accurate identification of dual-recognition, the perfect signal amplification of DNA walker and the satisfactory reproducibility of an on-off-on strategy, quantitative detection of exosomes was realized in a wide range from 5.0 x 10(4) to 1 x 10(8) particles/mL, with a detection limit of 1.6 x 10(4) particles/mL. Overall, this approach illustrated a promising potential for exosomes distinguishment of cancer cells from normal cells, even in the complex sample matrix.</t>
  </si>
  <si>
    <t>[Guo, Yuehua] Nantong Univ, Res Ctr Clin Med, Affiliated Hosp, Nantong 226001, Peoples R China; [Liu, Shihua; Yang, Huili; Wang, Po; Feng, Qiumei] Jiangsu Normal Univ, Sch Chem &amp; Mat Sci, Xuzhou 221116, Jiangsu, Peoples R China</t>
  </si>
  <si>
    <t>Nantong University; Jiangsu Normal University</t>
  </si>
  <si>
    <t>Guo, YH (corresponding author), Nantong Univ, Res Ctr Clin Med, Affiliated Hosp, Nantong 226001, Peoples R China.;Feng, QM (corresponding author), Jiangsu Normal Univ, Sch Chem &amp; Mat Sci, Xuzhou 221116, Jiangsu, Peoples R China.</t>
  </si>
  <si>
    <t>guoyuehuanju@163.com; fengqiumei@jsnu.edu.cn</t>
  </si>
  <si>
    <t>Wang, Po/H-4221-2013</t>
  </si>
  <si>
    <t>Wang, Po/0000-0001-6590-2169; Feng, Qiumei/0000-0002-6576-6811</t>
  </si>
  <si>
    <t>10.1016/j.snb.2021.130765</t>
  </si>
  <si>
    <t>WOS:000707350700009</t>
  </si>
  <si>
    <t>Carroll, BL; Pulkoski-Gross, MJ; Hannun, YA; Obeid, LM</t>
  </si>
  <si>
    <t>Carroll, Brittany L.; Pulkoski-Gross, Michael J.; Hannun, Yusuf A.; Obeid, Lina M.</t>
  </si>
  <si>
    <t>CHK1 Regulates NF-kappa B signaling upon DNA damage in p53-deficient cells and associated tumor-derived microvesicles</t>
  </si>
  <si>
    <t>p53; CHK1; DNA damage; tumor microvesicles</t>
  </si>
  <si>
    <t>BREAST-CANCER; GENOTOXIC STRESS; KINASE 1; P53; ACTIVATION; CASPASE-2; PROTEIN; RADIATION; PIDD; CHEMOTHERAPY</t>
  </si>
  <si>
    <t>The recently discovered CHK1-Suppressed (CS) pathway is activated by inhibition or loss of the checkpoint kinase CHK1, promoting an apoptotic response to DNA damage mediated by caspase-2 in p53-deficient cells. Although functions of the CS-pathway have been investigated biochemically, it remains unclear whether and how CHK1 inhibition can be regulated endogenously and whether this constitutes a key component of the DNA damage response (DDR). Here, we present data that define the first endogenous activation of the CS-pathway whereby, upon DNA damage, wild type p53 acts as an endogenous regulator of CHK1 levels that modulates caspase-2 activation. Moreover, we demonstrate that persistence of CHK1 levels in response to DNA damage in p53-deficient cancer cells, leads to CHK1-mediated activation of NF kappa B and induction of NF-kappa B-regulated genes in cells and in associated tumor-derived microvesicles (TMVs), both of which are abrogated by loss or inhibition of CHK1. These data define a novel role for CHK1 in the DDR pathway as a regulator NF kappa B activity. Our data provide evidence that targeting CHK1 in p53-deficient cancers may abrogate NF-kappa B signaling that is associated with increased cellular survival and chemoresistance.</t>
  </si>
  <si>
    <t>[Carroll, Brittany L.; Pulkoski-Gross, Michael J.; Hannun, Yusuf A.; Obeid, Lina M.] Stony Brook Canc Ctr, Stony Brook, NY USA; [Carroll, Brittany L.; Pulkoski-Gross, Michael J.; Hannun, Yusuf A.; Obeid, Lina M.] SUNY Stony Brook, Dept Med, Stony Brook, NY 11794 USA; [Pulkoski-Gross, Michael J.] SUNY Stony Brook, Hlth Sci Ctr, Pharmacol Sci, Stony Brook, NY 11794 USA; [Obeid, Lina M.] Northport Vet Affairs Med Ctr, Northport, NY USA</t>
  </si>
  <si>
    <t>State University of New York (SUNY) System; State University of New York (SUNY) Stony Brook; State University of New York (SUNY) System; State University of New York (SUNY) Stony Brook; State University of New York (SUNY) System; State University of New York (SUNY) Stony Brook</t>
  </si>
  <si>
    <t>Obeid, LM (corresponding author), Stony Brook Canc Ctr, Stony Brook, NY USA.;Obeid, LM (corresponding author), SUNY Stony Brook, Dept Med, Stony Brook, NY 11794 USA.;Obeid, LM (corresponding author), Northport Vet Affairs Med Ctr, Northport, NY USA.</t>
  </si>
  <si>
    <t>lina.obeid@stonybrookmedicine.edu</t>
  </si>
  <si>
    <t>Pulkoski-Gross, Michael/0000-0003-4644-1795</t>
  </si>
  <si>
    <t>10.18632/oncotarget.7566</t>
  </si>
  <si>
    <t>WOS:000375699000070</t>
  </si>
  <si>
    <t>Johnson, SM; Banyard, A; Smith, C; Mironov, A; McCabe, MG</t>
  </si>
  <si>
    <t>Johnson, Suzanne M.; Banyard, Antonia; Smith, Christopher; Mironov, Aleksandr; McCabe, Martin G.</t>
  </si>
  <si>
    <t>Large Extracellular Vesicles Can be Characterised by Multiplex Labelling Using Imaging Flow Cytometry</t>
  </si>
  <si>
    <t>extracellular vesicles; imaging flow cytometry; biomarker reservoirs; cancer diagnostics; disease monitoring; large EVs</t>
  </si>
  <si>
    <t>EMERGING ROLE; EXOSOMES; CELLS; MICROVESICLES; SECRETION</t>
  </si>
  <si>
    <t>Extracellular vesicles (EVs) are heterogeneous in size (30 nm-10 mu m), content (lipid, RNA, DNA, protein), and potential function(s). Many isolation techniques routinely discard the large EVs at the early stages of small EV or exosome isolation protocols. We describe here a standardised method to isolate large EVs from medulloblastoma cells and examine EV marker expression and diameter using imaging flow cytometry. Our approach permits the characterisation of each large EVs as an individual event, decorated with multiple fluorescently conjugated markers with the added advantage of visualising each event to ensure robust gating strategies are applied. Methods: We describe step-wise isolation and characterisation of a subset of large EVs from the medulloblastoma cell line UW228-2 assessed by fluorescent light microscopy, transmission electron microscopy (TEM) and tunable resistance pulse sensing (TRPS). Viability of parent cells was assessed by Annexin V exposure by flow cytometry. Imaging flow cytometry (Imagestream Mark II) identified EVs by direct fluorescent membrane labelling with Cell Mask Orange (CMO) in conjunction with EV markers. A stringent gating algorithm based on side scatter and fluorescence intensity was applied and expression of EV markers CD63, CD9 and LAMP 1 assessed. Results: UW228-2 cells prolifically release EVs of up to 6 mu m. We show that the Imagestream Mark II imaging flow cytometer allows robust and reproducible analysis of large EVs, including assessment of diameter. We also demonstrate a correlation between increasing EV size and co-expression of markers screened. Conclusions: We have developed a labelling and stringent gating strategy which is able to explore EV marker expression (CD63, CD9, and LAMP1) on individual EVs within a widely heterogeneous population. Taken together, data presented here strongly support the value of exploring large EVs in clinical samples for potential biomarkers, useful in diagnostic screening and disease monitoring.</t>
  </si>
  <si>
    <t>[Johnson, Suzanne M.; Smith, Christopher; McCabe, Martin G.] Univ Manchester, Childrens Canc Grp, Div Canc Sci,Manchester Canc Res Ctr, Sch Med Sci,Fac Biol Med &amp; Hlth,Manchester Acad H, Oglesby Canc Res Bldg, Manchester M20 4GJ, Lancs, England; [Banyard, Antonia] Univ Manchester, Flow Cytometry Core Facil, Canc Res UK Manchester Inst, Alderley Pk, Macclesfield, Cheshire, England; [Mironov, Aleksandr] Univ Manchester, Electron Microscopy Core Facil, Sch Biol Sci, Fac Biol Med &amp; Hlth, Manchester M13 9PT, Lancs, England; [McCabe, Martin G.] Royal Manchester Childrens Hosp, Manchester Childrens Brain Tumour Res Network, Manchester M13 9WL, Lancs, England</t>
  </si>
  <si>
    <t>University of Manchester; Cancer Research UK; University of Manchester; University of Manchester; Royal Manchester Children's Hospital</t>
  </si>
  <si>
    <t>Johnson, SM (corresponding author), Univ Manchester, Childrens Canc Grp, Div Canc Sci,Manchester Canc Res Ctr, Sch Med Sci,Fac Biol Med &amp; Hlth,Manchester Acad H, Oglesby Canc Res Bldg, Manchester M20 4GJ, Lancs, England.</t>
  </si>
  <si>
    <t>suzanne.johnson@manchester.ac.uk; Antonia.Banyard@manchester.ac.uk; Christopher.Smith-5@manchester.ac.uk; Aleksandr.Mironov@manchester.ac.uk; Martin.McCabe@manchester.ac.uk</t>
  </si>
  <si>
    <t>; McCabe, Martin/P-5896-2015</t>
  </si>
  <si>
    <t>JOHNSON, SUZANNE/0000-0001-7295-3036; Mironov, Aleksandr/0000-0002-1497-328X; McCabe, Martin/0000-0002-5138-0707</t>
  </si>
  <si>
    <t>10.3390/ijms21228723</t>
  </si>
  <si>
    <t>WOS:000594125700001</t>
  </si>
  <si>
    <t>Aucamp, J; Bronkhorst, AJ; Pretorius, PJ</t>
  </si>
  <si>
    <t>Aucamp, Janine; Bronkhorst, Abel Jacobus; Pretorius, Piet J.</t>
  </si>
  <si>
    <t>A Historical and Evolutionary Perspective on Circulating Nucleic Acids and Extracellular Vesicles: Circulating Nucleic Acids as Homeostatic Genetic Entities</t>
  </si>
  <si>
    <t>Circulating nucleic acids; Extracellular vesicles; Genetic homeostasis; Metabolic DNA; Bystander effect; Genometastasis</t>
  </si>
  <si>
    <t>METABOLIC DNA; CHROMOSOMES; EXOSOMES; CANCER</t>
  </si>
  <si>
    <t>The quantitative and qualitative differences of circulating nucleic acids (cirNAs) between healthy and diseased individuals have motivated researchers to utilize these differences in the diagnosis and prognosis of various pathologies. The position maintained here is that reviewing the rather neglected early work associated with cirNAs and extracellular vesicles (EVs) is required to fully describe the nature of cirNAs. This review consists of an empirically up-to-date schematic summary of the major events that developed and integrated the concepts of heredity, genetic information and cirNAs. This reveals a clear pattern implicating cirNA as a homeostatic entity or messenger of genetic information. The schematic summary paints a picture of how cirNAs may serve as homeostatic genetic entities that promote synchrony of both adaptation and damage in tissues and organs depending on the source of the message.</t>
  </si>
  <si>
    <t>[Aucamp, Janine; Bronkhorst, Abel Jacobus; Pretorius, Piet J.] North West Univ, Div Biochem, Ctr Human Metabol, ZA-2520 Potchefstroom, South Africa</t>
  </si>
  <si>
    <t>North West University - South Africa</t>
  </si>
  <si>
    <t>Aucamp, J (corresponding author), North West Univ, Div Biochem, Ctr Human Metabol, ZA-2520 Potchefstroom, South Africa.</t>
  </si>
  <si>
    <t>aucampj@telkomsa.net</t>
  </si>
  <si>
    <t>10.1007/978-3-319-42044-8_17</t>
  </si>
  <si>
    <t>WOS:000401116800018</t>
  </si>
  <si>
    <t>Chen, FY; Chu, L; Li, J; Shi, Y; Xu, B; Gu, JJ; Yao, XJ; Tian, M; Yang, X; Sun, XC</t>
  </si>
  <si>
    <t>Chen, Fangyu; Chu, Li; Li, Jie; Shi, Yu; Xu, Bing; Gu, Junjie; Yao, Xijuan; Tian, Meng; Yang, Xi; Sun, Xinchen</t>
  </si>
  <si>
    <t>Hypoxia induced changes in miRNAs and their target mRNAs in extracellular vesicles of esophageal squamous cancer cells</t>
  </si>
  <si>
    <t>Esophageal cancer; extracellular vesicles; hypoxia; microRNA; tumor microenvironment</t>
  </si>
  <si>
    <t>PHOSPHOLIPASE-D; INDUCIBLE FACTORS; SURVIVAL; EXOSOMES; ANGIOGENESIS; BIOMARKERS; RESISTANCE; MECHANISMS; BIOLOGY</t>
  </si>
  <si>
    <t>Background Extracellular vesicles (EVs) are endogenous membrane vesicles with a diameter of 30-200 nm. It has been reported that hypoxic cancer cells can release numerous EVs to mediate multiple regional and systemic effects in the tumor microenvironment. Methods In this study, we used ultracentrifugation to extract EVs secreted by TE-13, an esophageal squamous carcinoma (ESCC) cell line during normoxia and hypoxia and performed high-throughput sequencing to detect exosomal miRNAs. Gene ontology (GO) and KEGG pathway analyses were used to reveal pathways potentially regulated by the miRNAs. Results A total of 10 810 miRNAs were detected; 50 were significantly upregulated and 34 were significantly downregulated under hypoxic environment. GO analysis identified enrichment of protein binding, regulation of transcription (DNA-templated), and membrane as molecular function, biological process, and cellular component, respectively. KEGG pathway analysis revealed cancer-associated pathways, phospholipase D signaling pathway, autophagy, focal adhesion and AGE-RAGE signaling as the key pathways. Further verification experiment from qRT-PCR indicated that miR-128-3p, miR-140-3p, miR-340-5p, miR-452-5p, miR-769-5p and miR-1304-p5 were significantly upregulated in EVs from hypoxia TE-13 cells while miR-340-5p was significantly upregulated in two other ESCC cells, ECA109 and TE-1. Conclusion This study, for the first time reveals changes in the expression of exosomal miRNAs in hypoxic ESCC cells and these findings will act as a resource to study the hypoxic tumor microenvironment and ESCC EVs.</t>
  </si>
  <si>
    <t>[Chen, Fangyu; Li, Jie; Xu, Bing; Gu, Junjie; Yao, Xijuan; Tian, Meng] Nanjing Med Univ, Sch Clin Med 1, Nanjing, Peoples R China; [Chen, Fangyu; Xu, Bing; Gu, Junjie; Yao, Xijuan; Sun, Xinchen] Nanjing Med Univ, Affiliated Hosp 1, Dept Radiat Oncol, Guangzhou Rd 300th, Nanjing 210029, Peoples R China; [Chu, Li; Yang, Xi] Fudan Univ, Shanghai Canc Ctr, Dept Radiat Oncol, Dongan Rd 270th, Shanghai 200032, Peoples R China; [Chu, Li; Yang, Xi] Fudan Univ, Shanghai Med Coll, Dept Oncol, Shanghai, Peoples R China; [Shi, Yu] Nantong Univ, Affiliated Hosp, Dept Radiotherapy, Nantong, Peoples R China</t>
  </si>
  <si>
    <t>Nanjing Medical University; Nanjing Medical University; Fudan University; Fudan University; Nantong University</t>
  </si>
  <si>
    <t>Sun, XC (corresponding author), Nanjing Med Univ, Affiliated Hosp 1, Dept Radiat Oncol, Guangzhou Rd 300th, Nanjing 210029, Peoples R China.;Yang, X (corresponding author), Fudan Univ, Shanghai Canc Ctr, Dept Radiat Oncol, Dongan Rd 270th, Shanghai 200032, Peoples R China.</t>
  </si>
  <si>
    <t>ntgeorge@qq.com; sunxinchen2012@163.com</t>
  </si>
  <si>
    <t>Yao, Xijuan/0000-0003-1732-096X</t>
  </si>
  <si>
    <t>10.1111/1759-7714.13295</t>
  </si>
  <si>
    <t>JAN 2020</t>
  </si>
  <si>
    <t>WOS:000506470900001</t>
  </si>
  <si>
    <t>Bitto, NJ; Cheng, L; Johnston, EL; Pathirana, R; Phan, TK; Poon, IKH; O'Brien-Simpson, NM; Hill, AF; Stinear, TP; Kaparakis-Liaskos, M</t>
  </si>
  <si>
    <t>Bitto, Natalie J.; Cheng, Lesley; Johnston, Ella L.; Pathirana, Rishi; Phan, Thanh Kha; Poon, Ivan K. H.; O'Brien-Simpson, Neil M.; Hill, Andrew F.; Stinear, Timothy P.; Kaparakis-Liaskos, Maria</t>
  </si>
  <si>
    <t>Staphylococcus aureus membrane vesicles contain immunostimulatory DNA, RNA and peptidoglycan that activate innate immune receptors and induce autophagy</t>
  </si>
  <si>
    <t>autophagy; bacterial membrane vesicles; bacterial pathogenesis; DNA; innate immunity; NOD2; peptidoglycan; RNA; Staphylococcus aureus; TLRs</t>
  </si>
  <si>
    <t>GRAM-POSITIVE BACTERIA; EXTRACELLULAR VESICLES; STREPTOCOCCUS-MUTANS; ESCHERICHIA-COLI; EPITHELIAL-CELLS; RELEASE; BIOGENESIS; SECRETION; GENES; TLR4</t>
  </si>
  <si>
    <t>Gram-positive bacteria ubiquitously produce membrane vesicles (MVs), and although they contribute to biological functions, our knowledge regarding their composition and immunogenicity remains limited. Here we examine the morphology, contents and immunostimulatory functions of MVs produced by three Staphylococcus aureus strains; a methicillin resistant clinical isolate, a methicillin sensitive clinical isolate and a laboratory-adapted strain. We observed differences in the number and morphology of MVs produced by each strain and showed that they contain microbe-associated molecular patterns (MAMPs) including protein, nucleic acids and peptidoglycan. Analysis of MV-derived RNA indicated the presence of small RNA (sRNA). Furthermore, we detected variability in the amount and composition of protein, nucleic acid and peptidoglycan cargo carried by MVs from each S. aureus strain. S. aureus MVs activated Toll-like receptor (TLR) 2, 7, 8, 9 and nucleotide-binding oligomerization domain containing protein 2 (NOD2) signalling and promoted cytokine and chemokine release by epithelial cells, thus identifying that MV-associated MAMPs including DNA, RNA and peptidoglycan are detected by pattern recognition receptors (PRRs). Moreover, S. aureus MVs induced the formation of and colocalized with autophagosomes in epithelial cells, while inhibition of lysosomal acidification using bafilomycin A1 resulted in accumulation of autophagosomal puncta that colocalized with MVs, revealing the ability of the host to degrade MVs via autophagy. This study reveals the ability of DNA, RNA and peptidoglycan associated with MVs to activate PRRs in host epithelial cells, and their intracellular degradation via autophagy. These findings advance our understanding of the immunostimulatory roles of Gram-positive bacterial MVs in mediating pathogenesis, and their intracellular fate within the host.</t>
  </si>
  <si>
    <t>[Bitto, Natalie J.; Johnston, Ella L.; Pathirana, Rishi; Kaparakis-Liaskos, Maria] La Trobe Univ, Dept Physiol Anat &amp; Microbiol, Melbourne, Vic 3086, Australia; [Bitto, Natalie J.; Cheng, Lesley; Johnston, Ella L.; Pathirana, Rishi; Phan, Thanh Kha; Poon, Ivan K. H.; Hill, Andrew F.; Kaparakis-Liaskos, Maria] La Trobe Univ, Sch Mol Sci, Res Ctr Extracellular Vesicles, Melbourne, Vic 3086, Australia; [Cheng, Lesley; Phan, Thanh Kha; Poon, Ivan K. H.; Hill, Andrew F.] La Trobe Univ, La Trobe Inst Mol Sci, Dept Biochem &amp; Genet, Melbourne, Vic 3086, Australia; [O'Brien-Simpson, Neil M.] Univ Melbourne, Inst Bio21, Melbourne Dent Sch, Ctr Oral Hlth Res, Parkville, Vic 3010, Australia; [Stinear, Timothy P.] Univ Melbourne, Doherty Inst, Dept Microbiol &amp; Immunol, Parkville, Vic 3010, Australia</t>
  </si>
  <si>
    <t>La Trobe University; La Trobe University; La Trobe University; University of Melbourne; University of Melbourne</t>
  </si>
  <si>
    <t>Kaparakis-Liaskos, M (corresponding author), La Trobe Univ, Dept Physiol Anat &amp; Microbiol, Melbourne, Vic 3086, Australia.</t>
  </si>
  <si>
    <t>M.Liaskos@latrobe.edu.au</t>
  </si>
  <si>
    <t>; Hill, Andrew/B-4527-2009</t>
  </si>
  <si>
    <t>Johnston, Ella/0000-0003-2880-5719; O'Brien-Simpson, Neil/0000-0001-8462-5603; Bitto, Natalie/0000-0003-3533-9824; Poon, Ivan/0000-0002-9119-7173; Kaparakis-Liaskos, Maria/0000-0002-8964-4456; Hill, Andrew/0000-0001-5581-2354; Phan, Thanh Kha/0000-0001-5802-1603</t>
  </si>
  <si>
    <t>e12080</t>
  </si>
  <si>
    <t>10.1002/jev2.12080</t>
  </si>
  <si>
    <t>WOS:000635723100001</t>
  </si>
  <si>
    <t>An, Y; Jin, TY; Zhu, YY; Zhang, F; He, PG</t>
  </si>
  <si>
    <t>An, Yu; Jin, Tongyu; Zhu, Yuyuan; Zhang, Fan; He, Pingang</t>
  </si>
  <si>
    <t>An ultrasensitive electrochemical aptasensor for the determination of tumor exosomes based on click chemistry</t>
  </si>
  <si>
    <t>Exosomes; Alkynyl-4-ONE; Click chemistry; Aptamer; Electrochemical aptasensor</t>
  </si>
  <si>
    <t>EXTRACELLULAR VESICLES; MICROVESICLES; GRAPHENE</t>
  </si>
  <si>
    <t>Exosomes, lipid bilayer membrane vesicles, can guide various pathological and physiological processes. However, reliable, convenient and sensitive methods for exosome determination for early cancer diagnosis are still technically challenging. Herein, an electrochemical aptasensor based on click chemistry and the DNA hybridization chain reaction (HCR) for signal amplification has been developed for the ultrasensitive detection of tumor exosomes. CD63 aptamer was first immobilized on a glassy carbon electrode for capturing exosomes, and 4-oxo-2-nonenal alkyne (alkynyl-4-ONE) molecules, functionalized lipid electrophiles, were conjugated to the exosomes via the reaction of amino and aldehyde groups. Azide-labeled DNA probe as an anchor was then connected to the exosomes by copper (I)-catalyzed click chemistry. Signal amplification was achieved by HCR, and the numerous linked horseradish peroxidase (HRP) molecules could catalyze the reaction of o-phenylenediamine (OPD) and H2O2. The concentration of exosomes could be quantified by monitoring the electrochemical reduction current of 2,3-diaminophenazine (DAP). Under the optimal conditions, this method allowed the sensitive detection of exosomes in the range of 1.12 x 10(2) to 1.12 x 10(8) particles/mu L with a limit of detection (LOD) of 96 particles/mu L. Furthermore, the present assay enabled sensitive and accurate quantification of exosomes in human serum, and it has high potential for exosome analysis in clinical samples.</t>
  </si>
  <si>
    <t>[An, Yu; Jin, Tongyu; Zhu, Yuyuan; Zhang, Fan; He, Pingang] East China Normal Univ, Sch Chem &amp; Mol Engn, 500 Dongchuan Rd, Shanghai 200241, Peoples R China</t>
  </si>
  <si>
    <t>East China Normal University</t>
  </si>
  <si>
    <t>Zhang, F (corresponding author), East China Normal Univ, Sch Chem &amp; Mol Engn, 500 Dongchuan Rd, Shanghai 200241, Peoples R China.</t>
  </si>
  <si>
    <t>fzhang@chem.ecnu.edu.cn</t>
  </si>
  <si>
    <t>10.1016/j.bios.2019.111503</t>
  </si>
  <si>
    <t>WOS:000487175000033</t>
  </si>
  <si>
    <t>Jiang, XC; Gao, JQ</t>
  </si>
  <si>
    <t>Jiang, Xin-Chi; Gao, Jian-Qing</t>
  </si>
  <si>
    <t>Exosomes as novel bio-carriers for gene and drug delivery</t>
  </si>
  <si>
    <t>INTERNATIONAL JOURNAL OF PHARMACEUTICS</t>
  </si>
  <si>
    <t>Exosomes; Cell-free therapies; Drug delivery system; Nucleic acids</t>
  </si>
  <si>
    <t>MESENCHYMAL STEM-CELLS; IN-VIVO DELIVERY; MEMBRANE-VESICLES; STROMAL CELLS; NEUROVASCULAR PLASTICITY; FUNCTIONAL RECOVERY; TARGETED-DELIVERY; BRAIN; NANOVESICLES; MICRORNAS</t>
  </si>
  <si>
    <t>Clinical treatments have stalled in certain diseases due to a lack of proper therapeutic delivery systems. Recent studies have identified exosomes for their potential use as cell-free therapies, which may provide a novel mechanism for solving this problem. Exosomes are nanoscale extracellular vesicles that can transport rich cargos of proteins, lipids, DNA, and RNA. It is increasingly recognized that exosomes play a complex role in not only the physiological conditions but also pathological ones. Accumulating evidence suggests that exosomes are of paramount importance in distant cell-cell communication because they can enter the circulation when secreted and pass through additional biological barriers. As a result, interest has exploded surrounding the functional parameters of exosomes and their potential applications as delivery vehicles for small molecule therapies. In this review, we discuss the potential of exosomes to be utilized as natural nanoparticles to deliver drugs and genes, and their advantages and disadvantages are compared to other delivery mechanisms. (C) 2017 Elsevier B.V. All rights reserved.</t>
  </si>
  <si>
    <t>[Jiang, Xin-Chi; Gao, Jian-Qing] Zhejiang Univ, Coll Pharmaceut Sci, Inst Pharmaceut, Hangzhou 310058, Zhejiang, Peoples R China</t>
  </si>
  <si>
    <t>Zhejiang University</t>
  </si>
  <si>
    <t>Gao, JQ (corresponding author), Zhejiang Univ, Coll Pharmaceut Sci, Inst Pharmaceut, Hangzhou 310058, Zhejiang, Peoples R China.</t>
  </si>
  <si>
    <t>shincy_j@163.com; gaojianqing@zju.edu.cn</t>
  </si>
  <si>
    <t>0378-5173</t>
  </si>
  <si>
    <t>1873-3476</t>
  </si>
  <si>
    <t>APR 15</t>
  </si>
  <si>
    <t>10.1016/j.ijpharm.2017.02.038</t>
  </si>
  <si>
    <t>WOS:000397613700019</t>
  </si>
  <si>
    <t>Shen, W; Guo, KZ; Adkins, GB; Jiang, QS; Liu, Y; Sedano, S; Duan, YK; Yan, W; Wang, SE; Bergersen, K; Worth, D; Wilson, EH; Zhong, WW</t>
  </si>
  <si>
    <t>Shen, Wen; Guo, Kaizhu; Adkins, Gary Brent; Jiang, Qiaoshi; Liu, Yang; Sedano, Sabrina; Duan, Yaokai; Yan, Wei; Wang, Shizhen Emily; Bergersen, Kristina; Worth, Danielle; Wilson, Emma H.; Zhong, Wenwan</t>
  </si>
  <si>
    <t>A Single Extracellular Vesicle (EV) Flow Cytometry Approach to Reveal EV Heterogeneity</t>
  </si>
  <si>
    <t>ANGEWANDTE CHEMIE-INTERNATIONAL EDITION</t>
  </si>
  <si>
    <t>engineering; flow cytometry analysis; heterogeneity; molecular signatures; single extracellular vesicle analysis</t>
  </si>
  <si>
    <t>Extracellular vesicles (EVs) actively participate in intercellular communication and pathological processes. Studying the molecular signatures of EVs is key to reveal their biological functions and clinical values, which, however, is greatly hindered by their sub-100 nm dimensions, the low quantities of biomolecules each EV carries, and the large population heterogeneity. Now, single-EV flow cytometry analysis is introduced to realize single EV counting and phenotyping in a conventional flow cytometer for the first time, enabled by target-initiated engineering (TIE) of DNA nano-structures on each EV. By illuminating multiple markers on single EVs, statistically significant differences are revealed among the molecular signatures of EVs originating from several breast cancer cell lines, and the cancer cell-derived EVs among the heterogeneous EV populations are successfully recognized. Thus, our approach holds great potential for various biological and biomedical applications.</t>
  </si>
  <si>
    <t>[Shen, Wen; Guo, Kaizhu; Adkins, Gary Brent; Sedano, Sabrina; Duan, Yaokai; Zhong, Wenwan] Univ Calif Riverside, Dept Chem, Riverside, CA 92521 USA; [Jiang, Qiaoshi; Liu, Yang; Zhong, Wenwan] Univ Calif Riverside, Environm Toxicol Program, Riverside, CA 92521 USA; [Bergersen, Kristina; Worth, Danielle; Wilson, Emma H.] Univ Calif Riverside, Div Biomed Sci, Riverside, CA 92521 USA; [Yan, Wei; Wang, Shizhen Emily] Univ Calif San Diego, Dept Pathol, La Jolla, CA 92093 USA</t>
  </si>
  <si>
    <t>University of California System; University of California Riverside; University of California System; University of California Riverside; University of California System; University of California Riverside; University of California System; University of California San Diego</t>
  </si>
  <si>
    <t>Shen, W (corresponding author), Univ Calif Riverside, Dept Chem, Riverside, CA 92521 USA.</t>
  </si>
  <si>
    <t>duan, yaokai/AAE-2003-2020; Adkins, Gary/I-4827-2015</t>
  </si>
  <si>
    <t>Sedano, Sabrina/0000-0001-7316-4418; Adkins, Gary/0000-0002-1568-7146; Shen, Wen/0000-0002-8473-5092; Liu, Yang/0000-0003-1830-948X; duan, yaokai/0000-0002-3751-9266</t>
  </si>
  <si>
    <t>1433-7851</t>
  </si>
  <si>
    <t>1521-3773</t>
  </si>
  <si>
    <t>NOV 26</t>
  </si>
  <si>
    <t>10.1002/anie.201806901</t>
  </si>
  <si>
    <t>WOS:000452399900008</t>
  </si>
  <si>
    <t>da Silva, RP; Longo, LGV; da Cunha, JPC; Sobreira, TJP; Rodrigues, ML; Faoro, H; Goldenberg, S; Alves, LR; Puccia, R</t>
  </si>
  <si>
    <t>da Silva, Roberta Peres; Longo, Larissa G., V; da Cunha, Julia P. C.; Sobreira, Tiago J. P.; Rodrigues, Marcio L.; Faoro, Helisson; Goldenberg, Samuel; Alves, Lysangela R.; Puccia, Rosana</t>
  </si>
  <si>
    <t>Comparison of the RNA Content of Extracellular Vesicles Derived from Paracoccidioides brasiliensis and Paracoccidioides lutzii</t>
  </si>
  <si>
    <t>Paracoccidiodes; extracellular vesicles; RNA-seq; mRNA; sRNA</t>
  </si>
  <si>
    <t>MESSENGER-RNAS; HISTOPLASMA; EXPRESSION; MICRORNAS</t>
  </si>
  <si>
    <t>Paracoccidioides brasiliensis and P. lutzii cause human paracoccidioidomycosis. We have previously characterized the &lt;200-nt RNA sub-populations contained in fungal extracellular vesicles (EVs) from P. brasiliensis Pb18 and other pathogenic fungi. We have presently used the RNA-seq strategy to compare the &lt;200- and &gt;200-nt RNA fractions contained in EVs isolated from culture supernatants of P. brasiliensis Pb18, Pb3, and P. lutzii Pb01. Shared mRNA sequences were related to protein modification, translation, and DNA metabolism/biogenesis, while those related to transport and oxidation-reduction were exclusive to Pb01. The presence of functional full-length mRNAs was validated by in vitro translation. Among small non-coding (nc)RNA, 15 were common to all samples; small nucleolar (sno)RNAs were enriched in P. brasiliensis EVs, whereas for P. lutzii there were similar proportions of snoRNA, rRNA, and tRNA. Putative exonic sRNAs were highly abundant in Pb18 EVs. We also found sRNA sequences bearing incomplete microRNA structures mapping to exons. RNA-seq data suggest that extracellular fractions containing Pb18 EVs can modulate the transcriptome of murine monocyte-derived dendritic cells in a transwell system. Considering that sRNA classes are involved in transcription/translation modulation, our general results may indicate that differences in virulence among fungal isolates can be related to their distinct EV-RNA content.</t>
  </si>
  <si>
    <t>[da Silva, Roberta Peres; Longo, Larissa G., V; Puccia, Rosana] Escola Paulista Med Univ Fed Sao Paulo EPM UNIFES, Dept Microbiol Imunol &amp; Parasitol, BR-04023062 Sao Paulo, Brazil; [da Cunha, Julia P. C.] Butantan Inst, Immune Response &amp; Cell Signaling Ctr CeTICS, Lab Especial Ciclo Celular, BR-05503900 Sao Paulo, Brazil; [Sobreira, Tiago J. P.] Purdue Univ, Bindley Biosci Ctr, W Lafayette, IN 47907 USA; [Rodrigues, Marcio L.; Faoro, Helisson; Goldenberg, Samuel; Alves, Lysangela R.] Inst Carlos Chagas FIOCRUZ PR, BR-81350010 Curitiba, Parana, Brazil; [Rodrigues, Marcio L.] Univ Fed Rio de Janeiro, Inst Microbiol, BR-21941590 Rio De Janeiro, Brazil</t>
  </si>
  <si>
    <t>Instituto Butantan; Purdue University System; Purdue University; Purdue University West Lafayette Campus; Fundacao Oswaldo Cruz; Universidade Federal do Rio de Janeiro</t>
  </si>
  <si>
    <t>Puccia, R (corresponding author), Escola Paulista Med Univ Fed Sao Paulo EPM UNIFES, Dept Microbiol Imunol &amp; Parasitol, BR-04023062 Sao Paulo, Brazil.;Alves, LR (corresponding author), Inst Carlos Chagas FIOCRUZ PR, BR-81350010 Curitiba, Parana, Brazil.</t>
  </si>
  <si>
    <t>lys.alves@gmail.com; ropuccia@gmail.com</t>
  </si>
  <si>
    <t>Peres da Silva, Roberta/V-1222-2017; Puccia, Rosana/D-7303-2012; Goldenberg, Samuel/ABD-8908-2022; Alves, Lysangela Ronalte/H-5599-2012; Faoro, Helisson/F-7163-2012; Rodrigues, Marcio/J-3727-2013; da Cunha, Julia/K-8553-2017</t>
  </si>
  <si>
    <t>Peres da Silva, Roberta/0000-0001-9641-1792; Puccia, Rosana/0000-0002-3332-0487; Alves, Lysangela Ronalte/0000-0002-1972-2658; Faoro, Helisson/0000-0002-0146-8639; Rodrigues, Marcio/0000-0002-6081-3439; da Cunha, Julia/0000-0003-0466-8879</t>
  </si>
  <si>
    <t>10.3390/cells8070765</t>
  </si>
  <si>
    <t>WOS:000478902000031</t>
  </si>
  <si>
    <t>Shurtleff, MJ; Yao, J; Qin, YD; Nottingham, RM; Temoche-Diaz, MM; Schekman, R; Lambowitz, AM</t>
  </si>
  <si>
    <t>Shurtleff, Matthew J.; Yao, Jun; Qin, Yidan; Nottingham, Ryan M.; Temoche-Diaz, Morayma M.; Schekman, Randy; Lambowitz, Alan M.</t>
  </si>
  <si>
    <t>Broad role for YBX1 in defining the small noncoding RNA composition of exosomes</t>
  </si>
  <si>
    <t>extracellular vesicle; posttranscriptional modification; RNA-binding protein; RNA-seq; thermostable group II intron reverse transcriptase</t>
  </si>
  <si>
    <t>STRESS GRANULE FORMATION; MESSENGER-RNAS; CIRCULATING MICRORNAS; MEDIATED TRANSFER; CELL-TYPE; VESICLES; PROGRESSION; RECOGNITION; BIOGENESIS; MATURATION</t>
  </si>
  <si>
    <t>RNA is secreted from cells enclosed within extracellular vesicles (EVs). Defining the RNA composition of EVs is challenging due to their coisolation with contaminants, lack of knowledge of the mechanisms of RNA sorting into EVs, and limitations of conventional RNAsequencing methods. Here we present our observations using thermostable group II intron reverse transcriptase sequencing (TGIRT-seq) to characterize the RNA extracted from HEK293T cell EVs isolated by flotation gradient ultracentrifugation and from exosomes containing the tetraspanin CD63 further purified from the gradient fractions by immunoisolation. We found that EV-associated transcripts are dominated by full-length, mature transfer RNAs (tRNAs) and other small noncoding RNAs (ncRNAs) encapsulated within vesicles. A substantial proportion of the reads mapping to protein-coding genes, long ncRNAs, and antisense RNAs were due to DNA contamination on the surface of vesicles. Nevertheless, sequences mapping to spliced mRNAs were identified within HEK293T cell EVs and exosomes, among the most abundant being transcripts containing a 5 ' terminal oligopyrimidine (5 ' TOP) motif. Our results indicate that the RNAbinding protein YBX1, which is required for the sorting of selected miRNAs into exosomes, plays a role in the sorting of highly abundant small ncRNA species, including tRNAs, Y RNAs, andVault RNAs. Finally, we obtained evidence for an EV-specific tRNA modification, perhaps indicating a role for posttranscriptional modification in the sorting of some RNA species into EVs. Our results suggest that EVs and exosomes could play a role in the purging and intercellular transfer of excess free RNAs, including full-length tRNAs and other small ncRNAs.</t>
  </si>
  <si>
    <t>[Shurtleff, Matthew J.; Schekman, Randy] Univ Calif Berkeley, Dept Mol &amp; Cellular Biol, Berkeley, CA 94720 USA; [Shurtleff, Matthew J.; Schekman, Randy] Univ Calif Berkeley, Dept Plant &amp; Microbial Biol, Berkeley, CA 94720 USA; [Yao, Jun; Qin, Yidan; Nottingham, Ryan M.; Lambowitz, Alan M.] Univ Texas Austin, Inst Cellular &amp; Mol Biol, Austin, TX 78712 USA; [Yao, Jun; Qin, Yidan; Nottingham, Ryan M.; Lambowitz, Alan M.] Univ Texas Austin, Dept Mol Biosci, Austin, TX 78712 USA; [Schekman, Randy] Univ Calif Berkeley, Howard Hughes Med Inst, Berkeley, CA 94720 USA</t>
  </si>
  <si>
    <t>University of California System; University of California Berkeley; University of California System; University of California Berkeley; University of Texas System; University of Texas Austin; University of Texas System; University of Texas Austin; Howard Hughes Medical Institute; University of California System; University of California Berkeley</t>
  </si>
  <si>
    <t>Schekman, R (corresponding author), Univ Calif Berkeley, Dept Mol &amp; Cellular Biol, Berkeley, CA 94720 USA.;Lambowitz, AM (corresponding author), Univ Texas Austin, Inst Cellular &amp; Mol Biol, Austin, TX 78712 USA.;Lambowitz, AM (corresponding author), Univ Texas Austin, Dept Mol Biosci, Austin, TX 78712 USA.;Schekman, R (corresponding author), Univ Calif Berkeley, Howard Hughes Med Inst, Berkeley, CA 94720 USA.</t>
  </si>
  <si>
    <t>schekman@berkeley.edu; lambowitz@austin.utexas.edu</t>
  </si>
  <si>
    <t>Shurtleff, Matthew/0000-0001-9846-3051</t>
  </si>
  <si>
    <t>OCT 24</t>
  </si>
  <si>
    <t>E8987</t>
  </si>
  <si>
    <t>E8995</t>
  </si>
  <si>
    <t>10.1073/pnas.1712108114</t>
  </si>
  <si>
    <t>WOS:000413520700010</t>
  </si>
  <si>
    <t>Fernando, MR; Jiang, C; Krzyzanowski, GD; Ryan, WL</t>
  </si>
  <si>
    <t>Fernando, M. Rohan; Jiang, Chao; Krzyzanowski, Gary D.; Ryan, Wayne L.</t>
  </si>
  <si>
    <t>New evidence that a large proportion of human blood plasma cell-free DNA is localized in exosomes</t>
  </si>
  <si>
    <t>VESICLES</t>
  </si>
  <si>
    <t>Cell-free DNA (cfDNA) in blood is used as a source of genetic material for noninvasive prenatal and cancer diagnostic assays in clinical practice. Recently we have started a project for new biomarker discovery with a view to developing new noninvasive diagnostic assays. While reviewing literature, it was found that exosomes may be a rich source of biomarkers, because exosomes play an important role in human health and disease. While characterizing exosomes found in human blood plasma, we observed the presence of cfDNA in plasma exosomes. Plasma was obtained from blood drawn into K3EDTA tubes. Exosomes were isolated from cell-free plasma using a commercially available kit. Sizing and enumeration of exosomes were done using electron microscopy and NanoSight particle counter. NanoSight and confocal microscopy was used to demonstrate the association between dsDNA and exosomes. DNA extracted from plasma and exosomes was measured by a fluorometric method and a droplet digital PCR (ddPCR) method. Size of extracellular vesicles isolated from plasma was heterogeneous and showed a mean value of 92.6 nm and a mode 39.7 nm. A large proportion of extracellular vesicles isolated from plasma were identified as exosomes using a fluorescence probe specific for exosomes and three protein markers, Hsp70, CD9 and CD63, that are commonly used to identify exosome fraction. Fluorescence dye that stain dsDNA showed the association between exosomes and dsDNA. Plasma cfDNA concentration analysis showed more than 93% of amplifiable cfDNA in plasma is located in plasma exosomes. Storage of a blood sample showed significant increases in exosome count and exosome DNA concentration. This study provide evidence that a large proportion of plasma cfDNA is localized in exosomes. Exosome release from cells is a metabolic energy dependent process, thus suggesting active release of cfDNA from cells as a source of cfDNA in plasma.</t>
  </si>
  <si>
    <t>[Fernando, M. Rohan; Jiang, Chao; Krzyzanowski, Gary D.] Univ Nebraska, Med Ctr, Dept Obstet &amp; Gynecol, Omaha, NE 68182 USA; [Fernando, M. Rohan; Krzyzanowski, Gary D.; Ryan, Wayne L.] CFGenome, Dept Res &amp; Dev, Omaha, NE 68130 USA</t>
  </si>
  <si>
    <t>University of Nebraska System; University of Nebraska Medical Center</t>
  </si>
  <si>
    <t>Fernando, MR (corresponding author), Univ Nebraska, Med Ctr, Dept Obstet &amp; Gynecol, Omaha, NE 68182 USA.;Fernando, MR (corresponding author), CFGenome, Dept Res &amp; Dev, Omaha, NE 68130 USA.</t>
  </si>
  <si>
    <t>mrohan.fernando@unmc.edu</t>
  </si>
  <si>
    <t>AUG 29</t>
  </si>
  <si>
    <t>e0183915</t>
  </si>
  <si>
    <t>10.1371/journal.pone.0183915</t>
  </si>
  <si>
    <t>WOS:000408544200041</t>
  </si>
  <si>
    <t>Yu, L; Liu, SY; Wang, C; Zhang, CAY; Wen, YJ; Zhang, KY; Chen, S; Huang, HY; Liu, Y; Wu, LL; Han, ZC; Chen, XM; Li, ZJ; Liu, N</t>
  </si>
  <si>
    <t>Yu, Lu; Liu, Siying; Wang, Chen; Zhang, Chuanyu; Wen, Yajie; Zhang, Kaiyue; Chen, Shang; Huang, Haoyan; Liu, Yue; Wu, Lingling; Han, Zhongchao; Chen, Xiangmei; Li, Zongjin; Liu, Na</t>
  </si>
  <si>
    <t>Embryonic stem cell-derived extracellular vesicles promote the recovery of kidney injury</t>
  </si>
  <si>
    <t>Embryonic stem cell (ESC); Extracellular vesicles (EVs); Acute kidney injury (AKI); Physiological repair; Pathological repair</t>
  </si>
  <si>
    <t>OXIDATIVE STRESS; RENAL REPAIR; ES CELLS; EXOSOMES; DISEASE; MECHANISMS; TUMORIGENICITY; AKI; DIFFERENTIATION; MICROVESICLES</t>
  </si>
  <si>
    <t>BackgroundEmbryonic stem cell-derived extracellular vesicles (ESC-EVs) possess therapeutic potential for a variety of diseases and are considered as an alternative of ES cells. Acute kidney injury (AKI) is a common acute and severe disease in clinical practice, which seriously threatens human life and health. However, the roles and mechanisms of ESC-EVs on AKI remain unclear.MethodsIn this study, we evaluated the effects of ESC-EVs on physiological repair and pathological repair using murine ischemia-reperfusion injury-induced AKI model, the potential mechanisms of which were next investigated. EVs were isolated from ESCs and EVs derived from mouse fibroblasts as therapeutic controls. We then investigated whether ESC-EVs can restore the structure and function of the damaged kidney by promoting physiological repair and inhibiting the pathological repair process after AKI in vivo and in vitro.ResultsWe found that ESC-EVs significantly promoted the recovery of the structure and function of the damaged kidney. ESC-EVs increased the proliferation of renal tubular epithelial cells, facilitated renal angiogenesis, inhibited the progression of renal fibrosis, and rescued DNA damage caused by ischemia and reperfusion after AKI. Finally, we found that ESC-EVs play a therapeutic effect by activating Sox9(+) cells.ConclusionsESC-EVs significantly promote the physiological repair and inhibit the pathological repair after AKI, enabling restoration of the structure and function of the damaged kidney. This strategy might emerge as a novel therapeutic strategy for ESC clinical application.</t>
  </si>
  <si>
    <t>[Yu, Lu; Liu, Siying; Wang, Chen; Zhang, Chuanyu; Wen, Yajie; Zhang, Kaiyue; Chen, Shang; Huang, Haoyan; Liu, Yue; Li, Zongjin; Liu, Na] Nankai Univ, Sch Med, Tianjin 300071, Peoples R China; [Yu, Lu; Li, Zongjin; Liu, Na] Nankai Univ, Coll Life Sci, Key Lab Bioact Mat, Minist Educ, Tianjin 300071, Peoples R China; [Wu, Lingling; Chen, Xiangmei] Chinese Peoples Liberat Army Gen Hosp, State Key Lab Kidney Dis, Beijing, Peoples R China; [Han, Zhongchao] Hlth &amp; Biotech Co, Beijing Engn Lab Perinatal Stem Cells, Beijing Inst Hlth &amp; Stem Cells, Beijing, Peoples R China</t>
  </si>
  <si>
    <t>Nankai University; Nankai University; Chinese People's Liberation Army General Hospital</t>
  </si>
  <si>
    <t>Li, ZJ; Liu, N (corresponding author), Nankai Univ, Sch Med, Tianjin 300071, Peoples R China.;Li, ZJ; Liu, N (corresponding author), Nankai Univ, Coll Life Sci, Key Lab Bioact Mat, Minist Educ, Tianjin 300071, Peoples R China.;Chen, XM (corresponding author), Chinese Peoples Liberat Army Gen Hosp, State Key Lab Kidney Dis, Beijing, Peoples R China.</t>
  </si>
  <si>
    <t>xmchen301@126.com; zongjinli@nankai.edu.cn; liuna@nankai.edu.cn</t>
  </si>
  <si>
    <t>Li, Zongjin/G-3118-2010; Zhang, Kaiyue/AAA-3680-2019</t>
  </si>
  <si>
    <t>Li, Zongjin/0000-0002-4603-3743; Zhang, Kaiyue/0000-0002-9906-9053</t>
  </si>
  <si>
    <t>JUL 2</t>
  </si>
  <si>
    <t>10.1186/s13287-021-02460-0</t>
  </si>
  <si>
    <t>WOS:000671863400006</t>
  </si>
  <si>
    <t>Morishita, M; Takahashi, Y; Matsumoto, A; Nishikawa, M; Takakura, Y</t>
  </si>
  <si>
    <t>Morishita, Masaki; Takahashi, Yuki; Matsumoto, Akihiro; Nishikawa, Makiya; Takakura, Yoshinobu</t>
  </si>
  <si>
    <t>Exosome-based tumor antigens-adjuvant co-delivery utilizing genetically engineered tumor cell-derived exosomes with immunostimulatory CpG DNA</t>
  </si>
  <si>
    <t>Exosomes; Genetic engineering; Tumor antigens; CpG DNA; Cancer vaccine; Drug delivery</t>
  </si>
  <si>
    <t>DENDRITIC CELLS; B16BL6-DERIVED EXOSOMES; IMMUNE-RESPONSES; CLINICAL-TRIALS; ANTITUMOR; STREPTAVIDIN; INDUCTION; INJECTION; SIRNA; CTL</t>
  </si>
  <si>
    <t>For cancer immunotherapy via tumor antigen vaccination in combination with an adjuvant, major challenges include the identification of a particular tumor antigen and efficient delivery of the antigen as well as adjuvant to antigen-presenting cells. In this study, we proposed an efficient exosome-based tumor antigens-adjuvant co-delivery system using genetically engineered tumor cell-derived exosomes containing endogenous tumor antigens and immunostimulatory CpG DNA. Murine melanoma B16BL6 cells were transfected with a plasmid vector encoding a fusion streptavidin (SAV; a protein that binds to biotin with high affinity)-lactadherin (LA; an exosome-tropic protein) protein, yielding genetically engineered SAV-LA-expressing exosomes (SAV-exo). SAV-exo were combined with biotinylated CpG DNA to prepare CpG DNA-modified exosomes (CpG-SAV-exo). Fluorescent microscopic observation revealed the successful modification of exosomes with CpG DNA by SAV-biotin interaction. CpG-SAV-exo showed efficient and simultaneous delivery of exosomes with CpG DNA to murine dendritic DC2.4 cells in culture. Treatment with CpG-SAV-exo effectively activated DC2.4 cells and enhanced tumor antigen presentation capacity. Immunization with CpG-SAV-exo exhibited stronger in vivo antitumor effects in B16BL6 tumor-bearing mice than simple co-administration of exosomes and CpG DNA. Thus, genetically engineered CpG-SAV-exo is an effective exosome-based tumor antigens-adjuvant co-delivery system that will be useful for cancer immunotherapy. (C) 2016 Elsevier Ltd. All rights reserved.</t>
  </si>
  <si>
    <t>[Morishita, Masaki; Takahashi, Yuki; Matsumoto, Akihiro; Nishikawa, Makiya; Takakura, Yoshinobu] Kyoto Univ, Grad Sch Pharmaceut Sci, Dept Biopharmaceut &amp; Drug Metab, Sakyo Ku, Kyoto 6068501, Japan</t>
  </si>
  <si>
    <t>Morishita, Masaki/ABD-8396-2020</t>
  </si>
  <si>
    <t>Morishita, Masaki/0000-0002-3004-3779; Takahashi, Yuki/0000-0002-8772-2772</t>
  </si>
  <si>
    <t>10.1016/j.biomaterials.2016.09.031</t>
  </si>
  <si>
    <t>WOS:000388047900005</t>
  </si>
  <si>
    <t>Ramakrishnan, V; Xu, BB; Akers, J; Nguyen, T; Ma, J; Dhawan, S; Ning, JF; Mao, Y; Hua, W; Kokkoli, E; Furnari, F; Carter, BS; Chen, CC</t>
  </si>
  <si>
    <t>Ramakrishnan, Valya; Xu, Beibei; Akers, Johnny; Thien Nguyen; Ma, Jun; Dhawan, Sanjay; Ning, Jianfang; Mao, Ying; Hua, Wei; Kokkoli, Efrosini; Furnari, Frank; Carter, Bob S.; Chen, Clark C.</t>
  </si>
  <si>
    <t>Radiation-induced extracellular vesicle (EV) release of miR-603 promotes IGF1-mediated stem cell state in glioblastomas</t>
  </si>
  <si>
    <t>EBIOMEDICINE</t>
  </si>
  <si>
    <t>miR-603; IGF1; MGMT; Glioblastoma stem-cell state; Extracellular vesicles; Acquired radiation resistance</t>
  </si>
  <si>
    <t>GROWTH-FACTOR-I; CANCER; EXOSOMES; MICROVESICLES; TEMOZOLOMIDE; EXPRESSION; MUTATION; MIRNA; IGF1</t>
  </si>
  <si>
    <t>Background: Recurrence after radiation therapy is nearly universal for glioblastomas, the most common form of adult brain cancer. The study aims to define clinically pertinent mechanisms underlying this recurrence. Methods: microRNA (miRNA) profiling was performed using matched pre- and post-radiation treatment glioblastoma specimens from the same patients. All specimens harbored unmethylated O-6-methylguanine-DNA methyltransferase promoters (umMGMT) and wild-type isocitrate dehydrogenase (wtIDH). The most altered miRNA, miR-603, was characterized. Findings: While nearly all miRNAs remained unchanged after treatment, decreased levels of few, select miRNAs in the post-treatment specimens were observed, the most notable of which involved miR-603. Unbiased profiling of miR-603 targets revealed insulin-like growth factor 1 (IGF1) and IGF1 receptor (IGF1R). Ionizing radiation (IR) induced cellular export of miR-603 through extracellular vesicle (EV) release, thereby derepressing IGF1 and IGF1R. This de-repression, in turn, promoted cancer stem-cell (CSC) state and acquired radiation resistance in glioblastomas. Export of miR-603 additionally de-repressed MGMT, a DNA repair protein responsible for detoxifying DNA alkylating agents, to promote cross-resistance to these agents. Ectopic miR-603 expression overwhelmed cellular capacity for miR-603 export and synergized with the tumoricidal effects of IR and DNA alkylating agents. Interpretation: Profiling of matched pre- and post-treatment glioblastoma specimens revealed altered homeostasis of select miRNAs in response to radiation. Radiation-induced EV export of miR-603 simultaneously promoted the CSC state and up-regulated DNA repair to promote acquired resistance. These effects were abolished by exogenous miR-603 expression, suggesting potential for clinical translation. (C) 2020 The Authors. Published by Elsevier B.V.</t>
  </si>
  <si>
    <t>[Ramakrishnan, Valya; Xu, Beibei; Ma, Jun; Dhawan, Sanjay; Ning, Jianfang; Chen, Clark C.] Univ Minnesota, Dept Neurosurg, Minneapolis, MN 55455 USA; [Akers, Johnny] VisiCELL Med Inc, San Diego, CA 92121 USA; [Thien Nguyen] Univ Calif Los Angeles, Sch Med, Los Angeles, CA 90095 USA; [Mao, Ying; Hua, Wei] Fudan Univ, Huashan Hosp, Dept Neurosurg, Shanghai 200040, Peoples R China; [Kokkoli, Efrosini] Johns Hopkins Univ, Inst NanoBioTechnol, Dept Chem &amp; Biomol Engn, Baltimore, MD 21218 USA; [Furnari, Frank] Univ Calif San Diego, Ludwig Inst Canc Res, San Diego, CA 92093 USA; [Carter, Bob S.] Massachusetts Gen Hosp, Dept Neurosurg, Boston, MA 02114 USA</t>
  </si>
  <si>
    <t>University of Minnesota System; University of Minnesota Twin Cities; University of California System; University of California Los Angeles; University of California Los Angeles Medical Center; David Geffen School of Medicine at UCLA; Fudan University; Johns Hopkins University; Ludwig Institute for Cancer Research; University of California System; University of California San Diego; Harvard University; Massachusetts General Hospital</t>
  </si>
  <si>
    <t>Chen, CC (corresponding author), Univ Minnesota, Dept Neurosurg, Minneapolis, MN 55455 USA.</t>
  </si>
  <si>
    <t>ccchen@umn.edu</t>
  </si>
  <si>
    <t>Carter, Bob/AAB-4868-2021; Ma, Jun/ADU-1664-2022; Ning, Jianfang/AAA-6891-2021; Kokkoli, Efrosini/J-1656-2015</t>
  </si>
  <si>
    <t>Carter, Bob/0000-0002-3586-1324; Ma, Jun/0000-0003-0427-8205; Kokkoli, Efrosini/0000-0001-7783-0158; Furnari, Frank/0000-0003-1909-4361; Mao, Ying/0000-0001-8055-115X; Nguyen, Thien/0000-0003-2348-0556</t>
  </si>
  <si>
    <t>2352-3964</t>
  </si>
  <si>
    <t>10.1016/j.ebiom.2020.102736</t>
  </si>
  <si>
    <t>Medicine, General &amp; Internal; Medicine, Research &amp; Experimental</t>
  </si>
  <si>
    <t>General &amp; Internal Medicine; Research &amp; Experimental Medicine</t>
  </si>
  <si>
    <t>WOS:000537461800010</t>
  </si>
  <si>
    <t>Nakai, W; Yoshida, T; Diez, D; Miyatake, Y; Nishibu, T; Imawaka, N; Naruse, K; Sadamura, Y; Hanayama, R</t>
  </si>
  <si>
    <t>Nakai, Wataru; Yoshida, Takeshi; Diez, Diego; Miyatake, Yuji; Nishibu, Takahiro; Imawaka, Naoko; Naruse, Ken; Sadamura, Yoshifusa; Hanayama, Rikinari</t>
  </si>
  <si>
    <t>A novel affinity-based method for the isolation of highly purified extracellular vesicles</t>
  </si>
  <si>
    <t>PHOSPHATIDYLSERINE; EXOSOMES; SURFACE; RNA; IDENTIFICATION; MECHANISM; CELLS</t>
  </si>
  <si>
    <t>Extracellular vesicles (EVs) such as exosomes and microvesicles serve as messengers of intercellular network, allowing exchange of cellular components between cells. EVs carry lipids, proteins, and RNAs derived from their producing cells, and have potential as biomarkers specific to cell types and even cellular states. However, conventional methods (such as ultracentrifugation or polymeric precipitation) for isolating EVs have disadvantages regarding purity and feasibility. Here, we have developed a novel method for EV purification by using Tim4 protein, which specifically binds the phosphatidylserine displayed on the surface of EVs. Because the binding is Ca2+-dependent, intact EVs can be easily released from Tim4 by adding Ca2+ chelators. Tim4 purification, which we have applied to cell conditioned media and biofluids, is capable of yielding EVs of a higher purity than those obtained using conventional methods. The lower contamination found in Tim4-purified EV preparations allows more EV-specific proteins to be detected by mass spectrometry, enabling better characterization and quantification of different EV populations' proteomes. Tim4 protein can also be used as a powerful tool for quantification of EVs in both ELISA and flow cytometry formats. Thus, the affinity of Tim4 for EVs will find abundant applications in EV studies.</t>
  </si>
  <si>
    <t>[Nakai, Wataru; Yoshida, Takeshi; Miyatake, Yuji; Hanayama, Rikinari] Osaka Univ, WPI Immunol Frontier Res Ctr IFReC, Lab Immune Network, 3-1 Yamada Oka, Suita, Osaka 5650871, Japan; [Yoshida, Takeshi; Miyatake, Yuji; Hanayama, Rikinari] Kanazawa Univ, Dept Immunol, Grad Sch Med Sci, 13-1 Takara, Kanazawa, Ishikawa 9208640, Japan; [Diez, Diego] Osaka Univ, Quantitat Immunol Res Unit, WPI Immunol Frontier Res Ctr IFReC, 3-1 Yamada Oka, Suita, Osaka 5650871, Japan; [Nishibu, Takahiro; Imawaka, Naoko; Naruse, Ken; Sadamura, Yoshifusa] Wako Pure Chem Ind Ltd, Life Sci Res Labs, 6-1 Takada Cho, Amagasaki, Hyogo 6610963, Japan; [Hanayama, Rikinari] Japan Sci &amp; Technol Agcy JST, PRESTO, 4-1-8 Honcho, Kawaguchi, Saitama 3320012, Japan</t>
  </si>
  <si>
    <t>Osaka University; Kanazawa University; Osaka University; Japan Science &amp; Technology Agency (JST)</t>
  </si>
  <si>
    <t>Hanayama, R (corresponding author), Osaka Univ, WPI Immunol Frontier Res Ctr IFReC, Lab Immune Network, 3-1 Yamada Oka, Suita, Osaka 5650871, Japan.;Hanayama, R (corresponding author), Kanazawa Univ, Dept Immunol, Grad Sch Med Sci, 13-1 Takara, Kanazawa, Ishikawa 9208640, Japan.;Hanayama, R (corresponding author), Japan Sci &amp; Technol Agcy JST, PRESTO, 4-1-8 Honcho, Kawaguchi, Saitama 3320012, Japan.</t>
  </si>
  <si>
    <t>rikinari-hanayama@umin.ac.jp</t>
  </si>
  <si>
    <t>Diez, Diego/M-1279-2019; Diez, Diego/A-6571-2011; Hanayama, Rikinari/AAO-4959-2021</t>
  </si>
  <si>
    <t>Diez, Diego/0000-0002-2325-4893; Diez, Diego/0000-0002-2325-4893; Hanayama, Rikinari/0000-0003-2102-3386; Miyatake, Yuji/0000-0002-6748-608X; Yoshida, Takeshi/0000-0003-0422-0337</t>
  </si>
  <si>
    <t>10.1038/srep33935</t>
  </si>
  <si>
    <t>WOS:000384064500001</t>
  </si>
  <si>
    <t>Luo, L; Yan, C; Fuchi, N; Kodama, Y; Zhang, X; Shinji, G; Miura, K; Sasaki, H; Li, TS</t>
  </si>
  <si>
    <t>Luo, Lan; Yan, Chen; Fuchi, Naoki; Kodama, Yukinobu; Zhang, Xu; Shinji, Goto; Miura, Kiyonori; Sasaki, Hitoshi; Li, Tao-Sheng</t>
  </si>
  <si>
    <t>Mesenchymal stem cell-derived extracellular vesicles as probable triggers of radiation-induced heart disease</t>
  </si>
  <si>
    <t>Mesenchymal stem cells; Extracellular vesicles; Ionizing radiation; Heart disease</t>
  </si>
  <si>
    <t>IONIZING-RADIATION; STROMAL CELLS; RISK; EXOSOMES; CANCER; REGENERATION; RADIOTHERAPY; DYSFUNCTION; EXPRESSION; APOPTOSIS</t>
  </si>
  <si>
    <t>Background Radiation-induced heart disease has been reported, but the underlying mechanisms remain unclear. Mesenchymal stem cells (MSCs), also residing in the heart, are highly susceptible to radiation. We examined the hypothesis that the altered secretion of extracellular vesicles (EVs) from MSCs is the trigger of radiation-induced heart disease. Methods By exposing human placental tissue-derived MSCs to 5 Gy gamma-rays, we then isolated EVs from the culture medium 48 h later and evaluated the changes in quantity and quality of EVs from MSCs after radiation exposure. The biological effects of EVs from irradiated MSCs on HUVECs and H9c2 cells were also examined. Results Although the amount and size distribution of EVs did not differ between the nonirradiated and irradiated MSCs, miRNA sequences indicated many upregulated or downregulated miRNAs in irradiated MSCs EVs. In vitro experiments using HUVEC and H9c2 cells showed that irradiated MSC-EVs decreased cell proliferation (P &lt; 0.01), but increased cell apoptosis and DNA damage. Moreover, irradiated MSC-EVs impaired the HUVEC tube formation and induced calcium overload in H9c2 cells. Conclusions EVs released from irradiated MSCs show altered miRNA profiles and harmful effects on heart cells, which provides new insight into the mechanism of radiation-related heart disease risks.</t>
  </si>
  <si>
    <t>[Luo, Lan; Yan, Chen; Zhang, Xu; Shinji, Goto; Li, Tao-Sheng] Nagasaki Univ, Dept Stem Cell Biol, Grad Sch Biomed Sci, 1-12-4 Sakamoto, Nagasaki 8528523, Japan; [Luo, Lan] Xuzhou Med Univ, Xuzhou Key Lab Lab Diagnost, Med Technol Sch, Tongshan Rd 209, Xuzhou 221004, Jiangsu, Peoples R China; [Fuchi, Naoki; Miura, Kiyonori] Nagasaki Univ Hosp, Dept Obstet &amp; Gynecol, Nagasaki 8528523, Japan; [Kodama, Yukinobu; Sasaki, Hitoshi] Nagasaki Univ Hosp, Dept Pharm, Nagasaki 8528523, Japan</t>
  </si>
  <si>
    <t>Nagasaki University; Xuzhou Medical University; Nagasaki University; Nagasaki University</t>
  </si>
  <si>
    <t>Li, TS (corresponding author), Nagasaki Univ, Dept Stem Cell Biol, Grad Sch Biomed Sci, 1-12-4 Sakamoto, Nagasaki 8528523, Japan.</t>
  </si>
  <si>
    <t>litaoshe@nagasaki-u.ac.jp</t>
  </si>
  <si>
    <t>Li, Tao-Sheng/0000-0002-7653-8873; yan, chen/0000-0003-3808-1259</t>
  </si>
  <si>
    <t>JUL 22</t>
  </si>
  <si>
    <t>10.1186/s13287-021-02504-5</t>
  </si>
  <si>
    <t>WOS:000680890400007</t>
  </si>
  <si>
    <t>Shen, XJ; Wang, SY; Lu, Q; Guo, YH; Qian, L</t>
  </si>
  <si>
    <t>Shen, Xianjuan; Wang, Siyi; Lu, Qian; Guo, Yuehua; Qian, Li</t>
  </si>
  <si>
    <t>Translating cancer exosomes detection into the color change of phenol red based on target-responsive DNA microcapsules</t>
  </si>
  <si>
    <t>Colorimetric detection; pH-responsive; DNA microcapsules; Aptamer; Exosomes</t>
  </si>
  <si>
    <t>CONTROLLED-RELEASE; AMPLIFICATION; APTASENSOR; VESICLES</t>
  </si>
  <si>
    <t>Emerging evidence indicates that exosomes can be used as a potential biomarker for monitoring diseases, including cancer. However, enhancing the sensing performance in terms of convenience and sensitivity remains an urgent demand for exosomes detection. In this study, a pH-sensitive colorimetric biosensing strategy was developed for exosomes detection by integrating stimuli-responsive DNA microcapsules and acetylcholinesterase to produce acetic acid. The constructed DNA microcapsules consisted of DNA shells crosslinked by anti-CD63 aptamers and loaded with acetylcholinesterase. With exosomes addition, an energetically stabilized aptamer-CD63 compound was produced and microcapsules dissociated due to the reaction of surface protein CD63 of exosomes and aptamer of CD63, resulting in the release of encapsulated AChE. Through a simple centrifugation separation, unreacted DNA microcapsules were removed and the supernatant containing released acetylcholinesterase collected, which was then used for colorimetric exosomes detection through the ability of acetylcholinesterase to hydrolyze acetylcholine to release acetic acid. The resulting decreased solution pH was detected with phenol red indicator, with the sharp color transition conveniently by naked eye. Exosomes quantification was also achieved using the solution's absorption intensity ratio of 558 vs. 432 nm. The linear range was from 2.0 x 10(3) to 5.0 x 10(5) particles/mu L, and the limit of detection and limit of quantification were 1.2 x 10(3) particles/mu L and 2.2 x 10(3) particles/mu L, respectively. In addition, this proposed strategy for exosomes detection showed a relative standard deviation of 3.1% and high recovery efficiency (&gt;94%), exhibiting a bright application future in exsomes analysis. (C) 2021 Elsevier B.V. All rights reserved.</t>
  </si>
  <si>
    <t>[Shen, Xianjuan; Wang, Siyi; Lu, Qian; Guo, Yuehua; Qian, Li] Nantong Univ, Res Ctr Clin Med, Affiliated Hosp, Nantong 226001, Peoples R China</t>
  </si>
  <si>
    <t>Nantong University</t>
  </si>
  <si>
    <t>Guo, YH; Qian, L (corresponding author), Nantong Univ, Res Ctr Clin Med, Affiliated Hosp, Nantong 226001, Peoples R China.</t>
  </si>
  <si>
    <t>guoyuehuanju@163.com; ntqianli@163.com</t>
  </si>
  <si>
    <t>FEB 1</t>
  </si>
  <si>
    <t>10.1016/j.aca.2021.339357</t>
  </si>
  <si>
    <t>WOS:000745829400009</t>
  </si>
  <si>
    <t>Liu, HS; Yuan, WL; Chen, YY; Chen, C; Tian, Y; Yan, XM</t>
  </si>
  <si>
    <t>Liu, Hai-Sheng; Yuan, Wen-Li; Chen, Yong-Yu; Chen, Chen; Tian, Ye; Yan, Xiao-Mei</t>
  </si>
  <si>
    <t>Multi-parameter and Quantitative Characterization of Urinary Extracellular Vesicles at Single-Particle Level</t>
  </si>
  <si>
    <t>CHINESE JOURNAL OF ANALYTICAL CHEMISTRY</t>
  </si>
  <si>
    <t>Urinary extracellular vesicles; Nano-flow cytometry; Purity; Size distribution; Nucleic acid; Protein marker</t>
  </si>
  <si>
    <t>PROSTATE-CANCER; EXOSOMES; IDENTIFICATION</t>
  </si>
  <si>
    <t>Urinary extracellular vesicles (uEVs) are a rising star in liquid biopsies and have shown great potential in disease diagnosis and treatment monitoring. However, knowledge about the size distribution, particle concentration and biochemical phenotype of uEVs remains poorly understood owing to the limited characterization methods. The large heterogeneity and diversity of EVs call for the development of a high-throughout, multi-parameter technique that can analyze EVs at the single-particle level. Employing strategies for single molecule fluorescence detection in a sheathed flow, our laboratory has successfully developed nano-flow cytometer (nFCM ) that enables detection of single EVs as small as 40 nm. Here, using nFCM, the characterization of uEVs isolated via differential ultracentrifugation was reported. The purity, particle concentration , size distribution , DNA , RNA , and protein expression were reported. The results indicated that the purity of isolated uEVs was about 92% . For uEVs isolated from 10 healthy donors, the concentrations were 3.0 x 10(9)-8.9 x 10(10) particles/mL and the particle sizes fell in the range of 40-120 nm. In addition, DNA and RNA were mainly encapsulated inside the lumen of relatively large-size uEVs and there were no nucleic acids adhered to the surface of uEVs. The percentages of CD9 , CD63 , CD81 or CD24 positive uEVs were also measured. It was demonstrated that nFCM provided an important tool for studying the biochemical properties of uEVs along with their clinical applications.</t>
  </si>
  <si>
    <t>[Liu, Hai-Sheng; Yuan, Wen-Li; Chen, Yong-Yu; Chen, Chen; Tian, Ye; Yan, Xiao-Mei] Xiamen Univ, Coll Chem &amp; Chem Engn, Key Lab Chem Biol Fujian Prov, Dept Chem Biol,MOE Key Lab Spectrochem Anal &amp; Ins, Xiamen 361005, Peoples R China</t>
  </si>
  <si>
    <t>Yan, XM (corresponding author), Xiamen Univ, Coll Chem &amp; Chem Engn, Key Lab Chem Biol Fujian Prov, Dept Chem Biol,MOE Key Lab Spectrochem Anal &amp; Ins, Xiamen 361005, Peoples R China.</t>
  </si>
  <si>
    <t>0253-3820</t>
  </si>
  <si>
    <t>1872-2040</t>
  </si>
  <si>
    <t>10.19756/j.issn.0253-3820.201443</t>
  </si>
  <si>
    <t>WOS:000574774500006</t>
  </si>
  <si>
    <t>de la Cuesta, F; Baldan-Martin, M; Moreno-Luna, R; Alvarez-Llamas, G; Gonzalez-Calero, L; Mourino-Alvarez, L; Sastre-Oliva, T; Lopez, JA; Vazquez, J; Ruiz-Hurtado, G; Segura, J; Vivanco, F; Ruilope, LM; Barderas, MG</t>
  </si>
  <si>
    <t>de la Cuesta, Fernando; Baldan-Martin, Montserrat; Moreno-Luna, Rafael; Alvarez-Llamas, Gloria; Gonzalez-Calero, Laura; Mourino-Alvarez, Laura; Sastre-Oliva, Tamara; Lopez, Juan A.; Vazquez, Jesus; Ruiz-Hurtado, Gema; Segura, Julian; Vivanco, Fernando; Ruilope, Luis M.; Barderas, Maria G.</t>
  </si>
  <si>
    <t>Kalirin and CHD7: novel endothelial dysfunction indicators in circulating extracellular vesicles from hypertensive patients with albuminuria</t>
  </si>
  <si>
    <t>extracellular vesicles; proteomics; endothelial dysfunction; hypertension; albuminuria</t>
  </si>
  <si>
    <t>ANGIOTENSIN SYSTEM SUPPRESSION; OXIDATIVE STRESS; CELLS; MICROALBUMINURIA; DISEASE</t>
  </si>
  <si>
    <t>Despite of the great advances in anti-hypertensive therapies, many patients under Renin-Angiotensin-System (RAS) suppression develop albuminuria, which is a clear indicator of therapeutic inefficiency. Hence, indicators of vascular function are needed to assess patients' condition and help deciding future therapies. Proteomic analysis of circulating extracellular vesicles (EVs) showed two proteins, kalirin and chromodomain-helicase-DNA-binding protein 7 (CHD7), increased in albuminuric patients. A positive correlation of both with the expression of the endothelial activation marker E-selectin was found in EVs. In vitro analysis using TNFa-treated adult human endothelial cells proved their involvement in endothelial cell activation. Hence, we propose protein levels of kalirin and CHD7 in circulating EVs as novel endothelial dysfunction markers to monitor vascular condition in hypertensive patients with albuminuria.</t>
  </si>
  <si>
    <t>[de la Cuesta, Fernando; Baldan-Martin, Montserrat; Moreno-Luna, Rafael; Mourino-Alvarez, Laura; Sastre-Oliva, Tamara; Barderas, Maria G.] Hosp Nacl Paraplejicos HNP, Dept Vasc Physiopathol, Toledo, Spain; [Alvarez-Llamas, Gloria; Gonzalez-Calero, Laura; Vivanco, Fernando] IIS Fdn Jimenez Diaz, Dept Immunol, Madrid, Spain; [Lopez, Juan A.; Vazquez, Jesus] CNIC, Unidad Proteom, Madrid, Spain; [Ruiz-Hurtado, Gema; Segura, Julian; Ruilope, Luis M.] Hosp Univ 12 Octubre, Inst Invest i 12, Unidad Hipertens, Madrid, Spain; [Vivanco, Fernando] Univ Complutense, Dept Bioquim &amp; Biol Mol 1, Madrid, Spain; [de la Cuesta, Fernando] Univ Edinburgh, Ctr Cardiovasc Sci, Queens Med Res Inst, Edinburgh, Midlothian, Scotland</t>
  </si>
  <si>
    <t>Hospital Nacional de Paraplejicos; Fundacion Jimenez Diaz; Centro Nacional de Investigaciones Cardiovasculares (CNIC); Hospital Universitario 12 de Octubre; Complutense University of Madrid; University of Edinburgh</t>
  </si>
  <si>
    <t>Barderas, MG (corresponding author), Hosp Nacl Paraplejicos HNP, Dept Vasc Physiopathol, Toledo, Spain.;Ruilope, LM (corresponding author), Hosp Univ 12 Octubre, Inst Invest i 12, Unidad Hipertens, Madrid, Spain.</t>
  </si>
  <si>
    <t>ruilope@ad-hocbox.com; megonzalezb@sescam.jccm.es</t>
  </si>
  <si>
    <t>Vazquez, Jesus/B-7697-2015; Mourino-Alvarez, Laura/AAS-8231-2021; Mourino-Alvarez, Laura/D-1737-2017; Baldan-Martin, Montserrat/D-1757-2017; Llamas, Gloria Alvarez/AAA-8090-2020; MORENO-LUNA, RAFAEL/AFP-3358-2022; Alvarez-Llamas, Gloria/C-8938-2015; Ruiz-Hurtado, Gema/C-8254-2011; De la Cuesta, Fernando/ABF-8092-2020; Oliva, Tamara Sastre/AAH-8942-2019; Lopez, Juan Antonio/G-7750-2015</t>
  </si>
  <si>
    <t>Vazquez, Jesus/0000-0003-1461-5092; Mourino-Alvarez, Laura/0000-0002-3928-1554; Mourino-Alvarez, Laura/0000-0002-3928-1554; Baldan-Martin, Montserrat/0000-0003-0848-8154; Llamas, Gloria Alvarez/0000-0002-3313-721X; MORENO-LUNA, RAFAEL/0000-0002-9840-5078; Alvarez-Llamas, Gloria/0000-0002-3313-721X; Ruiz-Hurtado, Gema/0000-0003-3482-0915; Oliva, Tamara Sastre/0000-0002-2399-2773; Lopez, Juan Antonio/0000-0002-9097-6060; Segura, Julian/0000-0003-4677-9526; Ruilope, Luis M/0000-0001-6278-7951; Barderas, Maria G./0000-0003-4290-4721; De la Cuesta, Fernando/0000-0001-8761-7713</t>
  </si>
  <si>
    <t>FEB 28</t>
  </si>
  <si>
    <t>10.18632/oncotarget.14948</t>
  </si>
  <si>
    <t>WOS:000396013700108</t>
  </si>
  <si>
    <t>Eitan, E; Zhang, S; Witwer, KW; Mattson, MP</t>
  </si>
  <si>
    <t>Eitan, Erez; Zhang, Shi; Witwer, Kenneth W.; Mattson, Mark P.</t>
  </si>
  <si>
    <t>Extracellular vesicle-depleted fetal bovine and human sera have reduced capacity to support cell growth</t>
  </si>
  <si>
    <t>fetal bovine serum; exosomes; proliferation; cultured cells; cell death; endoplasmic reticulum stress</t>
  </si>
  <si>
    <t>EXOSOMES; LIPIDOMICS; CULTURE</t>
  </si>
  <si>
    <t>Background: Fetal bovine serum (FBS) is the most widely used serum supplement for mammalian cell culture. It supports cell growth by providing nutrients, growth signals, and protection from stress. Attempts to develop serum-free media that support cell expansion to the same extent as serum-supplemented media have not yet succeeded, suggesting that FBS contains one or more as-yet-undefined growth factors. One potential vehicle for the delivery of growth factors from serum to cultured cells is extracellular vesicles (EVs). Methods: EV-depleted FBS and human serum were generated by 120,000g centrifugation, and its cell growth-supporting activity was measured. Isolated EVs from FBS were quantified and characterized by nanoparticle tracking analysis, electron microscopy, and protein assay. EV internalization into cells was quantified using fluorescent plate reader analysis and microscopy. Results: Most cell types cultured with EV-depleted FBS showed a reduced growth rate but not an increased sensitivity to the DNA-damaging agent etoposide and the endoplasmic reticulum stress-inducing chemical tunicamycin. Supplying cells with isolated FBS-derived EVs enhanced their growth. FBS-derived EVs were internalized by mouse and human cells wherein 65 +/- 26% of them interacted with the lysosomes. EV-depleted human serum also exhibited reduced cell growth-promoting activity. Conclusions: EVs play a role in the cell growth and survival-promoting effects of FBS and human serum. Thus, it is important to take the effect of EV depletion under consideration when planning EV extraction experiments and while attempting to develop serum-free media that support rapid cell expansion. In addition, these findings suggest roles for circulating EVs in supporting cell growth and survival in vivo.</t>
  </si>
  <si>
    <t>[Eitan, Erez; Zhang, Shi; Mattson, Mark P.] NIA, Neurosci Lab, Intramural Res Program, Baltimore, MD 21224 USA; [Witwer, Kenneth W.] Johns Hopkins Univ, Sch Med, Inst NanoBioTechnol, Dept Mol &amp; Comparat Pathol, Baltimore, MD USA; [Mattson, Mark P.] Johns Hopkins Univ, Sch Med, Dept Neurosci, Baltimore, MD 21205 USA</t>
  </si>
  <si>
    <t>National Institutes of Health (NIH) - USA; NIH National Institute on Aging (NIA); Johns Hopkins University; Johns Hopkins University</t>
  </si>
  <si>
    <t>Mattson, MP (corresponding author), NIH, Biomed Res Ctr, Room 5C214,251 Bayview Blvd, Baltimore, MD 21224 USA.</t>
  </si>
  <si>
    <t>mark.mattson@nih.gov</t>
  </si>
  <si>
    <t>Witwer, Kenneth W./G-1626-2013; Zhang, Shi/O-1993-2017</t>
  </si>
  <si>
    <t xml:space="preserve">Witwer, Kenneth W./0000-0003-1664-4233; </t>
  </si>
  <si>
    <t>10.3402/jev.v4.26373</t>
  </si>
  <si>
    <t>WOS:000365074000001</t>
  </si>
  <si>
    <t>Kang, H; Lee, MJ; Park, SJ; Lee, MS</t>
  </si>
  <si>
    <t>Kang, Hyejong; Lee, Myung-Ju; Park, Sang June; Lee, Myung-Shin</t>
  </si>
  <si>
    <t>Lipopolysaccharide-Preconditioned Periodontal Ligament Stem Cells Induce M1 Polarization of Macrophages through Extracellular Vesicles</t>
  </si>
  <si>
    <t>periodontal ligament stem cell; macrophage; polarization; extracellular vesicles</t>
  </si>
  <si>
    <t>MESENCHYMAL STROMAL CELLS; EXOSOMES; ACTIVATION; DIFFERENTIATION; PROTOCOL; MARKERS; DNA</t>
  </si>
  <si>
    <t>Periodontitis is a common disease characterized by chronic inflammation and tissue destruction of gums. Human periodontal ligament stem cells (PDLSCs), derived from the periodontium, have stem cell properties similar to those of mesenchymal stem cells. PDLSCs possess not only the potential to differentiate into other tissues, but also immunomodulatory abilities. Macrophages play a critical role in periodontal disease, but little is known regarding the role of PDLSCs in macrophage modulation during inflammation. In this study, we investigated the effect of PDLSCs on the macrophage cell line. While the conditioned media from PDLSCs under normal culture conditions did not affect macrophage polarization, the lipopolysaccharide (LPS)-preconditioned PDLSCs induced significant changes in M1 polarization. Extracellular vesicles (EVs) isolated from the conditioned media of LPS-preconditioned PDLSCs induced strong M1 polarization of macrophages. Additionally, the M1 polarization was abolished by DNase I treatment of EVs. Therefore, the LPS-stimulated PDLSCs induce M1 polarization of macrophages through EVs, suggesting that the EVs from PDLSCs might be a potential therapeutic target for inflammation in the periodontium.</t>
  </si>
  <si>
    <t>[Kang, Hyejong] Dankook Univ, Dept Orthodont, Sejong Dent Hosp, Sejong 30107, South Korea; [Lee, Myung-Ju; Park, Sang June; Lee, Myung-Shin] Eulji Univ, Dept Microbiol &amp; Immunol, Sch Med, Daejeon 34824, South Korea</t>
  </si>
  <si>
    <t>Dankook University; Eulji University</t>
  </si>
  <si>
    <t>Lee, MS (corresponding author), Eulji Univ, Dept Microbiol &amp; Immunol, Sch Med, Daejeon 34824, South Korea.</t>
  </si>
  <si>
    <t>hyejongk@dankook.ac.kr; ghostcastle0@gmail.com; alclstkdwns@eulji.ac.kr; mslee@eulji.ac.kr</t>
  </si>
  <si>
    <t>10.3390/ijms19123843</t>
  </si>
  <si>
    <t>WOS:000455323500145</t>
  </si>
  <si>
    <t>Ivica, A; Ghayor, C; Zehnder, M; Valdec, S; Weber, FE</t>
  </si>
  <si>
    <t>Ivica, Anja; Ghayor, Chafik; Zehnder, Matthias; Valdec, Silvio; Weber, Franz E.</t>
  </si>
  <si>
    <t>Pulp-Derived Exosomes in a Fibrin-Based Regenerative Root Filling Material</t>
  </si>
  <si>
    <t>JOURNAL OF CLINICAL MEDICINE</t>
  </si>
  <si>
    <t>exosomes; dental pulp; regenerative endodontics; fibrin gel</t>
  </si>
  <si>
    <t>MESENCHYMAL STEM-CELLS; EXTRACELLULAR VESICLES; MESSENGER-RNAS; TISSUE; DIFFERENTIATION; GLUE; PULPECTOMY; EXCHANGE; DELIVERY; MODEL</t>
  </si>
  <si>
    <t>Regenerative endodontics has been described as a paradigm shift in dentistry, despite its current limitation to immature teeth and reparative rather than regenerative outcomes. Cell-free treatments are favored because of regulatory issues. However, the recruitment of host-derived stem cells to the desired site remains challenging. We investigated whether dental pulp-derived exosomes, which are extracellular vesicles that contain proteins, lipids, RNA, and DNA and thus mirror their parental cells, may be used for this purpose. The use of exosomes may present appreciable advantages over the direct use of transplanted stem cells due to a higher safety profile, easier isolation, preservation, and handling. Here we harvested exosomes from a cultured third-molar pulp cell and assessed them by transmission electron microscopy and Western blotting. Human mesenchymal stem cells (MSCs) were exposed to these exosomes to assess exosome uptake, cell migration, and proliferation. In addition, a fibrin gel (i.e., a diluted fibrin sealant), was assessed as a delivery system for the exosomes. Our results show that exosomes attracted MSCs, and the fibrin gel enhanced their effect. Moreover, exosomes improved the proliferation of MSCs. Therefore, we propose that pulp-derived exosomes in combination with a fibrin gel could be a powerful combination for clinical translation towards improved cell-free regenerative endodontics and thus represent a new way to fill dental hard tissues.</t>
  </si>
  <si>
    <t>[Ivica, Anja; Ghayor, Chafik; Weber, Franz E.] Univ Zurich, Ctr Dent Med, Oral Biotechnol &amp; Bioengn, CH-8032 Zurich, Switzerland; [Zehnder, Matthias] Univ Zurich, Prevent Dent Periodontol &amp; Cariol, Ctr Dent Med, CH-8032 Zurich, Switzerland; [Valdec, Silvio] Univ Zurich, Craniomaxillofacial &amp; Oral Surg, Ctr Dent Med, CH-8032 Zurich, Switzerland</t>
  </si>
  <si>
    <t>University of Zurich; University of Zurich; University of Zurich</t>
  </si>
  <si>
    <t>Weber, FE (corresponding author), Univ Zurich, Ctr Dent Med, Oral Biotechnol &amp; Bioengn, CH-8032 Zurich, Switzerland.</t>
  </si>
  <si>
    <t>anja.ivica@zzm.uzh.ch; chafik.ghayor@usz.ch; matthias.zehnder@zzm.uzh.ch; silvio.valdec@zzm.uzh.ch; franz.weber@zzm.uzh.ch</t>
  </si>
  <si>
    <t>Weber, Franz E./I-7831-2019</t>
  </si>
  <si>
    <t>Weber, Franz E./0000-0003-1670-2296; Valdec, Silvio/0000-0002-8029-180X; Zehnder, Matthias/0000-0001-9545-7828</t>
  </si>
  <si>
    <t>2077-0383</t>
  </si>
  <si>
    <t>10.3390/jcm9020491</t>
  </si>
  <si>
    <t>WOS:000518823000203</t>
  </si>
  <si>
    <t>Zhao, YL; Haney, MJ; Fallon, JK; Rodriguez, M; Swain, CJ; Arzt, CJ; Smith, PC; Loop, MS; Harrison, EB; El-Hage, N; Batrakova, EV</t>
  </si>
  <si>
    <t>Zhao, Yuling; Haney, Matthew J.; Fallon, John K.; Rodriguez, Myosotys; Swain, Carson J.; Arzt, Camryn J.; Smith, Philip C.; Loop, Matthew Shane; Harrison, Emily B.; El-Hage, Nazira; Batrakova, Elena, V</t>
  </si>
  <si>
    <t>Using Extracellular Vesicles Released by GDNF-Transfected Macrophages for Therapy of Parkinson Disease</t>
  </si>
  <si>
    <t>drug delivery; extracellular vesicles; GDNF; intranasal administration; neuroinflammation; Parkinson disease</t>
  </si>
  <si>
    <t>BLOOD-BRAIN-BARRIER; DRUG-DELIVERY; NEUROTROPHIC FACTOR; MOTOR DEFICITS; NEURAL STEM; EXOSOMES; MODEL; TRANSPLANTATION; PACLITAXEL; TRANSPORT</t>
  </si>
  <si>
    <t>Extracellular vesicles (EVs) are cell-derived nanoparticles that facilitate transport of proteins, lipids, and genetic material, playing important roles in intracellular communication. They have remarkable potential as non-toxic and non-immunogenic nanocarriers for drug delivery to unreachable organs and tissues, in particular, the central nervous system (CNS). Herein, we developed a novel platform based on macrophage-derived EVs to treat Parkinson disease (PD). Specifically, we evaluated the therapeutic potential of EVs secreted by autologous macrophages that were transfected ex vivo to express glial-cell-line-derived neurotrophic factor (GDNF). EV-GDNF were collected from conditioned media of GDNF-transfected macrophages and characterized for GDNF content, size, charge, and expression of EV-specific proteins. The data revealed that, along with the encoded neurotrophic factor, EVs released by pre-transfected macrophages carry GDNF-encoding DNA. Four-month-old transgenic Parkin Q311(X)A mice were treated with EV-GDNF via intranasal administration, and the effect of this therapeutic intervention on locomotor functions was assessed over a year. Significant improvements in mobility, increases in neuronal survival, and decreases in neuroinflammation were found in PD mice treated with EV-GDNF. No offsite toxicity caused by EV-GDNF administration was detected. Overall, an EV-based approach can provide a versatile and potent therapeutic intervention for PD.</t>
  </si>
  <si>
    <t>[Zhao, Yuling; Haney, Matthew J.; Batrakova, Elena, V] Univ N Carolina, Ctr Nanotechnol Drug Delivery, Chapel Hill, NC 27599 USA; [Zhao, Yuling; Haney, Matthew J.; Fallon, John K.; Swain, Carson J.; Arzt, Camryn J.; Smith, Philip C.; Loop, Matthew Shane; Harrison, Emily B.; Batrakova, Elena, V] Univ N Carolina, Eshelman Sch Pharm, Chapel Hill, NC 27599 USA; [Rodriguez, Myosotys; El-Hage, Nazira] Florida Int Univ, Herbert Wertheim Coll Med, Miami, FL 33199 USA</t>
  </si>
  <si>
    <t>University of North Carolina; University of North Carolina Chapel Hill; University of North Carolina; University of North Carolina Chapel Hill; State University System of Florida; Florida International University</t>
  </si>
  <si>
    <t>Batrakova, EV (corresponding author), Univ N Carolina, Ctr Nanotechnol Drug Delivery, Chapel Hill, NC 27599 USA.;Batrakova, EV (corresponding author), Univ N Carolina, Eshelman Sch Pharm, Chapel Hill, NC 27599 USA.</t>
  </si>
  <si>
    <t>yulingz@email.unc.edu; mjhaney@email.unc.edu; jfallon@email.unc.edu; myrodrig@fiu.edu; cswain@unc.edu; camiarzt@live.unc.edu; pcs@email.unc.edu; mloop@email.unc.edu; emilybrookeharrison@gmail.com; nelhage@fiu.edu; batrakov@ad.unc.edu</t>
  </si>
  <si>
    <t>Fallon, John/0000-0003-1848-0121; Batrakova, Elena/0000-0002-9386-3790</t>
  </si>
  <si>
    <t>10.3390/cells11121933</t>
  </si>
  <si>
    <t>WOS:000818338200001</t>
  </si>
  <si>
    <t>Lu, ZW; Shi, Y; Ma, YX; Jia, B; Li, XT; Guan, XX; Li, Z</t>
  </si>
  <si>
    <t>Lu, Zhangwei; Shi, Ye; Ma, Yuxuan; Jia, Bin; Li, Xintong; Guan, Xiaoxiang; Li, Zhe</t>
  </si>
  <si>
    <t>Fast and specific enrichment and quantification of cancer-related exosomes by DNA-nanoweight-assisted centrifugation</t>
  </si>
  <si>
    <t>EXTRACELLULAR VESICLES; SYSTEM; CHROMATOGRAPHY; TECHNOLOGIES; PLASMA</t>
  </si>
  <si>
    <t>Exosomes are nanoscale membrane vesicles actively released by cells and play an important role in the diagnosis of cancer-related diseases. However, it is challenging to efficiently enrich exosomes from extracellular fluids. In this work, we used DNA nanostructures as nanoweights during centrifugation to facilitate the enrichment of cancerous exosomes in human serum. Two different DNA tetrahedral nanostructures (DTNs), each carrying a specific aptamer for exosome biomarker recognition, were incubated with clinical samples simultaneously. One DTN triggered the cross-linking of multiple target exosomes and, therefore, enabled low-speed and fast centrifugation for enrichment. The other DTN further narrowed down the target exosome subtype and initiated a hybridization chain reaction (HCR) for sensitive signal amplification. The method enabled the detection of 1.8 x 102 MCF-7-derived exosomes per microliter and 5.6 x 102 HepG2-derived exosomes per microliter, with 1000-fold higher sensitivity than conventional ELISA and 10-fold higher sensitivity than some recently reported fluorescence assays. Besides, the dualaptamer system simultaneously recognized multiple surface proteins, eliminating the interference risk from free proteins. Thus, this easy-to-operate method can enrich exosomes with excellent specificity and sensitivity and therefore will be appealing in biomedical research and clinical diagnosis.</t>
  </si>
  <si>
    <t>[Lu, Zhangwei; Shi, Ye; Ma, Yuxuan; Jia, Bin; Li, Zhe] Nanjing Univ, Coll Engn &amp; Appl Sci, Dept Biomed Engn, Nanjing 210023, Jiangsu, Peoples R China; [Lu, Zhangwei; Shi, Ye; Ma, Yuxuan; Jia, Bin; Li, Zhe] Nanjing Univ, State Key Lab Analyt Chem Life Sci, Nanjing 210023, Jiangsu, Peoples R China; [Li, Xintong; Guan, Xiaoxiang] Jiangsu Prov Hosp, Dept Oncol, Nanjing 210029, Jiangsu, Peoples R China</t>
  </si>
  <si>
    <t>Nanjing University; Nanjing University; Nanjing Medical University</t>
  </si>
  <si>
    <t>Li, Z (corresponding author), Nanjing Univ, Coll Engn &amp; Appl Sci, Dept Biomed Engn, Nanjing 210023, Jiangsu, Peoples R China.;Li, Z (corresponding author), Nanjing Univ, State Key Lab Analyt Chem Life Sci, Nanjing 210023, Jiangsu, Peoples R China.;Guan, XX (corresponding author), Jiangsu Prov Hosp, Dept Oncol, Nanjing 210029, Jiangsu, Peoples R China.</t>
  </si>
  <si>
    <t>xguan@njmu.edu.cn; zheli@nju.edu.cn</t>
  </si>
  <si>
    <t>10.1021/acs.analchem.2c01872</t>
  </si>
  <si>
    <t>JUN 2022</t>
  </si>
  <si>
    <t>WOS:000820159600001</t>
  </si>
  <si>
    <t>Alberti, G; Mazzola, M; Gagliardo, C; Pitruzzella, A; Fucarini, A; Giammanco, M; Tomasello, G; Carini, F</t>
  </si>
  <si>
    <t>Alberti, Giusi; Mazzola, Margherita; Gagliardo, Carola; Pitruzzella, Alessandro; Fucarini, Alberto; Giammanco, Marco; Tomasello, Giovanni; Carini, Francesco</t>
  </si>
  <si>
    <t>Extracellular vesicles derived from gut microbiota in inflammatory bowel disease and colorectal cancer</t>
  </si>
  <si>
    <t>BIOMEDICAL PAPERS-OLOMOUC</t>
  </si>
  <si>
    <t>extracellular vesicles; gut microbiota; inflammatory bowel disease; colorectal cancer</t>
  </si>
  <si>
    <t>OUTER-MEMBRANE VESICLES; HEAT-SHOCK PROTEINS; OXIDATIVE STRESS; EPITHELIAL-CELLS; BIOGENESIS; BACTERIA; DNA; DIVERSITY; SECRETION; PROMOTES</t>
  </si>
  <si>
    <t>The human gut microbiome encompasses inter alia, the myriad bacterial species that create the optimal host -microorganism balance essential for normal metabolic and immune function. Various lines of evidence suggest that dysregulation of the microbiota-host interaction is linked to pathologies such as inflammatory bowel disease (IBD) and colorectal cancer (CRC). Extracellular vesicles (EVs), found in virtually all body fluids and produced by both eukaryotic cells and bacteria are involved in cell-cell communication and crosstalk mechanisms, such as the immune response, barrier function and intestinal flora. This review highlights advancements in knowledge of the functional role that EVs may have in IBD and CRC, and discusses the possible use of EVs derived from intestinal microbiota in therapeutic strategies for treating these conditions.</t>
  </si>
  <si>
    <t>[Alberti, Giusi; Mazzola, Margherita; Pitruzzella, Alessandro; Fucarini, Alberto; Tomasello, Giovanni; Carini, Francesco] Univ Hosp Policlin Paolo Giaccone Palermo, Inst Human Anat &amp; Histol, Dept Biomed Neurosci &amp; Adv Diagnost, BIND, Palermo, Italy; [Gagliardo, Carola] Dept Hlth Promot Mother &amp; Child Care Internal Med, Palermo, Italy; [Giammanco, Marco] Univ Hosp Policlin Paolo Giaccone Palermo, Dept Surg Oncol &amp; Stomatol Sci DiChirOnS, Palermo, Italy</t>
  </si>
  <si>
    <t>Mazzola, M (corresponding author), Univ Hosp Policlin Paolo Giaccone Palermo, Inst Human Anat &amp; Histol, Dept Biomed Neurosci &amp; Adv Diagnost, BIND, Palermo, Italy.</t>
  </si>
  <si>
    <t>margheritamazzola@hotmail.it</t>
  </si>
  <si>
    <t>1213-8118</t>
  </si>
  <si>
    <t>1804-7521</t>
  </si>
  <si>
    <t>10.5507/bp.2021.042</t>
  </si>
  <si>
    <t>Engineering, Biomedical; Medicine, Research &amp; Experimental</t>
  </si>
  <si>
    <t>Engineering; Research &amp; Experimental Medicine</t>
  </si>
  <si>
    <t>WOS:000715922000001</t>
  </si>
  <si>
    <t>Takenaga, K; Koshikawa, N; Nagase, H</t>
  </si>
  <si>
    <t>Takenaga, Keizo; Koshikawa, Nobuko; Nagase, Hiroki</t>
  </si>
  <si>
    <t>Intercellular transfer of mitochondrial DNA carrying metastasis-enhancing pathogenic mutations from high- to low-metastatic tumor cells and stromal cells via extracellular vesicles</t>
  </si>
  <si>
    <t>BMC MOLECULAR AND CELL BIOLOGY</t>
  </si>
  <si>
    <t>Mitochondria; Mitochondrial DNA; Mutation; Extracellular vesicles; Intercellular transfer; Lung cancer; Tumor microenvironment; Metastasis</t>
  </si>
  <si>
    <t>RESISTANCE; APOPTOSIS; HOMOPLASMY</t>
  </si>
  <si>
    <t>Background Mitochondrial DNA (mtDNA) carrying certain pathogenic mutations or single nucleotide variants (SNVs) enhances the invasion and metastasis of tumor cells, and some of these mutations are homoplasmic in tumor cells and even in tumor tissues. On the other hand, intercellular transfer of mitochondria and cellular components via extracellular vesicles (EVs) and tunneling nanotubes (TNTs) has recently attracted intense attention in terms of cell-to-cell communication in the tumor microenvironment. It remains unclear whether metastasis-enhancing pathogenic mutant mtDNA in tumor cells is intercellularly transferred between tumor cells and stromal cells. In this study, we investigated whether mtDNA with the NADH dehydrogenase subunit 6 (ND6) G13997A pathogenic mutation in highly metastatic cells can be horizontally transferred to low-metastatic cells and stromal cells in the tumor microenvironment. Results When MitoTracker Deep Red-labeled high-metastatic Lewis lung carcinoma A11 cells carrying the ND6 G13997A mtDNA mutation were cocultured with CellLight mitochondria-GFP-labeled low-metastatic P29 cells harboring wild-type mtDNA, bidirectional transfer of red- and green-colored vesicles, probably mitochondria-related EVs, was observed in a time-dependent manner. Similarly, intercellular transfer of mitochondria-related EVs occurred between A11 cells and alpha-smooth muscle actin (alpha-SMA)-positive cancer-associated fibroblasts (CAFs, WA-mFib), macrophages (RAW264.7) and cytotoxic T cells (CTLL-2). Intercellular transfer was suppressed by inhibitors of EV release. The large and small EV fractions (L-EV and S-EV, respectively) prepared from the conditioned medium by differential ultracentrifugation both were found to contain mtDNA, although only S-EVs were efficiently incorporated into the cells. Several subpopulations had evidence of LC3-II and contained degenerated mitochondrial components in the S-EV fraction, signaling to the existence of autophagy-related S-EVs. Interestingly, the S-EV fraction contained a MitoTracker-positive subpopulation, which was inhibited by the respiration inhibitor antimycin A, indicating the presence of mitochondria with membrane potential. It was also demonstrated that mtDNA was transferred into mtDNA-less rho(0) cells after coculture with the S-EV fraction. In syngeneic mouse subcutaneous tumors formed by a mixture of A11 and P29 cells, the mitochondria-related EVs released from A11 cells reached distantly positioned P29 cells and CAFs. Conclusions These results suggest that metastasis-enhancing pathogenic mtDNA derived from metastatic tumor cells is transferred to low-metastatic tumor cells and stromal cells via S-EVs in vitro and in the tumor microenvironment, inferring a novel mechanism of enhancement of metastatic potential during tumor progression.</t>
  </si>
  <si>
    <t>[Takenaga, Keizo; Koshikawa, Nobuko; Nagase, Hiroki] Chiba Canc Ctr, Div Canc Genet, Res Inst, Chuoh Ku, Chiba, Japan</t>
  </si>
  <si>
    <t>Chiba Cancer Center</t>
  </si>
  <si>
    <t>Takenaga, K (corresponding author), Chiba Canc Ctr, Div Canc Genet, Res Inst, Chuoh Ku, Chiba, Japan.</t>
  </si>
  <si>
    <t>ktakenaga@chiba-cc.jp</t>
  </si>
  <si>
    <t>2661-8850</t>
  </si>
  <si>
    <t>OCT 7</t>
  </si>
  <si>
    <t>10.1186/s12860-021-00391-5</t>
  </si>
  <si>
    <t>WOS:000704977000001</t>
  </si>
  <si>
    <t>Achreja, A; Meurs, N; Nagrath, D</t>
  </si>
  <si>
    <t>Nagrath, D</t>
  </si>
  <si>
    <t>Achreja, Abhinav; Meurs, Noah; Nagrath, Deepak</t>
  </si>
  <si>
    <t>Quantifying Metabolic Transfer Mediated by Extracellular Vesicles Using Exo-MFA: An Integrated Empirical and Computational Platform</t>
  </si>
  <si>
    <t>METABOLIC FLUX ANALYSIS IN EUKARYOTIC CELLS: METHODS AND PROTOCOLS</t>
  </si>
  <si>
    <t>Extracellular vesicles; Exosomes; Exo-MFA; Stable-isotope tracing; 13-Carbon metabolic flux analysis; Multicellular metabolic flux analysis</t>
  </si>
  <si>
    <t>DISTRIBUTIONS</t>
  </si>
  <si>
    <t>Extracellular vesicles (EVs) are ubiquitous nanoscale particles released from many different types of cells. They have been shown to contain proteins, DNA, RNA, miRNA, and, most recently, metabolites. These particles can travel through the intercellular space and bloodstream to have regulatory effects on distant recipients. When an EV reaches a target cell, it is taken up and degraded to release its contents for utilization within the cell. In addition to regulatory effects, EVs have been shown to supplement the high metabolic demands of recipient cells in a nutrient-deprived tumor microenvironment. We developed an integrated empirical and computational platform to quantify metabolic contribution of source cell-derived EVs to recipient cells. The versatile Exo-MFA software tool utilizes C-13 stable-isotope tracing data to quantify the metabolic contributions of EVs from a source cell type on a recipient cell type. This is accomplished by creating EV-depleted culture medium, producing isotope-labeled EVs from the source cells, isolating the labeled EVs from the culture supernatant, culturing the recipient cells in the presence of the labeled EVs, and measuring the resulting metabolite levels across several time points.</t>
  </si>
  <si>
    <t>[Achreja, Abhinav; Meurs, Noah; Nagrath, Deepak] Univ Michigan, Dept Biomed Engn, Ann Arbor, MI 48109 USA; [Achreja, Abhinav; Meurs, Noah; Nagrath, Deepak] Univ Michigan, Biointerfaces Inst, Ann Arbor, MI 48109 USA; [Nagrath, Deepak] Univ Michigan, Dept Chem Engn, Ann Arbor, MI 48109 USA</t>
  </si>
  <si>
    <t>University of Michigan System; University of Michigan; University of Michigan System; University of Michigan; University of Michigan System; University of Michigan</t>
  </si>
  <si>
    <t>Achreja, A (corresponding author), Univ Michigan, Dept Biomed Engn, Ann Arbor, MI 48109 USA.;Achreja, A (corresponding author), Univ Michigan, Biointerfaces Inst, Ann Arbor, MI 48109 USA.</t>
  </si>
  <si>
    <t>Nagrath, Deepak/0000-0002-8999-2282</t>
  </si>
  <si>
    <t>978-1-0716-0159-4; 978-1-0716-0158-7</t>
  </si>
  <si>
    <t>10.1007/978-1-0716-0159-4_10</t>
  </si>
  <si>
    <t>10.1007/978-1-0716-0159-4</t>
  </si>
  <si>
    <t>Biochemical Research Methods; Cell Biology</t>
  </si>
  <si>
    <t>WOS:000672487700011</t>
  </si>
  <si>
    <t>Ye, W; Tang, XJ; Yang, ZQ; Liu, C; Zhang, X; Jin, J; Lyu, JX</t>
  </si>
  <si>
    <t>Ye, Wei; Tang, Xiaojun; Yang, Zhengquan; Liu, Chu; Zhang, Xin; Jin, Jing; Lyu, Jianxin</t>
  </si>
  <si>
    <t>Plasma-derived exosomes contribute to inflammation via the TLR9-NF-kappa B pathway in chronic heart failure patients</t>
  </si>
  <si>
    <t>Exosomes; Mitochondrial DNA; Inflammation; Toll like receptor 9; Chronic heart failure</t>
  </si>
  <si>
    <t>INTRAVENOUS IMMUNOGLOBULIN; EXTRACELLULAR VESICLES; GENE-EXPRESSION; CANCER; MICROVESICLES; RECEPTORS; CYTOKINES; RELEASE; CELLS; BIND</t>
  </si>
  <si>
    <t>Exosomes are small vesicles that contain proteins, DNA and RNA, and play an important role in inflammation; however, the underlying mechanism remains unclear. In the present study, we found increased plasma derived exosomes in chronic heart failure patients compared with healthy controls. Further, our data demonstrated that plasma derived exosomes carried mtDNA, and triggered an inflammatory response via the TLR9-NF-kappa B pathway, as well, the inflammatory effect was closely related to exosomal mtDNA copy number. However, the effect could be blocked by chloroquine (CQ), a TLR9 inhibitor. These findings reveal a new mechanism of exosome-induced inflammation, and provide a new perspective for intervention and treatment of inflammation related diseases, such as chronic heart failure. (C) 2017 Elsevier Ltd. All rights reserved.</t>
  </si>
  <si>
    <t>[Ye, Wei; Tang, Xiaojun; Yang, Zhengquan; Liu, Chu; Jin, Jing; Lyu, Jianxin] Wenzhou Med Univ, Key Lab Lab Med, Minist Educ China, Sch Lab Med &amp; Life Sci, Wenzhou 325035, Zhejiang, Peoples R China; [Ye, Wei; Tang, Xiaojun; Yang, Zhengquan; Liu, Chu; Jin, Jing; Lyu, Jianxin] Wenzhou Med Univ, Zhejiang Prov Key Lab Med Genet, Wenzhou 325035, Zhejiang, Peoples R China; [Zhang, Xin] Wenzhou Med Univ, Affiliated Hosp 2, Cardiovasc Dept, Wenzhou 325035, Zhejiang, Peoples R China</t>
  </si>
  <si>
    <t>Ministry of Education, China; Wenzhou Medical University; Wenzhou Medical University; Wenzhou Medical University</t>
  </si>
  <si>
    <t>Lyu, JX (corresponding author), Wenzhou Med Univ, Wenzhou 325035, Zhejiang, Peoples R China.</t>
  </si>
  <si>
    <t>ljxwzmc@aliyun.com</t>
  </si>
  <si>
    <t>yang, zhengquan/D-7789-2016</t>
  </si>
  <si>
    <t>yang, zhengquan/0000-0002-0640-5215</t>
  </si>
  <si>
    <t>10.1016/j.molimm.2017.03.011</t>
  </si>
  <si>
    <t>WOS:000403863100012</t>
  </si>
  <si>
    <t>Choi, EJ; Kil, IS; Cho, EG</t>
  </si>
  <si>
    <t>Choi, Eun-Jeong; Kil, In Sup; Cho, Eun-Gyung</t>
  </si>
  <si>
    <t>Extracellular Vesicles Derived from Senescent Fibroblasts Attenuate the Dermal Effect on Keratinocyte Differentiation</t>
  </si>
  <si>
    <t>senescence; human dermal fibroblast; extracellular vesicle; exosome; lysosomal activity; epidermal homeostasis</t>
  </si>
  <si>
    <t>BLEOMYCIN HYDROLASE; OXIDATIVE STRESS; DNA-DAMAGE; EXOSOMES; MICROVESICLES; BIOGENESIS; SECRETION; SKIN; MELANOCYTES; EXPRESSION</t>
  </si>
  <si>
    <t>The skin is amultilayered and primary defensive organ. Intimate intercellular communication in the skin is necessary to ensure effective surveillance. Extracellular vesicles (EVs) are being explored for their involvement in intercellular skin communication. The aim of this study was to evaluate how human dermal fibroblasts (HDFs) accelerate EV production during senescence and the effects of senescence-associated EVs on epidermal homeostasis. Replicative senescent HDFs were assessed with senescence-associated beta-galactosidase staining and the expression of senescence-related markers. Isolated EVs were characterized by dynamic light scattering and EV marker expression. EVs secreted from untreated young or senescent HDFs, or from those treated with a nSMase inhibitor, antioxidant, and lysosomal activity regulators, were determined by sandwich ELISA for CD81. Human epidermal keratinocytes were treated with young- and senescent HDF-derived EVs. Compared to young HDFs, senescent HDFs produced relatively high levels of EVs due to the increased nSMase activity, oxidative stress, and altered lysosomal activity. The nSMase inhibitor, antioxidant, and agents that recovered lysosomal activity reduced EV secretion in senescent HDFs. Relative to young HDF-derived EVs, senescent HDF-derived EVs were less supportive in keratinocyte differentiation and barrier function but increased proinflammatory cytokine IL-6 levels. Our study suggests that dermis-derived EVs may regulate epidermal homeostasis by reflecting cellular status, which provides insight as to how the dermis communicates with the epidermis and influences skin senescence.</t>
  </si>
  <si>
    <t>[Choi, Eun-Jeong; Kil, In Sup; Cho, Eun-Gyung] AmorePacif Corp, R&amp;D Unit, Basic Res &amp; Innovat Div, Yongin 17074, South Korea</t>
  </si>
  <si>
    <t>Cho, EG (corresponding author), AmorePacif Corp, R&amp;D Unit, Basic Res &amp; Innovat Div, Yongin 17074, South Korea.</t>
  </si>
  <si>
    <t>ejchoi@amorepacific.com; iskil@amorepacific.com; egcho@amorepacific.com</t>
  </si>
  <si>
    <t>10.3390/ijms21031022</t>
  </si>
  <si>
    <t>WOS:000522551606008</t>
  </si>
  <si>
    <t>Phinney, DG; Di Giuseppe, M; Njah, J; Sala, E; Shiva, S; St Croix, CM; Stolz, DB; Watkins, SC; Di, YP; Leikauf, GD; Kolls, J; Riches, DWH; Deiuliis, G; Kaminski, N; Boregowda, SV; McKenna, DH; Ortiz, LA</t>
  </si>
  <si>
    <t>Phinney, Donald G.; Di Giuseppe, Michelangelo; Njah, Joel; Sala, Ernest; Shiva, Sruti; St Croix, Claudette M.; Stolz, Donna B.; Watkins, Simon C.; Di, Y. Peter; Leikauf, George D.; Kolls, Jay; Riches, David W. H.; Deiuliis, Giuseppe; Kaminski, Naftali; Boregowda, Siddaraju V.; McKenna, David H.; Ortiz, Luis A.</t>
  </si>
  <si>
    <t>Mesenchymal stem cells use extracellular vesicles to outsource mitophagy and shuttle microRNAs</t>
  </si>
  <si>
    <t>NATURE COMMUNICATIONS</t>
  </si>
  <si>
    <t>BONE-MARROW; HEMATOPOIETIC STEM; STROMAL CELLS; MITOCHONDRIAL-DNA; PROGENITOR CELLS; ACUTE LUNG; MACROPHAGES; MICROVESICLES; AUTOPHAGY; EXOSOMES</t>
  </si>
  <si>
    <t>Mesenchymal stem cells (MSCs) and macrophages are fundamental components of the stem cell niche and function coordinately to regulate haematopoietic stem cell self-renewal and mobilization. Recent studies indicate that mitophagy and healthy mitochondrial function are critical to the survival of stem cells, but how these processes are regulated in MSCs is unknown. Here we show that MSCs manage intracellular oxidative stress by targeting depolarized mitochondria to the plasma membrane via arrestin domain-containing protein 1-mediated microvesicles. The vesicles are then engulfed and re-utilized via a process involving fusion by macrophages, resulting in enhanced bioenergetics. Furthermore, we show that MSCs simultaneously shed micro RNA-containing exosomes that inhibit macrophage activation by suppressing Toll-like receptor signalling, thereby de-sensitizing macrophages to the ingested mitochondria. Collectively, these studies mechanistically link mitophagy and MSC survival with macrophage function, thereby providing a physiologically relevant context for the innate immunomodulatory activity of MSCs.</t>
  </si>
  <si>
    <t>[Phinney, Donald G.; Boregowda, Siddaraju V.] Scripps Res Inst, Dept Mol Therapeut, Jupiter, FL 33458 USA; [Di Giuseppe, Michelangelo; Njah, Joel; St Croix, Claudette M.; Di, Y. Peter; Leikauf, George D.; Ortiz, Luis A.] Univ Pittsburgh, Dept Environm &amp; Occupat Hlth, Pittsburgh, PA 15219 USA; [Sala, Ernest] Hosp Son Espases, Palma De Mallorca 07010, Spain; [Shiva, Sruti; St Croix, Claudette M.] Univ Pittsburgh, Dept Pharmacol, Pittsburgh, PA 15219 USA; [St Croix, Claudette M.; Stolz, Donna B.; Watkins, Simon C.] Univ Pittsburgh, Dept Cell Biol, Pittsburgh, PA 15219 USA; [Kolls, Jay] Univ Pittsburgh, Mellon Fdn, Pediat Res Inst, Pittsburgh, PA 15219 USA; [Riches, David W. H.] Natl Jewish Hlth, Dept Pediat, Denver, CO 80206 USA; [Deiuliis, Giuseppe; Kaminski, Naftali] Yale Univ, Dept Med, New Haven, CT 06510 USA; [McKenna, David H.] Univ Minnesota, Dept Lab Med &amp; Pathol, St Paul, MN 55108 USA</t>
  </si>
  <si>
    <t>Scripps Research Institute; Pennsylvania Commonwealth System of Higher Education (PCSHE); University of Pittsburgh; Hospital Universitari Son Espases; Pennsylvania Commonwealth System of Higher Education (PCSHE); University of Pittsburgh; Pennsylvania Commonwealth System of Higher Education (PCSHE); University of Pittsburgh; Pennsylvania Commonwealth System of Higher Education (PCSHE); University of Pittsburgh; National Jewish Health; Yale University; University of Minnesota System; University of Minnesota Twin Cities</t>
  </si>
  <si>
    <t>Ortiz, LA (corresponding author), Univ Pittsburgh, Dept Environm &amp; Occupat Hlth, Pittsburgh, PA 15219 USA.</t>
  </si>
  <si>
    <t>LAO1@Pitt.edu</t>
  </si>
  <si>
    <t>Di, Yuanpu Peter/H-4191-2016; Kolls, Jay/AAH-1829-2019; Watkins, Simon/ABG-2590-2021; St Croix, Claudette/AAA-3338-2022; Phinney, Donald G/D-2155-2014; ortiz, luis a/H-9851-2013</t>
  </si>
  <si>
    <t>Di, Yuanpu Peter/0000-0003-2028-2087; Kolls, Jay/0000-0001-5151-6304; Watkins, Simon/0000-0003-4092-1552; ortiz, luis a/0000-0003-4510-7066; Phinney, Donald/0000-0002-8688-2619; Njah, Joel/0000-0002-1333-0493; Leikauf, George/0000-0002-4514-7060; Sala-Llinas, Ernest/0000-0002-6499-1638; Kaminski, Naftali/0000-0001-5917-4601; DeIuliis, Giuseppe/0000-0003-0841-8156</t>
  </si>
  <si>
    <t>2041-1723</t>
  </si>
  <si>
    <t>10.1038/ncomms9472</t>
  </si>
  <si>
    <t>WOS:000364926700001</t>
  </si>
  <si>
    <t>Maire, CL; Fuh, MM; Kaulich, K; Fita, KD; Stevic, I; Heiland, DH; Welsh, JA; Jones, JC; Gorgens, A; Ricklefs, T; Duhrsen, L; Sauvigny, T; Joosse, SA; Reifenberger, G; Pantel, K; Glatzel, M; Miklosi, AG; Felce, JH; Caselli, M; Pereno, V; Reimer, R; Schluter, H; Westphal, M; Schuller, U; Lamszus, K; Ricklefs, FL</t>
  </si>
  <si>
    <t>Maire, Cecile L.; Fuh, Marceline M.; Kaulich, Kerstin; Fita, Krystian D.; Stevic, Ines; Heiland, Dieter H.; Welsh, Joshua A.; Jones, Jennifer C.; Goergens, Andre; Ricklefs, Tammo; Duehrsen, Lasse; Sauvigny, Thomas; Joosse, Simon A.; Reifenberger, Guido; Pantel, Klaus; Glatzel, Markus; Miklosi, Andras G.; Felce, James H.; Caselli, Marco; Pereno, Valerio; Reimer, Rudolph; Schlueter, Hartmut; Westphal, Manfred; Schueller, Ulrich; Lamszus, Katrin; Ricklefs, Franz L.</t>
  </si>
  <si>
    <t>Genome-wide methylation profiling of glioblastoma cell-derived extracellular vesicle DNA allows tumor classification</t>
  </si>
  <si>
    <t>NEURO-ONCOLOGY</t>
  </si>
  <si>
    <t>exosome; glioma; methylome; mutation; proteomics</t>
  </si>
  <si>
    <t>DOUBLE-STRANDED DNA; CEREBROSPINAL-FLUID; EGFR AMPLIFICATION; EXOSOMES; MICROVESICLES; BRAIN; SERUM; RNA</t>
  </si>
  <si>
    <t>Background. Genome-wide DNA methylation profiling has recently been developed into a tool that allows tumor classification in central nervous system tumors. Extracellular vesicles (EVs) are released by tumor cells and contain high molecular weight DNA, rendering EVs a potential biomarker source to identify tumor subgroups, stratify patients and monitor therapy by liquid biopsy. We investigated whether the DNA in glioblastoma cell-derived EVs reflects genome-wide tumor methylation and mutational profiles and allows noninvasive tumor subtype classification. Methods. DNA was isolated from EVs secreted by glioblastoma cells as well as from matching cultured cells and tumors. EV-DNA was localized and quantified by direct stochastic optical reconstruction microscopy. Methylation and copy number profiling was performed using 850k arrays. Mutations were identified by targeted gene panel sequencing. Proteins were differentially quantified by mass spectrometric proteomics. Results. Genome-wide methylation profiling of glioblastoma-derived EVs correctly identified the methylation class of the parental cells and original tumors, including the MGMT promoter methylation status. Tumor-specific mutations and copy number variations (CNV) were detected in EV-DNA with high accuracy. Different EV isolation techniques did not affect the methylation profiling and CNV results. DNA was present inside EVs and on the EV surface. Proteome analysis did not allow specific tumor identification or classification but identified tumor-associated proteins that could potentially be useful for enriching tumor-derived circulating EVs from biofluids. Conclusions. This study provides proof of principle that EV-DNA reflects the genome-wide methylation, CNV, and mutational status of glioblastoma cells and enables their molecular classification.</t>
  </si>
  <si>
    <t>[Maire, Cecile L.; Fita, Krystian D.; Stevic, Ines; Ricklefs, Tammo; Duehrsen, Lasse; Sauvigny, Thomas; Westphal, Manfred; Lamszus, Katrin; Ricklefs, Franz L.] Univ Med Ctr Hamburg Eppendorf, Dept Neurosurg, Martinistr 52, D-20246 Hamburg, Germany; [Fuh, Marceline M.] Univ Med Ctr Hamburg Eppendorf, Dept Biochem &amp; Mol Cell Biol, Hamburg, Germany; [Joosse, Simon A.; Pantel, Klaus] Univ Med Ctr Hamburg Eppendorf, Dept Tumor Biol, Hamburg, Germany; [Joosse, Simon A.] Univ Med Ctr Hamburg Eppendorf, Mildred Scheel Canc Career Ctr HaTriCS4, Hamburg, Germany; [Glatzel, Markus; Schueller, Ulrich] Univ Med Ctr Hamburg Eppendorf, Inst Neuropathol, Hamburg, Germany; [Schlueter, Hartmut] Univ Med Ctr Hamburg Eppendorf, Inst Clin Chem &amp; Lab Med, Hamburg, Germany; [Schueller, Ulrich] Univ Med Ctr Hamburg Eppendorf, Dept Pediat Hematol &amp; Oncol, Hamburg, Germany; [Schueller, Ulrich] Univ Med Ctr Hamburg Eppendorf, Res Inst Childrens Canc Ctr Hamburg, Hamburg, Germany; [Reimer, Rudolph] Leibniz Inst Expt Virol, Heinrich Pette Inst, Hamburg, Germany; [Kaulich, Kerstin; Reifenberger, Guido] Univ Duesseldorf, Inst Neuropathol, Dusseldorf, Germany; [Heiland, Dieter H.] Univ Freiburg, Dept Neurosurg, Med Ctr, Freiburg, Germany; [Welsh, Joshua A.; Jones, Jennifer C.] NCI, Translat Nanobiol Sect, Lab Pathol, NIH, Bethesda, MD 20892 USA; [Goergens, Andre] Karolinska Inst, Clin Res Ctr, Dept Lab Med, Stockholm, Sweden; [Goergens, Andre] Univ Duisburg Essen, Univ Hosp Essen, Inst Transfus Med, Essen, Germany; [Goergens, Andre] Evox Therapeut Ltd, Oxford, England; [Miklosi, Andras G.; Felce, James H.; Caselli, Marco; Pereno, Valerio] Oxford Nanoimaging Ltd, Oxford, England</t>
  </si>
  <si>
    <t>University of Hamburg; University Medical Center Hamburg-Eppendorf; University of Hamburg; University Medical Center Hamburg-Eppendorf; University of Hamburg; University Medical Center Hamburg-Eppendorf; University of Hamburg; University Medical Center Hamburg-Eppendorf; University of Hamburg; University Medical Center Hamburg-Eppendorf; University of Hamburg; University Medical Center Hamburg-Eppendorf; University of Hamburg; University Medical Center Hamburg-Eppendorf; University of Hamburg; University Medical Center Hamburg-Eppendorf; Heinrich Pette Institute; University of Freiburg; National Institutes of Health (NIH) - USA; NIH National Cancer Institute (NCI); Karolinska Institutet; University of Duisburg Essen</t>
  </si>
  <si>
    <t>Ricklefs, FL (corresponding author), Univ Med Ctr Hamburg Eppendorf, Dept Neurosurg, Martinistr 52, D-20246 Hamburg, Germany.;Lamszus, K (corresponding author), Univ Med Ctr Hamburg Eppendorf, Dept Neurosurg, Lab Brain Tumor Biol, Martinistr 52, D-20246 Hamburg, Germany.</t>
  </si>
  <si>
    <t>lamszus@uke.de; f.ricklefs@uke.de</t>
  </si>
  <si>
    <t>Welsh, Joshua A./I-8560-2017; Jones, Jennifer C/C-8691-2015; Görgens, André/C-3835-2016</t>
  </si>
  <si>
    <t>Welsh, Joshua A./0000-0002-1097-9756; Jones, Jennifer C/0000-0002-9488-7719; Görgens, André/0000-0001-9198-0857</t>
  </si>
  <si>
    <t>1522-8517</t>
  </si>
  <si>
    <t>1523-5866</t>
  </si>
  <si>
    <t>10.1093/neuonc/noab012</t>
  </si>
  <si>
    <t>Oncology; Clinical Neurology</t>
  </si>
  <si>
    <t>Oncology; Neurosciences &amp; Neurology</t>
  </si>
  <si>
    <t>WOS:000715361700009</t>
  </si>
  <si>
    <t>Amrollahi, P; Rodrigues, M; Lyon, CJ; Goel, A; Han, HY; Hu, TY</t>
  </si>
  <si>
    <t>Amrollahi, Pouya; Rodrigues, Meryl; Lyon, Christopher J.; Goel, Ajay; Han, Haiyong; Hu, Tony Y.</t>
  </si>
  <si>
    <t>Ultra-Sensitive Automated Profiling of EpCAM Expression on Tumor-Derived Extracellular Vesicles</t>
  </si>
  <si>
    <t>FRONTIERS IN GENETICS</t>
  </si>
  <si>
    <t>liquid biopsy; extracellular vesicles; exosome; biomarker profiling; EpCAM; automated microscopy</t>
  </si>
  <si>
    <t>GOLD NANORODS; MESENCHYMAL TRANSITION; EXOSOMES; CHALLENGES; SCATTERING; MUTATIONS; SURVIVAL; DNA</t>
  </si>
  <si>
    <t>Extracellular vesicles (EVs) are abundant in most biological fluids and considered promising biomarker candidates, but the development of EV biomarker assays is hindered, in part, by their requirement for prior EV purification and the lack of standardized and reproducible EV isolation methods. We now describe a far-field nanoplasmon-enhanced scattering (FF-nPES) assay for the isolation-free characterization of EVs present in small volumes of serum (&lt; 5 mu l). In this approach, EVs are captured with a cancer-selective antibody, hybridized with gold nanorods conjugated with an antibody to the EV surface protein CD9, and quantified by their ability to scatter light when analyzed using a fully automated dark-field microscope system. Our results indicate that FF-nPES performs similarly to EV ELISA, when analyzing EV surface expression of epithelial cell adhesion molecule (EpCAM), which has clinical significant as a cancer biomarker. Proof-of-concept FF-nPES data indicate that it can directly analyze EV EpCAM expression from serum samples to distinguish early stage pancreatic ductal adenocarcinoma patients from healthy subjects, detect the development of early stage tumors in a mouse model of spontaneous pancreatic cancer, and monitor tumor growth in patient derived xenograft mouse models of pancreatic cancer. FF-nPES thus appears to exhibit strong potential for the direct analysis of EV membrane biomarkers for disease diagnosis and treatment monitoring.</t>
  </si>
  <si>
    <t>[Amrollahi, Pouya; Rodrigues, Meryl; Lyon, Christopher J.; Hu, Tony Y.] Arizona State Univ, Biodesign Inst, Virginia G Piper Biodesign Ctr Personalized Diagn, Tempe, AZ 85287 USA; [Amrollahi, Pouya; Rodrigues, Meryl; Lyon, Christopher J.; Hu, Tony Y.] Arizona State Univ, Sch Biol &amp; Hlth Syst Engn, Tempe, AZ 85287 USA; [Goel, Ajay] Baylor Univ, Med Ctr, Baylor Res Inst, Dallas, TX USA; [Goel, Ajay] Baylor Univ, Med Ctr, Charles A Sammons Canc Ctr, Dallas, TX USA; [Han, Haiyong] Translat Genom Res Inst, Mol Med Div, Phoenix, AZ USA</t>
  </si>
  <si>
    <t>Arizona State University; Arizona State University-Tempe; Arizona State University; Arizona State University-Tempe; Baylor Scott &amp; White Health; Baylor University; Baylor University Medical Center; Baylor University; Baylor University Medical Center; Translational Genomics Research Institute</t>
  </si>
  <si>
    <t>Hu, TY (corresponding author), Arizona State Univ, Biodesign Inst, Virginia G Piper Biodesign Ctr Personalized Diagn, Tempe, AZ 85287 USA.;Hu, TY (corresponding author), Arizona State Univ, Sch Biol &amp; Hlth Syst Engn, Tempe, AZ 85287 USA.</t>
  </si>
  <si>
    <t>yhu16@tulane.edu</t>
  </si>
  <si>
    <t>Hu, Tony/0000-0002-5166-4937; Hu, Tony/0000-0001-7255-5409</t>
  </si>
  <si>
    <t>1664-8021</t>
  </si>
  <si>
    <t>DEC 17</t>
  </si>
  <si>
    <t>10.3389/fgene.2019.01273</t>
  </si>
  <si>
    <t>WOS:000504977100001</t>
  </si>
  <si>
    <t>Mitchell, MI; Ben-Dov, IZ; Liu, C; Ye, K; Chow, K; Kramer, Y; Gangadharan, A; Park, S; Fitzgerald, S; Ramnauth, A; Perlin, DS; Donato, M; Bhoy, E; Doulabi, EM; Poulos, M; Kamali-Moghaddam, M; Loudig, O</t>
  </si>
  <si>
    <t>Mitchell, Megan, I; Ben-Dov, Iddo Z.; Liu, Christina; Ye, Kenny; Chow, Kar; Kramer, Yael; Gangadharan, Anju; Park, Steven; Fitzgerald, Sean; Ramnauth, Andrew; Perlin, David S.; Donato, Michele; Bhoy, Emily; Doulabi, Ehsan Manouchehri; Poulos, Michael; Kamali-Moghaddam, Masood; Loudig, Olivier</t>
  </si>
  <si>
    <t>Extracellular Vesicle Capture by AnTibody of CHoice and Enzymatic Release (EV-CATCHER): A customizable purification assay designed for small-RNA biomarker identification and evaluation of circulating small-EVs</t>
  </si>
  <si>
    <t>exosome purification; extracellular vesicles; micro-RNA profiling; sequencing; TEM</t>
  </si>
  <si>
    <t>TUMOR DNA; EXOSOMES; CANCER; MICRORNAS</t>
  </si>
  <si>
    <t>Circulating nucleic acids, encapsulated within small extracellular vesicles (EVs), provide a remote cellular snapshot of biomarkers derived from diseased tissues, however selective isolation is critical. Current laboratory-based purification techniques rely on the physical properties of small-EVs rather than their inherited cellular fingerprints. We established a highly-selective purification assay, termed EV-CATCHER, initially designed for high-throughput analysis of low-abundance small-RNA cargos by next-generation sequencing. We demonstrated its selectivity by specifically isolating and sequencing small-RNAs from mouse small-EVs spiked into human plasma. Western blotting, nanoparticle tracking, and transmission electron microscopy were used to validate and quantify the capture and release of intact small-EVs. As proof-of-principle for sensitive detection of circulating miRNAs, we compared small-RNA sequencing data from a subset of small-EVs serum-purified with EV-CATCHER to data from whole serum, using samples from a small cohort of recently hospitalized Covid-19 patients. We identified and validated, only in small-EVs, hsa-miR-146a and hsa-miR-126-3p to be significantly downregulated with disease severity. Separately, using convalescent sera from recovered Covid-19 patients with high anti-spike IgG titers, we confirmed the neutralizing properties, against SARS-CoV-2 in vitro, of a subset of small-EVs serum-purified by EV-CATCHER, as initially observed with ultracentrifuged small-EVs. Altogether our data highlight the sensitivity and versatility of EV-CATCHER.</t>
  </si>
  <si>
    <t>[Mitchell, Megan, I; Liu, Christina; Park, Steven; Fitzgerald, Sean; Perlin, David S.; Bhoy, Emily; Poulos, Michael; Loudig, Olivier] Hackensack Meridian Hlth, Ctr Discovery &amp; Innovat, Nutley, NJ USA; [Ben-Dov, Iddo Z.] Hadassah Hebrew Univ, Lab Med Transcript, Med Ctr, Jerusalem, Israel; [Ye, Kenny] Albert Einstein Coll Med, Dept Epidemiol &amp; Populat Hlth, Bronx, NY 10467 USA; [Chow, Kar; Kramer, Yael; Gangadharan, Anju; Donato, Michele] Hackensack Univ Med Ctr, Biorepository, Hackensack, NJ USA; [Ramnauth, Andrew] Weill Cornell Med, Dept Pathol &amp; Lab Med, New York, NY USA; [Doulabi, Ehsan Manouchehri; Kamali-Moghaddam, Masood] Uppsala Univ, Dept Immunol Genet &amp; Pathol, Sci Life Lab, Uppsala, Sweden</t>
  </si>
  <si>
    <t>Hebrew University of Jerusalem; Hadassah University Medical Center; Yeshiva University; Albert Einstein College of Medicine; Hackensack University Medical Center; Cornell University; Uppsala University</t>
  </si>
  <si>
    <t>Loudig, O (corresponding author), Ctr Discovery &amp; Innovat, Nutley, NJ 07110 USA.</t>
  </si>
  <si>
    <t>olivier.loudig@hmh-cdi.org</t>
  </si>
  <si>
    <t>Ben-Dov, Iddo/F-3282-2010; Ye, Kenny/U-2341-2019</t>
  </si>
  <si>
    <t>Ben-Dov, Iddo/0000-0002-9180-3604; Ye, Kenny/0000-0002-1466-855X; ManouchehriDoulabi, Ehsan/0000-0003-1639-2267; Park, Steven/0000-0002-6757-1559</t>
  </si>
  <si>
    <t>e12110</t>
  </si>
  <si>
    <t>10.1002/jev2.12110</t>
  </si>
  <si>
    <t>WOS:000657328100001</t>
  </si>
  <si>
    <t>Sanchez-Torres, V; Maeda, T; Wood, TK</t>
  </si>
  <si>
    <t>Sanchez-Torres, Viviana; Maeda, Toshinari; Wood, Thomas K.</t>
  </si>
  <si>
    <t>Global regulator H-NS and lipoprotein NlpI influence production of extracellular DNA in Escherichia coli</t>
  </si>
  <si>
    <t>Extracellular DNA; H-NS; NlpI</t>
  </si>
  <si>
    <t>COMPETENCE GENE HOMOLOGS; BIOFILM FORMATION; PSEUDOMONAS-AERUGINOSA; CHROMOSOMAL DNA; RELEASE; PROTEIN; DATABASE; K-12; CONTRIBUTES; EXPRESSION</t>
  </si>
  <si>
    <t>Extracellular DNA (eDNA) is a structural component of the polymeric matrix of biofilms from different species. Different mechanisms for DNA release have been proposed including lysis of cells, lysis of DNA-containing vesicles, and DNA secretion. Here, a genome-wide screen of 3985 non-lethal mutations was performed to identify genes whose deletion alters eDNA release in Escherichia coli. Deleting nip!, yfeC, and rna increased eDNA from planktonic cultures while deleting hns and rfaD decreased eDNA production. The lipoprotein NlpI negatively affects eDNA release since the overexpression of nlpI decreases eDNA 16 fold while deleting nlpI increases eDNA threefold. The global regulator H-NS is required for eDNA production since DNA was not detected for the hiss mutant and production of H-NS restored eDNA production to wild-type levels. Therefore our results suggest that secretion may play a role in eDNA release in E. coli since the effect of the hiss deletion on cell lysis (slight decrease) and membrane vesicles (threefold increase) does not account for the reduction in eDNA. (C) 2010 Elsevier Inc. All rights reserved.</t>
  </si>
  <si>
    <t>[Sanchez-Torres, Viviana; Maeda, Toshinari; Wood, Thomas K.] Texas A&amp;M Univ, Dept Chem Engn, College Stn, TX 77843 USA; [Maeda, Toshinari] Kyushu Inst Technol, Dept Biol Funct &amp; Engn, Kitakyushu, Fukuoka 8080196, Japan</t>
  </si>
  <si>
    <t>Texas A&amp;M University System; Texas A&amp;M University College Station; Kyushu Institute of Technology</t>
  </si>
  <si>
    <t>Wood, TK (corresponding author), Texas A&amp;M Univ, Dept Chem Engn, College Stn, TX 77843 USA.</t>
  </si>
  <si>
    <t>Thomas.Wood@chemail.tamu.edu</t>
  </si>
  <si>
    <t>; Maeda, Toshinari/G-3302-2017</t>
  </si>
  <si>
    <t>Wood, Thomas/0000-0002-6258-529X; Maeda, Toshinari/0000-0002-6219-9110; Sanchez-Torres, Viviana/0000-0002-0047-9459</t>
  </si>
  <si>
    <t>OCT 15</t>
  </si>
  <si>
    <t>10.1016/j.bbrc.2010.09.026</t>
  </si>
  <si>
    <t>WOS:000283571700006</t>
  </si>
  <si>
    <t>Jeppesen, DK; Fenix, AM; Franklin, JL; Higginbotham, JN; Zhang, Q; Zimmerman, LJ; Liebler, DC; Ping, J; Liu, Q; Evans, R; Fissell, WH; Patton, JG; Rome, LH; Burnette, DT; Coffey, RJ</t>
  </si>
  <si>
    <t>Jeppesen, Dennis K.; Fenix, Aidan M.; Franklin, Jeffrey L.; Higginbotham, James N.; Zhang, Qin; Zimmerman, Lisa J.; Liebler, Daniel C.; Ping, Jie; Liu, Qi; Evans, Rachel; Fissell, William H.; Patton, James G.; Rome, Leonard H.; Burnette, Dylan T.; Coffey, Robert J.</t>
  </si>
  <si>
    <t>Reassessment of Exosome Composition</t>
  </si>
  <si>
    <t>CELL</t>
  </si>
  <si>
    <t>EXTRACELLULAR VESICLES; MULTIVESICULAR BODIES; AUTOPHAGIC VACUOLES; MEDIATED TRANSFER; APOPTOTIC BODIES; CANCER EXOSOMES; MICROVESICLES; INHIBITION; PROTEOMICS; MICRORNAS</t>
  </si>
  <si>
    <t>The heterogeneity of small extracellular vesicles and presence of non-vesicular extracellular matter have led to debate about contents and functional properties of exosomes. Here, we employ high-resolution density gradient fractionation and direct immunoaffinity capture to precisely characterize the RNA, DNA, and protein constituents of exosomes and other non-vesicle material. Extracellular RNA, RNA-binding proteins, and other cellular proteins are differentially expressed in exosomes and non-vesicle compartments. Argonaute 1-4, glycolytic enzymes, and cytoskeletal proteins were not detected in exosomes. We identify annexin Al as a specific marker for microvesicles that are shed directly from the plasma membrane. We further show that small extracellular vesicles are not vehicles of active DNA release. instead, we propose a new model for active secretion of extracellular DNA through an autophagy- and multivesicular-endosome-dependent but exosome-independent mechanism. This study demonstrates the need for a reassessment of exosome composition and offers a framework for a clearer understanding of extracellular vesicle heterogeneity.</t>
  </si>
  <si>
    <t>[Jeppesen, Dennis K.; Franklin, Jeffrey L.; Higginbotham, James N.; Zhang, Qin; Coffey, Robert J.] Vanderbilt Univ, Med Ctr, Dept Med, Nashville, TN 37232 USA; [Fenix, Aidan M.; Franklin, Jeffrey L.; Burnette, Dylan T.; Coffey, Robert J.] Vanderbilt Univ, Sch Med, Dept Cell &amp; Dev Biol, Nashville, TN 37232 USA; [Zimmerman, Lisa J.; Liebler, Daniel C.] Vanderbilt Univ, Med Ctr, Jim Ayers Inst Precanc Detect &amp; Diag, Nashville, TN 37232 USA; [Ping, Jie; Liu, Qi] Vanderbilt Univ, Med Ctr, Dept Biostat, Nashville, TN 37232 USA; [Evans, Rachel; Fissell, William H.] Vanderbilt Univ, Med Ctr, Div Nephrol &amp; Hypertens, Nashville, TN 37232 USA; [Patton, James G.] Vanderbilt Univ, Dept Biol Sci, Nashville, TN 37235 USA; [Rome, Leonard H.] Univ Calif Los Angeles, David Geffen Sch Med, Dept Biol Chem, Los Angeles, CA 90095 USA; [Rome, Leonard H.] Univ Calif Los Angeles, Calif NanoSyst Inst, Los Angeles, CA 90095 USA; [Franklin, Jeffrey L.; Coffey, Robert J.] Vet Affairs Med Ctr, Nashville, TN 37232 USA</t>
  </si>
  <si>
    <t>Vanderbilt University; Vanderbilt University; Vanderbilt University; Vanderbilt University; Vanderbilt University; Vanderbilt University; University of California System; University of California Los Angeles; University of California Los Angeles Medical Center; David Geffen School of Medicine at UCLA; University of California System; University of California Los Angeles; US Department of Veterans Affairs; Veterans Health Administration (VHA); VA Tennessee Valley Healthcare System</t>
  </si>
  <si>
    <t>Coffey, RJ (corresponding author), Vanderbilt Univ, Med Ctr, Dept Med, Nashville, TN 37232 USA.;Coffey, RJ (corresponding author), Vanderbilt Univ, Sch Med, Dept Cell &amp; Dev Biol, Nashville, TN 37232 USA.;Coffey, RJ (corresponding author), Vet Affairs Med Ctr, Nashville, TN 37232 USA.</t>
  </si>
  <si>
    <t>robert.coffey@vumc.org</t>
  </si>
  <si>
    <t>Jeppesen, Dennis K./R-4003-2017</t>
  </si>
  <si>
    <t>Jeppesen, Dennis K./0000-0002-7480-8083; Fenix, Aidan/0000-0002-1564-7347; Fissell, William/0000-0002-3960-3998; Ping, Jie/0000-0001-9907-5819</t>
  </si>
  <si>
    <t>0092-8674</t>
  </si>
  <si>
    <t>1097-4172</t>
  </si>
  <si>
    <t>10.1016/j.cell.2019.02.029</t>
  </si>
  <si>
    <t>WOS:000463346200020</t>
  </si>
  <si>
    <t>Figueroa, JM; Skog, J; Akers, J; Li, HY; Komotar, R; Jensen, R; Ringel, F; Yang, I; Kalkanis, S; Thompson, R; LoGuidice, L; Berghoff, E; Parsa, A; Liau, L; Curry, W; Cahill, D; Bettegowda, C; Lang, FF; Chiocca, EA; Henson, J; Kim, R; Breakefield, X; Chen, C; Messer, K; Hochberg, F; Carter, BS</t>
  </si>
  <si>
    <t>Figueroa, Javier M.; Skog, Johan; Akers, Johnny; Li, Hongying; Komotar, Ricardo; Jensen, Randy; Ringel, Florian; Yang, Isaac; Kalkanis, Steven; Thompson, Reid; LoGuidice, Lori; Berghoff, Emily; Parsa, Andrew; Liau, Linda; Curry, William; Cahill, Daniel; Bettegowda, Chetan; Lang, Frederick F.; Chiocca, E. Antonio; Henson, John; Kim, Ryan; Breakefield, Xandra; Chen, Clark; Messer, Karen; Hochberg, Fred; Carter, Bob S.</t>
  </si>
  <si>
    <t>Detection of wild-type EGFR amplification and EGFRvIII mutation in CSF-derived extracellular vesicles of glioblastoma patients</t>
  </si>
  <si>
    <t>biomarker; CSF; EGFRvIII; glioma; vesicle</t>
  </si>
  <si>
    <t>GROWTH-FACTOR RECEPTOR; CEREBROSPINAL-FLUID; MICROVESICLES; MULTIFORME; CONCURRENT; EFFICACY; EXOSOMES; SAFETY; BIOPSY; RNA</t>
  </si>
  <si>
    <t>Background. RNAs within extracellular vesicles (EVs) have potential as diagnostic biomarkers for patients with cancer and are identified in a variety of biofluids. Glioblastomas (GBMs) release EVs containing RNA into cerebrospinal fluid (CSF). Here we describe a multi-institutional study of RNA extracted from CSF-derived EVs of GBM patients to detect the presence of tumor-associated amplifications and mutations in epidermal growth factor receptor (EGFR). Methods. CSF and matching tumor tissue were obtained from patients undergoing resection of GBMs. We determined wild-type (wt) EGFR DNA copy number amplification, as well as wtEGFR and EGFR variant (v) III RNA expression in tumor samples. We also characterized wtEGFR and EGFRvIII RNA expression in CSF-derived EVs. Results. EGFRvIII-positive tumors had significantly greater wtEGFR DNA amplification (P = 0.02) and RNA expression (P = 0.03), and EGFRvIII-positive CSF-derived EVs had significantly more wtEGFR RNA expression (P = 0.004). EGFRvIII was detected in CSF-derived EVs for 14 of the 23 EGFRvIII tissue-positive GBM patients. Conversely, only one of the 48 EGFRvIII tissue-negative patients had the EGFRvIII mutation detected in their CSF-derived EVs. These results yield a sensitivity of 61% and a specificity of 98% for the utility of CSF-derived EVs to detect an EGFRvIIIpositive GBM. Conclusion. Our results demonstrate CSF-derived EVs contain RNA signatures reflective of the underlying molecular genetic status of GBMs in terms of wtEGFR expression and EGFRvIII status. The high specificity of the CSF-derived EV diagnostic test gives us an accurate determination of positive EGFRvIII tumor status and is essentially a less invasive liquid biopsy that might direct mutation-specific therapies for GBMs.</t>
  </si>
  <si>
    <t>[Figueroa, Javier M.; Akers, Johnny; Komotar, Ricardo; Chen, Clark; Hochberg, Fred; Carter, Bob S.] Univ Calif San Diego, Div Neurosurg, San Diego, CA 92103 USA; [Li, Hongying; Messer, Karen] Univ Calif San Diego, Div Biostat, San Diego, CA 92103 USA; [Skog, Johan; Berghoff, Emily; Liau, Linda; Breakefield, Xandra] Exosome Diagnost Inc, New York, NY USA; [Komotar, Ricardo] Univ Miami, Dept Neurosurg, Miami, FL USA; [Jensen, Randy] Univ Utah, Dept Neurosurg, Salt Lake City, UT USA; [Ringel, Florian] Neurochirurg Klin &amp; Poliklin, Munich, Germany; [Kalkanis, Steven] Henry Ford Hlth Syst, Dept Neurosurg, Detroit, MI USA; [Thompson, Reid] Vanderbilt Univ, Dept Neurosurg, 221 Kirkland Hall, Nashville, TN 37235 USA; [Parsa, Andrew] Northwestern Univ, Dept Neurosurg, Chicago, IL 60611 USA; [Yang, Isaac; Liau, Linda] Univ Calif Los Angeles, Dept Neurosurg, 200 West Arbor Dr, Los Angeles, CA 92103 USA; [Bettegowda, Chetan] Johns Hopkins Univ, Dept Neurosurg, Baltimore, MD USA; [Lang, Frederick F.] Univ Texas MD Anderson Canc Ctr, Dept Neurosurg, Houston, TX 77030 USA; [Chiocca, E. Antonio] Brigham &amp; Womens Hosp, Dept Neurosurg, 75 Francis St, Boston, MA 02115 USA; [Henson, John] Swedish Med Ctr, Dept Neurol, Seattle, WA USA; [Curry, William; Cahill, Daniel] Massachusetts Gen Hosp, Dept Neurosurg, Boston, MA 02114 USA</t>
  </si>
  <si>
    <t>University of California System; University of California San Diego; University of California System; University of California San Diego; University of Miami; Utah System of Higher Education; University of Utah; Henry Ford Hospital; Vanderbilt University; Northwestern University; University of California System; University of California Los Angeles; Johns Hopkins University; University of Texas System; UTMD Anderson Cancer Center; Harvard University; Brigham &amp; Women's Hospital; Swedish Medical Center; Harvard University; Massachusetts General Hospital</t>
  </si>
  <si>
    <t>Carter, BS (corresponding author), Univ Calif Los Angeles, Dept Neurosurg, 200 West Arbor Dr, Los Angeles, CA 92103 USA.</t>
  </si>
  <si>
    <t>bobcarter@ucsd.edu</t>
  </si>
  <si>
    <t>Yang, Isaac/AAT-5897-2020; Ringel, Florian/E-4933-2014; Carter, Bob/AAB-4868-2021</t>
  </si>
  <si>
    <t>Yang, Isaac/0000-0002-5176-5615; Carter, Bob/0000-0002-3586-1324; Skog, Johan/0000-0002-0926-1691; Liau, Linda/0000-0002-4053-0052; Cahill, Daniel/0000-0003-2552-6546</t>
  </si>
  <si>
    <t>10.1093/neuonc/nox085</t>
  </si>
  <si>
    <t>WOS:000413219400010</t>
  </si>
  <si>
    <t>Strohmeier, K; Hofmann, M; Hauser, F; Sivun, D; Puthukodan, S; Karner, A; Sandner, G; Le Renard, PE; Jacak, J; Mairhofer, M</t>
  </si>
  <si>
    <t>Strohmeier, Karin; Hofmann, Martina; Hauser, Fabian; Sivun, Dmitry; Puthukodan, Sujitha; Karner, Andreas; Sandner, Georg; Le Renard, Pol-Edern; Jacak, Jaroslaw; Mairhofer, Mario</t>
  </si>
  <si>
    <t>CRISPR/Cas9 Genome Editing vs. Over-Expression for Fluorescent Extracellular Vesicle-Labeling: A Quantitative Analysis</t>
  </si>
  <si>
    <t>extracellular vesicles; genome editing; CRISPR; Cas9; single-molecule fluorescence microscopy; atomic force microscopy; single-molecule labeling stoichiometry; CD63</t>
  </si>
  <si>
    <t>PROTEOMIC ANALYSIS; CELL BIOLOGY; TECHNOLOGY; CRISPR-CAS9; EXOSOMES; IMAGES; DNA</t>
  </si>
  <si>
    <t>Over-expression of fluorescently-labeled markers for extracellular vesicles is frequently used to visualize vesicle up-take and transport. EVs that are labeled by over-expression show considerable heterogeneity regarding the number of fluorophores on single particles, which could potentially bias tracking and up-take studies in favor of more strongly-labeled particles. To avoid the potential artefacts that are caused by over-expression, we developed a genome editing approach for the fluorescent labeling of the extracellular vesicle marker CD63 with green fluorescent protein using the CRISPR/Cas9 technology. Using single-molecule sensitive fluorescence microscopy, we quantitatively compared the degree of labeling of secreted small extracellular vesicles from conventional over-expression and the CRISPR/Cas9 approach with true single-particle measurements. With our analysis, we can demonstrate a larger fraction of single-GFP-labeled EVs in the EVs that were isolated from CRISPR/Cas9-modified cells (83%) compared to EVs that were isolated from GFP-CD63 over-expressing cells (36%). Despite only single-GFP-labeling, CRISPR-EVs can be detected and discriminated from auto-fluorescence after their up-take into cells. To demonstrate the flexibility of the CRISPR/Cas9 genome editing method, we fluorescently labeled EVs using the HaloTag(R) with lipid membrane permeable dye, JaneliaFluor(R) 646, which allowed us to perform 3D-localization microscopy of single EVs taken up by the cultured cells.</t>
  </si>
  <si>
    <t>[Strohmeier, Karin; Hofmann, Martina; Hauser, Fabian; Sivun, Dmitry; Puthukodan, Sujitha; Karner, Andreas; Jacak, Jaroslaw; Mairhofer, Mario] Univ Appl Sci Upper Austria, Dept Med Engn &amp; Appl Social Sci, Garnisonstr 21, A-4020 Linz, Austria; [Sandner, Georg] Univ Appl Sci Upper Austria, Ctr Excellence Food Technol &amp; Nutr, Stelzhamerstr 23, A-4600 Wels, Austria; [Le Renard, Pol-Edern] Ctr Adv Bioanal GmbH, Gruberstr 38, A-4020 Linz, Austria; [Jacak, Jaroslaw] Austrian Cluster Tissue Regenerat, A-1200 Vienna, Austria; [Mairhofer, Mario] Johannes Kepler Univ Linz, Dept Hematol &amp; Internal Oncol, Altenbergerstr 69, A-4020 Linz, Austria</t>
  </si>
  <si>
    <t>Johannes Kepler University Linz</t>
  </si>
  <si>
    <t>Mairhofer, M (corresponding author), Univ Appl Sci Upper Austria, Dept Med Engn &amp; Appl Social Sci, Garnisonstr 21, A-4020 Linz, Austria.;Mairhofer, M (corresponding author), Johannes Kepler Univ Linz, Dept Hematol &amp; Internal Oncol, Altenbergerstr 69, A-4020 Linz, Austria.</t>
  </si>
  <si>
    <t>karin.strohmeier@fh-linz.at; martina.hofmann@fh-linz.at; fabian.hauser@fh-linz.at; dmitry.sivun@fh-linz.at; sujitha.puthukodan@fh-linz.at; andreas.karner@fh-linz.at; georg.sandner@fh-wels.at; lerenard.pe@gmail.com; jaroslaw.jacak@fh-linz.at; mario.mairhofer@jku.at</t>
  </si>
  <si>
    <t>Jacak, Jarosław/AAM-9987-2021</t>
  </si>
  <si>
    <t>Jacak, Jarosław/0000-0002-4989-1276; Sandner, Georg/0000-0001-8740-6123; Strohmeier, Karin/0000-0003-2375-7631; Karner, Andreas/0000-0002-4014-5605</t>
  </si>
  <si>
    <t>10.3390/ijms23010282</t>
  </si>
  <si>
    <t>WOS:000750805900001</t>
  </si>
  <si>
    <t>Cheng, A; Choi, D; Lora, M; Shum-Tim, D; Rak, J; Colmegna, I</t>
  </si>
  <si>
    <t>Cheng, Anastasia; Choi, Dongsic; Lora, Maximilien; Shum-Tim, Dominique; Rak, Janusz; Colmegna, Ines</t>
  </si>
  <si>
    <t>Human multipotent mesenchymal stromal cells cytokine priming promotes RAB27B-regulated secretion of small extracellular vesicles with immunomodulatory cargo</t>
  </si>
  <si>
    <t>Multipotent mesenchymal stromal cells; MSC; Extracellular vesicles; Exosomes; sEVs; RAB27B; TSG6; A20</t>
  </si>
  <si>
    <t>STEM-CELLS; MYOCARDIAL-INFARCTION; CHRONIC INFLAMMATION; EXOSOME SECRETION; RESPONSES; RELEASE; IMPROVE; TNFAIP3; A20; ANGIOGENESIS</t>
  </si>
  <si>
    <t>Background The paracrine effects of multipotent mesenchymal stromal cells (MSCs) are mediated by their secretome composed by soluble factors (i.e., cytokines, growth factors, hormones) and extracellular vesicles (EVs). EVs promote intercellular communication, and the EV cargoes [e.g., proteins, soluble factors, microRNAs (miRNAs), messenger RNA (mRNA), DNA] reflect the molecular and functional characteristics of their parental cells. MSC-derived EVs (MSC-EVs) are currently evaluated as subcellular therapeutics. A key function of the MSC secretome is its ability to promote immune tolerance (i.e., immunopotency), a property that is enhanced by priming approaches (e.g., cytokines, hypoxia, chemicals) and inversely correlates with the age of the MSC donors. We evaluated mechanisms underlying MSC vesiculation and the effects of inflammation and aging on this process. Methods We evaluated the effects of interferon gamma (IFN-gamma) and tumor necrosis factor alpha (TNF-alpha) on human adipose-derived MSC: (a) vesiculation (custom RT2 Profiler PCR Array), (b) EV profiles (Nanoparticle Tracking Analysis and Nanoparticle Flow Cytometry), (c) EV cargo (proteomic analysis and Western blot analysis), and (d) immunopotency (standard MSC:CD4 T cell proliferation inhibition assay). We confirmed the role of RAB27B on MSC vesiculation (RAB27B siRNA) and assessed its differential contribution to vesiculation in adult and pediatric MSCs (qPCR). Results Cytokine priming upregulated RAB27B in adipose-derived MSCs increasing their secretion of exosome-like small EVs (sEVs; &lt; 200 nm) containing two key mediators of immunopotency: A20 and TSG-6. These EVs inhibited T cell proliferation in a dose-dependent manner. RAB27B siRNA inhibited MSC vesiculation. Adipose-derived MSCs isolated from pediatric donors exhibited higher RAB27B expression and secreted more sEVs than adult MSCs. Conclusions Cytokine priming is a useful strategy to harvest anti-inflammatory MSC-sEVs for clinical applications. Of relevance, donor age should be considered in the selection of MSC-sEVs for clinical applications.</t>
  </si>
  <si>
    <t>[Cheng, Anastasia; Choi, Dongsic; Lora, Maximilien; Rak, Janusz; Colmegna, Ines] McGill Univ, Hlth Ctr, Res Inst, 1001 Decarie Blvd,Off EM2-3238, Montreal, PQ H4A 3J1, Canada; [Shum-Tim, Dominique] McGill Univ, Dept Surg, Div Cardiac Surg, Montreal, PQ, Canada; [Colmegna, Ines] McGill Univ, Dept Med, Div Rheumatol, Montreal, PQ, Canada</t>
  </si>
  <si>
    <t>McGill University; McGill University; McGill University</t>
  </si>
  <si>
    <t>Colmegna, I (corresponding author), McGill Univ, Hlth Ctr, Res Inst, 1001 Decarie Blvd,Off EM2-3238, Montreal, PQ H4A 3J1, Canada.;Colmegna, I (corresponding author), McGill Univ, Dept Med, Div Rheumatol, Montreal, PQ, Canada.</t>
  </si>
  <si>
    <t>ines.colmegna@mcgill.ca</t>
  </si>
  <si>
    <t>Choi, Dongsic/AAA-5674-2021; Choi, Dongsic/AAZ-9386-2020</t>
  </si>
  <si>
    <t>DEC 14</t>
  </si>
  <si>
    <t>10.1186/s13287-020-02050-6</t>
  </si>
  <si>
    <t>WOS:000599808400004</t>
  </si>
  <si>
    <t>Foroni, C; Zarovni, N; Bianciardi, L; Bernardi, S; Triggiani, L; Zocco, D; Venturella, M; Chiesi, A; Valcamonico, F; Berruti, A</t>
  </si>
  <si>
    <t>Foroni, Chiara; Zarovni, Natasa; Bianciardi, Laura; Bernardi, Simona; Triggiani, Luca; Zocco, Davide; Venturella, Marta; Chiesi, Antonio; Valcamonico, Francesca; Berruti, Alfredo</t>
  </si>
  <si>
    <t>When Less Is More: Specific Capture and Analysis of Tumor Exosomes in Plasma Increases the Sensitivity of Liquid Biopsy for Comprehensive Detection of Multiple Androgen Receptor Phenotypes in Advanced Prostate Cancer Patients</t>
  </si>
  <si>
    <t>exosomes; extracellular vesicles; castration resistant prostate cancer; AR-V7; liquid biopsy</t>
  </si>
  <si>
    <t>MESSENGER-RNA; PSA RESPONSE; ABIRATERONE; RESISTANCE; VARIANTS; CELLS; AR-V7; MEN; AR</t>
  </si>
  <si>
    <t>We evaluated the advantages and the reliability of novel protocols for the enrichment of tumor extracellular vesicles (EVs), enabling a blood-based test for the noninvasive parallel profiling of multiple androgen receptor (AR) gene alterations. Three clinically relevant AR variants related to response/resistance to standard-of-care treatments (AR-V7 transcript, AR T878A point mutation and AR gene amplification) were evaluated by digital PCR in 15 samples from patients affected by Castration-Resistant Prostate Cancer (CRPC). Plasma was processed to obtain circulating RNA and DNA using protocols based on tumor EVs enrichment through immuno-affinity and peptide-affinity compared to generic extraction kits. Our results showed that immuno-affinity enrichment prior to RNA extraction clearly outperforms the generic isolation method in the detection of AR-V7, also allowing for a distinction between responder (R) and non-responder (NR) patients. The T878A mutation was detected, overall, in nine out of 15 samples and no approach alone was able to reveal mutations in all harboring samples, showing that the employed methods complement each other. AR amplification was detected in the majority of CRPC samples analysed using either cell-free DNA (cfDNA) or exosome isolation kits (80%). We demonstrated that selective isolation of a subset of circulating exosomes enriched for tumor origin, rather than analysis of total plasma exosomes, or total plasma nucleic acids, increases sensitivity and specificity for the detection of specific alterations.</t>
  </si>
  <si>
    <t>[Foroni, Chiara; Bernardi, Simona] ASST Spedali Civili Brescia, CREA Lab, Ctr Ric Ematooncol AIL, I-25123 Brescia, Italy; [Foroni, Chiara; Valcamonico, Francesca; Berruti, Alfredo] Univ Brescia, Dept Med &amp; Surg Specialties, Oncol Unit, Radiol Sci &amp; Publ Hlth,ASST Spedali Civili Bresci, I-25123 Brescia, Italy; [Zarovni, Natasa; Bianciardi, Laura; Zocco, Davide; Venturella, Marta; Chiesi, Antonio] Exos SpA Siena, Str Petriccio &amp; Belriguardo 35, I-53100 Siena, Italy; [Bernardi, Simona] Univ Brescia, Dept Clin &amp; Expt Sci, Unit Blood Dis &amp; Stem Cell Transplantat, ASST Spedali Civili Brescia, I-25123 Brescia, Italy; [Triggiani, Luca] Univ Brescia, Radiat Oncol Dept, ASST Spedali Civili, I-25123 Brescia, Italy</t>
  </si>
  <si>
    <t>Hospital Spedali Civili Brescia; University of Brescia; Hospital Spedali Civili Brescia; University of Brescia; Hospital Spedali Civili Brescia; University of Brescia</t>
  </si>
  <si>
    <t>Foroni, C (corresponding author), ASST Spedali Civili Brescia, CREA Lab, Ctr Ric Ematooncol AIL, I-25123 Brescia, Italy.;Foroni, C (corresponding author), Univ Brescia, Dept Med &amp; Surg Specialties, Oncol Unit, Radiol Sci &amp; Publ Hlth,ASST Spedali Civili Bresci, I-25123 Brescia, Italy.;Zarovni, N (corresponding author), Exos SpA Siena, Str Petriccio &amp; Belriguardo 35, I-53100 Siena, Italy.</t>
  </si>
  <si>
    <t>chiaforons@gmail.com; nzarovni@exosomics.eu; lbianciardi@exosomics.eu; simona.bernardi86@gmail.com; luca.triggiani@unibs.it; dzocco@exosomics.eu; mventurella@exosomics.eu; achiesi@exosomics.eu; franzval@yahoo.it; alfredo.berruti@unibs.it</t>
  </si>
  <si>
    <t>bernardi, simona/K-4667-2018; Triggiani, Luca/AAC-5229-2022</t>
  </si>
  <si>
    <t>Triggiani, Luca/0000-0003-0168-3432; Bernardi, Simona/0000-0002-3494-2624</t>
  </si>
  <si>
    <t>10.3390/biomedicines8050131</t>
  </si>
  <si>
    <t>WOS:000540842200035</t>
  </si>
  <si>
    <t>Cho, H; Lee, WH; Kim, YK; Kim, KS</t>
  </si>
  <si>
    <t>Cho, Hyejin; Lee, Won-Hee; Kim, Yoon-Keun; Kim, Kwang-sun</t>
  </si>
  <si>
    <t>Extracellular vesicle-associated antigens as a new vaccine platform against scrub typhus</t>
  </si>
  <si>
    <t>Scrub typhus; Orientia tsutsugamushi; Vaccine; T-cell immunity; Extracellular vesicle; Antigen proteins</t>
  </si>
  <si>
    <t>OUTER-MEMBRANE VESICLES; ORIENTIA-TSUTSUGAMUSHI; PROTECTIVE IMMUNITY; IDENTIFICATION; RICKETTSIA; PROTEINS; DISEASE; CELL</t>
  </si>
  <si>
    <t>Scrub typhus is an acute vector-borne disease caused by infection with the intracellular gram-negative bacterium Orientia tsutsugamushi (Ot). The rapid production of an efficient vaccine against Ot using novel strategies is required because of the global increase in mortality caused by these infections; however, no commercial vaccine is currently available. Ot induces T-cell-mediated immunogenic responses upon infection; therefore, a new rapidly producible vaccine that maximizes T-cell responses against Ot is required. In this study, we sought to develop a model vaccine platform for T-cell-mediated Ot infection using T-cell-immunity associated Salmonella-derived extracellular vesicles (EVs). For this purpose, we optimized DNA sequences encoding the full-length Ot proteins, TSA56, ScaA, ScaC, ScaD, and ScaE, and their expression in Salmonella. The sequences were incorporated into a new platform vector, pKST, which ectopically and concurrently produces Ot proteins and EVs. Expression analysis using pKST-antigen plasmids showed that TSA56 and ScaC produced antigen-associated EVs and showed strong T-cell immunogenic responses. We found that mice vaccinated with EVs derived from TSA56-expressing cells were protected from Salmonella-induced mortality. Therefore, our findings showed that Salmonella EV-associated antigen is a model platform for T-cell immune response infections. Our system could help prepare EV-antigen vaccines against scrub typhus in an easy and rapid manner. (C) 2020 Elsevier Inc. All rights reserved.</t>
  </si>
  <si>
    <t>[Cho, Hyejin; Kim, Kwang-sun] Pusan Natl Univ, Busan 46241, South Korea; [Lee, Won-Hee; Kim, Yoon-Keun] MD Healthcare, Rm 1303,Woori Technol Bldg 9, Seoul 03923, South Korea</t>
  </si>
  <si>
    <t>Pusan National University</t>
  </si>
  <si>
    <t>Kim, KS (corresponding author), Pusan Natl Univ, Busan 46241, South Korea.</t>
  </si>
  <si>
    <t>kwangsun.kim@pusan.ac.kr</t>
  </si>
  <si>
    <t>Lee, Won Hee/0000-0003-0162-4176; Cho, hyejin/0000-0003-3550-1633</t>
  </si>
  <si>
    <t>MAR 12</t>
  </si>
  <si>
    <t>10.1016/j.bbrc.2020.01.014</t>
  </si>
  <si>
    <t>WOS:000526786900008</t>
  </si>
  <si>
    <t>Rubio, APD; Martinez, JH; Casillas, DCM; Leskow, FC; Piuri, M; Perez, OE</t>
  </si>
  <si>
    <t>Dominguez Rubio, A. Paula; Martinez, Jimena H.; Martinez Casillas, Diana C.; Coluccio Leskow, Federico; Piuri, Mariana; Perez, Oscar E.</t>
  </si>
  <si>
    <t>Lactobacillus casei BL23 Produces Microvesicles Carrying Proteins That Have Been Associated with Its Probiotic Effect</t>
  </si>
  <si>
    <t>microvesicles; Lactobacillus casei BL23; probiotics; vesicle size distribution; CFSE; proteomics</t>
  </si>
  <si>
    <t>ATOMIC-FORCE MICROSCOPY; EXTRACELLULAR VESICLES; MEMBRANE-VESICLES; IN-VITRO; HOST IMMUNE; BACTERIA; MILK; EXOSOMES; IMPACT; BLOOD</t>
  </si>
  <si>
    <t>Archaea, bacteria, and eukarya secrete membrane microvesicles (MVs) as a mechanism for intercellular communication. We report the isolation and characterization of MVs from the probiotic strain Lactobacillus casei BL23. MVs were characterized using analytical high performance techniques, DLS, AFM and TEM. Similar to what has been described for other Gram-positive bacteria, MVs were on the nanometric size range (30-50 nm). MVs carried cytoplasmic components such as DNA, RNA and proteins. Using a proteomic approach (LC-MS), we identified a total of 103 proteins; 13 exclusively present in the MVs. The MVs content included cell envelope associated and secretory proteins, heat and cold shock proteins, several metabolic enzymes, proteases, structural components of the ribosome, membrane transporters, cell wall-associated hydrolases and phage related proteins. In particular, we identified proteins described as mediators of Lactobacillus' probiotic effects such as p40, p75 and the product of LCABL_31160, annotated as an adhesion protein. The presence of these proteins suggests a role for the MVs in the bacteria-gastrointestinal cells interface. The expression and further encapsulation of proteins into MVs of GRAS (Generally Recognized as Safe) bacteria could represent a scientific novelty, with applications in food, nutraceuticals and clinical therapies.</t>
  </si>
  <si>
    <t>[Dominguez Rubio, A. Paula; Martinez, Jimena H.; Coluccio Leskow, Federico; Piuri, Mariana; Perez, Oscar E.] Univ Buenos Aires, Fac Ciencias Exactas &amp; Nat, Dept Quim Biol, Buenos Aires, DF, Argentina; [Dominguez Rubio, A. Paula; Martinez, Jimena H.; Coluccio Leskow, Federico; Piuri, Mariana; Perez, Oscar E.] Univ Buenos Aires, Inst Quim Biol, Consejo Nacl Invest Cient &amp; Tecn, Fac Ciencias Exactas &amp; Nat, Buenos Aires, DF, Argentina; [Martinez Casillas, Diana C.] Ctr Nacl Energia Atom, Dept Fis Mat Condensada, Buenos Aires, DF, Argentina; [Coluccio Leskow, Federico] Univ Nacl Lujan, Dept Ciencias Basicas, Buenos Aires, DF, Argentina; [Perez, Oscar E.] Univ Nacl Lanus, Dept Desarrollo Prod &amp; Tecnol, Buenos Aires, DF, Argentina</t>
  </si>
  <si>
    <t>University of Buenos Aires; Consejo Nacional de Investigaciones Cientificas y Tecnicas (CONICET); University of Buenos Aires; Comision Nacional de Energia Atomica (CNEA); Universidad Nacional de Lujan</t>
  </si>
  <si>
    <t>Piuri, M; Perez, OE (corresponding author), Univ Buenos Aires, Fac Ciencias Exactas &amp; Nat, Dept Quim Biol, Buenos Aires, DF, Argentina.;Piuri, M; Perez, OE (corresponding author), Univ Buenos Aires, Inst Quim Biol, Consejo Nacl Invest Cient &amp; Tecn, Fac Ciencias Exactas &amp; Nat, Buenos Aires, DF, Argentina.;Perez, OE (corresponding author), Univ Nacl Lanus, Dept Desarrollo Prod &amp; Tecnol, Buenos Aires, DF, Argentina.</t>
  </si>
  <si>
    <t>mpiuri@qb.fcen.uba.ar; oscarperez@qb.fcen.uba.ar</t>
  </si>
  <si>
    <t>Rubio, Ana Paula Domínguez/AAF-8201-2021</t>
  </si>
  <si>
    <t>Rubio, Ana Paula Domínguez/0000-0003-4499-8397; Piuri, Mariana/0000-0001-9058-8247; Perez, Oscar E/0000-0002-8223-1077; Martinez, Jimena Hebe/0000-0003-4197-6790</t>
  </si>
  <si>
    <t>10.3389/fmicb.2017.01783</t>
  </si>
  <si>
    <t>WOS:000411354400001</t>
  </si>
  <si>
    <t>Balaj, L; Atai, NA; Chen, WL; Mu, D; Tannous, BA; Breakefield, XO; Skog, J; Maguire, CA</t>
  </si>
  <si>
    <t>Balaj, Leonora; Atai, Nadia A.; Chen, Weilin; Mu, Dakai; Tannous, Bakhos A.; Breakefield, Xandra O.; Skog, Johan; Maguire, Casey A.</t>
  </si>
  <si>
    <t>Heparin affinity purification of extracellular vesicles</t>
  </si>
  <si>
    <t>SULFATE PROTEOGLYCANS; PROTEOMIC ANALYSIS; EXOSOMES; MICROVESICLES; PROTEINS; RNA; IDENTIFICATION; BIOMARKERS; ELEMENTS; CELLS</t>
  </si>
  <si>
    <t>Extracellular vesicles (EVs) are lipid membrane vesicles released by cells. They carry active biomolecules including DNA, RNA, and protein which can be transferred to recipient cells. Isolation and purification of EVs from culture cell media and biofluids is still a major challenge. The most widely used isolation method is ultracentrifugation (UC) which requires expensive equipment and only partially purifies EVs. Previously we have shown that heparin blocks EV uptake in cells, supporting a direct EV-heparin interaction. Here we show that EVs can be purified from cell culture media and human plasma using ultrafiltration (UF) followed by heparin-affinity beads. UF/heparinpurified EVs from cell culture displayed the EV marker Alix, contained a diverse RNA profile, had lower levels of protein contamination, and were functional at binding to and uptake into cells. RNA yield was similar for EVs isolated by UC. We were able to detect mRNAs in plasma samples with comparable levels to UC samples. In conclusion, we have discovered a simple, scalable, and effective method to purify EVs taking advantage of their heparin affinity.</t>
  </si>
  <si>
    <t>[Balaj, Leonora; Atai, Nadia A.; Chen, Weilin; Mu, Dakai; Tannous, Bakhos A.; Breakefield, Xandra O.; Maguire, Casey A.] Massachusetts Gen Hosp, Dept Neurol, Boston, MA 02114 USA; [Balaj, Leonora; Atai, Nadia A.; Chen, Weilin; Mu, Dakai; Tannous, Bakhos A.; Breakefield, Xandra O.; Maguire, Casey A.] Harvard Univ, Sch Med, Program Neurosci, Boston, MA 02115 USA; [Breakefield, Xandra O.] Massachusetts Gen Hosp, Dept Radiol, Boston, MA 02114 USA; [Atai, Nadia A.] Univ Amsterdam, Acad Med Ctr, Dept Cell Biol &amp; Histol, NL-1012 WX Amsterdam, Netherlands; [Skog, Johan] Exosome Diagnost Inc, Cambridge, MA USA</t>
  </si>
  <si>
    <t>Harvard University; Massachusetts General Hospital; Harvard University; Harvard University; Massachusetts General Hospital; University of Amsterdam; Academic Medical Center Amsterdam</t>
  </si>
  <si>
    <t>Maguire, CA (corresponding author), Massachusetts Gen Hosp, Dept Neurol, Boston, MA 02114 USA.</t>
  </si>
  <si>
    <t>Skog, Johan/0000-0002-0926-1691; Balaj, Leonora/0000-0003-0931-9715</t>
  </si>
  <si>
    <t>MAY 19</t>
  </si>
  <si>
    <t>10.1038/srep10266</t>
  </si>
  <si>
    <t>WOS:000355296800001</t>
  </si>
  <si>
    <t>Min, XL; Zou, HC; Yan, JH; Lyu, Q; He, X; Shang, FF</t>
  </si>
  <si>
    <t>Min, Xiao-Li; Zou, Hecun; Yan, Jianghong; Lyu, Qiang; He, Xiang; Shang, Fei-Fei</t>
  </si>
  <si>
    <t>Stress conditions induced circRNAs profile of extracellular vesicles in brain microvascular endothelial cells</t>
  </si>
  <si>
    <t>METABOLIC BRAIN DISEASE</t>
  </si>
  <si>
    <t>circRNAs; Human brain microvascular endothelial cells; Cerebral ischemia; Extracellular vesicles</t>
  </si>
  <si>
    <t>CIRCULAR RNAS; TNF-ALPHA; ATHEROSCLEROSIS; DYSFUNCTION; ASTROCYTES; RESPONSES; NEURONS; DISEASE; HEALTH; HEART</t>
  </si>
  <si>
    <t>Cerebral ischemia causes hypoxic injury and inflammation, and brain microvascular endothelial cells (BMVECs) dysfunction is an initial stage of blood-brain barrier disruption. Endothelial cells secrete extracellular vesicles (EVs) that are involved in intercellular signal transduction. EVs contain a variety of RNAs, proteins, and metabolites. Circular RNA (circRNA) is a member of the non-coding RNA. The expression profile and potential function of circRNAs in BMVECs are unknown. Here, human BMVECs have undergone hypoxia or TNF-alpha induction, and the changes in circRNAs were measured by RNA sequencing. A total of 70 circRNAs showed differential expression, including 43 previously unrecorded circRNAs and 27 recorded circRNAs. Since astrocyte end-feet encircle endothelial cells, they are considered the main targets of the EVs from BMVEC. The miRNA sequence data and bioinformatics were used to predict the circRNA-miRNA-mRNA networks in astrocytes. The gene ontology (GO) analysis showed the main downstream targets of circRNAs are DNA transcription regulation and protein kinase-related signaling pathways. These results suggest that altering circRNAs may be a potential therapeutic target for cerebral ischemia induced hypoxic injury and inflammation.</t>
  </si>
  <si>
    <t>[Min, Xiao-Li] Kunming Med Univ, Dept Cerebrovasc Dis, Affiliated Hosp 2, Kunming 650101, Yunnan, Peoples R China; [Zou, Hecun; Yan, Jianghong; Shang, Fei-Fei] Chongqing Med Univ, Inst Life Sci, Chongqing 400016, Peoples R China; [Lyu, Qiang] Univ Elect Sci &amp; Technol China, Sichuan Prov Peoples Hosp, Dept Anesthesiol, Chengdu 610072, Sichuan, Peoples R China; [He, Xiang] Guizhou Prov Peoples Hosp, Dept Anesthesiol, Guiyang 550002, Guizhou, Peoples R China</t>
  </si>
  <si>
    <t>Kunming Medical University; Chongqing Medical University; Sichuan Provincial People's Hospital; University of Electronic Science &amp; Technology of China</t>
  </si>
  <si>
    <t>Shang, FF (corresponding author), Chongqing Med Univ, Inst Life Sci, Chongqing 400016, Peoples R China.</t>
  </si>
  <si>
    <t>sff_phoenix@cqmu.edu.cn</t>
  </si>
  <si>
    <t>0885-7490</t>
  </si>
  <si>
    <t>1573-7365</t>
  </si>
  <si>
    <t>10.1007/s11011-022-01025-1</t>
  </si>
  <si>
    <t>Endocrinology &amp; Metabolism; Neurosciences</t>
  </si>
  <si>
    <t>Endocrinology &amp; Metabolism; Neurosciences &amp; Neurology</t>
  </si>
  <si>
    <t>WOS:000810865000002</t>
  </si>
  <si>
    <t>Dong, J; Sakai, K; Koma, Y; Watanabe, J; Liu, KH; Maruyama, H; Sakaguchi, K; Hibi, H</t>
  </si>
  <si>
    <t>Dong, Jiao; Sakai, Kiyoshi; Koma, Yoshiro; Watanabe, Junna; Liu, Kehong; Maruyama, Hiroshi; Sakaguchi, Kohei; Hibi, Hideharu</t>
  </si>
  <si>
    <t>Dental pulp stem cell-derived small extracellular vesicle in irradiation-induced senescence</t>
  </si>
  <si>
    <t>Cellular senescence; Human dental pulp stem cell; Salivary gland hypofunction; DNA damage Response; Oxidative stress; Small extracellular vesicle</t>
  </si>
  <si>
    <t>EXOSOMES; REPAIR</t>
  </si>
  <si>
    <t>Small extracellular vesicles (sEV) facilitate signaling molecule transfer among cells. We examined the therapeutic efficacy of human dental pulp stem cell-derived sEV (hDPSC-sEV) against cellular senescence in an irradiated-submandibular gland mouse model. Seven-week-old mice were exposed to 25 Gy radiation and randomly assigned to control, phosphate-buffered saline (PBS), or hDPSC-sEV groups. At 18 days post-irradiation, saliva production was measured; histological and reverse transcription-quantitative PCR analyses of the submandibular glands were performed. The salivary flow rate did not differ significantly between the PBS and hDPSC-sEV groups. AQP5-expressing acinar cell numbers and AQP5 expression levels in the submandibular glands were higher in the hDPSC-sEV group than in the other groups. Furthermore, compared with non-irradiated mice, mice in the 25 Gy thorn PBS group showed a high senescence-associated-beta-galactosidase-positive cell number and upregulated senescence-related gene (p16(INK4a), p19(Arf), p21) and senescence-associated secretory phenotypic factor (MMP3, IL-6, PAI-1, NF-kappa B, and TGF-beta) expression, all of which were downregulated in the hDPSC-sEV group. Superoxide dismutase levels were lower in the PBS group than in the hDPSC-sEV group. In summary, hDPSC-sEV reduced inflammatory cytokine and senescence-related gene expression and reversed oxidative stress in submandibular cells, thereby preventing irradiation-induced cellular senescence. Based on these results, we hope to contribute to the development of innovative treatment methods for salivary gland dysfunction that develops after radiotherapy for head and neck cancer. (C) 2021 Elsevier Inc. All rights reserved.</t>
  </si>
  <si>
    <t>[Dong, Jiao; Koma, Yoshiro; Liu, Kehong; Maruyama, Hiroshi; Hibi, Hideharu] Nagoya Univ, Dept Oral &amp; Maxillofacial Surg, Grad Sch Med, Nagoya, Aichi, Japan; [Sakai, Kiyoshi; Watanabe, Junna; Sakaguchi, Kohei; Hibi, Hideharu] Nagoya Univ Hosp, Dept Oral &amp; Maxillofacial Surg, Nagoya, Aichi, Japan; [Dong, Jiao] Lund Univ, Dept Expt Med Sci, Lung Bioengn &amp; Regenerat, Fac Med, Lund, Sweden</t>
  </si>
  <si>
    <t>Nagoya University; Nagoya University; Lund University</t>
  </si>
  <si>
    <t>Sakai, K (corresponding author), Nagoya Univ Hosp, Dept Oral &amp; Maxillofacial Surg, Showa Ku, 65 Tsurumai Cho, Nagoya, Aichi 4668550, Japan.</t>
  </si>
  <si>
    <t>www-kiyo@med.nagoya-u.ac.jp</t>
  </si>
  <si>
    <t>Koma, Yoshiro/0000-0001-8387-3410</t>
  </si>
  <si>
    <t>OCT 20</t>
  </si>
  <si>
    <t>10.1016/j.bbrc.2021.08.046</t>
  </si>
  <si>
    <t>WOS:000690505600003</t>
  </si>
  <si>
    <t>Puca, V; Ercolino, E; Celia, C; Bologna, G; Di Marzio, L; Mincione, G; Marchisio, M; Miscia, S; Muraro, R; Lanuti, P; Grande, R</t>
  </si>
  <si>
    <t>Puca, Valentina; Ercolino, Eva; Celia, Christian; Bologna, Giuseppina; Di Marzio, Luisa; Mincione, Gabriella; Marchisio, Marco; Miscia, Sebastiano; Muraro, Raffaella; Lanuti, Paola; Grande, Rossella</t>
  </si>
  <si>
    <t>Detection and Quantification of eDNA-Associated Bacterial Membrane Vesicles by Flow Cytometry</t>
  </si>
  <si>
    <t>bacterial membrane vesicles; flow cytometry; Lactobacillus reuteri; Helicobacter pylori; biofilm; extracellular DNA (eDNA); extracellular vesicles</t>
  </si>
  <si>
    <t>CIRCULATING ENDOTHELIAL-CELLS; PSEUDOMONAS-AERUGINOSA; ANTICANCER ACTIVITY; BIOGENESIS; LIPOSOMES; MECHANISM; MICROPARTICLES; NANOCAPSULES; GEMCITABINE; BIOFILM</t>
  </si>
  <si>
    <t>Bacteria generate membrane vesicles, which are structures known as extracellular vesicles (EVs), reported to be involved in different pathogenic mechanisms, as it has been demonstrated that EVs participate in biofilm formation, cell-to-cell communication, bacteria-host interactions, and nutrients supply. EVs deliver nucleic acids, proteins, and polysaccharides. It has been reported that Helicobacter pylori (H. pylori) and Lactobacillus reuteri (L. reuteri), of both planktonic and biofilm phenotypes, produce EVs carrying extracellular DNA (eDNA). Here, we used polychromatic flow cytometry (PFC) to identify, enumerate, and characterize EVs as well as the eDNA-delivering EV compartment in the biofilm and planktonic phenotypes of H.pylori ATCC 43629 and L. reuteri DSM 17938. Biofilm formation was demonstrated and analyzed by fluorescence microscopy, using a classical live/dead staining protocol. The enumeration of EVs and the detection of eDNA-associated EVs were performed by PFC, analyzing both whole samples (cells plus vesicles) and EVs isolated by ultracentrifugation confirm EVs isolated by ultracentrifugation. PFC analysis was performed relying on a known-size beaded system and a mix of three different fluorescent tracers. In detail, the whole EV compartment was stained by a lipophilic cationic dye (LCD), which was combined to PKH26 and PicoGreen that selectively stain lipids and DNA, respectively. Fluorescence microscopy results displayed that both H. pylori and L. reuteri produced well-structured biofilms. PFC data highlighted that, in both detected bacterial species, biofilms produced higher EVs counts when paralleled to the related planktonic phenotypes. Furthermore, the staining with PicoGreen showed that most of the generated vesicles were associated with eDNA. These data suggest that the use of PFC, set according to the parameters here described, allows for the study of the production of eDNA-associated EVs in different microbial species in the same or several phases of growth, thus opening new perspectives in the study of microbial derived EVs in clinical samples.</t>
  </si>
  <si>
    <t>[Puca, Valentina; Ercolino, Eva; Bologna, Giuseppina; Marchisio, Marco; Miscia, Sebastiano; Lanuti, Paola] Univ G dAnnunzio, Dept Med &amp; Aging Sci, Via Vestini 31, I-66100 Chieti, Italy; [Puca, Valentina; Ercolino, Eva; Bologna, Giuseppina; Marchisio, Marco; Miscia, Sebastiano; Lanuti, Paola; Grande, Rossella] Ctr Aging Sci &amp; Translat Med CeSI MeT, Via Luigi Polacchi 11, I-66100 Chieti, Italy; [Celia, Christian; Di Marzio, Luisa; Grande, Rossella] Univ G dAnnunzio, Dept Pharm, Via Vestini 31, I-66100 Chieti, Italy; [Mincione, Gabriella; Muraro, Raffaella] Univ G dAnnunzio, Dept Med Oral &amp; Biotechnol Sci, Via Vestini 31, I-66100 Chieti, Italy</t>
  </si>
  <si>
    <t>G d'Annunzio University of Chieti-Pescara; G d'Annunzio University of Chieti-Pescara; G d'Annunzio University of Chieti-Pescara</t>
  </si>
  <si>
    <t>Lanuti, P (corresponding author), Univ G dAnnunzio, Dept Med &amp; Aging Sci, Via Vestini 31, I-66100 Chieti, Italy.;Lanuti, P (corresponding author), Ctr Aging Sci &amp; Translat Med CeSI MeT, Via Luigi Polacchi 11, I-66100 Chieti, Italy.</t>
  </si>
  <si>
    <t>valentina.puca@unich.it; evin30@libero.it; christian.celia@unich.it; giuseppina.bologna@hotmail.it; luisa.dimarzio@unich.it; gabriella.mincione@unich.it; m.marchisio@unich.it; s.miscia@unich.it; raffaella.muraro@unich.it; p.lanuti@unich.it; rossella.grande@unich.it</t>
  </si>
  <si>
    <t>Celia, Christian/K-9771-2016; Di Marzio, Luisa/AAF-8052-2021</t>
  </si>
  <si>
    <t>Celia, Christian/0000-0002-0590-5429; Di Marzio, Luisa/0000-0002-2518-7188; PUCA, VALENTINA/0000-0002-6417-876X; GRANDE, ROSSELLA/0000-0002-8432-6889</t>
  </si>
  <si>
    <t>10.3390/ijms20215307</t>
  </si>
  <si>
    <t>WOS:000498946100065</t>
  </si>
  <si>
    <t>Marcatti, M; Saada, J; Okereke, I; Wade, CE; Bossmann, SH; Motamedi, M; Szczesny, B</t>
  </si>
  <si>
    <t>Marcatti, Michela; Saada, Jamal; Okereke, Ikenna; Wade, Charles E.; Bossmann, Stefan H.; Motamedi, Massoud; Szczesny, Bartosz</t>
  </si>
  <si>
    <t>Quantification of Circulating Cell Free Mitochondrial DNA in Extracellular Vesicles with PicoGreen (TM) in Liquid Biopsies: Fast Assessment of Disease/Trauma Severity</t>
  </si>
  <si>
    <t>circulating cell free DNA; traumatic brain injury; trauma severity; extracellular veciscles; PicoGreen(TM) staining; mitochondrial DNA</t>
  </si>
  <si>
    <t>The analysis of circulating cell free DNA (ccf-DNA) is an emerging diagnostic tool for the detection and monitoring of tissue injury, disease progression, and potential treatment effects. Currently, most of ccf-DNA in tissue and liquid biopsies is analysed with real-time quantitative PCR (qPCR) that is primer- and template-specific, labour intensive and cost-inefficient. In this report we directly compare the amounts of ccf-DNA in serum of healthy volunteers, and subjects presenting with various stages of lung adenocarcinoma, and survivors of traumatic brain injury using qPCR and quantitative PicoGreen (TM) fluorescence assay. A significant increase of ccf-DNA in lung adenocarcinoma and traumatic brain injury patients, in comparison to the group of healthy human subjects, was found using both analytical methods. However, the direct correlation between PicoGreen (TM) fluorescence and qPCR was found only when mitochondrial DNA (mtDNA)-specific primers were used. Further analysis of the location of ccf-DNA indicated that the majority of DNA is located within lumen of extracellular vesicles (EVs) and is easily detected with mtDNA-specific primers. We have concluded that due to the presence of active DNases in the blood, the analysis of DNA within EVs has the potential of providing rapid diagnostic outcomes. Moreover, we speculate that accurate and rapid quantification of ccf-DNA with PicoGreen (TM) fluorescent probe used as a point of care approach could facilitate immediate assessment and treatment of critically ill patients.</t>
  </si>
  <si>
    <t>[Marcatti, Michela] Univ Texas Med Branch, Dept Neurol, Galveston, TX 77555 USA; [Saada, Jamal; Szczesny, Bartosz] Univ Texas Med Branch, Dept Anesthesiol, Galveston, TX 77555 USA; [Okereke, Ikenna] Univ Texas Med Branch, Dept Surg, Galveston, TX 77555 USA; [Wade, Charles E.] Univ Texas Hlth Sci Ctr Houston, Dept Surg, Houston, TX 77003 USA; [Bossmann, Stefan H.] Univ Kansas Med Ctr, Dept Canc Biol, Kansas City, KS 66160 USA; [Motamedi, Massoud; Szczesny, Bartosz] Univ Texas Med Branch, Dept Ophthalmol, Galveston, TX 77555 USA; [Szczesny, Bartosz] Univ Texas Med Branch, Dept Visual Sci, Galveston, TX 77555 USA</t>
  </si>
  <si>
    <t>University of Texas System; University of Texas Medical Branch Galveston; University of Texas System; University of Texas Medical Branch Galveston; University of Texas System; University of Texas Medical Branch Galveston; University of Texas System; University of Texas Health Science Center Houston; University of Kansas; University of Kansas Medical Center; University of Texas System; University of Texas Medical Branch Galveston; University of Texas System; University of Texas Medical Branch Galveston</t>
  </si>
  <si>
    <t>Szczesny, B (corresponding author), Univ Texas Med Branch, Dept Anesthesiol, Galveston, TX 77555 USA.;Szczesny, B (corresponding author), Univ Texas Med Branch, Dept Ophthalmol, Galveston, TX 77555 USA.;Szczesny, B (corresponding author), Univ Texas Med Branch, Dept Visual Sci, Galveston, TX 77555 USA.</t>
  </si>
  <si>
    <t>mimarcat@utmb.edu; jsaada@utmb.edu; ikokerek@utmb.edu; charles.e.wade@uth.tmc.edu; sbossmann@kumc.edu; mmotamed@utmb.edu; baszczes@utmb.edu</t>
  </si>
  <si>
    <t>MARCATTI, MICHELA/0000-0003-1921-4626; Bossmann, Stefan/0000-0002-0058-0127</t>
  </si>
  <si>
    <t>10.3390/cells10040819</t>
  </si>
  <si>
    <t>WOS:000642852400001</t>
  </si>
  <si>
    <t>Grande, R; Di Marcantonio, MC; Robuffo, I; Pompilio, A; Celia, C; Di Marzio, L; Paolino, D; Codagnone, M; Muraro, R; Stoodley, P; Hall-Stoodley, L; Mincione, G</t>
  </si>
  <si>
    <t>Grande, Rossella; Di Marcantonio, Maria C.; Robuffo, Iloe; Pompilio, Arianna; Celia, Christian; Di Marzio, Luisa; Paolino, Donatella; Codagnone, Marilina; Muraro, Raffaella; Stoodley, Paul; Hall-Stoodley, Luanne; Mincione, Gabriella</t>
  </si>
  <si>
    <t>Helicobacter pylori ATCC 43629/NCTC 11639 Outer Membrane Vesicles (OMVs) from Biofilm and Planktonic Phase Associated with Extracellular DNA (eDNA)</t>
  </si>
  <si>
    <t>Helicobacter pylori; eDNA; outer membrane vesicles (OMVs); biofilm; nanoparticles</t>
  </si>
  <si>
    <t>PSEUDOMONAS-AERUGINOSA; STAPHYLOCOCCUS-AUREUS; ANTICANCER ACTIVITY; EXPRESSION; SECRETION; RELEASE; CELLS; POLYSACCHARIDE; RECOMBINATION; ENVIRONMENT</t>
  </si>
  <si>
    <t>Helicobacter pylori persistence is associated with its capacity to develop biofilms as a response to changing environmental conditions and stress. Extracellular DNA (eDNA) is a component of H. pylori biofilm matrix but the lack of DNase I activity supports the hypothesis that eDNA might be protected by other extracellular polymeric substances (EPS) and/or Outer Membrane Vesicles (OMVs), which bleb from the bacteria surface during growth. The aim of the present study was to both identify the eDNA presence on OMVs segregated from H. pylori ATCC 43629/NCTC 11639 biofilm (bOMVs) and its planktonic phase (bOMVs) and to characterize the physical-chemical properties of the OMVs. The presence of eDNA in bOMVs and pOMVs was initially carried out using DNase I-gold complex labeling and Transmission Electron Microscope analysis (TEM). bOMVs and pOMVs were further isolated and physical chemical characterization carried out using dynamic light scattering (DLS) analysis. eDNA associated with OMVs was detected and quantified using a PicoGreen spectrophotometer assay, while its extraction was performed with a DNA Kit. TEM images showed that eDNA was mainly associated with the OMV membrane surfaces: while PicoGreen staining showed a four fold increase of dsDNA in bOMVs compared with pOMVs. The eDNA extracted from OMVs was visualized using gel electrophoresis. DLS analysis indicated that both planktonic and biofilm H. pylon phenotypes generated vesicles, with a broad distribution of sizes on the nanometer scale. The DLS aggregation assay suggested that eDNA may play a role in the aggregation of OMVs, in the biofilm phenotype. Moreover, the eDNA associated with vesicle membrane may impede DNase I activity on H. pylori biofilms. These results suggest that OMVs derived from the H. pylori biofilm phenotype may play a structural role by preventing eDNA degradation by nucleases, providing a bridging function between eDNA strands on OMV surfaces and promoting aggregation.</t>
  </si>
  <si>
    <t>[Grande, Rossella; Celia, Christian; Di Marzio, Luisa] G dAnnunzio Univ Chieti Pescara, Dept Pharm, Chieti, Italy; [Grande, Rossella; Di Marcantonio, Maria C.; Pompilio, Arianna; Codagnone, Marilina; Muraro, Raffaella; Mincione, Gabriella] G dAnnunzio Univ Chieti Pescara, Ctr Excellence Aging, CeSI, Chieti, Italy; [Di Marcantonio, Maria C.; Pompilio, Arianna; Codagnone, Marilina; Muraro, Raffaella; Mincione, Gabriella] G dAnnunzio Univ Chieti Pescara, Dept Med Oral &amp; Biotechnol Sci, Chieti, Italy; [Robuffo, Iloe] CNR, Dept Biol Sci, Inst Mol Genet, Chieti, Italy; [Celia, Christian] Houston Methodist Res Inst, Dept Nanomed, Houston, TX USA; [Paolino, Donatella] Univ Catanzaro Magna Graecia, Dept Clin &amp; Expt Med, Catanzaro, Italy; [Stoodley, Paul; Hall-Stoodley, Luanne] Ohio State Univ, Dept Microbial Infect &amp; Immun, Ctr Microbial Interface Biol, Columbus, OH 43210 USA; [Stoodley, Paul] Ohio State Univ, Dept Orthopaed, Columbus, OH 43210 USA; [Stoodley, Paul] Univ Southampton, Fac Engn &amp; Environm, Southampton, Hants, England; [Hall-Stoodley, Luanne] Univ Hosp Southampton NHS Fdn Trust, NIHR Wellcome Trust Clin Res Facil, Southampton, Hants, England</t>
  </si>
  <si>
    <t>G d'Annunzio University of Chieti-Pescara; G d'Annunzio University of Chieti-Pescara; G d'Annunzio University of Chieti-Pescara; Consiglio Nazionale delle Ricerche (CNR); Istituto di Genetica Molecolare (IGM-CNR); The Methodist Hospital System; The Methodist Hospital - Houston; Magna Graecia University of Catanzaro; Ohio State University; Ohio State University; University of Southampton; University of Southampton; University Hospital Southampton NHS Foundation Trust</t>
  </si>
  <si>
    <t>Grande, R (corresponding author), G dAnnunzio Univ Chieti Pescara, Dept Pharm, Chieti, Italy.</t>
  </si>
  <si>
    <t>r.grande@unich.it</t>
  </si>
  <si>
    <t>Pompilio, Arianna/AAL-8050-2021; Di Marcantonio, Maria Carmela/AAB-9564-2022; Paolino, Donatella/M-5838-2019; Celia, Christian/K-9771-2016; Stoodley, Paul/E-5079-2013; Robuffo, Iole/O-2918-2015; Di Marzio, Luisa/AAF-8052-2021; Hall-Stoodley, Luanne/AAF-1925-2020</t>
  </si>
  <si>
    <t>Paolino, Donatella/0000-0002-5223-9879; Celia, Christian/0000-0002-0590-5429; Stoodley, Paul/0000-0001-6069-273X; Robuffo, Iole/0000-0001-5883-4225; Di Marzio, Luisa/0000-0002-2518-7188; di marcantonio, maria carmela/0000-0001-9308-9857</t>
  </si>
  <si>
    <t>DEC 16</t>
  </si>
  <si>
    <t>10.3389/fmicb.2015.01369</t>
  </si>
  <si>
    <t>WOS:000366986700001</t>
  </si>
  <si>
    <t>Joshi, B; Singh, B; Nadeem, A; Askarian, F; Wai, SN; Johannessen, M; Hegstad, K</t>
  </si>
  <si>
    <t>Joshi, Bishnu; Singh, Bhupender; Nadeem, Aftab; Askarian, Fatemeh; Wai, Sun Nyunt; Johannessen, Mona; Hegstad, Kristin</t>
  </si>
  <si>
    <t>Transcriptome Profiling of Staphylococcus aureus Associated Extracellular Vesicles Reveals Presence of Small RNA-Cargo</t>
  </si>
  <si>
    <t>Staphylococcus aureus; transcriptomic analysis; small RNAs; tRNA; extracellular vesicle</t>
  </si>
  <si>
    <t>OUTER-MEMBRANE VESICLES; TRYPANOSOMA-CRUZI; VIRULENCE FACTORS; BIOFILM FORMATION; REGULATORY RNAS; GENE-EXPRESSION; SOLUBLE-RNA; IRON; DNA; RELEASE</t>
  </si>
  <si>
    <t>Bacterial extracellular vesicles (EVs) have a vital role in bacterial pathogenesis. However, to date, the small RNA-cargo of EVs released by the opportunistic pathogen Staphylococcus aureus has not been characterized. Here, we shed light on the association of small RNAs with EVs secreted by S. aureus MSSA476 cultured in iron-depleted bacteriologic media supplemented with a subinhibitory dosage of vancomycin to mimic infection condition. Confocal microscopy analysis on intact RNase-treated EVs indicated that RNA is associated with EV particles. Transcriptomic followed by bioinformatics analysis of EV-associated RNA revealed the presence of potential gene regulatory small RNAs and high levels of tRNAs. Among the EV-associated enriched small RNAs were SsrA, RsaC and RNAIII. Our finding invites new insights into the potential role of EV-associated RNA as a modulator of host-pathogen interaction.</t>
  </si>
  <si>
    <t>[Joshi, Bishnu; Singh, Bhupender; Askarian, Fatemeh; Johannessen, Mona; Hegstad, Kristin] UiT Arctic Univ Norway, Dept Med Biol, Res Grp Host Microbe Interact, Tromso, Norway; [Nadeem, Aftab; Wai, Sun Nyunt] Umea Univ, Umea Ctr Microbial Res UCMR, Umea, Sweden; [Nadeem, Aftab; Wai, Sun Nyunt] Umea Univ, Dept Mol Biol, Umea, Sweden; [Askarian, Fatemeh] Norwegian Univ Life Sci NMBU, Fac Chem Biotechnol &amp; Food Sci, As, Norway; [Hegstad, Kristin] Univ Hosp North Norway, Dept Microbiol &amp; Infect Control, Norwegian Natl Advisory Unit Detect Antimicrobial, Tromso, Norway</t>
  </si>
  <si>
    <t>UiT The Arctic University of Tromso; Umea University; Umea University; Norwegian University of Life Sciences; UiT The Arctic University of Tromso; University Hospital of North Norway</t>
  </si>
  <si>
    <t>Johannessen, M; Hegstad, K (corresponding author), UiT Arctic Univ Norway, Dept Med Biol, Res Grp Host Microbe Interact, Tromso, Norway.;Hegstad, K (corresponding author), Univ Hosp North Norway, Dept Microbiol &amp; Infect Control, Norwegian Natl Advisory Unit Detect Antimicrobial, Tromso, Norway.</t>
  </si>
  <si>
    <t>Mona.johannessen@uit.no; Kristin.hegstad@uit.no</t>
  </si>
  <si>
    <t>JOSHI, BISHNU/0000-0003-3841-0796; Nadeem, Aftab/0000-0002-1439-6216; Hegstad, Kristin/0000-0002-1314-0497; Wai, Sun Nyunt/0000-0003-4793-4671; Askarian, Fatemeh/0000-0002-7438-4671</t>
  </si>
  <si>
    <t>JAN 13</t>
  </si>
  <si>
    <t>10.3389/fmolb.2020.566207</t>
  </si>
  <si>
    <t>WOS:000612001500001</t>
  </si>
  <si>
    <t>Srivastava, A; Filant, J; Moxley, KM; Sood, A; McMeekin, S; Ramesh, R</t>
  </si>
  <si>
    <t>Srivastava, Akhil; Filant, Justyna; Moxley, Katherine M.; Sood, Anil; McMeekin, Scott; Ramesh, Rajagopal</t>
  </si>
  <si>
    <t>Exosomes: A Role for Naturally Occurring Nanovesicles in Cancer Growth, Diagnosis and Treatment</t>
  </si>
  <si>
    <t>CURRENT GENE THERAPY</t>
  </si>
  <si>
    <t>Biomarkers; cancer; exosomes; gene therapy; miRNA; siRNA</t>
  </si>
  <si>
    <t>TUMOR-DERIVED EXOSOMES; EXTRACELLULAR VESICLES; MICRORNA SIGNATURES; PROGENITOR CELLS; BIOGENESIS; SIRNA; MICROVESICLES; MECHANISM; DELIVERY; RNA</t>
  </si>
  <si>
    <t>Exosomes are 30 - 100 nm bodies secreted from almost all types of cells into the extracellular spaces. They enclose in their lumen active genetic information in the form of messenger RNA (mRNA), micro RNA (miRNA), DNA and active peptides that are representative of the parental cell and can be isolated from different body fluids. Exosomes can participate in inter-cellular communication by trafficking molecules to their target cells. Because they can stably carry cargo including miRNA, mRNA, and proteins and can pass through stringent biological barriers (e.g., blood brain barrier) without eliciting an immune response, they are considered as an ideal acellular vehicle for drug delivery. In this review, we describe the structure and biogenesis of exosomes and new directions related to their role in diagnosis and treatment of diseases, especially for cancer. We also discuss potential challenges associated with exosomes that should be addressed before exosome-based therapy can be applied to clinical settings.</t>
  </si>
  <si>
    <t>[Srivastava, Akhil; Ramesh, Rajagopal] Univ Oklahoma, Hlth Sci Ctr, Dept Pathol, Oklahoma City, OK 73104 USA; [Srivastava, Akhil; Moxley, Katherine M.; McMeekin, Scott; Ramesh, Rajagopal] Univ Oklahoma, Hlth Sci Ctr, Stephenson Canc Ctr, Oklahoma City, OK 73104 USA; [Filant, Justyna; Sood, Anil] Univ Texas MD Anderson Canc Ctr, Dept Gynecol Oncol, Houston, TX 77030 USA; [Moxley, Katherine M.; McMeekin, Scott] Univ Oklahoma, Hlth Sci Ctr, Dept Gynecol Oncol, Oklahoma City, OK 73104 USA; [Ramesh, Rajagopal] Univ Oklahoma, Hlth Sci Ctr, Grad Program Biomed Sci, Oklahoma City, OK 73104 USA</t>
  </si>
  <si>
    <t>University of Oklahoma System; University of Oklahoma Health Sciences Center; University of Oklahoma System; University of Oklahoma Health Sciences Center; University of Texas System; UTMD Anderson Cancer Center; University of Oklahoma System; University of Oklahoma Health Sciences Center; University of Oklahoma System; University of Oklahoma Health Sciences Center</t>
  </si>
  <si>
    <t>Ramesh, R (corresponding author), Univ Oklahoma, Hlth Sci Ctr, Biomed Res Ctr, Dept Pathol, Suite 1403,975 NE 10th St, Oklahoma City, OK 73104 USA.</t>
  </si>
  <si>
    <t>rajagopal-ramesh@ouhsc.edu</t>
  </si>
  <si>
    <t>1566-5232</t>
  </si>
  <si>
    <t>1875-5631</t>
  </si>
  <si>
    <t>10.2174/1566523214666141224100612</t>
  </si>
  <si>
    <t>WOS:000351924300009</t>
  </si>
  <si>
    <t>Bowers, EC; Motta, A; Knox, K; McKay, BS; Ramos, KS</t>
  </si>
  <si>
    <t>Bowers, Emma C.; Motta, Alexandre; Knox, Ken; McKay, Brian S.; Ramos, Kenneth S.</t>
  </si>
  <si>
    <t>LINE-1 Cargo and Reverse Transcriptase Activity Profiles in Extracellular Vesicles from Lung Cancer Cells and Human Plasma</t>
  </si>
  <si>
    <t>LINE-1; extracellular vesicles; exosomes; benzo[a]pyrene; BaP; reverse transcriptase; lung cancer; liquid biopsy; ORF1p; ORF2p; retrotransposition; retrotransposons</t>
  </si>
  <si>
    <t>RETROTRANSPOSITION; HYPOMETHYLATION; BENZO(A)PYRENE; ELEMENTS; EXPRESSION; EXOSOMES</t>
  </si>
  <si>
    <t>Long Interspersed Element-1 (LINE-1) is an oncogenic human retrotransposon that 'copies and pastes' DNA into new locations via reverse transcription. Given that enzymatically active LINE-1 can be exported in extracellular vesicles (EVs), and that LINE-1 mRNA and its two encoded proteins, ORF1p and ORF2p, are required for retrotransposition, the present study examined LINE-1 EV loading patterns relative to reverse transcriptase (RT) activity in vivo and in vitro. Density gradient ultracentrifugation identified conserved patterns of LINE-1 mRNA and protein distribution in EVs, with RT activity readily detected in EV fractions containing both LINE-1 mRNA and protein. Unlike whole cell and tissue lysates, the ORF1p in EVs was detected as a dimer. EVs from ostensibly healthy plasma donors showed variable but consistent ORF1p profiles, with residual levels of LINE-1 mRNA measured in some but not all samples. EVs from cancer cell lines had elevated mean LINE-1 levels and 5-85 times greater RT activity than EVs from normal cells or healthy plasma. EV RT activity was associated with EV LINE-1 mRNA content and was highest in cell lines that also expressed an elevated expression of ORF1p and ORF2p. Given that LINE-1 activation is a hallmark of many cancer types, our findings suggest that an EV LINE-1 'liquid biopsy' may be developed to monitor LINE-1 activity during the course of malignant progression.</t>
  </si>
  <si>
    <t>[Bowers, Emma C.; Ramos, Kenneth S.] Texas A&amp;M Inst Biosci &amp; Technol, Ctr Genom &amp; Precis Med, Houston, TX 77030 USA; [Motta, Alexandre] Univ Arizona, Coll Med Tucson, Tucson, AZ 85724 USA; [Knox, Ken] Univ Arizona, Coll Med Phoenix, Dept Internal Med, Div Pulm Med, Phoenix, AZ 85004 USA; [McKay, Brian S.] Univ Arizona, Coll Med, Dept Ophthalmol &amp; Vis Sci, Tucson, AZ 85724 USA</t>
  </si>
  <si>
    <t>University of Arizona; University of Arizona; University of Arizona</t>
  </si>
  <si>
    <t>Ramos, KS (corresponding author), Texas A&amp;M Inst Biosci &amp; Technol, Ctr Genom &amp; Precis Med, Houston, TX 77030 USA.</t>
  </si>
  <si>
    <t>emma.ciel@gmail.com; cavalcante@email.arizona.edu; kknox@deptofmed.arizona.edu; bmckay@eyes.arizona.edu; kramos@tamu.edu</t>
  </si>
  <si>
    <t>Knox, Kenneth S/0000-0002-5261-6558; Motta, Alexandre J./0000-0002-9288-1057</t>
  </si>
  <si>
    <t>10.3390/ijms23073461</t>
  </si>
  <si>
    <t>WOS:000781916000001</t>
  </si>
  <si>
    <t>Fricke, F; Michalak, M; Warnken, U; Hausser, I; Schnolzer, M; Kopitz, J; Gebert, J</t>
  </si>
  <si>
    <t>Fricke, Fabia; Michalak, Malwina; Warnken, Uwe; Hausser, Ingrid; Schnoelzer, Martina; Kopitz, Juergen; Gebert, Johannes</t>
  </si>
  <si>
    <t>SILAC-Based Quantification of TGFBR2-Regulated Protein Expression in Extracellular Vesicles of Microsatellite Unstable Colorectal Cancers</t>
  </si>
  <si>
    <t>extracellular vesicles; exosomes; proteomics; stable isotope labeling with amino acids in cell culture (SILAC); TGFBR2; microsatellite instability; DNA mismatch repair; colorectal cancer</t>
  </si>
  <si>
    <t>GROWTH-FACTOR-BETA; GLUTAMINE-SYNTHETASE ACTIVITY; RECEPTOR-TYPE-II; TGF-BETA; PLASMINOGEN-ACTIVATOR; MISMATCH REPAIR; MUTATIONAL INACTIVATION; COMPUTATIONAL PLATFORM; EXOSOMAL FIBRONECTIN; INSTABILITY</t>
  </si>
  <si>
    <t>Microsatellite unstable (MSI) colorectal cancers (CRCs) are characterized by mutational inactivation of Transforming Growth Factor Beta Receptor Type 2 (TGFBR2). TGFBR2-deficient CRCs present altered target gene and protein expression. Such cellular alterations modulate the content of CRC-derived extracellular vesicles (EVs). EVs function as couriers of proteins, nucleic acids, and lipids in intercellular communication. At a qualitative level, we have previously shown that TGFBR2 deficiency causes overall alterations in the EV protein content. To deepen the basic understanding of altered protein dynamics, this work aimed to determine TGFBR2-dependent EV protein signatures in a quantitative manner. Using a stable isotope labeling with amino acids in cell culture (SILAC) approach for mass spectrometry-based quantification, 48 TGFBR2-regulated proteins were identified in MSI CRC-derived EVs. Overall, TGFBR2 deficiency caused upregulation of several EV proteins related to the extracellular matrix and nucleosome as well as downregulation of proteasome-associated proteins. The present study emphasizes the general overlap of proteins between EVs and their parental CRC cells but also highlights the impact of TGFBR2 deficiency on EV protein composition. From a clinical perspective, TGFBR2-regulated quantitative differences of protein expression in EVs might nominate novel biomarkers for liquid biopsy-based MSI typing in the future.</t>
  </si>
  <si>
    <t>[Fricke, Fabia; Michalak, Malwina; Kopitz, Juergen; Gebert, Johannes] Heidelberg Univ Hosp, Inst Pathol, Dept Appl Tumor Biol, Neuenheimer Feld 224, D-69120 Heidelberg, Germany; [Fricke, Fabia; Michalak, Malwina; Kopitz, Juergen; Gebert, Johannes] German Canc Res Ctr, Clin Cooperat Unit Appl Tumor Biol, Neuenheimer Feld 224, D-69120 Heidelberg, Germany; [Warnken, Uwe; Schnoelzer, Martina] German Canc Res Ctr, Funct Proteome Anal, Neuenheimer Feld 581, D-69120 Heidelberg, Germany; [Hausser, Ingrid] Heidelberg Univ Hosp, Inst Pathol, EM Lab, Neuenheimer Feld 224, D-69120 Heidelberg, Germany</t>
  </si>
  <si>
    <t>Ruprecht Karls University Heidelberg; Helmholtz Association; German Cancer Research Center (DKFZ); Helmholtz Association; German Cancer Research Center (DKFZ); Ruprecht Karls University Heidelberg</t>
  </si>
  <si>
    <t>Gebert, J (corresponding author), Heidelberg Univ Hosp, Inst Pathol, Dept Appl Tumor Biol, Neuenheimer Feld 224, D-69120 Heidelberg, Germany.;Gebert, J (corresponding author), German Canc Res Ctr, Clin Cooperat Unit Appl Tumor Biol, Neuenheimer Feld 224, D-69120 Heidelberg, Germany.</t>
  </si>
  <si>
    <t>johannes.gebert@med.uni-heidelberg.de</t>
  </si>
  <si>
    <t>10.3390/ijms20174162</t>
  </si>
  <si>
    <t>WOS:000486888400094</t>
  </si>
  <si>
    <t>Grolz, D; Hauch, S; Schlumpberger, M; Guenther, K; Voss, T; Sprenger-Haussels, M; Oelmuller, U</t>
  </si>
  <si>
    <t>Groelz, Daniel; Hauch, Siegfried; Schlumpberger, Martin; Guenther, Kalle; Voss, Thorsten; Sprenger-Haussels, Markus; Oelmueller, Uwe</t>
  </si>
  <si>
    <t>Liquid Biopsy Preservation Solutions for Standardized Pre-Analytical Workflows-Venous Whole Blood and Plasma</t>
  </si>
  <si>
    <t>Liquid biopsy; Circulating cell-free DNA (ccfDNA); Circulating tumor cells (CTC); Extracellular vesicles; Exosomes; pre-analytics; Pre-analytical workflows, standardization</t>
  </si>
  <si>
    <t>CELL-FREE DNA; CIRCULATING TUMOR-CELLS; METASTATIC BREAST-CANCER; FREE FETAL DNA; MATERNAL PLASMA; STORAGE-CONDITIONS; COLLECTION TUBES; PROCESSING PROTOCOLS; MEMBRANE-VESICLES; PERIPHERAL-BLOOD</t>
  </si>
  <si>
    <t>Purpose of Review Liquid biopsy analyses based on circulating cell-free nucleic acids, circulating tumor cells or other diseased cells from organs, and exosomes or other microvesicles in blood offer new means for non-invasive diagnostic applications. The main goal of this review is to explain the importance of preserving whole blood specimens after blood draw for use as liquid biopsies, and to summarize preservation solutions that are currently available. Recent Findings Despite the great potential of liquid biopsies for diagnostics and disease management, besides non-invasive prenatal testing (NIPT), only a few liquid biopsy applications are fully implemented for routine in vitro diagnostic testing. One major barrier is the lack of standardized pre-analytical workflows, including the collection of consistent quality blood specimens and the generation of good-quality plasma samples therefrom. Broader use of liquid biopsies in clinical routine applications therefore requires improved pre-analytical procedures to enable high-quality specimens to obtain unbiased analyte profiles (DNA, RNA, proteins, etc.) as they are in the patient's body. Summary A growing number of stabilizing reagents and dedicated blood collection tubes are available for the post-collection preservation of circulating cell-free DNA (ccfDNA) profiles in whole blood. In contrast, solutions for the preservation of circulating tumor cells (CTC) that enable both, enumeration and molecular analyses are rare. Solutions for extracellular vesicle (EV) populations, including exosomes, do not yet exist.</t>
  </si>
  <si>
    <t>[Groelz, Daniel; Hauch, Siegfried; Schlumpberger, Martin; Guenther, Kalle; Voss, Thorsten; Sprenger-Haussels, Markus; Oelmueller, Uwe] QIAGEN GmbH, Res &amp; Dev, QIAGEN Str 1, D-40724 Hilden, Germany</t>
  </si>
  <si>
    <t>Oelmuller, U (corresponding author), QIAGEN GmbH, Res &amp; Dev, QIAGEN Str 1, D-40724 Hilden, Germany.</t>
  </si>
  <si>
    <t>uwe.oelmueller@qiagen.com</t>
  </si>
  <si>
    <t>10.1007/s40139-018-0180-z</t>
  </si>
  <si>
    <t>WOS:000518472300009</t>
  </si>
  <si>
    <t>Zhao, L; Sun, RJ; He, P; Zhang, XR</t>
  </si>
  <si>
    <t>Zhao, Li; Sun, Ruijiao; He, Peng; Zhang, Xiaoru</t>
  </si>
  <si>
    <t>Ultrasensitive Detection of Exosomes by Target-Triggered Three-Dimensional DNA Walking Machine and Exonuclease III-Assisted Electrochemical Ratiometric Biosensing</t>
  </si>
  <si>
    <t>TUMOR-DERIVED EXOSOMES; RECYCLING AMPLIFICATION; NANOMACHINE; SWITCH</t>
  </si>
  <si>
    <t>Exosomes are membrane-enclosed phospholipid extracellular vesicles. In spite of their great promise as noninvasive biomarkers for cancer diagnosis, sensitive detection of exosomes is still challenging. Herein, the detection of exosomes was changed to the detection of DNA after recognition of exosomes with its aptamers. CD63 aptamer and EpCAM aptamer were used for the detection of MCF-7 cell-secreted exosome. The recognition process was amplified through the movements of a three-dimensional DNA walker. And then, Exonuclease III- assisted electrochemical ratiometric sensor was applied for further signal amplification. Under optimal conditions, the detection limit of 1.3 x 10(4) particles/mL was obtained with excellent selectivity. Furthermore, clinical application test for the detection of exosomes in human serum was also verified.</t>
  </si>
  <si>
    <t>[Zhao, Li; Sun, Ruijiao; He, Peng; Zhang, Xiaoru] Qingdao Univ Sci &amp; Technol, Minist Educ, Shandong Key Lab Biochem Anal, Key Lab Opt Sensing &amp; Analyt Chem Life Sci, Qingdao 266042, Shandong, Peoples R China; [Zhao, Li; Sun, Ruijiao; He, Peng; Zhang, Xiaoru] Qingdao Univ Sci &amp; Technol, Coll Chem &amp; Mol Engn, Qingdao 266042, Shandong, Peoples R China</t>
  </si>
  <si>
    <t>Qingdao University of Science &amp; Technology; Qingdao University of Science &amp; Technology</t>
  </si>
  <si>
    <t>Zhang, XR (corresponding author), Qingdao Univ Sci &amp; Technol, Minist Educ, Shandong Key Lab Biochem Anal, Key Lab Opt Sensing &amp; Analyt Chem Life Sci, Qingdao 266042, Shandong, Peoples R China.</t>
  </si>
  <si>
    <t>zhangxr7407@126.com</t>
  </si>
  <si>
    <t>NOV 19</t>
  </si>
  <si>
    <t>10.1021/acs.analchem.9b04282</t>
  </si>
  <si>
    <t>WOS:000498280100082</t>
  </si>
  <si>
    <t>Giordano, L; Gregory, AD; Verdaguer, MP; Ware, SA; Harvey, H; DeVallance, E; Brzoska, T; Sundd, P; Zhang, YZ; Sciurba, FC; Shapiro, SD; Kaufman, BA</t>
  </si>
  <si>
    <t>Giordano, Luca; Gregory, Alyssa D.; Perez Verdaguer, Mireia; Ware, Sarah A.; Harvey, Hayley; DeVallance, Evan; Brzoska, Tomasz; Sundd, Prithu; Zhang, Yingze; Sciurba, Frank C.; Shapiro, Steven D.; Kaufman, Brett A.</t>
  </si>
  <si>
    <t>Extracellular Release of Mitochondrial DNA: Triggered by Cigarette Smoke and Detected in COPD</t>
  </si>
  <si>
    <t>cigarette smoke; COPD; mitochondria; cell-free DNA; oxidative stress; senescence; necroptosis; extracellular vesicles</t>
  </si>
  <si>
    <t>OBSTRUCTIVE PULMONARY-DISEASE; EPITHELIAL-CELLS; EMPHYSEMA; DAMAGE; INFLAMMATION; PATHOGENESIS; DEGRADATION; NEUTROPHIL; CYTOKINES; PROTECTS</t>
  </si>
  <si>
    <t>Cigarette smoke (CS) is the most common risk factor for chronic obstructive pulmonary disease (COPD). The present study aimed to elucidate whether mtDNA is released upon CS exposure and is detected in the plasma of former smokers affected by COPD as a possible consequence of airway damage. We measured cell-free mtDNA (cf-mtDNA) and nuclear DNA (cf-nDNA) in COPD patient plasma and mouse serum with CS-induced emphysema. The plasma of patients with COPD and serum of mice with CS-induced emphysema showed increased cf-mtDNA levels. In cell culture, exposure to a sublethal dose of CSE decreased mitochondrial membrane potential, increased oxidative stress, dysregulated mitochondrial dynamics, and triggered mtDNA release in extracellular vesicles (EVs). Mitochondrial DNA release into EVs occurred concomitantly with increased expression of markers that associate with DNA damage responses, including DNase III, DNA-sensing receptors (cGAS and NLRP3), proinflammatory cytokines (IL-1 beta, IL-6, IL-8, IL-18, and CXCL2), and markers of senescence (p16 and p21); the majority of the responses are also triggered by cytosolic DNA delivery in vitro. Exposure to a lethal CSE dose preferentially induced mtDNA and nDNA release in the cell debris. Collectively, the results of this study associate markers of mitochondrial stress, inflammation, and senescence with mtDNA release induced by CSE exposure. Because high cf-mtDNA is detected in the plasma of COPD patients and serum of mice with emphysema, our findings support the future study of cf-mtDNA as a marker of mitochondrial stress in response to CS exposure and COPD pathology.</t>
  </si>
  <si>
    <t>[Giordano, Luca; Ware, Sarah A.; Harvey, Hayley; Kaufman, Brett A.] Univ Pittsburgh, Dept Med, Div Cardiol, Ctr Metab &amp; Mitochondrial Med, Pittsburgh, PA 15261 USA; [Giordano, Luca; DeVallance, Evan; Brzoska, Tomasz; Sundd, Prithu; Kaufman, Brett A.] Univ Pittsburgh, Heart Lung &amp; Blood Vasc Med Inst, Pittsburgh, PA 15261 USA; [Gregory, Alyssa D.; Sundd, Prithu; Zhang, Yingze; Sciurba, Frank C.; Shapiro, Steven D.] Univ Pittsburgh, Dept Med, Div Pulm Allergy &amp; Crit Care Med, Pittsburgh, PA 15213 USA; [Perez Verdaguer, Mireia] Univ Pittsburgh, Sch Med, Dept Cell Biol, Pittsburgh, PA 15261 USA; [Brzoska, Tomasz] Univ Pittsburgh, Sch Med, Div Hematol Oncol, Pittsburgh, PA 15261 USA; [Sundd, Prithu] Univ Pittsburgh, Dept Bioengn, Pittsburgh, PA 15261 USA</t>
  </si>
  <si>
    <t>Pennsylvania Commonwealth System of Higher Education (PCSHE); University of Pittsburgh; Pennsylvania Commonwealth System of Higher Education (PCSHE); University of Pittsburgh; Pennsylvania Commonwealth System of Higher Education (PCSHE); University of Pittsburgh; Pennsylvania Commonwealth System of Higher Education (PCSHE); University of Pittsburgh; Pennsylvania Commonwealth System of Higher Education (PCSHE); University of Pittsburgh; Pennsylvania Commonwealth System of Higher Education (PCSHE); University of Pittsburgh</t>
  </si>
  <si>
    <t>Giordano, L; Kaufman, BA (corresponding author), Univ Pittsburgh, Dept Med, Div Cardiol, Ctr Metab &amp; Mitochondrial Med, Pittsburgh, PA 15261 USA.;Giordano, L; Kaufman, BA (corresponding author), Univ Pittsburgh, Heart Lung &amp; Blood Vasc Med Inst, Pittsburgh, PA 15261 USA.</t>
  </si>
  <si>
    <t>giordano@pitt.edu; adg56@pitt.edu; mip85@pitt.edu; adg56@pitt.edu; hah85@pitt.edu; devallan@pitt.edu; brzoskat@pitt.edu; prs51@pitt.edu; zhang3@pitt.edu; fcs@pitt.edu; shapirosd@upmc.edu; bkauf@pitt.edu</t>
  </si>
  <si>
    <t>sciurba, frank/0000-0001-7468-2225; Giordano, Luca/0000-0001-6315-7361</t>
  </si>
  <si>
    <t>10.3390/cells11030369</t>
  </si>
  <si>
    <t>WOS:000759619200001</t>
  </si>
  <si>
    <t>Montaner-Tarbes, S; Pujol, M; Jabbar, T; Hawes, P; Chapman, D; Del Portillo, H; Fraile, L; Sanchez-Cordon, PJ; Dixon, L; Montoya, M</t>
  </si>
  <si>
    <t>Montaner-Tarbes, Sergio; Pujol, Myriam; Jabbar, Tamara; Hawes, Philippa; Chapman, Dave; Del Portillo, Hernando; Fraile, Lorenzo; Sanchez-Cordon, Pedro J.; Dixon, Linda; Montoya, Maria</t>
  </si>
  <si>
    <t>Serum-Derived Extracellular Vesicles from African Swine Fever Virus-Infected Pigs Selectively Recruit Viral and Porcine Proteins</t>
  </si>
  <si>
    <t>VIRUSES-BASEL</t>
  </si>
  <si>
    <t>extracellular vesicles; African swine fever virus; proteomic analysis</t>
  </si>
  <si>
    <t>DOMESTIC PIGS; ISOLATE; P-30; MONOCYTES/MACROPHAGES; IDENTIFICATION; PROTECTION; ANTIBODIES; MEMBRANE; GEORGIA; GENOME</t>
  </si>
  <si>
    <t>African swine fever is a devastating hemorrhagic infectious disease, which affects domestic and wild swines (Sus scrofa) of all breeds and ages, with a high lethality of up to 90-100% in naive animals. The causative agent, African swine fever virus (ASFV), is a large and complex double-stranded DNA arbovirus which is currently spreading worldwide, with serious socioeconomic consequences. There is no treatment or effective vaccine commercially available, and most of the current research is focused on attenuated viral models, with limited success so far. Thus, new strategies are under investigation. Extracellular vesicles (EVs) have proven to be a promising new vaccination platform for veterinary diseases in situations in which conventional approaches have not been completely successful. Here, serum extracellular vesicles from infected pigs using two different ASFV viruses (OURT 88/3 and Benin Delta MGF), corresponding to a naturally attenuated virus and a deletion mutant, respectively, were characterized in order to determine possible differences in the content of swine and viral proteins in EV-enriched fractions. Firstly, EVs were characterized by their CD5, CD63, CD81 and CD163 surface expression. Secondly, ASFV proteins were detected on the surface of EVs from ASFV-infected pig serum. Finally, proteomic analysis revealed few specific proteins from ASFV in the EVs, but 942 swine proteins were detected in all EV preparations (negative controls, and OURT 88/3 and Benin Delta MGF-infected preparations). However, in samples from OURT 88/3-infected animals, only a small number of proteins were differentially identified compared to control uninfected animals. Fifty-six swine proteins (Group Benin) and seven proteins (Group OURT 88/3) were differentially detected on EVs when compared to the EV control group. Most of these were related to coagulation cascades. The results presented here could contribute to a better understanding of ASFV pathogenesis and immune/protective responses in the host.</t>
  </si>
  <si>
    <t>[Montaner-Tarbes, Sergio; Del Portillo, Hernando; Fraile, Lorenzo; Montoya, Maria] Innovex Therapeut SL, Barcelona 08916, Spain; [Montaner-Tarbes, Sergio; Fraile, Lorenzo] Escola Tecn Super Engn Agr, Dept Ciencia Anim, Ave Alcalde Rovira Roure 191, Lleida 25198, Spain; [Pujol, Myriam] Univ Chile, Fac Med, Santiago 7591538, Chile; [Jabbar, Tamara; Hawes, Philippa; Chapman, Dave; Sanchez-Cordon, Pedro J.; Dixon, Linda; Montoya, Maria] Pirbright Inst, Ash Rd, Woking GU24 0NF, Surrey, England; [Montoya, Maria] Univ Complutense Madrid, CSIC, CIB, Ramiro de Maeztu 9, E-28040 Madrid, Spain</t>
  </si>
  <si>
    <t>Universidad de Chile; UK Research &amp; Innovation (UKRI); Biotechnology and Biological Sciences Research Council (BBSRC); Pirbright Institute; Complutense University of Madrid; Consejo Superior de Investigaciones Cientificas (CSIC); CSIC - Centro de Investigaciones Biologicas (CIB)</t>
  </si>
  <si>
    <t>Montoya, M (corresponding author), Innovex Therapeut SL, Barcelona 08916, Spain.;Montoya, M (corresponding author), Pirbright Inst, Ash Rd, Woking GU24 0NF, Surrey, England.;Montoya, M (corresponding author), Univ Complutense Madrid, CSIC, CIB, Ramiro de Maeztu 9, E-28040 Madrid, Spain.</t>
  </si>
  <si>
    <t>smontaner@igtp.cat; myriampujol@gmail.com; tamara.jabbar@pirbright.ac.uk; pippa.hawes@pirbright.ac.uk; chapmand@MedImmune.com; hernandoa.delportillo@isglobal.org; lorenzo.fraile@ca.udl.cat; Pedro.Sanchez-Cordon@apha.gov.uk; linda.dixon@pirbright.ac.uk; maria.montoya@cib.csic.es</t>
  </si>
  <si>
    <t>Martínez, Beatriz/H-2953-2012; Pujol Moris, Myriam/AAC-9149-2022; Fraile, Lorenzo/A-1142-2009; Fraile, Lorenzo/AGE-2172-2022; Rodriguez, Ana/GLQ-7829-2022; Montoya, Maria/G-3430-2015</t>
  </si>
  <si>
    <t>Martínez, Beatriz/0000-0001-7692-1963; Pujol Moris, Myriam/0000-0003-1833-3746; Fraile, Lorenzo/0000-0002-8980-5862; Fraile, Lorenzo/0000-0002-8980-5862; Rodriguez, Ana/0000-0002-1577-9905; Montoya, Maria/0000-0002-5703-7360; Dixon, Linda/0000-0003-3845-3016; Montaner Tarbes, Sergio/0000-0002-7664-3382; Sanchez Cordon, Pedro Jose/0000-0002-7202-6475; Chapman, David/0000-0002-8606-4069</t>
  </si>
  <si>
    <t>1999-4915</t>
  </si>
  <si>
    <t>10.3390/v11100882</t>
  </si>
  <si>
    <t>WOS:000498400400003</t>
  </si>
  <si>
    <t>Gregory, CD; Dransfield, I</t>
  </si>
  <si>
    <t>Gregory, Christopher D.; Dransfield, Ian</t>
  </si>
  <si>
    <t>Apoptotic Tumor Cell-Derived Extracellular Vesicles as Important Regulators of the Onco-Regenerative Niche</t>
  </si>
  <si>
    <t>extracellular vesicles; apoptosis; inflammation and cancer; tumor microenvironment; angiogenesis; tissue repair and regeneration; macrophage activation; tumor biology</t>
  </si>
  <si>
    <t>HORIZONTAL TRANSFER; DNA-DAMAGE; BODIES; CANCER; DEATH; MICROVESICLES; PATHWAY; PHAGOCYTOSIS; ACTIVATION; EXPRESSION</t>
  </si>
  <si>
    <t>Cells undergoing apoptosis produce heterogeneous populations of membrane delimited extracellular vesicles (Apo-EVs) which vary not only in size-from tens of nanometers to several microns-but also in molecular composition and cargo Apo-Evs carry a variety of potentially biologically active components, including small molecules, proteins, and nucleic acids Larger forms of Apo-EVs, commonly termed apoptotic bodies, can carry organelles, such as mitochondria and nuclear fragments Molecules displayed on the surface of extracellular vesicles (EVs) can contribute substantially to their size, as well as their functions Thus far, relatively little is known of the functional significance of Apo-EVs apart from their roles in fragmentation of dying cells and indicated immunomodulatory activities Here, we discuss EV production by dying tumor cells and consider the possible roles of Apo-EVs in a cell death-driven sector of the tumor microenvironment known as the onco-regenerative niche (ORN) We propose that tumor-derived Apo-EVs are significant vehicles of the ORN, functioning as critical intercellular communicators that activate oncogenic tissue repair and regeneration pathways We highlight important outstanding questions and suggest that Apo-EVs may harbor novel therapeutic targets.</t>
  </si>
  <si>
    <t>[Gregory, Christopher D.; Dransfield, Ian] Univ Edinburgh, Queens Med Res Inst, Med Res Council, Ctr Inflammat Res, Edinburgh, Midlothian, Scotland</t>
  </si>
  <si>
    <t>UK Research &amp; Innovation (UKRI); Medical Research Council UK (MRC); University of Edinburgh</t>
  </si>
  <si>
    <t>Gregory, CD (corresponding author), Univ Edinburgh, Queens Med Res Inst, Med Res Council, Ctr Inflammat Res, Edinburgh, Midlothian, Scotland.</t>
  </si>
  <si>
    <t>chris.gregory@ed.ac.uk</t>
  </si>
  <si>
    <t>Dransfield, Ian/0000-0001-5848-7059</t>
  </si>
  <si>
    <t>MAY 23</t>
  </si>
  <si>
    <t>10.3389/fimmu.2018.01111</t>
  </si>
  <si>
    <t>WOS:000432827400001</t>
  </si>
  <si>
    <t>Wang, J; Xie, HY; Ding, CF</t>
  </si>
  <si>
    <t>Wang, Jing; Xie, Hongyang; Ding, Caifeng</t>
  </si>
  <si>
    <t>Designed Co-DNA-Locker and Ratiometric SERS Sensing for Accurate Detection of Exosomes Based on Gold Nanorod Arrays</t>
  </si>
  <si>
    <t>ACS APPLIED MATERIALS &amp; INTERFACES</t>
  </si>
  <si>
    <t>SERS; gold nanorod; DNA logic; exosomes; SK-Br-3 cell</t>
  </si>
  <si>
    <t>ENHANCED RAMAN-SCATTERING; SURFACE-PLASMON RESONANCE; NANOPARTICLES; MOLECULES; VESICLES; APTAMERS; FILM</t>
  </si>
  <si>
    <t>Exosomes, which can transfer and deliver information about the original cell, are considered to be ideal candidates for early cancer diagnosis and evaluation of therapeutic efficacy due to their high abundance and stability. However, the highly expressed proteins on the surface of exosomes are usually associated with a variety of cancers; it is difficult to distinguish them by a single marker. Herein, a controlled self-assembly of gold nanorod (AuNR) arrays was prepared to construct a surface-enhanced Raman spectroscopy (SERS) sensor for the specific detection of exosomes secreted by SK-Br-3 cells based on a designed colocalization-dependent system (Co-DNA-Locker) and ratiometric strategy. After the exosomes are captured in the sensing array by the EpCAM aptamer modified on the surface of AuNRs, the DNA logic process occurs because the other two proteins, CD63 and HER2, are expressed simultaneously on the surface of exosomes secreted by SK-Br-3 cells, and the SERS signal intensity of the Rhodamine 6G (R6G) tagged on the terminal of DNA T-E increased with an increase in the concentration of the exosomes, while the SERS signal intensity of Cy5 linked on the terminal of the EpCAM aptamer, which acts as an internal standard, remains stable. The AuNRs are uniformly arranged in a hexagonal shape, and the dense hot spots produce hot surfaces, which greatly improve the sensitivity and uniformity of detection. In the presence of target exosomes, the DNA colocalization three-signal input switch and the ratiometric strategy realize the specific and accurate detection of exosomes. This sensing strategy achieves a wide detection range (1.0 x 10(4)-5.0 x 10(6) particles/mL) and a lower detection limit (5.3 x 10(3) particles/mL), without using any signal amplification mechanism, demonstrating promising applications in health care monitoring and clinical diagnostics.</t>
  </si>
  <si>
    <t>[Wang, Jing; Xie, Hongyang; Ding, Caifeng] Qingdao Univ Sci &amp; Technol, Key Lab Opt Elect Sensing &amp; Analyt Chem Life Sci, Minist Educ, Qingdao 266042, Peoples R China; [Wang, Jing; Xie, Hongyang; Ding, Caifeng] Qingdao Univ Sci &amp; Technol, Shandong Key Lab Biochem Anal, Qingdao 266042, Peoples R China; [Wang, Jing; Xie, Hongyang; Ding, Caifeng] Qingdao Univ Sci &amp; Technol, Key Lab Analyt Chem Life Sci Univ Shandong, Qingdao 266042, Peoples R China; [Wang, Jing; Xie, Hongyang; Ding, Caifeng] Qingdao Univ Sci &amp; Technol, Coll Chem &amp; Mol Engn, Qingdao 266042, Peoples R China</t>
  </si>
  <si>
    <t>Qingdao University of Science &amp; Technology; Qingdao University of Science &amp; Technology; Qingdao University of Science &amp; Technology; Qingdao University of Science &amp; Technology</t>
  </si>
  <si>
    <t>Ding, CF (corresponding author), Qingdao Univ Sci &amp; Technol, Key Lab Opt Elect Sensing &amp; Analyt Chem Life Sci, Minist Educ, Qingdao 266042, Peoples R China.;Ding, CF (corresponding author), Qingdao Univ Sci &amp; Technol, Shandong Key Lab Biochem Anal, Qingdao 266042, Peoples R China.;Ding, CF (corresponding author), Qingdao Univ Sci &amp; Technol, Key Lab Analyt Chem Life Sci Univ Shandong, Qingdao 266042, Peoples R China.;Ding, CF (corresponding author), Qingdao Univ Sci &amp; Technol, Coll Chem &amp; Mol Engn, Qingdao 266042, Peoples R China.</t>
  </si>
  <si>
    <t>dingcaifeng@qust.edu.cn</t>
  </si>
  <si>
    <t>1944-8244</t>
  </si>
  <si>
    <t>1944-8252</t>
  </si>
  <si>
    <t>10.1021/acsami.1c09388</t>
  </si>
  <si>
    <t>Nanoscience &amp; Nanotechnology; Materials Science, Multidisciplinary</t>
  </si>
  <si>
    <t>Science &amp; Technology - Other Topics; Materials Science</t>
  </si>
  <si>
    <t>WOS:000677540900020</t>
  </si>
  <si>
    <t>Li , YJ; Liu, RP; Ding, MN; Zheng, Q; Wu, JZ; Xue, XY; Gu, YQ; Ma, BN; Cai, YJ; Li, S; Lin, S; Zhang, LY; Li, XJY</t>
  </si>
  <si>
    <t>Li, Ya-Jing; Liu, Run-Ping; Ding, Ming-Ning; Zheng, Qi; Wu, Jian-Zhi; Xue, Xiao-Yong; Gu, Yi-Qing; Ma, Bo-Ning; Cai, Ya-Jie; Li, Shuo; Lin, Sheng; Zhang, Lu-Yong; Li, Xiaojiaoyang</t>
  </si>
  <si>
    <t>Tetramethylpyrazine prevents liver fibrotic injury in mice by targeting hepatocyte-derived and mitochondrial DNA-enriched extracellular vesicles</t>
  </si>
  <si>
    <t>ACTA PHARMACOLOGICA SINICA</t>
  </si>
  <si>
    <t>liver fibrosis; tetramethylpyrazine; CCl4; acetaminophen; extracellular vesicle; intercellular communication; mouse primary hepatocytes; hepatic stellate cells</t>
  </si>
  <si>
    <t>HEPATIC STELLATE CELLS; INHIBITION; ACTIVATION; PATHWAYS</t>
  </si>
  <si>
    <t>Liver fibrosis is the common consequence of almost all liver diseases and has become an urgent clinical problem without efficient therapies. Recent evidence has shown that hepatocytes-derived extracellular vesicles (EVs) play important roles in liver pathophysiology, but little is known about the role of damaged hepatocytes-derived EVs in hepatic stellate cell (HSC) activation and following fibrosis. Tetramethylpyrazine (TMP) from Ligusticum wallichii Franchat exhibits a broad spectrum of biological activities including liver protection. In this study, we investigated whether TMP exerted liver-protective action through regulating EV-dependent intercellular communication between hepatocytes and HSCs. Chronic liver injury was induced in mice by CCl4 (1.6 mg/kg, i.g.) twice a week for 8 weeks. In the last 4 weeks of CCl4 administration, mice were given TMP (40, 80, 160 mg center dot kg(-1)center dot d(-1), i.g.). Acute liver injury was induced in mice by injection of a single dose of CCl4 (0.8 mg/kg, i.p.). After injection, mice were treated with TMP (80 mg/kg) every 24 h. We showed that TMP treatment dramatically ameliorated CCl4-induced oxidative stress and hepatic inflammation as well as acute or chronic liver fibrosis. In cultured mouse primary hepatocytes (MPHs), treatment with CCl4 or acetaminophen resulted in mitochondrial dysfunction, release of mitochondrial DNA (mtDNA) from injured hepatocytes to adjacent hepatocytes and HSCs through EVs, mediating hepatocyte damage and fibrogenic responses in activated HSCs; pretreatment of MPHs with TMP (25 mu M) prevented all these pathological effects. Transplanted serum EVs from TMP-treated mice prevented both initiation and progression of liver fibrosis caused by CCl4. Taken together, this study unravels the complex mechanisms underlying the protective effects of TMP against mtDNA-containing EV-mediated hepatocyte injury and HSC activation during liver injury, and provides critical evidence inspiring the development of TMP-based innovative therapeutic agents for the treatment of liver fibrosis.</t>
  </si>
  <si>
    <t>[Li, Ya-Jing; Ding, Ming-Ning; Wu, Jian-Zhi; Xue, Xiao-Yong; Ma, Bo-Ning; Li, Xiaojiaoyang] Beijing Univ Chinese Med, Sch Life Sci, Beijing 100029, Peoples R China; [Liu, Run-Ping; Zheng, Qi; Gu, Yi-Qing; Cai, Ya-Jie; Li, Shuo] Beijing Univ Chinese Med, Sch Chinese Mat Med, Beijing 100029, Peoples R China; [Lin, Sheng] Beijing Univ Chinese Med, Dongzhimen Hosp, Key Lab Chinese Internal Med Minist Educ &amp; Beijin, Beijing 100029, Peoples R China; [Zhang, Lu-Yong] Guangdong Pharmaceut Univ, Ctr Drug Screening &amp; Pharmacodynam Evaluat, Sch Pharm, Guangzhou 510006, Peoples R China</t>
  </si>
  <si>
    <t>Beijing University of Chinese Medicine; Beijing University of Chinese Medicine; Beijing University of Chinese Medicine; Guangdong Pharmaceutical University</t>
  </si>
  <si>
    <t>Li, XJY (corresponding author), Beijing Univ Chinese Med, Sch Life Sci, Beijing 100029, Peoples R China.</t>
  </si>
  <si>
    <t>xiaojiaoyang.li@bucm.edu.cn</t>
  </si>
  <si>
    <t>Li, Xiaojiaoyang/CAG-6603-2022</t>
  </si>
  <si>
    <t>Li, Xiaojiaoyang/0000-0003-0291-5856</t>
  </si>
  <si>
    <t>1671-4083</t>
  </si>
  <si>
    <t>1745-7254</t>
  </si>
  <si>
    <t>10.1038/s41401-021-00843-w</t>
  </si>
  <si>
    <t>JAN 2022</t>
  </si>
  <si>
    <t>WOS:000742317600001</t>
  </si>
  <si>
    <t>Jiao, FL; Gao, FY; Liu, YY; Fan, ZY; Xiang, XC; Xia, CS; Lv, YY; Xie, YP; Bai, HH; Zhang, WJ; Qin, WJ; Qian, XH</t>
  </si>
  <si>
    <t>Jiao, Fenglong; Gao, Fangyuan; Liu, Yuanyuan; Fan, Zhiya; Xiang, Xiaochao; Xia, Chaoshuang; Lv, Yayao; Xie, Yuping; Bai, Haihong; Zhang, Wanjun; Qin, Weijie; Qian, Xiaohong</t>
  </si>
  <si>
    <t>A facile one-material strategy for tandem enrichment of small extracellular vesicles phosphoproteome</t>
  </si>
  <si>
    <t>Small extracellular vesicles; Proteomics; Phosphoproteomics; Mass spectrometry; Nanomaterials</t>
  </si>
  <si>
    <t>HIGHLY SELECTIVE ENRICHMENT; PROTEIN-PHOSPHORYLATION; CANCER PROGRESSION; MAGNETIC GRAPHENE; EXOSOME ISOLATION; SERUM; MECHANISM; BIOMARKER; DNA</t>
  </si>
  <si>
    <t>Small extracellular vesicles (SEVs), are cell-derived, membrane-enclosed nanometer-sized vesicles that play vital roles in many biological processes. Recent years, more and more evidences proved that small EVs have close relationship with many diseases such as cancers and Alzheimer's disease. The use of phosphoproteins in SEVs as potential biomarkers is a promising new choice for early diagnosis and prognosis of cancer. However, current techniques for SEVs isolation still facing many challenges, such as highly instrument dependent, time consuming and insufficient purity. Furthermore, complex enrichment procedures and low microgram amounts of proteins available from clinical sources largely limit the throughput and the coveage depth of SEVs phosphoproteome mapping. Here, we synthesized Ti4+-modified magnetic graphene-oxide composites (GFST) and developed a one-material strategy for facile and efficient phosphoproteome enrichment and identification in SEVs from human serum. By taking advantage of chelation and electrostatic interactions between metal ions and phosphate groups, GFST shows excellent performance in both SEVs isolation and phosphopeptide enrichment. Close to 85% recovery is achieved within a few minutes by simple incubation with GFST and magnetic separation. Proteome profiling of the isolated serum SEVs without phosphopeptide enrichment results in 515 proteins, which is approximately one-fold more than those otained by ultracentrifugation or coprecipitation kits. Further application of GFST in one-material-based enrichment led to identification of 859 phosphosites in 530 phosphoproteins. Kinase-substrate correlation analysis reveals enriched substrates of CAMK in serum SEVs phosphoproteome. Therefore, we expect that the low instrument dependency and the limited sample requirement of this new strategy may facilitate clinical investigations in SEV-based transportation of abnormal kinases and substrates for drug target discovery and cancer monitoring.</t>
  </si>
  <si>
    <t>[Jiao, Fenglong; Gao, Fangyuan; Liu, Yuanyuan; Fan, Zhiya; Xiang, Xiaochao; Xia, Chaoshuang; Lv, Yayao; Xie, Yuping; Zhang, Wanjun; Qin, Weijie; Qian, Xiaohong] Beijing Inst Life, Beijing Proteome Res Ctr, Natl Ctr Prot Sci Beijing, State Key Lab Prote, Beijing 102206, Peoples R China; [Qin, Weijie] Anhui Med Univ, Coll Basic Med, Hefei 230032, Peoples R China; [Bai, Haihong] Capital Med Univ, Phase Clin Trial Ctr 1, Affiliated Beijing Shijitan Hosp Univ, Beijing 100038, Peoples R China</t>
  </si>
  <si>
    <t>Anhui Medical University; Capital Medical University</t>
  </si>
  <si>
    <t>Qin, WJ (corresponding author), Beijing Inst Life, Beijing 102206, Peoples R China.</t>
  </si>
  <si>
    <t>aunp_dna@126.com</t>
  </si>
  <si>
    <t>Xia, Chaoshuang/GPC-6579-2022</t>
  </si>
  <si>
    <t>Xia, Chaoshuang/0000-0001-7076-4813; Liu, Yuanyuan/0000-0002-0333-479X; Gao, Fangyuan/0000-0002-1270-8781; Bai, Haihong/0000-0003-0749-6718</t>
  </si>
  <si>
    <t>10.1016/j.talanta.2020.121776</t>
  </si>
  <si>
    <t>WOS:000599681500002</t>
  </si>
  <si>
    <t>Garcia-Silva, S; Benito-Martin, A; Sanchez-Redondo, S; Hernandez-Barranco, A; Ximenez-Embun, P; Nogues, L; Mazariegos, MS; Brinkmann, K; Lopez, AA; Meyer, L; Rodriguez, C; Garcia-Martin, C; Boskovic, J; Leton, R; Montero, C; Robledo, M; Santambrogio, L; Brady, MS; Szumera-Cieckiewicz, A; Kalinowska, I; Skog, J; Noerholm, M; Munoz, J; Ortiz-Romero, PL; Ruano, Y; Rodriguez-Peralto, JL; Rutkowski, P; Peinado, H</t>
  </si>
  <si>
    <t>Garcia-Silva, Susana; Benito-Martin, Alberto; Sanchez-Redondo, Sara; Hernandez-Barranco, Alberto; Ximenez-Embun, Pilar; Nogues, Laura; Mazariegos, Marina S.; Brinkmann, Kay; Amor Lopez, Ana; Meyer, Lisa; Rodriguez, Carlos; Garcia-Martin, Carmen; Boskovic, Jasminka; Leton, Rocio; Montero, Cristina; Robledo, Mercedes; Santambrogio, Laura; Brady, Mary Sue; Szumera-Cieckiewicz, Anna; Kalinowska, Iwona; Skog, Johan; Noerholm, Mikkel; Munoz, Javier; Ortiz-Romero, Pablo L.; Ruano, Yolanda; Rodriguez-Peralto, Jose L.; Rutkowski, Piotr; Peinado, Hector</t>
  </si>
  <si>
    <t>Use of extracellular vesicles from lymphatic drainage as surrogate markers of melanoma progression and BRAF(V600E) mutation</t>
  </si>
  <si>
    <t>JOURNAL OF EXPERIMENTAL MEDICINE</t>
  </si>
  <si>
    <t>MUTANT KRAS; EXOSOMES; DNA; CELLS</t>
  </si>
  <si>
    <t>Liquid biopsies from cancer patients have the potential to improve diagnosis and prognosis. The assessment of surrogate markers of tumor progression in circulating extracellular vesicles could be a powerful non-invasive approach in this setting. We have characterized extracellular vesicles purified from the lymphatic drainage also known as exudative seroma (ES) of stage III melanoma patients obtained after lymphadenectomy. Proteomic analysis showed that seroma-derived exosomes are enriched in proteins resembling melanoma progression. In addition, we found that the BRAF(V600E) mutation can be detected in ES-derived extracellular vesicles and its detection correlated with patients at risk of relapse.</t>
  </si>
  <si>
    <t>[Garcia-Silva, Susana; Sanchez-Redondo, Sara; Hernandez-Barranco, Alberto; Nogues, Laura; Mazariegos, Marina S.; Amor Lopez, Ana; Peinado, Hector] Spanish Natl Canc Res Ctr, Microenvironm &amp; Metastasis Lab, Mol Oncol Program, Madrid, Spain; [Benito-Martin, Alberto] Weill Cornell Med, Dept Pediat, Childrens Canc &amp; Blood Fdn Labs, New York, NY USA; [Ximenez-Embun, Pilar; Munoz, Javier] Spanish Natl Canc Res Ctr, Prote Unit, ProteoRed Inst Salud Carlos III, Madrid, Spain; [Brinkmann, Kay; Meyer, Lisa; Noerholm, Mikkel] Exosome Diagnost GmbH, Martinsried, Germany; [Rodriguez, Carlos; Garcia-Martin, Carmen; Boskovic, Jasminka] Spanish Natl Canc Res Ctr, Electron Microscopy Unit, Madrid, Spain; [Leton, Rocio; Montero, Cristina; Robledo, Mercedes] Spanish Natl Canc Res Ctr, Hereditary Endocrine Grp, Madrid, Spain; [Szumera-Cieckiewicz, Anna] Maria Sklodowska Curie Inst, Oncol Ctr, Dept Pathol &amp; Lab Med, Warsaw, Poland; [Kalinowska, Iwona; Rutkowski, Piotr] Maria Sklodowska Curie Inst, Oncol Ctr, Dept Soft Tissue Bone Sarcoma &amp; Melanoma, Warsaw, Poland; [Skog, Johan] Exosome Diagnost Inc, Waltham, MA USA; [Ortiz-Romero, Pablo L.] Univ Complutense Madrid, Hosp Univ Octubre 12, Inst I 12, Dept Dermatol,Med Sch, Madrid, Spain; [Ruano, Yolanda; Rodriguez-Peralto, Jose L.] Univ Complutense Madrid, Hosp Univ Octubre 12, Inst I 12, Dept Pathol,Med Sch, Madrid, Spain; [Santambrogio, Laura] Albert Einstein Coll Med, Dept Pathol Microbiol &amp; Immunol, New York, NY USA; [Brady, Mary Sue] Mem Sloan Kettering Canc Ctr, New York, NY USA</t>
  </si>
  <si>
    <t>Centro Nacional de Investigaciones Oncologicas (CNIO); Cornell University; Centro Nacional de Investigaciones Oncologicas (CNIO); Centro Nacional de Investigaciones Oncologicas (CNIO); Centro Nacional de Investigaciones Oncologicas (CNIO); Maria Sklodowska-Curie National Research Institute of Oncology; Maria Sklodowska-Curie National Research Institute of Oncology; Complutense University of Madrid; Hospital Universitario 12 de Octubre; Complutense University of Madrid; Hospital Universitario 12 de Octubre; Yeshiva University; Memorial Sloan Kettering Cancer Center</t>
  </si>
  <si>
    <t>Peinado, H (corresponding author), Spanish Natl Canc Res Ctr, Microenvironm &amp; Metastasis Lab, Mol Oncol Program, Madrid, Spain.</t>
  </si>
  <si>
    <t>hpeinado@cnio.es</t>
  </si>
  <si>
    <t>Benito-Martin, Alberto/GLU-6164-2022; Rutkowski, Piotr/B-3907-2013; Munoz, Javier/I-4891-2012; Szumera-Ciećkiewicz, Anna/AAR-8502-2021; Robledo, Mercedes/O-2230-2013; Szumera-Ciećkiewicz, Anna/D-8391-2019; Mazariegos, Marina/ABF-9669-2020; Peinado, Hector/A-6417-2013; Leton, Rocio/AAD-7896-2020; Garcia-Silva, Susana/AAW-8528-2021; boskovic, jasminka/L-5117-2018; Hernandez Barranco, Alberto/T-5667-2018</t>
  </si>
  <si>
    <t>Benito-Martin, Alberto/0000-0002-0700-3891; Rutkowski, Piotr/0000-0002-8920-5429; Munoz, Javier/0000-0003-3288-3496; Szumera-Ciećkiewicz, Anna/0000-0001-5028-3422; Robledo, Mercedes/0000-0001-6256-5902; Szumera-Ciećkiewicz, Anna/0000-0001-5028-3422; Peinado, Hector/0000-0002-4256-3413; Garcia-Silva, Susana/0000-0003-1065-0245; Mazariegos, Marina/0000-0002-3298-9461; Garcia-Martin, Carmen/0000-0003-4132-9307; boskovic, jasminka/0000-0001-6135-0686; Skog, Johan/0000-0002-0926-1691; Hernandez Barranco, Alberto/0000-0002-1590-5107</t>
  </si>
  <si>
    <t>0022-1007</t>
  </si>
  <si>
    <t>1540-9538</t>
  </si>
  <si>
    <t>10.1084/jem.20181522</t>
  </si>
  <si>
    <t>WOS:000466981400010</t>
  </si>
  <si>
    <t>Xu, R; Greening, DW; Chen, MS; Rai, A; Ji, H; Takahashi, N; Simpson, RJ</t>
  </si>
  <si>
    <t>Xu, Rong; Greening, David W.; Chen, Maoshan; Rai, Alin; Ji, Hong; Takahashi, Nobuhiro; Simpson, Richard J.</t>
  </si>
  <si>
    <t>Surfaceome of Exosomes Secreted from the Colorectal Cancer Cell Line SW480: Peripheral and Integral Membrane Proteins Analyzed by Proteolysis and TX114</t>
  </si>
  <si>
    <t>exosomes; extracellular vesicles; integral membrane proteins; membrane shaving; surfaceome</t>
  </si>
  <si>
    <t>EXTRACELLULAR VESICLES; MASS-SPECTROMETRY; RNA; IDENTIFICATION; TETRASPANINS; EXPRESSION; LIM1863; SIGNAL; DNA; QUANTIFICATION</t>
  </si>
  <si>
    <t>Exosomes are important bidirectional cell-cell communicators in normal and pathological physiology. Although exosomal surface membrane proteins (surfaceome) enable target cell recognition and are an attractive source of disease marker, they are poorly understood. Here, a comprehensive surfaceome analysis of exosomes secreted by the colorectal cancer cell line SW480 is described. Sodium carbonate extraction/Triton X-114 phase separation and mild proteolysis (proteinase K, PK) of intact exosomes is used in combination with label-free quantitative mass spectrometry to identify 1025 exosomal proteins of which 208 are predicted to be integral membrane proteins (IMPs) according to TOPCONS and GRAVY scores. Interrogation of UniProt database-annotated proteins reveals 124 predicted peripherally-associated membrane proteins (PMPs). Surprisingly, 108 RNA-binding proteins (RBPs)/RNA nucleoproteins (RNPs) are found in the carbonate/Triton X-114 insoluble fraction. Mild PK treatment of SW480-GFP labeled exosomes reveal 58 proteolytically cleaved IMPs and 14 exoplasmic PMPs (e.g., CLU/GANAB/LGALS3BP). Interestingly, 18 RBPs/RNPs (e.g., EIF3L/RPL6) appear bound to the outer exosome surface since they are sensitive to PK proteolysis. The finding that outer surface-localized miRNA Let-7a-5p is RNase A-resistant, but degraded by a combination of RNase A/PK treatment suggests exosomal miRNA species also reside on the outer surface of exosomes bound to RBPs/RNPs.</t>
  </si>
  <si>
    <t>[Xu, Rong; Greening, David W.; Chen, Maoshan; Rai, Alin; Ji, Hong; Simpson, Richard J.] La Trobe Univ, La Trobe Inst Mol Sci LIMS, Dept Biochem &amp; Genet, Melbourne, Vic 3086, Australia; [Takahashi, Nobuhiro] Tokyo Univ Agr &amp; Technol, Dept Appl Biol Sci, Grad Sch Agr, Fuchu, Tokyo 1838509, Japan; [Takahashi, Nobuhiro; Simpson, Richard J.] Tokyo Univ Agr &amp; Technol, Global Innovat Res Org, Fuchu, Tokyo 1838538, Japan</t>
  </si>
  <si>
    <t>La Trobe University; Tokyo University of Agriculture &amp; Technology; Tokyo University of Agriculture &amp; Technology</t>
  </si>
  <si>
    <t>Xu, R; Greening, DW; Simpson, RJ (corresponding author), La Trobe Univ, La Trobe Inst Mol Sci LIMS, Dept Biochem &amp; Genet, Melbourne, Vic 3086, Australia.;Simpson, RJ (corresponding author), Tokyo Univ Agr &amp; Technol, Global Innovat Res Org, Fuchu, Tokyo 1838538, Japan.</t>
  </si>
  <si>
    <t>r.xu@latrobe.edu.au; D.Greening@latrobe.edu.au; Richard.Simpson@latrobe.edu.au</t>
  </si>
  <si>
    <t>Xu, Rong/V-7084-2019; Rai, Alin/ABC-7474-2020; Greening, David/E-9138-2016; TAKAHASHI, Nobuhiro/G-1129-2013</t>
  </si>
  <si>
    <t>Xu, Rong/0000-0002-5510-3678; Greening, David/0000-0001-7516-485X; Rai, Alin/0000-0001-7994-5151</t>
  </si>
  <si>
    <t>10.1002/pmic.201700453</t>
  </si>
  <si>
    <t>WOS:000465023200003</t>
  </si>
  <si>
    <t>Szatmari, T; Kis, D; Bogdandi, EN; Benedek, A; Bright, S; Bowler, D; Persa, E; Kis, E; Balogh, A; Naszalyi, LN; Kadhim, M; Safrany, G; Lumniczky, K</t>
  </si>
  <si>
    <t>Szatmari, Tuende; Kis, David; Bogdandi, Eniko Noemi; Benedek, Anett; Bright, Scott; Bowler, Deborah; Persa, Eszter; Kis, Eniko; Balogh, Andrea; Naszalyi, Livia N.; Kadhim, Munira; Safrany, Geza; Lumniczky, Katalin</t>
  </si>
  <si>
    <t>Extracellular Vesicles Mediate Radiation-Induced Systemic Bystander Signals in the Bone Marrow and Spleen</t>
  </si>
  <si>
    <t>ionizing radiation; hematopoietic system; microRNA; extracellular vesicles; bystander effects</t>
  </si>
  <si>
    <t>DOUBLE-STRAND BREAKS; LOW-DOSE RADIATION; IONIZING-RADIATION; GAMMA-H2AX FOCI; DNA-DAMAGE; IN-VIVO; EPIGENETIC EFFECTORS; MICRORNA EXPRESSION; IMMUNE-RESPONSE; GENE-EXPRESSION</t>
  </si>
  <si>
    <t>Radiation-induced bystander effects refer to the induction of biological changes in cells not directly hit by radiation implying that the number of cells affected by radiation is larger than the actual number of irradiated cells. Recent in vitro studies suggest the role of extracellular vesicles (EVs) in mediating radiation-induced bystander signals, but in vivo investigations are still lacking. Here, we report an in vivo study investigating the role of EVs in mediating radiation effects. C57BL/6 mice were total-body irradiated with X-rays (0.1, 0.25, 2 Gy), and 24 h later, EVs were isolated from the bone marrow (BM) and were intravenously injected into unirradiated (so-called bystander) animals. EV-induced systemic effects were compared to radiation effects in the directly irradiated animals. Similar to direct radiation, EVs from irradiated mice induced complex DNA damage in EV-recipient animals, manifested in an increased level of chromosomal aberrations and the activation of the DNA damage response. However, while DNA damage after direct irradiation increased with the dose, EV-induced effects peaked at lower doses. A significantly reduced hematopoietic stem cell pool in the BM as well as CD4 and CD8+ lymphocyte pool in the spleen was detected in mice injected with EVs isolated from animals irradiated with 2 Gy. These EV-induced alterations were comparable to changes present in the directly irradiated mice. The pool of TLR4-expressing dendritic cells was different in the directly irradiated mice, where it increased after 2 Gy and in the EV-recipient animals, where it strongly decreased in a dose-independent manner. A panel of eight differentially expressed microRNAs (miRNA) was identified in the EVs originating from both low- and high-dose-irradiated mice, with a predicted involvement in pathways related to DNA damage repair, hematopoietic, and immune system regulation, suggesting a direct involvement of these pathways in mediating radiation-induced systemic effects. In conclusion, we proved the role of EVs in transmitting certain radiation effects, identified miRNAs carried by EVs potentially responsible for these effects, and showed that the pattern of changes was often different in the directly irradiated and EV-recipient bystander mice, suggesting different mechanisms.</t>
  </si>
  <si>
    <t>[Szatmari, Tuende; Kis, David; Bogdandi, Eniko Noemi; Benedek, Anett; Persa, Eszter; Kis, Eniko; Balogh, Andrea; Lumniczky, Katalin] Natl Publ Hlth Ctr, Natl Res Directorate Radiobiol &amp; Radiohygiene, Div Radiat Med, Budapest, Hungary; [Bright, Scott; Bowler, Deborah; Kadhim, Munira] Oxford Brookes Univ, Dept Biol &amp; Med Sci, Genom Instabil Grp, Oxford, England; [Naszalyi, Livia N.] Semmelweis Univ, Hungarian Acad Sci, Res Grp Mol Biophys, Budapest, Hungary</t>
  </si>
  <si>
    <t>Oxford Brookes University; Hungarian Academy of Sciences; Semmelweis University</t>
  </si>
  <si>
    <t>Lumniczky, K (corresponding author), Natl Publ Hlth Ctr, Natl Res Directorate Radiobiol &amp; Radiohygiene, Div Radiat Med, Budapest, Hungary.</t>
  </si>
  <si>
    <t>lumniczky.katalin@osski.hu</t>
  </si>
  <si>
    <t>Szatmári, Tünde/AAC-5808-2020; Nagy, Livia Naszályi/B-1727-2014; Lumniczky, Katalin/AAE-8961-2020</t>
  </si>
  <si>
    <t>Szatmári, Tünde/0000-0001-7727-9589; Nagy, Livia Naszályi/0000-0003-2799-1150; Lumniczky, Katalin/0000-0001-8661-1854</t>
  </si>
  <si>
    <t>10.3389/fimmu.2017.00347</t>
  </si>
  <si>
    <t>WOS:000397452500001</t>
  </si>
  <si>
    <t>Charoenyiriyakul, C; Takahashi, Y; Morishita, M; Nishikawa, M; Takakura, Y</t>
  </si>
  <si>
    <t>Charoenyiriyakul, Chonlada; Takahashi, Yuki; Morishita, Masaki; Nishikawa, Makiya; Takakura, Yoshinobu</t>
  </si>
  <si>
    <t>Role of Extracellular Vesicle Surface Proteins in the Pharmacokinetics of Extracellular Vesicles</t>
  </si>
  <si>
    <t>EV; Gag protein; surface modification; pharmacokinetics</t>
  </si>
  <si>
    <t>PHYSICOCHEMICAL PROPERTIES; B16BL6-DERIVED EXOSOMES; BLOOD-CIRCULATION; DELIVERY VEHICLES; DRUG-DELIVERY; CELLS; NANOPARTICLES; CLEARANCE; INJECTION; MELANOMA</t>
  </si>
  <si>
    <t>Extracellular vesicles (EVs) are small membrane vesicles secreted from cells and have great potential as drug delivery carriers. Surface proteins on EV membranes might play roles in pharmacokinetics. One method which can be used to study the role of surface membrane of EV is to modify the inner space of EV. In the present study, we constructed a plasmid DNA expressing a fusion protein of Gag protein derived from Moloney murine leukemia virus (Gag) and Gaussia luciferase (gLuc) (Gag-gLuc) to modify the inner space of EVs. EVs were collected from B16BL6 melanoma cells, transfected with the plasmid, and isolated by a differential ultracentrifugation method. Gag-gLuc EVs were negatively charged globular vesicles with a diameter of approximately 100 nm. gLuc labeling of the Gag-gLuc EVs was stable in serum. gLuc activity of Gag-gLuc EVs was minimally decreased by proteinase K (ProK) treatment, indicating that gLuc was modified in the inner space of EV. Then, to evaluate the effect of the surface proteins of EVs on their pharmacokinetics, Gag-gLuc EVs treated with ProK were intravenously administered to mice. Volume of distribution (Vd) was significantly smaller for treated EVs than untreated EVs. Moreover, integrin alpha(6)beta(1), an integrin known to be involved in lung targeting, was degraded after ProK treatment. The ProK treatment significantly reduced the lung distribution of EVs after intravenous injection. These results indicate that the surface proteins of EVs such as integrin alpha(6)beta(1) play some roles in pharmacokinetics in terms of reducing Vd and their distribution to the lung</t>
  </si>
  <si>
    <t>[Charoenyiriyakul, Chonlada; Takahashi, Yuki; Takakura, Yoshinobu] Kyoto Univ, Grad Sch Pharmaceut Sci, Dept Biopharmaceut &amp; Drug Metab, Sakyo Ku, Kyoto 6068501, Japan; [Morishita, Masaki] Kyoto Pharmaceut Univ, Dept Biopharmaceut, Yamashina Ku, Kyoto 6078414, Japan; [Nishikawa, Makiya] Tokyo Univ Sci, Fac Pharmaceut Sci, Lab Biopharmaceut, 2641 Yamazaki, Noda, Chiba 2788510, Japan</t>
  </si>
  <si>
    <t>Kyoto University; Kyoto Pharmaceutical University; Tokyo University of Science</t>
  </si>
  <si>
    <t>Song, Eun Joo/Z-5130-2019; Morishita, Masaki/ABD-8396-2020</t>
  </si>
  <si>
    <t>Takahashi, Yuki/0000-0002-8772-2772; Charoenviriyakul, Chonlada/0000-0003-1688-3285; Morishita, Masaki/0000-0002-3004-3779</t>
  </si>
  <si>
    <t>10.1021/acs.molpharmaceut.7b00950</t>
  </si>
  <si>
    <t>WOS:000427093600036</t>
  </si>
  <si>
    <t>Hallal, S; Russell, BP; Wei, H; Lee, MYT; Toon, CW; Sy, J; Shivalingam, B; Buckland, ME; Kaufman, KL</t>
  </si>
  <si>
    <t>Hallal, Susannah; Russell, Benjamin P.; Wei, Heng; Lee, Maggie Yuk T.; Toon, Christopher W.; Sy, Joanne; Shivalingam, Brindha; Buckland, Michael E.; Kaufman, Kimberley L.</t>
  </si>
  <si>
    <t>Extracellular Vesicles from Neurosurgical Aspirates Identifies Chaperonin Containing TCP1 Subunit 6A as a Potential Glioblastoma Biomarker with Prognostic Significance</t>
  </si>
  <si>
    <t>biomarkers; CCT6A; EGFR; extracellular vesicles; glioblastoma</t>
  </si>
  <si>
    <t>PROTEIN-INTERACTION NETWORK; CENTRAL-NERVOUS-SYSTEM; BLOOD-BRAIN-BARRIER; CYTOSOLIC CHAPERONIN; MOLECULAR CHARACTERIZATION; CYTOPLASMIC CHAPERONIN; CIRCULATING EXOSOMES; SENSORY NEUROPATHY; STATISTICAL-MODEL; HUMAN INTERACTOME</t>
  </si>
  <si>
    <t>Glioblastoma, WHO-grade IV glioma, carries a dismal prognosis owing to its infiltrative growth and limited treatment options. Glioblastoma-derived extracellular vesicles (EVs; 30-1000 nm membranous particles) influence the microenvironment to mediate tumor aggressiveness and carry oncogenic cargo across the blood-brain barrier into the circulation. As such, EVs are biomarker reservoirs with enormous potential for assessing glioblastoma tumors in situ. Neurosurgical aspirates are rich sources of EVs, isolated directly from glioma microenvironments. EV proteomes enriched from glioblastoma (n = 15) and glioma grade II-III (n = 7) aspirates are compared and 298 differentially-abundant proteins (p-value &lt; 0.00496) are identified using quantitative LC-MS/MS. Along with previously reported glioblastoma-associated biomarkers, levels of all eight subunits of the key molecular chaperone, T-complex protein 1 Ring complex (TRiC), are higher in glioblastoma-EVs, including CCT2, CCT3, CCT5, CCT6A, CCT7, and TCP1 (p &lt; 0.00496). Analogous increases in TRiC transcript levels and DNA copy numbers are detected in silico; CCT6A has the greatest induction of expression and amplification in glioblastoma and shows a negative association with survival (p = 0.006). CCT6A is co-localized with EGFR at 7p11.2, with a strong tendency for co-amplification (p &lt; 0.001). Immunohistochemistry corroborates the CCT6A proteomics measurements and indicated a potential link between EGFR and CCT6A tissue expression. Putative EV-biomarkers described here should be further assessed in peripheral blood.</t>
  </si>
  <si>
    <t>[Hallal, Susannah; Wei, Heng; Lee, Maggie Yuk T.; Sy, Joanne; Shivalingam, Brindha; Buckland, Michael E.; Kaufman, Kimberley L.] Univ Sydney, Brain &amp; Mind Ctr, Brainstorm Brain Canc Res, Sydney, NSW, Australia; [Hallal, Susannah; Russell, Benjamin P.; Toon, Christopher W.; Buckland, Michael E.] Univ Sydney, Sydney Med Sch, Sydney, NSW, Australia; [Wei, Heng; Lee, Maggie Yuk T.; Sy, Joanne; Buckland, Michael E.; Kaufman, Kimberley L.] Royal Prince Alfred Hosp, Dept Neuropathol, Camperdown, NSW, Australia; [Shivalingam, Brindha] Chris OBrien Lifehouse, Dept Neurosurg, Camperdown, NSW, Australia; [Kaufman, Kimberley L.] Univ Sydney, Sch Life &amp; Environm Sci, Sydney, NSW, Australia</t>
  </si>
  <si>
    <t>University of Sydney; University of Sydney; University of Sydney; University of Sydney; University of Sydney</t>
  </si>
  <si>
    <t>Kaufman, KL (corresponding author), Univ Sydney, Brain &amp; Mind Ctr, Brainstorm Brain Canc Res, Sydney, NSW, Australia.;Kaufman, KL (corresponding author), Royal Prince Alfred Hosp, Dept Neuropathol, Camperdown, NSW, Australia.;Kaufman, KL (corresponding author), Univ Sydney, Sch Life &amp; Environm Sci, Sydney, NSW, Australia.</t>
  </si>
  <si>
    <t>kim.kaufman@sydney.edu.au</t>
  </si>
  <si>
    <t>Kaufman, Kimberley L/G-2632-2011; Kaufman, Kimberley/K-8776-2019</t>
  </si>
  <si>
    <t>Kaufman, Kimberley L/0000-0002-7239-039X; Kaufman, Kimberley/0000-0002-7239-039X; Hallal, Susannah/0000-0002-9872-4917</t>
  </si>
  <si>
    <t>10.1002/pmic.201800157</t>
  </si>
  <si>
    <t>WOS:000456808000003</t>
  </si>
  <si>
    <t>Galindo-Hernandez, O; Serna-Marquez, N; Castillo-Sanchez, R; Salazar, EP</t>
  </si>
  <si>
    <t>Galindo-Hernandez, Octavio; Serna-Marquez, Nathalia; Castillo-Sanchez, Rocio; Perez Salazar, Eduardo</t>
  </si>
  <si>
    <t>Extracellular vesicles from MDA-MB-231 breast cancer cells stimulated with linoleic acid promote an EMT-like process in MCF10A cells</t>
  </si>
  <si>
    <t>PROSTAGLANDINS LEUKOTRIENES AND ESSENTIAL FATTY ACIDS</t>
  </si>
  <si>
    <t>Extracellular vesicles; Breast cancer; EMT; MDA-MB-231; MCF10A</t>
  </si>
  <si>
    <t>EPITHELIAL-MESENCHYMAL TRANSITION; POLYUNSATURATED FATTY-ACIDS; NF-KAPPA-B; E-CADHERIN; IV COLLAGEN; MICROVESICLES; MIGRATION; INFLAMMATION; ACTIVATION; MECHANISMS</t>
  </si>
  <si>
    <t>Extracellular vesicles (EVs) are membrane-limited vesicles secreted by normal and malignant cells and their function is dependent on the cargo they carry and the cell type from which they originate. Moreover, EVs mediate many stages of tumor progression including angiogenesis, escape from immune surveillance and extracellular matrix degradation. Linoleic acid (LA) is an essential polyunsaturated fatty acid that induces expression of plasminogen activator inhibitor-1, proliferation, migration and invasion in breast cancer cells. However the role of secreted EVs from MDA-MB-231 cells stimulated with LA like mediator of the epithelial-mesenchymal-transition (EMT) process in mammary non-tumorigenic epithelial cells MCF10A remains to be studied. In the present study, we demonstrate that treatment of MDA-MB-231 cells for 48 h with 90 mu M LA does not induce an increase in the number of secreted EVs. In addition, EVs isolated from supernatants of MDA-MB-231 stimulated for 48 h with 90 mu M LA induce a transient down-regulation of E-cadherin expression, and an increase of Snail1 and 2, Twist1 and 2, Sip1, vimentin and N-cadherin expression in MCF10A cells. EVs also promote an increase of MMP-2 and -9 secretions, an increase of NF kappa B-DNA binding activity, migration and invasion in MCF10A cells. In summary, our findings demonstrate, for the first time, that EVs isolated from supernatants of MDA-MB-231 stimulated for 48 h with 90 mu M LA induce an EMT-like process in MCF10A cells. (C) 2014 Elsevier Ltd. All rights reserved.</t>
  </si>
  <si>
    <t>[Galindo-Hernandez, Octavio; Serna-Marquez, Nathalia; Castillo-Sanchez, Rocio; Perez Salazar, Eduardo] Cinvestav IPN, Dept Biol Celular, Mexico City 07360, DF, Mexico</t>
  </si>
  <si>
    <t>Salazar, EP (corresponding author), Cinvestav IPN, Dept Biol Celular, AV IPN 2508, Mexico City 07360, DF, Mexico.</t>
  </si>
  <si>
    <t>Galindo-Hernandez, Octavio/R-2743-2016</t>
  </si>
  <si>
    <t>Galindo-Hernandez, Octavio/0000-0003-4960-7551; Serna-Marquez, Nathalia/0000-0001-6836-4060</t>
  </si>
  <si>
    <t>0952-3278</t>
  </si>
  <si>
    <t>1532-2823</t>
  </si>
  <si>
    <t>10.1016/j.plefa.2014.09.002</t>
  </si>
  <si>
    <t>Biochemistry &amp; Molecular Biology; Cell Biology; Endocrinology &amp; Metabolism</t>
  </si>
  <si>
    <t>WOS:000345806400008</t>
  </si>
  <si>
    <t>van der Vos, KE; Balaj, L; Skog, J; Breakefield, XO</t>
  </si>
  <si>
    <t>van der Vos, Kristan E.; Balaj, Leonora; Skog, Johan; Breakefield, Xandra O.</t>
  </si>
  <si>
    <t>Brain Tumor Microvesicles: Insights into Intercellular Communication in the Nervous System</t>
  </si>
  <si>
    <t>CELLULAR AND MOLECULAR NEUROBIOLOGY</t>
  </si>
  <si>
    <t>Microvesicles; Glioblastoma; Biomarkers; Gene transfer; Tumor microenvironment; Non-coding RNAs; Retrotransposons; MicroRNAs</t>
  </si>
  <si>
    <t>CELL-DERIVED MICROVESICLES; STEM-CELL; HORIZONTAL TRANSFER; NONCODING RNAS; MESSENGER-RNAS; CANCER; EXOSOMES; MICRORNA; RELEASE; TRANSCRIPTION</t>
  </si>
  <si>
    <t>Brain tumors are heterogeneous tumors composed of differentiated tumor cells that resemble various neural cells and a small number of multipotent cancer stem cells. These tumors modify normal cells in their environment to promote tumor growth, invasion and metastases by various ways. Recent publications show that glioblastoma cells release microvesicles that contain a select subset of cellular proteins and RNAs. These microvesicles are avidly taken up by normal cells in cell culture and can change the translational profile of these cells through delivery of tumor-derived mRNAs, which are translated into functional proteins. In addition to mRNA and proteins, microvesicles have been shown to contain microRNAs, non-coding RNAs and DNA. This commentary explores the recent advances in this novel intercellular communication route and discusses the potential physiological role of microvesicles in brain tumorigenesis.</t>
  </si>
  <si>
    <t>[Breakefield, Xandra O.] Massachusetts Gen Hosp E, Mol Neurogenet Unit, Charlestown, MA 02129 USA; [van der Vos, Kristan E.; Balaj, Leonora; Skog, Johan; Breakefield, Xandra O.] Dept Neurol, Boston, MA USA; [van der Vos, Kristan E.; Balaj, Leonora; Skog, Johan; Breakefield, Xandra O.] Massachusetts Gen Hosp, Dept Radiol, Boston, MA 02114 USA; [van der Vos, Kristan E.; Balaj, Leonora; Skog, Johan; Breakefield, Xandra O.] Harvard Univ, Sch Med, Neurosci Program, Boston, MA 02114 USA; [Skog, Johan] Exosome Diagnost Inc, New York, NY 10032 USA</t>
  </si>
  <si>
    <t>Harvard University; Massachusetts General Hospital; Harvard University</t>
  </si>
  <si>
    <t>Breakefield, XO (corresponding author), Massachusetts Gen Hosp E, Mol Neurogenet Unit, 13th St,Bldg 149, Charlestown, MA 02129 USA.</t>
  </si>
  <si>
    <t>breakefield@hms.harvard.edu</t>
  </si>
  <si>
    <t>0272-4340</t>
  </si>
  <si>
    <t>1573-6830</t>
  </si>
  <si>
    <t>10.1007/s10571-011-9697-y</t>
  </si>
  <si>
    <t>Cell Biology; Neurosciences</t>
  </si>
  <si>
    <t>Cell Biology; Neurosciences &amp; Neurology</t>
  </si>
  <si>
    <t>WOS:000293325300017</t>
  </si>
  <si>
    <t>Guo, AJ; Wang, L; Meng, XL; Zhang, SH; Sheng, ZA; Luo, XN; Huang, WY; Wang, S; Cai, XP</t>
  </si>
  <si>
    <t>Guo, Aijiang; Wang, Li; Meng, Xuelian; Zhang, Shaohua; Sheng, Zhaoan; Luo, Xuenong; Huang, Weiyi; Wang, Shuai; Cai, Xuepeng</t>
  </si>
  <si>
    <t>Extracellular vesicles from Fasciola gigantica induce cellular response to stress of host cells</t>
  </si>
  <si>
    <t>EXPERIMENTAL PARASITOLOGY</t>
  </si>
  <si>
    <t>Fasciola gigantica; Extracellular vesicles; Human intrahepatic biliary epithelial cells; Reactive oxygen species; Stress</t>
  </si>
  <si>
    <t>AUTOPHAGY; PROTEIN; ENOLASE; IDENTIFICATION; INFLAMMATION; BIOGENESIS; PARASITES; ROLES; CARGO; ROS</t>
  </si>
  <si>
    <t>Extracellular vesicles (EVs) from parasitic helminths play an important role in immunomodulation. However, EVs are little studied in the important parasite Fasciola gigantica. Here the ability of EVs from F. gigantica to induce cellular response to stress (reactive oxygen species generation, autophage and DNA damage response) in human intrahepatic biliary epithelial cells (HIBEC) was investigated. F. gigantica-derived EVs were isolated by ultracentrifugation, and identified with transmission electron microscopy, nanoparticle size analysis and parasite-derived EV markers. Internalization of EVs by HIBEC was determined by confocal immunofluorescence microscopy and flow cytometry. ROS levels in HIBEC were detected by molecular probing. EVs-induced autophagy and DNA-damaging effects were determined by evaluating expression levels of light chain 3B protein (LC3B), phosphor-H2A.X and phosphor-Chk1, respectively. Results revealed that EVs with sizes predominately ranging from 39 to 110 nm in diameter were abundant in adult F. gigantica and contained the parasite-derived marker proteins enolase and 14-3-3, and EVs were internalized by HIBEC. Further, uptake of EVs into HIBEC was associated with increased levels of reactive oxygen species, LC3II, phosphor-H2A.X and phosphor-Chk1, suggesting EVs are likely to induce autophagy and DNA damage &amp; repair processes. These results indicate F. gigantica EVs are associated with modulations of host cell responses and have a potential important role in the host-parasite interactions.</t>
  </si>
  <si>
    <t>[Guo, Aijiang; Wang, Li; Meng, Xuelian; Zhang, Shaohua; Luo, Xuenong; Wang, Shuai; Cai, Xuepeng] Chinese Acad Agr Sci, Lanzhou Vet Res Inst, State Key Lab Vet Etiol Biol, Key Lab Vet Parasitol Gansu Prov, Lanzhou, Gansu, Peoples R China; [Guo, Aijiang; Luo, Xuenong] Jiangsu Coinnovat Ctr Prevent &amp; Control Important, Yangzhou, Jiangsu, Peoples R China; [Wang, Li] Shandong New Hope Liuhe Grp Co Ltd, Qingdao, Peoples R China; [Sheng, Zhaoan; Huang, Weiyi] Guangxi Univ, Coll Anim Sci &amp; Technol, Nanning, Peoples R China</t>
  </si>
  <si>
    <t>Chinese Academy of Agricultural Sciences; Lanzhou Veterinary Research Institute, CAAS; Guangxi University</t>
  </si>
  <si>
    <t>Wang, S (corresponding author), Chinese Acad Agr Sci, Lanzhou Vet Res Inst, State Key Lab Vet Etiol Biol, Key Lab Vet Parasitol Gansu Prov, Lanzhou, Gansu, Peoples R China.;Cai, XP (corresponding author), CAAS, Lanzhou Vet Res Inst, Lanzhou 730046, Gansu, Peoples R China.</t>
  </si>
  <si>
    <t>wangshuai@caas.cn; caixuepeng@caas.cn</t>
  </si>
  <si>
    <t>0014-4894</t>
  </si>
  <si>
    <t>1090-2449</t>
  </si>
  <si>
    <t>10.1016/j.exppara.2021.108173</t>
  </si>
  <si>
    <t>Parasitology</t>
  </si>
  <si>
    <t>WOS:000727260200006</t>
  </si>
  <si>
    <t>Xu, Q; Zhang, Z; Zhao, L; Qin, Y; Cai, HD; Geng, Z; Zhu, XJ; Zhang, W; Zhang, YY; Tan, JQ; Wang, J; Zhou, JF</t>
  </si>
  <si>
    <t>Xu, Qian; Zhang, Zheng; Zhao, Lei; Qin, Yun; Cai, Haodong; Geng, Zhe; Zhu, Xiaojian; Zhang, Wei; Zhang, Yuanyuan; Tan, Jiaqi; Wang, Jue; Zhou, Jianfeng</t>
  </si>
  <si>
    <t>Tropism-facilitated delivery of CRISPR/Cas9 system with chimeric antigen receptor-extracellular vesicles against B-cell malignancies</t>
  </si>
  <si>
    <t>Extracellular vesicles; Chimeric antigen receptor; CRISPR-Cas9; MYC; Malignancy</t>
  </si>
  <si>
    <t>C-MYC; MICROVESICLES; VECTORS; RNA; PROTEINS; DNA</t>
  </si>
  <si>
    <t>The CRISPR/Cas9 system is an efficient genome-editing system that has been successfully applied in the field of gene therapy. However, clinical applications of the CRISPR/Cas9 system are limited by the delivery method and safety concerns. Extracellular Vesicles (EVs) can be released from almost every type of cell, and they act as shuttles to convey molecules between cells. Here, we used EVs derived from epithelial cells as a biosafety delivery platform for the CRISPR/Cas9 system and modified the EVs with a chimeric-antigen receptor (CAR) to give them selective tropism to tumors. Compared to normal EVs, CAR-EVs accumulated in cancer tumors rapidly and released the CRISPR/Cas9 system targeting the MYC oncogene efficiently, both in vitro and in vivo. Taken together, the combination of EV and CAR was confirmed to be a novel strategy facilitating the use of natural gene therapy platforms in cancer treatment in this proof-of-concept research.</t>
  </si>
  <si>
    <t>[Xu, Qian; Zhang, Zheng; Zhao, Lei; Qin, Yun; Cai, Haodong; Geng, Zhe; Zhu, Xiaojian; Zhang, Wei; Zhang, Yuanyuan; Tan, Jiaqi; Wang, Jue; Zhou, Jianfeng] Huazhong Univ Sci &amp; Technol, Tongji Hosp, Dept Hematol, Tongji Med Coll, 1095 Jie Fang Ave, Wuhan 430030, Hubei, Peoples R China</t>
  </si>
  <si>
    <t>Wang, J; Zhou, JF (corresponding author), Huazhong Univ Sci &amp; Technol, Tongji Hosp, Dept Hematol, Tongji Med Coll, 1095 Jie Fang Ave, Wuhan 430030, Hubei, Peoples R China.</t>
  </si>
  <si>
    <t>Jeff_wangjue@hotmail.com; jfzhou@tjh.tjmu.edu.cn</t>
  </si>
  <si>
    <t>Zhang, Zheng/0000-0002-3242-5738</t>
  </si>
  <si>
    <t>10.1016/j.jconrel.2020.07.033</t>
  </si>
  <si>
    <t>WOS:000572084700001</t>
  </si>
  <si>
    <t>He, DG; Ho, SL; Chan, HN; Wang, HZ; Hai, L; He, XX; Wang, KM; Li, HW</t>
  </si>
  <si>
    <t>He, Dinggeng; Ho, See-Lok; Chan, Hei-Nga; Wang, Huizhen; Hai, Luo; He, Xiaoxiao; Wang, Kemin; Li, Hung-Wing</t>
  </si>
  <si>
    <t>Molecular-Recognition-Based DNA Nanodevices for Enhancing the Direct Visualization and Quantification of Single Vesicles of Tumor Exosomes in Plasma Microsamples</t>
  </si>
  <si>
    <t>EXTRACELLULAR VESICLES; ELECTROCHEMICAL DETECTION; SERUM SAMPLES; APTAMER; MICROVESICLES; APTASENSOR</t>
  </si>
  <si>
    <t>Tumor exosomes (Exo) are presumed to expedite both the growth and metastasis of tumors by actively participating in nearly all aspects of cancer development. Tumor-derived Exos are thus proposed as a resource for diagnostic biomarkers in bodily fluids. However, most Exo assays require large samples and are time-consuming, complicated, and costly, and thus unsuited for practical applications. Herein, we show an ultrasensitive assay that can directly visualize and quantify tumor Exos in plasma microsamples (1 mu L) at the single-vesicle level. The assay uses the specific binding of activatable aptamer probes (AAP) to target Exos captured by Exo-specific antibodies on the surface of a flow cell to produce activated fluorescence. Furthermore, the bound AAP triggers in situ assembly of a DNA nanodevice with enhanced fluorescence that improves the Exo-detection sensitivity. By identifying tyrosine-protein-kinase-like 7 (PTK7), a total-internal-reflection-fluorescence (TIRE) assay for PTK7-Exo distinguishes target tumors from control subjects. This assay is also informative in monitoring tumor progression and early responses to therapy. The developed assay can be readily adapted for diagnosis and monitoring of other disease-associated Exo biomarkers.</t>
  </si>
  <si>
    <t>[He, Dinggeng; Ho, See-Lok; Chan, Hei-Nga; Li, Hung-Wing] Hong Kong Baptist Univ, Dept Chem, Hong Kong, Peoples R China; [He, Dinggeng; Wang, Huizhen; Hai, Luo; He, Xiaoxiao; Wang, Kemin] Hunan Univ, Coll Chem &amp; Chem Engn, State Key Lab Chemo Biosensing &amp; Chemometr, Changsha 410006, Hunan, Peoples R China</t>
  </si>
  <si>
    <t>Hong Kong Baptist University; Hunan University</t>
  </si>
  <si>
    <t>Li, HW (corresponding author), Hong Kong Baptist Univ, Dept Chem, Hong Kong, Peoples R China.;He, XX; Wang, KM (corresponding author), Hunan Univ, Coll Chem &amp; Chem Engn, State Key Lab Chemo Biosensing &amp; Chemometr, Changsha 410006, Hunan, Peoples R China.</t>
  </si>
  <si>
    <t>xiaoxiaohe@hnu.edu.cn; kmwang@hnu.edu.cn; hwli@hkbu.edu.hk</t>
  </si>
  <si>
    <t>Chan, Hei-Nga/AAV-6976-2020; Hai, Luo/ABE-5483-2020</t>
  </si>
  <si>
    <t>Li, Hung Wing/0000-0003-4840-1965; Hai, Luo/0000-0001-8084-3742</t>
  </si>
  <si>
    <t>FEB 19</t>
  </si>
  <si>
    <t>10.1021/acs.analchem.8b04509</t>
  </si>
  <si>
    <t>WOS:000459642400030</t>
  </si>
  <si>
    <t>Komuro, H; Aminova, S; Lauro, K; Woldring, D; Harada, M</t>
  </si>
  <si>
    <t>Komuro, Hiroaki; Aminova, Shakhlo; Lauro, Katherine; Woldring, Daniel; Harada, Masako</t>
  </si>
  <si>
    <t>Design and Evaluation of Engineered Extracellular Vesicle (EV)-Based Targeting for EGFR-Overexpressing Tumor Cells Using Monobody Display</t>
  </si>
  <si>
    <t>BIOENGINEERING-BASEL</t>
  </si>
  <si>
    <t>extracellular vesicles; EV engineering; EGFR targeting</t>
  </si>
  <si>
    <t>Background: Extracellular vesicles (EVs) are attracting interest as a new class of drug delivery vehicles due to their intrinsic nature of biomolecular transport in the body. We previously demonstrated that EV surface modification with tissue-specific molecules accomplished targeted EV-mediated DNA delivery. Methods: Here, we describe reliable methods for (i) generating EGFR tumor-targeting EVs via the display of high-affinity monobodies and (ii) in vitro measurement of EV binding using fluorescence and bioluminescence labeling. Monobodies are a well-suited class of small (10 kDa) non-antibody scaffolds derived from the human fibronectin type III (FN3) domain. Results: The recombinant protein consists of the EGFR-targeting monobody fused to the EV-binding domain of lactadherin (C1C2), enabling the monobody displayed on the surface of the EVs. In addition, the use of bioluminescence or fluorescence molecules on the EV surface allows for the assessment of EV binding to the target cells. Conclusions: In this paper, we describe methods of EV engineering to generate targeted delivery vehicles using monobodies that will have diverse applications to furnish future EV therapeutic development, including qualitative and quantitative in vitro evaluation for their binding capacity.</t>
  </si>
  <si>
    <t>[Komuro, Hiroaki; Aminova, Shakhlo; Lauro, Katherine; Woldring, Daniel; Harada, Masako] Michigan State Univ, Inst Quantitat Hlth Sci &amp; Engn IQ, E Lansing, MI 48824 USA; [Komuro, Hiroaki; Aminova, Shakhlo; Lauro, Katherine; Harada, Masako] Michigan State Univ, Dept Biomed Engn, E Lansing, MI 48824 USA; [Woldring, Daniel] Michigan State Univ, Dept Chem Engn &amp; Mat Sci, E Lansing, MI 48824 USA</t>
  </si>
  <si>
    <t>Michigan State University; Michigan State University; Michigan State University</t>
  </si>
  <si>
    <t>Harada, M (corresponding author), Michigan State Univ, Inst Quantitat Hlth Sci &amp; Engn IQ, E Lansing, MI 48824 USA.;Harada, M (corresponding author), Michigan State Univ, Dept Biomed Engn, E Lansing, MI 48824 USA.</t>
  </si>
  <si>
    <t>komurohi@msu.edu; aminovas@msu.edu; lauroka1@msu.edu; woldring@msu.edu; mashar@msu.edu</t>
  </si>
  <si>
    <t>Woldring, Daniel/0000-0001-8881-9931; Aminova, Shakhlo/0000-0002-4944-7650; Komuro, Hiroaki/0000-0002-8249-6761</t>
  </si>
  <si>
    <t>2306-5354</t>
  </si>
  <si>
    <t>10.3390/bioengineering9020056</t>
  </si>
  <si>
    <t>Biotechnology &amp; Applied Microbiology; Engineering, Biomedical</t>
  </si>
  <si>
    <t>Biotechnology &amp; Applied Microbiology; Engineering</t>
  </si>
  <si>
    <t>WOS:000763740600001</t>
  </si>
  <si>
    <t>Sukreet, S; Braga, CP; An, TT; Adamec, J; Cui, J; Trible, B; Zempleni, J</t>
  </si>
  <si>
    <t>Sukreet, Sonal; Braga, Camila Pereira; An, Thuy T.; Adamec, Jiri; Cui, Juan; Trible, Benjamin; Zempleni, Janos</t>
  </si>
  <si>
    <t>Isolation of extracellular vesicles from byproducts of cheesemaking by tangential flow filtration yields heterogeneous fractions of nanoparticles</t>
  </si>
  <si>
    <t>JOURNAL OF DAIRY SCIENCE</t>
  </si>
  <si>
    <t>extracellular vesicle; RNA; tangential flow filtration; ultracentrifugation; whey</t>
  </si>
  <si>
    <t>BOVINE-MILK EXOSOMES; FAT GLOBULE-MEMBRANE; GENE-EXPRESSION; OXIDATIVE DAMAGE; MESSENGER-RNA; TANNIC-ACID; MICRORNA; CELLS; PROTEOMICS; DELIVERY</t>
  </si>
  <si>
    <t>Extracellular vesicles (EV) in milk, particularly exosomes, have attracted considerable attention as bioactive food compounds and for their use in drug delivery. The utility of small EV in milk (sMEV) a s an animal feed additive and in drug delivery would be enhanced by cost-effective large-scale protocols for the enrichment of sMEV from byproducts in dairy plants. Here, we tested the hypothesis that sMEV may be enriched from byproducts of cheesemaking by tangential flow filtration (EV-FF) and that the sMEV have properties similar to sMEV prepared by ultracentrifugation (sMEV-UC). Three fractions of EV were purified from the whey fraction of cottage cheese making by using EV-FF that passed through a membrane with a 30-kDa cutoff (50 penetrate; 50P), and subfractions of 501? that were retained (100 retentate; 1008) or passed through (100 penetrate; 100P) a membrane with a 100-kDa cutoff; sMEV-UC controls were prepared by serial ultracentrifugation. The abundance of sMEV (&lt;200 nm) was less than 0.3% in EV-FF compared with sMEV-UC (10(12)/mL of milk). Despite the low EV count, the protein content (mg/mL) of 100R (63 +/- 0.02; +/- standard deviation) was higher than that of 50P (0.75 +/- 0.10), 100P (0.65 +/- 0.40), and sMEV-UC (27 +/- 0.02). There were 17, 14, 35, and 75 distinct proteins detected by nontargeted mass spectrometry analysis in 50P, 100R, 100P, and sMEV-UC, respectively. Exosome markers CD9, CD63, CD81, HSP-70, PDCD6IP, and TSG101 were detected in control sMEV-UC but not in EV-FF by using targeted mass spectrometry and immunoblot analyses. Negative exosome markers, APOB, beta-integrin, and histone H3 were below the limit of detection in EV-FF and control sMEV-UC analyzed by immunoblotting. The abundance of the major milk fat globule protein butyrophilin showed the following pattern: 100R &gt;&gt; 100P = 50P &gt; sMEV-UC. More than 100 mature microRNA were detected in sMEV-UC by using sequencing analysis, compared with 36 to 60 microRNA in EV-FF. Only 100R and sMEV-UC yielded mRNA in quantities and qualities sufficient for sequencing analysis; an average of 276,000 and 838,000 reads were mapped to approximately 14,600 and 18,500 genes in 100R and sMEV-UC, respectively. In principal component analysis, microRNA, mRNA, and protein in EV-FF preparations clustered separately from control sMEV-UC. We conclude that under the conditions used here, flow filtration yields a heterogeneous population of milk EV.</t>
  </si>
  <si>
    <t>[Sukreet, Sonal; Zempleni, Janos] Univ Nebraska, Dept Nutr &amp; Hlth Sci, Lincoln, NE 68583 USA; [Braga, Camila Pereira; Adamec, Jiri] Univ Nebraska, Dept Biochem, Lincoln, NE 68588 USA; [An, Thuy T.; Cui, Juan] Univ Nebraska, Dept Comp Sci &amp; Engn, Lincoln, NE 68588 USA; [Trible, Benjamin] Purina Anim Nutr LLC, Gray Summit, MO 63039 USA</t>
  </si>
  <si>
    <t>University of Nebraska System; University of Nebraska Lincoln; University of Nebraska System; University of Nebraska Lincoln; University of Nebraska System; University of Nebraska Lincoln</t>
  </si>
  <si>
    <t>Zempleni, J (corresponding author), Univ Nebraska, Dept Nutr &amp; Hlth Sci, Lincoln, NE 68583 USA.</t>
  </si>
  <si>
    <t>jzempleni2@unl.edu</t>
  </si>
  <si>
    <t>Sukreet, Sonal/AAE-1899-2022</t>
  </si>
  <si>
    <t>Sukreet, Sonal/0000-0001-8177-0522; Adamec, Jiri/0000-0003-4899-4406; An, Thuy/0000-0003-3241-5027; Zempleni, Janos/0000-0001-5492-4661</t>
  </si>
  <si>
    <t>0022-0302</t>
  </si>
  <si>
    <t>1525-3198</t>
  </si>
  <si>
    <t>10.3168/jds.2021-20300</t>
  </si>
  <si>
    <t>Agriculture, Dairy &amp; Animal Science; Food Science &amp; Technology</t>
  </si>
  <si>
    <t>Agriculture; Food Science &amp; Technology</t>
  </si>
  <si>
    <t>WOS:000688354800008</t>
  </si>
  <si>
    <t>Kopparapu, PK; Deshmukh, M; Hu, ZC; Mohammad, M; Maugeri, M; Gotz, F; Valadi, H; Jin, T</t>
  </si>
  <si>
    <t>Kopparapu, Pradeep Kumar; Deshmukh, Meghshree; Hu, Zhicheng; Mohammad, Majd; Maugeri, Marco; Goetz, Friedrich; Valadi, Hadi; Jin, Tao</t>
  </si>
  <si>
    <t>Lipoproteins Are Responsible for the Pro-Inflammatory Property of Staphylococcus aureus Extracellular Vesicles</t>
  </si>
  <si>
    <t>Staphylococcus aureus; extracellular vesicles; lipoproteins; inflammation; TLR2</t>
  </si>
  <si>
    <t>GRAM-POSITIVE BACTERIA; ESCHERICHIA-COLI; OUTER-MEMBRANE; SURFACE-PROTEINS; IN-VITRO; PROTEOMICS; SECRETION; GROWTH; EXPORT; DNA</t>
  </si>
  <si>
    <t>Staphylococcal aureus (S. aureus), a Gram-positive bacteria, is known to cause various infections. Extracellular vesicles (EVs) are a heterogeneous array of membranous structures secreted by cells from all three domains of life, i.e., eukaryotes, bacteria, and archaea. Bacterial EVs are implied to be involved in both bacteria-bacteria and bacteria-host interactions during infections. It is still unclear how S. aureus EVs interact with host cells and induce inflammatory responses. In this study, EVs were isolated from S. aureus and mutant strains deficient in either prelipoprotein lipidation (Delta lgt) or major surface proteins (Delta srtAB). Their immunostimulatory capacities were assessed both in vitro and in vivo. We found that S. aureus EVs induced pro-inflammatory responses both in vitro and in vivo. However, this activity was dependent on lipidated lipoproteins (Lpp), since EVs isolated from the Delta lgt showed no stimulation. On the other hand, EVs isolated from the Delta srtAB mutant showed full immune stimulation, indicating the cell wall anchoring of surface proteins did not play a role in immune stimulation. The immune stimulation of S. aureus EVs was mediated mainly by monocytes/macrophages and was TLR2 dependent. In this study, we demonstrated that not only free Lpp but also EV-imbedded Lpp had high pro-inflammatory activity.</t>
  </si>
  <si>
    <t>[Kopparapu, Pradeep Kumar; Deshmukh, Meghshree; Hu, Zhicheng; Mohammad, Majd; Maugeri, Marco; Valadi, Hadi; Jin, Tao] Univ Gothenburg, Sahlgrenska Acad, Inst Med, Dept Rheumatol &amp; Inflammat Res, S-41346 Gothenburg, Sweden; [Hu, Zhicheng] Guizhou Med Univ, Affiliated Hosp, Ctr Clin Labs, Guiyang 550001, Peoples R China; [Goetz, Friedrich] Univ Tubingen, Interfac Inst Microbiol &amp; Infect Med Tubingen IMI, Dept Microbial Genet, D-72076 Tubingen, Germany; [Jin, Tao] Sahlgrens Univ Hosp, Dept Rheumatol, S-41345 Gothenburg, Sweden</t>
  </si>
  <si>
    <t>University of Gothenburg; Guizhou Medical University; Eberhard Karls University of Tubingen; EBERHARD KARLS UNIVERSITY HOSPITAL; Sahlgrenska University Hospital</t>
  </si>
  <si>
    <t>Kopparapu, PK (corresponding author), Univ Gothenburg, Sahlgrenska Acad, Inst Med, Dept Rheumatol &amp; Inflammat Res, S-41346 Gothenburg, Sweden.</t>
  </si>
  <si>
    <t>pradeep.kopparapu@gu.se; meghshreed@gmail.com; zhicheng.hu@gu.se; majd.mohammad@rheuma.gu.se; mgrmarco@gmail.com; friedrich.goetz@uni-tuebingen.de; hadi.valadi@gu.se; tao.jin@rheuma.gu.se</t>
  </si>
  <si>
    <t>Valadi, Hadi/ABH-9766-2020; Jin, Tao/K-3323-2015</t>
  </si>
  <si>
    <t>Valadi, Hadi/0000-0003-3482-2451; Hu, Zhicheng/0000-0002-3899-0711; Mohammad, Majd/0000-0002-3672-2991; Kopparapu, Pradeep Kumar/0000-0003-3941-748X; Jin, Tao/0000-0001-9039-0628; Deshmukh, Meghshree/0000-0003-0165-0278</t>
  </si>
  <si>
    <t>10.3390/ijms22137099</t>
  </si>
  <si>
    <t>WOS:000671971000001</t>
  </si>
  <si>
    <t>Da Luz, BSR; Nicolas, A; Chabelskaya, S; Rodovalho, VD; Le Loir, Y; Azevedo, VAD; Felden, B; Guedon, E</t>
  </si>
  <si>
    <t>Rosa Da Luz, Brenda Silva; Nicolas, Aurelie; Chabelskaya, Svetlana; Rodovalho, Vinicius de Rezende; Le Loir, Yves; Azevedo, Vasco Ariston de Carvalho; Felden, Brice; Guedon, Eric</t>
  </si>
  <si>
    <t>Environmental Plasticity of the RNA Content of Staphylococcus aureus Extracellular Vesicles</t>
  </si>
  <si>
    <t>membrane vesicle; small regulatory RNA; virulence factors; vancomycin; RNA-Seq; extracellular vesicle; RsaC; RNAIII</t>
  </si>
  <si>
    <t>OUTER-MEMBRANE VESICLES; GRAM-POSITIVE BACTERIA; BIOFILM FORMATION; RELEASE; PROTEINS; DNA; INFLAMMATION; BIOGENESIS; MODULATION; MASIGPRO</t>
  </si>
  <si>
    <t>The roles of bacterial extracellular vesicles (EVs) in cell-to-cell signaling are progressively being unraveled. These membranous spheres released by many living cells carry various macromolecules, some of which influence host-pathogen interactions. Bacterial EVs contain RNA, which may serve in communicating with their infected hosts. Staphylococcus aureus, an opportunistic human and animal pathogen, produces EVs whose RNA content is still poorly characterized. Here, we investigated in depth the RNA content of S. aureus EVs. A highthroughput RNA sequencing approach identified RNAs in EVs produced by the clinical S. aureus strain HG003 under different environmental conditions: early- and late-stationary growth phases, and presence or absence of a sublethal vancomycin concentration. On average, sequences corresponding to 78.0% of the annotated transcripts in HG003 genome were identified in HG003 EVs. However, only similar to 5% of them were highly covered by reads (&gt;= 90% coverage) indicating that a large fraction of EV RNAs, notably mRNAs and sRNAs, were fragmented in EVs. According to growth conditions, from 86 to 273 highly covered RNAs were identified into the EVs. They corresponded to 286 unique RNAs, including 220 mRNAs. They coded for numerous virulence-associated factors (hid encoded by the multifunctional sRNA RNAIII, agrBCD, psm beta 1, sbi, spa, and isaB), ribosomal proteins, transcriptional regulators, and metabolic enzymes. Twenty-eight sRNAs were also detected, including bona tide RsaC. The presence of 22 RNAs within HG003 EVs was confirmed by reverse transcription quantitative PCR (RT-qPCR) experiments. Several of these 286 RNAs were shown to belong to the same transcriptional units in S. aureus. Both nature and abundance of the EV RNAs were dramatically affected depending on the growth phase and the presence of vancomycin, whereas much less variations were found in the pool of cellular RNAs of the parent cells. Moreover, the RNA abundance pattern offered between EVs and EV-producing cells according to the growth conditions. Altogether, our findings show that the environment shapes the RNA cargo of the S. aureus EVs. Although the composition of EVs is impacted by the physiological state of the producing cells, our findings suggest a selective packaging of RNAs into EVs, as proposed for EV protein cargo. Our study shedds light to the possible roles of potentially functional RNAs in S. aureus EVs, notably in host-pathogen interactions.</t>
  </si>
  <si>
    <t>[Rosa Da Luz, Brenda Silva; Nicolas, Aurelie; Rodovalho, Vinicius de Rezende; Le Loir, Yves; Guedon, Eric] Inst Agro, INRAE, STLO, Rennes, France; [Rosa Da Luz, Brenda Silva; Rodovalho, Vinicius de Rezende; Azevedo, Vasco Ariston de Carvalho] Univ Fed Minas Gerais, Inst Biol Sci, Lab Cellular &amp; Mol Genet, Belo Horizonte, MG, Brazil; [Chabelskaya, Svetlana; Felden, Brice] Univ Rennes, BRM Bacterial Regulatory RNAs &amp; Med, INSERM, UMR S 1230, Rennes, France</t>
  </si>
  <si>
    <t>INRAE; Institut Agro; Universidade Federal de Minas Gerais; Institut National de la Sante et de la Recherche Medicale (Inserm); Universite de Rennes 1</t>
  </si>
  <si>
    <t>Guedon, E (corresponding author), Inst Agro, INRAE, STLO, Rennes, France.;Felden, B (corresponding author), Univ Rennes, BRM Bacterial Regulatory RNAs &amp; Med, INSERM, UMR S 1230, Rennes, France.</t>
  </si>
  <si>
    <t>brice.felden@univ-rennes1.fr; eric.guedon@inrae.fr</t>
  </si>
  <si>
    <t>Azevedo, Vasco A/B-1556-2019; Guédon, Eric/AAP-4143-2021; GUEDON, Eric/S-5635-2016; de Rezende Rodovalho, Vinicius/M-1701-2017</t>
  </si>
  <si>
    <t>Azevedo, Vasco A/0000-0002-4775-2280; Le Loir, Yves/0000-0002-0355-1065; Nicolas, Aurelie/0000-0002-6960-9362; Chabelskaya, Svetlana/0000-0002-9372-9356; GUEDON, Eric/0000-0002-0901-4447; de Rezende Rodovalho, Vinicius/0000-0003-4216-7143</t>
  </si>
  <si>
    <t>10.3389/fmicb.2021.634226</t>
  </si>
  <si>
    <t>WOS:000632220800001</t>
  </si>
  <si>
    <t>Yang, B; Wang, JY; Jiang, HY; Lin, HX; Ou, ZH; Ullah, A; Hua, YE; Chen, JJ; Lin, XM; Hu, XM; Zheng, L; Wang, Q</t>
  </si>
  <si>
    <t>Yang, Biao; Wang, Jingyu; Jiang, Hongye; Lin, Huixian; Ou, Zihao; Ullah, Amir; Hua, Yuneng; Chen, Juanjiang; Lin, Xiaomin; Hu, Xiumei; Zheng, Lei; Wang, Qian</t>
  </si>
  <si>
    <t>Extracellular Vesicles Derived From Talaromyces marneffei Yeasts Mediate Inflammatory Response in Macrophage Cells by Bioactive Protein Components</t>
  </si>
  <si>
    <t>Talaromyces marneffei; extracellular vesicles; macrophage cells; inflammatory response; proteomics</t>
  </si>
  <si>
    <t>PENICILLIUM-MARNEFFEI; CRYPTOCOCCUS-NEOFORMANS; GENE; EXPRESSION; MECHANISM; INFECTION; VIRULENCE; INNATE; HOST</t>
  </si>
  <si>
    <t>Extracellular vesicles (EVs) loaded with proteins, nucleic acids, membrane lipids, and other virulence factors could participate in pathogenic processes in some fungi such as Cryptococcus neoformans and Candida albicans. However, the specific characteristics of EVs derived from Talaromyces marneffei (TM) still have not been figured out yet. In the present study, it has been observed that TM-derived EVs were a heterogeneous group of nanosized membrane vesicles (30-300 nm) under nanoparticle tracking analysis and transmission electron microscopy. The DiI-labeled EVs could be taken up by RAW 264.7 macrophage cells. Incubation of EVs with macrophages would result in increased expression levels of reactive oxygen species, nitric oxide, and some inflammatory factors including interleukin-1 beta, interleukin-6, interleukin-10, and tumor necrosis factor. Furthermore, the expression of co-stimulatory molecules (CD80, CD86, and MHC-II) was also increased in macrophages stimulated with EVs. The level of inflammatory factors secreted by macrophages showed a significant decrease when EVs were hydrolyzed by protease, while that of DNA and RNA hydrolase treatment remained unchanged. Subsequently, some virulence factors in EVs including heat shock protein, mannoprotein 1, and peroxidase were determined by liquid chromatography-tandem mass spectrometry. Taken together, our results indicated that the TM-derived EVs could mediate inflammatory response and its protein would play a key role in regulating the function of RAW 264.7 macrophage cells.</t>
  </si>
  <si>
    <t>[Yang, Biao; Hua, Yuneng; Chen, Juanjiang; Wang, Qian] Southern Med Univ, Zhujiang Hosp, Ctr Clin Lab, Guangzhou, Peoples R China; [Yang, Biao; Wang, Jingyu; Lin, Huixian; Ou, Zihao; Ullah, Amir; Lin, Xiaomin; Hu, Xiumei; Zheng, Lei; Wang, Qian] Southern Med Univ, Nanfang Hosp, Dept Lab Med, Guangzhou, Peoples R China; [Wang, Jingyu; Lin, Huixian; Ou, Zihao; Ullah, Amir; Lin, Xiaomin; Hu, Xiumei; Zheng, Lei] Southern Med Univ, Nanfang Hosp, Guangdong Engn &amp; Technol Res Ctr Rapid Diagnost B, Guangzhou, Peoples R China; [Jiang, Hongye] Southern Med Univ, Peoples Hosp Shunde 1, Shunde Hosp, Foshan, Peoples R China</t>
  </si>
  <si>
    <t>Southern Medical University - China; Southern Medical University - China; Southern Medical University - China; Southern Medical University - China</t>
  </si>
  <si>
    <t>Wang, Q (corresponding author), Southern Med Univ, Zhujiang Hosp, Ctr Clin Lab, Guangzhou, Peoples R China.;Hu, XM; Zheng, L; Wang, Q (corresponding author), Southern Med Univ, Nanfang Hosp, Dept Lab Med, Guangzhou, Peoples R China.;Hu, XM; Zheng, L (corresponding author), Southern Med Univ, Nanfang Hosp, Guangdong Engn &amp; Technol Res Ctr Rapid Diagnost B, Guangzhou, Peoples R China.</t>
  </si>
  <si>
    <t>hxxm19860108@163.com; nfyyzhenglei@smu.edu.cn; wangqian@smu.edu.cn</t>
  </si>
  <si>
    <t>Yang, Biao/0000-0002-9115-9046; ou, zihao/0000-0001-8722-7205</t>
  </si>
  <si>
    <t>JAN 8</t>
  </si>
  <si>
    <t>10.3389/fmicb.2020.603183</t>
  </si>
  <si>
    <t>WOS:000609416600001</t>
  </si>
  <si>
    <t>Kirkemo, LL; Elledge, SK; Yang, JL; Byrnes, JR; Glasgow, JE; Blelloch, R; Wells, JA; Schekman, R</t>
  </si>
  <si>
    <t>Kirkemo, Lisa L.; Elledge, Susanna K.; Yang, Jiuling; Byrnes, James R.; Glasgow, Jeff E.; Blelloch, Robert; Wells, James A.; Schekman, Randy</t>
  </si>
  <si>
    <t>Cell-surface tethered promiscuous biotinylators enable comparative small-scale surface proteomic analysis of human extracellular vesicles and cells</t>
  </si>
  <si>
    <t>ELIFE</t>
  </si>
  <si>
    <t>extracellular vesicle; HRP; APEX2; proteomics; surfaceomics; cell surface; Human</t>
  </si>
  <si>
    <t>EPITHELIAL-MESENCHYMAL TRANSITION; PROSTATE-CANCER; THERAPEUTIC TARGETS; MAMMALIAN-CELLS; EXPRESSION; PROTEINS; EXOSOMES; PEROXIDASE; IDENTIFICATION; GLYCOPROTEOME</t>
  </si>
  <si>
    <t>Characterization of cell surface proteome differences between cancer and healthy cells is a valuable approach for the identification of novel diagnostic and therapeutic targets. However, selective sampling of surface proteins for proteomics requires large samples (&gt; 10e6 cells) and long labeling times. These limitations preclude analysis of material-limited biological samples or the capture of rapid surface proteomic changes. Here, we present two labeling approaches to tether exogenous peroxidases (APEX2 and HRP) directly to cells, enabling rapid, small-scale cell surface biotinylation without the need to engineer cells. We used a novel lipidated DNA-tethered APEX2 (DNA-APEX2), which upon addition to cells promoted cell agnostic membrane-proximal labeling. Alternatively, we employed horseradish peroxidase (HRP) fused to the glycan-binding domain of wheat germ agglutinin (WGA-HRP). This approach yielded a rapid and commercially inexpensive means to directly label cells containing common N-Acetylglucosamine (GlcNAc) and sialic acid glycans on their surface. The facile WGA-HRP method permitted high surface coverage of cellular samples and enabled the first comparative surface proteome characterization of cells and cell-derived small extracellular vesicles (EVs), leading to the robust quantification of 953 cell and EV surface annotated proteins. We identified a newly recognized subset of EV-enriched markers, as well as proteins that are uniquely upregulated on Myc oncogene-transformed prostate cancer EVs. These two cell-tethered enzyme surface biotinylation approaches are highly advantageous for rapidly and directly labeling surface proteins across a range of material-limited sample types.</t>
  </si>
  <si>
    <t>[Kirkemo, Lisa L.; Elledge, Susanna K.; Byrnes, James R.; Glasgow, Jeff E.; Wells, James A.] Univ Calif San Francisco, Dept Pharmaceut Chem, San Francisco, CA USA; [Yang, Jiuling; Blelloch, Robert] Univ Calif San Francisco, Dept Urol, San Francisco, CA USA; [Yang, Jiuling; Blelloch, Robert] Univ Calif San Francisco, Eli &amp; Edythe Broad Ctr Regenerat Med &amp; Stem Cell R, San Francisco, CA USA; [Wells, James A.] Univ Calif San Francisco, Dept Cellular &amp; Mol Pharmacol, San Francisco, CA USA</t>
  </si>
  <si>
    <t>University of California System; University of California San Francisco; University of California System; University of California San Francisco; University of California System; University of California San Francisco; University of California System; University of California San Francisco</t>
  </si>
  <si>
    <t>Wells, JA (corresponding author), Univ Calif San Francisco, Dept Pharmaceut Chem, San Francisco, CA USA.;Wells, JA (corresponding author), Univ Calif San Francisco, Dept Cellular &amp; Mol Pharmacol, San Francisco, CA USA.</t>
  </si>
  <si>
    <t>jim.wells@ucsf.edu</t>
  </si>
  <si>
    <t>Elledge, Susanna/0000-0002-9621-3881; Byrnes, James/0000-0003-0297-1209</t>
  </si>
  <si>
    <t>2050-084X</t>
  </si>
  <si>
    <t>MAR 8</t>
  </si>
  <si>
    <t>e73982</t>
  </si>
  <si>
    <t>10.7554/eLife.73982</t>
  </si>
  <si>
    <t>WOS:000789636100001</t>
  </si>
  <si>
    <t>Desideri, E; Ciccarone, F; Ciriolo, MR; Fratantonio, D</t>
  </si>
  <si>
    <t>Desideri, Enrico; Ciccarone, Fabio; Ciriolo, Maria Rosa; Fratantonio, Deborah</t>
  </si>
  <si>
    <t>Extracellular vesicles in endothelial cells: from mediators of cell-to-cell communication to cargo delivery tools</t>
  </si>
  <si>
    <t>FREE RADICAL BIOLOGY AND MEDICINE</t>
  </si>
  <si>
    <t>Extracellular vesicles; EV functionalization; EV engineering; Endothelial cell functionality; Bioactive compounds; Delivery tools</t>
  </si>
  <si>
    <t>NITRIC-OXIDE SYNTHASE; CU,ZN SUPEROXIDE-DISMUTASE; MESENCHYMAL TRANSITION; EXOSOMAL FORMULATION; ACTIVATED PLATELETS; ADHESION MOLECULES; OXIDATIVE STRESS; EMERGING ROLES; HIGH GLUCOSE; RED WINE</t>
  </si>
  <si>
    <t>Extracellular vesicles (EVs) are nanosized vesicles released from most cell types that play a key role in cell-to-cell communication by carrying DNA, non-coding RNAs, proteins and lipids out of cells. The composition of EVs depends on the cell or tissue of origin and changes according to their pathophysiological conditions, making EVs a potential circulating biomarker of disease. Additionally, the natural tropism of EVs for specific organs and cells has raised the interest in their use as delivery vehicles. In this review, we provide an overview of EV biogenesis, isolation and characterization. We also discuss EVs in the context of endothelial pathophysiology, summarizing the current knowledge about their role in cell communication in quiescent and activated endothelial cells. In the last part, we describe the potential use of EVs as delivery vehicles of bioactive compounds and the current strategies to load exogenous cargo and to functionalize EVs to drive them to a specific tissue.</t>
  </si>
  <si>
    <t>[Desideri, Enrico; Ciriolo, Maria Rosa] Univ Roma Tor Vergata, Dept Biol, Via Ric Sci 1, I-00133 Rome, Italy; [Ciccarone, Fabio] San Raffaele Roma Open Univ, IRCCS San Raffaele Pisana, Dept Human Sci &amp; Promot Qual Life, Rome, Italy; [Ciriolo, Maria Rosa] IRCCS San Raffaele Pisana, Via Pisana 235, I-00163 Rome, Italy; [Fratantonio, Deborah] Univ Bari Aldo Moro, Dept Biosci Biotechnol &amp; Biopharmaceut, I-70125 Bari, Italy</t>
  </si>
  <si>
    <t>University of Rome Tor Vergata; IRCCS San Raffaele Pisana; IRCCS San Raffaele Pisana; Universita degli Studi di Bari Aldo Moro</t>
  </si>
  <si>
    <t>Ciriolo, MR (corresponding author), Univ Roma Tor Vergata, Dept Biol, Via Ric Sci 1, I-00133 Rome, Italy.;Fratantonio, D (corresponding author), Univ Bari Aldo Moro, Dept Biosci Biotechnol &amp; Biopharmaceut, I-70125 Bari, Italy.</t>
  </si>
  <si>
    <t>ciriolo@bio.uniroma2.it; deborah.fratantonio@uniba.it</t>
  </si>
  <si>
    <t>Desideri, Enrico/AAB-9657-2019</t>
  </si>
  <si>
    <t>Desideri, Enrico/0000-0002-1884-7491; Ciriolo, Maria Rosa/0000-0002-7863-9029; FRATANTONIO, Deborah/0000-0003-4835-0571</t>
  </si>
  <si>
    <t>0891-5849</t>
  </si>
  <si>
    <t>1873-4596</t>
  </si>
  <si>
    <t>AUG 20</t>
  </si>
  <si>
    <t>10.1016/j.freeradbiomed.2021.06.030</t>
  </si>
  <si>
    <t>Biochemistry &amp; Molecular Biology; Endocrinology &amp; Metabolism</t>
  </si>
  <si>
    <t>WOS:000685098300001</t>
  </si>
  <si>
    <t>Lei, XD; He, NN; Zhu, LH; Zhou, MQ; Zhang, KY; Wang, C; Huang, HY; Chen, S; Li, YH; Liu, Q; Han, ZB; Guo, ZK; Han, ZC; Li, ZJ</t>
  </si>
  <si>
    <t>Lei, Xudan; He, Ningning; Zhu, Lihong; Zhou, Manqian; Zhang, Kaiyue; Wang, Chen; Huang, Haoyan; Chen, Shang; Li, Yuhao; Liu, Qiang; Han, Zhibo; Guo, Zhikun; Han, Zhongchao; Li, Zongjin</t>
  </si>
  <si>
    <t>Mesenchymal Stem Cell-Derived Extracellular Vesicles Attenuate Radiation-Induced Lung InjuryviamiRNA-214-3p</t>
  </si>
  <si>
    <t>ANTIOXIDANTS &amp; REDOX SIGNALING</t>
  </si>
  <si>
    <t>radiation-induced lung injury; mesenchymal stem cell; extracellular vesicles; miR-214-3p; ataxia telangiectasia mutated (ATM)</t>
  </si>
  <si>
    <t>STROMAL CELLS; ENDOTHELIAL-CELLS; SENESCENCE; EXOSOMES; MECHANISMS; THERAPY; TARGET; INJURY; ATM</t>
  </si>
  <si>
    <t>Aims:Radiotherapy is an effective treatment for thoracic malignancies, but it can cause pulmonary injury and may lead to respiratory failure in a subset of patients. Extracellular vesicles (EVs) derived from mesenchymal stem cells (MSCs) are now recognized as a new candidate for cell-free treatment of lung diseases. Here, we investigated whether MSC-derived EVs (MSC-EVs) could ameliorate radiation-induced lung injury. Results:We exposed mice to thoracic radiation with a total dose of 15 Gy and assessed the protective effects of MSC-EVs on endothelial cells damage, vascular permeability, inflammation, and fibrosis. We found that MSC-EVs attenuated radiation-induced lung vascular damage, inflammation, and fibrosis. Moreover, MSC-EVs reduced the levels of radiation-induced DNA damage by downregulating ATM/P53/P21 signaling. Our results confirmed that the downregulation of ataxia telangiectasia mutated (ATM) was regulated by miR-214-3p, which was enriched in MSC-EVs. Further analysis demonstrated that MSC-EVs inhibited the senescence-associated secretory phenotype development and attenuated the radiation-induced injury of endothelial cells. Innovation and Conclusion:Our study reveals that MSC-EVs can reduce pulmonary radiation injury through transferring miR-214-3p, providing new avenues to minimize lung injury from radiation therapy.</t>
  </si>
  <si>
    <t>[Lei, Xudan; Zhang, Kaiyue; Wang, Chen; Huang, Haoyan; Chen, Shang; Li, Yuhao; Li, Zongjin] Nankai Univ, Sch Med, Lab Mol Imaging &amp; Stem Cell Therapy, 94 Weijin Rd, Tianjin 300071, Peoples R China; [Lei, Xudan; Li, Zongjin] Nankai Univ, Key Lab Bioact Mat, Minist Educ, Coll Life Sci, Tianjin, Peoples R China; [He, Ningning; Liu, Qiang] Chinese Acad Med Sci &amp; Peking Union Med Coll, Tianjin Key Lab Radiat Med &amp; Mol Nucl Med, Dept Radiobiol, Inst Radiat Med, Tianjin, Peoples R China; [Zhu, Lihong] Capital Med Univ, Beijing Obstet &amp; Gynecol Hosp, Dept Gynecol Oncol, Beijing 100026, Peoples R China; [Zhou, Manqian] Tianjin Union Med Ctr, Dept Radiat Oncol, Tianjin, Peoples R China; [Han, Zhibo; Han, Zhongchao] AmCellGene Co Ltd, Tianjin Key Lab Engn Technol Cell Pharmaceut, Natl Engn Res Ctr Cell Prod, Tianjin, Peoples R China; [Han, Zhibo; Han, Zhongchao] Jiangxi Engn Res Ctr Stem Cell, Shangrao, Peoples R China; [Guo, Zhikun] Xinxiang Med Univ, Henan Key Lab Med Tissue Regenerat, Xinxiang, Henan, Peoples R China; [Li, Zongjin] Chinese Peoples Liberat Army Gen Hosp, State Key Lab Kidney Dis, Beijing, Peoples R China</t>
  </si>
  <si>
    <t>Nankai University; Nankai University; Chinese Academy of Medical Sciences - Peking Union Medical College; Institute of Radiation Medicine - CAMS; Peking Union Medical College; Capital Medical University; Xinxiang Medical University; Chinese People's Liberation Army General Hospital</t>
  </si>
  <si>
    <t>Li, ZJ (corresponding author), Nankai Univ, Sch Med, Lab Mol Imaging &amp; Stem Cell Therapy, 94 Weijin Rd, Tianjin 300071, Peoples R China.;Zhu, LH (corresponding author), Capital Med Univ, Beijing Obstet &amp; Gynecol Hosp, Dept Gynecol Oncol, Beijing 100026, Peoples R China.</t>
  </si>
  <si>
    <t>zhulihong510@163.com; zongjinli@nankai.edu.cn</t>
  </si>
  <si>
    <t>Li, Zongjin/0000-0002-4603-3743; Zhang, Kaiyue/0000-0002-9906-9053; lei, xudan/0000-0002-0345-4302</t>
  </si>
  <si>
    <t>1523-0864</t>
  </si>
  <si>
    <t>1557-7716</t>
  </si>
  <si>
    <t>10.1089/ars.2019.7965</t>
  </si>
  <si>
    <t>WOS:000558372500001</t>
  </si>
  <si>
    <t>Bach, F; Libregts, S; Creemers, L; Meij, B; Ito, K; Wauben, M; Tryfonidou, M</t>
  </si>
  <si>
    <t>Bach, Frances; Libregts, Sten; Creemers, Laura; Meij, Bjorn; Ito, Keita; Wauben, Marca; Tryfonidou, Marianna</t>
  </si>
  <si>
    <t>Notochordal-cell derived extracellular vesicles exert regenerative effects on canine and human nucleus pulposus cells</t>
  </si>
  <si>
    <t>extracellular vesicles; intervertebral disc; notochordal cell; regeneration; nucleus pulposus</t>
  </si>
  <si>
    <t>COLLAGEN TYPE-II; INTERVERTEBRAL DISC; CONDITIONED MEDIUM; MOLECULAR THERAPY; MATRIX; GLYCOSAMINOGLYCANS; DIFFERENTIATION; DEGENERATION; PROMOTES; GROWTH</t>
  </si>
  <si>
    <t>During intervertebral disc ageing, chondrocyte-like cells (CLCs) replace notochordal cells (NCs). NCs have been shown to induce regenerative effects in CLCs. Since vesicles released by NCs may be responsible for these effects, we characterized NC-derived extracellular vesicles (EVs) and determined their effect on CLCs. EVs were purified from porcine NC-conditioned medium (NCCM) through size exclusion chromatography, ultracentrifugation or density gradient centrifugation. Additionally, the EVs were quantitatively analyzed by high-resolution flow cytometry. The effect of NCCM-derived EVs was studied on canine and human CLC micro-aggregates in vitro and compared with NCCM-derived proteins and unfractionated NCCM. Porcine NCCM contained a considerable amount of EVs. NCCM-derived EVs induced GAG deposition in canine CLCs to a comparable level as NCCM-derived proteins and unfractionated NCCM, and increased the DNA and glycosaminoglycan (GAG) content of human micro-aggregates, although to a lesser extent than unfractionated NCCM. The biological EV effects were not considerably influenced by ultracentrifugation compared with size exclusion-based purification. Upon ultracentrifugation, interfering GAGs, but not collagens, were lost. Nonetheless, collagen type I or II supplemented to CLCs in a concentration as present in NCCM induced no anabolic effects. Porcine NCCM-derived EVs exerted anabolic effects comparable to NCCM-derived proteins, while unfractionated NCCM was more potent in human CLCs. GAGs and collagens appeared not to mediate the regenerative EV effects. Thus, NC-derived EVs have regenerative potential, and their effects may be influenced by the proteins present in NCCM. The optimal combination of NC-secreted factors needs to be determined to fully exploit the regenerative potential of NC-based technology.</t>
  </si>
  <si>
    <t>[Bach, Frances; Meij, Bjorn; Tryfonidou, Marianna] Univ Utrecht, Fac Vet Med, Dept Clin Sci Compan Anim, Utrecht, Netherlands; [Libregts, Sten; Wauben, Marca] Univ Utrecht, Fac Vet Med, Dept Biochem &amp; Cell Biol, Utrecht, Netherlands; [Creemers, Laura; Ito, Keita] Univ Med Ctr Utrecht, Dept Orthopaed, Utrecht, Netherlands; [Ito, Keita] Eindhoven Univ Technol, Dept Biomed Engn, Orthopaed Biomech, Eindhoven, Netherlands</t>
  </si>
  <si>
    <t>Utrecht University; Utrecht University; Utrecht University; Utrecht University Medical Center; Eindhoven University of Technology</t>
  </si>
  <si>
    <t>Tryfonidou, M (corresponding author), Univ Utrecht, Fac Vet Med, Dept Clin Sci Compan Anim, Utrecht, Netherlands.</t>
  </si>
  <si>
    <t>m.a.tryfonidou@uu.nl</t>
  </si>
  <si>
    <t>Ito, Keita/A-8592-2017; Creemers, Laura B/AAS-2424-2020; Tryfonidou, Marianna/O-3114-2017</t>
  </si>
  <si>
    <t>Ito, Keita/0000-0002-7372-4072; Wauben, Marca/0000-0003-0360-0311; Creemers, Laura/0000-0002-1585-3052; Tryfonidou, Marianna/0000-0002-2333-7162</t>
  </si>
  <si>
    <t>10.18632/oncotarget.21483</t>
  </si>
  <si>
    <t>WOS:000413585600053</t>
  </si>
  <si>
    <t>Emami, A; Talaei-Khozani, T; Tavanafar, S; Zareifard, N; Azarpira, N; Vojdani, Z</t>
  </si>
  <si>
    <t>Emami, Asrin; Talaei-Khozani, Tahereh; Tavanafar, Saeid; Zareifard, Nehleh; Azarpira, Negar; Vojdani, Zahra</t>
  </si>
  <si>
    <t>Synergic effects of decellularized bone matrix, hydroxyapatite, and extracellular vesicles on repairing of the rabbit mandibular bone defect model</t>
  </si>
  <si>
    <t>Decellularized bone; Extracellular vesicle; Hydroxyapatite; Tissue engineering</t>
  </si>
  <si>
    <t>SCAFFOLDS; DIFFERENTIATION; CELLS</t>
  </si>
  <si>
    <t>Background Extracellular vesicles (ECV) and bone extracellular matrix (ECM) have beneficial effects on the treatment of some pathological conditions. The purpose of this study was to find the synergic effects of decellularized bone (DB) ECM and ECVs on the repair of rabbit. Methods The quality of decellularized sheep bones was confirmed by H&amp;E, Hoechst, DNA quantification, immunohistochemistry, histochemical staining, and scanning electron microscopy (SEM). Osteoblast-derived ECVs were evaluated by internalization test, Transmission electron microscopy, Dynamic light scattering, and flow cytometry for CD9, CD63, CD81 markers. The hydrogel containing DB and hydroxyapatite (HA) with or without ECVs was evaluated for osteoblast functions and bone repair both in vitro and in vivo. Results The data indicated ECM preservation after decellularization as well as cell depletion. In vitro assessments revealed that mineralization and alkaline phosphatase activity did not improve after treatment of MG63 cells by ECVs, while in vivo morphomatrical estimations showed synergic effects of ECVs and DB + HA hydrogels on increasing the number of bone-specific cells and vessel and bone area compared to the control, DB + HA and ECV-treated groups. Conclusions The DB enriched with ECVs can be an ideal scaffold for bone tissue engineering and may provide a suitable niche for bone cell migration and differentiation.</t>
  </si>
  <si>
    <t>[Emami, Asrin; Talaei-Khozani, Tahereh; Zareifard, Nehleh; Vojdani, Zahra] Shiraz Univ Med Sci, Dept Anat, Tissue Engn Lab, Shiraz, Iran; [Tavanafar, Saeid] Shiraz Univ Med Sci, Sch Dent, Dept Oral &amp; Maxillofacial Surg, Shiraz, Iran; [Azarpira, Negar] Shiraz Univ Med Sci, Transplantat Res Ctr, Shiraz, Iran</t>
  </si>
  <si>
    <t>Shiraz University of Medical Science; Shiraz University of Medical Science; Shiraz University of Medical Science</t>
  </si>
  <si>
    <t>Vojdani, Z (corresponding author), Shiraz Univ Med Sci, Dept Anat, Tissue Engn Lab, Shiraz, Iran.</t>
  </si>
  <si>
    <t>vojdaniz@sums.ac.ir</t>
  </si>
  <si>
    <t>Vojdani, Zahra/U-6977-2017; tavanafar, saeid/ABH-7864-2020; fard, Nehleh Zarei/V-6384-2017; Talaei-khozani, Tahereh/N-2344-2015</t>
  </si>
  <si>
    <t>tavanafar, saeid/0000-0002-1208-7831; fard, Nehleh Zarei/0000-0002-8866-7226; jahromi, zahra/0000-0003-3559-4753; Talaei-khozani, Tahereh/0000-0002-8425-8871</t>
  </si>
  <si>
    <t>SEP 22</t>
  </si>
  <si>
    <t>10.1186/s12967-020-02525-3</t>
  </si>
  <si>
    <t>WOS:000574318900001</t>
  </si>
  <si>
    <t>Tani, K; Nasu, M</t>
  </si>
  <si>
    <t>Kikuchi, Y; Rykova, EY</t>
  </si>
  <si>
    <t>Tani, Katsuji; Nasu, Masao</t>
  </si>
  <si>
    <t>Roles of Extracellular DNA in Bacterial Ecosystem</t>
  </si>
  <si>
    <t>EXTRACELLULAR NUCLEIC ACIDS</t>
  </si>
  <si>
    <t>Nucleic Acids and Molecular Biology</t>
  </si>
  <si>
    <t>NATURAL GENETIC-TRANSFORMATION; PSEUDOMONAS-AERUGINOSA; NEISSERIA-GONORRHOEAE; DISSOLVED DNA; AQUATIC ENVIRONMENTS; MEMBRANE-VESICLES; BIOFILM FORMATION; ESCHERICHIA-COLI; STAPHYLOCOCCUS-EPIDERMIDIS; MARINE-SEDIMENTS</t>
  </si>
  <si>
    <t>Extracellular DNA in the natural environment is a source of nutrients and gene pools for bacteria. In sediments and biofilms, gene transfer must occur among bacteria via extracellular DNA because the concentrations of both exogenous DNA and cells are high. Some bacteria actively release naked DNA or the membrane vesicle containing the DNA into the environment. Some bacteria also produce extracellular DNA by suicide and fratricide. Released DNA is used for DNA repair, transformation, and generation of genetic diversity. DNA is required for the initiation of biofilm formation and stabilization of biofilms. In biofilms, gene exchange and mutation must occur to generate diversity.</t>
  </si>
  <si>
    <t>[Nasu, Masao] Osaka Univ, Grad Sch Pharmaceut Sci, Dept Environm Sci &amp; Microbiol, Suita, Osaka 5650871, Japan; [Tani, Katsuji] Osaka Ohtani Univ, Fac Pharmaceut Sci, Dept Environm Sci &amp; Microbiol, Osaka 5840854, Japan</t>
  </si>
  <si>
    <t>Osaka University</t>
  </si>
  <si>
    <t>Nasu, M (corresponding author), Osaka Univ, Grad Sch Pharmaceut Sci, Dept Environm Sci &amp; Microbiol, 1-6 Yamada Oka, Suita, Osaka 5650871, Japan.</t>
  </si>
  <si>
    <t>nasu@phs.osaka-u.ac.jp</t>
  </si>
  <si>
    <t>0933-1891</t>
  </si>
  <si>
    <t>978-3-642-12616-1</t>
  </si>
  <si>
    <t>10.1007/978-3-642-12617-8_3</t>
  </si>
  <si>
    <t>10.1007/978-3-642-12617-8</t>
  </si>
  <si>
    <t>WOS:000281000900003</t>
  </si>
  <si>
    <t>Chang, CJ; Wang, HQ; Zhang, J; Zou, Y; Zhang, YH; Chen, JW; Chen, CB; Chung, WH; Ji, C</t>
  </si>
  <si>
    <t>Chang, Chih-Jung; Wang, Hai-Qing; Zhang, Jing; Zou, Ying; Zhang, Yi-Hua; Chen, Jia-Wen; Chen, Chun-Bing; Chung, Wen-Hung; Ji, Chao</t>
  </si>
  <si>
    <t>Distinct Proteomic Profiling of Plasma Extracellular Vesicles from Moderate-to-Severe Atopic Dermatitis Patients</t>
  </si>
  <si>
    <t>CLINICAL COSMETIC AND INVESTIGATIONAL DERMATOLOGY</t>
  </si>
  <si>
    <t>atopic dermatitis; extracellular vesicle; plasma; proteomic profiling</t>
  </si>
  <si>
    <t>PLATELET-ACTIVATION; EPIDEMIOLOGY; BIOLOGY</t>
  </si>
  <si>
    <t>Background: Atopic dermatitis (AD) is a chronic, inflammatory cutaneous disorder characterized by a T helper 2 (Th2) immune response phenotype. Extracellular vesicles (EVs) are a heterogeneous family of cell-derived membranous structures, which transport cellular components such as DNA and proteins, and are involved in multiple physiological and pathological processes. Increasing evidence has shown that EVs secretion took part in the pathogenesis of AD. However, the proteomic studies of plasma-derived EVs in AD patients have not been reported. Objective: In this study, we investigated the diversity of plasma EVs collected from AD patients and healthy individuals and suggested that the candidates for uniquely or differentially expressed proteins in plasma EVs could be a diagnostic marker in AD. Methods: The plasma EVs were collected from 12 patients with moderate-to-severe AD and 13 healthy subjects. Proteomic analysis was performed by using a comprehensive nanoLC-MS/MS method. Results: Proteomic analysis revealed that a total of 1478 proteins in plasma EVs were found to be common proteins in AD, whereas a total of 1597 proteins in plasma EVs were found to be common proteins in HC. Eighty-six proteins in plasma EVs showed more than 2.5-fold up-regulation, while a total of 225 proteins in plasma EVs showed less than 1/2.5-fold down-regulation with a significant difference (p &lt; 0.05) among AD compared with HC. The candidates for differentially expressed proteins in plasma EVs have been described as a connectivity PPI network related to several KEGG pathways, including pathways in platelet activation, complement, and so on. Conclusion: SLP-76 tyrosine phosphoprotein (SLP76) involved in platelet activation may significantly contribute to the pathogenesis of AD. We will further verify the role of SLP67 in AD via animal and cell experiments to provide a promising therapeutic or diagnostic target.</t>
  </si>
  <si>
    <t>[Chang, Chih-Jung; Chung, Wen-Hung] Xiamen Chang Gung Hosp, Med Res Ctr, Xiamen, Fujian, Peoples R China; [Chang, Chih-Jung; Chung, Wen-Hung] Xiamen Chang Gung Hosp, Xiamen Chang Gung Allergol Consortium, Xiamen, Fujian, Peoples R China; [Chang, Chih-Jung; Chen, Chun-Bing; Chung, Wen-Hung] Chang Gung Mem Hosp, Dept Dermatol, Taipei, Taiwan; [Chang, Chih-Jung; Chen, Chun-Bing; Chung, Wen-Hung] Chang Gung Mem Hosp, Drug Hypersensit Clin &amp; Res Ctr, Taipei, Taiwan; [Wang, Hai-Qing; Zhang, Jing; Zou, Ying; Zhang, Yi-Hua; Chen, Jia-Wen; Ji, Chao] Fujian Med Univ, Dept Dermatol, Affiliated Hosp 1, Fuzhou, Fujian, Peoples R China; [Chen, Chun-Bing; Chung, Wen-Hung] Chang Gung Mem Hosp, Dept Med Res, Canc Vaccine &amp; Immune Cell Therapy Core Lab, Taoyuan, Taiwan; [Chen, Chun-Bing] Chang Gung Univ, Coll Med, Taoyuan, Taiwan; [Chen, Chun-Bing; Chung, Wen-Hung] Chang Gung Mem Hosp, Whole Genome Res Core Lab Human Dis, Keelung, Taiwan; [Chen, Chun-Bing] Chang Gung Univ, Grad Inst Clin Med Sci, Taoyuan, Taiwan; [Chung, Wen-Hung] Xiamen Chang Gung Hosp, Dept Dermatol, Xiamen, Fujian, Peoples R China; [Chung, Wen-Hung] Shanghai Jiao Tong Univ, Sch Med, Shanghai, Peoples R China</t>
  </si>
  <si>
    <t>Chang Gung Memorial Hospital; Chang Gung Memorial Hospital; Fujian Medical University; Chang Gung Memorial Hospital; Chang Gung University; Chang Gung Memorial Hospital; Chang Gung University; Shanghai Jiao Tong University</t>
  </si>
  <si>
    <t>Chung, WH (corresponding author), Chang Gung Mem Hosp, Dept Dermatol, Taipei, Taiwan.;Chung, WH (corresponding author), Chang Gung Mem Hosp, Drug Hypersensit Clin &amp; Res Ctr, Taipei, Taiwan.;Ji, C (corresponding author), Fujian Med Univ, Dept Dermatol, Affiliated Hosp 1, Fuzhou, Fujian, Peoples R China.</t>
  </si>
  <si>
    <t>wenhungchung@yahoo.com; jichaofy@fjmu.edu.cn</t>
  </si>
  <si>
    <t>1178-7015</t>
  </si>
  <si>
    <t>10.2147/CCID.S325515</t>
  </si>
  <si>
    <t>WOS:000688407700004</t>
  </si>
  <si>
    <t>Lee, MK; Armstrong, DA; Hazlett, HF; Dessaint, JA; Mellinger, DL; Aridgides, DS; Christensen, BC; Ashare, A</t>
  </si>
  <si>
    <t>Kyung Lee, Min; Armstrong, David A.; Hazlett, Haley F.; Dessaint, John A.; Mellinger, Diane L.; Aridgides, Daniel. S.; Christensen, Brock C.; Ashare, Alix</t>
  </si>
  <si>
    <t>Exposure to extracellular vesicles from Pseudomonas aeruginosa result in loss of DNA methylation at enhancer and DNase hypersensitive site regions in lung macrophages</t>
  </si>
  <si>
    <t>Lung macrophage; extracellular vesicles; Pseudomonas aeruginosa; innate immunity; DNA methylation</t>
  </si>
  <si>
    <t>Various pathogens use differing strategies to evade host immune response including modulating the host's epigenome. Here, we investigate if EVs secreted from P. aeruginosa alter DNA methylation in human lung macrophages, thereby potentially contributing to a dysfunctional innate immune response. Using a genome-wide DNA methylation approach, we demonstrate that P. aeruginosa EVs alter certain host cell DNA methylation patterns. We identified 1,185 differentially methylated CpGs (FDR &lt; 0.05), which were significantly enriched for distal DNA regulatory elements including enhancer regions and DNase hypersensitive sites. Notably, all but one of the 1,185 differentially methylated CpGs were hypomethylated in association with EV exposure. Significantly hypomethylated CpGs tracked to genes including AXL, CFB and CCL23. Gene expression analysis identified 310 genes exhibiting significantly altered expression 48 hours post P. aeruginosa EV treatment, with 75 different genes upregulated and 235 genes downregulated. Some CpGs associated with cytokines such as CSF3 displayed strong negative correlations between DNA methylation and gene expression. Our infection model illustrates how secreted products (EVs) from bacteria can alter DNA methylation of the host epigenome. Changes in DNA methylation in distal DNA regulatory regions in turn can modulate cellular gene expression and potential downstream cellular processes.</t>
  </si>
  <si>
    <t>[Kyung Lee, Min; Christensen, Brock C.] Geisel Sch Med Dartmouth, Dept Epidemiol, Lebanon, NH USA; [Armstrong, David A.; Dessaint, John A.; Mellinger, Diane L.; Aridgides, Daniel. S.; Ashare, Alix] Dartmouth Hitchcock Med Ctr, Dept Med, Lebanon, NH 03766 USA; [Hazlett, Haley F.; Ashare, Alix] Geisel Sch Med Dartmouth, Dept Microbiol &amp; Immunol, Hanover, NH USA; [Christensen, Brock C.] Geisel Sch Med Dartmouth, Dept Mol &amp; Syst Biol, Lebanon, NH USA; [Christensen, Brock C.] Geisel Sch Med Dartmouth, Dept Community &amp; Family Med, Lebanon, NH USA</t>
  </si>
  <si>
    <t>Dartmouth College; Dartmouth College; Dartmouth College; Dartmouth College; Dartmouth College</t>
  </si>
  <si>
    <t>Ashare, A (corresponding author), Dartmouth Hitchcock Med Ctr, Dept Med, Lebanon, NH 03766 USA.</t>
  </si>
  <si>
    <t>Min.Kyung.Lee.GR@dartmouth.edu</t>
  </si>
  <si>
    <t>Aridgides, Daniel/0000-0002-6132-6472; Lee, Min Kyung/0000-0001-9558-4819</t>
  </si>
  <si>
    <t>NOV 2</t>
  </si>
  <si>
    <t>10.1080/15592294.2020.1853318</t>
  </si>
  <si>
    <t>WOS:000603837700001</t>
  </si>
  <si>
    <t>Morio, H; Sun, YC; Harada, M; Ide, H; Shimozato, O; Zhou, XJ; Higashi, K; Yuki, R; Yamaguchi, N; Hofbauer, JP; Guttmann-Gruber, C; Anzai, N; Akita, H; Chiba, K; Furihata, T</t>
  </si>
  <si>
    <t>Morio, Hanae; Sun, Yuchen; Harada, Manami; Ide, Hideyuki; Shimozato, Osamu; Zhou, Xujia; Higashi, Kenjirou; Yuki, Ryuzaburo; Yamaguchi, Naoto; Hofbauer, Josefina Pinon; Guttmann-Gruber, Christina; Anzai, Naohiko; Akita, Hidetaka; Chiba, Kan; Furihata, Tomomi</t>
  </si>
  <si>
    <t>Cancer-Type OATP1B3 mRNA in Extracellular Vesicles as a Promising Candidate for a Serum-Based Colorectal Cancer Biomarker</t>
  </si>
  <si>
    <t>BIOLOGICAL &amp; PHARMACEUTICAL BULLETIN</t>
  </si>
  <si>
    <t>organic anion transporting polypeptide 1B3; SLCO1B3; colorectal cancer; extracellular vesicle; cancer biomarker</t>
  </si>
  <si>
    <t>ANION TRANSPORTING POLYPEPTIDES; EXOSOMES; CELLS; MICROVESICLES; TISSUES; COLON</t>
  </si>
  <si>
    <t>Cancer-type organic anion transporting polypeptide 1B3 (Ct-OATP1B3) mRNA is a variant isoform of the liver-type OATP1B3. Because Ct-OATP1B3 mRNA shows an excellent cancer-specific expression profile in colorectal cancer (CRC), and that its expression levels are associated with CRC prognosis, it holds the potential to become a useful CRC detection and diagnosis biomarker. While the potential is currently justified only at the tissue level, if existence of Ct-OATP1B3 mRNA in CRC-derived extracellular vesicles (EVs) is validated, the findings could enhance its translational potential as a CRC detection and diagnosis biomarker. Therefore, this study aims at proving that Ct-OATP1B3 mRNA exists in CRC-derived EVs, and can be detected using serum specimens. To examine the possibility of Ct-OATP1B3 mRNA being existed in extracellular milieu, we isolated EVs from the human CRC (HCT116, HT-29, and SW480) cell lines, and prepared their cDNAs. The RT-PCR results showed that Ct-OATP1B3 mRNA was clearly present in EVs derived from the human CRC cell lines. Then, in order to further explore the possibility that Ct-OATP1B3 mRNA in CRC derived EVs can be detected in serum, we isolated serum EVs derived from human CRC xenograft mice, and then performed RT-PCR. The results showed that Ct-OATP1B3 mRNA could be found in all serum EV and CRC tissue samples of the mice examined. Collectively, our findings, which show that Ct-OATPIB3 mRNA exists in EVs and can be detected in (at least) mouse serum, strengthen the potential use of Ct-OATP1B3 mRNA as a serum-based CRC biomarker.</t>
  </si>
  <si>
    <t>[Morio, Hanae; Anzai, Naohiko; Furihata, Tomomi] Chiba Univ, Grad Sch Med, Dept Pharmacol, Chuou Ku, 1-8-1 Inohana, Chiba 2608670, Japan; [Morio, Hanae; Sun, Yuchen; Harada, Manami; Ide, Hideyuki; Zhou, Xujia; Akita, Hidetaka; Chiba, Kan; Furihata, Tomomi] Chiba Univ, Lab Pharmacol &amp; Toxicol, Grad Sch Pharmaceut Sci, Chuou Ku, 1-8-1 Inohana, Chiba 2608675, Japan; [Shimozato, Osamu] Chiba Canc Ctr Res Inst, Lab DNA Damage Signaling, Chuou Ku, 666-2 Nitona Cho, Chiba 2608717, Japan; [Higashi, Kenjirou] Chiba Univ, Dept Pharmaceut Technol, Grad Sch Pharmaceut Sci, Chuou Ku, 1-8-1 Inohana, Chiba 2608675, Japan; [Yuki, Ryuzaburo; Yamaguchi, Naoto] Chiba Univ, Lab Mol Cell Biol, Grad Sch Pharmaceut Sci, Chuou Ku, 1-8-1 Inohana, Chiba 2608675, Japan; [Hofbauer, Josefina Pinon; Guttmann-Gruber, Christina] Paracelsus Med Univ Salzburg, EB House Austria, Res Program Mol Therapy Genodermatoses, Dept Dermatol,Univ Hosp, Salzburg, Austria</t>
  </si>
  <si>
    <t>Chiba University; Chiba University; Chiba Cancer Center; Chiba University; Chiba University; Paracelsus Private Medical University</t>
  </si>
  <si>
    <t>Furihata, T (corresponding author), Chiba Univ, Grad Sch Med, Dept Pharmacol, Chuou Ku, 1-8-1 Inohana, Chiba 2608670, Japan.;Furihata, T (corresponding author), Chiba Univ, Lab Pharmacol &amp; Toxicol, Grad Sch Pharmaceut Sci, Chuou Ku, 1-8-1 Inohana, Chiba 2608675, Japan.</t>
  </si>
  <si>
    <t>tomomif@faculty.chiba-u.jp</t>
  </si>
  <si>
    <t>ANZAI, NAOHIKO/K-9492-2017; Zhou, Xujia/GLQ-9000-2022; Hofbauer, Josefina Pinon/S-6826-2019</t>
  </si>
  <si>
    <t>ANZAI, NAOHIKO/0000-0003-0605-0458; Guttmann-Gruber, Christina/0000-0001-8232-5068; Higashi, Kenjirou/0000-0003-2899-4724; Pinon Hofbauer, Josefina/0000-0002-8558-9031</t>
  </si>
  <si>
    <t>0918-6158</t>
  </si>
  <si>
    <t>10.1248/bpb.b17-00743</t>
  </si>
  <si>
    <t>WOS:000426890500022</t>
  </si>
  <si>
    <t>Howe, CG; Foley, HB; Farzan, SF; Chavez, TA; Johnson, M; Meeker, JD; Bastain, TM; Marsit, CJ; Breton, CV</t>
  </si>
  <si>
    <t>Howe, Caitlin G.; Foley, Helen B.; Farzan, Shohreh F.; Chavez, Thomas A.; Johnson, Mark; Meeker, John D.; Bastain, Theresa M.; Marsit, Carmen J.; Breton, Carrie, V</t>
  </si>
  <si>
    <t>Urinary metals and maternal circulating extracellular vesicle microRNA in the MADRES pregnancy cohort</t>
  </si>
  <si>
    <t>Metals; mixtures; miRNA; extracellular vesicles; pregnancy</t>
  </si>
  <si>
    <t>GESTATIONAL DIABETES-MELLITUS; THALLIUM EXPOSURE; MULTIPLE METALS; DNA METHYLATION; PARTICULATE MATTER; MIRNA EXPRESSION; FETAL-GROWTH; HEAVY-METALS; R PACKAGE; ASSOCIATIONS</t>
  </si>
  <si>
    <t>Exposure to metals increases risk for pregnancy complications. Extracellular vesicle (EV) miRNA contribute to maternal-foetal communication and are dysregulated in pregnancy complications. However, metal impacts on maternal circulating EV miRNA during pregnancy are unknown. Our objective was to investigate the impact of multiple metal exposures on EV miRNA in maternal circulation during pregnancy in the MADRES Study. Associations between urinary concentrations of nine metals and 106 EV miRNA in maternal plasma during pregnancy were investigated using robust linear regression (N = 231). Primary analyses focused on metal-miRNA associations in early pregnancy (median: 12.3 weeks gestation). In secondary analyses, we investigated associations with late pregnancy miRNA counts (median: 31.8 weeks gestation) in a subset of participants (N = 184) with paired measures. MiRNA associated with three or more metals (P-FDR&lt;0.05) were further investigated using Bayesian Kernel Machine Regression (BKMR), an environmental mixture method. Thirty-five miRNA were associated (P-FDR&lt;0.05) with at least one metal in early pregnancy. One association (an inverse association between cobalt and miR-150-5p) remained statistically significant when evaluating late pregnancy miRNA counts. Eight miRNA (miR-302b-3p, miR-199a-5p, miR-188-5p, miR-138-5p, miR-212-3p, miR-608, miR-1272, miR-19b-3p) were associated with three metals (barium, mercury, and thallium) in early pregnancy, and their predicted target genes were enriched in pathways important for placental development. Results were consistent when using BKMR. Early pregnancy exposure to barium, mercury, and thallium may have short-term impacts on a common set of EV miRNA which target pathways important for placental development.</t>
  </si>
  <si>
    <t>[Howe, Caitlin G.] Dartmouth Coll, Geisel Sch Med, Dept Epidemiol, 1 Med Ctr Dr, Lebanon, NH 03756 USA; [Foley, Helen B.; Farzan, Shohreh F.; Chavez, Thomas A.; Johnson, Mark; Bastain, Theresa M.; Breton, Carrie, V] Univ Southern Calif, Dept Prevent Med, Keck Sch Med, Los Angeles, CA 90007 USA; [Meeker, John D.] Univ Michigan, Sch Publ Hlth, Dept Environm Hlth Sci, Ann Arbor, MI 48109 USA; [Marsit, Carmen J.] Emory Rollins Sch Publ Hlth, Gangarosa Dept Environm Hlth, Atlanta, GA USA; [Marsit, Carmen J.] Emory Rollins Sch Publ Hlth, Dept Epidemiol, Atlanta, GA USA</t>
  </si>
  <si>
    <t>Dartmouth College; University of Southern California; University of Michigan System; University of Michigan; Emory University; Rollins School Public Health; Emory University; Rollins School Public Health</t>
  </si>
  <si>
    <t>Howe, CG (corresponding author), Dartmouth Coll, Geisel Sch Med, Dept Epidemiol, 1 Med Ctr Dr, Lebanon, NH 03756 USA.</t>
  </si>
  <si>
    <t>caitlin.g.howe@dartmouth.edu</t>
  </si>
  <si>
    <t>Marsit, Carmen/0000-0003-4566-150X</t>
  </si>
  <si>
    <t>10.1080/15592294.2021.1994189</t>
  </si>
  <si>
    <t>WOS:000713054200001</t>
  </si>
  <si>
    <t>Zocco, D; Bernardi, S; Novelli, M; Astrua, C; Fava, P; Zarovni, N; Carpi, FM; Bianciardi, L; Malavenda, O; Quaglino, P; Foroni, C; Russo, D; Chiesi, A; Fierro, MT</t>
  </si>
  <si>
    <t>Zocco, Davide; Bernardi, Simona; Novelli, Mauro; Astrua, Chiara; Fava, Paolo; Zarovni, Natasa; Carpi, Francesco M.; Bianciardi, Laura; Malavenda, Ottavia; Quaglino, Pietro; Foroni, Chiara; Russo, Domenico; Chiesi, Antonio; Fierro, Maria Teresa</t>
  </si>
  <si>
    <t>Isolation of extracellular vesicles improves the detection of mutant DNA from plasma of metastatic melanoma patients</t>
  </si>
  <si>
    <t>MUTATION ANALYSIS; SERUM EXOSOMES; BRAF MUTATIONS; DIGITAL PCR; CANCER; KRAS; MICROVESICLES; INFORMATION; GUIDELINES; SURVIVAL</t>
  </si>
  <si>
    <t>Detection of BRAF(V600E) within cell free tumor DNA (ctDNA) is emerging as a promising means to improve patients' stratification or enable BRAF inhibitor (BRAFi) therapeutic monitoring in a minimally invasive manner. Here, we investigated whether extracellular vesicle-(EV)-associated-DNA (EV-DNA) has value as an alternative source of circulating BRAF(V600E). To do so, we identified a clinical practice-compatible protocol for the isolation of EV-DNA and assessed BRAF gene status on plasma samples from metastatic melanoma patients at the beginning and during BRAFi therapy. This protocol uses a peptide with high affinity for EVs and it has been found to recover more mutant DNA from plasma than standard ultracentrifugation. Molecular analyses revealed that mutant DNA is largely unprotected from nuclease digestion, interacting with the outer side of the EV membrane or directly with the peptide. When used on clinical samples, we found that the protocol improves the detection of BRAF(V600E) gene copies in comparison to the reference protocol for ctDNA isolation. Taken together, these findings indicate that EVs are a promising source of mutant DNA and should be considered for the development of next-generation liquid biopsy approaches.</t>
  </si>
  <si>
    <t>[Zocco, Davide; Zarovni, Natasa; Carpi, Francesco M.; Bianciardi, Laura; Chiesi, Antonio] Exosomics SpA, Siena, Italy; [Novelli, Mauro; Astrua, Chiara; Fava, Paolo; Malavenda, Ottavia; Quaglino, Pietro; Fierro, Maria Teresa] Univ Torino, Lab Immunopatol Cutanea, Clin Dermatol, Dipartimento Sci Med, Turin, Italy; [Novelli, Mauro; Astrua, Chiara; Fava, Paolo; Malavenda, Ottavia; Quaglino, Pietro; Fierro, Maria Teresa] Azienda Osped Citta Salute &amp; Sci Torino, Turin, Italy; [Bernardi, Simona; Foroni, Chiara; Russo, Domenico] Spedali Civili Brescia, Lab CREA AIL, Brescia, Italy; [Bernardi, Simona; Foroni, Chiara; Russo, Domenico] Univ Brescia, Unit Bone Marrow Transplantat, Chair Hematol, Brescia, Italy</t>
  </si>
  <si>
    <t>University of Turin; A.O.U. Citta della Salute e della Scienza di Torino; Hospital Spedali Civili Brescia; University of Brescia</t>
  </si>
  <si>
    <t>Zocco, D (corresponding author), Exosomics SpA, Siena, Italy.</t>
  </si>
  <si>
    <t>Quaglino, Pietro/AAC-6122-2022; bernardi, simona/K-4667-2018</t>
  </si>
  <si>
    <t>Bernardi, Simona/0000-0002-3494-2624; QUAGLINO, Pietro/0000-0003-4185-9586</t>
  </si>
  <si>
    <t>SEP 25</t>
  </si>
  <si>
    <t>10.1038/s41598-020-72834-6</t>
  </si>
  <si>
    <t>WOS:000577248100020</t>
  </si>
  <si>
    <t>Lee, SR; Lee, JC; Kim, SH; Oh, YS; Chae, HD; Seo, H; Kang, CS; Shin, TS</t>
  </si>
  <si>
    <t>Lee, Sa-Ra; Lee, Jae-Chul; Kim, Sung-Hoon; Oh, Young-Sang; Chae, Hee-Dong; Seo, Hochan; Kang, Chil-Sung; Shin, Tae-Seop</t>
  </si>
  <si>
    <t>Altered Composition of Microbiota in Women with Ovarian Endometrioma: Microbiome Analyses of Extracellular Vesicles in the Peritoneal Fluid</t>
  </si>
  <si>
    <t>endometriosis; extracellular vesicles; microbiome; 16S rDNA</t>
  </si>
  <si>
    <t>FEMALE REPRODUCTIVE-TRACT; GUT MICROBIOTA; DISEASE; COLONIZATION; PATHOGENESIS; BACTERIA; PROFILE; GROWTH</t>
  </si>
  <si>
    <t>Human microbiota refers to living microorganisms which colonize our body and crucially contribute to the metabolism of nutrients and various physiologic functions. According to recently accumulated evidence, human microbiota dysbiosis in the genital tract or pelvic cavity could be involved in the pathogenesis and/or pathophysiology of endometriosis. We aimed to investigate whether the composition of microbiome is altered in the peritoneal fluid in women with endometriosis. We recruited 45 women with histological evidence of ovarian endometrioma and 45 surgical controls without endometriosis. Following the isolation of extracellular vesicles from peritoneal fluid samples from women with and without endometriosis, bacterial genomic DNA was sequenced using next-generation sequencing of the 16S rDNA V3-V4 regions. Diversity analysis showed significant differences in the microbial community at phylum, class, order, family, and genus levels between the two groups. The abundance of Acinetobacter, Pseudomonas, Streptococcus, and Enhydrobacter significantly increased while the abundance of Propionibacterium, Actinomyces, and Rothia significantly decreased in the endometriosis group compared with those in the control group (p &lt; 0.05). These findings strongly suggest that microbiome composition is altered in the peritoneal environment in women with endometriosis. Further studies are necessary to verify whether dysbiosis itself can cause establishment and/or progression of endometriosis.</t>
  </si>
  <si>
    <t>[Lee, Sa-Ra; Lee, Jae-Chul; Kim, Sung-Hoon; Oh, Young-Sang; Chae, Hee-Dong] Univ Ulsan, Coll Med, Asan Med Ctr, Dept Obstet &amp; Gynecol, Seoul 05505, South Korea; [Seo, Hochan; Kang, Chil-Sung; Shin, Tae-Seop] MD Healthcare Inc, Seoul 121270, South Korea</t>
  </si>
  <si>
    <t>University of Ulsan</t>
  </si>
  <si>
    <t>Kim, SH (corresponding author), Univ Ulsan, Coll Med, Asan Med Ctr, Dept Obstet &amp; Gynecol, Seoul 05505, South Korea.</t>
  </si>
  <si>
    <t>leesr@amc.seoul.kr; beas100@hanmail.net; kimsung@amc.seoul.kr; soccur@hanmail.net; hdchae@amc.seoul.kr; hcseo@mdhc.kr; cskang@mdhc.kr; tsshin@mdhc.kr</t>
  </si>
  <si>
    <t>Lee, Sa Ra/0000-0002-7890-8348; Chae, Hee Dong/0000-0003-0129-9422</t>
  </si>
  <si>
    <t>10.3390/ijms22094608</t>
  </si>
  <si>
    <t>WOS:000650376600001</t>
  </si>
  <si>
    <t>Hur, JY; Lee, JS; Kim, IA; Kim, HJ; Kim, WS; Lee, KY</t>
  </si>
  <si>
    <t>Hur, Jae Young; Lee, Jong Sik; Kim, In Ae; Kim, Hee Joung; Kim, Wan Seop; Lee, Kye Young</t>
  </si>
  <si>
    <t>Extracellular vesicle-based EGFR genotyping in bronchoalveolar lavage fluid from treatment-naive non-small cell lung cancer patients</t>
  </si>
  <si>
    <t>Extracellular vesicles (EV); bronchoalveolar lavage fluid (BALF); liquid biopsy; EGFR genotyping; non-small cell lung cancer (NSCLC)</t>
  </si>
  <si>
    <t>LIQUID BIOPSIES; DNA; MUTATIONS; EXOSOMES; FEATURES; KRAS</t>
  </si>
  <si>
    <t>Background: Extracellular vesicles (EV) have been proven to contain double-stranded DNA reflecting the mutational status of the parental tumor cells in non-small cell lung cancer (NSCLC), which can be translated into clinically useful EV-based liquid biopsy for Epidermal growth factor receptor (EGFR) genotyping using bronchoalveolar lavage fluid (BALF) obtained from tumor site. Methods: Patients subjected for an initial lung cancer work-up underwent bronchoscopy and BALE was obtained from tumor site. After isolating EVs from BALF by ultracentrifugation, EV-derived DNA (EV DNA) was extracted for subsequent EGFR genotyping performed through peptide nucleic acid (PNA)-mediated Real-Time PCR. The sensitivity, specificity, and concordance rate of BALF EV-based EGFR genotyping were calculated in comparison to tissue genotyping. Results: The average sensitivity and specificity of BALF EV-based EGFR genotyping were 76% and 87%, respectively, while the sensitivity significantly increased as the stage progressed. Especially, in stage IV, BALF EV-based EGFR typing identified all tissue-proven EGFR mutant cases (n=31) and detected 6 additional mutant cases. The concordance rate was 79% in stage I, 100% in stage II, 74% in stage III, and 92% in stage IV. As TNM stage advanced, especially in the presence of metastasis, concordance rate significantly increased (P&lt;0.05). Conclusions: The use of BALE for the collection of EV DNA in lung cancer patients resulted in a highly accurate diagnosis. The establishment of a fast and reliable method to identify target genes using EV DNA illustrated that it can overcome the problems of low sensitivity and instability in using cell-free DNA (cfDNA).</t>
  </si>
  <si>
    <t>[Hur, Jae Young; Lee, Jong Sik; Kim, In Ae; Kim, Hee Joung; Lee, Kye Young] Konkuk Univ, Med Ctr, Precis Med Lung Canc Ctr, 120-1 Neungdong Ro, Seoul 05030, South Korea; [Hur, Jae Young; Kim, Wan Seop] Konkuk Univ, Sch Med, Dept Pathol, Seoul, South Korea; [Kim, Hee Joung; Lee, Kye Young] Konkuk Univ, Dept Pulm Med, Sch Med, 120-1 Neungdong Ro, Seoul 05030, South Korea</t>
  </si>
  <si>
    <t>Konkuk University; Konkuk University Medical Center; Konkuk University; Konkuk University Medical Center; Konkuk University; Konkuk University Medical Center</t>
  </si>
  <si>
    <t>Lee, KY (corresponding author), Konkuk Univ, Med Ctr, Precis Med Lung Canc Ctr, 120-1 Neungdong Ro, Seoul 05030, South Korea.;Lee, KY (corresponding author), Konkuk Univ, Dept Pulm Med, Sch Med, 120-1 Neungdong Ro, Seoul 05030, South Korea.</t>
  </si>
  <si>
    <t>10.21037/tlcr.2019.12.16</t>
  </si>
  <si>
    <t>WOS:000505217600030</t>
  </si>
  <si>
    <t>Svennerholm, K; Rodsand, P; Hellman, U; Waldenstrom, A; Lundholm, M; Ahren, D; Biber, B; Ronquist, G; Haney, M</t>
  </si>
  <si>
    <t>Svennerholm, Kristina; Rodsand, Pouria; Hellman, Urban; Waldenstrom, Anders; Lundholm, Marie; Ahren, Dag; Biber, Bjorn; Ronquist, Gunnar; Haney, Michael</t>
  </si>
  <si>
    <t>DNA Content in Extracellular Vesicles Isolated from Porcine Coronary Venous Blood Directly after Myocardial Ischemic Preconditioning</t>
  </si>
  <si>
    <t>MEDIATED TRANSFER; GENOMIC DNA; EXOSOMES; PROSTASOMES; MECHANISM; CELLS; HEART; LEADS</t>
  </si>
  <si>
    <t>Background Extracellular vesicles (EV) are nano-sized membranous structures released from most cells. They have the capacity to carry bioactive molecules and gene expression signals between cells, thus mediating intercellular communication. It is believed that EV confer protection after ischemic preconditioning (IPC). We hypothesize that myocardial ischemic preconditioning will lead to rapid alteration of EV DNA content in EV collected from coronary venous effluent. Materials and Methods In a porcine myocardial ischemic preconditioning model, EV were isolated from coronary venous blood before and after IPC by differential centrifugation steps culminating in preparative ultracentrifugation combined with density gradient ultracentrifugation. The EV preparation was validated, the DNA was extracted and further characterized by DNA sequencing followed by bioinformatics analysis. Results Porcine genomic DNA fragments representing each chromosome, including mitochondrial DNA sequences, were detected in EV isolated before and after IPC. There was no difference detected in the number of sequenced gene fragments (reads) or in the genomic coverage of the sequenced DNA fragments in EV isolated before and after IPC. Gene ontology analysis showed an enrichment of genes coding for ion channels, enzymes and proteins for basal metabolism and vesicle biogenesis and specific cardiac proteins. Conclusions This study demonstrates that porcine EV isolated from coronary venous blood plasma contain fragments of DNA from the entire genome, including the mitochondria. In this model we did not find specific qualitative or quantitative changes of the DNA content in EV collected immediately after an in vivo myocardial IPC provocation. This does not rule out the possibility that EV DNA content changes in response to myocardial IPC which could occur in a later time frame.</t>
  </si>
  <si>
    <t>[Svennerholm, Kristina; Biber, Bjorn] Univ Gothenburg, Sahlgrenska Acad, Inst Clin Sci, Anesthesiol &amp; Intens Care Med, Gothenburg, Sweden; [Rodsand, Pouria; Haney, Michael] Umea Univ, Inst Surg &amp; Perioperat Sci, Anesthesiol &amp; Intens Care Med, Umea, Sweden; [Hellman, Urban; Waldenstrom, Anders] Umea Univ, Cardiol, Inst Heart Ctr, Umea, Sweden; [Hellman, Urban; Waldenstrom, Anders] Umea Univ, Dept Publ Hlth &amp; Clin Med, Med, Umea, Sweden; [Lundholm, Marie] Umea Univ, Inst Med Biosci, Pathol, Umea, Sweden; [Ahren, Dag] Lund Univ, Inst Biol, Natl Bioinformat Infrastruct Sweden, Lund, Sweden; [Ronquist, Gunnar] Uppsala Univ, Inst Med Sci, Clin Chem, Uppsala, Sweden</t>
  </si>
  <si>
    <t>University of Gothenburg; Umea University; Umea University; Umea University; Umea University; Lund University; Uppsala University</t>
  </si>
  <si>
    <t>Svennerholm, K (corresponding author), Univ Gothenburg, Sahlgrenska Acad, Inst Clin Sci, Anesthesiol &amp; Intens Care Med, Gothenburg, Sweden.</t>
  </si>
  <si>
    <t>Kristina.svennerholm@vgregion.se</t>
  </si>
  <si>
    <t>JUL 19</t>
  </si>
  <si>
    <t>e0159105</t>
  </si>
  <si>
    <t>10.1371/journal.pone.0159105</t>
  </si>
  <si>
    <t>WOS:000380169600033</t>
  </si>
  <si>
    <t>Xia, YK; Liu, MM; Wang, LL; Yan, A; He, WH; Chen, M; Lan, JM; Xu, JX; Guan, LH; Chen, JH</t>
  </si>
  <si>
    <t>Xia, Yaokun; Liu, Mengmeng; Wang, Liangliang; Yan, An; He, Wenhui; Chen, Mei; Lan, Jianming; Xu, Jiaoxing; Guan, Lunhui; Chen, Jinghua</t>
  </si>
  <si>
    <t>A visible and colorimetric aptasensor based on DNA-capped single-walled carbon nanotubes for detection of exosomes</t>
  </si>
  <si>
    <t>Visible and colorimetric aptasensor; DNA-capped SWCNTs; Exosomes</t>
  </si>
  <si>
    <t>PEROXIDASE-LIKE ACTIVITY; TUMOR-DERIVED EXOSOMES; CATALYTIC-ACTIVITY; HORSERADISH-PEROXIDASE; CIRCULATING EXOSOMES; GLUCOSE DETECTION; NANOPARTICLES; ASSAY; AMPLIFICATION; MECHANISM</t>
  </si>
  <si>
    <t>Recently, many studies have shown the potential use of circulating exosomes as novel biomarkers for monitoring and predicting a number of complex diseases, including cancer. However, reliable and cost-effective detection of exosomes in routine clinical settings, still remain a difficult task, mainly due to the lack of adequately easy and fast assay platforms. Therefore, we demonstrate here the development of a visible and simple method for the detection of exosomes by integrating single-walled carbon nanotubes that being excellent water solubility (s-SWCNTs) and aptamer. Aptamers, specific to exosomes transmembrane protein CD63, are absorbed onto the surface of s-SWCNTs and improve the minic peroxidase activity of s-SWCNT5, which can efficiently catalyze H2O2-mediated oxidation of 3,3',5,5'-tetramethylbenzidine (TMB) and lead to a change from colorless to blue in solution. However, after adding exosomes, the aptamers are bound with CD63, leaving from the surface of s-SWCNTs through conformational changes, which results the color of solution from deep to moderate, and this can be observed by the naked eye and monitored by UV vis spectrometry. Under optimal conditions, the linear range of exosomes is estimated to be 1.84x10(6) to 2.21x10(7) particles/mu L with a detection of limit (LOD) of 5.2x10(5) particles/mu L. Consequently, a visible and simple approach detecting exosomes is successfully constructed. Moreover, this proposed colorimetric aptasensor can be universally applicable for the detection of other targets by simple change the aptamer.</t>
  </si>
  <si>
    <t>[Xia, Yaokun; Liu, Mengmeng; Wang, Liangliang; Yan, An; He, Wenhui; Chen, Mei; Lan, Jianming; Chen, Jinghua] Fujian Med Univ, Sch Pharm, Dept Pharmaceut Anal, Fuzhou 350108, Fujian Province, Peoples R China; [Xu, Jiaoxing; Guan, Lunhui] Chinese Acad Sci, Fujian Inst Res Struct Matter, Key Lab Design &amp; Assembly Funct Nanostruct, Fuzhou 350108, Fujian Province, Peoples R China; [Xu, Jiaoxing; Guan, Lunhui] Chinese Acad Sci, Fujian Inst Res Struct Matter, Fujian Prov Key Lab Nanomat, Fuzhou 350108, Fujian Province, Peoples R China</t>
  </si>
  <si>
    <t>Fujian Medical University; Chinese Academy of Sciences; Fujian Institute of Research on the Structure of Matter, CAS; Chinese Academy of Sciences; Fujian Institute of Research on the Structure of Matter, CAS</t>
  </si>
  <si>
    <t>Chen, JH (corresponding author), Fujian Med Univ, Sch Pharm, Dept Pharmaceut Anal, Fuzhou 350108, Fujian Province, Peoples R China.;Guan, LH (corresponding author), Chinese Acad Sci, Fujian Inst Res Struct Matter, Key Lab Design &amp; Assembly Funct Nanostruct, Fuzhou 350108, Fujian Province, Peoples R China.</t>
  </si>
  <si>
    <t>guanlh@fjirsm.ac.cn; cjh_huaxue@126.com</t>
  </si>
  <si>
    <t>Chen, Jing-Hua/J-5171-2019; Xu, Jiao-xing/P-1442-2015; Nanozymes, Nanozymes/D-8197-2019; Guan, Lunhui/A-7784-2010</t>
  </si>
  <si>
    <t xml:space="preserve">Xu, Jiao-xing/0000-0001-8124-0118; </t>
  </si>
  <si>
    <t>10.1016/j.bios.2017.01.063</t>
  </si>
  <si>
    <t>WOS:000396946600002</t>
  </si>
  <si>
    <t>Yerneni, SS; Solomon, T; Smith, J; Campbell, PG</t>
  </si>
  <si>
    <t>Yerneni, Saigopalakrishna S.; Solomon, Talia; Smith, Jason; Campbell, Phil G.</t>
  </si>
  <si>
    <t>Radioiodination of extravesicular surface constituents to study the biocorona, cell trafficking and storage stability of extracellular vesicles</t>
  </si>
  <si>
    <t>BIOCHIMICA ET BIOPHYSICA ACTA-GENERAL SUBJECTS</t>
  </si>
  <si>
    <t>Extracellular vesicles; Corona; Radiolabeling; Biocorona; Storage artifacts; Cell trafficking</t>
  </si>
  <si>
    <t>EPIDERMAL-GROWTH-FACTOR; PROTEIN CORONA; PLASMA; EXOSOMES; MEMBRANES; IMPACT</t>
  </si>
  <si>
    <t>Background: Extracellular vesicles (EVs) are produced by all cell types and serve as biological packets delivering a wide variety of molecules for cell-to-cell communication. However, the biology of the EV extravesicular surface domain that we have termed EV 'biocorona' remains underexplored. Upon cell secretion, EVs possess an innate biocorona containing membrane integral and peripheral constituents that is modified by acquired constituents post secretion. This distinguishes EVs from synthetic nanoparticulate biomaterials that are limited to an adsorption-based, acquired biocorona. Methods: The EV biocorona molecular constituents were radiolabeled with 125I to study biocorona constituents and its surface dynamics. As example toolset applications, 125I-EVs were utilized to study EV cell trafficking and the stability of the EV biocorona during storage. Results: The biocorona of EVs consisted of proteins, lipids, DNA and RNA. The cellular uptake of 125I-EVs was temperature dependent and internalized 125I-EVs were rapidly recycled by cells. When 125I-EVs were stored in a purified state, they exhibited time and temperature dependent biocorona shedding and proteolytic degradation that was partially inhibited in the presence of serum. Conclusion: The EV biocorona is complex and dynamic. Radiolabeling of the EV biocorona enables a unique platform methodology to study the biocorona and will facilitate unlocking EV's full clinical translation potential.General significance: The EV biocorona affects EV mediated biological processes in health and disease. Acquiring knowledge of the EV biocorona composition, dynamics, stability and structure not only informs the diagnostic and therapeutic translation of EVs but also aids in designing biomimetic nanomaterials for drug delivery.</t>
  </si>
  <si>
    <t>[Yerneni, Saigopalakrishna S.; Solomon, Talia; Campbell, Phil G.] Carnegie Mellon Univ, Dept Biomed Engn, Pittsburgh, PA 15213 USA; [Solomon, Talia] Carnegie Mellon Univ, Dept Chem Engn, Pittsburgh, PA 15213 USA; [Smith, Jason; Campbell, Phil G.] Carnegie Mellon Univ, Engn Res Accelerator, Pittsburgh, PA 15213 USA</t>
  </si>
  <si>
    <t>Carnegie Mellon University; Carnegie Mellon University; Carnegie Mellon University</t>
  </si>
  <si>
    <t>Campbell, PG (corresponding author), Carnegie Mellon Univ, Scott Hall 6115,5000 Forbes Ave, Pittsburgh, PA 15213 USA.</t>
  </si>
  <si>
    <t>pcampbel@cs.cmu.edu</t>
  </si>
  <si>
    <t>0304-4165</t>
  </si>
  <si>
    <t>1872-8006</t>
  </si>
  <si>
    <t>10.1016/j.bbagen.2021.130069</t>
  </si>
  <si>
    <t>WOS:000790088200004</t>
  </si>
  <si>
    <t>Pisetsky, DS; Gauley, J; Ullal, AJ</t>
  </si>
  <si>
    <t>Pisetsky, David S.; Gauley, Julie; Ullal, Anirudh J.</t>
  </si>
  <si>
    <t>Microparticles as a source of extracellular DNA</t>
  </si>
  <si>
    <t>IMMUNOLOGIC RESEARCH</t>
  </si>
  <si>
    <t>Microparticles; DNA; Apoptosis; Systemic lupus erythematosus; Innate immunity</t>
  </si>
  <si>
    <t>MURINE MACROPHAGES; PROTEIN HMGB1; CELLS; RELEASE; AUTOANTIGENS; COMPLEXES; JURKAT</t>
  </si>
  <si>
    <t>Microparticles are small membrane-bound vesicles that display pro-inflammatory and pro-thrombotic activities important in the pathogenesis of a wide variety of diseases. These particles are released from activated and dying cells and incorporate nuclear and cytoplasmic molecules for extracellular export. Of these molecules, DNA is a central autoantigen in systemic lupus erythematosus (SLE). As studies in our laboratory show, DNA occurs prominently in microparticles, translocating into these structures during apoptotic cell death. This DNA is antigenically active and can bind to lupus anti-DNA autoantibodies. These findings suggest that microparticles are an important source of extracellular DNA to serve as an autoantigen and autoadjuvant in SLE.</t>
  </si>
  <si>
    <t>[Pisetsky, David S.; Gauley, Julie; Ullal, Anirudh J.] Durham VAMC, Med Res Serv, Durham, NC 27705 USA; [Pisetsky, David S.; Gauley, Julie; Ullal, Anirudh J.] Duke Univ, Med Ctr, Div Rheumatol &amp; Immunol, Durham, NC 27705 USA; [Pisetsky, David S.; Gauley, Julie; Ullal, Anirudh J.] Duke Univ, Med Ctr, Dept Immunol, Durham, NC 27705 USA</t>
  </si>
  <si>
    <t>Duke University; Duke University</t>
  </si>
  <si>
    <t>Pisetsky, DS (corresponding author), Durham VAMC, Med Res Serv, 151G,508 Fulton St, Durham, NC 27705 USA.</t>
  </si>
  <si>
    <t>piset001@mc.duke.edu</t>
  </si>
  <si>
    <t>Ullal, Anirudh J/G-7378-2011</t>
  </si>
  <si>
    <t>Ullal, Anirudh J/0000-0001-9108-5393</t>
  </si>
  <si>
    <t>0257-277X</t>
  </si>
  <si>
    <t>1559-0755</t>
  </si>
  <si>
    <t>1-3</t>
  </si>
  <si>
    <t>10.1007/s12026-010-8184-8</t>
  </si>
  <si>
    <t>WOS:000288172700020</t>
  </si>
  <si>
    <t>Lee, TH; Chennakrishnaiah, S; Audemard, E; Montermini, L; Meehan, B; Rak, J</t>
  </si>
  <si>
    <t>Lee, Tae Hoon; Chennakrishnaiah, Shilpa; Audemard, Eric; Montermini, Laura; Meehan, Brian; Rak, Janusz</t>
  </si>
  <si>
    <t>Oncogenic ras-driven cancer cell vesiculation leads to emission of double-stranded DNA capable of interacting with target cells</t>
  </si>
  <si>
    <t>Extracellular vesicle; DNA; Oncogene; Ras; Chromatin; Sphingomyelinase</t>
  </si>
  <si>
    <t>FREE NUCLEIC-ACIDS; HORIZONTAL TRANSFER; MEDIATED TRANSFER; GENOMIC DNA; MICROVESICLES; EXOSOMES; COMMUNICATION; MECHANISM; GROWTH; TUMORS</t>
  </si>
  <si>
    <t>Cell free DNA is often regarded as a source of genetic cancer biomarkers, but the related mechanisms of DNA release, composition and biological activity remain unclear. Here we show that rat epithelial cell transformation by the human H-ras oncogene leads to an increase in production of small, exosomal-like extracellular vesicles by viable cancer cells. These EVs contain chromatin-associated double-stranded DNA fragments covering the entire host genome, including full-length H-ras. Oncogenic N-ras and SV40LT sequences were also found in EVs emitted from spontaneous mouse brain tumor cells. Disruption of acidic sphingomyelinase and the p53/Rb pathway did not block emission of EV-related oncogenic DNA. Exposure of non-transformed RAT-1 cells to EVs containing mutant H-ras DNA led to the uptake and retention of this material for an extended (30 days) but transient period of time. and stimulated cell proliferation. Thus, our study suggests that H-ras-mediated transformation stimulates vesicular emission of this histone-bound oncogene, which may interact with non-transformed cells. (C) 2014 Elsevier Inc. All rights reserved.</t>
  </si>
  <si>
    <t>[Lee, Tae Hoon; Chennakrishnaiah, Shilpa; Montermini, Laura; Meehan, Brian; Rak, Janusz] McGill Univ, Montreal Childrens Hosp, Res Inst, Ctr Hlth, Montreal, PQ H3H 1P3, Canada; [Audemard, Eric] McGill Univ, Montreal, PQ, Canada; [Audemard, Eric] Genome Quebec Innovat Ctr, Montreal, PQ, Canada</t>
  </si>
  <si>
    <t>McGill University; McGill University</t>
  </si>
  <si>
    <t>Rak, J (corresponding author), Montreal Childrens Hosp, 4060 Ste Catherine West, Montreal, PQ H3Z 2Z3, Canada.</t>
  </si>
  <si>
    <t>Lee, Tae Hoon/0000-0002-4195-1174; Audemard, Eric/0000-0002-1661-896X</t>
  </si>
  <si>
    <t>AUG 22</t>
  </si>
  <si>
    <t>10.1016/j.bbrc.2014.07.109</t>
  </si>
  <si>
    <t>WOS:000348743200022</t>
  </si>
  <si>
    <t>Zhou, ZR; Chen, X; Lv, J; Li, DW; Yang, CD; Liu, HL; Qian, RC</t>
  </si>
  <si>
    <t>Zhou, Ze-Rui; Chen, Xia; Lv, Jian; Li, Da-Wei; Yang, Cheng-De; Liu, Hong-Lei; Qian, Ruo-Can</t>
  </si>
  <si>
    <t>A plasmonic nanoparticle-embedded polydopamine substrate for fluorescence detection of extracellular vesicle biomarkers in serum and urine from patients with systemic lupus erythematosus</t>
  </si>
  <si>
    <t>Extracellular vesicle; Polydopamine; Liquid biopsy; Plasmonic nanoparticle; Systemic lupus erythematosus</t>
  </si>
  <si>
    <t>INTRACELLULAR TELOMERASE; EXOSOMES; DNA; DELIVERY; RNA; MICROVESICLES; CHEMOKINES; APTAMER; LIGHT; MIRNA</t>
  </si>
  <si>
    <t>There is an unmet clinical need to develop noninvasive liquid biopsy tools for systemic lupus erythematosus (SLE) diagnosis and therapeutic effect evaluation. Extracellular vesicles (EVs), which are abundant in body fluids, have emerged as a valuable resource for liquid biopsy. Herein, we describe a simple and robust EV detection platform that is based on a plasmonic nanoparticle-embedded polydopamine substrate that is modified with EVcapture molecules and detection probes. We investigated three EV biomarkers, namely, programmed cell death protein-1 (PD-1), microRNA-146a (miRNA-146a) and sialic acid (SA), in serum and urine from SLE patients and healthy controls. This platform prevents complex pretreatment while enabling highly efficient EV capture to the substrate surface, and the multiple functionalization of the detection interface with specific biomarker probes enables simultaneous detection of PD-1, miRNA-146a and SA that are carried by EVs via fluorescence (FL) imaging at the single-vesicle level. Via comparison of EV biomarker profiles, SLE patients can be distinguished from normal controls and classified into treated and untreated groups. Due to its ease of preparation, simplicity and stability, our approach shows good potential in the design of EV-based biosensors for clinical use.</t>
  </si>
  <si>
    <t>[Zhou, Ze-Rui; Lv, Jian; Li, Da-Wei; Qian, Ruo-Can] East China Univ Sci &amp; Technol, Key Lab Adv Mat, Joint Int Lab Precis Chem, Shanghai 200237, Peoples R China; [Zhou, Ze-Rui; Lv, Jian; Li, Da-Wei; Qian, Ruo-Can] East China Univ Sci &amp; Technol, Sch Chem &amp; Mol Engn, Shanghai 200237, Peoples R China; [Chen, Xia; Yang, Cheng-De; Liu, Hong-Lei] Shanghai Jiao Tong Univ, Dept Rheumatol &amp; Immunol, Ruijin Hosp, Med Sch Affiliated, Shanghai 200020, Peoples R China</t>
  </si>
  <si>
    <t>East China University of Science &amp; Technology; East China University of Science &amp; Technology; Shanghai Jiao Tong University</t>
  </si>
  <si>
    <t>Qian, RC (corresponding author), East China Univ Sci &amp; Technol, Key Lab Adv Mat, Joint Int Lab Precis Chem, Shanghai 200237, Peoples R China.;Qian, RC (corresponding author), East China Univ Sci &amp; Technol, Sch Chem &amp; Mol Engn, Shanghai 200237, Peoples R China.;Liu, HL (corresponding author), Shanghai Jiao Tong Univ, Dept Rheumatol &amp; Immunol, Ruijin Hosp, Med Sch Affiliated, Shanghai 200020, Peoples R China.</t>
  </si>
  <si>
    <t>hong-lei-liu@163.com; ruocanqian@ecust.edu.cn</t>
  </si>
  <si>
    <t>Qian, Ruocan/0000-0002-1039-9866</t>
  </si>
  <si>
    <t>10.1016/j.talanta.2022.123620</t>
  </si>
  <si>
    <t>WOS:000808517500004</t>
  </si>
  <si>
    <t>Guo, YH; Cao, QH; Feng, QM</t>
  </si>
  <si>
    <t>Guo, Yuehua; Cao, Qihang; Feng, Qiumei</t>
  </si>
  <si>
    <t>Catalytic hairpin assembly-triggered DNA walker for electrochemical sensing of tumor exosomes sensitized with Ag@C core-shell nanocomposites</t>
  </si>
  <si>
    <t>Electrochemical detection; Exosomes; DNA walker; Ag@C; Multi-signal amplification</t>
  </si>
  <si>
    <t>CARBON SPHERES; METHYLTRANSFERASE; NANOSHEETS; BIOSENSOR; PLATFORM; SENSOR</t>
  </si>
  <si>
    <t>The detection of a small number of exosomes provides the possibility for early cancer diagnosis and prognosis. Here, a multi-signal amplified electrochemical sensing platform was explored for the ultrasensitive detection of tumor exosomes relying on catalytic hairpin assembly-triggered DNA walker, entropy beacon-based DNA assembly and Ag@C core-shell nanocomposites. In this work, the utilization of Ag@C nanocomposites as electrode interface effectively enhanced functional active sites and electron transfer capability. By designing a target-assisted entropy beacon-based DNA assembly, single exosome initiated the release of multiple special DNA sequences, which could be separated conveniently by magnet and then hybridize with the blocking DNA to liberate swing arm. DNA walker was activated with the assistance of catalytic hairpin assembly, introducing extensive electroactive methylene blue (MB) to electrode surface. Thus, the detection of exosomes was transferred into the measurement of the MB current, with a good liner range from 100 to 75 000 particles/mu L. Furthermore, this constructed sensing system displayed acceptable reproducibility, long-term stability, favorable selectivity, and highlighting application potential in real samples. (C) 2020 Elsevier B.V. All rights reserved.</t>
  </si>
  <si>
    <t>[Guo, Yuehua] Nantong Univ, Affiliated Hosp, Res Ctr Clin Med, Nantong 226001, Peoples R China; [Cao, Qihang; Feng, Qiumei] Jiangsu Normal Univ, Sch Chem &amp; Mat Sci, Xuzhou 221116, Jiangsu, Peoples R China</t>
  </si>
  <si>
    <t>Feng, QM (corresponding author), Jiangsu Normal Univ, Sch Chem &amp; Mat Sci, Xuzhou 221116, Jiangsu, Peoples R China.</t>
  </si>
  <si>
    <t>fengqiumei@jsnu.edu.cn</t>
  </si>
  <si>
    <t>10.1016/j.aca.2020.08.036</t>
  </si>
  <si>
    <t>WOS:000579813800007</t>
  </si>
  <si>
    <t>Arance, E; Ramirez, V; Rubio-Roldan, A; Ocana-Peinado, FM; Romero-Cachinero, C; Jodar-Reyes, AB; Vazquez-Alonso, F; Martinez-Gonzalez, LJ; Alvarez-Cubero, MJ</t>
  </si>
  <si>
    <t>Arance, Elena; Ramirez, Viviana; Rubio-Roldan, Alejandro; Ocana-Peinado, Francisco M.; Romero-Cachinero, Catalina; Jodar-Reyes, Ana Belen; Vazquez-Alonso, Fernando; Martinez-Gonzalez, Luis Javier; Alvarez-Cubero, Maria Jesus</t>
  </si>
  <si>
    <t>Determination of Exosome Mitochondrial DNA as a Biomarker of Renal Cancer Aggressiveness</t>
  </si>
  <si>
    <t>biomarker; extracellular vesicles; exosome; mitochondrial DNA; renal cancer</t>
  </si>
  <si>
    <t>COPY-NUMBER VARIATION; POTENTIAL BIOMARKER; BLOOD</t>
  </si>
  <si>
    <t>Simple Summary Components of liquid biopsy are potential non-invasive biomarkers for monitoring renal cell carcinoma (RCC) status. The aim of our study was to examine mitochondrial genes (such as HV1 and CYB) included in exosomal fractions as promising and innovative biomarkers in RCC. We found that phase C containing different types of vesicles and phase F rich in exosomes with a high mitochondrial DNA (mtDNA) content could be considered as powerful biomarkers for susceptibility to RCC. Interestingly, mtDNA was a good genetic marker when aggressiveness was evaluated. Here, the role of non-invasive biomarkers in liquid biopsy was evaluated, mainly in exosomes and mitochondrial DNA (mtDNA) as promising, novel, and stable biomarkers for renal cell carcinoma (RCC). A total of 140 fractions (named from B to F) obtained by ultracentrifugations of whole blood samples from 28 individuals (13 patients and 15 controls) were included. Nanoparticle Tracking Analysis (NTA) was conducted to characterized exosomal fraction. Subsequently, an analysis of digital PCR (dPCR) using the QuantStudio (TM) 3D Digital PCR platform was performed and the quantification of mtDNA copy number by QuantStudioTM 12K Flex Real-Time PCR System (qPCR) was developed. Moreover, Next Generation Sequencing (NGS) analyses were included using MiSeq system (Illumina, San Diego, CA, USA). An F fraction, which contains all exosome data and all mitochondrial markers, was identified in dPCR and qPCR with statistically significant power (adjusted p values &lt;= 0.03) when comparing cases and controls. Moreover, present analysis in mtDNA showed a relevant significance in RCC aggressiveness. To sum up, this is the first time a relation between exosomal mtDNA markers and clinical management of RCC is analyzed. We suggest a promising strategy for future liquid biopsy RCC analysis, although more analysis should be performed prior to application in routine clinical practice.</t>
  </si>
  <si>
    <t>[Arance, Elena; Ramirez, Viviana; Rubio-Roldan, Alejandro; Martinez-Gonzalez, Luis Javier] Univ Granada, GENYO Ctr Genom &amp; Oncol Res, Pfizer, Andalusian Reg Govt,PTS Granada, Ave Ilustrac 114, Granada 18016, Spain; [Ocana-Peinado, Francisco M.] Univ Granada, Dept Stat &amp; Operat Res, Granada 18071, Spain; [Romero-Cachinero, Catalina] Univ Hosp Virgen de las Nieves, Nursery Dept, Ave Fuerzas Armadas 2, Granada 18014, Spain; [Jodar-Reyes, Ana Belen] Univ Granada, Sch Sci, Excellence Res Unit Modeling Nat MNat, Biocolloid &amp; Fluid Phys Grp,Dept Appl Phys, Granada 18071, Spain; [Vazquez-Alonso, Fernando] Univ Hosp Virgen de las Nieves, Dept Urol, Ave Fuerzas Armadas 2, Granada 18014, Spain; [Alvarez-Cubero, Maria Jesus] Univ Granada, Fac Med, PTS Granada, Dept Biochem &amp; Mol Biol 3, Granada 18016, Spain; [Alvarez-Cubero, Maria Jesus] Inst Invest Biosanitaria Ibs GRANADA, Granada 18014, Spain</t>
  </si>
  <si>
    <t>Pfizer; University of Granada; University of Granada; Hospital Universitario Virgen de las Nieves; University of Granada; Hospital Universitario Virgen de las Nieves; University of Granada</t>
  </si>
  <si>
    <t>Martinez-Gonzalez, LJ (corresponding author), Univ Granada, GENYO Ctr Genom &amp; Oncol Res, Pfizer, Andalusian Reg Govt,PTS Granada, Ave Ilustrac 114, Granada 18016, Spain.</t>
  </si>
  <si>
    <t>elena.arance@genyo.es; vivianarl@ugr.es; alejandro.rubio@genyo.es; fmocan@ugr.es; caroca23.cr@gmail.com; ajodar@ugr.es; fvazquezalonso@gmail.com; uisjavier.martinez@genyo.es; mjesusac@ugr.es</t>
  </si>
  <si>
    <t>Rubio-Roldan, Alejandro/ADN-4329-2022; Ramírez, Viviana/AGD-3631-2022; Reyes, Ana Belén Jódar/AAE-5075-2022; Reyes, Ana Belén Jódar/I-3333-2016; Martinez-Gonzalez, Luis Javier/L-6136-2014</t>
  </si>
  <si>
    <t>Ramírez, Viviana/0000-0003-4786-0027; Reyes, Ana Belén Jódar/0000-0002-6136-7477; Reyes, Ana Belén Jódar/0000-0002-6136-7477; Martinez-Gonzalez, Luis Javier/0000-0003-2202-0662; Rubio Roldan, Alejandro/0000-0002-6775-4013; ARANCE CRIADO, ELENA/0000-0003-0963-079X; Alvarez Cubero, MARIA JESUS/0000-0002-5492-9355</t>
  </si>
  <si>
    <t>10.3390/cancers14010199</t>
  </si>
  <si>
    <t>WOS:000741165300001</t>
  </si>
  <si>
    <t>Leal, AC; Mizurini, DM; Gomes, T; Rochael, NC; Saraiva, EM; Dias, MS; Werneck, CC; Sielski, MS; Vicente, CP; Monteiro, RQ</t>
  </si>
  <si>
    <t>Leal, Ana C.; Mizurini, Daniella M.; Gomes, Taina; Rochael, Natalia C.; Saraiva, Elvira M.; Dias, Marcos S.; Werneck, Claudio C.; Sielski, Micheli S.; Vicente, Cristina P.; Monteiro, Robson Q.</t>
  </si>
  <si>
    <t>Tumor-Derived Exosomes Induce the Formation of Neutrophil Extracellular Traps: Implications For The Establishment of Cancer-Associated Thrombosis</t>
  </si>
  <si>
    <t>PEPTIDYLARGININE DEIMINASE INHIBITION; HIGHLY PROCOAGULANT PATTERN; DEEP-VEIN THROMBOSIS; TISSUE FACTOR; INNATE IMMUNITY; VENOUS THROMBOSIS; PROMOTE; MICROPARTICLES; COAGULATION; MICROVESICLES</t>
  </si>
  <si>
    <t>Cancer patients are at an increased risk of developing thromboembolic complications. Several mechanisms have been proposed to explain cancer-associated thrombosis including the release of tumor-derived extracellular vesicles and the activation of host vascular cells. It was proposed that neutrophil extracellular traps (NETs) contribute to the prothrombotic phenotype in cancer. In this study, we evaluated the possible cooperation between tumor-derived exosomes and NETs in cancer-associated thrombosis. Female BALB/c mice were orthotopically injected with 4T1 breast cancer cells. The tumor-bearing animals exhibited increased levels of plasma DNA and myeloperoxidase in addition to significantly increased numbers of circulating neutrophils. Mice were subjected to either Rose Bengal/laser-induced venous thrombosis or ferric chloride-induced arterial thrombosis models. The tumor-bearing mice exhibited accelerated thrombus formation in both models compared to tumor-free animals. Treatment with recombinant human DNase 1 reversed the prothrombotic phenotype of tumor-bearing mice in both models. Remarkably, 4T1-derived exosomes induced NET formation in neutrophils from mice treated with granulocyte colony-stimulating factor (G-CSF). In addition, tumor-derived exosomes interacted with NETs under static conditions. Accordingly, the intravenous administration of 4T1-derived exosomes into G-CSF-treated mice significantly accelerated venous thrombosis in vivo. Taken together, our observations suggest that tumor-derived exosomes and neutrophils may act cooperatively in the establishment of cancer-associated thrombosis.</t>
  </si>
  <si>
    <t>[Leal, Ana C.; Mizurini, Daniella M.; Gomes, Taina; Monteiro, Robson Q.] Univ Fed Rio de Janeiro, Inst Med Biochem Leopoldo de Meis, Rio De Janeiro, Brazil; [Rochael, Natalia C.; Saraiva, Elvira M.] Univ Fed Rio de Janeiro, Inst Microbiol Paulo de Goes, Dept Immunol, Rio De Janeiro, RJ, Brazil; [Dias, Marcos S.] AC Camargo Canc Ctr, Int Res Ctr, Sao Paulo, Brazil; [Werneck, Claudio C.] Univ Estadual Campinas, Inst Biol, Dept Biochem &amp; Tissue Biol, Sao Paulo, Brazil; [Sielski, Micheli S.; Vicente, Cristina P.] Univ Estadual Campinas, Inst Biol, Dept Struct &amp; Funct Biol, Sao Paulo, Brazil</t>
  </si>
  <si>
    <t>Universidade Federal do Rio de Janeiro; Universidade Federal do Rio de Janeiro; A.C.Camargo Cancer Center; Universidade de Sao Paulo; Universidade Estadual de Campinas; Universidade de Sao Paulo; Universidade Estadual de Campinas</t>
  </si>
  <si>
    <t>Monteiro, RQ (corresponding author), Univ Fed Rio de Janeiro, Inst Med Biochem Leopoldo de Meis, Rio De Janeiro, Brazil.</t>
  </si>
  <si>
    <t>robsonqm@bioqmed.ufrj.br</t>
  </si>
  <si>
    <t>Gomes, Taina/G-1092-2018; de Queiroz Monteiro, Robson/M-7097-2019; Vicente, Cristina/D-8928-2012; Werneck, Claudio C/C-7568-2012; Saraiva, Elvira M/L-2864-2017; DE QUEIROZ MONTEIRO, ROBSON/B-8007-2014</t>
  </si>
  <si>
    <t>Gomes, Taina/0000-0003-3987-2490; de Queiroz Monteiro, Robson/0000-0002-5260-2332; Vicente, Cristina/0000-0001-9896-4630; Werneck, Claudio C/0000-0002-9413-0572; Saraiva, Elvira M/0000-0002-6388-5286; Severo Sielski, Micheli/0000-0002-6682-7954</t>
  </si>
  <si>
    <t>JUL 25</t>
  </si>
  <si>
    <t>10.1038/s41598-017-06893-7</t>
  </si>
  <si>
    <t>WOS:000406281400003</t>
  </si>
  <si>
    <t>Nanou, A; Crespo, M; Flohr, P; De Bono, JS; Terstappen, LWMM</t>
  </si>
  <si>
    <t>Nanou, Afroditi; Crespo, Mateus; Flohr, Penny; De Bono, Johann S.; Terstappen, Leon W. M. M.</t>
  </si>
  <si>
    <t>Scanning Electron Microscopy of Circulating Tumor Cells and Tumor-Derived Extracellular Vesicles</t>
  </si>
  <si>
    <t>scanning electron microscopy (SEM); circulating tumor cell (CTC); tumor-derived extracellular vesicle (tdEV); ferrofluid; CellSearch; microsieves</t>
  </si>
  <si>
    <t>PERIPHERAL-BLOOD; PREDICT SURVIVAL; CANCER; PROGRESSION; APOPTOSIS; CAPTURE; DEVICE; IMPACT</t>
  </si>
  <si>
    <t>To explore morphological features of circulating tumor cells (CTCs) and tumor-derived extracellular vesicles (tdEVs), we developed a protocol for scanning electron microscopy (SEM) of CTCs and tdEVs. CTCs and tdEVs were isolated by immunomagnetic enrichment based on their Epithelial Cell Adhesion Molecule (EpCAM) expression or by physical separation through 5 mu m microsieves from 7.5 mL of blood from Castration-Resistant Prostate Cancer (CRPC) patients. Protocols were optimized using blood samples of healthy donors spiked with PC3 and LNCaP cell lines. CTCs and tdEVs were identified among the enriched cells by fluorescence microscopy. The positions of DNA+, CK+, CD45- CTCs and DNA-, CK+, CD45- tdEVs on the CellSearch cartridges and microsieves were recorded. After gradual dehydration and chemical drying, the regions of interest were imaged by SEM. CellSearch CTCs retained their morphology revealing various shapes, some of which were clearly associated with CTCs undergoing apoptosis. The ferrofluid was clearly distinguishable, shielding major portions of all isolated objects. CTCs and leukocytes on microsieves were clearly visible, but revealed physical damage attributed to the physical forces that cells exhibit while entering one or multiple pores. tdEVs could not be identified on the microsieves as they passed through the pores. Insights on the underlying mechanism of each isolation technique could be obtained. Complete detailed morphological characteristics of CTCs are, however, masked by both techniques.</t>
  </si>
  <si>
    <t>[Nanou, Afroditi; Terstappen, Leon W. M. M.] Univ Twente, Dept Med Cell BioPhys, NL-7522 NH Enschede, Netherlands; [Crespo, Mateus; Flohr, Penny; De Bono, Johann S.] Inst Canc Res, Div Clin Studies, London SM2 5NG, England; [De Bono, Johann S.] Royal Marsden NHS Fdn Trust, Prostate Canc Targeted Therapy Grp, London SM2 5PT, England</t>
  </si>
  <si>
    <t>University of Twente; Royal Marsden NHS Foundation Trust; University of London; Institute of Cancer Research - UK; Royal Marsden NHS Foundation Trust</t>
  </si>
  <si>
    <t>Nanou, A; Terstappen, LWMM (corresponding author), Univ Twente, Dept Med Cell BioPhys, NL-7522 NH Enschede, Netherlands.</t>
  </si>
  <si>
    <t>a.nanou@utwente.nl; Mateus.Crespo@icr.ac.uk; Penny.Flohr@icr.ac.uk; Johann.DeBono@icr.ac.uk; l.w.m.m.terstappen@utwente.nl</t>
  </si>
  <si>
    <t>Nanou, Afroditi/ABA-4824-2021; terstappen, leon/O-4923-2018</t>
  </si>
  <si>
    <t>terstappen, leon/0000-0001-5944-3787; Nanou, Afroditi/0000-0002-8682-3133; de Bono, Johann S/0000-0002-2034-595X; Crespo, Mateus/0000-0003-4043-8296</t>
  </si>
  <si>
    <t>10.3390/cancers10110416</t>
  </si>
  <si>
    <t>WOS:000451307700023</t>
  </si>
  <si>
    <t>Jones, E; Stentz, R; Telatin, A; Savva, GM; Booth, C; Baker, D; Rudder, S; Knight, SC; Noble, A; Carding, SR</t>
  </si>
  <si>
    <t>Jones, Emily; Stentz, Regis; Telatin, Andrea; Savva, George M.; Booth, Catherine; Baker, David; Rudder, Steven; Knight, Stella C.; Noble, Alistair; Carding, Simon R.</t>
  </si>
  <si>
    <t>The Origin of Plasma-Derived Bacterial Extracellular Vesicles in Healthy Individuals and Patients with Inflammatory Bowel Disease: A Pilot Study</t>
  </si>
  <si>
    <t>extracellular vesicles; gut bacteria; inflammatory bowel disease; dysbiosis; microbiota; plasma; 16S rRNA</t>
  </si>
  <si>
    <t>OUTER-MEMBRANE VESICLES; GUT MICROBIOTA; BIOGENESIS; COMMENSALS</t>
  </si>
  <si>
    <t>The gastrointestinal tract harbors the gut microbiota, structural alterations of which (dysbiosis) are linked with an increase in gut permeability ( leaky gut ), enabling luminal antigens and bacterial products such as nanosized bacterial extracellular vesicles (BEVs) to access the circulatory system. Blood-derived BEVs contain various cargoes and may be useful biomarkers for diagnosis and monitoring of disease status and relapse in conditions such as inflammatory bowel disease (IBD). To progress this concept, we developed a rapid, cost-effective protocol to isolate BEV-associated DNA and used 16S rRNA gene sequencing to identify bacterial origins of the blood microbiome of healthy individuals and patients with Crohn's disease and ulcerative colitis. The 16S rRNA gene sequencing successfully identified the origin of plasma-derived BEV DNA. The analysis showed that the blood microbiota richness, diversity, or composition in IBD, healthy control, and protocol control groups were not significantly distinct, highlighting the issue of 'kit-ome' contamination in low-biomass studies. Our pilot study provides the basis for undertaking larger studies to determine the potential use of blood microbiota profiling as a diagnostic aid in IBD.</t>
  </si>
  <si>
    <t>[Jones, Emily; Stentz, Regis; Telatin, Andrea; Savva, George M.; Baker, David; Rudder, Steven; Carding, Simon R.] Quadram Inst, Gut Microbes &amp; Hlth Res Programme, Norwich Res Pk, Norwich NR4 7UQ, Norfolk, England; [Booth, Catherine] Quadram Inst, Core Sci Resources, Norwich Res Pk, Norwich NR4 7UQ, Norfolk, England; [Knight, Stella C.; Noble, Alistair] Imperial Coll London, Antigen Presentat Res Grp, Northwick Pk &amp; St Marks Hosp Campus, Harrow HA1 3UJ, Middx, England; [Carding, Simon R.] Univ East Anglia, Norwich Med Sch, Norwich NR4 7TJ, Norfolk, England; [Noble, Alistair] Pirbright Inst, Woking GU24 ONF, Surrey, England</t>
  </si>
  <si>
    <t>UK Research &amp; Innovation (UKRI); Biotechnology and Biological Sciences Research Council (BBSRC); Quadram Institute; UK Research &amp; Innovation (UKRI); Biotechnology and Biological Sciences Research Council (BBSRC); Quadram Institute; Imperial College London; University of East Anglia; UK Research &amp; Innovation (UKRI); Biotechnology and Biological Sciences Research Council (BBSRC); Pirbright Institute</t>
  </si>
  <si>
    <t>Carding, SR (corresponding author), Quadram Inst, Gut Microbes &amp; Hlth Res Programme, Norwich Res Pk, Norwich NR4 7UQ, Norfolk, England.;Carding, SR (corresponding author), Univ East Anglia, Norwich Med Sch, Norwich NR4 7TJ, Norfolk, England.</t>
  </si>
  <si>
    <t>emily.jones@quadram.ac.uk; regis.stentz@quadram.ac.uk; andrea.telatin@quadram.ac.uk; george.savva@quadram.ac.uk; catherine.booth@quadram.ac.uk; david.baker@quadram.ac.uk; steven.rudder@quadram.ac.uk; s.knight@imperial.ac.uk; alistair.noble@pirbright.ac.uk; simon.carding@quadram.ac.uk</t>
  </si>
  <si>
    <t>Telatin, Andrea/I-7438-2013</t>
  </si>
  <si>
    <t>Telatin, Andrea/0000-0001-7619-281X; Noble, Alistair/0000-0003-3936-1789; Baker, David/0000-0003-2126-7436; Carding, Simon/0000-0002-2383-9701; Rudder, Steven/0000-0003-0050-9037</t>
  </si>
  <si>
    <t>10.3390/genes12101636</t>
  </si>
  <si>
    <t>WOS:000716111300001</t>
  </si>
  <si>
    <t>Li, HL; Xing, S; Xu, JH; He, Y; Lai, YZ; Wang, Y; Zhang, G; Guo, SH; Deng, M; Zeng, MS; Liu, WL</t>
  </si>
  <si>
    <t>Li, Huilan; Xing, Shan; Xu, Jianhua; He, Yi; Lai, Yanzhen; Wang, Yu; Zhang, Ge; Guo, Songhe; Deng, Min; Zeng, Musheng; Liu, Wanli</t>
  </si>
  <si>
    <t>Aptamer-based CRISPR/Cas12a assay for the ultrasensitive detection of extracellular vesicle proteins</t>
  </si>
  <si>
    <t>Tumor-derived extracellular vesicles; CRISPR/Cas12a; Aptamer; Nasopharyngeal carcinoma; CD109; EGFR</t>
  </si>
  <si>
    <t>CAS12A; CD109</t>
  </si>
  <si>
    <t>Tumor-derived extracellular vesicles (TEVs) have emerged as promising sources of diagnostic and prognostic biomarkers for nasopharyngeal carcinoma (NPC). However, the lack of high-sensitivity analytic methods for ultratrace membrane proteins on TEVs hamper their clinical application of TEVs. Herein, by combining aptamers that specifically bind to protein targets on TEVs, PCR-based exponential amplification and CRISPR/Cas12a real-time DNA detection, we developed a novel technique, termed the aptamer-CRISPR/Cas12a assay, to detect CD109(+) and EGFR(+) TEVs from cell lines and complex biofluids. The platform enables highly sensitive detection of CD109(+) and EGFR(+) TEVs at as low as 100 particles/mL with a linear range spanning 6 orders of magnitude (10(2)-10(8) particles/mL), which was found to be sufficient to effectively detect TEV proteins directly in low-volume (50 mu l) samples. Furthermore, clinical serum sample analysis verified that the combination of serum CD109(+) and EGFR(+) TEV levels yielded high diagnostic accuracy, with an AUC of 0.934 (95% CI: 0.868-1.000), a sensitivity of 84.1% and a specificity of 85.0%, in discriminating NPC from healthy controls. Moreover, the dramatic decrease in both biomarkers in responders after radiotherapy indicated their potential roles in radiotherapy surveillance. Given that the aptamer-CRISPR/Cas12a assay rapidly and conveniently detects ultralow concentrations of CD109(+) and EGFR(+) TEVs directly in serum, it could be useful in NPC diagnosis and prognosis.</t>
  </si>
  <si>
    <t>[Li, Huilan; Xing, Shan; He, Yi; Lai, Yanzhen; Wang, Yu; Liu, Wanli] Sun Yat Sen Univ, Collaborat Innovat Ctr Canc Med,Canc Ctr, State Key Lab Oncol South China,Dept Clin Lab, Guangdong Key Lab Nasopharyngeal Carcinoma Diag &amp;, 651 Dongfeng Rd East, Guangzhou 510060, Peoples R China; [Xu, Jianhua] Guangzhou Univ Chinese Med, ShunDe Hosp, Lab Oncol Sci &amp; Mol Biol, 12 Jinsha Ave, Foshan 528333, Peoples R China; [Lai, Yanzhen] Heyuan Peoples Hosp, Heyuan, Peoples R China; [Zhang, Ge; Guo, Songhe] Sun Yat Sen Univ, Sch Pharmaceut Sci, 132 Waihuandong Rd, Guangzhou 510006, Peoples R China; [Deng, Min] Guangzhou Med Univ, Affiliated Canc Hosp &amp; Inst, 78 Hengzhigang Rd, Guangzhou 510095, Peoples R China; [Zeng, Musheng] Sun Yat Sen Univ, Collaborat Innovat Ctr Canc Med,Canc Ctr, Dept Expt Res,State Key Lab Oncol South China, Guangdong Key Lab Nasopharyngeal Carcinoma Diag &amp;, 651 Dongfeng Rd East, Guangzhou 510060, Peoples R China</t>
  </si>
  <si>
    <t>State Key Lab Oncology South China; Sun Yat Sen University; Guangzhou University of Chinese Medicine; Southern Medical University - China; Sun Yat Sen University; Guangzhou Medical University; State Key Lab Oncology South China; Sun Yat Sen University</t>
  </si>
  <si>
    <t>Liu, WL (corresponding author), Sun Yat Sen Univ, Collaborat Innovat Ctr Canc Med,Canc Ctr, State Key Lab Oncol South China,Dept Clin Lab, Guangdong Key Lab Nasopharyngeal Carcinoma Diag &amp;, 651 Dongfeng Rd East, Guangzhou 510060, Peoples R China.;Deng, M (corresponding author), Guangzhou Med Univ, Affiliated Canc Hosp &amp; Inst, 78 Hengzhigang Rd, Guangzhou 510095, Peoples R China.;Zeng, MS (corresponding author), Sun Yat Sen Univ, Collaborat Innovat Ctr Canc Med,Canc Ctr, Dept Expt Res,State Key Lab Oncol South China, Guangdong Key Lab Nasopharyngeal Carcinoma Diag &amp;, 651 Dongfeng Rd East, Guangzhou 510060, Peoples R China.</t>
  </si>
  <si>
    <t>dengmin510095@163.com; zengmsh@sysucc.org.cn; liuiwl@sysucc.org.cn</t>
  </si>
  <si>
    <t>10.1016/j.talanta.2020.121670</t>
  </si>
  <si>
    <t>WOS:000579910600132</t>
  </si>
  <si>
    <t>Longatti, A; Schindler, C; Collinson, A; Jenkinson, L; Matthews, C; Fitzpatrick, L; Blundy, M; Minter, R; Vaughan, T; Shaw, M; Tigue, N</t>
  </si>
  <si>
    <t>Longatti, Andrea; Schindler, Christina; Collinson, Andie; Jenkinson, Lesley; Matthews, Carl; Fitzpatrick, Laura; Blundy, Margaret; Minter, Ralph; Vaughan, Tristan; Shaw, Michael; Tigue, Natalie</t>
  </si>
  <si>
    <t>High affinity single-chain variable fragments are specific and versatile targeting motifs for extracellular vesicles</t>
  </si>
  <si>
    <t>BREAST-CANCER CELLS; STRUCTURED ILLUMINATION MICROSCOPY; IN-VITRO; DRUG-DELIVERY; LACTADHERIN BINDS; DENDRITIC CELLS; MESSENGER-RNAS; LUNG-CANCER; EXOSOMES; EXPRESSION</t>
  </si>
  <si>
    <t>Exosomes are extracellular vesicles that mediate cell-to-cell communication by transferring biological cargo, such as DNA, RNA and proteins. Through genetic engineering of exosome-producing cells or manipulation of purified exosomes, it is possible to load exosomes with therapeutic molecules and target them to specific cells via the display of targeting moieties on their surface. This provides an opportunity to exploit a naturally-occurring biological process for therapeutic purposes. In this study, we explored the potential of single chain variable fragments (scFv) as targeting domains to achieve delivery of exosomes to cells expressing a cognate antigen. We generated exosomes targeting the Her2 receptor and, by varying the affinity of the scFvs and the Her2 expression level on recipient cells, we determined that both a high affinity anti-Her2-scFv (K-D &lt;= 1 nM) and cells expressing a high level (&gt;= 10(6) copies per cell) of Her2 were optimally required to enable selective uptake. We also demonstrate that targeting exosomes to cells via a specific cell surface receptor can alter their intracellular trafficking route, providing opportunities to influence the efficiency of delivery and fate of intracellular cargo. These experiments provide solid data to support the wider application of exosomes displaying antibody fragments as vehicles for the targeted delivery of therapeutic molecules.</t>
  </si>
  <si>
    <t>[Longatti, Andrea; Schindler, Christina; Collinson, Andie; Jenkinson, Lesley; Matthews, Carl; Fitzpatrick, Laura; Minter, Ralph; Vaughan, Tristan; Tigue, Natalie] MedImmune Ltd, Dept Antibody Discovery &amp; Prot Engn, Granta Pk, Cambridge CB21 6GH, England; [Blundy, Margaret] MedImmune Ltd, Core Tissue Culture, Granta Pk, Cambridge CB21 6GH, England; [Shaw, Michael] Natl Phys Lab, Teddington TW11 0LW, Middx, England; [Shaw, Michael] UCL, Dept Comp Sci, London WC1 6BT, England</t>
  </si>
  <si>
    <t>AstraZeneca; Medimmune; AstraZeneca; Medimmune; National Physical Laboratory - UK; University of London; University College London</t>
  </si>
  <si>
    <t>Tigue, N (corresponding author), MedImmune Ltd, Dept Antibody Discovery &amp; Prot Engn, Granta Pk, Cambridge CB21 6GH, England.</t>
  </si>
  <si>
    <t>tiguen@medimmune.com</t>
  </si>
  <si>
    <t>Shaw, Michael J/J-1064-2014</t>
  </si>
  <si>
    <t>Shaw, Michael J/0000-0001-6099-3217; FitzPatrick, Laura/0000-0002-4879-612X; Tigue, Natalie/0000-0001-9916-0255</t>
  </si>
  <si>
    <t>10.1039/c8nr03970d</t>
  </si>
  <si>
    <t>WOS:000443633600047</t>
  </si>
  <si>
    <t>Mork, M; Andreasen, JJ; Rasmussen, LH; Lip, GYH; Pedersen, S; Baek, R; Jorgensen, MM; Kristensen, SR</t>
  </si>
  <si>
    <t>Mork, Morten; Andreasen, Jan J.; Rasmussen, Lars H.; Lip, Gregory Y. H.; Pedersen, Shona; Baek, Rikke; Jorgensen, Malene M.; Kristensen, Soren R.</t>
  </si>
  <si>
    <t>Elevated blood plasma levels of tissue factor-bearing extracellular vesicles in patients with atrial fibrillation</t>
  </si>
  <si>
    <t>Atrial fibrillation; Extracellular vesicles; Tissue factor; Thrombogenicity; Left atrial appendage</t>
  </si>
  <si>
    <t>NANOPARTICLE TRACKING ANALYSIS; PLATELET MICROPARTICLE LEVELS; PROTHROMBOTIC STATE; THROMBOSIS; APPENDAGE; PROTEIN</t>
  </si>
  <si>
    <t>Background: The risk of thrombus formation in the left atrial appendage (LAA) in patients with atrial fibrillation (AF) may result from blood stasis, local endocardial changes, and/or changed blood composition. Extracellular vesicles (EVs), especially subtypes exposing tissue factor (TF), have procoagulant capacity. We hypothesized that blood concentrations of TF-bearing EVs and other procoagulant biomarkers are elevated in AF patients, particularly in the LAA lumen. Methods: From 13 AF patients and 12 controls a venous blood sample was drawn prior to cardiac surgery. Intraoperatively, venous blood and blood directly from the LAA was drawn. Plasma levels of EVs, including TF- and cell type specific antigen-bearing EVs, were measured using a protein microarray platform. Plasma levels of TF, von Willebrand factor (vWF), cell free deoxyribonucleic acid (cf-DNA), procoagulant phospholipids (PPLs), and total submicron particles were also evaluated. Results: Significantly higher EV levels, including a several-fold higher median level of TF-bearing EVs were measured in AF patients compared with controls. Median concentrations of TF and vWF were approximately 40% and 30% higher, respectively, in the AF group than in the control group, while no significant differences in levels of cf-DNA, PPLs, or total submicron particles were observed. No significant differences in levels of any of the measured analytes were observed between intraoperative venous and LAA samples. Conclusions: Increased plasma concentrations of TF in AF patients are accompanied and probably at least partly explained by increased levels of TF-bearing EVs, which may be mechanistically involved in increased thrombogenicity in AF patients.</t>
  </si>
  <si>
    <t>[Mork, Morten; Pedersen, Shona; Kristensen, Soren R.] Aalborg Univ Hosp, Dept Clin Biochem, Hobrovej 18-22, DK-9000 Aalborg, Denmark; [Andreasen, Jan J.] Aalborg Univ Hosp, Dept Cardiothorac Surg, Hobrovej 18-22, DK-9000 Aalborg, Denmark; [Andreasen, Jan J.; Rasmussen, Lars H.; Lip, Gregory Y. H.; Pedersen, Shona; Kristensen, Soren R.] Aalborg Univ, Dept Clin Med, Sondre Skovvej 15, DK-9000 Aalborg, Denmark; [Baek, Rikke; Jorgensen, Malene M.] Aalborg Univ Hosp, Dept Clin Immunol, Urbansgade 32, DK-9000 Aalborg, Denmark; [Mork, Morten; Andreasen, Jan J.; Rasmussen, Lars H.; Kristensen, Soren R.] Aalborg Univ Hosp, Aalborg AF Study Grp, Hobrovej 18-22, DK-9000 Aalborg, Denmark; Univ Birmingham, Inst Cardiovasc Sci, Birmingham B15 2TT, W Midlands, England; [Mork, Morten; Pedersen, Shona; Baek, Rikke; Jorgensen, Malene M.; Kristensen, Soren R.] EVsearch Dk, Aalborg, Denmark</t>
  </si>
  <si>
    <t>Aalborg University; Aalborg University; Aalborg University; Aalborg University; Aalborg University; University of Birmingham</t>
  </si>
  <si>
    <t>Mork, M (corresponding author), Aalborg Univ Hosp, Dept Clin Biochem, Hobrovej 18-22, DK-9000 Aalborg, Denmark.</t>
  </si>
  <si>
    <t>morten.moerk@rn.dk; jja@rn.dk; lhr@adm.aau.dk; G.Y.H.Lip@bham.ac.uk; shp@rn.dk; rikke.baek@rn.dk; maljoe@rn.dk; srk@rn.dk</t>
  </si>
  <si>
    <t>Joergensen, Malene/AFS-0738-2022</t>
  </si>
  <si>
    <t>Pedersen, Shona/0000-0001-6636-0293; Jorgensen, Malene Moller/0000-0003-1381-3863</t>
  </si>
  <si>
    <t>10.1016/j.thromres.2018.11.026</t>
  </si>
  <si>
    <t>WOS:000454370700022</t>
  </si>
  <si>
    <t>Martin-Cofreces, NB; Torralba, D; Lozano-Prieto, M; Fernandez-Gallego, N; Sanchez-Madrid, F</t>
  </si>
  <si>
    <t>Turksen, K</t>
  </si>
  <si>
    <t>Martin-Cofreces, Noa B.; Torralba, Daniel; Lozano-Prieto, Marta; Fernandez-Gallego, Nieves; Sanchez-Madrid, Francisco</t>
  </si>
  <si>
    <t>TIRF Microscopy as a Tool to Determine Exosome Composition</t>
  </si>
  <si>
    <t>STEM CELL RENEWAL AND CELL-CELL COMMUNICATION, 2 EDITION: Methods and Protocols</t>
  </si>
  <si>
    <t>Extracellular vesicles; Exosomes; Cell-to-cell communication; T cells; Immune synapse; Microscopy; TIRF</t>
  </si>
  <si>
    <t>Exosomes are extracellular vesicles (EVs) containing different biomolecules with biological activity, such as proteins, miRNA, long noncoding RNA, and DNA. EVs are efficient platforms for intercellular communication, especially during immune responses, but also in some pathological contexts, such as tumor cell growth. The precise assessment of EV content is relevant for the selection of specific vesicles with specialized biological activities, whose content is hardly visualized due to their small size. We describe herein a protocol for the determination of the content of individual EVs through microscopy imaging and user-friendly analysis using TIRF microscopy.</t>
  </si>
  <si>
    <t>[Martin-Cofreces, Noa B.; Torralba, Daniel; Lozano-Prieto, Marta; Fernandez-Gallego, Nieves; Sanchez-Madrid, Francisco] Univ Autonoma Madrid, Inst Invest Sanitaria Princesa IIS IP, Hosp Univ Princesa, Serv Inmunol, Madrid, Spain; [Martin-Cofreces, Noa B.; Torralba, Daniel; Lozano-Prieto, Marta; Fernandez-Gallego, Nieves; Sanchez-Madrid, Francisco] Ctr Nacl Invest Cardiovasc CNIC, Vasc Pathophysiol Area, Madrid, Spain; [Martin-Cofreces, Noa B.; Sanchez-Madrid, Francisco] Ctr Invest Biomed Red Cardiovasc CIBERCV, Madrid, Spain</t>
  </si>
  <si>
    <t>Autonomous University of Madrid; Hospital de La Princesa; Centro Nacional de Investigaciones Cardiovasculares (CNIC); CIBER - Centro de Investigacion Biomedica en Red; CIBERCV</t>
  </si>
  <si>
    <t>Martin-Cofreces, NB (corresponding author), Univ Autonoma Madrid, Inst Invest Sanitaria Princesa IIS IP, Hosp Univ Princesa, Serv Inmunol, Madrid, Spain.;Martin-Cofreces, NB (corresponding author), Ctr Nacl Invest Cardiovasc CNIC, Vasc Pathophysiol Area, Madrid, Spain.;Martin-Cofreces, NB (corresponding author), Ctr Invest Biomed Red Cardiovasc CIBERCV, Madrid, Spain.</t>
  </si>
  <si>
    <t>Martin, Noa/F-3741-2017; Fernández Gallego, Nieves/AAB-8794-2022; Sanchez-Madrid, Francisco/M-7889-2016</t>
  </si>
  <si>
    <t>Martin, Noa/0000-0003-0439-8979; Sanchez-Madrid, Francisco/0000-0001-5303-0762; Fernandez-Gallego Anaya, Nieves/0000-0002-6968-1444</t>
  </si>
  <si>
    <t>978-1-0716-1570-6; 978-1-0716-1569-0</t>
  </si>
  <si>
    <t>10.1007/7651_2020_320</t>
  </si>
  <si>
    <t>10.1007/978-1-0716-1570-6</t>
  </si>
  <si>
    <t>WOS:000707159600010</t>
  </si>
  <si>
    <t>Fricke, F; Mussack, V; Buscilmann, D; Hausser, I; Pfaffl, MW; Kopitz, J; Gebert, J</t>
  </si>
  <si>
    <t>Fricke, Fabia; Mussack, Veronika; Buscilmann, Domintk; Hausser, Ingrid; Pfaffl, Michael W.; Kopitz, Juergen; Gebert, Johannes</t>
  </si>
  <si>
    <t>TGFBR2-dependent alterations of microRNA profiles in extracellular vesicles and parental colorectal cancer cells</t>
  </si>
  <si>
    <t>INTERNATIONAL JOURNAL OF ONCOLOGY</t>
  </si>
  <si>
    <t>extracellular vesicles; exosomes; microRNA; small RNA sequencing; transforming growth factor beta receptor type 2; DNA mismatch repair deficiency; microsatellite instability; colorectal cancer</t>
  </si>
  <si>
    <t>TGF-BETA; COLON-CANCER; MICROSATELLITE INSTABILITY; TUMOR-SUPPRESSOR; POOR-PROGNOSIS; GASTRIC-CANCER; STEM-CELLS; EXPRESSION; INVASION; MIRNA</t>
  </si>
  <si>
    <t>In colorectal cancer (CRC) with microsatellite instability (MSI), &gt;90% of cases are affected by inactivating frameshift mutations of transforming growth factor beta receptor type 2 (TGFBR2). TGFBR2 deficiency is considered to drive MSI tumor progression by abrogating downstream TGF beta signaling. This pathway can alter the expression of coding and non-coding RNAs, including microRNAs (miRNAs), which are also present in extracellular vesicles (EVs) as post transcriptional modulators of gene expression. In our previous study, it was shown that TGFBR2 deficiency alters the protein composition and function of EVs in MSI tumors. To investigate whether mutant TGFBR2 may also affect the miRNA cargo of EVs, the present study characterized miRNAs in EVs and their parental MSI tumor cells that differed only in TGFBR2 expression status. The HCT116-TGFBR2 MSI cell line model enables the doxycycline (dox)- inducible reconstituted expression of TGFBR2 in an isogenic background (-dox, TGFBR2 deficient; +dox, TGFBR2 proficient). Small RNA sequencing of cellular and EV miRNAs showed that the majority of the miRNAs (263/471; 56%) were shared between MSI tumor cells and their EVs. Exploratory data analysis revealed the TGBFR2 dependent cluster separation of miRNA profiles in EVs and MSI tumor cells. This segregation appeared to result from two subsets of miRNAs, the expression of which were regulated in a TGFBR2-dependent manner (EVs: n=10; MSI cells: n=15). In the EV subset, 7/10 miRNAs were downregulated and 3/10 were upregulated by TGFBR2 deficiency. In the cellular subset, 13/15 miRNAs were downregulated and 2/15 miRNAs were upregulated in the TGFBR2-deficient cells. The present study emphasizes the general overlap of miRNA profiles in MSI tumor cells and their EVs, but also highlights the impact of a single tumor driver mutation on the expression of individual miRNAs, as exemplified by the downregulation of miR-381-3p in TGFBR2-deficient MSI tumor cells and their secreted EVs.</t>
  </si>
  <si>
    <t>[Fricke, Fabia; Kopitz, Juergen; Gebert, Johannes] Heidelberg Univ Hosp, Inst Pathol, Dept Appl Tumor Biol, Neuenheimer Feld 224, D-69120 Heidelberg, Germany; [Fricke, Fabia; Kopitz, Juergen; Gebert, Johannes] German Canc Res Ctr, Clin Cooperat Unit Appl Tumor Biol, D-69120 Heidelberg, Germany; [Mussack, Veronika; Buscilmann, Domintk; Pfaffl, Michael W.] Tech Univ Munich, TUM Sch Life Sci Weihenstephan, Dept Anim Physiol &amp; Immunol, D-85354 Freising Weihenstephan, Germany; [Hausser, Ingrid] Heidelberg Univ Hosp, Inst Pathol, EM Lab, D-69120 Heidelberg, Germany</t>
  </si>
  <si>
    <t>Ruprecht Karls University Heidelberg; Helmholtz Association; German Cancer Research Center (DKFZ); Technical University of Munich; Ruprecht Karls University Heidelberg</t>
  </si>
  <si>
    <t>Gebert, J (corresponding author), Heidelberg Univ Hosp, Inst Pathol, Dept Appl Tumor Biol, Neuenheimer Feld 224, D-69120 Heidelberg, Germany.</t>
  </si>
  <si>
    <t>f.fricke@dkfz.de; johannes.gebert@med.uni-heideberg.de</t>
  </si>
  <si>
    <t>Pfaffl, Michael W./G-6622-2013</t>
  </si>
  <si>
    <t>Pfaffl, Michael W./0000-0002-3192-1019; Mussack, Veronika/0000-0002-4539-9313; Buschmann, Dominik/0000-0003-0460-6459</t>
  </si>
  <si>
    <t>1019-6439</t>
  </si>
  <si>
    <t>1791-2423</t>
  </si>
  <si>
    <t>10.3892/ijo.2019.4859</t>
  </si>
  <si>
    <t>WOS:000487279600012</t>
  </si>
  <si>
    <t>Takahashi, A; Okada, R; Nagao, K; Kawamata, Y; Hanyu, A; Yoshimoto, S; Takasugi, M; Watanabe, S; Kanemaki, MT; Obuse, C; Hara, E</t>
  </si>
  <si>
    <t>Takahashi, Akiko; Okada, Ryo; Nagao, Koji; Kawamata, Yuka; Hanyu, Aki; Yoshimoto, Shin; Takasugi, Masaki; Watanabe, Sugiko; Kanemaki, Masato T.; Obuse, Chikashi; Hara, Eiji</t>
  </si>
  <si>
    <t>Exosomes maintain cellular homeostasis by excreting harmful DNA from cells</t>
  </si>
  <si>
    <t>EXTRACELLULAR VESICLES; PANCREATIC-CANCER; SENESCENT CELLS; INNATE IMMUNITY; PATHWAY; P53; P16(INK4A); INFECTION; PROTEINS; MICROVESICLES</t>
  </si>
  <si>
    <t>Emerging evidence is revealing that exosomes contribute to many aspects of physiology and disease through intercellular communication. However, the biological roles of exosome secretion in exosome-secreting cells have remained largely unexplored. Here we show that exosome secretion plays a crucial role in maintaining cellular homeostasis in exosome-secreting cells. The inhibition of exosome secretion results in the accumulation of nuclear DNA in the cytoplasm, thereby causing the activation of cytoplasmic DNA sensing machinery. This event provokes the innate immune response, leading to reactive oxygen species (ROS)-dependent DNA damage response and thus induce senescence-like cell-cycle arrest or apoptosis in normal human cells. These results, in conjunction with observations that exosomes contain various lengths of chromosomal DNA fragments, indicate that exosome secretion maintains cellular homeostasis by removing harmful cytoplasmic DNA from cells. Together, these findings enhance our understanding of exosome biology, and provide valuable new insights into the control of cellular homeostasis.</t>
  </si>
  <si>
    <t>[Takahashi, Akiko; Okada, Ryo; Kawamata, Yuka; Hanyu, Aki; Yoshimoto, Shin; Hara, Eiji] JFCR, Inst Canc, Koto Ku, Tokyo 1358550, Japan; [Nagao, Koji; Obuse, Chikashi] Hokkaido Univ, Grad Sch Life Sci, Sapporo, Hokkaido 0010021, Japan; [Yoshimoto, Shin] LSI Med Corp, Chiyoda Ku, Tokyo 1018517, Japan; [Takasugi, Masaki; Watanabe, Sugiko; Hara, Eiji] Osaka Univ, RIMD, Dept Mol Microbiol, Suita, Osaka 5650871, Japan; [Kanemaki, Masato T.] SOKENDAI, ROIS, Natl Inst Genet, Div Mol Cell Engn,Dept Genet, Mishima, Shizuoka 4118540, Japan; [Kanemaki, Masato T.] Japan Sci &amp; Technol Agcy JST, PRESTO, Kawaguchi, Saitama 3320012, Japan; [Hara, Eiji] Japan Agcy Med Res &amp; Dev AMED, CREST, Chiyoda Ku, Tokyo 1000004, Japan</t>
  </si>
  <si>
    <t>Japanese Foundation for Cancer Research; Hokkaido University; Osaka University; Graduate University for Advanced Studies - Japan; Research Organization of Information &amp; Systems (ROIS); National Institute of Genetics (NIG) - Japan; Japan Science &amp; Technology Agency (JST); Japan Science &amp; Technology Agency (JST)</t>
  </si>
  <si>
    <t>Takahashi, A; Hara, E (corresponding author), JFCR, Inst Canc, Koto Ku, Tokyo 1358550, Japan.;Hara, E (corresponding author), Osaka Univ, RIMD, Dept Mol Microbiol, Suita, Osaka 5650871, Japan.;Hara, E (corresponding author), Japan Agcy Med Res &amp; Dev AMED, CREST, Chiyoda Ku, Tokyo 1000004, Japan.</t>
  </si>
  <si>
    <t>akiko.takahashi@jfcr.or.jp; ehara@biken.osaka-u.ac.jp</t>
  </si>
  <si>
    <t>Kanemaki, Masato/Q-3246-2019; Takasugi, Masaki/AAN-8590-2020; Watanabe, Sugiko/Q-6201-2019</t>
  </si>
  <si>
    <t>Kanemaki, Masato/0000-0002-7657-1649; Watanabe, Sugiko/0000-0002-2120-9546; Takasugi, Masaki/0000-0001-9880-1225; Takahashi, Akiko/0000-0003-1904-7645; Nagao, Koji/0000-0003-1418-6988; YOSHIMOTO, Shin/0000-0001-8405-0301</t>
  </si>
  <si>
    <t>MAY 16</t>
  </si>
  <si>
    <t>10.1038/ncomms15287</t>
  </si>
  <si>
    <t>WOS:000401405200001</t>
  </si>
  <si>
    <t>Bhat, A; Sharma, A; Bharti, AC</t>
  </si>
  <si>
    <t>Bhat, Anjali; Sharma, Aman; Bharti, Alok Chandra</t>
  </si>
  <si>
    <t>Upstream Hedgehog signaling components are exported in exosomes of cervical cancer cell lines</t>
  </si>
  <si>
    <t>NANOMEDICINE</t>
  </si>
  <si>
    <t>cervical cancer; exosome cargo; exosome characterization; exosome DNA; exosomes; export; Hedgehog signaling; paracrine signaling; patched; silver staining</t>
  </si>
  <si>
    <t>HUMAN COLORECTAL-CANCER; INTERCELLULAR COMMUNICATION; EXTRACELLULAR VESICLES; PANCREATIC-CANCER; PROSTATE-CANCER; PATHWAY; MICROENVIRONMENT; CARCINOMA; PROTEINS; MICROVESICLES</t>
  </si>
  <si>
    <t>Aim: To investigate export of Hedgehog pathway (Hh) proteins Patched1, Smoothened, Sonic hedgehog and Indian hedgehog in cervical cancer cell line (CaCx) exosomes. Methods: Exosomes were isolated and characterized by Western blotting, scanning electron microscopy and in a colorimetric assay. Nucleic acids (RNA, DNA) and protein content of exosomes were analyzed. Hh pathway proteins in exosomes were detected using Western blotting. Results: CaCx secrete bio-macromolecule (DNA, RNA and proteins) enriched exosomes. CaCx exosomes contained higher amount of RNA with respect to DNA. CaCx preferentially exported Hh proteins (Patched1, Smoothened, Sonic hedgehog, Indian hedgehog) in their exosomes. Cellular uptake assay revealed rapid internalization of CaCx exosomes in human umbilical vein endothelial cells. Conclusion: Our study showed that Hh proteins are exported in CaCx exosomes.</t>
  </si>
  <si>
    <t>[Bhat, Anjali; Bharti, Alok Chandra] Univ Delhi, Mol Oncol Lab, Dept Zool, North Campus, New Delhi 110007, India; [Sharma, Aman] ExoCan Healthcare Technol Pvt Ltd, Lab 4,400 NCL Innovat Pk,Dr Homi Bhabha Rd, Pune 411008, Maharashtra, India</t>
  </si>
  <si>
    <t>University of Delhi</t>
  </si>
  <si>
    <t>Bharti, AC (corresponding author), Univ Delhi, Mol Oncol Lab, Dept Zool, North Campus, New Delhi 110007, India.;Sharma, A (corresponding author), ExoCan Healthcare Technol Pvt Ltd, Lab 4,400 NCL Innovat Pk,Dr Homi Bhabha Rd, Pune 411008, Maharashtra, India.</t>
  </si>
  <si>
    <t>amanstemcell@gmail.com; alokchandrab@yahoo.com</t>
  </si>
  <si>
    <t>SHARMA, AMAN/ABD-9681-2021; Bharti, Prof. AC/AGL-5994-2022</t>
  </si>
  <si>
    <t xml:space="preserve">SHARMA, AMAN/0000-0003-4166-157X; </t>
  </si>
  <si>
    <t>1743-5889</t>
  </si>
  <si>
    <t>1748-6963</t>
  </si>
  <si>
    <t>10.2217/nnm-2018-0143</t>
  </si>
  <si>
    <t>WOS:000449032700002</t>
  </si>
  <si>
    <t>Marassi, V; Maggio, S; Battistelli, M; Stocchi, V; Zattoni, A; Reschiglian, P; Guescini, M; Roda, B</t>
  </si>
  <si>
    <t>Marassi, Valentina; Maggio, Serena; Battistelli, Michela; Stocchi, Vilberto; Zattoni, Andrea; Reschiglian, Pierluigi; Guescini, Michele; Roda, Barbara</t>
  </si>
  <si>
    <t>An ultracentrifugation - hollow-fiber flow field-flow fractionation orthogonal approach for the purification and mapping of extracellular vesicle subtypes</t>
  </si>
  <si>
    <t>Extracellular Vesicles; Ultracentrifugation; Hollow-fiber flow field-flow fractionation; Multi-angle light scattering; Size and morphology characterization</t>
  </si>
  <si>
    <t>SCATTERING DETECTION; EXOSOME SEPARATION; LIGHT-SCATTERING; DELIVERY; CANCER; QUANTIFICATION; IDENTIFICATION; CHROMATOGRAPHY; MICRORNAS; MECHANISM</t>
  </si>
  <si>
    <t>In the course of their life span, cells release a multitude of different vesicles in the extracellular matrix (EVs), constitutively and/or upon stimulation, carrying signals either inside or on their membrane for intercellular communication. As a natural delivery tool, EVs present many desirable advantages, such as biocompatibility and low toxicity. However, due to the complex biogenesis of EVs and their high heterogeneity in size distribution and composition, the characterization and quantification of EVs and their subpopulations still represents an enticing analytical challenge. Centrifugation methods allow to obtain different subpopulations in an easy way from cell culture conditioned medium and biological fluids including plasma, amniotic fluid and urine, but they still present some drawbacks and limitations. An unsatisfactory isolation can limit their downstream analysis and lead to wrong conclusions regarding biological activities. Isolation and characterization of biologically relevant nanoparticles like EVs is crucial to investigate specific molecular and signaling patterns and requires new combined approaches. Our work was focused on HF5 (miniaturized, hollow-fiber flow field-flow fractionation), and its hyphenation to ultracentrifugation techniques, which are the most assessed techniques for vesicle isolation. We exploited model samples obtained from culture medium of murine myoblasts (C2C12), known to release different subsets of membrane-derived vesicles. Large and small EVs (LEVs and SEVs) were isolated by differential ultracentrifugation (UC). Through an HF5 method employing UV, fluorescence and multi-angle laser scattering as detectors, we characterized these subpopulations in terms of size, abundance and DNA/protein content; moreover, we showed that microvesicles tend to hyper-aggregate and partially release nucleic matter. The quali-quantitative information we obtained from the fractographic profiles was improved with respect to Nano Tracking Analysis (NTA) estimation. The SEV population was then further separated using density gradient centrifugation (DGC), and four fractions were submitted again to HF5-multidetection. This technique is based on a fully orthogonal principle, since F4 does not separate by density, and provided uncorrelated information for each of the fractions processed. The second dimension achieved with HF5 showed good promise in sorting particles with both different size and content, and allowed to identify the presence of fibrilloid nucleic matter. This analytical bidimensional approach proved to be effective for the characterization of highly complex biological samples such as mixtures of EVs and could provide purified fractions for further biological characterization. (C) 2021 Elsevier B.V. All rights reserved.</t>
  </si>
  <si>
    <t>[Marassi, Valentina; Zattoni, Andrea; Reschiglian, Pierluigi; Roda, Barbara] Univ Bologna, Dept Chem G Ciamician, Bologna, Italy; [Maggio, Serena; Battistelli, Michela; Stocchi, Vilberto; Guescini, Michele] Univ Urbino Carlo Bo, Dept Biomol Sci, Urbino, Italy; [Marassi, Valentina; Zattoni, Andrea; Reschiglian, Pierluigi; Roda, Barbara] ByFlow Srl, Bologna, Italy</t>
  </si>
  <si>
    <t>Marassi, V (corresponding author), Univ Bologna, Dept Chem G Ciamician, Bologna, Italy.;Marassi, V (corresponding author), ByFlow Srl, Bologna, Italy.</t>
  </si>
  <si>
    <t>valentina.marassi2@unibo.it</t>
  </si>
  <si>
    <t>Guescini, Michele/L-1297-2019; Zattoni, Andrea/G-1918-2011; Battistelli, Michela/AAN-1138-2021; marassi, valentina/GMX-4674-2022</t>
  </si>
  <si>
    <t>Guescini, Michele/0000-0001-9372-7038; Zattoni, Andrea/0000-0001-6971-5360; marassi, valentina/0000-0001-8742-3708</t>
  </si>
  <si>
    <t>FEB 8</t>
  </si>
  <si>
    <t>10.1016/j.chroma.2020.461861</t>
  </si>
  <si>
    <t>WOS:000618077000001</t>
  </si>
  <si>
    <t>Yasa, B; Sahin, O; Ocut, E; Seven, M; Sozer, S</t>
  </si>
  <si>
    <t>Yasa, Busra; Sahin, Orhan; Ocut, Elif; Seven, Mehmet; Sozer, Selcuk</t>
  </si>
  <si>
    <t>Assessment of Fetal Rhesus D and Gender with Cell-Free DNA and Exosomes from Maternal Blood</t>
  </si>
  <si>
    <t>REPRODUCTIVE SCIENCES</t>
  </si>
  <si>
    <t>Cell-free DNA; Exosome; RHD; SRY; Fetal genotyping</t>
  </si>
  <si>
    <t>PLASMA; TIME; RHD</t>
  </si>
  <si>
    <t>The detection of fetal cell-free DNA (cfDNA) from maternal plasma has enabled the development of essential techniques in prenatal diagnosis during recent years. Extracellular vesicles including exosomes were determined to carry fetal DNA fragments. Considering the known difficulties during isolation and stability of cfDNA, exosomes might provide a new opportunity for prenatal diagnosis and screening. In this study, comparison of cfDNA and exosome DNA (exoDNA) for predicting the fetal sex and Rhesus D (RHD) genotype was performed by using real-time polymerase chain reaction with simultaneous amplification of sequences ofSRYandRHDgenes. Fetal sex andRHDwere determined in 100 and 81 RHD-negative pregnant women with cfDNA and exoDNA, respectively. The gestation ages of pregnant women were between 9 and 40 weeks. The results were compared with the neonatal phenotype for gender and a serological test for RHD. The cfDNA revealed 95.75% sensitivity and 100% specificity inRHDpositivity and 100% sensitivity and 95.45% specificity inSRYpositivity. Cohen's agreement coefficient in the Kappa test ranged from 0.8 to 1.0 (P &lt; 0.00001). Although the exoDNA failed to amplify 16 cases, the remaining 65 cases revealed a true estimate for both fetalRHDandSRYgenes with 100% sensitivity and specificity. Successful application of exoDNA and cfDNA with real-time PCR for fetal genotyping enables this technique to be applied in the assessment of fetal RHD and gender during pregnancy, allowing initiation of early treatment methods and avoiding unnecessary interventions and cost.</t>
  </si>
  <si>
    <t>[Yasa, Busra; Sozer, Selcuk] Istanbul Univ, Aziz Sancar Inst Expt Med, Dept Genet, Istanbul, Turkey; [Sahin, Orhan] Okmeydani Training &amp; Res Hosp, Clin Obstet &amp; Gynecol, Istanbul, Turkey; [Ocut, Elif] Yildiz Tech Univ, Dept Stat, Istanbul, Turkey; [Seven, Mehmet] Istanbul Univ Cerrahpasa, Dept Med Genet, Cerrahpasa Med Sch, Istanbul, Turkey</t>
  </si>
  <si>
    <t>Istanbul University; Istanbul Okmeydani Training &amp; Research Hospital; Yildiz Technical University; Istanbul University - Cerrahpasa</t>
  </si>
  <si>
    <t>Yasa, B; Sozer, S (corresponding author), Istanbul Univ, Aziz Sancar Inst Expt Med, Dept Genet, Istanbul, Turkey.</t>
  </si>
  <si>
    <t>busrayasa94@gmail.com; ssozer@istanbul.edu.tr</t>
  </si>
  <si>
    <t>Sozer, Selcuk/AAD-3877-2020</t>
  </si>
  <si>
    <t>Sozer, Selcuk/0000-0002-5035-4048; SAHIN, Orhan/0000-0002-7216-3816; Yasa Cevik, Busra/0000-0002-4967-6699; Ocut Ayhan, Elif/0000-0003-1821-339X</t>
  </si>
  <si>
    <t>1933-7191</t>
  </si>
  <si>
    <t>1933-7205</t>
  </si>
  <si>
    <t>10.1007/s43032-020-00321-4</t>
  </si>
  <si>
    <t>Obstetrics &amp; Gynecology; Reproductive Biology</t>
  </si>
  <si>
    <t>WOS:000572325200002</t>
  </si>
  <si>
    <t>Tran, F; Boedicker, JQ</t>
  </si>
  <si>
    <t>Tran, Frances; Boedicker, James Q.</t>
  </si>
  <si>
    <t>Plasmid Characteristics Modulate the Propensity of Gene Exchange in Bacterial Vesicles</t>
  </si>
  <si>
    <t>JOURNAL OF BACTERIOLOGY</t>
  </si>
  <si>
    <t>horizontal gene transfer; origin of replication; outer membrane vesicles; plasmid characteristics</t>
  </si>
  <si>
    <t>OUTER-MEMBRANE VESICLES; EXTRACELLULAR VESICLES; DNA SIZE; TRANSFORMATION; CONJUGATION</t>
  </si>
  <si>
    <t>Horizontal gene transfer is responsible for the exchange of many types of genetic elements, including plasmids. Properties of the exchanged genetic element are known to influence the efficiency of transfer via the mechanisms of conjugation, transduction, and transformation. Recently, an alternative general pathway of horizontal gene transfer has been identified, namely, gene exchange by extracellular vesicles. Although extracellular vesicles have been shown to facilitate the exchange of several types of plasmids, the influence of plasmid characteristics on genetic exchange within vesicles is unclear. Here, a set of different plasmids was constructed to systematically test the impact of plasmid properties, specifically, plasmid copy number, size, and origin of replication, on gene transfer in vesicles. The influence of each property on the production, packaging, and uptake of vesicles containing bacterial plasmids was quantified, revealing how plasmid properties modulate vesiclemediated horizontal gene transfer. The loading of plasmids into vesicles correlates with the plasmid copy number and is influenced by characteristics that help set the number of plasmids within a cell, including size and origin of replication. Plasmid origin also has a separate impact on both vesicle loading and uptake, demonstrating that the origin of replication is a major determinant of the propensity of specific plasmids to transfer within extracellular vesicles. IMPORTANCE Extracellular vesicle formation and exchange are common within bacterial populations. Vesicles package multiple types of biomolecules, including genetic material. The exchange of extracellular vesicles containing genetic material facilitates interspecies DNA transfer and may be a promiscuous mechanism of horizontal gene transfer. Unlike other mechanisms of horizontal gene transfer, it is unclear whether characteristics of the exchanged DNA impact the likelihood of transfer in vesicles. Here, we systematically examine the influence of plasmid copy number, size, and origin of replication on the loading of DNA into vesicles and the uptake of DNA containing vesicles by recipient cells. These results reveal how each plasmid characteristic impacts gene transfer in vesicles and contribute to a greater understanding of the importance of vesicle-mediated gene exchange in the landscape of horizontal gene transfer.</t>
  </si>
  <si>
    <t>[Tran, Frances; Boedicker, James Q.] Univ Southern Calif, Dept Biol Sci, Los Angeles, CA 90089 USA; [Boedicker, James Q.] Univ Southern Calif, Dept Phys &amp; Astron, Los Angeles, CA 90089 USA</t>
  </si>
  <si>
    <t>University of Southern California; University of Southern California</t>
  </si>
  <si>
    <t>Boedicker, JQ (corresponding author), Univ Southern Calif, Dept Biol Sci, Los Angeles, CA 90089 USA.;Boedicker, JQ (corresponding author), Univ Southern Calif, Dept Phys &amp; Astron, Los Angeles, CA 90089 USA.</t>
  </si>
  <si>
    <t>boedicke@usc.edu</t>
  </si>
  <si>
    <t>0021-9193</t>
  </si>
  <si>
    <t>1098-5530</t>
  </si>
  <si>
    <t>e00430-18</t>
  </si>
  <si>
    <t>10.1128/JB.00430-18</t>
  </si>
  <si>
    <t>WOS:000461019100001</t>
  </si>
  <si>
    <t>Lu, TY; Zhang, JB; Cai, JY; Xiao, JQ; Sui, X; Yuan, XF; Li, R; Li, Y; Yao, J; Lv, G; Chen, XY; Chen, HT; Zeng, KN; Liu, YS; Chen, WJ; Chen, GH; Yang, Y; Zheng, J; Zhang, YC</t>
  </si>
  <si>
    <t>Lu, Tongyu; Zhang, Jiebin; Cai, Jianye; Xiao, Jiaqi; Sui, Xin; Yuan, Xiaofeng; Li, Rong; Li, Yang; Yao, Jia; Lv, Guo; Chen, Xiaoyan; Chen, Haitian; Zeng, Kaining; Liu, Yasong; Chen, Wenjie; Chen, Guihua; Yang, Yang; Zheng, Jun; Zhang, Yingcai</t>
  </si>
  <si>
    <t>Extracellular vesicles derived from mesenchymal stromal cells as nanotherapeutics for liver ischaemia-reperfusion injury by transferring mitochondria to modulate the formation of neutrophil extracellular traps</t>
  </si>
  <si>
    <t>Extracellular vesicles; Mesenchymal stromal cells; Nanotherapeutics; Mitochondria transfer; Neutrophils extracellular traps; Liver ischaemia-reperfusion injury</t>
  </si>
  <si>
    <t>STEM-CELLS; INFLAMMATION; DNA; POTENTIALS; MECHANISMS; HISTONES; MODELS</t>
  </si>
  <si>
    <t>As nanotherapeutics, mesenchymal stromal cell-derived extracellular vesicles (MSC-EVs) are considered a potent alternative for whole-cell therapy and are gradually entering the clinical field of liver diseases. In this study, neutrophil extracellular traps (NETs) formation in liver tissue was verified as a critical factor for liver ischae-mia-reperfusion injury (IRI) in both clinical samples and animal models. Human umbilical cord-derived MSC-EVs (hUC-MSC-EVs) might function to reduce the NETs formation and subsequently improve liver IRI. Mecha-nistically, we showed that hUC-MSC-EVs contain functional mitochondria that are transferred to intrahepatic neutrophils. This effect triggers mitochondrial fusion and subsequently restores the mitochondrial status and functions in neutrophils to reduce NETs formation. Collectively, our findings suggest that MSC-EVs exert a nanotherapeutic effect on inhibiting local NETs formation by transferring functional mitochondria to intra-hepatic neutrophils and repairing their mitochondrial function, which highlights the therapeutic value of hUC-MSC-EVs for liver IRI.</t>
  </si>
  <si>
    <t>[Lu, Tongyu; Zhang, Jiebin; Cai, Jianye; Xiao, Jiaqi; Li, Yang; Yao, Jia; Chen, Haitian; Zeng, Kaining; Liu, Yasong; Chen, Guihua; Yang, Yang; Zheng, Jun; Zhang, Yingcai] Sun Yat Sen Univ, Dept Hepat Surg, Affiliated Hosp 3, Guangzhou, Peoples R China; [Lu, Tongyu; Zhang, Jiebin; Cai, Jianye; Xiao, Jiaqi; Li, Yang; Yao, Jia; Chen, Haitian; Zeng, Kaining; Liu, Yasong; Chen, Guihua; Yang, Yang; Zheng, Jun; Zhang, Yingcai] Sun Yat Sen Univ, Liver Transplantat Ctr, Affiliated Hosp 3, Guangzhou, Peoples R China; [Lu, Tongyu; Zhang, Jiebin; Cai, Jianye; Xiao, Jiaqi; Li, Rong; Li, Yang; Yao, Jia; Chen, Haitian; Zeng, Kaining; Liu, Yasong; Chen, Guihua; Yang, Yang; Zheng, Jun; Zhang, Yingcai] Guangdong Engn Lab Transplantat, Guangdong Key Lab Liver Dis Res, Guangzhou, Peoples R China; [Sui, Xin] Sun Yat Sen Univ, Surg ICU, Affiliated Hosp 3, Guangzhou, Peoples R China; [Yuan, Xiaofeng] Sun Yat Sen Univ, Gen ICU, Affiliated Hosp 3, Guangzhou, Peoples R China; [Lv, Guo; Chen, Xiaoyan; Chen, Wenjie] Sun Yat Sen Univ, Biol Treatment Ctr, Affiliated Hosp 3, Guangzhou, Peoples R China</t>
  </si>
  <si>
    <t>Sun Yat Sen University; Sun Yat Sen University; Sun Yat Sen University; Sun Yat Sen University; Sun Yat Sen University</t>
  </si>
  <si>
    <t>Chen, GH; Yang, Y; Zheng, J; Zhang, YC (corresponding author), Sun Yat Sen Univ, Dept Hepat Surg, Affiliated Hosp 3, Guangzhou, Peoples R China.;Chen, GH; Yang, Y; Zheng, J; Zhang, YC (corresponding author), Sun Yat Sen Univ, Liver Transplantat Ctr, Affiliated Hosp 3, Guangzhou, Peoples R China.;Chen, GH; Yang, Y; Zheng, J; Zhang, YC (corresponding author), Organ Transplantat Res Ctr Guangdong Prov Guangzh, Guangzhou 510630, Guangdong, Peoples R China.</t>
  </si>
  <si>
    <t>chghua@mail.sysu.edu.cn; yysysu@163.com; zhengj67@mail2.sysu.edu.cn; zhangyc3@mail.sysu.edu.cn</t>
  </si>
  <si>
    <t>Cai, Jianye/GOK-2676-2022</t>
  </si>
  <si>
    <t>Zhang, Jiebin/0000-0002-2650-6822</t>
  </si>
  <si>
    <t>10.1016/j.biomaterials.2022.121486</t>
  </si>
  <si>
    <t>WOS:000807679000001</t>
  </si>
  <si>
    <t>Mouzykantov, AA; Rozhina, EV; Fakhrullin, RF; Gomzikova, MO; Zolotykh, MA; Chernova, OA; Chernov, VM</t>
  </si>
  <si>
    <t>Mouzykantov, A. A.; Rozhina, E., V; Fakhrullin, R. F.; Gomzikova, M. O.; Zolotykh, M. A.; Chernova, O. A.; Chernov, V. M.</t>
  </si>
  <si>
    <t>Extracellular Vesicles from Mycoplasmas Can Penetrate Eukaryotic Cells In Vitro and Modulate the Cellular Proteome</t>
  </si>
  <si>
    <t>ACTA NATURAE</t>
  </si>
  <si>
    <t>mycoplasma; vesicles; internalization; human fibroblasts; proteome</t>
  </si>
  <si>
    <t>BIOGENESIS</t>
  </si>
  <si>
    <t>The extracellular vesicles (EVs) produced by bacteria transport a wide range of compounds, including proteins, DNA and RNA, mediate intercellular interactions, and may be important participants in the mechanisms underlying the persistence of infectious agents. This study focuses on testing the hypothesis that the EVs of mycoplasmas, the smallest prokaryotes capable of independent reproduction, combined in the class referred to as Mollicutes, can penetrate into eukaryotic cells and modulate their immunoreactivity. To verify this hypothesis, for the first time, studies of in vitro interaction between human skin fibroblasts and vesicles isolated from Acholeplasma laidlawii (the ubiquitous mycoplasma that infects higher eukaryotes and is the main contaminant of cell cultures and vaccines) were conducted using confocal laser scanning microscopy and proteome profiling, employing a combination of 2D-DIGE and MALDI-TOF/TOF, the Mascot mass-spectrum analysis software and the DAVID functional annotation tool. These studies have revealed for the first time that the extracellular vesicles of A. laidlawii can penetrate into eukaryotic cells in vitro and modulate the expression of cellular proteins. The molecular mechanisms behind the interaction of mycoplasma vesicles with eukaryotic cells and the contribution of the respective nanostructures to the molecular machinery of cellular permissiveness still remain to be elucidated. The study of these aspects is relevant both for fundamental research into the logic of life of the simplest prokaryotes, and the practical development of efficient control over hypermutable bacteria infecting humans, animals and plants, as well as contaminating cell cultures and vaccines.</t>
  </si>
  <si>
    <t>[Mouzykantov, A. A.; Chernova, O. A.; Chernov, V. M.] RAS, Kazan Inst Biochem &amp; Biophys, FRC Kazan Sci Ctr, Kazan 420111, Russia; [Rozhina, E., V; Fakhrullin, R. F.; Gomzikova, M. O.; Zolotykh, M. A.] Kazan Fed Univ, Kazan 420008, Russia</t>
  </si>
  <si>
    <t>Mouzykantov, AA (corresponding author), RAS, Kazan Inst Biochem &amp; Biophys, FRC Kazan Sci Ctr, Kazan 420111, Russia.</t>
  </si>
  <si>
    <t>muzaleksei@mail.ru</t>
  </si>
  <si>
    <t>Fakhrullin, Rawil/E-7629-2012</t>
  </si>
  <si>
    <t>Fakhrullin, Rawil/0000-0003-2015-7649</t>
  </si>
  <si>
    <t>2075-8251</t>
  </si>
  <si>
    <t>OCT-DEC</t>
  </si>
  <si>
    <t>10.32607/actanaturae.11506</t>
  </si>
  <si>
    <t>WOS:000748429800010</t>
  </si>
  <si>
    <t>Aqil, F; Munagala, R; Jeyabalan, J; Agrawal, AK; Gupta, R</t>
  </si>
  <si>
    <t>Aqil, Farrukh; Munagala, Radha; Jeyabalan, Jeyaprakash; Agrawal, Ashish Kumar; Gupta, Ramesh</t>
  </si>
  <si>
    <t>Exosomes for the Enhanced Tissue Bioavailability and Efficacy of Curcumin</t>
  </si>
  <si>
    <t>AAPS JOURNAL</t>
  </si>
  <si>
    <t>Anti-cancer activity; Curcumin; Drug delivery; Exosomes; Toxicity</t>
  </si>
  <si>
    <t>MILK-DERIVED EXOSOMES; DRUG-DELIVERY SYSTEM; BLOOD-BRAIN-BARRIER; ANTIINFLAMMATORY ACTIVITY; CANCER-THERAPY; ORAL DELIVERY; NANOPARTICLES; PHARMACOKINETICS; MICROPARTICLES; ENDOCYTOSIS</t>
  </si>
  <si>
    <t>Exosomes are extracellular microvesicles with a particle size of 30-100 nm and carry a cargo of proteins, lipids, RNA, and DNA. Their properties of shuttling in-and-out of the cells suggest that these particles can be exploited as a nano drug carrier. In this manuscript, we show that curcumin can be delivered effectively using milk-derived exosomes. Curcumin when mixed with exosomes in the presence of 10% ethanol:acetonitrile (1:1) provided a drug load of 18-24%, and the formulation stored at - 80A degrees C was stable for 6 months as determined by particle size analysis, drug load, and antiproliferative activity. The uptake of exosomes by cancer cells involved caveolae/clathrin-mediated endocytosis. Oral administration of exosomal curcumin (ExoCUR) in Sprague-Dawley rats demonstrated 3-5 times higher levels in various organs versus free agent. ExoCUR showed enhanced antiproliferative activity against multiple cancer cell lines including, breast, lung, and cervical cancer compared with the free curcumin. ExoCUR showed significantly higher anti-inflammatory activity measured as NF-kappa B activation in human lung and breast cancer cells. To determine in vivo antitumor activity, nude mice bearing the cervical CaSki tumor xenograft were treated with ExoCUR by oral gavage, curcumin diet, exosomes alone, and PBS as controls. While curcumin via dietary route failed to elicit any effect, exosomes had a modest (25-30%) tumor growth inhibition. However, ExoCUR showed significant inhibition (61%; p &lt; 0.01) of the cervical tumor xenograft. No gross or systemic toxicity was observed in the rats administered with the exosomes or ExoCUR. These results suggest that exosomes can be developed as potential nano carriers for delivering curcumin which otherwise has encountered significant tissue bioavailability issues in the past.</t>
  </si>
  <si>
    <t>[Aqil, Farrukh; Munagala, Radha] Univ Louisville, Dept Med, Louisville, KY 40202 USA; [Aqil, Farrukh; Munagala, Radha; Jeyabalan, Jeyaprakash; Agrawal, Ashish Kumar; Gupta, Ramesh] Univ Louisville, James Graham Brown Canc Ctr, Louisville, KY 40202 USA; [Gupta, Ramesh] Univ Louisville, Dept Pharmacol &amp; Toxicol, Delia Baxter 2,Room 304E,580 S Preston St, Louisville, KY 40202 USA</t>
  </si>
  <si>
    <t>University of Louisville; University of Louisville; University of Louisville</t>
  </si>
  <si>
    <t>Gupta, R (corresponding author), Univ Louisville, James Graham Brown Canc Ctr, Louisville, KY 40202 USA.;Gupta, R (corresponding author), Univ Louisville, Dept Pharmacol &amp; Toxicol, Delia Baxter 2,Room 304E,580 S Preston St, Louisville, KY 40202 USA.</t>
  </si>
  <si>
    <t>rcgupta@louisville.edu</t>
  </si>
  <si>
    <t>Agrawal, Ashish/AAU-3448-2021; Aqil, Farrukh/AFK-2012-2022</t>
  </si>
  <si>
    <t>Agrawal, Ashish/0000-0002-7302-3647; Aqil, Farrukh/0000-0002-0081-7251</t>
  </si>
  <si>
    <t>1550-7416</t>
  </si>
  <si>
    <t>10.1208/s12248-017-0154-9</t>
  </si>
  <si>
    <t>WOS:000415057700015</t>
  </si>
  <si>
    <t>Tong, M; Johansson, C; Xiao, FY; Stone, PR; James, JL; Chen, Q; Cree, LM; Chamley, LW</t>
  </si>
  <si>
    <t>Tong, Mancy; Johansson, Caroline; Xiao, Fengyi; Stone, Peter R.; James, Joanna L.; Chen, Qi; Cree, Lynsey M.; Chamley, Lawrence W.</t>
  </si>
  <si>
    <t>Antiphospholipid antibodies increase the levels of mitochondrial DNA in placental extracellular vesicles: Alarmin-g for preeclampsia</t>
  </si>
  <si>
    <t>EARLY-ONSET PREECLAMPSIA; HUMAN VILLOUS TROPHOBLAST; IN-VITRO; SYNCYTIOTROPHOBLAST MICROPARTICLES; ENDOTHELIAL-CELLS; INFLAMMATORY RESPONSES; MATERNAL CIRCULATION; LUPUS PREGNANCY; T-LYMPHOCYTES; 1ST TRIMESTER</t>
  </si>
  <si>
    <t>The pathogenesis of preeclampsia remains unclear but placental factors are known to play a crucial role causing maternal endothelial cell dysfunction. One potential factor is placental micro-and nano-vesicles. Antiphospholipid antibodies (aPL) increase the risk of preeclampsia ten-fold, in part by damaging the mitochondria in the syncytiotrophoblast. Since mitochondrial DNA (mtDNA) is a danger-associated molecular pattern (DAMP/alarmin) that may activate endothelial cells, the aims of the current study were to investigate whether aPL affect the number of placental vesicles extruded, their mtDNA content and their ability to activate endothelial cells. Exposure of first trimester human placental explants to aPL affected neither the number nor size of extruded micro-and nano-vesicles (n = 5), however their levels of mtDNA were increased (n = 6). These vesicles significantly activated endothelial cells (n = 5), which was prevented by blocking toll-like receptor 9 (TLR-9), a receptor for extracellular DNA. Thus, aPL may increase the risk of preeclampsia in part by increasing the amount of mtDNA associated with placental vesicles. That mitochondrial DNA is recognised as a DAMP by TLR-9 to cause endothelial cell activation, raises the possibility that placental vesicles or TLR-9 might be a target for pharmaceutical intervention to reduce the consequences of aPL in pregnancy.</t>
  </si>
  <si>
    <t>[Tong, Mancy; Johansson, Caroline; Xiao, Fengyi; Stone, Peter R.; James, Joanna L.; Chen, Qi; Cree, Lynsey M.; Chamley, Lawrence W.] Univ Auckland, Sch Med, Dept Obstet &amp; Gynaecol, Auckland 1023, New Zealand; [Johansson, Caroline] Linkoping Univ, Fac Med &amp; Hlth Sci, SE-58183 Linkoping, Sweden; [Xiao, Fengyi] Fudan Univ, Hosp Obstet &amp; Gynaecol, Shanghai, Peoples R China</t>
  </si>
  <si>
    <t>University of Auckland; Linkoping University; Fudan University</t>
  </si>
  <si>
    <t>Tong, M (corresponding author), Univ Auckland, Sch Med, Dept Obstet &amp; Gynaecol, Auckland 1023, New Zealand.</t>
  </si>
  <si>
    <t>mancy.tong@yale.edu</t>
  </si>
  <si>
    <t>James, Joanna/L-6378-2017; Stone, Peter/L-3677-2019</t>
  </si>
  <si>
    <t>James, Joanna/0000-0002-3757-4177; Chamley, Lawrence/0000-0002-7501-1340</t>
  </si>
  <si>
    <t>NOV 29</t>
  </si>
  <si>
    <t>10.1038/s41598-017-16448-5</t>
  </si>
  <si>
    <t>WOS:000416409100016</t>
  </si>
  <si>
    <t>Duette, G; Gerber, PP; Rubione, J; Perez, PS; Landay, AL; Crowe, SM; Liao, ZH; Witwer, KW; Holgado, MP; Salido, J; Geffner, J; Sued, O; Palmer, CS; Ostrowski, M</t>
  </si>
  <si>
    <t>Duette, Gabriel; Gerber, Pehuen Pereyra; Rubione, Julia; Perez, Paula S.; Landay, Alan L.; Crowe, Suzanne M.; Liao, Zhaohao; Witwer, Kenneth W.; Holgado, Maria Pia; Salido, Jimena; Geffner, Jorge; Sued, Omar; Palmer, Clovis S.; Ostrowski, Matias</t>
  </si>
  <si>
    <t>Induction of HIF-1 alpha by HIV-1 Infection in CD4(+) T Cells Promotes Viral Replication and Drives Extracellular Vesicle-Mediated Inflammation</t>
  </si>
  <si>
    <t>MBIO</t>
  </si>
  <si>
    <t>CD4(+) T lymphocyte; extracellular vesicles; hypoxia-inducible factor 1 alpha; inflammation; human immunodeficiency virus; macrophage</t>
  </si>
  <si>
    <t>IMMUNODEFICIENCY-VIRUS TYPE-1; REVERSE TRANSCRIPTION; DNA SENSOR; HYPOXIA; ACTIVATION; PROTEIN; DEPLETION; EXOSOMES; INTEGRASE; MECHANISM</t>
  </si>
  <si>
    <t>Chronic immune activation and inflammation are hallmarks of HIV-1 infection and a major cause of serious non-AIDS events in HIV-1-infected individuals on antiretroviral treatment (ART). Herein, we show that cytosolic double-stranded DNA (dsDNA) generated in infected CD4(+) T cells during the HIV-1 replication cycle promotes the mitochondrial reactive oxygen species (ROS)-dependent stabilization of the transcription factor hypoxia-inducible factor 1 alpha (HIF-1 alpha), which in turn, enhances viral replication. Furthermore, we show that induction of HIF-1 alpha promotes the release of extracellular vesicles (EVs). These EVs foster inflammation by inducing the secretion of gamma interferon by bystander CD4(+) T cells and secretion of interleukin 6 (IL-6) and IL-1 beta by bystander macrophages through an HIF-1 alpha-dependent pathway. Remarkably, EVs obtained from plasma samples from HIV-1-infected individuals also induced HIF-1 alpha activity and inflammation. Overall, this study demonstrates that HIF-1 alpha plays a crucial role in HIV-1 pathogenesis by promoting viral replication and the release of EVs that orchestrate lymphocyte-and macrophagemediated inflammatory responses. IMPORTANCE Human immunodeficiency virus type 1 (HIV-1) is a very important global pathogen that preferentially targets CD4(+) T cells and causes acquired immunodeficiency syndrome (AIDS) if left untreated. Although antiretroviral treatment efficiently suppresses viremia, markers of immune activation and inflammation remain higher in HIV-1-infected patients than in uninfected individuals. The hypoxia-inducible factor 1 alpha (HIF-1 alpha) is a transcription factor that plays a fundamental role in coordinating cellular metabolism and function. Here we show that HIV-1 infection induces HIF-1 alpha activity and that this transcription factor upholds HIV-1 replication. Moreover, we demonstrate that HIF-1 alpha plays a key role in HIV-1-associated inflammation by promoting the release of extracellular vesicles which, in turn, trigger the secretion of inflammatory mediators by noninfected bystander lymphocytes and macrophages. In summary, we identify that the coordinated actions of HIF-1 alpha and extracellular vesicles promote viral replication and inflammation, thus contributing to HIV-1 pathogenesis.</t>
  </si>
  <si>
    <t>[Duette, Gabriel; Gerber, Pehuen Pereyra; Rubione, Julia; Perez, Paula S.; Holgado, Maria Pia; Salido, Jimena; Geffner, Jorge; Ostrowski, Matias] INBIRS, Fac Med, Buenos Aires, DF, Argentina; [Landay, Alan L.] Rush Univ, Med Ctr, Dept Immunol Microbiol, Chicago, IL 60612 USA; [Crowe, Suzanne M.; Palmer, Clovis S.] Burnet Inst, Life Sci Discipline, Melbourne, Vic, Australia; [Crowe, Suzanne M.; Palmer, Clovis S.] Monash Univ, Dept Infect Dis, Melbourne, Vic, Australia; [Crowe, Suzanne M.] Alfred Hosp, Infect Dis Dept, Melbourne, Vic, Australia; [Liao, Zhaohao; Witwer, Kenneth W.] Johns Hopkins Univ, Sch Med, Dept Mol &amp; Comparat Pathobiol, Baltimore, MD USA; [Sued, Omar] Fdn Huesped, Buenos Aires, DF, Argentina; [Palmer, Clovis S.] Univ Melbourne, Fac Med Dent &amp; Hlth Sci, Dept Microbiol &amp; Immunol, Melbourne, Vic, Australia</t>
  </si>
  <si>
    <t>Rush University; Burnet Institute; Monash University; Florey Institute of Neuroscience &amp; Mental Health; Johns Hopkins University; University of Melbourne</t>
  </si>
  <si>
    <t>Ostrowski, M (corresponding author), INBIRS, Fac Med, Buenos Aires, DF, Argentina.;Palmer, CS (corresponding author), Burnet Inst, Life Sci Discipline, Melbourne, Vic, Australia.;Palmer, CS (corresponding author), Monash Univ, Dept Infect Dis, Melbourne, Vic, Australia.;Palmer, CS (corresponding author), Univ Melbourne, Fac Med Dent &amp; Hlth Sci, Dept Microbiol &amp; Immunol, Melbourne, Vic, Australia.</t>
  </si>
  <si>
    <t>clovis.palmer@burnet.edu.au; maostro@fmed.uba.ar</t>
  </si>
  <si>
    <t>Witwer, Kenneth W./G-1626-2013; Palmer, Clovis/P-1986-2019</t>
  </si>
  <si>
    <t>Witwer, Kenneth W./0000-0003-1664-4233; Palmer, Clovis/0000-0002-5031-6922; Ostrowski, Matias/0000-0002-3982-1338; Rubione, Julia/0000-0002-7119-8216</t>
  </si>
  <si>
    <t>2150-7511</t>
  </si>
  <si>
    <t>SEP-OCT</t>
  </si>
  <si>
    <t>e00757-18</t>
  </si>
  <si>
    <t>10.1128/mBio.00757-18</t>
  </si>
  <si>
    <t>WOS:000449472200001</t>
  </si>
  <si>
    <t>Kim, IA; Hur, JY; Kim, HJ; Kim, WS; Lee, KY</t>
  </si>
  <si>
    <t>Kim, In Ae; Hur, Jae Young; Kim, Hee Joung; Kim, Wan Seop; Lee, Kye Young</t>
  </si>
  <si>
    <t>Extracellular Vesicle-Based Bronchoalveolar Lavage Fluid Liquid Biopsy for EGFR Mutation Testing in Advanced Non-Squamous NSCLC</t>
  </si>
  <si>
    <t>bronchoalveolar lavage (BAL); liquid biopsy; extracellular vesicles; EGFR mutation testing; NSCLC</t>
  </si>
  <si>
    <t>CELL-FREE DNA; LUNG-CANCER; 1ST-LINE TREATMENT; OPEN-LABEL; SPECIMENS; ERLOTINIB; EXOSOMES; OUTCOMES</t>
  </si>
  <si>
    <t>Simple Summary Tissue biopsy is the gold standard for molecular genotyping in lung cancer. However, obtaining tumor tissue is challenging due to its invasiveness, inadequate amount of tissue, or complications. To overcome the limitations of tissue biopsy, plasma liquid biopsy using cfDNA has been investigated extensively; however, its low sensitivity limits the clinical application. Therefore, we used the tumor-specific DNA of extracellular vesicles (EVs) in bronchoalveolar lavage fluid (BALF) as DNA source for EGFR genotyping. As a result, we demonstrated that EV-based BALF EGFR testing in advanced lung NSCLC is a highly accurate rapid method overcoming low sensitivity of plasma cfDNA-based EGFR genotyping. It can be used as an adjuvant or alternative method for lung biopsy in cases where obtaining an adequate amount of tissue is difficult. To overcome the limitations of the tissue biopsy and plasma cfDNA liquid biopsy, we performed the EV-based BALF liquid biopsy of 224 newly diagnosed stage III-IV NSCLC patients and compared it with tissue genotyping and 110 plasma liquid biopsies. Isolation of EVs from BALF was performed by ultracentrifugation. EGFR genotyping was performed through peptide nucleic acid clamping-assisted fluorescence melting curve analysis. Compared with tissue-based genotyping, BALF liquid biopsy demonstrated a sensitivity, specificity, and concordance rates of 97.8%, 96.9%, and 97.7%, respectively. The performance of BALF liquid biopsy was almost identical to that of standard tissue-based genotyping. In contrast, plasma cfDNA-based liquid biopsy (n = 110) demonstrated sensitivity, specificity, and concordance rates of 48.5%, 86.3%, and 63.6%, respectively. The mean turn-around time of BALF liquid biopsy was significantly shorter (2.6 days) than that of tissue-based genotyping (13.9 days; p &lt; 0.001). Therefore, the use of EV-based BALF shortens the time for confirmation of EGFR mutation status for starting EGFR-TKI treatment and can hence potentially improve clinical outcomes. As a result, we suggest that EV-based BALF EGFR testing in advanced lung NSCLC is a highly accurate rapid method and can be used as an alternative method for lung tissue biopsy.</t>
  </si>
  <si>
    <t>[Kim, In Ae; Hur, Jae Young; Kim, Hee Joung; Kim, Wan Seop; Lee, Kye Young] Konkuk Univ, Precis Med Lung Canc Ctr, Med Ctr, Seoul 05030, South Korea; [Hur, Jae Young; Kim, Wan Seop] Konkuk Univ, Dept Pulm Med, Sch Med, Seoul 05030, South Korea; [Kim, Hee Joung; Lee, Kye Young] Konkuk Univ, Dept Pathol, Sch Med, Seoul 05030, South Korea; [Lee, Kye Young] Exosignal Inc, Seoul 05030, South Korea</t>
  </si>
  <si>
    <t>Lee, KY (corresponding author), Konkuk Univ, Precis Med Lung Canc Ctr, Med Ctr, Seoul 05030, South Korea.;Lee, KY (corresponding author), Konkuk Univ, Dept Pathol, Sch Med, Seoul 05030, South Korea.;Lee, KY (corresponding author), Exosignal Inc, Seoul 05030, South Korea.</t>
  </si>
  <si>
    <t>20180618@kuh.ac.kr; 20160475@kuh.ac.kr; hjkim@kuh.ac.kr; wskim@kuh.ac.kr; kyleemd@kuh.ac.kr</t>
  </si>
  <si>
    <t>Kim, In Ae/0000-0002-8994-2891</t>
  </si>
  <si>
    <t>10.3390/cancers14112744</t>
  </si>
  <si>
    <t>WOS:000808941200001</t>
  </si>
  <si>
    <t>Zhang, YQ; Dai, YP; Wang, JX; Xu, Y; Li, Z; Lu, JF; Xu, YF; Zhong, J; Ding, SW; Li, Y</t>
  </si>
  <si>
    <t>Zhang, Yuqiang; Dai, Yunpeng; Wang, Jiaxin; Xu, Yan; Li, Zhe; Lu, Jinfeng; Xu, Yongfen; Zhong, Jin; Shou-Wei Ding; Li, Yang</t>
  </si>
  <si>
    <t>Mouse circulating extracellular vesicles contain virus-derived siRNAs active in antiviral immunity</t>
  </si>
  <si>
    <t>EMBO JOURNAL</t>
  </si>
  <si>
    <t>antiviral RNAi; extracellular vesicles; live-attenuated virus vaccine; systemic antiviral RNAi; Zika virus</t>
  </si>
  <si>
    <t>RNA INTERFERENCE; INFECTION; CELLS; RESISTANCE; PROTECTS; DNA</t>
  </si>
  <si>
    <t>Induction and suppression of antiviral RNA interference (RNAi) has been observed in mammals during infection with at least seven distinct RNA viruses, including some that are pathogenic in humans. However, while the cell-autonomous immune response mediated by antiviral RNAi is gradually being recognized, little is known about systemic antiviral RNAi in mammals. Furthermore, extracellular vesicles (EVs) also function in viral signal spreading and host immunity. Here, we show that upon antiviral RNAi activation, virus-derived small-interfering RNAs (vsiRNAs) from Nodamura virus (NoV), Sindbis virus (SINV), and Zika virus (ZIKV) enter the murine bloodstream via EVs for systemic circulation. vsiRNAs in the EVs are biologically active, since they confer RNA-RNA homology-dependent antiviral activity in both cultured cells and infant mice. Moreover, we demonstrate that vaccination with a live-attenuated virus, rendered deficient in RNAi suppression, induces production of stably maintained vsiRNAs and confers protective immunity against virus infection in mice. This suggests that vaccination with live-attenuated VSR (viral suppressor of RNAi)-deficient mutant viruses could be a new strategy to induce immunity.</t>
  </si>
  <si>
    <t>[Zhang, Yuqiang; Wang, Jiaxin; Xu, Yan; Li, Yang] Chinese Acad Sci, Inst Zool, CAS Key Lab Anim Ecol &amp; Conservat Biol, Beijing, Peoples R China; [Zhang, Yuqiang; Dai, Yunpeng; Wang, Jiaxin; Xu, Yan; Li, Zhe; Li, Yang] Fudan Univ, Sch Life Sci, State Key Lab Genet Engn, Shanghai, Peoples R China; [Lu, Jinfeng] Columbia Univ, Gertrude H Sergievsky Ctr, New York, NY 10027 USA; [Lu, Jinfeng; Shou-Wei Ding] Univ Calif Riverside, Dept Microbiol &amp; Plant Pathol, Riverside, CA 92521 USA; [Xu, Yongfen; Zhong, Jin] Chinese Acad Sci, Inst Pasteur Shanghai, Unit Viral Hepatitis, CAS Key Lab Mol Virol &amp; Immunol, Shanghai, Peoples R China; [Zhong, Jin; Li, Yang] Univ Chinese Acad Sci, Beijing, Peoples R China</t>
  </si>
  <si>
    <t>Chinese Academy of Sciences; Institute of Zoology, CAS; Fudan University; Columbia University; University of California System; University of California Riverside; Chinese Academy of Sciences; Shanghai Institutes for Biological Sciences, CAS; Le Reseau International des Instituts Pasteur (RIIP); Chinese Academy of Sciences; University of Chinese Academy of Sciences, CAS</t>
  </si>
  <si>
    <t>Li, Y (corresponding author), Chinese Acad Sci, Inst Zool, CAS Key Lab Anim Ecol &amp; Conservat Biol, Beijing, Peoples R China.;Li, Y (corresponding author), Fudan Univ, Sch Life Sci, State Key Lab Genet Engn, Shanghai, Peoples R China.;Ding, SW (corresponding author), Univ Calif Riverside, Dept Microbiol &amp; Plant Pathol, Riverside, CA 92521 USA.;Li, Y (corresponding author), Univ Chinese Acad Sci, Beijing, Peoples R China.</t>
  </si>
  <si>
    <t>shou-wei.ding@ucr.edu; yangli15@fudan.edu.cn</t>
  </si>
  <si>
    <t>Zhong, Jin/M-6859-2018</t>
  </si>
  <si>
    <t>Zhong, Jin/0000-0002-3554-1275; Yan, Xu/0000-0002-4758-1100; Ding, SW/0000-0002-4697-8413; li, yang/0000-0002-6065-4706</t>
  </si>
  <si>
    <t>0261-4189</t>
  </si>
  <si>
    <t>1460-2075</t>
  </si>
  <si>
    <t>JUN 1</t>
  </si>
  <si>
    <t>e109902</t>
  </si>
  <si>
    <t>10.15252/embj.2021109902</t>
  </si>
  <si>
    <t>MAR 2022</t>
  </si>
  <si>
    <t>WOS:000773533000001</t>
  </si>
  <si>
    <t>Huang, ZR; Li, XH; Qiu, M; Chen, J; Tian, M; Han, FZ; Ou, YQ; Liu, XQ; Zhou, CB; Yuan, HY; Zhuang, J; Chen, JM</t>
  </si>
  <si>
    <t>Huang, Zirui; Li, Xiaohong; Qiu, Min; Chen, Jing; Tian, Miao; Han, Fengzhen; Ou, Yanqiu; Liu, Xiaoqing; Zhou, Chengbin; Yuan, Haiyun; Zhuang, Jian; Chen, Jimei</t>
  </si>
  <si>
    <t>Weighted gene co-expression network analysis identifies key genes from extracellular vesicles as potential prognostic biomarkers for congenital pulmonary stenosis</t>
  </si>
  <si>
    <t>pulmonary stenosis; extracellular vesicle; co-expression module; biomarker</t>
  </si>
  <si>
    <t>HEART-DISEASE; GLUCOCORTICOID-RECEPTOR; RISK</t>
  </si>
  <si>
    <t>Pulmonary stenosis (PS) is a congenital heart disease characterized by a dynamic or fixed anatomic obstruction of blood flow from the right ventricle to the pulmonary arterial vasculature. In the present study, extracellular vesicle long RNAs (EVLRs) from pregnant females who had healthy infants or PS infants were analyzed by RNA sequencing, and their diagnostic potential for PS during pregnancy was evaluated. A method for the selection of genes that could be considered as informative for the prediction PS based on extracellular vesicles (EVs) from pregnant females using long-read RNA sequencing was developed. Blood samples were collected from females carrying fetuses with PS and females carrying unaffected fetuses (n=6 in each group). Physical characterization of EVs was performed using nanoparticle tracking analysis, transmission electron microscopy and western blotting. EVLRs from plasma were profiled by RNA sequencing and mRNA co-expression modules were constructed by weighted gene co-expression network analysis (WGCNA). Gene Ontology (GO) enrichment analysis was used to predict the function of the genes in each module. Hub genes were filtered out based on WGCNA and visualized using Cytoscape. EVLRs consisted of mRNAs, microRNAs and long non-coding RNA. Overall, 26 modules were identified containing 16,394 genes. All modules were independent of each other. One particular module, referred to as the blue module, was markedly different between the two groups. A total of 735 hub genes in the blue module were identified, of which 33 were visualized, demonstrating the connection between these hub genes. GO enrichment analysis demonstrated that the analyzed hub genes were enriched in 'glucose transport', 'ATP-dependent chromatin remodeling', 'histone deacetylation', 'histone H3-K4 methylation', 'DNA methylation', 'apoptotic signaling pathway' and 'glucocorticoid receptor signaling pathway'. The hub genes identified in this module may provide a genetic framework for prenatal PS diagnosis. Furthermore, functional analysis of these associated genes may provide a theoretical basis for further research on PS pathogenesis.</t>
  </si>
  <si>
    <t>[Huang, Zirui; Li, Xiaohong; Chen, Jing; Zhou, Chengbin; Yuan, Haiyun; Zhuang, Jian; Chen, Jimei] South China Univ Technol, Sch Med, Guangdong Cardiovasc Inst, Guangdong Prov Key Lab South China Struct Heart D, Guangzhou, Peoples R China; [Huang, Zirui; Qiu, Min; Tian, Miao; Zhuang, Jian; Chen, Jimei] South China Univ Technol, Sch Med, Guangzhou, Peoples R China; [Huang, Zirui; Tian, Miao] Guangdong Acad Med Sci, Guangdong Prov Peoples Hosp, Guangdong Cardiovasc Inst, Dept Cardiovasc Surg, Guangzhou 510080, Guangdong, Peoples R China; [Han, Fengzhen] Guangdong Acad Med Sci, Guangdong Prov Peoples Hosp, Guangdong Cardiovasc Inst, Dept Obstet &amp; Gynecol, Guangzhou 510080, Guangdong, Peoples R China; [Ou, Yanqiu; Liu, Xiaoqing] Guangdong Acad Med Sci, Guangdong Prov Peoples Hosp, Guangdong Cardiovasc Inst, Dept Epidemiol, Guangzhou 510080, Guangdong, Peoples R China</t>
  </si>
  <si>
    <t>South China University of Technology; South China University of Technology; Guangdong Academy of Medical Sciences &amp; Guangdong General Hospital; Guangdong Academy of Medical Sciences &amp; Guangdong General Hospital; Guangdong Academy of Medical Sciences &amp; Guangdong General Hospital</t>
  </si>
  <si>
    <t>Zhuang, J; Chen, JM (corresponding author), Guangdong Cardiovasc Inst, Guangdong Prov Key Lab South China Struct Heart D, 106 Zhongshan Second Rd, Guangzhou 510080, Guangdong, Peoples R China.</t>
  </si>
  <si>
    <t>drzhaungjian5413@163.com; jimei1965@gmail.com</t>
  </si>
  <si>
    <t>Ou, Yanqiu/AAJ-6251-2021</t>
  </si>
  <si>
    <t>10.3892/mmr.2020.11332</t>
  </si>
  <si>
    <t>WOS:000563936800089</t>
  </si>
  <si>
    <t>Waldenmaier, M; Schulte, L; Schoenfelder, J; Fuerstberger, A; Kraus, JM; Daiss, N; Seibold, T; Morawe, M; Ettrich, TJ; Kestler, HA; Kahlert, C; Seufferlein, T; Eiseler, T</t>
  </si>
  <si>
    <t>Waldenmaier, Mareike; Schulte, Lucas; Schoenfelder, Jonathan; Fuerstberger, Axel; Kraus, Johann M.; Daiss, Nora; Seibold, Tanja; Morawe, Mareen; Ettrich, Thomas J.; Kestler, Hans A.; Kahlert, Christoph; Seufferlein, Thomas; Eiseler, Tim</t>
  </si>
  <si>
    <t>Comparative Panel Sequencing of DNA Variants in cf-, ev- and tumorDNA for Pancreatic Ductal Adenocarcinoma Patients</t>
  </si>
  <si>
    <t>liquid biopsy; PDAC; extracellular vesicles; exosomes; cfDNA; next-generation sequencing</t>
  </si>
  <si>
    <t>BREAST-CANCER; LIQUID BIOPSY; EXOSOMES; IDENTIFICATION; POLYMORPHISM; RESISTANCE; TISSUE; ERCC5; KRAS</t>
  </si>
  <si>
    <t>Simple Summary Pancreatic ductal adenocarcinoma (PDAC) has still a dismal prognosis. To improve treatment, personalized medicine uses next-generation DNA sequencing to monitor disease and guide treatment decisions. Tumor samples for sequencing are usually obtained by invasive fine-needle biopsy. Recently, the focus has been increasingly shifting to blood-based liquid biopsies, including circulating free (cf)DNA or DNA isolated from extracellular vesicles (evDNA). To evaluate the detection performance of DNA alterations, we directly compared tumor-, cf- and evDNA from patients with advanced PDAC upon panel sequencing. Copy number variations (CNVs), single nucleotide variants (SNVs) and insertions and deletions (indels) were compared for their concordance with tumorDNA. Compared to cfDNA, evDNA contained significantly larger DNA fragments, which improved the concordance of SNVs and indels with tumorDNA. In line with previous observations, CNV detection was mostly uninformative for cf- and evDNA. However, the combination of both liquid biopsy analytes was clearly superior for SNV detection, pointing to potentially improved actionable variant prediction. Pancreatic ductal adenocarcinomas (PDACs) are tumors with poor prognosis and limited treatment options. Personalized medicine aims at characterizing actionable DNA variants by next-generation sequencing, thereby improving treatment strategies and outcomes. Fine-needle tumor biopsies are currently the gold standard to acquire samples for DNA profiling. However, liquid biopsies have considerable advantages as they are minimally invasive and frequently obtainable and thus may help to monitor tumor evolution over time. However, which liquid analyte works best for this purpose is currently unclear. Our study aims to directly compare tumor-, circulating free (cf-) and extracellular vesicle-derived (ev)DNA by panel sequencing of matching patient material. We evaluated copy number variations (CNVs), single nucleotide variants (SNVs) and insertions and deletions (indels). Our data show that evDNA contains significantly larger DNA fragments up to 5.5 kb, in line with previous observations. Stringent bioinformatic processing revealed a significant advantage of evDNA with respect to cfDNA concerning detection performance for SNVs and a numerical increase for indels. A combination of ev- and cfDNA was clearly superior for SNV detection, as compared to either single analyte, thus potentially improving actionable variant prediction upon further optimization. Finally, calling of CNVs from liquid biopsies still remained challenging and uninformative.</t>
  </si>
  <si>
    <t>[Waldenmaier, Mareike; Schulte, Lucas; Schoenfelder, Jonathan; Daiss, Nora; Seibold, Tanja; Morawe, Mareen; Ettrich, Thomas J.; Seufferlein, Thomas; Eiseler, Tim] Univ Clin Ulm, Dept Internal Med, D-89081 Ulm, Germany; [Fuerstberger, Axel; Kraus, Johann M.; Kestler, Hans A.] Univ Ulm, Inst Med Syst Biol, D-89081 Ulm, Germany; [Kahlert, Christoph] Univ Clin Carl Gustav Carus Dresden, Dept Gen Visceral &amp; Vasc Surg, D-01307 Dresden, Germany</t>
  </si>
  <si>
    <t>Ulm University; Ulm University; Technische Universitat Dresden; Carl Gustav Carus University Hospital</t>
  </si>
  <si>
    <t>Seufferlein, T; Eiseler, T (corresponding author), Univ Clin Ulm, Dept Internal Med, D-89081 Ulm, Germany.</t>
  </si>
  <si>
    <t>mareike.waldenmaier@uniklinik-ulm.de; mareike.waldenmaier@uniklinik-ulm.de; mareike.waldenmaier@uniklinik-ulm.de; mareike.waldenmaier@uniklinik-ulm.de; mareike.waldenmaier@uniklinik-ulm.de; nora.daiss@uniklinik-ulm.de; tanja.seibold@uniklinik-ulm.de; mareen.morawe@uniklinik-ulm.de; mareike.waldenmaier@uniklinik-ulm.de; mareike.waldenmaier@uniklinik-ulm.de; christoph.kahlert@uniklinikum-dresden.de; mareike.waldenmaier@uniklinik-ulm.de; mareike.waldenmaier@uniklinik-ulm.de</t>
  </si>
  <si>
    <t>; Kestler, Hans A./D-5799-2012</t>
  </si>
  <si>
    <t>Ettrich, Thomas J./0000-0002-7654-2442; Furstberger, Axel/0000-0001-6907-9077; Kestler, Hans A./0000-0002-4759-5254; Seibold, Tanja/0000-0003-0573-9798; Waldenmaier, Mareike/0000-0002-6220-512X; Eiseler, Tim/0000-0001-7819-4659</t>
  </si>
  <si>
    <t>10.3390/cancers14041074</t>
  </si>
  <si>
    <t>WOS:000770838100001</t>
  </si>
  <si>
    <t>Kato, M; Nakamoto, R; Ishizuka, M; Watanabe, N</t>
  </si>
  <si>
    <t>Kato, Masaru; Nakamoto, Riho; Ishizuka, Masaki; Watanabe, Noriko</t>
  </si>
  <si>
    <t>Facile and simple purification method for small extracellular vesicles obtained from a culture medium through cationic particle capture</t>
  </si>
  <si>
    <t>ANALYTICAL AND BIOANALYTICAL CHEMISTRY</t>
  </si>
  <si>
    <t>Small extracellular vesicles; Purification; Culture medium; Cationic particles</t>
  </si>
  <si>
    <t>Although small extracellular vesicles (sEVs) carry DNA, miRNA, and proteins, and they play an important role in long-distance intercellular communication, their generation and circulation mechanisms are unclear. sEVs can be used as biomarkers for the early diagnosis of diseases (e.g., cancer, Alzheimer's disease, melanoma, and cardiovascular diseases) and as drug delivery carriers to the target tissues. Hence, sEVs are attracting considerable attention from scientists and medical professionals. In the present study, we investigated four different commercially available cationic particles (two silica particles modified with diethylaminopropyl or trimethylaminopropyl groups, and two agarose particles modified with diethylaminopropyl or trimethylaminopropyl groups) for the purification of sEVs obtained from a cell culture medium. All the cationic particles captured the sEVs well. The NaCl concentrations required for elution of the captured sEVs differed for the different cationic particles. sEVs were most efficiently captured by silica particles modified with diethylaminopropyl groups, and they were eluted from these particles using 200 mM NaCl as the elution solution. Because the developed method can be used to easily purify sEVs obtained from a culture medium, it is expected to facilitate the functional analysis of sEVs, as well as early diagnosis and treatment of diseases using sEVs.</t>
  </si>
  <si>
    <t>[Kato, Masaru; Nakamoto, Riho; Ishizuka, Masaki; Watanabe, Noriko] Showa Univ, Sch Pharm, Div Bioanalyt Chem, Shinagawa Ku, 1-5-8 Hatanodai, Tokyo 1428555, Japan</t>
  </si>
  <si>
    <t>Showa University</t>
  </si>
  <si>
    <t>Kato, M (corresponding author), Showa Univ, Sch Pharm, Div Bioanalyt Chem, Shinagawa Ku, 1-5-8 Hatanodai, Tokyo 1428555, Japan.</t>
  </si>
  <si>
    <t>masaru-kato@umin.ac.jp</t>
  </si>
  <si>
    <t>1618-2642</t>
  </si>
  <si>
    <t>1618-2650</t>
  </si>
  <si>
    <t>10.1007/s00216-021-03207-9</t>
  </si>
  <si>
    <t>WOS:000616738800001</t>
  </si>
  <si>
    <t>Liu, JR; Wang, X</t>
  </si>
  <si>
    <t>Liu, Jiarui; Wang, Xin</t>
  </si>
  <si>
    <t>Focus on exosomes-From pathogenic mechanisms to the potential clinical application value in lymphoma</t>
  </si>
  <si>
    <t>exosome; extracellular vesicle; leukemia; lymphoma; mesenchymal stem cell; therapy</t>
  </si>
  <si>
    <t>MESENCHYMAL STEM-CELLS; STROMAL CELLS; BONE-MARROW; EXTRACELLULAR VESICLES; DELIVERY; INHIBIT; GROWTH; ANGIOGENESIS; DOXORUBICIN; NICHE</t>
  </si>
  <si>
    <t>Exosomes are highly specialized and functional bilayer membranous particles. They have been considered as vehicles for transporting and delivering a large number of proteins, lipids, and nucleic acids (gene, noncoding RNA, DNA) from parental to recipient cells. In hematological malignancies, exosomes are involved in the tumorigenesis, including producing growth factors, hindering antitumor immunoreaction, promote inflammation, angiogenesis, and hypercoagulation. With the deepening of understanding, exosomes have ignited great interests and ever-increasing efforts into the therapeutic application among scientists, such as biomarkers, therapeutic target, drug delivery system, and vaccines. Here, we discuss the most recent studies on the functions and the emerging therapeutic applications of exosomes in lymphoma.</t>
  </si>
  <si>
    <t>[Liu, Jiarui; Wang, Xin] Shandong Univ, Dept Hematol, Shandong Prov Hosp, 324 Jingwu Rd, Jinan 250021, Shandong, Peoples R China; [Liu, Jiarui; Wang, Xin] Shandong Univ, Sch Med, Jinan, Shandong, Peoples R China; [Wang, Xin] Shandong Prov Engn Res Ctr Lymphoma, Jinan, Shandong, Peoples R China; [Wang, Xin] Key Lab Kidney Regenerat Shandong Prov, Jinan, Shandong, Peoples R China</t>
  </si>
  <si>
    <t>Shandong First Medical University &amp; Shandong Academy of Medical Sciences; Shandong University; Shandong University</t>
  </si>
  <si>
    <t>Wang, X (corresponding author), Shandong Univ, Dept Hematol, Shandong Prov Hosp, 324 Jingwu Rd, Jinan 250021, Shandong, Peoples R China.</t>
  </si>
  <si>
    <t>xinw@sdu.edu.cn</t>
  </si>
  <si>
    <t>10.1002/jcb.29241</t>
  </si>
  <si>
    <t>AUG 2019</t>
  </si>
  <si>
    <t>WOS:000483567900001</t>
  </si>
  <si>
    <t>Zabegina, L; Nazarova, I; Nikiforova, N; Slyusarenko, M; Sidina, E; Knyazeva, M; Tsyrlina, E; Novikov, S; Reva, S; Malek, A</t>
  </si>
  <si>
    <t>Zabegina, Lidia; Nazarova, Inga; Nikiforova, Nadezhda; Slyusarenko, Maria; Sidina, Elena; Knyazeva, Margarita; Tsyrlina, Evgenia; Novikov, Sergey; Reva, Sergey; Malek, Anastasia</t>
  </si>
  <si>
    <t>A New Approach for Prostate Cancer Diagnosis by miRNA Profiling of Prostate-Derived Plasma Small Extracellular Vesicles</t>
  </si>
  <si>
    <t>prostate cancer; diagnostics; small extracellular vesicles; SEVs; microRNA; miRNA; PSMA; PSMA(+)SEVs; click chemistry</t>
  </si>
  <si>
    <t>LIGANDS; PSMA</t>
  </si>
  <si>
    <t>Vesicular miRNA has emerged as a promising marker for various types of cancer, including prostate cancer (PC). In the advanced stage of PC, the cancer-cell-derived small extracellular vesicles (SEVs) may constitute a significant portion of circulating vesicles and may mediate a detectable change in the plasma vesicular miRNA profile. However, SEVs secreted by small tumor in the prostate gland constitute a tiny fraction of circulating vesicles and cause undetectable miRNA pattern changes. Thus, the isolation and miRNA profiling of a specific prostate-derived fraction of SEVs can improve the diagnostic potency of the methods based on vesicular miRNA analysis. Prostate-specific membrane antigen (PSMA) was selected as a marker of prostate-derived SEVs. Super-paramagnetic beads (SPMBs) were functionalized by PSMA-binding DNA aptamer (PSMA-Apt) via a click reaction. The efficacy of SPMB-PSMA-Apt complex formation and PSMA(+)SEVs capture were assayed by flow cytometry. miRNA was isolated from the total population of SEVs and PSMA(+)SEVs of PC patients (n = 55) and healthy donors (n = 30). Four PC-related miRNAs (miR-145, miR-451a, miR-143, and miR-221) were assayed by RT-PCR. The click chemistry allowed fixing DNA aptamers onto the surface of SPMB with an efficacy of up to 89.9%. The developed method more effectively isolates PSMA(+)SEVs than relevant antibody-based technology. The analysis of PC-related miRNA in the fraction of PSMA(+)SEVs was more sensitive and revealed distinct diagnostic potency (AUC: miR-145, 0.76; miR-221, 0.7; miR-451a, 0.65; and miR-141, 0.64) than analysis of the total SEV population. Thus, isolation of prostate-specific SEVs followed by analysis of vesicular miRNA might be a promising PC diagnosis method.</t>
  </si>
  <si>
    <t>[Zabegina, Lidia; Nazarova, Inga; Nikiforova, Nadezhda; Slyusarenko, Maria; Sidina, Elena; Knyazeva, Margarita; Tsyrlina, Evgenia; Novikov, Sergey; Malek, Anastasia] NN Petrov Natl Med Res Ctr Oncol, Dept Radiotherapy, Subcellular Technol Lab, St Petersburg 197758, Russia; [Knyazeva, Margarita; Malek, Anastasia] Oncosystem Ltd, Moscow 121205, Russia; [Reva, Sergey] Pavlov First St Petersburg State Med Univ, Dept Androl &amp; Urol, Res Ctr Urol, St Petersburg 197022, Russia</t>
  </si>
  <si>
    <t>Pavlov First Saint Petersburg State Medical University</t>
  </si>
  <si>
    <t>Zabegina, L; Malek, A (corresponding author), NN Petrov Natl Med Res Ctr Oncol, Dept Radiotherapy, Subcellular Technol Lab, St Petersburg 197758, Russia.;Malek, A (corresponding author), Oncosystem Ltd, Moscow 121205, Russia.</t>
  </si>
  <si>
    <t>lidusikza@yandex.ru; oblaka12@mail.ru; niki2naden_ka@mail.ru; slusarenko_masha@mail.ru; sidina@mail.ru; margo9793@gmail.com; evg.tsyrlina@gmail.com; krokon@mail.ru; sgreva79@mail.ru; anastasia@malek.com</t>
  </si>
  <si>
    <t>Nikiforova, Nadezhda/AAU-8155-2020; Malek, Anastasia V/R-8804-2016</t>
  </si>
  <si>
    <t>Nikiforova, Nadezhda/0000-0001-7464-4237; Malek, Anastasia V/0000-0001-5334-7292; Knazeva, Margarita/0000-0002-2079-5061; Nazarova, Inga/0000-0002-6812-3088; Slyusarenko, Maria/0000-0002-3677-1558</t>
  </si>
  <si>
    <t>10.3390/cells10092372</t>
  </si>
  <si>
    <t>WOS:000699411900001</t>
  </si>
  <si>
    <t>Nishimura, T; Oyama, T; Hu, HT; Fujioka, T; Hanawa-Suetsugu, K; Ikeda, K; Yamada, S; Kawana, H; Saigusa, D; Ikeda, H; Kurata, R; Oono-Yakura, K; Kitamata, M; Kida, K; Hikita, T; Mizutani, K; Yasuhara, K; Mimori-Kiyosue, Y; Oneyama, C; Kurimoto, K; Hosokawa, Y; Aoki, J; Takai, Y; Arita, M; Suetsugu, S</t>
  </si>
  <si>
    <t>Nishimura, Tamako; Oyama, Takuya; Hu, Hooi Ting; Fujioka, Toshifumi; Hanawa-Suetsugu, Kyoko; Ikeda, Kazutaka; Yamada, Sohei; Kawana, Hiroki; Saigusa, Daisuke; Ikeda, Hiroki; Kurata, Rie; Oono-Yakura, Kayoko; Kitamata, Manabu; Kida, Kazuki; Hikita, Tomoya; Mizutani, Kiyohito; Yasuhara, Kazuma; Mimori-Kiyosue, Yuko; Oneyama, Chitose; Kurimoto, Kazuki; Hosokawa, Yoichiroh; Aoki, Junken; Takai, Yoshimi; Arita, Makoto; Suetsugu, Shiro</t>
  </si>
  <si>
    <t>Filopodium-derived vesicles produced by MIM enhance the migration of recipient cells</t>
  </si>
  <si>
    <t>DEVELOPMENTAL CELL</t>
  </si>
  <si>
    <t>METASTASIS SUPPRESSOR GENE; MISSING-IN-METASTASIS; EXTRACELLULAR VESICLES; PULMONARY CAPILLARIES; PLASMA-MEMBRANE; HOMOLOGY DOMAIN; SHEDDING LIGHT; EXOSOMES; BAR; MICROVESICLES</t>
  </si>
  <si>
    <t>Extracellular vesicles (EVs) are classified as large EVs (l-EVs, or microvesicles) and small EVs (s-EVs, or exosomes). S-EVs are thought to be generated from endosomes through a process that mainly depends on the ESCRT protein complex, including ALG-2 interacting protein X (ALIX). However, the mechanisms of l-EV generation from the plasma membrane have not been identified. Membrane curvatures are generated by the bin-amphiphysin-rvs (BAR) family proteins, among which the inverse BAR (I-BAR) proteins are involved in filopodial protrusions. Here, we show that the I-BAR proteins, including missing in metastasis (MIM), generate l-EVs by scission of filopodia. Interestingly, MIM-containing l-EV production was promoted by in vivo equivalent external forces and by the suppression of ALIX, suggesting an alternative mechanism of vesicle formation to s-EVs. The MIM-dependent l-EVs contained lysophospholipids and proteins, including IRS4 and Rac1, which stimulated the migration of recipient cells through lamellipodia formation. Thus, these filopodia-dependent l-EVs, which we named as filopodia-derived vesicles (FDVs), modify cellular behavior.</t>
  </si>
  <si>
    <t>[Nishimura, Tamako; Oyama, Takuya; Hu, Hooi Ting; Fujioka, Toshifumi; Hanawa-Suetsugu, Kyoko; Kurata, Rie; Oono-Yakura, Kayoko; Kitamata, Manabu; Kida, Kazuki; Suetsugu, Shiro] Nara Inst Sci &amp; Technol, Div Biol Sci, Ikoma 6300192, Japan; [Ikeda, Kazutaka; Arita, Makoto] RIKEN Ctr Integrat Med Sci, Lab Metabol, Yokohama, Kanagawa 2300045, Japan; [Ikeda, Kazutaka; Arita, Makoto] Yokohama City Univ, Grad Sch Med Life Sci, Cellular &amp; Mol Epigenet Lab, Yokohama, Kanagawa 2300045, Japan; [Ikeda, Kazutaka] Kazusa DNA Res Inst, 2-6-7 Kazusa, Kisarazu, Chiba 2920818, Japan; [Yamada, Sohei; Yasuhara, Kazuma; Hosokawa, Yoichiroh] Nara Inst Sci &amp; Technol, Div Mat Sci, Ikoma 6300192, Japan; [Kawana, Hiroki; Aoki, Junken] Univ Tokyo, Grad Sch Pharmaceut Sci, Lab Hlth Chem, Bunkyo Ku, Tokyo 1130033, Japan; [Saigusa, Daisuke] Tohoku Univ, Tohoku Med Megabank Org, Aoba Ku, 2-1 Seiryo Machi, Sendai, Miyagi 9808573, Japan; [Ikeda, Hiroki; Kurimoto, Kazuki] Nara Med Univ, Dept Embryol, Kashihara, Nara 6340813, Japan; [Hikita, Tomoya; Oneyama, Chitose] Aichi Canc Ctr, Div Canc Cell Regulat, Res Inst, Chikusa Ku, 1-1 Kanokoden, Nagoya, Aichi 4648681, Japan; [Mizutani, Kiyohito; Takai, Yoshimi] Kobe Univ, Dept Biochem &amp; Mol Biol, Grad Sch Med, Kobe, Hyogo 6500047, Japan; [Mimori-Kiyosue, Yuko] RIKEN, Lab Mol &amp; Cellular Dynam, Ctr Biosyst Dynam Res, Chuo Ku, Minatojima Minaminachi, Kobe, Hyogo 6500047, Japan; [Arita, Makoto] Keio Univ, Grad Sch Pharmaceut Sci, Div Physiol Chem &amp; Metab, Tokyo 1050011, Japan; [Suetsugu, Shiro] Nara Inst Sci &amp; Technol, Data Sci Ctr, Ikoma 6300192, Japan; [Hanawa-Suetsugu, Kyoko] Doshisha Univ, Grad Sch Brain Sci, Kyotanabe, Kyoto 6100394, Japan; [Kitamata, Manabu] Tokyo Univ Pharm &amp; Life Sci, Lab Genome &amp; Biosignals, Sch Life Sci, 1432-1 Horinouchi, Hachioji, Tokyo 1920392, Japan</t>
  </si>
  <si>
    <t>Nara Institute of Science &amp; Technology; RIKEN; Yokohama City University; Kazusa DNA Research Institute; Nara Institute of Science &amp; Technology; University of Tokyo; Tohoku University; Nara Medical University; Aichi Cancer Center; Kobe University; RIKEN; Keio University; Nara Institute of Science &amp; Technology; Doshisha University; Tokyo University of Pharmacy &amp; Life Sciences</t>
  </si>
  <si>
    <t>Suetsugu, S (corresponding author), Nara Inst Sci &amp; Technol, Div Biol Sci, Ikoma 6300192, Japan.</t>
  </si>
  <si>
    <t>suetsugu@bs.naist.jp</t>
  </si>
  <si>
    <t>Suetsugu, Shiro/B-3300-2010; Suetsugu, Shiro/AAF-4427-2019</t>
  </si>
  <si>
    <t>Suetsugu, Shiro/0000-0002-4612-0628; Suetsugu, Shiro/0000-0002-4612-0628; Arita, Makoto/0000-0001-9902-0463; Yamada, Sohei/0000-0002-0503-2939</t>
  </si>
  <si>
    <t>1534-5807</t>
  </si>
  <si>
    <t>1878-1551</t>
  </si>
  <si>
    <t>MAR 22</t>
  </si>
  <si>
    <t>10.1016/j.devcel.2021.02.029</t>
  </si>
  <si>
    <t>WOS:000631681200012</t>
  </si>
  <si>
    <t>Bathini, S; Raju, D; Badilescu, S; Kumar, A; Ouellette, RJ; Ghosh, A; Packirisamy, M</t>
  </si>
  <si>
    <t>Bathini, S.; Raju, D.; Badilescu, S.; Kumar, A.; Ouellette, R. J.; Ghosh, A.; Packirisamy, M.</t>
  </si>
  <si>
    <t>Nano-Bio Interactions of Extracellular Vesicles with Gold Nanoislands for Early Cancer Diagnosis</t>
  </si>
  <si>
    <t>RESEARCH</t>
  </si>
  <si>
    <t>Extracellular vesicles or exosomes are membrane encapsulated biological nanometric particles secreted virtually by all types of cells throughout the animal kingdom. They carry a cargo of active molecules to proximal and distal cells of the body as mechanism of physiological communication, to maintain natural homeostasis as well as pathological responses. Exosomes carry a tremendous potential for liquid biopsy and therapeutic applications. Thus, there is a global demand for simple and robust exosome isolation methods amenable to point-of-care diagnosis and quality control of therapeutic exosome manufacturing. This can be achieved by molecular profiling of the exosomes for use with specific sets of molecular-markers for diagnosis and quality control. Liquid biopsy is undoubtedly the most promising diagnosis process to advance personalized medicine. Currently, liquid biopsy is based on circulating cancer cells, cell free-DNA, or exosomes. Exosomes potentially provide promise for early-stage diagnostic possibility; in order to facilitate superior diagnosis and isolation of exosomes, a novel platform is developed to detect and capture them, based on localized surface plasmon resonance (LSPR) of gold nanoislands, through strong affinity between exosomes and peptide called Venceremin or Vn96. Physical modeling, based on the characteristics of the gold nanoislands and the bioentities involved in the sensing, is also developed to determine the detection capability of the platform, which is optimized experimentally at each stage. Preliminary results and modeling present a relationship between the plasmonic shift and the concentration of exosomes and, essentially, indicate possibilities for label-free early diagnosis.</t>
  </si>
  <si>
    <t>[Bathini, S.; Raju, D.; Badilescu, S.; Packirisamy, M.] Concordia Univ, Dept Mech Ind &amp; Aerosp Engn, Opt Biomicrosyst Lab, Montreal, PQ, Canada; [Kumar, A.; Ouellette, R. J.; Ghosh, A.] Atlantic Canc Res Inst, Moncton, NB, Canada</t>
  </si>
  <si>
    <t>Packirisamy, M (corresponding author), Concordia Univ, Dept Mech Ind &amp; Aerosp Engn, Opt Biomicrosyst Lab, Montreal, PQ, Canada.;Ghosh, A (corresponding author), Atlantic Canc Res Inst, Moncton, NB, Canada.</t>
  </si>
  <si>
    <t>anirbang@canceratl.ca; pmuthu@alcor.concordia.ca</t>
  </si>
  <si>
    <t>Packirisamy, Muthukumaran/AAJ-4028-2021; Kumar, Awanit/ABI-8360-2020</t>
  </si>
  <si>
    <t>Bathini, Srinivas/0000-0001-6600-8505</t>
  </si>
  <si>
    <t>2639-5274</t>
  </si>
  <si>
    <t>UNSP 3917986</t>
  </si>
  <si>
    <t>10.1155/2018/3917986</t>
  </si>
  <si>
    <t>WOS:000524979500008</t>
  </si>
  <si>
    <t>Yadav, S; Boriachek, K; Islam, MN; Lobb, R; Moller, A; Hill, MM; Al Hossain, MS; Nguyen, NT; Shiddiky, MJA</t>
  </si>
  <si>
    <t>Yadav, Sharda; Boriachek, Kseniia; Islam, Md Nazmul; Lobb, Richard; Moller, Andreas; Hill, Michelle M.; Al Hossain, Md Shahriar; Nam-Trung Nguyen; Shiddiky, Muhammad J. A.</t>
  </si>
  <si>
    <t>An Electrochemical Method for the Detection of Disease-Specific Exosomes</t>
  </si>
  <si>
    <t>CHEMELECTROCHEM</t>
  </si>
  <si>
    <t>disease-specific exosomes; electrochemical detection; exosomal biomarkers; exosome detection; screen-printed electrodes</t>
  </si>
  <si>
    <t>PRINTED GOLD ELECTRODES; BREAST-CANCER; CELLS; QUANTIFICATION; BIOGENESIS; VESICLES; EXPRESSION; MICRORNAS; BIOMARKER; DNA</t>
  </si>
  <si>
    <t>Exosomes are cell-derived vesicles secreted by both normal and cancerous cells into the extracellular matrix and in blood circulation. Tumor-derived exosomes have attracted increasing attention in noninvasive cancer diagnosis and prognosis. However, their effective capture and specific detection pose significant technical challenges. Current detection methods largely fail to quantify the tumor-derived exosomes present in the total (bulk) exosome population derived from body fluids of cancer patients. In this proof-of-concept study, we report an electrochemical detection method to directly quantify the disease-specific exosomes present in cell culture media. The assay has a two-step design, where bulk exosome populations are initially captured by using a generic antibody (i.e. tetraspanin biomarker, CD9). Subsequent detection of the cancer-specific exosomes within the captured exosomes was carried out by using a cancer-specific antibody, in this case, a human epidermal growth factor receptor2 (HER-2) antibody, allowing quantification of HER2-postive, breast-cancer-derived exosomes. This approach exhibits excellent specificity for HER-2(+) BT-474 cell-derived exosomes (detection limit, 4.7 x 10(5) exosomes mu L-1) with a relative standard deviation of &lt; 4.9% (n = 3). We suggest that this simple and inexpensive electrochemical method could be an alternative for the quantification of exosome subpopulations in specific disease settings for future clinical bioassays.</t>
  </si>
  <si>
    <t>[Yadav, Sharda; Boriachek, Kseniia; Islam, Md Nazmul; Shiddiky, Muhammad J. A.] Griffith Univ, Sch Nat Sci, Nathan Campus, Nathan, Qld 4111, Australia; [Yadav, Sharda; Boriachek, Kseniia; Islam, Md Nazmul; Nam-Trung Nguyen; Shiddiky, Muhammad J. A.] Griffith Univ, Queensland Micro &amp; Nanotechnol Ctr, Nathan Campus, Nathan, Qld 4111, Australia; [Lobb, Richard; Moller, Andreas] QIMR Berghofer Med Res Inst, Tumour Micronevironm Lab, Herston Rd, Brisbane, Qld 4006, Australia; [Hill, Michelle M.] Univ Queensland, Diamantina Inst, Translat Res Inst, Brisbane, Qld 4102, Australia; [Al Hossain, Md Shahriar] Univ Wollongong, Australian Inst Innovat Mat, Inst Superconducting &amp; Elect Mat, Squires Way,Innovat Campus, North Wollongong, NSW 2519, Australia</t>
  </si>
  <si>
    <t>Griffith University; Griffith University; QIMR Berghofer Medical Research Institute; University of Queensland; University of Wollongong</t>
  </si>
  <si>
    <t>Shiddiky, MJA (corresponding author), Griffith Univ, Sch Nat Sci, Nathan Campus, Nathan, Qld 4111, Australia.;Shiddiky, MJA (corresponding author), Griffith Univ, Queensland Micro &amp; Nanotechnol Ctr, Nathan Campus, Nathan, Qld 4111, Australia.</t>
  </si>
  <si>
    <t>m.shiddiky@griffith.edu.au</t>
  </si>
  <si>
    <t>Hill, Michelle Mei Chih/G-4417-2010; Nguyen, Nam-Trung/A-4180-2008; Möller, Andreas/O-1063-2015; Shiddiky, Muhammad J. A./L-7165-2015; Yadav, Sharda/AAG-1076-2021; Islam, Nazmul/AAB-2197-2021; Islam, Nazmul/L-9194-2016</t>
  </si>
  <si>
    <t>Hill, Michelle Mei Chih/0000-0003-1134-0951; Nguyen, Nam-Trung/0000-0003-3626-5361; Möller, Andreas/0000-0002-8618-6998; Shiddiky, Muhammad J. A./0000-0003-4526-4109; Yadav, Sharda/0000-0002-5838-2270; Islam, Nazmul/0000-0003-4561-5845; Islam, Nazmul/0000-0003-4561-5845; Lobb, Richard/0000-0001-9548-8843; HOSSAIN, MD Shahriar/0000-0002-7291-9281</t>
  </si>
  <si>
    <t>2196-0216</t>
  </si>
  <si>
    <t>10.1002/celc.201600391</t>
  </si>
  <si>
    <t>Electrochemistry</t>
  </si>
  <si>
    <t>WOS:000399641500024</t>
  </si>
  <si>
    <t>Gupta, MP; Tandalam, S; Ostrager, S; Lever, AS; Fung, AR; Hurley, DD; Alegre, GB; Espinal, JE; Remmel, HL; Mukherjee, S; Levine, BM; Robins, RP; Molina, H; Dill, BD; Kenific, CM; Tuschl, T; Lyden, D; D'Amico, DJ; Pena, JTG</t>
  </si>
  <si>
    <t>Gupta, Mrinali P.; Tandalam, Sangeetha; Ostrager, Shariss; Lever, Alexander S.; Fung, Angus R.; Hurley, David D.; Alegre, Gemstonn B.; Espinal, Jasmin E.; Remmel, H. Lawrence; Mukherjee, Sushmita; Levine, Benjamin M.; Robins, Russell P.; Molina, Henrik; Dill, Brian D.; Kenific, Candia M.; Tuschl, Thomas; Lyden, David; D'Amico, Donald J.; Pena, John T. G.</t>
  </si>
  <si>
    <t>Non-reversible tissue fixation retains extracellular vesicles for in situ imaging</t>
  </si>
  <si>
    <t>NATURE METHODS</t>
  </si>
  <si>
    <t>MICROVESICLES; EXOSOMES; IDENTIFICATION; HYBRIDIZATION; FLUORESCENCE; FORMALDEHYDE; EXTRACTION; PROTEINS; PLATFORM; DNA</t>
  </si>
  <si>
    <t>Extracellular vesicles (EVs) are secreted nanosized particles with many biological functions and pathological associations. The inability to image EVs in fixed tissues has been a major limitation to understanding their role in healthy and diseased tissue microenvironments. Here, we show that crosslinking mammalian tissues with formaldehyde results in significant EV loss, which can be prevented by additional fixation with 1-ethyl-3-(3-dimethylaminopropyl) carbodiimide (EDC) for visualization of EVs in a range of normal and cancer tissues.</t>
  </si>
  <si>
    <t>[Gupta, Mrinali P.; Tandalam, Sangeetha; Ostrager, Shariss; Lever, Alexander S.; Fung, Angus R.; Hurley, David D.; Alegre, Gemstonn B.; Espinal, Jasmin E.; Remmel, H. Lawrence; Mukherjee, Sushmita; Levine, Benjamin M.; D'Amico, Donald J.; Pena, John T. G.] Weill Cornell Med, Dept Ophthalmol, New York, NY 10065 USA; [Gupta, Mrinali P.; Tandalam, Sangeetha; Ostrager, Shariss; Lever, Alexander S.; Fung, Angus R.; Hurley, David D.; Alegre, Gemstonn B.; Espinal, Jasmin E.; Remmel, H. Lawrence; Mukherjee, Sushmita; Levine, Benjamin M.; D'Amico, Donald J.; Pena, John T. G.] Weill Cornell Med, Margaret M Dyson Vis Res Inst, New York, NY 10065 USA; [Remmel, H. Lawrence] Univ Utrecht, Univ Med Ctr Utrecht, Dept Pathol, Utrecht, Netherlands; [Robins, Russell P.] Tulane Univ, Freeman Sch Business, New Orleans, LA 70118 USA; [Molina, Henrik; Dill, Brian D.] Rockefeller Univ, Prote Resource Ctr, 1230 York Ave, New York, NY 10021 USA; [Kenific, Candia M.; Lyden, David] Weill Cornell Med, Childrens Canc &amp; Blood Fdn Labs, Drukier Inst Childrens Hlth, Meyer Canc Ctr,Dept Pediat, New York, NY USA; [Kenific, Candia M.; Lyden, David] Weill Cornell Med, Childrens Canc &amp; Blood Fdn Labs, Drukier Inst Childrens Hlth, Meyer Canc Ctr,Dept Cell &amp; Dev Biol, New York, NY USA; [Tuschl, Thomas] Rockefeller Univ, Lab RNA Mol Biol, 1230 York Ave, New York, NY 10021 USA</t>
  </si>
  <si>
    <t>Cornell University; Cornell University; Utrecht University; Utrecht University Medical Center; Tulane University; Rockefeller University; Cornell University; Cornell University; Rockefeller University</t>
  </si>
  <si>
    <t>Pena, JTG (corresponding author), Weill Cornell Med, Dept Ophthalmol, New York, NY 10065 USA.;Pena, JTG (corresponding author), Weill Cornell Med, Margaret M Dyson Vis Res Inst, New York, NY 10065 USA.</t>
  </si>
  <si>
    <t>jpena65@gmail.com</t>
  </si>
  <si>
    <t>Tandalam, Sangeetha/0000-0002-3367-3979; Remmel, Harmon/0000-0002-5742-829X</t>
  </si>
  <si>
    <t>1548-7091</t>
  </si>
  <si>
    <t>1548-7105</t>
  </si>
  <si>
    <t>10.1038/s41592-019-0623-4</t>
  </si>
  <si>
    <t>WOS:000499653100027</t>
  </si>
  <si>
    <t>Laurenzana, I; Trino, S; Lamorte, D; Girasole, M; Dinarelli, S; De Stradis, A; Grieco, V; Maietti, M; Traficante, A; Statuto, T; Villani, O; Musto, P; Sgambato, A; De Luca, L; Caivano, A</t>
  </si>
  <si>
    <t>Laurenzana, Ilaria; Trino, Stefania; Lamorte, Daniela; Girasole, Marco; Dinarelli, Simone; De Stradis, Angelo; Grieco, Vitina; Maietti, Maddalena; Traficante, Antonio; Statuto, Teodora; Villani, Oreste; Musto, Pellegrino; Sgambato, Alessandro; De Luca, Luciana; Caivano, Antonella</t>
  </si>
  <si>
    <t>Analysis of Amount, Size, Protein Phenotype and Molecular Content of Circulating Extracellular Vesicles Identifies New Biomarkers in Multiple Myeloma</t>
  </si>
  <si>
    <t>INTERNATIONAL JOURNAL OF NANOMEDICINE</t>
  </si>
  <si>
    <t>extracellular vesicles; biomarkers; hematological malignancies; nanoparticle tracking analysis; flow cytometry; digital PCR</t>
  </si>
  <si>
    <t>CELL-FREE DNA; FLOW-CYTOMETRY; ACTIVATED PLATELETS; MUTANT KRAS; EXOSOMES; MICROVESICLES; PLASMA; MICRORNA-21; EXPRESSION; MICROSCOPY</t>
  </si>
  <si>
    <t>Introduction: Extracellular vesicles (EVs) are naturally secreted cellular lipid bilayer particles, which carry a selected molecular content. Owing to their systemic availability and their role in tumor pathogenesis, circulating EVs (cEVs) can be a valuable source of new biomarkers useful for tumor diagnosis, prognostication and monitoring. However, a precise approach for isolation and characterization of cEVs as tumor biomarkers, exportable in a clinical setting, has not been conclusively established. Methods: We developed a novel and laboratory-made procedure based on a bench centrifuge step which allows the isolation of serum cEVs suitable for subsequent characterization of their size, amount and phenotype by nanoparticle tracking analysis, microscopy and flow cytometry, and for nucleic acid assessment by digital PCR. Results: Applied to blood from healthy subjects (HSs) and tumor patients, our approach permitted from a small volume of serum (i) the isolation of a great amount of EVs enriched in small vesicles free from protein contaminants; (ii) a suitable and specific cell origin identification of EVs, and (iii) nucleic acid content assessment. In clonal plasma cell malignancy, like multiple myeloma (MM), our approach allowed us to identify specific MM EVs, and to characterize their size, concentration and microRNA content allowing significant discrimination between MM and HSs. Finally, EV associated biomarkers correlated with MM clinical parameters. Conclusion: Overall, our cEV based procedure can play an important role in malignancy biomarker discovery and then in real-time tumor monitoring using minimal invasive samples. From a practical point of view, it is smart (small sample volume), rapid (two hours), easy (no specific expertise required) and requirements are widely available in clinical laboratories.</t>
  </si>
  <si>
    <t>[Laurenzana, Ilaria; Trino, Stefania; Lamorte, Daniela] Ctr Riferimento Oncol Basilicata IRCCS CROB, Lab Preclin &amp; Translat Res, Rionero In Vulture, PZ, Italy; [Girasole, Marco; Dinarelli, Simone] Natl Res Council CNR, Inst Study Struct Matter, Rome, Italy; [De Stradis, Angelo] Natl Res Council CNR, Inst Sustainable Plant Protect, Bari, Italy; [Grieco, Vitina; Statuto, Teodora; De Luca, Luciana; Caivano, Antonella] Ctr Riferimento Oncol Basilicata IRCCS CROB, Lab Clin Res &amp; Adv Diagnost, Rionero In Vulture, PZ, Italy; [Maietti, Maddalena; Traficante, Antonio] Ctr Riferimento Oncol Basilicata IRCCS CROB, Unit Clin Pathol, Rionero In Vulture, PZ, Italy; [Villani, Oreste; Musto, Pellegrino] Ctr Riferimento Oncol Basilicata IRCCS CROB, Hematol &amp; Stem Cell Transplantat Unit, Rionero In Vulture, PZ, Italy; [Sgambato, Alessandro] Ctr Riferimento Oncol Basilicata IRCCS CROB, Sci Direct, Rionero In Vulture, PZ, Italy</t>
  </si>
  <si>
    <t>IRCCS CROB; Consiglio Nazionale delle Ricerche (CNR); Istituto per la Protezione Sostenibile delle Piante (IPSP-CNR); IRCCS CROB; IRCCS CROB; IRCCS CROB; IRCCS CROB</t>
  </si>
  <si>
    <t>Caivano, A (corresponding author), IRCCS CROB, Lab Clin Res &amp; Adv Diagnost, I-85028 Potenza, Italy.</t>
  </si>
  <si>
    <t>antonella.caivano@crob.it</t>
  </si>
  <si>
    <t>GIRASOLE, MARCO/I-6861-2013; Trino, Stefania/K-6574-2016</t>
  </si>
  <si>
    <t>GIRASOLE, MARCO/0000-0001-6146-2979; Grieco, Vitina/0000-0001-7670-4643; Trino, Stefania/0000-0002-0289-5288; CAIVANO, ANTONELLA/0000-0003-2502-4060</t>
  </si>
  <si>
    <t>1178-2013</t>
  </si>
  <si>
    <t>10.2147/IJN.S303391</t>
  </si>
  <si>
    <t>Nanoscience &amp; Nanotechnology; Pharmacology &amp; Pharmacy</t>
  </si>
  <si>
    <t>Science &amp; Technology - Other Topics; Pharmacology &amp; Pharmacy</t>
  </si>
  <si>
    <t>WOS:000648450100001</t>
  </si>
  <si>
    <t>Aucamp, J; Bronkhorst, AJ; Badenhorst, CPS; Pretorius, PJ</t>
  </si>
  <si>
    <t>Aucamp, Janine; Bronkhorst, Abel J.; Badenhorst, Christoffel P. S.; Pretorius, Piet J.</t>
  </si>
  <si>
    <t>A historical and evolutionary perspective on the biological significance of circulating DNA and extracellular vesicles</t>
  </si>
  <si>
    <t>Inheritance of acquired characteristics; Pangenesis; Metabolic DNA; Genometastasis; Virtosomes; Lateral gene transfer</t>
  </si>
  <si>
    <t>CELL-FREE DNA; FREE PLASMA DNA; BACTERIAL DEOXYRIBONUCLEIC-ACID; NUCLEIC-ACIDS; METABOLIC DNA; EPIGENETIC INHERITANCE; SPONTANEOUS RELEASE; HORIZONTAL TRANSFER; HUMAN-LYMPHOCYTES; DRUG-RESISTANCE</t>
  </si>
  <si>
    <t>The discovery of quantitative and qualitative differences of the circulating DNA (cirDNA) between healthy and diseased individuals inclined researchers to investigate these molecules as potential biomarkers for non-invasive diagnosis and prognosis of various pathologies. However, except for some prenatal tests, cirDNA analyses have not been readily translated to clinical practice due to a lack of knowledge regarding its composition, function, and biological and evolutionary origins. We believe that, to fully grasp the nature of cirDNA and the extracellular vesicles (EVs) and protein complexes with which it is associated, it is necessary to probe the early and badly neglected work that contributed to the discovery and development of these concepts. Accordingly, this review consists of a schematic summary of the major events that developed and integrated the concepts of heredity, genetic information, cirDNA, EVs, and protein complexes. CirDNA enters target cells and provokes a myriad of gene regulatory effects associated with the messaging functions of various natures, disease progression, somatic genome variation, and transgenerational inheritance. This challenges the traditional views on each of the former topics. All of these discoveries can be traced directly back to the iconic works of Darwin, Lamarck, and their followers. The history of cirDNA that has been revisited here is rich in information that should be considered in clinical practice, when designing new experiments, and should be very useful for generating an empirically up-to-date view of cirDNA and EVs. Furthermore, we hope that it will invite many flights of speculation and stimulate further inquiry into its biological and evolutionary origins.</t>
  </si>
  <si>
    <t>[Aucamp, Janine; Bronkhorst, Abel J.; Pretorius, Piet J.] North West Univ, Div Biochem, Ctr Human Metabol, ZA-2520 Potchefstroom, South Africa; [Badenhorst, Christoffel P. S.] Univ Greifswald, Inst Biochem, Dept Biotechnol &amp; Enzyme Catalysis, Felix Hausdorff Str 4, D-17487 Greifswald, Germany</t>
  </si>
  <si>
    <t>North West University - South Africa; Ernst Moritz Arndt Universitat Greifswald</t>
  </si>
  <si>
    <t>Badenhorst, Chris/CAF-6407-2022</t>
  </si>
  <si>
    <t>Badenhorst, Chris/0000-0002-5874-4577</t>
  </si>
  <si>
    <t>10.1007/s00018-016-2370-3</t>
  </si>
  <si>
    <t>WOS:000386696300001</t>
  </si>
  <si>
    <t>Li, YK; Deng, JQ; Han, ZW; Liu, C; Tian, F; Xu, R; Han, D; Zhang, SH; Sun, JS</t>
  </si>
  <si>
    <t>Li, Yike; Deng, Jinqi; Han, Ziwei; Liu, Chao; Tian, Fei; Xu, Rui; Han, Da; Zhang, Shaohua; Sun, Jiashu</t>
  </si>
  <si>
    <t>Molecular Identification of Tumor-Derived Extracellular Vesicles Using Thermophoresis-Mediated DNA Computation</t>
  </si>
  <si>
    <t>Molecular profiling of tumor-derived extracellular vesicles (tEVs) holds great promise for non-invasive cancer diagnosis. However, sensitive and accurate identification of tEVs is challenged by the heterogeneity of EV phenotypes which reflect different cell origins. Here we present a DNA computation device mediated by thermophoresis for detection of tEVs. The strategy leverages the aptamer-based logic gate using multiple protein biomarkers on single EVs as the input and thermophoretic accumulation to amplify the output signals for highly sensitive and specific profiling of tEVs. Employing this platform, we demonstrate a high accuracy of 97% for discrimination of breast cancer (BC) patients and healthy donors in a clinical cohort (n = 30). Furthermore, molecular phenotyping assessed by tEVs is in concordance with the results from tissue biopsy in BC patients. The thermophoresis-mediated molecular computation on EVs thus provides new opportunities for accurate detection and classification of cancers.</t>
  </si>
  <si>
    <t>[Li, Yike; Deng, Jinqi; Han, Ziwei; Liu, Chao; Tian, Fei; Sun, Jiashu] Natl Ctr Nanosci &amp; Technol, CAS Ctr Excellence Nanosci, Beijing Engn Res Ctr BioNanotechnol, CAS Key Lab Standardizat &amp; Measurement Nanotechno, Beijing 100190, Peoples R China; [Li, Yike; Deng, Jinqi; Han, Ziwei; Liu, Chao; Tian, Fei; Sun, Jiashu] Univ Chinese Acad Sci, Sch Future Technol, Beijing 100049, Peoples R China; [Xu, Rui; Han, Da] Shanghai Jiao Tong Univ, Renji Hosp, Sch Med, Inst Mol Med,State Key Lab Oncogenes &amp; Related Ge, Shanghai 200127, Peoples R China; [Xu, Rui; Han, Da] Shanghai Jiao Tong Univ, Renji Hosp, State Key Lab Oncogenes &amp; Related Genes, Sch Med,Shanghai Key Lab Nucle Acid Chem &amp; Nanome, Shanghai 200127, Peoples R China; [Zhang, Shaohua] Chinese Peoples Liberat Army Gen Hosp, Med Ctr 5, Dept Breast Canc, Beijing 100071, Peoples R China</t>
  </si>
  <si>
    <t>Chinese Academy of Sciences; National Center for Nanoscience &amp; Technology - China; Chinese Academy of Sciences; University of Chinese Academy of Sciences, CAS; Shanghai Jiao Tong University; Shanghai Jiao Tong University; Chinese People's Liberation Army General Hospital; Fifth Medical Center of Chinese PLA General Hospital</t>
  </si>
  <si>
    <t>Sun, JS (corresponding author), Natl Ctr Nanosci &amp; Technol, CAS Ctr Excellence Nanosci, Beijing Engn Res Ctr BioNanotechnol, CAS Key Lab Standardizat &amp; Measurement Nanotechno, Beijing 100190, Peoples R China.;Sun, JS (corresponding author), Univ Chinese Acad Sci, Sch Future Technol, Beijing 100049, Peoples R China.;Han, D (corresponding author), Shanghai Jiao Tong Univ, Renji Hosp, Sch Med, Inst Mol Med,State Key Lab Oncogenes &amp; Related Ge, Shanghai 200127, Peoples R China.;Han, D (corresponding author), Shanghai Jiao Tong Univ, Renji Hosp, State Key Lab Oncogenes &amp; Related Genes, Sch Med,Shanghai Key Lab Nucle Acid Chem &amp; Nanome, Shanghai 200127, Peoples R China.;Zhang, SH (corresponding author), Chinese Peoples Liberat Army Gen Hosp, Med Ctr 5, Dept Breast Canc, Beijing 100071, Peoples R China.</t>
  </si>
  <si>
    <t>dahan@sjtu.edu.cn; zhangshaohua@csco.org.cn; sunjs@nanoctr.cn</t>
  </si>
  <si>
    <t>Sun, Jiashu/0000-0003-4255-6202; han, da/0000-0002-0804-2964</t>
  </si>
  <si>
    <t>1520-5126</t>
  </si>
  <si>
    <t>10.1021/jacs.0c12016</t>
  </si>
  <si>
    <t>WOS:000614064400006</t>
  </si>
  <si>
    <t>Ito, T; Sugiura, K; Hasegawa, A; Ouchi, W; Yoshimoto, T; Mizoguchi, I; Inaba, T; Hamada, K; Eriguchi, M; Koyama, Y</t>
  </si>
  <si>
    <t>Ito, Tomoko; Sugiura, Kikuya; Hasegawa, Aya; Ouchi, Wakana; Yoshimoto, Takayuki; Mizoguchi, Izuru; Inaba, Toshio; Hamada, Katsuyuki; Eriguchi, Masazumi; Koyama, Yoshiyuki</t>
  </si>
  <si>
    <t>Microbial Antigen-Presenting Extracellular Vesicles Derived from Genetically Modified Tumor Cells Promote Antitumor Activity of Dendritic Cells</t>
  </si>
  <si>
    <t>PHARMACEUTICS</t>
  </si>
  <si>
    <t>extracellular vesicles; cancer immunotherapy; neoantigens; ESAT-6; dendritic cells</t>
  </si>
  <si>
    <t>Tumor-derived extracellular vesicles (EVs), as tumor vaccines, carry tumor-associated antigens (TAAs), and were expected to transfer TAAs to antigen-presenting cells. However, treatment with tumor-derived EVs exhibited no obvious antitumor effect on the established tumors, likely due to their immuno-suppressive functions, and also to the poor immunogenicity of TAAs. In order to improve the immune stimulating properties, EVs expressing a highly immunogenic bacterial antigen, 6 kDa early secretory antigenic target (ESAT-6), from Mycobacterium tuberculosis were prepared by genetically modifying the parent tumor cells with a plasmid coding for ESAT-6. Cultured B16 tumor cells were transfected with a ternary complex system consisting of pDNA, polyethylenimine (PEI), and chondroitin sulfate. The cells that were transfected with the ternary complex secreted EVs with a higher number of ESAT-6 epitopes than those transfected by a conventional DNA/PEI binary complex, due to the low cytotoxicity, and durable high expression efficiency of the ternary complex systems. The EVs presenting the ESAT-6 epitope (ESAT-EV) were collected and explored as immune modulatory agents. Dendritic cells (DCs) were differentiated from mouse bone marrow cells and incubated with ESAT-EV. After incubating with the EVs for one day, the DCs expressed a significantly higher level of DC maturation marker, CD86. The DCs treated with ESAT-EV showed a significantly improved antitumor activity in tumor-bearing mice.</t>
  </si>
  <si>
    <t>[Ito, Tomoko; Eriguchi, Masazumi; Koyama, Yoshiyuki] Shin Yamanote Hosp, Japan AntiTB Assoc, Tokyo 1890021, Japan; [Ito, Tomoko; Sugiura, Kikuya; Hasegawa, Aya; Ouchi, Wakana; Inaba, Toshio; Koyama, Yoshiyuki] Osaka Prefecture Univ, Grad Sch Life &amp; Environm Sci, Dept Adv Pathobiol, Osaka 5988531, Japan; [Ito, Tomoko; Yoshimoto, Takayuki; Mizoguchi, Izuru; Koyama, Yoshiyuki] Tokyo Med Univ, Inst Med Sci, Dept Immunoregulat, Tokyo 1608402, Japan; [Ito, Tomoko; Hamada, Katsuyuki; Koyama, Yoshiyuki] Toho Univ, Sch Med, Dept Clin Oncol, Tokyo 1438541, Japan</t>
  </si>
  <si>
    <t>Osaka Metropolitan University; Tokyo Medical University; Toho University</t>
  </si>
  <si>
    <t>Ito, T; Koyama, Y (corresponding author), Shin Yamanote Hosp, Japan AntiTB Assoc, Tokyo 1890021, Japan.;Ito, T; Koyama, Y (corresponding author), Osaka Prefecture Univ, Grad Sch Life &amp; Environm Sci, Dept Adv Pathobiol, Osaka 5988531, Japan.;Ito, T; Koyama, Y (corresponding author), Tokyo Med Univ, Inst Med Sci, Dept Immunoregulat, Tokyo 1608402, Japan.;Ito, T; Koyama, Y (corresponding author), Toho Univ, Sch Med, Dept Clin Oncol, Tokyo 1438541, Japan.</t>
  </si>
  <si>
    <t>tito@shinyamanote.jp; sugiura@vet.osakafu-u.ac.jp; sc13421@yahoo.co.jp; wkna.o.dkrjg@gmail.com; yoshimot@tokyo-med.ac.jp; mizoizu0403@yahoo.co.jp; tito@shinyamanote.jp; katsuyuki.hamada@med.toho-u.ac.jp; meriguchi@shinyamanote.jp; ykoyama@shinyamanote.jp</t>
  </si>
  <si>
    <t>Sugiura, Kikuya/0000-0003-3366-237X; Inaba, Toshio/0000-0001-9384-5771</t>
  </si>
  <si>
    <t>1999-4923</t>
  </si>
  <si>
    <t>10.3390/pharmaceutics13010057</t>
  </si>
  <si>
    <t>WOS:000610714000001</t>
  </si>
  <si>
    <t>Deng, ZA; Wang, Y; Hu, L; Zhu, QF; Chen, YC; Chen, JJ; Chen, J; Zhang, T; Seo, TS; Liu, F</t>
  </si>
  <si>
    <t>Deng, Zaian; Wang, Yong; Hu, Liang; Zhu, Qingfu; Chen, Yuchao; Chen, Jeff J.; Chen, Joyce; Zhang, Ting; Seo, Tae Seok; Liu, Fei</t>
  </si>
  <si>
    <t>A facile, rapid, high-throughput extracellular vesicles analytical platform for cancer detection</t>
  </si>
  <si>
    <t>Exosome purification and operation system(Exo-POS); Tumor-derived extracellular vesicles; Non-invasive diagnosis</t>
  </si>
  <si>
    <t>EXOSOME ISOLATION; PROGRESSION; PROTEIN; DNA</t>
  </si>
  <si>
    <t>Cell-derived nanoparticles, so called Extracellular Vesicles (EVs), can reflect the physiological or pathological conditions of donor cells and can provide promising biomarkers for the non-invasive diagnosis of cancers. Size-based purification method is one of the common strategies for rapid extracting EVs from biosamples, but the downstream clinical studies still remain challenges in EV enrichment with high purity and high yield. Here, such challenges could be fulfilled through the development of an arrayed Exosome Purification and Operation System (Exo-POS) for efficiently isolating EVs from complex biofluids. Human urinary EVs with mean size of approximately 170 nm were isolated successfully from donors within 30 min, and the purification of individual samples were performable in parallel. Samples purified by Exo-POS showed detectable EV-specific biomarkers and less protein impurities than that by ultrafiltration method. The results also demonstrate the great purification ability of Exo-POS to discriminate between the EV-derived proteomic and genomic expressions of cancer patients and healthy controls. The developed platform can easily be adapted to retrieve EVs from biological samples for the downstream analysis, demonstrating its potential for both rapid clinical diagnosis and biomarker discovery. (C) 2020 Elsevier B.V. All rights reserved.</t>
  </si>
  <si>
    <t>[Deng, Zaian; Chen, Yuchao; Liu, Fei] Wenzhou Med Univ, Affiliated Hosp 1, Wenzhou 325035, Zhejiang, Peoples R China; [Deng, Zaian; Hu, Liang; Zhu, Qingfu; Zhang, Ting; Liu, Fei] Wenzhou Med Univ, Sch Biomed Engn, Sch Ophthalmol &amp; Optometry, Wenzhou 325035, Zhejiang, Peoples R China; [Deng, Zaian; Wang, Yong; Liu, Fei] Univ Chinese Acad Sci, Wenzhou Inst, Wenzhou Inst Biomat &amp; Engn, Wenzhou 325000, Zhejiang, Peoples R China; [Deng, Zaian] Shenzhen Technol Univ, Coll Hlth Sci &amp; Environm Engn, Shenzhen 518118, Guangdong, Peoples R China; [Chen, Jeff J.; Chen, Joyce] Univ Calif Berkeley, Dept Bioengn, Berkeley, CA 94720 USA; [Seo, Tae Seok] Kyung Hee Univ, Coll Engn, Dept Chem Engn, 1 Seochon Dong, Yongin 17104, Gyeonggi Do, South Korea</t>
  </si>
  <si>
    <t>Wenzhou Medical University; Wenzhou Medical University; Chinese Academy of Sciences; University of Chinese Academy of Sciences, CAS; Shenzhen Technology University; University of California System; University of California Berkeley; Kyung Hee University</t>
  </si>
  <si>
    <t>Liu, F (corresponding author), Wenzhou Med Univ, Affiliated Hosp 1, Wenzhou 325035, Zhejiang, Peoples R China.;Liu, F (corresponding author), Wenzhou Med Univ, Sch Biomed Engn, Sch Ophthalmol &amp; Optometry, Wenzhou 325035, Zhejiang, Peoples R China.;Liu, F (corresponding author), Univ Chinese Acad Sci, Wenzhou Inst, Wenzhou Inst Biomat &amp; Engn, Wenzhou 325000, Zhejiang, Peoples R China.;Seo, TS (corresponding author), Kyung Hee Univ, Coll Engn, Dept Chem Engn, 1 Seochon Dong, Yongin 17104, Gyeonggi Do, South Korea.</t>
  </si>
  <si>
    <t>seots@khu.ac.kr; feiliu@wmu.edu.cn</t>
  </si>
  <si>
    <t>Hu, Liang/0000-0001-9884-0312; Zhu, Qingfu/0000-0003-1065-0739</t>
  </si>
  <si>
    <t>10.1016/j.aca.2020.08.053</t>
  </si>
  <si>
    <t>WOS:000595500300015</t>
  </si>
  <si>
    <t>Di Bonito, P; Chiozzini, C; Arenaccio, C; Anticoli, S; Manfredi, F; Olivetta, E; Ferrantelli, F; Falcone, E; Ruggieri, A; Federico, M</t>
  </si>
  <si>
    <t>Di Bonito, Paola; Chiozzini, Chiara; Arenaccio, Claudia; Anticoli, Simona; Manfredi, Francesco; Olivetta, Eleonora; Ferrantelli, Flavia; Falcone, Emiliana; Ruggieri, Anna; Federico, Maurizio</t>
  </si>
  <si>
    <t>Antitumor HPV E7-specific CTL activity elicited by in vivo engineered exosomes produced through DNA inoculation</t>
  </si>
  <si>
    <t>nanovesicles; cytotoxic T lymphocytes; HIV-1 Nef; DNA vectors</t>
  </si>
  <si>
    <t>B16BL6-DERIVED EXOSOMES; CELLS; IDENTIFICATION; CLEARANCE; VESICLES; HIV-1</t>
  </si>
  <si>
    <t>We recently proved that exosomes engineered in vitro to deliver high amounts of HPV E7 upon fusion with the Nef(mut) exosome-anchoring protein elicit an efficient anti-E7 cytotoxic T lymphocyte immune response. However, in view of a potential clinic application of this finding, our exosome-based immunization strategy was faced with possible technical difficulties including industrial manufacturing, cost of production, and storage. To overcome these hurdles, we designed an as yet unproven exosome-based immunization strategy relying on delivery by intramuscular inoculation of a DNA vector expressing Nef(mut) fused with HPV E7. In this way, we predicted that the expression of the Nef(mut)/E7 vector in muscle cells would result in a continuous source of endogenous (ie, produced by the inoculated host) engineered exosomes able to induce an E7-specific immune response. To assess this hypothesis, we first demonstrated that the injection of a Nef(mut)/green fluorescent protein-expressing vector led to the release of fluorescent exosomes, as detected in plasma of inoculated mice. Then, we observed that mice inoculated intramuscularly with a vector expressing Nef(mut)/E7 developed a CD8(+) T-cell immune response against both Nef and E7. Conversely, no CD8(+) T-cell responses were detected upon injection of vectors expressing either the wild-type Nef isoform of E7 alone, most likely a consequence of their inefficient exosome incorporation. The production of immunogenic exosomes in the DNA-injected mice was formally demonstrated by the E7-specific CD8(+) T-cell immune response we detected in mice inoculated with exosomes isolated from plasma of mice inoculated with the Nef(mut)/E7 vector. Finally, we provide evidence that the injection of Nef(mut)/E7 DNA led to the generation of effective antigen-specific cytotoxic T lymphocytes whose activity was likely part of the potent, therapeutic antitumor effect we observed in mice implanted with TC-1 tumor cells. In summary, we established a novel method to generate immunogenic exosomes in vivo by the intramuscular inoculation of DNA vectors expressing the exosome-anchoring protein Nef(mut) and its derivatives.</t>
  </si>
  <si>
    <t>[Di Bonito, Paola] Ist Super Sanita, Dept Infect Parasit &amp; Immunomediated Dis, Rome, Italy; [Chiozzini, Chiara; Arenaccio, Claudia; Anticoli, Simona; Manfredi, Francesco; Olivetta, Eleonora; Ferrantelli, Flavia; Federico, Maurizio] Ist Super Sanita, Natl AIDS Ctr, Viale Regina Elena 299, I-00161 Rome, Italy; [Falcone, Emiliana; Ruggieri, Anna] Ist Super Sanita, Dept Vet Publ Hlth &amp; Food Safety, Rome, Italy</t>
  </si>
  <si>
    <t>Istituto Superiore di Sanita (ISS); Istituto Superiore di Sanita (ISS); Istituto Superiore di Sanita (ISS)</t>
  </si>
  <si>
    <t>Federico, M (corresponding author), Ist Super Sanita, Natl AIDS Ctr, Viale Regina Elena 299, I-00161 Rome, Italy.</t>
  </si>
  <si>
    <t>maurizio.federico@iss.it</t>
  </si>
  <si>
    <t>Olivetta, Eleonora/N-5736-2017; Anticoli, Simona/AAH-8838-2021; Di Bonito, Paola/AAI-3583-2021; Manfredi, Francesco/ABA-7166-2021; Anticoli, Simona/M-9940-2017; Ferrantelli, Flavia/J-7794-2016; Chiozzini, Chiara/AAH-1790-2021; chiozzini, chiara/M-8906-2017; Arenaccio, Claudia/J-9914-2016; Di Bonito, Paola/A-6675-2013; Federico, Maurizio/J-5867-2016</t>
  </si>
  <si>
    <t>Di Bonito, Paola/0000-0002-4737-374X; Ferrantelli, Flavia/0000-0002-0768-1078; Chiozzini, Chiara/0000-0002-4153-0927; Arenaccio, Claudia/0000-0003-3297-2608; Di Bonito, Paola/0000-0002-4737-374X; Federico, Maurizio/0000-0003-4154-1025; manfredi, francesco/0000-0002-1746-1546; Olivetta, Eleonora/0000-0003-3296-5328; Anticoli, Simona/0000-0003-3238-3280; Ruggieri, Anna/0000-0003-2987-3844</t>
  </si>
  <si>
    <t>10.2147/IJN.S131309</t>
  </si>
  <si>
    <t>WOS:000404102000003</t>
  </si>
  <si>
    <t>Kwok, HH; Ning, ZY; Chong, PWC; Wan, TSK; Ng, MHL; Ho, GYF; Ip, MSM; Lam, DCL</t>
  </si>
  <si>
    <t>Kwok, Hoi-Hin; Ning, Ziyu; Chong, Peony Wing-Chi; Wan, Thomas Shek-Kong; Ng, Margaret Heung-Ling; Ho, Gloria Y. F.; Ip, Mary Sau-Man; Lam, David Chi-Leung</t>
  </si>
  <si>
    <t>Transfer of Extracellular Vesicle-Associated-RNAs Induces Drug Resistance in ALK-Translocated Lung Adenocarcinoma</t>
  </si>
  <si>
    <t>extracellular vesicles; TKI-resistance; anaplastic lymphoma kinase; non-small cell lung cancer; intratumoural heterogeneity</t>
  </si>
  <si>
    <t>OPEN-LABEL; CANCER; EXOSOMES; GENE; METASTASIS; EXPRESSION; SERUM; MIRNA; KRAS; DNA</t>
  </si>
  <si>
    <t>Anaplastic lymphoma kinase (ALK) translocation is an actionable mutation in lung adenocarcinoma. Nonetheless tumour consists of heterogeneous cell subpopulations with diverse phenotypes and genotypes, and cancer cells can actively release extracellular vesicles (EVs) to modulate the phenotype of other cells in the tumour microenvironment. We hypothesized that EVs derived from a drug-resistant subpopulation of cells could induce drug resistance in recipient cells. We have established ALK-translocated lung adenocarcinoma cell lines and subclones. The subclones have been characterized and the expression of EV-RNAs determined by quantitative polymerase chain reaction. The effects of EV transfer on drug resistance were examined in vitro. Serum EV-RNA was assayed serially in two patients prescribed ALK-tyrosine kinase inhibitor (ALK-TKI) treatment. We demonstrated that the EVs from an ALK-TKI-resistant subclone could induce drug resistance in the originally sensitive subclone. EV-RNA profiling revealed that miRNAs miR-21-5p and miR-486-3p, and lncRNAs MEG3 and XIST were differentially expressed in the EVs secreted by the resistant subclones. These circulating EV-RNA levels have been found to correlate with disease progression of EML4-ALK-translocated lung adenocarcinoma in patients prescribed ALK-TKI treatment. The results from this study suggest that EVs released by a drug-resistant subpopulation can induce drug resistance in other subpopulations and may sustain intratumoural heterogeneity.</t>
  </si>
  <si>
    <t>[Kwok, Hoi-Hin; Ning, Ziyu; Chong, Peony Wing-Chi; Ip, Mary Sau-Man; Lam, David Chi-Leung] Univ Hong Kong, Li Ka Shing Fac Med, Dept Med, Hong Kong, Peoples R China; [Wan, Thomas Shek-Kong; Ng, Margaret Heung-Ling] Chinese Univ Hong Kong, Dept Anat &amp; Cellular Pathol, Fac Med, Hong Kong, Peoples R China; [Ho, Gloria Y. F.] Hofstra Northwell Sch Med, Feinstein Inst Med Res, Dept Occupat Med Epidemiol &amp; Prevent, New York, NY 11021 USA</t>
  </si>
  <si>
    <t>University of Hong Kong; Chinese University of Hong Kong; Northwell Health</t>
  </si>
  <si>
    <t>Lam, DCL (corresponding author), Univ Hong Kong, Li Ka Shing Fac Med, Dept Med, Hong Kong, Peoples R China.</t>
  </si>
  <si>
    <t>kwokh@hku.hk; chloening2014@hotmail.com; peonyki@hku.hk; wantsk@hku.hk; msmip@hku.hk; gloria_ho4@hotmail.com; msmip@hku.hk; dcllam@hku.hk</t>
  </si>
  <si>
    <t>Wan, Thomas/AAY-7075-2020; Lam, David/AAI-3657-2020; Kwok, Hoi-Hin/AAA-8685-2019; /E-9868-2010</t>
  </si>
  <si>
    <t>Ning, Ziyu/0000-0001-7183-5281; /0000-0002-0004-2660; Kwok, Hoi-Hin/0000-0002-6902-8402</t>
  </si>
  <si>
    <t>10.3390/cancers11010104</t>
  </si>
  <si>
    <t>WOS:000457233300042</t>
  </si>
  <si>
    <t>Jakubovics, NS; Burgess, JG</t>
  </si>
  <si>
    <t>Jakubovics, Nicholas S.; Burgess, J. Grant</t>
  </si>
  <si>
    <t>Extracellular DNA in oral microbial biofilms</t>
  </si>
  <si>
    <t>MICROBES AND INFECTION</t>
  </si>
  <si>
    <t>Biofilm matrix; Competence; Dental plaque; eDNA; Membrane vesicles; Oral streptococci</t>
  </si>
  <si>
    <t>STREPTOCOCCUS-MUTANS; ANTIBIOTIC-RESISTANCE; MEMBRANE-VESICLES; DENTAL PLAQUE; MATRIX; BACTERIA; DEOXYRIBONUCLEASE; EXPRESSION; SUSCEPTIBILITY; COMPONENTS</t>
  </si>
  <si>
    <t>The extracellular matrix of microbial biofilms is critical for surface adhesion and nutrient homeostasis. Evidence is accumulating that extracellular DNA plays a number of important roles in biofilm integrity and formation on hard and soft tissues in the oral cavity. Here, we summarise recent developments in the field and consider the potential of targeting DNA for oral biofilm control. (C) 2015 Institut Pasteur. Published by Elsevier Masson SAS. All rights reserved.</t>
  </si>
  <si>
    <t>[Jakubovics, Nicholas S.] Newcastle Univ, Sch Dent Sci, Newcastle Upon Tyne NE2 4BW, Tyne &amp; Wear, England; [Burgess, J. Grant] Newcastle Univ, Sch Marine Sci &amp; Technol, Newcastle Upon Tyne NE2 4BW, Tyne &amp; Wear, England</t>
  </si>
  <si>
    <t>Newcastle University - UK; Newcastle University - UK</t>
  </si>
  <si>
    <t>Jakubovics, NS (corresponding author), Newcastle Univ, Sch Dent Sci, Ctr Oral Hlth Res, Framlington Pl, Newcastle Upon Tyne NE2 4BW, Tyne &amp; Wear, England.</t>
  </si>
  <si>
    <t>nick.jakubovics@newcastle.ac.uk</t>
  </si>
  <si>
    <t>Jakubovics, Nicholas S/B-1938-2010</t>
  </si>
  <si>
    <t>Jakubovics, Nicholas S/0000-0001-6667-0515; Burgess, J Grant/0000-0002-1491-7341</t>
  </si>
  <si>
    <t>1286-4579</t>
  </si>
  <si>
    <t>1769-714X</t>
  </si>
  <si>
    <t>10.1016/j.micinf.2015.03.015</t>
  </si>
  <si>
    <t>WOS:000357752100008</t>
  </si>
  <si>
    <t>Luo, Q; Xian, PP; Wang, T; Wu, SX; Sun, TN; Wang, WT; Wang, B; Yang, H; Yang, YP; Wang, H; Liu, WP; Long, QF</t>
  </si>
  <si>
    <t>Luo, Qiang; Xian, Panpan; Wang, Tian; Wu, Shengxi; Sun, Tangna; Wang, Wenting; Wang, Bo; Yang, Hao; Yang, Yanping; Wang, Han; Liu, Weiping; Long, Qianfa</t>
  </si>
  <si>
    <t>Antioxidant activity of mesenchymal stem cell-derived extracellular vesicles restores hippocampal neurons following seizure damage</t>
  </si>
  <si>
    <t>extracellular vesicles; hippocampal neuron; mesenchymal stem cells; oxidative stress; seizures</t>
  </si>
  <si>
    <t>Oxidative stress is a critical event in neuronal damage following seizures. Mesenchymal stem cell-derived extracellular vesicles (MSC-EVs) have been shown to be promising nanotherapeutic agents in neurological disorders. However, the mechanism underlying MSC-EVs therapeutic efficacy for oxidative stress-induced neuronal damage remains poorly understood. Methods: We investigated the antioxidant and restoration activities of MSC-EVs on hippocampal neurons in response to H2O2 stimulation in vitro and seizures in vivo. We also explored the potential underlying mechanism by injecting adeno-associated virus (AAV)-nuclear factor erythroid-derived 2, like 2 (Nrf2), a key antioxidant mediator, in animal models. Results: MSC-EVs were enriched in antioxidant miRNAs and exhibited remarkable antioxidant activity evident by increased ferric ion-reducing antioxidant ability, catalase, superoxide dismutase, and glutathione peroxidase activities and decreased reactive oxygen species (ROS) generation, DNA/lipid/protein oxidation, and stress-associated molecular patterns in cultured cells and mouse models. Notably, EV administration exerted restorative effects on the hippocampal neuronal structure and associated functional impairments, including dendritic spine alterations, electrophysiological disturbances, calcium transients, mitochondrial changes, and cognitive decline after oxidative stress in vitro or in vivo. Mechanistically, we found that the Nrf2 signaling pathway was involved in the restorative effect of EV therapy against oxidative neuronal damage, while AAV-Nrf2 injection attenuated the antioxidant activity of MSC-EVs on the seizure-induced hippocampal injury. Conclusions: We have shown that MSC-EVs facilitate the reconstruction of hippocampal neurons associated with the Nrf2 defense system in response to oxidative insults. Our study highlights the clinical value of EV-therapy in neurological disorders such as seizures.</t>
  </si>
  <si>
    <t>[Luo, Qiang; Xian, Panpan; Wang, Tian; Wang, Bo; Yang, Hao; Yang, Yanping; Long, Qianfa] Xi An Jiao Tong Univ, Mini Invas Neurosurg &amp; Translat Med Ctr, Xian Cent Hosp, 161 West 5th Rd, Xian 710003, Peoples R China; [Wu, Shengxi; Sun, Tangna; Wang, Wenting] Fourth Mil Med Univ, Dept Neurobiol, Sch Basic Med, 169 Changle West Rd, Xian 710032, Peoples R China; [Wang, Han; Liu, Weiping] Fourth Mil Med Univ, Dept Neurosurg, Xijing Hosp, 127 Changle West Rd, Xian 710032, Peoples R China; [Long, Qianfa] Yanan Univ, Coll Med, Yongxiang Rd, Baota Dist 716000, Yanan, Peoples R China</t>
  </si>
  <si>
    <t>Xi'an Jiaotong University; Air Force Military Medical University; Air Force Military Medical University; Yanan University</t>
  </si>
  <si>
    <t>Long, QF (corresponding author), Xi An Jiao Tong Univ, Mini Invas Neurosurg &amp; Translat Med Ctr, Xian Cent Hosp, 161 West 5th Rd, Xian 710003, Peoples R China.</t>
  </si>
  <si>
    <t>lonva@live.cn</t>
  </si>
  <si>
    <t>Wang, Wenting/0000-0002-8344-0102</t>
  </si>
  <si>
    <t>10.7150/thno.58632</t>
  </si>
  <si>
    <t>WOS:000637324000024</t>
  </si>
  <si>
    <t>Hu, RJ; Lin, H; Wang, MM; Zhao, YZ; Liu, HJ; Min, YN; Yang, XJ; Gao, YP; Yang, MM</t>
  </si>
  <si>
    <t>Hu, Rujiu; Lin, Hua; Wang, Mimi; Zhao, Yuezhen; Liu, Haojing; Min, Yuna; Yang, Xiaojun; Gao, Yupeng; Yang, Mingming</t>
  </si>
  <si>
    <t>Lactobacillus reuteri-derived extracellular vesicles maintain intestinal immune homeostasis against lipopolysaccharide-induced inflammatory responses in broilers</t>
  </si>
  <si>
    <t>JOURNAL OF ANIMAL SCIENCE AND BIOTECHNOLOGY</t>
  </si>
  <si>
    <t>Chickens; Extracellular vesicles; Immune responses; Inflammation; Lactobacillus; Microbiota-host communication; Probiotics</t>
  </si>
  <si>
    <t>OUTER-MEMBRANE VESICLES; GRAM-POSITIVE BACTERIA; REGULATORY T-CELLS; HOST IMMUNE; COMMENSAL; IDENTIFICATION; BIOGENESIS; EXPRESSION; THREONINE; CYTOKINES</t>
  </si>
  <si>
    <t>Background Lactobacillus reuteri strains are widely used as probiotics to prevent and treat inflammatory bowel disease by modulating the host's immune system. However, the underlying mechanisms by which they communicate with the host have not been clearly understood. Bacterial extracellular vesicles (EVs) have been considered as important mediators of host-pathogen interactions, but their potential role in commensals-host crosstalk has not been widely studied. Here, we investigated the regulatory actions of EVs produced by L. reuteri BBC3, a gut-associated commensal bacterium of Black-Bone chicken, in the development of lipopolysaccharide (LPS)-induced intestinal inflammation in a chicken model using both in vivo and in vitro experiments. Results L. reuteri BBC3 produced nano-scale membrane vesicles with the size range of 60-250 nm. Biochemical and proteomic analyses showed that L. reuteri BBC3-derived EVs (LrEVs) carried DNA, RNA and several bioactive proteins previously described as mediators of other probiotics' beneficial effects such as glucosyltransferase, serine protease and elongation factor Tu. In vivo broiler experiments showed that administration of LrEVs exerted similar effects as L. reuteri BBC3 in attenuating LPS-induced inflammation by improving growth performance, reducing mortality and decreasing intestinal injury. LrEVs suppressed the LPS-induced expression of pro-inflammatory genes (TNF-alpha, IL-1 beta, IL-6, IL-17 and IL-8), and improved the expression of anti-inflammatory genes (IL-10 and TGF-beta) in the jejunum. LrEVs could be internalized by chicken macrophages. In vitro pretreatment with LrEVs reduced the gene expression of TNF-alpha, IL-1 beta and IL-6 by suppressing the NF-kappa B activity, and enhanced the gene expression of IL-10 and TGF-beta in LPS-activated chicken macrophages. Additionally, LrEVs could inhibit Th1- and Th17-mediated inflammatory responses and enhance the immunoregulatory cells-mediated immunosuppression in splenic lymphocytes of LPS-challenged chickens through the activation of macrophages. Finally, we revealed that the reduced content of both vesicular proteins and nucleic acids attenuated the suppression of LrEVs on LPS-induced inflammatory responses in ex vivo experiments, suggesting that they are essential for the LrEVs-mediated immunoregulation. Conclusions We revealed that LrEVs participated in maintaining intestinal immune homeostasis against LPS-induced inflammatory responses in a chicken model. Our findings provide mechanistic insight into how commensal and probiotic Lactobacillus species modulate the host's immune system in pathogens-induced inflammation.</t>
  </si>
  <si>
    <t>[Hu, Rujiu; Lin, Hua; Wang, Mimi; Zhao, Yuezhen; Liu, Haojing; Min, Yuna; Yang, Xiaojun; Gao, Yupeng; Yang, Mingming] Northwest A&amp;F Univ, Coll Anim Sci &amp; Technol, Yangling 712100, Shaanxi, Peoples R China</t>
  </si>
  <si>
    <t>Northwest A&amp;F University - China</t>
  </si>
  <si>
    <t>Yang, MM (corresponding author), Northwest A&amp;F Univ, Coll Anim Sci &amp; Technol, Yangling 712100, Shaanxi, Peoples R China.</t>
  </si>
  <si>
    <t>ymm@nwsuaf.edu.cn</t>
  </si>
  <si>
    <t>1674-9782</t>
  </si>
  <si>
    <t>2049-1891</t>
  </si>
  <si>
    <t>FEB 17</t>
  </si>
  <si>
    <t>10.1186/s40104-020-00532-4</t>
  </si>
  <si>
    <t>Agriculture, Dairy &amp; Animal Science</t>
  </si>
  <si>
    <t>Agriculture</t>
  </si>
  <si>
    <t>WOS:000618873100001</t>
  </si>
  <si>
    <t>Deschamps, T; Kalamvoki, M</t>
  </si>
  <si>
    <t>Deschamps, Thibaut; Kalamvoki, Maria</t>
  </si>
  <si>
    <t>Extracellular Vesicles Released by Herpes Simplex Virus 1-Infected Cells Block Virus Replication in Recipient Cells in a STING-Dependent Manner</t>
  </si>
  <si>
    <t>extracellular vesicles; innate immunity; STING; herpes simplex virus; macrophages</t>
  </si>
  <si>
    <t>HEPATITIS-C VIRUS; PRODUCTIVE INFECTION; MESSENGER-RNAS; EXOSOMES; BIOGENESIS; ROLES; TETRASPANINS; TRANSMISSION; INHIBITOR; SECRETION</t>
  </si>
  <si>
    <t>Herpes simplex virus 1 (HSV-1)-infected cells release extracellular vesicles (EVs) that deliver to uninfected cells viral factors and host components, such as the stimulator of interferon genes (STING), which activates type I interferon upon foreign DNA sensing. The functions of EVs released by HSV-1-infected cells have remained unknown. Here, we describe a procedure to separate the EVs from HSV-1 virions that is based on an iodixanol/sucrose gradient. STING, along with the EV markers CD63 and CD9, was found in light-density fractions, while HSV components accumulated in heavy-density fractions. HSV-1 infection stimulated the release of EVs from the cells. The EVs derived from infected cells, but not from uninfected cells, activated innate immunity in recipient cells and suppressed viral gene expression and virus replication. Moreover, only the EVs derived from infected cells stimulated the expression of a subset of M1-type markers in recipient macrophages. Conversely, EVs derived from STING-knockdown cells failed to stimulate the expression of these M1-type markers, they activated innate immune responses to a lesser extent in recipient cells, and they did not sustain the inhibition of virus replication. These data suggest that STING from the EV donor cells contributes to the antiviral responses in cells receiving EVs from HSV-1-infected cells. Perturbations in the biogenesis of EVs by silencing CD63 or blocking the activity of the neutral spingomyelinase-2 (nSMase-2) increased the HSV-1 yields. Overall, our data suggest that the EVs released from HSV-1-infected cells negatively impact the infection and could control the dissemination of the virus. IMPORTANCE Extracellular vesicles (EVs) are released by all types of cells as they constitute major mechanism of intercellular communication and have the capacity to alter the functions of recipient cells despite their limited capacity for cargo. How the EVs released by HSV-infected cells could alter the surrounding microenvironment and influence the infection currently remains unknown. The cargo of EVs reflects the physiological state of the cells in which they were produced, so the content of EVs originating from infected cells is expected to be substantially different from that of healthy cells. Our studies indicate that the EVs released by HSV-1-infected cells carry innate immune components such as STING and other host and viral factors; they can activate innate immune responses in recipient cells and inhibit HSV-1 replication. The implication of these data is that the EVs released by HSV-1-infected cells could control HSV-1 dissemination promoting its persistence in the host.</t>
  </si>
  <si>
    <t>[Deschamps, Thibaut; Kalamvoki, Maria] Univ Kansas, Med Ctr, Dept Microbiol Mol Genet &amp; Immunol, Kansas City, KS 66103 USA</t>
  </si>
  <si>
    <t>e01102-18</t>
  </si>
  <si>
    <t>10.1128/JVI.01102-18</t>
  </si>
  <si>
    <t>WOS:000443019800038</t>
  </si>
  <si>
    <t>Torralba, D; Baixauli, F; Villarroya-Beltri, C; Fernandez-Delgado, I; Latorre-Pellicer, A; Acin-Perez, R; Martin-Cofreces, NB; Jaso-Tamame, AL; Iborra, S; Jorge, I; Gonzalez-Aseguinolaza, G; Garaude, J; Vicente-Manzanares, M; Enriquez, JA; Mittelbrunn, M; Sanchez-Madrid, F</t>
  </si>
  <si>
    <t>Torralba, Daniel; Baixauli, Francesc; Villarroya-Beltri, Carolina; Fernandez-Delgado, Irene; Latorre-Pellicer, Ana; Acin-Perez, Rebeca; Martin-Cofreces, Noa B.; Jaso-Tamame, Angel Luis; Iborra, Salvador; Jorge, Inmaculada; Gonzalez-Aseguinolaza, Gloria; Garaude, Johan; Vicente-Manzanares, Miguel; Antonio Enriquez, Jose; Mittelbrunn, Maria; Sanchez-Madrid, Francisco</t>
  </si>
  <si>
    <t>Priming of dendritic cells by DNA-containing extracellular vesicles from activated T cells through antigen-driven contacts</t>
  </si>
  <si>
    <t>MITOCHONDRIAL-DNA; IMMUNOLOGICAL SYNAPSE; IMMUNE-RESPONSES; CANCER-CELLS; IN-VIVO; KAPPA-B; EXOSOMES; RELEASE; INNATE; IDENTIFICATION</t>
  </si>
  <si>
    <t>Interaction of T cell with antigen-bearing dendritic cells (DC) results in T cell activation, but whether this interaction has physiological consequences on DC function is largely unexplored. Here we show that when antigen-bearing DCs contact T cells, DCs initiate antipathogenic programs. Signals of this interaction are transmitted from the T cell to the DC, through extracellular vesicles (EV) that contain genomic and mitochondrial DNA, to induce antiviral responses via the cGAS/STING cytosolic DNA-sensing pathway and expression of IRF3-dependent interferon regulated genes. Moreover, EV-treated DCs are more resistant to subsequent viral infections. In summary, our results show that T cells prime DCs through the transfer of exosomal DNA, supporting a specific role for antigen-dependent contacts in conferring protection to DCs against pathogen infection. The reciprocal communication between innate and adaptive immune cells thus allow efficacious responses to unknown threats.</t>
  </si>
  <si>
    <t>[Torralba, Daniel; Baixauli, Francesc; Villarroya-Beltri, Carolina; Fernandez-Delgado, Irene; Martin-Cofreces, Noa B.; Sanchez-Madrid, Francisco] CNIC, Vasc Pathophysiol Res Area, Madrid 28029, Spain; [Torralba, Daniel; Villarroya-Beltri, Carolina; Fernandez-Delgado, Irene; Martin-Cofreces, Noa B.; Sanchez-Madrid, Francisco] Univ Autonoma Madrid, Inst Invest Sanitaria Princesa, Serv Inmunol, Diego de Leon 62, Madrid 28006, Spain; [Baixauli, Francesc] Max Planck Inst Immunobiol &amp; Epigenet, Immunometab Dept, D-79108 Freiburg, Germany; [Latorre-Pellicer, Ana] Univ Santiago de Compostela, CIBERER, Grp Med Xenom, Santiago De Compostela 15782, Spain; [Acin-Perez, Rebeca; Iborra, Salvador; Garaude, Johan; Antonio Enriquez, Jose] CNIC, Myocardial Pathophysiol Res Area, Madrid 28029, Spain; [Martin-Cofreces, Noa B.; Jorge, Inmaculada; Sanchez-Madrid, Francisco] Ctr Invest Biomed Red Enfermedades Cardiovasc CIB, Melchor Fernandez Almagro 3, Madrid 28029, Spain; [Jaso-Tamame, Angel Luis] Imperial Coll Fac Med, MRC Clin Sci Ctr, London SW7 2AZ, England; [Jorge, Inmaculada] CNIC, Lab Cardiovasc Prote, Madrid 28029, Spain; [Gonzalez-Aseguinolaza, Gloria] Univ Navarra, CIMA, Pamplona 31008, Spain; [Vicente-Manzanares, Miguel] Inst Biol Mol &amp; Celular Canc USAL CSIC, Salamanca 37007, Spain; [Antonio Enriquez, Jose] Ctr Invest RED CIBERFES, Melchor Fernandez Almagro 9, Madrid 28029, Spain; [Mittelbrunn, Maria] Hosp 12 Octubre I 12, Inst Invest Sanitaria, Madrid 28041, Spain; [Mittelbrunn, Maria] UAM CSIC, Dept Biol Celular &amp; Inflamac, Ctr Biol Mol, Madrid 28049, Spain</t>
  </si>
  <si>
    <t>Centro Nacional de Investigaciones Cardiovasculares (CNIC); Autonomous University of Madrid; Max Planck Society; CIBER - Centro de Investigacion Biomedica en Red; CIBERER; Universidade de Santiago de Compostela; Centro Nacional de Investigaciones Cardiovasculares (CNIC); CIBER - Centro de Investigacion Biomedica en Red; CIBERCV; Imperial College London; Centro Nacional de Investigaciones Cardiovasculares (CNIC); University of Navarra; CIBER - Centro de Investigacion Biomedica en Red; CIBERFES; Hospital Universitario 12 de Octubre; Consejo Superior de Investigaciones Cientificas (CSIC)</t>
  </si>
  <si>
    <t>Sanchez-Madrid, F (corresponding author), CNIC, Vasc Pathophysiol Res Area, Madrid 28029, Spain.;Sanchez-Madrid, F (corresponding author), Univ Autonoma Madrid, Inst Invest Sanitaria Princesa, Serv Inmunol, Diego de Leon 62, Madrid 28006, Spain.;Sanchez-Madrid, F (corresponding author), Ctr Invest Biomed Red Enfermedades Cardiovasc CIB, Melchor Fernandez Almagro 3, Madrid 28029, Spain.</t>
  </si>
  <si>
    <t>fsmadrid@salud.madrid.org</t>
  </si>
  <si>
    <t>Martin, Noa/F-3741-2017; Iborra, Salvador/J-2863-2015; Sanchez-Madrid, Francisco/M-7889-2016; Fernández-Delgado, Irene/R-6897-2018; Acin-Perez, Rebeca/AAU-4913-2020; Vicente-Manzanares, Miguel/H-1010-2018; Gonzalez-Aseguinolaza, Gloria/H-9928-2015; Pellicer, Ana Latorre/A-8601-2019; Enríquez, J.A./M-8468-2016; Mittelbrunn, Maria/J-9146-2019; Baixauli, Francesc/L-4957-2016</t>
  </si>
  <si>
    <t>Martin, Noa/0000-0003-0439-8979; Iborra, Salvador/0000-0002-1607-1749; Sanchez-Madrid, Francisco/0000-0001-5303-0762; Fernández-Delgado, Irene/0000-0002-4508-758X; Acin-Perez, Rebeca/0000-0001-9553-8337; Vicente-Manzanares, Miguel/0000-0001-5943-3220; Gonzalez-Aseguinolaza, Gloria/0000-0002-1600-4562; Pellicer, Ana Latorre/0000-0002-4703-6620; Enríquez, J.A./0000-0002-3671-2961; Mittelbrunn, Maria/0000-0003-3487-8762; Jorge, Inmaculada/0000-0001-8645-9477; Baixauli, Francesc/0000-0002-9676-2901; Villarroya-Beltri, Carolina/0000-0003-2284-4020</t>
  </si>
  <si>
    <t>JUL 9</t>
  </si>
  <si>
    <t>10.1038/s41467-018-05077-9</t>
  </si>
  <si>
    <t>WOS:000437834400005</t>
  </si>
  <si>
    <t>Wang, XW; Weidling, I; Koppel, S; Menta, B; Ortiz, JP; Kalani, A; Wilkins, HM; Swerdlow, RH</t>
  </si>
  <si>
    <t>Wang, Xiaowan; Weidling, Ian; Koppel, Scott; Menta, Blaise; Ortiz, Judit Perez; Kalani, Anuradha; Wilkins, Heather M.; Swerdlow, Russell H.</t>
  </si>
  <si>
    <t>Detection of mitochondria-pertinent components in exosomes</t>
  </si>
  <si>
    <t>MITOCHONDRION</t>
  </si>
  <si>
    <t>Biomarker; Exosome; Mitochondria; mitochondrial DNA; NUMT</t>
  </si>
  <si>
    <t>EXTRACELLULAR VESICLES; PROTEOMIC ANALYSIS; DNA; CELLS</t>
  </si>
  <si>
    <t>We screened cell line and plasma-derived exosomes for molecules that localize to mitochondria or that reflect mitochondrial integrity. SH-SY5Y cell-derived exosomes contained humanin, citrate synthase, and fibroblast growth factor 21 protein, and plasma-derived exosomes contained humanin, voltage-dependent anion-selective channel 1, and transcription factor A protein. Nuclear mitochondrial (NUMT) DNA complicated analyses of mitochondrial DNA (mtDNA), which otherwise suggested exosomes contain at most very low amounts of extended mtDNA sequences but likely contain degraded pieces of mtDNA. Cell and plasma-derived exosomes contained several mtDNA-derived mRNA sequences, including those for ND2, CO2, and humanin. These results can guide exosome-focused, mitochondria-pertinent biomarker development.</t>
  </si>
  <si>
    <t>[Wang, Xiaowan; Weidling, Ian; Koppel, Scott; Menta, Blaise; Ortiz, Judit Perez; Kalani, Anuradha; Wilkins, Heather M.; Swerdlow, Russell H.] Univ Kansas, Med Ctr, Dept Neurol, Kansas City, KS 66103 USA; [Wang, Xiaowan; Weidling, Ian; Koppel, Scott; Menta, Blaise; Ortiz, Judit Perez; Kalani, Anuradha; Wilkins, Heather M.; Swerdlow, Russell H.] Univ Kansas, Alzheimers Dis Ctr, Kansas City, KS USA; [Swerdlow, Russell H.] Univ Kansas, Med Ctr, Dept Mol &amp; Integrat Physiol, Kansas City, KS 66103 USA; [Swerdlow, Russell H.] Univ Kansas, Med Ctr, Dept Biochem &amp; Mol Biol, Kansas City, KS USA</t>
  </si>
  <si>
    <t>University of Kansas; University of Kansas Medical Center; University of Kansas; University of Kansas; University of Kansas Medical Center; University of Kansas; University of Kansas Medical Center</t>
  </si>
  <si>
    <t>Swerdlow, RH (corresponding author), Univ Kansas, Sch Med, Landon Ctr Aging, MS 2012,3901 Rainbow Blvd, Kansas City, KS 66160 USA.</t>
  </si>
  <si>
    <t>rswerdlow@kumc.edu</t>
  </si>
  <si>
    <t>Koppel, Scott/0000-0001-9001-4454</t>
  </si>
  <si>
    <t>1567-7249</t>
  </si>
  <si>
    <t>1872-8278</t>
  </si>
  <si>
    <t>10.1016/j.mito.2020.09.006</t>
  </si>
  <si>
    <t>Cell Biology; Genetics &amp; Heredity</t>
  </si>
  <si>
    <t>WOS:000606328400002</t>
  </si>
  <si>
    <t>Finicelli, M; Digilio, FA; Galderisi, U; Peluso, G</t>
  </si>
  <si>
    <t>Finicelli, Mauro; Digilio, Filomena Anna; Galderisi, Umberto; Peluso, Gianfranco</t>
  </si>
  <si>
    <t>The Emerging Role of Macrophages in Chronic Obstructive Pulmonary Disease: The Potential Impact of Oxidative Stress and Extracellular Vesicle on Macrophage Polarization and Function</t>
  </si>
  <si>
    <t>ANTIOXIDANTS</t>
  </si>
  <si>
    <t>COPD; macrophages; polarization; inflammation; oxidative-stress; extracellular vesicles</t>
  </si>
  <si>
    <t>CIGARETTE-SMOKE; ALVEOLAR MACROPHAGES; EPITHELIAL-CELLS; DNA-DAMAGE; EXOSOMES; LUNG; ACTIVATION; COPD; MICROVESICLES; INFLAMMATION</t>
  </si>
  <si>
    <t>Chronic obstructive pulmonary disease (COPD) is one of the most common airway diseases, and it is considered a major global health problem. Macrophages are the most representative immune cells in the respiratory tract, given their role in surveying airways, removing cellular debris, immune surveillance, and resolving inflammation. Macrophages exert their functions by adopting phenotypical changes based on the stimuli they receive from the surrounding tissue. This plasticity is described as M1/M2 macrophage polarization, which consists of a strictly coordinated process leading to a difference in the expression of surface markers, the production of specific factors, and the execution of biological activities. This review focuses on the role played by macrophages in COPD and their implication in inflammatory and oxidative stress processes. Particular attention is on macrophage polarization, given macrophage plasticity is a key feature in COPD. We also discuss the regulatory influence of extracellular vesicles (EVs) in cell-to-cell communications. EV composition and cargo may influence many COPD-related aspects, including inflammation, tissue remodeling, and macrophage dysfunctions. These findings could be useful for better addressing the role of macrophages in the complex pathogenesis and outcomes of COPD.</t>
  </si>
  <si>
    <t>[Finicelli, Mauro; Digilio, Filomena Anna; Peluso, Gianfranco] Natl Res Council Italy CNR, Res Inst Terr Ecosyst IRET, Via Pietro Castellino 111, I-80131 Naples, Italy; [Galderisi, Umberto] Univ Campania Luigi Vanvitelli, Dept Expt Med, Via Santa Maria di Costantinopoli 16, I-80138 Naples, Italy; [Peluso, Gianfranco] St Camillus Int Univ Hlth Sci, Fac Med &amp; Surg, Via St Alessandro 8, I-00131 Rome, Italy</t>
  </si>
  <si>
    <t>Consiglio Nazionale delle Ricerche (CNR); Istituto di Ricerca sugli Ecosistemi Terrestri (IRET); Universita della Campania Vanvitelli</t>
  </si>
  <si>
    <t>Finicelli, M; Peluso, G (corresponding author), Natl Res Council Italy CNR, Res Inst Terr Ecosyst IRET, Via Pietro Castellino 111, I-80131 Naples, Italy.;Peluso, G (corresponding author), St Camillus Int Univ Hlth Sci, Fac Med &amp; Surg, Via St Alessandro 8, I-00131 Rome, Italy.</t>
  </si>
  <si>
    <t>mauro.finicelli@cnr.it; filomenaanna.digilio@cnr.it; umberto.galderisi@unicampania.it; gianfranco.peluso@unicamillus.org</t>
  </si>
  <si>
    <t>Finicelli, Mauro/0000-0003-2289-0916; GALDERISI, Umberto/0000-0003-0909-7403</t>
  </si>
  <si>
    <t>2076-3921</t>
  </si>
  <si>
    <t>10.3390/antiox11030464</t>
  </si>
  <si>
    <t>Biochemistry &amp; Molecular Biology; Chemistry, Medicinal; Food Science &amp; Technology</t>
  </si>
  <si>
    <t>Biochemistry &amp; Molecular Biology; Pharmacology &amp; Pharmacy; Food Science &amp; Technology</t>
  </si>
  <si>
    <t>WOS:000776057900001</t>
  </si>
  <si>
    <t>Cao, HM; Cheng, YQ; Gao, HQ; Zhuang, J; Zhang, WG; Bian, Q; Wang, F; Du, Y; Li, ZJ; Kong, DL; Ding, D; Wang, YB</t>
  </si>
  <si>
    <t>Cao, Hongmei; Cheng, Yuanqiu; Gao, Heqi; Zhuang, Jie; Zhang, Weiguang; Bian, Qiang; Wang, Fang; Du, Yuan; Li, Zongjin; Kong, Deling; Ding, Dan; Wang, Yuebing</t>
  </si>
  <si>
    <t>In Vivo Tracking of Mesenchymal Stem Cell-Derived Extracellular Vesicles Improving Mitochondria! Function in Renal Ischemia- Reperfusion Injury</t>
  </si>
  <si>
    <t>extracellular vesicles; mitochondria; renal ischemia-reperfusion injury; aggregation-induced emission; imaging</t>
  </si>
  <si>
    <t>TRANSCRIPTION FACTOR NRF2; KIDNEY; EXOSOMES; CULTURE; PROTECT</t>
  </si>
  <si>
    <t>Extracellular vesicles (EVs) released by mesenchymal stem cells (MSCs) have exhibited regenerative capability in animal models of ischemia-reperfusion (I/R) acute kidney injury (AKI) and are considered as potential alternatives to direct MSC therapy. However, real-time in vivo imaging of MSC-EVs in renal I/R injury has yet to be established. Renal intracellular targets of MSC-EVs responsible for their regenerative effects also remain elusive. Here, we report that we real-time observed MSC-EVs specifically accumulated in the injured kidney and were taken up by renal proximal tubular epithelia cells (TECs) via DPA-SCP with aggregation-induced emission (ME) characteristics. DPA-SCP precisely tracked the fate of MSC-EVs in a renal I/R injury mouse model for 72 h and exhibited superior spatiotemporal resolution and tracking ability to popular commercially available EV tracker PKH26. Further analysis revealed that the accumulated MSC-EVs stimulated mitochondrial antioxidant defense and ATP production via activating the Keap1-Nrf2 signaling pathway, which protected TECs against oxidative insult by reducing mitochondrial fragmentation, normalizing mitochondrial membrane potential, and increasing mitochondrial DNA copy number. Increased microRNA-200a-3p expression in renal TECs induced by MSC-EVs was identified as a regulatory mechanism contributing to the protective actions on mitochondria as well as stimulating the renal signal transduction pathways. In conclusion, MSC-EVs accumulated in the renal tubules during renal I/R injury and promoted the recovery of kidney function via activating the Keap1-Nrf2 signaling pathway and enhancing mitochondrial function of TECs. DPA-SCP with AIE characteristics allows noninvasive and precise in vivo visualization of MSC-EVs in kidney repair.</t>
  </si>
  <si>
    <t>[Cao, Hongmei; Cheng, Yuanqiu; Zhuang, Jie; Li, Zongjin; Wang, Yuebing] Nankai Univ, Dept Biochem, Sch Med, Tianjin 300071, Peoples R China; [Cao, Hongmei; Zhang, Weiguang; Wang, Yuebing] Chinese Peoples Liberat Army Gen Hosp, Natl Clin Res Ctr Kidney Dis, Chinese PLA Inst Nephrol, Dept Nephrol,State Key Lab Kidney Dis,Beijing Key, Beijing 100853, Peoples R China; [Gao, Heqi; Kong, Deling; Ding, Dan] Nankai Univ, Coll Life Sci, Key Lab Bioact Mat, Minist Educ, Tianjin 300071, Peoples R China; [Bian, Qiang] Nankai Univ, Natl Pesticide Engn Res Ctr, Tianjin 300071, Peoples R China; [Wang, Fang; Du, Yuan] Tianjin Nankai Hosp, Tianjin 300100, Peoples R China</t>
  </si>
  <si>
    <t>Nankai University; Chinese People's Liberation Army General Hospital; Nankai University; Nankai University</t>
  </si>
  <si>
    <t>Wang, YB (corresponding author), Nankai Univ, Dept Biochem, Sch Med, Tianjin 300071, Peoples R China.;Wang, YB (corresponding author), Chinese Peoples Liberat Army Gen Hosp, Natl Clin Res Ctr Kidney Dis, Chinese PLA Inst Nephrol, Dept Nephrol,State Key Lab Kidney Dis,Beijing Key, Beijing 100853, Peoples R China.;Ding, D (corresponding author), Nankai Univ, Coll Life Sci, Key Lab Bioact Mat, Minist Educ, Tianjin 300071, Peoples R China.</t>
  </si>
  <si>
    <t>dingd@nankai.edu.cn; wangyuebing@nankai.edu.cn</t>
  </si>
  <si>
    <t>Li, Zongjin/G-3118-2010; Li, Zongjin/A-1115-2014</t>
  </si>
  <si>
    <t>Li, Zongjin/0000-0002-4603-3743; Li, Zongjin/0000-0002-4603-3743</t>
  </si>
  <si>
    <t>APR 28</t>
  </si>
  <si>
    <t>10.1021/acsnano.9b08207</t>
  </si>
  <si>
    <t>WOS:000529895500025</t>
  </si>
  <si>
    <t>Zhuang, JL; Tan, JZ; Wu, CL; Zhang, J; Liu, T; Fan, CH; Li, JP; Zhang, YQ</t>
  </si>
  <si>
    <t>Zhuang, Jialang; Tan, Jizhou; Wu, Chenglin; Zhang, Jie; Liu, Ting; Fan, Chunhai; Li, Jiaping; Zhang, Yuanqing</t>
  </si>
  <si>
    <t>Extracellular vesicles engineered with valency-controlled DNA nanostructures deliver CRISPR/Cas9 system for gene therapy</t>
  </si>
  <si>
    <t>NUCLEIC ACIDS RESEARCH</t>
  </si>
  <si>
    <t>EXOSOMES; STRATEGIES; INTERFACE; APTAMERS</t>
  </si>
  <si>
    <t>Extracellular vesicles (EVs) hold great promise for transporting CRISPR-Cas9 RNA-guided endonucleases (RNP) throughout the body. However, the cell-selective delivery of EVs is still a challenge. Here, we designed valency-controlled tetrahedral DNA nanostructures (TDNs) conjugated with DNA aptamer, and loaded the valency-controlled TDNs on EV surface via cholesterol anchoring for specific cell targeting. The targeting efficacy of different ratios of aptamer/cholesterol from 1:3 to 3:1 in TDNs on decorating EVs was investigated. TDNs with one aptamer and three cholesterol anchors (TDN1) efficiently facilitated the tumor-specific accumulation of the EVs in cultured HepG2 cells and human primary liver cancer-derived organoids, aswell as xenograft tumor models. The intracellular delivery of RNP by TDN1-EVs successfully realized its subsequent genome editing, leading to the downregulation of GFP or WNT10B in specific cells. This system was ultimately applied to reduce the protein expression of WNT10B, which presented remarkable tumor growth inhibition in vitro, ex vivo and in vivo, and could be extended to other therapeutic targets. The present study provides a platform for the directional display of aptamer on surface labeling and the EVs-based Cas9 delivery, which provides a meaningful idea for future cellselective gene editing.</t>
  </si>
  <si>
    <t>[Zhuang, Jialang; Zhang, Jie; Zhang, Yuanqing] Sun Yat Sen Univ, Guangdong Key Lab Chiral Mol &amp; Drug Discovery, Sch Pharmaceut Sci, Guangzhou 510006, Guangdong, Peoples R China; [Tan, Jizhou; Wu, Chenglin; Liu, Ting; Li, Jiaping] Sun Yat Sen Univ, Affiliated Hosp 1, Dept Intervent Oncol, Guangzhou 510080, Guangdong, Peoples R China; [Wu, Chenglin] Sun Yat Sen Univ, Organ Transplantat Ctr, Affiliated Hosp 1, Guangzhou 510080, Guangdong, Peoples R China; [Fan, Chunhai] Shanghai Jiao Tong Univ, Sch Chem &amp; Chem Engn, Dongchuan Rd 800, Shanghai 200240, Peoples R China</t>
  </si>
  <si>
    <t>Sun Yat Sen University; Sun Yat Sen University; Sun Yat Sen University; Shanghai Jiao Tong University</t>
  </si>
  <si>
    <t>Zhang, YQ (corresponding author), Sun Yat Sen Univ, Guangdong Key Lab Chiral Mol &amp; Drug Discovery, Sch Pharmaceut Sci, Guangzhou 510006, Guangdong, Peoples R China.;Li, JP (corresponding author), Sun Yat Sen Univ, Affiliated Hosp 1, Dept Intervent Oncol, Guangzhou 510080, Guangdong, Peoples R China.</t>
  </si>
  <si>
    <t>lijiap@mail.sysu.edu.cn; zhangyq65@mail.sysu.edu.cn</t>
  </si>
  <si>
    <t>Fan, Chunhai/A-7569-2011</t>
  </si>
  <si>
    <t>Fan, Chunhai/0000-0002-7171-7338; Zhang, Yuanqing/0000-0002-8761-5328</t>
  </si>
  <si>
    <t>0305-1048</t>
  </si>
  <si>
    <t>1362-4962</t>
  </si>
  <si>
    <t>10.1093/nar/gkaa683</t>
  </si>
  <si>
    <t>WOS:000574332700010</t>
  </si>
  <si>
    <t>Park, J; Lee, C; Eom, JS; Kim, MH; Cho, YK</t>
  </si>
  <si>
    <t>Park, Juhee; Lee, Chaeeun; Eom, Jung Seop; Kim, Mi-Hyun; Cho, Yoon-Kyoung</t>
  </si>
  <si>
    <t>Detection of EGFR Mutations Using Bronchial Washing-Derived Extracellular Vesicles in Patients with Non-Small-Cell Lung Carcinoma</t>
  </si>
  <si>
    <t>lung cancer; liquid biopsy; bronchial washing (BW); extracellular vesicles; EGFR; T790M</t>
  </si>
  <si>
    <t>ACQUIRED-RESISTANCE; LIQUID BIOPSIES; CANCER; DNA; TECHNOLOGIES; SPECIMENS; DIAGNOSIS; CYTOLOGY; THERAPY</t>
  </si>
  <si>
    <t>Simple Summary Considering the spatiotemporal heterogeneity, more frequent monitoring of the disease progress using less-invasive liquid biopsy technologies is highly desired. Here, we demonstrate that epidermal growth factor receptor (EGFR) mutations could be readily detected from minimally invasive bronchial washing (BW)-derived EVs with good accuracy. The acquisition of T790M resistance mutation was detected earlier in BW-derived EVs than in plasma or tissue samples. The longitudinal analysis of BW-derived EVs showed excellent correlation with the disease progression measured by CT images. We demonstrate the clinical potential of BW-derived EVs as a liquid-biopsy sample for prognosis and precision medicine in patients with lung cancer. The detection of epidermal growth factor receptor (EGFR) mutation, based on tissue biopsy samples, provides a valuable guideline for the prognosis and precision medicine in patients with lung cancer. In this study, we aimed to examine minimally invasive bronchial washing (BW)-derived extracellular vesicles (EVs) for EGFR mutation analysis in patients with lung cancer. A lab-on-a-disc equipped with a filter with 20-nm pore diameter, Exo-Disc, was used to enrich EVs in BW samples. The overall detection sensitivity of EGFR mutations in 55 BW-derived samples was 89.7% and 31.0% for EV-derived DNA (EV-DNA) and EV-excluded cell free-DNA (EV-X-cfDNA), respectively, with 100% specificity. The detection rate of T790M in 13 matched samples was 61.5%, 10.0%, and 30.8% from BW-derived EV-DNA, plasma-derived cfDNA, and tissue samples, respectively. The acquisition of T790M resistance mutation was detected earlier in BW-derived EVs than plasma or tissue samples. The longitudinal analysis of BW-derived EVs showed excellent correlation with the disease progression measured by CT images. The EGFR mutations can be readily detected in BW-derived EVs, which demonstrates their clinical potential as a liquid-biopsy sample that may aid precise management, including assessment of the treatment response and drug resistance in patients with lung cancer.</t>
  </si>
  <si>
    <t>[Park, Juhee; Lee, Chaeeun; Cho, Yoon-Kyoung] Inst Basic Sci IBS, Ctr Soft &amp; Living Matter, Ulsan 44919, South Korea; [Lee, Chaeeun; Cho, Yoon-Kyoung] Ulsan Natl Inst Sci &amp; Technol UNIST, Dept Biomed Engn, Ulsan 44919, South Korea; [Eom, Jung Seop; Kim, Mi-Hyun] Pusan Natl Univ, Sch Med, Dept Internal Med, 179 Gudeok Ro, Busan 49241, South Korea; [Eom, Jung Seop; Kim, Mi-Hyun] Pusan Natl Univ Hosp, Biomed Res Inst, 179 Gudeok Ro, Busan 49241, South Korea</t>
  </si>
  <si>
    <t>Institute for Basic Science - Korea (IBS); Ulsan National Institute of Science &amp; Technology (UNIST); Pusan National University; Pusan National University; Pusan National University Hospital</t>
  </si>
  <si>
    <t>Cho, YK (corresponding author), Inst Basic Sci IBS, Ctr Soft &amp; Living Matter, Ulsan 44919, South Korea.;Cho, YK (corresponding author), Ulsan Natl Inst Sci &amp; Technol UNIST, Dept Biomed Engn, Ulsan 44919, South Korea.;Kim, MH (corresponding author), Pusan Natl Univ, Sch Med, Dept Internal Med, 179 Gudeok Ro, Busan 49241, South Korea.;Kim, MH (corresponding author), Pusan Natl Univ Hosp, Biomed Res Inst, 179 Gudeok Ro, Busan 49241, South Korea.</t>
  </si>
  <si>
    <t>jugene@nate.com; chaeeun@unist.ac.kr; ejspulm@gmail.com; mihyunkim@pusan.ac.kr; ykcho@unist.ac.kr</t>
  </si>
  <si>
    <t>Cho, Yoon-Kyoung/ABF-9355-2021; Cho, Yoon-Kyoung/E-9082-2010; Park, Juhee/P-5219-2017</t>
  </si>
  <si>
    <t>Cho, Yoon-Kyoung/0000-0001-6423-1834; Cho, Yoon-Kyoung/0000-0001-6423-1834; Park, Juhee/0000-0002-8109-6387; Kim, Mi-Hyun/0000-0002-6527-6804</t>
  </si>
  <si>
    <t>10.3390/cancers12102822</t>
  </si>
  <si>
    <t>WOS:000582657600001</t>
  </si>
  <si>
    <t>Wang, Z; Deng, Z; Dahmane, N; Tsai, K; Wang, P; Williams, DR; Kossenkov, AV; Showe, LC; Zhang, RG; Huang, QH; Conejo-Garcia, JR; Lieberman, PM</t>
  </si>
  <si>
    <t>Wang, Zhuo; Deng, Zhong; Dahmane, Nadia; Tsai, Kevin; Wang, Pu; Williams, Dewight R.; Kossenkov, Andrew V.; Showe, Louise C.; Zhang, Rugang; Huang, Qihong; Conejo-Garcia, Jose R.; Lieberman, Paul M.</t>
  </si>
  <si>
    <t>Telomeric repeat-containing RNA (TERRA) constitutes a nucleoprotein component of extracellular inflammatory exosomes</t>
  </si>
  <si>
    <t>TERRA; telomere; exosome; innate immunity; cytokine</t>
  </si>
  <si>
    <t>MAMMALIAN TELOMERES; CELLULAR SENESCENCE; CANCER-CELLS; SECRETORY PHENOTYPE; IMMUNE-RESPONSES; DNA HYBRIDS; STEM-CELLS; TRANSCRIPTION; ASSOCIATION; ACTIVATION</t>
  </si>
  <si>
    <t>Telomeric repeat-containing RNA (TERRA) has been identified as a telomere-associated regulator of chromosome end protection. Here, we report that TERRA can also be found in extracellular fractions that stimulate innate immune signaling. We identified extracellular forms of TERRA in mouse tumor and embryonic brain tissue, as well as in human tissue culture cell lines using RNA in situ hybridization. RNA-seq analyses revealed TERRA to be among the most highly represented transcripts in extracellular fractions derived from both normal and cancer patient blood plasma. Cell-free TERRA (cfTERRA) could be isolated from the exosome fractions derived from human lymphoblastoid cell line (LCL) culture media. cfTERRA is a shorter form(similar to 200 nt) of cellular TERRA and copurifies with CD63- and CD83-positive exosome vesicles that could be visualized by cyro-electron microscopy. These fractions were also enriched for histone proteins that physically associate with TERRA in extracellular ChIP assays. Incubation of cfTERRA-containing exosomes with peripheral blood mononuclear cells stimulated transcription of several inflammatory cytokine genes, including TNF alpha, IL6, and C-X-C chemokine 10 (CXCL10) Exosomes engineered with elevated TERRA or liposomes with synthetic TERRA further stimulated inflammatory cytokines, suggesting that exosome-associated TERRA augments innate immune signaling. These findings imply a previously unidentified extrinsic function for TERRA and a mechanism of communication between telomeres and innate immune signals in tissue and tumor microenvironments.</t>
  </si>
  <si>
    <t>[Wang, Zhuo; Deng, Zhong; Tsai, Kevin; Wang, Pu; Kossenkov, Andrew V.; Showe, Louise C.; Zhang, Rugang; Huang, Qihong; Conejo-Garcia, Jose R.; Lieberman, Paul M.] Wistar Inst Anat &amp; Biol, Gene Express &amp; Regulat Program, Philadelphia, PA 19104 USA; [Wang, Zhuo] Univ Sci Philadelphia, Canc Biol Program, Philadelphia, PA 19104 USA; [Dahmane, Nadia] Univ Penn, Dept Neurosurg, Philadelphia, PA 19104 USA; [Williams, Dewight R.] Univ Penn, Dept Biochem &amp; Biophys, Philadelphia, PA 19104 USA</t>
  </si>
  <si>
    <t>The Wistar Institute; University of Pennsylvania; University of Pennsylvania</t>
  </si>
  <si>
    <t>Lieberman, PM (corresponding author), Wistar Inst Anat &amp; Biol, Gene Express &amp; Regulat Program, Philadelphia, PA 19104 USA.</t>
  </si>
  <si>
    <t>lieberman@wistar.org</t>
  </si>
  <si>
    <t>Conejo-Garcia, Jose R/V-1897-2019; Wang, Zhuo/F-1759-2017; Tsai, Kevin/AAQ-4818-2021</t>
  </si>
  <si>
    <t>Conejo-Garcia, Jose R/0000-0001-6431-4074; Wang, Zhuo/0000-0002-8218-6819; Tsai, Kevin/0000-0003-1712-9153</t>
  </si>
  <si>
    <t>NOV 17</t>
  </si>
  <si>
    <t>E6293</t>
  </si>
  <si>
    <t>E6300</t>
  </si>
  <si>
    <t>10.1073/pnas.1505962112</t>
  </si>
  <si>
    <t>WOS:000365170400008</t>
  </si>
  <si>
    <t>Yoon, YC; Ahn, BH; Min, JW; Lee, KR; Park, SH; Kang, HC</t>
  </si>
  <si>
    <t>Yoon, Yeo Cho; Ahn, Beom Hee; Min, Jin Woo; Lee, Kyung Real; Park, Sang Hoon; Kang, Hee Cheol</t>
  </si>
  <si>
    <t>Stimulatory Effects of Extracellular Vesicles Derived from Leuconostoc holzapfelii That Exists in Human Scalp on Hair Growth in Human Follicle Dermal Papilla Cells</t>
  </si>
  <si>
    <t>CURRENT ISSUES IN MOLECULAR BIOLOGY</t>
  </si>
  <si>
    <t>extracellular vesicles (EVs); probiotic bacteria; human scalp-derived Leuconostoc holzapfelii (hs-Lh); apoptosis; hair growth</t>
  </si>
  <si>
    <t>MEMBRANE-VESICLES; MOLECULAR-MECHANISMS; APOPTOSIS; WNT; COMMUNICATION; PREBIOTICS; PROBIOTICS; CISPLATIN; MINOXIDIL; BACTERIA</t>
  </si>
  <si>
    <t>Human hair follicle dermal papilla cells (HFDPCs) located in hair follicles (HFs) play a pivotal role in hair follicle morphogenesis, hair cycling, and hair growth. Over the past few decades, probiotic bacteria (PB) have been reported to have beneficial effects such as improved skin health, anti-obesity, and immuno-modulation for conditions including atopic dermatitis and inflammatory bowel disease (IBD). PB can secrete 50~150 nm sized extracellular vesicles (EVs) containing microbial DNA, miRNA, proteins, lipids, and cell wall components. These EVs can regulate communication between bacteria or between bacteria and their host. Although numerous biological effects of PB-EVs have been reported, the physiological roles of Leuconostoc holzapfelii (hs-Lh), which is isolated from human scalp tissue, and the extracellular vesicles derived from them (hs-LhEVs) are largely unknown. Herein, we investigated the effects of hs-LhEVs on hair growth in HFDPCs. We show that hs-LhEVs increase cell proliferation, migration, and regulate the cell cycle. Furthermore, hs-LhEVs were found to modulate the mRNA expression of hair-growth-related genes in vitro. These data demonstrate that hs-LhEVs can reduce apoptosis by modulating the cell cycle and promote hair growth by regulation via the Wnt/beta-catenin signal transduction pathway.</t>
  </si>
  <si>
    <t>[Yoon, Yeo Cho; Ahn, Beom Hee; Kang, Hee Cheol] GFC Co Ltd, Human &amp; Microbiome Communicating Lab, Hwaseong 18471, South Korea; [Min, Jin Woo; Kang, Hee Cheol] GFC Co Ltd, Green &amp; Biome Customizing Lab, Hwaseong 18471, South Korea; [Lee, Kyung Real] SKINDA Dermatol Clin, Sungnam 13595, South Korea; [Park, Sang Hoon] ID Hosp, Dept Plast Surg, Seoul 06039, South Korea</t>
  </si>
  <si>
    <t>Kang, HC (corresponding author), GFC Co Ltd, Human &amp; Microbiome Communicating Lab, Hwaseong 18471, South Korea.;Kang, HC (corresponding author), GFC Co Ltd, Green &amp; Biome Customizing Lab, Hwaseong 18471, South Korea.</t>
  </si>
  <si>
    <t>yc.yoon@gfcos.co.kr; bh.ahn@gfcos.co.kr; jw.min@gfcos.co.kr; teamdoctor78@naver.com; spark@idhospital.com; michael@gfcos.co.kr</t>
  </si>
  <si>
    <t>1467-3037</t>
  </si>
  <si>
    <t>1467-3045</t>
  </si>
  <si>
    <t>10.3390/cimb44020058</t>
  </si>
  <si>
    <t>WOS:000767172300001</t>
  </si>
  <si>
    <t>Jing, X; Wang, S; Tang, H; Li, DZ; Zhou, FY; Xin, LJ; He, QQ; Hu, SS; Zhang, TW; Chen, T; Song, JL</t>
  </si>
  <si>
    <t>Jing, Xuan; Wang, Si; Tang, Han; Li, Dize; Zhou, Fuyuan; Xin, Liangjing; He, Qingqing; Hu, Shanshan; Zhang, Tingwei; Chen, Tao; Song, Jinlin</t>
  </si>
  <si>
    <t>Dynamically Bioresponsive DNA Hydrogel Incorporated with Dual-Functional Stem Cells from Apical Papilla-Derived Exosomes Promotes Diabetic Bone Regeneration</t>
  </si>
  <si>
    <t>exosomes; diabetes mellitus; bone; MMPs; DNA; hydrogel; miRNA</t>
  </si>
  <si>
    <t>CONTROLLED-RELEASE; SCAFFOLDS; PROFILES; DELIVERY</t>
  </si>
  <si>
    <t>The regeneration of bone defects in patients with diabetes mellitus (DM) is remarkably impaired by hyperglycemia and over-expressed proinflammatory cytokines, proteinases (such as matrix metalloproteinases, MMPs), etc. In view of the fact that exosomes represent a promising nanomaterial, herein, we reported the excellent capacity of stem cells from apical papilla-derived exosomes (SCAP-Exo) to facilitate angiogenesis and osteogenesis whether in normal or diabetic conditions in vitro. Then, a bioresponsive polyethylene glycol (PEG)/DNA hybrid hydrogel was developed to support a controllable release of SCAP-Exo for diabetic bone defects. This system could be triggered by the elevated pathological cue (MMP-9) in response to the dynamic diabetic microenvironment. It was further confirmed that the administration of the injectable SCAP-Exo-loaded PEG/DNA hybrid hydrogel into the mandibular bone defect of diabetic rats demonstrated a great therapeutic effect on promoting vascularized bone regeneration. In addition, the miRNA sequencing suggested that the mechanism of dual- functional SCAP-Exo might be related to highly expressed miRNA-126-5p and miRNA-150-5p. Consequently, our study provides valuable insights into the design of promising bioresponsive exosome-delivery systems to improve bone regeneration in diabetic patients.</t>
  </si>
  <si>
    <t>[Jing, Xuan; Wang, Si; Tang, Han; Li, Dize; Zhou, Fuyuan; Xin, Liangjing; He, Qingqing; Hu, Shanshan; Zhang, Tingwei; Chen, Tao; Song, Jinlin] Chongqing Med Univ, Coll Stomatol, Chongqing Key Lab Oral Dis &amp; Biomed Sci, Chongqing Municipal Key Lab Oral Biomed Engn High, Chongqing 401147, Peoples R China</t>
  </si>
  <si>
    <t>Zhang, TW; Chen, T; Song, JL (corresponding author), Chongqing Med Univ, Coll Stomatol, Chongqing Key Lab Oral Dis &amp; Biomed Sci, Chongqing Municipal Key Lab Oral Biomed Engn High, Chongqing 401147, Peoples R China.</t>
  </si>
  <si>
    <t>tingwei_zhang@hospital.cqmu.edu.cn; chentao1985@hospital.cqmu.edu.cn; songjinlin@hospital.cqmu.edu.cn</t>
  </si>
  <si>
    <t>jing, xuan/AGY-2391-2022</t>
  </si>
  <si>
    <t>Chen, Tao/0000-0002-5658-5525</t>
  </si>
  <si>
    <t>APR 13</t>
  </si>
  <si>
    <t>10.1021/acsami.2c02278</t>
  </si>
  <si>
    <t>WOS:000800533100018</t>
  </si>
  <si>
    <t>Carbajo-Garcia, MC; Corachan, A; Juarez-Barber, E; Monleon, J; Paya, V; Trelis, A; Quinonero, A; Pellicer, A; Ferrero, H</t>
  </si>
  <si>
    <t>Carbajo-Garcia, Maria Cristina; Corachan, Ana; Juarez-Barber, Elena; Monleon, Javier; Paya, Vicente; Trelis, Alexandra; Quinonero, Alicia; Pellicer, Antonio; Ferrero, Hortensia</t>
  </si>
  <si>
    <t>Integrative analysis of the DNA methylome and transcriptome in uterine leiomyoma shows altered regulation of genes involved in metabolism, proliferation, extracellular matrix, and vesicles</t>
  </si>
  <si>
    <t>JOURNAL OF PATHOLOGY</t>
  </si>
  <si>
    <t>DNA methylation; gene expression; uterine leiomyoma; 5-aza-2'-deoxycytidine</t>
  </si>
  <si>
    <t>METHYLATION MICROARRAY; POOR-PROGNOSIS; CPG SITES; CANCER; PATHOGENESIS; VALIDATION; PATHWAYS; EXOSOMES; SUBTYPES; CELLS</t>
  </si>
  <si>
    <t>Uterine leiomyomas (ULs) are the most common benign tumors in women of reproductive age. Despite the high prevalence, tumor pathology remains unclear, which hampers the development of safe and effective treatments. Epigenetic mechanisms appear to be involved in UL development, particularly via DNA methylation that regulates gene expression. We aimed to determine the relationship between DNA methylation and gene expression in UL compared with adjacent myometrium (MM) to identify molecular mechanisms involved in UL formation that are under epigenetic control. Our results showed a different DNA methylation profile between UL and MM, leading to hypermethylation of UL, and a different global transcriptome profile. Integration of DNA methylation and whole-transcriptome RNA-sequencing data identified 93 genes regulated by methylation, with 22 hypomethylated/upregulated and 71 hypermethylated/downregulated. Functional enrichment analysis showed dysregulated biological processes and molecular functions involved in metabolism and cell physiology, response to extracellular signals, invasion, and proliferation, as well as pathways related to uterine biology and cancer. Cellular components such as cell membranes, vesicles, extracellular matrix, and cell junctions were dysregulated in UL. In addition, we found hypomethylation/upregulation of oncogenes (PRL, ATP8B4, CEMIP, ZPMS2-AS1, RIMS2, TFAP2C) and hypermethylation/downregulation of tumor suppressor genes (EFEMP1, FBLN2, ARHGAP10, HTATIP2), which are related to proliferation, invasion, altered metabolism, deposition of extracellular matrix, and Wnt/beta-catenin pathway dysregulation. This confirms that key processes of UL development are under DNA methylation control. Finally, inhibition of DNA methyltransferases by 5-aza-2'-deoxycitidine increased the expression of hypermethylated/downregulated genes in UL cells in vitro. In conclusion, gene regulation by DNA methylation is implicated in UL pathogenesis, and reversion of this methylation could offer a therapeutic option for UL. (c) 2022 The Pathological Society of Great Britain and Ireland.</t>
  </si>
  <si>
    <t>[Carbajo-Garcia, Maria Cristina; Corachan, Ana; Juarez-Barber, Elena; Quinonero, Alicia; Pellicer, Antonio; Ferrero, Hortensia] Fdn IVI, Inst Invest Sanitaria La Fe, Valencia, Spain; [Carbajo-Garcia, Maria Cristina; Corachan, Ana] Univ Valencia, Dept Pediatria Obstetricia &amp; Ginecol, Valencia, Spain; [Monleon, Javier; Paya, Vicente; Trelis, Alexandra] Hosp Univ &amp; Politecn La Fe, Valencia, Spain; [Pellicer, Antonio] IVIRMA Rome, Rome, Italy</t>
  </si>
  <si>
    <t>University of Valencia; Hospital Universitari i Politecnic La Fe</t>
  </si>
  <si>
    <t>Ferrero, H (corresponding author), Ave Fernando Abril Martorell 106,Torre A,Planta 1, Valencia 46026, Spain.</t>
  </si>
  <si>
    <t>hortensia.ferrero@ivirma.com</t>
  </si>
  <si>
    <t>Trelis Blanes, Alexandra/0000-0001-6208-5319</t>
  </si>
  <si>
    <t>0022-3417</t>
  </si>
  <si>
    <t>1096-9896</t>
  </si>
  <si>
    <t>10.1002/path.5920</t>
  </si>
  <si>
    <t>Oncology; Pathology</t>
  </si>
  <si>
    <t>WOS:000809844000001</t>
  </si>
  <si>
    <t>Ghosal, A; Upadhyaya, BB; Fritz, JV; Heintz-Buschart, A; Desai, MS; Yusuf, D; Huang, D; Baumuratov, A; Wang, K; Galas, D; Wilmes, P</t>
  </si>
  <si>
    <t>Ghosal, Anubrata; Upadhyaya, Bimal Babu; Fritz, Joelle V.; Heintz-Buschart, Anna; Desai, Mahesh S.; Yusuf, Dilmurat; Huang, David; Baumuratov, Aidos; Wang, Kai; Galas, David; Wilmes, Paul</t>
  </si>
  <si>
    <t>The extracellular RNA complement of Escherichia coli</t>
  </si>
  <si>
    <t>Escherichia coli; extracellular; outer membrane vesicle; RNA</t>
  </si>
  <si>
    <t>OUTER-MEMBRANE VESICLES; PSEUDOMONAS-AERUGINOSA; MICRORNAS; COMMUNICATION; DNA; IDENTIFICATION; PROPHAGES; FRAGMENTS; MECHANISM; CLEAVAGE</t>
  </si>
  <si>
    <t>The secretion of biomolecules into the extracellular milieu is a common and well-conserved phenomenon in biology. In bacteria, secreted biomolecules are not only involved in intra-species communication but they also play roles in inter-kingdom exchanges and pathogenicity. To date, released products, such as small molecules, DNA, peptides, and proteins, have been well studied in bacteria. However, the bacterial extracellular RNA complement has so far not been comprehensively characterized. Here, we have analyzed, using a combination of physical characterization and high-throughput sequencing, the extracellular RNA complement of both outer membrane vesicle (OMV)-associated and OMV-free RNA of the enteric Gram-negative model bacterium Escherichia coli K-12 substrain MG1655 and have compared it to its intracellular RNA complement. Our results demonstrate that a large part of the extracellular RNA complement is in the size range between 15 and 40 nucleotides and is derived from specific intracellular RNAs. Furthermore, RNA is associated with OMVs and the relative abundances of RNA biotypes in the intracellular, OMV and OMV-free fractions are distinct. Apart from rRNA fragments, a significant portion of the extracellular RNA complement is composed of specific cleavage products of functionally important structural noncoding RNAs, including tRNAs, 4.5S RNA, 6S RNA, and tmRNA. In addition, the extracellular RNA pool includes RNA biotypes from cryptic prophages, intergenic, and coding regions, of which some are so far uncharacterised, for example, transcripts mapping to the fimA-fimL and ves-spy intergenic regions. Our study provides the first detailed characterization of the extracellular RNA complement of the enteric model bacterium E. coli. Analogous to findings in eukaryotes, our results suggest the selective export of specific RNA biotypes by E. coli, which in turn indicates a potential role for extracellular bacterial RNAs in intercellular communication.</t>
  </si>
  <si>
    <t>[Ghosal, Anubrata; Upadhyaya, Bimal Babu; Fritz, Joelle V.; Heintz-Buschart, Anna; Desai, Mahesh S.; Yusuf, Dilmurat; Baumuratov, Aidos; Galas, David; Wilmes, Paul] Univ Luxembourg, Luxembourg Ctr Syst Biomed, L-6188 Esch Sur Alzette, Luxembourg; [Huang, David; Galas, David] Pacific Northwest Diabet Res, Seattle, WA USA; [Wang, Kai] Inst Syst Biol, Seattle, WA USA</t>
  </si>
  <si>
    <t>University of Luxembourg; Institute for Systems Biology (ISB)</t>
  </si>
  <si>
    <t>Wilmes, P (corresponding author), Univ Luxembourg, Luxembourg Ctr Syst Biomed, Campus Belval,7 Ave Hauts Fourneaux, L-6188 Esch Sur Alzette, Luxembourg.</t>
  </si>
  <si>
    <t>paul.wilmes@uni.lu</t>
  </si>
  <si>
    <t>Wilmes, Paul/B-1707-2017; Baumuratov, Aidos/AAK-8147-2021; Heintz-Buschart, Anna/AAP-3796-2020</t>
  </si>
  <si>
    <t>Wilmes, Paul/0000-0002-6478-2924; Heintz-Buschart, Anna/0000-0002-9780-1933; Yusuf, Dilmurat/0000-0001-8683-7845; Desai, Mahesh S/0000-0002-9223-2209; Fritz, Joelle/0000-0002-4694-3923; Baumuratov, Aidos/0000-0002-3403-8707</t>
  </si>
  <si>
    <t>10.1002/mbo3.235</t>
  </si>
  <si>
    <t>WOS:000352575900005</t>
  </si>
  <si>
    <t>Cai, J; Guan, W; Tan, X; Chen, C; Li, L; Wang, N; Zou, X; Zhou, F; Wang, J; Pei, F; Chen, X; Luo, H; Wang, X; He, D; Zhou, L; Jose, PA; Zeng, C</t>
  </si>
  <si>
    <t>Cai, Jin; Guan, Weiwei; Tan, Xiaorong; Chen, Caiyu; Li, Liangpeng; Wang, Na; Zou, Xue; Zhou, Faying; Wang, Jialiang; Pei, Fang; Chen, Xinjian; Luo, Hao; Wang, Xinquan; He, Duofen; Zhou, Lin; Jose, Pedro A.; Zeng, Chunyu</t>
  </si>
  <si>
    <t>SRY gene transferred by extracellular vesicles accelerates atherosclerosis by promotion of leucocyte adherence to endothelial cells</t>
  </si>
  <si>
    <t>CLINICAL SCIENCE</t>
  </si>
  <si>
    <t>atherosclerosis; CD11-a; extracellular vesicles; gene copy number; ICAM-1; SRY</t>
  </si>
  <si>
    <t>HUMAN Y-CHROMOSOME; BLOOD-PRESSURE; MEDIATED TRANSFER; ASSOCIATION; EXOSOMES; DNA; MECHANISM; PROTEINS; ADHESION</t>
  </si>
  <si>
    <t>We set out to investigate whether and how SRY (sex-determining region, Y) DNAs in plasma EVs (extracellular vesicles) is involved in the pathogenesis of atherosclerosis. PCR and gene sequencing found the SRY gene fragment in plasma EVs from male, but not female, patients; EVs from male patients with CAD (coronary artery disease) had a higher SRY GCN (gene copy number) than healthy subjects. Additional studies found that leucocytes, the major source of plasma EVs, had higher SRY GCN and mRNA and protein expression in male CAD patients than controls. After incubation with EVs from SRY-transfected HEK (human embryonic kidney)-293 cells, monocytes (THP-1) and HUVECs (human umbilical vein endothelial cells), which do not endogenously express SRY protein, were found to express newly synthesized SRY protein. This resulted in an increase in the adherence factors CD11-a in THP-1 cells and ICAM-1 (intercellular adhesion molecule 1) in HUVECs. EMSA showed that SRY protein increased the promoter activity of CD11-a in THP-1 cells and ICAM-1 in HUVECs. There was an increase in THP-1 cells adherent to HUVECs after incubation with SRY-EVs. SRY DNAs transferred from EVs have pathophysiological significance in vivo; injection of SRY EVs into ApoE(-/-) (apolipoprotein-knockout) mice accelerated atherosclerosis. The SRY gene in plasma EVs transferred to vascular endothelial cells may play an important role in the pathogenesis of atherosclerosis; this mechanism provides a new approach to the understanding of inheritable CAD in men.</t>
  </si>
  <si>
    <t>[Cai, Jin; Guan, Weiwei; Tan, Xiaorong; Chen, Caiyu; Li, Liangpeng; Wang, Na; Zou, Xue; Zhou, Faying; Wang, Jialiang; Pei, Fang; Chen, Xinjian; Luo, Hao; Wang, Xinquan; He, Duofen; Zhou, Lin; Zeng, Chunyu] Third Mil Med Univ, Daping Hosp, Dept Cardiol, Chongqing 400042, Peoples R China; [Jose, Pedro A.] Univ Maryland, Div Nephrol, Dept Physiol &amp; Med, Sch Med, Baltimore, MD 21201 USA</t>
  </si>
  <si>
    <t>Army Medical University; University System of Maryland; University of Maryland Baltimore</t>
  </si>
  <si>
    <t>Zeng, C (corresponding author), Third Mil Med Univ, Daping Hosp, Dept Cardiol, Chongqing 400042, Peoples R China.</t>
  </si>
  <si>
    <t>linzhou65@hotmail.com; Chunyuzeng01@163.com</t>
  </si>
  <si>
    <t>0143-5221</t>
  </si>
  <si>
    <t>1470-8736</t>
  </si>
  <si>
    <t>10.1042/CS20140826</t>
  </si>
  <si>
    <t>WOS:000355144700004</t>
  </si>
  <si>
    <t>Khalyfa, A; Marin, JM; Qiao, ZH; Rubio, DS; Kheirandish-Gozal, L; Gozal, D</t>
  </si>
  <si>
    <t>Khalyfa, Abdelnaby; Marin, Jose M.; Qiao, Zhuanhong; Rubio, David Sanz; Kheirandish-Gozal, Leila; Gozal, David</t>
  </si>
  <si>
    <t>Plasma exosomes in OSA patients promote endothelial senescence: effect of long-term adherent continuous positive airway pressure</t>
  </si>
  <si>
    <t>SLEEP</t>
  </si>
  <si>
    <t>OSA; CPAP; endothelium; cardiovascular; extracellular vesicles; exosomes; senescence; aging; intermittent hypoxia; oxidative stress</t>
  </si>
  <si>
    <t>OBSTRUCTIVE SLEEP-APNEA; INTERMITTENT HYPOXIA; CELLULAR SENESCENCE; EXTRACELLULAR VESICLES; DNA-DAMAGE; DYSFUNCTION; CELLS; SIRT1; DISEASE; HEALTH</t>
  </si>
  <si>
    <t>Obstructive sleep apnea (OSA) is associated with increased risk for end-organ morbidities, which can collectively be viewed as accelerated aging. Vascular senescence is an important contributor to end-organ dysfunction. Exosomes are released ubiquitously into the circulation, and transfer their cargo to target cells facilitating physiological and pathological processes. Plasma exosomes from 15 patients with polysomnographically diagnosed OSA at baseline (OSA-T1) after 12 months of adherent continuous positive airway pressure (CPAP) treatment (OSA-T2), 13 untreated OSA patients at 12-month intervals (OSA-NT1, OSA-NT2), and 12 controls (CO1 and CO2) were applied on naive human microvascular endothelialcells-dermal (HMVEC-d). Expression of several senescence gene markers including p16 (CDKN2A), SIRT1, and SIRT6 and immunostaining for beta-galactosidase activity (x-gal) were performed. Endothelial cells were also exposed to intermittent hypoxia (IH) or normoxia (RA) or treated with hydrogen peroxide (H2O2), stained with x-gal and subjected to qRT-PCR. Exosomes from OSA-T1, OSA-NT1, and OSA-NT2 induced significant increases in x-gal staining compared to OSA-T2, CO1, and CO2 (p-value &lt; 0.01). p16 expression was significantly increased (p &lt; 0.01), while SIRT1 and SIRT6 expression levels were decreased (p &lt; 0.02 and p &lt; 0.009). Endothelial cells exposed to IH or to H2O2 showed significant increases in x-gal staining (p &lt; 0.001) and in senescence gene expression. Circulating exosomes in untreated OSA induce marked and significant increases in senescence of naive endothelial cells, which are only partially reversible upon long-term adherent CPAP treatment. Furthermore, endothelial cells exposed to IH or H2O2 also elicit similar responses. Thus, OSA either directly or indirectly via exosomes may initiate and exacerbate cellular aging, possibly via oxidative stress-related pathways.</t>
  </si>
  <si>
    <t>[Khalyfa, Abdelnaby; Qiao, Zhuanhong; Kheirandish-Gozal, Leila; Gozal, David] Univ Missouri, Sch Med, Dept Child Hlth, 400 N Keene St,Suite 010, Columbia, MO 65201 USA; [Khalyfa, Abdelnaby; Qiao, Zhuanhong; Kheirandish-Gozal, Leila; Gozal, David] Univ Missouri, Sch Med, Child Hlth Res Inst, Columbia, MO 65201 USA; [Marin, Jose M.; Rubio, David Sanz] Hosp Univ Miguel Servet &amp; IISAragon, Translat Res Unit, CIBERES, Zaragoza, Spain</t>
  </si>
  <si>
    <t>University of Missouri System; University of Missouri Columbia; University of Missouri System; University of Missouri Columbia; CIBER - Centro de Investigacion Biomedica en Red; CIBERES</t>
  </si>
  <si>
    <t>Gozal, D (corresponding author), Univ Missouri, Sch Med, Dept Child Hlth, 400 N Keene St,Suite 010, Columbia, MO 65201 USA.</t>
  </si>
  <si>
    <t>gozald@health.missouri.edu</t>
  </si>
  <si>
    <t>0161-8105</t>
  </si>
  <si>
    <t>1550-9109</t>
  </si>
  <si>
    <t>FEB 13</t>
  </si>
  <si>
    <t>zsz217</t>
  </si>
  <si>
    <t>10.1093/sleep/zsz217</t>
  </si>
  <si>
    <t>WOS:000753590500010</t>
  </si>
  <si>
    <t>Chen, WW; Balaj, L; Liau, LM; Samuels, ML; Kotsopoulos, SK; Maguire, CA; LoGuidice, L; Soto, H; Garrett, M; Zhu, LD; Sivaraman, S; Chen, C; Wong, ET; Carter, BS; Hochberg, FH; Breakefield, XO; Skog, J</t>
  </si>
  <si>
    <t>Chen, Walter W.; Balaj, Leonora; Liau, Linda M.; Samuels, Michael L.; Kotsopoulos, Steve K.; Maguire, Casey A.; LoGuidice, Lori; Soto, Horacio; Garrett, Matthew; Zhu, Lin Dan; Sivaraman, Sarada; Chen, Clark; Wong, Eric T.; Carter, Bob S.; Hochberg, Fred H.; Breakefield, Xandra O.; Skog, Johan</t>
  </si>
  <si>
    <t>BEAMing and Droplet Digital PCR Analysis of Mutant IDH1 mRNA in Glioma Patient Serum and Cerebrospinal Fluid Extracellular Vesicles</t>
  </si>
  <si>
    <t>MOLECULAR THERAPY-NUCLEIC ACIDS</t>
  </si>
  <si>
    <t>BEAMing PCR; biomarkers; cancer; extracellular vesicles; droplet digital PCR</t>
  </si>
  <si>
    <t>INTEGRATED GENOMIC ANALYSIS; COLORECTAL-CANCER; GLIOBLASTOMA-MULTIFORME; CLINICAL-SAMPLES; TUMOR DNA; MUTATIONS; MICROVESICLES; BIOMARKERS; SEQUENCES; BREAST</t>
  </si>
  <si>
    <t>Development of biofluid-based molecular diagnostic tests for cancer is an important step towards tumor characterization and real-time monitoring in a minimally invasive fashion. Extracellular vesicles (EVs) are released from tumor cells into body fluids and can provide a powerful platform for tumor biomarkers because they carry tumor proteins and nucleic acids. Detecting rare point mutations in the background of wild-type sequences in biofluids such as blood and cerebrospinal fluid (CSF) remains a major challenge. Techniques such as BEAMing (beads, emulsion, amplification, magnetics) PCR and droplet digital PCR (ddPCR) are substantially more sensitive than many other assays for mutant sequence detection. Here, we describe a novel approach that combines biofluid EV RNA and BEAMing RT-PCR (EV-BEAMing), as well droplet digital PCR to interrogate mutations from glioma tumors. EVs from CSF of patients with glioma were shown to contain mutant IDH1 transcripts, and we were able to reliably detect and quantify mutant and wild-type IDH1 RNA transcripts in CSF of patients with gliomas. EV-BEAMing and EV-ddPCR represent a valuable new strategy for cancer diagnostics, which can be applied to a variety of biofluids and neoplasms.</t>
  </si>
  <si>
    <t>[Chen, Walter W.; Balaj, Leonora; Maguire, Casey A.; Zhu, Lin Dan; Sivaraman, Sarada; Hochberg, Fred H.; Breakefield, Xandra O.] Massachusetts Gen Hosp, Dept Neurol, Boston, MA 02114 USA; [Chen, Walter W.; Balaj, Leonora; Maguire, Casey A.; Zhu, Lin Dan; Sivaraman, Sarada; Hochberg, Fred H.; Breakefield, Xandra O.] Harvard Univ, Sch Med, Neurosci Program, Boston, MA 02115 USA; [Chen, Walter W.; Maguire, Casey A.; Zhu, Lin Dan; Sivaraman, Sarada; Hochberg, Fred H.; Breakefield, Xandra O.] Massachusetts Gen Hosp, Dept Radiol, Boston, MA 02114 USA; [Chen, Walter W.] Harvard Univ, Sch Med, Harvard Mit Div Hlth Sci &amp; Technol, Boston, MA USA; [Balaj, Leonora] Amsterdam Canc Ctr, Neurooncol Res Grp, Amsterdam, Netherlands; [Liau, Linda M.; Soto, Horacio; Garrett, Matthew] Univ Calif Los Angeles, David Geffen Sch Med, Med Ctr, Dept Neurosurg, Los Angeles, CA 90095 USA; [Samuels, Michael L.; Kotsopoulos, Steve K.] RainDance Technol, Lexington, MA USA; [LoGuidice, Lori; Skog, Johan] Exosome Diagnost Inc, New York, NY USA; [Chen, Clark; Wong, Eric T.] Beth Israel Deaconess Med Ctr, Brain Tumor Ctr, Boston, MA 02215 USA; [Chen, Clark; Wong, Eric T.] Beth Israel Deaconess Med Ctr, Neurooncol Unit, Boston, MA 02215 USA; [Chen, Clark; Carter, Bob S.] Univ Calif San Diego, Dept Neurosurg, San Diego, CA 92103 USA</t>
  </si>
  <si>
    <t>Harvard University; Massachusetts General Hospital; Harvard University; Harvard University; Massachusetts General Hospital; Harvard University; University of California System; University of California Los Angeles; University of California Los Angeles Medical Center; David Geffen School of Medicine at UCLA; Harvard University; Beth Israel Deaconess Medical Center; Harvard University; Beth Israel Deaconess Medical Center; University of California System; University of California San Diego</t>
  </si>
  <si>
    <t>Breakefield, XO (corresponding author), Massachusetts Gen Hosp East, Mol Neurogenet Unit, 13th St,Bldg 149, Charlestown, MA 02129 USA.</t>
  </si>
  <si>
    <t>Carter, Bob/AAB-4868-2021; Chen, Clark C/C-8714-2013</t>
  </si>
  <si>
    <t>Carter, Bob/0000-0002-3586-1324; Chen, Clark C/0000-0001-6258-9277; Liau, Linda/0000-0002-4053-0052; Chen, Walter/0000-0002-7752-9581; Balaj, Leonora/0000-0003-0931-9715; Skog, Johan/0000-0002-0926-1691</t>
  </si>
  <si>
    <t>2162-2531</t>
  </si>
  <si>
    <t>e109</t>
  </si>
  <si>
    <t>10.1038/mtna.2013.28</t>
  </si>
  <si>
    <t>WOS:000332467000008</t>
  </si>
  <si>
    <t>Cadonic, IG; Ikert, H; Craig, PM</t>
  </si>
  <si>
    <t>Cadonic, Ivan G.; Ikert, Heather; Craig, Paul M.</t>
  </si>
  <si>
    <t>Acute air exposure modulates the microRNA abundance in stress responsive tissues and circulating extracellular vesicles in rainbow trout (Oncorhynchus mykiss)</t>
  </si>
  <si>
    <t>COMPARATIVE BIOCHEMISTRY AND PHYSIOLOGY D-GENOMICS &amp; PROTEOMICS</t>
  </si>
  <si>
    <t>MicroRNA; Teleost; Stress; Cortisol; Extracellular vesicle; Liver; Kidney; Trout; KEGG</t>
  </si>
  <si>
    <t>MESSENGER-RNA; TELEOST FISH; COMMON CARP; HEAD KIDNEY; CORTISOL; EXOSOMES; EXPRESSION; BIOGENESIS; ACTIVATION; MECHANISM</t>
  </si>
  <si>
    <t>The hypothalamic-pituitary-interrenal axis is an important regulator of stress and metabolism in teleosts. Cortisol is secreted by the head kidney where it increases gluconeogenesis in the liver to increase circulating glucose levels. MicroRNAs (miRNAs) are small, non-coding RNA molecules that bind to the 3' untranslated region of specific mRNA to regulate their expression. MicroRNAs can also be secreted into circulation by association with extracellular vesicles (EVs) where they can influence the phenotype of other tissues. In this study, adult rainbow trout were exposed to a 3-minute acute air stress and allowed to recover for 1-, 3-, or 24-h to determine how miRNAs were altered. MicroRNAs measured in this study were chosen based on their high relative abundance in tissues that drive the stress response (miR-21a-3p, let-7a-5p, miR-143-3p) or their role in regulating DNA methylation (miR-29a-3p). In general, miRNAs increased in circulating EVs during the recovery period while decreasing in head kidney and liver at the same timepoints. Predicted targets for these miRNAs were analyzed using KEGG and DAVID functional enrichment analysis. Pathways involved in metabolism and cell signaling were predicted to be upregulated. Future studies can use these results to investigate how pathways are regulated after stress. Overall, our results indicate that miRNAs are regulated during teleost stress responses and could be supporting the cortisol-mediated changes that occur.</t>
  </si>
  <si>
    <t>[Cadonic, Ivan G.; Ikert, Heather; Craig, Paul M.] Univ Waterloo, Dept Biol, Waterloo, ON N2L 3G1, Canada</t>
  </si>
  <si>
    <t>University of Waterloo</t>
  </si>
  <si>
    <t>Craig, PM (corresponding author), Univ Waterloo, Dept Biol, Waterloo, ON N2L 3G1, Canada.</t>
  </si>
  <si>
    <t>paul.craig@uwaterloo.ca</t>
  </si>
  <si>
    <t>Ikert, Heather/AAP-3489-2021</t>
  </si>
  <si>
    <t>Ikert, Heather/0000-0002-3271-8397</t>
  </si>
  <si>
    <t>1744-117X</t>
  </si>
  <si>
    <t>1878-0407</t>
  </si>
  <si>
    <t>10.1016/j.cbd.2020.100661</t>
  </si>
  <si>
    <t>WOS:000537087700007</t>
  </si>
  <si>
    <t>Szatmari, T; Persa, E; Kis, E; Benedek, A; Hargitai, R; Safrany, G; Lumniczky, K</t>
  </si>
  <si>
    <t>Szatmari, Tunde; Persa, Eszter; Kis, Eniko; Benedek, Anett; Hargitai, Rita; Safrany, Geza; Lumniczky, Katalin</t>
  </si>
  <si>
    <t>Extracellular vesicles mediate low dose ionizing radiation-induced immune and inflammatory responses in the blood</t>
  </si>
  <si>
    <t>DoReMi; low dose irradiation; extracellular vesicle; immune response; radiation-induced bystander effects; microRNA</t>
  </si>
  <si>
    <t>CANCER CELLS; UP-REGULATION; BONE-MARROW; DNA-DAMAGE; IN-VITRO; BYSTANDER; EXOSOMES; IRRADIATION; INDUCTION; APOPTOSIS</t>
  </si>
  <si>
    <t>Purpose: Radiation-induced bystander effects (RIBE) imply the involvement of complex signaling mechanisms, which can be mediated by extracellular vesicles (EVs). Using an in vivo model, we investigated EV-transmitted RIBE in blood plasma and radiation effects on plasma EV miRNA profiles. Materials and methods: C57Bl/6 mice were total-body irradiated with 0.1 and 2 Gy, bone marrow-derived EVs were isolated, and injected systemically into naive, 'bystander' animals. Proteome profiler antibody array membranes were used to detect alterations in plasma, both in directly irradiated and bystander mice. MiRNA profile of plasma EVs was determined by PCR array. Results: M-CSF and pentraxin-3 levels were increased in the blood of directly irradiated and bystander mice both after low and high dose irradiations, CXCL16 and lipocalin-2 increased after 2 Gy in directly irradiated and bystander mice, CCL5 and CCL11 changed in bystander mice only. Substantial overlap was found in the cellular pathways regulated by those miRNAs whose level were altered in EVs isolated from the plasma of mice irradiated with 0.1 and 2 Gy. Several of these pathways have already been associated with bystander responses. Conclusion: Low and high dose effects overlapped both in EV-mediated alterations in signaling pathways leading to RIBE and in their systemic manifestations.</t>
  </si>
  <si>
    <t>[Szatmari, Tunde; Persa, Eszter; Kis, Eniko; Benedek, Anett; Hargitai, Rita; Safrany, Geza; Lumniczky, Katalin] Natl Publ Hlth Inst, Dept Radiat Med, Div Radiobiol &amp; Radiohyg, Anna U 5, H-1221 Budapest, Hungary</t>
  </si>
  <si>
    <t>Lumniczky, K (corresponding author), Natl Publ Hlth Inst, Dept Radiat Med, Div Radiobiol &amp; Radiohyg, Anna U 5, H-1221 Budapest, Hungary.</t>
  </si>
  <si>
    <t>Szatmári, Tünde/AAC-5808-2020; Lumniczky, Katalin/AAE-8961-2020</t>
  </si>
  <si>
    <t>Szatmári, Tünde/0000-0001-7727-9589; Lumniczky, Katalin/0000-0001-8661-1854</t>
  </si>
  <si>
    <t>10.1080/09553002.2018.1450533</t>
  </si>
  <si>
    <t>WOS:000456695400003</t>
  </si>
  <si>
    <t>Cai, J; Wu, GZ; Tan, XR; Han, Y; Chen, CY; Li, CW; Wang, N; Zou, X; Chen, XJ; Zhou, FY; He, DF; Zhou, L; Jose, PA; Zeng, CY</t>
  </si>
  <si>
    <t>Cai, Jin; Wu, Gengze; Tan, Xiaorong; Han, Yu; Chen, Caiyu; Li, Chuanwei; Wang, Na; Zou, Xue; Chen, Xinjian; Zhou, Faying; He, Duofen; Zhou, Lin; Jose, Pedro A.; Zeng, Chunyu</t>
  </si>
  <si>
    <t>Transferred BCR/ABL DNA from K562 Extracellular Vesicles Causes Chronic Myeloid Leukemia in Immunodeficient Mice</t>
  </si>
  <si>
    <t>CELLS; COMMUNICATION; EXOSOMES</t>
  </si>
  <si>
    <t>Our previous study showed that besides mRNAs and microRNAs, there are DNA fragments within extracellular vesicles (EVs). The BCR/ABL hybrid gene, involved in the pathogenesis of chronic myeloid leukemia (CML), could be transferred from K562 EVs to neutrophils and decrease their phagocytic activity in vitro. Our present study provides evidence that BCR/ABL DNAs transferred from EVs have pathophysiological significance in vivo. Two months after injection of K562 EVs into the tail vein of Sprague-Dawley (SD) rats, they showed some characteristics of CML, e.g., feeble, febrile, and thin, with splenomegaly and neutrophilia but with reduced neutrophil phagocytic activity. These findings were also observed in immunodeficient NOD/SCID mice treated with K562 EVs; BCR/ABL mRNA and protein were found in their neutrophils. The administration of actinomycin D, an inhibitor of de novo mRNA synthesis, prevented the abnormalities caused by K562 EVs in NOD/SCID mice related to CML, including neutrophilia and bone marrow hyperplasia. As a specific inhibitor of tyrosine kinases, imatinib blocked the activity of tyrosine kinases and the expression of phospho-Crkl, induced by the de novo BCR/ABL protein caused by K562 EVs bearing BCR/ABL DNA. Our current study shows the pathophysiological significance of transferred tumor gene from EVs in vivo, which may represent an important mechanism for tumorigenesis, tumor progression, and metastasis.</t>
  </si>
  <si>
    <t>[Cai, Jin; Wu, Gengze; Tan, Xiaorong; Han, Yu; Chen, Caiyu; Li, Chuanwei; Wang, Na; Zou, Xue; Chen, Xinjian; Zhou, Faying; He, Duofen; Zhou, Lin; Zeng, Chunyu] Third Mil Med Univ, Daping Hosp, Dept Cardiol, Chongqing, Peoples R China; [Cai, Jin] Air Force Nanjing Area Command, Logist Dept, Clin Hlth Serv, Nanjing, Jiangsu, Peoples R China; [Jose, Pedro A.] Univ Maryland, Sch Med, Dept Med, Div Nephrol, Baltimore, MD 21201 USA; [Jose, Pedro A.] Univ Maryland, Sch Med, Dept Physiol, Div Nephrol, Baltimore, MD 21201 USA</t>
  </si>
  <si>
    <t>Army Medical University; University System of Maryland; University of Maryland Baltimore; University System of Maryland; University of Maryland Baltimore</t>
  </si>
  <si>
    <t>Zeng, C (corresponding author), Third Mil Med Univ, Daping Hosp, Dept Cardiol, Chongqing, Peoples R China.</t>
  </si>
  <si>
    <t>AUG 18</t>
  </si>
  <si>
    <t>e105200</t>
  </si>
  <si>
    <t>10.1371/journal.pone.0105200</t>
  </si>
  <si>
    <t>WOS:000341302700082</t>
  </si>
  <si>
    <t>Moris, D; Beal, EW; Chakedis, J; Burkhart, RA; Schmidt, C; Dillhoff, M; Zhang, XF; Theocharis, S; Pawlik, TM</t>
  </si>
  <si>
    <t>Moris, Demetrios; Beal, Eliza W.; Chakedis, Jeffery; Burkhart, Richard A.; Schmidt, Carl; Dillhoff, Mary; Zhang, Xufeng; Theocharis, Stamatios; Pawlik, Timothy M.</t>
  </si>
  <si>
    <t>Role of exosomes in treatment of hepatocellular carcinoma</t>
  </si>
  <si>
    <t>SURGICAL ONCOLOGY-OXFORD</t>
  </si>
  <si>
    <t>Exosomes; Liver; Biomarkers; Hepatocellular carcinoma; miRNA; Therapy; Hepatitis; Cirrhosis</t>
  </si>
  <si>
    <t>LONG NONCODING RNA; MESENCHYMAL STEM-CELLS; EXTRACELLULAR VESICLES; CANCER EXOSOMES; SIGNALING PATHWAYS; TUMOR-SUPPRESSOR; SERUM EXOSOMES; STROMAL CELLS; IN-VIVO; MICRORNAS</t>
  </si>
  <si>
    <t>Exosomes are nanovesicles that may play a role in intercellular communication by acting as carriers of functional contents such as proteins, lipids, RNA molecules and circulating DNA from donor to recipient cells. In addition, exosomes may play a potential role in immunosurveillance and tumor pathogenesis and progression. Recently, research has increasingly focused on the role of exosomes in hepatocellular carcinoma (HCC), the most common primary liver malignancy. We herein review data on emerging experimental and clinical studies focused on the role of exosomes in the pathogenesis, diagnosis, progression and chemotherapy response of patients with HCC. Beyond their diagnostic value in HCC, exosomes are involved in different mechanisms of HCC tumor pathogenesis and progression including angiogenesis and immune escape. Moreover, exosomes have been demonstrated to change the tumor microenvironment to a less tolerogenic state, favoring immune response and tumor suppression. These results underline a practical and potentially feasible role of exosomes in the treatment of patients with HCC, both as a target and a vehicle for drug design. Future studies will need to further elucidate the exact role and reliability of exosomes as screening, diagnostic and treatment targets in patients with HCC. (C) 2017 Elsevier Ltd. All rights reserved.</t>
  </si>
  <si>
    <t>[Moris, Demetrios; Beal, Eliza W.; Chakedis, Jeffery; Schmidt, Carl; Dillhoff, Mary; Zhang, Xufeng; Pawlik, Timothy M.] Ohio State Univ, Wexner Med Ctr, Div Surg Oncol, Dept Surg, Columbus, OH 43210 USA; [Moris, Demetrios; Beal, Eliza W.; Chakedis, Jeffery; Schmidt, Carl; Dillhoff, Mary; Zhang, Xufeng; Pawlik, Timothy M.] James Canc Hosp, Columbus, OH USA; [Moris, Demetrios; Beal, Eliza W.; Chakedis, Jeffery; Schmidt, Carl; Dillhoff, Mary; Zhang, Xufeng; Pawlik, Timothy M.] Solove Res Inst, Columbus, OH USA; [Burkhart, Richard A.] Johns Hopkins Univ Hosp, Div Hepatobiliary &amp; Pancreat Surg, Dept Surg, Baltimore, MD 21287 USA; [Theocharis, Stamatios] Univ Athens, Med Sch, Dept Pathol 1, Athens, Greece</t>
  </si>
  <si>
    <t>Ohio State University; James Cancer Hospital &amp; Solove Research Institute; Ohio State University; James Cancer Hospital &amp; Solove Research Institute; Johns Hopkins University; Johns Hopkins Medicine; National &amp; Kapodistrian University of Athens</t>
  </si>
  <si>
    <t>Pawlik, TM (corresponding author), Ohio State Univ, Wexner Med Ctr, Urban Meyer III &amp; Shelley Meyer Chair Canc Res, Surg Oncol Hlth Serv Management &amp; Policy,Dept Sur, 395 W 12th Ave,Suite 670, Columbus, OH 43210 USA.</t>
  </si>
  <si>
    <t>tim.pawlik@osumc.edu</t>
  </si>
  <si>
    <t>Beal, Eliza/AAT-3071-2020; Pawlik, Timothy/AAO-9335-2020</t>
  </si>
  <si>
    <t>Beal, Eliza/0000-0003-2191-6811; Moris, Dimitrios/0000-0002-5276-0699</t>
  </si>
  <si>
    <t>0960-7404</t>
  </si>
  <si>
    <t>1879-3320</t>
  </si>
  <si>
    <t>10.1016/j.suronc.2017.04.005</t>
  </si>
  <si>
    <t>Oncology; Surgery</t>
  </si>
  <si>
    <t>WOS:000410652800001</t>
  </si>
  <si>
    <t>Munagala, R; Aqil, F; Jeyabalan, J; Gupta, RC</t>
  </si>
  <si>
    <t>Munagala, Radha; Aqil, Farrukh; Jeyabalan, Jeyaprakash; Gupta, Ramesh C.</t>
  </si>
  <si>
    <t>Bovine milk-derived exosomes for drug delivery</t>
  </si>
  <si>
    <t>Milk-derived exosomes; Drug delivery; Tumor-targeting; Chemotherapeutic drugs; Chemopreventive agents</t>
  </si>
  <si>
    <t>IMMUNE-RELATED MICRORNAS; EXTRACELLULAR VESICLES; CANCER-THERAPY; BREAST-MILK; IN-VIVO; SYSTEM; CELLS; RNA; NANOTECHNOLOGY; MICROVESICLES</t>
  </si>
  <si>
    <t>Exosomes are biological nanovesicles that are involved in cell cell communication via the functionally active cargo (such as miRNA, mRNA, DNA and proteins). Because of their nanosize, exosomes are explored as nanodevices for the development of new therapeutic applications. However, bulk, safe and cost-effective production of exosomes is not available. Here, we show that bovine milk can serve as a scalable source of exosomes that can act as a carrier for chemotherapeutic/chemopreventive agents. Drug loaded exosomes showed significantly higher efficacy compared to free drug in cell culture studies and against lung tumor xenografts in vivo. Moreover, tumor targeting ligands such as folate increased cancer cell targeting of the exosomes resulting in enhanced tumor reduction. Milk exosomes exhibited cross species tolerance with no adverse immune and inflammatory response. Thus, we show the versatility of milk exosomes with respect to the cargo it can carry and ability to achieve tumor targetability. This is the first report to identify a biocompatible and cost-effective means of exosomes to enhance oral bioavailability, improve efficacy and safety of drugs. (C) 2015 Elsevier Ireland Ltd. All rights reserved.</t>
  </si>
  <si>
    <t>[Munagala, Radha; Aqil, Farrukh] Univ Louisville, Dept Med, Louisville, KY 40202 USA; [Munagala, Radha; Aqil, Farrukh; Jeyabalan, Jeyaprakash; Gupta, Ramesh C.] Univ Louisville, James Graham Brown Canc Ctr, Louisville, KY 40202 USA; [Gupta, Ramesh C.] Univ Louisville, Dept Pharmacol &amp; Toxicol, Louisville, KY 40202 USA</t>
  </si>
  <si>
    <t>Gupta, RC (corresponding author), Univ Louisville, Delia Baxter 2,Room 304E,580 S Preston St, Louisville, KY 40202 USA.</t>
  </si>
  <si>
    <t>Aqil, Farrukh/AFK-2012-2022</t>
  </si>
  <si>
    <t>Aqil, Farrukh/0000-0002-0081-7251</t>
  </si>
  <si>
    <t>10.1016/j.canlet.2015.10.020</t>
  </si>
  <si>
    <t>WOS:000369202300006</t>
  </si>
  <si>
    <t>Sansone, P; Savini, C; Kurelac, I; Chang, Q; Amato, LB; Strillacci, A; Stepanova, A; Iommarini, L; Mastroleo, C; Daly, L; Galkin, A; Thakur, BK; Soplop, N; Uryu, K; Hoshinob, A; Norton, L; Bonafe, M; Cricca, M; Gasparre, G; Lyden, D; Bromberg, J</t>
  </si>
  <si>
    <t>Sansone, Pasquale; Savini, Claudia; Kurelac, Ivana; Chang, Qing; Amato, Laura Benedetta; Strillacci, Antonio; Stepanova, Anna; Iommarini, Luisa; Mastroleo, Chiara; Daly, Laura; Galkin, Alexander; Thakur, Basant Kumar; Soplop, Nadine; Uryu, Kunihiro; Hoshinob, Ayuko; Norton, Larry; Bonafe, Massimiliano; Cricca, Monica; Gasparre, Giuseppe; Lyden, David; Bromberg, Jacqueline</t>
  </si>
  <si>
    <t>Packaging and transfer of mitochondrial DNA via exosomes regulate escape from dormancy in hormonal therapy-resistant breast cancer</t>
  </si>
  <si>
    <t>exosomes; mitochondrial DNA; cancer stem cells; hormonal therapy; metastasis</t>
  </si>
  <si>
    <t>EXTRACELLULAR VESICLES; SELF-RENEWAL; GENOMIC DNA; CELLS; MTDNA; MICROENVIRONMENT; CHEMORESISTANCE; METABOLISM; MECHANISM; CAPACITY</t>
  </si>
  <si>
    <t>The horizontal transfer of mtDNA and its role in mediating resistance to therapy and an exit from dormancy have never been investigated. Here we identified the full mitochondrial genome in circulating extracellular vesicles (EVs) from patients with hormonal therapy-resistant (HTR) metastatic breast cancer. We generated xenograft models of HTR metastatic disease characterized by EVs in the peripheral circulation containing mtDNA. Moreover, these human HTR cells had acquired host-derived (murine) mtDNA promoting estrogen receptor-independent oxidative phosphorylation (OXPHOS). Functional studies identified cancer-associated fibroblast (CAF)-derived EVs (from patients and xenograft models) laden with whole genomic mtDNA as a mediator of this phenotype. Specifically, the treatment of hormone therapy (HT)-naive cells or HT-treated metabolically dormant populations with CAF-derived mtDNA(hi) EVs promoted an escape from metabolic quiescence and HTR disease both in vitro and in vivo. Moreover, this phenotype was associated with the acquisition of EV mtDNA, especially in cancer stem-like cells, expression of EV mtRNA, and restoration of OXPHOS. In summary, we have demonstrated that the horizontal transfer of mtDNA from EVs acts as an oncogenic signal promoting an exit from dormancy of therapy-induced cancer stem-like cells and leading to endocrine therapy resistance in OXPHOS-dependent breast cancer.</t>
  </si>
  <si>
    <t>[Sansone, Pasquale; Savini, Claudia; Chang, Qing; Strillacci, Antonio; Mastroleo, Chiara; Daly, Laura; Norton, Larry; Bromberg, Jacqueline] Mem Sloan Kettering Canc Ctr, Dept Med, 1275 York Ave, New York, NY 10021 USA; [Sansone, Pasquale; Thakur, Basant Kumar; Hoshinob, Ayuko; Lyden, David] Weill Cornell Med, Childrens Canc &amp; Blood Fdn Labs, New York, NY 10065 USA; [Savini, Claudia; Bonafe, Massimiliano; Cricca, Monica] Policlin Univ St Orsola Malpighi, Dept Expt Diagnost &amp; Specialty Med, I-40138 Bologna, BO, Italy; [Savini, Claudia; Bonafe, Massimiliano] Policlin Univ St Orsola Malpighi, Ctr Appl Biomed Res Lab, I-40138 Bologna, Italy; [Kurelac, Ivana; Amato, Laura Benedetta; Gasparre, Giuseppe] Univ Bologna, Dept Med &amp; Surg Sci, Bologna, Italy; [Strillacci, Antonio] Univ Bologna, Dept Biol Geol &amp; Environm Sci, I-40138 Bologna, Italy; [Stepanova, Anna; Galkin, Alexander] Queens Univ Belfast, Sch Biol Sci, Belfast BT9 7BL, Antrim, North Ireland; [Iommarini, Luisa] Univ Bologna, Dept Pharm &amp; Biotechnol Alma Mater Studiorum, I-40138 Bologna, Italy; [Galkin, Alexander] Weill Cornell Med, Feil Family Brain &amp; Mind Res Inst, New York, NY 10065 USA; [Thakur, Basant Kumar; Lyden, David] Mem Sloan Kettering Canc Ctr, Dept Pediat, New York, NY 10065 USA; Rockefeller Univ, Electron Microscopy Resource Ctr, New York, NY 10065 USA; [Soplop, Nadine; Uryu, Kunihiro] Weill Cornell Med, Dept Med, New York, NY 10065 USA; [Thakur, Basant Kumar] Univ Clin Essen, Pediat Clin 3, D-45147 Essen, Germany</t>
  </si>
  <si>
    <t>Memorial Sloan Kettering Cancer Center; Cornell University; IRCCS Azienda Ospedaliero-Universitaria di Bologna; IRCCS Azienda Ospedaliero-Universitaria di Bologna; University of Bologna; University of Bologna; Queens University Belfast; University of Bologna; Cornell University; Memorial Sloan Kettering Cancer Center; Rockefeller University; Cornell University; University of Duisburg Essen</t>
  </si>
  <si>
    <t>Sansone, P; Bromberg, J (corresponding author), Mem Sloan Kettering Canc Ctr, Dept Med, 1275 York Ave, New York, NY 10021 USA.;Sansone, P (corresponding author), Weill Cornell Med, Childrens Canc &amp; Blood Fdn Labs, New York, NY 10065 USA.;Gasparre, G (corresponding author), Univ Bologna, Dept Med &amp; Surg Sci, Bologna, Italy.</t>
  </si>
  <si>
    <t>pasquale_s2002@yahoo.it; giuseppe.gasparre@gmail.com; bromberj@mskcc.org</t>
  </si>
  <si>
    <t>Kurelac, Ivana/K-3070-2016; Iommarini, Luisa/J-2328-2018; Stepanova, Anna/B-6541-2014; Gasparre, Giuseppe/K-3879-2016</t>
  </si>
  <si>
    <t>Kurelac, Ivana/0000-0002-8364-9985; Iommarini, Luisa/0000-0002-6804-7302; Stepanova, Anna/0000-0001-6557-0539; Thakur, Barun Kumar/0000-0002-1713-9186; Strillacci, Antonio/0000-0001-8748-9168; Gasparre, Giuseppe/0000-0003-1229-9006</t>
  </si>
  <si>
    <t>E9066</t>
  </si>
  <si>
    <t>E9075</t>
  </si>
  <si>
    <t>10.1073/pnas.1704862114</t>
  </si>
  <si>
    <t>WOS:000413520700018</t>
  </si>
  <si>
    <t>Sukriti, S; Choudhary, MC; Maras, JS; Sharma, S; Thangariyal, S; Singh, A; Das, S; Islam, M; Sharma, S; Trehanpati, N; Gupta, E; Sarin, SK</t>
  </si>
  <si>
    <t>Sukriti, Sukriti; Choudhary, Manish Chandra; Maras, Jaswinder Singh; Sharma, Sachin; Thangariyal, Swati; Singh, Avishek; Das, Sukanto; Islam, Mojahidul; Sharma, Shvetank; Trehanpati, Nirupama; Gupta, Ekta; Sarin, Shiv Kumar</t>
  </si>
  <si>
    <t>Extracellular vesicles from hepatitis B patients serve as reservoir of hepatitis B virus DNA</t>
  </si>
  <si>
    <t>JOURNAL OF VIRAL HEPATITIS</t>
  </si>
  <si>
    <t>extracellular vesicles; hepatitis B virus; transmission and infection</t>
  </si>
  <si>
    <t>[Sukriti, Sukriti; Choudhary, Manish Chandra; Maras, Jaswinder Singh; Sharma, Sachin; Thangariyal, Swati; Singh, Avishek; Das, Sukanto; Islam, Mojahidul; Sharma, Shvetank; Trehanpati, Nirupama; Sarin, Shiv Kumar] Inst Liver &amp; Biliary Sci, Dept Mol &amp; Cellular Med, Delhi, India; [Choudhary, Manish Chandra; Gupta, Ekta] Inst Liver &amp; Biliary Sci, Dept Virol, Delhi, India; [Sarin, Shiv Kumar] Inst Liver &amp; Biliary Sci, Dept Hepatol, Delhi, India</t>
  </si>
  <si>
    <t>Institute of Liver &amp; Biliary Sciences (ILBS); Institute of Liver &amp; Biliary Sciences (ILBS); Institute of Liver &amp; Biliary Sciences (ILBS)</t>
  </si>
  <si>
    <t>Sarin, SK (corresponding author), Inst Liver &amp; Biliary Sci, Dept Hepatol, Delhi, India.</t>
  </si>
  <si>
    <t>sksarin@ilbs.in</t>
  </si>
  <si>
    <t>Choudhary, Manish/AHH-5586-2022; Singh, Avishek Kumar/AAA-4913-2021; Trehan, Nirupma/ABH-8533-2020; Islam, Mojahidul/GOE-3399-2022</t>
  </si>
  <si>
    <t>Trehan, Nirupma/0000-0002-6109-0033; Choudhary, Manish Chandra/0000-0002-3192-7840; Maras, Jaswinder Singh/0000-0003-3938-362X; Baweja, Sukriti/0000-0002-8677-9857</t>
  </si>
  <si>
    <t>1352-0504</t>
  </si>
  <si>
    <t>1365-2893</t>
  </si>
  <si>
    <t>10.1111/jvh.12995</t>
  </si>
  <si>
    <t>Gastroenterology &amp; Hepatology; Infectious Diseases; Virology</t>
  </si>
  <si>
    <t>WOS:000454957400025</t>
  </si>
  <si>
    <t>Gul, L; Modos, D; Fonseca, S; Madgwick, M; Thomas, JP; Sudhakar, P; Booth, C; Stentz, R; Carding, SR; Korcsmaros, T</t>
  </si>
  <si>
    <t>Gul, Lejla; Modos, Dezso; Fonseca, Sonia; Madgwick, Matthew; Thomas, John P.; Sudhakar, Padhmanand; Booth, Catherine; Stentz, Regis; Carding, Simon R.; Korcsmaros, Tamas</t>
  </si>
  <si>
    <t>Extracellular vesicles produced by the human commensal gut bacterium Bacteroides thetaiotaomicron affect host immune pathways in a cell-type specific manner that are altered in inflammatory bowel disease</t>
  </si>
  <si>
    <t>extracellular vesicles; host-microbe interactions; single-cell data analysis; toll-like receptor pathway; ulcerative colitis</t>
  </si>
  <si>
    <t>TOLL-LIKE RECEPTOR; OUTER-MEMBRANE VESICLES; OXIDATIVE DNA-DAMAGE; POLYMERASE; ACTIVATION; TAK-242; STRESS; MUCOSA; COLON</t>
  </si>
  <si>
    <t>The gastrointestinal (GI) tract harbours a complex microbial community, which contributes to its homeostasis. A disrupted microbiome can cause GI-related diseases, including inflammatory bowel disease (IBD), therefore identifying host-microbe interactions is crucial for better understanding gut health. Bacterial extracellular vesicles (BEVs), released into the gut lumen, can cross the mucus layer and access underlying immune cells. To study BEV-host interactions, we examined the influence of BEVs generated by the gut commensal bacterium, Bacteroides thetaiotaomicron, on host immune cells. Single-cell RNA sequencing data and host-microbe protein-protein interaction networks were used to predict the effect of BEVs on dendritic cells, macrophages and monocytes focusing on the Toll-like receptor (TLR) pathway. We identified biological processes affected in each immune cell type and cell-type specific processes including myeloid cell differentiation. TLR pathway analysis highlighted that BEV targets differ among cells and between the same cells in healthy versus disease (ulcerative colitis) conditions. The in silico findings were validated in BEV-monocyte co-cultures demonstrating the requirement for TLR4 and Toll-interleukin-1 receptor domain-containing adaptor protein (TIRAP) in BEV-elicited NF-kappa B activation. This study demonstrates that both cell-type and health status influence BEV-host communication. The results and the pipeline could facilitate BEV-based therapies for the treatment of IBD.</t>
  </si>
  <si>
    <t>[Gul, Lejla; Modos, Dezso; Madgwick, Matthew; Thomas, John P.; Sudhakar, Padhmanand; Korcsmaros, Tamas] Earlham Inst, Norwich, Norfolk, England; [Modos, Dezso; Fonseca, Sonia; Madgwick, Matthew; Sudhakar, Padhmanand; Stentz, Regis; Carding, Simon R.; Korcsmaros, Tamas] Quadram Inst Biosci, Gut Microbes &amp; Hlth Res Programme, Norwich, Norfolk, England; [Thomas, John P.] Norfolk &amp; Norwich Univ Hosp, Dept Gastroenterol, Norwich, Norfolk, England; [Sudhakar, Padhmanand] Katholieke Univ Leuven, Translat Res Ctr Gastrointestinal Disorders TARGI, Dept Chron Dis Metab &amp; Ageing, Leuven, Belgium; [Booth, Catherine] Quadram Inst Biosci, Core Sci Resources, Norwich, Norfolk, England; [Carding, Simon R.] Univ East Anglia, Norwich Med Sch, Norwich, Norfolk, England</t>
  </si>
  <si>
    <t>UK Research &amp; Innovation (UKRI); Biotechnology and Biological Sciences Research Council (BBSRC); Earlham Institute; UK Research &amp; Innovation (UKRI); Biotechnology and Biological Sciences Research Council (BBSRC); Quadram Institute; Norfolk &amp; Norwich University Hospitals NHS Foundation Trust; Norfolk &amp; Norwich University Hospital; KU Leuven; UK Research &amp; Innovation (UKRI); Biotechnology and Biological Sciences Research Council (BBSRC); Quadram Institute; University of East Anglia</t>
  </si>
  <si>
    <t>Carding, SR; Korcsmaros, T (corresponding author), Quadram Inst Biosci, Gut Microbes &amp; Hlth Res Programme, Norwich, Norfolk, England.</t>
  </si>
  <si>
    <t>Simon.Carding@quadram.ac.uk; Tamas.Korcsmaros@earlham.ac.uk</t>
  </si>
  <si>
    <t>Módos, Dezső/H-3056-2019; Korcsmaros, Tamas/C-3526-2015</t>
  </si>
  <si>
    <t>Módos, Dezső/0000-0001-9412-6867; Korcsmaros, Tamas/0000-0003-1717-996X; Sudhakar, Padhmanand/0000-0003-1907-4491</t>
  </si>
  <si>
    <t>e12189</t>
  </si>
  <si>
    <t>10.1002/jev2.12189</t>
  </si>
  <si>
    <t>WOS:000745514500001</t>
  </si>
  <si>
    <t>Shi, YL; Luo, P; Wang, WK; Horst, K; Blasius, F; Relja, B; Xu, D; Hildebrand, F; Greven, J</t>
  </si>
  <si>
    <t>Shi, Yulong; Luo, Peng; Wang, Weikang; Horst, Klemens; Blaesius, Felix; Relja, Borna; Xu, Ding; Hildebrand, Frank; Greven, Johannes</t>
  </si>
  <si>
    <t>M1 But Not M0 Extracellular Vesicles Induce Polarization of RAW264.7 Macrophages Via the TLR4-NF kappa B Pathway In Vitro</t>
  </si>
  <si>
    <t>INFLAMMATION</t>
  </si>
  <si>
    <t>M1 macrophages; RAW264; 7 macrophages; extracellular vesicles; polarization; NF-kappa B pathway</t>
  </si>
  <si>
    <t>MONOCYTE-DERIVED MICROPARTICLES; ACTIVATION; EXOSOMES; MICROVESICLES; CELLS</t>
  </si>
  <si>
    <t>In response to different stimuli (e.g., infections), naive macrophages polarize into M1 macrophages, which have the potential to secrete numerous pro-inflammatory cytokines and extracellular vesicles (EVs). EVs are important mediators of intercellular communication. Via horizontal transfer, EVs transport various molecules (e.g., proteins, DNA, and RNA) to target cells. This in vitro study elucidated that M1-EVs from macrophages induced by interferon-gamma (IFN-gamma) and lipopolysaccharide (LPS) 24 h (M1), but not M0-EVs from untreated macrophages (M0), shifted M0 into M1 phenotype via activating the nuclear factor-kappa B pathway. The characteristics of these EVs were assessed by transmission electron microscopy (TEM), nanoparticle tracking analysis (NTA), and a western blot assay. RAW 264.7 cells were incubated with M1-EVs (experimental group) or PBS (sham group) or M0-EVs (control group) for 24 h. The viability, change of shape, and phenotype differentiation of the macrophages were identified by a 3-(4,5-dimethylthiazol-2-yl)-2,5-diphenyltetrazolium bromide (MTT) assay, flow cytometry, and immunofluorescence staining. The TLR4-NF kappa B pathway of RAW264.7 macrophages was assessed by a western blot assay. M1-EVs but not M0-EVs were incorporated by the RAW264.7 cells and directly induced polarization of RAW264.7 macrophages to M1 macrophages. This polarization was demonstrated by significant upregulation of the M1 macrophage marker CD86 in the experimental group (49.93 +/- 5.0%) as compared with that in the control and sham groups (1.22% and 1.46%, respectively) and significant upregulation of iNOS in the experimental group (75 +/- 5.0%) as compared with that in the control and sham groups (0%). Furthermore, cell viability was higher (1.3 times) in the experimental group as compared with that in both the sham and control groups. The regulatory mechanism of M1-EVs on RAW 264.7 macrophages polarization and activation was triggered by the activation of the TLR4-NF kappa B signaling pathway. Based on our observations, we conclude that M1-EVs play an important role in the M1 macrophage auto-polarizing loop. These data clearly demonstrate an important role for macrophage-derived EVs in cellular differentiation. Further studies are needed to elucidate the potential of these EVs in the modulation of inflammatory stimuli.</t>
  </si>
  <si>
    <t>[Shi, Yulong; Luo, Peng; Wang, Weikang; Horst, Klemens; Blaesius, Felix; Relja, Borna; Hildebrand, Frank; Greven, Johannes] RWTH Aachen Univ Hosp, Dept Trauma &amp; Reconstruct Surg, Pauwelsstr 30, D-52074 Aachen, Germany; [Xu, Ding] Univ Hosp Magdeburg, Dept Radiol &amp; Nucl Med, Expt Radiol, Leipziger Str 44, D-39120 Magdeburg, Germany</t>
  </si>
  <si>
    <t>RWTH Aachen University; RWTH Aachen University Hospital; University Hospital Magdeburg</t>
  </si>
  <si>
    <t>Shi, YL (corresponding author), RWTH Aachen Univ Hosp, Dept Trauma &amp; Reconstruct Surg, Pauwelsstr 30, D-52074 Aachen, Germany.</t>
  </si>
  <si>
    <t>yulong.shi@rwth-aachen.de</t>
  </si>
  <si>
    <t>Relja, Borna/B-6642-2016; Bläsius, Felix/M-9878-2019</t>
  </si>
  <si>
    <t>Relja, Borna/0000-0002-5625-8823; Bläsius, Felix/0000-0001-7419-8687</t>
  </si>
  <si>
    <t>0360-3997</t>
  </si>
  <si>
    <t>1573-2576</t>
  </si>
  <si>
    <t>10.1007/s10753-020-01236-7</t>
  </si>
  <si>
    <t>APR 2020</t>
  </si>
  <si>
    <t>Cell Biology; Immunology</t>
  </si>
  <si>
    <t>WOS:000528103600001</t>
  </si>
  <si>
    <t>Xu, Y; Yu, YH; Yang, BW; Hui, JJ; Zhang, C; Fang, H; Bian, XY; Tao, M; Lu, YP; Shang, ZL</t>
  </si>
  <si>
    <t>Xu, Yu; Yu, Yanhua; Yang, Bowen; Hui, Jingjiao; Zhang, Cai; Fang, Hua; Bian, Xiaoyun; Tao, Min; Lu, Yipeng; Shang, Zhenglu</t>
  </si>
  <si>
    <t>Extracellular Mitochondrial Components and Effects on Cardiovascular Disease</t>
  </si>
  <si>
    <t>mitochondria; extracellular vesicles; free circulating mitochondria DNA; inflammation; mitochondrial transplantation</t>
  </si>
  <si>
    <t>ISCHEMIA-REPERFUSION INJURY; STROMAL CELLS; DNA FRAGMENTS; TRANSPLANTATION; VESICLES; HEART; RELEASE; RESCUE; INFLAMMATION; EXOSOMES</t>
  </si>
  <si>
    <t>Besides being powerhouses of the cell, mitochondria released into extracellular space act as intercellular signaling. Mitochondria and their components mediate cell-to-cell communication in free form or embedded in a carrier. The pathogenesis of cardiovascular disease is complex, which shows close relationship with inflammation and metabolic abnormalities. Since mitochondria sustain optimal function of the heart, extracellular mitochondria are emerging as a key regulator in the development of cardiovascular disease. In this review, we provide recent findings in the presence and forms of mitochondria transfer between cells, as well as the effects of these mitochondria on vascular inflammation and ischemic myocardium. Mitochondrial transplantation is a novel treatment paradigm for patients suffering from acute cardiovascular accident and challenges the traditional methods of mitochondria isolation.</t>
  </si>
  <si>
    <t>[Xu, Yu; Yu, Yanhua; Yang, Bowen; Hui, Jingjiao; Zhang, Cai; Fang, Hua; Bian, Xiaoyun; Tao, Min; Lu, Yipeng; Shang, Zhenglu] Wuxi Huishan Dist Peoples Hosp, Dept Cardiol, Wuxi, Jiangsu, Peoples R China</t>
  </si>
  <si>
    <t>Shang, ZL (corresponding author), Wuxi Huishan Dist Peoples Hosp, Dept Cardiol, Wuxi, Jiangsu, Peoples R China.</t>
  </si>
  <si>
    <t>shangzhenglu@163.com</t>
  </si>
  <si>
    <t>Xu, YU/0000-0002-6562-3511</t>
  </si>
  <si>
    <t>10.1089/dna.2021.0087</t>
  </si>
  <si>
    <t>WOS:000683078100001</t>
  </si>
  <si>
    <t>Ferrantelli, F; Manfredi, F; Chiozzini, C; Anticoli, S; Olivetta, E; Arenaccio, C; Federico, M</t>
  </si>
  <si>
    <t>Ferrantelli, Flavia; Manfredi, Francesco; Chiozzini, Chiara; Anticoli, Simona; Olivetta, Eleonora; Arenaccio, Claudia; Federico, Maurizio</t>
  </si>
  <si>
    <t>DNA Vectors Generating Engineered Exosomes Potential CTL Vaccine Candidates Against AIDS, Hepatitis B, and Tumors</t>
  </si>
  <si>
    <t>MOLECULAR BIOTECHNOLOGY</t>
  </si>
  <si>
    <t>Exosomes; HIV-1; HBV; HOXB7; Nef; Constitutive transport elements</t>
  </si>
  <si>
    <t>TRANSPORT ELEMENT; T-CELLS; VIRUS; EXPRESSION; CANCER; RETROVIRUS; SECRETION; INFECTION; PROTEINS; VESICLES</t>
  </si>
  <si>
    <t>Eukaryotic cells constitutively produce nanovesicles of 50-150 nm of diameter, referred to as exosomes, upon release of the contents of multivesicular bodies (MVBs). We recently characterized a novel, exosome-based way to induce cytotoxic T lymphocyte (CTL) immunization against full-length antigens. It is based on DNA vectors expressing products of fusion between the exosome-anchoring protein Nef mutant (Nef(mut)) with the antigen of interest. The strong efficiency of Nef(mut) to accumulate in MVBs results in the production of exosomes incorporating huge amounts of the desired antigen. When translated in animals, the injection of Nef(mut)-based DNA vectors generates engineered exosomes whose internalization in antigen-presenting cells induces cross-priming and antigen-specific CTL immunity. Here, we describe the molecular strategies we followed to produce DNA vectors aimed at generating immunogenic exosomes potentially useful to elicit a CTL immune response against antigens expressed by the etiologic agents of major chronic viral infections, i.e., HIV-1, HBV, and the novel tumor-associated antigen HOXB7. Unique methods intended to counteract intrinsic RNA instability and nuclear localization of the antigens have been developed. The success we met with the production of these engineered exosomes opens the way towards pre-clinic experimentations devoted to the optimization of new vaccine candidates against major infectious and tumor pathologies.</t>
  </si>
  <si>
    <t>[Ferrantelli, Flavia; Manfredi, Francesco; Chiozzini, Chiara; Anticoli, Simona; Olivetta, Eleonora; Arenaccio, Claudia; Federico, Maurizio] Natl Ctr Global Hlth, ISS, Viale Regina Elena 299, I-00161 Rome, Italy</t>
  </si>
  <si>
    <t>Federico, M (corresponding author), Natl Ctr Global Hlth, ISS, Viale Regina Elena 299, I-00161 Rome, Italy.</t>
  </si>
  <si>
    <t>chiozzini, chiara/M-8906-2017; Chiozzini, Chiara/AAH-1790-2021; Olivetta, Eleonora/N-5736-2017; Anticoli, Simona/AAH-8838-2021; Ferrantelli, Flavia/J-7794-2016; Manfredi, Francesco/ABA-7166-2021; Anticoli, Simona/M-9940-2017; Arenaccio, Claudia/J-9914-2016; Federico, Maurizio/J-5867-2016</t>
  </si>
  <si>
    <t>Chiozzini, Chiara/0000-0002-4153-0927; Ferrantelli, Flavia/0000-0002-0768-1078; Arenaccio, Claudia/0000-0003-3297-2608; Federico, Maurizio/0000-0003-4154-1025; Anticoli, Simona/0000-0003-3238-3280; manfredi, francesco/0000-0002-1746-1546</t>
  </si>
  <si>
    <t>1073-6085</t>
  </si>
  <si>
    <t>1559-0305</t>
  </si>
  <si>
    <t>10.1007/s12033-018-0114-3</t>
  </si>
  <si>
    <t>WOS:000446754800001</t>
  </si>
  <si>
    <t>Casadei, L; Calore, F; Braggio, DA; Zewdu, A; Deshmukh, AA; Fadda, P; Lopez, G; Wabitsch, M; Song, C; Leight, JL; Grignol, VP; Lev, D; Croce, CM; Pollock, RE</t>
  </si>
  <si>
    <t>Casadei, Lucia; Calore, Federica; Braggio, Danielle A.; Zewdu, Abeba; Deshmukh, Ameya A.; Fadda, Paolo; Lopez, Gonzalo; Wabitsch, Martin; Song, Chi; Leight, Jennifer L.; Grignol, Valerie P.; Lev, Dina; Croce, Carlo M.; Pollock, Raphael E.</t>
  </si>
  <si>
    <t>MDM2 Derived from Dedifferentiated Liposarcoma Extracellular Vesicles Induces MMP2 Production from Preadipocytes</t>
  </si>
  <si>
    <t>CANCER RESEARCH</t>
  </si>
  <si>
    <t>RETROPERITONEAL SARCOMA; CELLS INDUCE; CANCER; EXPRESSION; MICROVESICLES; METASTASIS; EXOSOMES; METALLOPROTEINASES; INHIBITOR; SAR405838</t>
  </si>
  <si>
    <t>Dedifferentiated liposarcoma (DDLPS) is frequently diagnosed late, and patients typically respond poorly to treatments. DDLPS is molecularly characterized by wild-type p53 and amplification of the MDM2 gene, which results in overexpression of MDM2 protein, a key oncogenic process in DDLPS. In this study, we demonstrate that extracellular vesicles derived from patients with DDLPS or from DDLPS cell lines are carriers of MDM2 DNA that can be transferred to preadipocytes, a major and ubiquitous cellular component of the DDLPS tumor microenvironment, leading to impaired p53 activity in preadipocytes and increased proliferation, migration, and production of matrix metalloproteinase 2; treatment with MDM2 inhibitors repressed these effects. Overall, these findings indicate that MDM2 plays a crucial role in DDLPS by enabling cross-talk between tumor cells and the surrounding microenvironment and that targeting vesicular MDM2 could represent a therapeutic option for treating DDLPS. Significance: Extracellular vesicles derived from dedifferentiated liposarcoma cells induce oncogenic properties in preadipocytes.</t>
  </si>
  <si>
    <t>[Casadei, Lucia; Braggio, Danielle A.; Zewdu, Abeba; Deshmukh, Ameya A.; Lopez, Gonzalo; Leight, Jennifer L.; Grignol, Valerie P.] Ohio State Univ, James Comprehens Canc Ctr, Columbus, OH 43210 USA; [Casadei, Lucia; Braggio, Danielle A.; Zewdu, Abeba; Lopez, Gonzalo; Grignol, Valerie P.; Pollock, Raphael E.] Ohio State Univ, Dept Surg, Div Surg Oncol, Wexner Med Ctr, Columbus, OH 43210 USA; [Calore, Federica; Fadda, Paolo; Croce, Carlo M.] Ohio State Univ, Ctr Comprehens Canc, Dept Canc Biol &amp; Genet, Columbus, OH 43210 USA; [Deshmukh, Ameya A.; Leight, Jennifer L.] Ohio State Univ, Dept Biomed Engn, Coll Engn, Columbus, OH 43210 USA; [Wabitsch, Martin] Ulm Univ Hosp, Dept Pediat &amp; Adolescent Med, Div Paediat Endocrinol &amp; Diabet, Ctr Hormonal Disorders Children &amp; Adolescents, Ulm, Germany; [Song, Chi] Ohio State Univ, Coll Publ Hlth, Div Biostat, Columbus, OH 43210 USA; [Lev, Dina] Sheba Med Ctr, Dept Surg B, Tel Aviv, Israel; [Lev, Dina] Tel Aviv Univ, Tel Aviv, Israel</t>
  </si>
  <si>
    <t>James Cancer Hospital &amp; Solove Research Institute; Ohio State University; Ohio State University; James Cancer Hospital &amp; Solove Research Institute; Ohio State University; Ohio State University; Ulm University; Ohio State University; Chaim Sheba Medical Center; Tel Aviv University</t>
  </si>
  <si>
    <t>Pollock, RE (corresponding author), Ohio State Univ, Ctr Comprehens Canc, James Adm D920D,460 West 10th Ave, Columbus, OH 43210 USA.</t>
  </si>
  <si>
    <t>raphael.pollock@osumc.edu</t>
  </si>
  <si>
    <t>Leight, Jennifer L/E-5535-2015; Chen, James/A-9964-2016</t>
  </si>
  <si>
    <t>Leight, Jennifer/0000-0003-4510-1086; Pollock, Raphael/0000-0002-0443-1583; Chen, James/0000-0002-4095-5202; CASADEI, Lucia/0000-0002-5731-8197</t>
  </si>
  <si>
    <t>0008-5472</t>
  </si>
  <si>
    <t>1538-7445</t>
  </si>
  <si>
    <t>10.1158/0008-5472.CAN-19-0203</t>
  </si>
  <si>
    <t>WOS:000489626000011</t>
  </si>
  <si>
    <t>de Mendonca, M; Rocha, KC; de Sousa, E; Pereira, BMV; Oyama, LM; Rodrigues, AC</t>
  </si>
  <si>
    <t>de Mendonca, Mariana; Rocha, Karina C.; de Sousa, Erica; Pereira, Beatriz M., V; Oyama, Lila Missae; Rodrigues, Alice C.</t>
  </si>
  <si>
    <t>Aerobic exercise training regulates serum extracellular vesicle miRNAs linked to obesity to promote their beneficial effects in mice</t>
  </si>
  <si>
    <t>AMERICAN JOURNAL OF PHYSIOLOGY-ENDOCRINOLOGY AND METABOLISM</t>
  </si>
  <si>
    <t>adipose tissue; extracellular vesicles; noncoding RNAs; physical exercise; steatosis</t>
  </si>
  <si>
    <t>FATTY LIVER-DISEASE; INSULIN-RESISTANCE; ADIPOSE-TISSUE; ENDURANCE EXERCISE; SKELETAL-MUSCLE; CIRCULATING MICRORNAS; GENE-EXPRESSION; WEIGHT; INFLAMMATION; SENSITIVITY</t>
  </si>
  <si>
    <t>There is a growing body of evidence that extracellular vesicles (EVs) and their cargo of RNA, DNA, and protein are released in the circulation with exercise and might mediate interorgan communication. C57BL6/J male mice were subjected to diet-induced obesity and aerobic training on a treadmill for 8 wk. The effect of aerobic training was evaluated in the liver, muscle, kidney, and white/brown adipose tissue. To provide new mechanistic insight, we profiled miRNA from serum EVs of obese and obese trained mice. We demonstrate that aerobic training changes the circulating EV miRNA profile of obese mice, including decreases in miR-122, miR-192, and miR-22 levels. Circulating miRNA levels were associated with miRNA levels in mouse liver white adipose tissue (WAT). In WAT, aerobically trained obese mice showed reduced adipocyte hypertrophy and increased the number of smaller adipocytes and the expression of Cebpa, Pparg, Fabp4 (adipogenesis markers), and ATP-citrate lyase enzyme activity. Importantly, miR-22 levels negatively correlated with the expression of adipogenesis and insulin sensitivity markers. In the liver, aerobic training reverted obesity-induced steatohepatitis, and steatosis score and Pparg expression were negatively correlated with miR-122 levels. The prometabolic effects of aerobic exercise in obesity possibly involve EV nuRN As, which might be involved in communication between liver and WAT. Our data provide significant evidence demonstrating that aerobic training exercise-induced EVs mediate the effect of exercise on adipose tissue metabolism.</t>
  </si>
  <si>
    <t>[de Mendonca, Mariana; Rocha, Karina C.; de Sousa, Erica; Pereira, Beatriz M., V; Rodrigues, Alice C.] Univ Sao Paulo, Dept Farmacol, Inst Ciencias Biomed, Sao Paulo, Brazil; [Oyama, Lila Missae] Univ Fed Sao Paulo, Dept Fisiol, Escola Paulista Med, Sao Paulo, Brazil</t>
  </si>
  <si>
    <t>Universidade de Sao Paulo; Universidade Federal de Sao Paulo (UNIFESP)</t>
  </si>
  <si>
    <t>Rodrigues, AC (corresponding author), Univ Sao Paulo, Dept Farmacol, Inst Ciencias Biomed, Sao Paulo, Brazil.</t>
  </si>
  <si>
    <t>alice-rodrigues@usp.br</t>
  </si>
  <si>
    <t>PEREIRA, BEATRIZ MARIA VELOSO/P-6931-2019; Oyama, Lila M/B-7609-2012; Rodrigues, Alice Cristina/V-3635-2019</t>
  </si>
  <si>
    <t>Rodrigues, Alice Cristina/0000-0002-9005-033X; Veloso Pereira, Beatriz Maria/0000-0002-4511-3346</t>
  </si>
  <si>
    <t>0193-1849</t>
  </si>
  <si>
    <t>1522-1555</t>
  </si>
  <si>
    <t>E579</t>
  </si>
  <si>
    <t>E591</t>
  </si>
  <si>
    <t>10.1152/ajpendo.00172.2020</t>
  </si>
  <si>
    <t>Endocrinology &amp; Metabolism; Physiology</t>
  </si>
  <si>
    <t>WOS:000572368900013</t>
  </si>
  <si>
    <t>Johnson, BL; Kuethe, JW; Caldwell, CC</t>
  </si>
  <si>
    <t>Johnson, Bobby L., III; Kuethe, Josh W.; Caldwell, Charles C.</t>
  </si>
  <si>
    <t>Neutrophil Derived Microvesicles: Emerging Role of a Key Mediator to the Immune Response</t>
  </si>
  <si>
    <t>ENDOCRINE METABOLIC &amp; IMMUNE DISORDERS-DRUG TARGETS</t>
  </si>
  <si>
    <t>Apoptosis; inflammatory; immune response; microvesicles; neutrophil derived microvesicles; sepsis</t>
  </si>
  <si>
    <t>ACTIVATED POLYMORPHONUCLEAR LEUKOCYTES; MICROPARTICLES STIMULATE; PLATELET MICROPARTICLES; CYTOKINE PRODUCTION; ADHESION MOLECULES; CALPAIN ACTIVATION; SIGNALING PATHWAYS; DOWN-REGULATION; FLOW-CYTOMETRY; TGF-BETA</t>
  </si>
  <si>
    <t>In response to infection and trauma, exquisite control of the innate inflammatory response is necessary to promote an anti-microbial response and minimize tissue injury. Over the course of the host response, activated leukocytes are essential for the initial response and can later become unresponsive or undergo apoptosis. Leukocytes, along the continuum of activation to apoptosis, have been shown to generate microvesicles. These vesicles can range in size from 0.1 to 1.0 mu m and can retain proteins, RNA and DNA of their parent cells. Importantly, neutrophil-derived microvesicles (NDMV) are robustly increased under inflammatory conditions. The aim of this review is to summarize the research to date upon NDMVs. This will include describing under which disease states NDMVs are increased, mechanisms underlying formation, and the impact of these vesicles upon cellular targets. Altogether, increased awareness of NDMVs during the host innate response may allow for diagnostic tools as well as potential novel therapies during infection and trauma.</t>
  </si>
  <si>
    <t>[Johnson, Bobby L., III; Kuethe, Josh W.; Caldwell, Charles C.] Univ Cincinnati, Dept Surg, Div Res, Cincinnati, OH 45267 USA</t>
  </si>
  <si>
    <t>University of Cincinnati</t>
  </si>
  <si>
    <t>Caldwell, CC (corresponding author), MSB SRU G479, Cincinnati, OH 45267 USA.</t>
  </si>
  <si>
    <t>charles.caldwell@uc.edu</t>
  </si>
  <si>
    <t>Caldwell, Charles/0000-0003-1692-4550</t>
  </si>
  <si>
    <t>1871-5303</t>
  </si>
  <si>
    <t>2212-3873</t>
  </si>
  <si>
    <t>10.2174/1871530314666140722083717</t>
  </si>
  <si>
    <t>Endocrinology &amp; Metabolism; Immunology; Pharmacology &amp; Pharmacy</t>
  </si>
  <si>
    <t>WOS:000348651000007</t>
  </si>
  <si>
    <t>Ferrantelli, F; Chiozzini, C; Manfredi, F; Giovannelli, A; Leone, P; Federico, M</t>
  </si>
  <si>
    <t>Ferrantelli, Flavia; Chiozzini, Chiara; Manfredi, Francesco; Giovannelli, Andrea; Leone, Patrizia; Federico, Maurizio</t>
  </si>
  <si>
    <t>Simultaneous CD8(+) T-Cell Immune Response against SARS-Cov-2 S, M, and N Induced by Endogenously Engineered Extracellular Vesicles in Both Spleen and Lungs</t>
  </si>
  <si>
    <t>SARS-CoV-2; extracellular vesicles; CD8(+) T cell immunity; Nef</t>
  </si>
  <si>
    <t>ACUTE RESPIRATORY SYNDROME; SYNDROME SARS CORONAVIRUS; EBOLA-VIRUS INFECTION; LONGITUDINAL PROFILE; NUCLEOCAPSID PROTEIN; PROTECTION; INFLUENZA; EXOSOMES; VACCINE; ANTIBODY</t>
  </si>
  <si>
    <t>Most advanced vaccines against severe acute respiratory syndrome coronavirus (SARS-CoV)-2 are designed to induce antibodies against spike (S) protein. Differently, we developed an original strategy to induce CD8(+) T cytotoxic lymphocyte (CTL) immunity based on in vivo engineering of extracellular vesicles (EVs). This is a new vaccination approach based on intramuscular injection of DNA expression vectors coding for a biologically inactive HIV-1 Nef protein (Nef(mut)) with an unusually high efficiency of incorporation into EVs, even when foreign polypeptides are fused to its C-terminus. Nanovesicles containing Nef(mut)-fused antigens released by muscle cells can freely circulate into the body and are internalized by antigen-presenting cells. Therefore, EV-associated antigens can be cross-presented to prime antigen-specific CD8(+) T-cells. To apply this technology to a strategy of anti-SARS-CoV-2 vaccine, we designed DNA vectors expressing the products of fusion between Nef(mut) and different viral antigens, namely N- and C-terminal moieties of S (referred to as S1 and S2), M, and N. We provided evidence that all fusion products are efficiently uploaded in EVs. When the respective DNA vectors were injected in mice, a strong antigen-specific CD8(+) T cell immunity became detectable in spleens and, most important, in lung airways. Co-injection of DNA vectors expressing the diverse SARS-CoV-2 antigens resulted in additive immune responses in both spleen and lungs. Hence, DNA vectors expressing Nef(mut)-based fusion proteins can be proposed for new anti-SARS-CoV-2 vaccine strategies.</t>
  </si>
  <si>
    <t>[Ferrantelli, Flavia; Chiozzini, Chiara; Manfredi, Francesco; Leone, Patrizia; Federico, Maurizio] Ist Super Sanita, Natl Ctr Global Hlth, Viale Regina Elena 299, I-00161 Rome, Italy; [Giovannelli, Andrea] Ist Super Sanita, Natl Ctr Anim Experimentat &amp; Welf, Viale Regina Elena 299, I-00161 Rome, Italy</t>
  </si>
  <si>
    <t>flavia.ferrantelli@iss.it; chiara.chiozzini@iss.it; francesco.manfredi@iss.it; andrea.giovannelli@iss.it; patrizia.leone@iss.it; maurizio.federico@iss.it</t>
  </si>
  <si>
    <t>Manfredi, Francesco/ABA-7166-2021; Federico, Maurizio/J-5867-2016; Ferrantelli, Flavia/J-7794-2016</t>
  </si>
  <si>
    <t>Chiozzini, Chiara/0000-0002-4153-0927; Federico, Maurizio/0000-0003-4154-1025; Leone, Patrizia/0000-0002-5281-4917; Ferrantelli, Flavia/0000-0002-0768-1078</t>
  </si>
  <si>
    <t>10.3390/vaccines9030240</t>
  </si>
  <si>
    <t>WOS:000634219000001</t>
  </si>
  <si>
    <t>Montay-Gruel, P; Zhu, YF; Petit, B; Leavitt, R; Warn, M; Giedzinski, E; Ollivier, J; Sinclair, DA; Vozenin, MC; Limoli, CL</t>
  </si>
  <si>
    <t>Montay-Gruel, Pierre; Zhu, Yafeng; Petit, Benoit; Leavitt, Ron; Warn, Mike; Giedzinski, Erich; Ollivier, Jonathan; Sinclair, David A.; Vozenin, Marie-Catherine; Limoli, Charles L.</t>
  </si>
  <si>
    <t>Extracellular Vesicles for the Treatment of Radiation-Induced Normal Tissue Toxicity in the Lung</t>
  </si>
  <si>
    <t>extracellular vesicles; human embryonic stem cells; proteomics; radiation-injury; lung fibrosis</t>
  </si>
  <si>
    <t>Human stem cell-derived extracellular vesicles (EV) provide many advantages over cell-based therapies for the treatment of functionally compromised tissue beds and organ sites. Here we sought to determine whether human embryonic stem cell (hESC)-derived EV could resolve in part, the adverse late normal tissue complications associated with exposure of the lung to ionizing radiation. The hESC-derived EV were systemically administered to the mice via the retro-orbital sinus to explore the potential therapeutic benefits following exposure to high thoracic doses of radiation (14 Gy). Data demonstrated that hESC-derived EV treatment significantly improved overall survival of the irradiated cohorts (P &lt; 0.001). Increased survival was also associated with significant reductions in lung fibrosis as quantified by CBCT imaging (P &lt; 0.01, 2 weeks post-irradiation). Qualitative histological analyses revealed reduced indications of radiation induced pulmonary injury in animals treated with EV. EV were then subjected to a rigorous proteomic analysis to ascertain the potential bioactive cargo that may prove beneficial in ameliorating radiation-induced normal tissue toxicities in the lung. Proteomics validated several consensus exosome markers (e.g., CD68) and identified major classes of proteins involved in nuclear pore complexes, epigenetics, cell cycle, growth and proliferation, DNA repair, antioxidant function, and cellular metabolism (TCA cycle and oxidative phosphorylation, OXYPHOS). Interestingly, EV were also found to contain mitochondrial components (mtDNA, OXYPHOS protein subunits), which may contribute to the metabolic reprograming and recovery of radiation-injured pulmonary tissue. To evaluate the safety of EV treatments in the context of the radiotherapeutic management of tumors, mice harboring TC1 tumor xenografts were subjected to the same EV treatments shown to forestall lung fibrosis. Data indicated that over the course of one month, no change in the growth of flank tumors between treated and control cohorts was observed. In conclusion, present findings demonstrate that systemic delivery of hESC-derived EV could ameliorate radiation-induced normal tissue complications in the lung, through a variety of potential mechanisms based on EV cargo analysis.</t>
  </si>
  <si>
    <t>[Montay-Gruel, Pierre; Leavitt, Ron; Warn, Mike; Giedzinski, Erich; Limoli, Charles L.] Univ Calif Irvine, Dept Radiat Oncol, Irvine, CA 92697 USA; [Zhu, Yafeng; Sinclair, David A.] Harvard Med Sch, Paul F Glenn Ctr Biol Aging Res, Blavatnik Inst, Dept Genet, Boston, MA 02115 USA; [Petit, Benoit; Ollivier, Jonathan; Vozenin, Marie-Catherine] Lausanne Univ Hosp, Dept Radiat Oncol, Lab Radiat Oncol, Lausanne, Switzerland; [Petit, Benoit; Ollivier, Jonathan; Vozenin, Marie-Catherine] Univ Lausanne, Lausanne, Switzerland; [Zhu, Yafeng] Sun Yat Sen Univ, Sun Yat Sen Mem Hosp, Med Res Ctr, Guangdong Prov Key Lab Malignant Tumor Epigenet &amp;, Guangzhou, Peoples R China</t>
  </si>
  <si>
    <t>University of California System; University of California Irvine; Harvard University; Harvard Medical School; University of Lausanne; Centre Hospitalier Universitaire Vaudois (CHUV); University of Lausanne; Sun Yat Sen University</t>
  </si>
  <si>
    <t>Limoli, CL (corresponding author), Univ Calif Irvine, Dept Radiat Oncol, Irvine, CA 92697 USA.;Vozenin, MC (corresponding author), Lausanne Univ Hosp, Dept Radiat Oncol, Lab Radiat Oncol, Lausanne, Switzerland.;Vozenin, MC (corresponding author), Univ Lausanne, Lausanne, Switzerland.</t>
  </si>
  <si>
    <t>marie-catherine.vozenin@chuv.ch; climoli@uci.edu</t>
  </si>
  <si>
    <t>Montay-Gruel, Pierre/AAE-6854-2022</t>
  </si>
  <si>
    <t>MAR 2</t>
  </si>
  <si>
    <t>10.3389/fonc.2020.602763</t>
  </si>
  <si>
    <t>WOS:000629295500001</t>
  </si>
  <si>
    <t>Clark, K; Zhang, S; Barthe, S; Kumar, P; Pivetti, C; Kreutzberg, N; Reed, C; Wang, Y; Paxton, Z; Farmer, D; Guo, FZ; Wang, AJ</t>
  </si>
  <si>
    <t>Clark, Kaitlin; Zhang, Sheng; Barthe, Sylvain; Kumar, Priyadarsini; Pivetti, Christopher; Kreutzberg, Nicole; Reed, Camille; Wang, Yan; Paxton, Zachary; Farmer, Diana; Guo, Fuzheng; Wang, Aijun</t>
  </si>
  <si>
    <t>Placental Mesenchymal Stem Cell-Derived Extracellular Vesicles Promote Myelin Regeneration in an Animal Model of Multiple Sclerosis</t>
  </si>
  <si>
    <t>mesenchymal stromal cells; extracellular vesicles; multiple sclerosis; myelin regeneration; oligodendrocyte precursor cells</t>
  </si>
  <si>
    <t>NANOPARTICLE TRACKING ANALYSIS; HEPATOCYTE GROWTH-FACTOR; SPINAL-CORD-INJURY; STROMAL CELLS; EXOSOME SECRETION; DIFFERENTIATION; TRANSPLANTATION; THERAPY; DISEASE</t>
  </si>
  <si>
    <t>Mesenchymal stem/stromal cells (MSCs) display potent immunomodulatory and regenerative capabilities through the secretion of bioactive factors, such as proteins, cytokines, chemokines as well as the release of extracellular vesicles (EVs). These functional properties of MSCs make them ideal candidates for the treatment of degenerative and inflammatory diseases, including multiple sclerosis (MS). MS is a heterogenous disease that is typically characterized by inflammation, demyelination, gliosis and axonal loss. In the current study, an induced experimental autoimmune encephalomyelitis (EAE) murine model of MS was utilized. At peak disease onset, animals were treated with saline, placenta-derived MSCs (PMSCs), as well as low and high doses of PMSC-EVs. Animals treated with PMSCs and high-dose PMSC-EVs displayed improved motor function outcomes as compared to animals treated with saline. Symptom improvement by PMSCs and PMSC-EVs led to reduced DNA damage in oligodendroglia populations and increased myelination within the spinal cord of treated mice. In vitro data demonstrate that PMSC-EVs promote myelin regeneration by inducing endogenous oligodendrocyte precursor cells to differentiate into mature myelinating oligodendrocytes. These findings support that PMSCs' mechanism of action is mediated by the secretion of EVs. Therefore, PMSC-derived EVs are a feasible alternative to cellular based therapies for MS, as demonstrated in an animal model of the disease.</t>
  </si>
  <si>
    <t>[Clark, Kaitlin; Barthe, Sylvain; Kumar, Priyadarsini; Pivetti, Christopher; Kreutzberg, Nicole; Reed, Camille; Paxton, Zachary; Farmer, Diana; Wang, Aijun] Univ Calif Davis, Sch Med, Dept Surg, Sacramento, CA 95817 USA; [Clark, Kaitlin; Zhang, Sheng; Kumar, Priyadarsini; Pivetti, Christopher; Wang, Yan; Farmer, Diana; Guo, Fuzheng; Wang, Aijun] Shriners Hosp Children, Sacramento, CA 95817 USA; [Wang, Aijun] Univ Calif Davis, Dept Biomed Engn, Davis, CA 95616 USA</t>
  </si>
  <si>
    <t>University of California System; University of California Davis; University of California System; University of California Davis</t>
  </si>
  <si>
    <t>Wang, AJ (corresponding author), Univ Calif Davis, Sch Med, Dept Surg, Sacramento, CA 95817 USA.;Wang, AJ (corresponding author), Shriners Hosp Children, Sacramento, CA 95817 USA.;Wang, AJ (corresponding author), Univ Calif Davis, Dept Biomed Engn, Davis, CA 95616 USA.</t>
  </si>
  <si>
    <t>kcclark@ucdavis.edu; shezhang@ucdavis.edu; sylvainb972@gmail.com; pkumar@ucdavis.edu; cdpivetti@ucdavis.edu; nbkreutz@email.arizona.edu; csreed@ucdavis.edu; yyawang@ucdavis.edu; zjpaxton@ucdavis.edu; dlfarmer@ucdavis.edu; fzguo@ucdavis.edu; aawang@ucdavis.edu</t>
  </si>
  <si>
    <t>Zhang, Sheng/K-1574-2018; Wang, Aijun/C-7559-2013</t>
  </si>
  <si>
    <t>Zhang, Sheng/0000-0002-0692-8999; Wang, Aijun/0000-0002-2985-3627; Paxton, Zachary/0000-0002-5146-779X; Farmer, Diana/0000-0002-3530-5993; Reed, Camille/0000-0002-7791-5300</t>
  </si>
  <si>
    <t>10.3390/cells8121497</t>
  </si>
  <si>
    <t>WOS:000506643500026</t>
  </si>
  <si>
    <t>Manfredi, F; Chiozzini, C; Ferrantelli, F; Leone, P; Giovannelli, A; Sanchez, M; Federico, M</t>
  </si>
  <si>
    <t>Manfredi, Francesco; Chiozzini, Chiara; Ferrantelli, Flavia; Leone, Patrizia; Giovannelli, Andrea; Sanchez, Massimo; Federico, Maurizio</t>
  </si>
  <si>
    <t>Activation of Anti-SARS-CoV-2 Human CTLs by Extracellular Vesicles Engineered with the N Viral Protein</t>
  </si>
  <si>
    <t>extracellular vesicles; SARS-CoV-2; CTL immunity; HIV-1 Nef; CD107a</t>
  </si>
  <si>
    <t>T-CELLS; HIV-1; TROGOCYTOSIS; CAPTURE; VACCINE; MOTIF</t>
  </si>
  <si>
    <t>We propose an innovative anti-SARS-CoV-2 immune strategy based on extracellular vesicles (EVs) inducing an anti-SARS-CoV-2 N CD8(+) T cytotoxic lymphocyte (CTL) immune response. We previously reported that the SARS-CoV-2 N protein can be uploaded at high levels in EVs upon fusion with Nef(mut), i.e., a biologically inactive HIV-1 Nef mutant incorporating into EVs at quite high levels. Here, we analyze the immunogenic properties in human cells of EVs engineered with SARS-CoV-2 N fused at the C-terminus of either Nef(mut) or a deletion mutant of Nef(mut) referred to as Nef(mut)PL. The analysis of in vitro-produced EVs has supported the uploading of N protein when fused with truncated Nef(mut). Mice injected with DNA vectors expressed each fusion protein developed robust SARS-CoV-2 N-specific CD8(+) T cell immune responses. When ex vivo human dendritic cells were challenged with EVs engineered with either fusion products, the induction of a robust N-specific CTL activity, as evaluated by both CD107a and trogocytosis assays, was observed. Through these data we achieved the proof-of-principle that engineered EVs can be instrumental to elicit anti-SARS-CoV-2 CTL immune response in human cells. This achievement represents a mandatory step towards the upcoming experimentations in pre-clinical models focused on intranasal administration of N-engineered EVs.</t>
  </si>
  <si>
    <t>[Manfredi, Francesco; Chiozzini, Chiara; Ferrantelli, Flavia; Leone, Patrizia; Federico, Maurizio] Ist Super Sanita, Natl Ctr Global Hlth, Viale Regina Elena 299, I-00161 Rome, Italy; [Giovannelli, Andrea] Ist Super Sanita, Natl Ctr Anim Expt &amp; Welf, Viale Regina Elena 299, I-00161 Rome, Italy; [Sanchez, Massimo] Ist Super Sanita, Core Facil, Viale Regina Elena 299, I-00161 Rome, Italy</t>
  </si>
  <si>
    <t>francesco.manfredi@iss.it; chiara.chiozzini@iss.it; flavia.ferrantelli@iss.it; patrizia.leone@iss.it; andrea.gioyannelli@iss.it; massimo.sanchez@iss.it; maurizio.federico@iss.it</t>
  </si>
  <si>
    <t>10.3390/vaccines10071060</t>
  </si>
  <si>
    <t>WOS:000831763500001</t>
  </si>
  <si>
    <t>Rodosthenous, RS; Kloog, I; Colicino, E; Zhong, J; Herrera, LA; Vokonas, P; Schwartz, J; Baccarelli, AA; Prada, D</t>
  </si>
  <si>
    <t>Rodosthenous, Rodosthenis S.; Kloog, Itai; Colicino, Elena; Zhong, Jia; Herrera, Luis A.; Vokonas, Pantel; Schwartz, Joel; Baccarelli, Andrea A.; Prada, Diddier</t>
  </si>
  <si>
    <t>Extracellular vesicle-enriched microRNAs interact in the association between long-term particulate matter and blood pressure in elderly men</t>
  </si>
  <si>
    <t>ENVIRONMENTAL RESEARCH</t>
  </si>
  <si>
    <t>Exosomes; MiRNAs; DNA methylation; Air pollution; Blood pressure</t>
  </si>
  <si>
    <t>AIR-POLLUTION; DNA METHYLATION; CARDIOVASCULAR-DISEASE; CELL-PROLIFERATION; ENDOTHELIAL-CELLS; GLOBAL BURDEN; RISK-FACTOR; EXPOSURE; INFLAMMATION; EXPRESSION</t>
  </si>
  <si>
    <t>Background: Several studies have shown that exposure to particulate matter (PM) may lead to increased systemic blood pressure, but the underlying biological mechanisms remain unknown. Emerging evidence shows that extracellular vesicle-enriched miRNAs (evmiRNAs) are associated with PM exposure and cardiovascular risk. In this study, we investigated the role of evmiRNAs in the association between PM and blood pressure, as well as their epigenetic regulation by DNA methylation. Methods: Participants (n = 22, men) were randomly selected from the Veterans Affairs Normative Aging Study (NAS). Long-term (1-year and 6-month average) PM2.5 exposure was estimated at 1 x 1-km resolution using spatio-temporal prediction models and BC was estimated using validated time varying land use regression models. We analyzed 31 evmiRNAs detected in &gt;= 90% of all individuals and for statistical analysis, we used mixed effects models with random intercept adjusted for age, body mass index, smoking, C-reactive protein, platelets, and white blood cells. Results: We found that per each 2-standard deviations increase in 6-month PM2.5 ambient levels, there was an increase in 0.19 mm Hg (95% Confidence Interval [95%CI]: 0.11, 0.28 mmHg; p &lt; 0.001) in systolic blood pressure (SBP). Per each 2-standard deviations increase in 1-year PM2.5 levels, there was an increase in 0.11 mm Hg (95% Confidence Interval [95% CI]: 0.03, 0.19 mmHg; p = 0.012) in SBP in older male individuals. We also found that both miR-199a/b (beta = 6.13 mmHg; 95% CI: 0.87, 11.39; p(interaction) = 0.07) and miR-223-3p (beta = 30.17 mmHg; 95% CI: 11.96, 48.39 mmHg; p(interaction) = 0.01) modified the association between 1-year PM2.5 and SBP. When exploring DNA methylation as a potential mechanism that could epigenetically regulate expression of evmiRNAs, we found that PM2.5 ambient levels were negatively associated with DNA methylation levels at CpG (cg23972892) near the enhancer region of miR-199a/b (beta = -13.11; 95% CI: -17.70, -8.52; P-Bortferroni &lt; 0.01), but not miR-223-3p. Conclusions: Our findings suggest that expression of evmiRNAs may be regulated by DNA methylation in response to long-term PM2.5 ambient levels and modify the magnitude of association between PM2.5 and systolic blood pressure in older individuals.</t>
  </si>
  <si>
    <t>[Rodosthenous, Rodosthenis S.; Colicino, Elena; Zhong, Jia; Schwartz, Joel; Prada, Diddier] Harvard Univ, Harvard TH Chan Sch Publ Hlth, Dept Environm Hlth, 665 Huntington Ave, Boston, MA 02115 USA; [Rodosthenous, Rodosthenis S.] Massachusetts Gen Hosp, Cardiovasc Res Ctr, Boston, MA 02114 USA; [Kloog, Itai] Ben Gurion Univ Negev, Dept Geog &amp; Environm Dev, IL-663 Beer Sheva, Israel; [Colicino, Elena] Mt Sinai Hosp, Icahn Sch Med, 1 Gustave L Levy Pl, New York, NY 10029 USA; [Vokonas, Pantel] Vet Affairs Boston Healthcare Syst, 150 South Huntington Ave, Boston, MA 02130 USA; [Vokonas, Pantel] Boston Univ, Sch Publ Hlth, Dept Epidemiol, 715 Albany St, Boston, MA 02118 USA; [Vokonas, Pantel] Boston Univ, Sch Med, Dept Med, 72 East Concord St, Boston, MA 02118 USA; [Baccarelli, Andrea A.] Columbia Univ, Mailman Sch Publ Hlth, Dept Environm Hlth Sci, New York, NY 10032 USA; [Herrera, Luis A.; Prada, Diddier] Univ Nacl Autonoma Mexico, Inst Invest Biomed, Inst Natl Cancerol, Unidad Invest Biomed Canc, Mexico City 14080, DF, Mexico</t>
  </si>
  <si>
    <t>Harvard University; Harvard T.H. Chan School of Public Health; Harvard University; Massachusetts General Hospital; Ben Gurion University; Icahn School of Medicine at Mount Sinai; US Department of Veterans Affairs; Veterans Health Administration (VHA); Harvard University; VA Boston Healthcare System; Boston University; Boston University; Columbia University; Universidad Nacional Autonoma de Mexico</t>
  </si>
  <si>
    <t>Prada, D (corresponding author), Natl Canc Inst Mexico, San Fernando 22, Mexico City 14080, DF, Mexico.</t>
  </si>
  <si>
    <t>rrodosth@hsph.harvard.com; ikloog@gmail.com; elena.colicino@mssm.edu; Jia.zhong@analysisgroup.com; herreram@biomedicas.unam.mx; Pantel.Vokonas@va.gov; joel@hsph.harvard.edu; ab4303@cumc.columbia.edu; dpradao@incan.edu.mx</t>
  </si>
  <si>
    <t>Colicino, Elena/Q-4973-2016; Herrera, Luis/GOV-3311-2022; Prada, Diddier/AAQ-9567-2020</t>
  </si>
  <si>
    <t>Colicino, Elena/0000-0002-1875-8448; Rodosthenous, Rodosthenis/0000-0002-2312-5530</t>
  </si>
  <si>
    <t>0013-9351</t>
  </si>
  <si>
    <t>1096-0953</t>
  </si>
  <si>
    <t>10.1016/j.envres.2018.09.002</t>
  </si>
  <si>
    <t>Environmental Sciences; Public, Environmental &amp; Occupational Health</t>
  </si>
  <si>
    <t>Environmental Sciences &amp; Ecology; Public, Environmental &amp; Occupational Health</t>
  </si>
  <si>
    <t>WOS:000447247500067</t>
  </si>
  <si>
    <t>Zhao, ZZ; Muth, DC; Mulka, K; Liao, ZH; Powell, BH; Hancock, GV; Pate, KMA; Witwer, KW</t>
  </si>
  <si>
    <t>Zhao, Zezhou; Muth, Dillon C.; Mulka, Kathleen; Liao, Zhaohao; Powell, Bonita H.; Hancock, Grace V.; Metcalf Pate, Kelly A.; Witwer, Kenneth W.</t>
  </si>
  <si>
    <t>miRNA profiling of primate cervicovaginal lavage and extracellular vesicles reveals miR-186-5p as a potential antiretroviral factor in macrophages</t>
  </si>
  <si>
    <t>FEBS OPEN BIO</t>
  </si>
  <si>
    <t>cervicovaginal lavage; exosome; extracellular vesicle; HIV-1; microRNA</t>
  </si>
  <si>
    <t>CERVICAL-VAGINAL FLUID; MESSENGER-RNA; CIRCULATING MICRORNAS; TUMOR-SUPPRESSOR; DNA METHYLATION; GENE-EXPRESSION; TARGET-CELLS; IDENTIFICATION; BIOMARKERS; SECRETIONS</t>
  </si>
  <si>
    <t>Cervicovaginal secretions, or their components collected, are referred to as cervicovaginal lavage (CVL). CVL constituents have utility as biomarkers and play protective roles in wound healing and against HIV-1 infection. However, several components of cervicovaginal fluids are less well understood, such as extracellular RNAs and their carriers, for example, extracellular vesicles (EVs). EVs comprise a wide array of double-leaflet membrane extracellular particles and range in diameter from 30 nm to over one micron. The aim of this study was to determine whether differentially regulated CVL microRNAs (miRNAs) might influence retrovirus replication. To this end, we characterized EVs and miRNAs of primate CVL during the menstrual cycle and simian immunodeficiency virus (SIV) infection of macaques. EVs were enriched by stepped ultracentrifugation, and miRNA profiles were assessed with a medium-throughput stem-loop/hydrolysis probe qPCR platform. Whereas hormone cycling was abnormal in infected subjects, EV concentration correlated with progesterone concentration in uninfected subjects. miRNAs were present predominantly in the EV-depleted CVL supernatant. Only a small number of CVL miRNAs changed during the menstrual cycle or SIV infection, for example, miR-186-5p, which was depleted in retroviral infection. This miRNA inhibited HIV replication in infected macrophagesin vitro.In silicotarget prediction and pathway enrichment analyses shed light on the probable functions of miR-186-5p in hindering HIV infections via immunoregulation, T-cell regulation, disruption of viral pathways, etc. These results provide further evidence for the potential of EVs and small RNAs as biomarkers or effectors of disease processes in the reproductive tract.</t>
  </si>
  <si>
    <t>[Zhao, Zezhou; Muth, Dillon C.; Mulka, Kathleen; Liao, Zhaohao; Powell, Bonita H.; Metcalf Pate, Kelly A.; Witwer, Kenneth W.] Johns Hopkins Univ, Sch Med, Dept Mol &amp; Comparat Pathobiol, 733 N Broadway, Baltimore, MD 21218 USA; [Witwer, Kenneth W.] Johns Hopkins Univ, Sch Med, Dept Neurol, Baltimore, MD 21205 USA; [Hancock, Grace V.] Univ Calif Los Angeles, Los Angeles, CA USA</t>
  </si>
  <si>
    <t>Johns Hopkins University; Johns Hopkins University; University of California System; University of California Los Angeles</t>
  </si>
  <si>
    <t>Witwer, KW (corresponding author), Johns Hopkins Univ, Sch Med, Dept Mol &amp; Comparat Pathobiol, 733 N Broadway, Baltimore, MD 21218 USA.</t>
  </si>
  <si>
    <t>kwitwer1@jhmi.edu</t>
  </si>
  <si>
    <t>Witwer, Kenneth W./G-1626-2013</t>
  </si>
  <si>
    <t>Witwer, Kenneth W./0000-0003-1664-4233; Powell, Bonita/0000-0003-1979-6822; Zhao, Zezhou/0000-0003-4792-6073</t>
  </si>
  <si>
    <t>2211-5463</t>
  </si>
  <si>
    <t>10.1002/2211-5463.12952</t>
  </si>
  <si>
    <t>WOS:000567930700001</t>
  </si>
  <si>
    <t>Iversen, MB; Gottfredsen, RH; Larsen, UG; Enghild, JJ; Praetorius, J; Borregaard, N; Petersen, SV</t>
  </si>
  <si>
    <t>Iversen, Marie B.; Gottfredsen, Randi H.; Larsen, Ulrike G.; Enghild, Jan J.; Praetorius, Jeppe; Borregaard, Niels; Petersen, Steen V.</t>
  </si>
  <si>
    <t>Extracellular superoxide dismutase is present in secretory vesicles of human neutrophils and released upon stimulation</t>
  </si>
  <si>
    <t>Superoxide dismutase (SOD); Reactive oxygen species (ROS); Redox regulation; Inflammation; Neutrophil; Secretory vesicles</t>
  </si>
  <si>
    <t>HEPARIN-BINDING DOMAIN; SMOOTH-MUSCLE-CELLS; EC-SOD; OXIDATIVE FRAGMENTATION; HYPOCHLOROUS ACID; LUNG INJURY; EXPRESSION; INFLAMMATION; MACROPHAGES; ACTIVATION</t>
  </si>
  <si>
    <t>Extracellular superoxide dismutase (EC-SOD) is an antioxidant enzyme present in the extracellular matrix (ECM), where it provides protection against oxidative degradation of matrix constituents including type I collagen and hyaluronan. The enzyme is known to associate with macrophages and polymorphonuclear leukocytes (neutrophils) and increasing evidence supports a role for EC-SOD in the development of an inflammatory response. Here we show that human EC-SOD is present at the cell surface of isolated neutrophils as well as stored within secretory vesicles. Interestingly, we find that EC-SOD mRNA is absent throughout neutrophil maturation indicating that the protein is synthesized by other cells and subsequently endocytosed by the neutrophil. When secretory vesicles were mobilized by neutrophil stimulation using formyl-methionyl-leucyl-phenylalanine (fMLF) or phorbol 12-myristate 13 acetate (PMA), the protein was released into the extracellular space and found to associate with DNA released from stimulated cells. The functional consequences were evaluated by the use of neutrophils isolated from wild-type and EC-SOD KO mice, and showed that EC-SOD release significantly reduce the level of superoxide in the extracellular space, but does not affect the capacity to generate neutrophil extracellular traps (NETs). Consequently, our data signifies that EC-SOD released from activated neutrophils affects the redox conditions of the extracellular space and may offer protection against highly reactive oxygen species such as hydroxyl radicals otherwise generated as a result of respiratory burst activity of activated neutrophils. (C) 2016 Elsevier Inc. All rights reserved.</t>
  </si>
  <si>
    <t>[Iversen, Marie B.; Gottfredsen, Randi H.; Larsen, Ulrike G.; Praetorius, Jeppe; Petersen, Steen V.] Aarhus Univ, Dept Biomed, Meyers Alle4, DK-8000 Aarhus C, Denmark; [Enghild, Jan J.] Aarhus Univ, Dept Mol Biol &amp; Genet, Interdisciplinary Nanosci Ctr iNANO, DK-8000 Aarhus, Denmark; [Borregaard, Niels] Univ Copenhagen, Dept Hematol, Copenhagen Univ Hosp, DK-2100 Copenhagen, Denmark</t>
  </si>
  <si>
    <t>Aarhus University; Aarhus University; University of Copenhagen</t>
  </si>
  <si>
    <t>Petersen, SV (corresponding author), Aarhus Univ, Dept Biomed, Meyers Alle4, DK-8000 Aarhus C, Denmark.</t>
  </si>
  <si>
    <t>svp@biomed.au.dk</t>
  </si>
  <si>
    <t>Praetorius, Jeppe/AAU-7893-2020</t>
  </si>
  <si>
    <t>Praetorius, Jeppe/0000-0001-6109-247X; Vang Petersen, Steen/0000-0002-9338-911X; Enghild, Jan Johannes/0000-0001-9292-9172</t>
  </si>
  <si>
    <t>10.1016/j.freeradbiomed.2016.07.004</t>
  </si>
  <si>
    <t>WOS:000381924100043</t>
  </si>
  <si>
    <t>Nakaoka, A; Nakahana, M; Inubushi, S; Akasaka, H; Salah, M; Fujita, Y; Kubota, H; Hassan, M; Nishikawa, R; Mukumoto, N; Ishihara, T; Miyawaki, D; Sasayama, T; Sasaki, R</t>
  </si>
  <si>
    <t>Nakaoka, Ai; Nakahana, Makiko; Inubushi, Sachiko; Akasaka, Hiroaki; Salah, Mohammed; Fujita, Yoshiko; Kubota, Hikaru; Hassan, Mennaallah; Nishikawa, Ryo; Mukumoto, Naritoshi; Ishihara, Takeaki; Miyawaki, Daisuke; Sasayama, Takashi; Sasaki, Ryohei</t>
  </si>
  <si>
    <t>Exosome-mediated radiosensitizing effect on neighboring cancer cells via increase in intracellular levels of reactive oxygen species</t>
  </si>
  <si>
    <t>ONCOLOGY REPORTS</t>
  </si>
  <si>
    <t>exosomes; cancer cells; reactive oxygen species; miRNA; DNA damage; radiation; membrane vesicles; extracellular vesicles</t>
  </si>
  <si>
    <t>The precise mechanism of intercellular communication between cancer cells following radiation exposure is unclear. Exosomes are membrane-enclosed small vesicles comprising lipid bilayers and are mediators of intercellular communication that transport a variety of intracellular components, including microRNAs (miRNAs or miRs). The present study aimed to identify novel roles of exosomes released from irradiated cells to neighboring cancer cells. In order to confirm the presence of exosomes in the human pancreatic cancer cell line MIAPaCa-2, ultracentrifugation was performed followed by transmission electron microscopy and nanoparticle tracking analysis (NanoSight) using the exosome-specific surface markers CD9 and CD63. Subsequent endocytosis of exosomes was confirmed by fluorescent microscopy. Cell survival following irradiation and the addition of exosomes was evaluated by colony forming assay. Expression levels of miRNAs in exosomes were then quantified by microarray analysis, while protein expression levels of Cu/Zn- and Mn-superoxide dismutase (SOD1 and 2, respectively) enzymes in MIAPaCa-2 cells were evaluated by western blotting. Results showed that the uptake of irradiated exosomes was significantly higher than that of non-irradiated exosomes. Notably, irradiated exosomes induced higher intracellular levels of reactive oxygen species (ROS) and a higher frequency of DNA damage in MIAPaCa-2 cells, as determined by fluorescent microscopy and immunocytochemistry, respectively. Moreover, six up- and five downregulated miRNAs were identified in 5 and 8 Gy-irradiated cells using miRNA microarray analyses. Further analysis using miRNA mimics and reverse transcription-quantitative PCR identified miR-6823-5p as a potential candidate to inhibit SOD1, leading to increased intracellular ROS levels and DNA damage. To the best of our knowledge, the present study is the first to demonstrate that irradiated exosomes enhance the radiation effect via increasing intracellular ROS levels in cancer cells. This contributes to improved understanding of the bystander effect of neighboring cancer cells.</t>
  </si>
  <si>
    <t>[Nakaoka, Ai; Nakahana, Makiko; Inubushi, Sachiko; Akasaka, Hiroaki; Salah, Mohammed; Fujita, Yoshiko; Kubota, Hikaru; Hassan, Mennaallah; Nishikawa, Ryo; Mukumoto, Naritoshi; Ishihara, Takeaki; Miyawaki, Daisuke; Sasaki, Ryohei] Kobe Univ, Div Radiat Oncol, Grad Sch Med, Kobe, Hyogo 6500017, Japan; [Salah, Mohammed] South Valley Univ, Fac Vet Med, Dept Biochem, Qena 83523, Egypt; [Hassan, Mennaallah] Sohag Univ, Fac Med, Dept Clin Oncol, Sohag 82524, Egypt; [Sasayama, Takashi] Kobe Univ, Dept Neurosurg, Grad Sch Med, Kobe, Hyogo 6500017, Japan</t>
  </si>
  <si>
    <t>Kobe University; Egyptian Knowledge Bank (EKB); South Valley University Egypt; Egyptian Knowledge Bank (EKB); Sohag University; Kobe University</t>
  </si>
  <si>
    <t>Sasaki, R (corresponding author), Kobe Univ, Div Radiat Oncol, Grad Sch Med, Chuou Ku, 7-5-2 Kusunokicho, Kobe, Hyogo 6500017, Japan.</t>
  </si>
  <si>
    <t>rsasaki@med.kobe-u.ac.jp</t>
  </si>
  <si>
    <t>1021-335X</t>
  </si>
  <si>
    <t>1791-2431</t>
  </si>
  <si>
    <t>10.3892/or.2021.7964</t>
  </si>
  <si>
    <t>WOS:000617248400001</t>
  </si>
  <si>
    <t>Thippabhotla, S; Zhong, CC; He, M</t>
  </si>
  <si>
    <t>Thippabhotla, Sirisha; Zhong, Cuncong; He, Mei</t>
  </si>
  <si>
    <t>3D cell culture stimulates the secretion of in vivo like extracellular vesicles</t>
  </si>
  <si>
    <t>LIQUID BIOPSY; HYDROGEL SCAFFOLDS; EXOSOME BIOGENESIS; MEMBRANE-VESICLES; CANCER EXOSOMES; OVARIAN-CANCER; COMMUNICATION; 2D; MICRORNAS; MICROVESICLES</t>
  </si>
  <si>
    <t>For studying cellular communications ex-vivo, a two-dimensional (2D) cell culture model is currently used as the gold standard. 2D culture models are also widely used in the study of RNA expression profiles from tumor cells secreted extracellular vesicles (EVs) for tumor biomarker discovery. Although the 2D culture system is simple and easily accessible, the culture environment is unable to represent in vivo extracellular matrix (ECM) microenvironment. Our study observed that 2D- culture derived EVs showed significantly different profiles in terms of secretion dynamics and essential signaling molecular contents (RNAs and DNAs), when compared to the three-dimensional (3D) culture derived EVs. By performing small RNA next-generation sequencing (NGS) analysis of cervical cancer cells and their EVs compared with cervical cancer patient plasma EV-derived small RNAs, we observed that 3D- culture derived EV small RNAs differ from their parent cell small RNA profile which may indicate a specific sorting process. Most importantly, the 3D- culture derived EV small RNA profile exhibited a much higher similarity (similar to 96%) to in vivo circulating EVs derived from cervical cancer patient plasma. However, 2D- culture derived EV small RNA profile correlated better with only their parent cells cultured in 2D. On the other hand, DNA sequencing analysis suggests that culture and growth conditions do not affect the genomic information carried by EV secretion. This work also suggests that tackling EV molecular alterations secreted into interstitial fluids can provide an alternative, non-invasive approach for investigating 3D tissue behaviors at the molecular precision. This work could serve as a foundation for building precise models employed in mimicking in vivo tissue system with EVs as the molecular indicators or transporters. Such models could be used for investigating tumor biomarkers, drug screening, and understanding tumor progression and metastasis.</t>
  </si>
  <si>
    <t>[Thippabhotla, Sirisha; Zhong, Cuncong] Univ Kansas, Dept Elect Engn &amp; Comp Sci, Lawrence, KS 66045 USA; [Zhong, Cuncong; He, Mei] Univ Kansas, Bioengn Res Ctr, Lawrence, KS 66045 USA; [He, Mei] Univ Kansas, Dept Chem &amp; Petr Engn, Lawrence, KS 66045 USA; [He, Mei] Univ Kansas, Dept Chem, Lawrence, KS 66045 USA</t>
  </si>
  <si>
    <t>University of Kansas; University of Kansas; University of Kansas; University of Kansas</t>
  </si>
  <si>
    <t>He, M (corresponding author), Univ Kansas, Bioengn Res Ctr, Lawrence, KS 66045 USA.;He, M (corresponding author), Univ Kansas, Dept Chem &amp; Petr Engn, Lawrence, KS 66045 USA.;He, M (corresponding author), Univ Kansas, Dept Chem, Lawrence, KS 66045 USA.</t>
  </si>
  <si>
    <t>meih@ku.edu</t>
  </si>
  <si>
    <t>SEP 10</t>
  </si>
  <si>
    <t>10.1038/s41598-019-49671-3</t>
  </si>
  <si>
    <t>WOS:000484986300026</t>
  </si>
  <si>
    <t>Jingushi, K; Kawashima, A; Saito, T; Kanazawa, T; Motooka, D; Kimura, T; Mita, M; Yamamoto, A; Uemura, T; Yamamichi, G; Okada, K; Tomiyama, E; Koh, Y; Matsushita, M; Kato, T; Hatano, K; Uemura, M; Tsujikawa, K; Wada, H; Nonomura, N</t>
  </si>
  <si>
    <t>Jingushi, Kentaro; Kawashima, Atsunari; Saito, Takuro; Kanazawa, Takayuki; Motooka, Daisuke; Kimura, Tomonori; Mita, Masashi; Yamamoto, Akinaru; Uemura, Toshihiro; Yamamichi, Gaku; Okada, Koichi; Tomiyama, Eisuke; Koh, Yoko; Matsushita, Makoto; Kato, Taigo; Hatano, Koji; Uemura, Motohide; Tsujikawa, Kazutake; Wada, Hisashi; Nonomura, Norio</t>
  </si>
  <si>
    <t>Circulating extracellular vesicles carrying Firmicutes reflective of the local immune status may predict clinical response to pembrolizumab in urothelial carcinoma patients</t>
  </si>
  <si>
    <t>CANCER IMMUNOLOGY IMMUNOTHERAPY</t>
  </si>
  <si>
    <t>Immunotherapy; Firmicutes; Extracellular vesicles; Urothelial carcinoma; Bloodstream; Microbiome</t>
  </si>
  <si>
    <t>GUT; MICROBIOME; CANCER</t>
  </si>
  <si>
    <t>Bacterial flora has clinical significance for the host. The metabolic environment created by this flora influences immunotherapy in urothelial carcinoma. However, there are no reports on the clinical significance of bacterial flora in the host bloodstream. We aimed to clarify the correlation between extracellular vesicle (EV)-derived blood microflora information and tumor immunological status in urothelial carcinoma (UC) patients. Serum samples were collected from 20 healthy donors, 50 patients with localized UC, and 31 patients with metastatic UC (mUC) who had undergone pembrolizumab treatment. Bacterial DNA in EVs was extracted from each sample. Metagenomic sequencing was performed after amplification of the V1-V2 region of the bacterial 16S rRNA gene. Using the matched tumor tissue and serum samples, we revealed that the smaller amount of peripheral EVs carrying Firmicutes DNA was significantly correlated with the higher number of infiltrating T cells within tumor tissues (CD3; p = 0.015, CD4; p = 0.039, CD8; p = 0.0084) and the higher expression of activation markers on their surface (ICOS on both CD4; p = 0.0013 and CD8 T cells; p = 0.016 and 4-1BB on CD4 T cells; p = 0.016). In terms of circulating metabolic information, l-Ser and l-Pro levels, which play important roles in T cell expansion and proliferation, were significantly higher in the Firmicutes-low group (p = 0.010). All of the patients with higher Firmicutes abundance had disease progression without any clinical response (p = 0.026) and significantly inferior prognosis for pembrolizumab therapy (p = 0.035). This is the first study on the importance of peripheral bacterial EVs in cancer patients treated with cancer immunotherapy.</t>
  </si>
  <si>
    <t>[Jingushi, Kentaro; Tsujikawa, Kazutake] Osaka Univ, Grad Sch Pharmaceut Sci, Lab Mol &amp; Cellular Physiol, Suita, Osaka, Japan; [Kawashima, Atsunari; Yamamoto, Akinaru; Uemura, Toshihiro; Yamamichi, Gaku; Okada, Koichi; Tomiyama, Eisuke; Koh, Yoko; Matsushita, Makoto; Kato, Taigo; Hatano, Koji; Uemura, Motohide; Nonomura, Norio] Osaka Univ, Grad Sch Med, Dept Urol, Suita, Osaka, Japan; [Saito, Takuro] Osaka Univ, Grad Sch Med, Dept Surg, Suita, Osaka, Japan; [Saito, Takuro; Kanazawa, Takayuki; Wada, Hisashi] Osaka Univ, Grad Sch Med, Dept Clin Res Tumor Immunol, Suita, Osaka, Japan; [Kanazawa, Takayuki] Shionogi &amp; Co Ltd, Drug Discovery Sr Dis Res Lab, Toyonaka, Osaka, Japan; [Motooka, Daisuke] Osaka Univ, Res Inst Microbial Dis, Suita, Osaka, Japan; [Kimura, Tomonori] Natl Inst Biomed Innovat Hlth &amp; Nutr NIBIOHN, Reverse Translat Project, Ctr Rare Dis Res, Mino, Osaka, Japan; [Mita, Masashi] KAGAMI Inc, Ibaraki, Osaka, Japan</t>
  </si>
  <si>
    <t>Osaka University; Osaka University; Osaka University; Osaka University; Shionogi &amp; Company Limited; Osaka University</t>
  </si>
  <si>
    <t>Kawashima, A (corresponding author), Osaka Univ, Grad Sch Med, Dept Urol, Suita, Osaka, Japan.</t>
  </si>
  <si>
    <t>kawashima@uro.med.osaka-u.ac.jp</t>
  </si>
  <si>
    <t>Kawashima, Atsunari/0000-0001-9369-4264</t>
  </si>
  <si>
    <t>0340-7004</t>
  </si>
  <si>
    <t>1432-0851</t>
  </si>
  <si>
    <t>10.1007/s00262-022-03213-5</t>
  </si>
  <si>
    <t>MAY 2022</t>
  </si>
  <si>
    <t>Oncology; Immunology</t>
  </si>
  <si>
    <t>WOS:000800842600001</t>
  </si>
  <si>
    <t>Choi, EB; Hong, SW; Kim, DK; Jeon, SG; Kim, KR; Cho, SH; Gho, YS; Jee, YK; Kim, YK</t>
  </si>
  <si>
    <t>Choi, E. -B.; Hong, S. -W.; Kim, D. -K.; Jeon, S. G.; Kim, K. -R.; Cho, S. -H.; Gho, Y. S.; Jee, Y. -K.; Kim, Y. -K.</t>
  </si>
  <si>
    <t>Decreased diversity of nasal microbiota and their secreted extracellular vesicles in patients with chronic rhinosinusitis based on a metagenomic analysis</t>
  </si>
  <si>
    <t>ALLERGY</t>
  </si>
  <si>
    <t>chronic rhinosinusitis; metagenomic analysis; microbial diversity; extracellular vesicles</t>
  </si>
  <si>
    <t>STAPHYLOCOCCUS-AUREUS; CHRONIC SINUSITIS; BACTERIAL-FLORA; PERSPECTIVES</t>
  </si>
  <si>
    <t>Background Chronic rhinosinusitis (CRS) is an inflammatory process in the nasal cavity and paranasal sinuses, and bacteria have been considered to be a cause. Indeed, recent evidence indicates that bacteria-derived extracellular vesicles (EV) appear to be an important causative agent of inflammatory diseases. Here, we aimed to evaluate the diversity of nasal microbiota and their secreted EV in patients with CRS. Methods Nasal lavage (NAL) fluid samples were obtained from five patients with CRS with polyposis, three patients with CRS without polyposis, and three non-CRS controls. After preparation of bacteria and EV from samples using differential centrifugation, genomic DNA was extracted and 16S-rDNA amplicons were subjected to high-throughput pyrosequencing on a Roche 454 GS-FLX platform. Results Metagenomics showed that bacteria composition was positively correlated with EV composition. Samples from patients with CRS had greater bacterial abundance and lower diversity, both from bacteria and the EV portion of samples, compared with non-CRS samples. At each phylogenetic level, Bacteroidetes decreased while Proteobacteria increased in the CRS group at the phylum level. At the genus level, Prevotella spp. decreased in the CRS group, while Staphylococcus spp. increased from both bacteria and EV. Moreover, Staphylococcus aureus and its secreting EV compositions were higher in samples from CRS with polyps compared with CRS without polyps. Conclusions These results suggest that patients with CRS have altered nasal microbiota and decreased diversity in bacterial compositions as well as increased S.aureus abundance in those patients with polyps.</t>
  </si>
  <si>
    <t>[Choi, E. -B.; Hong, S. -W.; Kim, D. -K.; Jeon, S. G.; Gho, Y. S.; Kim, Y. -K.] Pohang Univ Sci &amp; Technol POSTECH, Dept Life Sci, Pohang 790784, Gyeongbuk, South Korea; [Kim, K. -R.; Cho, S. -H.] Hanyang Univ, Coll Med, Dept Otorhinolaryngol Head &amp; Neck Surg, Seoul 133791, South Korea; [Jee, Y. -K.] Dankook Univ, Coll Med, Dept Internal Med, Cheonan, South Korea</t>
  </si>
  <si>
    <t>Pohang University of Science &amp; Technology (POSTECH); Hanyang University; Dankook University</t>
  </si>
  <si>
    <t>Kim, YK (corresponding author), Pohang Univ Sci &amp; Technol POSTECH, Dept Life Sci, POSTECH Biotech Ctr 351,77 Cheongam Ro, Pohang 790784, Gyeongbuk, South Korea.</t>
  </si>
  <si>
    <t>juinea@postech.ac.kr; shcho@hanyang.ac.kr</t>
  </si>
  <si>
    <t>Cho, Seok Hyun/F-6753-2017</t>
  </si>
  <si>
    <t>Cho, Seok Hyun/0000-0001-8218-5894; Jee, Young-Koo/0000-0001-5800-8038; Kim, Dae-Kyum/0000-0003-4568-8278</t>
  </si>
  <si>
    <t>0105-4538</t>
  </si>
  <si>
    <t>1398-9995</t>
  </si>
  <si>
    <t>10.1111/all.12374</t>
  </si>
  <si>
    <t>WOS:000332186200013</t>
  </si>
  <si>
    <t>Li, P; Wang, J; Gao, MQ; Wang, J; Ma, Y; Gu, YQ</t>
  </si>
  <si>
    <t>Li, Ping; Wang, Jie; Gao, Mengqiu; Wang, Jue; Ma, Yi; Gu, Yueqing</t>
  </si>
  <si>
    <t>Membrane Feature-Inspired Profiling of Extracellular Vesicles for Pancreatic Cancer Diagnosis</t>
  </si>
  <si>
    <t>EXOSOMES; MICROVESICLES</t>
  </si>
  <si>
    <t>Extracellular vesicles (EVs) have recently emerged as a promising tumor biomarker, and EV phenotyping offers many benefits for cancer diagnosis. However, the practicality of EV assays remains a challenge due to macromolecule disturbances, biomarker heterogeneities, and EV abundance limitations. Here, we demonstrate a membrane-based biosensor for precise and sensitive EV identification. The sensor synergistically integrates EV capture and detection by virtue of EV membrane features (membrane protein and lipid bilayer), comprising antibody-conjugated magnetic beads (AbMBs) and duplex-specific nuclease (DSN)-mediated amplification cycles. Bivalent cholesterol (biChol)modified RNA-DNA duplexes are designed to insert into the EV membrane, transforming EV signals into RNA signals and initiating the signal amplification. The membrane-based signal production pattern eliminates protein interference. By employing four antibodies specific to PCa-related membrane proteins, the AbMB-biChol platform enables the successful differentiation and monitoring of PCa-related EVs and distinguishes PCa patients from healthy donors with improved efficacy, exhibiting superior efficiency over the analyses based on clinically used biomarker CA19-9 and PCa-related proteins. As such, the developed system has great potential for clinical PCa diagnosis.</t>
  </si>
  <si>
    <t>[Li, Ping; Gao, Mengqiu; Wang, Jue; Ma, Yi; Gu, Yueqing] China Pharmaceut Univ, Sch Engn, Dept Biomed Engn, Nanjing 211198, Peoples R China; [Wang, Jie] Qingdao Univ, Affiliated Hosp, Qingdao 266071, Peoples R China</t>
  </si>
  <si>
    <t>China Pharmaceutical University; Qingdao University</t>
  </si>
  <si>
    <t>Ma, Y; Gu, YQ (corresponding author), China Pharmaceut Univ, Sch Engn, Dept Biomed Engn, Nanjing 211198, Peoples R China.</t>
  </si>
  <si>
    <t>yima@163.com; guengineering@cpu.edu.cn</t>
  </si>
  <si>
    <t>Gu, Yueqing/0000-0003-1315-4618</t>
  </si>
  <si>
    <t>JUL 20</t>
  </si>
  <si>
    <t>10.1021/acs.analchem.1c01712</t>
  </si>
  <si>
    <t>WOS:000677481700025</t>
  </si>
  <si>
    <t>Campos, A; Salomon, C; Bustos, R; Diaz, J; Martinez, S; Silva, V; Reyes, C; Diaz-Valdivia, N; Varas-Godoy, M; Lobos-Gonzalez, L; Quest, AFG</t>
  </si>
  <si>
    <t>Campos, America; Salomon, Carlos; Bustos, Rocio; Diaz, Jorge; Martinez, Samuel; Silva, Veronica; Reyes, Constanza; Diaz-Valdivia, Natalia; Varas-Godoy, Manuel; Lobos-Gonzalez, Lorena; Quest, Andrew F. G.</t>
  </si>
  <si>
    <t>Caveolin-1-containing extracellular vesicles transport adhesion proteins and promote malignancy in breast cancer cell lines</t>
  </si>
  <si>
    <t>breast cancer; Caveolin-1; Cyr61; extracellular vesicles; metastasis-promoting-protein; migration and invasion; proteomics analysis; tenascin</t>
  </si>
  <si>
    <t>TENASCIN-C; CAVEOLIN-1; METASTASIS; EXPRESSION; MIGRATION; MARKER; FAMILY; GROWTH; SIZE; EXOSOMES</t>
  </si>
  <si>
    <t>Breast cancer is one of the most frequently diagnosed cancers and the leading cause of cancer-related deaths in women worldwide, whereby mortality is largely attributable to the development of distant metastasis. Caveolin-1 (CAV1) is a multifunctional membrane protein that is typically upregulated in the final stages of cancer and promotes migration and invasion of tumor cells. Elevated levels of CAV1 have been detected in extracellular vesicles (EVs) from advanced cancer patients. EVs are lipid enclosed vesicular structures that contain bioactive proteins, DNA and RNAs, which can be transferred to other cells and promote metastasis. Therefore, we hypothesized that CAV1 containing EVs released from breast cancer cells may enhance migration and invasion of recipient cells. EVs were purified from conditioned media of MDA-MB-231 wild-type (WT), MDA-MB-231 (shCAV1; possessing the plasmid pLKO. 1 encoding a ` small hairpin' directed against CAV1) and MDA-MB-231 (shC) short hairpin control cells. Nanoparticle tracking analysis revealed an average particle size of 40-350 nm for all preparations. As anticipated, CAV1 was detected in MDA-MB-231 WT and shC EVs, but not in MDA-MB-231 (shCAV1) EVs. Mass spectrometry analysis revealed the presence of specific cell adhesion-related proteins, such as Cyr61, tenascin (TNC) and S100A9 only inWT and shC, but not in shCAV1 EVs. Importantly, EVs containing CAV1 promoted migration and invasion of cells lacking CAV1. We conclude that the presence of CAV1 in EVs from metastatic breast cancer cells is associated with enhanced migration and invasiveness of recipient cells in vitro, suggesting that intercellular communication promoted by EVs containing CAV1 will likely favor metastasis in vivo.</t>
  </si>
  <si>
    <t>[Campos, America; Diaz, Jorge; Martinez, Samuel; Diaz-Valdivia, Natalia; Quest, Andrew F. G.] Univ Chile, Program Cell &amp; Mol Biol, Ctr Studies Exercise Metab &amp; Canc CEMC, Lab Cellular Commun,Fac Med, Santiago, Chile; [Campos, America; Bustos, Rocio; Silva, Veronica; Reyes, Constanza; Lobos-Gonzalez, Lorena] Fdn Ciencia &amp; Vida, Santiago, Chile; [Campos, America; Diaz, Jorge; Martinez, Samuel; Diaz-Valdivia, Natalia; Lobos-Gonzalez, Lorena; Quest, Andrew F. G.] Adv Ctr Chron Dis ACCDiS, Santiago, Chile; [Salomon, Carlos] Univ Los Andes, Fac Med, Ctr Invest Biomed, Santiago, Chile; [Salomon, Carlos] UQ Ctr Clin Res, Exosome Biol Lab, Brisbane, Qld, Australia; [Varas-Godoy, Manuel] Univ Concepcion, Dept Clin Biochem &amp; Immunol, Fac Pharm, Bio Bio Region, Chile; [Lobos-Gonzalez, Lorena] Clin Alemana Univ Desarrollo, Fac Med, Ctr Med Regenerat, Santiago, Chile</t>
  </si>
  <si>
    <t>Universidad de Chile; Universidad de los Andes - Chile; University of Queensland; Universidad de Concepcion; Universidad del Desarrollo</t>
  </si>
  <si>
    <t>Quest, AFG (corresponding author), Univ Chile, Program Cell &amp; Mol Biol, Ctr Studies Exercise Metab &amp; Canc CEMC, Lab Cellular Commun,Fac Med, Santiago, Chile.;Lobos-Gonzalez, L (corresponding author), Fdn Ciencia &amp; Vida, Santiago, Chile.;Lobos-Gonzalez, L; Quest, AFG (corresponding author), Adv Ctr Chron Dis ACCDiS, Santiago, Chile.;Lobos-Gonzalez, L (corresponding author), Clin Alemana Univ Desarrollo, Fac Med, Ctr Med Regenerat, Santiago, Chile.</t>
  </si>
  <si>
    <t>llobos@udd.cl; aquest@med.uchile.cl</t>
  </si>
  <si>
    <t>Díaz-Valdivia, Natalia/Z-1893-2019; Salomon, Carlos F/L-2167-2013</t>
  </si>
  <si>
    <t>Díaz-Valdivia, Natalia/0000-0002-8063-2598; Salomon, Carlos F/0000-0003-4474-0046; Lobos-Gonzalez, Lorena/0000-0002-4957-9864; Varas-Godoy, Manuel/0000-0001-5857-4793</t>
  </si>
  <si>
    <t>10.2217/nnm-2018-0094</t>
  </si>
  <si>
    <t>WOS:000452394400005</t>
  </si>
  <si>
    <t>Xia, YK; Chen, TT; Chen, GY; Weng, YP; Zen, LP; Liao, YJ; Chen, WQ; Lan, JM; Zhang, J; Chen, JH</t>
  </si>
  <si>
    <t>Xia, Yaokun; Chen, Tingting; Chen, Guanyu; Weng, Yunping; Zen, Lupeng; Liao, Yijuan; Chen, Wenqian; Lan, Jianming; Zhang, Jing; Chen, Jinghua</t>
  </si>
  <si>
    <t>A nature-inspired colorimetric and fluorescent dual-modal biosensor for exosomes detection</t>
  </si>
  <si>
    <t>Exosomes; Nature-inspired; DNA anchor; Colorimetric and fluorescent biosensor</t>
  </si>
  <si>
    <t>DNA; CARBON; ASSAY; QUANTIFICATION; CHROMATOGRAPHY; PEROXIDASE; NANOSHEETS; STRATEGY; SAMPLES; SENSOR</t>
  </si>
  <si>
    <t>As non-invasive biomarkers, exosomes are of great significance to diseases diagnosis. However, sensitive and accurate detection of exosomes still remains technical challenges. Herein, inspired by nature's one-to-many concept, we design a biosensor mimicking the cactus with numerous thorns to detect exosomes. The biosensor is composed of CD63 antibodies, resembling the roots of cactus, to capture exosomes, and the exosomes resemble the stems. Cholesterol-labeled DNA (DNA anchor) binding to streptavidin modified horseradish peroxidase (HRP) can insert into exosomes membrane, which seems the thorns. The readout signal is produced through HRP-catalyzed hydrogen peroxide (H2O2) mediated oxidation of 1,4-phenylenediamine (PPD) to form 2,5-diamino-NN'-bis-(p-aminophenyl)-1,4-benzoquinone di-imine (PPDox). The PPDox can quench fluorescence of fluorescein through inner filter effect (IFE), which provides fluorescent signal for exosomes detection. Based on this principle, the obtained exosomes solution is qualitatively and quantitatively analyzed by our biosensor, with the comparison to current standard methods by nanoparticle tracking analysis (NTA) and commercial enzymelinked immunosorbent assay (ELISA) kit. The linear range is from 1.0 x 10(4) to 5.0 x 10(5) particles mu L-1 with the limit of detection 3.40 x 10(3) particles mu L-1 and 3.12 x 10(3) particles mu L-1 for colorimetric and fluorescent assays, respectively. Meanwhile, our biosensor exhibits good selectivity, and can eliminate the interference from proteins. This dual-modal biosensor shows favorable performance towards analytical application in clinic samples, pushing one step further towards practical clinical use.</t>
  </si>
  <si>
    <t>[Xia, Yaokun; Chen, Tingting; Chen, Guanyu; Weng, Yunping; Zen, Lupeng; Chen, Wenqian; Lan, Jianming; Chen, Jinghua] Fujian Med Univ, Sch Pharm, Dept Pharmaceut Anal, Fuzhou 350122, Fujian, Peoples R China; [Xia, Yaokun; Chen, Tingting; Chen, Guanyu; Weng, Yunping; Zen, Lupeng; Chen, Wenqian; Lan, Jianming; Chen, Jinghua] Fujian Med Univ, Fujian Key Lab Drug Target Discovery &amp; Struct &amp; F, Fuzhou 350122, Fujian, Peoples R China; [Liao, Yijuan; Zhang, Jing] Fujian Agr &amp; Forestry Univ, Coll Life Sci, Fuzhou 350002, Fujian, Peoples R China</t>
  </si>
  <si>
    <t>Fujian Medical University; Fujian Medical University; Fujian Agriculture &amp; Forestry University</t>
  </si>
  <si>
    <t>Chen, JH (corresponding author), Fujian Med Univ, Sch Pharm, Dept Pharmaceut Anal, Fuzhou 350122, Fujian, Peoples R China.;Zhang, J (corresponding author), Fujian Agr &amp; Forestry Univ, Coll Life Sci, Fuzhou 350002, Fujian, Peoples R China.</t>
  </si>
  <si>
    <t>101225385@qq.com; cjh_huaxue@126.com</t>
  </si>
  <si>
    <t>10.1016/j.talanta.2020.120851</t>
  </si>
  <si>
    <t>WOS:000525713300011</t>
  </si>
  <si>
    <t>Xue, F; Chen, YD; Wen, Y; Abhange, K; Zhang, WL; Cheng, G; Quinn, Z; Mao, WJ; Wan, Y</t>
  </si>
  <si>
    <t>Xue, Fei; Chen, Yundi; Wen, Yi; Abhange, Komal; Zhang, Wenlong; Cheng, Gong; Quinn, Zachary; Mao, Wenjun; Wan, Yuan</t>
  </si>
  <si>
    <t>Isolation of extracellular vesicles with multivalent aptamers</t>
  </si>
  <si>
    <t>ANALYST</t>
  </si>
  <si>
    <t>EXOSOME ISOLATION; STEM-CELLS; MICROVESICLES; CAPTURE; RELEASE</t>
  </si>
  <si>
    <t>Extracellular vesicles (EVs) are lipid-enclosed submicron-sized vesicles that are secreted by all eukaryotic cells. EVs can selectively encapsulate tissue-specific small molecules from parent cells and efficiently deliver them to recipient cells. As signal mediators of intercellular communication, the molecules packaged in EVs play critical roles in the pathophysiology of diseases. In relevant clinical translation, EV contents have been used for cancer diagnosis and treatment monitoring. To further promote EV-based cancer liquid biopsy toward large-scale clinical implementation, the efficient and specific isolation of pure tumor-derived EVs from body fluids is a prerequisite. However, the existing EV isolation methods are unable to address certain technical challenges, such as lengthy procedures, low throughput, low specificity, heavy protein contamination, etc., and thus, new approaches for EV isolation are required. Here, we report a multivalent, long single-stranded aptamer with repeated units for EV enrichment and retrieval. After short incubation of biotin-labeled multivalent aptamers (MAs) with the samples, EVs can be quickly secured by MAs, anchored onto streptavidin-coated microspheres, and further retrieved via digestion of the DNA aptamer. Approximately 45% of EVs can be isolated from the spiked samples in 40 min with a depletion of 84.7% of albumin contamination. In addition, 93.1% of the isolated EVs can be retrieved via DNase-mediated aptamer degradation in 10 min for downstream molecular analyses. Our findings suggest that MAs can efficiently and specifically isolate EVs derived from malignant lymphocytes, and this simple method could facilitate the EV-centered study of acute lymphoblastic leukemia.</t>
  </si>
  <si>
    <t>[Xue, Fei; Chen, Yundi; Wen, Yi; Abhange, Komal; Quinn, Zachary; Wan, Yuan] SUNY Binghamton, Dept Biomed Engn, Pq Lab Micro Nano BiomeDx, Binghamton, NY 13902 USA; [Zhang, Wenlong] Carnegie Mellon Univ, Micro &amp; Nano Integrated Biosyst MINIBio Lab, Dept Biomed Engn, Pittsburgh, PA 15213 USA; [Cheng, Gong] Harvard Univ, Dept Earth &amp; Planetary Sci, Cambridge, MA 02138 USA; [Cheng, Gong] Harvard Univ, Origins Life Initiat, Cambridge, MA 02138 USA; [Mao, Wenjun] Nanjing Med Univ, Wuxi Peoples Hosp, Dept Cardiothorac Surg, Wuxi 214023, Jiangsu, Peoples R China</t>
  </si>
  <si>
    <t>State University of New York (SUNY) System; State University of New York (SUNY) Binghamton; Carnegie Mellon University; Harvard University; Harvard University; Jiangnan University; Nanjing Medical University</t>
  </si>
  <si>
    <t>Wan, Y (corresponding author), SUNY Binghamton, Dept Biomed Engn, Pq Lab Micro Nano BiomeDx, Binghamton, NY 13902 USA.;Mao, WJ (corresponding author), Nanjing Med Univ, Wuxi Peoples Hosp, Dept Cardiothorac Surg, Wuxi 214023, Jiangsu, Peoples R China.</t>
  </si>
  <si>
    <t>maowenjun1@njmu.edu.cn; ywan@binghamton.edu</t>
  </si>
  <si>
    <t>Quinn, Zachary/0000-0002-7688-2914</t>
  </si>
  <si>
    <t>0003-2654</t>
  </si>
  <si>
    <t>1364-5528</t>
  </si>
  <si>
    <t>JAN 7</t>
  </si>
  <si>
    <t>10.1039/d0an01420f</t>
  </si>
  <si>
    <t>WOS:000607369300018</t>
  </si>
  <si>
    <t>Sisquella, X; Ofir-Birin, Y; Pimentel, MA; Cheng, L; Abou Karam, P; Sampaio, NG; Penington, JS; Connolly, D; Giladi, T; Scicluna, BJ; Sharples, RA; Waltmann, A; Avni, D; Schwartz, E; Schofield, L; Porat, Z; Hansen, DS; Papenfuss, AT; Eriksson, EM; Gerlic, M; Hill, AF; Bowie, AG; Regev-Rudzki, N</t>
  </si>
  <si>
    <t>Sisquella, Xavier; Ofir-Birin, Yifat; Pimentel, Matthew A.; Cheng, Lesley; Abou Karam, Paula; Sampaio, Natalia G.; Penington, Jocelyn Sietsma; Connolly, Dympna; Giladi, Tal; Scicluna, Benjamin J.; Sharples, Robyn A.; Waltmann, Andreea; Avni, Dror; Schwartz, Eli; Schofield, Louis; Porat, Ziv; Hansen, Diana S.; Papenfuss, Anthony T.; Eriksson, Emily M.; Gerlic, Motti; Hill, Andrew F.; Bowie, Andrew G.; Regev-Rudzki, Neta</t>
  </si>
  <si>
    <t>Malaria parasite DNA-harbouring vesicles activate cytosolic immune sensors</t>
  </si>
  <si>
    <t>RED-BLOOD-CELLS; EXTRACELLULAR VESICLES; PLASMODIUM-FALCIPARUM; SIGNALING PATHWAYS; MEDIATED TRANSFER; HOST MORTALITY; EXOSOMES; RESPONSES; RECEPTOR; INFECTION</t>
  </si>
  <si>
    <t>STING is an innate immune cytosolic adaptor for DNA sensors that engage malaria parasite (Plasmodium falciparum) or other pathogen DNA. As P. falciparum infects red blood cells and not leukocytes, how parasite DNA reaches such host cytosolic DNA sensors in immune cells is unclear. Here we show that malaria parasites inside red blood cells can engage host cytosolic innate immune cell receptors from a distance by secreting extracellular vesicles (EV) containing parasitic small RNA and genomic DNA. Upon internalization of DNA harboring EVs by human monocytes, P. falciparum DNA is released within the host cell cytosol, leading to STING-dependent DNA sensing. STING subsequently activates the kinase TBK1, which phosphorylates the transcription factor IRF3, causing IRF3 to translocate to the nucleus and induce STING-dependent gene expression. This DNA-sensing pathway may be an important decoy mechanism to promote P. falciparum virulence and thereby may affect future strategies to treat malaria.</t>
  </si>
  <si>
    <t>[Sisquella, Xavier; Pimentel, Matthew A.; Sampaio, Natalia G.; Penington, Jocelyn Sietsma; Waltmann, Andreea; Schofield, Louis; Hansen, Diana S.; Papenfuss, Anthony T.; Eriksson, Emily M.] Walter &amp; Eliza Hall Inst Med Res, 1G Royal Parade, Parkville, Vic 3052, Australia; [Sisquella, Xavier; Pimentel, Matthew A.; Sampaio, Natalia G.; Waltmann, Andreea; Schofield, Louis; Hansen, Diana S.; Papenfuss, Anthony T.; Eriksson, Emily M.] Univ Melbourne, Dept Med Biol, Grattan St, Parkville, Vic 3010, Australia; [Ofir-Birin, Yifat; Abou Karam, Paula; Giladi, Tal; Regev-Rudzki, Neta] Weizmann Inst Sci, Dept Biomol Sci, IL-76100 Rehovot, Israel; [Cheng, Lesley; Scicluna, Benjamin J.; Sharples, Robyn A.; Hill, Andrew F.] Univ Melbourne, Dept Biochem &amp; Mol Biol, Mol Sci &amp; Biotechnol Inst Bio21, Melbourne, Vic 3010, Australia; [Cheng, Lesley; Scicluna, Benjamin J.; Sharples, Robyn A.; Hill, Andrew F.] La Trobe Univ, La Trobe Inst Mol Sci, Dept Biochem &amp; Genet, Melbourne, Vic 3086, Australia; [Connolly, Dympna; Bowie, Andrew G.] Trinity Coll Dublin, Trinity Biomed Sci Inst, Sch Biochem &amp; Immunol, Dublin 2, Ireland; [Avni, Dror; Schwartz, Eli] Sheba Med Ctr, Inst Geog Med &amp; Trop Dis, IL-52621 Tel Hashomer, Israel; [Avni, Dror; Schwartz, Eli] Sheba Med Ctr, Lab Trop Dis Res, IL-52621 Tel Hashomer, Israel; [Schwartz, Eli] Tel Aviv Univ, Sackler Sch Med, Fac Med, IL-69978 Tel Aviv, Israel; [Schofield, Louis] James Cook Univ, Australian Inst Trop Hlth &amp; Med, Townsville, Qld 4811, Australia; [Porat, Ziv] Weizmann Inst Sci, Life Sci Core Facil, Flow Cytometry Unit, IL-76100 Rehovot, Israel; [Gerlic, Motti] Tel Aviv Univ, Sackler Fac Med, Dept Clin Microbiol &amp; Immunol, IL-69978 Tel Aviv, Israel</t>
  </si>
  <si>
    <t>Walter &amp; Eliza Hall Institute; University of Melbourne; Weizmann Institute of Science; University of Melbourne; La Trobe University; Trinity College Dublin; Chaim Sheba Medical Center; Chaim Sheba Medical Center; Tel Aviv University; Sackler Faculty of Medicine; James Cook University; Weizmann Institute of Science; Tel Aviv University; Sackler Faculty of Medicine</t>
  </si>
  <si>
    <t>Regev-Rudzki, N (corresponding author), Weizmann Inst Sci, Dept Biomol Sci, IL-76100 Rehovot, Israel.;Bowie, AG (corresponding author), Trinity Coll Dublin, Trinity Biomed Sci Inst, Sch Biochem &amp; Immunol, Dublin 2, Ireland.</t>
  </si>
  <si>
    <t>agbowie@tcd.ie; neta.regev-rudzki@weizmann.ac.il</t>
  </si>
  <si>
    <t>Gerlic, Motti/U-3484-2017; Porat, Ziv/K-1672-2012; Sampaio, Natalia G./N-8024-2019; Hill, Andrew F./AAH-2854-2020; Papenfuss, Anthony T/C-6297-2008</t>
  </si>
  <si>
    <t>Gerlic, Motti/0000-0001-9518-1833; Porat, Ziv/0000-0003-3059-181X; Sampaio, Natalia G./0000-0002-8396-1354; Hill, Andrew F./0000-0001-5581-2354; Papenfuss, Anthony T/0000-0002-1102-8506; Avni, Dror/0000-0002-8738-1840; Cheng, Lesley/0000-0002-8075-6144; Bowie, Andrew/0000-0001-5316-4373; Eriksson, Emily/0000-0002-7851-973X; Penington, Jocelyn/0000-0003-1561-0074</t>
  </si>
  <si>
    <t>DEC 7</t>
  </si>
  <si>
    <t>10.1038/s41467-017-02083-1</t>
  </si>
  <si>
    <t>WOS:000417336800002</t>
  </si>
  <si>
    <t>Grande, R; Celia, C; Mincione, G; Stringaro, A; Di Marzio, L; Colone, M; Di Marcantonio, MC; Savino, L; Puca, V; Santoliquido, R; Locatelli, M; Muraro, R; Hall-Stoodley, L; Stoodley, P</t>
  </si>
  <si>
    <t>Grande, Rossella; Celia, Christian; Mincione, Gabriella; Stringaro, Annarita; Di Marzio, Luisa; Colone, Marisa; Di Marcantonio, Maria C.; Savino, Luca; Puca, Valentina; Santoliquido, Roberto; Locatelli, Marcello; Muraro, Raffaella; Hall-Stoodley, Luanne; Stoodley, Paul</t>
  </si>
  <si>
    <t>Detection and Physicochemical Characterization of Membrane Vesicles (MVs) of Lactobacillus reuteri DSM 17938</t>
  </si>
  <si>
    <t>Lactobacillus reuteri; membrane vesicles (MVs); biofilm; nanoparticles; extracellular DNA; probiotics; commensal bacteria</t>
  </si>
  <si>
    <t>GRAM-POSITIVE BACTERIA; PSEUDOMONAS-AERUGINOSA; EXTRACELLULAR DNA; STREPTOCOCCUS-PNEUMONIAE; LISTERIA-MONOCYTOGENES; ANTICANCER ACTIVITY; BIOFILMS; VIRULENCE; MECHANISM; GENE</t>
  </si>
  <si>
    <t>Membrane vesicles (MVs) are bilayer structures which bleb from bacteria, and are important in trafficking biomolecules to other bacteria or host cells. There are few data about MVs produced by the Gram-positive commensal-derived probiotic Lactobacillus reuteri; however, MVs from this species may have potential therapeutic benefit. The aim of this study was to detect and characterize MVs produced from biofilm (bMVs), and planktonic (pMVs) phenotypes of L. reuteri DSM 17938. MVs were analyzed for structure and physicochemical characterization by Scanning Electron Microscope (SEM) and Dynamic Light Scattering (DLS). Their composition was interrogated using various digestive enzyme treatments and subsequent Transmission Electron Microscopy (TEM) analysis. eDNA (extracellular DNA) was detected and quantified using PicoGreen. We found that planktonic and biofilm of L. reuteri cultures generated MVs with a broad size distribution. Our data also showed that eDNA was associated with pMVs and bMVs (eMVsDNA). DNase I treatment demonstrated no modifications of MVs, suggesting that an eDNA-MVs complex protected the eMVsDNA. Proteinase K and Phospholipase C treatments modified the structure of MVs, showing that lipids and proteins are important structural components of L. reuteri MVs. The biological composition and the physicochemical characterization of MVs generated by the probiotic L. reuteri may represent a starting point for future applications in the development of vesicles-based therapeutic systems.</t>
  </si>
  <si>
    <t>[Grande, Rossella; Celia, Christian; Di Marzio, Luisa; Locatelli, Marcello] G dAnnunzio Univ Chieti Pescara, Dept Pharm, Chieti, Italy; [Grande, Rossella; Puca, Valentina] Ctr Aging Sci &amp; Translat Med, Chieti, Italy; [Celia, Christian] Houston Methodist Res Inst, Dept Nanomed, Houston, TX USA; [Mincione, Gabriella; Di Marcantonio, Maria C.; Savino, Luca; Muraro, Raffaella] G dAnnunzio Univ Chieti Pescara, Dept Med Oral &amp; Biotechnol Sci, Chieti, Italy; [Stringaro, Annarita; Colone, Marisa] Italian Natl Inst Hlth, Natl Ctr Drug Res &amp; Evaluat, Rome, Italy; [Puca, Valentina] Univ Aquila, Dept Biotechnol &amp; Appl Clin Sci, Laquila, Italy; [Santoliquido, Roberto] AlfatestLab, Cinisello Balsamo, Italy; [Santoliquido, Roberto] Malvern Instruments Ltd, Malvern, Worcs, England; [Hall-Stoodley, Luanne] Univ Hosp Southampton NHS Fdn Trust, NIHR Wellcome Trust Clin Res Facil, Southampton, Hants, England; [Hall-Stoodley, Luanne; Stoodley, Paul] Ohio State Univ, Dept Microbial Infect &amp; Immun, Ctr Microbial Interface Biol, Columbus, OH 43210 USA; [Stoodley, Paul] Univ Southampton, Fac Engn &amp; Environm, Natl Ctr Adv Tribol, Southampton, Hants, England</t>
  </si>
  <si>
    <t>G d'Annunzio University of Chieti-Pescara; The Methodist Hospital System; The Methodist Hospital - Houston; G d'Annunzio University of Chieti-Pescara; Istituto Superiore di Sanita (ISS); University of L'Aquila; Malvern Panalytical; University of Southampton; University Hospital Southampton NHS Foundation Trust; Ohio State University; University of Southampton</t>
  </si>
  <si>
    <t>Grande, R (corresponding author), G dAnnunzio Univ Chieti Pescara, Dept Pharm, Chieti, Italy.;Grande, R (corresponding author), Ctr Aging Sci &amp; Translat Med, Chieti, Italy.</t>
  </si>
  <si>
    <t>Celia, Christian/K-9771-2016; Locatelli, Marcello/K-8569-2016; STRINGARO, ANNARITA/E-9092-2015; Di Marcantonio, Maria Carmela/AAB-9564-2022; Stoodley, Paul/E-5079-2013; Hall-Stoodley, Luanne/AAF-1925-2020; COLONE, MARISA/E-9089-2015; Di Marzio, Luisa/AAF-8052-2021</t>
  </si>
  <si>
    <t>Celia, Christian/0000-0002-0590-5429; Locatelli, Marcello/0000-0002-0840-825X; STRINGARO, ANNARITA/0000-0002-0143-2978; Stoodley, Paul/0000-0001-6069-273X; COLONE, MARISA/0000-0002-7522-7483; Di Marzio, Luisa/0000-0002-2518-7188; di marcantonio, maria carmela/0000-0001-9308-9857; SAVINO, LUCA/0000-0001-9068-2225; PUCA, VALENTINA/0000-0002-6417-876X</t>
  </si>
  <si>
    <t>JUN 13</t>
  </si>
  <si>
    <t>10.3389/fmicb.2017.01040</t>
  </si>
  <si>
    <t>WOS:000403138900001</t>
  </si>
  <si>
    <t>Al-Mayah, A; Bright, S; Chapman, K; Irons, S; Luo, P; Carter, D; Goodwin, E; Kadhim, M</t>
  </si>
  <si>
    <t>Al-Mayah, Ammar; Bright, Scott; Chapman, Kim; Irons, Sarah; Luo, Ping; Carter, David; Goodwin, Edwin; Kadhim, Munira</t>
  </si>
  <si>
    <t>The non-targeted effects of radiation are perpetuated by exosomes</t>
  </si>
  <si>
    <t>MUTATION RESEARCH-FUNDAMENTAL AND MOLECULAR MECHANISMS OF MUTAGENESIS</t>
  </si>
  <si>
    <t>Exosomes; Ionising radiation; Genomic instability; Bystander effects; Exosome cargo</t>
  </si>
  <si>
    <t>MEMBRANE-DERIVED VESICLES; IONIZING-RADIATION; GENOMIC INSTABILITY; BYSTANDER RESPONSES; DIAGNOSTIC BIOMARKERS; IRRADIATED-CELLS; DENDRITIC CELLS; TUMOR-GROWTH; CANCER; MICROVESICLES</t>
  </si>
  <si>
    <t>Exosomes contain cargo material from endosomes, cytosol, plasma membrane and microRNA molecules, they are released by a number of non-cancer and cancer cells into both the extracellular microenvironment and body fluids such as blood plasma. Recently we demonstrated radiation-induced non-targeted effects [NTE: genomic instability (GI) and bystander effects (BE)] are partially mediated by exosomes, particularly the RNA content. However the mechanistic role of exosomes in NTE is yet to be fully understood. The present study used MCF7 cells to characterise the longevity of exosome-induced activity in the progeny of irradiated and unirradiated bystander cells. Exosomes extracted from conditioned media of irradiated and bystander progeny were added to unirradiated cells. Analysis was carried out at I and 20/24 population doublings following medium/exosome transfer for DNA/chromosomal damage. Results confirmed exosomes play a significant role in mediating NTE of ionising radiation (IR). This effect was remarkably persistent, observed &gt;20 doublings post-irradiation in the progeny of bystander cells. Additionally, cell progeny undergoing a BE were themselves capable of inducing BE in other cells via exosomes they released. Furthermore we investigated the role of exosome cargo. Culture media from cells exposed to 2 Gy X-rays was subjected to ultracentrifugation and four inoculants prepared, (a) supernatants with exosomes removed, and pellets with (b) exosome proteins denatured, (c) RNA degraded, and (d) a combination of protein-RNA inactivation. These were added to separate populations of unirradiated cells. The BE was partially inhibited when either exosome protein or exosome RNA were inactivated separately, whilst combined RNA-protein inhibition significantly reduced or eliminated the BE. These results demonstrate that exosomes are associated with long-lived signalling of the NTE of IR. Both RNA and protein molecules of exosomes work in a synergistic manner to initiate NTE, spread these effects to naive cells, and perpetuate GI in the affected cells. (C) 2015 Published by Elsevier B.V.</t>
  </si>
  <si>
    <t>[Al-Mayah, Ammar; Bright, Scott; Chapman, Kim; Kadhim, Munira] Oxford Brookes Univ, Genom Instabil Grp, Oxford OX3 0BP, England; [Irons, Sarah] Oxford Brookes Univ, Insect Virus Res Grp, Oxford OX3 0BP, England; [Luo, Ping] Magdalen Ctr, Lzon Sci Ltd, Oxford OX4 4GA, England; [Carter, David] Oxford Brookes Univ, Chromatin &amp; Noncoding RNA, Oxford OX3 0BP, England; [Goodwin, Edwin] New Mexico Consortium, Los Alamos, NM 87544 USA</t>
  </si>
  <si>
    <t>Oxford Brookes University; Oxford Brookes University; Oxford Brookes University</t>
  </si>
  <si>
    <t>Kadhim, M (corresponding author), Oxford Brookes Univ, Genom Instabil Grp, Gipsy Lane Campus, Oxford OX3 0BP, England.</t>
  </si>
  <si>
    <t>Irons, Sarah/0000-0003-2720-9819</t>
  </si>
  <si>
    <t>0027-5107</t>
  </si>
  <si>
    <t>1873-135X</t>
  </si>
  <si>
    <t>10.1016/j.mrfmmm.2014.12.007</t>
  </si>
  <si>
    <t>Biotechnology &amp; Applied Microbiology; Genetics &amp; Heredity; Toxicology</t>
  </si>
  <si>
    <t>WOS:000352665900008</t>
  </si>
  <si>
    <t>Keller, MD; Ching, KL; Liang, FX; Dhabaria, A; Tam, K; Ueberheide, BM; Unutmaz, D; Torres, VJ; Cadwell, K</t>
  </si>
  <si>
    <t>Keller, Matthew D.; Ching, Krystal L.; Liang, Feng-Xia; Dhabaria, Avantika; Tam, Kayan; Ueberheide, Beatrix M.; Unutmaz, Derya; Torres, Victor J.; Cadwell, Ken</t>
  </si>
  <si>
    <t>Decoy exosomes provide protection against bacterial toxins</t>
  </si>
  <si>
    <t>NATURE</t>
  </si>
  <si>
    <t>AUTOPHAGY; RECEPTOR; MECHANISM; VESICLES; CELLS</t>
  </si>
  <si>
    <t>The production of pore-forming toxins that disrupt the plasma membrane of host cells is a common virulence strategy for bacterial pathogens such as methicillin-resistant Staphylococcus aureus (MRSA)(1-3). It is unclear, however, whether host species possess innate immune mechanisms that can neutralize pore-forming toxins during infection. We previously showed that the autophagy protein ATG16L1 is necessary for protection against MRSA strains encoding alpha-toxin(4)-a pore-forming toxin that binds the metalloprotease ADAM10 on the surface of a broad range of target cells and tissues(2,5,6). Autophagy typically involves the targeting of cytosolic material to the lysosome for degradation. Here we demonstrate that ATG16L1 and other ATG proteins mediate protection against alpha-toxin through the release of ADAM10 on exosomes-extracellular vesicles of endosomal origin. Bacterial DNA and CpG DNA induce the secretion of ADAM10-bearing exosomes from human cells as well as in mice. Transferred exosomes protect host cells in vitro by serving as scavengers that can bind multiple toxins, and improve the survival of mice infected with MRSA in vivo. These findings indicate that ATG proteins mediate a previously unknown form of defence in response to infection, facilitating the release of exosomes that serve as decoys for bacterially produced toxins.</t>
  </si>
  <si>
    <t>[Keller, Matthew D.; Ching, Krystal L.; Tam, Kayan; Torres, Victor J.; Cadwell, Ken] NYU, Sch Med, Dept Microbiol, New York, NY 10016 USA; [Keller, Matthew D.; Ching, Krystal L.; Cadwell, Ken] NYU, Sch Med, Skirball Inst, Kimmel Ctr Biol &amp; Med, New York, NY 10016 USA; [Liang, Feng-Xia; Dhabaria, Avantika; Ueberheide, Beatrix M.] New York Univ Langone Hlth, Div Adv Res Technol, New York, NY USA; [Liang, Feng-Xia] New York Univ Langone Hlth, Microscopy Labratory, New York, NY USA; [Dhabaria, Avantika; Ueberheide, Beatrix M.] New York Univ Langone Hlth, Prote Lab, New York, NY USA; [Ueberheide, Beatrix M.] Laura &amp; Isaac Perlmutter Canc Ctr, New York, NY USA; [Unutmaz, Derya] Jackson Lab Genom Med, Farmington, CT USA; [Cadwell, Ken] New York Univ Langone Hlth, Dept Med, Div Gastroenterol &amp; Hepatol, New York, NY 10016 USA</t>
  </si>
  <si>
    <t>New York University; New York University; New York University; New York University; New York University; New York University</t>
  </si>
  <si>
    <t>Torres, VJ; Cadwell, K (corresponding author), NYU, Sch Med, Dept Microbiol, New York, NY 10016 USA.;Cadwell, K (corresponding author), NYU, Sch Med, Skirball Inst, Kimmel Ctr Biol &amp; Med, New York, NY 10016 USA.;Cadwell, K (corresponding author), New York Univ Langone Hlth, Dept Med, Div Gastroenterol &amp; Hepatol, New York, NY 10016 USA.</t>
  </si>
  <si>
    <t>Victor.Torres@nyulangone.org; Ken.Cadwell@nyulangone.org</t>
  </si>
  <si>
    <t>Ueberheide, Beatrix/0000-0003-2512-0204; Cadwell, Ken/0000-0002-5860-0661; Liang, Fengxia/0000-0003-0037-4590; Ching, Krystal/0000-0002-1181-0119; Torres, Victor/0000-0002-7126-0489; Unutmaz, Derya/0000-0001-8898-6633; Tam, Kayan/0000-0003-0534-1691</t>
  </si>
  <si>
    <t>0028-0836</t>
  </si>
  <si>
    <t>1476-4687</t>
  </si>
  <si>
    <t>10.1038/s41586-020-2066-6</t>
  </si>
  <si>
    <t>WOS:000518098200002</t>
  </si>
  <si>
    <t>Yu, YY; Zhang, WS; Guo, YH; Peng, HP; Zhu, M; Miao, DD; Su, GX</t>
  </si>
  <si>
    <t>Yu, Yanyan; Zhang, Wei S.; Guo, Yuehua; Peng, Huaping; Zhu, Min; Miao, Dandan; Su, Gaoxing</t>
  </si>
  <si>
    <t>Engineering of exosome-triggered enzyme-powered DNA motors for highly sensitive fluorescence detection of tumor-derived exosomes</t>
  </si>
  <si>
    <t>Exosome; DNA motor; Clinical diagnosis; Biomarker; Fluorescence detection</t>
  </si>
  <si>
    <t>CIRCULATING EXOSOMES; NANORODS; WALKER</t>
  </si>
  <si>
    <t>Tumor-derived exosomes containing multiple proteins originating from parent cancer cells have emerged as biomarkers for cancer diagnosis. Herein, we propose a three-dimensional DNA motor-based exosome assay platform for the selective and sensitive detection of exosomes. The DNA motor used gold nanoparticle (GNP) tracks, consisting of fluorescein-labeled substrate strands and aptamer-locked motor strands. Recognition of the target protein on exosomes by its aptamer unlocked the motor strand and triggered the DNA motor process. Powered by restriction endonuclease, the motor strands autonomously walked along the GNP track. Each movement step cleaved one substrate strand and restored one fluorescein molecule. For exosome detection, the proposed method displayed a broad dynamic range acrossing 5 orders of magnitude with the detection limit as low as 8.2 particles/mu L in PBS. The method also exhibited good selectivity among different tumor-derived exosomes and performed well in complex biological samples. The capability to profile exosomal surface proteins efficiently endowed our DNA motor great potential for developing a simple and cost-effective device for clinical diagnosis.</t>
  </si>
  <si>
    <t>[Yu, Yanyan; Zhang, Wei S.; Zhu, Min; Miao, Dandan; Su, Gaoxing] Nantong Univ, Sch Pharm, Nantong 226001, Peoples R China; [Guo, Yuehua] Nantong Univ, Res Ctr Clin Med, Affiliated Hosp, Nantong 226001, Peoples R China; [Peng, Huaping] Fujian Med Univ, Sch Pharm, Fuzhou 350004, Peoples R China</t>
  </si>
  <si>
    <t>Nantong University; Nantong University; Fujian Medical University</t>
  </si>
  <si>
    <t>Su, GX (corresponding author), Nantong Univ, Sch Pharm, Nantong 226001, Peoples R China.</t>
  </si>
  <si>
    <t>sugaoxing@ntu.edu.cn</t>
  </si>
  <si>
    <t>Su, Gaoxing/O-9079-2019; Su, Gaoxing/F-5625-2018</t>
  </si>
  <si>
    <t>Su, Gaoxing/0000-0001-9607-2006</t>
  </si>
  <si>
    <t>NOV 1</t>
  </si>
  <si>
    <t>10.1016/j.bios.2020.112482</t>
  </si>
  <si>
    <t>WOS:000571153000004</t>
  </si>
  <si>
    <t>Guillen, MI; Tofino-Vian, M; Silvestre, A; Castejon, MA; Alcaraz, MJ</t>
  </si>
  <si>
    <t>Isabel Guillen, Maria; Tofino-Vian, Miguel; Silvestre, Antonio; Angel Castejon, Miguel; Jose Alcaraz, Maria</t>
  </si>
  <si>
    <t>Role of peroxiredoxin 6 in the chondroprotective effects of microvesicles from human adipose tissue-derived mesenchymal stem cells</t>
  </si>
  <si>
    <t>JOURNAL OF ORTHOPAEDIC TRANSLATION</t>
  </si>
  <si>
    <t>Adipose tissue-derived mesenchymal stem cells; Extracellular vesicles; Osteoarthritis; Chondrocytes; Oxidative stress; Peroxiredoxin 6</t>
  </si>
  <si>
    <t>OXIDATIVE STRESS; DNA-DAMAGE; CARTILAGE; OSTEOARTHRITIS; AUTOPHAGY; CYTOKINES; INTERLEUKIN-6; MECHANISM</t>
  </si>
  <si>
    <t>Background: Osteoarthritis (OA) is a joint disease characterized by cartilage degradation, low-grade synovitis and subchondral bone alterations. In the damaged joint, there is a progressive increase of oxidative stress leading to disruption of chondrocyte homeostasis. The modulation of oxidative stress could control the expression of inflammatory and catabolic mediators involved in OA. We have previously demonstrated that extracellular vesicles (EVs) present in the secretome of human mesenchymal stem cells from adipose tissue (AD-MSCs) exert anti-inflammatory and anti-catabolic effects in OA chondrocytes. In the current work, we have investigated whether AD-MSC EVs could regulate oxidative stress in OA chondrocytes as well as the possible contribution of peroxiredoxin 6 (Prdx6). Methods: Microvesicles (MV) and exosomes (EX) were isolated from AD-MSC conditioned medium by differential centrifugation with size filtration. The size and concentration of EVs were determined by resistive pulse sensing. OA chondrocytes were isolated from knee articular cartilage of advanced OA patients. 4-Hydroxynonenal adducts, IL-6 and MMP-13 were determined by enzyme-linked immunosorbent assay. Expression of Prdx6 and autophagic markers was assessed by immunofluorescence and Western blotting. Prdx6 was downregulated in AD-MSCs by transfection with a specific siRNA. Results: MV and to a lesser extent EX significantly reduced the production of oxidative stress in OA chondrocytes stimulated with IL-1 beta. Treatment with MV resulted in a dramatic upregulation of Prdx6. MV also enhanced the expression of autophagy marker LC3B. We downregulated Prdx6 in AD-MSCs by using a specific siRNA and then MV were isolated. These Prdx6-silenced MV failed to modify oxidative stress and the expression of autophagy markers. We also assessed the possible contribution of Prdx6 to the effects of MV on IL-6 and MMP-13 production. The reduction in the levels of both mediators induced by MV was partly reverted after Prdx6 silencing. Conclusion: Our results indicate that EVs from AD-MSCs regulate the production of oxidative stress in OA chondrocytes during inflammation. Prdx6 may mediate the antioxidant and protective effects of MV. The translational potential of this article: This study gives insight into the protective properties of EVs from AD-MSCs in OA chondrocytes. Our findings support the development of novel therapies based on EVs to prevent or treat cartilage degradation.</t>
  </si>
  <si>
    <t>[Isabel Guillen, Maria; Tofino-Vian, Miguel; Jose Alcaraz, Maria] Univ Valencia, Polytech Univ Valencia, Interuniv Res Inst Mol Recognit &amp; Technol Dev IDM, Av Vicent Estelles S-N, Valencia 46100, Spain; [Isabel Guillen, Maria] Cardenal Herrera CEU Univ, Fac Hlth Sci, Dept Pharm, Valencia 46115, Spain; [Silvestre, Antonio] Univ Valencia, Fac Med, Dept Surg, Av Blasco Ibanez 15, Valencia 4610, Spain; [Angel Castejon, Miguel] Ribera Univ Hosp, Dept Orthopaed Surg &amp; Traumatol, Valencia 46600, Spain</t>
  </si>
  <si>
    <t>Alcaraz, MJ (corresponding author), Univ Valencia, Polytech Univ Valencia, Interuniv Res Inst Mol Recognit &amp; Technol Dev IDM, Av Vicent Estelles S-N, Valencia 46100, Spain.</t>
  </si>
  <si>
    <t>isabel.guillen@uv.es; miguel.tofino@uv.es; antonio.silvestre@uv.es; macastejon@hospital-ribera.com; maria.j.alcaraz@uv.es</t>
  </si>
  <si>
    <t>Silvestre, Antonio/AAL-1966-2021; Alcaraz, Maria Jose/D-8195-2018</t>
  </si>
  <si>
    <t xml:space="preserve">Silvestre, Antonio/0000-0002-6561-8704; </t>
  </si>
  <si>
    <t>2214-031X</t>
  </si>
  <si>
    <t>10.1016/j.jot.2021.08.003</t>
  </si>
  <si>
    <t>WOS:000709573100007</t>
  </si>
  <si>
    <t>Kadota, T; Yoshioka, Y; Fujita, Y; Araya, J; Minagawa, S; Hara, H; Miyamoto, A; Suzuki, S; Fujimori, S; Kohno, T; Fujii, T; Kishi, K; Kuwano, K; Ochiya, T</t>
  </si>
  <si>
    <t>Kadota, Tsukasa; Yoshioka, Yusuke; Fujita, Yu; Araya, Jun; Minagawa, Shunsuke; Hara, Hiromichi; Miyamoto, Atsushi; Suzuki, Souichiro; Fujimori, Sakashi; Kohno, Tadasu; Fujii, Takeshi; Kishi, Kazuma; Kuwano, Kazuyoshi; Ochiya, Takahiro</t>
  </si>
  <si>
    <t>Extracellular Vesicles from Fibroblasts Induce Epithelial-Cell Senescence in Pulmonary Fibrosis</t>
  </si>
  <si>
    <t>AMERICAN JOURNAL OF RESPIRATORY CELL AND MOLECULAR BIOLOGY</t>
  </si>
  <si>
    <t>exosome; fibroblast; epithelial cell; cellular senescence; mitochondrial damage</t>
  </si>
  <si>
    <t>ROS PRODUCTION; APOPTOSIS; DAMAGE; MECHANISMS; EXPRESSION; MICRORNAS; INJURY</t>
  </si>
  <si>
    <t>Aberrant epithelial-mesenchymal interactions have critical roles in regulating fibrosis development. The involvement of extracellular vesicles (EVs), including exosomes, remains to be elucidated in the pathogenesis of idiopathic pulmonary fibrosis (IPF). Here, we found that lung fibroblasts (LFs) from patients with IPF induce cellular senescence via EV-mediated transfer of pathogenic cargo to lung epithelial cells. Mechanistically, IPF LF-derived EVs increased mitochondrial reactive oxygen species and associated mitochondria! damage in lung epithelial cells, leading to activation of the DNA damage response and subsequent epithelial-cell senescence. We showed that IPF LF-derived EVs contain elevated levels of microRNA-23b-3p (miR-23b-3p) and miR-494-3p, which suppress SIRT3, resulting in the epithelial EV-induced phenotypic changes. Furthermore, the levels of miR-23b-3p and miR-494-3p found in IPF LF-derived EVs correlated positively with IPF disease severity. These findings reveal that the accelerated epithelial-cell mitochondrial damage and senescence observed during IPF pathogenesis are caused by a novel paracrine effect of IPF fibroblasts via microRNA-containing EVs.</t>
  </si>
  <si>
    <t>[Kadota, Tsukasa; Yoshioka, Yusuke; Fujita, Yu; Ochiya, Takahiro] Natl Canc Ctr, Div Mol &amp; Cellular Med, Res Inst, Tokyo, Japan; [Kadota, Tsukasa; Fujita, Yu; Araya, Jun; Minagawa, Shunsuke; Hara, Hiromichi; Kuwano, Kazuyoshi] Jikei Univ, Dept Internal Med, Div Resp Dis, Sch Med, Tokyo, Japan; [Yoshioka, Yusuke; Ochiya, Takahiro] Tokyo Med Univ, Inst Med Sci, Dept Mol &amp; Cellular Med, Tokyo, Japan; [Miyamoto, Atsushi; Kishi, Kazuma] Toranomon Gen Hosp, Dept Resp Med, Resp Ctr, Tokyo, Japan; [Suzuki, Souichiro; Fujimori, Sakashi; Kohno, Tadasu] Toranomon Gen Hosp, Dept Thorac Surg, Tokyo, Japan; [Fujii, Takeshi] Toranomon Gen Hosp, Dept Pathol, Tokyo, Japan</t>
  </si>
  <si>
    <t>National Cancer Center - Japan; Jikei University; Tokyo Medical University; Toranomon Hospital; Toranomon Hospital; Toranomon Hospital</t>
  </si>
  <si>
    <t>Ochiya, T (corresponding author), Natl Canc Ctr, Res Inst, Chuo Ku, 5-1-1 Tsukiji, Tokyo 1040045, Japan.</t>
  </si>
  <si>
    <t>tochiya@ncc.go.jp</t>
  </si>
  <si>
    <t>Fujii, Takeshi/D-5877-2014; Kadota, Tsukasa/AAA-3857-2022</t>
  </si>
  <si>
    <t>Fujii, Takeshi/0000-0001-7237-1183; Kadota, Tsukasa/0000-0002-9533-7241; Fujita, Yu/0000-0002-8916-7303</t>
  </si>
  <si>
    <t>1044-1549</t>
  </si>
  <si>
    <t>1535-4989</t>
  </si>
  <si>
    <t>10.1165/rcmb.2020-0002OC</t>
  </si>
  <si>
    <t>Biochemistry &amp; Molecular Biology; Cell Biology; Respiratory System</t>
  </si>
  <si>
    <t>WOS:000587619800012</t>
  </si>
  <si>
    <t>Roy, N; Gaikwad, M; Bhattacharrya, DK; Barah, P</t>
  </si>
  <si>
    <t>Roy, Nabanita; Gaikwad, Mithil; Bhattacharrya, Dhruba Kr; Barah, Pankaj</t>
  </si>
  <si>
    <t>Identification of Systems Level Molecular Signatures from Glioblastoma Multiforme Derived Extracellular Vesicles</t>
  </si>
  <si>
    <t>JOURNAL OF MOLECULAR NEUROSCIENCE</t>
  </si>
  <si>
    <t>Glioblastoma multiforme; Extracellular vesicles; Transcriptomic analysis; Differentially expressed genes; Protein&amp;#8211; protein interactions; Systems biology</t>
  </si>
  <si>
    <t>CYTOMEGALOVIRUS-INFECTION; CANCER; EXPRESSION; RESISTANCE; GENE; UBIQUITIN; PROTEINS; DNA</t>
  </si>
  <si>
    <t>Glioblastoma multiforme (GBM) is one of the most lethal malignancies of the central nervous system characterized by high mortality rate. The complexity of GBM pathogenesis, progression, and prognosis is not fully understood yet. GBM-derived extracellular vesicles (EVs) carry several oncogenic elements that facilitate GBM progression. The purpose of this study was to identify systems level molecular signatures from GBM-derived EVs using integrative analysis of publicly available transcriptomic data generated from plasma and serum samples. The dataset contained 19 samples in total, of which 15 samples were from plasma (11 GBM patients and 4 healthy samples) and 4 samples were from serum (2 GBM and 2 healthy samples). We carried out statistical analysis to identify differentially expressed genes (DEGs), functional enrichment analysis of the DEGs, protein-protein interaction networks, module analysis, transcription factors and target gene regulatory networks analysis, and identification of hub genes. The differential expression of the identified hub genes were validated with the independent TCGA-GBM dataset. We have identified a few crucial genes and pathways associated with GBM prognosis and therapy resistance. The DEGs identified from plasma were associated with inflammatory processes and viral infection. On the other hand, the hub genes identified from the serum samples were significantly associated with protein ubiquitinylation processes and cytokine signaling regulation. The findings indicate that GBM-derived plasma and serum DEGs may be associated with distinct cellular processes and pathways which facilitate GBM progression. The findings will provide better understanding of the molecular mechanisms of GBM pathogenesis and progression. These results can further be utilized for developing and validating minimally invasive diagnostic and therapeutic molecular biomarkers for GBM.</t>
  </si>
  <si>
    <t>[Roy, Nabanita; Gaikwad, Mithil; Barah, Pankaj] Tezpur Univ, Dept Mol Biol &amp; Biotechnol, Sonitpur 784028, Assam, India; [Bhattacharrya, Dhruba Kr] Tezpur Univ, Dept Comp Sci &amp; Engn, Sonitpur 784028, Assam, India</t>
  </si>
  <si>
    <t>Tezpur University; Tezpur University</t>
  </si>
  <si>
    <t>Barah, P (corresponding author), Tezpur Univ, Dept Mol Biol &amp; Biotechnol, Sonitpur 784028, Assam, India.</t>
  </si>
  <si>
    <t>barah@tezu.ernet.in</t>
  </si>
  <si>
    <t>Gaikwad, Mithil/0000-0003-2387-8695; Barah, Pankaj/0000-0001-7039-7996; Roy, Nabanita/0000-0001-8724-5323</t>
  </si>
  <si>
    <t>0895-8696</t>
  </si>
  <si>
    <t>1559-1166</t>
  </si>
  <si>
    <t>10.1007/s12031-020-01738-x</t>
  </si>
  <si>
    <t>NOV 2020</t>
  </si>
  <si>
    <t>Biochemistry &amp; Molecular Biology; Neurosciences</t>
  </si>
  <si>
    <t>Biochemistry &amp; Molecular Biology; Neurosciences &amp; Neurology</t>
  </si>
  <si>
    <t>WOS:000592141300001</t>
  </si>
  <si>
    <t>Tang, QS; Zhang, XJ; Zhang, WDA; Zhao, SY; Chen, Y</t>
  </si>
  <si>
    <t>Tang, Qisheng; Zhang, Xiaojun; Zhang, Wendiao; Zhao, Siyuan; Chen, Yong</t>
  </si>
  <si>
    <t>Identification and characterization of cell-bound membrane vesicles</t>
  </si>
  <si>
    <t>BIOCHIMICA ET BIOPHYSICA ACTA-BIOMEMBRANES</t>
  </si>
  <si>
    <t>Membrane vesicles; Human umbilical vein endothelial cells (HUVECs); Human hepatoma HepG-2 cells; Detergent resistance; Lipid rafts</t>
  </si>
  <si>
    <t>EXTRACELLULAR VESICLES; ENDOTHELIAL MICROPARTICLES; IN-VITRO; LIPID RAFTS; EXOSOMES; RELEASE; ACTIVATION; SURFACE; PLASMA</t>
  </si>
  <si>
    <t>In contrast to the released/circulating membrane vesicles (extracellular vesicles), cell-bound membrane vesicles are poorly identified and characterized. In this study, cell-bound membrane vesicles on human umbilical vein endothelial cells (HUVECs) and human hepatoma HepG-2 cells were investigated. We identified that cell-bound membrane vesicles are not co-localized with the major markers for extracellular vesicles (e.g. phosphatidylserine, CD63, CD107 alpha, CD31, and DNA fragments for the three well-known types of extracellular vesicles) and for intracellular organelles with similar sizes (e.g. MitoTracker and LAMP1/LAMP3 for mitochondria and multivesicular bodies or lysosomes, respectively). The data imply that cell-bound membrane vesicles are neither the precursors of extracellular vesicles nor a false structure pushed up by an intracellular organelle but probably a novel unknown structure in the plasma membrane. Moreover, we revealed that cell-bound membrane vesicles are resistant to various detergents including but probably not limited to Triton X-100, SDS, and saponin. We further characterized that these unique vesicles are soluble in organic solvents (e.g. chloroform-methanol mixture and ethanol) which can be prevented by a lipid-stabilizing fixative (e.g. OsO4) and that they are co-localized with, but do not monopolize, the major markers (e.g. caveolin-1 and GM1) for lipid rafts (a nano-sized detergent-resistant domains in the plasma membrane). The data imply that cell-bound membrane vesicles contain the lipid component and lipid rafts. Involvement of other specific unknown components might explain the detergent resistance of cell-bound membrane vesicles. Further research will mainly depend on the establishment of an effective approach for isolation/purification of these vesicles from the plasma membrane. (C) 2017 Elsevier B.V. All rights reserved.</t>
  </si>
  <si>
    <t>[Tang, Qisheng; Zhang, Xiaojun; Zhang, Wendiao; Zhao, Siyuan; Chen, Yong] Nanchang Univ, Inst Adv Study, Nanoscale Sci &amp; Technol Lab, Nanchang, Jiangxi, Peoples R China; [Tang, Qisheng; Chen, Yong] Nanchang Univ, Coll Life Sci, Nanchang, Jiangxi, Peoples R China</t>
  </si>
  <si>
    <t>Chen, Y (corresponding author), 999 Xuefu Ave Honggutan Dist, Nanchang 330031, Jiangxi, Peoples R China.</t>
  </si>
  <si>
    <t>dr_yongchen@hotmail.com</t>
  </si>
  <si>
    <t>Chen, Yong/A-8143-2008</t>
  </si>
  <si>
    <t>Chen, Yong/0000-0003-1678-1537; Zhao, Siyuan/0000-0003-2005-9440</t>
  </si>
  <si>
    <t>0005-2736</t>
  </si>
  <si>
    <t>0006-3002</t>
  </si>
  <si>
    <t>10.1016/j.bbamem.2017.01.013</t>
  </si>
  <si>
    <t>WOS:000398870800011</t>
  </si>
  <si>
    <t>Stiller, C; Viktorsson, K; Gomero, EP; Haag, P; Arapi, V; Kaminskyy, VO; Kamali, C; De Petris, L; Ekman, S; Lewensohn, R; Karlstrom, AE</t>
  </si>
  <si>
    <t>Stiller, Christiane; Viktorsson, Kristina; Paz Gomero, Elizabeth; Haag, Petra; Arapi, Vasiliki; Kaminskyy, Vitaliy O.; Kamali, Caroline; De Petris, Luigi; Ekman, Simon; Lewensohn, Rolf; Karlstrom, Amelie Eriksson</t>
  </si>
  <si>
    <t>Detection of Tumor-Associated Membrane Receptors on Extracellular Vesicles from Non-Small Cell Lung Cancer Patients via Immuno-PCR</t>
  </si>
  <si>
    <t>immuno-PCR; small extracellular vesicles; liquid biopsies; non-small-cell lung cancer; EGFR; tyrosine kinase inhibitors; longitudinal treatment monitoring; biomarkers; affibody; protein&amp;#8211; DNA conjugation</t>
  </si>
  <si>
    <t>INTERNATIONAL SOCIETY; POSITION STATEMENT; LIQUID BIOPSY; OSIMERTINIB; RESISTANCE; AFFINITY; DNA</t>
  </si>
  <si>
    <t>Simple Summary Lung cancer is often detected at late stages when metastases are present and the genomic make-ups of the tumors are heterogeneous. Analyses of genomic alterations in non-small-cell lung cancer (NSCLC) have revealed mutated tumor-associated membrane receptors and fusion proteins, which can be targeted via tyrosine kinase inhibitors (TKIs). TKIs initially often have a good effect, but a fraction of the tumor lesions may develop resistance through additional mutations in the targeted kinases or by increased expression/function of other membrane receptors. Detection of TKI-bypassing mechanisms is difficult in tissue biopsies as these analyze only a subpart of tumors or lesions. Liquid biopsies based on tumor-secreted small extracellular vesicles (sEVs) into body fluids can assess tumor heterogeneity. We present an immuno-PCR method for the detection of the epidermal growth factor receptor (EGFR), the human epidermal growth factor receptor 2 (HER2), and the insulin-like growth factor 1 receptor (IGF-1R) on sEVs. Initial investigations of sEVs from EGFR-mutant NSCLC tumor cells or pleural effusion (PE) fluid from patients with NSCLC or benign diseases showed different protein profiles for individual sEV samples. Further development of the immuno-PCR could complement DNA/mRNA-based assays detecting kinase mutations to allow longitudinal treatment monitoring of diverse TKI-bypassing mechanisms. Precision cancer medicine for non-small-cell lung cancer (NSCLC) has increased patient survival. Nevertheless, targeted agents towards tumor-associated membrane receptors only result in partial remission for a limited time, calling for approaches which allow longitudinal treatment monitoring. Rebiopsy of tumors in the lung is challenging, and metastatic lesions may have heterogeneous signaling. One way ahead is to use liquid biopsies such as circulating tumor DNA or small extracellular vesicles (sEVs) secreted by the tumor into blood or other body fluids. Herein, an immuno-PCR-based detection of the tumor-associated membrane receptors EGFR, HER2, and IGF-1R on CD9-positive sEVs from NSCLC cells and pleural effusion fluid (PE) of NSCLC patients is developed utilizing DNA conjugates of antibody mimetics and affibodies, as detection agents. Results on sEVs purified from culture media of NSCLC cells treated with anti-EGFR siRNA, showed that the reduction of EGFR expression can be detected via immuno-PCR. Protein profiling of sEVs from NSCLC patient PE samples revealed the capacity to monitor EGFR, HER2, and IGF-1R with the immuno-PCR method. We detected a significantly higher EGFR level in sEVs derived from a PE sample of a patient with an EGFR-driven NSCLC adenocarcinoma than in sEVs from PE samples of non-EGFR driven adenocarcinoma patients or in samples from patients with benign lung disease. In summary, we have developed a diagnostic method for sEVs in liquid biopsies of cancer patients which may be used for longitudinal treatment monitoring to detect emerging bypassing resistance mechanisms in a noninvasive way.</t>
  </si>
  <si>
    <t>[Stiller, Christiane; Paz Gomero, Elizabeth; Karlstrom, Amelie Eriksson] KTH Royal Inst Technol, AlbaNova Univ Ctr, Dept Prot Sci, Sch Engn Sci Chem Biotechnol &amp; Hlth, SE-10691 Stockholm, Sweden; [Stiller, Christiane] Uppsala Univ, Dept Pharmaceut Biosci, Biomed Ctr, SE-75123 Uppsala, Sweden; [Viktorsson, Kristina; Haag, Petra; Arapi, Vasiliki; Kaminskyy, Vitaliy O.; Kamali, Caroline; De Petris, Luigi; Ekman, Simon; Lewensohn, Rolf] Karolinska Inst, Dept Oncol Pathol, SE-17177 Stockholm, Sweden; [Kamali, Caroline; De Petris, Luigi; Ekman, Simon; Lewensohn, Rolf] Karolinska Univ Hosp, Thorac Oncol Ctr, Theme Canc Med Unit Head &amp; Neck Lung &amp; Skin Tumor, SE-17177 Stockholm, Sweden</t>
  </si>
  <si>
    <t>Royal Institute of Technology; Uppsala University; Karolinska Institutet; Karolinska Institutet; Karolinska University Hospital</t>
  </si>
  <si>
    <t>Karlstrom, AE (corresponding author), KTH Royal Inst Technol, AlbaNova Univ Ctr, Dept Prot Sci, Sch Engn Sci Chem Biotechnol &amp; Hlth, SE-10691 Stockholm, Sweden.</t>
  </si>
  <si>
    <t>cstiller@kth.se; kristina.viktorsson@ki.se; epaz@kth.se; petra.haag@ki.se; kristina.viktorsson@ki.se; Vitaly.Kaminsky@ki.se; caroline.kamali@ki.se; luigi.depetris@ki.se; simon.ekman@ki.se; rolf.lewensohn@ki.se; ameliek@kth.se</t>
  </si>
  <si>
    <t>; Eriksson Karlstrom, Amelie/F-6654-2010</t>
  </si>
  <si>
    <t>Kamali, Caroline/0000-0001-9737-5367; Eriksson Karlstrom, Amelie/0000-0002-0695-5188; Kaminskyy, Vitaliy/0000-0002-8151-5270</t>
  </si>
  <si>
    <t>10.3390/cancers13040922</t>
  </si>
  <si>
    <t>WOS:000623359000001</t>
  </si>
  <si>
    <t>Hellenbrand, KM; Forsythe, KM; Rivera-Rivas, JJ; Czuprynski, CJ; Aulik, NA</t>
  </si>
  <si>
    <t>Hellenbrand, Katrina M.; Forsythe, Katelyn M.; Rivera-Rivas, Jose J.; Czuprynski, Charles J.; Aulik, Nicole A.</t>
  </si>
  <si>
    <t>Histophilus somni causes extracellular trap formation by bovine neutrophils and macrophages</t>
  </si>
  <si>
    <t>MICROBIAL PATHOGENESIS</t>
  </si>
  <si>
    <t>Histophilis somni; Neutrophil extracellular traps; Macrophage extracellular traps; Outermembrane vesicles</t>
  </si>
  <si>
    <t>NONTYPABLE HAEMOPHILUS-INFLUENZAE; LIPOOLIGOSACCHARIDE-MEDIATED APOPTOSIS; ENDOTHELIAL-CELLS; HEMOPHILUS-SOMNUS; PHASE VARIATION; SHIPPING FEVER; MANNHEIMIA-HAEMOLYTICA; MONONUCLEAR PHAGOCYTES; MITOCHONDRIAL-DNA; HYDROGEN-PEROXIDE</t>
  </si>
  <si>
    <t>Histophilus somni (formerly Haemophilus somnus) is a Gram-negative pleomorphic coccobacillus that causes respiratory, reproductive, cardiac and neuronal diseases in cattle. H. somni is a member of the bovine respiratory disease complex that causes severe bronchopneumonia in cattle. Previously, it has been reported that bovine neutrophils and macrophages have limited ability to phagocytose and kill H. somni. Recently, it was discovered that bovine neutrophils and macrophages produce extracellular traps in response to Mannheimia haemolytica, another member of the bovine respiratory disease complex. In this study, we demonstrate that H. somni also causes extracellular trap production by bovine neutrophils in a dose- and time-dependent manner, which did not coincide with the release of lactate dehydrogenase, a marker for necrosis. Neutrophil extracellular traps were produced in response to outer membrane vesicles, but not lipooligosacchride alone. Using scanning electron microscopy and confocal microscopy, we observed H. somni cells trapped within a web-like structure. Further analyses demonstrated that bovine neutrophils trapped and killed H. somni in a DNA-dependent manner. Treatment of DNA extracellular traps with DNase I freed H. somni cells and diminished bacterial death. Treatment of bovine monocyte-derived macrophages with H. somni cells also caused macrophage extracellular trap formation. These findings suggest that extracellular traps may play a role in the host response to H. somni infection in cattle. (C) 2012 Elsevier Ltd. All rights reserved.</t>
  </si>
  <si>
    <t>[Hellenbrand, Katrina M.; Rivera-Rivas, Jose J.; Czuprynski, Charles J.; Aulik, Nicole A.] Univ Wisconsin, Dept Pathobiol Sci, Madison, WI 53706 USA; [Czuprynski, Charles J.] Univ Wisconsin, Food Res Inst, Madison, WI 53706 USA; [Forsythe, Katelyn M.; Aulik, Nicole A.] Winona State Univ, Dept Biol, Winona, MN 55987 USA</t>
  </si>
  <si>
    <t>University of Wisconsin System; University of Wisconsin Madison; University of Wisconsin System; University of Wisconsin Madison; Winona State University</t>
  </si>
  <si>
    <t>Czuprynski, CJ (corresponding author), Univ Wisconsin, Dept Pathobiol Sci, 2015 Linden Dr W, Madison, WI 53706 USA.</t>
  </si>
  <si>
    <t>czuprync@svm.vetmed.wisc.edu</t>
  </si>
  <si>
    <t>0882-4010</t>
  </si>
  <si>
    <t>10.1016/j.micpath.2012.09.007</t>
  </si>
  <si>
    <t>WOS:000314134700009</t>
  </si>
  <si>
    <t>Son, SH; Gangadaran, P; Ahn, BC</t>
  </si>
  <si>
    <t>Son, Seung Hyun; Gangadaran, Prakash; Ahn, Byeong-Cheol</t>
  </si>
  <si>
    <t>A novel strategy of transferring NIS protein to cells using extracellular vesicles leads to increase in iodine uptake and cytotoxicity</t>
  </si>
  <si>
    <t>sodium iodide symporter (NIS); extracellular vesicle; iodine uptake; hepato-cellular carcinoma</t>
  </si>
  <si>
    <t>THYROID-CANCER; GENE-EXPRESSION; THERAPEUTIC-EFFICACY; SYMPORTER; DELIVERY; GLUCOSE</t>
  </si>
  <si>
    <t>Background: This study was designed to explore a novel approach for transferring NIS protein to cells using extracellular vesicle (EV) and enhancing iodine avidity in hepatocellular carcinoma (HCC) cells. Methods: We transfected the HCC cells (Huh7) with NIS gene, designated as Huh7/NIS, and isolated the EVs from them. Presence of NIS protein in EVs and EV-mediated transport of NIS protein to recipient Huh7 cells were tested using Western blotting. We also examined radioiodine uptake in Huh7 cells treated with EV-Huh7/NIS. Results: Successful transfer of NIS protein into Huh7 cells was confirmed by WB and microscopy. EVs showed high levels of NIS protein in them. Treatment of Huh7 cells with EV-Huh7/NIS increased the NIS protein level and enhanced I-125 uptake in recipient Huh7 cells. In addition, EV-huh7/NIS pre-treatment enhanced the cytotoxicity of I-131 therapy against Huh7 cells by inducing increased DNA damage/increased gamma H2A. X foci formation. Conclusion: This is the first-of-its-kind demonstration of successful transportation of the NIS protein to cells via EVs, which increased radioiodine uptake. This approach can revert radioiodine-resistant cancers into radioiodine-sensitive cancers.</t>
  </si>
  <si>
    <t>[Son, Seung Hyun; Gangadaran, Prakash; Ahn, Byeong-Cheol] Kyungpook Natl Univ, Sch Med, Dept Nucl Med, Daegu, South Korea; [Son, Seung Hyun; Gangadaran, Prakash; Ahn, Byeong-Cheol] Kyungpook Natl Univ Hosp, Dept Nucl Med, Daegu, South Korea</t>
  </si>
  <si>
    <t>Kyungpook National University; Kyungpook National University; Kyungpook National University Hospital</t>
  </si>
  <si>
    <t>Ahn, BC (corresponding author), Kyungpook Natl Univ, Kyungpook Natl Univ Hosp, Sch Med, Dept Nucl Med, 680 Gukchaebosangro, Daegu 41944, South Korea.</t>
  </si>
  <si>
    <t>abc2000@knu.ac.kr</t>
  </si>
  <si>
    <t>Gangadaran, Prakash/AAV-3102-2021</t>
  </si>
  <si>
    <t>Ahn, Byeong-Cheol/0000-0001-7700-3929; Gangadaran, Prakash/0000-0002-0658-4604</t>
  </si>
  <si>
    <t>10.2147/IJN.S189738</t>
  </si>
  <si>
    <t>WOS:000461294500003</t>
  </si>
  <si>
    <t>Kakizaki, M; Yamamoto, Y; Yabutaid, S; Kurosaki, N; Kagawa, T; Kotani, A</t>
  </si>
  <si>
    <t>Kakizaki, Masatoshi; Yamamoto, Yuichiro; Yabutaid, Suemi; Kurosaki, Natsumi; Kagawa, Tatehiro; Kotani, Ai</t>
  </si>
  <si>
    <t>The immunological function of extracellular vesicles in hepatitis B virus-infected hepatocytes</t>
  </si>
  <si>
    <t>CLINICAL-SIGNIFICANCE; RNA; CELLS; SERUM; DNA; HBV; EXPRESSION; MONOCYTES; ANTIGEN; MARKER</t>
  </si>
  <si>
    <t>Hepatitis B virus (HBV) generates large amounts of complete and incomplete viral particles. Except for the virion, which acts as infectious particles, the function of those particles remains elusive. Extracellular vesicles (EVs) have been revealed to have biological functions. The EVs which size are less than 100 nm in diameter, were collected from HBV infected-patients. These vesicles contain, complete and incomplete virions, and exosomes, which have been recently shown to be critical as intercellular communicators. Here, the effects of the exosome, the complete, and the incomplete particles on the target cells were investigated. These particles are endocytosed by monocyte/macrophages and function primarily to upregulate PD-L1. The functions and composition of the EVs were affected by nucleotide reverse transcriptase inhibitors (NRTIs), suggesting that the EVs are involved in the pathogenesis of HBV hepatitis and clinical course of those patients treated by NRTIs.</t>
  </si>
  <si>
    <t>[Kakizaki, Masatoshi; Yamamoto, Yuichiro; Yabutaid, Suemi; Kotani, Ai] Tokai Univ, Inst Med Sci, Div Hematol Malignancy, Isehara, Kanagawa, Japan; [Kakizaki, Masatoshi; Kagawa, Tatehiro] Tokai Univ, Div Gastroenterol &amp; Hepatol, Dept Internal Med, Sch Med, Isehara, Kanagawa, Japan; [Yabutaid, Suemi; Kurosaki, Natsumi; Kotani, Ai] Tokai Univ, Dept Hematol &amp; Oncol, Sch Med, Isehara, Kanagawa, Japan</t>
  </si>
  <si>
    <t>Tokai University; Tokai University; Tokai University</t>
  </si>
  <si>
    <t>Kotani, A (corresponding author), Tokai Univ, Inst Med Sci, Div Hematol Malignancy, Isehara, Kanagawa, Japan.;Kotani, A (corresponding author), Tokai Univ, Dept Hematol &amp; Oncol, Sch Med, Isehara, Kanagawa, Japan.</t>
  </si>
  <si>
    <t>aikotani@k-lab.jp</t>
  </si>
  <si>
    <t>Kagawa, Tatehiro/AAF-7300-2020</t>
  </si>
  <si>
    <t>Kagawa, Tatehiro/0000-0002-3442-1423; Kakizaki, Masatoshi/0000-0002-9388-8402</t>
  </si>
  <si>
    <t>e0205886</t>
  </si>
  <si>
    <t>10.1371/journal.pone.0205886</t>
  </si>
  <si>
    <t>WOS:000454627200006</t>
  </si>
  <si>
    <t>Chiozzini, C; Manfredi, F; Ferrantelli, F; Leone, P; Giovannelli, A; Olivetta, E; Federico, M</t>
  </si>
  <si>
    <t>Chiozzini, Chiara; Manfredi, Francesco; Ferrantelli, Flavia; Leone, Patrizia; Giovannelli, Andrea; Olivetta, Eleonora; Federico, Maurizio</t>
  </si>
  <si>
    <t>The C-Terminal Domain of Nef(mut) Is Dispensable for the CD8(+) T Cell Immunogenicity of In Vivo Engineered Extracellular Vesicles</t>
  </si>
  <si>
    <t>extracellular vesicles; HIV-1 Nef; DNA immunization; CD8(+) T cell immunity; HPV vaccines; SARS-CoV-2 vaccines</t>
  </si>
  <si>
    <t>Intramuscular injection of DNA vectors expressing the extracellular vesicle (EV)-anchoring protein Nef(mut) fused at its C-terminus to viral and tumor antigens elicit a potent, effective, and anti-tolerogenic CD8(+) T cell immunity against the heterologous antigen. The immune response is induced through the production of EVs incorporating Nef(mut)-derivatives released by muscle cells. In the perspective of a possible translation into the clinic of the Nef(mut)-based vaccine platform, we aimed at increasing its safety profile by identifying the minimal part of Nef(mut) retaining the EV-anchoring protein property. We found that a C-terminal deletion of 29-amino acids did not affect the ability of Nef(mut) to associate with EVs. The EV-anchoring function was also preserved when antigens from both HPV16 (i.e., E6 and E7) and SARS-CoV-2 (i.e., S1 and S2) were fused to its C-terminus. Most important, the Nef(mut) C-terminal deletion did not affect levels, quality, and diffusion at distal sites of the antigen-specific CD8(+) T immunity. We concluded that the C-terminal Nef(mut) truncation does not influence stability, EV-anchoring, and CD8(+) T cell immunogenicity of the fused antigen. Hence, the C-terminal deleted Nef(mut) may represent a safer alternative to the full-length isoform for vaccines in humans.</t>
  </si>
  <si>
    <t>[Chiozzini, Chiara; Manfredi, Francesco; Ferrantelli, Flavia; Leone, Patrizia; Olivetta, Eleonora; Federico, Maurizio] Ist Super Sanita, Natl Ctr Global Hlth, Viale Regina Elena 299, I-00161 Rome, Italy; [Giovannelli, Andrea] Ist Super Sanita, Natl Ctr Anim Expt &amp; Welf, Viale Regina Elena 299, I-00161 Rome, Italy</t>
  </si>
  <si>
    <t>chiara.chiozzini@iss.it; francesco.manfredi@iss.it; flavia.ferrantelli@iss.it; patrizia.leone@iss.it; andrea.giovannelli@iss.it; eleonora.olivetta@iss.it; maurizio.federico@iss.it</t>
  </si>
  <si>
    <t>Manfredi, Francesco/ABA-7166-2021; Olivetta, Eleonora/N-5736-2017; Ferrantelli, Flavia/J-7794-2016; Federico, Maurizio/J-5867-2016</t>
  </si>
  <si>
    <t>Leone, Patrizia/0000-0002-5281-4917; Chiozzini, Chiara/0000-0002-4153-0927; Ferrantelli, Flavia/0000-0002-0768-1078; Federico, Maurizio/0000-0003-4154-1025</t>
  </si>
  <si>
    <t>10.3390/vaccines9040373</t>
  </si>
  <si>
    <t>WOS:000643787600001</t>
  </si>
  <si>
    <t>Valente-Acosta, B; Flores-Garcia, M; Gonzalez-Zarate, G; Gerson-Cwilich, R; Maldonado-Mendez, M; Juarez-Vega, G; Angles-Cano, E; de la Pena-Diaz, A</t>
  </si>
  <si>
    <t>Valente-Acosta, Benjamin; Flores-Garcia, Mirthala; Gonzalez-Zarate, Georgina; Gerson-Cwilich, Raquel; Maldonado-Mendez, Marai; Juarez-Vega, Guillermo; Angles-Cano, Eduardo; de la Pena-Diaz, Aurora</t>
  </si>
  <si>
    <t>Fibrinolytic Activity of Circulating Microvesicles Is Associated with Progression of Breast Cancer</t>
  </si>
  <si>
    <t>TOHOKU JOURNAL OF EXPERIMENTAL MEDICINE</t>
  </si>
  <si>
    <t>breast cancer; cancer progression; fibrinolytic activity; microvesicles; urokinase-type plasminogen activator</t>
  </si>
  <si>
    <t>PLASMINOGEN-ACTIVATOR SYSTEM; MICROPARTICLES; MECHANISM; INVASION; SURFACE; CELLS</t>
  </si>
  <si>
    <t>The fibrinolytic system plays an important role in breast cancer, favoring progression through extracellularmatrix degradation, angiogenesis, apoptosis and cellular proliferation. The expression of urokinase-type plasminogen activator (uPA) in breast cancer tissue is widely recognized as an unfavorable prognostic factor. However, fibrinolytic activity associated with uPA cannot be reliably measured in the blood because of the rapid inhibition of uPA by plasminogen activator inhibitor-1 (PAI-1). By contrast, circulating microvesicles (Mvs) in peripheral blood protect bound enzymes from inhibition. Mvs are extracellular vesicles, released from various types of cells, and their size fluctuates between 100 and 1,000 nm. Mvs carry DNA, RNA, miRNA, and proteins, thereby serving as a source of horizontal communication between cells. We investigated whether fibrinolytic activity on circulating Mvs reflects breast cancer progression. The study population consisted of 13 patients with breast cancer and 13 healthy women. The cancer patients included 4 patients in remission, 3 patients with locally advanced cancer, and 6 with metastatic disease. Mvs were isolated from peripheral blood, quantified by a protein concentration method, and their fibrinolytic potential was measured by their capacity to generate plasmin. Although the quantity of Mvs found in patients with cancer and healthy individuals was similar, plasmin generated on Mvs was twice the amount in patients with metastasis than in healthy women (P &lt; 0.05), underlying the value of this distinctive parameter. The data suggest that in breast cancer patients, higher fibrinolytic activity of circulating Mvs could be related to progression and metastasis of breast cancer.</t>
  </si>
  <si>
    <t>[Valente-Acosta, Benjamin; Gerson-Cwilich, Raquel] Amer British Cowdray Med Ctr, Dept Med Interna, Mexico City, DF, Mexico; [Valente-Acosta, Benjamin; Gerson-Cwilich, Raquel] Amer British Cowdray Med Ctr, Ctr Canc, Mexico City, DF, Mexico; [Flores-Garcia, Mirthala; de la Pena-Diaz, Aurora] Inst Nacl Cardiol Ignacio Chavez, Dept Biol Mol, Mexico City, DF, Mexico; [Gonzalez-Zarate, Georgina] ISSSTE, Hosp Gen Dr Fernando Quiroz, Lab Clin, Mexico City, DF, Mexico; [Maldonado-Mendez, Marai; de la Pena-Diaz, Aurora] Univ Nacl Autonoma Mexico, Fac Med, Dept Farmacol, Lab Trombosis &amp; Fibrinolisis, Mexico City, DF, Mexico; [Juarez-Vega, Guillermo] Univ Nacl Autonoma Mexico, Coordinac Invest Cient, Red Apoyo Invest, Unidad Citometria Flujo, Mexico City, DF, Mexico; [Juarez-Vega, Guillermo] Inst Nacl Ciencias Med &amp; Nutr Salvador Zubiran, Mexico City, DF, Mexico; [Angles-Cano, Eduardo] Univ Paris, Innovat Therapies Haemostasis, INSERM, Paris, France; [de la Pena-Diaz, Aurora] Univ Nacl Autonoma Mexico, Dept Farmacol, Fac Med, Edificio D,l Er Piso,Ciudad Univ, Mexico City 04510, DF, Mexico</t>
  </si>
  <si>
    <t>National Institute of Cardiology - Mexico; Universidad Nacional Autonoma de Mexico; Universidad Nacional Autonoma de Mexico; Instituto Nacional de Ciencias Medicas y Nutricion Salvador Zubiran - Mexico; Institut National de la Sante et de la Recherche Medicale (Inserm); UDICE-French Research Universities; Universite de Paris; Universidad Nacional Autonoma de Mexico</t>
  </si>
  <si>
    <t>de la Pena-Diaz, A (corresponding author), Univ Nacl Autonoma Mexico, Lab Trombosis &amp; Fibrinolisis, Fac Med, Dept Biol Mol,Inst Nacl Cardiol Ignacio Chave, Mexico City, DF, Mexico.</t>
  </si>
  <si>
    <t>aurorad@unam.mx</t>
  </si>
  <si>
    <t>ANGLES-CANO, Eduardo/ABA-1739-2020; Acosta, Benjamin Valente/AAT-9568-2021</t>
  </si>
  <si>
    <t>ANGLES-CANO, Eduardo/0000-0001-7891-3975; Acosta, Benjamin Valente/0000-0001-9885-3594</t>
  </si>
  <si>
    <t>0040-8727</t>
  </si>
  <si>
    <t>1349-3329</t>
  </si>
  <si>
    <t>10.1620/tjem.250.121</t>
  </si>
  <si>
    <t>WOS:000521099500005</t>
  </si>
  <si>
    <t>Alharbi, M; Sharma, S; Guanzon, D; Lai, A; Zuniga, F; Shiddiky, MJA; Yamauchi, Y; Salas-Burgos, A; He, YW; Pejovic, T; Winters, C; Morgan, T; Perrin, L; Hooper, JD; Salomon, C</t>
  </si>
  <si>
    <t>Alharbi, Mona; Sharma, Shayna; Guanzon, Dominic; Lai, Andrew; Zuniga, Felipe; Shiddiky, Muhammad J. A.; Yamauchi, Yusuke; Salas-Burgos, Alexis; He, Yaowu; Pejovic, Tanja; Winters, Carmen; Morgan, Terry; Perrin, Lewis; Hooper, John D.; Salomon, Carlos</t>
  </si>
  <si>
    <t>miRNa signature in small extracellular vesicles and their association with platinum resistance and cancer recurrence in ovarian cancer</t>
  </si>
  <si>
    <t>Ovarian cancer; Exosomes; Nanovesicles; miRNAs; Biomarkers</t>
  </si>
  <si>
    <t>DRUG-RESISTANCE; EXOSOMES; BIOMARKERS; DELIVERY; EXPRESSION; METASTASES; MIR-21-3P; INHIBITOR; MICRORNA</t>
  </si>
  <si>
    <t>Carboplatin, administered as a single drug or in combination with paclitaxel, is the standard chemotherapy treatment for patients with ovarian cancer (OVCA). Recent evidence suggests that miRNAs associated with small extracellular vesicles (sEVs) participate in the development of chemoresistance. We studied the effect of carboplatin in a heterogeneity population of OVCA cells and their derived sEVs to identify mechanisms associated with chemoresistance. sEVs were quantified using an engineered superparamagnetic material, gold-loaded ferric oxide nanotubes and a screen-printed electrode. miR-21-3p, miR-21-5p, and miR-891-5p are enriched in sEVs, and they contribute to carboplatin resistance in OVCA. Using a quantitative MS/MS, miR-21-5p activates glycolysis and increases the expression of ATP-binding cassette family and a detoxification enzyme. miR-21-3p and miR-891-5p increase the expression of proteins involved in DNA repair mechanisms. Interestingly, the levels of miR-8915p within sEVs are significantly higher in patients at risk of ovarian cancer relapse. Identification of miRNAs in sEVs also provides the opportunity to track them in biological fluids to potentially determine patient response to chemotherapy. (C) 2020 Elsevier Inc. All rights reserved.</t>
  </si>
  <si>
    <t>[Alharbi, Mona; Sharma, Shayna; Guanzon, Dominic; Lai, Andrew; Salomon, Carlos] Univ Queensland, Royal Brisbane &amp; Womens Hosp, Ctr Clin Res, Exosome Biol Lab,Ctr Clin Diagnost, Brisbane, Qld, Australia; [Zuniga, Felipe; Salomon, Carlos] Univ Concepcion, Fac Pharm, Dept Clin Biochem &amp; Immunol, Concepcion, Chile; [Shiddiky, Muhammad J. A.] Griffith Univ, Sch Environm &amp; Sci, Nathan Campus, Nathan, Qld, Australia; [Yamauchi, Yusuke] Univ Queensland, Australian Inst Bioengn &amp; Nanotechnol AIBN, Brisbane, Qld, Australia; [Salas-Burgos, Alexis] Univ Concepcion, Fac Biol Sci, Concepcion, Chile; [He, Yaowu; Perrin, Lewis; Hooper, John D.] Univ Queensland, Translat Res Inst, Mater Res Inst, Woolloongabba, Qld, Australia; [Pejovic, Tanja; Winters, Carmen; Morgan, Terry] OHSU, Dept Obstet &amp; Gynecol, Portland, OR USA; [Morgan, Terry] OHSU, Dept Pathol, Portland, OR USA; [Salomon, Carlos] Ochsner Clin Fdn, Dept Obstet &amp; Gynaecol, Maternal Fetal Med, New Orleans, LA USA</t>
  </si>
  <si>
    <t>Royal Brisbane &amp; Women's Hospital; University of Queensland; Universidad de Concepcion; Griffith University; University of Queensland; Universidad de Concepcion; Mater Research; University of Queensland; Oregon Health &amp; Science University; Oregon Health &amp; Science University; Ochsner Health System</t>
  </si>
  <si>
    <t>Salomon, C (corresponding author), Univ Queensland, Royal Brisbane Hosp, Exosome Biol Lab, Fac Hlth Sci,Ctr Clin Res,Ctr Clin Diagnost, Bldg 71-918, Herston, Qld 4029, Australia.</t>
  </si>
  <si>
    <t>c.salomongallo@uq.edu.au</t>
  </si>
  <si>
    <t>Yamauchi, Yusuke/D-2780-2015; Sharma, Shayna/ABI-4973-2020; Shiddiky, Muhammad J. A./L-7165-2015; Zuniga, Felipe A/L-7885-2013; Hooper, John/C-1481-2016; Salomon, Carlos/L-2167-2013</t>
  </si>
  <si>
    <t>Yamauchi, Yusuke/0000-0001-7854-927X; Shiddiky, Muhammad J. A./0000-0003-4526-4109; HE, Yaowu/0000-0002-7828-263X; Hooper, John/0000-0003-1054-8486; Zuniga, Felipe A./0000-0003-0286-565X; Salomon, Carlos/0000-0003-4474-0046; Salas-Burgos, Alexis/0000-0002-6577-9970; Alharbi, MONA GHAZI L/0000-0001-7739-6056</t>
  </si>
  <si>
    <t>10.1016/j.nano.2020.102207</t>
  </si>
  <si>
    <t>WOS:000563776400006</t>
  </si>
  <si>
    <t>Gaudin, M; Krupovic, M; Marguet, E; Gauliard, E; Cvirkaite-Krupovic, V; Le Cam, E; Oberto, J; Forterre, P</t>
  </si>
  <si>
    <t>Gaudin, Marie; Krupovic, Mart; Marguet, Evelyne; Gauliard, Emilie; Cvirkaite-Krupovic, Virginija; Le Cam, Eric; Oberto, Jacques; Forterre, Patrick</t>
  </si>
  <si>
    <t>Extracellular membrane vesicles harbouring viral genomes</t>
  </si>
  <si>
    <t>ENVIRONMENTAL MICROBIOLOGY</t>
  </si>
  <si>
    <t>HYPERTHERMOPHILIC ARCHAEON; THERMOCOCCUS-KODAKARAENSIS; MEDIATED TRANSFER; GENETIC EXCHANGE; VIRULENCE GENES; VIRUSES; DNA; PROTEIN; EVOLUTION; ELEMENTS</t>
  </si>
  <si>
    <t>Cells from the three domains of life produce extracellular membrane vesicles (MVs), suggesting that MV production is a fundamental aspect of cellular physiology. We have recently shown that MVs produced by the hyperthermophilic archaeon Thermococcus kodakaraensis can be used as vehicles to transfer exogenous recombinant plasmid DNA from cell to cell. Here, we show that Thermococcus nautilus, which harbours three plasmids, pTN1, pTN2 and pTN3, produces MVs, and that some of them selectively incorporate pTN1 and pTN3. Interestingly, pTN3 represents the genome of a defective virus, which encodes signature proteins common to a large group of viruses infecting hosts from all three cellular domains. However, preparations of MVs produced by T. nautilus have a protein composition similar to that of classical MVs from Thermococcales and do not contain the viral major capsid protein encoded by pTN3. Our results suggest that MVs can serve as vehicles for the intercellular transport of viral genomes and facilitate recombination between viral, plasmid and/or cellular chromosomes in the absence of viral infection.</t>
  </si>
  <si>
    <t>[Gaudin, Marie; Marguet, Evelyne; Gauliard, Emilie; Cvirkaite-Krupovic, Virginija; Oberto, Jacques; Forterre, Patrick] Univ Paris 11, Inst Genet &amp; Microbiol, CNRS UMR 8621, F-91405 Orsay, France; [Krupovic, Mart; Forterre, Patrick] Inst Pasteur, Dept Microbiol, F-75724 Paris, France; [Le Cam, Eric] Inst Cancerol Gustave Roussy, CNRS UMR 8126, F-94805 Villejuif, France</t>
  </si>
  <si>
    <t>Centre National de la Recherche Scientifique (CNRS); UDICE-French Research Universities; Universite Paris Saclay; Le Reseau International des Instituts Pasteur (RIIP); Institut Pasteur Paris; Centre National de la Recherche Scientifique (CNRS); CNRS - National Institute for Biology (INSB); UDICE-French Research Universities; Universite Paris Saclay; UNICANCER; Gustave Roussy</t>
  </si>
  <si>
    <t>Forterre, P (corresponding author), Univ Paris 11, Inst Genet &amp; Microbiol, CNRS UMR 8621, Bat 425, F-91405 Orsay, France.</t>
  </si>
  <si>
    <t>patrick.forterre@igmors.u-psud.fr</t>
  </si>
  <si>
    <t>Krupovic, Mart/I-4209-2012; Krupovic, Mart/ABD-6255-2021</t>
  </si>
  <si>
    <t>Krupovic, Mart/0000-0001-5486-0098; Krupovic, Mart/0000-0001-5486-0098; Emilie, Gauliard/0000-0002-9617-1634; Cvirkaite-Krupovic, Virginija/0000-0002-0876-9397; Le cam, Eric/0000-0002-6832-6117</t>
  </si>
  <si>
    <t>1462-2912</t>
  </si>
  <si>
    <t>1462-2920</t>
  </si>
  <si>
    <t>10.1111/1462-2920.12235</t>
  </si>
  <si>
    <t>WOS:000333713300021</t>
  </si>
  <si>
    <t>Biller, SJ; McDaniel, LD; Breitbart, M; Rogers, E; Paul, JH; Chisholm, SW</t>
  </si>
  <si>
    <t>Biller, Steven J.; McDaniel, Lauren D.; Breitbart, Mya; Rogers, Everett; Paul, John H.; Chisholm, Sallie W.</t>
  </si>
  <si>
    <t>Membrane vesicles in sea water: heterogeneous DNA content and implications for viral abundance estimates</t>
  </si>
  <si>
    <t>ISME JOURNAL</t>
  </si>
  <si>
    <t>TRANSMISSION ELECTRON-MICROSCOPY; FLOW-CYTOMETRIC DETECTION; GRAM-POSITIVE BACTERIA; GENE-TRANSFER AGENTS; SYBR GREEN-I; OUTER-MEMBRANE; MARINE VIRUSES; EXTRACELLULAR VESICLES; ESCHERICHIA-COLI; PSEUDOMONAS-AERUGINOSA</t>
  </si>
  <si>
    <t>Diverse microbes release membrane-bound extracellular vesicles from their outer surfaces into the surrounding environment. Vesicles are found in numerous habitats including the oceans, where they likely have a variety of functional roles in microbial ecosystems. Extracellular vesicles are known to contain a range of biomolecules including DNA, but the frequency with which DNA is packaged in vesicles is unknown. Here, we examine the quantity and distribution of DNA associated with vesicles released from five different bacteria. The average quantity of double-stranded DNA and size distribution of DNA fragments released within vesicles varies among different taxa. Although some vesicles contain sufficient DNA to be visible following staining with the SYBR fluorescent DNA dyes typically used to enumerate viruses, this represents only a small proportion (&lt;0.01-1%) of vesicles. Thus DNA is packaged heterogeneously within vesicle populations, and it appears that vesicles are likely to be a minor component of SYBR-visible particles in natural sea water compared with viruses. Consistent with this hypothesis, chloroform treatment of coastal and offshore seawater samples reveals that vesicles increase epifluorescence-based particle (viral) counts by less than an order of magnitude and their impact is variable in space and time.</t>
  </si>
  <si>
    <t>[Biller, Steven J.; Chisholm, Sallie W.] MIT, Dept Civil &amp; Environm Engn, 77 Massachusetts Ave,Bldg 48-419, Cambridge, MA 02139 USA; [McDaniel, Lauren D.; Breitbart, Mya; Rogers, Everett; Paul, John H.] Univ S Florida, Coll Marine Sci, St Petersburg, FL USA; [Chisholm, Sallie W.] MIT, Dept Biol, 77 Massachusetts Ave,Bldg 48-419, Cambridge, MA 02139 USA</t>
  </si>
  <si>
    <t>Massachusetts Institute of Technology (MIT); State University System of Florida; University of South Florida; Massachusetts Institute of Technology (MIT)</t>
  </si>
  <si>
    <t>Biller, SJ (corresponding author), MIT, Dept Civil &amp; Environm Engn, 77 Massachusetts Ave,Bldg 48-419, Cambridge, MA 02139 USA.;Chisholm, SW (corresponding author), MIT, Dept Biol, 77 Massachusetts Ave,Bldg 48-419, Cambridge, MA 02139 USA.</t>
  </si>
  <si>
    <t>sbiller@mit.edu; chisholm@mit.edu</t>
  </si>
  <si>
    <t>Biller, Steven/CAG-2216-2022; Breitbart, Mya/B-1366-2009</t>
  </si>
  <si>
    <t>Breitbart, Mya/0000-0003-3210-2899; Chisholm, Sallie/0000-0003-1480-2445</t>
  </si>
  <si>
    <t>1751-7362</t>
  </si>
  <si>
    <t>1751-7370</t>
  </si>
  <si>
    <t>10.1038/ismej.2016.134</t>
  </si>
  <si>
    <t>Ecology; Microbiology</t>
  </si>
  <si>
    <t>Environmental Sciences &amp; Ecology; Microbiology</t>
  </si>
  <si>
    <t>WOS:000394541500009</t>
  </si>
  <si>
    <t>Zabegina, LM; Nikiforova, NS; Nazarova, IV; Knyazeva, MS; Tsyrlina, EV; Reva, SA; Nosov, AK; Malek, AM</t>
  </si>
  <si>
    <t>Zabegina, L. M.; Nikiforova, N. S.; Nazarova, I., V; Knyazeva, M. S.; Tsyrlina, E., V; Reva, S. A.; Nosov, A. K.; Malek, A. M.</t>
  </si>
  <si>
    <t>Analysis of miRNAs in the PSMA-positive fraction of plasma nano-sized extracellular vesicles in patients with prostate cancer</t>
  </si>
  <si>
    <t>ONKOUROLOGIYA</t>
  </si>
  <si>
    <t>prostate cancer; diagnosis; screening; nano-sized extracellular vesicles; microRNAs</t>
  </si>
  <si>
    <t>ANTIGEN</t>
  </si>
  <si>
    <t>Background. MicroRNAs (miRNAs) circulating in plasma are promising markers for the diagnosis of malignant tumors, including prostate cancer. However, the existing techniques used for their detection fail to ensure sufficient diagnostic accuracy. One of the possible ways to improve it is to isolate membrane nano-sized extracellular vesicles (nsEVs) secreted by prostate cells. Presumably, the analysis of miRNAs originating from this prostate-specific fraction of nsEVs more accurately reflects the process of prostate cancer development and has a greater diagnostic potential. Objective: to develop the method of miRNA isolation from the prostate-specific fraction of plasma nsEVs and to evaluate its performance characteristics. Materials and methods. Prostate-specific membrane antigen (PSMA) was used as a prostate-specific marker of nsEVs. The total population of plasma nsEVs was isolated using a two-phase polymer system. To isolate PSMA-positive (PSMA((+))) nsEVs, we used superparamagnetic particles with PSMA-binding DNA aptamer immobilized on their surface. The efficacy of PSMA((+)) nsEV isolation was assessed using flow cytometry and dot-blotting. RNA from nsEVs was isolated using proteolysis; miRNA analysis was performed using reverse transcription polymerase chain reaction. Plasma samples collected from patients with prostate cancer (n = 33) and healthy donors (controls) (n = 30) were used to evaluate the diagnostic parameters of the method. Results. We developed the method of PSMA((+)) nsEV isolation from plasma and estimated its performance characteristics. We found that measurement of potential miRNA markers in PSMA((+)) nsEVs was more effective than its measurement in the entire nsEV population and could distinguish between patients with prostate cancer and controls. Conclusion. The new technique of PSMA((+)) nsEV isolation can be used for the development of novel diagnostic methods for the diagnosis of prostate cancer.</t>
  </si>
  <si>
    <t>[Zabegina, L. M.; Nikiforova, N. S.; Nazarova, I., V; Knyazeva, M. S.; Tsyrlina, E., V; Nosov, A. K.; Malek, A. M.] Minist Hlth Russia, NN Petrov Natl Med Res Ctr Oncol, 68 Leningradskaya St, St Petersburg 197758, Russia; [Zabegina, L. M.; Knyazeva, M. S.] Peter Great St Petersburg Polytech Univ, 29 Politekhnicheskaya St, St Petersburg 195251, Russia; [Reva, S. A.] IP Pavlov First St Petersburg State Med Univ, 6-8 Lva Tolstogo St, St Petersburg 197022, Russia; [Malek, A. M.] Onko Sistema, Terr Skolkovo Innovat Ctr, 7 Nobelya St, Moscow 121205, Russia</t>
  </si>
  <si>
    <t>Ministry of Health of the Russian Federation; Peter the Great St. Petersburg Polytechnic University</t>
  </si>
  <si>
    <t>Zabegina, LM (corresponding author), Minist Hlth Russia, NN Petrov Natl Med Res Ctr Oncol, 68 Leningradskaya St, St Petersburg 197758, Russia.;Zabegina, LM (corresponding author), Peter Great St Petersburg Polytech Univ, 29 Politekhnicheskaya St, St Petersburg 195251, Russia.</t>
  </si>
  <si>
    <t>lidusikza@yandex.ru</t>
  </si>
  <si>
    <t>; Malek, Anastasia/R-8804-2016</t>
  </si>
  <si>
    <t>Zabegina, Lidia/0000-0003-0827-1641; Malek, Anastasia/0000-0001-5334-7292; Nikiforova, Nadezhda/0000-0001-7464-4237; Reva, Sergey/0000-0001-5183-5153</t>
  </si>
  <si>
    <t>1726-9776</t>
  </si>
  <si>
    <t>1996-1812</t>
  </si>
  <si>
    <t>10.17650/1726-9776-2021-17-4-65-75</t>
  </si>
  <si>
    <t>WOS:000754411800006</t>
  </si>
  <si>
    <t>Qambrani, A; Rehman, FU; Tanziela, T; Shaikh, S; Semcheddine, F; Du, TY; Liu, WW; Jiang, H; Wang, XM</t>
  </si>
  <si>
    <t>Qambrani, Aqsa; Rehman, Fawad Ur; Tanziela, Tanziela; Shaikh, Sana; Semcheddine, Farouk; Du, Tianyu; Liu, Weiwei; Jiang, Hui; Wang, Xuemei</t>
  </si>
  <si>
    <t>Biocompatible exosomes nanodrug cargo for cancer cell bioimaging and drug delivery</t>
  </si>
  <si>
    <t>BIOMEDICAL MATERIALS</t>
  </si>
  <si>
    <t>exosomes; drug delivery; cancer diagnosis; exosomal bioimaging; target theranostics</t>
  </si>
  <si>
    <t>EXTRACELLULAR VESICLES; SILVER NANOPARTICLES; AMYLOID-BETA; THERAPY; NANOCLUSTERS; MICROVESICLES; DOXORUBICIN; BIOGENESIS; GENERATION; APOPTOSIS</t>
  </si>
  <si>
    <t>Therapy against cancer remains a daunting issue for human health, despite remarkable innovations in many areas of pathology. In situ biosynthesized nanoclusters bestow a novel remedy for carcinogenic cell imaging. Exosomes have received special attention as an efficient tool for the diagnosis of various diseases, including cancers. All types of cells (healthy or diseased) generate exosomes, making them significantly unique for relevant disease diagnosis and treatment. In this contribution, we exploit the possibility of utilizing the exosomes to facilitate chemotherapeutics, viz. the combination of doxorubicin (Dox) and biosynthesized silver nanoclusters in cancer cells. Our study showed a new facile way for bioimaging of cancer cells using biosynthesized silver-DNA nanoclusters, and thus further targeting cancer cells using the relevant cancer exosomes as drug delivery cargo. After isolating exosomes from neoplastic cells, i.e. HeLa, loaded with the drug, and treating other neoplastic cells with cargo-loaded isolated exosomes, we found that cargo-loaded isolated exosomes can readily enter into the targeted cancer cells and efficiently kill these neoplastic cells. This raises the possibility of acting as a novel facile modality for target cancer theranostics with high efficiency and biocompability.</t>
  </si>
  <si>
    <t>[Qambrani, Aqsa; Rehman, Fawad Ur; Tanziela, Tanziela; Shaikh, Sana; Semcheddine, Farouk; Du, Tianyu; Liu, Weiwei; Jiang, Hui; Wang, Xuemei] Southeast Univ, Sch Biol Sci &amp; Med Engn, State Key Lab Bioelect, Nanjing 210096, Peoples R China</t>
  </si>
  <si>
    <t>Southeast University - China</t>
  </si>
  <si>
    <t>Wang, XM (corresponding author), Southeast Univ, Sch Biol Sci &amp; Med Engn, State Key Lab Bioelect, Nanjing 210096, Peoples R China.</t>
  </si>
  <si>
    <t>xuewang@seu.edu.cn</t>
  </si>
  <si>
    <t>1748-6041</t>
  </si>
  <si>
    <t>1748-605X</t>
  </si>
  <si>
    <t>10.1088/1748-605X/abaaa2</t>
  </si>
  <si>
    <t>WOS:000621474900001</t>
  </si>
  <si>
    <t>Cambier, LD; Stachelek, K; Triska, M; Jubran, R; Huang, MY; Li, WY; Zhang, JY; Li, JT; Cobrinik, D</t>
  </si>
  <si>
    <t>Cambier, Linda; Stachelek, Kevin; Triska, Martin; Jubran, Rima; Huang, Manyu; Li, Wuyin; Zhang, Jianying; Li, Jitian; Cobrinik, David</t>
  </si>
  <si>
    <t>Extracellular vesicle-associated repetitive element DNAs as candidate osteosarcoma biomarkers</t>
  </si>
  <si>
    <t>Osteosarcoma (OS) is the most common malignant bone tumor in children and young adults. Despite that high-risk factors have been identified, no test for early detection is available. This study aimed to identify circulating nucleic acid sequences associated with serum extracellular vesicle (EV) preparations at the time of OS diagnosis, as a step towards an OS early detection assay. Sequencing of small nucleic acids extracted from serum EV preparations revealed increased representation of diverse repetitive element sequences in OS patient versus control sera. Analysis of a validation cohort using qPCR of PEG-precipitated EV preparations revealed the over-representation of HSATI, HSATII, LINE1-P1, and Charlie 3 at the DNA but not RNA level, with receiver operating characteristic (ROC) area under the curve (AUC)&gt;= 0.90. HSATI and HSATII DNAs co-purified with EVs prepared by precipitation and size exclusion chromatography but not by exosome immunocapture, indicative of packaging in a non-exosomal complex. The consistent over-representation of EV-associated repetitive element DNA sequences suggests their potential utility as biomarkers for OS and perhaps other cancers.</t>
  </si>
  <si>
    <t>[Cambier, Linda; Stachelek, Kevin; Triska, Martin; Cobrinik, David] Childrens Hosp Los Angeles, Vis Ctr, 4650 Sunset Blvd,MS163, Los Angeles, CA 90027 USA; [Cambier, Linda; Stachelek, Kevin; Triska, Martin; Cobrinik, David] Childrens Hosp Los Angeles, Saban Res Inst, 4650 Sunset Blvd,MS163, Los Angeles, CA 90027 USA; [Stachelek, Kevin; Cobrinik, David] Univ Southern Calif, Keck Sch Med, Canc Biol &amp; Genom Program, Los Angeles, CA 90089 USA; [Jubran, Rima] Childrens Hosp Los Angeles, Div Hematol Oncol, Los Angeles, CA 90027 USA; [Huang, Manyu; Li, Wuyin; Li, Jitian] Henan Luoyang Orthoped Hosp, Henan Prov Orthoped Hosp, Henan Prov Orthoped Inst, 82 Qiming Rd, Luoyang 471002, Henan, Peoples R China; [Zhang, Jianying; Li, Jitian] Univ Texas El Paso, Dept Biol Sci, El Paso, TX 79968 USA; [Cobrinik, David] Univ Southern Calif, Keck Sch Med, Dept Ophthalmol, Los Angeles, CA 90089 USA; [Cobrinik, David] Univ Southern Calif, Keck Sch Med, Roski Eye Inst, Los Angeles, CA 90089 USA; [Cobrinik, David] Univ Southern Calif, Keck Sch Med, Dept Biochem &amp; Mol Med, Los Angeles, CA 90089 USA; [Cobrinik, David] Univ Southern Calif, Keck Sch Med, Norris Comprehens Canc Ctr, Los Angeles, CA 90089 USA</t>
  </si>
  <si>
    <t>Children's Hospital Los Angeles; Children's Hospital Los Angeles; University of Southern California; Children's Hospital Los Angeles; University of Texas System; University of Texas El Paso; University of Southern California; University of Southern California; University of Southern California; University of Southern California</t>
  </si>
  <si>
    <t>Cobrinik, D (corresponding author), Childrens Hosp Los Angeles, Vis Ctr, 4650 Sunset Blvd,MS163, Los Angeles, CA 90027 USA.;Cobrinik, D (corresponding author), Childrens Hosp Los Angeles, Saban Res Inst, 4650 Sunset Blvd,MS163, Los Angeles, CA 90027 USA.;Cobrinik, D (corresponding author), Univ Southern Calif, Keck Sch Med, Canc Biol &amp; Genom Program, Los Angeles, CA 90089 USA.;Li, JT (corresponding author), Henan Luoyang Orthoped Hosp, Henan Prov Orthoped Hosp, Henan Prov Orthoped Inst, 82 Qiming Rd, Luoyang 471002, Henan, Peoples R China.;Li, JT (corresponding author), Univ Texas El Paso, Dept Biol Sci, El Paso, TX 79968 USA.;Cobrinik, D (corresponding author), Univ Southern Calif, Keck Sch Med, Dept Ophthalmol, Los Angeles, CA 90089 USA.;Cobrinik, D (corresponding author), Univ Southern Calif, Keck Sch Med, Roski Eye Inst, Los Angeles, CA 90089 USA.;Cobrinik, D (corresponding author), Univ Southern Calif, Keck Sch Med, Dept Biochem &amp; Mol Med, Los Angeles, CA 90089 USA.;Cobrinik, D (corresponding author), Univ Southern Calif, Keck Sch Med, Norris Comprehens Canc Ctr, Los Angeles, CA 90089 USA.</t>
  </si>
  <si>
    <t>jitianlee@hotmail.com; dcobrinik@chla.usc.edu</t>
  </si>
  <si>
    <t>Linda, Cambier/AAL-9928-2020</t>
  </si>
  <si>
    <t>Linda, Cambier/0000-0001-9482-1413; Li, Jitian/0000-0001-5005-2050; Stachelek, Kevin/0000-0003-2085-695X</t>
  </si>
  <si>
    <t>10.1038/s41598-020-77398-z</t>
  </si>
  <si>
    <t>WOS:000634375500024</t>
  </si>
  <si>
    <t>Nakamura, S; Higashiyama, Y; Izumikawa, K; Seki, M; Kakeya, H; Yamamoto, Y; Yanagihara, K; Miyazaki, Y; Mizuta, Y; Kohno, S</t>
  </si>
  <si>
    <t>Nakamura, Shigeki; Higashiyama, Yasuhito; Izumikawa, Koichi; Seki, Masafumi; Kakeya, Hiroshi; Yamamoto, Yoshihiro; Yanagihara, Katsunori; Miyazaki, Yoshitsugu; Mizuta, Yohei; Kohno, Shigeru</t>
  </si>
  <si>
    <t>The roles of the quorum-sensing system in the release of extracellular DNA, lipopolysaccharide, and membrane vesicles from Pseudomonas aeruginosa</t>
  </si>
  <si>
    <t>JAPANESE JOURNAL OF INFECTIOUS DISEASES</t>
  </si>
  <si>
    <t>VIRULENCE FACTORS; EXPRESSION; MECHANISM; BACTERIA; BIOFILMS; GENES</t>
  </si>
  <si>
    <t>Biofilms play an important role in the establishment of chronic infection caused by Pseudomonas aeruginosa. It has been suggested that membrane vesicles (MVs) are released into the surrounding medium during normal growth and might supply the bacterial extracellular DNA that is required for early biofilm formation, as MVs released from the bacterial outer membrane are suspected to be the source of extracellular DNA. MVs possess lipopolysaccharide (LPS), extracellular DNA, and several hydrolytic enzymes. It is well known that the quorum-sensing (QS) system is important in controlling virulence factors in P. aeruginosa and biofilm fort-nation. In the current study, we investigated extracellular LPS and DNA in the supernatants of culture solutions from PAO1, the wild-type P. aeruginosa, and those of QS mutants. As compared to that of las QS mutants, the amount of LPS and DNA released was significantly higher in PAO1 and in las QS mutants complemented with N-(3-oxododecanoyl) homoserine lactone. Our study indicated that the QS is among the regulators involved in the release of extracellular DNA and LPS. It is possible that these extracellular components are supplied from MVs. Investigation of the mechanism of biofilm formation is of particular interest, as it may be useful for designing treatments for severe P. aeruginosa infection.</t>
  </si>
  <si>
    <t>[Higashiyama, Yasuhito] Nagasaki Univ, Sch Med, Dept Internal Med 2, Nagasaki 8528501, Japan; [Yanagihara, Katsunori] Nagasaki Univ, Grad Sch Med Sci, Dept Lab Med, Nagasaki 8528501, Japan; [Kohno, Shigeru] Nagasaki Univ, Grad Sch Med Sci, Div Mol &amp; Clin Microbiol, Dept Mol Microbiol &amp; Immunol, Nagasaki 8528501, Japan; [Miyazaki, Yoshitsugu] Natl Inst Infect Dis, Dept Bioact Mol, Tokyo 1628640, Japan</t>
  </si>
  <si>
    <t>Nagasaki University; Nagasaki University; Nagasaki University; National Institute of Infectious Diseases (NIID)</t>
  </si>
  <si>
    <t>Higashiyama, Y (corresponding author), Nagasaki Univ, Sch Med, Dept Internal Med 2, 1-7-1 Sakamoto, Nagasaki 8528501, Japan.</t>
  </si>
  <si>
    <t>higasi-ngs@umin.ac.jp</t>
  </si>
  <si>
    <t>miyazaki, yoshitsugu/0000-0001-8942-0869</t>
  </si>
  <si>
    <t>1344-6304</t>
  </si>
  <si>
    <t>1884-2836</t>
  </si>
  <si>
    <t>Infectious Diseases</t>
  </si>
  <si>
    <t>WOS:000259753900009</t>
  </si>
  <si>
    <t>Ferrantelli, F; Chiozzini, C; Manfredi, F; Leone, P; Spada, M; Di Virgilio, A; Giovannelli, A; Sanchez, M; Cara, A; Michelini, Z; Federico, M</t>
  </si>
  <si>
    <t>Ferrantelli, Flavia; Chiozzini, Chiara; Manfredi, Francesco; Leone, Patrizia; Spada, Massimo; Di Virgilio, Antonio; Giovannelli, Andrea; Sanchez, Massimo; Cara, Andrea; Michelini, Zuleika; Federico, Maurizio</t>
  </si>
  <si>
    <t>Strong SARS-CoV-2 N-Specific CD8(+) T Immunity Induced by Engineered Extracellular Vesicles Associates with Protection from Lethal Infection in Mice</t>
  </si>
  <si>
    <t>SARS-CoV-2; vaccines; CD8(+) T cell immunity; extracellular vesicles; Nef</t>
  </si>
  <si>
    <t>CELLS; EXOSOMES; BIODISTRIBUTION; ENGAGEMENT; EPITOPES; SYSTEM; CD103</t>
  </si>
  <si>
    <t>SARS-CoV-2-specific CD8(+) T cell immunity is expected to counteract viral variants in both efficient and durable ways. We recently described a way to induce a potent SARS-CoV-2 CD8(+) T immune response through the generation of engineered extracellular vesicles (EVs) emerging from muscle cells. This method relies on intramuscular injection of DNA vectors expressing different SARS-CoV-2 antigens fused at their N-terminus with the Nef(mut) protein, i.e., a very efficient EV-anchoring protein. However, quality, tissue distribution, and efficacy of these SARS-CoV-2-specific CD8(+) T cells remained uninvestigated. To fill the gaps, antigen-specific CD8(+) T lymphocytes induced by the immunization through the Nef(mut)-based method were characterized in terms of their polyfunctionality and localization at lung airways, i.e., the primary targets of SARS-CoV-2 infection. We found that injection of vectors expressing Nef(mut)/S1 and Nef(mut)/N generated polyfunctional CD8(+) T lymphocytes in both spleens and bronchoalveolar lavage fluids (BALFs). When immunized mice were infected with 4.4 lethal doses of 50% of SARS-CoV-2, all S1-immunized mice succumbed, whereas those developing the highest percentages of N-specific CD8(+) T lymphocytes resisted the lethal challenge. We also provide evidence that the N-specific immunization coupled with the development of antigen-specific CD8(+) T-resident memory cells in lungs, supporting the idea that the Nef(mut)-based immunization can confer a long-lasting, lung-specific immune memory. In view of the limitations of current anti-SARS-CoV-2 vaccines in terms of antibody waning and efficiency against variants, our CD8(+) T cell-based platform could be considered for a new combination prophylactic strategy.</t>
  </si>
  <si>
    <t>[Ferrantelli, Flavia; Chiozzini, Chiara; Manfredi, Francesco; Leone, Patrizia; Cara, Andrea; Michelini, Zuleika; Federico, Maurizio] Ist Super San, Natl Ctr Global Hlth, Viale Regina Elena 299, I-00161 Rome, Italy; [Spada, Massimo; Di Virgilio, Antonio; Giovannelli, Andrea] Ist Super San, Natl Ctr Anim Exprimntat &amp; Welf, Viale Regina Elena 299, I-00161 Rome, Italy; [Sanchez, Massimo] Ist Super San, Core Facil, Viale Regina Elena 299, I-00161 Rome, Italy</t>
  </si>
  <si>
    <t>Federico, M (corresponding author), Ist Super San, Natl Ctr Global Hlth, Viale Regina Elena 299, I-00161 Rome, Italy.</t>
  </si>
  <si>
    <t>flavia.ferrantelli@iss.it; chiara.chiozzini@iss.it; francesco.manfredi@iss.it; patrizia.leone@iss.it; massimo.spada@iss.it; antonio.divirgilio@iss.it; andrea.giovannelli@iss.it; massimo.sanchez@iss.it; andrea.cara@iss.it; zuleika.michelini@iss.it; maurizio.federico@iss.it</t>
  </si>
  <si>
    <t>Michelini, Zuleika/J-9003-2016; Ferrantelli, Flavia/J-7794-2016; Cara, Andrea/M-4865-2015</t>
  </si>
  <si>
    <t>Michelini, Zuleika/0000-0001-6841-7396; Ferrantelli, Flavia/0000-0002-0768-1078; Chiozzini, Chiara/0000-0002-4153-0927; Cara, Andrea/0000-0003-4967-1895</t>
  </si>
  <si>
    <t>10.3390/v14020329</t>
  </si>
  <si>
    <t>WOS:000762478400001</t>
  </si>
  <si>
    <t>Qi, C; Li, Y; Yu, RQ; Zhou, SL; Wang, XG; Le, GW; Jin, QZ; Xiao, H; Sun, J</t>
  </si>
  <si>
    <t>Qi, Ce; Li, Ya; Yu, Ren-Qiang; Zhou, Sheng-Li; Wang, Xing-Guo; Le, Guo-Wei; Jin, Qing-Zhe; Xiao, Hang; Sun, Jin</t>
  </si>
  <si>
    <t>Composition and immuno-stimulatory properties of extracellular DNA from mouse gut flora</t>
  </si>
  <si>
    <t>WORLD JOURNAL OF GASTROENTEROLOGY</t>
  </si>
  <si>
    <t>Bacterial extracellular DNA; Flora; Immunestimulatory property; Gut microbiota; Mouse; Small intestine</t>
  </si>
  <si>
    <t>CPG MOTIFS; COMMENSAL DNA; BACTERIAL-DNA; MUCUS; MICROBIOTA; VESICLES; DISEASE; CELLS; DEGRANULATION; INDUCTION</t>
  </si>
  <si>
    <t>AIM To demonstrate that specific bacteria might release bacterial extracellular DNA (eDNA) to exert immunomodulatory functions in the mouse small intestine. METHODS Extracellular DNA was extracted using phosphate buffered saline with 0.5 mmol/L dithiothreitol combined with two phenol extractions. TOTO-1 iodide, a cell-impermeant and high-affinity nucleic acid stain, was used to confirm the existence of eDNA in the mucus layers of the small intestine and colon in healthy Male C57BL/6 mice. Composition difference of eDNA and intracellular DNA (iDNA) of the small intestinal mucus was studied by Illumina sequencing and terminal restriction fragment length polymorphism (T-RFLP). Stimulation of cytokine production by eDNA was studied in RAW264.7 cells in vitro. RESULTS TOTO-1 iodide staining confirmed existence of eDNA in loose mucus layer of the mouse colon and thin surface mucus layer of the small intestine. Illumina sequencing analysis and T-RFLP revealed that the composition of the eDNA in the small intestinal mucus was significantly different from that of the iDNA of the small intestinal mucus bacteria. Illumina Miseq sequencing showed that the eDNA sequences came mainly from Gram-negative bacteria of Bacteroidales S24-7. By contrast, predominant bacteria of the small intestinal flora comprised Grampositive bacteria. Both eDNA and iDNA were added to native or lipopolysaccharide-stimulated Raw267.4 macrophages, respectively. The eDNA induced significantly lower tumor necrosis factor-alpha/interleukin-10 (IL-10) and IL-6/IL-10 ratios than iDNA, suggesting the predominance for maintaining immune homeostasis of the gut. CONCLUSION Our results indicated that degraded bacterial genomic DNA was mainly released by Gram-negative bacteria, especially Bacteroidales-S24-7 and Stenotrophomonas genus in gut mucus of mice. They decreased pro-inflammatory activity compared to total gut flora genomic DNA.</t>
  </si>
  <si>
    <t>[Qi, Ce; Sun, Jin] Jiangnan Univ, Sch Biotechnol, Key Lab Carbohydrate Chem &amp; Biotechnol, Minist Educ, Wuxi 214122, Jiangsu, Peoples R China; [Qi, Ce; Li, Ya; Wang, Xing-Guo; Le, Guo-Wei; Sun, Jin] Jiangnan Univ, Sch Food Sci &amp; Technol, Wuxi 214122, Jiangsu, Peoples R China; [Yu, Ren-Qiang] Wuxi Maternal &amp; Child Hlth Hosp, Wuxi 212422, Jiangsu, Peoples R China; [Zhou, Sheng-Li] COFCO Fortune Food Sales &amp; Distribut Co, Qual Res &amp; Dev Dept, Tianjin 300452, Peoples R China; [Xiao, Hang] Univ Massachusetts, Dept Food Sci, Amherst, MA 01003 USA</t>
  </si>
  <si>
    <t>Jiangnan University; Jiangnan University; University of Massachusetts System; University of Massachusetts Amherst</t>
  </si>
  <si>
    <t>Sun, J (corresponding author), Jiangnan Univ, Sch Food Sci &amp; Technol, Wuxi 214122, Jiangsu, Peoples R China.</t>
  </si>
  <si>
    <t>sunj@jiangnan.edu.cn</t>
  </si>
  <si>
    <t>Yu, Renqiang/S-4567-2019; Xiao, Hang/Y-2797-2019</t>
  </si>
  <si>
    <t>Yu, Renqiang/0000-0001-6529-0158; Xiao, Hang/0000-0001-6194-2796</t>
  </si>
  <si>
    <t>1007-9327</t>
  </si>
  <si>
    <t>2219-2840</t>
  </si>
  <si>
    <t>NOV 28</t>
  </si>
  <si>
    <t>10.3748/wjg.v23.i44.7830</t>
  </si>
  <si>
    <t>WOS:000416214700003</t>
  </si>
  <si>
    <t>Wlodarczyk, A; Matlakowska, R</t>
  </si>
  <si>
    <t>Wlodarczyk, Agnieszka; Matlakowska, Renata</t>
  </si>
  <si>
    <t>Membrane vesicles - secretion and transport system in Grain-negative bacteria</t>
  </si>
  <si>
    <t>POSTEPY MIKROBIOLOGII</t>
  </si>
  <si>
    <t>biofilm; DNA transfer; inter-kindom communication; outer membrane vesicles; predatory OMVs; protein delivery; quorum sensing</t>
  </si>
  <si>
    <t>OUTER-MEMBRANE; PSEUDOMONAS-AERUGINOSA; ESCHERICHIA-COLI; STAPHYLOCOCCUS-AUREUS; PERIPLASMIC PROTEINS; GINGIVALIS VESICLES; VIRULENCE FACTORS; CELL; LIPOPOLYSACCHARIDE; RELEASE</t>
  </si>
  <si>
    <t>A large number of Gram-negative bacteria produce outer membrane vesicles (OMVs). They are liberated from outer membrane and range in size from 50 to 250 nm. OMV contains lipopolysaccharides, outer membrane proteins and phospholipids as well as periplasmic proteins. They are utilized for several processes including delivery of toxins to eukaryotic cells, dissemination and protection of antimicrobial factors, protein and DNA transfer. Membrane vesicles play a role in interspecies as well as inter-kingdom communication. They play a role in trafficking of quorum signals and are a major component in biofilms. Moreover they can contain enzymes important in degradation of extracellular compounds. 1. Introduction. 2. Mechanisms of OMV formation. 3. Role of OMV. 3.1. Transfer of virulence factors. 3.2. Transfer of antimicrobials. 3.3. Antibiotics inactivation. 3.4. Transfer of DNA. 3.5. Degradation of extracellular organic compounds. 3.6. Interactions with metals. 3.7. Membrane vesicles in biofilm. 4. Conclusions</t>
  </si>
  <si>
    <t>[Wlodarczyk, Agnieszka; Matlakowska, Renata] Uniwersytet Warszawski, Wydzial Biol, PL-02096 Warsaw, Poland</t>
  </si>
  <si>
    <t>University of Warsaw</t>
  </si>
  <si>
    <t>Matlakowska, R (corresponding author), Uniwersytet Warszawski, Wydzial Biol, Ul Miecznikowa 1, PL-02096 Warsaw, Poland.</t>
  </si>
  <si>
    <t>rmatlakowska@biol.uw.edu.pl</t>
  </si>
  <si>
    <t>0079-4252</t>
  </si>
  <si>
    <t>2545-3149</t>
  </si>
  <si>
    <t>WOS:000286359100008</t>
  </si>
  <si>
    <t>Pane, K; Quintavalle, C; Nuzzo, S; Ingenito, F; Roscigno, G; Affinito, A; Scognamiglio, I; Pattanayak, B; Gallo, E; Accardo, A; Thomas, G; Minic, Z; Berezovski, MV; Franzese, M; Condorelli, G</t>
  </si>
  <si>
    <t>Pane, Katia; Quintavalle, Cristina; Nuzzo, Silvia; Ingenito, Francesco; Roscigno, Giuseppina; Affinito, Alessandra; Scognamiglio, Iolanda; Pattanayak, Birlipta; Gallo, Enrico; Accardo, Antonella; Thomas, Guglielmo; Minic, Zoran; Berezovski, Maxim, V; Franzese, Monica; Condorelli, Gerolama</t>
  </si>
  <si>
    <t>Comparative Proteomic Profiling of Secreted Extracellular Vesicles from Breast Fibroadenoma and Malignant Lesions: A Pilot Study</t>
  </si>
  <si>
    <t>fibroadenoma; breast cancer; proteome; biomarker; EVs; extracellular vesicle; cell-to-cell signaling; disease monitoring; precision medicine; early diagnosis</t>
  </si>
  <si>
    <t>MASS-SPECTROMETRY; CANCER; RISK; IDENTIFICATION; BIOMARKERS</t>
  </si>
  <si>
    <t>Extracellular vesicles (EVs) shuttle proteins, RNA, DNA, and lipids crucial for cell-to-cell communication. Recent findings have highlighted that EVs, by virtue of their cargo, may also contribute to breast cancer (BC) growth and metastatic dissemination. Indeed, EVs are gaining great interest as non-invasive cancer biomarkers. However, little is known about the biological and physical properties of EVs from malignant BC lesions, and even less is understood about EVs from non-malignant lesions, such as breast fibroadenoma (FAD), which are clinically managed using conservative approaches. Thus, for this pilot study, we attempted to purify and explore the proteomic profiles of EVs from benign breast lesions, HER2+ BCs, triple-negative BCs (TNBCs), and continuous BC cell lines (i.e., BT-549, MCF-10A, and MDA-MB-231), combining experimental and semi-quantitative approaches. Of note, proteome-wide analyses showed 49 common proteins across EVs harvested from FAD, HER2+ BCs, TNBCs, and model BC lines. This is the first feasibility study evaluating the physicochemical composition and proteome of EVs from benign breast cells and primary and immortalized BC cells. Our preliminary results hold promise for possible implications in precision medicine for BC.</t>
  </si>
  <si>
    <t>[Pane, Katia; Nuzzo, Silvia; Gallo, Enrico; Franzese, Monica] IRCCS SYNLAB SDN, Via E Gianturco 113, I-80143 Naples, Italy; [Quintavalle, Cristina] Natl Res Council CNR, Inst Expt Endocrinol &amp; Oncol IEOS, Via Pansini 5, I-80131 Naples, Italy; [Ingenito, Francesco; Roscigno, Giuseppina; Affinito, Alessandra] Percuros BV, Eerbeeklaan 42, NL-2573 HT The Hague, Netherlands; [Ingenito, Francesco; Roscigno, Giuseppina; Affinito, Alessandra; Scognamiglio, Iolanda; Pattanayak, Birlipta; Condorelli, Gerolama] Federico II Univ Naples, Dept Mol Med &amp; Med Biotechnol, Via Pansini 15, I-80131 Naples, Italy; [Accardo, Antonella] Univ Naples Federico II, Dept Pharm &amp; Res, Ctr Bioact Peptides CIRPeB, Via Mezzocannone 16, I-80134 Naples, Italy; [Thomas, Guglielmo] Mediterranea Cardioctr, Breast Unit Clin Mediterranea, Via Orazio 2, I-80122 Naples, Italy; [Minic, Zoran; Berezovski, Maxim, V] Univ Ottawa, Dept Chem &amp; Biomol Sci, John L Holmes Mass Spectrometry Facil, Ottawa, ON K1N 6N5, Canada; [Condorelli, Gerolama] IRCCS Ist Neurol Mediterraneo INM Neuromed, Via Atinense 18, I-86077 Pozzilli, Italy</t>
  </si>
  <si>
    <t>Consiglio Nazionale delle Ricerche (CNR); Istituto per Endocrinologia e Oncologia Gaetano Salvatore (IEOS-CNR); University of Naples Federico II; University of Naples Federico II; University of Ottawa; IRCCS Neuromed</t>
  </si>
  <si>
    <t>Franzese, M (corresponding author), IRCCS SYNLAB SDN, Via E Gianturco 113, I-80143 Naples, Italy.;Condorelli, G (corresponding author), Federico II Univ Naples, Dept Mol Med &amp; Med Biotechnol, Via Pansini 15, I-80131 Naples, Italy.;Condorelli, G (corresponding author), IRCCS Ist Neurol Mediterraneo INM Neuromed, Via Atinense 18, I-86077 Pozzilli, Italy.</t>
  </si>
  <si>
    <t>katia.pane@synlab.it; c.quintavalle@ieos.cnr.it; silvia.nuzzo@synlab.it; francesco.ingenito@outlook.it; giusy_roscigno@yahoo.it; a.affinito@percuros.com; iolanda.scognamiglio@gmail.com; birlipta.pattanayak@gmail.com; enrico.gallo@synlab.it; antonella.accardo@unina.it; guglielmo.thomas@outlook.it; zminic@uottawa.ca; maxim.berezovski@uottawa.ca; monica.franzese@synlab.it; gecondor@unina.it</t>
  </si>
  <si>
    <t>Pane, Katia/AAA-6429-2020; Accardo, Antonella/K-3164-2016; Quintavalle, Cristina/AHH-9379-2022; Affinito, Alessandra/Q-7859-2018</t>
  </si>
  <si>
    <t>Pane, Katia/0000-0002-7594-7931; Accardo, Antonella/0000-0002-7899-2359; Scognamiglio, Iolanda/0000-0003-0276-3207; Affinito, Alessandra/0000-0002-3887-6513; Franzese, Monica/0000-0002-6490-7694; Nuzzo, Silvia/0000-0002-6537-7867</t>
  </si>
  <si>
    <t>10.3390/ijms23073989</t>
  </si>
  <si>
    <t>WOS:000781574900001</t>
  </si>
  <si>
    <t>Wang, HZ; Zeng, JH; Huang, J; Cheng, H; Chen, B; Hu, X; He, XX; Zhou, Y; Wang, KM</t>
  </si>
  <si>
    <t>Wang, Huizhen; Zeng, Jiahao; Huang, Jin; Cheng, Hong; Chen, Biao; Hu, Xing; He, Xiaoxiao; Zhou, Yue; Wang, Kemin</t>
  </si>
  <si>
    <t>A Self-Serviced-Track 3D DNA Walker for Ultrasensitive Detection of Tumor Exosomes by Glycoprotein Profiling</t>
  </si>
  <si>
    <t>3D DNA Walker; Glycoproteins; Self-Serviced-Track; Tumor Exosomes; Ultrasensitive Detection</t>
  </si>
  <si>
    <t>NANOMACHINE; CELLS</t>
  </si>
  <si>
    <t>Sensitive and accurate analysis of low-concentration of tumor-derived exosomes (Exos) in biofluids is essential for noninvasive cancer diagnosis but is still challenging due to the lack of high-sensitive methods with low-cost and easy-operation. Herein, exploiting target Exos as a three-dimensional (3D) track for the first time, we developed a self-serviced-track DNA walker (STDW) for wash-free detection of tumor Exos using exosomal glycoprotein, which was enabled by split aptamer-recognition-initiated autonomous running powered by a catalytic hairpin assembly (CHA). Benefiting from high selectivity and sensitivity of the STDW assay, direct detection of tumor Exos in cell culture medium and serum could also be realized. Furthermore, this method exhibited high accuracy in clinical sample analysis, offering the potential for early cancer diagnosis and postoperative response prediction.</t>
  </si>
  <si>
    <t>[Wang, Huizhen; Zeng, Jiahao; Huang, Jin; Cheng, Hong; Chen, Biao; He, Xiaoxiao; Wang, Kemin] Hunan Univ, Coll Biol, State Key Lab Chemo Biosensing &amp; Chemometr, Coll Chem &amp; Chem Engn,Key Lab Bionanotechnol &amp; Mo, Changsha, Peoples R China; [Zhou, Yue] Cent South Univ, Hunan Canc Hosp, Affiliated Canc Hosp, Xiangya Sch Med, Changsha, Peoples R China; [Hu, Xing] Changsha Meixihu Sanz Rehabil Hosp, Changsha, Peoples R China</t>
  </si>
  <si>
    <t>Hunan University; Central South University</t>
  </si>
  <si>
    <t>He, XX; Wang, KM (corresponding author), Hunan Univ, Coll Biol, State Key Lab Chemo Biosensing &amp; Chemometr, Coll Chem &amp; Chem Engn,Key Lab Bionanotechnol &amp; Mo, Changsha, Peoples R China.;Zhou, Y (corresponding author), Cent South Univ, Hunan Canc Hosp, Affiliated Canc Hosp, Xiangya Sch Med, Changsha, Peoples R China.</t>
  </si>
  <si>
    <t>xiaoxiaohe@hnu.edu.cn; yuezhoumed@outlook.com; kmwang@hnu.edu.cn</t>
  </si>
  <si>
    <t>e202116932</t>
  </si>
  <si>
    <t>10.1002/anie.202116932</t>
  </si>
  <si>
    <t>WOS:000767681000001</t>
  </si>
  <si>
    <t>Huang, WG; Yu, YR; Yang, CY; Zhang, XH; Shang, LR; Zu, Y; Shi, KQ</t>
  </si>
  <si>
    <t>Huang, Weiguo; Yu, Yunru; Yang, Chaoyu; Zhang, Xiaohui; Shang, Luoran; Zu, Yan; Shi, Keqing</t>
  </si>
  <si>
    <t>Aptamer decorated magnetic graphene oxide nanoparticles for effective capture of exosomes</t>
  </si>
  <si>
    <t>CHEMICAL ENGINEERING JOURNAL</t>
  </si>
  <si>
    <t>Exosomes; Graphene oxide; Magnetic nanoparticles; DNA aptamer; Liquid biopsy</t>
  </si>
  <si>
    <t>Exosomes secreted by most cells possese many biological functions and arouse great interest in biomedical research. However, the effective and convenient methods for the capture of exosomes from clinical samples or cultured cells is still scarce. In this work, we developed novel magnetic graphene oxide nanoparticles (MGONs) for the efficient capture of exosomes, in which Fe3O4@SiO2 magnetic nanoparticles (NPs) were decorated with GO through dopamine. CD63 aptamers were attached to the surface of MGONs, which could recognize and bound to CD63 on the exosome membrane. The number of exosomes adsorbed onto the MGONs surface was 1.5 times that attached to the Fe3O4@SiO2 surface. The capture rate of exosomes reached as high as 89.4% within 15 min at room temperature. Moreover, exosomes can be effectively enriched and isolated under external magnetic field and the capture process did not affect their morphological structure and biological functions. Through hybridizing with a FAM-labelled single-stranded DNA probe, the concentration of captured exosomes could also be recorded by measuring the fluorescence intensity, and the limit of detection of this system reached 2.4 x 10(7) particles/ml. These aptamer-decorated MGONs also showed potential in high-effieient capture of exosomes using cancer patients samples, which demonstrated that the resultant MGONs had significant practical values in early disease diagnosis and the related clinical applications.</t>
  </si>
  <si>
    <t>[Huang, Weiguo; Zhang, Xiaohui; Shi, Keqing] Wenzhou Med Univ, Translat Med Lab, Affiliated Hosp 1, Wenzhou 325035, Peoples R China; [Huang, Weiguo; Yu, Yunru; Yang, Chaoyu; Zu, Yan; Shi, Keqing] Univ Chinese Acad Sci, Wenzhou Inst, Joint Ctr Translat Med, Wenzhou 325001, Zhejiang, Peoples R China; [Yu, Yunru; Yang, Chaoyu; Shang, Luoran; Zu, Yan] Zhejiang Lab Regenerat Med Vis &amp; Brain Hlth, Oujiang Lab, Wenzhou 325001, Zhejiang, Peoples R China; [Shang, Luoran] Fudan Univ, Zhongshan Xuhui Hosp, Shanghai Xuhui Cent Hosp, Shanghai, Peoples R China; [Shang, Luoran] Fudan Univ, Int Colab Med Epigenet &amp; Metab, Shanghai Key Lab Med Epigenet, Minist Sci &amp; Technol,Inst Biomed Sci, Shanghai, Peoples R China</t>
  </si>
  <si>
    <t>Wenzhou Medical University; Chinese Academy of Sciences; University of Chinese Academy of Sciences, CAS; Fudan University; Fudan University</t>
  </si>
  <si>
    <t>Shi, KQ (corresponding author), Wenzhou Med Univ, Translat Med Lab, Affiliated Hosp 1, Wenzhou 325035, Peoples R China.;Zu, Y; Shi, KQ (corresponding author), Univ Chinese Acad Sci, Wenzhou Inst, Joint Ctr Translat Med, Wenzhou 325001, Zhejiang, Peoples R China.;Shang, LR; Zu, Y (corresponding author), Zhejiang Lab Regenerat Med Vis &amp; Brain Hlth, Oujiang Lab, Wenzhou 325001, Zhejiang, Peoples R China.;Shang, LR (corresponding author), Fudan Univ, Zhongshan Xuhui Hosp, Shanghai Xuhui Cent Hosp, Shanghai, Peoples R China.;Shang, LR (corresponding author), Fudan Univ, Int Colab Med Epigenet &amp; Metab, Shanghai Key Lab Med Epigenet, Minist Sci &amp; Technol,Inst Biomed Sci, Shanghai, Peoples R China.</t>
  </si>
  <si>
    <t>luoranshang@fudan.edu.cn; zuyan@foxmail.com; skochilly@wmu.edu.cn</t>
  </si>
  <si>
    <t>1385-8947</t>
  </si>
  <si>
    <t>1873-3212</t>
  </si>
  <si>
    <t>10.1016/j.cej.2021.133849</t>
  </si>
  <si>
    <t>Engineering, Environmental; Engineering, Chemical</t>
  </si>
  <si>
    <t>Engineering</t>
  </si>
  <si>
    <t>WOS:000770311200003</t>
  </si>
  <si>
    <t>Wang, C; Wang, Y; Shi, XC; Tang, XD; Cheng, W; Wang, XY; An, YN; Li, SL; Xu, HY; Li, Y; Luan, WJ; Wang, XF; Chen, ZB; Liu, MY; Yu, L</t>
  </si>
  <si>
    <t>Wang, Chao; Wang, Yang; Shi, Xiaochen; Tang, Xudong; Cheng, Wei; Wang, Xueyan; An, Yanan; Li, Shulin; Xu, Hongyue; Li, Yan; Luan, Wenjing; Wang, Xuefei; Chen, Zhaobin; Liu, Mingyuan; Yu, Lu</t>
  </si>
  <si>
    <t>The TRAPs From Microglial Vesicles Protect Against Listeria Infection in the CNS</t>
  </si>
  <si>
    <t>FRONTIERS IN CELLULAR NEUROSCIENCE</t>
  </si>
  <si>
    <t>microglia; Listeria; extracellular traps; reactive oxygen species; vesicle</t>
  </si>
  <si>
    <t>NEUTROPHIL EXTRACELLULAR TRAPS; CENTRAL-NERVOUS-SYSTEM; MATRIX METALLOPROTEINASES; PNEUMOCOCCAL MENINGITIS; INTERFERON-GAMMA; CELLS; MONOCYTOGENES; ACTIVATION; EXPRESSION; RELEASE</t>
  </si>
  <si>
    <t>Previous studies have demonstrated that T cells and microglia could fight against cerebral Listeria monocytogenes (Listeria); however, their synergistic anti-Listeria mechanisms remain unknown. Following Listeria infection in a culture system, we found that microglia, but not nerve cells, could release extracellular traps (ETs) which originated from microglial vesicles. Specific inhibitor analysis showed that extracellular DNA (eDNA), matrix metallopeptidases (MMP9 and MMP12), citrullinated histone H3, and peptidyl arginine deiminase 2 were the major components of microglial ETs (MiETs) and were also the components of vesicles. Systematic analysis indicated that Listeria-induced MiETs were cytosolic reactive oxygen species (ROS)- and NADPH oxidase (NOX)-dependent and involved ERK. MiETs were exhibited in Listeria-infected mouse brain and might protected against Listeria infection via bacterial killing in a mouse meningitis model, and MiETs existed in cerebrospinal fluid (CSF) from Listeria meningitis patients in vivo and in vitro. Additionally, interferon-gamma could induce MiET formation in Listeria-infected microglia in vitro that was mediated by NOX, and there was a positive relationship between the elevated level of IFN-gamma and eDNA and nucleosomes in the brain homogenates and CSF of Listeria meningitis model mice and in the CSF before treatment in clinical Listeria meningitis patients. Together, this is the first report of MiET formation, these findings pave the way for deeper exploration of the innate immune response to pathogens in CNS.</t>
  </si>
  <si>
    <t>[Wang, Chao; Wang, Yang; Shi, Xiaochen; Cheng, Wei; An, Yanan; Li, Shulin; Xu, Hongyue; Li, Yan; Luan, Wenjing; Wang, Xuefei; Liu, Mingyuan; Yu, Lu] Jilin Univ, Key Lab Zoonoses Res, Minist Educ, Coll Vet Med,Inst Zoonosis,Dept Infect Dis,Hosp 1, Changchun, Jilin, Peoples R China; [Tang, Xudong; Wang, Xueyan] Tsinghua Univ Shenzhen, Res Inst, Key Lab New Drug Res TCM, Shenzhen, Peoples R China; [Chen, Zhaobin] Sichuan Univ, West China Sch Publ Hlth, Chengdu, Sichuan, Peoples R China; [Chen, Zhaobin] Shenzhen Ctr Dis Control &amp; Prevent, Shenzhen, Peoples R China; [Liu, Mingyuan] Jiangsu Coinnovat Ctr Prevent &amp; Control Important, Yangzhou, Jiangsu, Peoples R China</t>
  </si>
  <si>
    <t>Jilin University; Tsinghua University; Sichuan University</t>
  </si>
  <si>
    <t>Yu, L (corresponding author), Jilin Univ, Key Lab Zoonoses Res, Minist Educ, Coll Vet Med,Inst Zoonosis,Dept Infect Dis,Hosp 1, Changchun, Jilin, Peoples R China.</t>
  </si>
  <si>
    <t>yu_lu@jlu.edu.cn</t>
  </si>
  <si>
    <t>Li, Shulin/D-6478-2011</t>
  </si>
  <si>
    <t>Wang, Yang/0000-0001-8055-9522</t>
  </si>
  <si>
    <t>1662-5102</t>
  </si>
  <si>
    <t>10.3389/fncel.2019.00199</t>
  </si>
  <si>
    <t>WOS:000467477900003</t>
  </si>
  <si>
    <t>Surmiak, M; Gielicz, A; Stojkov, D; Szatanek, R; Wawrzycka-Adamczyk, K; Yousefi, S; Simon, HU; Sanak, M</t>
  </si>
  <si>
    <t>Surmiak, Marcin; Gielicz, Anna; Stojkov, Darko; Szatanek, Rafal; Wawrzycka-Adamczyk, Katarzyna; Yousefi, Shida; Simon, Hans-Uwe; Sanak, Marek</t>
  </si>
  <si>
    <t>LTB4 and 5-oxo-ETE from extracellular vesicles stimulate neutrophils in granulomatosis with polyangiitis[S]</t>
  </si>
  <si>
    <t>JOURNAL OF LIPID RESEARCH</t>
  </si>
  <si>
    <t>neutrophil extracellular traps; reactive oxygen species; immunology; inflammation; eicosanoids; leukotrienes; leukotriene B-4; 5-oxo-eicosatetraenoic acid</t>
  </si>
  <si>
    <t>CYTOPLASMIC ANTIBODIES ANCA; 5-OXO-6,8,11,14-EICOSATETRAENOIC ACID; PLATELET MICROPARTICLES; PROINFLAMMATORY GENES; MITOCHONDRIAL-DNA; DENDRITIC CELLS; EXOSOMES; ACTIVATION; GRANULOCYTES; MICROVESICLES</t>
  </si>
  <si>
    <t>Activation of neutrophils is an important mechanism in the pathology of granulomatosis with polyangiitis (GPA). In this study, we evaluated whether extracellular vesicles (EVs) circulating in the plasma of GPA patients could contribute to this process. EVs from the plasma of GPA patients in the active stage of the disease (n = 10) and healthy controls (n = 10) were isolated by ultracentrifugation and characterized by flow cytometry (CD63, CD8) and nanoparticle tracking analysis. Targeted oxylipin lipidomics of EVs was performed by HPLC-MS/MS. EV/oxylipin-induced neutrophil extracellular traps (NETs) were analyzed by confocal microscopy, and released double-stranded DNA (dsDNA) was quantified by PicoGreen fluorescent dye. Reactive oxygen species (ROS) production and neutrophils' EV binding/uptake were evaluated by flow cytometry. Brief priming with granulocyte-macrophage colony-stimulating factor was required for EV-mediated ROS production and dsDNA release. It was observed that priming also increased EV binding/uptake by neutrophils only for EVs from GPA patients. EVs from GPA patients had higher concentrations of leukotriene (LT)B-4 and 5-oxo-eicosatetraenoic acid (5-oxo-ETE) as compared with EVs from healthy controls. Moreover, neutrophils stimulated with LTB4 or 5-oxo-ETE produced ROS and released dsDNA in a concentration-dependent manner. These results reveal the potential role of EVs containing oxylipin cargo on ROS production and NET formation by activated neutrophils.</t>
  </si>
  <si>
    <t>[Surmiak, Marcin; Gielicz, Anna; Wawrzycka-Adamczyk, Katarzyna; Sanak, Marek] Jagiellonian Univ, Med Coll, Dept Internal Med, Krakow, Poland; [Stojkov, Darko; Yousefi, Shida; Simon, Hans-Uwe] Jagiellonian Univ, Med Coll, Dept Clin Immunol, Krakow, Poland; [Szatanek, Rafal] Univ Bern, Inst Pharmacol, Bern, Switzerland</t>
  </si>
  <si>
    <t>Jagiellonian University; Collegium Medicum Jagiellonian University; Jagiellonian University; Collegium Medicum Jagiellonian University; University of Bern</t>
  </si>
  <si>
    <t>Sanak, M (corresponding author), Jagiellonian Univ, Med Coll, Dept Internal Med, Krakow, Poland.</t>
  </si>
  <si>
    <t>nfsanak@cyf-kr.edu.pl</t>
  </si>
  <si>
    <t>Yousefi, Shida/AAU-7986-2020; Wawrzycka-Adamczyk, Katarzyna/AHA-6088-2022; Simon, Hans-Uwe/AAU-5079-2020; Sanak, Marek/AAV-1628-2021; Simon, Hans-Uwe/AAU-7410-2020</t>
  </si>
  <si>
    <t>Yousefi, Shida/0000-0002-9855-4305; Wawrzycka-Adamczyk, Katarzyna/0000-0002-1439-1474; Sanak, Marek/0000-0001-7635-8103; Simon, Hans-Uwe/0000-0002-9404-7736; Surmiak, Marcin/0000-0001-8396-1488; Szatanek, Rafal/0000-0003-1327-6092</t>
  </si>
  <si>
    <t>0022-2275</t>
  </si>
  <si>
    <t>1539-7262</t>
  </si>
  <si>
    <t>10.1194/jlr.M092072</t>
  </si>
  <si>
    <t>WOS:000504723200001</t>
  </si>
  <si>
    <t>Gomez-Chavez, F; Cedillo-Pelaez, C; Zapi-Colin, LA; Gutierrez-Gonzalez, G; Martinez-Torres, I; Peralta, H; Chavez-Galan, L; Avila-Calderon, ED; Contreras-Rodriguez, A; Bartolo-Aguilar, Y; Rodriguez-Martinez, S; Cancino-Diaz, ME; Cancino-Diaz, JC</t>
  </si>
  <si>
    <t>Gomez-Chavez, Fernando; Cedillo-Pelaez, Carlos; Zapi-Colin, Luis A.; Gutierrez-Gonzalez, Guadalupe; Martinez-Torres, Isai; Peralta, Humberto; Chavez-Galan, Leslie; Avila-Calderon, Erick D.; Contreras-Rodriguez, Araceli; Bartolo-Aguilar, Yaneth; Rodriguez-Martinez, Sandra; Cancino-Diaz, Mario E.; Cancino-Diaz, Juan C.</t>
  </si>
  <si>
    <t>The Extracellular Vesicles from the Commensal Staphylococcus Epidermidis ATCC12228 Strain Regulate Skin Inflammation in the Imiquimod-Induced Psoriasis Murine Model</t>
  </si>
  <si>
    <t>Staphylococcus epidermidis; extracellular vesicles; psoriasis; skin; imiquimod; proteomics</t>
  </si>
  <si>
    <t>MEMBRANE-VESICLES; DENDRITIC CELLS; BACTERIA; DERMATITIS; DNA; INFILTRATION; INDUCTION; THERAPY; GROWTH; MICE</t>
  </si>
  <si>
    <t>Extracellular vesicles (EVs) are evaginations of the cytoplasmic membrane, containing nucleic acids, proteins, lipids, enzymes, and toxins. EVs participate in various bacterial physiological processes. Staphylococcus epidermidis interacts and communicates with the host skin. S. epidermidis' EVs may have an essential role in this communication mechanism, modulating the immunological environment. This work aimed to evaluate if S. epidermidis' EVs can modulate cytokine production by keratinocytes in vitro and in vivo using the imiquimod-induced psoriasis murine model. S. epidermidis' EVs were obtained from a commensal strain (ATC12228EVs) and a clinical isolated strain (983EVs). EVs from both origins induced IL-6 expression in HaCaT keratinocyte cultures; nevertheless, 983EVs promoted a higher expression of the pro-inflammatory cytokines VEGF-A, LL37, IL-8, and IL-17F than ATCC12228EVs. Moreover, in vivo imiquimod-induced psoriatic skin treated with ATCC12228EVs reduced the characteristic psoriatic skin features, such as acanthosis and cellular infiltrate, as well as VEGF-A, IL-6, KC, IL-23, IL-17F, IL-36 gamma, and IL-36R expression in a more efficient manner than 983EVs; however, in contrast, Foxp3 expression did not significantly change, and IL-36 receptor antagonist (IL-36Ra) was found to be increased. Our findings showed a distinctive immunological profile induction that is dependent on the clinical or commensal EV origin in a mice model of skin-like psoriasis. Characteristically, proteomics analysis showed differences in the EVs protein content, dependent on origin of the isolated EVs. Specifically, in ATCC12228EVs, we found the proteins glutamate dehydrogenase, ornithine carbamoyltransferase, arginine deiminase, carbamate kinase, catalase, superoxide dismutase, phenol-soluble beta 1/beta 2 modulin, and polyglycerol phosphate alpha-glucosyltransferase, which could be involved in the reduction of lesions in the murine imiquimod-induced psoriasis skin. Our results show that the commensal ATCC12228EVs have a greater protective/attenuating effect on the murine imiquimod-induced psoriasis by inducing IL-36Ra expression in comparison with EVs from a clinical isolate of S. epidermidis.</t>
  </si>
  <si>
    <t>[Gomez-Chavez, Fernando] Escuela Nacl Med Homeopatia, Lab Enfermedades Osteoarticulares &amp; Inmunol, Secc Estudios Posgrad &amp; Invest, Inst Politecn Nacl, Mexico City 07320, DF, Mexico; [Cedillo-Pelaez, Carlos] Inst Nacl Pediat, Lab Inmunol Expt, Secretaria Salud, Mexico City 04530, DF, Mexico; [Zapi-Colin, Luis A.; Gutierrez-Gonzalez, Guadalupe; Rodriguez-Martinez, Sandra; Cancino-Diaz, Mario E.] Escuela Nacl Ciencias Biol, Dept Inmunol, Lab Inmun Innata, Inst Politecn Nacl, Mexico City 07340, DF, Mexico; [Martinez-Torres, Isai] Inst Oftalmol Conde Valenciana, Dept Inmunol, Unidad Invest, Mexico City 06800, DF, Mexico; [Peralta, Humberto] Univ Nacl Autonoma Mexico, Ctr Ciencias Genom, Programa Gen Func Procariotes, Cuernavaca 04510, Mexico; [Chavez-Galan, Leslie] Inst Nacl Enfermedades Resp Ismael Cosio, Lab Integrat Immunol, Mexico City 14080, DF, Mexico; [Avila-Calderon, Erick D.; Contreras-Rodriguez, Araceli; Cancino-Diaz, Juan C.] Escuela Nacl Ciencias Biol, Dept Microbiol, Lab Inmunomicrobiol, Inst Politecn Nacl, Mexico City 11340, DF, Mexico; [Bartolo-Aguilar, Yaneth] Unidad Profes Interdisciplinaria Biotecnol Inst U, Mexico City 07340, DF, Mexico</t>
  </si>
  <si>
    <t>Instituto Politecnico Nacional - Mexico; Instituto Politecnico Nacional - Mexico; Universidad Nacional Autonoma de Mexico; Instituto Politecnico Nacional - Mexico</t>
  </si>
  <si>
    <t>Cancino-Diaz, ME (corresponding author), Escuela Nacl Ciencias Biol, Dept Inmunol, Lab Inmun Innata, Inst Politecn Nacl, Mexico City 07340, DF, Mexico.;Cancino-Diaz, JC (corresponding author), Escuela Nacl Ciencias Biol, Dept Microbiol, Lab Inmunomicrobiol, Inst Politecn Nacl, Mexico City 11340, DF, Mexico.</t>
  </si>
  <si>
    <t>fergocha@gmail.com; mvzcarloscedillo@hotmail.com; ouch_lazc@hotmail.com; jeulis_23@yahoo.com.mx; isaimtztorres@gmail.com; peralta@ccg.unam.mx; lchavezgalan@gmail.com; mosi6286@hotmail.com; aracelicontreras21@gmail.com; ybartolo@cinvestav.mx; sandrarodm@yahoo.com.mx; mecancinod@gmail.com; jccancinodiaz@hotmail.com</t>
  </si>
  <si>
    <t>Bartolo Aguilar, Yaneth/0000-0003-0012-9464; Cancino-Diaz, Mario Eugenio/0000-0003-0271-7892; Gomez-Chavez, Fernando/0000-0002-5050-2143; Chavez-Galan, Leslie/0000-0002-2334-0361; Gutierrez-Gonzalez, Guadalupe/0000-0002-2500-5954; PERALTA, HUMBERTO/0000-0002-4305-9606</t>
  </si>
  <si>
    <t>10.3390/ijms222313029</t>
  </si>
  <si>
    <t>WOS:000735165600001</t>
  </si>
  <si>
    <t>Nguyen, B; Wong, NC; Semple, T; Clark, M; Wong, SQ; Leslie, C; Mirzai, B; Millward, M; Meehan, K; Lim, AM</t>
  </si>
  <si>
    <t>Nguyen, Bella; Wong, Nicholas C.; Semple, Tim; Clark, Michael; Wong, Stephen Q.; Leslie, Connull; Mirzai, Bob; Millward, Michael; Meehan, Katie; Lim, Annette M.</t>
  </si>
  <si>
    <t>Low-coverage whole-genome sequencing of extracellular vesicle-associated DNA in patients with metastatic cancer</t>
  </si>
  <si>
    <t>Low-coverage whole-genome sequencing (LC-WGS) can provide insight into oncogenic molecular changes. Serum extracellular vesicles (EV) represent a novel liquid biopsy source of tumoral DNA. This study compared copy number alteration (CNA) profiles generated from LC-WGS of formalin-fixed paraffin-embedded (FFPE) tumoral DNA and EV-DNA obtained from cancer patients. Patients with squamous cell carcinoma of the base of tongue (n=3) and cutaneous squamous cell carcinoma (n=2) were included. LC-WGS (0.5-1X coverage) was performed on FFPE-DNA and serum EV-DNA. Similarity between CNA profiles was analysed using QDNAseq. FFPE samples had a mean CNA of 31 (range 17-50) over 1.9x10(9) (range 1.0-2.6x10(9)) bp in length, and EV samples had a mean CNA value of 17 (range 7-19) over 7.6x10(8) (range 2.9-15x10(8)) bp in length. A mean of 8 (range 0-21) CNA over 5.9x10(8) (range 1.6-14x10(8)) bp in length was found to overlap between EV and FFPE-derived samples per patient. Although the mean correlation efficient between samples was r=0.34 (range - .08 to 0.99), this was not statistically significant (p&gt;0.05). Regions of highest deletion and duplication in FFPE samples were not well reflected in the EV-DNA. Selected CNA regions in EV-associated DNA were reflective of the primary tumor, however appreciation of global CNA and areas of most significant change was lost. The utility of LC-WGS of EV-derived DNA is likely limited to molecular alterations of known interest.</t>
  </si>
  <si>
    <t>[Nguyen, Bella; Millward, Michael] Sir Charles Gairdner Hosp, Dept Med Oncol, Perth, WA, Australia; [Nguyen, Bella; Mirzai, Bob] Univ Western Australia, Sch Biomed Sci, Perth, WA, Australia; [Wong, Nicholas C.] Monash Univ, Monash Bioinformat Platform, Melbourne, Vic, Australia; [Semple, Tim; Wong, Stephen Q.; Lim, Annette M.] Peter MacCallum Canc Ctr, Dept Med Oncol, Melbourne, Vic, Australia; [Wong, Stephen Q.] Univ Melbourne, Sir Peter MacCallum Dept Oncol, Melbourne, Vic, Australia; [Clark, Michael; Lim, Annette M.] Edith Cowan Univ, Sch Med &amp; Hlth Sci, Joondalup, WA, Australia; [Leslie, Connull] Univ Western Australia, Sch Pathol &amp; Lab Med, Perth, WA, Australia; [Leslie, Connull; Mirzai, Bob] QEII Med Ctr, Dept Anat Pathol, PathWest, Perth, WA, Australia; [Meehan, Katie] Chinese Univ Hong Kong, Dept Otorhinolaryngol Head &amp; Neck Surg, Shatin, Hong Kong, Peoples R China; [Millward, Michael] Univ Western Australia, Sch Med, Perth, WA, Australia</t>
  </si>
  <si>
    <t>University of Western Australia; University of Western Australia; Monash University; Peter Maccallum Cancer Center; Peter Maccallum Cancer Center; University of Melbourne; Edith Cowan University; University of Western Australia; University of Western Australia; Chinese University of Hong Kong; University of Western Australia</t>
  </si>
  <si>
    <t>Lim, AM (corresponding author), Peter MacCallum Canc Ctr, Dept Med Oncol, Melbourne, Vic, Australia.;Lim, AM (corresponding author), Edith Cowan Univ, Sch Med &amp; Hlth Sci, Joondalup, WA, Australia.</t>
  </si>
  <si>
    <t>Annette.Lim@petermac.org</t>
  </si>
  <si>
    <t>; Meehan, Katie/H-5431-2014</t>
  </si>
  <si>
    <t>Wong, Stephen Q./0000-0002-7335-2168; Meehan, Katie/0000-0002-9179-4592</t>
  </si>
  <si>
    <t>10.1038/s41598-021-83436-1</t>
  </si>
  <si>
    <t>WOS:000621344600041</t>
  </si>
  <si>
    <t>Mourtzi, N; Siahanidou, T; Tsifintaris, M; Karamichali, E; Tasiopoulou, A; Sertedaki, A; Pesmatzoglou, M; Kapetanaki, A; Liosis, G; Baltatzis, G; Vlachakis, D; Chrousos, GP; Giannakakis, A</t>
  </si>
  <si>
    <t>Mourtzi, Niki; Siahanidou, Tania; Tsifintaris, Margaritis; Karamichali, Eirini; Tasiopoulou, Androniki; Sertedaki, Amalia; Pesmatzoglou, Margarita; Kapetanaki, Anastasia; Liosis, George; Baltatzis, George; Vlachakis, Dimitrios; Chrousos, George P.; Giannakakis, Antonis</t>
  </si>
  <si>
    <t>lncRNA NORAD is consistently detected in breastmilk exosomes and its expression is downregulated in mothers of preterm infants</t>
  </si>
  <si>
    <t>INTERNATIONAL JOURNAL OF MOLECULAR MEDICINE</t>
  </si>
  <si>
    <t>breastmilk; exosomes; long non-coding RNAs; preterm birth; non-coding RNA activated at DNA damage</t>
  </si>
  <si>
    <t>GROWTH-ARREST; MICRORNAS; CRNDE; PUMILIO; GENES; RNAS</t>
  </si>
  <si>
    <t>Breast milk is the ideal food for infants and undoubtedly has immediate and long-term benefits. Breast milk contains extracellular vesicles (EVs) i.e., exosomes secreted by maternal breast cells. Exosomes carry genetic material, such as long non-coding RNAs (lncRNAs), which possibly participate in cell-to-cell communications, as they are known to regulate critical gene pathways. The aim of the present study was to screen human breastmilk exosomes for their lncRNA cargo and to examine exosomal lncRNA levels associated with milk obtained from mothers that gave birth at term or prematurely (&lt;37 weeks of gestation). Samples were collected at 3 weeks postpartum from 20 healthy, breastfeeding mothers; 10 mothers had given birth at full-term and 10 mothers preterm. Exosomal RNA was extracted from all samples and the expression of 88 distinct lncRNAs was determined using reverse transcription-quantitative PCR. A total of 13 lncRNAs were detected in &gt;= 85% of the samples, while 31 were detected in &gt;= 50% of the samples. Differential expression analysis of the lncRNAs between the two groups revealed &gt;= 2-fold differences, with generally higher lncRNA concentrations found in the milk of the mothers that gave birth at term compared with those that gave birth preterm. Among these, the non-coding RNA activated at DNA damage (NORAD) was prominently detected in both groups, and its expression was significantly downregulated in the breast milk exosomes of mothers who delivered preterm. On the whole, the present study demonstrates that breast milk lncRNAs may be important factors of normal early human development. Collectively, the presence of lncRNAs in human breast milk may explain the consistent inability of researchers to fully 'humanize' animal milk.</t>
  </si>
  <si>
    <t>[Mourtzi, Niki; Sertedaki, Amalia] Natl &amp; Kapodistrian Univ Athens, Lab Mol Endocrinol, Aghia Sophia Childrens Hosp, Choremeio Res Ctr,Sch Med,Dept Pediat 1, Athens, Greece; [Siahanidou, Tania; Pesmatzoglou, Margarita] Natl &amp; Kapodistrian Univ Athens, Sch Med, Aghia Sophia Childrens Hosp, Dept Pediat 1, Athens 11527, Greece; [Tsifintaris, Margaritis; Tasiopoulou, Androniki; Giannakakis, Antonis] Democritus Univ Thrace, Dept Mol Biol &amp; Genet, Lab Gene Express Mol Diagnost &amp; Modern Therapeut, Draganas 10, Alexandroupolis 68100, Greece; [Karamichali, Eirini] Hellenic Pasteur Inst, Lab Mol Virol, Athens, Greece; [Kapetanaki, Anastasia; Liosis, George] Gen &amp; Matern Hosp Helena Venizelou, Athens 11521, Greece; [Baltatzis, George] Natl &amp; Kapodistrian Univ Athens, Sch Hlth Sci, Sch Med, Dept Pathol 1, Athens 11527, Greece; [Vlachakis, Dimitrios] Agr Univ Athens, Sch Appl Biol &amp; Biotechnol, Dept Biotechnol, Lab Genet, Athens 11855, Greece; [Vlachakis, Dimitrios; Chrousos, George P.; Giannakakis, Antonis] Natl &amp; Kapodistrian Univ Athens, Univ Res Inst Maternal &amp; Child Hlth &amp; Precis Med, 8 Thivon &amp; Livadias St, Athens 11527, Greece; [Vlachakis, Dimitrios; Chrousos, George P.; Giannakakis, Antonis] Natl &amp; Kapodistrian Univ Athens, UNESCO Chair Adolescent Hlth Care, Athens 11527, Greece</t>
  </si>
  <si>
    <t>Athens Medical School; National &amp; Kapodistrian University of Athens; The Aghia Sophia Children's Hospital; Athens Medical School; National &amp; Kapodistrian University of Athens; The Aghia Sophia Children's Hospital; Democritus University of Thrace; Athens Medical School; National &amp; Kapodistrian University of Athens; Agricultural University of Athens; National &amp; Kapodistrian University of Athens; National &amp; Kapodistrian University of Athens</t>
  </si>
  <si>
    <t>Giannakakis, A (corresponding author), Democritus Univ Thrace, Dept Mol Biol &amp; Genet, Lab Gene Express Mol Diagnost &amp; Modern Therapeut, Draganas 10, Alexandroupolis 68100, Greece.;Chrousos, GP (corresponding author), Natl &amp; Kapodistrian Univ Athens, Univ Res Inst Maternal &amp; Child Hlth &amp; Precis Med, 8 Thivon &amp; Livadias St, Athens 11527, Greece.;Chrousos, GP (corresponding author), Natl &amp; Kapodistrian Univ Athens, UNESCO Chair Adolescent Hlth Care, Athens 11527, Greece.</t>
  </si>
  <si>
    <t>chrousos@gmail.com; antgian@mbg.duth.gr</t>
  </si>
  <si>
    <t>Karamichali, Eirini/AAQ-5175-2020; Vlachakis, Dimitrios/O-4323-2018</t>
  </si>
  <si>
    <t>Karamichali, Eirini/0000-0002-9288-7854; Vlachakis, Dimitrios/0000-0003-1823-6102</t>
  </si>
  <si>
    <t>1107-3756</t>
  </si>
  <si>
    <t>1791-244X</t>
  </si>
  <si>
    <t>10.3892/ijmm.2021.5049</t>
  </si>
  <si>
    <t>WOS:000713665000001</t>
  </si>
  <si>
    <t>Paproski, RJ; Jovel, J; Wong, GKS; Lewis, JD; Zemp, RJ</t>
  </si>
  <si>
    <t>Paproski, Robert J.; Jovel, Juan; Wong, Gane Ka-Shu; Lewis, John D.; Zemp, Roger J.</t>
  </si>
  <si>
    <t>Enhanced Detection of Cancer Biomarkers in Blood-Borne Extracellular Vesicles Using Nanodroplets and Focused Ultrasound</t>
  </si>
  <si>
    <t>PROSTATE-CANCER; MESSENGER-RNA; PHASE-SHIFT; IN-VITRO; MODEL; CELLS; CAVITATION; METASTASES; EXOSOMES; THERAPY</t>
  </si>
  <si>
    <t>The feasibility of personalized medicine approaches will be greatly improved by the development of noninvasive methods to interrogate tumor biology. Extracellular vesicles shed by solid tumors into the bloodstream have been under recent investigation as a source of tumor-derived biomarkers such as proteins and nucleic acids. We report here an approach using submicrometer perfluorobutane nanodroplets and focused ultrasound to enhance the release of extracellular vesicles from specific locations in tumors into the blood. The released extracellular vesicles were enumerated and characterized using micro flow cytometry. Only in the presence of nanodroplets could ultrasound release appreciable levels of tumor-derived vesicles into the blood. Sonication of HT1080-GFP tumors did not increase the number of circulating tumor cells or the metastatic burden in the tumor-bearing embryos. A variety of biological molecules were successfully detected tumor-derived extracellular vesicles, including cancer-associated proteins, mRNAs, and miRNAs. Sonication of xenograft HT1080 fibrosarcoma tumors released extracellular vesicles that contained detectable RAC1 mRNA with the highly tumorigenic N92I mutation known to exist in HT1080 cells. Deep sequencing serum samples of embryos with sonicated tumors allowed the identification of an additional 13 known heterozygous mutations in HT1080 cells. Applying ultrasound to HT1080 tumors increased tumor-derived DNA in the serum by two orders of magnitude. This work is the first demonstration of enhanced extracellular vesicle release by ultrasound stimulation and suggests that nanodroplets/ultrasound offers promise for genetic profiling of tumor phenotype and aggressiveness by stimulating the release of extracellular vesicles. (C) 2016 AACR.</t>
  </si>
  <si>
    <t>[Paproski, Robert J.; Zemp, Roger J.] Univ Alberta, Dept Elect &amp; Comp Engn, Edmonton, AB, Canada; [Jovel, Juan; Wong, Gane Ka-Shu] Univ Alberta, Dept Biol Sci, Edmonton, AB, Canada; [Jovel, Juan; Wong, Gane Ka-Shu] Univ Alberta, Dept Med, Edmonton, AB, Canada; [Wong, Gane Ka-Shu] BGI Shenzhen, Beishan Ind Zone, Shenzhen, Peoples R China; [Paproski, Robert J.; Lewis, John D.] Univ Alberta, Dept Oncol, Edmonton, AB, Canada</t>
  </si>
  <si>
    <t>University of Alberta; University of Alberta; University of Alberta; Beijing Genomics Institute (BGI); University of Alberta</t>
  </si>
  <si>
    <t>Zemp, RJ (corresponding author), Univ Alberta, Donadeo ICE 13-340, Edmonton, AB T6G 2V4, Canada.;Lewis, JD (corresponding author), Univ Alberta, 5-142C Katz Grp Bldg,114th St &amp; 87th Ave, Edmonton, AB T6G 2E1, Canada.</t>
  </si>
  <si>
    <t>jdlewis@ualberta.ca; rzemp@ualberta.ca</t>
  </si>
  <si>
    <t>WONG, Gane Ka-Shu/G-5784-2013</t>
  </si>
  <si>
    <t>WONG, Gane Ka-Shu/0000-0001-6108-5560</t>
  </si>
  <si>
    <t>10.1158/0008-5472.CAN-15-3231</t>
  </si>
  <si>
    <t>WOS:000393187900001</t>
  </si>
  <si>
    <t>Kanuma, T; Yamamoto, T; Kobiyama, K; Moriishi, E; Masuta, Y; Kusakabe, T; Ozasa, K; Kuroda, E; Jounai, N; Ishii, KJ</t>
  </si>
  <si>
    <t>Kanuma, Tomohiro; Yamamoto, Takuya; Kobiyama, Kouji; Moriishi, Eiko; Masuta, Yuji; Kusakabe, Takato; Ozasa, Koji; Kuroda, Etsushi; Jounai, Nao; Ishii, Ken J.</t>
  </si>
  <si>
    <t>CD63-Mediated Antigen Delivery into Extracellular Vesicles via DNA Vaccination Results in Robust CD8(+) T Cell Responses</t>
  </si>
  <si>
    <t>JOURNAL OF IMMUNOLOGY</t>
  </si>
  <si>
    <t>IMMUNE-RESPONSES; IN-VIVO; NEOANTIGEN LANDSCAPE; APOPTOTIC CELLS; EXOSOMES; VACCINES; ACTIVATION; BIODISTRIBUTION; IMMUNIZATION; ERADICATION</t>
  </si>
  <si>
    <t>DNAvaccines are attractive immunogens for priming humoral and cellular immune responses to the encoded Ag. However, their ability to induce Ag-specific CD8(+) T cell responses requires improvement. Among the strategies for improving DNA vaccine immunogenicity are booster vaccinations, alternate vaccine formulations, electroporation, and genetic adjuvants, but few, such as extracellular vesicles (EVs), target natural Ag delivery systems. By focusing on CD63, a tetraspanin protein expressed on various cellular membranes, including EVs, we examined whether a DNAvaccine encoding an Ag fused to CD63 delivered into EVs would improve vaccine immunogenicity. In vitro transfection with plasmid DNA encoding an OVA Ag fused to CD63 (pCD63-OVA) produced OVA-carrying EVs. Immunizations with the purified OVA-carrying EVs primed naive mice to induce OVA-specific CD4(+) and CD8(+) T cells, whereas immunization with EVs purified from cells transfected with control plasmids encoding OVA protein alone or a calnexin-OVA fusion protein delivered into the endoplasmic reticulum failed to do so. Vaccinating mice with pCD63-OVA induced potent Ag-specific T cell responses, particularly those from CD8(+) T cells. CD63 delivery into EVs led to better CD8(+) T cell responses than calnexin delivery into the endoplasmic reticulum. When we used a mouse tumor implantation model to evaluate pCD63-OVA as a therapeutic vaccine, the EV-delivered DNA vaccination significantly inhibited tumor growth compared with the control DNA vaccinations. These results indicate that EV Ag delivery via DNA vaccination offers a new strategy for eliciting strong CD8(+) T cell responses to the encoded Ag, making it a potentially useful cancer vaccine.</t>
  </si>
  <si>
    <t>[Kanuma, Tomohiro; Yamamoto, Takuya; Kobiyama, Kouji; Moriishi, Eiko; Masuta, Yuji; Kusakabe, Takato; Ozasa, Koji; Kuroda, Etsushi; Jounai, Nao; Ishii, Ken J.] Natl Inst Biomed Innovat Hlth &amp; Nutr, Lab Adjuvant Innovat, 7-6-8 Saito Asagi, Osaka 5670085, Japan; [Kanuma, Tomohiro; Yamamoto, Takuya; Kobiyama, Kouji; Kusakabe, Takato; Kuroda, Etsushi; Ishii, Ken J.] World Premier Int Immunol Frontier Res Ctr, Lab Vaccine Sci, Osaka 5650871, Japan; [Kobiyama, Kouji] La Jolla Inst Allergy &amp; Immunol, La Jolla, CA 92037 USA; [Ozasa, Koji] Yokohama City Univ, Grad Sch Med, Dept Pediat, Yokohama, Kanagawa 2360004, Japan</t>
  </si>
  <si>
    <t>La Jolla Institute for Immunology; Yokohama City University</t>
  </si>
  <si>
    <t>Ishii, KJ (corresponding author), Natl Inst Biomed Innovat Hlth &amp; Nutr, Lab Adjuvant Innovat, 7-6-8 Saito Asagi, Osaka 5670085, Japan.</t>
  </si>
  <si>
    <t>kenishii@biken.osaka-u.ac.jp</t>
  </si>
  <si>
    <t>Yamamoto, Takuya/L-2642-2013; Ishii, Ken J/B-1685-2012</t>
  </si>
  <si>
    <t>Yamamoto, Takuya/0000-0003-3753-1211; Ishii, Ken J/0000-0002-6728-3872</t>
  </si>
  <si>
    <t>0022-1767</t>
  </si>
  <si>
    <t>1550-6606</t>
  </si>
  <si>
    <t>10.4049/jimmunol.1600731</t>
  </si>
  <si>
    <t>WOS:000405271300017</t>
  </si>
  <si>
    <t>Hargitai, R; Kis, D; Persa, E; Szatmari, T; Safrany, G; Lumniczky, K</t>
  </si>
  <si>
    <t>Hargitai, Rita; Kis, David; Persa, Eszter; Szatmari, Tunde; Safrany, Geza; Lumniczky, Katalin</t>
  </si>
  <si>
    <t>Oxidative Stress and Gene Expression Modifications Mediated by Extracellular Vesicles: An In Vivo Study of the Radiation-Induced Bystander Effect</t>
  </si>
  <si>
    <t>antioxidant enzymes; apoptosis; DNA damage repair; extracellular vesicles; gene expression; ionising radiation; lipid peroxidation; oxidative damage</t>
  </si>
  <si>
    <t>STRAND BREAK REPAIR; IONIZING-RADIATION; DNA-DAMAGE; CELLS; ATM</t>
  </si>
  <si>
    <t>Radiation-induced bystander effect is a biological response in nonirradiated cells receiving signals from cells exposed to ionising radiation. The aim of this in vivo study was to analyse whether extracellular vesicles (EVs) originating from irradiated mice could induce modifications in the redox status and expression of radiation-response genes in bystander mice. C57BL/6 mice were whole-body irradiated with 0.1-Gy and 2-Gy X-rays, and EVs originating from mice irradiated with the same doses were injected into naive, bystander mice. Lipid peroxidation in the spleen and plasma reactive oxygen metabolite (ROM) levels increased 24 h after irradiation with 2 Gy. The expression of antioxidant enzyme genes and inducible nitric oxide synthase 2 (iNOS2) decreased, while cell cycle arrest-, senescence- and apoptosis-related genes were upregulated after irradiation with 2 Gy. In bystander mice, no significant alterations were observed in lipid peroxidation or in the expression of genes connected to cell cycle arrest, senescence and apoptosis. However, there was a systemic increase in the circulating ROM level after an intravenous EV injection, and EVs originating from 2-Gy-irradiated mice caused a reduced expression of antioxidant enzyme genes and iNOS2 in bystander mice. In conclusion, we showed that ionising radiation-induced alterations in the cellular antioxidant system can be transmitted in vivo in a bystander manner through EVs originating from directly irradiated animals.</t>
  </si>
  <si>
    <t>[Hargitai, Rita; Kis, David; Persa, Eszter; Szatmari, Tunde; Safrany, Geza; Lumniczky, Katalin] Natl Publ Hlth Ctr, Dept Radiobiol &amp; Radiohyg, Radiat Med Unit, H-1221 Budapest, Hungary</t>
  </si>
  <si>
    <t>Lumniczky, K (corresponding author), Natl Publ Hlth Ctr, Dept Radiobiol &amp; Radiohyg, Radiat Med Unit, H-1221 Budapest, Hungary.</t>
  </si>
  <si>
    <t>hargitai.rita@osski.hu; kis.david@osski.hu; persa.eszter@osski.hu; szatmari.tunde@osski.hu; safrany.geza@osski.hu; lumniczky.katalin@osski.hu</t>
  </si>
  <si>
    <t>Szatmari, Tunde/0000-0001-7727-9589; Safrany, Geza/0000-0001-9641-8732; Lumniczky, Katalin/0000-0001-8661-1854</t>
  </si>
  <si>
    <t>10.3390/antiox10020156</t>
  </si>
  <si>
    <t>WOS:000622007300001</t>
  </si>
  <si>
    <t>Zhang, JL; Zhu, YF; Shi, JJ; Zhang, KX; Zhang, ZZ; Zhang, HL</t>
  </si>
  <si>
    <t>Zhang, Junli; Zhu, Yifan; Shi, Jinjin; Zhang, Kaixiang; Zhang, Zhenzhong; Zhang, Hongling</t>
  </si>
  <si>
    <t>Sensitive Signal Amplifying a Diagnostic Biochip Based on a Biomimetic Periodic Nanostructure for Detecting Cancer Exosomes</t>
  </si>
  <si>
    <t>exosomes; cancer detection; GPC1; photonic crystals; signal amplification</t>
  </si>
  <si>
    <t>SERUM EXTRACELLULAR VESICLES; CIRCULATING EXOSOMES; PHOTONIC CRYSTALS; CARCINOMA; EXPRESSION; MARKERS; BLOOD</t>
  </si>
  <si>
    <t>Tumor-derived exosomes are emerging noninvasive biomarker reservoirs that reflect biological information from their parental cells, especially specific markers, including proteins, DNA fragments and RNAs. Recently, analytical methods of tumor-derived exosomes have been increasing growth. However, developing a convenient signal amplification technique to improve the sensitivity of exosomes detection still remains a challenge. Herein, an ultrasensitive and specific exosomes diagnostic biochip is constructed and further applied to circulating tumor exosomes detection in serum. Using an exosomes diagnostic biochip, signal amplification is achieved by combining the advantages of quantum dots with the biomimetic periodic nanostructure of photonic crystals. Glypican-1 (GPC1), a membrane-anchored protein that is overexpressed in exosomes from pancreatic cancer, is detected using nanosized molecular beacons with high luminescence efficiency; then the signal is amplified through photonic crystals. Moreover, the method allows the quantitative analysis of various disease-specific surface proteins on exosomes. We believe that this exosomes diagnostic biochip is likely to have potential as an effective bioassay, which may be helpful for quantification of disease-specific exosomes in clinical use.</t>
  </si>
  <si>
    <t>[Zhang, Junli; Zhu, Yifan; Shi, Jinjin; Zhang, Kaixiang; Zhang, Zhenzhong; Zhang, Hongling] Zhengzhou Univ, Sch Pharmaceut Sci, Zhengzhou 450001, Henan, Peoples R China; [Zhang, Zhenzhong; Zhang, Hongling] Key Lab Targeting Therapy &amp; Diag Crit Dis, Zhengzhou 450001, Henan, Peoples R China</t>
  </si>
  <si>
    <t>Zhang, HL (corresponding author), Zhengzhou Univ, Sch Pharmaceut Sci, Zhengzhou 450001, Henan, Peoples R China.;Zhang, HL (corresponding author), Key Lab Targeting Therapy &amp; Diag Crit Dis, Zhengzhou 450001, Henan, Peoples R China.</t>
  </si>
  <si>
    <t>zhanghongling729@zzu.edu.cn</t>
  </si>
  <si>
    <t>JUL 29</t>
  </si>
  <si>
    <t>10.1021/acsami.0c06785</t>
  </si>
  <si>
    <t>WOS:000557854700003</t>
  </si>
  <si>
    <t>Rikkert, LG; Engelaer, M; Hau, CM; Terstappen, LWMM; Nieuwland, R; Coumans, FAW</t>
  </si>
  <si>
    <t>Rikkert, Linda G.; Engelaer, Mendel; Hau, Chi M.; Terstappen, Leon W. M. M.; Nieuwland, Rienk; Coumans, Frank A. W.</t>
  </si>
  <si>
    <t>Rate zonal centrifugation can partially separate platelets from platelet-derived vesicles</t>
  </si>
  <si>
    <t>RESEARCH AND PRACTICE IN THROMBOSIS AND HAEMOSTASIS</t>
  </si>
  <si>
    <t>biomarkers; blood platelets; centrifugation; extracellular vesicles; flow cytometry</t>
  </si>
  <si>
    <t>EXTRACELLULAR VESICLES; MICROPARTICLES; DNA</t>
  </si>
  <si>
    <t>Background Centrifugation is commonly used as a first step to enrich biomarkers from blood. Biomarkers are separated on the basis of density and/or diameter. However, the centrifugation protocol affects the yield and purity of biomarkers, for example, isolation of platelets results in co-isolation with extracellular vesicles (EVs). Objective To assess the ability of rate zonal centrifugation (RZC) to separate platelets from co-isolated EVs. Methods Using a linear Optiprep gradient, RZC was able to separate a mixture of beads with different diameters but similar density. Next, RZC was applied to samples containing both platelets and platelet-derived EVs (n = 3). After RZC, all fractions were collected and stained with anti-CD61-Alexa 488 to measure the concentrations of platelets and platelet-derived EVs by flow cytometry. Results We confirm that RZC separates polystyrene beads with diameters of 140 nm, 380 nm and 1,000 nm. Next, we show that the majority of platelets occur in fractions 8-19, whereas the majority of platelet-derived EVs are detectable in fractions 1-7. Furthermore, each fraction contains a different diameter range of platelets, which suggests that separation is indeed diameter based. Conclusion RZC can partially separate platelets from EVs.</t>
  </si>
  <si>
    <t>[Rikkert, Linda G.; Terstappen, Leon W. M. M.] Univ Twente, Dept Med Cell BioPhys, Enschede, Netherlands; [Rikkert, Linda G.; Engelaer, Mendel; Hau, Chi M.; Nieuwland, Rienk; Coumans, Frank A. W.] Univ Amsterdam, Lab Expt Clin Chem, Amsterdam UMC, Meibergdreef 9, NL-1105 AZ Amsterdam, Netherlands; [Rikkert, Linda G.; Engelaer, Mendel; Hau, Chi M.; Nieuwland, Rienk; Coumans, Frank A. W.] Univ Amsterdam, Vesicle Observat Ctr, Amsterdam UMC, Amsterdam, Netherlands</t>
  </si>
  <si>
    <t>University of Twente; University of Amsterdam; University of Amsterdam</t>
  </si>
  <si>
    <t>Rikkert, LG (corresponding author), Univ Amsterdam, Lab Expt Clin Chem, Amsterdam UMC, Meibergdreef 9, NL-1105 AZ Amsterdam, Netherlands.</t>
  </si>
  <si>
    <t>l.g.rikkert@amsterdamumc.nl</t>
  </si>
  <si>
    <t>terstappen, leon/O-4923-2018</t>
  </si>
  <si>
    <t>terstappen, leon/0000-0001-5944-3787</t>
  </si>
  <si>
    <t>2475-0379</t>
  </si>
  <si>
    <t>10.1002/rth2.12366</t>
  </si>
  <si>
    <t>JUL 2020</t>
  </si>
  <si>
    <t>WOS:000547877300001</t>
  </si>
  <si>
    <t>Zoller, M</t>
  </si>
  <si>
    <t>Grutzmann, R; Pilarsky, C</t>
  </si>
  <si>
    <t>Zoeller, Margot</t>
  </si>
  <si>
    <t>Exosomes in Cancer Disease</t>
  </si>
  <si>
    <t>CANCER GENE PROFILING: Methods and Protocols</t>
  </si>
  <si>
    <t>Exosome; Next-generation sequencing; Pancreatic cancer</t>
  </si>
  <si>
    <t>CELL-DERIVED EXOSOMES; REVEAL DIFFERENTIAL EXPRESSION; TO-MESENCHYMAL TRANSITION; EXTRACELLULAR VESICLES; STEM-CELLS; PLASMA-MEMBRANE; DENDRITIC CELLS; TUMOR EXOSOMES; IN-VITRO; INTERCELLULAR COMMUNICATION</t>
  </si>
  <si>
    <t>Cancer diagnosis and therapy is steadily improving. Still, diagnosis is frequently late and diagnosis and follow-up procedures mostly are time-consuming and expensive. Searching for tumor-derived exosomes (TEX) in body fluids may provide an alternative, minimally invasive, yet highly reliable diagnostic tool. Beyond this, there is strong evidence that TEX could become a potent therapeutics. Exosomes, small vesicles delivered by many cells of the organism, are found in all body fluids. Exosomes are characterized by lipid composition, common and donor cell specific proteins, mRNA, small non-coding RNA including miRNA and DNA. Particularly the protein and miRNA markers received much attention as they may allow for highly specific diagnosis and can provide hints toward tumor aggressiveness and progression, where exosome-based diagnosis and follow-up is greatly facilitated by the recovery of exosomes in body fluids, particularly the peripheral blood. Beyond this, exosomes are the most important intercellular communicators that modulate, instruct, and reprogram their surrounding as well as distant organs. In concern about TEX this includes message transfer from tumor cells toward the tumor stroma, the premetastatic niche, the hematopoietic system and, last but not least, the instruction of noncancer stem cells by cancer-initiating cells (CIC). Taking this into account, it becomes obvious that tailored exosomes offer themselves as potent therapeutic delivery system. In brief, during the last 4-5 years there is an ever-increasing, overwhelming interest in exosome research. This boom appears fully justified provided the content of the exosomes becomes most thoroughly analyzed and their mode of intercellular interaction can be unraveled in detail as this knowledge will open new doors toward cancer diagnosis and therapy including immunotherapy and CIC reprogramming.</t>
  </si>
  <si>
    <t>[Zoeller, Margot] Univ Hosp Surg, Tumor Cell Biol, Heidelberg, Germany</t>
  </si>
  <si>
    <t>Ruprecht Karls University Heidelberg</t>
  </si>
  <si>
    <t>Zoller, M (corresponding author), Univ Hosp Surg, Tumor Cell Biol, Heidelberg, Germany.</t>
  </si>
  <si>
    <t>978-1-4939-3204-7; 978-1-4939-3203-0</t>
  </si>
  <si>
    <t>10.1007/978-1-4939-3204-7_7</t>
  </si>
  <si>
    <t>10.1007/978-1-4939-3204-7</t>
  </si>
  <si>
    <t>WOS:000687329200008</t>
  </si>
  <si>
    <t>Marczak, S; Richards, K; Ramshani, Z; Smith, E; Senapati, S; Hill, R; Go, DB; Chang, HC</t>
  </si>
  <si>
    <t>Marczak, Steven; Richards, Katherine; Ramshani, Zeinab; Smith, Elaine; Senapati, Satyajyoti; Hill, Reginald; Go, David B.; Chang, Hsueh-Chia</t>
  </si>
  <si>
    <t>Simultaneous isolation and preconcentration of exosomes by ion concentration polarization</t>
  </si>
  <si>
    <t>ELECTROPHORESIS</t>
  </si>
  <si>
    <t>Exosomes; Ion concentration polarization; Microfluidics</t>
  </si>
  <si>
    <t>TUMOR-DERIVED EXOSOMES; EXTRACELLULAR VESICLES; BREAST-MILK; MICRORNA SIGNATURES; PORE-SIZE; CANCER; CELLS; BIOMARKERS; BLOOD; DNA</t>
  </si>
  <si>
    <t>Exosomes carry microRNA biomarkers, occur in higher abundance in cancerous patients than in healthy ones, and because they are present in most biofluids, including blood and urine, these can be obtained noninvasively. Standard laboratory techniques to isolate exosomes are expensive, time consuming, provide poor purity, and recover on the order of 25% of the available exosomes. We present a new microfluidic technique to simultaneously isolate exosomes and preconcentrate them by electrophoresis using a high transverse local electric field generated by ion-depleting ion-selective membrane. We use pressure-driven flow to deliver an exosome sample to a microfluidic chip such that the transverse electric field forces them out of the cross flow and into an agarose gel which filters out unwanted cellular debris while the ion-selective membrane concentrates the exosomes through an enrichment effect. We efficiently isolated exosomes from 1x PBS buffer, cell culture media, and blood serum. Using flow rates from 150 to 200L/h and field strengths of 100V/cm, we consistently captured between 60 and 80% of exosomes from buffer, cell culture media, and blood serum as confirmed by both fluorescence spectroscopy and nanoparticle tracking analysis. Our microfluidic chip maintained this recovery rate for more than 20min with a concentration factor of 15 for 10min of isolation.</t>
  </si>
  <si>
    <t>[Marczak, Steven; Ramshani, Zeinab; Smith, Elaine; Senapati, Satyajyoti; Go, David B.; Chang, Hsueh-Chia] Univ Notre Dame, Dept Chem &amp; Biomol Engn, Notre Dame, IN 46556 USA; [Richards, Katherine; Hill, Reginald] Univ Notre Dame, Dept Biol Sci, Notre Dame, IN 46556 USA; [Richards, Katherine; Ramshani, Zeinab; Hill, Reginald] Univ Notre Dame, Harper Canc Res Inst, Notre Dame, IN 46556 USA; [Go, David B.; Chang, Hsueh-Chia] Univ Notre Dame, Dept Aerosp &amp; Mech Engn, Notre Dame, IN 46556 USA</t>
  </si>
  <si>
    <t>University of Notre Dame; University of Notre Dame; University of Notre Dame; University of Notre Dame</t>
  </si>
  <si>
    <t>Chang, HC (corresponding author), Univ Notre Dame, 118B Cushing Hall Engn, Notre Dame, IN 46556 USA.</t>
  </si>
  <si>
    <t>hchang@nd.edu</t>
  </si>
  <si>
    <t>Chang, Hsueh-Chia/E-8048-2012; Go, David/A-7019-2013</t>
  </si>
  <si>
    <t>Chang, Hsueh-Chia/0000-0003-2147-9260; Go, David/0000-0001-8948-1442</t>
  </si>
  <si>
    <t>0173-0835</t>
  </si>
  <si>
    <t>1522-2683</t>
  </si>
  <si>
    <t>10.1002/elps.201700491</t>
  </si>
  <si>
    <t>WOS:000440549300022</t>
  </si>
  <si>
    <t>Radnaa, E; Richardson, LS; Sheller-Miller, S; Baljinnyam, T; Silva, MD; Kammala, AK; Urrabaz-Garza, R; Kechichian, T; Kim, S; Han, A; Menon, R</t>
  </si>
  <si>
    <t>Radnaa, Enkhtuya; Richardson, Lauren S.; Sheller-Miller, Samantha; Baljinnyam, Tuvshintugs; de Castro Silva, Mariana; Kumar Kammala, Ananth; Urrabaz-Garza, Rheanna; Kechichian, Talar; Kim, Sungjin; Han, Arum; Menon, Ramkumar</t>
  </si>
  <si>
    <t>Extracellular vesicle mediated feto-maternal HMGB1 signaling induces preterm birth</t>
  </si>
  <si>
    <t>INFLAMMATORY RESPONSE; PROTEIN; SENESCENCE; EXOSOMES; DAMAGE; ELECTROPORATION; MEMBRANES; LABOR; DNA; RECEPTORS</t>
  </si>
  <si>
    <t>Preterm birth (PTB; &lt;37 weeks of gestation) impacts similar to 11% of all pregnancies and contributes to 1 million neonatal deaths worldwide annually. An understanding of the feto-maternal (F-M) signals that initiate birthing (parturition) at term is critical to design strategies to prevent their premature activation, resulting in PTB. Although endocrine and immune cell signaling are well-reported, fetal-derived paracrine signals capable of transitioning quiescent uterus to an active state of labor are poorly studied. Recent reports have suggested that senescence of the fetal amnion membrane coinciding with fetal growth and maturation generates inflammatory signals capable of triggering parturition. This is by increasing the inflammatory load at the feto-maternal interface (FMi) tissues (i.e., amniochorion-decidua). High mobility group box 1 protein (HMGB1), an alarmin, is one of the inflammatory signals released by senescent amnion cells via extracellular vesicles (exosomes; 40-160 nm). Increased levels of HMGB1 in the amniotic fluid, cord and maternal blood are associated with term and PTB. This study tested the hypothesis that senescent amnion cells release HMGB1, which is fetal signaling capable of increasing FMi inflammation, predisposing them to parturition. To test this hypothesis, exosomes from amnion epithelial cells (AECs) grown under normal conditions were engineered to contain HMGB1 by electroporation (eHMGB1). eHMGB1 was characterized (quantity, size, shape, markers and loading efficiency), and its propagation through FMi was tested using a four-chamber microfluidic organ-on-a-chip device (FMi-OOC) that contained four distinct cell types (amnion and chorion mesenchymal, chorion trophoblast and decidual cells) connected through microchannels. eHMGB1 propagated through the fetal cells and matrix to the maternal decidua and increased inflammation (receptor expression [RAGE and TLR4] and cytokines). Furthermore, intra-amniotic injection of eHMGB1 (containing 10 ng) into pregnant CD-1 mice on embryonic day 17 led to PTB. Injecting carboxyfluorescein succinimidyl ester (CFSE)-labeled eHMGB1, we determined in vivo kinetics and report that eHMGB1 trafficking resulting in PTB was associated with increased FMi inflammation. This study determined that fetal exosome mediated paracrine signaling can generate inflammation and induce parturition. Besides, in vivo functional validation of FMi-OOC experiments strengthens the reliability of such devices to test physiologic and pathologic systems.</t>
  </si>
  <si>
    <t>[Radnaa, Enkhtuya; Richardson, Lauren S.; Sheller-Miller, Samantha; de Castro Silva, Mariana; Kumar Kammala, Ananth; Urrabaz-Garza, Rheanna; Kechichian, Talar; Menon, Ramkumar] Univ Texas Med Branch Galveston, Dept Obstet &amp; Gynecol, Div Maternal Fetal Med &amp; Perinatal Res, 301 Univ Blvd, Galveston, TX 77555 USA; [Richardson, Lauren S.; Kim, Sungjin; Han, Arum] Texas A&amp;M Univ, Dept Biomed Engn, Dept Elect &amp; Comp Engn, College Stn, TX USA; [Baljinnyam, Tuvshintugs] Univ Texas Med Branch Galveston, Dept Pharmacol &amp; Toxicol, Galveston, TX USA</t>
  </si>
  <si>
    <t>University of Texas System; University of Texas Medical Branch Galveston; Texas A&amp;M University System; Texas A&amp;M University College Station; University of Texas System; University of Texas Medical Branch Galveston</t>
  </si>
  <si>
    <t>Menon, R (corresponding author), Univ Texas Med Branch Galveston, Dept Obstet &amp; Gynecol, Div Maternal Fetal Med &amp; Perinatal Res, 301 Univ Blvd, Galveston, TX 77555 USA.</t>
  </si>
  <si>
    <t>ra2menon@utmb.edu</t>
  </si>
  <si>
    <t>Radnaa, Enkhtuya/AAT-4116-2021; de Castro Silva, Mariana/AFN-8122-2022; Han, Arum/C-7078-2013</t>
  </si>
  <si>
    <t>Radnaa, Enkhtuya/0000-0001-8142-8137; de Castro Silva, Mariana/0000-0002-2251-9730; Han, Arum/0000-0002-9223-8301; Richardson, Lauren/0000-0001-8392-2833</t>
  </si>
  <si>
    <t>MAY 21</t>
  </si>
  <si>
    <t>10.1039/d0lc01323d</t>
  </si>
  <si>
    <t>WOS:000635227600001</t>
  </si>
  <si>
    <t>Setzer, F; Oberle, V; Blass, M; Moller, E; Russwurm, S; Deigner, HP; Claus, RA; Bauer, M; Reinhart, K; Losche, W</t>
  </si>
  <si>
    <t>Setzer, Florian; Oberle, Volker; Blaess, Markus; Moeller, Eva; Russwurm, Stefan; Deigner, Hans-Peter; Claus, Ralf A.; Bauer, Michael; Reinhart, Konrad; Loesche, Wolfgang</t>
  </si>
  <si>
    <t>Platelet-derived microvesicles induce differential gene expression in monocytic cells: A DNA microarray study</t>
  </si>
  <si>
    <t>PLATELETS</t>
  </si>
  <si>
    <t>hemostasis; inflammation; platelet-derived microvesicles; gene expression; sphingosine kinase-1</t>
  </si>
  <si>
    <t>TISSUE FACTOR; CELLULAR MICROPARTICLES; SYSTEMIC INFLAMMATION; ACTIVATION; BLOOD; ADHESION; STRESS; MATURE</t>
  </si>
  <si>
    <t>Platelet-derived microvesicles (PMV) that are shed from the plasma membrane of activated platelets, expose various platelet-type antigens on their surface and are able to adhere to other blood cells and endothelial cells. There are several clinical conditions with markedly increased numbers of PMV, e.g. acute coronary syndrome, thrombotic microangiopathy and sepsis. To prove whether PMV may contribute to an inflammatory response we used DNA microarray technology to study the effect of PMV on gene expression in the prototypic monocytic cell line MonoMac 6 (MM6). PMV were generated by activating human platelets in plasma with collagen and subsequent removal of platelets and plasma by repeated centrifugation. MM6 were incubated for 2 h with PMV in a ratio corresponding to 7 5 platelets/cell, or saline as control. After RNA isolation, reverse transcription and fluorescence labelling, cDNA was hybridized on a medium density microarray comprising 5308 probes addressing 4868 transcripts of 4730 human genes relevant to inflammation, immune response and related processes. The formation of PMV-MM6 conjugates was associated with significant variations in gene expression, i.e. 93 genes were found to be differentially expressed (P &lt; 0.001; q &lt; 0.087). Among them, 47 genes with annotated transcripts and proteins were identified. Using Ingenuity Pathway Analysis, 37 of the differentially expressed genes were identified as parts of networks associated with functional pathways including cell-to-cell signalling, cellular growth and proliferation, regulation of gene expression and lipid metabolism. For sphingosine kinase-1 the increased expression could be confirmed exemplarily not only by RT-PCR but also on the enzyme activity level. The data indicate that PMV signal differential expression of inflammation-relevant genes in monocytic cells and may represent a novel link between hemostasis and inflammation.</t>
  </si>
  <si>
    <t>Univ Hosp Jena, Dept Anaesthesiol &amp; Intens Care Med, Jena, Germany; SIRS Lab GmbH, Jena, Germany; Univ E Anglia, Sch Chem Sci &amp; Pharm, Norwich NR4 7TJ, Norfolk, England</t>
  </si>
  <si>
    <t>Friedrich Schiller University of Jena; University of East Anglia</t>
  </si>
  <si>
    <t>Losche, W (corresponding author), Univ Klinikum Jena, Klin Anaesthiol &amp; Intensivtherapie, Erlanger Allee 101, D-07747 Jena, Germany.</t>
  </si>
  <si>
    <t>wolfgang.loesche@med.uni-jena.de</t>
  </si>
  <si>
    <t>Blaess, Markus/AAU-9572-2021; Claus, Ralf A./Q-4035-2016</t>
  </si>
  <si>
    <t>Bauer, Michael/0000-0002-1521-3514; Claus, Ralf A./0000-0001-7232-4088; Blaess, Markus/0000-0002-5860-2878</t>
  </si>
  <si>
    <t>0953-7104</t>
  </si>
  <si>
    <t>1369-1635</t>
  </si>
  <si>
    <t>10.1080/09537100600760244</t>
  </si>
  <si>
    <t>Cell Biology; Hematology</t>
  </si>
  <si>
    <t>WOS:000242939500008</t>
  </si>
  <si>
    <t>Breyne, K; Ughetto, S; Rufino-Ramos, D; Mahjoum, S; Grandell, EA; de Almeida, LP; Breakefield, XO</t>
  </si>
  <si>
    <t>Breyne, Koen; Ughetto, Stefano; Rufino-Ramos, David; Mahjoum, Shadi; Grandell, Emily A.; de Almeida, Luis P.; Breakefield, Xandra O.</t>
  </si>
  <si>
    <t>Exogenous loading of extracellular vesicles, virus-like particles, and lentiviral vectors with supercharged proteins</t>
  </si>
  <si>
    <t>COMMUNICATIONS BIOLOGY</t>
  </si>
  <si>
    <t>CELL PENETRATION; DELIVERY; EXOSOMES; SIRNA; BRAIN</t>
  </si>
  <si>
    <t>The development of positive supercharged protein loading of cell membrane-based biovesicles, including extracellular vesicles, virus-like particles, and lentiviral vectors, as a strategy to deliver exogenous plasmid DNA to target cells in vitro and in vivo is presented. Cell membrane-based biovesicles (BVs) are important candidate drug delivery vehicles and comprise extracellular vesicles, virus-like particles, and lentiviral vectors. Here, we introduce a non-enzymatic assembly of purified BVs, supercharged proteins, and plasmid DNA called pDNA-scBVs. This multicomponent vehicle results from the interaction of negative sugar moieties on BVs and supercharged proteins that contain positively charged amino acids on their surface to enhance their affinity for pDNA. pDNA-scBVs were demonstrated to mediate floxed reporter activation in culture by delivering a Cre transgene. We introduced pDNA-scBVs containing both a CRE-encoding plasmid and a BV-packaged floxed reporter into the brains of Ai9 mice. Successful delivery of both payloads by pDNA-scBVs was confirmed with reporter signal in the striatal brain region. Overall, we developed a more efficient method to load isolated BVs with cargo that functionally modified recipient cells. Augmenting the natural properties of BVs opens avenues for adoptive extracellular interventions using therapeutic loaded cargo.</t>
  </si>
  <si>
    <t>[Breyne, Koen; Ughetto, Stefano; Rufino-Ramos, David; Mahjoum, Shadi; Grandell, Emily A.; Breakefield, Xandra O.] Harvard Med Sch, Mol Neurogenet Unit, Massachusetts Gen Hosp, 13th St,Bldg 149, Charlestown, MA 02129 USA; [Ughetto, Stefano] Univ Turin, Dept Oncol, I-10060 Candiolo, TO, Italy; [Rufino-Ramos, David; de Almeida, Luis P.] Univ Coimbra, Fac Pharm, Ctr Neurosci &amp; Cell Biol, Coimbra, Portugal</t>
  </si>
  <si>
    <t>Harvard University; Massachusetts General Hospital; University of Turin; Universidade de Coimbra</t>
  </si>
  <si>
    <t>Breyne, K (corresponding author), Harvard Med Sch, Mol Neurogenet Unit, Massachusetts Gen Hosp, 13th St,Bldg 149, Charlestown, MA 02129 USA.</t>
  </si>
  <si>
    <t>kbreyne@mgh.harvard.edu</t>
  </si>
  <si>
    <t>Breakefield, Xandra/0000-0001-6036-0399</t>
  </si>
  <si>
    <t>2399-3642</t>
  </si>
  <si>
    <t>10.1038/s42003-022-03440-7</t>
  </si>
  <si>
    <t>Biology; Multidisciplinary Sciences</t>
  </si>
  <si>
    <t>Life Sciences &amp; Biomedicine - Other Topics; Science &amp; Technology - Other Topics</t>
  </si>
  <si>
    <t>WOS:000798927300004</t>
  </si>
  <si>
    <t>Semcheddine, F; Guissi, NE; Liu, WW; Tayyaba; Gang, L; Jiang, H; Wang, XM</t>
  </si>
  <si>
    <t>Semcheddine, Farouk; El Islem Guissi, Nida; Liu, Weiwei; Tayyaba; Gang, Lv; Jiang, Hui; Wang, Xuemei</t>
  </si>
  <si>
    <t>Rapid and label-free cancer theranostics via in situ bio-self-assembled DNA-gold nanostructures loaded exosomes</t>
  </si>
  <si>
    <t>MATERIALS HORIZONS</t>
  </si>
  <si>
    <t>CELL-DERIVED EXOSOMES; EXTRACELLULAR VESICLES; DELIVERY; NANOCLUSTERS; MECHANISMS; VEHICLES; PLATFORM; RELEASE</t>
  </si>
  <si>
    <t>Chemically engineered nanomaterials have been extensively used in early tumor detection and cancer therapy. Despite the promise shown, their chemical or exogenous nature hinders their application due to their unknown adverse effects. Herein, using a cancer cell environment, fluorescent DNA-gold nanostructures were bio-self-assembled through simple incubation of DNA and Au solutions with cancer cells. In situ, ex vivo, bio-responsive self-assembly of ring-shaped DNA-Au nanostructures is reported for the first time. Subsequently, the exosomes released by the above-mentioned cancer cells were found to carry the self-assembled DNA-Au nanostructures, exhibiting strong in vivo dual fluorescence properties. Interestingly, these exosomes could be immediately taken up in vitro by their parent cells, reaching the nucleus within 10 min after incubation. Taking advantage of the unique endogenous properties of exosomes, and their advanced cargo delivery capacity, we further exploited the DNA-Au nanostructure loaded exosomes with mitoxantrone for accurate cancer theranostics. The in vitro and in vivo results showed that the exosomes could effectively deliver the drug cargo to cancerous cells, hence, displaying an enhanced targeting effect towards parent cancer cells, and a synergistic tumor inhibition effect, while showing great biocompatibility towards normal cells and vital organs. Hence, exosomes carrying the in situ bio-self-assembled DNA-Au nanostructures could be an outstanding delivery system for dye-free targeted cancer detection and therapy.</t>
  </si>
  <si>
    <t>[Semcheddine, Farouk; Liu, Weiwei; Tayyaba; Jiang, Hui; Wang, Xuemei] Southeast Univ, Sch Biol Sci &amp; Med Engn, Chien Shiung Wu Lab, State Key Lab Bioelect, Nanjing 210096, Jiangsu, Peoples R China; [El Islem Guissi, Nida] Nanjing Univ, Dept Biomed Engn, Coll Engn &amp; Appl Sci, Nanjing 210093, Jiangsu, Peoples R China; [Gang, Lv] North China Elect Power Univ, Math &amp; Phys Sci Sch, Baoding 071003, Peoples R China</t>
  </si>
  <si>
    <t>Southeast University - China; Nanjing University; North China Electric Power University</t>
  </si>
  <si>
    <t>Wang, XM (corresponding author), Southeast Univ, Sch Biol Sci &amp; Med Engn, Chien Shiung Wu Lab, State Key Lab Bioelect, Nanjing 210096, Jiangsu, Peoples R China.</t>
  </si>
  <si>
    <t>Guissi, Nida El Islem/0000-0003-4425-7580; Semcheddine, Farouk/0000-0003-3456-0842</t>
  </si>
  <si>
    <t>2051-6347</t>
  </si>
  <si>
    <t>2051-6355</t>
  </si>
  <si>
    <t>OCT 4</t>
  </si>
  <si>
    <t>10.1039/d1mh00880c</t>
  </si>
  <si>
    <t>Chemistry, Multidisciplinary; Materials Science, Multidisciplinary</t>
  </si>
  <si>
    <t>Chemistry; Materials Science</t>
  </si>
  <si>
    <t>WOS:000686298400001</t>
  </si>
  <si>
    <t>Huda, MN; Nurunnabi, M</t>
  </si>
  <si>
    <t>Huda, Md Nurul; Nurunnabi, Md</t>
  </si>
  <si>
    <t>Potential Application of Exosomes in Vaccine Development and Delivery</t>
  </si>
  <si>
    <t>PHARMACEUTICAL RESEARCH</t>
  </si>
  <si>
    <t>cancer immunotherapy; exosomes; vaccine development; infectious disease; immune system</t>
  </si>
  <si>
    <t>CANCER-ASSOCIATED FIBROBLASTS; CELL-DERIVED EXOSOMES; EPITHELIAL-MESENCHYMAL TRANSITION; HEAT-SHOCK PROTEINS; EXTRACELLULAR VESICLES; IMMUNE-RESPONSES; DNA VACCINE; MOLECULAR-MECHANISMS; VIRUS-INFECTION; DENDRITIC CELLS</t>
  </si>
  <si>
    <t>Exosomes are cell-derived components composed of proteins, lipid, genetic information, cytokines, and growth factors. They play a vital role in immune modulation, cell-cell communication, and response to inflammation. Immune modulation has downstream effects on the regeneration of damaged tissue, promoting survival and repair of damaged resident cells, and promoting the tumor microenvironment via growth factors, antigens, and signaling molecules. On top of carrying biological messengers like mRNAs, miRNAs, fragmented DNA, disease antigens, and proteins, exosomes modulate internal cell environments that promote downstream cell signaling pathways to facilitate different disease progression and induce anti-tumoral effects. In this review, we have summarized how vaccines modulate our immune response in the context of cancer and infectious diseases and the potential of exosomes as vaccine delivery vehicles. Both pre-clinical and clinical studies show that exosomes play a decisive role in processes like angiogenesis, prognosis, tumor growth metastasis, stromal cell activation, intercellular communication, maintaining cellular and systematic homeostasis, and antigen-specific T- and B cell responses. This critical review summarizes the advancement of exosome based vaccine development and delivery, and this comprehensive review can be used as a valuable reference for the broader delivery science community.</t>
  </si>
  <si>
    <t>[Huda, Md Nurul; Nurunnabi, Md] Univ Texas El Paso, Sch Pharm, Dept Pharmaceut Sci, 1101 N Campbell St, El Paso, TX 79902 USA; [Huda, Md Nurul; Nurunnabi, Md] Univ Texas El Paso, Envirom Sci &amp; Engn, El Paso, TX 79968 USA; [Huda, Md Nurul; Nurunnabi, Md] Univ Texas El Paso, Biomed Engn, El Paso, TX 79968 USA; [Huda, Md Nurul; Nurunnabi, Md] Univ Texas El Paso, Border Biomed Res Ctr, El Paso, TX 79968 USA</t>
  </si>
  <si>
    <t>University of Texas System; University of Texas El Paso; University of Texas System; University of Texas El Paso; University of Texas System; University of Texas El Paso; University of Texas System; University of Texas El Paso</t>
  </si>
  <si>
    <t>Nurunnabi, M (corresponding author), Univ Texas El Paso, Sch Pharm, Dept Pharmaceut Sci, 1101 N Campbell St, El Paso, TX 79902 USA.;Nurunnabi, M (corresponding author), Univ Texas El Paso, Envirom Sci &amp; Engn, El Paso, TX 79968 USA.;Nurunnabi, M (corresponding author), Univ Texas El Paso, Biomed Engn, El Paso, TX 79968 USA.;Nurunnabi, M (corresponding author), Univ Texas El Paso, Border Biomed Res Ctr, El Paso, TX 79968 USA.</t>
  </si>
  <si>
    <t>mnurunnabi@utep.edu</t>
  </si>
  <si>
    <t>Nurunnabi, Md/B-7465-2012</t>
  </si>
  <si>
    <t>Nurunnabi, Md/0000-0003-4457-3401</t>
  </si>
  <si>
    <t>0724-8741</t>
  </si>
  <si>
    <t>1573-904X</t>
  </si>
  <si>
    <t>10.1007/s11095-021-03143-4</t>
  </si>
  <si>
    <t>WOS:000742263200001</t>
  </si>
  <si>
    <t>Nicholson, C; Ishii, M; Annamalai, B; Chandler, K; Chwa, M; Kenney, MC; Shah, N; Rohrer, B</t>
  </si>
  <si>
    <t>Nicholson, Crystal; Ishii, Masaaki; Annamalai, Balasubramaniam; Chandler, Kyrie; Chwa, Marilyn; Kenney, M. Cristina; Shah, Navjot; Rohrer, Barbel</t>
  </si>
  <si>
    <t>J or H mtDNA haplogroups in retinal pigment epithelial cells: Effects on cell physiology, cargo in extracellular vesicles, and differential uptake of such vesicles by naive recipient cells</t>
  </si>
  <si>
    <t>Retinal pigment epithelium; Extracellular vesicles; mtDNA cybrids; OXPHOS; Ligands; Age-related macular degeneration</t>
  </si>
  <si>
    <t>Purpose: Extracellular vesicles (EVs) are predicted to represent the internal state of cells. In polarized RPE monolayers, EVs can mediate long-distance communication, requiring endocytosis via protein-protein interactions. EV uptake from oxidatively stressed donor cells triggers loss in transepithelial resistance (TER) in recipient monolayers mediated by HDAC6. Here, we examine EVs released from RPE cells with identical nuclear genes but different mitochondrial (mt)DNA haplogroups (H, J). J-cybrids produce less ATP, and the J-haplogroup is associated with a higher risk for age-related macular degeneration. Methods: Cells were grown as mature monolayers to either collect EVs from apical surfaces or to serve as naive recipient cells. Transfer assays, transferring EVs to a recipient monolayer were performed, monitoring TER and EV-uptake. The presence of known EV surface proteins was quantified by protein chemistry. Results: H- and J-cybrids were confirmed to exhibit different levels of TER and energy metabolism. EVs from J-cybrids reduced TER in recipient ARPE-19 cells, whereas EVs from H-cybrids were ineffective. TER reduction was mediated by HDAC6 activity, and EV uptake required interaction between integrin and its ligands and surface proteoglycans. Protein quantifications confirmed elevated levels of fibronectin and annexin A2 on J-cybrid EVs. Conclusions: We speculate that RPE EVs have a finite set of ligands (membrane proteoglycans and integrins and/or annexin A2) that are elevated in EVs from stressed cells; and that if EVs released by the RPE could be captured from serum, that they might provide a disease biomarker of RPE-dependent diseases.</t>
  </si>
  <si>
    <t>[Nicholson, Crystal; Ishii, Masaaki; Annamalai, Balasubramaniam; Chandler, Kyrie; Shah, Navjot; Rohrer, Barbel] Med Univ South Carolina, Dept Ophthalmol, 167 Ashley Ave, Charleston, SC 29425 USA; [Chwa, Marilyn; Kenney, M. Cristina] Univ Calif Irvine, Gavin Herbert Eye Inst, Dept Ophthalmol, Irvine, CA 92697 USA; [Rohrer, Barbel] Univ South Carolina, Dept Neurosci Med, Charleston, SC 29425 USA; [Rohrer, Barbel] Ralph H Johnson VA Med Ctr, Charleston, SC 29401 USA</t>
  </si>
  <si>
    <t>Medical University of South Carolina; University of California System; University of California Irvine; US Department of Veterans Affairs; Veterans Health Administration (VHA); Ralph H Johnson VA Medical Center</t>
  </si>
  <si>
    <t>Rohrer, B (corresponding author), Med Univ South Carolina, Dept Ophthalmol, 167 Ashley Ave, Charleston, SC 29425 USA.</t>
  </si>
  <si>
    <t>rohrer@musc.edu</t>
  </si>
  <si>
    <t>Ishii, Masaaki/0000-0002-0775-5401</t>
  </si>
  <si>
    <t>10.1016/j.bbagen.2020.129798</t>
  </si>
  <si>
    <t>WOS:000637333900013</t>
  </si>
  <si>
    <t>Kim, MH; Choi, SJ; Choi, HI; Choi, JP; Park, HK; Kim, EK; Kim, MJ; Moon, BS; Min, TK; Rho, M; Cho, YJ; Yang, S; Kim, YK; Kim, YY; Pyun, BY</t>
  </si>
  <si>
    <t>Kim, Min-Hye; Choi, Seng Jin; Choi, Hyun-Il; Choi, Jun-Pyo; Park, Han-Ki; Kim, Eun Kyoung; Kim, Min-Jeong; Moon, Byoung Seok; Min, Taek-ki; Rho, Mina; Cho, Young-Joo; Yang, Sanghwa; Kim, Yoon-Keun; Kim, You-Young; Pyun, Bok Yang</t>
  </si>
  <si>
    <t>Lactobacillus plantarum-derived Extracellular Vesicles Protect Atopic Dermatitis Induced by Staphylococcus aureus-derived Extracellular Vesicles</t>
  </si>
  <si>
    <t>ALLERGY ASTHMA &amp; IMMUNOLOGY RESEARCH</t>
  </si>
  <si>
    <t>Atopic dermatitis; Lactobacillus; microbiome; metagenomics; probiotics</t>
  </si>
  <si>
    <t>MEMBRANE-VESICLES; T-CELLS; CHILDREN; PREVALENCE; BACTERIA; DISEASE; DUST; PROBIOTICS; MICROBIOTA; DIVERSITY</t>
  </si>
  <si>
    <t>Purpose: The microbial environment is an important factor that contributes to the pathogenesis of atopic dermatitis (AD). Recently, it was revealed that not only bacteria itself but also extracellular vesicles (EVs) secreted from bacteria affect the allergic inflammation process. However, almost all research carried out so far was related to local microorganisms, not the systemic microbial distribution. We aimed to compare the bacterial EV composition between AD patients and healthy subjects and to experimentally find out the beneficial effect of some bacterial EV composition. Methods: Twenty-seven AD patients and 6 healthy control subjects were enrolled. After urine and serum were obtained, EVs were prepared from samples. Metagenomic analysis of 16s ribosomal DNA extracted from the EVs was performed, and bacteria showing the greatest difference between controls and patients were identified. In vitro and in vivo therapeutic effects of significant bacterial EV were evaluated with keratinocytes and with Staphylococcus aureus-induced mouse AD models, respectively. Results: The proportions of Lactococcus, Leuconostoc and Lactobacillus EVs were significantly higher and those of Alicyclobacillus and Propionibacterium were lower in the control group than in the AD patient group. Therefore, lactic acid bacteria were considered to be important ones that contribute to the difference between the patient and control groups. In vitro, interleukin (IL)-6 from keratinocytes and macrophages decreased and cell viability was restored with Lactobacillus plantarum-derived EV treatment prior to S. aureus EV treatment. In S. aureus-induced mouse AD models, L. plantarum-derived EV administration reduced epidermal thickening and the IL-4 level. Conclusions: We suggested the protective role of lactic acid bacteria in AD based on metagenomic analysis. Experimental findings further suggest that L. plantarum-derived EV could help prevent skin inflammation.</t>
  </si>
  <si>
    <t>[Kim, Min-Hye; Cho, Young-Joo] Ewha Womans Univ, Dept Internal Med, Coll Med, 1071 Anyangcheon Ro, Seoul 07985, South Korea; [Choi, Seng Jin] AEON Medix Inc, Res Inst, Pohang, South Korea; [Choi, Hyun-Il] Pohang Univ Sci &amp; Technol, Div Mol &amp; Life Sci, Dept Life Sci, Pohang, South Korea; [Choi, Jun-Pyo] Asan Med Ctr, Asan Inst Life Sci, Seoul, South Korea; [Park, Han-Ki] Kyungpook Natl Univ, Dept Internal Med, Sch Med, Daegu, South Korea; [Kim, Eun Kyoung; Yang, Sanghwa; Kim, Yoon-Keun] Inst MD Healthcare Inc, Seoul, South Korea; [Kim, Min-Jeong; Moon, Byoung Seok] CJ CheilJedang Corp, CJ R&amp;D Ctr, Suwon, South Korea; [Min, Taek-ki; Pyun, Bok Yang] Soonchunhyang Univ, Coll Med, Seoul Hosp, Pediat Allergy &amp; Resp Ctr,Dept Pediat, 59 Daesagwan Ro, Seoul 04401, South Korea; [Rho, Mina] Hanyang Univ, Dept Comp Sci &amp; Engn, Seoul, South Korea; [Kim, You-Young] Natl Med Ctr, Dept Internal Med, Seoul, South Korea</t>
  </si>
  <si>
    <t>Ewha Womans University; Pohang University of Science &amp; Technology (POSTECH); University of Ulsan; Asan Medical Center; Kyungpook National University; Soonchunhyang University; Hanyang University; National Medical Center - Korea</t>
  </si>
  <si>
    <t>Kim, MH (corresponding author), Ewha Womans Univ, Dept Internal Med, Coll Med, 1071 Anyangcheon Ro, Seoul 07985, South Korea.;Pyun, BY (corresponding author), Soonchunhyang Univ, Coll Med, Seoul Hosp, Pediat Allergy &amp; Resp Ctr,Dept Pediat, 59 Daesagwan Ro, Seoul 04401, South Korea.</t>
  </si>
  <si>
    <t>mineyang81@ewha.ac.kr; bypyun@schmc.ac.kr</t>
  </si>
  <si>
    <t>Park, Han-Ki/AAY-3102-2020</t>
  </si>
  <si>
    <t>Park, Han-Ki/0000-0002-5460-9917; Kim, Min-Hye/0000-0002-1775-3733</t>
  </si>
  <si>
    <t>2092-7355</t>
  </si>
  <si>
    <t>2092-7363</t>
  </si>
  <si>
    <t>SEP-NOV</t>
  </si>
  <si>
    <t>5-6</t>
  </si>
  <si>
    <t>10.4168/aair.2018.10.5.516</t>
  </si>
  <si>
    <t>WOS:000454569400009</t>
  </si>
  <si>
    <t>Wang, ZY; Wang, RX; Ding, XQ; Zhang, X; Pan, XR; Tong, JH</t>
  </si>
  <si>
    <t>Wang, Zhe-Ying; Wang, Rui-Xian; Ding, Xiao-Qing; Zhang, Xuan; Pan, Xiao-Rong; Tong, Jian-Hua</t>
  </si>
  <si>
    <t>A Protocol for Cancer-Related Mutation Detection on Exosomal DNA in Clinical Application</t>
  </si>
  <si>
    <t>exosomes; exosomal DNA; mutation detection; cancer; methodology</t>
  </si>
  <si>
    <t>DOUBLE-STRANDED DNA; EXTRACELLULAR VESICLES; NUCLEIC-ACIDS; BIOMARKER; KRAS</t>
  </si>
  <si>
    <t>Background Recently, some genomic mutations in exosomal DNA have been found to be related to disease progress and clinical outcomes of patients in several cancers. Unfortunately, the methods for exosome isolation and exosomal DNA analysis are still lack of relevant research to ensure their optimal performance and the comparability. Here we aim to establish a protocol for cancer-related mutation detection on exosomal DNA in clinical application. Methods TakingKRASmutation in pancreatic cancer as an example, we tested whether the types of blood samples, the potential factors in the courses of exosome isolation and exosomal DNA preparation, as well as the detail in mutation detection by droplet digital PCR (ddPCR) could influence the exosomal DNA analysis. Results We found that the concentration of exosomal DNA from serum was higher than that from plasma, whereas the mutant allele fraction (MAF) ofKRASin serum-derived exosomal DNA was obviously lower. The membrane-based method for exosome isolation showed no evident difference in both exosomal DNA yield andKRASMAF from the classical ultracentrifugation method. DNase I pretreatment on exosomes could remove the wild-type DNA outside of exosomes and increase theKRASMAF. PBS might interfere with the effect of DNase I and should not be recommended as resuspension buffer for exosomes if the subsequent experiments would be done with exosomal DNA. Besides, the denaturation of exosomal DNA before droplet generation during ddPCR could effectively improve the totalKRAScopy number and mutation-positive droplet number. Conclusion This study provides some methodological evidences for the selection of the optimal experimental conditions in exosomal DNA analysis. We also suggest a protocol for mutation detection on exosomal DNA, which might be suitable for the clinical testing and could be helpful to the comparison of results from different laboratories.</t>
  </si>
  <si>
    <t>[Wang, Zhe-Ying; Wang, Rui-Xian; Ding, Xiao-Qing; Zhang, Xuan; Pan, Xiao-Rong; Tong, Jian-Hua] Shanghai Jiao Tong Univ, Ruijin Hosp, Sch Med, Dept Lab Med, Shanghai, Peoples R China; [Wang, Zhe-Ying; Wang, Rui-Xian; Ding, Xiao-Qing; Zhang, Xuan; Pan, Xiao-Rong; Tong, Jian-Hua] Shanghai Jiao Tong Univ, Ruijin Hosp, Sch Med, Cent Lab, Shanghai, Peoples R China</t>
  </si>
  <si>
    <t>Shanghai Jiao Tong University; Shanghai Jiao Tong University</t>
  </si>
  <si>
    <t>Pan, XR; Tong, JH (corresponding author), Shanghai Jiao Tong Univ, Ruijin Hosp, Sch Med, Dept Lab Med, Shanghai, Peoples R China.</t>
  </si>
  <si>
    <t>xrpan@126.com; jh_tong@126.com</t>
  </si>
  <si>
    <t>SEP 11</t>
  </si>
  <si>
    <t>10.3389/fonc.2020.558106</t>
  </si>
  <si>
    <t>WOS:000575939400001</t>
  </si>
  <si>
    <t>Monzen, S; Chiba, M; Hosokawa, Y</t>
  </si>
  <si>
    <t>Monzen, Satoru; Chiba, Mitsuru; Hosokawa, Yoichiro</t>
  </si>
  <si>
    <t>Genetic network profiles associated with established resistance to ionizing radiation in acute promyelocytic leukemia cells and their extracellular vesicles</t>
  </si>
  <si>
    <t>radiation resistance; acute promyelocytic leukemia; cDNA microarray; intracellular genetic network; extracellular vesicles</t>
  </si>
  <si>
    <t>TOTAL-BODY IRRADIATION; DOUBLE-STRAND BREAKS; DNA-DAMAGE RESPONSE; MYELOID-LEUKEMIA; UBIQUITINATION; CHILDREN; SURVIVAL; REPAIR; CYCLE; MYC</t>
  </si>
  <si>
    <t>Radiation-resistant acute promyelocytic leukemia (APL) cells present challenges to treatment, and the acquisition of resistance to ionizing radiation (IR) is a matter of clinical concern. However, little information is available on the behavior of radio-resistant APL in terms of gene expression profiles and intercellular communication. In this study, cDNA microarray and RT-PCR were used to analyze the intracellular genetic network and extracellular vesicles (EVs), respectively, in the established radio-resistant HL60 (Res-HL60) cell line. Significant changes in the expression of 7,309 known mRNAs were observed in Res-HL60 relative to control. In addition, 7 mRNAs were determined as targets because significant changes in the expression were observed using Ingenuity analysis software, confirming the quantitative RT-PCR. However, EVs from Res-HL60 cells did not include these target molecules. These results suggest that radio-resistant APL is regulated by the expression and suppression of specific molecules, and these molecules are not transferred between cells by EVs.</t>
  </si>
  <si>
    <t>[Monzen, Satoru; Hosokawa, Yoichiro] Hirosaki Univ, Grad Sch Hlth Sci, Dept Radiol Life Sci, Div Med Life Sci, Hirosaki, Aomori 0368564, Japan; [Chiba, Mitsuru] Hirosaki Univ, Grad Sch Hlth Sci, Dept Biomed Sci, Div Med Life Sci, Hirosaki, Aomori 0368564, Japan</t>
  </si>
  <si>
    <t>Hirosaki University; Hirosaki University</t>
  </si>
  <si>
    <t>Monzen, S (corresponding author), Hirosaki Univ, Grad Sch Hlth Sci, Dept Radiol Life Sci, Div Med Life Sci, 66-1 Hon Cho, Hirosaki, Aomori 0368564, Japan.</t>
  </si>
  <si>
    <t>monzens@hirosaki-u.ac.jp</t>
  </si>
  <si>
    <t>monzen, satoru/F-1468-2013; Monzen, Satoru/AAF-9870-2021; Chiba, Mitsuru/F-4882-2013</t>
  </si>
  <si>
    <t>monzen, satoru/0000-0003-2436-8048; Monzen, Satoru/0000-0003-2436-8048; Chiba, Mitsuru/0000-0002-4514-7124</t>
  </si>
  <si>
    <t>10.3892/or.2015.4471</t>
  </si>
  <si>
    <t>WOS:000368049600017</t>
  </si>
  <si>
    <t>Luu, AK; Cadieux, M; Wong, M; Macdonald, R; Jones, R; Choi, D; Oblak, M; Brisson, B; Sauer, S; Chafitz, J; Warshawsky, D; Wood, GA; Viloria-Petit, AM</t>
  </si>
  <si>
    <t>Luu, Anita K.; Cadieux, Mia; Wong, Mackenzie; Macdonald, Rachel; Jones, Robert; Choi, Dongsic; Oblak, Michelle; Brisson, Brigitte; Sauer, Scott; Chafitz, James; Warshawsky, David; Wood, Geoffrey A.; Viloria-Petit, Alicia M.</t>
  </si>
  <si>
    <t>Proteomic Assessment of Extracellular Vesicles from Canine Tissue Explants as a Pipeline to Identify Molecular Targets in Osteosarcoma: PSMD14/Rpn11 as a Proof of Principle</t>
  </si>
  <si>
    <t>osteosarcoma; extracellular vesicles; tissue explants; biomarker discovery; molecular targets</t>
  </si>
  <si>
    <t>DNA TOPOISOMERASE-II; APPENDICULAR OSTEOSARCOMA; PROTEASOME INHIBITOR; SOLID TUMORS; KAPPA-B; AMPUTATION; DOGS; DOXORUBICIN; BORTEZOMIB; CELLS</t>
  </si>
  <si>
    <t>Osteosarcoma (OS) is a highly malignant bone tumour that has seen little improvement in treatment modalities in the past 30 years. Understanding what molecules contribute to OS biology could aid in the discovery of novel therapies. Extracellular vesicles (EVs) serve as a mode of cell-to-cell communication and have the potential to uncover novel protein signatures. In our research, we developed a novel pipeline to isolate, characterize, and profile EVs from normal bone and osteosarcoma tissue explants from canine OS patients. Proteomic analysis of vesicle preparations revealed a protein signature related to protein metabolism. One molecule of interest, PSMD14/Rpn11, was explored further given its prognostic potential in human and canine OS, and its targetability with the drug capzimin. In vitro experiments demonstrated that capzimin induces apoptosis and reduces clonogenic survival, proliferation, and migration in two metastatic canine OS cell lines. Capzimin also reduces the viability of metastatic human OS cells cultured under 3D conditions that mimic the growth of OS cells at secondary sites. This unique pipeline can improve our understanding of OS biology and identify new prognostic markers and molecular targets for both canine and human OS patients.</t>
  </si>
  <si>
    <t>[Luu, Anita K.; Cadieux, Mia; Wong, Mackenzie; Macdonald, Rachel; Viloria-Petit, Alicia M.] Univ Guelph, Ontario Vet Coll, Dept Biomed Sci, Guelph, ON N1G 2W1, Canada; [Jones, Robert] Univ Guelph, Ontario Agr Coll, Dept Anim Biosci, Guelph, ON N1G 2W1, Canada; [Choi, Dongsic] Soonchunhyang Univ, Coll Med, Dept Biochem, Cheonan 31151, South Korea; [Oblak, Michelle; Brisson, Brigitte] Univ Guelph, Ontario Vet Coll, Dept Clin Studies, Guelph, ON N1G 2W1, Canada; [Sauer, Scott; Warshawsky, David] Vuja De Sci Inc, Natick, MA 01760 USA; [Chafitz, James] SBH Sci, Natick, MA 01760 USA; [Wood, Geoffrey A.] Univ Guelph, Ontario Vet Coll, Dept Pathobiol, Guelph, ON N1G 2W1, Canada</t>
  </si>
  <si>
    <t>University of Guelph; University of Guelph; Soonchunhyang University; University of Guelph; University of Guelph</t>
  </si>
  <si>
    <t>Viloria-Petit, AM (corresponding author), Univ Guelph, Ontario Vet Coll, Dept Biomed Sci, Guelph, ON N1G 2W1, Canada.</t>
  </si>
  <si>
    <t>aluu@uoguelph.ca; mcadieux@uoguelph.ca; mackenzie.wong@hc-sc.gc.ca; rachel.macdonald@mail.utoronto.ca; rjones12@uoguelph.ca; dongsicchoi@gmail.com; moblak@uoguelph.ca; bbrisson@uoguelph.ca; scott.sauer@vujade-life.com; jchafitz@sbhsciences.com; dw@vujade-life.com; gewood@uoguelph.ca; aviloria@uoguelph.ca</t>
  </si>
  <si>
    <t>Oblak, Michelle/F-4982-2015</t>
  </si>
  <si>
    <t>Oblak, Michelle/0000-0001-8489-4643; Cadieux, Mia/0000-0001-6871-0082; Choi, Dongsic/0000-0002-2516-5616</t>
  </si>
  <si>
    <t>10.3390/ijms23063256</t>
  </si>
  <si>
    <t>WOS:000775326300001</t>
  </si>
  <si>
    <t>Tian, QC; He, CJ; Liu, GW; Zhao, YQ; Hui, LL; Mu, Y; Tang, RK; Luo, Y; Zheng, S; Wang, B</t>
  </si>
  <si>
    <t>Tian, Qingchang; He, Chuanjiang; Liu, Guowu; Zhao, Yueqi; Hui, Lanlan; Mu, Ying; Tang, Ruikang; Luo, Yan; Zheng, Shu; Wang, Ben</t>
  </si>
  <si>
    <t>Nanoparticle Counting by Microscopic Digital Detection: Selective Quantitative Analysis of Exosomes via Surface-Anchored Nucleic Acid Amplification</t>
  </si>
  <si>
    <t>METASTATIC NICHE FORMATION; EXTRACELLULAR VESICLES; PANCREATIC-CANCER; MICROFLUIDIC DEVICE; CELL-SURFACE; QUANTIFICATION; PCR; MEMBRANE; PLASMA; DIAGNOSIS</t>
  </si>
  <si>
    <t>Exosomes are nanosized vesicles secreted by cells, with a lipid bilayer membrane and protein and nucleic acid contents. Here, we present the first method for the selective and quantitative analysis of exosomes by digital detection integrated with nucleic acid-based amplification in a microchip. An external biocompatible anchor molecule conjugated with DNA oligonucleotides was anchored in the lipid bilayer membrane of exosomes via surface self-assembly for total exosome analysis. Then, specific antibody-DNA conjugates were applied to label selective exosomes among the total exosomes. The DNA-anchored exosomes were distributed into microchip chambers with one or fewer exosomes per chamber. The signal from the DNA on the exosomes was amplified by a rapid isothermal nucleic acid detection assay. A chamber with an exosome exhibited a positive signal and was recorded as 1, while a chamber without an exosome presented a negative signal and was recorded as 0. The 10100101 digital signals give the number of positive chambers. According to the Poisson distribution, the exosome stock concentration was calculated by the observed fraction of positive chambers. The findings showed that nanoscale particles can be digitally detected via DNA-mediated signal amplification in a microchip with simple microscopic settings. This approach can be integrated with multiple types of established nucleic acid assays and provides a versatile platform for the quantitative detection of various nanosomes, from extracellular vesicles such as exosomes and enveloped viruses to inorganic and organic nanoparticles, and it is expected to have broad applications in basic research areas as well as disease diagnosis and therapy.</t>
  </si>
  <si>
    <t>[Tian, Qingchang; He, Chuanjiang; Liu, Guowu; Hui, Lanlan; Zheng, Shu; Wang, Ben] Zhejiang Univ, Sch Med, Affiliated Hosp 2, Canc Inst,Key Lab Canc Prevent &amp; Intervent,Natl M, Hangzhou 310009, Zhejiang, Peoples R China; [Tian, Qingchang; He, Chuanjiang; Liu, Guowu; Hui, Lanlan; Zheng, Shu; Wang, Ben] Zhejiang Univ, Sch Med, Affiliated Hosp 2, Key Lab Mol Biol Med Sci, Hangzhou 310009, Zhejiang, Peoples R China; [Tian, Qingchang; He, Chuanjiang; Liu, Guowu; Hui, Lanlan; Wang, Ben] Zhejiang Univ, Sch Med, Inst Translat Med, Hangzhou 310029, Zhejiang, Peoples R China; [Luo, Yan] Zhejiang Univ, Sch Med, Coll Biomed Sci, Hangzhou 310058, Zhejiang, Peoples R China; [Mu, Ying] Zhejiang Univ, State Key Lab Ind Control Technol, Inst CyberSyst &amp; Control, Res Ctr Analyt Instrumentat, Hangzhou 310027, Zhejiang, Peoples R China; [Zhao, Yueqi; Tang, Ruikang] Zhejiang Univ, Ctr Biomat &amp; Biopathways, Hangzhou 310027, Zhejiang, Peoples R China; [Zhao, Yueqi; Tang, Ruikang] Zhejiang Univ, Dept Chem, Hangzhou 310027, Zhejiang, Peoples R China</t>
  </si>
  <si>
    <t>Zhejiang University; Zhejiang University; Zhejiang University; Zhejiang University; Zhejiang University; Zhejiang University; Zhejiang University</t>
  </si>
  <si>
    <t>Wang, B (corresponding author), Zhejiang Univ, Sch Med, Affiliated Hosp 2, Canc Inst,Key Lab Canc Prevent &amp; Intervent,Natl M, Hangzhou 310009, Zhejiang, Peoples R China.;Wang, B (corresponding author), Zhejiang Univ, Sch Med, Affiliated Hosp 2, Key Lab Mol Biol Med Sci, Hangzhou 310009, Zhejiang, Peoples R China.;Wang, B (corresponding author), Zhejiang Univ, Sch Med, Inst Translat Med, Hangzhou 310029, Zhejiang, Peoples R China.</t>
  </si>
  <si>
    <t>bwang@zju.edu.cn</t>
  </si>
  <si>
    <t>Wang, Ben/AAE-7987-2021; Wang, Ben/P-4732-2017</t>
  </si>
  <si>
    <t>Wang, Ben/0000-0002-4134-1835; Tang, Ruikang/0000-0001-5277-7338</t>
  </si>
  <si>
    <t>JUN 5</t>
  </si>
  <si>
    <t>10.1021/acs.analchem.8b00189</t>
  </si>
  <si>
    <t>WOS:000434893200034</t>
  </si>
  <si>
    <t>Sun, L; Meckes, DG</t>
  </si>
  <si>
    <t>Sun, Li; Meckes, David G., Jr.</t>
  </si>
  <si>
    <t>Multiplex protein profiling method for extracellular vesicle protein detection</t>
  </si>
  <si>
    <t>IMMUNO-PCR; EXOSOMES; DNA; BIOMARKERS; QUANTIFICATION; ANTIGENS; CELLS; FLUID; ASSAY</t>
  </si>
  <si>
    <t>Extracellular vesicles (EVs) are small nanometer-sized membrane sacs secreted into biological fluids by all cells. EVs encapsulate proteins, RNAs and metabolites from its origin cell and play important roles in intercellular communication events. Over the past decade, EVs have become a new emerging source for cancer diagnostics. One of the challenges in the study of EVs and there utility as diagnostic biomarkers is the amount of EVs needed for traditional protein analysis methods. Here, we present a new immuno-PCR method that takes advantage of commercially available TotalSeq antibodies containing DNA conjugated oligos to identify immobilized protein analysts using real-time qPCR. Using this method, we demonstrate that multiple EV surface proteins can be profiled simultaneously with high sensitivity and specificity. This approach was also successfully applied to similar protocol using cell and serum samples. We further described the development of a micro-size exclusion chromatography method, where we were able to detect EV surface proteins with as little as 10 mu L of human serum when combined with immuno-PCR. Overall, these results show that the immuno-PCR method results in rapid detection of multiple EV markers from small sample volumes in a single tube.</t>
  </si>
  <si>
    <t>[Sun, Li; Meckes, David G., Jr.] Florida State Univ, Dept Biomed Sci, Coll Med, 1115 W Call St, Tallahassee, FL 32306 USA</t>
  </si>
  <si>
    <t>State University System of Florida; Florida State University</t>
  </si>
  <si>
    <t>Meckes, DG (corresponding author), Florida State Univ, Dept Biomed Sci, Coll Med, 1115 W Call St, Tallahassee, FL 32306 USA.</t>
  </si>
  <si>
    <t>david.meckes@med.fsu.edu</t>
  </si>
  <si>
    <t>10.1038/s41598-021-92012-6</t>
  </si>
  <si>
    <t>WOS:000696753700063</t>
  </si>
  <si>
    <t>Dass, M; Aittan, S; Muthumohan, R; Anthwal, D; Gupta, RK; Mahajan, G; Kumari, P; Sharma, N; Taneja, RS; Sharma, LK; Shree, R; Lal, V; Tyagi, JS; Haldar, S</t>
  </si>
  <si>
    <t>Dass, Manisha; Aittan, Simran; Muthumohan, Rajagopalan; Anthwal, Divya; Gupta, Rakesh Kumar; Mahajan, Gargi; Kumari, Pooja; Sharma, Neera; Taneja, Rajesh S.; Sharma, Lokesh Kumar; Shree, Ritu; Lal, Vivek; Tyagi, Jaya Sivaswami; Haldar, Sagarika</t>
  </si>
  <si>
    <t>Utility of cell-free transrenal DNA for the diagnosis of Tuberculous Meningitis: A proof-of-concept study</t>
  </si>
  <si>
    <t>TUBERCULOSIS</t>
  </si>
  <si>
    <t>Molecular diagnostics; Cell-free DNA; Transrenal DNA; Extracellular vesicles; Xpert MTB/RIF; Tuberculous meningitis</t>
  </si>
  <si>
    <t>MYCOBACTERIUM-TUBERCULOSIS; PULMONARY TUBERCULOSIS; EXTRACELLULAR VESICLES; URINE; SAMPLES; BLOOD; PCR</t>
  </si>
  <si>
    <t>Tuberculous Meningitis (TBM) diagnosis remains a grave challenge. We evaluated the utility of extracellular vesicles (EVs) as a source of cell-free transrenal-mycobacterial DNA (cf-Tr-MTB DNA) for TBM diagnosis from urine samples. We developed a qPCR-assay targeting a highly repetitive 36-bp sequence specific to Mycobacterium tuberculosis complex. EVs were isolated from urine samples of suspected TBM groups (n = 44) [categorized using composite reference standard as 'Definite' TBM (n = 8), 'Probable' TBM (n = 15), 'Possible' TBM (n = 21)] and 'Non-TBM' group (n = 26). cf-Tr-MTB DNA-based qPCR assay was applied to DNA isolated from EVs (EV-DNA) and EV-free-fraction (EV-free DNA). ROC-curves were generated using qPCR results of 'Definite' TBM and 'Non-TBM' category in both EV-DNA and EV-free DNA samples and cut-off values were selected to provide 100% (95%CI:69.1-100) specificity. The cf-Tr-MTB DNA assay gave a sensitivity of 54.5% (95%CI:38.8-69.6) for EV-DNA and 77.3% (95%CI:62.1-88.5) for EV-free DNA in the TBM group (n = 44). The combination of EV-DNA and EV-free DNA results (corresponding to performance cf-Tr MTB DNA assay in urine), gave an overall sensitivity of 81.8% (95%CI:67.2-91.8) in the TBM group. Our results confirmed EVs as one of the sources of cf-Tr-MTB DNA and we believe the cf-Tr-MTB DNA-based qPCR assay has a potential application for TBM diagnosis.</t>
  </si>
  <si>
    <t>[Dass, Manisha; Aittan, Simran; Anthwal, Divya; Gupta, Rakesh Kumar; Mahajan, Gargi; Haldar, Sagarika] Post Grad Inst Med Educ &amp; Res, Dept Expt Med &amp; Biotechnol, Chandigarh, India; [Muthumohan, Rajagopalan; Tyagi, Jaya Sivaswami; Haldar, Sagarika] NCR Biotech Sci Cluster, Translat Hlth Sci &amp; Technol Inst, Faridabad, India; [Kumari, Pooja; Tyagi, Jaya Sivaswami] All India Inst Med Sci, Dept Biotechnol, New Delhi, India; [Sharma, Neera; Sharma, Lokesh Kumar] Dr Ram Manohar Lohia Hosp, Dept Biochem, New Delhi, India; [Taneja, Rajesh S.] Dr Ram Manohar Lohia Hosp, Dept Med, New Delhi, India; [Shree, Ritu; Lal, Vivek] Post Grad Inst Med Educ &amp; Res, Dept Neurol, Chandigarh, India</t>
  </si>
  <si>
    <t>Post Graduate Institute of Medical Education &amp; Research (PGIMER), Chandigarh; Department of Biotechnology (DBT) India; Translational Health Science &amp; Technology Institute (THSTI); All India Institute of Medical Sciences (AIIMS) New Delhi; Post Graduate Institute of Medical Education &amp; Research (PGIMER), Chandigarh</t>
  </si>
  <si>
    <t>Haldar, S (corresponding author), Post Grad Inst Med Educ &amp; Res PGIMER, Chandigarh, India.</t>
  </si>
  <si>
    <t>sagarikahaldar.pgimer@gmail.com</t>
  </si>
  <si>
    <t>1472-9792</t>
  </si>
  <si>
    <t>10.1016/j.tube.2022.102213</t>
  </si>
  <si>
    <t>Immunology; Microbiology; Respiratory System</t>
  </si>
  <si>
    <t>WOS:000812837000002</t>
  </si>
  <si>
    <t>Santos, MF; Rappa, G; Karbanova, J; Vanier, C; Morimoto, C; Corbeil, D; Lorico, A</t>
  </si>
  <si>
    <t>Santos, Mark F.; Rappa, Germana; Karbanova, Jana; Vanier, Cheryl; Morimoto, Chikao; Corbeil, Denis; Lorico, Aurelio</t>
  </si>
  <si>
    <t>Anti-human CD9 antibody Fab fragment impairs the internalization of extracellular vesicles and the nuclear transfer of their cargo proteins</t>
  </si>
  <si>
    <t>JOURNAL OF CELLULAR AND MOLECULAR MEDICINE</t>
  </si>
  <si>
    <t>cancer; CD9; endocytosis; extracellular vesicle; Fab fragment; nucleoplasm</t>
  </si>
  <si>
    <t>OF-THE-ART; TETRASPANIN CD9; MEMBRANE-PARTICLES; INTEGRIN ALPHA-6-BETA-1; MEDIATED ENDOCYTOSIS; NEURAL PROGENITORS; EXOSOME UPTAKE; STROMAL CELLS; GENOMIC DNA; FUSION</t>
  </si>
  <si>
    <t>The intercellular communication mediated by extracellular vesicles (EVs) has gained international interest during the last decade. Interfering with the mechanisms regulating this cellular process might find application particularly in oncology where cancer cell-derived EVs play a role in tumour microenvironment transformation. Although several mechanisms were ascribed to explain the internalization of EVs, little is our knowledge about the fate of their cargos, which are crucial to mediate their function. We recently demonstrated a new intracellular pathway in which a fraction of endocytosed EV-associated proteins is transported into the nucleoplasm of the host cell via a subpopulation of late endosomes penetrating into the nucleoplasmic reticulum. Silencing tetraspanin CD9 both in EVs and recipient cells strongly decreased the endocytosis of EVs and abolished the nuclear transfer of their cargos. Here, we investigated whether monovalent Fab fragments derived from 5H9 anti-CD9 monoclonal antibody (referred hereafter as CD9 Fab) interfered with these cellular processes. To monitor the intracellular transport of proteins, we used fluorescent EVs containing CD9-green fluorescent protein fusion protein and various melanoma cell lines and bone marrow-derived mesenchymal stromal cells as recipient cells. Interestingly, CD9 Fab considerably reduced EV uptake and the nuclear transfer of their proteins in all examined cells. In contrast, the divalent CD9 antibody stimulated both events. By impeding intercellular communication in the tumour microenvironment, CD9 Fab-mediated inhibition of EV uptake, combined with direct targeting of cancerous cells could lead to the development of novel anti-melanoma therapeutic strategies.</t>
  </si>
  <si>
    <t>[Santos, Mark F.; Rappa, Germana; Vanier, Cheryl; Lorico, Aurelio] Touro Univ Nevada, Coll Med, 874 Amer Pacific Dr, Henderson, NV 89014 USA; [Karbanova, Jana; Corbeil, Denis] Tech Univ Dresden, Biotechnol Ctr, Dresden, Germany; [Karbanova, Jana; Corbeil, Denis] Tech Univ Dresden, Ctr Mol &amp; Cellular Bioengn, Dresden, Germany; [Morimoto, Chikao] Juntendo Univ, Grad Sch Med, Dept Therapy Dev &amp; Innovat Immune Disorders &amp; Can, Bunkyo Ku, Tokyo, Japan; [Lorico, Aurelio] Mediterranean Inst Oncol, Viagrande, Italy</t>
  </si>
  <si>
    <t>Technische Universitat Dresden; Technische Universitat Dresden; Juntendo University; Mediterranean Institute of Oncology</t>
  </si>
  <si>
    <t>Lorico, A (corresponding author), Touro Univ Nevada, Coll Med, 874 Amer Pacific Dr, Henderson, NV 89014 USA.;Corbeil, D (corresponding author), Tech Univ Dresden, Tissue Engn Labs, Biotechnol Ctr BIOTEC, Tatzberg 47-49, D-01307 Dresden, Germany.</t>
  </si>
  <si>
    <t>denis.corbeil@tu-dresden.de; aurelio.lorico@tun.touro.edu</t>
  </si>
  <si>
    <t>Lorico, Aurelio/AAG-8095-2021; Corbeil, Denis/L-2340-2019; Corbeil, Denis/AFL-1008-2022</t>
  </si>
  <si>
    <t>Lorico, Aurelio/0000-0003-0644-7375; Corbeil, Denis/0000-0003-1181-3659; Vanier, Cheryl/0000-0003-0497-6150; Karbanova, Jana/0000-0001-7687-0983</t>
  </si>
  <si>
    <t>1582-1838</t>
  </si>
  <si>
    <t>1582-4934</t>
  </si>
  <si>
    <t>10.1111/jcmm.14334</t>
  </si>
  <si>
    <t>Cell Biology; Medicine, Research &amp; Experimental</t>
  </si>
  <si>
    <t>WOS:000470659500055</t>
  </si>
  <si>
    <t>Nguyen, B; Meehan, K; Pereira, MR; Mirzai, B; Lim, SH; Leslie, C; Clark, M; Sader, C; Friedland, P; Lindsay, A; Tang, C; Millward, M; Gray, ES; Lim, AM</t>
  </si>
  <si>
    <t>Nguyen, Bella; Meehan, Katie; Pereira, Michelle R.; Mirzai, Bob; Lim, Si Hong; Leslie, Connull; Clark, Michael; Sader, Chady; Friedland, Peter; Lindsay, Andrew; Tang, Colin; Millward, Michael; Gray, Elin S.; Lim, Annette M.</t>
  </si>
  <si>
    <t>A comparative study of extracellular vesicle-associated and cell-free DNA and RNA for HPV detection in oropharyngeal squamous cell carcinoma</t>
  </si>
  <si>
    <t>HUMAN-PAPILLOMAVIRUS DNA; MUTANT KRAS; CANCER; GUIDELINE; EXOSOMES; SERUM</t>
  </si>
  <si>
    <t>Purpose: This study compares the detection sensitivity of two separate liquid biopsy sources, cell-free (cf) DNA/RNA and extracellular vesicle (EV)-associated DNA/RNA (EV-DNA/RNA), to identify circulating Human Papilloma Virus (HPV) DNA/RNA in plasma obtained from patients with oropharyngeal squamous cell carcinoma (OPCSCC). We also report on the longitudinal changes observed in HPV-DNA levels in response to treatment. Experimental design: A prospective study was conducted that included 22 patients with locally advanced disease and six patients with metastatic OPCSCC. Twenty-three patients had HPV-related OPCSCC defined by p16 immunohistochemistry. Levels of circulating HPV-DNA and HPV-RNA from plasma-derived cf-DNA/RNA and EV-DNA/RNA were quantified using digital droplet PCR. Results: Circulating HPV-DNA was detected with higher sensitivity in cf-DNA compared to EV-DNA at 91% vs. 42% (p= &lt;0.001). Similarly, circulating tumoral HPV-RNA was detected at a higher sensitivity in cf-RNA compared to EV-RNA, at 83% vs. 50% (p=0.0019). In the locally advanced cohort, 100% (n=16) of HPV-OPCSCC patients demonstrated a reduction in circulating HPV-DNA levels in cf-DNA following curative treatment, with 81% of patients demonstrating complete clearance to undetectable levels. However, in metastatic HPV-OPCSCC patients (n=4), HPV-DNA levels did not correlate with treatment response. Conclusion: Our study demonstrates that although HPV-DNA/RNA can be detected in EV associated DNA/RNA, cf-DNA/RNA is the more sensitive liquid biopsy medium. As circulating HPV-DNA levels were found to only correlate with treatment response in the locally advanced but not metastatic setting in our small cohort of patients, the use of HPV-DNA as a dynamic biomarker to monitor treatment response requires further evaluation.</t>
  </si>
  <si>
    <t>[Nguyen, Bella; Millward, Michael; Lim, Annette M.] Sir Charles Gairdner Hosp, Dept Med Oncol, Perth, WA, Australia; [Nguyen, Bella; Meehan, Katie; Mirzai, Bob] Univ Western Australia, Sch Biomed Sci, Perth, WA, Australia; [Meehan, Katie] Chinese Univ Hong Kong, Shatin, Hong Kong, Peoples R China; [Pereira, Michelle R.; Clark, Michael; Tang, Colin; Gray, Elin S.] Edith Cowan Univ, Sch Med &amp; Hlth Sci, Joondalup, WA, Australia; [Lim, Si Hong] Telethon Kids Inst, Genom Western Australia, Perth, WA, Australia; [Leslie, Connull] Univ Western Australia, Sch Pathol &amp; Lab Med, Perth, WA, Australia; [Mirzai, Bob; Leslie, Connull] QEII Med Ctr, PathWest, Dept Anat Pathol, Perth, WA, Australia; [Sader, Chady; Friedland, Peter] Sir Charles Gairdner Hosp, Dept Otolaryngol Head &amp; Neck Surg, Perth, WA, Australia; [Sader, Chady] St John God Murdoch Hosp, Dept Otolaryngol Head &amp; Neck Surg, Perth, WA, Australia; [Friedland, Peter] Univ Western Australia, Fac Med &amp; Hlth Sci, Perth, WA, Australia; [Friedland, Peter] Univ Notre Dame, Sch Med, Fremantle, WA, Australia; [Lindsay, Andrew] Hollywood Private Hosp, Dept Otolaryngol Head &amp; Neck Surg, Perth, WA, Australia; [Tang, Colin] Sir Charles Gairdner Hosp, Dept Radiat Oncol, Perth, WA, Australia; [Millward, Michael] Univ Western Australia, Sch Med, Perth, WA, Australia; [Lim, Annette M.] Peter MacCallum Canc Ctr, Dept Med Oncol, Melbourne, Vic, Australia; [Lim, Annette M.] Univ Melbourne, Sir Peter MacCallum Dept Oncol, Melbourne, Vic, Australia</t>
  </si>
  <si>
    <t>University of Western Australia; University of Western Australia; Chinese University of Hong Kong; Edith Cowan University; Telethon Kids Institute; University of Western Australia; University of Western Australia; St John of God Health Care; University of Western Australia; University of Notre Dame Australia; University of Western Australia; University of Western Australia; Peter Maccallum Cancer Center; Peter Maccallum Cancer Center; University of Melbourne</t>
  </si>
  <si>
    <t>Lim, AM (corresponding author), Sir Charles Gairdner Hosp, Dept Med Oncol, Perth, WA, Australia.;Lim, AM (corresponding author), Peter MacCallum Canc Ctr, Dept Med Oncol, Melbourne, Vic, Australia.;Lim, AM (corresponding author), Univ Melbourne, Sir Peter MacCallum Dept Oncol, Melbourne, Vic, Australia.</t>
  </si>
  <si>
    <t>Meehan, Katie/H-5431-2014</t>
  </si>
  <si>
    <t>Meehan, Katie/0000-0002-9179-4592; Gray, Elin/0000-0002-8613-3570; Clark, Michael/0000-0002-9748-5221; Tang, Colin/0000-0002-4643-0466</t>
  </si>
  <si>
    <t>APR 8</t>
  </si>
  <si>
    <t>10.1038/s41598-020-63180-8</t>
  </si>
  <si>
    <t>WOS:000559751400007</t>
  </si>
  <si>
    <t>Hattori, Y; Shimada, T; Yasui, T; Kaji, N; Baba, Y</t>
  </si>
  <si>
    <t>Hattori, Yuya; Shimada, Taisuke; Yasui, Takao; Kaji, Noritada; Baba, Yoshinobu</t>
  </si>
  <si>
    <t>Micro- and Nanopillar Chips for Continuous Separation of Extracellular Vesicles</t>
  </si>
  <si>
    <t>ELECTROKINETIC FLOW; DIELECTROPHORESIS; PROTEINS; MOBILITY; EXOSOMES; ARRAYS; LATEX; RNA</t>
  </si>
  <si>
    <t>Micro- and nanopillar chips are widely used to separate and enrich biomolecules, such as DNA, RNA, protein, and cells, as an analytical technique and to provide a confined nanospace for polymer science analyses. Herein, we demonstrated a continuous accurate and precise separation technique for extracellular vesicles (EVs), nanometer-sized vesicles (typically 50-200 nm) currently recognized as novel biomarkers present in biofluids, based on the principle of electroosmotic flow-driven deterministic lateral displacement in micro- and nanopillar array chips. Notably, the easy-to-operate flow control afforded by electroosmotic flow allowed nanoparticles 50-500 nm in size, including EVs, to be precisely separated and enriched in a continuous manner. By observation of the flow behavior of nanoparticles, we found that electroosmotic flow velocity in the nanopillar arrays did not solely depend on counterion mobility on the surface of nanopillar chips, but rather showed a parabolic flow profile. This hydrodynamic pressure-free and easy-to-use separation and enrichment technique, which requires only electrode insertion into the reservoirs and electric field application, may thus serve as a promising technique for future precise and accurate EV analysis, reflecting both size and composition for research and potential clinical diagnostic applications.</t>
  </si>
  <si>
    <t>[Hattori, Yuya; Shimada, Taisuke; Yasui, Takao; Baba, Yoshinobu] Nagoya Univ, Grad Sch Engn, Dept Biomol Engn, Chikusa Ku, Furo Cho, Nagoya, Aichi 4648603, Japan; [Hattori, Yuya; Shimada, Taisuke; Yasui, Takao; Baba, Yoshinobu] Nagoya Univ, ImPACT Res Ctr Adv Nanobiodevices, Chikusa Ku, Furo Cho, Nagoya, Aichi 4648603, Japan; [Yasui, Takao; Kaji, Noritada] PRESTO, JST, 4-1-8 Honcho, Kawaguchi, Saitama 3320012, Japan; [Kaji, Noritada] Kyushu Univ, Grad Sch Engn, Dept Appl Chem, Nishi Ku, 744 Motooka, Fukuoka, Fukuoka 8190395, Japan; [Baba, Yoshinobu] Natl Inst Adv Ind Sci &amp; Technol, Hlth Res Inst, Hayashi Cho 2217-14, Takamatsu, Kagawa 7610395, Japan; [Baba, Yoshinobu] Kaohsiung Med Univ, Coll Pharm, Sch Pharm, 100 Shih Chuan First Rd, Kaohsiung 807, Taiwan</t>
  </si>
  <si>
    <t>Nagoya University; Nagoya University; Japan Science &amp; Technology Agency (JST); Kyushu University; National Institute of Advanced Industrial Science &amp; Technology (AIST); Kaohsiung Medical University</t>
  </si>
  <si>
    <t>Kaji, N (corresponding author), PRESTO, JST, 4-1-8 Honcho, Kawaguchi, Saitama 3320012, Japan.;Kaji, N (corresponding author), Kyushu Univ, Grad Sch Engn, Dept Appl Chem, Nishi Ku, 744 Motooka, Fukuoka, Fukuoka 8190395, Japan.</t>
  </si>
  <si>
    <t>kaji@cstf.kyushu-u.ac.jp</t>
  </si>
  <si>
    <t>Kaji, Noritada/U-1045-2019; Yasui, Takao/AHA-8445-2022</t>
  </si>
  <si>
    <t>Yasui, Takao/0000-0003-0333-3559</t>
  </si>
  <si>
    <t>10.1021/acs.analchem.8b05538</t>
  </si>
  <si>
    <t>WOS:000469304300017</t>
  </si>
  <si>
    <t>Rabas, N; Palmer, S; Mitchell, L; Ismail, S; Gohlke, A; Riley, JS; Tait, SWG; Gammage, P; Soares, LL; Macpherson, IR; Norman, JC</t>
  </si>
  <si>
    <t>Rabas, Nicolas; Palmer, Sarah; Mitchell, Louise; Ismail, Shehab; Gohlke, Andrea; Riley, Joel S.; Tait, Stephen W. G.; Gammage, Payam; Soares, Leandro Lemgruber; Macpherson, Iain R.; Norman, Jim C.</t>
  </si>
  <si>
    <t>PINK1 drives production of mtDNA-containing extracellular vesicles to promote invasiveness</t>
  </si>
  <si>
    <t>JOURNAL OF CELL BIOLOGY</t>
  </si>
  <si>
    <t>EXOSOMES; MITOCHONDRIA; METASTASIS; RECEPTORS; UBIQUITIN; INVASION; PLATFORM; CELLS</t>
  </si>
  <si>
    <t>The cystine-glutamate antiporter, xCT, supports a glutathione synthesis program enabling cancer cells to cope with metabolically stressful microenvironments. Up-regulated xCT, in combination with glutaminolysis, leads to increased extracellular glutamate, which promotes invasive behavior by activating metabotropic glutamate receptor 3 (mGluR3). Here we show that activation of mGluR3 in breast cancer cells activates Rab27-dependent release of extracellular vesicles (EVs), which can transfer invasive characteristics to recipient tumor cells. These EVs contain mitochondrial DNA (mtDNA), which is packaged via a PINK1-dependent mechanism. We highlight mtDNA as a key EV cargo necessary and sufficient for intercellular transfer of invasive behavior by activating Toll-like receptor 9 in recipient cells, and this involves increased endosomal trafficking of pro-invasive receptors. We propose that an EV-mediated mechanism, through which altered cellular metabolism in one cell influences endosomal trafficking in other cells, is key to generation and dissemination of pro-invasive microenvironments during mammary carcinoma progression.</t>
  </si>
  <si>
    <t>[Rabas, Nicolas; Palmer, Sarah; Mitchell, Louise; Ismail, Shehab; Gohlke, Andrea; Riley, Joel S.; Tait, Stephen W. G.; Gammage, Payam; Macpherson, Iain R.; Norman, Jim C.] Beatson Inst Canc Res, Glasgow, Lanark, Scotland; [Riley, Joel S.; Tait, Stephen W. G.; Gammage, Payam; Macpherson, Iain R.; Norman, Jim C.] Univ Glasgow, Inst Canc Sci, Glasgow, Lanark, Scotland; [Soares, Leandro Lemgruber] Univ Glasgow, Inst Infect Immun &amp; Inflammat, Glasgow, Lanark, Scotland; [Rabas, Nicolas; Palmer, Sarah] Francis Crick Inst, London, England; [Ismail, Shehab] Katholieke Univ Leuven, Dept Chem, Heverlee, Belgium</t>
  </si>
  <si>
    <t>Beatson Institute; University of Glasgow; University of Glasgow; Francis Crick Institute; KU Leuven</t>
  </si>
  <si>
    <t>Norman, JC (corresponding author), Beatson Inst Canc Res, Glasgow, Lanark, Scotland.;Norman, JC (corresponding author), Univ Glasgow, Inst Canc Sci, Glasgow, Lanark, Scotland.</t>
  </si>
  <si>
    <t>j.norman@beatson.gla.ac.uk</t>
  </si>
  <si>
    <t>Riley, Joel/AAE-9038-2021</t>
  </si>
  <si>
    <t>Riley, Joel/0000-0001-9170-5716; NORMAN, Jim/0000-0002-0098-3014; Gammage, Payam Anthony/0000-0003-1968-1726; Tait, Stephen/0000-0001-7697-132X; Ismail, Shehab/0000-0002-4150-1077; Lemgruber, Leandro/0000-0003-2832-6806; Gohlke, Andrea/0000-0002-5447-5453</t>
  </si>
  <si>
    <t>0021-9525</t>
  </si>
  <si>
    <t>1540-8140</t>
  </si>
  <si>
    <t>DEC 6</t>
  </si>
  <si>
    <t>e202006049</t>
  </si>
  <si>
    <t>10.1083/jcb.202006049</t>
  </si>
  <si>
    <t>WOS:000707568000001</t>
  </si>
  <si>
    <t>Zaborowska, M; Vazirisani, F; Shah, FA; Firdaus, R; Omar, O; Ekstrom, K; Trobos, M; Thomsen, P</t>
  </si>
  <si>
    <t>Zaborowska, Magdalena; Vazirisani, Forugh; Shah, Furqan A.; Firdaus, Rininta; Omar, Omar; Ekstrom, Karin; Trobos, Margarita; Thomsen, Peter</t>
  </si>
  <si>
    <t>Immunomodulatory effects exerted by extracellular vesicles from Staphylococcus epidermidis and Staphylococcus aureus isolated from bone-anchored prostheses</t>
  </si>
  <si>
    <t>Chemokines; Cytokines; Cytotoxicity; Biomaterial-associated infection; Extracellular vesicles; Monocyte; Macrophage; Inflammation; Staphylococci; THP-1</t>
  </si>
  <si>
    <t>GRAM-POSITIVE BACTERIA; MAMMALIAN TARGET; GENE-EXPRESSION; INFECTIONS; BRAIN; INFLAMMATION; ACTIVATION; BIOFILMS; RTP801; DEATH</t>
  </si>
  <si>
    <t>Staphylococcus aureus and Staphylococcus epidermidis are the bacteria that most frequently cause osteomyelitis. This study aimed to determine whether staphylococci isolated from osteomyelitis associated with septic loosening of orthopedic prostheses release extracellular vesicles (EVs) and, if so, to determine tentative immunomodulatory effects on the human monocytic cell line THP-1. EVs were isolated from bacterial cultures using filtration and ultracentrifugation and characterized by scanning electron microscopy, nanoparticle tracking analysis and Western Blot. The cytotoxic effect of EVs was analyzed by Nucleo Counter and lactate dehydrogenase (LDH) analyses. Confocal laser scanning microscopy was employed to visualize the uptake of EVs by THP-1 cells. Activation of the transcription factor nuclear factor-kappa B (NF-kappa B) was determined in THP1-Blue T NF-kappa B cells, and the gene expression and secretion of cytokines were determined by quantitative polymerase chain reaction and enzyme-linked immunosorbent assay, respectively. All investigated strains, irrespective of their biofilm formation ability, were able to secrete EVs in vitro. The S. aureus strains produced significantly more EVs than the S. epidermidis strains. Both S. aureus-derived EVs and S. epidermidis-derived EVs were internalized by THP-1 cells, upregulated Toll-like receptor 3 (TLR3) gene expression, activated NF-kappa B, and promoted the gene expression and secretion of interleukin (IL)-8, monocyte chemoattractant protein (MCP)-1, matrix metallopeptidase (MMP)-9 and IL-10. Whereas EVs from both staphylococcal species upregulated the proapoptotic DNA damage-inducible transcript 4 (DDIT4) gene and downregulated the antiapoptotic B-cell lymphoma 2 (Bcl-2) gene, cytolysis was preferentially induced in S. aureus EV-stimulated cells, possibly related to the expression of cytolytic proteins predominantly in S. aureus EVs. In conclusion, staphylococcal EVs possess potent cytolytic and immunomodulatory properties.</t>
  </si>
  <si>
    <t>[Zaborowska, Magdalena; Vazirisani, Forugh; Shah, Furqan A.; Firdaus, Rininta; Omar, Omar; Ekstrom, Karin; Trobos, Margarita; Thomsen, Peter] Univ Gothenburg, Sahlgrenska Acad, Inst Clin Sci, Dept Biomat, Gothenburg, Sweden; [Zaborowska, Magdalena; Vazirisani, Forugh; Firdaus, Rininta; Trobos, Margarita] Univ Gothenburg, Ctr Antibiot Resistance Res CARe, Gothenburg, Sweden</t>
  </si>
  <si>
    <t>University of Gothenburg; University of Gothenburg</t>
  </si>
  <si>
    <t>Thomsen, P (corresponding author), Univ Gothenburg, Sahlgrenska Acad, Inst Clin Sci, Dept Biomat, Gothenburg, Sweden.</t>
  </si>
  <si>
    <t>peter.thomsen@biomaterials.gu.se</t>
  </si>
  <si>
    <t>Ekstrom, Karin/M-7501-2013; Omar, Omar/I-2126-2017</t>
  </si>
  <si>
    <t>Ekstrom, Karin/0000-0001-7808-4572; Shah, Furqan A./0000-0002-9876-0467; Firdaus, Rininta/0000-0002-8097-8556; Omar, Omar/0000-0002-2610-1294; Thomsen, Peter/0000-0003-3910-6665</t>
  </si>
  <si>
    <t>10.1016/j.biomaterials.2021.121158</t>
  </si>
  <si>
    <t>WOS:000705191900002</t>
  </si>
  <si>
    <t>Zhang, Y; Liu, Y; Zhang, WD; Tang, QS; Zhou, Y; Li, YF; Rong, T; Wang, HY; Chen, Y</t>
  </si>
  <si>
    <t>Zhang Yang; Liu Yang; Zhang Wendiao; Tang Qisheng; Zhou Yun; Li Yuanfang; Rong Tong; Wang Huaying; Chen Yong</t>
  </si>
  <si>
    <t>Isolated cell-bound membrane vesicles (CBMVs) as a novel class of drug nanocarriers</t>
  </si>
  <si>
    <t>Cell-bound membrane vesicles (CBMVs); Drug delivery systems; Doxorubicin (Dox); Extracellular vesicles (EVs); Tumors</t>
  </si>
  <si>
    <t>HIGH-DENSITY-LIPOPROTEIN; DAUNORUBICIN-DNA; DELIVERY-SYSTEMS; DOXORUBICIN-DNA; CARDIOTOXICITY; TOXICITY; EXOSOMES</t>
  </si>
  <si>
    <t>Background Cell-bound membrane vesicles (CBMVs) are a type of membrane vesicles different from the well-known extracellular vesicles (EVs). In recent years, the applications of EVs as drug delivery systems have been studied widely. A question may arise whether isolated CBMVs also have the possibility of being recruited as a drug delivery system or nanocarrier? Methods To test the possibility, CBMVs were isolated/purified from the surfaces of cultured endothelial cells, loaded with a putative antitumor drug doxorubicin (Dox), and characterized. Subsequently, cellular experiments and animal experiments using mouse models were performed to determine the in vitro and in vivo antitumor effects of Dox-loaded CBMVs (Dox-CBMVs or Dox@CBMVs), respectively. Results Both Dox-free and Dox-loaded CBMVs were globular-shaped and nanometer-sized with an average diameter of similar to 300-400 nm. Dox-CBMVs could be internalized by cells and could kill multiple types of cancer cells. The in vivo antitumor ability of Dox-CBMVs also was confirmed. Moreover, Quantifications of blood cells (white blood cells and platelets) and specific enzymes (aspartate aminotransferase and creatine kinase isoenzymes) showed that Dox-CBMVs had lower side effects compared with free Dox. Conclusions The data show that the CBMV-entrapped Doxorubicin has the antitumor efficacy with lower side effects. This study provides evidence supporting the possibility of isolated cell-bound membrane vesicles as a novel drug nanocarrier.</t>
  </si>
  <si>
    <t>[Zhang Yang; Liu Yang; Zhang Wendiao; Tang Qisheng; Zhou Yun; Li Yuanfang; Rong Tong; Wang Huaying; Chen Yong] Nanchang Univ, Jiangxi Key Lab Microscale Interdisciplinary Stud, Inst Adv Study, 999 Xuefu Ave, Nanchang 330031, Jiangxi, Peoples R China; [Zhang Yang] Nanchang Univ, Sch Mat Sci &amp; Engn, Nanchang 330031, Jiangxi, Peoples R China</t>
  </si>
  <si>
    <t>Chen, Y (corresponding author), Nanchang Univ, Jiangxi Key Lab Microscale Interdisciplinary Stud, Inst Adv Study, 999 Xuefu Ave, Nanchang 330031, Jiangxi, Peoples R China.</t>
  </si>
  <si>
    <t>Chen, Yong/0000-0003-1678-1537</t>
  </si>
  <si>
    <t>MAY 6</t>
  </si>
  <si>
    <t>10.1186/s12951-020-00625-2</t>
  </si>
  <si>
    <t>WOS:000533942900002</t>
  </si>
  <si>
    <t>Qu, XL; Li, QW; Yang, JW; Zhao, HX; Wang, FF; Zhang, FY; Zhang, SF; Zhang, H; Wang, RL; Wang, Q; Wang, Q; Li, GH; Peng, XM; Zhou, X; Hao, YX; Zhu, JH; Xiao, WH</t>
  </si>
  <si>
    <t>Qu, Xueling; Li, Qiuwen; Yang, Jingwen; Zhao, Huixia; Wang, Feifei; Zhang, Fengyun; Zhang, Shufang; Zhang, He; Wang, Ruliang; Wang, Qian; Wang, Qi; Li, Guanghui; Peng, Xiumei; Zhou, Xuan; Hao, Yixin; Zhu, Jianhua; Xiao, Wenhua</t>
  </si>
  <si>
    <t>Double-Stranded DNA in Exosomes of Malignant Pleural Effusions as a Novel DNA Source for EGFR Mutation Detection in Lung Adenocarcinoma</t>
  </si>
  <si>
    <t>exosome; double-stranded DNA; EGFR mutation; malignant pleural effusions; lung adenocarcinoma</t>
  </si>
  <si>
    <t>CANCER; PLASMA; EPIDEMIOLOGY; PREDICTOR</t>
  </si>
  <si>
    <t>Background: Exosomes are cell-derived vesicles and bear a specific set of nucleic acids including DNA (exoDNA). Thus, this study is to explore whether exoDNA in malignant pleural effusions (MPEs) could be a novel DNA source for mutation detection of epidermal growth factor receptor (EGFR). Methods: In this study, 52 lung adenocarcinoma patients were enrolled, and EGFR mutation status was detected with tumor tissues as well as cell blocks and exosomes in MPEs. The sensitivity, specificity and consistency of EGFR detection using exosomes were evaluated, compared with gene detection using tumor tissues and cell blocks. And the clinical response of patients who were detected as EGFR mutation in exosomes and treated with EGFR tyrosine kinase inhibitor (EGFR-TKI) was explored. Results: Gene detection using exosomes showed sensitivity of 100%, specificity of 96.55% and coincidence rate of 98.08% (Kappa = 0.961, P &lt; 0.001), compared with detection using tumor tissues and cell blocks. After EGFR-TKI treatment, patients detected as EGFR mutation by exosomes showed efficacy rate of 83% and disease control rate of 100%. And patients who were detected as wild type in tumor tissues or cell blocks but EGFR mutation in exosomes turned up as PR or SD. Conclusions: These results demonstrated that exoDNA in MPEs could be used as a DNA source for EGFR detection in lung adenocarcinoma.</t>
  </si>
  <si>
    <t>[Qu, Xueling; Li, Qiuwen; Yang, Jingwen; Zhao, Huixia; Zhang, Fengyun; Zhang, Shufang; Zhang, He; Wang, Ruliang; Wang, Qi; Peng, Xiumei; Zhou, Xuan; Hao, Yixin; Zhu, Jianhua; Xiao, Wenhua] Peoples Liberat Army Gen Hosp, Med Ctr 4, Dept Oncol, Beijing, Peoples R China; [Wang, Feifei] Capital Med Univ, Peoples Hosp Beijing Daxing Dist, Dept Oncol, Beijing, Peoples R China; [Wang, Qian] Hebei Med Univ, Hosp 1, Dept Oncol, Shijiazhuang, Hebei, Peoples R China; [Li, Guanghui] Tianjin Med Univ, Sino Singapore Ecocity Hosp, Dept Internal Med, Tianjin, Peoples R China</t>
  </si>
  <si>
    <t>Chinese People's Liberation Army General Hospital; Capital Medical University; Hebei Medical University; Tianjin Medical University</t>
  </si>
  <si>
    <t>Xiao, WH (corresponding author), Peoples Liberat Army Gen Hosp, Med Ctr 4, Dept Oncol, Beijing, Peoples R China.</t>
  </si>
  <si>
    <t>w_hxiao@hotmail.com</t>
  </si>
  <si>
    <t>10.3389/fonc.2019.00931</t>
  </si>
  <si>
    <t>WOS:000487658600001</t>
  </si>
  <si>
    <t>Hayasaka, R; Tabata, S; Hasebe, M; Ikeda, S; Ohnuma, S; Mori, M; Soga, T; Tomita, M; Hirayama, A</t>
  </si>
  <si>
    <t>Hayasaka, Ryosuke; Tabata, Sho; Hasebe, Masako; Ikeda, Satsuki; Ohnuma, Sumiko; Mori, Masaru; Soga, Tomoyoshi; Tomita, Masaru; Hirayama, Akiyoshi</t>
  </si>
  <si>
    <t>Metabolomic Analysis of Small Extracellular Vesicles Derived from Pancreatic Cancer Cells Cultured under Normoxia and Hypoxia</t>
  </si>
  <si>
    <t>METABOLITES</t>
  </si>
  <si>
    <t>small extracellular vesicles; metabolome analysis; pancreatic cancer; hypoxia; capillary ion chromatography-mass spectrometry; liquid chromatography-mass spectrometry; supercritical fluid chromatography-tandem mass spectrometry</t>
  </si>
  <si>
    <t>Extracellular vesicles (EVs) released from cancer cells contribute to various malignant phenotypes of cancer, including metastasis, cachexia, and angiogenesis. Although DNA, mRNAs, miRNAs, and proteins contained in EVs have been extensively studied, the function of metabolites in EVs remains unclear. In this study, we performed a comprehensive metabolomic analysis of pancreatic cancer cells, PANC-1, cultured under different oxygen concentrations, and small EVs (sEVs) released from them, considering the fact that hypoxia contributes to the malignant behavior of cells in pancreatic cancer, which is a poorly diagnosed cancer. sEVs were collected by ultracentrifugation, and hydrophilic metabolites were analyzed using capillary ion chromatography-mass spectrometry and liquid chromatography-mass spectrometry, and lipids were analyzed by supercritical fluid chromatography-tandem mass spectrometry. A total of 140 hydrophilic metabolites and 494 lipids were detected in sEVs, and their profiles were different from those in cells. In addition, the metabolomic profile of sEVs was observed to change under hypoxic stress, and an increase in metabolites involved in angiogenesis was also detected. We reveal the hallmark of the metabolites contained in sEVs and the effect of tumor hypoxia on their profiles, which may help in understanding EV-mediated cancer malignancy.</t>
  </si>
  <si>
    <t>[Hayasaka, Ryosuke; Tabata, Sho; Hasebe, Masako; Ikeda, Satsuki; Ohnuma, Sumiko; Mori, Masaru; Soga, Tomoyoshi; Tomita, Masaru; Hirayama, Akiyoshi] Keio Univ, Inst Adv Biosci, Tsuruoka, Yamagata 9970052, Japan; [Hayasaka, Ryosuke; Mori, Masaru; Soga, Tomoyoshi; Tomita, Masaru; Hirayama, Akiyoshi] Keio Univ, Grad Sch Media &amp; Governance, Syst Biol Program, Fujisawa, Kanagawa 2520882, Japan; [Tabata, Sho] Osaka Univ, Inst Prot Res, Suita, Osaka 5650871, Japan; [Hirayama, Akiyoshi] Nagoya Univ, Inst NanoLife Syst, Inst Innovat Future Soc, Nagoya, Aichi 4648603, Japan</t>
  </si>
  <si>
    <t>Keio University; Keio University; Osaka University; Nagoya University</t>
  </si>
  <si>
    <t>Hirayama, A (corresponding author), Keio Univ, Inst Adv Biosci, Tsuruoka, Yamagata 9970052, Japan.;Hirayama, A (corresponding author), Keio Univ, Grad Sch Media &amp; Governance, Syst Biol Program, Fujisawa, Kanagawa 2520882, Japan.;Hirayama, A (corresponding author), Nagoya Univ, Inst NanoLife Syst, Inst Innovat Future Soc, Nagoya, Aichi 4648603, Japan.</t>
  </si>
  <si>
    <t>ryosukeh@sfc.keio.ac.jp; tabatasho@protein.osaka-u.ac.jp; mhasebe@ttck.keio.ac.jp; satsuki@ttck.keio.ac.jp; o-su-mi@ttck.keio.ac.jp; m-masaru@ttck.keio.ac.jp; soga@sfc.keio.ac.jp; mt@sfc.keio.ac.jp; hirayama@ttck.keio.ac.jp</t>
  </si>
  <si>
    <t>Hirayama, Akiyoshi/0000-0002-0440-6820; Hayasaka, Ryosuke/0000-0002-8340-0784</t>
  </si>
  <si>
    <t>2218-1989</t>
  </si>
  <si>
    <t>10.3390/metabo11040215</t>
  </si>
  <si>
    <t>WOS:000643263600001</t>
  </si>
  <si>
    <t>Bitto, NJ; Zavan, L; Johnston, EL; Stinear, TP; Hill, AF; Kaparakis-Liaskos, M</t>
  </si>
  <si>
    <t>Bitto, Natalie J.; Zavan, Lauren; Johnston, Ella L.; Stinear, Timothy P.; Hill, Andrew F.; Kaparakis-Liaskos, Maria</t>
  </si>
  <si>
    <t>Considerations for the Analysis of Bacterial Membrane Vesicles: Methods of Vesicle Production and Quantification Can Influence Biological and Experimental Outcomes</t>
  </si>
  <si>
    <t>MICROBIOLOGY SPECTRUM</t>
  </si>
  <si>
    <t>bacterial membrane vesicles (BMVs); DNA; membrane vesicles (MVs); NTA; outer membrane vesicles (OMVs); RNA; TLRs; protein; quantification</t>
  </si>
  <si>
    <t>QUANTITATION ASSAYS; PEPTIDOGLYCAN; NOD1; DNA</t>
  </si>
  <si>
    <t>Bacterial membrane vesicles (BMVs) are produced by all bacteria and facilitate a range of functions in host-microbe interactions and pathogenesis. Quantification of BMVs is a critical first step in the analysis of their biological and immunological functions. Historically, BMVs have been quantified by protein assay, which remains the preferred method of BMV quantification. However, recent studies have shown that BMV protein content can vary significantly between bacterial strains, growth conditions, and stages of bacterial growth, suggesting that protein concentration may not correlate directly with BMV quantity. Here, we show that the method used to quantify BMVs can alter experimental outcomes. We compared the enumeration of BMVs using different protein assays and nanoparticle tracking analysis (NTA). We show that different protein assays vary significantly in their quantification of BMVs and that their sensitivity varies when quantifying BMVs produced by different species. Moreover, stimulation of epithelial cells with an equivalent amount of BMV protein quantified using different protein assays resulted in significant differences in interleukin 8 (IL-8) responses. Quantification of Helicobacter pylori, Pseudomonas aeruginosa, and Staphylococcus aureus BMVs by NTA and normalization of BMV cargo to particle number revealed that BMV protein, DNA, and RNA contents were variable between strains and species and throughout bacterial growth. Differences in BMV-mediated activation of Toll-like receptors, NF-kappa B, and IL-8 responses were observed when stimulations were performed with equivalent BMV particle number but not equivalent protein amount. These findings reveal that the method of BMV quantification can significantly affect experimental outcomes, thereby potentially altering the observed biological functions of BMVs. IMPORTANCE Recent years have seen a surge in interest in the roles of BMVs in host-microbe interactions and interbacterial communication. As a result of such rapid growth in the field, there is a lack of uniformity in BMV enumeration. Here, we reveal that the method used to enumerate BMVs can significantly alter experimental outcomes. Specifically, standardization of BMVs by protein amount reduced the ability to distinguish strain differences in the immunological functions of BMVs. In contrast, species-, strain-, and growth stage-dependent differences in BMV cargo content were evident when BMVs were enumerated by particle number, and this was reflected in differences in their ability to induce immune responses. These findings indicate that parameters critical to BMV function, including bacterial species, strain, growth conditions, and sample purity, should form the basis of standard reporting in BMV studies. This will ultimately bring uniformity to the field to advance our understanding of BMV functions.</t>
  </si>
  <si>
    <t>[Bitto, Natalie J.; Zavan, Lauren; Johnston, Ella L.; Kaparakis-Liaskos, Maria] La Trobe Univ, Dept Physiol Anat &amp; Microbiol, Melbourne, Vic, Australia; [Bitto, Natalie J.; Zavan, Lauren; Johnston, Ella L.; Hill, Andrew F.; Kaparakis-Liaskos, Maria] La Trobe Univ, Res Ctr Extracellular Vesicles, Sch Mol Sci, Melbourne, Vic, Australia; [Stinear, Timothy P.] Univ Melbourne, Doherty Inst, Dept Microbiol &amp; Immunol, Melbourne, Vic, Australia; [Hill, Andrew F.] La Trobe Univ, Dept Biochem &amp; Genet, La Trobe Inst Mol Sci, Melbourne, Vic, Australia</t>
  </si>
  <si>
    <t>La Trobe University; La Trobe University; University of Melbourne; La Trobe University</t>
  </si>
  <si>
    <t>Kaparakis-Liaskos, M (corresponding author), La Trobe Univ, Dept Physiol Anat &amp; Microbiol, Melbourne, Vic, Australia.;Kaparakis-Liaskos, M (corresponding author), La Trobe Univ, Res Ctr Extracellular Vesicles, Sch Mol Sci, Melbourne, Vic, Australia.</t>
  </si>
  <si>
    <t>m.liaskos@latrobe.edu.au</t>
  </si>
  <si>
    <t>Johnston, Ella/0000-0003-2880-5719; Kaparakis-Liaskos, Maria/0000-0002-8964-4456; Stinear, Timothy/0000-0003-0150-123X; Zavan, Lauren/0000-0003-4700-3033; Hill, Andrew/0000-0001-5581-2354; Bitto, Natalie/0000-0003-3533-9824</t>
  </si>
  <si>
    <t>2165-0497</t>
  </si>
  <si>
    <t>e01273-21</t>
  </si>
  <si>
    <t>10.1128/Spectrum.01273-21</t>
  </si>
  <si>
    <t>WOS:000736124700120</t>
  </si>
  <si>
    <t>Lai, A; Elfeky, O; Rice, GE; Salomon, C</t>
  </si>
  <si>
    <t>Murthi, P; Vaillancourt, C</t>
  </si>
  <si>
    <t>Lai, Andrew; Elfeky, Omar; Rice, Gregory E.; Salomon, Carlos</t>
  </si>
  <si>
    <t>Optimized Specific Isolation of Placenta-Derived Exosomes from Maternal Circulation</t>
  </si>
  <si>
    <t>PREECLAMPSIA: METHODS AND PROTOCOLS</t>
  </si>
  <si>
    <t>Exosomes; Preeclampsia; Immunoaffinity isolation; Placenta</t>
  </si>
  <si>
    <t>EXTRAVILLOUS TROPHOBLASTS; HLA-G; EXPRESSION; PREGNANCY; CANCER; PLASMA</t>
  </si>
  <si>
    <t>Exosomes are small (similar to 100 nm) vesicles that carry a wide range of molecules including proteins, RNAs, and DNA. Exosomes are secreted from a wide range of cells including placental cells. Interestingly, exosomes secreted from placental cells have been identified in maternal circulation as early as in 6 weeks of gestation, and their concentration increases with the gestational age. While there is growing interest in elucidating the role of exosomes during normal and complicated pregnancies (such as preeclampsia), progress in the field has been delayed because of the inability to isolate placental exosomes from maternal circulation. Therefore, here we describe a workflow to isolate placental exosomes from maternal circulation.</t>
  </si>
  <si>
    <t>[Lai, Andrew; Elfeky, Omar; Rice, Gregory E.; Salomon, Carlos] Univ Queensland, Clin Res Ctr, Royal Brisbane &amp; Womens Hosp, Exosome Biol Lab,Ctr Clin Diagnost, Brisbane, Qld, Australia; [Rice, Gregory E.; Salomon, Carlos] Ochsner Clin Fdn, Dept Obstet &amp; Gynecol, Maternal Fetal Med, New Orleans, LA USA; [Salomon, Carlos] Univ Concepcion, Dept Clin Biochem &amp; Immunol, Fac Pharm, Concepcion, Chile</t>
  </si>
  <si>
    <t>Royal Brisbane &amp; Women's Hospital; University of Queensland; Ochsner Health System; Universidad de Concepcion</t>
  </si>
  <si>
    <t>Lai, A (corresponding author), Univ Queensland, Clin Res Ctr, Royal Brisbane &amp; Womens Hosp, Exosome Biol Lab,Ctr Clin Diagnost, Brisbane, Qld, Australia.</t>
  </si>
  <si>
    <t>Salomon, Carlos F/L-2167-2013; Lai, Andrew/M-2946-2019; Lai, Andrew/S-8920-2016</t>
  </si>
  <si>
    <t>Salomon, Carlos F/0000-0003-4474-0046; Lai, Andrew/0000-0002-4424-8767; Lai, Andrew/0000-0002-4424-8767</t>
  </si>
  <si>
    <t>978-1-4939-7498-6; 978-1-4939-7497-9</t>
  </si>
  <si>
    <t>10.1007/978-1-4939-7498-6_10</t>
  </si>
  <si>
    <t>10.1007/978-1-4939-7498-6</t>
  </si>
  <si>
    <t>Biochemical Research Methods; Biochemistry &amp; Molecular Biology; Genetics &amp; Heredity</t>
  </si>
  <si>
    <t>WOS:000433434600011</t>
  </si>
  <si>
    <t>Xiao, X; Yu, SR; Li, SC; Wu, JZ; Ma, R; Cao, HX; Zhu, YL; Feng, JF</t>
  </si>
  <si>
    <t>Xiao, Xia; Yu, Shaorong; Li, Shuchun; Wu, Jianzhong; Ma, Rong; Cao, Haixia; Zhu, Yanliang; Feng, Jifeng</t>
  </si>
  <si>
    <t>Exosomes: Decreased Sensitivity of Lung Cancer A549 Cells to Cisplatin</t>
  </si>
  <si>
    <t>TUMOR-DERIVED EXOSOMES; CELLULAR ACCUMULATION; MEDIATED TRANSFER; STROMAL CELLS; DNA-DAMAGE; EXPRESSION; GROWTH; MICROVESICLES; CHEMOTHERAPY</t>
  </si>
  <si>
    <t>Exosomes are small extracellular membrane vesicles of endocytic origin released by many cells that could be found in most body fluids. The main functions of exosomes are cellular communication and cellular waste clean-up. This study was conducted to determine the involvement of exosomes in the regulation of sensitivity of the lung cancer cell line A549 to cisplatin (DDP). When DDP was added to A549 cells, exosomes secretion was strengthened. Addition of the secreted exosomes to other A549 cells increased the resistance of these A549 cells to DDP. Upon exposure of A549 to DDP, the expression levels of several miRNAs and mRNAs reportedly associated with DDP sensitivity changed significantly in exosomes; these changes may mediate the resistance of A549 cells to DDP. Exosomes released by A549 cells during DDP exposure decreased the sensitivity of other A549 cells to DDP, which may be mediated by miRNAs and mRNAs exchange by exosomes via cell-to-cell communication. Although the detailed mechanism of resistance remains unclear, we believed that inhibition of exosomes formation and release might present a novel strategy for lung cancer treatment in the future.</t>
  </si>
  <si>
    <t>[Xiao, Xia; Yu, Shaorong; Wu, Jianzhong; Ma, Rong; Cao, Haixia; Feng, Jifeng] Nanjing Med Univ, Affiliated Canc Hosp, Jiangsu Canc Hosp, Res Ctr Clin Oncol, Nanjing, Jiangsu, Peoples R China; [Xiao, Xia; Yu, Shaorong; Wu, Jianzhong; Ma, Rong; Cao, Haixia; Feng, Jifeng] Jiangsu Inst Canc Res, Nanjing, Jiangsu, Peoples R China; [Li, Shuchun] Nanjing Univ Technol, Nanjing, Jiangsu, Peoples R China; [Zhu, Yanliang] Southeast Univ, Nanjing, Jiangsu, Peoples R China</t>
  </si>
  <si>
    <t>Nanjing Medical University; Nanjing Medical University; Nanjing Tech University; Southeast University - China</t>
  </si>
  <si>
    <t>Feng, JF (corresponding author), Nanjing Med Univ, Affiliated Canc Hosp, Jiangsu Canc Hosp, Res Ctr Clin Oncol, Nanjing, Jiangsu, Peoples R China.</t>
  </si>
  <si>
    <t>fjif@vip.sina.com</t>
  </si>
  <si>
    <t>Li, Shuchun/0000-0003-4636-4005</t>
  </si>
  <si>
    <t>FEB 21</t>
  </si>
  <si>
    <t>e89534</t>
  </si>
  <si>
    <t>10.1371/journal.pone.0089534</t>
  </si>
  <si>
    <t>WOS:000331717900118</t>
  </si>
  <si>
    <t>Deng, FY; Ratri, A; Deighan, C; Daaboul, G; Geiger, PC; Christenson, LK</t>
  </si>
  <si>
    <t>Deng, Fengyan; Ratri, Anamika; Deighan, Clayton; Daaboul, George; Geiger, Paige C.; Christenson, Lane K.</t>
  </si>
  <si>
    <t>Single-Particle Interferometric Reflectance Imaging Characterization of Individual Extracellular Vesicles and Population Dynamics</t>
  </si>
  <si>
    <t>Extracellular vesicles (EVs) are nanometer-sized vesicles with a lipid bilayer that are secreted by most cells. EVs carry a multitude of different biological molecules, including protein, lipid, DNA, and RNA, and are postulated to facilitate cell-to-cell communication in diverse tissues and organs. Recently, EVs have attracted significant attention as biomarkers for diagnostics and therapeutic agents for various diseases. Many methods have been developed for EV characterization. However, current methods for EV analysis all have different limitations. Thus, developing efficient and effective methods for EV isolation and characterization remains one of the crucial steps for this cutting-edge research field as it matures. Here, we provide a detailed protocol outlining a single-particle interferometric reflectance imaging sensor (SP-IRIS), as a method that is capable of detecting and characterizing EVs from unpurified biological sources and purified EVs by other methodologies. This advanced technique can be used for multi-level and comprehensive measurements for the analysis of EV size, EV count, EV phenotype, and biomarker colocalization.</t>
  </si>
  <si>
    <t>[Deng, Fengyan; Ratri, Anamika; Geiger, Paige C.; Christenson, Lane K.] Univ Kansas, Med Ctr, Dept Mol &amp; Integrat Physiol, Lawrence, KS 66045 USA; [Deighan, Clayton; Daaboul, George] NanoView Biosci, Boston, MA USA</t>
  </si>
  <si>
    <t>Christenson, LK (corresponding author), Univ Kansas, Med Ctr, Dept Mol &amp; Integrat Physiol, Lawrence, KS 66045 USA.</t>
  </si>
  <si>
    <t>lchristenson@kumc.edu</t>
  </si>
  <si>
    <t>e62988</t>
  </si>
  <si>
    <t>10.3791/62988</t>
  </si>
  <si>
    <t>WOS:000798949800038</t>
  </si>
  <si>
    <t>Dalanezi, FM; Garcia, HDM; Ferrazza, RD; Franchi, FF; Fontes, PK; Castilho, ACD; Nogueira, MFG; Schmidt, EMD; Sartori, R; Ferreira, JCP</t>
  </si>
  <si>
    <t>Dalanezi, Felipe Morales; Mogollon Garcia, Henry David; Ferrazza, Rodrigo de Andrade; Franchi, Fernanda Fagali; Fontes, Patricia Kubo; de Souza Castilho, Anthony Cesar; Gouveia Nogueira, Marcelo Fabio; dos Santos Schmidt, Elizabeth Moreira; Sartori, Roberto; Pinheiro Ferreira, Joao Carlos</t>
  </si>
  <si>
    <t>Extracellular vesicles of follicular fluid from heat-stressed cows modify the gene expression of in vitro-matured oocytes</t>
  </si>
  <si>
    <t>ANIMAL REPRODUCTION SCIENCE</t>
  </si>
  <si>
    <t>Dairy; Reproduction; Biotechnology; Exosomes</t>
  </si>
  <si>
    <t>HIGH HYDROSTATIC-PRESSURE; MORPHOGENETIC PROTEIN 15; METAPHASE-II SPINDLE; OPU-DERIVED OOCYTES; NELORE BOS-INDICUS; C-REACTIVE PROTEIN; BOVINE OOCYTES; DEVELOPMENTAL COMPETENCE; DIFFERENTIAL EXPRESSION; OSMOTIC-STRESS</t>
  </si>
  <si>
    <t>The effect of heat stress (HS) on cattle reproduction is deleterious with respect to ovarian follicular development and oocyte quality. The objective of this study was to investigate the effect of follicular fluid extracellular vesicles (EVs) obtained from cows maintained in thermoneutral (TN) or HS conditions on in vitro oocyte maturation. Nonlactating cows were estrous synchronized. Immediately after ovulation day (D1), the cows were randomly assigned to TN or HS environments. Follicular fluid from all follicles from each treatment was pooled, and EVs were obtained. Pools of 20 cumulus oocyte-complexes (COCs), were allocated to the following treatments: Control (n = 4 COC pools): matured in base medium; TN (n = 4 COC pools): matured in base medium supplemented with TN EV suspension; and HS (n = 4 COC pools): matured in base medium that was supplemented with the HS EV suspension. All treatments were conducted at 38.5 degrees C for 24 h in a humid atmosphere with 5% CO2. After maturation, the COCs were evaluated for meiotic progression, DNA integrity and oocyte quality-related gene expression. When the experimental groups were compared with the control group, a treatment effect was not observed for meiotic progression and DNA integrity. In the cumulus cells of TN group, there was relatively lesser expression of the IGFBP4 gene. In the oocytes of the TN as compared with the HS group, the IGFBP2, BMP15, GDF9, CDCAS, HAS2, RPL15, STAT3 and PFKP genes were expressed to a lesser extent. The findings indicated that oocytes matured in the presence of EVs from the follicular fluid of cows collected when there were TN conditions, however, there was a lesser expression of genes related to oocyte quality.</t>
  </si>
  <si>
    <t>[Dalanezi, Felipe Morales; Mogollon Garcia, Henry David; Ferrazza, Rodrigo de Andrade; dos Santos Schmidt, Elizabeth Moreira; Pinheiro Ferreira, Joao Carlos] Sao Paulo State Univ, Sch Vet Med &amp; Anim Sci, Rua Prof Dr Walter Mauricio Correa SN, BR-18618681 Botucatu, SP, Brazil; [Franchi, Fernanda Fagali; Fontes, Patricia Kubo; de Souza Castilho, Anthony Cesar] Sao Paulo State Univ, Inst Biosci, Botucatu, SP, Brazil; [Gouveia Nogueira, Marcelo Fabio] Sao Paulo State Univ, Fac Sci &amp; Languages Assis, Assis, Brazil; [Sartori, Roberto] Univ Sao Paulo, ESALQ, Luiz de Queiroz Coll Agr, Piracicaba, Brazil</t>
  </si>
  <si>
    <t>Universidade Estadual Paulista; Universidade Estadual Paulista; Universidade Estadual Paulista; Universidade de Sao Paulo</t>
  </si>
  <si>
    <t>Ferreira, JCP (corresponding author), Sao Paulo State Univ, Sch Vet Med &amp; Anim Sci, Rua Prof Dr Walter Mauricio Correa SN, BR-18618681 Botucatu, SP, Brazil.</t>
  </si>
  <si>
    <t>joao.cp.ferreira@unesp.br</t>
  </si>
  <si>
    <t>Fontes, Patricia Kubo/R-8362-2017; Moreira dos Santos Schmidt, Elizabeth/AHC-8353-2022; Franchi, Fernanda Fagali/AAL-1911-2021; Sartori, Roberto/I-3339-2013; Nogueira, Marcelo Fábio Gouveia/D-9801-2012; Ferreira, Joao C P/G-1153-2012; Castilho, Anthony/AAS-2147-2021; Ferreira, João Carlos Pinheiro/V-4281-2019</t>
  </si>
  <si>
    <t>Fontes, Patricia Kubo/0000-0002-4280-9575; Sartori, Roberto/0000-0001-6917-0057; Nogueira, Marcelo Fábio Gouveia/0000-0002-2239-9652; Ferreira, João Carlos Pinheiro/0000-0002-7742-8254; Mogollon Garcia, Henry David/0000-0003-0820-5847; Fagali Franchi, Fernanda/0000-0002-9859-0576; Schmidt, Elizabeth/0000-0001-8297-6979</t>
  </si>
  <si>
    <t>0378-4320</t>
  </si>
  <si>
    <t>1873-2232</t>
  </si>
  <si>
    <t>10.1016/j.anireprosci.2019.04.008</t>
  </si>
  <si>
    <t>Agriculture, Dairy &amp; Animal Science; Reproductive Biology; Veterinary Sciences</t>
  </si>
  <si>
    <t>Agriculture; Reproductive Biology; Veterinary Sciences</t>
  </si>
  <si>
    <t>WOS:000469907300012</t>
  </si>
  <si>
    <t>Kraus, TFJ</t>
  </si>
  <si>
    <t>Kraus, Theo F. J.</t>
  </si>
  <si>
    <t>Emergence of exosomal DNA in molecular neuropathology</t>
  </si>
  <si>
    <t>JOURNAL OF LABORATORY MEDICINE</t>
  </si>
  <si>
    <t>biomarkers; brain tumors; exosomes; molecularly targeted therapy; neurodegeneration; neuropathology</t>
  </si>
  <si>
    <t>MGMT PROMOTER METHYLATION; ALZHEIMERS ASSOCIATION GUIDELINES; BLOOD-BRAIN-BARRIER; LEWY BODIES; EXTRACELLULAR VESICLES; TRANSFERRIN RECEPTOR; MULTIVESICULAR BODIES; NATIONAL INSTITUTE; PROTEOMIC INSIGHTS; PURIFIED EXOSOMES</t>
  </si>
  <si>
    <t>Background: Exosomes are small vesicles of sizes between 40 and 100 nm. They are actively segregated by numerous different cell types and they can be found in almost all body fluids. Thus, there is an emerging role of exosomes and exosomal deoxyribonucleic acid (exoDNA) in biomedical research, especially in molecular medicine. Exosomes are assembled and segregated actively and carry distinct surface markers for cellular communication. They are loaded with cargo such as DNA, ribonucleic acid (RNA) and proteins. As there are numerous different - exosomal purification methods available, it is of essential need to select an appropriate technique to get reliable results. As neuropathology is faced with the challenge that brain tissue is not accessible in an easy fashion, exosomes represent an ideal tool for molecular neuro-pathology. Thus, disease-specific molecular - alterations will be detectable in a minimally invasive way for early disease diagnosis and surveillance. Summary: The analysis of exoDNA as biomarkers in neuropathology will enable early diagnosis, monitoring and relapse detection of brain tumors and neuropsychiatric disorders. Outlook: It is assumed that the significance of exosomes will increase in the upcoming years. There are powerful approaches in development using exosomes in molecularly targeted therapy to ultimately cure devastating brain diseases.</t>
  </si>
  <si>
    <t>[Kraus, Theo F. J.] Ctr Human Genet &amp; Lab Diagnost, Div Pathol, Lochhamer Str 29, D-82152 Munich, Bavaria, Germany</t>
  </si>
  <si>
    <t>Kraus, TFJ (corresponding author), Ctr Human Genet &amp; Lab Diagnost, Div Pathol, Lochhamer Str 29, D-82152 Munich, Bavaria, Germany.</t>
  </si>
  <si>
    <t>thk3181@gmail.com</t>
  </si>
  <si>
    <t>2567-9430</t>
  </si>
  <si>
    <t>2567-9449</t>
  </si>
  <si>
    <t>10.1515/labmed-2017-0065</t>
  </si>
  <si>
    <t>WOS:000429039300002</t>
  </si>
  <si>
    <t>Choi, JS; Cho, WL; Choi, YJ; Kim, JD; Park, HA; Kim, SY; Park, JH; Jo, DG; Cho, YW</t>
  </si>
  <si>
    <t>Choi, Ji Suk; Cho, Woo Lee; Choi, Yeo Jin; Kim, Jae Dong; Park, Hyun-A; Kim, Su Yeon; Park, Jae Hyung; Jo, Dong-Gyu; Cho, Yong Woo</t>
  </si>
  <si>
    <t>Functional recovery in photo-damaged human dermal fibroblasts by human adipose-derived stem cell extracellular vesicles</t>
  </si>
  <si>
    <t>Stem cell-derived EVs; dermal fibroblasts; UVB radiation; photoaging; functional recovery</t>
  </si>
  <si>
    <t>TISSUE INHIBITOR; EXOSOMES; COLLAGEN; PATHWAY; GENE; METALLOPROTEINASE-1; ANGIOGENESIS; ACTIVATION; MECHANISMS; SENESCENCE</t>
  </si>
  <si>
    <t>Ultraviolet-B (UVB) irradiation causes imbalance between dermal matrix synthesis and degradation through aberrant upregulation of matrix metalloproteinases (MMPs), which leads to overall skin photoaging. We investigated the effects of extracellular vesicles (EVs) derived from human adipose-derived stem cells (HASCs) on photo-damaged human dermal fibroblasts (HDFs). EVs were isolated from conditioned media of HASCs with tangential flow filtration and characterized using transmission electron microscopy (TEM), nanoparticle tracking analysis (NTA), western blotting, micro RNA (miRNA) arrays, cytokine arrays and liquid chromatography coupled with tandem mass spectrometry (LC-MS/MS). The effects of EVs on the UVB-irradiated HDFs were evaluated using scratch assay, ELISA and real-time PCR. Microarrays exhibited that EVs are rich in various miRNAs and proteins, and that these EV contents are linked to a broad range of biological functions, including fibroblast proliferation, UV protection, collagen biosynthesis, DNA repair and cell ageing. A scratch assay showed that HASC-EVs enhanced the migration ability of UVB-irradiated HDFs. Real-time RT-PCR and ELISA analyses revealed that the HASC-derived EVs significantly suppressed the overexpression of MMP-1, -2, -3 and -9 induced by UVB irradiation and enhanced the expression of collagen types I, II, III and V and elastin. In particular, tissue inhibitor of metalloproteinase (TIMP)-1 and transforming growth factor (TGF)-beta 1, which are important factors involved in MMP suppression and ECM synthesis, were upregulated in EV-treated HDFs after UVB irradiation. Overall results suggest that diverse components that are enriched in HASC-derived EVs could act as a biochemical cue for recovery from skin photoaging.</t>
  </si>
  <si>
    <t>[Choi, Ji Suk; Cho, Woo Lee; Choi, Yeo Jin; Cho, Yong Woo] Hanyang Univ, Dept Chem Engn, Ansan 426791, Gyeonggi Do, South Korea; [Choi, Ji Suk; Kim, Jae Dong; Park, Hyun-A; Kim, Su Yeon; Cho, Yong Woo] Exostemtech Inc, Res Inst, Ansan, South Korea; [Park, Jae Hyung] Sungkyunkwan Univ, Sch Chem Engn, Suwon, South Korea; [Jo, Dong-Gyu] Sungkyunkwan Univ, Sch Pharm, Suwon, South Korea</t>
  </si>
  <si>
    <t>Hanyang University; Sungkyunkwan University (SKKU); Sungkyunkwan University (SKKU)</t>
  </si>
  <si>
    <t>Cho, YW (corresponding author), Hanyang Univ, Dept Chem Engn, Ansan 426791, Gyeonggi Do, South Korea.</t>
  </si>
  <si>
    <t>ywcho7@hanyang.ac.kr</t>
  </si>
  <si>
    <t>Park, Jae Hyung/B-5967-2018; Jo, Dong-Gyu/AAN-9278-2021</t>
  </si>
  <si>
    <t>Jo, Dong-Gyu/0000-0003-2271-1076</t>
  </si>
  <si>
    <t>10.1080/20013078.2019.1565885</t>
  </si>
  <si>
    <t>WOS:000456137900001</t>
  </si>
  <si>
    <t>Nahand, JS; Bokharaei-Salim, F; Karimzadeh, M; Moghoofei, M; Karampoor, S; Mirzaei, HR; Tabibzadeh, A; Jafari, A; Ghaderi, A; Asemi, Z; Mirzaei, H; Hamblin, MR</t>
  </si>
  <si>
    <t>Nahand, J. Sadri; Bokharaei-Salim, F.; Karimzadeh, M.; Moghoofei, M.; Karampoor, S.; Mirzaei, H. R.; Tabibzadeh, A.; Jafari, A.; Ghaderi, A.; Asemi, Z.; Mirzaei, H.; Hamblin, M. R.</t>
  </si>
  <si>
    <t>MicroRNAs and exosomes: key players in HIV pathogenesis</t>
  </si>
  <si>
    <t>HIV MEDICINE</t>
  </si>
  <si>
    <t>AIDS; diagnostic biomarkers; exosomes; pathogenesis mechanisms; HIV; microRNA</t>
  </si>
  <si>
    <t>HUMAN-IMMUNODEFICIENCY-VIRUS; REPEAT LTR TRANSACTIVATION; EXTRACELLULAR VESICLES; CELLULAR MICRORNA; INFECTED PATIENTS; DOWN-REGULATION; INTERCELLULAR COMMUNICATION; CIRCULATING MICRORNAS; IMMUNOLOGICAL MARKERS; CONTAINS EXOSOMES</t>
  </si>
  <si>
    <t>Objectives HIV infection is well known to cause impairment of the human immune system, and until recently was a leading cause of death. It has been shown that T lymphocytes are the main targets of HIV. The virus inactivates T lymphocytes by interfering with a wide range of cellular and molecular targets, leading to suppression of the immune system. The objective of this review is to investigate to what extent microRNAs (miRNAs) are involved in HIV pathogenesis. Methods The scientific literature (Pubmed and Google scholar) for the period 1988-2019 was searched. Results Mounting evidence has revealed that miRNAs are involved in viral replication and immune response, whether by direct targeting of viral transcripts or through indirect modulation of virus-related host pathways. In addition, exosomes have been found to act as nanoscale carriers involved in HIV pathogenesis. These nanovehicles target their cargos (i.e. DNA, RNA, viral proteins and miRNAs) leading to alteration of the behaviour of recipient cells. Conclusions miRNAs and exosomes are important players in HIV pathogenesis. Additionally, there are potential diagnostic applications of miRNAs as biomarkers in HIV infection.</t>
  </si>
  <si>
    <t>[Nahand, J. Sadri; Bokharaei-Salim, F.; Karimzadeh, M.; Karampoor, S.; Tabibzadeh, A.] Iran Univ Med Sci, Fac Med, Dept Virol, Tehran, Iran; [Moghoofei, M.] Kermanshah Univ Med Sci, Fac Med, Dept Microbiol, Kermanshah, Iran; [Mirzaei, H. R.] Univ Tehran Med Sci, Sch Med, Dept Med Immunol, Tehran, Iran; [Jafari, A.] Iran Univ Med Sci, Fac Adv Technol Med, Dept Med Nanotechnol, Tehran, Iran; [Ghaderi, A.] Kashan Univ Med Sci, Sch Med, Dept Addict Studies, Kashan, Iran; [Asemi, Z.; Mirzaei, H.] Kashan Univ Med Sci, Res Ctr Biochem &amp; Nutr Metab Dis, Inst Basic Sci, Kashan, Iran; [Hamblin, M. R.] Harvard Med Sch, Massachusetts Gen Hosp, Wellman Ctr Photomed, 40 Blossom St, Boston, MA 02114 USA</t>
  </si>
  <si>
    <t>Iran University of Medical Sciences; Kermanshah University of Medical Sciences; Tehran University of Medical Sciences; Iran University of Medical Sciences; Harvard University; Harvard Medical School; Massachusetts General Hospital</t>
  </si>
  <si>
    <t>Mirzaei, H (corresponding author), Kashan Univ Med Sci, Res Ctr Biochem &amp; Nutr Metab Dis, Inst Basic Sci, Kashan, Iran.;Hamblin, MR (corresponding author), Harvard Med Sch, Massachusetts Gen Hosp, Wellman Ctr Photomed, 40 Blossom St, Boston, MA 02114 USA.</t>
  </si>
  <si>
    <t>mirzaei-h@kaums.ac.ir; HAMBLIN@helix.mgh.harvard.edu</t>
  </si>
  <si>
    <t>Jafari, Amir/AAX-9251-2020; Mirzaei, Hamed/X-2374-2018; Tabibzadeh, Alireza/ABD-1787-2020; Karampoor, Sajad/AAY-7072-2021; Hamblin, Michael R/H-2758-2019; Mirzaei, Hamid Reza/I-4673-2019</t>
  </si>
  <si>
    <t>Jafari, Amir/0000-0001-7604-688X; Mirzaei, Hamed/0000-0002-9399-8281; Tabibzadeh, Alireza/0000-0003-0070-2208; Hamblin, Michael R/0000-0001-6431-4605; Mirzaei, Hamid Reza/0000-0002-3303-2565; sadri nahand, javid/0000-0002-5808-6869; , Mohsen/0000-0002-4487-205X; karampoor, sajad/0000-0003-3716-8096</t>
  </si>
  <si>
    <t>1464-2662</t>
  </si>
  <si>
    <t>1468-1293</t>
  </si>
  <si>
    <t>10.1111/hiv.12822</t>
  </si>
  <si>
    <t>WOS:000519011400005</t>
  </si>
  <si>
    <t>Li, P; Yu, XY; Han, WJ; Kong, Y; Bao, WY; Zhang, JQ; Zhang, WC; Gu, YQ</t>
  </si>
  <si>
    <t>Li, Ping; Yu, Xiyuan; Han, Wujuan; Kong, Ying; Bao, Weiyang; Zhang, Jiaqi; Zhang, Wancun; Gu, Yueqing</t>
  </si>
  <si>
    <t>Ultrasensitive and Reversible Nanoplatform of Urinary Exosomes for Prostate Cancer Diagnosis</t>
  </si>
  <si>
    <t>urinary exosomes; cancer biomarker; prostate cancer diagnosis; prostate specific membrane antigen; aptamer</t>
  </si>
  <si>
    <t>EXTRACELLULAR VESICLES; AMPLIFICATION; BIOMARKERS; SENSOR</t>
  </si>
  <si>
    <t>Prostate cancer cell-derived exosomes in urine have been extensively studied recently and regarded as novel biomarkers for cancer diagnosis and prognosis, which presents wide prospects in clinical applications. Sensitive detection and specific capture methods are essential for exosomes analysis. Herein, a dual functional platform composed of superparamagnetic conjunctions and molecular beacons (SMC-MB) is reported. The SMC-MB platform is designed based on aptamer immunoaffinity with ultrasensitive detection efficiency and reversible isolation capacity, which, respectively, profit from nonenzymatic amplification methods and magnetic separation along with restriction cleavage. It is noteworthy that exosomes quantification was exactly amplified and transformed into single strand DNA detection. Correlated measurements evidence that the limit of detection of SMC-MB is as low as similar to 100 particles/mu L in urine, and a linear relationship meets between the logarithmic concentration of exosomes and fluorescence intensity of the molecular beacon. Furthermore, employing prostate specific membrane antigen (PSMA) aptamer, the platform adapted to detect and capture PMSA-positive exosomes from urine samples provides excellent diagnostic efficiency for prostate cancer (PCa). The expression of typical biomarkers of PCa, i.e., PSA and PCA3 mRNA, is significantly higher in PSMA-positive exosomes. Altogether, the platform and strategy described in this paper are promising in urinary exosomes analysis and prostate cancer detection.</t>
  </si>
  <si>
    <t>[Li, Ping; Yu, Xiyuan; Han, Wujuan; Bao, Weiyang; Zhang, Jiaqi; Zhang, Wancun; Gu, Yueqing] China Pharmaceut Univ, Sch Engn, Dept Biomed Engn, 639 Longmian Ave, Nanjing 211198, Jiangsu, Peoples R China; [Kong, Ying; Gu, Yueqing] China Pharmaceut Univ, State Key Lab Nat Med, 639 Longmian Ave, Nanjing 211198, Jiangsu, Peoples R China</t>
  </si>
  <si>
    <t>China Pharmaceutical University; China Pharmaceutical University</t>
  </si>
  <si>
    <t>Gu, YQ (corresponding author), China Pharmaceut Univ, Sch Engn, Dept Biomed Engn, 639 Longmian Ave, Nanjing 211198, Jiangsu, Peoples R China.;Gu, YQ (corresponding author), China Pharmaceut Univ, State Key Lab Nat Med, 639 Longmian Ave, Nanjing 211198, Jiangsu, Peoples R China.</t>
  </si>
  <si>
    <t>guengineering@cpu.edu.cn</t>
  </si>
  <si>
    <t>, 张万存/AAS-8026-2020</t>
  </si>
  <si>
    <t>10.1021/acssensors.9b00621</t>
  </si>
  <si>
    <t>WOS:000469410100038</t>
  </si>
  <si>
    <t>Zou, LY; Liu, XF; Zhou, Y; Mei, WJ; Wang, Q; Yang, XH; Wang, KM</t>
  </si>
  <si>
    <t>Zou, Liyuan; Liu, Xiaofeng; Zhou, Yuan; Mei, Wenjing; Wang, Qing; Yang, Xiaohai; Wang, Kemin</t>
  </si>
  <si>
    <t>Optical fiber amplifier and thermometer assisted point-of-care biosensor for detection of cancerous exosomes</t>
  </si>
  <si>
    <t>Exosomes; Point-of-care testing; Biosensor; Colorimetric; Photothermal</t>
  </si>
  <si>
    <t>EXTRACELLULAR VESICLES; PROTEINS; MARKERS</t>
  </si>
  <si>
    <t>Developing a simple, reliable and sensitive point-of-care testing (POCT) biosensor for cancerous exosomes detection is crucial to early cancer diagnosis and prognosis. Herein, a colorimetric and photothermal POCT biosensor was demonstrated based on rolling circle amplification (RCA) mediated 2,2' -azinobis-(3-ethyl-benzthiazoline-6-sulphonate) (ABTS)-H2O2 system for sensitive detection of cancerous exosomes. In the presence of target exosomes, RCA could be triggered and produced multiple units that hybridized to horseradish peroxidase (HRP) modified DNA probes. Colorless ABTS would be converted by HRP into the oxidized form with strong near-infrared absorbance, enabling colorimetric and photothermal detection of exosomes. Then, colorimetric and photothermal responses were recorded by optical fiber amplifier and forehead thermometer, respectively, enabling hand-held detection. Moreover, EpCAM aptamer was used as biorecognition element for exosomes secreted by MCF-7 breast cancer cells so that the point-of-care biosensor exhibited excellent specificity. Furthermore, the point-of-care biosensor could effectively detect the cancerous exosomes in 30% fetal bovine serum with lots of normal exosomes. Moreover, the biosensor could avoid the influence of the external environment, including surrounding light and temperature. These results suggest that the proposed strategy has great potential as a powerful tool for POCT application of exosomes in future diagnosis.</t>
  </si>
  <si>
    <t>[Zou, Liyuan; Liu, Xiaofeng; Zhou, Yuan; Mei, Wenjing; Wang, Qing; Yang, Xiaohai; Wang, Kemin] Hunan Univ, Coll Chem &amp; Chem Engn, State Key Lab Chemo Biosensing &amp; Chemometr, Key Lab Bionanotechnol &amp; Mol Engn Hunan Prov, Changsha 410082, Peoples R China</t>
  </si>
  <si>
    <t>Hunan University</t>
  </si>
  <si>
    <t>Wang, Q; Yang, XH (corresponding author), Hunan Univ, Coll Chem &amp; Chem Engn, State Key Lab Chemo Biosensing &amp; Chemometr, Key Lab Bionanotechnol &amp; Mol Engn Hunan Prov, Changsha 410082, Peoples R China.</t>
  </si>
  <si>
    <t>wwqq99@hnu.edu.cn; yangxiaohai@hnu.edu.cn</t>
  </si>
  <si>
    <t>10.1016/j.snb.2021.130893</t>
  </si>
  <si>
    <t>WOS:000823049300003</t>
  </si>
  <si>
    <t>Wen, ZZT; Jorgensen, AN; Huang, XC; Ellepola, K; Chapman, L; Wu, H; Brady, LJ</t>
  </si>
  <si>
    <t>Wen, Zezhang T.; Jorgensen, Ashton N.; Huang, Xiaochang; Ellepola, Kassapa; Chapman, Lynne; Wu, Hui; Brady, L. Jeannine</t>
  </si>
  <si>
    <t>Multiple factors are involved in regulation of extracellular membrane vesicle biogenesis in Streptococcus mutans</t>
  </si>
  <si>
    <t>MOLECULAR ORAL MICROBIOLOGY</t>
  </si>
  <si>
    <t>biofilm formation; membrane vesicles; Streptococcus mutans; stress tolerance response; vesiculogenesis</t>
  </si>
  <si>
    <t>BIOFILM FORMATION; DNA; DEFICIENCY; EXPRESSION; VIRULENCE; STRAINS; RELEASE; OPERON; MATRIX; GROWTH</t>
  </si>
  <si>
    <t>Streptococcus mutans, a major etiological agent of human dental caries, produces membrane vesicles (MVs) that contain protein and extracellular DNA. In this study, functional genomics, along with in vitro biofilm models, was used to identify factors that regulate MV biogenesis. Our results showed that when added to growth medium, MVs significantly enhanced biofilm formation by S. mutans, especially during growth in sucrose. This effect occurred in the presence and absence of added human saliva. Functional genomics revealed several genes, including sfp, which have a major effect on S. mutans MVs. In Bacillus sp. sfp encodes a 4 '-phosphopantetheinyl transferase that contributes to surfactin biosynthesis and impacts vesiculogenesis. In S. mutans, sfp resides within the TnSmu2 Genomic Island that supports pigment production associated with oxidative stress tolerance. Compared to the UA159 parent, the Delta sfp mutant, TW406, demonstrated a 1.74-fold (p .05) higher MV yield as measured by BCA protein assay. This mutant also displayed increased susceptibility to low pH and oxidative stressors, as demonstrated by acid killing and hydrogen peroxide challenge assays. Deficiency of bacA, a putative surfactin synthetase homolog within TnSmu2, and especially dac and pdeA that encode a di-adenylyl cyclase and a phosphodiesterase, respectively, also significantly increased MV yield (p &lt; .05). However, elimination of bacA2, a bacitracin synthetase homolog, resulted in a &gt;1.5-fold (p .05) reduction of MV yield. These results demonstrate that S. mutans MV properties are regulated by genes within and outside of the TnSmu2 island, and that as a major particulate component of the biofilm matrix, MVs significantly influence biofilm formation.</t>
  </si>
  <si>
    <t>[Wen, Zezhang T.; Jorgensen, Ashton N.; Huang, Xiaochang; Ellepola, Kassapa; Chapman, Lynne] Louisiana State Univ Hlth, Dept Oral &amp; Craniofacial Biol, Sch Dent, New Orleans, LA 70112 USA; [Wen, Zezhang T.; Jorgensen, Ashton N.; Huang, Xiaochang; Ellepola, Kassapa; Chapman, Lynne] Louisiana State Univ Hlth, Sch Med, Dept Microbiol Immunol &amp; Parasitol, New Orleans, LA 70112 USA; [Brady, L. Jeannine] Univ Florida, Sch Dent, Dept Oral Biol, Gainesville, FL USA; [Wu, Hui] Oregon Hlth &amp; Sci Univ, Sch Dent, Dept Integrat Biomed &amp; Diagnost Sci, Portland, OR 97201 USA</t>
  </si>
  <si>
    <t>Louisiana State University System; Louisiana State University Health Sciences Center New Orleans; Louisiana State University System; Louisiana State University Health Sciences Center New Orleans; State University System of Florida; University of Florida; Oregon Health &amp; Science University</t>
  </si>
  <si>
    <t>Wen, ZZT (corresponding author), Louisiana State Univ Hlth, Dept Oral &amp; Craniofacial Biol, Sch Dent, New Orleans, LA 70112 USA.;Wen, ZZT (corresponding author), Louisiana State Univ Hlth, Sch Med, Dept Microbiol Immunol &amp; Parasitol, New Orleans, LA 70112 USA.</t>
  </si>
  <si>
    <t>zwen@lsuhsc.edu</t>
  </si>
  <si>
    <t>Ellepola, Kassapa/AAA-7771-2021</t>
  </si>
  <si>
    <t>Ellepola, Kassapa/0000-0003-3806-9807; wen, zezhang/0000-0001-8540-3420</t>
  </si>
  <si>
    <t>2041-1006</t>
  </si>
  <si>
    <t>2041-1014</t>
  </si>
  <si>
    <t>10.1111/omi.12318</t>
  </si>
  <si>
    <t>Dentistry, Oral Surgery &amp; Medicine; Microbiology</t>
  </si>
  <si>
    <t>WOS:000595230300001</t>
  </si>
  <si>
    <t>Domenis, R; Cifu, A; Mio, C; Fabris, M; Curcio, F</t>
  </si>
  <si>
    <t>Domenis, Rossana; Cifu, Adriana; Mio, Catia; Fabris, Martina; Curcio, Francesco</t>
  </si>
  <si>
    <t>Pro-Inflammatory Microenvironment Modulates the Transfer of Mutated TP53 Mediated by Tumor Exosomes</t>
  </si>
  <si>
    <t>exosomal DNA; pro-inflammatory cytokines; oncogene transfer</t>
  </si>
  <si>
    <t>DOUBLE-STRANDED DNA; EXTRACELLULAR VESICLES; GENOMIC DNA; MICROVESICLES; CELLS; KRAS</t>
  </si>
  <si>
    <t>Exosomes released from tumor cells are instrumental in shaping the local tumor microenvironment to allow cancer progression. Recently, it has been shown that tumor exosomes carry large fragments of dsDNA, which may reflect the mutational status of parental cells. Although it has been described that a stressful microenvironment can influence exosomal cargo, the effects on DNA packing and its transfer into recipient cells have yet to be investigated. Here, we report that exosomes derived from SW480 (human colorectal adenocarcinoma cell line) cells can carry dsDNA fragments containing the entire coding sequence of both TP53 and KRAS genes, harboring the SW480-related TP53 c.818G &gt; A and KRAS c.35G &gt; T typical mutations. We also report the following: that cell stimulation with lipopolysaccharides (LPS) promotes the selective packaging of the TP53 gene, but not the KRAS gene; that exosomes secreted by SW480 cells efficiently transfer the mutated sequences into normal CCD841-CoN colon epithelial and THLE-2 hepatic cells; that this mechanism is more efficient when the cells had been previously incubated with pro-inflammatory cytokines; that the TP53 gene appears actively transcribed in both recipient cells; and that mutated mRNA levels are not influenced by cytokine treatment. Our data strongly suggest that pro-inflammatory stimulation promotes the horizontal transfer of an oncogene by exosomes, although this remains a rare event. Further studies are needed to assess the impact of the oncogenic transfer by exosomes in malignant transformation and its role in tumor progression.</t>
  </si>
  <si>
    <t>[Domenis, Rossana; Cifu, Adriana; Mio, Catia; Curcio, Francesco] Univ Udine, Dept Med Area, I-33100 Udine, Italy; [Fabris, Martina; Curcio, Francesco] Azienda Sanit Univ Integrata Friuli Cent, Inst Clin Pathol, I-33100 Udine, Italy</t>
  </si>
  <si>
    <t>University of Udine</t>
  </si>
  <si>
    <t>Domenis, R (corresponding author), Univ Udine, Dept Med Area, I-33100 Udine, Italy.</t>
  </si>
  <si>
    <t>rossana.domenis@unid.it; adriana.cifu@uniud.it; catia.mio@uniud.it; martina.fabris@asufc.sanita.fvg.it; francesco.curcio@uniud.it</t>
  </si>
  <si>
    <t>Fabris, Martina/AAC-2353-2022; mio, catia/AAW-1604-2021</t>
  </si>
  <si>
    <t>mio, catia/0000-0002-6245-8266; CURCIO, Francesco/0000-0002-9070-4807; Cifu, Adriana/0000-0002-6794-8838</t>
  </si>
  <si>
    <t>10.3390/ijms22126258</t>
  </si>
  <si>
    <t>WOS:000666445600001</t>
  </si>
  <si>
    <t>Huber, J; Griffin, MF; Longaker, MT; Quarto, N</t>
  </si>
  <si>
    <t>Huber, Julika; Griffin, Michelle F.; Longaker, Michael T.; Quarto, Natalina</t>
  </si>
  <si>
    <t>Exosomes: A Tool for Bone Tissue Engineering</t>
  </si>
  <si>
    <t>exosomes; mesenchymal stromal cells; bone tissue engineering; bone defect; regenerative medicine</t>
  </si>
  <si>
    <t>MESENCHYMAL STEM-CELLS; GLUCOCORTICOID-INDUCED OSTEONECROSIS; EXTRACELLULAR VESICLES; STROMAL CELLS; FEMORAL-HEAD; INTERCELLULAR COMMUNICATION; OSTEOGENIC DIFFERENTIATION; IN-VIVO; MARROW; REGENERATION</t>
  </si>
  <si>
    <t>Impact statement Mesenchymal stem cells have been shown to be a promising tool in bone tissue engineering. Recently, it has been suggested that they secrete exosomes containing messenger RNA, proteins, and lipids, thus acting through paracrine signaling mechanisms. Considering that exosomes are nonteratogenic and have low immunogenic potential, they could potentially replace stem-cell based therapy and thus eradicate the risk of neoplastic transformation associated with cell transplantations in bone regeneration. Mesenchymal stem cells (MSCs) have been repeatedly shown to be a valuable source for cell-based therapy in regenerative medicine, including bony tissue repair. However, engraftment at the injury site is poor. Recently, it has been suggested that MSCs and other cells act through a paracrine signaling mechanism. Exosomes are nanostructures that have been implicated in this process. They carry DNA, RNA, proteins, and lipids and play an important role in cell-to-cell communication directly modulating their target cell at a transcriptional level. In a bone microenvironment, they have been shown to increase osteogenesis and osteogenic differentiation in vivo and in vitro. In the following review, we will discuss the most advanced and significant knowledge of biological functions of exosomes in bone regeneration and their clinical applications in osseous diseases.</t>
  </si>
  <si>
    <t>[Huber, Julika; Griffin, Michelle F.; Longaker, Michael T.; Quarto, Natalina] Stanford Univ, Sch Med, Dept Surg, Div Plast &amp; Reconstruct Surg, Stanford, CA 94305 USA; [Huber, Julika] Ruhr Univ Bochum, BG Univ Hosp Bergmannsheil, Dept Plast Surg, Bochum, Germany; [Longaker, Michael T.] Stanford Univ, Sch Med, Stanford Inst Stem Cell Biol &amp; Regenerat Med, Stanford, CA 94305 USA; [Quarto, Natalina] Univ Napoli Federico II, Dipartimento Sci Biomed Avanzate, Naples, Italy</t>
  </si>
  <si>
    <t>Stanford University; Ruhr University Bochum; Stanford University; University of Naples Federico II</t>
  </si>
  <si>
    <t>Huber, J; Quarto, N (corresponding author), Stanford Univ, Sch Med, Hagey Lab Pediat Regenerat Med, 257 Campus Dr, Stanford, CA 94305 USA.</t>
  </si>
  <si>
    <t>jlhuber@stanford.edu; quarto@unina.it</t>
  </si>
  <si>
    <t>10.1089/ten.teb.2020.0246</t>
  </si>
  <si>
    <t>WOS:000628691400001</t>
  </si>
  <si>
    <t>Chen, J; Meng, HM; An, Y; Geng, X; Zhao, KR; Qu, LB; Li, ZH</t>
  </si>
  <si>
    <t>Chen, Juan; Meng, Hong-Min; An, Ying; Geng, Xin; Zhao, Keran; Qu, Lingbo; Li, Zhaohui</t>
  </si>
  <si>
    <t>Structure-switching aptamer triggering hybridization displacement reaction for label-free detection of exosomes</t>
  </si>
  <si>
    <t>Exosomes; Aptamer; Label-free; Fluorescent sensor; Quantitative detection</t>
  </si>
  <si>
    <t>EXTRACELLULAR VESICLES; MOLECULAR RECOGNITION; FLUORESCENCE; SURFACE; STRATEGY</t>
  </si>
  <si>
    <t>Exosomes play important roles in intercellular communications, tumor migration and invasion. However, the specific detection of cancer exosomes remains as a big challenge due to its low concentration in biofluids. Therefore, the sensitive and selective detection of cancer cells-derived exosomes has attracted growing attention owing to their potential in diagnostic and prognostic applications. Activatable strategies have received great attention for the detection of low abundant analytes due to their high sensitivity. Herein, based on molecular recognition between DNA aptamer and exosome surface biomarker (protein tyrosine kinase-7), a novel activatable and label-free strategy was designed for highly sensitive and specific sensing of exosomes. In this work, the target exosomes trigger strand replacement reaction to form G-quadruplex, which result in an obvious fluorescence enhancement of N-methylmesoporphyrin IX due to the bonding between G-quadruplex and N-methylmesoporphyrin IX. Under the optimum experimental conditions, the linear range for exosomes was measured to be 5.0 x 10(5)-5.0 x 10(7) particles/mu L and the detection limit (LOD) was calculated to be 3.4 x 10(5) particles/mu L (3 sigma). This assay possesses high specificity to distinguish exosomes derived from different cell lines, and has successfully been validated in patient and healthy plasma samples. Furthermore, the probe can effectively detect the exosomes in 30% fetal bovine serum, indicating that the biological matrix has a negligible effect on this method. This developed label-free, convenient and highly sensitive biosensor will offer a great opportunity for exosomes quantification in biological study and clinical application.</t>
  </si>
  <si>
    <t>[Chen, Juan; Meng, Hong-Min; An, Ying; Geng, Xin; Qu, Lingbo; Li, Zhaohui] Zhengzhou Univ, Inst Chem Biol &amp; Clin Applicat, Affiliated Hosp 1,Coll Chem, Henan Joint Int Res Lab Green Construct Funct Mol, Zhengzhou 450001, Peoples R China; [Zhao, Keran] Xi An Jiao Tong Univ, Sch Mat Sci &amp; Engn, Xian 710049, Peoples R China</t>
  </si>
  <si>
    <t>Zhengzhou University; Xi'an Jiaotong University</t>
  </si>
  <si>
    <t>Meng, HM; Li, ZH (corresponding author), Zhengzhou Univ, Inst Chem Biol &amp; Clin Applicat, Affiliated Hosp 1,Coll Chem, Henan Joint Int Res Lab Green Construct Funct Mol, Zhengzhou 450001, Peoples R China.</t>
  </si>
  <si>
    <t>hmmeng2017@zzu.edu.cn; zhaohui.li@zzu.edu.cn</t>
  </si>
  <si>
    <t>10.1016/j.talanta.2019.120510</t>
  </si>
  <si>
    <t>WOS:000509632900029</t>
  </si>
  <si>
    <t>Bai, YA; Qu, YL; Wu, ZH; Ren, YJ; Cheng, ZL; Lu, YX; Hu, J; Lou, JT; Zhao, JL; Chen, C; Mao, HJ</t>
  </si>
  <si>
    <t>Bai, Yanan; Qu, Youlan; Wu, Zhenhua; Ren, Yijiu; Cheng, Zule; Lu, Yunxing; Hu, Jie; Lou, Jiatao; Zhao, Jianlong; Chen, Chang; Mao, Hongju</t>
  </si>
  <si>
    <t>Absolute quantification and analysis of extracellular vesicle lncRNAs from the peripheral blood of patients with lung cancer based on multi-colour fluorescence chip-based digital PCR</t>
  </si>
  <si>
    <t>Lung cancer; Extracellular vesicles; lncRNA; Early diagnosis; Multi-colour fluorescence</t>
  </si>
  <si>
    <t>LOW-COST; DNA; EXPRESSION; EXOSOMES; DIAGNOSIS; BIOLOGY</t>
  </si>
  <si>
    <t>Emerging evidence indicates that extracellular vesicle (EV) long non-coding ribonucleic acids (lncRNAs) in lung cancer may be clinically useful biomarkers for early diagnosis using liquid biopsy. However, the extremely low quantities of EV-lncRNAs in peripheral blood are a major challenge for multi-target detection. In this study, we developed a new multi-colour fluorescence digital PCR EV-lncRNA (miDER) analysis chip, and then demonstrated its ability to quickly and accurately analyse the levels of two target genes and one reference gene from peripheral blood. Under the miDER assay, the limit of detection of the target gene from peripheral blood was 10 copies/4. Based on multiplex assay, the expression levels of two lung cancer-related genes (SLC9A3-AS1 and PCAT6) in patients with lung cancer (n = 32) and healthy controls (n = 30) showed a significant difference between the two groups (P &lt; 0.001; two-tailed t-test). A receiver operating characteristic (ROC) curve analysis was used to evaluate the discrimination ability of these lncRNAs. The combination of two lncRNAs in the miDER assay yielded a higher area under curve (AUC) value of 0.811 (95% CI = 0.705-0.918). Moreover, to determine the absolute quantitation capacity of the miDER assay, we compared the results to those obtained by quantitative real-time polymerase chain reaction (qPCR), demonstrating that the miDER assay is more sensitive than qPCR. The multiplex assay based on the miDER could provide a new solution for the multi-index combined detection of trace EV-lncRNAs in body fluids and demonstrate the use of EV-lncRNAs as biomarkers for lung tumour biopsy.</t>
  </si>
  <si>
    <t>[Bai, Yanan; Qu, Youlan; Wu, Zhenhua; Cheng, Zule; Lu, Yunxing; Zhao, Jianlong; Mao, Hongju] Chinese Acad Sci, State Key Lab Transducer Technol, Shanghai Inst Microsyst &amp; Informat Technol, Shanghai 200050, Peoples R China; [Bai, Yanan; Cheng, Zule; Lu, Yunxing; Mao, Hongju] Univ Chinese Acad Sci, Ctr Mat Sci &amp; Optoelect Engn, Beijing 100049, Peoples R China; [Qu, Youlan] Dalian Med Univ, Sch Stomatol, Dalian 116044, Peoples R China; [Ren, Yijiu; Chen, Chang] Tongji Univ, Sch Med, Shanghai Pulm Hosp, Dept Thorac Surg, Shanghai 200443, Peoples R China; [Hu, Jie] Fudan Univ, Zhongshan Hosp, Dept Pulm Med, Shanghai 200032, Peoples R China; [Lou, Jiatao] Shanghai Jiao Tong Univ, Shanghai Chest Hosp, Dept Lab Med, Shanghai 200030, Peoples R China</t>
  </si>
  <si>
    <t>Chinese Academy of Sciences; Shanghai Institute of Microsystem &amp; Information Technology, CAS; Chinese Academy of Sciences; University of Chinese Academy of Sciences, CAS; Dalian Medical University; Tongji University; Fudan University; Shanghai Jiao Tong University</t>
  </si>
  <si>
    <t>Mao, HJ (corresponding author), Chinese Acad Sci, State Key Lab Transducer Technol, Shanghai Inst Microsyst &amp; Informat Technol, Shanghai 200050, Peoples R China.;Chen, C (corresponding author), Tongji Univ, Sch Med, Shanghai Pulm Hosp, Dept Thorac Surg, Shanghai 200443, Peoples R China.</t>
  </si>
  <si>
    <t>changchenc@hotmail.com; hjmao@mail.sim.ac.cn</t>
  </si>
  <si>
    <t>Lou, Jiatao/AAY-9830-2020</t>
  </si>
  <si>
    <t>10.1016/j.bios.2019.111523</t>
  </si>
  <si>
    <t>WOS:000487175000042</t>
  </si>
  <si>
    <t>El-kattawy, AM; Algezawy, O; Alfaifi, MY; Noseer, EA; Hawsawi, YM; Alzahrani, OR; Algarni, A; Kahilo, KA; El-Magd, MA</t>
  </si>
  <si>
    <t>El-kattawy, Azza M.; Algezawy, Ola; Alfaifi, Mohammad Y.; Noseer, Enas A.; Hawsawi, Yousef M.; Alzahrani, Othman R.; Algarni, Abdulrahman; Kahilo, Khaled A.; El-Magd, Mohammed A.</t>
  </si>
  <si>
    <t>Therapeutic potential of camel milk exosomes against HepaRG cells with potent apoptotic, anti-inflammatory, and anti-angiogenesis effects for colostrum exosomes</t>
  </si>
  <si>
    <t>BIOMEDICINE &amp; PHARMACOTHERAPY</t>
  </si>
  <si>
    <t>Camel milk; Exosomes; HepaRG; Apoptosis; Inflammation; Angiogenesis</t>
  </si>
  <si>
    <t>BOVINE LACTOFERRIN; CANCER; ANTIOXIDANT; EXPRESSION; MICRORNAS; PROTEINS; COW</t>
  </si>
  <si>
    <t>This study aimed to evaluate and compare the therapeutic effect of camel milk exosomes derived from colostrum, early, mid, and late lactation periods on liver cancer HepaRG cells. These exosomes showed cytotoxicity on HepaRG while being safer on normal human liver THLE-2 cells. Among the four different isolated exosome groups, exosomes isolated from colostrum exhibited the highest apoptotic potential on HepaRG as indicated by highest DNA damage and upregulated expression of Bax and caspase3 expression, but with lowest Bcl2 expression. HepaRG-treated with colostrum-derived exosomes also exhibited the lowest expression of inflammation-related genes (TNF alpha, NFkB, TGF beta 1, and Cox2) and the angiogenesis-related gene VEGF. Colostrum derived exosomes had significantly higher expression of lactoferrin and kappa casein than other milk-derived exosomes. These results indicate that colostrum-derived exosomes have a more potent anti-cancer effect on HepaRG cells than exosomes derived from the early, mid, and lat lactation periods. This effect could be mediated through induction of apoptosis and inhibition of inflammation and angiogenesis. Therefore, these exosomes could be used as safe adjuvants/carriers to deliver chemotherapeutics and to potentiate their anticancer effect on liver cancer cells.</t>
  </si>
  <si>
    <t>[El-kattawy, Azza M.; Algezawy, Ola; Kahilo, Khaled A.] Kafrelsheikh Univ, Fac Vet Med, Dept Biochem, POB 33516, Kafrelsheikh, Egypt; [Alfaifi, Mohammad Y.] King Khalid Univ, Fac Sci, Biol Dept, Abha 9004, Saudi Arabia; [Noseer, Enas A.] Aswan Univ, Fac Vet Med, Dept Biochem, Tingar, Egypt; [Hawsawi, Yousef M.] King Faisal Specialist Hosp &amp; Res Ctr, Res Ctr, POB 40047, Jeddah 21499, Saudi Arabia; [Hawsawi, Yousef M.] Al Faisal Univ, Coll Med, POB 50927, Riyadh 11533, Saudi Arabia; [Alzahrani, Othman R.] Univ Tabuk, Fac Sci, Genome &amp; Biotechnol Unit, Tabuk, Saudi Arabia; [Alzahrani, Othman R.] Univ Tabuk, Fac Sci, Dept Biol, Tabuk, Saudi Arabia; [Algarni, Abdulrahman] Northern Border Univ, Dept Biomed Sci, Pobox 1321, Saudi Arabia; [El-Magd, Mohammed A.] Kafrelsheikh Univ, Fac Vet Med, Dept Anat, POB 33516, Kafrelsheikh, Egypt</t>
  </si>
  <si>
    <t>Egyptian Knowledge Bank (EKB); Kafrelsheikh University; King Khalid University; Egyptian Knowledge Bank (EKB); Aswan University; King Faisal Specialist Hospital &amp; Research Center; Alfaisal University; University of Tabuk; University of Tabuk; Northern Borders University; Egyptian Knowledge Bank (EKB); Kafrelsheikh University</t>
  </si>
  <si>
    <t>El-Magd, MA (corresponding author), Kafrelsheikh Univ, Fac Vet Med, Dept Anat, POB 33516, Kafrelsheikh, Egypt.</t>
  </si>
  <si>
    <t>Hawsawi, Yousef/K-8070-2019; Alfaifi, Mohammad/AIB-4544-2022; El-Magd, Mohammed/O-2673-2019</t>
  </si>
  <si>
    <t>Hawsawi, Yousef/0000-0003-1901-697X; Alfaifi, Mohammad/0000-0003-4310-3539; Algarni, Abdulrahman/0000-0001-9184-269X; EL-Magd, Mohammed/0000-0002-3314-9202</t>
  </si>
  <si>
    <t>0753-3322</t>
  </si>
  <si>
    <t>1950-6007</t>
  </si>
  <si>
    <t>10.1016/j.biopha.2021.112220</t>
  </si>
  <si>
    <t>WOS:000704949500003</t>
  </si>
  <si>
    <t>Usman, WM; Pham, TC; Kwok, YY; Vu, LT; Ma, V; Peng, BY; San Chan, Y; Wei, LK; Chin, SM; Azad, A; He, ABL; Leung, AYH; Yang, MS; Shyh-Chang, N; Cho, WC; Shi, JH; Le, MTN</t>
  </si>
  <si>
    <t>Usman, Waqas Muhammad; Tin Chanh Pham; Kwok, Yuk Yan; Vu, Luyen Tien; Ma, Victor; Peng, Boya; San Chan, Yuen; Wei, Likun; Chin, Siew Mei; Azad, Ajijur; He, Alex Bai-Liang; Leung, Anskar Y. H.; Yang, Mengsu; Ng Shyh-Chang; Cho, William C.; Shi, Jiahai; Le, Minh T. N.</t>
  </si>
  <si>
    <t>Efficient RNA drug delivery using red blood cell extracellular vesicles</t>
  </si>
  <si>
    <t>EXOSOMES; MICRORNA-125B; COMMUNICATION; EXPRESSION; ONCOMIR; LINES; SIRNA</t>
  </si>
  <si>
    <t>Most of the current methods for programmable RNA drug therapies are unsuitable for the clinic due to low uptake efficiency and high cytotoxicity. Extracellular vesicles (EVs) could solve these problems because they represent a natural mode of intercellular communication. However, current cellular sources for EV production are limited in availability and safety in terms of horizontal gene transfer. One potentially ideal source could be human red blood cells (RBCs). Group O-RBCs can be used as universal donors for large-scale EV production since they are readily available in blood banks and they are devoid of DNA. Here, we describe and validate a new strategy to generate large-scale amounts of RBC-derived EVs for the delivery of RNA drugs, including antisense oligonucleotides, Cas9 mRNA, and guide RNAs. RNA drug delivery with RBCEVs shows highly robust microRNA inhibition and CRISPR-Cas9 genome editing in both human cells and xenograft mouse models, with no observable cytotoxicity.</t>
  </si>
  <si>
    <t>[Usman, Waqas Muhammad; Tin Chanh Pham; Vu, Luyen Tien; Peng, Boya; San Chan, Yuen; Wei, Likun; Chin, Siew Mei; Azad, Ajijur; Yang, Mengsu; Shi, Jiahai; Le, Minh T. N.] City Univ Hong Kong, Coll Vet Med &amp; Life Sci, Dept Biomed Sci, 83 Tat Chee Ave, Kowloon, Hong Kong, Peoples R China; [Kwok, Yuk Yan; Ma, Victor; Cho, William C.] Queen Elizabeth Hosp, Dept Clin Oncol, 30 Gascoigne Rd, Kowloon, Hong Kong, Peoples R China; [He, Alex Bai-Liang; Leung, Anskar Y. H.] Univ Hong Kong, Queen Mary Hosp, Li Ka Shing Fac Med, 102 Pok Fu Lam Rd, Hong Kong Isl, Hong Kong, Peoples R China; [He, Alex Bai-Liang; Leung, Anskar Y. H.] Univ Hong Kong, Dept Med, Li Ka Shing Fac Med, Pok Fu Lam Road 102, Hong Kong Isl, Hong Kong, Peoples R China; [Yang, Mengsu] City Univ Hong Kong, Biotech &amp; Hlth Ctr, Shenzhen Res Inst, Key Lab Biochip Technol, Shenzhen, Peoples R China; [Ng Shyh-Chang] Genome Inst Singapore, 60 Biopolis St, Singapore 138672, Singapore; [Shi, Jiahai; Le, Minh T. N.] City Univ Hong Kong, Shenzhen Res Inst, Shenzhen, Peoples R China</t>
  </si>
  <si>
    <t>City University of Hong Kong; University of Hong Kong; University of Hong Kong; City University of Hong Kong; Agency for Science Technology &amp; Research (ASTAR); Genome Institute of Singapore (GIS); City University of Hong Kong</t>
  </si>
  <si>
    <t>Le, MTN (corresponding author), City Univ Hong Kong, Coll Vet Med &amp; Life Sci, Dept Biomed Sci, 83 Tat Chee Ave, Kowloon, Hong Kong, Peoples R China.;Le, MTN (corresponding author), City Univ Hong Kong, Shenzhen Res Inst, Shenzhen, Peoples R China.</t>
  </si>
  <si>
    <t>mle.bms@cityu.edu.hk</t>
  </si>
  <si>
    <t>Vu, Tien Luyen/AAI-9741-2021; Pham, Tin Chanh/AAV-7501-2021</t>
  </si>
  <si>
    <t>Vu, Tien Luyen/0000-0002-4953-6469; Pham, Tin Chanh/0000-0002-9220-7070; LE, Thi Nguyet Minh/0000-0002-6077-1566; PENG, Boya/0000-0002-9956-0889; AL AZAD, Muha Ajijur Rahman/0000-0002-9697-3362; Shyh-Chang, Ng/0000-0003-3138-9525; He, Bai-Liang/0000-0001-6497-884X; Wei, Likun/0000-0003-3656-5057</t>
  </si>
  <si>
    <t>10.1038/s41467-018-04791-8</t>
  </si>
  <si>
    <t>WOS:000435438300003</t>
  </si>
  <si>
    <t>Zhang, HY; Freitas, D; Kim, HS; Fabijanic, K; Li, Z; Chen, HY; Mark, MT; Molina, H; Martin, AB; Bojmar, L; Fang, J; Rampersaud, S; Hoshino, A; Matei, I; Kenific, CM; Nakajima, M; Mutvei, AP; Sansone, P; Buehring, W; Wang, HJ; Jimenez, JP; Cohen-Gould, L; Paknejad, N; Brendel, M; Manova-Todorova, K; Magalhaes, A; Ferreira, JA; Osorio, H; Silva, AM; Massey, A; Cubillos-Ruiz, JR; Galletti, G; Giannakakou, P; Cuervo, AM; Blenis, J; Schwartz, R; Brady, MS; Peinado, H; Bromberg, J; Matsui, H; Reis, CA; Lyden, D</t>
  </si>
  <si>
    <t>Zhang, Haiying; Freitas, Daniela; Kim, Han Sang; Fabijanic, Kristina; Li, Zhong; Chen, Haiyan; Mark, Milica Tesic; Molina, Henrik; Martin, Alberto Benito; Bojmar, Linda; Fang, Justin; Rampersaud, Sham; Hoshino, Ayuko; Matei, Irina; Kenific, Candia M.; Nakajima, Miho; Mutvei, Anders Peter; Sansone, Pasquale; Buehring, Weston; Wang, Huajuan; Jimenez, Juan Pablo; Cohen-Gould, Leona; Paknejad, Navid; Brendel, Matthew; Manova-Todorova, Katia; Magalhaes, Ana; Ferreira, Jose Alexandre; Osorio, Hugo; Silva, Andre M.; Massey, Ashish; Cubillos-Ruiz, Juan R.; Galletti, Giuseppe; Giannakakou, Paraskevi; Cuervo, Ana Maria; Blenis, John; Schwartz, Robert; Brady, Mary Sue; Peinado, Hector; Bromberg, Jacqueline; Matsui, Hiroshi; Reis, Celso A.; Lyden, David</t>
  </si>
  <si>
    <t>Identification of distinct nanoparticles and subsets of extracellular vesicles by asymmetric flow field-flow fractionation</t>
  </si>
  <si>
    <t>NATURE CELL BIOLOGY</t>
  </si>
  <si>
    <t>BINDING-PROTEIN; MELANOMA EXOSOMES; CLASS DISCOVERY; N-GLYCANS; CANCER; MICROVESICLES; GLYCOPROTEINS; BIOGENESIS; SEPARATION; MECHANISM</t>
  </si>
  <si>
    <t>The heterogeneity of exosomal populations has hindered our understanding of their biogenesis, molecular composition, biodistribution and functions. By employing asymmetric flow field-flow fractionation (AF4), we identified two exosome subpopulations (large exosome vesicles, Exo-L, 90-120 nm; small exosome vesicles, Exo-S, 60-80 nm) and discovered an abundant population of non-membranous nanoparticles termed 'exomeres' (similar to 35 nm). Exomere proteomic profiling revealed an enrichment in metabolic enzymes and hypoxia, microtubule and coagulation proteins as well as specific pathways, such as glycolysis and mTOR signalling. Exo-S and Exo-L contained proteins involved in endosomal function and secretion pathways, and mitotic spindle and IL-2/STAT5 signalling pathways, respectively. Exo-S, Exo-L and exomeres each had unique N-glycosylation, protein, lipid, DNA and RNA profiles and biophysical properties. These three nanoparticle subsets demonstrated diverse organ biodistribution patterns, suggesting distinct biological functions. This study demonstrates that AF4 can serve as an improved analytical tool for isolating extracellular vesicles and addressing the complexities of heterogeneous nanoparticle subpopulations.</t>
  </si>
  <si>
    <t>[Zhang, Haiying; Freitas, Daniela; Kim, Han Sang; Chen, Haiyan; Martin, Alberto Benito; Bojmar, Linda; Hoshino, Ayuko; Matei, Irina; Kenific, Candia M.; Nakajima, Miho; Sansone, Pasquale; Buehring, Weston; Wang, Huajuan; Massey, Ashish; Peinado, Hector; Lyden, David] Weill Cornell Med, Childrens Canc &amp; Blood Fdn Labs, Dept Pediat, Drukier Inst Childrens Hlth,Meyer Canc Ctr, New York, NY 10065 USA; [Zhang, Haiying; Freitas, Daniela; Kim, Han Sang; Chen, Haiyan; Martin, Alberto Benito; Bojmar, Linda; Hoshino, Ayuko; Matei, Irina; Kenific, Candia M.; Nakajima, Miho; Sansone, Pasquale; Buehring, Weston; Wang, Huajuan; Massey, Ashish; Peinado, Hector; Lyden, David] Weill Cornell Med, Childrens Canc &amp; Blood Fdn Labs, Dept Cell &amp; Dev Biol, Drukier Inst Childrens Hlth,Meyer Canc Ctr, New York, NY 10065 USA; [Freitas, Daniela; Magalhaes, Ana; Ferreira, Jose Alexandre; Osorio, Hugo; Reis, Celso A.; Lyden, David] Univ Porto, i3S, Oporto, Portugal; [Freitas, Daniela; Magalhaes, Ana; Ferreira, Jose Alexandre; Osorio, Hugo; Reis, Celso A.] Univ Porto, Inst Mol Pathol &amp; Immunol, Ipatimup, Oporto, Portugal; [Freitas, Daniela; Reis, Celso A.] Univ Porto, ICBAS, Oporto, Portugal; [Kim, Han Sang] Yonsei Univ, Yonsei Canc Ctr, Div Med Oncol, Dept Internal Med,Coll Med, Seoul, South Korea; [Kim, Han Sang] Yonsei Univ, Yonsei Canc Ctr, Div Med Oncol, Dept Pharmacol,Coll Med, Seoul, South Korea; [Fabijanic, Kristina; Fang, Justin; Rampersaud, Sham; Matsui, Hiroshi] CUNY Hunter Coll, Dept Chem &amp; Biochem, New York, NY 10021 USA; [Li, Zhong] Univ Illinois, Metabol Ctr, Urbana, IL 61801 USA; [Chen, Haiyan] Zhejiang Univ, Sch Med, Dept Surg Oncol, Affiliated Hosp 2, Hangzhou, Zhejiang, Peoples R China; [Mark, Milica Tesic; Molina, Henrik] Rockefeller Univ, Prote Resource Ctr, 1230 York Ave, New York, NY 10021 USA; [Mutvei, Anders Peter; Blenis, John] Weill Cornell Med Coll, Dept Pharmacol, Meyer Canc Ctr, New York, NY USA; [Jimenez, Juan Pablo; Cohen-Gould, Leona] Weill Cornell Med, Microscopy &amp; Image Anal Core Facil, New York, NY USA; [Paknejad, Navid; Brendel, Matthew; Manova-Todorova, Katia] Mem Sloan Kettering Canc Ctr, Mol Cytol Core Facil, 1275 York Ave, New York, NY 10021 USA; [Ferreira, Jose Alexandre] Portuguese Inst Oncol, Expt Pathol &amp; Therapeut Grp, Oporto, Portugal; [Osorio, Hugo; Reis, Celso A.] Univ Porto, Med Fac, Oporto, Portugal; [Silva, Andre M.] Univ Porto, LAVQ REQUIMTE, Dept Chem &amp; Biochem, Fac Sci, Oporto, Portugal; [Cubillos-Ruiz, Juan R.] Weill Cornell Med, Microbiol &amp; Immunol Obstet &amp; Gynecol, Obstet &amp; Gynecol, New York, NY USA; [Galletti, Giuseppe; Giannakakou, Paraskevi] Weill Cornell Med, Pharmacol Med, Joan &amp; Sanford I Weill Dept Med, New York, NY USA; [Cuervo, Ana Maria] Albert Einstein Coll Med, Dept Dev &amp; Mol Biol, Jack &amp; Pearl Resnick Campus, Bronx, NY 10467 USA; [Schwartz, Robert; Bromberg, Jacqueline] Weill Cornell Med, Dept Med, New York, NY USA; [Brady, Mary Sue] Mem Sloan Kettering Canc Ctr, Dept Surg, 1275 York Ave, New York, NY 10021 USA; [Peinado, Hector] Spanish Natl Canc Res Ctr CNIO, Microenvironm &amp; Metastasis Lab, Dept Mol Oncol, Madrid, Spain; [Bromberg, Jacqueline] Mem Sloan Kettering Canc Ctr, Dept Med, 1275 York Ave, New York, NY 10021 USA; [Lyden, David] Mem Sloan Kettering Canc Ctr, Dept Pediat, 1275 York Ave, New York, NY 10021 USA</t>
  </si>
  <si>
    <t>Cornell University; Cornell University; Universidade do Porto; i3S - Instituto de Investigacao e Inovacao em Saude, Universidade do Porto; Universidade do Porto; Universidade do Porto; Yonsei University; Yonsei University Health System; Yonsei University; Yonsei University Health System; City University of New York (CUNY) System; Hunter College (CUNY); University of Illinois System; University of Illinois Urbana-Champaign; Zhejiang University; Rockefeller University; Cornell University; Cornell University; Memorial Sloan Kettering Cancer Center; Universidade do Porto; Universidade do Porto; Cornell University; Cornell University; Yeshiva University; Albert Einstein College of Medicine; Cornell University; Memorial Sloan Kettering Cancer Center; Centro Nacional de Investigaciones Oncologicas (CNIO); Memorial Sloan Kettering Cancer Center; Memorial Sloan Kettering Cancer Center</t>
  </si>
  <si>
    <t>Zhang, HY; Lyden, D (corresponding author), Weill Cornell Med, Childrens Canc &amp; Blood Fdn Labs, Dept Pediat, Drukier Inst Childrens Hlth,Meyer Canc Ctr, New York, NY 10065 USA.;Zhang, HY; Lyden, D (corresponding author), Weill Cornell Med, Childrens Canc &amp; Blood Fdn Labs, Dept Cell &amp; Dev Biol, Drukier Inst Childrens Hlth,Meyer Canc Ctr, New York, NY 10065 USA.;Lyden, D (corresponding author), Mem Sloan Kettering Canc Ctr, Dept Pediat, 1275 York Ave, New York, NY 10021 USA.</t>
  </si>
  <si>
    <t>haz2005@med.cornell.edu; dcl2001@med.cornell.edu</t>
  </si>
  <si>
    <t>Freitas, Daniela P/E-6905-2015; Nakajima, Miho/AAP-3752-2020; Hoshino, Ayuko/AHD-6448-2022; Freitas, Daniela/AAD-4123-2020; REIS, Celso A/B-9969-2008; N., Silva A. M./G-2295-2010; Osorio, Hugo/A-7847-2012; Peinado, Hector/A-6417-2013; Ferreira, José Alexandre/ABM-1695-2022; Benito-Martin, Alberto/GLU-6164-2022; Magalhaes, Ana/O-9990-2019; Kim, Han Sang/R-3768-2019; Schwartz, Robert/AAE-7153-2021</t>
  </si>
  <si>
    <t>Freitas, Daniela P/0000-0002-7606-1120; Hoshino, Ayuko/0000-0003-4149-5073; Freitas, Daniela/0000-0002-7606-1120; REIS, Celso A/0000-0002-0286-6639; N., Silva A. M./0000-0001-5554-7714; Osorio, Hugo/0000-0002-6362-8255; Peinado, Hector/0000-0002-4256-3413; Ferreira, José Alexandre/0000-0002-0097-6148; Benito-Martin, Alberto/0000-0002-0700-3891; Magalhaes, Ana/0000-0003-4863-6668; Kim, Han Sang/0000-0002-6504-9927; Galletti, Giuseppe/0000-0002-1920-5554; MUTVEI, ANDERS/0000-0002-2498-5225; Brendel, Matthew/0000-0003-3417-4597; Paknejad, Navid/0000-0001-8914-7604; Rampersaud, Sham/0000-0001-7473-4144; Zhang, Haiying/0000-0002-7158-2373</t>
  </si>
  <si>
    <t>1465-7392</t>
  </si>
  <si>
    <t>1476-4679</t>
  </si>
  <si>
    <t>10.1038/s41556-018-0040-4</t>
  </si>
  <si>
    <t>WOS:000426059400015</t>
  </si>
  <si>
    <t>Bastos, N; Melo, SA</t>
  </si>
  <si>
    <t>Ying, SY</t>
  </si>
  <si>
    <t>Bastos, Nuno; Melo, Sonia A.</t>
  </si>
  <si>
    <t>Quantitative Analysis of Precursors MicroRNAs and Their Respective Mature MicroRNAs in Cancer Exosomes Overtime</t>
  </si>
  <si>
    <t>MICRORNA PROTOCOLS, 3RD EDITION</t>
  </si>
  <si>
    <t>Exosomes; Exosomes isolation; Pre-microRNAs; MicroRNAs; qPCR</t>
  </si>
  <si>
    <t>PANCREATIC-CANCER; PROGRESSION; METASTASIS; CELLS</t>
  </si>
  <si>
    <t>Exosomes are a cell-to-cell communication system that transports information to neighbor and/or distant cells. Their content is composed of lipids, proteins, RNAs, and DNA. The role of exosomes released by cancer cells in disease progression has been widely studied. Here, we report a detailed protocol to quantify precursor microRNAs and mature microRNAs overtime in exosomes of cancer cells. Those precursor microRNAs that are packaged together with RISC proteins will get further processed in the exosomes overtime and an accumulation of the mature form of the microRNAs will occur.</t>
  </si>
  <si>
    <t>[Bastos, Nuno; Melo, Sonia A.] Univ Porto, Inst Invest &amp; Inovacao Saude, Porto, Portugal; [Bastos, Nuno; Melo, Sonia A.] Univ Porto IPATIMUP, Inst Mol Pathol &amp; Immunol, Porto, Portugal; [Melo, Sonia A.] Univ Porto, Fac Med, Porto, Portugal</t>
  </si>
  <si>
    <t>Universidade do Porto; i3S - Instituto de Investigacao e Inovacao em Saude, Universidade do Porto; Universidade do Porto; Universidade do Porto</t>
  </si>
  <si>
    <t>Bastos, N (corresponding author), Univ Porto, Inst Invest &amp; Inovacao Saude, Porto, Portugal.;Bastos, N (corresponding author), Univ Porto IPATIMUP, Inst Mol Pathol &amp; Immunol, Porto, Portugal.</t>
  </si>
  <si>
    <t>MELO, SONIA/H-8972-2013</t>
  </si>
  <si>
    <t>MELO, SONIA/0000-0002-2291-4263</t>
  </si>
  <si>
    <t>978-1-4939-7601-0; 978-1-4939-7600-3</t>
  </si>
  <si>
    <t>10.1007/978-1-4939-7601-0_11</t>
  </si>
  <si>
    <t>10.1007/978-1-4939-7601-0</t>
  </si>
  <si>
    <t>WOS:000434110800012</t>
  </si>
  <si>
    <t>Bitto, NJ; Chapman, R; Pidot, S; Costin, A; Lo, C; Choi, J; D'Cruze, T; Reynolds, EC; Dashper, SG; Turnbull, L; Whitchurch, CB; Stinear, TP; Stacey, KJ; Ferrero, RL</t>
  </si>
  <si>
    <t>Bitto, Natalie J.; Chapman, Ross; Pidot, Sacha; Costin, Adam; Lo, Camden; Choi, Jasmine; D'Cruze, Tanya; Reynolds, Eric C.; Dashper, Stuart G.; Turnbull, Lynne; Whitchurch, Cynthia B.; Stinear, Timothy P.; Stacey, Katryn J.; Ferrero, Richard L.</t>
  </si>
  <si>
    <t>Bacterial membrane vesicles transport their DNA cargo into host cells</t>
  </si>
  <si>
    <t>GRAM-POSITIVE BACTERIA; OUTER-MEMBRANE; PSEUDOMONAS-AERUGINOSA; ESCHERICHIA-COLI; EXTRACELLULAR VESICLES; VIRULENCE FACTORS; MEDIATED TRANSFER; EPITHELIAL-CELLS; PROTEINS; PEPTIDOGLYCAN</t>
  </si>
  <si>
    <t>Bacterial outer membrane vesicles (OMVs) are extracellular sacs containing biologically active products, such as proteins, cell wall components and toxins. OMVs are reported to contain DNA, however, little is known about the nature of this DNA, nor whether it can be transported into host cells. Our work demonstrates that chromosomal DNA is packaged into OMVs shed by bacteria during exponential phase. Most of this DNA was present on the external surfaces of OMVs, with smaller amounts located internally. The DNA within the internal compartments of Pseudomonas aeruginosa OMVs were consistently enriched in specific regions of the bacterial chromosome, encoding proteins involved in virulence, stress response, antibiotic resistance and metabolism. Furthermore, we demonstrated that OMVs carry DNA into eukaryotic cells, and this DNA was detectable by PCR in the nuclear fraction of cells. These findings suggest a role for OMV-associated DNA in bacterial-host cell interactions and have implications for OMV-based vaccines.</t>
  </si>
  <si>
    <t>[Bitto, Natalie J.; Chapman, Ross; Choi, Jasmine; Ferrero, Richard L.] Monash Univ, Hudson Inst Med Res, Ctr Innate Immun &amp; Infect Dis, Clayton, Vic 3168, Australia; [Bitto, Natalie J.; Chapman, Ross; Choi, Jasmine; Ferrero, Richard L.] Monash Univ, Dept Mol &amp; Translat Sci, Clayton, Vic 3168, Australia; [Pidot, Sacha] Univ Melbourne, Dept Microbiol &amp; Immunol, Parkville, Vic 3010, Australia; [Costin, Adam; Lo, Camden] Monash Univ, Monash Micro Imaging, Clayton, Vic 3168, Australia; [Costin, Adam] Monash Univ, Ramaciotti Ctr EM, Clayton, Vic 3168, Australia; [D'Cruze, Tanya; Reynolds, Eric C.; Dashper, Stuart G.] Univ Melbourne, Inst Bio21, Melbourne Dent Sch, Oral Hlth CRC, Melbourne, Vic 3052, Australia; [Turnbull, Lynne; Whitchurch, Cynthia B.] Univ Technol Sydney, Inst I3, Ultimo, NSW 2007, Australia; [Stacey, Katryn J.] Univ Queensland, Sch Chem &amp; Mol Biosci, Brisbane, Qld 4072, Australia; [Ferrero, Richard L.] Monash Univ, Biomed Discovery Inst, Dept Microbiol, Clayton, Vic 3168, Australia</t>
  </si>
  <si>
    <t>Hudson Institute of Medical Research; Monash University; Monash University; University of Melbourne; Monash University; Monash University; University of Melbourne; University of Technology Sydney; University of Queensland; Monash University</t>
  </si>
  <si>
    <t>Ferrero, RL (corresponding author), Monash Univ, Hudson Inst Med Res, Ctr Innate Immun &amp; Infect Dis, Clayton, Vic 3168, Australia.;Ferrero, RL (corresponding author), Monash Univ, Dept Mol &amp; Translat Sci, Clayton, Vic 3168, Australia.;Ferrero, RL (corresponding author), Monash Univ, Biomed Discovery Inst, Dept Microbiol, Clayton, Vic 3168, Australia.</t>
  </si>
  <si>
    <t>Richard.Ferrero@hudson.org.au</t>
  </si>
  <si>
    <t>Pidot, Sacha/Y-3421-2018; Whitchurch, Cynthia/A-5954-2008; Ferrero, Richard/U-1332-2017; Turnbull, Lynne/A-2605-2012</t>
  </si>
  <si>
    <t>Pidot, Sacha/0000-0003-1202-6614; Stacey, Katryn/0000-0002-3992-7802; Whitchurch, Cynthia/0000-0003-2296-3791; Reynolds, Eric/0000-0002-6618-4856; Ferrero, Richard/0000-0001-6817-6211; Dashper, Stuart/0000-0003-0106-8691; Bitto, Natalie/0000-0003-3533-9824; Stinear, Timothy/0000-0003-0150-123X; Costin, Adam/0000-0001-5334-557X; Turnbull, Lynne/0000-0002-9255-9033</t>
  </si>
  <si>
    <t>AUG 1</t>
  </si>
  <si>
    <t>10.1038/s41598-017-07288-4</t>
  </si>
  <si>
    <t>WOS:000406764200104</t>
  </si>
  <si>
    <t>Yang, SJ; Che, SPY; Kurywchak, P; Tavormina, JL; Gansmo, LB; de Sampaio, PC; Tachezy, M; Bockhorn, M; Gebauer, F; Haltom, AR; Melo, SA; LeBleu, VS; Kalluri, R</t>
  </si>
  <si>
    <t>Yang, Sujuan; Che, Sara P. Y.; Kurywchak, Paul; Tavormina, Jena L.; Gansmo, Liv B.; de Sampaio, Pedro Correa; Tachezy, Michael; Bockhorn, Maximilian; Gebauer, Florian; Haltom, Amanda R.; Melo, Sonia A.; LeBleu, Valerie S.; Kalluri, Raghu</t>
  </si>
  <si>
    <t>Detection of mutant KRAS and TP53 DNA in circulating exosomes from healthy individuals and patients with pancreatic cancer</t>
  </si>
  <si>
    <t>CANCER BIOLOGY &amp; THERAPY</t>
  </si>
  <si>
    <t>Circulating exosomal DNA; digital PCR; exosome; KRAS; liquid biopsy; TP53; pancreatic cancer</t>
  </si>
  <si>
    <t>K-RAS MUTATIONS; PAPILLARY MUCINOUS TUMORS; CELL-FREE DNA; DIGITAL PCR; COLORECTAL-CANCER; GENE-MUTATIONS; P53; MICROENVIRONMENT; FREQUENCY; GENOMICS</t>
  </si>
  <si>
    <t>Pancreatic cancer presents with a dismal mortality rate and is in urgent need of methods for early detection with potential for timely intervention. All living cells, including cancer cells, generate exosomes. We previously discovered double stranded genomic DNA in exosomes derived from the circulation of pancreatic cancer patients, which enabled the detection of prevalent mutations associated with the disease. Here, we report a proof-of-concept study that demonstrates the potential clinical utility of circulating exosomal DNA for identification of KRAS(G12D) and TP53(R273H) mutations in patients with pancreas-associated pathologies, including pancreatic ductal adenocarcinoma (PDAC), chronic pancreatitis (CP) and intraductal papillary mucinous neoplasm (IPMN), and in healthy human subjects. In 48 clinically annotated serum samples from PDAC patients, digital PCR analyses of exosomal DNA identified KRAS(G12D) mutation in 39.6% of cases, and TP53(R273H) mutation in 4.2% of cases. KRAS(G12D) and TP53(R273H) mutations were also detected in exosomal DNA from IPMN patients (2 out of 7 with KRAS(G12D), one of which also co-presented with TP53(R273H) mutation). Circulating exosomal DNA in 5 out of 9 CP patients enabled the detection of KRAS(G12D) mutation. In 114 healthy subject-derived circulating exosomal DNA, 2.6% presented with KRAS(G12D) mutation and none with TP53(R273H) mutation. This study highlights the value of circulating exosomal DNA for a rapid, low-cost identification of cancer driving mutations. The identification of mutations in IPMN patients and healthy subjects suggests that liquid biopsies may allow potential assessment of cancer risk but with a cautionary note that detection of clinical cancer cannot be assumed.</t>
  </si>
  <si>
    <t>[Yang, Sujuan; Che, Sara P. Y.; Kurywchak, Paul; Tavormina, Jena L.; Gansmo, Liv B.; de Sampaio, Pedro Correa; Haltom, Amanda R.; LeBleu, Valerie S.; Kalluri, Raghu] Univ Texas MD Anderson Canc Ctr, Metastasis Res Ctr, Dept Canc Biol, Houston, TX 77030 USA; [Tachezy, Michael; Bockhorn, Maximilian; Gebauer, Florian] Univ Med Ctr Hamburg Eppendorf, Dept Gen Visceral &amp; Thorac Surg, Hamburg, Germany; [Melo, Sonia A.] Univ Porto, I3S, Oporto, Portugal; [Melo, Sonia A.] Univ Porto IPATIMUP, Inst Pathol &amp; Mol Immunol, Oporto, Portugal</t>
  </si>
  <si>
    <t>University of Texas System; UTMD Anderson Cancer Center; University of Hamburg; University Medical Center Hamburg-Eppendorf; Universidade do Porto; i3S - Instituto de Investigacao e Inovacao em Saude, Universidade do Porto; Universidade do Porto</t>
  </si>
  <si>
    <t>Kalluri, R (corresponding author), Univ Texas MD Anderson Canc Ctr, Dept Canc Biol, 1515 Holcombe Blvd, Houston, TX 77030 USA.</t>
  </si>
  <si>
    <t>rkalluri@mdanderson.org</t>
  </si>
  <si>
    <t>Tachezy, Michael/AAD-6759-2022; Kalluri, Raghu/E-2677-2015; MELO, SONIA/H-8972-2013</t>
  </si>
  <si>
    <t>Haltom, Amanda/0000-0002-1291-3793; Tavormina, Jena/0000-0003-4869-7866; Kalluri, Raghu/0000-0002-2190-547X; MELO, SONIA/0000-0002-2291-4263; Correa de Sampaio, Pedro/0000-0001-5597-2825</t>
  </si>
  <si>
    <t>1538-4047</t>
  </si>
  <si>
    <t>1555-8576</t>
  </si>
  <si>
    <t>10.1080/15384047.2017.1281499</t>
  </si>
  <si>
    <t>WOS:000399501600006</t>
  </si>
  <si>
    <t>da Silveira, JC; Andrade, GM; del Collado, M; Sampaio, RV; Sangalli, JR; Silva, LA; Pinaffi, FVL; Jardim, IB; Cesar, MC; Nogueira, MFG; Cesar, ASM; Coutinho, LL; Pereira, RW; Perecin, F; Meirelles, FV</t>
  </si>
  <si>
    <t>da Silveira, Juliano C.; Andrade, Gabriella M.; del Collado, Maite; Sampaio, Rafael V.; Sangalli, Juliano R.; Silva, Luciano A.; Pinaffi, Fabio V. L.; Jardim, Izabelle B.; Cesar, Marcelo C.; Nogueira, Marcelo F. G.; Cesar, Aline S. M.; Coutinho, Luiz L.; Pereira, Rinaldo W.; Perecin, Felipe; Meirelles, Flavio V.</t>
  </si>
  <si>
    <t>Supplementation with small-extracellular vesicles from ovarian follicular fluid during in vitro production modulates bovine embryo development</t>
  </si>
  <si>
    <t>RNA; MICRORNAS; OOCYTE; MOUSE; CELLS; GENE; COMPETENCE; BLASTOCYST; PROTEINS; EXOSOMES</t>
  </si>
  <si>
    <t>Pregnancy success results from the interaction of multiple factors, among them are folliculogenesis and early embryonic development. Failure during these different processes can lead to difficulties in conception. Alternatives to overcome these problems are based on assisted reproductive techniques. Extracellular vesicles are cell-secreted vesicles present in different body fluids and contain bioactive materials, such as messenger RNA, microRNAs (miRNAs), and proteins. Thus, our hypothesis is that extracellular vesicles from follicular fluid from 3-6 mm ovarian follicles can modulate bovine embryo development in vitro. To test our hypothesis follicular fluid from bovine ovaries was aspirated and small-extracellular vesicles (&lt;200 nm) were isolated for further analysis. Additionally, small-extracellular vesicles (EVs) were utilized for functional experiments investigating their role in modulating messenger RNA, microRNA as well as global DNA methylation and hydroxymethylation levels of bovine blastocysts. EVs from 3-6 mm follicles were used for RNA-seq and miRNA analysis. Functional annotation analysis of the EVs transcripts revealed messages related to chromatin remodeling and transcriptional regulation. EVs treatment during oocyte maturation and embryo development causes changes in blastocyst rates, as well as changes in the transcription levels of genes related to embryonic metabolism and development. Supplementation with EVs from 3-6 mm follicles during oocyte maturation and early embryo development (until the 4-cell stage) increased the levels of bta-miR-631 (enriched in EVs from 3-6 mm follicles) in embryos. Interestingly, the addition of EVs from 3-6 mm follicles induced changes in global DNA methylation and hydroxymethylation levels compared to embryos produced by the standard in vitro production system. Our results indicate that the supplementation of culture media with EVs isolated from the follicular fluid of 3-6 mm follicles during oocyte maturation and early embryo development can partially modify metabolic and developmental related genes as well as miRNA and global DNA methylation and hydroxymethylation, suggesting that EVs play an important role during oocyte maturation and early embryo development in vitro.</t>
  </si>
  <si>
    <t>[da Silveira, Juliano C.; Andrade, Gabriella M.; del Collado, Maite; Sampaio, Rafael V.; Sangalli, Juliano R.; Silva, Luciano A.; Pinaffi, Fabio V. L.; Jardim, Izabelle B.; Cesar, Marcelo C.; Perecin, Felipe; Meirelles, Flavio V.] Univ Sao Paulo, Dept Vet Med, Sao Paulo, Brazil; [Nogueira, Marcelo F. G.] Univ Sao Paulo State, Dept Biol Sci, Sao Paulo, Brazil; [Cesar, Aline S. M.; Coutinho, Luiz L.] Univ Sao Paulo, Dept Anim Sci, Luiz de Queiroz Coll Agr, Sao Paulo, Brazil; [Pereira, Rinaldo W.] Univ Catolica Brasilia, Dept Biotechnol, Brasilia, DF, Brazil</t>
  </si>
  <si>
    <t>Universidade de Sao Paulo; Universidade Estadual Paulista; Universidade de Sao Paulo; Universidade Catolica de Brasilia</t>
  </si>
  <si>
    <t>da Silveira, JC (corresponding author), Univ Sao Paulo, Dept Vet Med, Sao Paulo, Brazil.</t>
  </si>
  <si>
    <t>julianodasilveira@usp.br</t>
  </si>
  <si>
    <t>Cesar, Aline Silva Mello/E-6887-2014; del Collado, Maite/M-4870-2015; Meirelles, Flavio V/B-5048-2010; Da Silveira, Juliano/AAH-9784-2020; Coutinho, Luiz/P-5233-2019; Perecin, Felipe/C-7268-2012; Sampaio, Rafael RVS/B-5354-2013; Silveira, Juliano C/B-3086-2013; Nogueira, Marcelo Fábio Gouveia/D-9801-2012; Pereira, Rinaldo W/B-9255-2011; Andrade, Gabriella M/F-9881-2012; Silva, Luciano A/G-6925-2012; Sangalli, Juliano Rodrigues/C-1834-2013; Coutinho, Luiz L/C-8455-2012; Cesar, Marcelo C/C-9149-2012; CTC USP, CEPID 13 18/J-8951-2014</t>
  </si>
  <si>
    <t>Cesar, Aline Silva Mello/0000-0001-9921-214X; del Collado, Maite/0000-0002-4098-4855; Meirelles, Flavio V/0000-0003-0372-4920; Da Silveira, Juliano/0000-0002-4796-6393; Coutinho, Luiz/0000-0002-7266-8881; Perecin, Felipe/0000-0003-2009-5863; Sampaio, Rafael RVS/0000-0002-8227-8510; Silveira, Juliano C/0000-0002-4796-6393; Nogueira, Marcelo Fábio Gouveia/0000-0002-2239-9652; Pereira, Rinaldo W/0000-0003-3704-2848; Andrade, Gabriella M/0000-0002-8095-3738; Silva, Luciano A/0000-0002-9545-179X; Coutinho, Luiz L/0000-0002-7266-8881; Cesar, Marcelo C/0000-0001-9077-1535; CTC USP, CEPID 13 18/0000-0002-7123-9524</t>
  </si>
  <si>
    <t>e0179451</t>
  </si>
  <si>
    <t>10.1371/journal.pone.0179451</t>
  </si>
  <si>
    <t>WOS:000403364600038</t>
  </si>
  <si>
    <t>Wan, Y; Maurer, M; He, HZ; Xia, YQ; Hao, SJ; Zhang, WL; Yee, NS; Zheng, SY</t>
  </si>
  <si>
    <t>Wan, Yuan; Maurer, Mackenzie; He, Hong-Zhang; Xia, Yi-Qiu; Hao, Si-Jie; Zhang, Wen-Long; Yee, Nelson S.; Zheng, Si-Yang</t>
  </si>
  <si>
    <t>Enrichment of extracellular vesicles with lipid nanoprobe functionalized nanostructured silica</t>
  </si>
  <si>
    <t>Nanoscale extracellular vesicles (nEVs) have recently demonstrated potential value in cancer diagnostics and treatment monitoring, but translation has been limited by technical challenges in nEV isolation. Thus, we have developed a one-step nEV isolation platform that utilizes nEV size-matched silica nanostructures and a surface-conjugated lipid nanoprobe with an integrated microfluidic mixer. The reported platform has 28.8% capture efficiency from pancreatic cancer plasma and can sufficiently enrich nEVs for simpler positive identification of point mutations, particularly KRAS, in nEV DNA from the plasma of pancreatic cancer patients.</t>
  </si>
  <si>
    <t>[Wan, Yuan; Maurer, Mackenzie; He, Hong-Zhang; Xia, Yi-Qiu; Hao, Si-Jie; Zhang, Wen-Long; Zheng, Si-Yang] Penn State Univ, Dept Biomed Engn, University Pk, PA 16802 USA; [Wan, Yuan; Maurer, Mackenzie; He, Hong-Zhang; Xia, Yi-Qiu; Hao, Si-Jie; Zhang, Wen-Long; Zheng, Si-Yang] Penn State Univ, Mat Res Inst, University Pk, PA 16802 USA; [Yee, Nelson S.] Penn State Canc Inst, Dept Med, Hematol Oncol, Hershey, PA 17033 USA; [Zheng, Si-Yang] Penn State Univ, Huck Inst Life Sci, University Pk, PA 16802 USA; [Zheng, Si-Yang] Penn State Univ, Dept Elect Engn, University Pk, PA 16802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</si>
  <si>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Pennsylvania Commonwealth System of Higher Education (PCSHE); Pennsylvania State University; Penn State Health; 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</si>
  <si>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Zheng, SY (corresponding author), Penn State Univ, Dept Biomed Engn, University Pk, PA 16802 USA.;Zheng, SY (corresponding author), Penn State Univ, Mat Res Inst, University Pk, PA 16802 USA.;Yee, NS (corresponding author), Penn State Canc Inst, Dept Med, Hematol Oncol, Hershey, PA 17033 USA.;Zheng, SY (corresponding author), Penn State Univ, Huck Inst Life Sci, University Pk, PA 16802 USA.;Zheng, SY (corresponding author), Penn State Univ, Dept Elect Engn, University Pk, PA 16802 USA.</t>
  </si>
  <si>
    <t>nyee@pennstatehealth.psu.edu; sxz10@psu.edu</t>
  </si>
  <si>
    <t>Zheng, Si-Yang/N-5826-2016</t>
  </si>
  <si>
    <t>Zheng, Si-Yang/0000-0002-0616-030X; Yee, Nelson/0000-0002-1457-9047; Maurer Ditty, Mackenzie/0000-0003-0357-6753</t>
  </si>
  <si>
    <t>10.1039/c8lc01359d</t>
  </si>
  <si>
    <t>WOS:000474900400002</t>
  </si>
  <si>
    <t>Moreno, CR; Ramires, JAF; Lotufo, PA; Soeiro, AM; Oliveira, LMD; Ikegami, RN; Kawakami, JT; Pereira, JD; Reis, MM; Higuchi, MD</t>
  </si>
  <si>
    <t>Moreno, Camila Rodrigues; Franchini Ramires, Jose Antonio; Lotufo, Paulo Andrade; Soeiro, Alexandre Matos; da Silva Oliveira, Luanda Mara; Ikegami, Renata Nishiyama; Kawakami, Joyce Tiyeko; Pereira, Jaqueline de Jesus; Reis, Marcia Martins; Higuchi, Maria de Lourdes</t>
  </si>
  <si>
    <t>Morphomolecular Characterization of Serum Nanovesicles From Microbiomes Differentiates Stable and Infarcted Atherosclerotic Patients</t>
  </si>
  <si>
    <t>myocardial infarction; extracellular vesicles; microbiome; archaea; Mycoplasma pneumoniae</t>
  </si>
  <si>
    <t>MYOCARDIAL-INFARCTION; PORPHYROMONAS-GINGIVALIS; MYCOPLASMA-PNEUMONIAE; OXIDATIVE STRESS; MICROPARTICLES; INFECTION; INFLAMMATION; VESICLES; PROTEIN; MMP-9</t>
  </si>
  <si>
    <t>Microbial communities are considered decisive for maintaining a healthy situation or for determining diseases. Acute myocardial infarction (AMI) is an important complication of atherosclerosis caused by the rupture of atheroma plaques containing proinflammatory cytokines, reactive oxygen species, oxidized low-density lipoproteins (oxLDL), damaged proteins, lipids, and DNA, a microenvironment compatible with a pathogenic microbial community. Previously, we found that archaeal DNA-positive infectious microvesicles (iMVs) were detected in vulnerable plaques and in the sera of Chagas disease patients with heart failure. Now, we characterize and quantify the levels of serum microbiome extracellular vesicles through their size and content using morphomolecular techniques to differentiate clinical outcomes in coronary artery disease (CAD). We detected increased numbers of large iMVs (0.8-1.34 nm) with highly negative surface charge that were positive for archaeal DNA, Mycoplasma pneumoniae antigens and MMP9 in the sera of severe AMI patients, strongly favoring our hypothesis that pathogenic archaea may play a role in the worst outcomes of atherosclerosis. The highest numbers of EVs &lt;100 nm (exosomes) and MVs from 100 to 200 nm in the stable atherosclerotic and control healthy groups compared with the AMI groups were indicative that these EVs are protective, entrapping and degrading infectious antigens and active MMP9 and protect against the development of plaque rupture. Conclusion: A microbiome with pathogenic archaea is associated with high numbers of serum iMVs in AMI with the worst prognosis. This pioneering work demonstrates that the morphomolecular characterization and quantification of iEVs in serum may constitute a promising serum prognostic biomarker in CAD.</t>
  </si>
  <si>
    <t>[Moreno, Camila Rodrigues; Ikegami, Renata Nishiyama; Kawakami, Joyce Tiyeko; Pereira, Jaqueline de Jesus; Reis, Marcia Martins; Higuchi, Maria de Lourdes] Univ Sao Paulo, Fac Med, Hosp Clin HCFMUSP, Inst Coracao,Lab Patol Cardiaca, Sao Paulo, Brazil; [Franchini Ramires, Jose Antonio; Soeiro, Alexandre Matos] Univ Sao Paulo, Fac Med, Hosp Clin HCFMUSP, Inst Coracao, Sao Paulo, Brazil; [Lotufo, Paulo Andrade] Univ Sao Paulo, Hosp Univ, Sao Paulo, Brazil; [da Silva Oliveira, Luanda Mara] Univ Sao Paulo, Fac Med, Hosp Clin HCFMUSP, Dept Dermatol,Lab Invest Dermatol &amp; Imunodeficien, Sao Paulo, Brazil</t>
  </si>
  <si>
    <t>Universidade de Sao Paulo; Universidade de Sao Paulo; Universidade de Sao Paulo; Universidade de Sao Paulo</t>
  </si>
  <si>
    <t>Higuchi, MD (corresponding author), Univ Sao Paulo, Fac Med, Hosp Clin HCFMUSP, Inst Coracao,Lab Patol Cardiaca, Sao Paulo, Brazil.</t>
  </si>
  <si>
    <t>AUG 5</t>
  </si>
  <si>
    <t>10.3389/fcvm.2021.694851</t>
  </si>
  <si>
    <t>WOS:000684979500004</t>
  </si>
  <si>
    <t>Xing, S; Lu, ZD; Huang, Q; Li, HL; Wang, Y; Lai, YZ; He, Y; Deng, M; Liu, WL</t>
  </si>
  <si>
    <t>Xing, Shan; Lu, Zedong; Huang, Qi; Li, Huilan; Wang, Yu; Lai, Yanzhen; He, Yi; Deng, Min; Liu, Wanli</t>
  </si>
  <si>
    <t>An ultrasensitive hybridization chain reaction-amplified CRISPR-Cas12a aptasensor for extracellular vesicle surface protein quantification</t>
  </si>
  <si>
    <t>Tumor-derived exosomes; CRISPR-Cas12a; Hybridization chain reaction; Aptamer; Fluorescence</t>
  </si>
  <si>
    <t>EARLY-DIAGNOSIS; LIQUID BIOPSY; EXOSOMES; AMPLIFICATION; DNA; NANOPARTICLES; BIOGENESIS; SECRETION; APTAMERS; PLATFORM</t>
  </si>
  <si>
    <t>Tumor-derived extracellular vesicle (TEV) protein biomarkers facilitate cancer diagnosis and prognostic evaluations. However, the lack of reliable and convenient quantitative methods for evaluating TEV proteins prevents their clinical application. Methods: Here, based on dual amplification of hybridization chain reaction (HCR) and CRISPR-Cas12a, we developed the apta-HCR-CRISPR assay for direct high-sensitivity detection of TEV proteins. The TEV protein-targeted aptamer was amplified by HCR to produce a long-repeated sequence comprising multiple CRISPR RNA (crRNA) targetable barcodes, and the signals were further amplified by CRISPR-Cas12a collateral cleavage activities, resulting in a fluorescence signal. Results: The established strategy was verified by detecting the TEV protein markers nucleolin and programmed death ligand 1 (PD-L1). Both achieved limit of detection (LOD) values as low as 10(2) particles/mu L, which is at least 10(4)-fold more sensitive than aptamer-ELISA and 10(2)-fold more sensitive than apta-HCR-ELISA. We directly applied our assay to a clinical analysis of circulating TEVs from 50 mu L of serum, revealing potential applications of nucleolin(+) TEVs for nasopharyngeal carcinoma cancer (NPC) diagnosis and PD-L1(+) TEVs for therapeutic monitoring. Conclusion: The platform was simple and easy to operate, and this approach should be useful for the highly sensitive and versatile quantification of TEV proteins in clinical samples.</t>
  </si>
  <si>
    <t>[Xing, Shan; Lu, Zedong; Huang, Qi; Li, Huilan; Wang, Yu; Lai, Yanzhen; He, Yi; Liu, Wanli] Sun Yat Sen Univ, Collaborat Innovat Ctr Canc Med, Dept Clin Lab,Canc Ctr, State Key Lab Oncol South China,Guangdong Key Lab, 651 Dongfeng Rd East, Guangzhou 510060, Peoples R China; [Xing, Shan] Sun Yat Sen Univ, Sch Biomed Engn, 132 Waihuandong Rd, Guangzhou 510006, Peoples R China; [Lai, Yanzhen] Heyuan Peoples Hosp, Heyuan, Peoples R China; [Deng, Min] Guangzhou Med Univ, Affiliated Canc Hosp &amp; Inst, 78 Hengzhigang Rd, Guangzhou 510095, Peoples R China</t>
  </si>
  <si>
    <t>State Key Lab Oncology South China; Sun Yat Sen University; Sun Yat Sen University; Guangzhou Medical University</t>
  </si>
  <si>
    <t>Deng, M (corresponding author), Guangzhou Med Univ, Affiliated Canc Hosp &amp; Inst, 78 Hengzhigang Rd, Guangzhou 510095, Peoples R China.;Liu, WL (corresponding author), Sun Yat Sen Univ, Canc Ctr, Dept Clin Lab, 651 Dongfeng Rd East, Guangzhou 510060, Guangdong, Peoples R China.</t>
  </si>
  <si>
    <t>dengmin510095@163.com; liuwl@sysucc.org.cn</t>
  </si>
  <si>
    <t>10.7150/thno.49047</t>
  </si>
  <si>
    <t>WOS:000572486100002</t>
  </si>
  <si>
    <t>Holvoet, P; Vanhaverbeke, M; Bloch, K; Baatsen, P; Sinnaeve, P; Janssens, S</t>
  </si>
  <si>
    <t>Holvoet, Paul; Vanhaverbeke, Maarten; Bloch, Katarzyna; Baatsen, Pieter; Sinnaeve, Peter; Janssens, Stefan</t>
  </si>
  <si>
    <t>Low MT-CO1 ilen Monocytes and Microvesicles Is Associated With Outcome in Patients With Coronary Artery Disease</t>
  </si>
  <si>
    <t>JOURNAL OF THE AMERICAN HEART ASSOCIATION</t>
  </si>
  <si>
    <t>blood cell; cardiovascular events; gene; ischemia; microvesicles</t>
  </si>
  <si>
    <t>CYTOCHROME-C-OXIDASE; MYOCARDIAL-INFARCTION; MITOCHONDRIAL-DNA; OXIDATIVE STRESS; CELLS; ATHEROSCLEROSIS; RESPIRATION; EXOSOMES; MICE</t>
  </si>
  <si>
    <t>Background--Cytochrome oxidase (COX) IV complex regulates energy production in mitochondria. Impaired COX gene expression is related to obesity and type 2 diabetes mellitus, but whether it is directly related to the incidence of cardiovascular events is unknown. We investigated whether COX gene expression in monocytes is predictive for cardiovascular events in coronary artery disease patients. To avoid monocyte isolation from fresh blood, we then aimed to validate our findings in monocyte-derived microvesicles isolated from plasma. Methods and Results--We enrolled 142 consecutive patients undergoing diagnostic coronary angiography between June 2010 and January 2011 and followed 67 patients with stable coronary artery disease prospectively for at least 3 years. Twenty-two patients experienced a new cardiovascular event (32.8%). Circulating CD14(+) monocytes and microvesicles were isolated with magnetic beads, and COX mRNA levels were measured with quantitative polymerase chain reaction, after normalization with 5 validated house-keeping genes. Patients in the lowest tertile of mitochondrial cytochrome oxidase, subunit I (MT-COI) in monocytes at baseline had a higher risk for developing a new event after adjusting for age, sex, (ex) smoking, body mass index, blood pressure, diabetes mellitus, low-density lipoprotein-and high-density lipoprotein-cholesterol, triglycerides, high-sensitivity C-reactive protein, interleukin-6, and number of diseased vessels (harzard ratio [HR], 3.95; 95% CI, 1.63-9.57). Patients in the lowest tertile of MT-COI in monocyte-specific microvesicles had also a higher risk of developing a new event (adjusted HR, 5.00; 95% CI, 1.77-14). Conclusions--In the current blinded study, low MT-COI in monocytes of coronary artery disease patients identifies a population at risk for new cardiovascular events. For the first time, we show that signatures in monocyte-specific microvesicles in plasma have similar predictive properties.</t>
  </si>
  <si>
    <t>[Holvoet, Paul] Katholieke Univ Leuven, Atherosclerosis &amp; Metab Unit, Dept Cardiovasc Sci, Herestraat 49,O&amp;N1,POB 705, B-3000 Leuven, Belgium; [Bloch, Katarzyna] Katholieke Univ Leuven, Dept Oncol, Leuven, Belgium; [Baatsen, Pieter] Katholieke Univ Leuven, Dept VIB BIO Imaging Core, Leuven, Belgium; [Vanhaverbeke, Maarten; Sinnaeve, Peter; Janssens, Stefan] UZ Leuven, Dept Clin Cardiol, Leuven, Belgium</t>
  </si>
  <si>
    <t>KU Leuven; KU Leuven; Flanders Institute for Biotechnology (VIB); KU Leuven; KU Leuven; University Hospital Leuven</t>
  </si>
  <si>
    <t>Holvoet, P (corresponding author), Katholieke Univ Leuven, Atherosclerosis &amp; Metab Unit, Dept Cardiovasc Sci, Herestraat 49,O&amp;N1,POB 705, B-3000 Leuven, Belgium.</t>
  </si>
  <si>
    <t>paul.holvoet@med.kuleuven.be</t>
  </si>
  <si>
    <t>Vanhaverbeke, Maarten/ADP-6196-2022; HOLVOET, PAUL/T-8434-2017</t>
  </si>
  <si>
    <t>Vanhaverbeke, Maarten/0000-0002-4385-7069; HOLVOET, PAUL/0000-0001-9201-0772; Sinnaeve, Peter/0000-0003-4716-5892</t>
  </si>
  <si>
    <t>2047-9980</t>
  </si>
  <si>
    <t>e004207</t>
  </si>
  <si>
    <t>10.1161/JAHA.116.004207</t>
  </si>
  <si>
    <t>WOS:000390787700022</t>
  </si>
  <si>
    <t>Reategui, E; van der Vos, KE; Lai, CP; Zeinali, M; Atai, NA; Aldikacti, B; Floyd, FP; Khankhel, AH; Thapar, V; Hochberg, FH; Sequist, LV; Nahed, BV; Carter, BS; Toner, M; Balaj, L; Ting, DT; Breakefield, XO; Stott, SL</t>
  </si>
  <si>
    <t>Reategui, Eduardo; van der Vos, Kristan E.; Lai, Charles P.; Zeinali, Mahnaz; Atai, Nadia A.; Aldikacti, Berent; Floyd, Frederick P., Jr.; Khankhel, Aimal H.; Thapar, Vishal; Hochberg, Fred H.; Sequist, Lecia V.; Nahed, Brian V.; Carter, Bob S.; Toner, Mehmet; Balaj, Leonora; Ting, David T.; Breakefield, Xandra O.; Stott, Shannon L.</t>
  </si>
  <si>
    <t>Engineered nanointerfaces for microfluidic isolation and molecular profiling of tumor-specific extracellular vesicles</t>
  </si>
  <si>
    <t>EXOSOMES; MICROVESICLES; RNA; EGFRVIII; CAPTURE; DEVICE; CHIP; MICROVORTEX; RESISTANCE; SEPARATION</t>
  </si>
  <si>
    <t>Extracellular vesicles (EVs) carry RNA, DNA, proteins, and lipids. Specifically, tumor-derived EVs have the potential to be utilized as disease-specific biomarkers. However, a lack of methods to isolate tumor-specific EVs has limited their use in clinical settings. Here we report a sensitive analytical microfluidic platform ((HB)-H-EV-Chip) that enables tumor-specific EV-RNA isolation within 3 h. Using the (HB)-H-EV-Chip, we achieve 94% tumor-EV specificity, a limit of detection of 100 EVs per mu L, and a 10-fold increase in tumor RNA enrichment in comparison to other methods. Our approach allows for the subsequent release of captured tumor EVs, enabling downstream characterization and functional studies. Processing serum and plasma samples from glioblastoma multiforme (GBM) patients, we can detect the mutant EGFRvIII mRNA. Moreover, using next-generation RNA sequencing, we identify genes specific to GBM as well as transcripts that are hallmarks for the four genetic subtypes of the disease.</t>
  </si>
  <si>
    <t>[Reategui, Eduardo; Zeinali, Mahnaz; Aldikacti, Berent; Floyd, Frederick P., Jr.; Khankhel, Aimal H.; Toner, Mehmet; Stott, Shannon L.] Harvard Med Sch, Massachusetts Gen Hosp, Ctr Engn Med, Charlestown, MA 02129 USA; [Reategui, Eduardo; Zeinali, Mahnaz; Aldikacti, Berent; Floyd, Frederick P., Jr.; Khankhel, Aimal H.; Toner, Mehmet; Stott, Shannon L.] Harvard Med Sch, Boston, MA 02114 USA; [Reategui, Eduardo; Zeinali, Mahnaz; Floyd, Frederick P., Jr.; Khankhel, Aimal H.; Toner, Mehmet; Stott, Shannon L.] Harvard Med Sch, Massachusetts Gen Hosp, Dept Surg, Boston, MA 02114 USA; [Reategui, Eduardo; Zeinali, Mahnaz; Aldikacti, Berent; Thapar, Vishal; Sequist, Lecia V.; Nahed, Brian V.; Ting, David T.; Stott, Shannon L.] Harvard Med Sch, Massachusetts Gen Hosp, Canc Ctr, Boston, MA 02114 USA; [Reategui, Eduardo; Toner, Mehmet; Stott, Shannon L.] Harvard Med Sch, Shriners Hosp Children, Boston, MA 02114 USA; [van der Vos, Kristan E.; Lai, Charles P.; Atai, Nadia A.; Balaj, Leonora; Breakefield, Xandra O.] Harvard Med Sch, Massachusetts Gen Hosp, Neurodiscovery Ctr, Boston, MA 02124 USA; [Hochberg, Fred H.; Carter, Bob S.] Univ Calif San Diego, Dept Neurosurg, La Jolla, CA 92093 USA; [Sequist, Lecia V.; Stott, Shannon L.] Harvard Med Sch, Massachusetts Gen Hosp, Dept Med, Boston, MA 02114 USA; [Nahed, Brian V.] Harvard Med Sch, Massachusetts Gen Hosp, Dept Neurosurg, Boston, MA 02124 USA; [Breakefield, Xandra O.] Harvard Med Sch, Massachusetts Gen Hosp, Dept Neurol &amp; Radiol, Boston, MA 02114 USA; [Reategui, Eduardo] Ohio State Univ, Ctr Comprehens Canc, William G Lowrie Dept Chem &amp; Biomol Engn, Columbus, OH 43210 USA; [van der Vos, Kristan E.] Netherlands Canc Inst, Dept Mol Carcinogenesis, NL-1066 CX Amsterdam, Netherlands; [Lai, Charles P.] Acad Sinica, Inst Atom &amp; Mol Sci, Taipei 10617, Taiwan</t>
  </si>
  <si>
    <t>Harvard University; Massachusetts General Hospital; Harvard University; Harvard Medical School; Harvard University; Harvard Medical School; Massachusetts General Hospital; Harvard University; Harvard Medical School; Massachusetts General Hospital; Harvard University; Harvard Medical School; Harvard University; Harvard Medical School; Massachusetts General Hospital; University of California System; University of California San Diego; Harvard University; Harvard Medical School; Massachusetts General Hospital; Harvard University; Harvard Medical School; Massachusetts General Hospital; Harvard University; Harvard Medical School; Massachusetts General Hospital; James Cancer Hospital &amp; Solove Research Institute; Ohio State University; Netherlands Cancer Institute; Academia Sinica - Taiwan</t>
  </si>
  <si>
    <t>Stott, SL (corresponding author), Harvard Med Sch, Massachusetts Gen Hosp, Ctr Engn Med, Charlestown, MA 02129 USA.;Stott, SL (corresponding author), Harvard Med Sch, Boston, MA 02114 USA.;Stott, SL (corresponding author), Harvard Med Sch, Massachusetts Gen Hosp, Dept Surg, Boston, MA 02114 USA.;Stott, SL (corresponding author), Harvard Med Sch, Massachusetts Gen Hosp, Canc Ctr, Boston, MA 02114 USA.;Stott, SL (corresponding author), Harvard Med Sch, Shriners Hosp Children, Boston, MA 02114 USA.;Stott, SL (corresponding author), Harvard Med Sch, Massachusetts Gen Hosp, Dept Med, Boston, MA 02114 USA.</t>
  </si>
  <si>
    <t>sstott@mgh.harvard.edu</t>
  </si>
  <si>
    <t>Lai, Charles Pin-Kuang/D-5442-2017; Aldikacti, Berent/AAH-4738-2019; Stott, Shannon L./AAC-5311-2019; Carter, Bob/AAB-4868-2021; Nahed, Brian/E-4239-2014</t>
  </si>
  <si>
    <t>Lai, Charles Pin-Kuang/0000-0001-8050-7060; Carter, Bob/0000-0002-3586-1324; Reategui, Eduardo/0000-0002-8271-8205; Balaj, Leonora/0000-0003-0931-9715; Nahed, Brian/0000-0001-8537-106X; Aldikacti, Berent/0000-0002-8916-8007</t>
  </si>
  <si>
    <t>10.1038/s41467-017-02261-1</t>
  </si>
  <si>
    <t>WOS:000419949200002</t>
  </si>
  <si>
    <t>Nordmeier, S; Ke, WN; Afonin, KA; Portnoy, V</t>
  </si>
  <si>
    <t>Nordmeier, Senny; Ke, Weina; Afonin, Kirill A.; Portnoy, Victoria</t>
  </si>
  <si>
    <t>Exosome mediated delivery of functional nucleic acid nanoparticles (NANPs)</t>
  </si>
  <si>
    <t>Extracellular vesicles; Exosomes; RNA nanotechnology; NANPs; Immunostimulation</t>
  </si>
  <si>
    <t>SIRNA DELIVERY; DRUG-DELIVERY; RNA-DNA; VESICLES; CARRIERS</t>
  </si>
  <si>
    <t>RNAi-based technologies have shown biomedical potential; however, safe and efficient delivery of RNA remains a barrier for their broader clinical applications. Nucleic acid nanoparticles (NANPs) programmed to self-assemble and organize multiple therapeutic nucleic acids (TNAs) also became attractive candidates for diverse therapeutic options. Various synthetic nanocarriers are used to deliver TNAs and NANPs, but their clinical translation is limited due to immunotoxicity. Exosomes are cell-derived nanovesicles involved in cellular communication. Due to their ability to deliver biomolecules, exosomes are a novel delivery choice. In this study, we explored the exosome-mediated delivery of NANPs designed to target GFP. We assessed the intracellular uptake, gene silencing efficiency, and immunostimulation of exosomes loaded with NANPs. We also confirmed that interdependent RNA/DNA fibers upon recognition of each other after delivery, can conditionally activate NF-kB decoys and prevent pro-inflammatory cytokines. Our study overcomes challenges in TNA delivery and demonstrates future studies in drug delivery systems. (C) 2020 The Author(s). Published by Elsevier Inc.</t>
  </si>
  <si>
    <t>[Nordmeier, Senny; Portnoy, Victoria] Syst Biosci SBI, Polo Alto, CA 94303 USA; [Ke, Weina; Afonin, Kirill A.] Univ N Carolina, Dept Chem, Nanoscale Sci Program, Charlotte, NC 28223 USA</t>
  </si>
  <si>
    <t>University of North Carolina; University of North Carolina Charlotte</t>
  </si>
  <si>
    <t>Portnoy, V (corresponding author), Syst Biosci SBI, Polo Alto, CA 94303 USA.;Afonin, KA (corresponding author), Univ N Carolina, Dept Chem, Nanoscale Sci Program, Charlotte, NC 28223 USA.</t>
  </si>
  <si>
    <t>kafonin@uncc.edu; vportnoy@systembio.com</t>
  </si>
  <si>
    <t>10.1016/j.nano.2020.102285</t>
  </si>
  <si>
    <t>WOS:000593924100014</t>
  </si>
  <si>
    <t>Trotta, T; Panaro, MA; Cianciulli, A; Mori, G; Di Benedetto, A; Porro, C</t>
  </si>
  <si>
    <t>Trotta, Teresa; Panaro, Maria Antonietta; Cianciulli, Antonia; Mori, Giorgio; Di Benedetto, Adriana; Porro, Chiara</t>
  </si>
  <si>
    <t>Microglia-derived extracellular vesicles in Alzheimer's Disease: A double-edged sword</t>
  </si>
  <si>
    <t>BIOCHEMICAL PHARMACOLOGY</t>
  </si>
  <si>
    <t>EVs; Microglia; Alzheimer's Disease; Neuroinflammation; Neurodegeneration; Biomarkers</t>
  </si>
  <si>
    <t>MILD COGNITIVE IMPAIRMENT; MESENCHYMAL STROMAL CELLS; EXOSOME-MEDIATED TRANSFER; TRANSGENIC MOUSE MODELS; AMYLOID BETA-PROTEIN; CIRCULATING MICROPARTICLES; CEREBROSPINAL-FLUID; PROTEOMIC ANALYSIS; MYELOID MICROVESICLES; SUPEROXIDE-DISMUTASE</t>
  </si>
  <si>
    <t>Extracellular vesicles (EVs), based on their origin or size, can be classified as apoptotic bodies, microvesides (MVs)/microparticles (MPS), and exosomes. EVs are one of the new emerging modes of communication between cells that are providing new insights into the pathophysiology of several diseases. EVs released from activated or apoptotic cells contain specific proteins (signaling molecules, receptors, integrins, cytokines), bioactive lipids, nucleic acids (mRNA, miRNA, small non coding RNAs, DNA) from their progenitor cells. In the brain, EVs contribute to intercellular communication through their basal release and uptake by surrounding cells, or release into the cerebrospinal fluid (CSF) and blood. In the central nervous system (CNS), EVs have been suggested as potential carriers in the intercellular delivery of misfolded proteins associated to neurodegenerative disorders, such as tau and amyloid beta in Alzheimer's Disease (AD), alpha-synuclein in Parkinson's Disease (PD), superoxide dismutase (SOD)1 in amyotrophic lateral sclerosis and huntingtin in Huntington's Disease. Multiple studies indicate that EVs are involved in the pathogenesis of AD, although their role has not been completely elucidated. The focus of this review is to analyze the new emerging role of EVs in AD progression, paying particular attention to microglia EVs. Recent data show that microglia are the first myeloid cells to be activated during neuroinflammation. Microglial EVs in fact, could have both a beneficial and a detrimental action in AD. The study of EVs may provide specific, precise information regarding the AD transition stage that may offer possibilities to intervene in order to retain cognition. In chronic neurodegenerative diseases EVs could be a novel biomarker to monitor the progression of the pathology and also represent a new therapeutical approach to CNS diseases. (C) 2018 Elsevier Inc. All rights reserved.</t>
  </si>
  <si>
    <t>[Trotta, Teresa; Mori, Giorgio; Di Benedetto, Adriana; Porro, Chiara] Univ Foggia, Dept Clin &amp; Expt Med, Foggia, Italy; [Panaro, Maria Antonietta; Cianciulli, Antonia] Univ Bari, Dept Biosci Biotechnol &amp; Biopharmaceut, Bari, Italy</t>
  </si>
  <si>
    <t>University of Foggia; Universita degli Studi di Bari Aldo Moro</t>
  </si>
  <si>
    <t>Porro, C (corresponding author), Univ Foggia, Dept Clin &amp; Expt Med, Foggia, Italy.</t>
  </si>
  <si>
    <t>chiara.porro@unifg.it</t>
  </si>
  <si>
    <t>Porro, Chiara/G-7849-2018; Mori, Giorgio/P-1370-2014</t>
  </si>
  <si>
    <t>Porro, Chiara/0000-0002-7526-6968; Mori, Giorgio/0000-0001-6731-0247</t>
  </si>
  <si>
    <t>0006-2952</t>
  </si>
  <si>
    <t>1873-2968</t>
  </si>
  <si>
    <t>10.1016/j.bcp.2017.12.020</t>
  </si>
  <si>
    <t>WOS:000426141200016</t>
  </si>
  <si>
    <t>Gezer, U; Ozgur, E; Cetinkaya, M; Isin, M; Dalay, N</t>
  </si>
  <si>
    <t>Gezer, Ugur; Ozgur, Emre; Cetinkaya, Merve; Isin, Mustafa; Dalay, Nejat</t>
  </si>
  <si>
    <t>Long non-coding RNAs with low expression levels in cells are enriched in secreted exosomes</t>
  </si>
  <si>
    <t>CELL BIOLOGY INTERNATIONAL</t>
  </si>
  <si>
    <t>long noncoding RNAs; exosomes; HeLa cells; MCF-7 cells</t>
  </si>
  <si>
    <t>T-CELLS; MICROVESICLES; VESICLES; FRONTIER; RELEASE; GENCODE; CANCER</t>
  </si>
  <si>
    <t>Long non-coding RNAs (lncRNAs) are involved in regulating chromatin modifications, gene transcription, mRNA translation, and protein function. We recently reported a high variation in the basal expression levels of a panel of lncRNAs in HeLa and MCF-7 cells and their differential response to DNA damage induction. Here, we hypothesized that lncRNA molecules with different cellular expression may have a differential abundance in secreted exosomes, and their exosome levels would reflect cellular response to DNA damage. MALAT1, HOTAIR, lincRNA-p21, GAS5, TUG1, CCND1-ncRNA in exosomes secreted from cultured cells were characterized. A different expression pattern of lncRNAs in exosomes was seen compared to cells. RNA molecules with relative low expression levels (lincRNA-p21, HOTAIR, ncRNA-CCND1) were highly enriched in exosomes. TUG1 and GAS5 levels were moderately elevated in exosomes, whereas MALAT1-which was the most abundant molecule in cells-was present at levels comparable to its cellular levels. lincRNA-p21 and ncRNA-CCND1 were the main molecules; exosome levels of them best reflect the change of their cellular levels upon exposure of the cells to bleomycin-induced DNA damage. In conclusion, we provide evidence that lncRNAs have a differential abundance in exosomes, indicating a selective loading.</t>
  </si>
  <si>
    <t>[Gezer, Ugur; Ozgur, Emre; Cetinkaya, Merve; Isin, Mustafa; Dalay, Nejat] Istanbul Univ, Inst Oncol, Dept Basic Oncol, Istanbul, Turkey</t>
  </si>
  <si>
    <t>Istanbul University</t>
  </si>
  <si>
    <t>Gezer, U (corresponding author), Istanbul Univ, Inst Oncol, Dept Basic Oncol, Istanbul, Turkey.</t>
  </si>
  <si>
    <t>ugurd@istanbul.edu.tr</t>
  </si>
  <si>
    <t>OZGUR, EMRE/D-2102-2018; Gezer, Ugur/F-7853-2014</t>
  </si>
  <si>
    <t>OZGUR, EMRE/0000-0002-4995-4759; Gezer, Ugur/0000-0001-8471-5254; ISIN, Mustafa/0000-0002-8728-7571</t>
  </si>
  <si>
    <t>1065-6995</t>
  </si>
  <si>
    <t>1095-8355</t>
  </si>
  <si>
    <t>10.1002/cbin.10301</t>
  </si>
  <si>
    <t>WOS:000340256500010</t>
  </si>
  <si>
    <t>Wang, Q; Zou, LY; Yang, XH; Liu, XF; Nie, WY; Zheng, Y; Cheng, Q; Wang, KM</t>
  </si>
  <si>
    <t>Wang, Qing; Zou, Liyuan; Yang, Xiaohai; Liu, Xiaofeng; Nie, Wenyan; Zheng, Yan; Cheng, Quan; Wang, Kemin</t>
  </si>
  <si>
    <t>Direct quantification of cancerous exosomes via surface plasmon resonance with dual gold nanoparticle-assisted signal amplification</t>
  </si>
  <si>
    <t>Exosomes; Surface plasmon resonance; Aptasensor; AuNP</t>
  </si>
  <si>
    <t>ELECTROCHEMICAL DETECTION; EXTRACELLULAR VESICLES; CELL; DNA; APTASENSOR; MICROVESICLES; SPECTROSCOPY; BIOMARKERS; BIOSENSOR; PROTEINS</t>
  </si>
  <si>
    <t>Sensitive detection of cancerous exosomes is critical to early diseases diagnosis and prognosis. Herein, a sensitive aptasensor was demonstrated for exosomes detection by surface plasmon resonance (SPR) with dual gold nanoparticle (AuNP)-assisted signal amplification. Dual nanoparticle amplification was achieved by controlled hybridization attachment of AuNPs resulting from electronic coupling between the Au film and AuNPs, as well as coupling effects in plasmonic nanostructures. By blocking the Au film surface with 11-Mercapto-1-undecanol (MCU), nonspecific adsorption of AuNPs onto the SPR chip surface was suppressed and regeneration of the SPR sensor was realized. This method was highly sensitive and we have achieved the limit of detection (LOD) down to 5 x 10(3) exosomes/mL, which showed a 10(4)-fold improvement in LOD compared to commercial ELISA. Moreover, the SPR sensor had the capability to differentiate the exosomes secreted by MCF-7 breast cancer cells and MCF-10A normal breast cells. Furthermore, the SPR sensor could effectively detect the exosomes in 30% fetal bovine serum. The work provides a sensitive and efficient quantification approach to detect cancerous exosomes and offers an avenue toward future diagnosis and comprehensive studies of exosomes.</t>
  </si>
  <si>
    <t>[Wang, Qing; Zou, Liyuan; Yang, Xiaohai; Liu, Xiaofeng; Nie, Wenyan; Zheng, Yan; Wang, Kemin] Hunan Univ, Key Lab Bionanotechnol &amp; Mol Engn Hunan Prov, Coll Chem &amp; Chem Engn, State Key Lab Chemo Biosensing &amp; Chemometr, Changsha 410082, Hunan, Peoples R China; [Cheng, Quan] Univ Calif Riverside, Dept Chem, Riverside, CA 92521 USA</t>
  </si>
  <si>
    <t>Hunan University; University of California System; University of California Riverside</t>
  </si>
  <si>
    <t>Yang, XH; Wang, KM (corresponding author), Hunan Univ, Key Lab Bionanotechnol &amp; Mol Engn Hunan Prov, Coll Chem &amp; Chem Engn, State Key Lab Chemo Biosensing &amp; Chemometr, Changsha 410082, Hunan, Peoples R China.</t>
  </si>
  <si>
    <t>yangxiaohai@hnu.edu.cn; kmwang@hnu.edu.cn</t>
  </si>
  <si>
    <t>Yang, Xiaohai/0000-0001-8122-7140</t>
  </si>
  <si>
    <t>10.1016/j.bios.2019.04.013</t>
  </si>
  <si>
    <t>WOS:000469157800017</t>
  </si>
  <si>
    <t>Joerger-Messerli, MS; Oppliger, B; Spinelli, M; Thomi, G; di Salvo, I; Schneider, P; Schoeberlein, A</t>
  </si>
  <si>
    <t>Joerger-Messerli, Marianne S.; Oppliger, Byron; Spinelli, Marialuigia; Thomi, Gierin; di Salvo, Ivana; Schneider, Philipp; Schoeberlein, Andreina</t>
  </si>
  <si>
    <t>Extracellular Vesicles Derived from Wharton's Jelly Mesenchymal Stem Cells Prevent and Resolve Programmed Cell Death Mediated by Perinatal Hypoxia-Ischemia in Neuronal Cells</t>
  </si>
  <si>
    <t>CELL TRANSPLANTATION</t>
  </si>
  <si>
    <t>extracellular vesicles (EVs); oxygen-glucose deprivation/reoxygenation (OGD/R); apoptosis; neuroprotection; neuroregeneration; let-7-5p</t>
  </si>
  <si>
    <t>STROMAL CELLS; RAT MODEL; BRAIN; ACTIVATION; CASPASE-3; EXOSOMES; INJURY; NEUROPROTECTION; RETICULOCYTES; TRANSFERRIN</t>
  </si>
  <si>
    <t>Hypoxic-ischemic (HI) insult in the perinatal phase harbors a high risk of encephalopathy in the neonate. Brain cells undergo apoptosis, initiating neurodegeneration. So far, therapeutic approaches such as cooling remain limited. Transplantation of mesenchymal stem cells (MSCs) exhibits therapeutic success despite the short-time survival in the host brain, providing strong evidence that their beneficial effects are largely based on secreted factors, including extracellular vesicles (EVs). The aim of this study was to investigate the effects of human Wharton's jelly MSC (hWJ-MSC)-derived EVs on neuroprotection and neuroregeneration, using an in vitro model of oxygen-glucose deprivation/reoxygenation (OGD/R) mimicking HI injury in the mouse neuroblastoma cell line neuro2a (N2a). hWJ-MSC-derived EVs were isolated from cell culture supernatants by multistep centrifugation and identified by endosomal marker expression and electron microscopy. OGD/R significantly increased DNA fragmentation and caspase 3 (Casp3) transcription in N2a cells relative to undamaged cells. OGD/R-mediated DNA fragmentation and Casp3 expression could be prevented as well as resolved by the addition of hWJ-MSC-derived EV before and after OGD, respectively. hWJ-MSC-derived EV also tended to increase the phosphorylation of the B cell lymphoma 2 (Bcl2) family member Bcl-2-antagonist of cell death (BAD) in N2a cells, when added prior or post OGD, thereby inactivating the proapoptotic function of BAD. Fluorescence confocal microscopy revealed the close localization of hWJ-MSC-derived EVs to the nuclei of N2a cells. Furthermore, EVs released their RNA content into the cells. The expression levels of the microRNAs (miRs) let-7a and let-7e, known regulators of Casp3, were inversely correlated to Casp3. Our data suggest that hWJ-MSC-derived EVs have the potential to prevent and resolve HI-induced apoptosis in neuronal cells in the immature neonatal brain. Their antiapoptotic effect seems to be mediated by the transfer of EV-derived let-7-5p miR.</t>
  </si>
  <si>
    <t>[Joerger-Messerli, Marianne S.; Oppliger, Byron; Spinelli, Marialuigia; Thomi, Gierin; di Salvo, Ivana; Schneider, Philipp; Schoeberlein, Andreina] Univ Bern, Bern Univ Hosp, Inselspital, Dept Obstet &amp; Gynecol, Bern, Switzerland; [Joerger-Messerli, Marianne S.; Oppliger, Byron; Spinelli, Marialuigia; Thomi, Gierin; di Salvo, Ivana; Schneider, Philipp; Schoeberlein, Andreina] Univ Bern, Dept BioMed Res, Bern, Switzerland; [Thomi, Gierin] Univ Bern, Grad Sch Cellular &amp; Biomed Sci GCB, Bern, Switzerland</t>
  </si>
  <si>
    <t>University of Bern; University Hospital of Bern; University of Bern; University of Bern</t>
  </si>
  <si>
    <t>Schoeberlein, A (corresponding author), Inselspital Bern, Lab Prenatal Med, Dept BioMed Res, KiKI E838, CH-3010 Bern, Switzerland.</t>
  </si>
  <si>
    <t>andreina.schoeberlein@dbmr.unibe.ch</t>
  </si>
  <si>
    <t>Schoeberlein, Andreina/C-8688-2009; Schoeberlein, Andreina/H-8413-2019; Di Salvo, Ivana/X-9010-2019</t>
  </si>
  <si>
    <t>Schoeberlein, Andreina/0000-0002-6716-9551; Schoeberlein, Andreina/0000-0002-6716-9551; Di Salvo, Ivana/0000-0002-8145-2492; Joerger-Messerli, Marianne/0000-0003-1491-4578</t>
  </si>
  <si>
    <t>0963-6897</t>
  </si>
  <si>
    <t>1555-3892</t>
  </si>
  <si>
    <t>10.1177/0963689717738256</t>
  </si>
  <si>
    <t>Cell &amp; Tissue Engineering; Medicine, Research &amp; Experimental; Transplantation</t>
  </si>
  <si>
    <t>Cell Biology; Research &amp; Experimental Medicine; Transplantation</t>
  </si>
  <si>
    <t>WOS:000429118700015</t>
  </si>
  <si>
    <t>Zhao, JN; Lin, HR; Huang, KS</t>
  </si>
  <si>
    <t>Zhao, Jiangning; Lin, Huanrong; Huang, Kunsong</t>
  </si>
  <si>
    <t>Mesenchymal Stem Cell-derived Extracellular Vesicles Transmitting MicroRNA-34a-5p Suppress Tumorigenesis of Colorectal Cancer Through c-MYC/DNMT3a/PTEN Axis</t>
  </si>
  <si>
    <t>MOLECULAR NEUROBIOLOGY</t>
  </si>
  <si>
    <t>Colorectal cancer; Mesenchymal stem cells; Extracellular vesicles; MicroRNA-34a-5p; c-MYC; DNA methyltransferase 3a; Phosphatase and tensin homolog deleted on chromosome 10</t>
  </si>
  <si>
    <t>C-MYC EXPRESSION; COLON-CANCER; INHIBITS PROLIFERATION; METASTASIS; INVASION; CARCINOMA; MIGRATION; PTEN</t>
  </si>
  <si>
    <t>Mesenchymal stem cell-derived extracellular vesicles (MSC-EV) can transport microRNAs (miRNAs) into colorectal cancer (CRC) cells, thus to inhibit the malignant phenotype of cancer cells. Whether MSC-EV could deliver miR-34a-5p to suppress CRC development was surveyed through the research. miR-34a-5p, c-MYC, DNA methyltransferase 3a (DNMT3a), and phosphatase and tensin homolog deleted on chromosome 10 (PTEN) expression were measured in CRC tissues and cell lines. miR-34a-5p and c-MYC expression were altered by transfection in HCT-116 cells. MSC-EV were transfected with miR-34a-5p- and c-MYC-related oligonucleotides and co-cultured with HCT-116 cells. HCT-116 cell growth after treatment was observed. Furthermore, the functional roles of miR-34a-5p and c-MYC were explored in vivo. The combined interactions of miR-34a-5p/c-MYC/DNMT3a/PTEN axis were assessed. miR-34a-5p and PTEN were downregulated while c-MYC and DNMT3a were upregulated in CRC. Depletion of miR-34a-5p drove while that of c-MYC restricted CRC cell growth. MSC-EV retarded CRC progression. Moreover, MSC-EV carrying overexpressed miR-34a-5p or depleted c-MYC further disrupted CRC cell progression. miR-34a-5p targeted c-MYC to regulate DNMT3a and PTEN. c-MYC overexpression abrogated EV-derived miR-34a-5p upregulation-induced effects on CRC. Restoring miR-34a-5p or depleting c-MYC in MSC-EV limited CRC tumor formation. MSC-EV-derived miR-34a-5p depresses CRC development through modulating the binding of c-MYC to DNMT3a and epigenetically regulating PTEN.</t>
  </si>
  <si>
    <t>[Zhao, Jiangning; Lin, Huanrong] Guangzhou Univ Chinese Med, Clin Med Sch 4, Gastrointestinal Peritoneal Canc Surg, 1 Fuhua Rd, Shenzhen 518033, Guangdong, Peoples R China; [Zhao, Jiangning; Lin, Huanrong] Shenzhen Tradit Chinese Med Hosp, 1 Fuhua Rd, Shenzhen 518033, Guangdong, Peoples R China; [Huang, Kunsong] Jinan Univ, Affiliated Hosp 1, Guangzhou Overseas Chinese Hosp, Dept Gen Surg, Guangzhou, Guangdong, Peoples R China</t>
  </si>
  <si>
    <t>Guangzhou University of Chinese Medicine; Jinan University</t>
  </si>
  <si>
    <t>Zhao, JN (corresponding author), Guangzhou Univ Chinese Med, Clin Med Sch 4, Gastrointestinal Peritoneal Canc Surg, 1 Fuhua Rd, Shenzhen 518033, Guangdong, Peoples R China.;Zhao, JN (corresponding author), Shenzhen Tradit Chinese Med Hosp, 1 Fuhua Rd, Shenzhen 518033, Guangdong, Peoples R China.</t>
  </si>
  <si>
    <t>Zhaojiangning598@outlook.com</t>
  </si>
  <si>
    <t>0893-7648</t>
  </si>
  <si>
    <t>1559-1182</t>
  </si>
  <si>
    <t>10.1007/s12035-021-02431-9</t>
  </si>
  <si>
    <t>WOS:000705829800001</t>
  </si>
  <si>
    <t>Choi, DH; Kwon, YM; Chiura, HX; Yang, EC; Bae, SS; Kang, SG; Lee, JH; Yoon, HS; Kim, SJ</t>
  </si>
  <si>
    <t>Choi, Dong Hee; Kwon, Yong Min; Chiura, Hiroshi Xavier; Yang, Eun Chan; Bae, Seung Seob; Kang, Sung Gyun; Lee, Jung-Hyun; Yoon, Hwan Su; Kim, Sang-Jin</t>
  </si>
  <si>
    <t>Extracellular Vesicles of the Hyperthermophilic Archaeon Thermococcus onnurineus NA1(T)</t>
  </si>
  <si>
    <t>OUTER-MEMBRANE VESICLES; PROTEOME ANALYSIS; H-2 PRODUCTION; DNA; TRANSFORMATION; REVEALS; VIRUSES; ENUMERATION; SULFOLOBUS; MICROSCOPY</t>
  </si>
  <si>
    <t>Extracellular vesicles (EVs) produced by a sulfur-reducing, hyperthermophilic archaeon, Thermococcus onnurineus NA1(T), were purified and characterized. A maximum of four EV bands, showing buoyant densities between 1.1899 and 1.2828 g cm(-3), were observed after CsCl ultracentrifugation. The two major EV bands, B (buoyant density at 25 degrees C [rho(25)] = 1.2434 g cm(-3)) and C (rho(25) = 1.2648 g cm(-3)), were separately purified and counted using a qNano particle analyzer. These EVs, showing different buoyant densities, were identically spherical in shape, and their sizes varied from 80 to 210 nm in diameter, with 120- and 190-nm sizes predominant. The average size of DNA packaged into EVs was about 14 kb. The DNA of the EVs in band C was sequenced and assembled. Mapping of the T. onnurineus NA1(T) EV (ToEV) DNA sequences onto the reference genome of the parent archaeon revealed that most genes of T. onnurineus NA1(T) were packaged into EVs, except for an similar to 9.4-kb region from TON_0536 to TON_0544. The absence of this specific region of the genome in the EVs was confirmed from band B of the same culture and from bands B and C purified from a different batch culture. The presence of the 3'-terminal sequence and the absence of the 5'-terminal sequence of TON_0536 were repeatedly confirmed. On the basis of these results, we hypothesize that the unpackaged part of the T. onnurineus NA1(T) genome might be related to the process that delivers DNA into ToEVs and/or the mechanism generating the ToEVs themselves.</t>
  </si>
  <si>
    <t>[Choi, Dong Hee; Kwon, Yong Min; Bae, Seung Seob; Kang, Sung Gyun; Lee, Jung-Hyun; Kim, Sang-Jin] Korea Inst Ocean Sci &amp; Technol, Marine Biotechnol Res Div, Ansan, South Korea; [Chiura, Hiroshi Xavier] Univ Tokyo, Marine Microbiol Lab, Dept Marine Ecosyst Dynam, Atmosphere &amp; Ocean Res Inst, Kashiwa, Chiba, Japan; [Yang, Eun Chan] Korea Inst Ocean Sci &amp; Technol, Marine Ecosyst Res Div, Ansan, South Korea; [Bae, Seung Seob; Kang, Sung Gyun; Lee, Jung-Hyun; Kim, Sang-Jin] Korea Univ Sci &amp; Technol, Dept Marine Biotechnol, Taejon, South Korea; [Yoon, Hwan Su] Sungkyunkwan Univ, Dept Biol Sci, Suwon, South Korea</t>
  </si>
  <si>
    <t>Korea Institute of Ocean Science &amp; Technology (KIOST); University of Tokyo; Korea Institute of Ocean Science &amp; Technology (KIOST); Sungkyunkwan University (SKKU)</t>
  </si>
  <si>
    <t>Kim, SJ (corresponding author), Korea Inst Ocean Sci &amp; Technol, Marine Biotechnol Res Div, Ansan, South Korea.</t>
  </si>
  <si>
    <t>s-jkim@kiost.ac</t>
  </si>
  <si>
    <t>Yoon, Hwan Su/A-2974-2013</t>
  </si>
  <si>
    <t>Yang, Eun Chan/0000-0001-8211-8130; Yoon, Hwan Su/0000-0001-9507-0105</t>
  </si>
  <si>
    <t>10.1128/AEM.00428-15</t>
  </si>
  <si>
    <t>WOS:000356528200004</t>
  </si>
  <si>
    <t>Ding, ZL; Lu, YB; Wei, YY; Song, D; Xu, ZR; Fang, J</t>
  </si>
  <si>
    <t>Ding, Ziling; Lu, Yanbing; Wei, Yunyun; Song, Dan; Xu, Zhangrun; Fang, Jin</t>
  </si>
  <si>
    <t>DNA-Engineered iron-based metal-organic framework bio-interface for rapid visual determination of exosomes</t>
  </si>
  <si>
    <t>JOURNAL OF COLLOID AND INTERFACE SCIENCE</t>
  </si>
  <si>
    <t>Exosome; Rapid detection; DNA engineering; Metal-organic framework; Bio-interface</t>
  </si>
  <si>
    <t>PEROXIDASE-LIKE ACTIVITY; NANOSHEETS; STORAGE; SENSOR</t>
  </si>
  <si>
    <t>In this study, a rapid, low-cost and facile method for detecting exosomes was developed by engineering DNA ligands on the surface of an iron-based metal-organic framework (Fe-MOF). Aptamers of exosomal transmembrane CD63 protein (CD63-aptamers) were utilized as both the optically active layer and the exosome-specific recognition element to engineer an Fe-MOF bio-interface for high-efficiency regulation of the catalytic behavior of Fe-MOF toward the chromogenic substrate. The effective enhancement of the intrinsic peroxidase-like catalytic activity was confirmed via the self-assembly of CD63-aptamers on the surface of Fe-MOF. The specific binding of exosomes with CD63-aptamers altered the conformation of DNA ligands on the surface of Fe-MOF, contributing to sensitive variation in Fe-MOF catalytic activity. This directly produced a distinct color change and enabled the visual detection of exosomes. Via one-step mixing-and-detection, the Fe-MOF bio-interface exhibited excellent performance in quantitative analysis of exosomes derived from human breast cancer cell lines ranging from 1.1 x 10(5) to 2.2 x 10(7) particles/mu L with a detection limit of 5.2 x 10(4) particles/mu L. The expression of exosomal CD63 proteins originated from three types of cancer cell lines, including breast cancer, gastric cancer and lung cancer cell lines, was differentiated within only 17 min. Furthermore, the method was successfully applied to the identification of exosomes in serum samples, suggesting its potential in clinical analysis as a valuable tool for the rapid, convenient and economical testing of exosomes. (C) 2021 Elsevier Inc. All rights reserved.</t>
  </si>
  <si>
    <t>[Ding, Ziling; Wei, Yunyun; Song, Dan; Xu, Zhangrun] Northeastern Univ, Res Ctr Analyt Sci, Shenyang 110819, Peoples R China; [Lu, Yanbing; Fang, Jin] China Med Univ, Dept Cell Biol, Key Lab Cell Biol, Minist Publ Hlth, Shenyang 110122, Peoples R China; [Lu, Yanbing; Fang, Jin] China Med Univ, Key Lab Med Cell Biol, Minist Educ, Shenyang 110122, Peoples R China</t>
  </si>
  <si>
    <t>Northeastern University - China; China Medical University; China Medical University</t>
  </si>
  <si>
    <t>Xu, ZR (corresponding author), Northeastern Univ, Res Ctr Analyt Sci, Shenyang 110819, Peoples R China.</t>
  </si>
  <si>
    <t>xuzr@mail.neu.edu.cn</t>
  </si>
  <si>
    <t>0021-9797</t>
  </si>
  <si>
    <t>1095-7103</t>
  </si>
  <si>
    <t>10.1016/j.jcis.2021.12.133</t>
  </si>
  <si>
    <t>Chemistry, Physical</t>
  </si>
  <si>
    <t>WOS:000750616800006</t>
  </si>
  <si>
    <t>Pegtel, DM; Cosmopoulos, K; Thorley-Lawson, DA; van Eijndhoven, MAJ; Hopmans, ES; Lindenberg, JL; de Gruijl, TD; Wurdinger, T; Middeldorp, JM</t>
  </si>
  <si>
    <t>Pegtel, D. Michiel; Cosmopoulos, Katherine; Thorley-Lawson, David A.; van Eijndhoven, Monique A. J.; Hopmans, Erik S.; Lindenberg, Jelle L.; de Gruijl, Tanja D.; Wurdinger, Thomas; Middeldorp, Jaap M.</t>
  </si>
  <si>
    <t>Functional delivery of viral miRNAs via exosomes</t>
  </si>
  <si>
    <t>intercellular communication; exosomes; Epstein-Barr virus; small RNA; gene repression</t>
  </si>
  <si>
    <t>EPSTEIN-BARR-VIRUS; DENDRITIC CELLS; IMMUNE-SYSTEM; MICRORNA EXPRESSION; ENCODED MICRORNAS; SMALL RNAS; EBV; MECHANISM; MICROVESICLES; PERSISTENCE</t>
  </si>
  <si>
    <t>Noncoding regulatorymicroRNAs (miRNAs) of cellular and viral origin control gene expression by repressing the translation of mRNAs into protein. Interestingly, miRNAs are secreted actively through small vesicles called exosomes that protect them from degradation by RNases, suggesting that these miRNAs may function outside the cell in which they were produced. Here we demonstrate that miRNAs secreted by EBV-infected cells are transferred to and act in uninfected recipient cells. Using a quantitative RT-PCR approach, we demonstrate thatmature EBV-encoded miRNAs are secreted by EBV-infected B cells through exosomes. These EBV-miRNAs are functional because internalization of exosomes by MoDCresults in a dose-dependent, miRNA-mediated repression of confirmed EBV target genes, including CXCL11/ITAC, an immunoregulatory gene down-regulated in primary EBVassociated lymphomas. We demonstrate that throughout coculture of EBV-infected B cells EBV-miRNAs accumulate in noninfected neighboring MoDC and show that this accumulation is mediated by transfer of exosomes. Thus, the exogenous EBV-miRNAs transferred through exosomes are delivered to subcellular sites of gene repression in recipient cells. Finally, we show in peripheral blood mononuclear cells from patients with increased EBV load that, although EBV DNA is restricted to the circulating B-cell population, EBV BART miRNAs are present in both B-cell and non-B-cell fractions, suggestive of miRNA transfer. Taken together our findings are consistent with miRNA-mediated gene silencing as a potential mechanism of intercellular communication between cells of the immune system that maybe exploited by the persistent human gamma-herpesvirus EBV.</t>
  </si>
  <si>
    <t>[Pegtel, D. Michiel; van Eijndhoven, Monique A. J.; Hopmans, Erik S.; Middeldorp, Jaap M.] Vrije Univ Amsterdam, Med Ctr, Canc Ctr Amsterdam, Dept Pathol, NL-1081 HV Amsterdam, Netherlands; [Cosmopoulos, Katherine; Thorley-Lawson, David A.] Tufts Univ, Sch Med, Dept Pathol, Boston, MA 02111 USA; [Wurdinger, Thomas] Vrije Univ Amsterdam, Med Ctr, Dept Neurosurg, Neurooncol Res Grp, NL-1081 HV Amsterdam, Netherlands; [Lindenberg, Jelle L.; de Gruijl, Tanja D.] Vrije Univ Amsterdam, Med Ctr, Dept Med Oncol, NL-1081 HV Amsterdam, Netherlands; [Wurdinger, Thomas] Harvard Univ, Sch Med, Massachusetts Gen Hosp, Mol Neurogenet Unit, Boston, MA 02115 USA</t>
  </si>
  <si>
    <t>University of Amsterdam; Vrije Universiteit Amsterdam; Tufts University; Vrije Universiteit Amsterdam; Vrije Universiteit Amsterdam; Harvard University; Massachusetts General Hospital</t>
  </si>
  <si>
    <t>Pegtel, DM (corresponding author), Vrije Univ Amsterdam, Med Ctr, Canc Ctr Amsterdam, Dept Pathol, NL-1081 HV Amsterdam, Netherlands.</t>
  </si>
  <si>
    <t>d.pegtel@vumc.nl</t>
  </si>
  <si>
    <t>Pegtel, Dirk Michiel/ABD-5481-2021; Pegtel, Dirk m/M-8393-2015; Wurdinger, Thomas/AAA-5645-2022</t>
  </si>
  <si>
    <t>Pegtel, Dirk Michiel/0000-0002-7357-4406; Pegtel, Dirk m/0000-0002-7357-4406; Middeldorp, Jaap Michiel/0000-0002-0765-4125</t>
  </si>
  <si>
    <t>10.1073/pnas.0914843107</t>
  </si>
  <si>
    <t>WOS:000276374400038</t>
  </si>
  <si>
    <t>Brown, L; Kessler, A; Cabezas-Sanchez, P; Luque-Garcia, JL; Casadevall, A</t>
  </si>
  <si>
    <t>Brown, Lisa; Kessler, Anne; Cabezas-Sanchez, Pablo; Luque-Garcia, Jose L.; Casadevall, Arturo</t>
  </si>
  <si>
    <t>Extracellular vesicles produced by the Gram-positive bacterium Bacillus subtilis are disrupted by the lipopeptide surfactin</t>
  </si>
  <si>
    <t>MOLECULAR MICROBIOLOGY</t>
  </si>
  <si>
    <t>OUTER-MEMBRANE VESICLES; CRYPTOCOCCUS-NEOFORMANS; ANTIBIOTIC SURFACTIN; SIZE DISTRIBUTION; PROTEIN; EXPORT; DNA</t>
  </si>
  <si>
    <t>Previously, extracellular vesicle production in Gram-positive bacteria was dismissed due to the absence of an outer membrane, where Gram-negative vesicles originate, and the difficulty in envisioning how such a process could occur through the cell wall. However, recent work has shown that Gram-positive bacteria produce extracellular vesicles and that the vesicles are biologically active. In this study, we show that Bacillus subtilis produces extracellular vesicles similar in size and morphology to other bacteria, characterized vesicles using a variety of techniques, provide evidence that these vesicles are actively produced by cells, show differences in vesicle production between strains, and identified a mechanism for such differences based on vesicle disruption. We found that in wild strains of B. subtilis, surfactin disrupted vesicles while in laboratory strains harbouring a mutation in the gene sfp, vesicles accumulated in the culture supernatant. Surfactin not only lysed B. subtilis vesicles, but also vesicles from Bacillus anthracis, indicating a mechanism that crossed species boundaries. To our knowledge, this is the first time a gene and a mechanism has been identified in the active disruption of extracellular vesicles and subsequent release of vesicular cargo in Gram-positive bacteria. We also identify a new mechanism of action for surfactin.</t>
  </si>
  <si>
    <t>[Brown, Lisa; Kessler, Anne; Casadevall, Arturo] Yeshiva Univ Albert Einstein Coll Med, Dept Microbiol &amp; Immunol, Bronx, NY 10461 USA; [Casadevall, Arturo] Yeshiva Univ Albert Einstein Coll Med, Dept Med, Bronx, NY 10461 USA; [Cabezas-Sanchez, Pablo; Luque-Garcia, Jose L.] Univ Complutense Madrid, Dept Analyt Chem, Madrid, Spain</t>
  </si>
  <si>
    <t>Yeshiva University; Albert Einstein College of Medicine; Yeshiva University; Albert Einstein College of Medicine; Complutense University of Madrid</t>
  </si>
  <si>
    <t>Brown, L (corresponding author), Yeshiva Univ Albert Einstein Coll Med, Dept Microbiol &amp; Immunol, 1300 Morris Pk Ave, Bronx, NY 10461 USA.</t>
  </si>
  <si>
    <t>Lisa.Brown@phd.einstein.yu.edu</t>
  </si>
  <si>
    <t>Luque-Garcia, Jose L/A-5624-2011; Brown, Lisa/U-8366-2019</t>
  </si>
  <si>
    <t>Luque-Garcia, Jose L/0000-0001-6273-0349; Brown, Lisa/0000-0002-7719-6596; Cabezas Sanchez, Pablo/0000-0003-2246-8539</t>
  </si>
  <si>
    <t>0950-382X</t>
  </si>
  <si>
    <t>1365-2958</t>
  </si>
  <si>
    <t>10.1111/mmi.12650</t>
  </si>
  <si>
    <t>Biochemistry &amp; Molecular Biology; Microbiology</t>
  </si>
  <si>
    <t>WOS:000339481300013</t>
  </si>
  <si>
    <t>Badovinac, D; Goricar, K; Zavrtanik, H; Petric, M; Lavrin, T; Mavec, N; Dolzan, V; Tomazic, A; Lenassi, M</t>
  </si>
  <si>
    <t>Badovinac, David; Goricar, Katja; Zavrtanik, Hana; Petric, Miha; Lavrin, Teja; Mavec, Nina; Dolzan, Vita; Tomazic, Ales; Lenassi, Metka</t>
  </si>
  <si>
    <t>Plasma Extracellular Vesicle Characteristics Correlate with Tumor Differentiation and Predict Overall Survival in Patients with Pancreatic Ductal Adenocarcinoma Undergoing Surgery with Curative Intent</t>
  </si>
  <si>
    <t>JOURNAL OF PERSONALIZED MEDICINE</t>
  </si>
  <si>
    <t>pancreatic cancer; extracellular vesicles; nanoparticle-tracking analysis; tumor differentiation; overall survival; plasma biomarkers; liquid biopsy</t>
  </si>
  <si>
    <t>CANCER; EXOSOMES; BIOMARKER; PROGNOSIS; PLATFORM; DNA</t>
  </si>
  <si>
    <t>Better preoperative characterization of patients with pancreatic ductal adenocarcinoma (PDAC) would aid in treatment optimization. Extracellular vesicles (EV) are promising, largely unexplored biomarkers in PDAC. This study aimed to evaluate if plasma EV characteristics are associated with PDAC clinical characteristics and overall survival (OS). The prospective cohort included 34 PDAC patients undergoing surgery with curative intent. Patient data and plasma samples were collected preoperatively, intraoperatively and one month postoperatively. Small plasma EV (sEV) concentration and size were determined by nanoparticle-tracking analysis. A Mann-Whitney test, Spearman's rho and Cox regression were used in statistical analysis. Preoperatively, patients with poorly differentiated tumors had significantly larger plasma sEVs when compared to patients with well/moderately differentiated tumors (mean diameter 176.9 vs. 149.2 nm, p = 0.021), the sEV size even enabling discrimination of the two groups (AUC = 0.742, 95% CI = 0.560-0.923). Plasma sEV characteristics were also a predictor of OS in multivariable analysis. Patients with a more than 33.8% increase in sEV concentration after one month had 7.2 months shorter median OS (p = 0.002), while patients with a more than 28.0% decrease in sEV size had 9.2 months shorter median OS (p = 0.045). Plasma sEV concentration and size correlate with tumor differentiation and may predict OS in PDAC patients. In the future, plasma sEV characteristics could contribute to improved patient stratification for optimized treatment.</t>
  </si>
  <si>
    <t>[Badovinac, David; Zavrtanik, Hana; Petric, Miha; Tomazic, Ales] Univ Med Ctr Ljubljana, Dept Abdominal Surg, Zaloska 7, Ljubljana 1000, Slovenia; [Goricar, Katja; Lavrin, Teja; Mavec, Nina; Dolzan, Vita; Lenassi, Metka] Univ Ljubljana, Fac Med, Inst Biochem &amp; Mol Genet, Vrazov Trg 2, Ljubljana 1000, Slovenia; [Tomazic, Ales] Univ Ljubljana, Fac Med, Dept Surg, Zaloska 7, Ljubljana 1000, Slovenia</t>
  </si>
  <si>
    <t>University Medical Centre Ljubljana; University of Ljubljana; University of Ljubljana</t>
  </si>
  <si>
    <t>Tomazic, A (corresponding author), Univ Med Ctr Ljubljana, Dept Abdominal Surg, Zaloska 7, Ljubljana 1000, Slovenia.;Lenassi, M (corresponding author), Univ Ljubljana, Fac Med, Inst Biochem &amp; Mol Genet, Vrazov Trg 2, Ljubljana 1000, Slovenia.;Tomazic, A (corresponding author), Univ Ljubljana, Fac Med, Dept Surg, Zaloska 7, Ljubljana 1000, Slovenia.</t>
  </si>
  <si>
    <t>david.badovinac@kclj.si; katja.goricar@mf.uni-lj.si; hana.zavrtanik@kclj.si; miha.petric@kclj.si; teja.lavrin@mf.uni-lj.si; nina.mavec@yahoo.com; vita.dolzan@mf.uni-lj.si; ales.tomazic@kclj.si; metka.lenassi@mf.uni-lj.si</t>
  </si>
  <si>
    <t>Lavrin, Teja/0000-0001-9109-6797; Tomazic, Ales/0000-0002-1063-8636; Dolzan, Vita/0000-0001-6707-6649; Zavrtanik, Hana/0000-0003-0469-3978; Badovinac, David/0000-0002-7814-1239</t>
  </si>
  <si>
    <t>2075-4426</t>
  </si>
  <si>
    <t>10.3390/jpm11020077</t>
  </si>
  <si>
    <t>Health Care Sciences &amp; Services; Medicine, General &amp; Internal</t>
  </si>
  <si>
    <t>Health Care Sciences &amp; Services; General &amp; Internal Medicine</t>
  </si>
  <si>
    <t>WOS:000622686500001</t>
  </si>
  <si>
    <t>Kontopoulou, E; Strachan, S; Reinhardt, K; Kunz, F; Walter, C; Walkenfort, B; Jastrow, H; Hasenberg, M; Giebel, B; von Neuhoff, N; Reinhardt, D; Thakur, BK</t>
  </si>
  <si>
    <t>Kontopoulou, Evangelia; Strachan, Sarah; Reinhardt, Katarina; Kunz, Fabienne; Walter, Christiane; Walkenfort, Bernd; Jastrow, Holger; Hasenberg, Mike; Giebel, Bernd; von Neuhoff, Nils; Reinhardt, Dirk; Thakur, Basant Kumar</t>
  </si>
  <si>
    <t>Evaluation of dsDNA from extracellular vesicles (EVs) in pediatric AML diagnostics</t>
  </si>
  <si>
    <t>ANNALS OF HEMATOLOGY</t>
  </si>
  <si>
    <t>Acute myeloid leukemia; EVs; dsDNA; Mutational detection; Pediatrics</t>
  </si>
  <si>
    <t>ACUTE MYELOID-LEUKEMIA; MINIMAL RESIDUAL DISEASE; DOUBLE-STRANDED DNA; HORIZONTAL TRANSFER; EXOSOMES; BIOMARKER; NICHE; KRAS</t>
  </si>
  <si>
    <t>Acute myeloid leukemia (AML) is a heterogeneous malignant disease characterized by a collection of genetic and epigenetic changes. As a consequence, AML can evolve towards more aggressive subtypes during treatment, which require additional therapies to prevent future relapse. As we have previously detected double-stranded DNA (dsDNA) in tumor-derived extracellular vesicles (EVs), in this current study we attempted to evaluate the potential diagnostic applications of AML EV-dsDNA derived from primary bone marrow and peripheral blood plasma samples. EVs from plasma of 29 pediatric AML patients (at initial diagnosis or during treatment) were isolated by ultracentrifugation, after which dsDNA was extracted from obtained EVs and analyzed for leukemia-specific mutations using next generation sequencing (NGS) and GeneScan-based fragment-length analysis. In 18 out of 20 patients, dsDNA harvested from EVs mirrored the (leukemia-specific) mutations found in the genomic DNA obtained from primary leukemia cells. In the nanoparticle tracking analysis (NTA), a decrease in EV numbers was observed in patients after treatment compared with initial diagnosis. Following treatment, in 75 samples out of the 79, these mutations were no longer detectable in EV-dsDNA. In light of our results, we propose the use of leukemia-derived EV-dsDNA as an additional measure for mutational status and, potentially, treatment response in pediatric AML.</t>
  </si>
  <si>
    <t>[Kontopoulou, Evangelia; Strachan, Sarah; Reinhardt, Katarina; Kunz, Fabienne; Walter, Christiane; von Neuhoff, Nils; Reinhardt, Dirk; Thakur, Basant Kumar] Univ Childrens Hosp, Univ Hosp Essen, Dept Pediat Hematol &amp; Oncol, Hufelandstr 55, D-45147 Essen, Germany; [Walkenfort, Bernd; Hasenberg, Mike] Univ Hosp Essen, Imaging Ctr Essen, Electron Microscopy Unit, Essen, Germany; [Jastrow, Holger] Univ Hosp Essen, Inst Anat, Essen, Germany; [Giebel, Bernd] Univ Hosp Essen, Inst Transfus Med, Essen, Germany</t>
  </si>
  <si>
    <t>University of Duisburg Essen; University of Hamburg; University Medical Center Hamburg-Eppendorf; University of Duisburg Essen; University of Duisburg Essen; University of Duisburg Essen</t>
  </si>
  <si>
    <t>Thakur, BK (corresponding author), Univ Childrens Hosp, Univ Hosp Essen, Dept Pediat Hematol &amp; Oncol, Hufelandstr 55, D-45147 Essen, Germany.</t>
  </si>
  <si>
    <t>basant-kumar.thakur@uk-essen.de</t>
  </si>
  <si>
    <t>Reinhardt, Dirk/N-7003-2016; Giebel, Bernd/AAH-1083-2021</t>
  </si>
  <si>
    <t>Reinhardt, Dirk/0000-0002-7027-4483; Giebel, Bernd/0000-0003-2446-948X; Thakur, Barun Kumar/0000-0002-1713-9186; Walkenfort, Bernd/0000-0002-7789-3340</t>
  </si>
  <si>
    <t>0939-5555</t>
  </si>
  <si>
    <t>1432-0584</t>
  </si>
  <si>
    <t>10.1007/s00277-019-03866-w</t>
  </si>
  <si>
    <t>WOS:000518506700007</t>
  </si>
  <si>
    <t>Ariyoshi, K; Miura, T; Kasai, K; Fujishima, Y; Nakata, A; Yoshida, M</t>
  </si>
  <si>
    <t>Ariyoshi, Kentaro; Miura, Tomisato; Kasai, Kosuke; Fujishima, Yohei; Nakata, Akifumi; Yoshida, Mitsuaki</t>
  </si>
  <si>
    <t>Radiation-Induced Bystander Effect is Mediated by Mitochondrial DNA in Exosome-Like Vesicles</t>
  </si>
  <si>
    <t>IONIZING-RADIATION; IN-VIVO; EXTRACELLULAR VESICLES; INDUCTION; RESPONSES; DAMAGE; IRRADIATION; AUTOPHAGY; PLASMA; INFLAMMATION</t>
  </si>
  <si>
    <t>Exosome-like vesicles (ELV) are involved in mediating radiation-induced bystander effect (RIBE). Here, we used ELV from control cell conditioned medium (CCCM) and from 4 Gy of X-ray irradiated cell conditioned medium (ICCM), which has been used to culture normal human fibroblast cells to examine the possibility of ELV mediating RIBE signals. We investigated whether ELV from 4 Gy irradiated mouse serum mediate RIBE signals. Induction of DNA damage was observed in cells that were treated with ICCM ELV and ELV from 4 Gy irradiated mouse serum. In addition, we treated CCCM ELV and ICCM ELV with RNases, DNases, and proteinases to determine which component of ELV is responsible for RIBE. Induction of DNA damage by ICCM ELV was not observed after treatment with DNases. After treatment, DNA damages were not induced in CCCM ELV or ICCM ELV from mitochondria depleted (rho 0) normal human fibroblast cells. Further, we found significant increase in mitochondrial DNA (mtDNA) in ICCM ELV and ELV from 4 Gy irradiated mouse serum. ELV carrying amplified mtDNA (ND1, ND5) induced DNA damage in treated cells. These data suggest that the secretion of mtDNA through exosomes is involved in mediating RIBE signals.</t>
  </si>
  <si>
    <t>[Ariyoshi, Kentaro; Yoshida, Mitsuaki] Hirosaki Univ, Inst Radiat Emergency Med, Dept Radiat Biol, 66-1 Hon Cho, Hirosaki, Aomori 0368564, Japan; [Miura, Tomisato; Kasai, Kosuke; Fujishima, Yohei] Hirosaki Univ, Grad Sch Hlth Sci, Dept Biomed Sci, 66-1 Hon Cho, Hirosaki, Aomori 0368564, Japan; [Nakata, Akifumi] Hokkaido Pharmaceut Univ, Sch Pharm, Dept Basic Pharm, Teine Ku, Maeda 7 Jo 15-4-1, Sapporo, Hokkaido 0068590, Japan</t>
  </si>
  <si>
    <t>Ariyoshi, K; Yoshida, M (corresponding author), Hirosaki Univ, Inst Radiat Emergency Med, Dept Radiat Biol, 66-1 Hon Cho, Hirosaki, Aomori 0368564, Japan.</t>
  </si>
  <si>
    <t>ariyoshi@hirosaki-u.ac.jp; myoshida@hirosaki-u.ac.jp</t>
  </si>
  <si>
    <t>Nakata, Akifumi/F-5488-2013; Miura, Tomisato/F-1289-2013; Ariyoshi, Kentaro/L-8742-2018</t>
  </si>
  <si>
    <t>Nakata, Akifumi/0000-0002-8728-1655; Miura, Tomisato/0000-0003-3104-2134; Ariyoshi, Kentaro/0000-0002-4639-6130</t>
  </si>
  <si>
    <t>JUN 24</t>
  </si>
  <si>
    <t>10.1038/s41598-019-45669-z</t>
  </si>
  <si>
    <t>WOS:000472597400006</t>
  </si>
  <si>
    <t>Sha, LJ; Bo, B; Yang, F; Li, JY; Cao, Y; Zhao, J</t>
  </si>
  <si>
    <t>Sha, Lingjun; Bo, Bing; Yang, Fan; Li, Jiayu; Cao, Ya; Zhao, Jing</t>
  </si>
  <si>
    <t>Programmable DNA-Fueled Electrochemical Analysis of Lung Cancer Exosomes</t>
  </si>
  <si>
    <t>CRISPR-CAS12A</t>
  </si>
  <si>
    <t>Molecular diagnostics devoted to discover and monitor new biomarkers is gaining increasing attention in clinical diagnosis. In this work, a programmable DNA-fueled electrochemical analysis strategy is designed for the determination of an emerging biomarker in lung cancer, PD-L1-expressing exosomes. Specifically, PD-L1-expressing exosomes are first enriched onto magnetic beads functionalized with PD-L1 antibody and are able to interact with cholesterol-modified hairpin templates. Then, programmable DNA synthesis starts from the hairpin templatetriggered primer exchange reaction and generates a large number of extension products to activate the trans-cleavage activity of CRISPR-Cas12a. After that, CRISPR-Cas12a-catalyzed random cleavage boosts the degradation of methylene blue-labeled signaling strands, so electro-active methylene blue molecules can be enriched onto a cucurbit[7]uril-modified electrode for quantitative determination. Our method demonstrates high sensitivity and specificity toward electrochemical analysis of PD-L1-expressing exosomes in the range from 10(3) to 10(9) particles mL(-1) with a low detection limit of 708 particles mL(-1). When applied to clinical samples, our method reveals an elevated level of circulating PD-L1expressing exosomes in lung cancer patients, especially for those at the advanced stages. Therefore, our method may provide new insight into liquid biopsy for better implementation of immunotherapy in lung cancer in the future.</t>
  </si>
  <si>
    <t>[Sha, Lingjun; Yang, Fan; Cao, Ya; Zhao, Jing] Shanghai Univ, Affiliated Nantong Hosp, Peoples Hosp Nantong 6, Sch Med,Inst Geriatr, Nantong 226011, Peoples R China; [Sha, Lingjun; Cao, Ya; Zhao, Jing] Shanghai Univ, Ctr Mol Recognit &amp; Biosensing, Shanghai Engn Res Ctr Organ Repair, Sch Life Sci, Shanghai 200444, Peoples R China; [Bo, Bing; Li, Jiayu] Tongji Univ, Shanghai Pulm Hosp, Dept Med Oncol, Sch Med, Shanghai 200433, Peoples R China; [Bo, Bing; Li, Jiayu] Tongji Univ, Thorac Canc Inst, Sch Med, Shanghai 200433, Peoples R China</t>
  </si>
  <si>
    <t>Shanghai University; Shanghai University; Tongji University; Tongji University</t>
  </si>
  <si>
    <t>Cao, Y; Zhao, J (corresponding author), Shanghai Univ, Affiliated Nantong Hosp, Peoples Hosp Nantong 6, Sch Med,Inst Geriatr, Nantong 226011, Peoples R China.;Cao, Y; Zhao, J (corresponding author), Shanghai Univ, Ctr Mol Recognit &amp; Biosensing, Shanghai Engn Res Ctr Organ Repair, Sch Life Sci, Shanghai 200444, Peoples R China.</t>
  </si>
  <si>
    <t>conezimint@shu.edu.cn; jingzhao@t.shu.edu.cn</t>
  </si>
  <si>
    <t>Zhao, Jing/0000-0001-6424-3085</t>
  </si>
  <si>
    <t>10.1021/acs.analchem.2c01318</t>
  </si>
  <si>
    <t>WOS:000835610000001</t>
  </si>
  <si>
    <t>Kim, MJ; Kim, KP; Choi, E; Yim, JH; Choi, C; Yun, HS; Ahn, HY; Oh, JY; Cho, Y</t>
  </si>
  <si>
    <t>Kim, Mi-Ju; Kim, Kun-Pyo; Choi, Eunhye; Yim, June-Hyuck; Choi, Chunpil; Yun, Hyun-Sun; Ahn, Hee-Yoon; Oh, Ji-Young; Cho, Yunhi</t>
  </si>
  <si>
    <t>Effects of Lactobacillus plantarum CJLP55 on Clinical Improvement, Skin Condition and Urine Bacterial Extracellular Vesicles in Patients with Acne Vulgaris: A Randomized, Double-Blind, Placebo-Controlled Study</t>
  </si>
  <si>
    <t>NUTRIENTS</t>
  </si>
  <si>
    <t>Lactobacillus plantarum CJLP55; acne vulgaris; sebum; hydration; urine bacterial extracellular vesicles</t>
  </si>
  <si>
    <t>GUT MICROBIOTA; ATOPIC-DERMATITIS; PROBIOTICS; STRAINS; ACID; SUPPLEMENTATION; EXPRESSION; RESISTANCE; CERAMIDE; PATHWAY</t>
  </si>
  <si>
    <t>Lactobacillus plantarum CJLP55 has anti-pathogenic bacterial and anti-inflammatory activities in vitro. We investigated the dietary effect of CJLP55 supplement in patients with acne vulgaris, a prevalent inflammatory skin condition. Subjects ingested CJLP55 or placebo (n = 14 per group) supplements for 12 weeks in this double-blind, placebo-controlled randomized study. Acne lesion count and grade, skin sebum, hydration, pH and surface lipids were assessed. Metagenomic DNA analysis was performed on urine extracellular vesicles (EV), which indirectly reflect systemic bacterial flora. Compared to the placebo supplement, CJLP55 supplement improved acne lesion count and grade, decreased sebum triglycerides (TG), and increased hydration and ceramide 2, the major ceramide species that maintains the epidermal lipid barrier for hydration. In addition, CJLP55 supplement decreased the prevalence of Proteobacteria and increased Firmicutes, which were correlated with decreased TG, the major skin surface lipid of sebum origin. CJLP55 supplement further decreased the Bacteroidetes:Firmicutes ratio, a relevant marker of bacterial dysbiosis. No differences in skin pH, other skin surface lipids or urine bacterial EV phylum were noted between CJLP55 and placebo supplements. Dietary Lactobacillus plantarum CJLP55 was beneficial to clinical state, skin sebum, and hydration and urine bacterial EV phylum flora in patients with acne vulgaris.</t>
  </si>
  <si>
    <t>[Kim, Mi-Ju; Kim, Kun-Pyo; Choi, Eunhye; Cho, Yunhi] Kyung Hee Univ, Grad Sch East West Med Sci, Dept Med Nutr, Yongin 17104, Gyeongggi Do, South Korea; [Yim, June-Hyuck] Kyung Hee Univ, Dept Dermatol, Med Ctr, Seoul 02447, South Korea; [Choi, Chunpil] Skyfeel Dermatol Clin, Seoul 06020, South Korea; [Yun, Hyun-Sun; Ahn, Hee-Yoon; Oh, Ji-Young] CJ CheilJedang Corp, CJ Foods R&amp;D Ctr, Suwon 16495, Gyeongggi Do, South Korea</t>
  </si>
  <si>
    <t>Kyung Hee University; Kyung Hee University</t>
  </si>
  <si>
    <t>Cho, Y (corresponding author), Kyung Hee Univ, Grad Sch East West Med Sci, Dept Med Nutr, Yongin 17104, Gyeongggi Do, South Korea.</t>
  </si>
  <si>
    <t>miju0522@gmail.com; kunpyokim@gmail.com; eunhye960718@naver.com; aag0001@naver.com; laure102@nate.com; hs.yun@cj.net; hy.ahn@cj.net; jy.oh@cj.net; choyunhi@khu.ac.kr</t>
  </si>
  <si>
    <t>2072-6643</t>
  </si>
  <si>
    <t>10.3390/nu13041368</t>
  </si>
  <si>
    <t>Nutrition &amp; Dietetics</t>
  </si>
  <si>
    <t>WOS:000643355700001</t>
  </si>
  <si>
    <t>Jeyaram, A; Lamichhane, TN; Wang, S; Zou, L; Dahal, E; Kronstadt, SM; Levy, D; Parajuli, B; Knudsen, DR; Chao, W; Jay, SM</t>
  </si>
  <si>
    <t>Jeyaram, Anjana; Lamichhane, Tek N.; Wang, Sheng; Zou, Lin; Dahal, Eshan; Kronstadt, Stephanie M.; Levy, Daniel; Parajuli, Babita; Knudsen, Daphne R.; Chao, Wei; Jay, Steven M.</t>
  </si>
  <si>
    <t>Enhanced Loading of Functional miRNA Cargo via pH Gradient Modification of Extracellular Vesicles</t>
  </si>
  <si>
    <t>MOLECULAR THERAPY</t>
  </si>
  <si>
    <t>LARGE UNILAMELLAR VESICLES; EXOSOME-MEDIATED DELIVERY; IN-VITRO; ENDOTHELIAL-CELLS; SEPSIS; LIPOSOMES; SIRNA; ELECTROPORATION; DOXORUBICIN; RNA</t>
  </si>
  <si>
    <t>Based on their identification as physiological nucleic acid carriers in humans and other organisms, extracellular vesicles (EVs) have been explored as therapeutic delivery vehicles for DNA, RNA, and other cargo. However, efficient loading and functional delivery of nucleic acids remain a challenge, largely because of potential sources of degradation and aggregation. Here, we report that protonation of EVs to generate a pH gradient across EV membranes can be utilized to enhance vesicle loading of nucleic acid cargo, specifically microRNA (miRNA), small interfering RNA (siRNA), and single-stranded DNA (ssDNA). The loading process did not impair cellular uptake of EVs, nor did it promote any significant EV-induced toxicity response in mice. Cargo functionality was verified by loading HEK293T EVs with either pro- or anti-inflammatory miRNAs and observing the effective regulation of corresponding cellular cytokine levels. Critically, this loading increase is comparable with what can be accomplished by methods such as sonication and electroporation, and is achievable without the introduction of energy associated with these methods that can potentially damage labile nucleic acid cargo.</t>
  </si>
  <si>
    <t>[Jeyaram, Anjana; Lamichhane, Tek N.; Dahal, Eshan; Kronstadt, Stephanie M.; Levy, Daniel; Parajuli, Babita; Jay, Steven M.] Univ Maryland, Fischell Dept Bioengn, 3116 A James Clark Hall,8278 Paint Branch Dr, College Pk, MD 20742 USA; [Wang, Sheng; Zou, Lin; Chao, Wei] Univ Maryland, Sch Med, Dept Anesthesiol, Translat Res Program, Baltimore, MD 21201 USA; [Wang, Sheng; Zou, Lin; Chao, Wei] Univ Maryland, Sch Med, Ctr Shock Trauma Anesthesiol Res, Baltimore, MD 21201 USA; [Knudsen, Daphne R.; Jay, Steven M.] Univ Maryland, Program Mol &amp; Cell Biol, College Pk, MD 20742 USA</t>
  </si>
  <si>
    <t>University System of Maryland; University of Maryland College Park; University System of Maryland; University of Maryland Baltimore; University System of Maryland; University of Maryland Baltimore; University System of Maryland; University of Maryland College Park</t>
  </si>
  <si>
    <t>Jay, SM (corresponding author), Univ Maryland, Fischell Dept Bioengn, 3116 A James Clark Hall,8278 Paint Branch Dr, College Pk, MD 20742 USA.</t>
  </si>
  <si>
    <t>Jay, Steven/ABD-4344-2021; Wang, Sheng/Q-3708-2016</t>
  </si>
  <si>
    <t>Jay, Steven/0000-0002-3827-5988; Wang, Sheng/0000-0002-5625-403X; Chao, Wei/0000-0002-2505-1360; Knudsen, Daphne/0000-0001-5745-1185</t>
  </si>
  <si>
    <t>1525-0016</t>
  </si>
  <si>
    <t>1525-0024</t>
  </si>
  <si>
    <t>10.1016/j.ymthe.2019.12.007</t>
  </si>
  <si>
    <t>WOS:000518887200025</t>
  </si>
  <si>
    <t>Heydari, S; Siavoshi, F; Jazayeri, MH; Sarrafnejad, A; Saniee, P</t>
  </si>
  <si>
    <t>Heydari, Samira; Siavoshi, Farideh; Jazayeri, Mir Hadi; Sarrafnejad, Abdolfattah; Saniee, Parastoo</t>
  </si>
  <si>
    <t>Helicobacter pylorirelease from yeast as a vesicle-encased or free bacterium</t>
  </si>
  <si>
    <t>HELICOBACTER</t>
  </si>
  <si>
    <t>freeH pylori; release; vesicle-encasedH pylori; yeast</t>
  </si>
  <si>
    <t>HOST-CELL EXIT; EXTRACELLULAR VESICLES; CRYPTOCOCCUS-NEOFORMANS; CANDIDA YEAST; PYLORI; EXOSOMES; MICROVESICLES; SEPARATION; MEMBRANE; PROTEINS</t>
  </si>
  <si>
    <t>Background Yeast has been suggested as a potent reservoir ofH pylorithat facilitates bacterial spread within human populations. What mechanism ensures effectiveH pylorirelease from yeast? Here,H pylorirelease from yeast as a vesicle-encased or free bacterium was studied. Materials and methods Liquid culture ofCandidayeast was examined by light, fluorescence and transmission electron microscopy methods to observe the released vesicles. Vesicles were isolated and examined by TEM. Immunogold labeling was used for detection ofH pylori-specific proteins in vesicles' membrane. Free bacterial cells, released from yeast, were separated by immunomagnetic separation and observed by field emission scanning electron microscopy (FESEM). DNA of bead-bound bacteria was used for amplification ofH pylori-16S rDNA. Viability of bead-bound bacteria was examined by live/dead stain and cultivation on Brucella blood agar. Results Microscopic observations showed that vesicles contained bacterium-like structures. Thin sections showed release of vesicle-encased or free bacterium from yeast. Immunogold labeling revealed occurrence ofH pyloriproteins in vesicles' membrane. FESEM showed attachment ofH pyloricells to magnetic beads. Sequencing of 521 bp PCR product confirmed the identity of bead-boundH pylori. Live/dead staining showed viability of bead-boundH pyloribut the result of culture was negative. Conclusions Escape of intracellularH pylorifrom yeast as a membrane-bound or free bacterium indicates thatH pyloriuses safe exit mechanisms that do not damage the host which is the principle of symbiotic associations. In human stomach, certain conditions may stimulate yeast cells to releaseH pylorias a vesicle-encased or free bacterium.</t>
  </si>
  <si>
    <t>[Heydari, Samira; Siavoshi, Farideh] Univ Tehran, Univ Coll Sci, Sch Biol, Dept Microbiol, Tehran, Iran; [Jazayeri, Mir Hadi] Iran Univ Med Sci, Dept Immunol, Fac Med Sci, Tehran, Iran; [Jazayeri, Mir Hadi] Iran Univ Med Sci, Immunol Res Ctr, Tehran, Iran; [Sarrafnejad, Abdolfattah] Univ Tehran Med Sci, Sch Publ Hlth, Dept Immunol, Tehran, Iran; [Saniee, Parastoo] Shahid Beheshti Univ, Fac Life Sci &amp; Biotechnol, Dept Microbiol &amp; Microbial Biotechnol, Tehran, Iran</t>
  </si>
  <si>
    <t>University of Tehran; Iran University of Medical Sciences; Iran University of Medical Sciences; Tehran University of Medical Sciences; Shahid Beheshti University</t>
  </si>
  <si>
    <t>Siavoshi, F (corresponding author), Univ Tehran, Univ Coll Sci, Sch Biol, Dept Microbiol, Tehran, Iran.</t>
  </si>
  <si>
    <t>Siavoshi@khayam.ut.ac.ir</t>
  </si>
  <si>
    <t>Heydari, Samira/ABI-6111-2020</t>
  </si>
  <si>
    <t>1083-4389</t>
  </si>
  <si>
    <t>1523-5378</t>
  </si>
  <si>
    <t>e12725</t>
  </si>
  <si>
    <t>10.1111/hel.12725</t>
  </si>
  <si>
    <t>Gastroenterology &amp; Hepatology; Microbiology</t>
  </si>
  <si>
    <t>WOS:000548251100001</t>
  </si>
  <si>
    <t>Morrison, KE; Stenson, AF; Marx-Rattner, R; Carter, S; Michopoulos, V; Gillespie, CF; Powers, A; Huang, WL; Kane, MA; Jovanovic, T; Bale, TL</t>
  </si>
  <si>
    <t>Morrison, Kathleen E.; Stenson, Anais F.; Marx-Rattner, Ruth; Carter, Sierra; Michopoulos, Vasiliki; Gillespie, Charles F.; Powers, Abigail; Huang, Weiliang; Kane, Maureen A.; Jovanovic, Tanja; Bale, Tracy L.</t>
  </si>
  <si>
    <t>Developmental Timing of Trauma in Women Predicts Unique Extracellular Vesicle Proteome Signatures</t>
  </si>
  <si>
    <t>BIOLOGICAL PSYCHIATRY</t>
  </si>
  <si>
    <t>POSTTRAUMATIC-STRESS-DISORDER; CHILDHOOD MALTREATMENT; MITOCHONDRIAL-DNA; MEMBRANE-VESICLES; BRAIN; PTSD; ASSOCIATION; RESPONSES; EXOSOMES; EXPOSURE</t>
  </si>
  <si>
    <t>BACKGROUND: Exposure to traumatic events is a risk factor for negative physical and mental health outcomes. However, the underlying biological mechanisms that perpetuate these lasting effects are not known. METHODS: We investigated the impact and timing of sexual trauma, a specific type of interpersonal violence, experienced during key developmental windows of childhood, adolescence, or adulthood on adult health outcomes and associated biomarkers, including circulating cell-free mitochondrial DNA levels and extracellular vesicles (EVs), in a predominantly Black cohort of women (N = 101). RESULTS: Significant changes in both biomarkers examined, circulating cell-free mitochondrial DNA levels and EV proteome, were specific to developmental timing of sexual trauma. Specifically, we identified a large number of keratin-related proteins from EVs unique to the adolescent sexual trauma group. Remarkably, the majority of these keratin proteins belong to a 17q21 gene cluster, which suggests a potential local epigenetic regulatory mechanism altered by adolescent trauma to impact keratinocyte EV secretion or its protein cargo. These results, along with changes in fear-potentiated startle and skin conductance detected in these women, suggest that sexual violence experienced during the specific developmental window of adolescence may involve unique programming of the skin, the body's largest stress organ. CONCLUSIONS: Together, these descriptive studies provide novel insight into distinct biological processes altered by trauma experienced during specific developmental windows. Future studies will be required to mechanistically link these biological processes to health outcomes.</t>
  </si>
  <si>
    <t>[Morrison, Kathleen E.; Marx-Rattner, Ruth; Bale, Tracy L.] Univ Maryland, Sch Med, Dept Pharmacol, Baltimore, MD 21201 USA; [Morrison, Kathleen E.; Marx-Rattner, Ruth; Bale, Tracy L.] Univ Maryland, Sch Med, Ctr Epigenet Res Child Hlth &amp; Brain Dev, Baltimore, MD 21201 USA; [Huang, Weiliang; Kane, Maureen A.] Univ Maryland, Sch Pharm, Dept Pharmaceut Sci, Baltimore, MD USA; [Stenson, Anais F.; Jovanovic, Tanja] Wayne State Univ, Dept Psychiat &amp; Behav Neurosci, Detroit, MI USA; [Carter, Sierra] Georgia State Univ, Dept Psychol, Univ Plaza, Atlanta, GA 30303 USA; [Michopoulos, Vasiliki; Gillespie, Charles F.; Powers, Abigail] Emory Univ, Dept Psychiat &amp; Behav Sci, Atlanta, GA 30322 USA</t>
  </si>
  <si>
    <t>University System of Maryland; University of Maryland Baltimore; University System of Maryland; University of Maryland Baltimore; University System of Maryland; University of Maryland Baltimore; Wayne State University; University System of Georgia; Georgia State University; Emory University</t>
  </si>
  <si>
    <t>Bale, TL (corresponding author), Univ Maryland, Sch Med, Dept Pharmacol, Baltimore, MD 21201 USA.;Bale, TL (corresponding author), Univ Maryland, Sch Med, Ctr Epigenet Res Child Hlth &amp; Brain Dev, Baltimore, MD 21201 USA.</t>
  </si>
  <si>
    <t>tbale@som.umaryland.edu</t>
  </si>
  <si>
    <t>Morrison, Kathleen/AAS-4860-2021; Lott, Abigail/ADO-0388-2022; Michopoulos, Vasiliki/C-7342-2014</t>
  </si>
  <si>
    <t>Morrison, Kathleen/0000-0002-3665-4757; Michopoulos, Vasiliki/0000-0003-2531-923X; Gillespie, Charles/0000-0001-5476-5920</t>
  </si>
  <si>
    <t>0006-3223</t>
  </si>
  <si>
    <t>1873-2402</t>
  </si>
  <si>
    <t>10.1016/j.biopsych.2021.08.003</t>
  </si>
  <si>
    <t>Neurosciences; Psychiatry</t>
  </si>
  <si>
    <t>Neurosciences &amp; Neurology; Psychiatry</t>
  </si>
  <si>
    <t>WOS:000746060000008</t>
  </si>
  <si>
    <t>Molecular diagnostics devoted to discover and monitor new biomarkers is gaining increasing attention in clinical diagnosis. In this work, a programmable DNA-fueled electrochemical analysis strategy is designed for the determination of an emerging biomarker in lung cancer, PD-L1-expressing exosomes. Specifically, PD-L1-expressing exosomes are first enriched onto magnetic beads functionalized with PD-L1 antibody and are able to interact with cholesterol-modified hairpin templates. Then, programmable DNA synthesis starts from the hairpin template-triggered primer exchange reaction and generates a large number of extension products to activate the trans-cleavage activity of CRISPR-Cas12a. After that, CRISPR-Cas12a-catalyzed random cleavage boosts the degradation of methylene blue-labeled signaling strands, so electro-active methylene blue molecules can be enriched onto a cucurbit[7]uril-modified electrode for quantitative determination. Our method demonstrates high sensitivity and specificity toward electrochemical analysis of PD-L1-expressing exosomes in the range from 10(3) to 10(9) particles mL(-1) with a low detection limit of 708 particles mL(-1). When applied to clinical samples, our method reveals an elevated level of circulating PD-L1-expressing exosomes in lung cancer patients, especially for those at the advanced stages. Therefore, our method may provide new insight into liquid biopsy for better implementation of immunotherapy in lung cancer in the future.</t>
  </si>
  <si>
    <t>[Sha, Lingjun; Yang, Fan; Cao, Ya; Zhao, Jing] Shanghai Univ, Affiliated Nantong Hosp, Peoples Hosp Nantong 6, Sch Med,Inst Geriatr, Nantong 226011, Peoples R China; [Sha, Lingjun; Cao, Ya; Zhao, Jing] Shanghai Univ, Ctr Mol Recognit &amp; Biosensing, Shanghai Engn Res Ctr Organ Repair, Sch Life Sci, Shanghai 200444, Peoples R China; [Bo, Bing; Li, Jiayu] Tongji Univ, Shanghai Pulm Hosp, Dept Med Oncol, Sch Med, Shanghai 200433, Peoples R China; [Bo, Bing; Li, Jiayu] Tongji Univ, Thorac Canc Inst, Dept Med Oncol, Sch Med, Shanghai 200433, Peoples R China</t>
  </si>
  <si>
    <t>WOS:000820970700001</t>
  </si>
  <si>
    <t>Andre, MD; Pedro, A; Lyden, D</t>
  </si>
  <si>
    <t>Rueff, J; Rodrigues, AS</t>
  </si>
  <si>
    <t>Andre, Maria do Rosario; Pedro, Ana; Lyden, David</t>
  </si>
  <si>
    <t>Cancer Exosomes as Mediators of Drug Resistance</t>
  </si>
  <si>
    <t>CANCER DRUG RESISTANCE: OVERVIEWS AND METHODS</t>
  </si>
  <si>
    <t>Tumor microenvironment; Pre-metastatic niche; Tumor-derived exosomes; Drug resistance; Cell culture; Plasma; NanoSight microscope; Electron microscopy</t>
  </si>
  <si>
    <t>INTERSTITIAL FLUID PRESSURE; SOLID TUMORS; CELL INFILTRATION; GROWTH; PROLIFERATION; MICROVESICLES; BIOGENESIS; EXPRESSION; MECHANISM; PROTEINS</t>
  </si>
  <si>
    <t>In the last decades, several studies demonstrated that the tumor microenvironment is a critical determinant not only of tumor progression and metastasis, but also of resistance to therapy. Exosomes are small membrane vesicles of endocytic origin, which contain mRNAs, DNA fragments, and proteins, and are released by many different cell types, including cancer cells. Mounting evidence has shown that cancer-derived exosomes contribute to the recruitment and reprogramming of constituents associated with the tumor microenvironment. Understanding how exosomes and the tumor microenvironment impact drug resistance will allow novel and better strategies to overcome drug resistance and treat cancer. Here, we describe a technique for exosome purification from cell culture, and fresh and frozen plasma, and further analysis by electron microscopy, NanoSight microscope, and Western blot.</t>
  </si>
  <si>
    <t>[Andre, Maria do Rosario; Pedro, Ana; Lyden, David] Champalimaud Fdn, Lisbon, Portugal; [Andre, Maria do Rosario; Pedro, Ana; Lyden, David] Nova Univ, Dept Genet Oncol &amp; Human Toxicol, NOVA Med Sch, Fac Med Sci, Lisbon, Portugal</t>
  </si>
  <si>
    <t>Fundacao Champalimaud; Universidade Nova de Lisboa</t>
  </si>
  <si>
    <t>Andre, MD (corresponding author), Champalimaud Fdn, Lisbon, Portugal.;Andre, MD (corresponding author), Nova Univ, Dept Genet Oncol &amp; Human Toxicol, NOVA Med Sch, Fac Med Sci, Lisbon, Portugal.</t>
  </si>
  <si>
    <t>ANDRE, Rosario/0000-0003-3492-2153</t>
  </si>
  <si>
    <t>978-1-4939-3347-1; 978-1-4939-3345-7</t>
  </si>
  <si>
    <t>10.1007/978-1-4939-3347-1_13</t>
  </si>
  <si>
    <t>10.1007/978-1-4939-3347-1</t>
  </si>
  <si>
    <t>Biochemical Research Methods; Biochemistry &amp; Molecular Biology; Oncology; Pharmacology &amp; Pharmacy</t>
  </si>
  <si>
    <t>Biochemistry &amp; Molecular Biology; Oncology; Pharmacology &amp; Pharmacy</t>
  </si>
  <si>
    <t>WOS:000383048200014</t>
  </si>
  <si>
    <t>Liao, GF; Liu, XF; Yang, XH; Wang, Q; Geng, XH; Zou, LY; Liu, YQ; Li, SY; Zheng, Y; Wang, KM</t>
  </si>
  <si>
    <t>Liao, Guofu; Liu, Xiaofeng; Yang, Xiaohai; Wang, Qing; Geng, Xiuhua; Zou, Liyuan; Liu, Yaqin; Li, Shaoyuan; Zheng, Yan; Wang, Kemin</t>
  </si>
  <si>
    <t>Surface plasmon resonance assay for exosomes based on aptamer recognition and polydopamine-functionalized gold nanoparticles for signal amplification</t>
  </si>
  <si>
    <t>MICROCHIMICA ACTA</t>
  </si>
  <si>
    <t>SMMC-7721 exosomes; HAuCl4; DNA tetrahedron probes; Specificity; Au deposition</t>
  </si>
  <si>
    <t>AT-POLYDOPAMINE; BIOSENSOR; NANOSHEETS</t>
  </si>
  <si>
    <t>A novel surface plasmon resonance (SPR) strategy is introduced for the specific determination of exosomes based on aptamer recognition and polydopamine-functionalized gold nanoparticle (Au@PDA NP)-assisted signal amplification. Exosomes derived from hepatic carcinoma SMMC-7721 were selected as the model target. SMMC-7721 exosomes can be specifically captured by the aptamer ZY-sls that was complementary to the DNA tetrahedron probes (DTPs), and then the CD63 aptamer-linked Au@PDA NPs recognized SMMC-7721 exosomes for signal amplification. The DTPs were modified on a Au film for preventing Au deposition on the surface during the introduction of HAuCl4, and PDA coated on the AuNPs was used to reduce HAuCl4 in situ without any reductant assistance. It results in a further enhanced SPR signal. The assay can clearly distinguish SMMC-7721 exosomes from others (HepG2 exosomes, Bel-7404 exosomes, L02 exosomes, MCF-7 exosomes, and SW480 exosomes, respectively). SMMC-7721 exosomes are specifically determined as low as 5.6 x 10(5) particles mL(-1). The method has successfully achieved specific determination of SMMC-7721 exosomes even in 50% of human serum without any pretreatment.</t>
  </si>
  <si>
    <t>[Liao, Guofu; Liu, Xiaofeng; Yang, Xiaohai; Wang, Qing; Geng, Xiuhua; Zou, Liyuan; Liu, Yaqin; Li, Shaoyuan; Zheng, Yan; Wang, Kemin] Hunan Univ, Coll Chem &amp; Chem Engn, State Key Lab Chemo Biosensing &amp; Chemometr, Key Lab Bionanotechnol &amp; Mol Engn Hunan Prov, Changsha 410082, Hunan, Peoples R China</t>
  </si>
  <si>
    <t>Wang, Q; Wang, KM (corresponding author), Hunan Univ, Coll Chem &amp; Chem Engn, State Key Lab Chemo Biosensing &amp; Chemometr, Key Lab Bionanotechnol &amp; Mol Engn Hunan Prov, Changsha 410082, Hunan, Peoples R China.</t>
  </si>
  <si>
    <t>wwqq99@hnu.edu.cn; kmwang@hnu.edu.cn</t>
  </si>
  <si>
    <t>Yang, Xiaohai/0000-0001-8122-7140; Liu, Xiaofeng/0000-0002-0447-5658</t>
  </si>
  <si>
    <t>0026-3672</t>
  </si>
  <si>
    <t>1436-5073</t>
  </si>
  <si>
    <t>MAR 30</t>
  </si>
  <si>
    <t>10.1007/s00604-020-4183-1</t>
  </si>
  <si>
    <t>WOS:000522936400001</t>
  </si>
  <si>
    <t>Ramshani, Z; Zhang, CG; Richards, K; Chen, LL; Xu, GY; Stiles, BL; Hill, R; Senapati, S; Go, DB; Chang, HC</t>
  </si>
  <si>
    <t>Ramshani, Zeinab; Zhang, Chenguang; Richards, Katherine; Chen, Lulu; Xu, Geyang; Stiles, Bangyan L.; Hill, Reginald; Senapati, Satyajyoti; Go, David B.; Chang, Hsueh-Chia</t>
  </si>
  <si>
    <t>Extracellular vesicle microRNA quantification from plasma using an integrated microfluidic device</t>
  </si>
  <si>
    <t>CIRCULATING MICRORNAS; PANCREATIC-CANCER; EXOSOMES; EXCHANGE; MIR-21; BIOMARKERS</t>
  </si>
  <si>
    <t>Extracellular vesicles (EV) containing microRNAs (miRNAs) have tremendous potential as biomarkers for the early detection of disease. Here, we present a simple and rapid PCR-free integrated microfluidics platform capable of absolute quantification (&lt;10% uncertainty) of both free-floating miRNAs and EV-miRNAs in plasma with 1 pM detection sensitivity. The assay time is only 30 minutes as opposed to 13 h and requires only similar to 20 mu L of sample as oppose to 1 mL for conventional RT-qPCR techniques. The platform integrates a surface acoustic wave (SAW) EV lysing microfluidic chip with a concentration and sensing microfluidic chip incorporating an electrokinetic membrane sensor that is based on non-equilibrium ionic currents. Unlike conventional RT-qPCR methods, this technology does not require EV extraction, RNA purification, reverse transcription, or amplification. This platform can be easily extended for other RNA and DNA targets of interest, thus providing a viable screening tool for early disease diagnosis, prognosis, and monitoring of therapeutic response.</t>
  </si>
  <si>
    <t>[Ramshani, Zeinab; Zhang, Chenguang; Senapati, Satyajyoti; Go, David B.; Chang, Hsueh-Chia] Univ Notre Dame, Dept Chem &amp; Biomol Engn, Notre Dame, IN 46556 USA; [Ramshani, Zeinab; Zhang, Chenguang; Senapati, Satyajyoti; Chang, Hsueh-Chia] Univ Notre Dame, Ctr Microfluid &amp; Med Diagnost, Notre Dame, IN 46556 USA; [Ramshani, Zeinab; Richards, Katherine; Senapati, Satyajyoti; Chang, Hsueh-Chia] Univ Notre Dame, Harper Canc Res Inst, Notre Dame, IN 46556 USA; [Richards, Katherine] Univ Notre Dame, Dept Biol Sci, Notre Dame, IN 46556 USA; [Chen, Lulu; Stiles, Bangyan L.] Univ Southern Calif, Sch Pharm, Pharmacol &amp; Pharmaceut Sci, Los Angeles, CA 90211 USA; [Xu, Geyang] Jinan Univ, Sch Med, Dept Physiol, Guangzhou 510632, Guangdong, Peoples R China; [Hill, Reginald] Univ Southern Calif, Lawrence J Ellison Inst Transformat Med, Beverly Hills, CA 90211 USA; [Hill, Reginald] Univ Southern Calif, Keck Sch Med, Los Angeles, CA 90033 USA; [Go, David B.; Chang, Hsueh-Chia] Univ Notre Dame, Dept Aerosp &amp; Mech Engn, Notre Dame, IN 46556 USA</t>
  </si>
  <si>
    <t>University of Notre Dame; University of Notre Dame; University of Notre Dame; University of Notre Dame; University of Southern California; Jinan University; University of Southern California; University of Southern California; University of Notre Dame</t>
  </si>
  <si>
    <t>Senapati, S; Go, DB; Chang, HC (corresponding author), Univ Notre Dame, Dept Chem &amp; Biomol Engn, Notre Dame, IN 46556 USA.;Senapati, S; Chang, HC (corresponding author), Univ Notre Dame, Ctr Microfluid &amp; Med Diagnost, Notre Dame, IN 46556 USA.;Senapati, S; Chang, HC (corresponding author), Univ Notre Dame, Harper Canc Res Inst, Notre Dame, IN 46556 USA.;Go, DB; Chang, HC (corresponding author), Univ Notre Dame, Dept Aerosp &amp; Mech Engn, Notre Dame, IN 46556 USA.</t>
  </si>
  <si>
    <t>ssenapat@nd.edu; dgo@nd.edu; hchang@nd.edu</t>
  </si>
  <si>
    <t>Go, David/A-7019-2013</t>
  </si>
  <si>
    <t>Go, David/0000-0001-8948-1442; Zhang, Chenguang/0000-0001-5124-875X</t>
  </si>
  <si>
    <t>MAY 20</t>
  </si>
  <si>
    <t>10.1038/s42003-019-0435-1</t>
  </si>
  <si>
    <t>WOS:000468870100001</t>
  </si>
  <si>
    <t>Zhou, XN; Kurywchak, P; Wolf-Dennen, K; Che, SPY; Sulakhe, D; D'Souza, M; Xie, BQ; Maltsev, N; Gilliam, TC; Wu, CC; McAndrews, KM; LeBleu, VS; McConkey, DJ; Volpert, OV; Pretzsch, SM; Czerniak, BA; Dinney, CP; Kalluri, R</t>
  </si>
  <si>
    <t>Zhou, Xunian; Kurywchak, Paul; Wolf-Dennen, Kerri; Che, Sara P. Y.; Sulakhe, Dinanath; D'Souza, Mark; Xie, Bingqing; Maltsev, Natalia; Gilliam, T. Conrad; Wu, Chia-Chin; McAndrews, Kathleen M.; LeBleu, Valerie S.; McConkey, David J.; Volpert, Olga V.; Pretzsch, Shanna M.; Czerniak, Bogdan A.; Dinney, Colin P.; Kalluri, Raghu</t>
  </si>
  <si>
    <t>Unique somatic variants in DNA from urine exosomes of individuals with bladder cancer</t>
  </si>
  <si>
    <t>MOLECULAR THERAPY-METHODS &amp; CLINICAL DEVELOPMENT</t>
  </si>
  <si>
    <t>HEXAMINOLEVULINATE FLUORESCENCE CYSTOSCOPY; WHITE-LIGHT CYSTOSCOPY; CIRCULATING TUMOR DNA; STRANDED GENOMIC DNA; NUCLEIC-ACIDS; GENETIC-VARIATION; MUTANT KRAS; PHASE-III; FOLLOW-UP; BIOMARKERS</t>
  </si>
  <si>
    <t>Bladder cancer (BC), a heterogeneous disease characterized by high recurrence rates, is diagnosed and monitored by cystoscopy. Accurate clinical staging based on biopsy remains a challenge, and additional, objective diagnostic tools are needed urgently. We used exosomal DNA (exoDNA) as an analyte to examine cancer-associated mutations and compared the diagnostic utility of exoDNA from urine and serum of individuals with BC. In contrast to urine exosomes from healthy individuals, urine exosomes from individuals with BC contained significant amounts of DNA. Whole-exome sequencing of DNA from matched urine and serum exosomes, bladder tumors, and normal tissue (peripheral blood mononuclear cells) identified exonic and 30 UTR variants in frequently mutated genes in BC, detectable in urine exoDNA and matched tumor samples. Further analyses identified somatic variants in driver genes, unique to urine exoDNA, possibly because of the inherent intra-tumoral heterogeneity of BC, which is not fully represented in random small biopsies. Multiple variants were also found in untranslated portions of the genome, such as microRNA (miRNA)-binding regions of the KRAS gene. Gene network analyses revealed that exoDNA is associated with cancer, inflammation, and immunity in BC exosomes. Our findings show utility of exoDNA as an objective, non-invasive strategy to identify novel biomarkers and targets for BC.</t>
  </si>
  <si>
    <t>[Zhou, Xunian; Kurywchak, Paul; Wolf-Dennen, Kerri; Che, Sara P. Y.; McAndrews, Kathleen M.; LeBleu, Valerie S.; Volpert, Olga V.; Kalluri, Raghu] Univ Texas MD Anderson Canc Ctr, Dept Canc Biol, Houston, TX 77030 USA; [Sulakhe, Dinanath; D'Souza, Mark; Xie, Bingqing; Maltsev, Natalia; Gilliam, T. Conrad] Univ Chicago, Dept Human Genet, Chicago, IL 60637 USA; [Wu, Chia-Chin] Univ Texas MD Anderson Canc Ctr, Dept Genom Med, Houston, TX 77030 USA; [LeBleu, Valerie S.] Northwestern Univ, Feinberg Sch Med, Chicago, IL 60611 USA; [McConkey, David J.] Johns Hopkins Greenberg Bladder Canc Inst, Baltimore, MD USA; [Pretzsch, Shanna M.; Dinney, Colin P.] Univ Texas MD Anderson Canc Ctr, Dept Urol, Houston, TX 77030 USA; [Czerniak, Bogdan A.] Univ Texas MD Anderson Canc Ctr, Dept Pathol, Houston, TX 77030 USA; [Kalluri, Raghu] Rice Univ, Sch Bioengn, Houston, TX USA; [Kalluri, Raghu] Baylor Coll Med, Dept Mol &amp; Cellular Biol, Houston, TX 77030 USA</t>
  </si>
  <si>
    <t>University of Texas System; UTMD Anderson Cancer Center; University of Chicago; University of Texas System; UTMD Anderson Cancer Center; Northwestern University; Feinberg School of Medicine; Johns Hopkins University; University of Texas System; UTMD Anderson Cancer Center; University of Texas System; UTMD Anderson Cancer Center; Rice University; Baylor College of Medicine</t>
  </si>
  <si>
    <t>Kalluri, R (corresponding author), Univ Texas MD Anderson Canc Ctr, Dept Canc Biol, Houston, TX 77030 USA.</t>
  </si>
  <si>
    <t>Wu, Chia-Chin/ABD-5516-2021</t>
  </si>
  <si>
    <t>Wu, Chia-Chin/0000-0002-5208-6016</t>
  </si>
  <si>
    <t>2329-0501</t>
  </si>
  <si>
    <t>10.1016/j.omtm.2021.05.010</t>
  </si>
  <si>
    <t>WOS:000695842600031</t>
  </si>
  <si>
    <t>Hu, JM; Sheng, Y; Kwak, KJ; Shi, JF; Yu, BH; Lee, LJ</t>
  </si>
  <si>
    <t>Hu, Jiaming; Sheng, Yan; Kwak, Kwang Joo; Shi, Junfeng; Yu, Bohao; Lee, L. James</t>
  </si>
  <si>
    <t>A signal-amplifiable biochip quantifies extracellular vesicle-associated RNAs for early cancer detection</t>
  </si>
  <si>
    <t>POLYMER HYBRID NANOPARTICLES; TRANSFERRIN RECEPTOR; SYSTEMIC DELIVERY; EXOSOMES; GLYPICAN-1; GROWTH; EXTERNALIZATION; MICROVESICLES; METASTASIS; INHIBITION</t>
  </si>
  <si>
    <t>Detection of extracellular vesicle (EV)-associated RNAs with low expression levels in early-stage cancer remains a challenge and is highly valuable. Here, we report a nanoparticle-based biochip that could capture circulating EVs without isolation, brighten encapsulated RNAs, and amplify fluorescence signals in situ in a single step. We confine catalyzed hairpin DNA circuit (CHDC) in cationic lipid-polymer hybrid nanoparticles (LPHNs) that are tethered on a chip. LPHN features a core-shell-corona structure that facilitates the transfer and mixing of CHDC with EV-associated RNAs when forming the LPHN-EV nanocomplex. CHDC is triggered upon target RNA binding and quickly generate amplified signals. The signal amplification efficiency of LPHN-CHDC is demonstrated in artificial EVs, cancer cells, and cancer cell-derived EVs. We show that LPHN-CHDC biochip with signal amplification capability could selectively and sensitively identify low expression glypican-1 mRNA in serum EVs, distinguishing patients with early-and late-stage pancreatic cancer from healthy donors and patients with benign pancreatic disease.</t>
  </si>
  <si>
    <t>[Hu, Jiaming; Sheng, Yan; Kwak, Kwang Joo; Shi, Junfeng; Lee, L. James] Ohio State Univ, Dept Chem &amp; Biomol Engn, Columbus, OH 43210 USA; [Sheng, Yan] Yantai Univ, Coll Chem &amp; Chem Engn, Yantai, Peoples R China; [Yu, Bohao] East China Univ Sci &amp; Technol, Sch Chem &amp; Mol Engn, Shanghai 200237, Peoples R China</t>
  </si>
  <si>
    <t>Ohio State University; Yantai University; East China University of Science &amp; Technology</t>
  </si>
  <si>
    <t>Hu, JM; Sheng, Y; Lee, LJ (corresponding author), Ohio State Univ, Dept Chem &amp; Biomol Engn, Columbus, OH 43210 USA.;Sheng, Y (corresponding author), Yantai Univ, Coll Chem &amp; Chem Engn, Yantai, Peoples R China.</t>
  </si>
  <si>
    <t>jzh0019@gmail.com; sh-crystal@163.com; lee.31@osu.edu</t>
  </si>
  <si>
    <t>Shi, Junfeng/C-6939-2018; KWAK, KWANG JOO/AAR-2592-2021</t>
  </si>
  <si>
    <t>10.1038/s41467-017-01942-1</t>
  </si>
  <si>
    <t>WOS:000416226200012</t>
  </si>
  <si>
    <t>Chen, YY; Dagg, R; Zhang, YC; Lee, JHY; Lu, RB; La Rotta, NM; Sampl, S; Korkut-Demirbas, M; Holzmann, K; Lau, LMS; Reddel, RR; Henson, JD</t>
  </si>
  <si>
    <t>Chen, Yuan-Yin; Dagg, Rebecca; Zhang, Yuchen; Lee, Joyce H. Y.; Lu, Robert; Martin La Rotta, Nancy; Sampl, Sandra; Korkut-Demirbas, Medina; Holzmann, Klaus; Lau, Loretta M. S.; Reddel, Roger R.; Henson, Jeremy D.</t>
  </si>
  <si>
    <t>The C-Circle Biomarker Is Secreted by Alternative-Lengthening-of-Telomeres Positive Cancer Cells inside Exosomes and Provides a Blood-Based Diagnostic for ALT Activity</t>
  </si>
  <si>
    <t>C-Circle Assay; ALT; telomere; telomere maintenance mechanism; exosomes; cancer diagnostic</t>
  </si>
  <si>
    <t>EXTRACELLULAR VESICLES; TRANSFERRIN RECEPTOR; BIOGENESIS; MECHANISM; DNA; MEDIATORS; COMPONENT; SARCOMAS; MARKERS; TUMORS</t>
  </si>
  <si>
    <t>Simple Summary A clinical test for alternative-lengthening-of-telomeres (ALT) could assist with cancer diagnosis and monitoring of disease progression. ALT-targeted anticancer treatments are being developed; however, there is no appropriate companion ALT diagnostic. The C-Circle biomarker is the only known ALT specific molecule and the C-Circle Assay the only quantitative ALT assay that is amenable to clinical use. We show here that C-Circles are secreted by ALT+ cancer cell lines inside the exosomes and are protected from nucleases. We also show that secreted C-Circles, like intracellular C-Circles, are an ALT-specific biomarker, and in high-risk neuroblastoma, the blood-based C-Circle Assay has the potential to be an accurate diagnostic for ALT cancer activity. Therefore, the secretion of C-Circles by ALT+ cancer cells in the exosomes provides a stable blood-based biomarker and, potentially, a clinical diagnostic for ALT activity, which is required for the development of ALT-targeted therapies as well as for the diagnosis and monitoring of ALT+ cancer. C-Circles, self-primed telomeric C-strand templates for rolling circle amplification, are the only known alternative-lengthening-of-telomeres (ALT)-specific molecule. However, little is known about the biology of C-Circles and if they may be clinically useful. Here we show that C-Circles are secreted by ALT+ cancer cells inside exosomes, and that a blood-based C-Circle Assay (CCA) can provide an accurate diagnostic for ALT activity. Extracellular vesicles were isolated by differential centrifugation from the growth media of lung adenocarcinoma, glioblastoma, neuroblastoma, osteosarcoma, and soft tissue sarcoma cell lines, and C-Circles were detected in the exosome fraction from all eleven ALT+ cancer cell lines and not in any extracellular fraction from the eight matching telomerase positive cancer cell lines or the normal fibroblast strain. The existence of C-Circles in ALT+ exosomes was confirmed with exosomes isolated by iodixanol gradient separation and CD81-immunoprecipitation, and C-Circles in the exosomes were protected from nucleases. On average, 0.4% of the total ALT+ intracellular C-Circles were secreted in the exosomes every 24 h. Comparing the serum-based and tumor-based CCAs in 35 high risk neuroblastoma patients divided randomly into ALT+ threshold derivation and validation groups, we found the serum-based CCA to have 100% sensitivity (6/6), 70% specificity (7/10), and 81% concordance (13/16). We conclude that the secretion of C-Circles by ALT+ cancer cells in the exosomes provides a stable blood-based biomarker and a potential clinical diagnostic for ALT activity.</t>
  </si>
  <si>
    <t>[Chen, Yuan-Yin; Zhang, Yuchen; Lu, Robert; Martin La Rotta, Nancy; Henson, Jeremy D.] Univ NSW, UNSW, Prince Wales Clin Sch, Sydney, NSW 2052, Australia; [Dagg, Rebecca; Lau, Loretta M. S.] Univ Sydney, Fac Med &amp; Hlth, Childrens Hosp Westmead, Childrens Canc Res Unit, Westmead, NSW 2145, Australia; [Lee, Joyce H. Y.; Reddel, Roger R.] Univ Sydney, Fac Med &amp; Hlth, Childrens Med Res Inst, Westmead, NSW 2145, Australia; [Sampl, Sandra; Korkut-Demirbas, Medina; Holzmann, Klaus] Med Univ Vienna, Comprehens Canc Ctr, Inst Canc Res, Dept Med 1, A-1090 Vienna, Austria</t>
  </si>
  <si>
    <t>University of New South Wales Sydney; University of Sydney; Children's Medical Research Institute - Australia; University of Sydney; Medical University of Vienna</t>
  </si>
  <si>
    <t>Henson, JD (corresponding author), Univ NSW, UNSW, Prince Wales Clin Sch, Sydney, NSW 2052, Australia.</t>
  </si>
  <si>
    <t>yuchen.zhang@uq.net.au; klaus.holzmann@meduniwien.ac.at</t>
  </si>
  <si>
    <t>Holzmann, Klaus/I-4437-2019; Reddel, Roger/A-6635-2014</t>
  </si>
  <si>
    <t>Holzmann, Klaus/0000-0003-4077-3377; Henson, Jeremy/0000-0002-1594-9310; ZHANG, Yuchen/0000-0002-4702-1963; Lau, Loretta/0000-0002-3172-0970; Reddel, Roger/0000-0002-6302-6107; Dagg, Rebecca/0000-0002-3023-9616</t>
  </si>
  <si>
    <t>10.3390/cancers13215369</t>
  </si>
  <si>
    <t>WOS:000718496000001</t>
  </si>
  <si>
    <t>Biller, SJ; Schubotz, F; Roggensack, SE; Thompson, AW; Summons, RE; Chisholm, SW</t>
  </si>
  <si>
    <t>Biller, Steven J.; Schubotz, Florence; Roggensack, Sara E.; Thompson, Anne W.; Summons, Roger E.; Chisholm, Sallie W.</t>
  </si>
  <si>
    <t>Bacterial Vesicles in Marine Ecosystems</t>
  </si>
  <si>
    <t>SCIENCE</t>
  </si>
  <si>
    <t>OUTER-MEMBRANE VESICLES; RELEASE; PROTEIN; PROCHLOROCOCCUS; MECHANISM; GENES</t>
  </si>
  <si>
    <t>Many heterotrophic bacteria are known to release extracellular vesicles, facilitating interactions between cells and their environment from a distance. Vesicle production has not been described in photoautotrophs, however, and the prevalence and characteristics of vesicles in natural ecosystems is unknown. Here, we report that cultures of Prochlorococcus, a numerically dominant marine cyanobacterium, continuously release lipid vesicles containing proteins, DNA, and RNA. We also show that vesicles carrying DNA from diverse bacteria are abundant in coastal and open-ocean seawater samples. Prochlorococcus vesicles can support the growth of heterotrophic bacterial cultures, which implicates these structures in marine carbon flux. The ability of vesicles to deliver diverse compounds in discrete packages adds another layer of complexity to the flow of information, energy, and biomolecules in marine microbial communities.</t>
  </si>
  <si>
    <t>[Biller, Steven J.; Roggensack, Sara E.; Thompson, Anne W.; Chisholm, Sallie W.] MIT, Dept Civil &amp; Environm Engn, Cambridge, MA 02139 USA; [Schubotz, Florence; Summons, Roger E.] MIT, Dept Earth Atmospher &amp; Planetary Sci, Cambridge, MA 02139 USA; [Chisholm, Sallie W.] MIT, Dept Biol, Cambridge, MA 02139 USA</t>
  </si>
  <si>
    <t>Massachusetts Institute of Technology (MIT); Massachusetts Institute of Technology (MIT); Massachusetts Institute of Technology (MIT)</t>
  </si>
  <si>
    <t>Biller, SJ (corresponding author), MIT, Dept Civil &amp; Environm Engn, 77 Massachusetts Ave, Cambridge, MA 02139 USA.</t>
  </si>
  <si>
    <t>Summons, Roger Everett/AAL-3789-2020; Biller, Steven/CAG-2216-2022</t>
  </si>
  <si>
    <t>Chisholm, Sallie/0000-0003-1480-2445</t>
  </si>
  <si>
    <t>0036-8075</t>
  </si>
  <si>
    <t>1095-9203</t>
  </si>
  <si>
    <t>JAN 10</t>
  </si>
  <si>
    <t>10.1126/science.1243457</t>
  </si>
  <si>
    <t>WOS:000329440800042</t>
  </si>
  <si>
    <t>Barzegar, M; Farsani, MA; Rafiee, M; Amiri, V; Parkhihdeh, S; Rad, F; Mohammadi, MH</t>
  </si>
  <si>
    <t>Barzegar, Mohieddin; Farsani, Mehdi Allahbakhshian; Rafiee, Mohammad; Amiri, Vahid; Parkhihdeh, Sayeh; Rad, Fariba; Mohammadi, Mohammad Hossein</t>
  </si>
  <si>
    <t>Acute promyelocytic leukemia derived extracellular vesicles conserve PML-RAR alpha transcript from storage-inflicted degradation: a stable diagnosis tool in APL patients</t>
  </si>
  <si>
    <t>Extracellular vesicle; Acute promyelocytic leukemia; Liquid biopsy; Normal copy number</t>
  </si>
  <si>
    <t>MINIMAL-RESIDUAL-DISEASE; FUSION GENE TRANSCRIPTS; ARSENIC TRIOXIDE; PLASMA EXOSOME; PCR ANALYSIS; GENOMIC DNA; CELLS; TIME; RELAPSE; QUANTIFICATION</t>
  </si>
  <si>
    <t>The early death, which is more common in acute promyelocytic leukemia (APL) patients rather than other types of acute myelocytic leukemia (AML) highlights the importance of appropriate diagnostic method for early detection of this disease. The low sensitivity of the conventional methods, low tumor burden in some patients, and the need for bone marrow sampling are some of the diagnostic challenges on the way of proper detection of APL. Given these, we aimed to compare the efficacy of extracellular vesicles (EVs), as a diagnostic tool, with the existing methods. RT-PCR, qPCR, and flow cytometry were applied on EVs and their corresponding associated cellular component collected from 18 APL new cases, 23 patients with minimal residual disease (MRD), and NB4 cell line. RT-PCR results were positive in both cellular and vesicular components of all new cases, NB4 cells, and EVs in contrary to MRD cases. Normalized copy numbers (NCN) of PML-RAR alpha were 5100 and 3950 for cell and EVs, respectively (p &lt; 0.05). There was a significant difference in the NCN of PML-RAR alpha between cells and EVs in BM samples. Investigating the effect of storage at room temperature revealed that PML-RAR alpha level was retained near to the baseline level in EVs, but there was a significant reduction in its copy number in the cellular component during 7 days. Taken together, given to the acceptable stability, EVs could be introduced as a non-invasive liquid biopsy that alongside existing methods could remarkably change the paradigm of APL diagnostic approaches.</t>
  </si>
  <si>
    <t>[Barzegar, Mohieddin; Farsani, Mehdi Allahbakhshian; Rafiee, Mohammad; Amiri, Vahid; Mohammadi, Mohammad Hossein] Shahid Beheshti Univ Med Sci, Sch Allied Med Sci, Lab Hematol &amp; Blood Banking, Darband St,Qods Sq, Tehran, Iran; [Farsani, Mehdi Allahbakhshian; Parkhihdeh, Sayeh; Mohammadi, Mohammad Hossein] Shahid Beheshti Univ Med Sci, HSCT Res Ctr, Tehran, Iran; [Rad, Fariba] Iran Univ Med Sci, Sch Allied Med, Dept Hematol &amp; Blood Transfus, Tehran, Iran; [Rad, Fariba] Yasuj Univ Med Sci, Cellular &amp; Mol Res Ctr, Yasuj, Iran</t>
  </si>
  <si>
    <t>Shahid Beheshti University Medical Sciences; Shahid Beheshti University Medical Sciences; Iran University of Medical Sciences; Yasouj University</t>
  </si>
  <si>
    <t>Mohammadi, MH (corresponding author), Shahid Beheshti Univ Med Sci, Sch Allied Med Sci, Lab Hematol &amp; Blood Banking, Darband St,Qods Sq, Tehran, Iran.;Mohammadi, MH (corresponding author), Shahid Beheshti Univ Med Sci, HSCT Res Ctr, Tehran, Iran.</t>
  </si>
  <si>
    <t>Drmohammadi@sbmu.ac.ir</t>
  </si>
  <si>
    <t>Rafiee, Mohammad/ABB-2358-2020; Rafiee, Mohammad/GOP-0867-2022; Mohammadi, Mohammadhossein/S-3769-2018</t>
  </si>
  <si>
    <t>Rafiee, Mohammad/0000-0001-5684-5756; Mohammadi, Mohammadhossein/0000-0002-8697-1371</t>
  </si>
  <si>
    <t>10.1007/s00277-021-04579-9</t>
  </si>
  <si>
    <t>WOS:000670865600001</t>
  </si>
  <si>
    <t>Picca, A; Beli, R; Calvani, R; Coelho, HJ; Landi, F; Bernabei, R; Bucci, C; Guerra, F; Marzetti, E</t>
  </si>
  <si>
    <t>Picca, Anna; Beli, Raffaella; Calvani, Riccardo; Coelho-Junior, Helio Jose; Landi, Francesco; Bernabei, Roberto; Bucci, Cecilia; Guerra, Flora; Marzetti, Emanuele</t>
  </si>
  <si>
    <t>Older Adults with Physical Frailty and Sarcopenia Show Increased Levels of Circulating Small Extracellular Vesicles with a Specific Mitochondrial Signature</t>
  </si>
  <si>
    <t>aging; biomarkers; mitophagy; mitochondrial dynamics; mitochondrial quality control; mitochondrial-derived vesicles (MDVs); exosomes; mitochondrial-lysosomal axis</t>
  </si>
  <si>
    <t>INFLAMMATION; DNA; RECOMMENDATIONS; ASSOCIATION; PERFORMANCE; DYSFUNCTION; RATIONALE; MORTALITY; PATHWAY; DISEASE</t>
  </si>
  <si>
    <t>Mitochondrial dysfunction and systemic inflammation are major factors in the development of sarcopenia, but the molecular determinants linking the two mechanisms are only partially understood. The study of extracellular vesicle (EV) trafficking may provide insights into this relationship. Circulating small EVs (sEVs) from serum of 11 older adults with physical frailty and sarcopenia (PF&amp;S) and 10 controls were purified and characterized. Protein levels of three tetraspanins (CD9, CD63, and CD81) and selected mitochondrial markers, including adenosine triphosphate 5A (ATP5A), mitochondrial cytochrome C oxidase subunit I (MTCOI), nicotinamide adenine dinucleotide reduced form (NADH):ubiquinone oxidoreductase subunit B8 (NDUFB8), NADH:ubiquinone oxidoreductase subunit S3 (NDUFS3), succinate dehydrogenase complex iron sulfur subunit B (SDHB), and ubiquinol-cytochrome C reductase core protein 2 (UQCRC2) were quantified by Western immunoblotting. Participants with PF&amp;S showed higher levels of circulating sEVs relative to controls. Protein levels of CD9 and CD63 were lower in the sEV fraction of PF&amp;S older adults, while CD81 was unvaried between groups. In addition, circulating sEVs from PF&amp;S participants had lower amounts of ATP5A, NDUFS3, and SDHB. No signal was detected for MTCOI, NDUFB8, or UQCRC2 in either participant group. Our findings indicate that, in spite of increased sEV secretion, lower amounts of mitochondrial components are discarded through EV in older adults with PF&amp;S. In-depth analysis of EV trafficking might open new venues for biomarker discovery and treatment development for PF&amp;S.</t>
  </si>
  <si>
    <t>[Picca, Anna; Calvani, Riccardo; Landi, Francesco; Bernabei, Roberto; Marzetti, Emanuele] Fdn Policlin Univ Agostino Gemelli IRCCS, I-00168 Rome, Italy; [Beli, Raffaella; Bucci, Cecilia; Guerra, Flora] Univ Salento, Dept Biol &amp; Environm Sci &amp; Technol, I-73100 Lecce, Italy; [Coelho-Junior, Helio Jose; Landi, Francesco; Bernabei, Roberto; Marzetti, Emanuele] Univ Cattolica Sacro Cuore, I-00168 Rome, Italy</t>
  </si>
  <si>
    <t>Catholic University of the Sacred Heart; IRCCS Policlinico Gemelli; University of Salento; Catholic University of the Sacred Heart; IRCCS Policlinico Gemelli</t>
  </si>
  <si>
    <t>Calvani, R (corresponding author), Fdn Policlin Univ Agostino Gemelli IRCCS, I-00168 Rome, Italy.;Guerra, F (corresponding author), Univ Salento, Dept Biol &amp; Environm Sci &amp; Technol, I-73100 Lecce, Italy.</t>
  </si>
  <si>
    <t>anna.picca@guest.policlinicogemelli.it; raffaella.beli@unisalento.it; riccardo.calvani@guest.policlinicogemelli.it; coelhojunior@hotmail.com.br; francesco.landi@unicatt.it; roberto.bernabei@unicatt.it; cecilia.bucci@unisalento.it; guerraflora@gmail.com; emanuele.marzetti@policlinicogemelli.it</t>
  </si>
  <si>
    <t>Júnior, Hélio Coelho/AAC-2358-2019; Picca, Anna/K-2305-2018; Guerra, Flora/D-1755-2014; Calvani, Riccardo/K-2011-2018; Guerra, Flora/AFM-8764-2022; Marzetti, Emanuele/A-9430-2010; BUCCI, CECILIA/F-6699-2012</t>
  </si>
  <si>
    <t>Júnior, Hélio Coelho/0000-0001-7482-9514; Picca, Anna/0000-0001-7032-3487; Guerra, Flora/0000-0003-3379-7469; Calvani, Riccardo/0000-0001-5472-2365; Guerra, Flora/0000-0003-3379-7469; Marzetti, Emanuele/0000-0001-9567-6983; BUCCI, CECILIA/0000-0002-6232-6183</t>
  </si>
  <si>
    <t>10.3390/cells9040973</t>
  </si>
  <si>
    <t>WOS:000535559500184</t>
  </si>
  <si>
    <t>Zhang, LB; Lin, TV; Yuan, QY; Sadoul, R; Lam, TT; Bordey, A</t>
  </si>
  <si>
    <t>Zhang, Longbo; Lin, Tiffany, V; Yuan, Qianying; Sadoul, Remy; Lam, TuKiet T.; Bordey, Angelique</t>
  </si>
  <si>
    <t>Small Extracellular Vesicles Control Dendritic Spine Development through Regulation of HDAC2 Signaling</t>
  </si>
  <si>
    <t>cortex; development; exosome; HDAC; spine; synapse</t>
  </si>
  <si>
    <t>EXOSOMES; PROTEIN; COMMUNICATION</t>
  </si>
  <si>
    <t>The release of small extracellular vesicles (sEVs) has recently been reported, but knowledge of their function in neuron development remains limited. Using LC-MS/MS, we found that sEVs released from developing cortical neurons in vitro obtained from mice of both sexes were enriched in cytoplasm, exosome, and protein-binding and DNA/RNA-binding pathways. The latter included HDAC2, which was of particular interest, because HDAC2 regulates spine development, and populations of neurons expressing different levels of HDAC2 co-exist in vivo during the period of spine growth. Here, we found that HDAC2 levels decrease in neurons as they acquire synapses and that sEVs from HDAC2-rich neurons regulate HDAC2 signaling in HDAC2-low neurons possibly through HDAC2 transfer. This regulation led to a transcriptional decrease in HDAC2 synaptic targets and the density of excitatory synapses. These data suggest that sEVs provide inductive cell-cell signaling that coordinates the development of dendritic spines via the activation of HDAC2-dependent transcriptional programs.</t>
  </si>
  <si>
    <t>[Zhang, Longbo; Lin, Tiffany, V; Bordey, Angelique] Yale Univ, Sch Med, Dept Neurosurg, New Haven, CT 06520 USA; [Zhang, Longbo; Lin, Tiffany, V; Bordey, Angelique] Yale Univ, Sch Med, Dept Cellular &amp; Mol Physiol, New Haven, CT 06520 USA; [Yuan, Qianying] Yale Univ, Sch Med, Dept Pharmacol, New Haven, CT 06520 USA; [Sadoul, Remy] Univ Grenoble Alpes, Inst Biol Struct, CEA, CNRS, F-38000 Grenoble, France; [Lam, TuKiet T.] Yale Univ, Sch Med, Dept Mol Biophys &amp; Biochem, New Haven, CT 06520 USA; [Lam, TuKiet T.] Yale Univ, Sch Med, WM Keck Biotechnol Resource Lab, New Haven, CT 06520 USA</t>
  </si>
  <si>
    <t>Yale University; Yale University; Yale University; UDICE-French Research Universities; Communaute Universite Grenoble Alpes; Universite Grenoble Alpes (UGA); CEA; Centre National de la Recherche Scientifique (CNRS); Yale University; Yale University</t>
  </si>
  <si>
    <t>Bordey, A (corresponding author), Yale Univ, Sch Med, Dept Cellular &amp; Mol Physiol, New Haven, CT 06520 USA.</t>
  </si>
  <si>
    <t>angelique.bordey@yale.edu</t>
  </si>
  <si>
    <t>SADOUL, Remy/0000-0002-4763-0320; Bordey, Angelique/0000-0003-3496-3385</t>
  </si>
  <si>
    <t>10.1523/JNEUROSCI.0766-20.2021</t>
  </si>
  <si>
    <t>WOS:000694859000006</t>
  </si>
  <si>
    <t>Chan, JC; Morgan, CP; Leu, NA; Shetty, A; Cisse, YM; Nugent, BM; Morrison, KE; Jasarevic, E; Huang, WL; Kanyuch, N; Rodgers, AB; Bhanu, NV; Berger, DS; Garcia, BA; Ament, S; Kane, M; Epperson, CN; Bale, TL</t>
  </si>
  <si>
    <t>Chan, Jennifer C.; Morgan, Christopher P.; Leu, N. Adrian; Shetty, Amol; Cisse, Yasmine M.; Nugent, Bridget M.; Morrison, Kathleen E.; Jasarevic, Eldin; Huang, Weiliang; Kanyuch, Nickole; Rodgers, Ali B.; Bhanu, Natarajan V.; Berger, Dara S.; Garcia, Benjamin A.; Ament, Seth; Kane, Maureen; Epperson, C. Neill; Bale, Tracy L.</t>
  </si>
  <si>
    <t>Reproductive tract extracellular vesicles are sufficient to transmit intergenerational stress and program neurodevelopment</t>
  </si>
  <si>
    <t>MICRORNA EXPRESSION; HUMAN SPERMATOZOA; INHERITANCE; NUTRITION; GENE; IDENTIFICATION; DYSFUNCTION; PLASTICITY; PTSD</t>
  </si>
  <si>
    <t>Extracellular vesicles (EVs) are a unique mode of intercellular communication capable of incredible specificity in transmitting signals involved in cellular function, including germ cell maturation. Spermatogenesis occurs in the testes, behind a protective barrier to ensure safeguarding of germline DNA from environmental insults. Following DNA compaction, further sperm maturation occurs in the epididymis. Here, we report reproductive tract EVs transmit information regarding stress in the paternal environment to sperm, potentially altering fetal development. Using intracytoplasmic sperm injection, we found that sperm incubated with EVs collected from stress-treated epididymal epithelial cells produced offspring with altered neurodevelopment and adult stress reactivity. Proteomic and transcriptomic assessment of these EVs showed dramatic changes in protein and miRNA content long after stress treatment had ended, supporting a lasting programmatic change in response to chronic stress. Thus, EVs as a normal process in sperm maturation, can also perform roles in intergenerational transmission of paternal environmental experience. Evidence for sperm small noncoding RNA-mediated intergenerational transmission implies communication from responsive somatic cells to sperm. Here, authors show that epididymal cells alter extracellular vesicle cargo after stress exposure, to impact offspring neurodevelopment and stress reactivity.</t>
  </si>
  <si>
    <t>[Chan, Jennifer C.; Leu, N. Adrian; Rodgers, Ali B.] Univ Penn, Sch Vet Med, Dept Biomed Sci, Philadelphia, PA 19104 USA; [Chan, Jennifer C.; Leu, N. Adrian; Rodgers, Ali B.] Univ Penn, Perelman Sch Med, Philadelphia, PA 19104 USA; [Morgan, Christopher P.; Cisse, Yasmine M.; Nugent, Bridget M.; Morrison, Kathleen E.; Jasarevic, Eldin; Kanyuch, Nickole; Bale, Tracy L.] Univ Maryland, Sch Med, Dept Pharmacol, Baltimore, MD 21201 USA; [Morgan, Christopher P.; Cisse, Yasmine M.; Nugent, Bridget M.; Morrison, Kathleen E.; Jasarevic, Eldin; Kanyuch, Nickole; Bale, Tracy L.] Univ Maryland, Sch Med, Ctr Epigenet Res Child Hlth &amp; Brain Dev, Baltimore, MD 21201 USA; [Shetty, Amol; Ament, Seth] Univ Maryland, Sch Med, Inst Genome Sci, Baltimore, MD 21201 USA; [Huang, Weiliang; Kane, Maureen] Univ Maryland, Sch Pharm, Dept Pharmaceut Sci, Baltimore, MD 21201 USA; [Bhanu, Natarajan V.; Garcia, Benjamin A.] Univ Penn, Dept Biochem &amp; Biophys, Perelman Sch Med, Epigenet Inst, Philadelphia, PA 19104 USA; [Berger, Dara S.] Univ Penn, Dept Obstet &amp; Gynecol, Div Reprod Endocrinol &amp; Infertil, Perelman Sch Med, Philadelphia, PA 19104 USA; [Epperson, C. Neill] Univ Penn, Dept Psychiat, Perelman Sch Med, Philadelphia, PA 19104 USA</t>
  </si>
  <si>
    <t>University of Pennsylvania; University of Pennsylvania; University System of Maryland; University of Maryland Baltimore; University System of Maryland; University of Maryland Baltimore; University System of Maryland; University of Maryland Baltimore; University System of Maryland; University of Maryland Baltimore; University of Pennsylvania; University of Pennsylvania; University of Pennsylvania</t>
  </si>
  <si>
    <t>Epperson, Cynthia Neill/ABE-9424-2021; Morrison, Kathleen/AAW-8606-2021; Shetty, Amol Carl/W-7121-2019; Morrison, Kathleen/AAS-4860-2021</t>
  </si>
  <si>
    <t>Morrison, Kathleen/0000-0002-3665-4757; Morrison, Kathleen/0000-0002-3665-4757; Shetty, Amol/0000-0001-8790-7649; Nugent, Bridget/0000-0001-8450-0843; Jasarevic, Eldin/0000-0001-8174-0710; Kanyuch, Nickole/0000-0003-4687-3803</t>
  </si>
  <si>
    <t>MAR 20</t>
  </si>
  <si>
    <t>10.1038/s41467-020-15305-w</t>
  </si>
  <si>
    <t>WOS:000522096100019</t>
  </si>
  <si>
    <t>Li, W; Wang, JJ; Qian, H; Tan, L; Zhang, ZH; Liu, HQ; Pan, YJ; Zhao, Y</t>
  </si>
  <si>
    <t>Li, Wei; Wang, Jing Jing; Qian, Hui; Tan, Ling; Zhang, Zhaohuan; Liu, Haiquan; Pan, Yingjie; Zhao, Yong</t>
  </si>
  <si>
    <t>Insights Into the Role of Extracellular DNA and Extracellular Proteins in Biofilm Formation of Vibrio parahaemolyticus</t>
  </si>
  <si>
    <t>Vibrio parahaemolyticus; biofilm; eDNA; extracellular proteins; EPS</t>
  </si>
  <si>
    <t>FOOD CONTACT SURFACES; RAMAN-SPECTROSCOPY; MICROBIAL BIOFILMS; MEMBRANE-VESICLES; MATRIX; EXOPOLYSACCHARIDES; IDENTIFICATION; VARIABILITY; SEAFOOD; GROWTH</t>
  </si>
  <si>
    <t>The extracellular polymeric substances (EPS) construct the three-dimensional (3-D) structure of biofilms, but their respective roles are still not clear. Therefore, this study aimed to illuminate the role of key chemical components [extracellular DNA (eDNA), extracellular proteins, and carbohydrates] of EPS in biofilm formation of Vibrio parahaemolyticus. The correlations between each key chemical component and biofilm formation were first determined, showing that the biofilm formation of V. parahaemolyticus was strongly positively correlated with both eDNA and protein content (P &lt; 0.01), but not with carbohydrates. Subsequently, individual DNase I or protease K treatment markedly reduced the initial adhesion and structural stability of the formed biofilms by hydrolyzing the eDNA or extracellular proteins, but did not induce significant dispersion of mature biofilms. However, the combination of DNase I and protease K treatment induced the obvious dispersion of the mature biofilms through the concurrent destruction of eDNA and extracellular proteins. The analysis at a structural level showed that the collapse of biofilms was mainly attributed to the great damage of the loop configuration of eDNA and the secondary structure of proteins caused by the enzyme treatment. Therefore, this study provides a deep understanding of the role of key chemical components of EPS in biofilm development of V. parahaemolyticus, which may give a new strategy to develop environmentally friendly methods to eradicate the biofilms in food industry.</t>
  </si>
  <si>
    <t>[Li, Wei; Wang, Jing Jing; Qian, Hui; Tan, Ling; Zhang, Zhaohuan; Liu, Haiquan; Pan, Yingjie; Zhao, Yong] Shanghai Ocean Univ, Coll Food Sci &amp; Technol, Shanghai, Peoples R China; [Wang, Jing Jing; Liu, Haiquan; Pan, Yingjie; Zhao, Yong] Minist Agr, Lab Qual &amp; Safety Risk Assessment Aquat Prod Stor, Shanghai, Peoples R China; [Wang, Jing Jing; Liu, Haiquan; Pan, Yingjie; Zhao, Yong] Shanghai Engn Res Ctr Aquat Prod Proc &amp; Preservat, Shanghai, Peoples R China; [Liu, Haiquan] Shanghai Ocean Univ, Engn Res Ctr Food Thermal Proc Technol, Shanghai, Peoples R China</t>
  </si>
  <si>
    <t>Shanghai Ocean University; Shanghai Ocean University</t>
  </si>
  <si>
    <t>Zhao, Y (corresponding author), Shanghai Ocean Univ, Coll Food Sci &amp; Technol, Shanghai, Peoples R China.;Zhao, Y (corresponding author), Minist Agr, Lab Qual &amp; Safety Risk Assessment Aquat Prod Stor, Shanghai, Peoples R China.;Zhao, Y (corresponding author), Shanghai Engn Res Ctr Aquat Prod Proc &amp; Preservat, Shanghai, Peoples R China.</t>
  </si>
  <si>
    <t>yzhao@shou.edu.cn</t>
  </si>
  <si>
    <t>Wang, Jing Jing/0000-0002-1341-2034</t>
  </si>
  <si>
    <t>10.3389/fmicb.2020.00813</t>
  </si>
  <si>
    <t>WOS:000538888300001</t>
  </si>
  <si>
    <t>Rodriguez, BV; Kuehn, MJ</t>
  </si>
  <si>
    <t>Rodriguez, Blanca, V; Kuehn, Meta J.</t>
  </si>
  <si>
    <t>Staphylococcus aureus secretes immunomodulatory RNA and DNA via membrane vesicles</t>
  </si>
  <si>
    <t>GRAM-POSITIVE BACTERIA; EXTRACELLULAR VESICLES; RELEASE; INNATE; TLR8; INHIBITION; ACTIVATION; MECHANISMS; SYSTEM</t>
  </si>
  <si>
    <t>Bacterial-derived RNA and DNA can function as ligands for intracellular receptor activation and induce downstream signaling to modulate the host response to bacterial infection. The mechanisms underlying the secretion of immunomodulatory RNA and DNA by pathogens such as Staphylococcus aureus and their delivery to intracellular host cell receptors are not well understood. Recently, extracellular membrane vesicle (MV) production has been proposed as a general secretion mechanism that could facilitate the delivery of functional bacterial nucleic acids into host cells. S. aureus produce membrane-bound, spherical, nano-sized, MVs packaged with a select array of bioactive macromolecules and they have been shown to play important roles in bacterial virulence and in immune modulation through the transmission of biologic signals to host cells. Here we show that S. aureus secretes RNA and DNA molecules that are mostly protected from degradation by their association with MVs. Importantly, we demonstrate that MVs can be delivered into cultured macrophage cells and subsequently stimulate a potent IFN-beta response in recipient cells via activation of endosomal Toll-like receptors. These findings advance our understanding of the mechanisms by which bacterial nucleic acids traffic extracellularly to trigger the modulation of host immune responses.</t>
  </si>
  <si>
    <t>[Rodriguez, Blanca, V; Kuehn, Meta J.] Duke Univ, Dept Biochem, Durham, NC 27710 USA</t>
  </si>
  <si>
    <t>Kuehn, MJ (corresponding author), Duke Univ, Dept Biochem, Durham, NC 27710 USA.</t>
  </si>
  <si>
    <t>kuehn@duke.edu</t>
  </si>
  <si>
    <t>OCT 26</t>
  </si>
  <si>
    <t>10.1038/s41598-020-75108-3</t>
  </si>
  <si>
    <t>WOS:000615370600025</t>
  </si>
  <si>
    <t>Schwager, SC; Bordeleau, F; Zhang, J; Antonyak, MA; Cerione, RA; Reinhart-King, CA</t>
  </si>
  <si>
    <t>Schwager, Samantha C.; Bordeleau, Francois; Zhang, Jian; Antonyak, Marc A.; Cerione, Richard A.; Reinhart-King, Cynthia A.</t>
  </si>
  <si>
    <t>Matrix stiffness regulates microvesicle-induced fibroblast activation</t>
  </si>
  <si>
    <t>AMERICAN JOURNAL OF PHYSIOLOGY-CELL PHYSIOLOGY</t>
  </si>
  <si>
    <t>cell contractility; extracellular matrix; fibroblast activation; mechano-transduction; traction force</t>
  </si>
  <si>
    <t>BREAST-CANCER CELLS; SMOOTH MUSCLE ACTIN; EXTRACELLULAR VESICLES; MECHANICS; EXOSOMES; MYOFIBROBLAST; PROGRESSION; METASTASIS; RECEPTORS; INTERFACE</t>
  </si>
  <si>
    <t>Extracellular vesicles released by cancer cells have recently been implicated in the differentiation of stromal cells to their activated, cancer-supporting states. Microvesicles, a subset of extracellular vesicles released from the plasma membrane of cancer cells, contain biologically active cargo, including DNA, mRNA. and miRNA, which are transferred to recipient cells and induce a phenotypic change in behavior. While it is known that microvesicles can alter recipient cell phenotype, little is known about how the physical properties of the tumor microenvironment affect fibroblast response to microvesicles. Here, we utilized cancer cell-derived microvesicles and synthetic substrates designed to mimic the stiffness of the tumor and tumor stroma to investigate the effects of microvesicles on fibroblast phenotype as a function of the mechanical properties of the microenvironment. We show that microvesicles released by highly malignant breast cancer cells cause an increase in fibroblast spreading, a-smooth muscle actin expression. proliferation. cell-generated traction force, and collagen gel compaction. Notably, our data indicate that these phenotypic changes occur only on stiff matrices mimicking the stiffness of the tumor periphery and are dependent on the cell type from which the microvesicles are shed. Overall, these results show that the effects of cancer cell-derived microvesicles on fibroblast activation are regulated by the physical properties of the microenvironment, and these data suggest that microvesicles may have a more robust effect on fibroblasts located at the tumor periphery to influence cancer progression.</t>
  </si>
  <si>
    <t>[Schwager, Samantha C.; Bordeleau, Francois; Zhang, Jian; Reinhart-King, Cynthia A.] Vanderbilt Univ, Dept Biomed Engn, PMB 351631, Nashville, TN 37235 USA; [Antonyak, Marc A.; Cerione, Richard A.] Cornell Univ, Dept Biomed Sci, Ithaca, NY USA; [Cerione, Richard A.] Cornell Univ, Dept Chem &amp; Chem Biol, Ithaca, NY USA</t>
  </si>
  <si>
    <t>Vanderbilt University; Cornell University; Cornell University</t>
  </si>
  <si>
    <t>Reinhart-King, CA (corresponding author), Vanderbilt Univ, Dept Biomed Engn, PMB 351631, Nashville, TN 37235 USA.</t>
  </si>
  <si>
    <t>cynthia.reinhart-king@vanderbilt.edu</t>
  </si>
  <si>
    <t>Zhang, Jian/AAP-8929-2020</t>
  </si>
  <si>
    <t>Zhang, Jian/0000-0003-2887-6082</t>
  </si>
  <si>
    <t>0363-6143</t>
  </si>
  <si>
    <t>1522-1563</t>
  </si>
  <si>
    <t>C82</t>
  </si>
  <si>
    <t>C92</t>
  </si>
  <si>
    <t>10.1152/ajpcell.00418.2018</t>
  </si>
  <si>
    <t>WOS:000472500500009</t>
  </si>
  <si>
    <t>Almanza, G; Zanetti, M</t>
  </si>
  <si>
    <t>Almanza, Gonzalo; Zanetti, Maurizio</t>
  </si>
  <si>
    <t>High-efficiency Generation of Multiple Short Noncoding RNA in B-cells and B-cell-derived Extracellular Vesicles</t>
  </si>
  <si>
    <t>extracellular vesicles; miRNA; nanoparticle tracking analysis; quantitative reverse transcription polymerase chain reaction; short noncoding RNA; untranslated region</t>
  </si>
  <si>
    <t>EXOSOME-MEDIATED TRANSFER; MESSENGER-RNAS; DELIVERY VEHICLES; MICRORNA; GENE; EXPRESSION; MECHANISM; TUMOR; ACTIVATION; EXCHANGE</t>
  </si>
  <si>
    <t>Short noncoding (snc)RNAs are important new players in the landscape of biologics with therapeutic potential. Recently, we reported on a new method for the synthesis and delivery of snc RNA in B-cells transfected with plasmid DNA. Here using the same approach, we demonstrate that B-cells can be programmed for the enforced biogenesis and synchronous release of multiple sncRNAs. Our data show that this goal is feasible and that multiple sncRNA are released in the extracellular compartment in amounts comparable to those from B-cells programmed to express and secrete one scnRNA only. Furthermore, we found that the cargo of extracellular vescicles (EVs) isolated from programmed B-cells is remarkably enriched for multiple sncRNA. On average, we found that the content of multiple sncRNAs in EVs is 3.6 copynumber/EV. Collectively, we demonstrate that B-cells can be easily programmed toward the synthesis and release of multiple sncRNAs, including sncRNA-laden EVs, efficiently and specifically.</t>
  </si>
  <si>
    <t>[Almanza, Gonzalo; Zanetti, Maurizio] Univ Calif San Diego, Dept Med, Immunol Lab, 9500 Gilman Dr, San Diego, CA 92103 USA; [Almanza, Gonzalo; Zanetti, Maurizio] Univ Calif San Diego, Moores Canc Ctr, San Diego, CA 92103 USA</t>
  </si>
  <si>
    <t>University of California System; University of California San Diego; University of California System; University of California San Diego</t>
  </si>
  <si>
    <t>Zanetti, M (corresponding author), Univ Calif San Diego, Dept Med, Immunol Lab, 9500 Gilman Dr, San Diego, CA 92103 USA.</t>
  </si>
  <si>
    <t>mzanetti@ucsd.edu</t>
  </si>
  <si>
    <t>e271</t>
  </si>
  <si>
    <t>10.1038/mtna.2015.44</t>
  </si>
  <si>
    <t>WOS:000368914800002</t>
  </si>
  <si>
    <t>Sackmann, C; Sackmann, V; Hallbeck, M</t>
  </si>
  <si>
    <t>Sackmann, Christopher; Sackmann, Valerie; Hallbeck, Martin</t>
  </si>
  <si>
    <t>TDP-43 Is Efficiently Transferred Between Neuron-Like Cells in a Manner Enhanced by Preservation of Its N-Terminus but Independent of Extracellular Vesicles</t>
  </si>
  <si>
    <t>FRONTIERS IN NEUROSCIENCE</t>
  </si>
  <si>
    <t>TDP-43; extracellular vesicles; C-terminus; N-terminus; cell-to-cell; protein transfer; amyotrophic lateral sclerosis; frontotemporal lobar degeneration</t>
  </si>
  <si>
    <t>FRONTOTEMPORAL LOBAR DEGENERATION; DNA-BINDING PROTEIN; TRANSMISSION; INCLUSION; PATHOLOGY; BETA; AGGREGATION; CLEARANCE; PEPTIDES</t>
  </si>
  <si>
    <t>The misfolding of transactive response DNA-binding protein (TDP-43) is a major contributor to the pathogenesis of TDP-43 proteinopathies, including amyotrophic lateral sclerosis and frontotemporal lobar degeneration with TDP-43 inclusions, but also plays a role in other neurodegenerative diseases including Alzheimer disease. It is thought that different truncations at the N- and C-termini of TDP-43 contribute to its misfolding and aggregation in the brain, and that these aberrant TDP-43 fragments contribute to disease. Despite this, little is known about whether different truncation events influence the protein's transmissibility between cells and how this cell-to-cell transfer occurs. In this study, we use a well-established cellular model to study the efficiency by which full-length and truncated TDP-43 fragments are transferred between neuron-like cells. We demonstrate that preservation of the N-terminus of TDP-43 enhances its transmissibility between cells and that this protein transmission occurs in a manner exclusive of extracellular vesicles, instead requiring cellular proximity for efficient propagation. These data indicate that the N-terminus of TDP-43 might be a useful target in the generation of therapeutics to limit the spread of TDP-43 pathology.</t>
  </si>
  <si>
    <t>[Sackmann, Christopher; Sackmann, Valerie; Hallbeck, Martin] Linkoping Univ, Dept Clin Pathol, Linkoping, Sweden; [Sackmann, Christopher; Sackmann, Valerie; Hallbeck, Martin] Linkoping Univ, Dept Biomed &amp; Clin Sci, Linkoping, Sweden</t>
  </si>
  <si>
    <t>Linkoping University; Linkoping University</t>
  </si>
  <si>
    <t>Hallbeck, M (corresponding author), Linkoping Univ, Dept Clin Pathol, Linkoping, Sweden.;Hallbeck, M (corresponding author), Linkoping Univ, Dept Biomed &amp; Clin Sci, Linkoping, Sweden.</t>
  </si>
  <si>
    <t>martin.hallbeck@liu.se</t>
  </si>
  <si>
    <t>Sackmann, Valerie/0000-0002-6131-1764</t>
  </si>
  <si>
    <t>1662-453X</t>
  </si>
  <si>
    <t>10.3389/fnins.2020.00540</t>
  </si>
  <si>
    <t>WOS:000543818500001</t>
  </si>
  <si>
    <t>Orozco-Romero, MD; Borja-Urby, R; Ponce-Castaneda, MV; Duran-Figueroa, NV</t>
  </si>
  <si>
    <t>de Jesus Orozco-Romero, Maria; Borja-Urby, Raul; Veronica Ponce-Castaneda, Martha; Valentin Duran-Figueroa, Noe</t>
  </si>
  <si>
    <t>Isolation and cellular characterization of exosomes from plasma for their use as diagnostic biomarkers</t>
  </si>
  <si>
    <t>ACTA BIOQUIMICA CLINICA LATINOAMERICANA</t>
  </si>
  <si>
    <t>biomarker; exosome; retinoblastoma</t>
  </si>
  <si>
    <t>CANCER; MICRORNAS; RNA</t>
  </si>
  <si>
    <t>Exosomes are small extracellular vesicles essential in intercellular communication; they act as vehicles of broad scope. They are travelling in body fluids and delivering molecular messages to cells in the organism. Messages released by exosomes like DNA, RNA and proteins are associated with different pathological conditions including cancer. Therefore, the efficient isolation and cellular characterization of exosomes from plasma is essential to use them as biomarkers in many diseases. Here, exosomes were purified from patients diagnosed with pediatric cancer and healthy individuals as control. The exosomes recovered were characterized using cryogenic transmission electron microscopy. Moreover, the presence of CD63 and CD81 transmembrane proteins was confirmed using Western blot. Besides, miRNAs presence was identified from exosomes. This work describes a complete technique to isolate and characterize exosomes from human plasma, recognizing their potential as biomarkers.</t>
  </si>
  <si>
    <t>[de Jesus Orozco-Romero, Maria; Valentin Duran-Figueroa, Noe] Inst Politecn Nacl, Unidad Profes Interdisciplinaria Biotecnolo, Mexico City, DF, Mexico; [Borja-Urby, Raul] Inst Politecn Nacl, Ctr Nanociencias &amp; Micro &amp; Nanotecnol, Mexico City, DF, Mexico; [Valentin Duran-Figueroa, Noe] Inst Mexicano Seguro Social, Ctr Med Nacl Siglo XXI, Mexico City, DF, Mexico</t>
  </si>
  <si>
    <t>Instituto Politecnico Nacional - Mexico; Instituto Politecnico Nacional - Mexico; Instituto Mexicano del Seguro Social</t>
  </si>
  <si>
    <t>Duran-Figueroa, NV (corresponding author), Inst Politecn Nacl, Unidad Profes Interdisciplinaria Biotecnolo, Mexico City, DF, Mexico.</t>
  </si>
  <si>
    <t>nduranf@ipn.mx</t>
  </si>
  <si>
    <t>0325-2957</t>
  </si>
  <si>
    <t>1851-6114</t>
  </si>
  <si>
    <t>WOS:000401465000028</t>
  </si>
  <si>
    <t>Zhu, L; Dong, D; Yu, ZL; Zhao, YF; Pang, DW; Zhang, ZL</t>
  </si>
  <si>
    <t>Zhu, Lian; Dong, Di; Yu, Zi-Li; Zhao, Yi-Fang; Pang, Dai-Wen; Zhang, Zhi-Ling</t>
  </si>
  <si>
    <t>Folate-Engineered Microvesicles for Enhanced Target and Synergistic Therapy toward Breast Cancer</t>
  </si>
  <si>
    <t>microvesicles; phospholipid substitution; tumor targeting; synergistic therapy; in vivo imaging</t>
  </si>
  <si>
    <t>CELL-DERIVED MICROPARTICLES; IN-VIVO; EXTRACELLULAR VESICLES; DRUG-DELIVERY; TUMOR-THERAPY; PHOTOTHERMAL THERAPY; NANOPARTICLES; DNA; PACLITAXEL; SIRNA</t>
  </si>
  <si>
    <t>As an ideal nanovector candidate, microvesicles (MVs) have been gradually utilized for packaging kinds of functional molecules for effective tumor diagnosis and therapy; however, the deficiency of their tumor targeting influenced their therapy efficacy. Through a facile phospholipid substitution strategy, MVs-based drug delivery system (DDS) was apparently endowed with high tumor targeting toward breast cancer thanks to the modified folate onto the membrane of MVs, simultaneously possessing a synergistic antitumor effect, and in vivo tumor imaging attributed to the SA-QDs labeling. Tumor killing effect could be improved up to 15 percentages with the help of the improved tumor targeting ability.</t>
  </si>
  <si>
    <t>[Zhu, Lian; Dong, Di; Pang, Dai-Wen; Zhang, Zhi-Ling] Wuhan Univ, Minist Educ, Key Lab Analyt Chem Biol &amp; Med, Coll Chem &amp; Mol Sci, Wuhan 430072, Peoples R China; [Yu, Zi-Li; Zhao, Yi-Fang] Wuhan Univ, Minist Educ, Key Lab Oral Biomed, Sch &amp; Hosp Stomatol, Wuhan 430079, Peoples R China; [Yu, Zi-Li; Zhao, Yi-Fang] Wuhan Univ, Dept Oral &amp; Maxillofacial Surg, Wuhan 430079, Peoples R China</t>
  </si>
  <si>
    <t>Wuhan University; Wuhan University; Wuhan University</t>
  </si>
  <si>
    <t>Zhang, ZL (corresponding author), Wuhan Univ, Minist Educ, Key Lab Analyt Chem Biol &amp; Med, Coll Chem &amp; Mol Sci, Wuhan 430072, Peoples R China.</t>
  </si>
  <si>
    <t>zlzhang@whu.edu.cn</t>
  </si>
  <si>
    <t>Zhang, Zhi-ling/AAE-5928-2019; Zhang, Zhi-Ling/B-3135-2010</t>
  </si>
  <si>
    <t>Zhang, Zhi-ling/0000-0001-7807-2264; Zhang, Zhi-Ling/0000-0001-7807-2264; Yu, Zi-Li/0000-0003-0728-8564; Zhu, Lian/0000-0002-6895-1764</t>
  </si>
  <si>
    <t>10.1021/acsami.6b14633</t>
  </si>
  <si>
    <t>WOS:000394481800008</t>
  </si>
  <si>
    <t>Mao, WJ; Wen, Y; Lei, HZ; Lu, RG; Wang, SF; Wang, YH; Chen, R; Gu, YY; Zhu, L; Abhange, KK; Quinn, ZJ; Chen, YD; Xue, F; Zheng, MF; Wan, Y</t>
  </si>
  <si>
    <t>Mao, Wenjun; Wen, Yi; Lei, Haozhi; Lu, Rongguo; Wang, Shengfei; Wang, Yuheng; Chen, Ruo; Gu, Yuanyuan; Zhu, Lin; Abhange, Komal K.; Quinn, Zachary J.; Chen, Yundi; Xue, Fei; Zheng, Mingfeng; Wan, Yuan</t>
  </si>
  <si>
    <t>Isolation and Retrieval of Extracellular Vesicles for Liquid Biopsy of Malignant Ground-Glass Opacity</t>
  </si>
  <si>
    <t>LUNG-CANCER; NEVER SMOKERS; EXOSOMES; DNA; KRAS; ADENOCARCINOMAS; HEPARIN</t>
  </si>
  <si>
    <t>Extracellular vesicles (EVs) are cell-released vesicles of submicrometer size. EVs contain a tissue-specific signature wherein a variety of proteins and nucleic acids are selectively packaged. Recent studies validate that EVs can be used for cancer diagnostics, staging, and treatment monitoring. EV-related clinical translation requires effective EV isolation as a prerequisite. However, lengthy procedures, low yield, low throughput, and high levels of contaminants disqualify the existing isolation approaches for large-scale clinical use. Hence, new approaches for rapid, efficient, and low-cost isolation of EVs in high purity for flexible analyses of the diverse contents in real-world clinical settings are highly desired yet are currently unavailable. Here, we report the effective use of heparin/polymer-coated microspheres (HPM) for EV isolation and retrieval. Approximately 81% of EVs can be isolated from plasma in 1 h with depletion of similar to 99.5% plasma protein and nucleic acid contaminants, and 72% of isolated EVs can be retrieved with saline in 5 min for various cargo analyses. This approach was further validated with clinical samples derived from patients with malignant ground-glass opacity (GGO). In eight patients, the mutation concordance between EV DNA and tissue DNA is 39.8%. The prevalence and mutation count of EGFR, TP53, and NF1 are higher than those of other oncogenes and antioncogenes that are intensely associated with lung adenocarcinoma. Moreover, different mutation prevalence and patterns between smokers and nonsmokers can be observed. Our findings suggest that the combination of HPM assay and targeted sequencing of EV DNA could be translated in the differential diagnosis of malignant GGO with short turnaround time.</t>
  </si>
  <si>
    <t>[Mao, Wenjun; Lu, Rongguo; Wang, Shengfei; Chen, Ruo; Zheng, Mingfeng] Nanjing Med Univ, Wuxi Peoples Hosp, Dept Cardiothorac Surg, Wuxi 214023, Jiangsu, Peoples R China; [Wen, Yi; Abhange, Komal K.; Quinn, Zachary J.; Chen, Yundi; Xue, Fei; Wan, Yuan] SUNY Binghamton, Dept Biomed Engn, Pq Lab Micro Nano BiomeDx, Binghamton, NY 13902 USA; [Lei, Haozhi; Wang, Yuheng; Gu, Yuanyuan; Zhu, Lin] PerMed Biomed Inst, Shanghai 201203, Peoples R China</t>
  </si>
  <si>
    <t>Jiangnan University; Nanjing Medical University; State University of New York (SUNY) System; State University of New York (SUNY) Binghamton</t>
  </si>
  <si>
    <t>Zheng, MF (corresponding author), Nanjing Med Univ, Wuxi Peoples Hosp, Dept Cardiothorac Surg, Wuxi 214023, Jiangsu, Peoples R China.;Wan, Y (corresponding author), SUNY Binghamton, Dept Biomed Engn, Pq Lab Micro Nano BiomeDx, Binghamton, NY 13902 USA.</t>
  </si>
  <si>
    <t>ywan@binghamton.edu; zhengmfmedical@126.com</t>
  </si>
  <si>
    <t>NOV 5</t>
  </si>
  <si>
    <t>10.1021/acs.analchem.9b03064</t>
  </si>
  <si>
    <t>WOS:000495469100055</t>
  </si>
  <si>
    <t>Roy, JW; Taylor, CA; Beauregard, AP; Dhadi, SR; Ayre, DC; Fry, S; Chacko, S; Wajnberg, G; Joy, AP; Mai-Thi, NN; Crapoulet, N; Barnett, DA; Ghosh, A; Lewis, SM; Ouellette, RJ</t>
  </si>
  <si>
    <t>Roy, Jeremy W.; Taylor, Catherine A.; Beauregard, Annie P.; Dhadi, Surendar R.; Ayre, D. Craig; Fry, Sheena; Chacko, Simi; Wajnberg, Gabriel; Joy, Andrew P.; Mai-Thi, Ngoc-Nu; Crapoulet, Nicolas; Barnett, David A.; Ghosh, Anirban; Lewis, Stephen M.; Ouellette, Rodney J.</t>
  </si>
  <si>
    <t>A multiparametric extraction method for Vn96-isolated plasma extracellular vesicles and cell-free DNA that enables multi-omic profiling</t>
  </si>
  <si>
    <t>INTERNATIONAL SOCIETY; POSITION STATEMENT; LIQUID BIOPSIES; CHALLENGES</t>
  </si>
  <si>
    <t>Extracellular vesicles (EVs) have been recognized as a rich material for the analysis of DNA, RNA, and protein biomarkers. A remaining challenge for the deployment of EV-based diagnostic and prognostic assays in liquid biopsy testing is the development of an EV isolation method that is amenable to a clinical diagnostic lab setting and is compatible with multiple types of biomarker analyses. We have previously designed a synthetic peptide, known as Vn96 (ME kit), which efficiently isolates EVs from multiple biofluids in a short timeframe without the use of specialized lab equipment. Moreover, it has recently been shown that Vn96 also facilitates the co-isolation of cell-free DNA (cfDNA) along with EVs. Herein we describe an optimized method for Vn96 affinity-based EV and cfDNA isolation from plasma samples and have developed a multiparametric extraction protocol for the sequential isolation of DNA, RNA, and protein from the same plasma EV and cfDNA sample. We are able to isolate sufficient material by the multiparametric extraction protocol for use in downstream analyses, including ddPCR (DNA) and 'omic profiling by both small RNA sequencing (RNA) and mass spectrometry (protein), from a minimum volume (4 mL) of plasma. This multiparametric extraction protocol should improve the ability to analyse multiple biomarker materials (DNA, RNA and protein) from the same limited starting material, which may improve the sensitivity and specificity of liquid biopsy tests that exploit EV-based and cfDNA biomarkers for disease detection and monitoring.</t>
  </si>
  <si>
    <t>[Roy, Jeremy W.; Taylor, Catherine A.; Beauregard, Annie P.; Dhadi, Surendar R.; Ayre, D. Craig; Fry, Sheena; Chacko, Simi; Wajnberg, Gabriel; Joy, Andrew P.; Mai-Thi, Ngoc-Nu; Crapoulet, Nicolas; Barnett, David A.; Ghosh, Anirban; Lewis, Stephen M.; Ouellette, Rodney J.] Atlantic Canc Res Inst, 35 Providence St, Moncton, NB E1C 8X3, Canada; [Ghosh, Anirban; Lewis, Stephen M.; Ouellette, Rodney J.] Univ Moncton, Dept Chem &amp; Biochem, Moncton, NB, Canada; [Lewis, Stephen M.] Beatrice Hunter Canc Res Inst, Halifax, NS, Canada; [Beauregard, Annie P.] Fisheries &amp; Oceans Canada, Aquat Anim Hlth, Moncton, NB, Canada; [Ayre, D. Craig] Univ Med &amp; Hlth Sci, Immunol Genet &amp; Mol Sci, Basseterre, St Kitts &amp; Nevi; [Fry, Sheena] Hlth Canada, Specialized Hlth Serv Directorate, Ottawa, ON, Canada</t>
  </si>
  <si>
    <t>University of Moncton; Fisheries &amp; Oceans Canada; Health Canada</t>
  </si>
  <si>
    <t>Ouellette, RJ (corresponding author), Atlantic Canc Res Inst, 35 Providence St, Moncton, NB E1C 8X3, Canada.;Ouellette, RJ (corresponding author), Univ Moncton, Dept Chem &amp; Biochem, Moncton, NB, Canada.</t>
  </si>
  <si>
    <t>rodneyo@canceratl.ca</t>
  </si>
  <si>
    <t>Wajnberg, Gabriel/AAQ-4270-2021</t>
  </si>
  <si>
    <t>Wajnberg, Gabriel/0000-0002-4479-4063; Joy, Andrew/0000-0002-5477-1615; Roy, Jeremy/0000-0003-0126-1248</t>
  </si>
  <si>
    <t>10.1038/s41598-021-87526-y</t>
  </si>
  <si>
    <t>WOS:000640612400036</t>
  </si>
  <si>
    <t>Zhu, QJ; Zhu, M; Xu, XX; Meng, XM; Wu, YG</t>
  </si>
  <si>
    <t>Zhu, Qi-Jin; Zhu, Mei; Xu, Xing-Xin; Meng, Xiao-Ming; Wu, Yong-Gui</t>
  </si>
  <si>
    <t>Exosomes from high glucose-treated macrophages activate glomerular mesangial cells via TGF-beta 1/Smad3 pathway in vivo and in vitro</t>
  </si>
  <si>
    <t>diabetic nephropathy; activation; proliferation; fibrosis</t>
  </si>
  <si>
    <t>KIDNEY-DISEASE; EXTRACELLULAR VESICLES; DIABETIC-NEPHROPATHY; INJURY; PROTEINURIA; PROGRESSION; MECHANISMS; INSIGHTS; PODOCYTE</t>
  </si>
  <si>
    <t>Diabetes nephropathy (DN) is characterized by abnormal interactions between kidney-infiltrating macrophages and glomerular mesangial cells. Recently, a novel cell-cell communication mediated by exosomes has gained attention. Exosomes are membrane-bound vesicles that contain a variety of molecules such as proteins, lipids, DNA, mRNA, and microRNAs. Exosomes play an important role in the pathogenesis of DN. In this study, we show that high glucose (HG) led to increased excretion of exosomes from macrophages. Mesangial cells took up exosomes in vitro, which resulted in the activation and proliferation of mesangial cells and the secretion of extracellular matrix and inflammatory cytokines. In addition, C57BL/6 mice injected with exosomes from HG-treated macrophages showed morphologic and functional changes. We then showed that exosomes from HG-treated TGF-beta 1 knockdown macrophages induced less extracellular matrix and fewer inflammatory factors in mesangial cells compared with vector control. Our findings suggest that TGF-beta 1 mRNA in exosomes serves a role between macrophages and mesangial cells by activating the TGF-beta 1/ mothers against decapentaplegic homolog 3 pathway.-Zhu, Q.-J., Zhu, M., Xu, M.-X., Meng, X.-M., Wu, Y.-G. Exosomes from high glucose-treated macrophages activate glomerular mesangial cells via TGF-beta 1/Smad3 pathway in vivo and in vitro.</t>
  </si>
  <si>
    <t>[Zhu, Qi-Jin; Zhu, Mei; Xu, Xing-Xin; Wu, Yong-Gui] Anhui Med Univ, Affiliated Hosp 1, Dept Nephrol, 218 Jixi Rd, Hefei 230032, Anhui, Peoples R China; [Meng, Xiao-Ming] Anhui Med Univ, Sch Pharm, 81 Meishan Rd, Hefei 230032, Anhui, Peoples R China</t>
  </si>
  <si>
    <t>Anhui Medical University; Anhui Medical University</t>
  </si>
  <si>
    <t>Wu, YG (corresponding author), Anhui Med Univ, Affiliated Hosp 1, Dept Nephrol, 218 Jixi Rd, Hefei 230032, Anhui, Peoples R China.;Meng, XM (corresponding author), Anhui Med Univ, Sch Pharm, 81 Meishan Rd, Hefei 230032, Anhui, Peoples R China.</t>
  </si>
  <si>
    <t>mengxiaoming@ahmu.edu.cn; wuyonggui@medmail.com.cn</t>
  </si>
  <si>
    <t>10.1096/fj.201802427RRR</t>
  </si>
  <si>
    <t>WOS:000478832900046</t>
  </si>
  <si>
    <t>Andrade, LND; Otake, AH; Cardim, SGB; da Silva, FIL; Sakamoto, MMI; Furuya, TK; Uno, M; Pasini, FS; Chammas, R</t>
  </si>
  <si>
    <t>de Sousa Andrade, Luciana Nogueira; Otake, Andreia Hanada; Braga Cardim, Silvia Guedes; da Silva, Felipe I. Lelis; Ikoma Sakamoto, Mariana Mari; Furuya, Tatiane Katsue; Uno, Miyuki; Pasini, Fatima Solange; Chammas, Roger</t>
  </si>
  <si>
    <t>Extracellular Vesicles Shedding Promotes Melanoma Growth in Response to Chemotherapy</t>
  </si>
  <si>
    <t>BREAST-CANCER CELLS; IN-VITRO; EXOSOMES; TUMOR; RESISTANCE; PHENOTYPE; ANGIOGENESIS; MICROENVIRONMENT; BIOCHEMOTHERAPY; MACROPHAGES</t>
  </si>
  <si>
    <t>Extracellular vesicles (EVs) are emerging as key players in intercellular communication. EVs can transfer biological macromolecules to recipient cells, modulating various physiological and pathological processes. It has been shown that tumor cells secrete large amounts of EVs that can be taken up by malignant and stromal cells, dictating tumor progression. In this study, we investigated whether EVs secreted by melanoma cells in response to chemotherapy modulate tumor response to alkylating drugs. Our findings showed that human and murine melanoma cells secrete more EVs after treatment with temozolomide and cisplatin. We observed that EVs shed by melanoma cells after temozolomide treatment modify macrophage phenotype by skewing macrophage activation towards the M2 phenotype through upregulation of M2-marker genes. Moreover, these EVs were able to favor melanoma re-growth in vivo, which was accompanied by an increase in Arginase 1 and IL10 gene expression levels by stromal cells and an increase in genes related to DNA repair, cell survival and stemness in tumor cells. Taken together, this study suggests that EVs shed by tumor cells in response to chemotherapy promote tumor repopulation and treatment failure through cellular reprogramming in melanoma cells.</t>
  </si>
  <si>
    <t>[de Sousa Andrade, Luciana Nogueira; Otake, Andreia Hanada; Braga Cardim, Silvia Guedes; da Silva, Felipe I. Lelis; Ikoma Sakamoto, Mariana Mari; Furuya, Tatiane Katsue; Uno, Miyuki; Pasini, Fatima Solange; Chammas, Roger] Univ Sao Paulo, Fac Med, Hosp Clin HCFMUSP, Inst Canc Estado Sao Paulo,Ctr Invest Translac On, Ave Dr Arnaldo 251, BR-01246000 Sao Paulo, SP, Brazil</t>
  </si>
  <si>
    <t>Andrade, LND; Otake, AH (corresponding author), Univ Sao Paulo, Fac Med, Hosp Clin HCFMUSP, Inst Canc Estado Sao Paulo,Ctr Invest Translac On, Ave Dr Arnaldo 251, BR-01246000 Sao Paulo, SP, Brazil.</t>
  </si>
  <si>
    <t>lnsa@usp.br; otake@usp.br</t>
  </si>
  <si>
    <t>Furuya, Tatiane K/E-5543-2013; Pasini, Fatima Solange/AAA-2283-2019; Uno, Miyuki/AAB-5486-2022; Furuya, Tatiane Katsue/B-5842-2015; Chammas, Roger/A-8004-2011; Otake, Andréia H./F-5131-2016</t>
  </si>
  <si>
    <t>Pasini, Fatima Solange/0000-0002-0361-7781; Chammas, Roger/0000-0003-0342-8726; Otake, Andréia H./0000-0003-1303-1220; Andrade, Luciana/0000-0003-2735-1217</t>
  </si>
  <si>
    <t>OCT 9</t>
  </si>
  <si>
    <t>10.1038/s41598-019-50848-z</t>
  </si>
  <si>
    <t>WOS:000489243200014</t>
  </si>
  <si>
    <t>Borzdzilowska, P; Bednarek, I</t>
  </si>
  <si>
    <t>Borzdzilowska, Paulina; Bednarek, Ilona</t>
  </si>
  <si>
    <t>EXOSOMES AS ONE OF THE ELEMENTS OF THE MICROENVIRONMENT</t>
  </si>
  <si>
    <t>exosomes; microenvironment</t>
  </si>
  <si>
    <t>TUMOR MICROENVIRONMENT; TRANSFERRIN RECEPTOR; MATURATION; BIOGENESIS; BIOMARKERS; ROLES; CELLS</t>
  </si>
  <si>
    <t>Microenvironment plays an important role among the multiple changes inside and between cells. Defining this word is not easy. It requires any processes and changes going on the physical, biochemical and molecular levels. Microenvironment is created by the extracellular matrix and cells, mainly fibroblasts and immune system cells. Nevertheless, its characteristics is changeable and depends on the place of origin. Investigating the influence of the microenvironment under physiological conditions is necessary to understand the functioning of our body. It is important to understand the mechanisms that take place around cancer cells, too. Knowledge of the role of fibroblasts and immune system cells in the development of neoplastic tissue will help to better understand the mechanisms of cancer development and, consequently, the selection of appropriate therapies. Exosomes were discovered as a new element of the microenvironment. The discovery of these small, vesicular particles is an important element of understanding the development of cancer. Exosomes are responsible for carrying and delivering biological information to cells. The inside elements, such as DNA, RNA or proteins carrying genetic information, fulfill this function. There are now high hopes considering exosomes in terms of their usage in cancer therapy. Understand the mechanism of exomes formation and transmission of genetic information is necessary to understand the exome's operation and impact on other cells, importantly, it can become the basis for the development of new strategies for prognosis, diagnosis and treatment of many diseases.</t>
  </si>
  <si>
    <t>[Borzdzilowska, Paulina; Bednarek, Ilona] Slaski Uniwersytet Med Katowicach, Zaklad Biotechnol &amp; Inzynierii Genetycznej, Wydzial Nauk Farmaceutycznych Sosnowiec, Sosnowiec, Poland</t>
  </si>
  <si>
    <t>Medical University Silesia</t>
  </si>
  <si>
    <t>Borzdzilowska, P (corresponding author), Slaski Uniwersytet Med Katowicach, Zaklad Biotechnol &amp; Inzynierii Genetycznej, Wydzial Nauk Farmaceutycznych, Ul Jednosci 8, PL-41200 Sosnowiec, Poland.</t>
  </si>
  <si>
    <t>paulina.borzdzilowska@med.sum.edu.pl</t>
  </si>
  <si>
    <t>WOS:000744150900003</t>
  </si>
  <si>
    <t>Habier, J; May, P; Heintz-Buschart, A; Ghosal, A; Wienecke-Baldacchino, AK; Nolte-'tHoen, ENM; Wilmes, P; Fritz, JV</t>
  </si>
  <si>
    <t>Arluison, V; Valverde, C</t>
  </si>
  <si>
    <t>Habier, Janine; May, Patrick; Heintz-Buschart, Anna; Ghosal, Anubrata; Wienecke-Baldacchino, Anke K.; Nolte-'tHoen, Esther N. M.; Wilmes, Paul; Fritz, Joelle V.</t>
  </si>
  <si>
    <t>Extraction and Analysis of RNA Isolated from Pure Bacteria-Derived Outer Membrane Vesicles</t>
  </si>
  <si>
    <t>BACTERIAL REGULATORY RNA: METHODS AND PROTOCOLS</t>
  </si>
  <si>
    <t>Bacteria; RNA; Outer membrane vesicle (OMV); Gram-negative; Sequencing; Analysis; Extraction; Ultracentrifugation; Ultrafiltration; Density gradient</t>
  </si>
  <si>
    <t>Outer membrane vesicles (OMVs) are released by commensal as well as pathogenic Gram-negative bacteria. These vesicles contain numerous bacterial components, such as proteins, peptidoglycans, lipopolysaccharides, DNA, and RNA. To examine if OMV-associated RNA molecules are bacterial degradation products and/or are functionally active, it is necessary to extract RNA from pure OMVs for subsequent analysis. Therefore, we describe here an isolation method of ultrapure OMVs and the subsequent extraction of RNA and basic steps of RNA-Seq analysis. Bacterial culture, extracellular supernatant concentration, OMV purification, and the subsequent RNA extraction out of OMVs are described. Specific pitfalls within the protocol and RNA contamination sources are highlighted.</t>
  </si>
  <si>
    <t>[Habier, Janine; May, Patrick; Heintz-Buschart, Anna; Wilmes, Paul; Fritz, Joelle V.] Univ Luxembourg, Luxembourg Ctr Syst Biomed, Belvaux, Luxembourg; [Heintz-Buschart, Anna] German Ctr Integrat Biodivers Res iDiv Leipzig Ha, Leipzig, Germany; [Heintz-Buschart, Anna] Helmholtz Ctr Environm Res GmbH UFZ, Dept Soil Ecol, Halle, Saale, Germany; [Ghosal, Anubrata] MIT, Dept Biol, Cambridge, MA USA; [Wienecke-Baldacchino, Anke K.] Univ Luxembourg, Life Sci Res Unit, Belvaux, Luxembourg; [Nolte-'tHoen, Esther N. M.] Univ Utrecht, Fac Vet Med, Dept Biochem &amp; Cell Biol, Utrecht, Netherlands; [Fritz, Joelle V.] Ctr Hosp Luxembourg, Luxembourg, Luxembourg</t>
  </si>
  <si>
    <t>University of Luxembourg; Helmholtz Association; Helmholtz Center for Environmental Research (UFZ); Massachusetts Institute of Technology (MIT); University of Luxembourg; Utrecht University; Luxembourg Hospital Center</t>
  </si>
  <si>
    <t>Habier, J (corresponding author), Univ Luxembourg, Luxembourg Ctr Syst Biomed, Belvaux, Luxembourg.</t>
  </si>
  <si>
    <t>Heintz-Buschart, Anna/AAP-3796-2020; Hoen, Esther Nolte-'t/AAE-7289-2021; May, Patrick/B-1238-2010; Wilmes, Paul/B-1707-2017; May, Patrick/N-1019-2019</t>
  </si>
  <si>
    <t>Heintz-Buschart, Anna/0000-0002-9780-1933; May, Patrick/0000-0001-8698-3770; Wilmes, Paul/0000-0002-6478-2924; May, Patrick/0000-0001-8698-3770; Wienecke-Baldacchino, Anke/0000-0002-3687-9091; Fritz, Joelle/0000-0002-4694-3923</t>
  </si>
  <si>
    <t>978-1-4939-7634-8; 978-1-4939-7633-1</t>
  </si>
  <si>
    <t>10.1007/978-1-4939-7634-8_13</t>
  </si>
  <si>
    <t>10.1007/978-1-4939-7634-8</t>
  </si>
  <si>
    <t>WOS:000441293100014</t>
  </si>
  <si>
    <t>Abdouh, M; Hamam, D; Gao, ZH; Arena, V; Arena, M; Arena, GO</t>
  </si>
  <si>
    <t>Abdouh, Mohamed; Hamam, Dana; Gao, Zu-Hua; Arena, Vincenzo; Arena, Manuel; Arena, Goffredo Orazio</t>
  </si>
  <si>
    <t>Exosomes isolated from cancer patients' sera transfer malignant traits and confer the same phenotype of primary tumors to oncosuppressor-mutated cells</t>
  </si>
  <si>
    <t>Cancer patients' serum; Exosomes; Malignant transformation; Horizontal transfer; Tumor suppressor genes; Genometastasis; Phenotypical differentiation</t>
  </si>
  <si>
    <t>EXTRACELLULAR VESICLES; STEM-CELLS; MICROVESICLES; METASTASIS; BIOGENESIS; EXPRESSION; BIOMARKER; PROTEINS; DNA; IDENTIFICATION</t>
  </si>
  <si>
    <t>Background: Horizontal transfer of malignant traits from the primary tumor to distant organs, through blood circulating factors, has recently become a thoroughly studied metastatic pathway to explain cancer dissemination. Recently, we reported that oncosuppressor gene-mutated human cells undergo malignant transformation when exposed to cancer patients' sera. We also observed that oncosuppressor mutated cells would show an increased uptake of cancer-derived exosomes and we suggested that oncosuppressor genes might protect the integrity of the cell genome by blocking integration of cancer-derived exosomes. In the present study, we tested the hypothesis that cancer patients' sera-derived exosomes might be responsible for the malignant transformation of target cells and that oncosuppressor mutation would promote their increased uptake. We also sought to unveil the mechanisms behind the hypothesized phenomena. Methods: We used human BRCA1 knockout (BRCA1-KO) fibroblasts as target cells. Cells were treated in vitro with cancer patients' sera or cancer patients' sera-derived exosomes. Treated cells were injected into NOD-SCID mice. Immunohistochemical analyses were performed to determine the differentiation state of the xenotransplants. Mass spectrometry analyses of proteins from cancer exosomes and the BRCA1-KO fibroblasts' membrane were performed to investigate possible de novo expression of molecules involved in vesicles uptake. Blocking of the identified molecules in vitro was performed and in vivo experiments were conducted to confirm the role of these molecules in the malignant transformation carried out by cancer-derived exosomes. Results: Cells treated with exosomes isolated from cancer patients' sera underwent malignant transformation and formed tumors when transplanted into immunodeficient mice. Histological analyses showed that the tumors were carcinomas that differentiated into the same lineage of the primary tumors of blood donors. Oncosuppressor mutation promoted the de novo expression, on the plasma membrane of target cells, of receptors, responsible for the increased uptake of cancer-derived exosomes. The selective blocking of these receptors inhibited the horizontal transfer of malignant traits. Conclusion: These findings strengthen the hypothesis that oncogenic factors transferred via circulating cancer exosomes, induce malignant transformation of target cells even at distance. Oncosuppressor genes might protect the integrity of the cell genome by inhibiting the uptake of cancer-derived exosomes.</t>
  </si>
  <si>
    <t>[Abdouh, Mohamed; Hamam, Dana; Arena, Goffredo Orazio] McGill Univ, Canc Res Program, Hlth Centre Res Inst, 1001 Decarie Blvd, Montreal, PQ H4A 3J1, Canada; [Hamam, Dana] McGill Univ, Dept Expt Surg, Fac Med, 845 Rue Sherbrooke O, Montreal, PQ H3A 0G4, Canada; [Gao, Zu-Hua] McGill Univ, Hlth Ctr, Res Inst, Dept Pathol, 1001 Decarie Blvd, Montreal, PQ H4A 3J1, Canada; [Arena, Vincenzo] Santo Bambino Hosp, Dept Obstet &amp; Gynecol, Via Torre del Vescovo 4, Catania, Italy; [Arena, Manuel] Univ Catania, Dept Surg Sci Organ Transplantat &amp; Adv Technol, Via Santa Sofia 84, Catania, Italy; [Arena, Goffredo Orazio] McGill Univ, St Mary Hosp, Dept Surg, 3830 Lacombe Ave, Montreal, PQ H3T 1M5, Canada</t>
  </si>
  <si>
    <t>McGill University; McGill University; McGill University; University of Catania; McGill University</t>
  </si>
  <si>
    <t>Arena, GO (corresponding author), McGill Univ, Canc Res Program, Hlth Centre Res Inst, 1001 Decarie Blvd, Montreal, PQ H4A 3J1, Canada.;Arena, GO (corresponding author), McGill Univ, St Mary Hosp, Dept Surg, 3830 Lacombe Ave, Montreal, PQ H3T 1M5, Canada.</t>
  </si>
  <si>
    <t>arena, goffredo/AAR-5283-2020</t>
  </si>
  <si>
    <t>Arena, Goffredo/0000-0002-5293-2972; Abdouh, Mohamed/0000-0003-0702-9335</t>
  </si>
  <si>
    <t>AUG 30</t>
  </si>
  <si>
    <t>10.1186/s13046-017-0587-0</t>
  </si>
  <si>
    <t>WOS:000408632100001</t>
  </si>
  <si>
    <t>Shen, N; Jiang, L; Li, Q; Cui, JK; Zhou, S; Cheng, FJ; Zhong, ZD; Meng, L; You, Y; Zhu, XJ; Zou, P</t>
  </si>
  <si>
    <t>Shen, Na; Jiang, Lin; Li, Qing; Cui, Jieke; Zhou, Shu; Cheng, Fanjun; Zhong, Zhaodong; Meng, Li; You, Yong; Zhu, Xiaojian; Zou, Ping</t>
  </si>
  <si>
    <t>The epigenetic effect of microRNA in BCR-ABL1-positive microvesicles during the transformation of normal hematopoietic transplants</t>
  </si>
  <si>
    <t>epigenetics; microvesicles; microRNA; lincRNA; malignant transformation</t>
  </si>
  <si>
    <t>CHRONIC MYELOID-LEUKEMIA; CHRONIC LYMPHOCYTIC-LEUKEMIA; ABERRANT DNA METHYLATION; DISEASE PROGRESSION; CANCER; GENES; CELLS; COMMUNICATION; MALIGNANCIES; GENERATION</t>
  </si>
  <si>
    <t>Epigenetics have been demonstrated to play a pivotal role in the progression of multiple cancers. Our previous study has demonstrated that microvesicles (MVs) derived from K562 cells could malignantly transform normal hematopoietic cells. The aim of this section was to elucidate the epigenetic effects of RNA in K562-MVs. We altered some epigenetic RNAs (miR-106a-5p, miR-106b-5p and lincPOU3F3) in K562-MVs and followed the process of transformation. Global DNA methylation and DNA methyltransferase (DNMT) levels were observed respectively. Our findings revealed that increased miR-106a/b in K562-MVs accelerated the transformation process (8.33 +/- 0.94 vs. 13.29 +/- 1.28 days; P&lt;0.01) whereas decreased lincPOU3F3 delayed the transformation (17.83 +/- 0.29 days; P&lt;0.05). The targets of miR-106a/b and lincPOU3F3 in the recipient cells were DNMT3a and DNMT3b. We found that lincPOU3F3 directly increased the DNMT3a/b while miR-106a/b only in part by targeting RB. However, global DNA methylation and special gene methylation was altered due to the concurrent regulation of DNMT3a and DNMT3b. Consequently, we demonstrated that tumor-derived MVs represent a notable intercellular epigenetic communication between cancer cells and recipient cells.</t>
  </si>
  <si>
    <t>[Shen, Na; Jiang, Lin; Cui, Jieke; Zhou, Shu; Cheng, Fanjun; Zhong, Zhaodong; You, Yong; Zou, Ping] Huazhong Univ Sci &amp; Technol, Tongji Med Coll, Union Hosp, Inst Hematol, 1277 Jiefang Rd, Wuhan 430022, Hubei, Peoples R China; [Li, Qing] Wuhan 1 Hosp, Dept Hematol, Wuhan 430022, Hubei, Peoples R China; [Meng, Li; Zhu, Xiaojian] Huazhong Univ Sci &amp; Technol, Tongji Med Coll, Tongji Hosp, Dept Hematol, 1095 Jiefang Rd, Wuhan 430030, Hubei, Peoples R China</t>
  </si>
  <si>
    <t>Huazhong University of Science &amp; Technology; Huazhong University of Science &amp; Technology</t>
  </si>
  <si>
    <t>Zhong, ZD (corresponding author), Huazhong Univ Sci &amp; Technol, Tongji Med Coll, Union Hosp, Inst Hematol, 1277 Jiefang Rd, Wuhan 430022, Hubei, Peoples R China.;Meng, L (corresponding author), Huazhong Univ Sci &amp; Technol, Tongji Med Coll, Tongji Hosp, Dept Hematol, 1095 Jiefang Rd, Wuhan 430030, Hubei, Peoples R China.</t>
  </si>
  <si>
    <t>zhongzhaodong@medmail.com.cn; limeng@tjmu.edu.cn</t>
  </si>
  <si>
    <t>10.3892/or.2017.5966</t>
  </si>
  <si>
    <t>WOS:000414021300078</t>
  </si>
  <si>
    <t>Rasmussen, NS; Nielsen, CT; Nielsen, CH; Jacobsen, S</t>
  </si>
  <si>
    <t>Rasmussen, N. S.; Nielsen, C. T.; Nielsen, C. H.; Jacobsen, S.</t>
  </si>
  <si>
    <t>Microvesicles in active lupus nephritis show Toll-like receptor 9-dependent co-expression of galectin-3 binding protein and double-stranded DNA</t>
  </si>
  <si>
    <t>CLINICAL AND EXPERIMENTAL IMMUNOLOGY</t>
  </si>
  <si>
    <t>G3BP; microvesicles; PBMCs; SLE; TLR-9</t>
  </si>
  <si>
    <t>Circulating microvesicles (MVs) from patients with systemic lupus erythematosus (SLE) express the type 1 interferon (IFN)-inducible protein galectin-3 binding protein (G3BP), which may enhance their deposition in the glomerular basement membrane. The release of G3BP-expressing MVs from normal peripheral blood mononuclear cells (PBMCs) is induced by Toll-like receptor 9 (TLR-9) ligands, and these vesicles contain autoantibody-accessible double-stranded DNA (dsDNA). This study compares the release of MVs expressing G3BP and dsDNA from PBMCs derived from SLE patients with or without active lupus nephritis (LN) and from healthy donors, and taps further into the potential dependency on IFN-alpha for their generation and impacts of TLR-7/TLR-9 co-stimulation. PBMCs from 10 healthy donors and 12 SLE patients, six of whom had active LN at study inclusion, were stimulated in-vitro with recombinant human IFN-alpha and the TLR-9 agonists oligodeoxynucleotide (ODN)2216 or ODN2395 alone or in combination with the TLR-7 agonist gardiquimod. MVs in the supernatants were subsequently isolated by differential centrifugation and their expression of G3BP and dsDNA was quantified by flow cytometry. Stimulation with ODN2395 significantly increased the release of MVs co-expressing G3BP and dsDNA from PBMCs isolated from healthy donors and SLE patients. The expression of G3BP on individual MVs and the proportion of G3BP and dsDNA double-positive MVs released were increased in active LN patients. Neither co-stimulation with gardiquimod nor with the IFN-alpha inhibitor IN-1 had any effect on the MV release induced by ODN2395. In conclusion, the TLR-9-mediated inducibility of MVs co-expressing G3BP and dsDNA is increased in SLE patients with active LN.</t>
  </si>
  <si>
    <t>[Rasmussen, N. S.; Nielsen, C. H.] Copenhagen Univ Hosp, Rigshosp, Ctr Rheumatol &amp; Spine Dis, Inst Inflammat Res, Copenhagen, Denmark; [Rasmussen, N. S.; Nielsen, C. T.; Jacobsen, S.] Copenhagen Univ Hosp, Rigshosp, Copenhagen Lupus &amp; Vasculitis Clin, Ctr Rheumatol &amp; Spine Dis, Copenhagen, Denmark; [Jacobsen, S.] Univ Copenhagen, Fac Hlth &amp; Med Sci, Dept Clin Med, Copenhagen, Denmark</t>
  </si>
  <si>
    <t>Rigshospitalet; University of Copenhagen; Rigshospitalet; University of Copenhagen; University of Copenhagen</t>
  </si>
  <si>
    <t>Nielsen, CH (corresponding author), Rigshosp, Inst Inflammat Res, Ctr Rheumatol &amp; Spine Dis, Sect 7521,Tagensvej 20, DK-2200 Copenhagen, Denmark.</t>
  </si>
  <si>
    <t>claus.henrik.nielsen@regionh.dk</t>
  </si>
  <si>
    <t>Jacobsen, Soren/0000-0002-5654-4993</t>
  </si>
  <si>
    <t>0009-9104</t>
  </si>
  <si>
    <t>1365-2249</t>
  </si>
  <si>
    <t>10.1111/cei.13569</t>
  </si>
  <si>
    <t>WOS:000611401400001</t>
  </si>
  <si>
    <t>Pavanello, S; Bonzini, M; Angelici, L; Motta, V; Pergoli, L; Hoxha, M; Cantone, L; Pesatori, AC; Apostoli, P; Tripodi, A; Baccarelli, A; Bollati, V</t>
  </si>
  <si>
    <t>Pavanello, Sofia; Bonzini, Matteo; Angelici, Laura; Motta, Valeria; Pergoli, Laura; Hoxha, Mirjam; Cantone, Laura; Pesatori, Angela Cecilia; Apostoli, Pietro; Tripodi, Armando; Baccarelli, Andrea; Bollati, Valentina</t>
  </si>
  <si>
    <t>Extracellular vesicle-driven information mediates the long-term effects of particulate matter exposure on coagulation and inflammation pathways</t>
  </si>
  <si>
    <t>TOXICOLOGY LETTERS</t>
  </si>
  <si>
    <t>Particulate air pollution (PM); Extracellular vesicles (EVs); microRNAs; EV-encapsulated microRNAs (EVmiRNAs); Cardiorespiratory diseases (CRD); Type 2 diabetes (T2D); Inflammation; Coagulation</t>
  </si>
  <si>
    <t>PROTEIN-KINASE-C; AIR-POLLUTION; CARDIOVASCULAR-DISEASE; MICRORNA EXPRESSION; AMBIENT PARTICLES; FOUNDRY WORKERS; DNA METHYLATION; MORTALITY; RISK; MICROVESICLES</t>
  </si>
  <si>
    <t>Background: Continuous exposure to particulate air pollution (PM) is a serious worldwide threat to public health as it coherently links with increased morbidity and mortality of cardiorespiratory diseases (CRD), and of type 2 diabetes (T2D). Extracellular vesicles (EVs) are circular plasma membrane fragments released from human cells that transfer microRNAs between tissues. In the present work it was explored the hypothesis that EVs with their encapsulated microRNAs (EVmiRNAs) contents might mediate PM effects by triggering key pathways in CRD and T2D. Methods: Expression of EVmiRNAs analyzed by real-time PCR was correlated with oxidative stress, coagulation and inflammation markers, from healthy steel plant workers (n = 55) with a well characterized exposure to PM and PM-associated metals. All p-values were adjusted for multiple comparisons. In-silico Ingenuity Pathway Analysis (IPA) was performed to identify biological pathways regulated by PM-associated EVmiRNAs. Results: Increased expression in 17 EVmiRNAs is associated with PM and metal exposure (p &lt; 0.01). Mir-196b that tops the list, being related to 9 different metals, is fundamental in insulin biosynthesis, however three (miR-302b, miR-200c, miR-30d) out of these 17 EVmiRNAs are in turn also related to disruptions (p &lt;0.01) in inflammatory and coagulation markers. Conclusions: The study's findings support the hypothesis that adverse cardiovascular and metabolic effects stemming from inhalation exposures in particular to PM metallic component may be mediated by EVmiRNAs that target key factors in the inflammation, coagulation and glucose homeostasis pathways. (C) 2016 Elsevier Ireland Ltd. All rights reserved.</t>
  </si>
  <si>
    <t>[Pavanello, Sofia] Univ Padua, Dept Cardiac Thorac &amp; Vasc Sci, Occupat Med, I-35128 Padua, Italy; [Bonzini, Matteo; Angelici, Laura; Motta, Valeria; Pergoli, Laura; Hoxha, Mirjam; Cantone, Laura; Pesatori, Angela Cecilia; Bollati, Valentina] Univ Milan, EPIGET Epidemiol Epigenet &amp; Toxicol Lab, Dept Clin Sci &amp; Community Hlth, Milan, Italy; [Bonzini, Matteo; Pesatori, Angela Cecilia; Bollati, Valentina] Fdn IRCCS Ca Granda Osped Maggiore Policlin, Dept Prevent Med, Epidemiol Unit, Milan, Italy; [Apostoli, Pietro] Univ Brescia, Dept Expt &amp; Appl Med, Occupat Med &amp; Ind Hyg, I-25123 Brescia, Italy; [Tripodi, Armando] Univ Milan, Dept Clin Sci &amp; Community Hlth, Angelo Bianchi Bonomi Haemophilia &amp; Thrombosis Ct, I-20122 Milan, Italy; [Tripodi, Armando] IRCCS Maggiore Hosp Fdn, I-20122 Milan, Italy; [Baccarelli, Andrea] Columbia Mailman Sch Publ Hlth, Dept Environm Hlth Sci, New York, NY 10032 USA</t>
  </si>
  <si>
    <t>University of Padua; University of Milan; IRCCS Ca Granda Ospedale Maggiore Policlinico; University of Brescia; University of Milan</t>
  </si>
  <si>
    <t>Pavanello, S (corresponding author), Univ Padua, Dept Cardiac Thorac &amp; Vasc Sci, Unit Occupat Med, Via Giustiniani 2, I-35128 Padua, Italy.</t>
  </si>
  <si>
    <t>sofia.pavanello@unipd.it</t>
  </si>
  <si>
    <t>Stefanadis, Christodoulos/ABH-2232-2020; Angelici, Laura/AAC-2633-2019; pesatori, angela/K-5742-2016; Pergoli, Laura/I-5592-2015; Cantone, Laura/K-9516-2016</t>
  </si>
  <si>
    <t>Stefanadis, Christodoulos/0000-0001-5974-6454; Pavanello, Sofia/0000-0002-5229-9900; pesatori, angela/0000-0002-0261-3252; Pergoli, Laura/0000-0002-4710-198X; Cantone, Laura/0000-0003-3660-129X; Angelici, Laura/0000-0003-3731-1606; Bollati, Valentina/0000-0002-0370-9598</t>
  </si>
  <si>
    <t>0378-4274</t>
  </si>
  <si>
    <t>1879-3169</t>
  </si>
  <si>
    <t>SEP 30</t>
  </si>
  <si>
    <t>10.1016/j.toxlet.2016.08.002</t>
  </si>
  <si>
    <t>WOS:000385332000017</t>
  </si>
  <si>
    <t>Jella, KK; Li, ZT</t>
  </si>
  <si>
    <t>Nagaraju, GP; Bramhachari, PV</t>
  </si>
  <si>
    <t>Jella, Kishore Kumar; Li, Zhentian</t>
  </si>
  <si>
    <t>Exosomes Potentiate NF-kappa B Signaling, Tumor Progression, and Metastasis in Hepatocellular Carcinoma</t>
  </si>
  <si>
    <t>ROLE OF TRANSCRIPTION FACTORS IN GASTROINTESTINAL MALIGNANCIES</t>
  </si>
  <si>
    <t>HCC; Exosomes; miRNA; Proteins; NF-kappa B; TNF-alpha; TGF-beta</t>
  </si>
  <si>
    <t>FIBROBLAST ACTIVATION PROTEIN; DOUBLE-STRAND BREAKS; PHASE-II TRIAL; EXTRACELLULAR VESICLES; ANTIANGIOGENIC THERAPY; INTERCELLULAR TRANSFER; DIPEPTIDYL-PEPTIDASE; IRRADIATED-CELLS; DOWN-REGULATION; MESSENGER-RNAS</t>
  </si>
  <si>
    <t>Worldwide, HCC is considered as one of the major cancer-related deaths. Tumor-derived exosomes play a potential role in HCC by mediating intracellular communication, immune responses, and antigen presentation. Exosomes communicate between the cells using proteins, mRNA, miRNA, lipids, and DNA present in their cargo. Increased understanding of exosomes and their role in cancer could lead to a powerful strategy for the treatment of HCC. In this chapter, we summarize the role of exosomes in cancer initiation, progression, and metastasis and in NF-kappa B through its miRNA. MiRNA derived from exosomes of HCC cells can enhance and modulate TAK1 and downstream signaling in recipient cells. Exosomes have a greater potential in the near future making it as prognostic biomarkers; they can serve in anticancer drug resistance and immunotherapy in the near future.</t>
  </si>
  <si>
    <t>[Jella, Kishore Kumar; Li, Zhentian] Emory Univ, Dept Radiat Oncol, Atlanta, GA 30322 USA</t>
  </si>
  <si>
    <t>Emory University</t>
  </si>
  <si>
    <t>Jella, KK (corresponding author), Emory Univ, Dept Radiat Oncol, Atlanta, GA 30322 USA.</t>
  </si>
  <si>
    <t>kjella@emory.edu; zhentian.li@emory.edu</t>
  </si>
  <si>
    <t>978-981-10-6728-0; 978-981-10-6727-3</t>
  </si>
  <si>
    <t>10.1007/978-981-10-6728-0_34</t>
  </si>
  <si>
    <t>10.1007/978-981-10-6728-0</t>
  </si>
  <si>
    <t>Biochemistry &amp; Molecular Biology; Gastroenterology &amp; Hepatology</t>
  </si>
  <si>
    <t>WOS:000529054800034</t>
  </si>
  <si>
    <t>Todkar, K; Chikhi, L; Desjardins, V; El-Mortada, F; Pepin, G; Germain, M</t>
  </si>
  <si>
    <t>Todkar, Kiran; Chikhi, Lilia; Desjardins, Veronique; El-Mortada, Firas; Pepin, Genevieve; Germain, Marc</t>
  </si>
  <si>
    <t>Selective packaging of mitochondrial proteins into extracellular vesicles prevents the release of mitochondrial DAMPs</t>
  </si>
  <si>
    <t>Most cells constitutively secrete mitochondrial DNA and proteins in extracellular vesicles (EVs). While EVs are small vesicles that transfer material between cells, Mitochondria-Derived Vesicles (MDVs) carry material specifically between mitochondria and other organelles. Mitochondrial content can enhance inflammation under pro-inflammatory conditions, though its role in the absence of inflammation remains elusive. Here, we demonstrate that cells actively prevent the packaging of pro-inflammatory, oxidized mitochondrial proteins that would act as damage-associated molecular patterns (DAMPs) into EVs. Importantly, we find that the distinction between material to be included into EVs and damaged mitochondrial content to be excluded is dependent on selective targeting to one of two distinct MDV pathways. We show that Optic Atrophy 1 (OPA1) and sorting nexin 9 (Snx9)-dependent MDVs are required to target mitochondrial proteins to EVs, while the Parkinson's disease-related protein Parkin blocks this process by directing damaged mitochondrial content to lysosomes. Our results provide insight into the interplay between mitochondrial quality control mechanisms and mitochondria-driven immune responses. Mitochondrial content in extracellular vesicles (EVs) can enhance inflammation, although its role in noninflammatory conditions is unclear. Here, the authors show that mitochondria-derived vesicles target material to EVs, whereas Parkin directs damaged mitochondrial content to lysosomes, providing insight into mitochondria-driven immune responses.</t>
  </si>
  <si>
    <t>[Todkar, Kiran; Chikhi, Lilia; Desjardins, Veronique; El-Mortada, Firas; Pepin, Genevieve; Germain, Marc] Univ Quebec Trois Rivieres, Grp Rech Signalisat Cellulaire, Trois Rivieres, PQ, Canada; [Todkar, Kiran; Chikhi, Lilia; Desjardins, Veronique; El-Mortada, Firas; Pepin, Genevieve; Germain, Marc] Univ Quebec Trois Rivieres, Dept Biol Med, Trois Rivieres, PQ, Canada; [Todkar, Kiran; Chikhi, Lilia; Desjardins, Veronique; El-Mortada, Firas; Pepin, Genevieve; Germain, Marc] CERMO FC UQAM, Quebec City, PQ, Canada; [Todkar, Kiran; Pepin, Genevieve; Germain, Marc] Univ Quebec, Reseau Intersectoriel Rech Sante, Quebec City, PQ, Canada</t>
  </si>
  <si>
    <t>University of Quebec; University of Quebec Trois Rivieres; University of Quebec; University of Quebec Trois Rivieres; University of Quebec</t>
  </si>
  <si>
    <t>Germain, M (corresponding author), Univ Quebec Trois Rivieres, Grp Rech Signalisat Cellulaire, Trois Rivieres, PQ, Canada.;Germain, M (corresponding author), Univ Quebec Trois Rivieres, Dept Biol Med, Trois Rivieres, PQ, Canada.;Germain, M (corresponding author), CERMO FC UQAM, Quebec City, PQ, Canada.;Germain, M (corresponding author), Univ Quebec, Reseau Intersectoriel Rech Sante, Quebec City, PQ, Canada.</t>
  </si>
  <si>
    <t>marc.germin1@uqtr.ca</t>
  </si>
  <si>
    <t>10.1038/s41467-021-21984-w</t>
  </si>
  <si>
    <t>WOS:000637938900005</t>
  </si>
  <si>
    <t>Mohamed, YH; Amemiya, T</t>
  </si>
  <si>
    <t>Apoptosis and lens vesicle development</t>
  </si>
  <si>
    <t>EUROPEAN JOURNAL OF OPHTHALMOLOGY</t>
  </si>
  <si>
    <t>lens vesicle; transmission electron microscope; TUNEL method; rat</t>
  </si>
  <si>
    <t>PROGRAMMED CELL-DEATH; MAMMALIAN EYE; MORPHOGENESIS</t>
  </si>
  <si>
    <t>PURPOSE. To study the development of the rat lens vesicle in relation to apoptosis. MATERIALS AND METHODS. Fetuses of Wistar Kyoto rats were removed by laparotomy on day 10-15 of gestation. Some fetuses were fixed in 2% paraformaldehyde and embedded in paraffin fora TUNEL technique examination of DNA fragmentation. Macrophages were stained immunohistochemically with antibody. Some fetuses were fixed in 4% glutaraldehyde and 1% osmic acid and embedded in Luveak 812, then examined with a transmission electron microscope (TEM). RESULTS. On day 11 of gestation (El 1) before the start of lens invagination, apoptotic changes were noted in the cells between the surface ectoderm and optic vesicle, with the appearance of phagocytic cells. Apoptotic cells were present at the junction of the surface ectoderm and the lens placode, in the ventral and dorsal thirds of the lens placode and in the outer layer of the optic vesicle in the same axes on E12. Apoptotic changes appeared in the lens stalk, surface ectoderm and the anterior lens epithelium on E12.5. The lens vesicle was detached completely from the surface ectoderm by E13 and some cells had the typical characteristics of macrophages in the extracellular space between the surface ectoderm and the anterior lens epithelium. Apoptotic changes were confirmed by the TUNEL method, and macrophages were stained immunohistochemically. CONCLUSIONS. Apoptosis may have a major role during the whole process of lens vesicle development. Apoptosis may eliminate the cells between the surface ectoderm and the optic vesicle, help trigger invagination and facilitate separation from the ectoderm. Apoptosis might aid in the bowing of the optic vesicle during lens invagination.</t>
  </si>
  <si>
    <t>Nagasaki Univ, Grad Sch Biomed Sci, Dept Ophthalmol &amp; Visual Sci, Nagasaki 8528501, Japan</t>
  </si>
  <si>
    <t>Nagasaki University</t>
  </si>
  <si>
    <t>Amemiya, T (corresponding author), Nagasaki Univ, Grad Sch Biomed Sci, Dept Ophthalmol &amp; Visual Sci, 1-7-1 Sakamoto, Nagasaki 8528501, Japan.</t>
  </si>
  <si>
    <t>Mohamed, Yasser/K-8818-2019</t>
  </si>
  <si>
    <t>Mohamed, Yasser/0000-0001-6346-6690</t>
  </si>
  <si>
    <t>1120-6721</t>
  </si>
  <si>
    <t>JAN-FEB</t>
  </si>
  <si>
    <t>Ophthalmology</t>
  </si>
  <si>
    <t>WOS:000181262200001</t>
  </si>
  <si>
    <t>Sandiford, OA; Donnelly, RJ; El-Far, MH; Burgmeyer, LM; Sinha, G; Pamarthi, SH; Sherman, LS; Ferrer, AI; DeVore, DE; Patel, SA; Naaldijk, Y; Alonso, S; Barak, P; Bryan, M; Ponzio, NM; Narayanan, R; Etchegaray, JP; Kumar, R; Rameshwar, P</t>
  </si>
  <si>
    <t>Sandiford, Oleta A.; Donnelly, Robert J.; El-Far, Markos H.; Burgmeyer, Lisa M.; Sinha, Garima; Pamarthi, Sri Harika; Sherman, Lauren S.; Ferrer, Alejandra, I; DeVore, Dariana E.; Patel, Shyam A.; Naaldijk, Yahaira; Alonso, Sara; Barak, Pradeep; Bryan, Margarette; Ponzio, Nicholas M.; Narayanan, Ramaswamy; Etchegaray, Jean-Pierre; Kumar, Rakesh; Rameshwar, Pranela</t>
  </si>
  <si>
    <t>Mesenchymal Stem Cell-Secreted Extracellular Vesicles Instruct Stepwise Dedifferentiation of Breast Cancer Cells into Dormancy at the Bone Marrow Perivascular Region</t>
  </si>
  <si>
    <t>EARLY DISSEMINATION; METASTASIS; EXOSOMES; BIOLOGY; TET2</t>
  </si>
  <si>
    <t>In the bone marrow (BM), breast cancer cells (BCC) can survive in dormancy for decades as cancer stem cells (CSC), resurging as tertiary metastasis. The endosteal region where BCCs exist as CSCs poses a challenge to target them, mostly due to the coexistence of endogenous hematopoietic stem cells. This study addresses the early period of dormancy when BCCs enter BM at the perivascular region to begin the transition into CSCs, which we propose as the final step in dormancy. A two-step process comprises the Wnt-b-catenin pathway mediating BCC dedifferentiation into CSCs at the BM perivascular niche. At this site, BCCs responded to two types of mesenchymal stem cell (MSC)-released extracellular vesicles (EV) that may include exosomes. Early released EVs began the transition into cycling quiescence, DNA repair, and reorganization into distinct BCC subsets. After contact with breast cancer, the content of EVs changed (primed) to complete dedifferentiation into a more homogeneous population with CSC properties. BCC progenitors (Oct4alo), which are distant from CSCs in a hierarchical stratification, were sensitive to MSC EVs. Despite CSC function, Oct4alo BCCs expressed multipotent pathways similar to CSCs. Oct4alo BCCs dedifferentiated and colocalized with MSCs (murine and human BM) in vivo. Overall, these findings elucidate a mechanism of early dormancy at the BM perivascular region and provide evidence of epigenome reorganization as a potential new therapy for breast cancer. Significance: These findings describe how the initial process of dormancy and dedifferentiation of breast cancer cells at the bone marrow perivascular niche requires mesenchymal stem cell-derived exosomes, indicating a potential target for therapeutic intervention.</t>
  </si>
  <si>
    <t>[Sandiford, Oleta A.; El-Far, Markos H.; Burgmeyer, Lisa M.; Sinha, Garima; Sherman, Lauren S.; Ferrer, Alejandra, I; DeVore, Dariana E.; Alonso, Sara; Rameshwar, Pranela] Univ Med &amp; Dent New Jersey, Rutgers Sch Grad Studies, Newark, NJ USA; [Sandiford, Oleta A.; El-Far, Markos H.; Burgmeyer, Lisa M.; Sinha, Garima; Pamarthi, Sri Harika; Sherman, Lauren S.; Ferrer, Alejandra, I; Naaldijk, Yahaira; Alonso, Sara; Bryan, Margarette; Kumar, Rakesh; Rameshwar, Pranela] Rutgers New Jersey Med Sch, Dept Med Hematol Oncol, 185 South Orange Ave, Newark, NJ 07103 USA; [Donnelly, Robert J.; Ponzio, Nicholas M.] Univ Med &amp; Dent New Jersey, Dept Pathol Immunol &amp; Lab Med, Newark, NJ USA; [Patel, Shyam A.] Univ Massachusetts, Mem Ctr, Med Sch, Dept Med Hematol Oncol, Worcester, MA 01605 USA; [Barak, Pradeep] ONI, Linacre House, London, England; [Narayanan, Ramaswamy] Univ North Florida, Dept Biol, Jacksonville, FL USA; [Etchegaray, Jean-Pierre] Rutgers Univ Newark, Dept Biol Sci, Newark, NJ USA; [Kumar, Rakesh] Rajiv Gandhi Ctr Biotechnol, Canc Biol Program, Thiruvananthapuram, Kerala, India</t>
  </si>
  <si>
    <t>Rutgers State University New Brunswick; Rutgers State University Medical Center; Rutgers State University New Brunswick; Rutgers State University Medical Center; Rutgers State University New Brunswick; Rutgers State University Medical Center; University of Massachusetts System; University of Massachusetts Worcester; State University System of Florida; University of North Florida; Rutgers State University Newark; Department of Biotechnology (DBT) India; Rajiv Gandhi Centre for Biotechnology (RGCB)</t>
  </si>
  <si>
    <t>Rameshwar, P (corresponding author), Rutgers New Jersey Med Sch, Dept Med Hematol Oncol, 185 South Orange Ave, Newark, NJ 07103 USA.</t>
  </si>
  <si>
    <t>rameshwa@njms.rutgers.edu</t>
  </si>
  <si>
    <t>10.1158/0008-5472.CAN-20-2434</t>
  </si>
  <si>
    <t>WOS:000630141900013</t>
  </si>
  <si>
    <t>Durendez-Saez, E; Calabuig-Farinas, S; Torres-Martinez, S; Moreno-Manuel, A; Herreros-Pomares, A; Escorihuela, E; Mosqueda, M; Gallach, S; Guijarro, R; Serna, E; Suarez-Cabrera, C; Paramio, JM; Blasco, A; Camps, C; Jantus-Lewintre, E</t>
  </si>
  <si>
    <t>Durendez-Saez, Elena; Calabuig-Farinas, Silvia; Torres-Martinez, Susana; Moreno-Manuel, Andrea; Herreros-Pomares, Alejandro; Escorihuela, Eva; Mosqueda, Marais; Gallach, Sandra; Guijarro, Ricardo; Serna, Eva; Suarez-Cabrera, Cristian; Paramio, Jesus M.; Blasco, Ana; Camps, Carlos; Jantus-Lewintre, Eloisa</t>
  </si>
  <si>
    <t>Analysis of Exosomal Cargo Provides Accurate Clinical, Histologic and Mutational Information in Non-Small Cell Lung Cancer</t>
  </si>
  <si>
    <t>non-small cell lung cancer; liquid biopsy; exosomes; extracellular vesicles; cell cultures; adenocarcinoma; squamous cell carcinoma; biomarker; tumorspheres</t>
  </si>
  <si>
    <t>CANCER/TESTIS ANTIGEN; BIOMARKERS; IMMUNOTHERAPY; STATISTICS; MECHANISMS; MICROARRAY; MICRORNAS; NSCLC; RNAS</t>
  </si>
  <si>
    <t>Simple Summary Non-small cell lung cancer (NSCLC) is the second most commonly diagnosed cancer and the leading cause of cancer-related death worldwide. Clinical decision-making depends on the histological classification; however, tissue biopsy is frequently not technically feasible due to tumor location or limited tissue samples. Therefore, we propose to find clinical, molecular and histological biomarkers using a minimally invasive approach based on the analysis of the cargo of the blood extracellular vesicles. Exosomes are membranous vesicles present in several biological fluids, which carry biological information to distant tissues, regulating several tumor processes. This study aims to analyze NSCLC exosome cargo for search biomarkers that could improve clinical management. This report demonstrates the possibility of implementing exosomes to detect molecular alterations and as a source of biomarkers to differentiate NSCLC histology, allowing for a new approach in precision oncology. Lung cancer is a malignant disease with high mortality and poor prognosis, frequently diagnosed at advanced stages. Nowadays, immense progress in treatment has been achieved. However, the present scenario continues to be critical, and a full comprehension of tumor progression mechanisms is required, with exosomes being potentially relevant players. Exosomes are membranous vesicles that contain biological information, which can be transported cell-to-cell and modulate relevant processes in the hallmarks of cancer. The present research aims to characterize the exosomes' cargo and study their role in NSCLC to identify biomarkers. We analyzed exosomes secreted by primary cultures and cell lines, grown in monolayer and tumorsphere formations. Exosomal DNA content showed molecular alterations, whereas RNA high-throughput analysis resulted in a pattern of differentially expressed genes depending on histology. The most significant differences were found in XAGE1B, CABYR, NKX2-1, SEPP1, CAPRIN1, and RIOK3 genes when samples from two independent cohorts of resected NSCLC patients were analyzed. We identified and validated biomarkers for adenocarcinoma and squamous cell carcinoma. Our results could represent a relevant contribution concerning exosomes in clinical practice, allowing for the identification of biomarkers that provide information regarding tumor features, prognosis and clinical behavior of the disease.</t>
  </si>
  <si>
    <t>[Durendez-Saez, Elena; Calabuig-Farinas, Silvia; Torres-Martinez, Susana; Moreno-Manuel, Andrea; Herreros-Pomares, Alejandro; Escorihuela, Eva; Mosqueda, Marais; Gallach, Sandra; Camps, Carlos; Jantus-Lewintre, Eloisa] Fdn Invest Hosp Gen Univ Valencia, Mol Oncol Lab, Valencia 46014, Spain; [Durendez-Saez, Elena; Calabuig-Farinas, Silvia; Torres-Martinez, Susana; Moreno-Manuel, Andrea; Escorihuela, Eva; Mosqueda, Marais; Gallach, Sandra; Blasco, Ana; Camps, Carlos; Jantus-Lewintre, Eloisa] Fdn Invest Hosp Gen Univ Valencia, Ctr Invest Principe Felipe, TRIAL Mixed Unit, Valencia 46014, Spain; [Durendez-Saez, Elena; Calabuig-Farinas, Silvia; Torres-Martinez, Susana; Moreno-Manuel, Andrea; Herreros-Pomares, Alejandro; Escorihuela, Eva; Gallach, Sandra; Guijarro, Ricardo; Suarez-Cabrera, Cristian; Paramio, Jesus M.; Blasco, Ana; Camps, Carlos; Jantus-Lewintre, Eloisa] CIBERONC, Ctr Invest Biomed Red Canc, Madrid 28029, Spain; [Calabuig-Farinas, Silvia] Univ Valencia, Dept Pathol, Valencia 46010, Spain; [Herreros-Pomares, Alejandro; Jantus-Lewintre, Eloisa] Univ Politecn Valencia, Dept Biotechnol, Valencia 46022, Spain; [Guijarro, Ricardo] Univ Valencia, Dept Surg, Valencia 46010, Spain; [Guijarro, Ricardo] Hosp Gen Univ Valencia, Dept Thorac Surg, Valencia 46014, Spain; [Serna, Eva] Univ Valencia, Dept Physiol, Freshage Res Grp, Valencia 46010, Spain; [Serna, Eva] Fdn Invest Hosp Clin Univ, INCLIVA, Ctr Invest Biomed Red Fragilidad &amp; Envejecimiento, Valencia 46010, Spain; [Suarez-Cabrera, Cristian; Paramio, Jesus M.] Hosp Univ 12 Octubre, Biomed Res Inst I 12, Madrid 28040, Spain; [Suarez-Cabrera, Cristian; Paramio, Jesus M.] CIEMAT, Mol Oncol Unit, Madrid 28045, Spain; [Blasco, Ana; Camps, Carlos] Hosp Gen Univ Valencia, Dept Med Oncol, Valencia 46014, Spain; [Camps, Carlos] Univ Valencia, Dept Med, Valencia 46010, Spain; [Jantus-Lewintre, Eloisa] Univ Politecn Valencia, Ctr Invest Principe Felipe, Joint Unit Nanomed, Valencia 46022, Spain</t>
  </si>
  <si>
    <t>Prince Felipe Research Center; CIBER - Centro de Investigacion Biomedica en Red; CIBERONC; University of Valencia; Universitat Politecnica de Valencia; University of Valencia; University of Valencia; CIBER - Centro de Investigacion Biomedica en Red; CIBERFES; Hospital Universitario 12 de Octubre; Centro de Investigaciones Energeticas, Medioambientales Tecnologicas; University of Valencia; Prince Felipe Research Center; Universitat Politecnica de Valencia</t>
  </si>
  <si>
    <t>Jantus-Lewintre, E (corresponding author), Fdn Invest Hosp Gen Univ Valencia, Mol Oncol Lab, Valencia 46014, Spain.</t>
  </si>
  <si>
    <t>edurendez@incliva.es; calabuix_sil@gva.es; susana.torres@alu.umh.es; moreno_andman@externos.gva.es; alherpo@etsiamn.upv.es; escorihuela_eva@gva.es; mosqueda_mar@gva.es; gallach_sangar@gva.es; guijarro_ricjor@gva.es; eva.serna@uv.es; cristian.suarez@ciemat.es; jesusm.paramio@ciemat.es; blasco_ana@gva.es; camps_car@gva.es; jantus_elo@gva.es</t>
  </si>
  <si>
    <t>POMARES, ALEJANDRO HERREROS/J-2071-2017; Paramio, Jesus M/M-8482-2014; Jantus Lewintre, Eloisa/B-4630-2009; Camps, Carlos/L-3073-2017</t>
  </si>
  <si>
    <t>TORRES MARTINEZ, SUSANA/0000-0001-8366-8337; Paramio, Jesus M/0000-0001-7520-3177; Jantus Lewintre, Eloisa/0000-0001-7395-4380; Camps, Carlos/0000-0002-0648-5403</t>
  </si>
  <si>
    <t>10.3390/cancers14133216</t>
  </si>
  <si>
    <t>WOS:000823489500001</t>
  </si>
  <si>
    <t>Gao, G; Wang, LQ; Li, CF</t>
  </si>
  <si>
    <t>Gao, Ge; Wang, Liqiang; Li, Changfeng</t>
  </si>
  <si>
    <t>Circ_0006790 carried by bone marrow mesenchymal stem cell-derived exosomes regulates S100A11 DNA methylation through binding to CBX7 in pancreatic ductal adenocarcinoma</t>
  </si>
  <si>
    <t>AMERICAN JOURNAL OF CANCER RESEARCH</t>
  </si>
  <si>
    <t>Bone marrow mesenchymal stem cell-derived exosome; circular RNA_0006790; CBX7; S100A11; pancreatic ductal adenocarcinoma; immunosuppression</t>
  </si>
  <si>
    <t>CANCER; ROLES</t>
  </si>
  <si>
    <t>Extracellular vesicles, particularly exosomes, play a vital role via their cargoes. Their potential in pancreatic ductal adenocarcinoma (PDAC), one of the leading causes of cancer-related mortality worldwide is attracting interests. However, the roles and underlying mechanisms of exosomal circular RNAs (circRNAs) in the development of PDAC remain unclear yet. We aimed to illuminate the mechanisms of exosomal hsa_circ_0006790 (thereafter termed circ_6790) released by exosomes (Exo) derived from bone marrow mesenchymal stem cell (BM-MSC) during immune escape in PDAC in this study. BM-MSC-derived Exo inhibited growth, metastasis, and immune escape in PDAC. Exo enhanced circ_6790 expression in PDAC cells. Knockdown of circ_6790 in Exo significantly attenuated the anti-tumor effect of Exo. Circ_6790 facilitated the nuclear translocation of chromobox 7 (CBX7). CBX7 increased the DNA methylation of S100A11 by recruiting DNA methyltransferases to its promoter region, thereby inhibiting the transcription of S100A11. Inhibition of CBX7 or overexpression of S100A11 annulled the inhibitory effects of Exo on PDAC growth, metastasis, and immune escape. In conclusion, our results suggest that MSC-derived exosomal circ_6790 could downregulate S100A11 in PDAC cells and hamper immune escape via CBX7-catalyzed DNA hypermethylation.</t>
  </si>
  <si>
    <t>[Gao, Ge] Jilin Univ, China Japan Union Hosp, Dept Pathol, Changchun 130022, Jilin, Peoples R China; [Wang, Liqiang; Li, Changfeng] Jilin Univ, China Japan Union Hosp, Dept Endoscopy Ctr, 126 Xiantai St, Changchun 130022, Jilin, Peoples R China</t>
  </si>
  <si>
    <t>Jilin University; Jilin University</t>
  </si>
  <si>
    <t>Li, CF (corresponding author), Jilin Univ, China Japan Union Hosp, Dept Endoscopy Ctr, 126 Xiantai St, Changchun 130022, Jilin, Peoples R China.</t>
  </si>
  <si>
    <t>cfli@jlu.edu.cn</t>
  </si>
  <si>
    <t>2156-6976</t>
  </si>
  <si>
    <t>WOS:000804191800001</t>
  </si>
  <si>
    <t>Gutkin, A; Uziel, O; Beery, E; Nordenberg, J; Pinchasi, M; Goldvaser, H; Henick, S; Goldberg, M; Lahav, M</t>
  </si>
  <si>
    <t>Gutkin, Anna; Uziel, Orit; Beery, Einat; Nordenberg, Jardena; Pinchasi, Maria; Goldvaser, Hadar; Henick, Steven; Goldberg, Michal; Lahav, Meir</t>
  </si>
  <si>
    <t>Tumor cells derived exosomes contain hTERT mRNA and transform nonmalignant fibroblasts into telomerase positive cells</t>
  </si>
  <si>
    <t>exosomes; telomerase</t>
  </si>
  <si>
    <t>MEMBRANE-VESICLES; ENDOTHELIAL-CELLS; CANCER CELLS; STEM-CELLS; IN-VITRO; MICROVESICLES; MICROENVIRONMENT; PROLIFERATION; EXPRESSION; INDUCTION</t>
  </si>
  <si>
    <t>Exosomes are small (30-100nm) vesicles secreted from all cell types serving as inter-cell communicators and affecting biological processes in recipient cells upon their uptake. The current study demonstrates for the first time that hTERT mRNA, the transcript of the enzyme telomerase, is shuttled from cancer cells via exosomes into telomerase negative fibroblasts, where it is translated into a fully active enzyme and transforms these cells into telomerase positive, thus creating a novel type of cells; non malignant cells with telomerase activity. All tested telomerase positive cells, including cancer cells and non malignant cells with overexpressed telomerase secreted exosomal hTERT mRNA in accordance with the endogenous levels of their hTERT mRNA and telomerase activity. Similarly exosomes isolated from sera of patients with pancreatic and lung cancer contained hTERT mRNA as well. Telomerase activity induced phenotypic changes in the recipient fibroblasts including increased proliferation, extension of life span and postponement of senescence. In addition, telomerase activity protected the fibroblasts from DNA damage induced by phleomycin and from apoptosis, indicating that also telomerase extracurricular activities are manifested in the recipient cells. The shuttle of telomerase from cancer cells into fibroblasts and the induction of these changes may contribute to the alterations of cancer microenvironment and its role in cancer. The described process has an obvious therapeutic potential which will be explored in further studies.</t>
  </si>
  <si>
    <t>[Gutkin, Anna; Uziel, Orit; Beery, Einat; Nordenberg, Jardena; Pinchasi, Maria; Goldvaser, Hadar; Henick, Steven; Lahav, Meir] Rabin Med Ctr, Felsenstein Med Res Ctr, Petah Tiqwa, Israel; [Uziel, Orit; Nordenberg, Jardena; Pinchasi, Maria; Lahav, Meir] Tel Aviv Univ, Sackler Sch Med, Petah Tiqwa, Israel; [Goldvaser, Hadar] Rabin Med Ctr, Davidoff Canc Ctr, Inst Oncol, Petah Tiqwa, Israel; [Goldberg, Michal] Hebrew Univ Jerusalem, Inst Life Sci, Dept Genet, Petah Tiqwa, Israel; [Lahav, Meir] Rabin Med Ctr, Inst Hematol, Davidoff Canc Ctr, Petah Tiqwa, Israel</t>
  </si>
  <si>
    <t>Rabin Medical Center; Tel Aviv University; Tel Aviv University; Sackler Faculty of Medicine; Rabin Medical Center; Hebrew University of Jerusalem; Rabin Medical Center</t>
  </si>
  <si>
    <t>Lahav, M (corresponding author), Rabin Med Ctr, Felsenstein Med Res Ctr, Petah Tiqwa, Israel.;Lahav, M (corresponding author), Tel Aviv Univ, Sackler Sch Med, Petah Tiqwa, Israel.;Lahav, M (corresponding author), Rabin Med Ctr, Inst Hematol, Davidoff Canc Ctr, Petah Tiqwa, Israel.</t>
  </si>
  <si>
    <t>mlahav@post.tau.ac.il</t>
  </si>
  <si>
    <t>Goldberg, Michal/0000-0001-9397-2383</t>
  </si>
  <si>
    <t>SEP 13</t>
  </si>
  <si>
    <t>10.18632/oncotarget.10384</t>
  </si>
  <si>
    <t>WOS:000387153900034</t>
  </si>
  <si>
    <t>Chen, HX; Bian, FK; Guo, JH; Zhao, YJ</t>
  </si>
  <si>
    <t>Chen, Hanxu; Bian, Feika; Guo, Jiahui; Zhao, Yuanjin</t>
  </si>
  <si>
    <t>Aptamer-Functionalized Barcodes in Herringbone Microfluidics for Multiple Detection of Exosomes</t>
  </si>
  <si>
    <t>SMALL METHODS</t>
  </si>
  <si>
    <t>aptamers; barcodes; exosomes; microfluidics; multiple detection</t>
  </si>
  <si>
    <t>PROTEINS</t>
  </si>
  <si>
    <t>Tumor-derived exosomes are vital for clinical dynamic and accurate tumor diagnosis, thus developing sensitive and multiple exosomes detection technology has attracted remarkable attention of scientists. Here, a novel herringbone microfluidic device with aptamer-functionalized barcodes integration for specific capture and multiple detection of tumor-derived exosomes is presented. The barcodes with core-shell constructions are obtained by partially replicating the periodically ordered hexagonal close-packaged colloidal crystal beads. As their inverse opal hydrogel shell possesses rich interconnected pores, the barcodes could provide abundant surface area for functionalization of DNA aptamers to realize specific recognition of target exosomes. Besides, the encoded structure colors of the barcodes can be maintained stably during the detection events as their hardish cores are with sufficient mechanical strength. It is demonstrated that by embedding these barcodes in herringbone groove microfluidic device with designed patterns, the specific capture efficiency and synergetic detection of multiple tumor-derived exosomes in peripheral blood can be significantly improved due to enhanced resistance of turbulent flow. These features make the aptamer-functionalized barcodes and herringbone microfluidics integrated platform promising for exosomes extraction and dynamic tumor diagnosis.</t>
  </si>
  <si>
    <t>[Chen, Hanxu; Bian, Feika; Guo, Jiahui; Zhao, Yuanjin] Southeast Univ, Sch Biol Sci &amp; Med Engn, Nanjing Drum Tower Hosp, Dept Clin Lab, Nanjing 210096, Peoples R China; [Chen, Hanxu; Bian, Feika; Guo, Jiahui; Zhao, Yuanjin] Wenzhou Inst, Oujiang Lab, Wenzhou Inst, Zhejiang Lab Regenerat Med Vision &amp; Brain Hlth, Wenzhou 325001, Peoples R China</t>
  </si>
  <si>
    <t>Nanjing University; Southeast University - China</t>
  </si>
  <si>
    <t>Zhao, YJ (corresponding author), Southeast Univ, Sch Biol Sci &amp; Med Engn, Nanjing Drum Tower Hosp, Dept Clin Lab, Nanjing 210096, Peoples R China.;Zhao, YJ (corresponding author), Wenzhou Inst, Oujiang Lab, Wenzhou Inst, Zhejiang Lab Regenerat Med Vision &amp; Brain Hlth, Wenzhou 325001, Peoples R China.</t>
  </si>
  <si>
    <t>yjzhao@seu.edu.cn</t>
  </si>
  <si>
    <t>Hanxu, Chen/0000-0001-7656-023X</t>
  </si>
  <si>
    <t>2366-9608</t>
  </si>
  <si>
    <t>10.1002/smtd.202200236</t>
  </si>
  <si>
    <t>APR 2022</t>
  </si>
  <si>
    <t>Chemistry, Physical; Nanoscience &amp; Nanotechnology; Materials Science, Multidisciplinary</t>
  </si>
  <si>
    <t>WOS:000787596000001</t>
  </si>
  <si>
    <t>Wang, LL; Zeng, LP; Wang, YR; Chen, TT; Chen, WQ; Chen, GY; Li, CY; Chen, JH</t>
  </si>
  <si>
    <t>Wang, Liangliang; Zeng, Lupeng; Wang, Yuru; Chen, Tingting; Chen, Wenqian; Chen, Guanyu; Li, Chunyan; Chen, Jinghua</t>
  </si>
  <si>
    <t>Electrochemical aptasensor based on multidirectional hybridization chain reaction for detection of tumorous exosomes</t>
  </si>
  <si>
    <t>Exosomes; Electrochemical aptasensor; Multidirectional hybridization chain reaction; Cholesterol</t>
  </si>
  <si>
    <t>LABEL-FREE; BIOSENSOR; PROTEIN; RNA; SENSOR</t>
  </si>
  <si>
    <t>Exosomes-based liquid biopsy is an anticipated application, in which high sensitivity detection with good selectivity is an important determinant of assay quality. Herein, we propose an electrochemical aptasensor for the selective and sensitive detection of tumorous exosomes. It is based on multidirectional hybridization chain reaction (mHCR) for signal amplification. The aptamers are first immobilized on gold electrode surface to capture exosomes by binding to the exosomal membrane proteins. After target capture, cholesterol-modified H shape-like DNA unit 1 (cH1) is capable of plunging cholesterol into the exosomal lipid bilayer and anchoring on the exosomal membrane. The mHCR is therefore carried out at cH1 in the presence of H shape-like DNA unit 1 (H1) and H shape-like DNA unit 2 (H2) to form a large DNA nanostructure, which enables to recruit multiple signal molecules for electrochemical signal amplification. Under the optimal conditions, the electrochemical aptasensor exhibits high sensitivity with a low limit of detection (LOD) of 285 exosomes/mu L. In addition, it shows selective discrimination between tumorous and non-tumorous exosomes from cells and serum samples. Overall, the proposed aptasensor shows potential value for exosomes detection in the early diagnosis and screening of cancers.</t>
  </si>
  <si>
    <t>[Wang, Liangliang; Zeng, Lupeng; Wang, Yuru; Chen, Tingting; Chen, Wenqian; Chen, Guanyu; Li, Chunyan; Chen, Jinghua] Fujian Med Univ, Sch Pharm, Fuzhou 350122, Fujian, Peoples R China; [Wang, Liangliang; Zeng, Lupeng; Wang, Yuru; Chen, Tingting; Chen, Wenqian; Chen, Guanyu; Li, Chunyan; Chen, Jinghua] Fujian Med Univ, Sch Pharm, Fujian Key Lab Drug Target Discovery &amp; Struct &amp; F, Fuzhou 350122, Fujian, Peoples R China</t>
  </si>
  <si>
    <t>Fujian Medical University; Fujian Medical University</t>
  </si>
  <si>
    <t>Li, CY; Chen, JH (corresponding author), Fujian Med Univ, Sch Pharm, Fuzhou 350122, Fujian, Peoples R China.</t>
  </si>
  <si>
    <t>cyli65@126.com; cjh_huaxue@126.com</t>
  </si>
  <si>
    <t>APR 1</t>
  </si>
  <si>
    <t>10.1016/j.snb.2021.129471</t>
  </si>
  <si>
    <t>WOS:000618773500010</t>
  </si>
  <si>
    <t>McCulloh, CJ; Olson, JK; Wang, YJ; Zhou, Y; Tengberg, NH; Deshpande, S; Besner, GE</t>
  </si>
  <si>
    <t>McCulloh, Christopher J.; Olson, Jacob K.; Wang, Yijie; Zhou, Yu; Tengberg, Natalie Huibregtse; Deshpande, Shivani; Besner, Gail E.</t>
  </si>
  <si>
    <t>Treatment of experimental necrotizing enterocolitis with stem cell-derived exosomes</t>
  </si>
  <si>
    <t>JOURNAL OF PEDIATRIC SURGERY</t>
  </si>
  <si>
    <t>Annual Meeting of the American-Academy-of-Pediatrics (AAP)-Section-on-Surgery (SoSu)</t>
  </si>
  <si>
    <t>SEP 15-17, 2017</t>
  </si>
  <si>
    <t>Chicago, IL</t>
  </si>
  <si>
    <t>Stem cells; Exosomes; Necrotizing enterocolitis</t>
  </si>
  <si>
    <t>GUT BARRIER; EFFICACY</t>
  </si>
  <si>
    <t>Purpose: Necrotizing enterocolitis (NEC) remains a devastating disease in premature infants. We previously showed that four stem cell (SC) types equivalently improve experimental NEC. Exosomes are intercellular nanovesicles containing RNA, miRNA, DNA, and protein. Because SC therapy faces challenges, our aim was to determine if the beneficial effects of SC are achievable with cell-free exosomes. Methods: Exosomes from four SC types were compared: (1) amniotic fluid-derived mesenchymal SC (AF-MSC); (2) bone marrow-derived MSC (BM-MSC); (3) amniotic fluid-derived neural SC (AF-NSC); and (4) neonatal enteric NSC (E-NSC). Rat pups exposed to NEC received a varying concentration of a single type of exosome with control pups receiving PBS only. Intestinal damage was graded histologically. Results: The incidence of NEC was 0% in unstressed pups and 60.7% in control pups subjected to NEC. Exosomes (4.0 x 10(8)) reduced NEC incidence to: AF-MSC 25.0%; BM-MSC 23.1%; AF-NSC 11.1%; E-NSC 27.3%. When administered at a concentration of at least 4.0 x 108, all groups demonstrated a significant reduction in NEC compared to untreated pups. At this minimum concentration, there was no difference in treatment efficacy between exosomes and the SC from which they were derived. Conclusion: Stem cell-derived exosomes reduce the incidence and severity of experimental NEC as effectively as the stem cells from which they are derived, supporting the potential for novel cell-free exosome therapy for NEC. Type of study: Basic science. (C) 2018 Elsevier Inc. All rights reserved.</t>
  </si>
  <si>
    <t>[McCulloh, Christopher J.; Olson, Jacob K.; Wang, Yijie; Zhou, Yu; Tengberg, Natalie Huibregtse; Deshpande, Shivani; Besner, Gail E.] Nationwide Childrens Hosp, Res Inst, Ctr Perinatal Res, Dept Pediat Surg, Columbus, OH USA</t>
  </si>
  <si>
    <t>Ohio State University; Research Institute at Nationwide Children's Hospital</t>
  </si>
  <si>
    <t>Besner, GE (corresponding author), Nationwide Childrens Hosp, Dept Pediat Surg, FOB 6135,700 Childrens Dr, Columbus, OH 43205 USA.</t>
  </si>
  <si>
    <t>Gail.besner@nationwidechildrens.org</t>
  </si>
  <si>
    <t>0022-3468</t>
  </si>
  <si>
    <t>1531-5037</t>
  </si>
  <si>
    <t>10.1016/j.jpedsurg.2018.02.086</t>
  </si>
  <si>
    <t>Pediatrics; Surgery</t>
  </si>
  <si>
    <t>WOS:000434790600025</t>
  </si>
  <si>
    <t>Chen, JG; Xu, YC; Wang, X; Liu, DC; Yang, F; Zhu, XR; Lu, Y; Xing, WL</t>
  </si>
  <si>
    <t>Chen, Junge; Xu, Youchun; Wang, Xun; Liu, Dongchen; Yang, Fan; Zhu, Xiurui; Lu, Ying; Xing, Wanli</t>
  </si>
  <si>
    <t>Rapid and efficient isolation and detection of extracellular vesicles from plasma for lung cancer diagnosis</t>
  </si>
  <si>
    <t>EXOSOME ISOLATION; BIOMARKERS; BLOOD; CELLS; SIZE; DNA; MICROVESICLES; SEPARATION; MULTIPLEX; SURVIVAL</t>
  </si>
  <si>
    <t>Extracellular vesicles (EVs) are cell-derived nanoscale vesicles that provide promising biomarkers for the non-invasive diagnosis of cancer because they carry important cancer-related DNA, RNA and protein biomarkers. However, the clinical application of EVs is limited by tedious and non-standardized isolation methods that require bulky instrumentation. Here, we propose an easy-to-operate, simple dielectrophoretic (DEP) method for EV isolation with higher recovery efficiency (&gt;83%) and higher purity than ultracentrifugation (UC). The DEP chip reduces the isolation procedure from 8 h to 30 min. To facilitate subsequent analysis, our DEP chip achieved integration of EV isolation and in situ lysis of EVs for the first time. Our chip also achieved on-chip siRNA delivery to EVs isolated by DEP. We found that EVs isolated from the plasma of lung cancer patients contained higher levels of miR-21, miR-191 and miR-192 compared to those from healthy people. With on-chip detection, EGFR in EVs could distinguish lung cancer patients from healthy people. Overall, this study provides an efficient and practical approach to the isolation and detection of EVs, which could be used for the early diagnosis of lung cancer.</t>
  </si>
  <si>
    <t>[Chen, Junge; Xu, Youchun; Liu, Dongchen; Zhu, Xiurui; Lu, Ying; Xing, Wanli] Tsinghua Univ, Sch Med, Beijing 100084, Peoples R China; [Xu, Youchun; Lu, Ying] Collaborat Innovat Ctr Diag &amp; Treatment Infect Di, Hangzhou 310003, Zhejiang, Peoples R China; [Wang, Xun; Yang, Fan] Peking Univ, Peoples Hosp, Thorac Surg, Beijing 100044, Peoples R China; [Lu, Ying; Xing, Wanli] Natl Engn Res Ctr Beijing Biochip Technol, Beijing 102206, Peoples R China</t>
  </si>
  <si>
    <t>Tsinghua University; Peking University</t>
  </si>
  <si>
    <t>Xing, WL (corresponding author), Tsinghua Univ, Sch Med, Beijing 100084, Peoples R China.;Xing, WL (corresponding author), Natl Engn Res Ctr Beijing Biochip Technol, Beijing 102206, Peoples R China.</t>
  </si>
  <si>
    <t>wlxing@tsinghua.edu.cn</t>
  </si>
  <si>
    <t>FEB 7</t>
  </si>
  <si>
    <t>10.1039/c8lc01193a</t>
  </si>
  <si>
    <t>WOS:000459726100003</t>
  </si>
  <si>
    <t>Malik, S; Saltzman, WM; Bahal, R</t>
  </si>
  <si>
    <t>Malik, Shipra; Saltzman, W. Mark; Bahal, Raman</t>
  </si>
  <si>
    <t>Extracellular vesicles mediated exocytosis of antisense peptide nucleic acids</t>
  </si>
  <si>
    <t>ARGININE-RICH PEPTIDES; CELLULAR UPTAKE; LIPID NANOPARTICLES; CHROMOSOMAL DNA; GENE-EXPRESSION; SIRNA DELIVERY; CANCER; TRAFFICKING; TRANSPORT; PNAS</t>
  </si>
  <si>
    <t>Peptide nucleic acids (PNAs), a synthetic DNA mimic, have been extensively utilized for antisense- and antigene-based biomedical applications. Significant efforts have been made to increase the cellular uptake of PNAs, but here we examined relatively unexplored aspects of intracellular trafficking and endocytic recycling of PNAs. For proof-of-concept, we used anti-microRNA (miR) PNA targeting miR-155. The sub-cellular localization of PNA was studied via confocal and flow-cytometry-based assays in HeLa cells. A comprehensive characterization of PNA-containing extracellular vesicles revealed spherical morphology, negative surface charge density, and the presence of tetraspanin markers. Most importantly, we investigated rab11a and rab27b GTPases' role in regulating the exocytosis of PNAs. Organelle staining, followed by confocal imaging, showed higher localization of PNA in lysosomes. Gene-expression analysis established the enhanced functional activity of PNA after inhibition of endocytic recycling. Multiple studies report the exocytosis of single-stranded oligonucleotides, short interfering RNAs (siRNAs), and nanocarriers. To our knowledge, this is the first mechanistic study to establish that PNA undergoes endocytic recycling and exocytosis out of tumor cells. The results presented here can serve as a platform to develop and optimize strategies for improving the therapeutic efficacy of PNAs by avoiding the recycling pathways.</t>
  </si>
  <si>
    <t>[Malik, Shipra; Bahal, Raman] Univ Connecticut, Dept Pharmaceut Sci, Storrs, CT 06269 USA; [Saltzman, W. Mark] Yale Univ, Dept Biomed Engn, New Haven, CT 06510 USA</t>
  </si>
  <si>
    <t>University of Connecticut; Yale University</t>
  </si>
  <si>
    <t>Bahal, R (corresponding author), Univ Connecticut, Dept Pharmaceut Sci, Storrs, CT 06269 USA.</t>
  </si>
  <si>
    <t>raman.bahal@uconn.edu</t>
  </si>
  <si>
    <t>SEP 3</t>
  </si>
  <si>
    <t>10.1016/j.omtn.2021.07.018</t>
  </si>
  <si>
    <t>WOS:000697095000008</t>
  </si>
  <si>
    <t>Leiblich, A</t>
  </si>
  <si>
    <t>Leiblich, Aaron</t>
  </si>
  <si>
    <t>Recent Developments in the Search for Urinary Biomarkers in Bladder Cancer</t>
  </si>
  <si>
    <t>CURRENT UROLOGY REPORTS</t>
  </si>
  <si>
    <t>Bladder cancer; Urinary biomarkers; Extracellular vesicles; Exosomes; MicroRNA</t>
  </si>
  <si>
    <t>IN-SITU HYBRIDIZATION; RECURRENT UROTHELIAL CANCER; IMAGING FLEXIBLE CYSTOSCOPY; EXTRACELLULAR VESICLES; VOIDED-URINE; FOLLOW-UP; CELL-CARCINOMA; CYTOLOGY; MARKER; SURVEILLANCE</t>
  </si>
  <si>
    <t>Purpose of Review This review aims to evaluate research surrounding the utility of urinary biomarkers to detect bladder cancer and predict recurrence. Recent Findings Recent research has focussed on the evaluation of genetic markers found in urine to provide diagnostic and prognostic information. Furthermore, the isolation and characterisation of extracellular vesicles (EVs) from the urine patients with bladder cancer provide an exciting new development in biomarker research that is set to expand in the coming years. Summary Current urinary biomarker research is a broad field that encompasses the evaluation of urinary proteins, DNA, RNA and EVs to detect signatures that can be used to predict the presence of bladder cancer and provide prognostic information. EVs in particular offer an exciting and novel perspective in the search for accurate bladder cancer biomarkers.</t>
  </si>
  <si>
    <t>[Leiblich, Aaron] Univ Oxford, Nuffield Dept Surg Sci, John Radcliffe Hosp, Oxford, England; [Leiblich, Aaron] Oxford Univ Hosp NHS Fdn Trust, Churchill Hosp, Dept Urol, Oxford, England</t>
  </si>
  <si>
    <t>University of Oxford; Oxford University Hospitals NHS Foundation Trust; University of Oxford</t>
  </si>
  <si>
    <t>Leiblich, A (corresponding author), Univ Oxford, Nuffield Dept Surg Sci, John Radcliffe Hosp, Oxford, England.;Leiblich, A (corresponding author), Oxford Univ Hosp NHS Fdn Trust, Churchill Hosp, Dept Urol, Oxford, England.</t>
  </si>
  <si>
    <t>aaron.leiblich@ox.ac.uk</t>
  </si>
  <si>
    <t>1527-2737</t>
  </si>
  <si>
    <t>1534-6285</t>
  </si>
  <si>
    <t>10.1007/s11934-017-0748-x</t>
  </si>
  <si>
    <t>WOS:000422920300002</t>
  </si>
  <si>
    <t>Andreoni, F; Toyofuku, M; Menzi, C; Kalawong, R; Shambat, SM; Francois, P; Zinkernagel, AS; Eberl, L</t>
  </si>
  <si>
    <t>Andreoni, Federica; Toyofuku, Masanori; Menzi, Carmen; Kalawong, Ratchara; Shambat, Srikanth Mairpady; Francois, Patrice; Zinkernagel, Annelies S.; Eberl, Leo</t>
  </si>
  <si>
    <t>Antibiotics Stimulate Formation of Vesicles in Staphylococcus aureus in both Phage-Dependent and - Independent Fashions and via Different Routes</t>
  </si>
  <si>
    <t>ANTIMICROBIAL AGENTS AND CHEMOTHERAPY</t>
  </si>
  <si>
    <t>Staphylococcus aureus; antibiotics; bacteriophages; membrane vesicles</t>
  </si>
  <si>
    <t>OUTER-MEMBRANE VESICLES; GRAM-NEGATIVE BACTERIA; EXTRACELLULAR VESICLES; INDUCTION; SECRETION; GENE</t>
  </si>
  <si>
    <t>Bacterial membrane vesicle research has so far focused mainly on Gram-negative bacteria. Only recently have Gram-positive bacteria been demonstrated to produce and release extracellular membrane vesicles (MVs) that contribute to bacterial virulence. Although treatment of bacteria with antibiotics is a wellestablished trigger of bacterial MV formation, the underlying mechanisms are poorly understood. In this study, we show that antibiotics can induce MVs through different routes in the important human pathogen Staphylococcus aureus. DNA-damaging agents and antibiotics inducing the SOS response triggered vesicle formation in lysogenic strains of S. aureus but not in their phage-devoid counterparts. The beta-lactam antibiotics flucloxacillin and ceftaroline increased vesicle formation in a prophageindependent manner by weakening the peptidoglycan layer. We present evidence that the amount of DNA associated with MVs formed by phage lysis is greater than that for MVs formed by beta-lactam antibiotic-induced blebbing. The purified MVs derived from S. aureus protected the bacteria from challenge with daptomycin, a membrane-targeting antibiotic, both in vitro and ex vivo in whole blood. In addition, the MVs protected S. aureus from killing in whole blood, indicating that antibioticinduced MVs function as a decoy and thereby contribute to the survival of the bacterium.</t>
  </si>
  <si>
    <t>[Andreoni, Federica; Menzi, Carmen; Shambat, Srikanth Mairpady; Zinkernagel, Annelies S.] Univ Zurich, Univ Hosp Zurich, Div Infect Dis &amp; Hosp Epidemiol, Zurich, Switzerland; [Toyofuku, Masanori] Univ Tsukuba, Dept Life &amp; Environm Sci, Tsukuba, Ibaraki, Japan; [Francois, Patrice] Ctr Med Univ Geneva, Serv Malad Infect, Lab Rech Genom, Geneva, Switzerland; [Toyofuku, Masanori; Kalawong, Ratchara; Eberl, Leo] Univ Zurich, Dept Plant &amp; Microbial Biol, Zurich, Switzerland</t>
  </si>
  <si>
    <t>University of Zurich; University of Tsukuba; University of Geneva; University of Zurich</t>
  </si>
  <si>
    <t>Zinkernagel, AS (corresponding author), Univ Zurich, Univ Hosp Zurich, Div Infect Dis &amp; Hosp Epidemiol, Zurich, Switzerland.;Eberl, L (corresponding author), Univ Zurich, Dept Plant &amp; Microbial Biol, Zurich, Switzerland.</t>
  </si>
  <si>
    <t>annelies.zinkernagel@usz.ch; leberl@botinst.uzh.ch</t>
  </si>
  <si>
    <t>Eberl, Leo/AAE-8165-2019; Eberl, Leo/A-8380-2012; francois, patrice/AAL-5583-2020; Zinkernagel, Annelies S/F-1780-2017</t>
  </si>
  <si>
    <t>Eberl, Leo/0000-0002-7241-0864; Zinkernagel, Annelies S/0000-0003-4700-1118; Kalawong, Ratchara/0000-0001-9389-4899; francois, patrice/0000-0002-0540-750X; Menzi, Carmen/0000-0002-8656-3183; Mairpady Shambat, Srikanth/0000-0002-0527-3978</t>
  </si>
  <si>
    <t>0066-4804</t>
  </si>
  <si>
    <t>1098-6596</t>
  </si>
  <si>
    <t>e01439-18</t>
  </si>
  <si>
    <t>10.1128/AAC.01439-18</t>
  </si>
  <si>
    <t>Microbiology; Pharmacology &amp; Pharmacy</t>
  </si>
  <si>
    <t>WOS:000457110200040</t>
  </si>
  <si>
    <t>De Carolis, S; Pellegrini, A; Santini, D; Ceccarelli, C; De Leo, A; Alessandrini, F; Arienti, C; Pignatta, S; Tesei, A; Mantovani, V; Zamagni, C; Taffurelli, M; Sansone, P; Bonafe, M; Cricca, M</t>
  </si>
  <si>
    <t>De Carolis, Sabrina; Pellegrini, Alice; Santini, Donatella; Ceccarelli, Claudio; De Leo, Antonio; Alessandrini, Federica; Arienti, Chiara; Pignatta, Sara; Tesei, Anna; Mantovani, Vilma; Zamagni, Claudio; Taffurelli, Mario; Sansone, Pasquale; Bonafe, Massimiliano; Cricca, Monica</t>
  </si>
  <si>
    <t>Liquid biopsy in the diagnosis of HPV DNA in breast lesions</t>
  </si>
  <si>
    <t>FUTURE MICROBIOLOGY</t>
  </si>
  <si>
    <t>breast; HPV DNA; liquid biopsy</t>
  </si>
  <si>
    <t>HUMAN-PAPILLOMAVIRUS; EXOSOMES; ASSOCIATION</t>
  </si>
  <si>
    <t>Aim: HPV DNA has never been investigated in nipple discharges (ND) and serum-derived extracellular vesicles, although its presence has been reported in ductal lavage fluids and blood specimens. Materials &amp; methods: We analyzed 50 ND, 22 serum-derived extracellular vesicles as well as 51 pathologic breast tissues for the presence of 16 HPV DNA types. Results: We show that the presence of HPV DNA in the ND is predictive of HPV DNA-positive breast lesions and that HPV DNA is more represented in intraductal papillomas. We also show the presence of HPV DNA in the serum-derived extracellular vesicles. Conclusion: Our data supports the use of liquid biopsy to detect HPV DNA in breast pathology.</t>
  </si>
  <si>
    <t>[De Carolis, Sabrina; Ceccarelli, Claudio; De Leo, Antonio; Alessandrini, Federica; Bonafe, Massimiliano; Cricca, Monica] Univ Bologna, Dept Expt Diagnost &amp; Specialty Med, Alma Mater Studiorum, I-40138 Bologna, Italy; [Mantovani, Vilma; Bonafe, Massimiliano] St Orsola Marcello Malpighi Hosp, Ctr Appl Biomed Res CRBA, I-40138 Bologna, Italy; [Pellegrini, Alice; Taffurelli, Mario] St Orsola Marcello Malpighi Hosp, Dept Women Children &amp; Urol Dis, I-40138 Bologna, Italy; [Santini, Donatella] St Orsola Marcello Malpighi Hosp, Operat Unit Pathol, I-40138 Bologna, Italy; [Arienti, Chiara; Pignatta, Sara; Tesei, Anna] IRCCS, Ist Sci Romagnolo Studio &amp; Cura Tumori IRST, Biosci Lab, Drug Discovery Unit &amp; Radiobiol, I-47014 Meldola, Italy; [Zamagni, Claudio] St Orsola Marcello Malpighi Hosp, Med Oncol Unit, I-40126 Bologna, Italy; [Taffurelli, Mario] Univ Bologna, Dept Med &amp; Surg Sci, Alma Mater Studiorum, I-40138 Bologna, Italy; [Sansone, Pasquale] Mem Sloan Kettering Canc Ctr, Dept Med, 1275 York Ave, New York, NY 10021 USA; [Sansone, Pasquale] Weill Cornell Med Coll, Childrens Canc &amp; Blood Fdn Labs, Dept Pediat Cell &amp; Dev Biol, New York, NY 10021 USA</t>
  </si>
  <si>
    <t>University of Bologna; IRCCS Azienda Ospedaliero-Universitaria di Bologna; IRCCS Azienda Ospedaliero-Universitaria di Bologna; IRCCS Azienda Ospedaliero-Universitaria di Bologna; IRCCS Meldola (IRST); IRCCS Azienda Ospedaliero-Universitaria di Bologna; University of Bologna; Memorial Sloan Kettering Cancer Center; Cornell University</t>
  </si>
  <si>
    <t>Cricca, M (corresponding author), Univ Bologna, Dept Expt Diagnost &amp; Specialty Med, Alma Mater Studiorum, I-40138 Bologna, Italy.</t>
  </si>
  <si>
    <t>monica.cricca3@unibo.it</t>
  </si>
  <si>
    <t>De Leo, Antonio/V-1441-2019; Pignatta, Sara/X-1508-2018; arienti, chiara/AAA-9493-2021; Santini, Donatella/AAO-1490-2021; ceccarelli, claudio/AAS-6105-2020; Tesei, Anna/C-7748-2016</t>
  </si>
  <si>
    <t>De Leo, Antonio/0000-0002-3761-5135; Pignatta, Sara/0000-0001-5464-0052; arienti, chiara/0000-0002-2265-828X; ceccarelli, claudio/0000-0003-0743-2087; Tesei, Anna/0000-0002-8351-5952; santini, donatella/0000-0002-1692-6348</t>
  </si>
  <si>
    <t>1746-0913</t>
  </si>
  <si>
    <t>1746-0921</t>
  </si>
  <si>
    <t>10.2217/fmb-2017-0145</t>
  </si>
  <si>
    <t>WOS:000427273500005</t>
  </si>
  <si>
    <t>Amirrad, F; Pytak, PA; Sadeghiani-Pelar, N; Nguyen, JPT; Cauble, EL; Jones, AC; Bisoffi, M</t>
  </si>
  <si>
    <t>Amirrad, Farideh; Pytak, Philip A.; Sadeghiani-Pelar, Neda; Nguyen, Julie P. T.; Cauble, Emily L.; Jones, Anna C.; Bisoffi, Marco</t>
  </si>
  <si>
    <t>Prostate field cancerization and exosomes: Association between CD9, early growth response 1 and fatty acid synthase</t>
  </si>
  <si>
    <t>prostate cancer; field cancerization; exosomes; CD9; early growth response 1; fatty acid synthase</t>
  </si>
  <si>
    <t>TELOMERE DNA-CONTENT; EXTRACELLULAR VESICLES; ACTIVE SURVEILLANCE; TRANSCRIPTION FACTOR; GENE-EXPRESSION; CANCER; EGR1; DIAGNOSIS; BIOPSIES; THERAPY</t>
  </si>
  <si>
    <t>Intracapsular and well-defined adenocarcinomas of the prostate are often surrounded by tissue areas that harbor molecular aberrations, including those of genetic, epigenetic and biochemical nature. This is known as field cancerization, or a field effect and denotes a state of pre-malignancy. Such alterations in histologically normal tumor-adjacent prostatic tissues have been recognized as clinically important and are potentially exploitable as biomarkers of disease and/or targets for preventative/therapeutic intervention. The authors have previously identified and validated two protein markers of field cancerization: The expressional upregulation of the transcription factor early growth response 1 (EGR-1) and the lipogenic enzyme fatty acid synthase (FASN). However, the molecular etiology of prostate field cancerization, including EGR-1 and FASN upregulation, remains largely unknown. It was thus hypothesized that extracellular vesicles, notably exosomes, released by tumor lesions may induce molecular alterations in the surrounding tissues, resulting in field cancerization, priming the tissue, and ultimately promoting multifocal tumorigenesis, which is often observed in prostate cancer. Towards testing this hypothesis, the current study, to the best of our knowledge, for the first time, presents correlative protein expression data, generated in disease-free, tumor-adjacent and cancerous human prostate tissues by quantitative immunofluorescence, between the exosomal marker CD9, and EGR-1 and FASN. Despite the pilot character of the present study, and the static nature and heterogeneity of human tissues, the data suggest that CD9 expression itself is part of a field effect. In support of this hypothesis, the results suggest a possible contribution of exosomes to the induction of field cancerization in the prostate, particularly for EGR-1. These findings were corroborated in established cell models of cancerous (LNCaP) and non-cancerous (RWPE-1) human prostate epithelial cells. The findings of this study warrant further investigation into the functional interface between exosomes and field cancerization, as a detailed understanding of this characterization may lead to the development of clinical applications related to diagnosis and/or prognosis and targeted intervention to prevent progression from pre-malignancy to cancer.</t>
  </si>
  <si>
    <t>[Amirrad, Farideh; Sadeghiani-Pelar, Neda; Bisoffi, Marco] Chapman Univ, Sch Pharm, Dept Biomed &amp; Pharmaceut Sci, Harry &amp; Diane Rinker Hlth Sci Campus, Irvine, CA 92618 USA; [Pytak, Philip A.; Nguyen, Julie P. T.; Bisoffi, Marco] Chapman Univ, Schmid Coll Sci &amp; Technol, Keck Ctr Sci &amp; Engn, Div Chem &amp; Biochem, 1 Univ Dr, Orange, CA 92866 USA; [Cauble, Emily L.; Bisoffi, Marco] Chapman Univ, Schmid Coll Sci &amp; Technol, Keck Ctr Sci &amp; Engn, Div Biol Sci, Orange, CA 92866 USA; [Jones, Anna C.] Univ New Mexico, Comprehens Canc Ctr, Albuquerque, NM 87102 USA</t>
  </si>
  <si>
    <t>Chapman University System; Chapman University; Chapman University System; Chapman University; Chapman University System; Chapman University; University of New Mexico</t>
  </si>
  <si>
    <t>Bisoffi, M (corresponding author), Chapman Univ, Schmid Coll Sci &amp; Technol, Keck Ctr Sci &amp; Engn, Div Chem &amp; Biochem, 1 Univ Dr, Orange, CA 92866 USA.</t>
  </si>
  <si>
    <t>bisoffi@chapman.edu</t>
  </si>
  <si>
    <t>10.3892/ijo.2020.4980</t>
  </si>
  <si>
    <t>WOS:000523749200009</t>
  </si>
  <si>
    <t>Purcell, E; Owen, S; Prantzalos, E; Radomski, A; Carman, N; Lo, TW; Zeinali, M; Subramanian, C; Ramnath, N; Nagrath, S</t>
  </si>
  <si>
    <t>Purcell, Emma; Owen, Sarah; Prantzalos, Emily; Radomski, Abigail; Carman, Nayri; Lo, Ting-Wen; Zeinali, Mina; Subramanian, Chitra; Ramnath, Nithya; Nagrath, Sunitha</t>
  </si>
  <si>
    <t>Epidermal Growth Factor Receptor Mutations Carried in Extracellular Vesicle-Derived Cargo Mirror Disease Status in Metastatic Non-small Cell Lung Cancer</t>
  </si>
  <si>
    <t>extracellular vesicle (EV); EGFR mutation; longitudinal monitoring; resistance mutation; non-small cell lung cancer; EV-protein; EV-RNA; tyrosine kinase inhibitor (TKI)</t>
  </si>
  <si>
    <t>DNA; QUANTIFICATION; RESISTANCE; EXOSOMES; PLASMA</t>
  </si>
  <si>
    <t>In non-small cell lung cancer (NSCLC), identifying the presence of sensitizing and resistance epidermal growth factor receptor (EGFR) mutations dictates treatment plans. Extracellular vesicles (EVs) are emerging as abundant, stable potential liquid biopsy targets that offer the potential to quantify EGFR mutations in NSCLC patients at the RNA and protein level at multiple points through treatment. In this study, we present a systematic approach for serial mutation profiling of 34 EV samples from 10 metastatic NSCLC patients with known EGFR mutations through treatment. Using western blot and droplet digital PCR (ddPCR), sensitizing (exon 19 deletion, L858R) mutations were detected in EV-Protein, and both sensitizing and resistance (T790M) mutations were quantified in EV-RNA. EGFR mutations were detected in EV-Protein from four patients at multiple time points through treatment. Using EV-RNA, tumor biopsy matched sensitizing mutations were detected in 90% of patients and resistance mutations in 100% of patients. Finally, mutation burden in EV-RNA at each time point was compared to disease status, described as either stable or progressing. For 6/7 patients who were longitudinally monitored through treatment, EV mutation burden mirrored clinical trajectory. When comparing mutation detection between EV-RNA and ctDNA using ddPCR, EVs had a better detection rate for exon 19 deletions and the L858R point mutation. In conclusion, this study demonstrates that integrating EV analysis into liquid biopsy mutation screening has the potential to advance beyond the current standard of care rule in test. The multi-analyte testing allows future integration of EGFR mutation monitoring with additional EV-markers for a comprehensive patient monitoring biomarker.</t>
  </si>
  <si>
    <t>[Purcell, Emma; Owen, Sarah; Prantzalos, Emily; Radomski, Abigail; Carman, Nayri; Lo, Ting-Wen; Zeinali, Mina; Nagrath, Sunitha] Univ Michigan, Dept Chem Engn, Ann Arbor, MI 48109 USA; [Purcell, Emma; Owen, Sarah; Prantzalos, Emily; Radomski, Abigail; Carman, Nayri; Lo, Ting-Wen; Zeinali, Mina; Nagrath, Sunitha] Univ Michigan, Biointerfaces Inst, Ann Arbor, MI 48109 USA; [Subramanian, Chitra] Univ Michigan, Dept Surg, Ann Arbor, MI 48109 USA; [Ramnath, Nithya] Univ Michigan, Dept Internal Med, Ann Arbor, MI 48109 USA; [Ramnath, Nithya] Vet Affairs Ann Arbor Healthcare Syst, Ann Arbor, MI USA; [Nagrath, Sunitha] Univ Michigan, Rogel Canc Ctr, Ann Arbor, MI 48109 USA</t>
  </si>
  <si>
    <t>University of Michigan System; University of Michigan; University of Michigan System; University of Michigan; University of Michigan System; University of Michigan; University of Michigan System; University of Michigan; US Department of Veterans Affairs; Veterans Health Administration (VHA); VA Ann Arbor Healthcare System; University of Michigan System; University of Michigan</t>
  </si>
  <si>
    <t>Nagrath, S (corresponding author), Univ Michigan, Dept Chem Engn, Ann Arbor, MI 48109 USA.;Nagrath, S (corresponding author), Univ Michigan, Biointerfaces Inst, Ann Arbor, MI 48109 USA.;Nagrath, S (corresponding author), Univ Michigan, Rogel Canc Ctr, Ann Arbor, MI 48109 USA.</t>
  </si>
  <si>
    <t>Prantzalos, Emily/0000-0001-8098-5601</t>
  </si>
  <si>
    <t>OCT 6</t>
  </si>
  <si>
    <t>10.3389/fcell.2021.724389</t>
  </si>
  <si>
    <t>WOS:000710115500001</t>
  </si>
  <si>
    <t>Liao, TL; Chen, YM; Tang, KT; Chen, PK; Liu, HJ; Chen, DY</t>
  </si>
  <si>
    <t>Liao, Tsai-Ling; Chen, Yi-Ming; Tang, Kuo-Tung; Chen, Po-Ku; Liu, Hung-Jen; Chen, Der-Yuan</t>
  </si>
  <si>
    <t>MicroRNA-223 inhibits neutrophil extracellular traps formation through regulating calcium influx and small extracellular vesicles transmission</t>
  </si>
  <si>
    <t>OXIDIZED MITOCHONDRIAL-DNA; ONSET STILLS-DISEASE; NLRP3 INFLAMMASOME; CYTOKINE PROFILES; ADULT; INTERLEUKIN-18; BIOGENESIS; ACTIVATION; EXPRESSION; MECHANISM</t>
  </si>
  <si>
    <t>Modulation of miRNAs and neutrophil extracellular traps (NETs) formation are both implicated in inflammatory disorders. Adult-onset Still's disease (AOSD) is a systemic autoinflammatory disease with neutrophilic leukocytosis and unknown etiology. Although the NETs formation is elevated in AOSD patients, the regulatory roles of miRNAs in NETs formation in AOSD remains unclear. We revealed that the circulating levels of IL-18, NETs, and miR-223 were significantly higher in active AOSD patients, compared with inactive AOSD patients or healthy controls (P&lt;0.005). Moreover, IL-18 increased calcium influx into neutrophils, which led to mitochondrial ROS (mROS) production and NETs formation. Elevated levels of NETs-DNA could induce miR-223 expression in neutrophils through activating Toll-like receptor 9. The upregulated miR-223 expression in neutrophils suppressed mROS production by blocking calcium influx, and subsequently inhibited IL-18-mediated NETs formation. Besides, the increased neutrophil-derived exosomal miR-223 levels were observed in active AOSD patients compared with healthy controls (P&lt;0.005). Our in vitro assays demonstrated that the neutrophil-derived small extracellular vesicles carried miR-223, which could repress IL-18 production in macrophages. Together, these results suggest a fine-tuned mechanism between inflammatory (IL-18 induced NETs) and anti-inflammatory (miR-223) factors in AOSD. MiR-223, mROS inhibitors, and calcium channel blockers are the potential therapeutics for autoinflammatory diseases such as AOSD.</t>
  </si>
  <si>
    <t>[Liao, Tsai-Ling; Chen, Yi-Ming] Taichung Vet Gen Hosp, Dept Med Res, Taichung 407, Taiwan; [Liao, Tsai-Ling; Liu, Hung-Jen] Natl Chung Hsing Univ, Rong Hsing Res Ctr Translat Med, Taichung 402, Taiwan; [Liao, Tsai-Ling; Liu, Hung-Jen] Natl Chung Hsing Univ, PhD Program Translat Med, Taichung 402, Taiwan; [Chen, Yi-Ming; Tang, Kuo-Tung] Taichung Vet Gen Hosp, Div Allergy Immunol &amp; Rheumatol, Taichung 407, Taiwan; [Chen, Po-Ku; Chen, Der-Yuan] China Med Univ Hosp, Rheumatol &amp; Immunol Ctr, Dept Med, 2,Yude Rd, Taichung 40447, Taiwan; [Chen, Po-Ku; Chen, Der-Yuan] China Med Univ Hosp, Rheumatol &amp; Immunol Ctr, Translat Med Lab, Taichung 404, Taiwan; [Chen, Po-Ku; Chen, Der-Yuan] China Med Univ, Coll Med, Taichung 404, Taiwan; [Liu, Hung-Jen] Natl Chung Hsing Univ, Inst Mol Biol, Taichung 402, Taiwan; [Chen, Der-Yuan] Chung Shan Med Univ Hosp, Inst Med, Taichung 402, Taiwan</t>
  </si>
  <si>
    <t>Taichung Veterans General Hospital; National Chung Hsing University; National Chung Hsing University; Taichung Veterans General Hospital; China Medical University Taiwan; China Medical University Hospital - Taiwan; China Medical University Taiwan; China Medical University Hospital - Taiwan; China Medical University Taiwan; National Chung Hsing University; Chung Shan Medical University; Chung Shan Medical University Hospital</t>
  </si>
  <si>
    <t>Chen, DY (corresponding author), China Med Univ Hosp, Rheumatol &amp; Immunol Ctr, Dept Med, 2,Yude Rd, Taichung 40447, Taiwan.;Chen, DY (corresponding author), China Med Univ Hosp, Rheumatol &amp; Immunol Ctr, Translat Med Lab, Taichung 404, Taiwan.;Chen, DY (corresponding author), China Med Univ, Coll Med, Taichung 404, Taiwan.;Chen, DY (corresponding author), Chung Shan Med Univ Hosp, Inst Med, Taichung 402, Taiwan.</t>
  </si>
  <si>
    <t>dychen1957@gmail.com</t>
  </si>
  <si>
    <t>Chen, Yi-Ming/AAV-3806-2021</t>
  </si>
  <si>
    <t>Chen, Yi-Ming/0000-0001-7593-3065; Tang, Kuo-Tung/0000-0002-5468-1329; Liu, Hung-Jen/0000-0002-1460-1494</t>
  </si>
  <si>
    <t>AUG 3</t>
  </si>
  <si>
    <t>10.1038/s41598-021-95028-0</t>
  </si>
  <si>
    <t>WOS:000684191400002</t>
  </si>
  <si>
    <t>Krzyzek, P</t>
  </si>
  <si>
    <t>Krzyzek, Pawel</t>
  </si>
  <si>
    <t>Secretion of outer membrane vesicles as a mechanism promoting H. pylori infections</t>
  </si>
  <si>
    <t>biofilm; H. pylori; outer membrane vesicles; transformation; virulence factors</t>
  </si>
  <si>
    <t>PATHOGEN HELICOBACTER-PYLORI; GASTRIC EPITHELIAL-CELLS; EXTRACELLULAR DNA; GENETIC-TRANSFORMATION; NATURAL COMPETENCE; BIOFILM FORMATION; ESCHERICHIA-COLI; FUNCTIONAL-CHARACTERIZATION; PSEUDOMONAS-AERUGINOSA; HAEMOPHILUS-INFLUENZAE</t>
  </si>
  <si>
    <t>Helicobacter pylori commonly colonizes the human gastric mucosa. Infections with this microorganism can contribute to serious health consequences, such as peptic ulceration, gastric adenocarcinoma and gastric mucosa-associated lymphoid tissue lymphoma. Chronic persistence of this bacteria in the host organism is probably strongly dependent on the secretion of outer membrane vesicles (OMV). These organelles are small, electron-dense, extracellular structures which are secreted in large amounts during stressful conditions, among others. H. pylori OMV mediate transfer of virulence factors such as toxins and immunomodulatory compounds. They contribute to avoiding a response from the host immune system and inducing chronic gastritis. OMV secretion also affects the formation of cell aggregates, microcolonies and biofilm matrix. Enhanced OMV production is connected to maintenance of direct contact through cell-cell and cell-surface interactions. A key component of OMV, which determines their structural function, is extracellular DNA (eDNA) anchored to the surface of these organelles. eDNA associated with OMV additionally determines the genetic recombination in the process of horizontal gene transfer. H. pylori is naturally competent for genetic transformation and is constantly capable of DNA uptake from the environment. The natural competence state promotes the assimilation of eDNA anchored to the OMV surface. This is probably dependent on ComB and ComEC components, which are involved in the transformation process. For this reason, the OMV secretion mediates intensive exchange of genetic material, promotes adaptation to changing environmental conditions and enables persistent infecting of the gastric mucosa by H. pylon. 1. Introduction. 2. Secretion of outer membrane vesicles by H. pylori. 3. Proteome of H. pylori outer membrane vesicles. 4. Transport of virulence factors through OMV. 4.1. Toxin VacA. 4.2. Oncoprotein CagA. 4.3. Other substances. 5. OMV involvement in biofilm formation. 5.1. Functions of biofilm. 5.2. OMV influence on bacterial biofilm formation. 5.3. OMV influence on biofilm formation by H. pylori. 5.4. Structural function of H. pylori extracellular DNA. 6. Extracellular DNA as an information carrier. 6.1. Influence on virulence. 6.2. Transformation. 6.3. Natural competence of H. pylon. 7. Conclusions</t>
  </si>
  <si>
    <t>[Krzyzek, Pawel] Uniwersytet Med Piastow Slaskich Wroclaw, Katedra &amp; Zaklad Mikrobiol, Ul Chalubinskiego 4, PL-50368 Wroclaw, Poland</t>
  </si>
  <si>
    <t>Wroclaw Medical University</t>
  </si>
  <si>
    <t>Krzyzek, P (corresponding author), Uniwersytet Med Piastow Slaskich Wroclaw, Katedra &amp; Zaklad Mikrobiol, Ul Chalubinskiego 4, PL-50368 Wroclaw, Poland.</t>
  </si>
  <si>
    <t>krojcerpawel@gmail.com</t>
  </si>
  <si>
    <t>Krzyżek, Paweł/AAH-7647-2021</t>
  </si>
  <si>
    <t>Krzyżek, Paweł/0000-0002-3117-8894</t>
  </si>
  <si>
    <t>JUL-SEP</t>
  </si>
  <si>
    <t>WOS:000409157800006</t>
  </si>
  <si>
    <t>Dell'Annunziata, F; Dell'Aversana, C; Doti, N; Donadio, G; Dal Piaz, F; Izzo, V; De Filippis, A; Galdiero, M; Altucci, L; Boccia, G; Galdiero, M; Folliero, V; Franci, G</t>
  </si>
  <si>
    <t>Dell'Annunziata, Federica; Dell'Aversana, Carmela; Doti, Nunzianna; Donadio, Giuliana; Dal Piaz, Fabrizio; Izzo, Viviana; De Filippis, Anna; Galdiero, Marilena; Altucci, Lucia; Boccia, Giovanni; Galdiero, Massimiliano; Folliero, Veronica; Franci, Gianluigi</t>
  </si>
  <si>
    <t>Outer Membrane Vesicles Derived from Klebsiella pneumoniae Are a Driving Force for Horizontal Gene Transfer</t>
  </si>
  <si>
    <t>Outer Membrane Vesicles; Klebsiella pneumoniae; horizontal gene transfer; Gram-negative bacteria; DNA</t>
  </si>
  <si>
    <t>VIRULENCE GENES; DNA</t>
  </si>
  <si>
    <t>Gram-negative bacteria release Outer Membrane Vesicles (OMVs) into the extracellular environment. Recent studies recognized these vesicles as vectors to horizontal gene transfer; however, the parameters that mediate OMVs transfer within bacterial communities remain unclear. The present study highlights for the first time the transfer of plasmids containing resistance genes via OMVs derived from Klebsiella pneumoniae (K. pneumoniae). This mechanism confers DNA protection, it is plasmid copy number dependent with a ratio of 3.6 times among high copy number plasmid (pGR) versus low copy number plasmid (PRM), and the transformation efficiency was 3.6 times greater. Therefore, the DNA amount in the vesicular lumen and the efficacy of horizontal gene transfer was strictly dependent on the identity of the plasmid. Moreover, the role of K. pneumoniae-OMVs in interspecies transfer was described. The transfer ability was not related to the phylogenetic characteristics between the donor and the recipient species. K. pneumoniae-OMVs transferred plasmid to Escherichia coli, Salmonella enterica, Pseudomonas aeruginosa and Burkholderia cepacia. These findings address the pivotal role of K. pneumoniae-OMVs as vectors for antimicrobial resistance genes spread, contributing to the development of antibiotic resistance in the microbial communities.</t>
  </si>
  <si>
    <t>[Dell'Annunziata, Federica; De Filippis, Anna; Galdiero, Marilena; Galdiero, Massimiliano; Folliero, Veronica] Univ Campania Luigi Vanvitelli, Dept Expt Med, I-80138 Naples, Italy; [Dell'Aversana, Carmela] CNR, Inst Expt Endocrinol &amp; Oncol Gaetano Salvatore IE, I-80131 Naples, Italy; [Dell'Aversana, Carmela; Altucci, Lucia] Univ Campania Luigi Vanvitelli, Dept Precis Med, I-80138 Naples, Italy; [Doti, Nunzianna] CNR, Inst Biostruct &amp; Bioimaging IBB, I-80145 Naples, Italy; [Donadio, Giuliana; Dal Piaz, Fabrizio; Izzo, Viviana; Boccia, Giovanni; Franci, Gianluigi] Univ Salerno, Scuola Med Salernitana, Dept Med Surg &amp; Dent, I-84081 Salerno, Italy</t>
  </si>
  <si>
    <t>Universita della Campania Vanvitelli; Consiglio Nazionale delle Ricerche (CNR); Universita della Campania Vanvitelli; Consiglio Nazionale delle Ricerche (CNR); Istituto di Biostrutture e Bioimmagini (IBB-CNR); University of Salerno</t>
  </si>
  <si>
    <t>Folliero, V (corresponding author), Univ Campania Luigi Vanvitelli, Dept Expt Med, I-80138 Naples, Italy.;Franci, G (corresponding author), Univ Salerno, Scuola Med Salernitana, Dept Med Surg &amp; Dent, I-84081 Salerno, Italy.</t>
  </si>
  <si>
    <t>federica.dellannunziata@unicampania.it; carmela.dellaversana@cnr.it; nunzia.doti@gmail.com; gdonadio@unisa.it; fdalpiaz@unisa.it; vizzo@unisa.it; anna.defilippis@unicampania.it; marilena.galdiero@unicampania.it; lucia.altucci@unicampania.it; gboccia@unisa.it; massimiliano.galdiero@unicampania.it; veronica.folliero@unicampania.it; gfranci@unisa.it</t>
  </si>
  <si>
    <t>Franci, Gianluigi/AAC-6841-2022; Izzo, Viviana/Q-2076-2015; Doti, Nunzianna/ABC-9948-2020; BOCCIA, GIOVANNI/J-9496-2016; dell'aversana, carmela/P-7829-2018</t>
  </si>
  <si>
    <t>Izzo, Viviana/0000-0001-6066-7569; BOCCIA, GIOVANNI/0000-0002-7757-6855; altucci, lucia/0000-0002-7312-5387; Dell'Annunziata, Federica/0000-0002-1654-8500; Dal Piaz, Fabrizio/0000-0002-8643-5018; dell'aversana, carmela/0000-0001-6588-698X</t>
  </si>
  <si>
    <t>10.3390/ijms22168732</t>
  </si>
  <si>
    <t>WOS:000689199800001</t>
  </si>
  <si>
    <t>Chen, R; Huang, HX; Liu, H; Xi, JY; Ning, J; Zeng, WJ; Shen, CL; Zhang, T; Yu, GX; Xu, Q; Chen, XM; Wang, J; Lu, FM</t>
  </si>
  <si>
    <t>Chen, Ran; Huang, Hongxin; Liu, Hui; Xi, Jingyuan; Ning, Jing; Zeng, Wanjia; Shen, Congle; Zhang, Ting; Yu, Guangxin; Xu, Qiang; Chen, Xiangmei; Wang, Jie; Lu, Fengmin</t>
  </si>
  <si>
    <t>Friend or Foe? Evidence Indicates Endogenous Exosomes Can Deliver Functional gRNA and Cas9 Protein</t>
  </si>
  <si>
    <t>CRISPR; Cas9; delivery systems; exosomes</t>
  </si>
  <si>
    <t>VIRAL-INFECTION; CRISPR-CAS9; SYSTEM; CANCER; RNA; CRISPR/CAS9; NUCLEASES; EXPRESSION; MICRORNAS; VESICLES</t>
  </si>
  <si>
    <t>The clustered regularly interspaced short palindromic repeats (CRISPR)/associated nuclease (Cas) system is an efficient gene editing tool. In this study, it is found that both single guide RNA (gRNA) and Cas9 protein could be exported from the CRISPR/Cas9-expressing cells by endogenous exosomes independently. Further experiments demonstrate that these naturally produced endogenous exosomes could be used as a vehicle to deliver the functional Cas9 and hepatitis B virus (HBV)-specific gRNA to cut HBV DNA transfected in HuH7 cells or human papilloma virus (HPV)-specific gRNA to cut the integrated HPV DNA in HeLa cells, respectively. In conclusion, this study indicates the potential of endogenous exosomes as a safe and effective delivery vehicle of the functional gRNA and Cas9 protein. Meanwhile, the endogenous exosomes-mediated delivery of gene editing activity to adjacent and distant cells or tissues may further complicate the off-target and safety concerns about the CRISPR/Cas9 system.</t>
  </si>
  <si>
    <t>[Chen, Ran; Huang, Hongxin; Liu, Hui; Xi, Jingyuan; Ning, Jing; Zeng, Wanjia; Shen, Congle; Zhang, Ting; Yu, Guangxin; Xu, Qiang; Chen, Xiangmei; Wang, Jie; Lu, Fengmin] Peking Univ, Hlth Sci Ctr, State Key Lab Nat &amp; Biomimet Drugs, Dept Microbiol,Sch Basic Med Sci, Beijing 100191, Peoples R China; [Chen, Ran; Huang, Hongxin; Liu, Hui; Xi, Jingyuan; Ning, Jing; Zeng, Wanjia; Shen, Congle; Zhang, Ting; Yu, Guangxin; Xu, Qiang; Chen, Xiangmei; Wang, Jie; Lu, Fengmin] Peking Univ, Infect Dis Ctr, Sch Basic Med Sci, Hlth Sci Ctr, Beijing 100191, Peoples R China</t>
  </si>
  <si>
    <t>Peking University; Peking University</t>
  </si>
  <si>
    <t>Wang, J; Lu, FM (corresponding author), Peking Univ, Hlth Sci Ctr, State Key Lab Nat &amp; Biomimet Drugs, Dept Microbiol,Sch Basic Med Sci, Beijing 100191, Peoples R China.;Wang, J; Lu, FM (corresponding author), Peking Univ, Infect Dis Ctr, Sch Basic Med Sci, Hlth Sci Ctr, Beijing 100191, Peoples R China.</t>
  </si>
  <si>
    <t>wangjie2015@bjmu.edu.cn; lu.fengmin@hsc.pku.edu.cn</t>
  </si>
  <si>
    <t>Wang, Jie/0000-0001-6518-948X; Huang, Hongxin/0000-0001-5449-1675</t>
  </si>
  <si>
    <t>10.1002/smll.201902686</t>
  </si>
  <si>
    <t>JUL 2019</t>
  </si>
  <si>
    <t>WOS:000474088900001</t>
  </si>
  <si>
    <t>Garcia-Contreras, M; Brooks, RW; Boccuzzi, L; Robbins, PD; Ricordi, C</t>
  </si>
  <si>
    <t>Garcia-Contreras, M.; Brooks, R. W.; Boccuzzi, L.; Robbins, P. D.; Ricordi, C.</t>
  </si>
  <si>
    <t>Exosomes as biomarkers and therapeutic tools for type 1 diabetes mellitus</t>
  </si>
  <si>
    <t>Exosomes; Type 1 diabetes; Biomarkers; Therapy; Islets</t>
  </si>
  <si>
    <t>MESENCHYMAL STEM-CELLS; EXTRACELLULAR VESICLES; TRANSFERRIN RECEPTOR; MOLECULAR-MECHANISMS; MEDIATED TRANSFER; CANCER EXOSOMES; MESSENGER-RNAS; FLOW-CYTOMETRY; EMERGING ROLE; GENOMIC DNA</t>
  </si>
  <si>
    <t>Early diagnosis of diabetes mellitus can significantly improve therapeutic strategies and overall health span. Identifying biomarkers as a tool for determining the risk of developing diabetes as well as a monitoring strategy for progression of the disease state would be useful in predicting potential complications while simultaneously improving our ability to prevent and treat diabetes. Extracellular vesicles (EV) have recently emerged as prominent mediators of intercellular communication and as a potential source for the discovery of novel biomarkers. A deeper understanding of the cargo molecules present in EVs obtained from type 1 diabetes mellitus (T1D) patients may aid in the identification of novel diagnostic and prognostic biomarkers, and can potentially lead to the discovery of new therapeutic targets.</t>
  </si>
  <si>
    <t>[Garcia-Contreras, M.; Boccuzzi, L.; Ricordi, C.] Univ Miami, Diabet Res Inst, Miami, FL 33146 USA; [Garcia-Contreras, M.; Ricordi, C.] Ri Med Fdn, Palermo, Italy; [Garcia-Contreras, M.] Catholic Univ Valencia, Sch Med &amp; Dent, Valencia, Spain; [Brooks, R. W.; Robbins, P. D.] Scripps Res Inst, Dept Mol Med, Jupiter, FL USA; [Brooks, R. W.; Robbins, P. D.] Scripps Res Inst, Ctr Aging, Jupiter, FL USA</t>
  </si>
  <si>
    <t>University of Miami; Universidad Catolica de Valencia San Vicente Martir; Scripps Research Institute; Scripps Research Institute</t>
  </si>
  <si>
    <t>Ricordi, C (corresponding author), Univ Miami, Diabet Res Inst, Miami, FL 33146 USA.;Ricordi, C (corresponding author), Ri Med Fdn, Palermo, Italy.</t>
  </si>
  <si>
    <t>CRicordi@med.miami.edu</t>
  </si>
  <si>
    <t>RICORDI, CAMILLO/AAA-4740-2019; Garcia-Contreras, Marta/AAY-2764-2021</t>
  </si>
  <si>
    <t>Garcia-Contreras, Marta/0000-0001-8014-7966</t>
  </si>
  <si>
    <t>WOS:000408675400021</t>
  </si>
  <si>
    <t>Crow, J; Atay, S; Banskota, S; Artale, B; Schmitt, S; Godwin, AK</t>
  </si>
  <si>
    <t>Crow, Jennifer; Atay, Safinur; Banskota, Samagya; Artale, Brittany; Schmitt, Sarah; Godwin, Andrew K.</t>
  </si>
  <si>
    <t>Exosomes as mediators of platinum resistance in ovarian cancer</t>
  </si>
  <si>
    <t>ovarian cancer; EMT; exosomes; platinum-resistance; SMAD4</t>
  </si>
  <si>
    <t>TO-MESENCHYMAL TRANSITION; SOUTHWEST-ONCOLOGY-GROUP; BREAST-CANCER; TGF-BETA; PROSTATE-CANCER; CELL-LINES; STEM-CELLS; PHASE-II; TRANSFERRIN RECEPTOR; CISPLATIN RESISTANCE</t>
  </si>
  <si>
    <t>Exosomes have been implicated in the cell-cell transfer of oncogenic proteins and genetic material. We speculated this may be one mechanism by which an intrinsically platinum-resistant population of epithelial ovarian cancer (EOC) cells imparts its influence on surrounding tumor cells. To explore this possibility we utilized a platinum-sensitive cell line, A2780 and exosomes derived from its resistant subclones, and an unselected, platinum-resistant EOC line, OVCAR10. A2780 cells demonstrate a similar to 2-fold increase in viability upon treatment with carboplatin when pre-exposed to exosomes from platinum-resistant cells as compared to controls. This coincided with increased epithelial to mesenchymal transition (EMT). DNA sequencing of EOC cell lines revealed previously unreported somatic mutations in the Mothers Against Decapentaplegic Homolog 4 (SMAD4) within platinum-resistant cells. A2780 cells engineered to exogenously express these SMAD4 mutations demonstrate up-regulation of EMT markers following carboplatin treatment, are more resistant to carboplatin, and release exosomes which impart a similar to 1.7-fold increase in resistance in naive A2780 recipient cells as compared to controls. These studies provide the first evidence that acquired SMAD4 mutations enhance the chemo-resistance profile of EOC and present a novel mechanism in which exchange of tumor-derived exosomes perpetuates an EMT phenotype, leading to the development of subpopulations of platinum-refractory cells.</t>
  </si>
  <si>
    <t>[Crow, Jennifer; Atay, Safinur; Banskota, Samagya; Schmitt, Sarah; Godwin, Andrew K.] Univ Kansas, Med Ctr, Dept Pathol &amp; Lab Med, Kansas City, KS 66103 USA; [Banskota, Samagya] Duke Univ, Dept Biomed Engn, Durham, NC 27706 USA; [Artale, Brittany] Univ Kansas, Bioengn Grad Program, Lawrence, KS 66045 USA; [Godwin, Andrew K.] Univ Kansas, Ctr Canc, Kansas City, KS 66045 USA</t>
  </si>
  <si>
    <t>University of Kansas; University of Kansas Medical Center; Duke University; University of Kansas; University of Kansas</t>
  </si>
  <si>
    <t>Godwin, AK (corresponding author), Univ Kansas, Med Ctr, Dept Pathol &amp; Lab Med, Kansas City, KS 66103 USA.;Godwin, AK (corresponding author), Univ Kansas, Ctr Canc, Kansas City, KS 66045 USA.</t>
  </si>
  <si>
    <t>agodwin@kumc.edu</t>
  </si>
  <si>
    <t>Atay, Safinur/0000-0001-8338-3403</t>
  </si>
  <si>
    <t>10.18632/oncotarget.14440</t>
  </si>
  <si>
    <t>WOS:000394187400104</t>
  </si>
  <si>
    <t>Cheng, NN; Xiong, YF; Zhang, WJ; Wu, XH; Sun, ZX; Zhang, L; Wu, H; Tang, Y; Peng, Y</t>
  </si>
  <si>
    <t>Cheng, Nannan; Xiong, Yuanfeng; Zhang, Wenjin; Wu, Xiaohong; Sun, Zhongxiang; Zhang, Lei; Wu, Hong; Tang, Yong; Peng, Yan</t>
  </si>
  <si>
    <t>Astrocytes promote the proliferation of oligodendrocyte precursor cells through connexin 47-mediated LAMB2 secretion in exosomes</t>
  </si>
  <si>
    <t>MOLECULAR BIOLOGY REPORTS</t>
  </si>
  <si>
    <t>Astrocyte; Oligodendrocyte precursor cell; Connexin 47; Exosomes; Laminin beta 2</t>
  </si>
  <si>
    <t>GAP-JUNCTION COMMUNICATION; PROGENITOR CELLS; EXPRESSION; PROTEIN; CX47; PHOSPHORYLATION; REGENERATION; VESICLES; ADHESION; CHANNELS</t>
  </si>
  <si>
    <t>Background Oligodendrocyte precursor cells (OPCs) can proliferate and differentiate into oligodendrocytes, the only myelin-forming cells in the central nervous system. Proliferating OPCs promotes remyelination in neurodegenerative diseases. Astrocytes (ASTs) are the most widespread cells in the brain and play a beneficial role in the proliferation of OPCs. Connexin 47 (Cx47) is the main component of AST-OPC gap junctions to regulate OPC proliferation. Nonetheless, the specific mechanism remains unclear. Methods and results This study investigates the proliferation mechanism of OPCs connected to ASTs via Cx47. Cx47 siRNA significantly inhibited OPCs from entering the proliferation cycle. Transcriptome sequencing of OPCs and gene ontology enrichment analysis revealed that ASTs enhanced the exosome secretion by OPCs via Cx47. Transmission electron microscopy, Western blot, and nanoparticle tracking analysis indicated that the OPC proliferation was related to extracellular exosomes. Cx47 siRNA decreased the OPC proliferation and exosome secretion in AST-OPC cocultures. Exogenous exosome supplementation alleviated the inhibitory effect of Cx47 siRNA and significantly improved OPC proliferation. Mass spectrometry revealed that LAMB2 was abundant in exosomes. The administration of exogenous LAMB2 induced DNA replication in the S phase in OPCs by activating cyclin D1. Conclusions Collectively, ASTs induce the secretion of exosomes that carry LAMB2 by OPCs via Cx47 to upregulate cyclin D1 thereby accelerating OPC proliferation.</t>
  </si>
  <si>
    <t>[Cheng, Nannan; Xiong, Yuanfeng; Zhang, Wenjin; Wu, Xiaohong; Sun, Zhongxiang; Zhang, Lei; Wu, Hong; Tang, Yong; Peng, Yan] Chongqing Med Univ, Dept Histol &amp; Embryol, Lab Tissue Engn &amp; Stem Cell, Chongqing, Peoples R China</t>
  </si>
  <si>
    <t>Tang, Y; Peng, Y (corresponding author), Chongqing Med Univ, Dept Histol &amp; Embryol, Lab Tissue Engn &amp; Stem Cell, Chongqing, Peoples R China.</t>
  </si>
  <si>
    <t>ytang062@163.com; 100433@cqmu.edu.cn</t>
  </si>
  <si>
    <t>0301-4851</t>
  </si>
  <si>
    <t>1573-4978</t>
  </si>
  <si>
    <t>10.1007/s11033-022-07508-9</t>
  </si>
  <si>
    <t>WOS:000799527100002</t>
  </si>
  <si>
    <t>Elashiry, M; Elsayed, R; Cutler, CW</t>
  </si>
  <si>
    <t>Elashiry, Mahmoud; Elsayed, Ranya; Cutler, Christopher W.</t>
  </si>
  <si>
    <t>Exogenous and Endogenous Dendritic Cell-Derived Exosomes: Lessons Learned for Immunotherapy and Disease Pathogenesis</t>
  </si>
  <si>
    <t>exosomes; dendritic cells; periodontitis; SASP; immune senescence; Porphyromonas gingivalis</t>
  </si>
  <si>
    <t>T-CELLS; EXTRACELLULAR VESICLES; MEMBRANE-VESICLES; EPITHELIAL-CELLS; IMMUNE CELLS; PORPHYROMONAS-GINGIVALIS; REPLICATIVE SENESCENCE; ACTIVATED PLATELETS; IN-VITRO; ANTIGEN</t>
  </si>
  <si>
    <t>Immune therapeutic exosomes, derived exogenously from dendritic cells (DCs), the 'directors' of the immune response, are receiving favorable safety and tolerance profiles in phase I and II clinical trials for a growing number of inflammatory and neoplastic diseases. DC-derived exosomes (EXO), the focus of this review, can be custom tailored with immunoregulatory or immunostimulatory molecules for specific immune cell targeting. Moreover, the relative stability, small size and rapid uptake of EXO by recipient immune cells offer intriguing options for therapeutic purposes. This necessitates an in-depth understanding of mechanisms of EXO biogenesis, uptake and routing by recipient immune cells, as well as their in vivo biodistribution. Against this backdrop is recognition of endogenous exosomes, secreted by all cells, the molecular content of which is reflective of the metabolic state of these cells. In this regard, exosome biogenesis and secretion is regulated by cell stressors of chronic inflammation and tumorigenesis, including dysbiotic microbes, reactive oxygen species and DNA damage. Such cell stressors can promote premature senescence in young cells through the senescence associated secretory phenotype (SASP). Pathological exosomes of the SASP amplify inflammatory signaling in stressed cells in an autocrine fashion or promote inflammatory signaling to normal neighboring cells in paracrine, without the requirement of cell-to-cell contact. In summary, we review relevant lessons learned from the use of exogenous DC exosomes for immune therapy, as well as the pathogenic potential of endogenous DC exosomes.</t>
  </si>
  <si>
    <t>[Elashiry, Mahmoud; Elsayed, Ranya; Cutler, Christopher W.] Augusta Univ, Dept Periodont, Augusta, GA 30912 USA</t>
  </si>
  <si>
    <t>University System of Georgia; Augusta University</t>
  </si>
  <si>
    <t>Cutler, CW (corresponding author), Augusta Univ, Dept Periodont, Augusta, GA 30912 USA.</t>
  </si>
  <si>
    <t>MELASHIRY@augusta.edu; RELSAYED@augusta.edu; chcutler@augusta.edu</t>
  </si>
  <si>
    <t>10.3390/cells11010115</t>
  </si>
  <si>
    <t>WOS:000752894500001</t>
  </si>
  <si>
    <t>Feng, QM; Ma, P; Cao, QH; Guo, YH; Xu, JJ</t>
  </si>
  <si>
    <t>Feng, Qiu-Mei; Ma, Po; Cao, Qi-Hang; Guo, Yue-Hua; Xu, Jing-Juan</t>
  </si>
  <si>
    <t>An aptamer-binding DNA walking machine for sensitive electrochemiluminescence detection of tumor exosomes</t>
  </si>
  <si>
    <t>CHEMICAL COMMUNICATIONS</t>
  </si>
  <si>
    <t>ELECTROGENERATED CHEMILUMINESCENCE BIOSENSOR; WALKER</t>
  </si>
  <si>
    <t>An aptamer-binding DNA walking machine triggered by the recognition of aptamers to exosomes was firstly reported for sensitive electrochemiluminescence (ECL) detection of exosomes.</t>
  </si>
  <si>
    <t>[Feng, Qiu-Mei; Ma, Po; Cao, Qi-Hang] Jiangsu Normal Univ, Sch Chem &amp; Mat Sci, Xuzhou 221116, Jiangsu, Peoples R China; [Guo, Yue-Hua] Nantong Univ, Res Ctr Clin Med, Affiliated Hosp, Nantong 226001, Peoples R China; [Xu, Jing-Juan] Nanjing Univ, Key Lab Analyt Chem Life Sci, Sch Chem &amp; Chem Engn, Nanjing 210023, Jiangsu, Peoples R China; [Xu, Jing-Juan] Nanjing Univ, Collaborat Innovat Ctr Chem Life Sci, Sch Chem &amp; Chem Engn, Nanjing 210023, Jiangsu, Peoples R China</t>
  </si>
  <si>
    <t>Jiangsu Normal University; Nantong University; Nanjing University; Nanjing University</t>
  </si>
  <si>
    <t>Guo, YH (corresponding author), Nantong Univ, Res Ctr Clin Med, Affiliated Hosp, Nantong 226001, Peoples R China.;Xu, JJ (corresponding author), Nanjing Univ, Key Lab Analyt Chem Life Sci, Sch Chem &amp; Chem Engn, Nanjing 210023, Jiangsu, Peoples R China.;Xu, JJ (corresponding author), Nanjing Univ, Collaborat Innovat Ctr Chem Life Sci, Sch Chem &amp; Chem Engn, Nanjing 210023, Jiangsu, Peoples R China.</t>
  </si>
  <si>
    <t>xujj@nju.edu.cn</t>
  </si>
  <si>
    <t>1359-7345</t>
  </si>
  <si>
    <t>1364-548X</t>
  </si>
  <si>
    <t>10.1039/c9cc08051a</t>
  </si>
  <si>
    <t>WOS:000503765300016</t>
  </si>
  <si>
    <t>Mutschelknaus, L; Peters, C; Winkler, K; Yentrapalli, R; Heider, T; Atkinson, MJ; Moertl, S</t>
  </si>
  <si>
    <t>Mutschelknaus, Lisa; Peters, Carsten; Winkler, Klaudia; Yentrapalli, Ramesh; Heider, Theresa; Atkinson, Michael John; Moertl, Simone</t>
  </si>
  <si>
    <t>Exosomes Derived from Squamous Head and Neck Cancer Promote Cell Survival after Ionizing Radiation</t>
  </si>
  <si>
    <t>MESSENGER-RNAS; MICROVESICLES; MICRORNAS; MICROENVIRONMENT; PROLIFERATION; MECHANISM; THERAPY</t>
  </si>
  <si>
    <t>Exosomes are nanometer-sized extracellular vesicles that are believed to function as intercellular communicators. Here, we report that exosomes are able to modify the radiation response of the head and neck cancer cell lines BHY and FaDu. Exosomes were isolated from the conditioned medium of irradiated as well as non-irradiated head and neck cancer cells by serial centrifugation. Quantification using NanoSight technology indicated an increased exosome release from irradiated compared to non-irradiated cells 24 hours after treatment. To test whether the released exosomes influence the radiation response of other cells the exosomes were transferred to non-irradiated and irradiated recipient cells. We found an enhanced uptake of exosomes isolated from both irradiated and non-irradiated cells by irradiated recipient cells compared to non-irradiated recipient cells. Functional analyses by exosome transfer indicated that all exosomes (from non-irradiated and irradiated donor cells) increase the proliferation of non-irradiated recipient cells and the survival of irradiated recipient cells. The survival-promoting effects are more pronounced when exosomes isolated from irradiated compared to non-irradiated donor cells are transferred. A possible mechanism for the increased survival after irradiation could be the increase in DNA doublestrand break repair monitored at 6, 8 and 10 h after the transfer of exosomes isolated from irradiated cells. This is abrogated by the destabilization of the exosomes. Our results demonstrate that radiation influences both the abundance and action of exosomes on recipient cells. Exosomes transmit prosurvival effects by promoting the proliferation and radioresistance of head and neck cancer cells. Taken together, this study indicates a functional role of exosomes in the response of tumor cells to radiation exposure within a therapeutic dose range and encourages that exosomes are useful objects of study for a better understanding of tumor radiation response.</t>
  </si>
  <si>
    <t>[Mutschelknaus, Lisa; Winkler, Klaudia; Yentrapalli, Ramesh; Heider, Theresa; Atkinson, Michael John; Moertl, Simone] Helmholtz Zentrum mUNCHEN, German Res Ctr Environm Hlth, Inst Radiat Biol, Neuherberg, Germany; [Peters, Carsten] Tech Univ Munich, Dept Chem, D-80290 Munich, Germany; [Atkinson, Michael John] Tech Univ Munich, Radiat Biol, D-80290 Munich, Germany</t>
  </si>
  <si>
    <t>Helmholtz Association; Helmholtz-Center Munich - German Research Center for Environmental Health; Technical University of Munich; University of Munich; Technical University of Munich</t>
  </si>
  <si>
    <t>Moertl, S (corresponding author), Helmholtz Zentrum mUNCHEN, German Res Ctr Environm Hlth, Inst Radiat Biol, Neuherberg, Germany.</t>
  </si>
  <si>
    <t>moertl@helmholtz-muenchen.de</t>
  </si>
  <si>
    <t>Moertl, Simone/M-7353-2014; Yentrapalli, Ramesh/N-3509-2019; Atkinson, Michael/AAU-5127-2020; Atkinson, Michael J/E-5537-2011</t>
  </si>
  <si>
    <t>Moertl, Simone/0000-0003-0644-0878; Yentrapalli, Ramesh/0000-0001-6292-4792; Atkinson, Michael/0000-0003-3358-2089; Atkinson, Michael J/0000-0003-3358-2089</t>
  </si>
  <si>
    <t>e0152213</t>
  </si>
  <si>
    <t>10.1371/journal.pone.0152213</t>
  </si>
  <si>
    <t>WOS:000372701200111</t>
  </si>
  <si>
    <t>Werner, B; Yuwono, N; Duggan, J; Liu, DL; David, C; Srirangan, S; Provan, P; DeFazio, A; Arora, V; Farrell, R; Lee, YC; Warton, K; Ford, C</t>
  </si>
  <si>
    <t>Werner, Bonnita; Yuwono, Nicole; Duggan, Jennifer; Liu, Dongli; David, Catherine; Srirangan, Sivatharsny; Provan, Pamela; DeFazio, Anna; Arora, Vivek; Farrell, Rhonda; Lee, Yeh Chen; Warton, Kristina; Ford, Caroline</t>
  </si>
  <si>
    <t>INOVATe Investigators</t>
  </si>
  <si>
    <t>Cell-free DNA is abundant in ascites and represents a liquid biopsy of ovarian cancer</t>
  </si>
  <si>
    <t>GYNECOLOGIC ONCOLOGY</t>
  </si>
  <si>
    <t>Ascites; Cell-free DNA; IFFO1; Ovarian cancer; Extracellular vesicles</t>
  </si>
  <si>
    <t>PLASMA</t>
  </si>
  <si>
    <t>Objective. Malignant ascites is a common clinical feature of ovarian cancer and represents a readily accessible sample of tumour cells and tumour DNA. This study aimed to characterise the cell-free DNA (cfDNA) in ascites in terms of its size profile, stability and cell-free tumour DNA (cftDNA) content. Methods. Cell spheroids, loose cells and cell-free fluid was collected from ascites from 18 patients with ovarian cancer. cfDNA was isolated and assessed for size by electrophoresis, concentration by fluorometry,cftDNA content by methylation specific qPCR of HOXA9 and IFFO1 promoter regions and by targeted sequencing. Stability was assessed after ascites fluid was stored at 4 degrees C for 24 and 72 h before fractionating. Results. The concentration of cfDNA in ascites ranged from 6.6 to 300 ng/mL. cfDNA size distribution resembled blood plasma-derived cfDNA, with major peaks corresponding to mono-and di-nucleosome DNA fragments. High molecular weight cfDNA was observed in 7 of 18 patients and appeared to be associated with extracellular vesicles. IFFO1 and HOXA9 methylation was proportionately higher in cfDNA than spheroid-and loose-cell fractions and was not observed in healthy primary cells. Variant allele frequency was highest in cfDNA compared to single cells and spheroids from ascites. Though cancer cell numbers in ascites declined to near zero in recurrent ascites from one patient undertaking chemotherapy, cftDNA could still be sampled. cfDNA size, concentration and tumour content was stable over 72 h. Conclusion. cfDNA in ovarian cancer ascites demonstrates inter-patient variability, yet is consistently a rich source of cftDNA, which is a stable substrate. This supports the wider clinical use of ascites in the molecular analysis of ovarian cancer. (c) 2021 Elsevier Inc. All rights reserved.</t>
  </si>
  <si>
    <t>[Werner, Bonnita; Yuwono, Nicole; Liu, Dongli; Warton, Kristina; Ford, Caroline] Univ New South Wales, Fac Med &amp; Hlth, Sch Womens &amp; Childrens Hlth, Gynaecol Canc Res Grp, Randwick, NSW, Australia; [Duggan, Jennifer; David, Catherine; Arora, Vivek; Lee, Yeh Chen] Royal Hosp Women, Gynaecol Oncol Dept, Sydney, NSW, Australia; [Srirangan, Sivatharsny; Provan, Pamela; DeFazio, Anna] Westmead Inst Med Res, Ctr Canc Res, Sydney, NSW, Australia; [Provan, Pamela; DeFazio, Anna] Univ Sydney, Fac Med &amp; Hlth, Sydney, NSW, Australia; [DeFazio, Anna] Westmead Hosp, Dept Gynaecol Oncol, Sydney, NSW, Australia; [Arora, Vivek; Farrell, Rhonda] Prince Wales Private Hosp, Sydney, NSW, Australia; [Arora, Vivek] Univ New South Wales, Fac Med &amp; Hlth, Sch Womens &amp; Childrens Hlth, Randwick, NSW, Australia; [Lee, Yeh Chen] Univ New South Wales, Fac Med &amp; Hlth, Randwick, NSW, Australia</t>
  </si>
  <si>
    <t>University of New South Wales Sydney; University of Sydney; Westmead Institute for Medical Research; University of Sydney; University of Sydney; University of New South Wales Sydney; University of New South Wales Sydney</t>
  </si>
  <si>
    <t>Ford, C (corresponding author), UNSW, Adult Canc Program, Lowy Canc Res Ctr, Level 2, Randwick, NSW 2031, Australia.</t>
  </si>
  <si>
    <t>caroline.ford@unsw.edu.au</t>
  </si>
  <si>
    <t>Ford, Caroline/A-7850-2010; DeFazio, Anna/D-3939-2013</t>
  </si>
  <si>
    <t>Ford, Caroline/0000-0002-4438-2309; Lee, Yeh Chen/0000-0003-2009-8263; Liu, Dongli/0000-0002-1755-8516; Werner, Bonnita/0000-0001-5208-1613; DeFazio, Anna/0000-0003-0057-4744</t>
  </si>
  <si>
    <t>0090-8258</t>
  </si>
  <si>
    <t>1095-6859</t>
  </si>
  <si>
    <t>10.1016/j.ygyno.2021.06.028</t>
  </si>
  <si>
    <t>Oncology; Obstetrics &amp; Gynecology</t>
  </si>
  <si>
    <t>WOS:000690807800030</t>
  </si>
  <si>
    <t>Teng, H; Hu, M; Yuan, LX; Liu, YJ; Guo, X; Zhang, WJ; Jia, RZ</t>
  </si>
  <si>
    <t>Teng, Hong; Hu, Min; Yuan, Li-Xing; Liu, YueJian; Guo, Xia; Zhang, Wen-Jing; Jia, Rui-Zhen</t>
  </si>
  <si>
    <t>Suppression of inflammation by tumor-derived exosomes: a kind of natural liposome packaged with multifunctional proteins</t>
  </si>
  <si>
    <t>JOURNAL OF LIPOSOME RESEARCH</t>
  </si>
  <si>
    <t>Tumor-derived exosomes; anti-immunity; anti-inflammation; mutual complementarities</t>
  </si>
  <si>
    <t>FAS LIGAND; OVARIAN-CANCER; DENDRITIC CELLS; IMMUNOTHERAPY; MICROVESICLES; SECRETION; APOPTOSIS; VACCINE; MECHANISM; PREGNANCY</t>
  </si>
  <si>
    <t>Exosomes are small-membrane vesicles secreted by hematopoietic and malignant epithelial cells as well as trophoblasts. The composition of cancerous exosomes has been proven to play pivotal roles in the maintenance of the microenvironment that is beneficial for the progression of cancer, such as Fas-ligand-triggered lymphocyte apoptosis. We supposed that the immunosuppressive effect of cancerous exosomes might be helpful in the treatment of diseases characterized by overactivation of the immune system and subsequent tissue injury. The aim of this study was to evaluate the protective effect of tumor-derived exosomes in the mice model of lipopolysaccharide (LPS)-induced inflammation. Tetrazolium (MTT) and DNA electrophoresis were used to measure the cytotoxicity of exosomes on lymphocytes. Pathologic observation of tissue sections, serologic analysis of aspartate aminotransferase/alanine aminotransferase (AST/ALT), and urinary analysis of protein were used to assess the protection effect of exosomes in LPS-induced multiorgan damage. In vitro outcomes of MTT and DNA electrophoresis showed the cytotoxicity of exosomes on lymphocytes. Together with the alleviation of organ damages evaluated by urine protein, serum AST/ALT, and pathologic analysis, we confirmed the possibility that pretreatment of mice with exosomes, produced by H22 hepatic tumor cells, resulted in protection against LPS-induced tissue damage, which is caused by overactivation of the immune system and inflammation response. This therapeutic strategy will raise an interesting way to search new therapeutics in pairs of diseases with complementarities in etiology and pathology, namely, a strategy of taking advantage of the mutual complementarities between diseases.</t>
  </si>
  <si>
    <t>[Hu, Min; Yuan, Li-Xing; Guo, Xia; Zhang, Wen-Jing; Jia, Rui-Zhen] Sichuan Univ, Open Lab, W China Univ Hosp 2, Chengdu 610041, Sichuan, Peoples R China; [Teng, Hong; Liu, YueJian] Peoples Hosp Sichuan Prov, Div Resp Dis, Chengdu, Peoples R China</t>
  </si>
  <si>
    <t>Hu, M (corresponding author), Sichuan Univ, Open Lab, W China Univ Hosp 2, People S Rd 20, Chengdu 610041, Sichuan, Peoples R China.</t>
  </si>
  <si>
    <t>gym_w@163.com</t>
  </si>
  <si>
    <t>0898-2104</t>
  </si>
  <si>
    <t>1532-2394</t>
  </si>
  <si>
    <t>10.3109/08982104.2012.710911</t>
  </si>
  <si>
    <t>Biochemistry &amp; Molecular Biology; Pharmacology &amp; Pharmacy</t>
  </si>
  <si>
    <t>WOS:000311552700010</t>
  </si>
  <si>
    <t>Battaglia, R; Palini, S; Vento, ME; La Ferlita, A; Lo Faro, MJ; Caroppo, E; Borzi, P; Falzone, L; Barbagallo, D; Ragusa, M; Scalia, M; D'Amato, G; Scollo, P; Musumeci, P; Purrello, M; Gravotta, E; Di Pietro, C</t>
  </si>
  <si>
    <t>Battaglia, R.; Palini, S.; Vento, M. E.; La Ferlita, A.; Lo Faro, M. J.; Caroppo, E.; Borzi, P.; Falzone, L.; Barbagallo, D.; Ragusa, M.; Scalia, M.; D'Amato, G.; Scollo, P.; Musumeci, P.; Purrello, M.; Gravotta, E.; Di Pietro, C.</t>
  </si>
  <si>
    <t>Identification of extracellular vesicles and characterization of miRNA expression profiles in human blastocoel fluid</t>
  </si>
  <si>
    <t>MITOCHONDRIAL-DNA; CULTURE; MICRORNAS; EXOSOMES; METHYLATION; STRATEGY; NUCLEAR; CELLS; STAGE</t>
  </si>
  <si>
    <t>In this study, for the first time, we demonstrated the presence of microRNAs and extracellular vesicles in human blastocoel fluid. The bioinformatic and comparative analyses identified the biological function of blastocoel fluid microRNAs and suggested a potential role inside the human blastocyst. We found 89 microRNAs, expressed at different levels, able to regulate critical signaling pathways controlling embryo development, such as pluripotency, cell reprogramming, epigenetic modifications, intercellular communication, cell adhesion and cell fate. Blastocoel fluid microRNAs reflect the miRNome of embryonic cells and their presence, associated with the discovery of extracellular vesicles, inside blastocoel fluid, strongly suggests their important role in mediating cell communication among blastocyst cells. Their characterization is important to better understand the earliest stages of embryogenesis and the complex circuits regulating pluripotency. Moreover, blastocoel fluid microRNA profiles could be influenced by blastocyst quality, therefore, microRNAs might be used to assess embryo potential in IVF cycles.</t>
  </si>
  <si>
    <t>[Battaglia, R.; La Ferlita, A.; Falzone, L.; Barbagallo, D.; Ragusa, M.; Scalia, M.; Purrello, M.; Di Pietro, C.] Univ Catania, Dept Biomed &amp; Biotechnol Sci, Catania, Italy; [Palini, S.; Caroppo, E.; D'Amato, G.] Dept Maternal &amp; Child Hlth, Reprod &amp; IVF Unit PTA F Jaia, Conversano, Italy; [Palini, S.] Cervesi Hosp Cattol, IVF Unit, Cattolica, RN, Italy; [Vento, M. E.; Borzi, P.; Scollo, P.] Cannizzaro Hosp, IVF Unit, Catania, Italy; [La Ferlita, A.; Lo Faro, M. J.; Musumeci, P.] Univ Catania, Dipartimento Fis &amp; Astron, Catania, Italy; [Lo Faro, M. J.] CNR, IPCF, Viale Stagno dAlcontres 37, I-98158 Messina, Italy; [Ragusa, M.] IRCCS, Oasi Res Inst, Troina, Italy; [Gravotta, E.] Merck Serono Spa, Med Affairs Dept, Fertil Endocrinol &amp; Gen Med, Rome, Italy</t>
  </si>
  <si>
    <t>University of Catania; University of Catania; Consiglio Nazionale delle Ricerche (CNR); Istituto per i Processi Chimico-Fisici (IPCF-CNR); Merck KGaA; EMD Serono Inc.</t>
  </si>
  <si>
    <t>Di Pietro, C (corresponding author), Univ Catania, Dept Biomed &amp; Biotechnol Sci, Catania, Italy.</t>
  </si>
  <si>
    <t>dipietro@unict.it</t>
  </si>
  <si>
    <t>Musumeci, Paolo/ABE-8253-2020; Scollo, Paolo/AAU-5274-2021; Falzone, Luca/AAC-2085-2019; La Ferlita, Alessandro/AAR-5019-2020; Ragusa, Marco/D-7691-2010; Faro, Maria Josè Lo/O-3076-2015; Caroppo, Ettore/I-6355-2019</t>
  </si>
  <si>
    <t>Musumeci, Paolo/0000-0002-5160-1522; Falzone, Luca/0000-0001-7349-6826; Ragusa, Marco/0000-0002-4282-920X; Faro, Maria Josè Lo/0000-0002-2067-1608; Caroppo, Ettore/0000-0001-8411-2736; La Ferlita, Alessandro/0000-0002-3680-3177</t>
  </si>
  <si>
    <t>JAN 14</t>
  </si>
  <si>
    <t>10.1038/s41598-018-36452-7</t>
  </si>
  <si>
    <t>WOS:000455592300005</t>
  </si>
  <si>
    <t>Yerneni, SS; Lathwal, S; Cuthbert, J; Kapil, K; Szczepaniak, G; Jeong, J; Das, SR; Campbell, PG; Matyjaszewski, K</t>
  </si>
  <si>
    <t>Yerneni, Saigopalakrishna S.; Lathwal, Sushil; Cuthbert, Julia; Kapil, Kriti; Szczepaniak, Grzegorz; Jeong, Jaepil; Das, Subha R.; Campbell, Phil G.; Matyjaszewski, Krzysztof</t>
  </si>
  <si>
    <t>Controlled Release of Exosomes Using Atom Transfer Radical Polymerization-Based Hydrogels</t>
  </si>
  <si>
    <t>BIOMACROMOLECULES</t>
  </si>
  <si>
    <t>EXTRACELLULAR VESICLES; DELIVERY-SYSTEMS; CHALLENGES; ATRP</t>
  </si>
  <si>
    <t>Exosomes are 30-200 nm sized extracellular vesides that are increasingly recognized as potential drug delivery vehicles. However, exogenous exosomes are rapidly cleared from the blood upon intravenous delivery, which limits their therapeutic potential. Here, we report bioactive exosome-tethered poly-(ethylene oxide)-based hydrogels for the localized delivery of therapeutic exosomes. Using cholesterol-modified DNA tethers, the lipid membrane of exosomes was functionalized with initiators to graft polymers in the presence of additional initiators and crosslinker using photoinduced atom transfer radical polymerization (ATRP). This strategy of tethering exosomes within the hydrogel network allowed their controlled release over a period of 1 month, which was much longer than physically entrapped exosomes. Exosome release profile was tuned by varying the crosslinking density of the polymer network and the use of photodeavable tethers allowed stimuli-responsive release of exosomes. The therapeutic potential of the hydrogels was assessed by evaluating the osteogenic potential of bone morphogenetic protein 2-loaded exosomes on C2C12 and MC3T3-E1 cells. Thus, ATRP-based exosome-tethered hydrogels represent a tunable platform with improved efficacy and an extended-release profile.</t>
  </si>
  <si>
    <t>[Yerneni, Saigopalakrishna S.; Campbell, Phil G.] Carnegie Mellon Univ, Dept Biomed Engn, Pittsburgh, PA 15213 USA; [Yerneni, Saigopalakrishna S.; Campbell, Phil G.] Carnegie Mellon Univ, Engn Res Accelerator, Pittsburgh, PA 15213 USA; [Lathwal, Sushil; Cuthbert, Julia; Kapil, Kriti; Szczepaniak, Grzegorz; Jeong, Jaepil; Das, Subha R.; Matyjaszewski, Krzysztof] Carnegie Mellon Univ, Dept Chem, Pittsburgh, PA 15213 USA; [Lathwal, Sushil; Jeong, Jaepil; Das, Subha R.] Carnegie Mellon Univ, Ctr Nucle Acids Sci &amp; Technol, Pittsburgh, PA 15213 USA</t>
  </si>
  <si>
    <t>Carnegie Mellon University; Carnegie Mellon University; Carnegie Mellon University; Carnegie Mellon University</t>
  </si>
  <si>
    <t>Campbell, PG (corresponding author), Carnegie Mellon Univ, Dept Biomed Engn, Pittsburgh, PA 15213 USA.;Campbell, PG (corresponding author), Carnegie Mellon Univ, Engn Res Accelerator, Pittsburgh, PA 15213 USA.;Das, SR; Matyjaszewski, K (corresponding author), Carnegie Mellon Univ, Dept Chem, Pittsburgh, PA 15213 USA.;Das, SR (corresponding author), Carnegie Mellon Univ, Ctr Nucle Acids Sci &amp; Technol, Pittsburgh, PA 15213 USA.</t>
  </si>
  <si>
    <t>srdas@andrew.cmu.edu; pcampbel@cs.cmu.edu; km3b@andrew.cmu.edu</t>
  </si>
  <si>
    <t>Matyjaszewski, Krzysztof/A-2508-2008; Szczepaniak, Grzegorz/F-5180-2011; Das, Subha/H-4733-2014</t>
  </si>
  <si>
    <t>Matyjaszewski, Krzysztof/0000-0003-1960-3402; Szczepaniak, Grzegorz/0000-0002-0355-9542; Das, Subha/0000-0002-5353-0422</t>
  </si>
  <si>
    <t>1525-7797</t>
  </si>
  <si>
    <t>1526-4602</t>
  </si>
  <si>
    <t>APR 11</t>
  </si>
  <si>
    <t>10.1021/acs.biomac.1c01636</t>
  </si>
  <si>
    <t>Biochemistry &amp; Molecular Biology; Chemistry, Organic; Polymer Science</t>
  </si>
  <si>
    <t>Biochemistry &amp; Molecular Biology; Chemistry; Polymer Science</t>
  </si>
  <si>
    <t>WOS:000787824500021</t>
  </si>
  <si>
    <t>Mangiapane, G; Parolini, I; Conte, K; Malfatti, MC; Corsi, J; Sanchez, M; Pietrantoni, A; D'Agostino, VG; Tell, G</t>
  </si>
  <si>
    <t>Mangiapane, Giovanna; Parolini, Isabella; Conte, Kristel; Malfatti, Matilde Clarissa; Corsi, Jessica; Sanchez, Massimo; Pietrantoni, Agostina; D'Agostino, Vito G.; Tell, Gianluca</t>
  </si>
  <si>
    <t>Enzymatically active apurinic/apyrimidinic endodeoxyribonuclease 1 is released by mammalian cells through exosomes</t>
  </si>
  <si>
    <t>BASE EXCISION-REPAIR; AP-ENDONUCLEASE APE1/REF-1; HUMAN ABASIC ENDONUCLEASE; DNA-REPAIR; BIOGENESIS; DAMAGE; ACETYLATION; EXPRESSION; VESICLES; RESIDUES</t>
  </si>
  <si>
    <t>The apurinic/apyrimidinic endodeoxyribonuclease 1 (APE1), the main AP-endonuclease of the DNA base excision repair pathway, is a key molecule of interest to researchers due to its unsuspected roles in different nonrepair activities, such as: i) adaptive cell response to genotoxic stress, ii) regulation of gene expression, and iii) processing of microRNAs, which make it an excellent drug target for cancer treatment. We and others recently demonstrated that APE1 can be secreted in the extracellular environment and that serum APE1 may represent a novel prognostic biomarker in hepatocellular and non-small-cell lung cancers. However, the mechanism by which APE1 is released extracellularly was not described before. Here, using three different approaches for exosomes isolation: commercial kit, nickel-based isolation, and ultracentrifugation methods and various mammalian cell lines, we elucidated the mechanisms responsible for APE1 secretion. We demonstrated that APE1 p37 and p33 forms are actively secreted through extra-cellular vesicles (EVs), including exosomes from different mammalian cell lines. We then observed that APE1 p33 form is generated by proteasomal-mediated degradation and is enzymatically active in EVs. Finally, we revealed that the p33 form of APE1 accumulates in EVs upon genotoxic treatment by cisplatin and doxorubicin, compounds commonly found in chemotherapy pharmacological treatments. Taken together, these findings provide for the first time evidence that a functional Base Excision Repair protein is delivered through exosomes in response to genotoxic stresses, shedding new light into the complex noncanonical biological functions of APE1 and opening new intriguing perspectives on its role in cancer biology.</t>
  </si>
  <si>
    <t>[Mangiapane, Giovanna; Conte, Kristel; Malfatti, Matilde Clarissa; Tell, Gianluca] Univ Udine, Dept Med DAME, Lab Mol Biol &amp; DNA Repair, Udine, Italy; [Parolini, Isabella] Ist Super Sanita, Dept Oncol &amp; Mol Med, Rome, Italy; [Corsi, Jessica; D'Agostino, Vito G.] Univ Trento, Dept Cellular Computat &amp; Integrat Biol CIBIO, Trento, Italy; [Sanchez, Massimo; Pietrantoni, Agostina] Ist Super Sanita, Core Facil, Rome, Italy</t>
  </si>
  <si>
    <t>University of Udine; Istituto Superiore di Sanita (ISS); University of Trento; Istituto Superiore di Sanita (ISS)</t>
  </si>
  <si>
    <t>Tell, G (corresponding author), Univ Udine, Dept Med DAME, Lab Mol Biol &amp; DNA Repair, Udine, Italy.</t>
  </si>
  <si>
    <t>gianluca.tell@uniud.it</t>
  </si>
  <si>
    <t>parolini, Isabella/J-9955-2016; Pietrantoni, Agostina/ABA-6900-2021</t>
  </si>
  <si>
    <t>parolini, Isabella/0000-0001-9863-1051; Pietrantoni, Agostina/0000-0002-1121-4464; Sanchez, Massimo/0000-0003-3696-7582; D'AGOSTINO, VITO/0000-0003-3379-2254; Mangiapane, Giovanna/0000-0001-6633-0481; Tell, Gianluca/0000-0001-8845-6448; MALFATTI, MATILDE CLARISSA/0000-0002-8101-568X</t>
  </si>
  <si>
    <t>JAN-JUN</t>
  </si>
  <si>
    <t>10.1016/j.jbc.2021.100569</t>
  </si>
  <si>
    <t>WOS:000672866400542</t>
  </si>
  <si>
    <t>Zhand, S; Xiao, K; Bazaz, SR; Zhu, Y; Bordhan, P; Jin, DY; Warkiani, ME</t>
  </si>
  <si>
    <t>Zhand, Sareh; Xiao, Kun; Bazaz, Sajad Razavi; Zhu, Ying; Bordhan, Pritam; Jin, Dayong; Warkiani, Majid Ebrahimi</t>
  </si>
  <si>
    <t>Improving capture efficiency of human cancer cell derived exosomes with nanostructured metal organic framework functionalized beads</t>
  </si>
  <si>
    <t>APPLIED MATERIALS TODAY</t>
  </si>
  <si>
    <t>Exosome; Immunocapture; Flow cytometry; Metal-organic framework; ZIF-8</t>
  </si>
  <si>
    <t>EXTRACELLULAR VESICLES; CIRCULATING EXOSOMES; TUMOR-CELLS; BIOMARKERS; MICROPARTICLES; BIOSENSOR; DNA</t>
  </si>
  <si>
    <t>Extracellular vesicles (EVs) have emerged as an invaluable tool for analyzing the physiological processes and an alternative source of disease diagnostic and prognostic biomarkers in liquid biopsies. Exosomes are a subset of EVs offer a window into altered cellular or tissue states, and their detection potentially offers a multicom ponent early-stage diagnostic readout. Immunocapture and flow cytometry analysis of exosomes using micron-sized beads has been reported to be a reproducible technique for analysis of exosome surface markers. Nevertheless, the capture capacity remains poor due to limited available surface area. In this study, we have proposed a nanocoating strategy using metal-organic framework (MOF) materials, in particular, Zeolitic Imidazolate Framework-8 (ZIF-8), for highly efficient capturing of low concentration of exosomes from minimally processed samples. In this method, a ZIF-8 thin film was formed on polydopamine-polyethyleneimine (PDA-PEI) coated polystyrene microbeads to improve antibody immobilization due to the larger surface area provided by the MOF microstructures. This novel coating enabled us to detect as little as 50 exosomes per 10 mu m polystyrene bead functionalized with ZIF-8/PDA-PEI, which is 180 times higher than the previously reported methods using naked microbeads. This coating requires a lower concentration of antibody to capture exosomes on the surface of microbeads compared to the standard protocols. More importantly, the higher concentration of exosomes on each bead surface provides the opportunity (i.e., higher signal intensity) to sort the beads using fluorescence-activated cell sorting, facilitating molecular analysis of post fractionation exosomes. Additionally, the exosomes can easily be detached from the coated microbeads using EDTA, limiting the usage of harsh chemicals. The procedure described here can be easily reproduced and employed regardless of the biological sample used to obtain exosomes. (c) 2021 Elsevier Ltd. All rights reserved.</t>
  </si>
  <si>
    <t>[Zhand, Sareh; Bazaz, Sajad Razavi; Bordhan, Pritam; Warkiani, Majid Ebrahimi] Univ Technol Sydney, Sch Biomed Engn, Sydney, NSW 2007, Australia; [Xiao, Kun; Bordhan, Pritam] Univ Technol Sydney, Fac Sci, Sch Life Sci, Sydney, NSW 2007, Australia; [Zhu, Ying] UNSW Sydney, St George &amp; Sutherland Clin Sch, Sydney, NSW 2052, Australia; [Jin, Dayong; Warkiani, Majid Ebrahimi] Univ Technol Sydney, Fac Sci, Inst Biomed Mat &amp; Devices, Sydney, NSW 2007, Australia; [Warkiani, Majid Ebrahimi] Sechenov First Moscow State Univ, Inst Mol Med, Moscow 119991, Russia</t>
  </si>
  <si>
    <t>University of Technology Sydney; University of Technology Sydney; University of New South Wales Sydney; University of Technology Sydney; Sechenov First Moscow State Medical University</t>
  </si>
  <si>
    <t>Warkiani, ME (corresponding author), Univ Technol Sydney, Sch Biomed Engn, Sydney, NSW 2007, Australia.;Jin, DY (corresponding author), Univ Technol Sydney, Fac Sci, Inst Biomed Mat &amp; Devices, Sydney, NSW 2007, Australia.</t>
  </si>
  <si>
    <t>Dayong.Jin@uts.edu.au; majid.warkiani@uts.edu.au</t>
  </si>
  <si>
    <t>Jin, Dayong/AAY-2402-2021; Jin, Dayong/D-9652-2011; Zhu, Ying/AAG-6656-2021; Razavi Bazaz, Sajad/E-6964-2016; EBRAHIMI WARKIANI, MAJID/J-8838-2015</t>
  </si>
  <si>
    <t>Jin, Dayong/0000-0003-1046-2666; Jin, Dayong/0000-0003-1046-2666; Zhu, Ying/0000-0002-8840-176X; Razavi Bazaz, Sajad/0000-0002-6419-3361; EBRAHIMI WARKIANI, MAJID/0000-0002-4184-1944</t>
  </si>
  <si>
    <t>2352-9407</t>
  </si>
  <si>
    <t>10.1016/j.apmt.2021.100994</t>
  </si>
  <si>
    <t>Materials Science, Multidisciplinary</t>
  </si>
  <si>
    <t>WOS:000667468400018</t>
  </si>
  <si>
    <t>Parveen, A; Mishra, S; Srivastava, M; Chaudhary, DK; Kapoor, D; Gupta, A; Tiwari, S</t>
  </si>
  <si>
    <t>Parveen, Arshiya; Mishra, Suman; Srivastava, Medha; Chaudhary, Dharmendra K.; Kapoor, Deepa; Gupta, Amrit; Tiwari, Swasti</t>
  </si>
  <si>
    <t>Circulating Placental Alkaline Phosphatase Expressing Exosomes in Maternal Blood Showed Temporal Regulation of Placental Genes</t>
  </si>
  <si>
    <t>FRONTIERS IN MEDICINE</t>
  </si>
  <si>
    <t>maternal health; placenta; liquid biopsy; extracellular vesicles; antenatal care</t>
  </si>
  <si>
    <t>OLFACTORY RECEPTORS; DELETION; WOMEN; RECRUITMENT; PREGNANCIES; COMPLEX; CELLS; ONSET</t>
  </si>
  <si>
    <t>Background: Analysis of placental genes could unravel maternal-fetal complications. However, inaccessibility to placental tissue during early pregnancy has limited this effort. We tested if exosomes (Exo) released by human placenta in the maternal circulation harbor crucial placental genes.Methods: Placental alkaline phosphate positive exosomes (ExoPLAP) were enriched from maternal blood collected at the following gestational weeks; 6-8th (T1), 12-14th (T2), 20-24th (T3), and 28th-32nd (T4). Nanotracking analysis, electron microscopy, dynamic light scattering, and immunoblotting were used for characterization. We used microarray for transcriptome and quantitative PCR (qPCR) for gene analysis in ExoPLAP.Results: Physical characterization and presence of CD63 and CD9 proteins confirmed the successful ExoPLAP enrichment. Four of the selected 36 placental genes did not amplify in ExoPLAP, while 32 showed regulations (n = 3-8/time point). Most genes in ExoPLAP showed significantly lower expression at T2-T4, relative to T1 (p &lt; 0.05), such as NOS3, TNFSF10, OR5H6, APOL3, and NEDD4L. In contrast, genes, such as ATF6, NEDD1, and IGF2, had significantly higher expression at T2-T4 relative to T1. Unbiased gene profiling by microarray also confirmed expression of above genes in ExoPLAP-transcriptome. In addition, repeated measure ANOVA showed a significant change in the ExoPLAP transcriptome from T2 to T4 (n = 5/time point).Conclusion: Placental alkaline phosphate positive exosomes transcriptome changed with gestational age advancement in healthy women. The transcriptome expressed crucial placental genes involved in early embryonic development, such as actin cytoskeleton organization, appropriate cell positioning, DNA replication, and B-cell regulation for protecting mammalian fetuses from rejection. Thus, ExoPLAP in maternal blood could be a promising source to study the placental genes regulation for non-invasive monitoring of placental health.</t>
  </si>
  <si>
    <t>[Parveen, Arshiya; Mishra, Suman; Srivastava, Medha; Chaudhary, Dharmendra K.; Tiwari, Swasti] Sanjay Gandhi Post Grad Inst Med Sci, Dept Mol Med &amp; Biotechnol, Lucknow, Uttar Pradesh, India; [Kapoor, Deepa] Sanjay Gandhi Post Grad Inst Med Sci, Gen Hosp, Lucknow, Uttar Pradesh, India; [Gupta, Amrit] Sanjay Gandhi Post Grad Inst Med Sci, Dept Maternal &amp; Reprod Hlth, Lucknow, Uttar Pradesh, India</t>
  </si>
  <si>
    <t>Sanjay Gandhi Postgraduate Institute of Medical Sciences; Sanjay Gandhi Postgraduate Institute of Medical Sciences; Sanjay Gandhi Postgraduate Institute of Medical Sciences</t>
  </si>
  <si>
    <t>Tiwari, S (corresponding author), Sanjay Gandhi Post Grad Inst Med Sci, Dept Mol Med &amp; Biotechnol, Lucknow, Uttar Pradesh, India.</t>
  </si>
  <si>
    <t>tiwaris@sgpgi.ac.in</t>
  </si>
  <si>
    <t>2296-858X</t>
  </si>
  <si>
    <t>DEC 24</t>
  </si>
  <si>
    <t>10.3389/fmed.2021.758971</t>
  </si>
  <si>
    <t>WOS:000743176700001</t>
  </si>
  <si>
    <t>Nath, S; Roychoudhury, S; Kling, MJ; Song, HY; Biswas, P; Shukla, A; Band, H; Joshi, S; Bhakat, KK</t>
  </si>
  <si>
    <t>Nath, Somsubhra; Roychoudhury, Shrabasti; Kling, Matthew J.; Song, Heyu; Biswas, Pranjal; Shukla, Ashima; Band, Hamid; Joshi, Shantaram; Bhakat, Kishor K.</t>
  </si>
  <si>
    <t>The extracellular role of DNA damage repair protein APE1 in regulation of IL-6 expression</t>
  </si>
  <si>
    <t>CELLULAR SIGNALLING</t>
  </si>
  <si>
    <t>Apurinic/apyrimidinic endonuclease 1 (APE1); Secretion; Lipopolysaccharide (LPS); Interleukin 6 (IL-6); NF-kappa B (NE-kappa B)</t>
  </si>
  <si>
    <t>MARROW STROMAL CELLS; Y-BOX PROTEIN-1; SECRETORY PATHWAY; ENDONUCLEASE APE1/REF-1; EXOSOMES; BIOGENESIS; VESICLES; HMGB1; MICROVESICLES; LOCALIZATION</t>
  </si>
  <si>
    <t>The human apurinic/apyrimidinic endonuclease 1 (APE1) is a pleiotropic nuclear protein with roles in DNA base excision repair pathway as well as in regulation of transcription. Recently, the presence of extracellular plasma APE1 was reported in endotoxemic rats. However, the biological significance and the extracellular function of APE1 remain unclear. In this study, we found that monocytes secrete APE1 upon inflammatory challenges. Challenging the monocytic cells with extracellular APE1 resulted in the increased expression and secretion of the pro-inflammatory cytokine IL-6. Additionally, the extracellular APE1 treatment activated the transcription factor NF-kappa B, followed by its increased occupancy at the IL-6 promoter, resulting in the induction of IL-6 expression. APE1-induced IL-6 further served to elicit autocrine and paracrine cellular responses. Moreover, the extracellular IL-6 promoted the secretion of APE1, thus indicating a functional feedforward loop in this pathway. Furthermore, we show that APE1 is secreted through extracellular vesicles formation via endosomal sorting complex required for transport (ESCRT)-dependent pathway. Together, our study demonstrates a novel role of extracellular APEI in IL-6-dependent cellular responses.</t>
  </si>
  <si>
    <t>[Nath, Somsubhra; Roychoudhury, Shrabasti; Kling, Matthew J.; Song, Heyu; Biswas, Pranjal; Shukla, Ashima; Band, Hamid; Joshi, Shantaram; Bhakat, Kishor K.] Univ Nebraska Med Ctr, Dept Genet Cell Biol &amp; Anat, Omaha, NE 68198 USA; [Band, Hamid] Univ Nebraska Med Ctr, Eppley Inst Res Canc, Omaha, NE USA; [Band, Hamid; Bhakat, Kishor K.] Univ Nebraska Med Ctr, Fred &amp; Pamela Buffett Canc Ctr, Omaha, NE USA</t>
  </si>
  <si>
    <t>University of Nebraska System; University of Nebraska Medical Center; University of Nebraska System; University of Nebraska Medical Center; University of Nebraska System; University of Nebraska Medical Center</t>
  </si>
  <si>
    <t>Bhakat, KK (corresponding author), Univ Nebraska Med Ctr, Dept Genet Cell Biol &amp; Anat, Omaha, NE 68198 USA.</t>
  </si>
  <si>
    <t>kishor.bhakat@unmc.edu</t>
  </si>
  <si>
    <t>Biswas, Pranjal/AGG-8515-2022; Nath, Somsubhra/AAL-6377-2020; Band, Hamid/AAF-4701-2020; Joshi, Sudhanshu/L-2284-2019</t>
  </si>
  <si>
    <t>Biswas, Pranjal/0000-0003-4173-4214; Joshi, Sudhanshu/0000-0003-4748-5001; Nath, Somsubhra/0000-0001-8214-1218</t>
  </si>
  <si>
    <t>0898-6568</t>
  </si>
  <si>
    <t>1873-3913</t>
  </si>
  <si>
    <t>10.1016/j.cellsig.2017.07.019</t>
  </si>
  <si>
    <t>WOS:000412616600003</t>
  </si>
  <si>
    <t>Chennakrishnaiah, S; Tsering, T; Gregory, C; Tawil, N; Spinelli, C; Montermini, L; Karatzas, N; Aprikian, S; Choi, D; Klewes, L; Mai, S; Rak, J</t>
  </si>
  <si>
    <t>Chennakrishnaiah, Shilpa; Tsering, Thupten; Gregory, Caroline; Tawil, Nadim; Spinelli, Cristiana; Montermini, Laura; Karatzas, Nicolaos; Aprikian, Saro; Choi, Dongsic; Klewes, Ludger; Mai, Sabine; Rak, Janusz</t>
  </si>
  <si>
    <t>Extracellular vesicles from genetically unstable, oncogene-driven cancer cells trigger micronuclei formation in endothelial cells</t>
  </si>
  <si>
    <t>DOUBLE-STRANDED DNA; HORIZONTAL TRANSFER; TUMOR-GROWTH; GENOMIC DNA; MICROVESICLES; EXPRESSION; EXOSOMES; TRANSFORMATION; MECHANISM; VEGF</t>
  </si>
  <si>
    <t>Oncogenic transformation impacts cancer cell interactions with their stroma, including through formation of abnormal blood vessels. This influence is often attributed to angiogenic growth factors, either soluble, or associated with tumor cell-derived extracellular vesicles (EVs). Here we examine some of the cancer-specific components of EV-mediated tumor-vascular interactions, including the impact of genetic driver mutations and genetic instability. Cancer cells expressing mutant HRAS oncogene exhibit aberrations of chromatin architecture, aneuploidy, cytoplasmic chromatin deposition and formation of micronuclei with a non-random chromosome content. EVs released from such HRAS-driven cells carry genomic DNA, including oncogenic sequences, and transfer this material to endothelial cells while inducing abnormal formation of micronuclei, along with cell migration and proliferation. Micronuclei were also triggered following treatment with EVs derived from glioma cells (and stem cells) expressing EGFRvIII oncogene, and in both endothelial cells and astrocytes. EVs from HRAS and EGFRvIII-driven cancer cells carry 19 common proteins while EVs from indolent control cells exhibit more divergent proteomes. Immortalized endothelial cell lines with disrupted TP53 pathway were refractory to EV-mediated micronuclei induction. We suggest that oncogenic transformation and intercellular trafficking of cancer-derived EVs may contribute to pathological vascular responses in cancer due to intercellular transmission of genomic instability.</t>
  </si>
  <si>
    <t>[Chennakrishnaiah, Shilpa; Tsering, Thupten; Gregory, Caroline; Tawil, Nadim; Spinelli, Cristiana; Montermini, Laura; Karatzas, Nicolaos; Aprikian, Saro; Choi, Dongsic; Rak, Janusz] McGill Univ, Ctr Hlth, Res Inst, Montreal, PQ H4A 3J1, Canada; [Klewes, Ludger; Mai, Sabine] Univ Manitoba, Res Inst Oncol &amp; Hematol, Dept Cell Biol, Canc Care Manitoba, Winnipeg, MB, Canada</t>
  </si>
  <si>
    <t>McGill University; University of Manitoba</t>
  </si>
  <si>
    <t>Rak, J (corresponding author), McGill Univ, Ctr Hlth, Res Inst, Montreal, PQ H4A 3J1, Canada.</t>
  </si>
  <si>
    <t>Choi, Dongsic/AAZ-9386-2020; Mai, Sabine/E-5667-2017</t>
  </si>
  <si>
    <t>Choi, Dongsic/0000-0002-2516-5616; Mai, Sabine/0000-0002-5797-2201</t>
  </si>
  <si>
    <t>MAY 22</t>
  </si>
  <si>
    <t>10.1038/s41598-020-65640-7</t>
  </si>
  <si>
    <t>WOS:000540510300035</t>
  </si>
  <si>
    <t>Zhang, XR; Liu, C; Pei, YJ; Song, WL; Zhang, SS</t>
  </si>
  <si>
    <t>Zhang, Xiaoru; Liu, Chao; Pei, Yujiao; Song, Weiling; Zhang, Shusheng</t>
  </si>
  <si>
    <t>Preparation of a Novel Raman Probe and Its Application in the Detection of Circulating Tumor Cells and Exosomes</t>
  </si>
  <si>
    <t>Raman probe; triangular pyramid DNA; electromagnetic hot spots; CTCs; exosomes</t>
  </si>
  <si>
    <t>SIGNAL AMPLIFICATION; CANCER MARKERS; SERS; DNA; SCATTERING; NANOPARTICLES; SPECTROSCOPY; ASSEMBLIES; QUANTIFICATION; FLUORESCENCE</t>
  </si>
  <si>
    <t>The Raman probe plays an essential role in sensitive surface enhanced Raman scattering (SERS) assay. Here, a novel Raman probe was developed by assembling gold nanoparticles in triangular pyramid DNA (TP-Au NPs). Such probe with intense electromagnetic hot spots can provide dramatically enhanced Raman scattering. Through assembling recognition DNA on one corner of the TP-DNA, the recognition event is definite and designable. The probe was characterized through TEM, and its SERS superiority was investigated. As models, circulating tumor cells and exosomes were detected with high sensitivity and selectivity by using this probe. Meanwhile, the developed SERS probe can also perform well in real world samples.</t>
  </si>
  <si>
    <t>[Zhang, Xiaoru; Liu, Chao; Pei, Yujiao; Song, Weiling] Qingdao Univ Sci &amp; Technol, MOE, Key Lab Opt Elect Sensing &amp; Analyt Chem Life Sci, Qingdao 266042, Shandong, Peoples R China; [Zhang, Xiaoru; Liu, Chao; Pei, Yujiao; Song, Weiling] Qingdao Univ Sci &amp; Technol, Shandong Key Lab Biochem Anal, Qingdao 266042, Shandong, Peoples R China; [Zhang, Xiaoru; Liu, Chao; Pei, Yujiao; Song, Weiling] Qingdao Univ Sci &amp; Technol, Coll Chem &amp; Mol Engn, Qingdao 266042, Shandong, Peoples R China; [Zhang, Shusheng] Linyi Univ, Collaborat Innovat Ctr Tumor Marker Detect Techno, Coll Chem &amp; Chem Engn, Shandong Prov Key Lab Detect Technol Tumor Makers, Linyi 276000, Shandong, Peoples R China</t>
  </si>
  <si>
    <t>Qingdao University of Science &amp; Technology; Qingdao University of Science &amp; Technology; Qingdao University of Science &amp; Technology; Linyi University</t>
  </si>
  <si>
    <t>Zhang, SS (corresponding author), Linyi Univ, Collaborat Innovat Ctr Tumor Marker Detect Techno, Coll Chem &amp; Chem Engn, Shandong Prov Key Lab Detect Technol Tumor Makers, Linyi 276000, Shandong, Peoples R China.</t>
  </si>
  <si>
    <t>shushzhang@126.com</t>
  </si>
  <si>
    <t>Shusheng, Zhang/V-4660-2018</t>
  </si>
  <si>
    <t>Shusheng, Zhang/0000-0002-8416-8331</t>
  </si>
  <si>
    <t>AUG 14</t>
  </si>
  <si>
    <t>10.1021/acsami.9b09465</t>
  </si>
  <si>
    <t>WOS:000481567100009</t>
  </si>
  <si>
    <t>Li, FY; Wu, J; Li, DY; Hao, LZ; Li, YQ; Yi, D; Yeung, KWK; Chen, D; Lu, WW; Pan, HB; Wong, TM; Zhao, XL</t>
  </si>
  <si>
    <t>Li, Feiyang; Wu, Jun; Li, Daiye; Hao, Liuzhi; Li, Yanqun; Yi, Dan; Yeung, Kelvin W. K.; Chen, Di; Lu, William W.; Pan, Haobo; Wong, Tak Man; Zhao, Xiaoli</t>
  </si>
  <si>
    <t>Engineering stem cells to produce exosomes with enhanced bone regeneration effects: an alternative strategy for gene therapy</t>
  </si>
  <si>
    <t>Exosomes; Stem cell; Gene therapy; Tissue regeneration; Cell-free therapy</t>
  </si>
  <si>
    <t>LIPOSOME-DNA COMPLEXES; EXTRACELLULAR VESICLES; DELIVERY; VECTORS; REPAIR; DEFECT; CARGO; PHASE; BMP-2</t>
  </si>
  <si>
    <t>Background: Exosomes derived from stem cells have been widely studied for promoting regeneration and reconstruction of multiple tissues as cell-free therapies. However, the applications of exosomes have been hindered by limited sources and insufficient therapeutic potency. Results: In this study, a stem cell-mediated gene therapy strategy is developed in which mediator mesenchymal stem cells are genetically engineered by bone morphogenetic protein-2 gene to produce exosomes (MSC-BMP2-Exo) with enhanced bone regeneration potency. This effect is attributed to the synergistic effect of the content derived from MSCs and the up-regulated BMP2 gene expression. The MSC-BMP2-Exo also present homing ability to the injured site. The toxic effect of genetical transfection vehicles is borne by mediator MSCs, while the produced exosomes exhibit excellent biocompatibility. In addition, by plasmid tracking, it is interesting to find a portion of plasmid DNA can be encapsulated by exosomes and delivered to recipient cells. Conclusions: In this strategy, engineered MSCs function as cellular factories, which effectively produce exosomes with designed and enhanced therapeutic effects. The accelerating effect in bone healing and the good biocompatibility suggest the potential clinical application of this strategy.</t>
  </si>
  <si>
    <t>[Li, Feiyang; Hao, Liuzhi; Li, Yanqun; Yi, Dan; Chen, Di; Lu, William W.; Pan, Haobo; Zhao, Xiaoli] Chinese Acad Sci, Res Ctr Human Tissue &amp; Organs Degenerat, Inst Biomed &amp; Biotechnol, Shenzhen Inst Adv Technol, Shenzhen 518055, Peoples R China; [Wu, Jun; Li, Daiye; Yeung, Kelvin W. K.; Wong, Tak Man] Univ Hong Kong, Shenzhen Key Lab Innovat Technol Orthopaed Trauma, Shenzhen Hosp, Shenzhen 518053, Peoples R China; [Hao, Liuzhi; Zhao, Xiaoli] Univ Chinese Acad Sci, Beijing 100049, Peoples R China; [Wu, Jun; Li, Daiye; Yeung, Kelvin W. K.; Lu, William W.; Wong, Tak Man] Univ Hong Kong, Dept Orthopaed &amp; Traumatol, Hong Kong 999077, Peoples R China</t>
  </si>
  <si>
    <t>Chinese Academy of Sciences; Shenzhen Institute of Advanced Technology, CAS; University of Hong Kong; Chinese Academy of Sciences; University of Chinese Academy of Sciences, CAS; University of Hong Kong</t>
  </si>
  <si>
    <t>Zhao, XL (corresponding author), Chinese Acad Sci, Res Ctr Human Tissue &amp; Organs Degenerat, Inst Biomed &amp; Biotechnol, Shenzhen Inst Adv Technol, Shenzhen 518055, Peoples R China.;Wong, TM (corresponding author), Univ Hong Kong, Shenzhen Key Lab Innovat Technol Orthopaed Trauma, Shenzhen Hosp, Shenzhen 518053, Peoples R China.;Zhao, XL (corresponding author), Univ Chinese Acad Sci, Beijing 100049, Peoples R China.;Wong, TM (corresponding author), Univ Hong Kong, Dept Orthopaed &amp; Traumatol, Hong Kong 999077, Peoples R China.</t>
  </si>
  <si>
    <t>wongtm@hku.hk; zhao.xl@siat.ac.cn</t>
  </si>
  <si>
    <t>10.1186/s12951-022-01347-3</t>
  </si>
  <si>
    <t>WOS:000769513100003</t>
  </si>
  <si>
    <t>Ibn Sina, A; Lin, TY; Vaidyanathan, R; Wang, ZR; Dey, S; Wang, J; Behren, A; Wuethrich, A; Carrascosa, LG; Trau, M</t>
  </si>
  <si>
    <t>Ibn Sina, Abu Ali; Lin, Ting-Yun; Vaidyanathan, Ramanathan; Wang, Zhaoran; Dey, Shuvashis; Wang, Jing; Behren, Andreas; Wuethrich, Alain; Carrascosa, Laura G.; Trau, Matt</t>
  </si>
  <si>
    <t>Methylation dependent gold adsorption behaviour identifies cancer derived extracellular vesicular DNA</t>
  </si>
  <si>
    <t>NANOSCALE HORIZONS</t>
  </si>
  <si>
    <t>NUCLEIC-ACIDS; VESICLES; EXOSOMES; QUANTIFICATION; REJECTION</t>
  </si>
  <si>
    <t>Extracellular vesicles (EV) play a major role in intercellular communication by transmitting cellular materials (e.g. protein, RNA) among distant cells. Recent evidence suggests that they could also contribute to carrying DNA which could inform on the mutational status of the parent tumour DNA. Thus, the fundamental analysis of evDNA could open a better understanding of tumour metastasis and provide new pathways for noninvasive detection and monitoring of cancer. To explore the potential of evDNA for diagnostics, the isolation of pure evDNA from body fluids free of cfDNA contamination is crucial. Herein, we use a liposome based model system to develop an improved evDNA isolation protocol free from cfDNA contamination and evaluate the methylation dependent physicochemical properties of evDNA to develop a simple test for detecting cancer evDNA. Using a highly sensitive multiplex micro-electrode device, we demonstrate that serum-evDNA derived from cancer patients show different solution and surface based properties than normal evDNA due to their different methylation landscape (i.e. methylscape). This microdevice allows simultaneous analysis of multiple samples in a single platform from as low as 500 pg mu L-1 of evDNA.</t>
  </si>
  <si>
    <t>[Ibn Sina, Abu Ali; Lin, Ting-Yun; Vaidyanathan, Ramanathan; Wang, Zhaoran; Dey, Shuvashis; Wang, Jing; Wuethrich, Alain; Carrascosa, Laura G.; Trau, Matt] Univ Queensland, Ctr Personalised Nanomed, Australian Inst Bioengn &amp; Nanotechnol AIBN, Brisbane, Qld 4072, Australia; [Behren, Andreas] La Trobe Sch Canc Med, Olivia Newton John Canc Res Inst, Heidelberg, Vic, Australia; [Trau, Matt] Univ Queensland, Sch Chem &amp; Mol Biosci, Brisbane, Qld 4072, Australia; [Vaidyanathan, Ramanathan] Univ New South Wales, Sch Chem, Sydney, NSW 2052, Australia</t>
  </si>
  <si>
    <t>University of Queensland; La Trobe University; Olivia Newton-John Cancer Research Institute; University of Queensland; University of New South Wales Sydney</t>
  </si>
  <si>
    <t>Carrascosa, LG; Trau, M (corresponding author), Univ Queensland, Ctr Personalised Nanomed, Australian Inst Bioengn &amp; Nanotechnol AIBN, Brisbane, Qld 4072, Australia.;Trau, M (corresponding author), Univ Queensland, Sch Chem &amp; Mol Biosci, Brisbane, Qld 4072, Australia.</t>
  </si>
  <si>
    <t>lgcarrascosa@uq.edu.au; m.trau@uq.edu.au</t>
  </si>
  <si>
    <t>Wang, Jing/AAY-5150-2020</t>
  </si>
  <si>
    <t>Wang, Jing/0000-0001-6080-7998; DEY, SHUVASHIS/0000-0003-3180-6202; Trau, Matt/0000-0001-5516-1280; Sina, Abu Ali Ibn/0000-0001-8099-3863; Behren, Andreas/0000-0001-5329-280X</t>
  </si>
  <si>
    <t>2055-6756</t>
  </si>
  <si>
    <t>2055-6764</t>
  </si>
  <si>
    <t>10.1039/d0nh00258e</t>
  </si>
  <si>
    <t>WOS:000562279500008</t>
  </si>
  <si>
    <t>Hong, Y; Truong, AD; Vu, TH; Lee, S; Heo, J; Kang, S; Lillehoj, HS; Hong, YH</t>
  </si>
  <si>
    <t>Hong, Yeojin; Truong, Anh Duc; Vu, Thi Hao; Lee, Sooyeon; Heo, Jubi; Kang, Suyeon; Lillehoj, Hyun S.; Hong, Yeong Ho</t>
  </si>
  <si>
    <t>Exosomes from H5N1 avian influenza virus-infected chickens regulate antiviral immune responses of chicken immune cells</t>
  </si>
  <si>
    <t>DEVELOPMENTAL AND COMPARATIVE IMMUNOLOGY</t>
  </si>
  <si>
    <t>Avian influenza virus; H5N1; Exosome; Immune cell; MAPK signaling Pathway</t>
  </si>
  <si>
    <t>EXTRACELLULAR VESICLES; PROINFLAMMATORY CYTOKINES; HUMAN MACROPHAGES; NS1 PROTEIN; INDUCTION; HOST; RNA; ACTIVATION; EXPRESSION; MECHANISM</t>
  </si>
  <si>
    <t>Exosomes (membrane-derived vesicles) enable intracellular communication by delivering lipids, proteins, DNA, and RNA from one cell to another. Highly pathogenic avian influenza virus (HPAIV) H5N1 causes considerable economic loss in the poultry industry and poses a public health concern. The host innate immune system defends against H5N1 infection by activating antiviral immune responses. This study aimed to demonstrated that immunomodulatory effects of exosomes from HPAIV H5N1-infected White Leghorn chickens on chicken macrophages, fibroblasts, T cell, and B cell lines. The expression of type I interferons (IFN-alpha and -beta) were highly upregulated in immune-related cell lines after treatment with exosomes derived from H5N1-infected chickens. Levels of pro-inflammatory cytokines, such as IFN-gamma, IL-1 beta, and CXCL8, were also elevated by the exosomes. The mitogen-activated protein kinase (MAPK) signaling pathway was stimulated in immune-related cells by such exosomes via phosphorylation of extracellular regulated kinases 1/2 and p38 signaling molecules. Furthermore, the H5N1 viral proteins, nucleoprotein (NP) and non-structural protein (NS1), were packaged in exosomes and successfully transferred to non-infected immune-related cells. Therefore, exosomes from H5N1-infected chickens induced pro-inflammatory cytokine expression and stimulated the MAPK signaling pathway by delivering key viral proteins. These findings would aid better understanding of the mechanism underlying the modulation of antiviral immune responses of host immune-related cells by viral-protein-carrying exosomes and support their further application as a novel exosome-based H5N1 AIV vaccine platform.</t>
  </si>
  <si>
    <t>[Hong, Yeojin; Vu, Thi Hao; Lee, Sooyeon; Heo, Jubi; Kang, Suyeon; Hong, Yeong Ho] Chung Ang Univ, Dept Anim Sci &amp; Technol, Anseong 17546, South Korea; [Truong, Anh Duc] Natl Inst Vet Res, Dept Biochem &amp; Immunol, 86 Truong Chinh, Hanoi 100000, Vietnam; [Lillehoj, Hyun S.] Agr Res Serv, Anim Biosci &amp; Biotechnol Lab, USDA, Beltsville, MD 20705 USA</t>
  </si>
  <si>
    <t>Chung Ang University; United States Department of Agriculture (USDA)</t>
  </si>
  <si>
    <t>Hong, YH (corresponding author), Chung Ang Univ, Dept Anim Sci &amp; Technol, Anseong 17546, South Korea.</t>
  </si>
  <si>
    <t>yhong@cau.ac.kr</t>
  </si>
  <si>
    <t>Duc, Truong Anh/I-6602-2019</t>
  </si>
  <si>
    <t>Duc, Truong Anh/0000-0002-2472-8165; Hong, Yeong Ho/0000-0002-4510-7851</t>
  </si>
  <si>
    <t>0145-305X</t>
  </si>
  <si>
    <t>1879-0089</t>
  </si>
  <si>
    <t>10.1016/j.dci.2022.104368</t>
  </si>
  <si>
    <t>Fisheries; Immunology; Veterinary Sciences; Zoology</t>
  </si>
  <si>
    <t>WOS:000791228300004</t>
  </si>
  <si>
    <t>Rajkumar, AP; Hye, A; Lange, J; Manesh, YR; Ballard, C; Fladby, T; Aarsland, D</t>
  </si>
  <si>
    <t>Rajkumar, Anto P.; Hye, Abdul; Lange, Johannes; Manesh, Yazmin Rashid; Ballard, Clive; Fladby, Tormod; Aarsland, Dag</t>
  </si>
  <si>
    <t>Next-Generation RNA-Sequencing of Serum Small Extracellular Vesicles Discovers Potential Diagnostic Biomarkers for Dementia With Lewy Bodies</t>
  </si>
  <si>
    <t>AMERICAN JOURNAL OF GERIATRIC PSYCHIATRY</t>
  </si>
  <si>
    <t>Lewy body dementia; exosomes; high-throughput RNA sequencing; quantitative real-time polymerase; chain reaction; biomarkers</t>
  </si>
  <si>
    <t>ALZHEIMERS-DISEASE; ALPHA-SYNUCLEIN; CEREBROSPINAL-FLUID; EXPRESSION ANALYSIS; PARKINSONS-DISEASE; VALIDATION; VARIANTS; EXOSOMES; GENE; MICRORNAS</t>
  </si>
  <si>
    <t>Objective: There is an urgent clinical need for identifying blood-based diagnostic biomarkers for Dementia with Lewy Bodies (DLB). Transcriptomic studies have reported unique RNA changes in postmortem DLB brains. Small extracellular vesicles (SEV) that transport RNA between brain and peripheral circulation enable identifying molecular changes in living human brain. Hence, we aimed to identify differentially expressed RNA in serum SEVs from people with DLB. Methods: We investigated serum SEV total RNA profiles in people with DLB (n = 10) and age and gender matched comparisons (n = 10) using next generation RNA-sequencing. SEVs were separated by ultracentrifugation with density gradient and were characterized by nanoparticle analysis and western blotting. We verified the differential expression levels of identified differentially expressed genes (DEG) using high-throughput qPCR. Functional implications of identified DEG were evaluated using Ingenuity pathway analyses. Results: We identified 846 nominally significant DEG including 30 miRNAs in DLB serum SEVs. We identified significant downregulation of proinflammatory genes, IL1B, CXCL8, and IKBKB. Previously reported postmortem DLB brain DEGs were significantly enriched (x(2)=4.99; df=1; p = 0.03) among the identified DEGs, and the differential expression of 40 postmortem DLB brain DEGs could be detected in serum SEVs of people living with DLB. Functional pathway and network analyses highlighted the importance of immunosenescence, ubiquitin proteasome system (UPS) dysfunction, DNA repair, and RNA post-transcriptional modification deficits in DLB pathology. Conclusion: Identified DEGs, especially reduced expression levels of inflammation, and UPS-associated RNA, may aid diagnosing DLB, and their biomarker potential warrants further investigation in larger clinical cohorts. Our findings corroborate the absence of chronic neuroinflammation in DLB.</t>
  </si>
  <si>
    <t>[Rajkumar, Anto P.; Hye, Abdul; Manesh, Yazmin Rashid; Ballard, Clive; Aarsland, Dag] Kings Coll London, Dept Old Age Psychiat, Inst Psychiat Psychol &amp; Neurosci, London, England; [Rajkumar, Anto P.] Univ Nottingham, Div Psychiat &amp; Appl Psychol, Jubilee Campus,Triumph Rd, Nottingham NG7 2TU, England; [Rajkumar, Anto P.; Aarsland, Dag] South London &amp; Maudsley NHS Fdn Trust, NIHR Biomed Res Ctr Mental Hlth, London, England; [Lange, Johannes] Stavanger Univ Hosp, Norwegian Ctr Movement Disorders, Stanvanger, Norway; [Ballard, Clive] Exeter Univ, Med Sch, Exeter, Devon, England; [Fladby, Tormod] Univ Oslo, Dept Neurol, Akershus Univ Hosp, Lorenskog, Norway</t>
  </si>
  <si>
    <t>University of London; King's College London; University of Nottingham; South London &amp; Maudsley NHS Trust; University of London; King's College London; Stavanger University Hospital; University of Exeter; University of Oslo</t>
  </si>
  <si>
    <t>Rajkumar, AP (corresponding author), Univ Nottingham, Div Psychiat &amp; Appl Psychol, Jubilee Campus,Triumph Rd, Nottingham NG7 2TU, England.</t>
  </si>
  <si>
    <t>Anto.Rajamani@nottingham.ac.uk</t>
  </si>
  <si>
    <t>Rajkumar, Anto P./0000-0003-3203-6326; Ballard, Clive/0000-0003-0022-5632</t>
  </si>
  <si>
    <t>1064-7481</t>
  </si>
  <si>
    <t>1545-7214</t>
  </si>
  <si>
    <t>10.1016/j.jagp.2020.10.012</t>
  </si>
  <si>
    <t>Geriatrics &amp; Gerontology; Gerontology; Psychiatry</t>
  </si>
  <si>
    <t>Geriatrics &amp; Gerontology; Psychiatry</t>
  </si>
  <si>
    <t>WOS:000651382700010</t>
  </si>
  <si>
    <t>Smolarz, M; Skoczylas, L; Gawin, M; Krzyzowska, M; Pietrowska, M; Widlak, P</t>
  </si>
  <si>
    <t>Smolarz, Mateusz; Skoczylas, Lukasz; Gawin, Marta; Krzyzowska, Monika; Pietrowska, Monika; Widlak, Piotr</t>
  </si>
  <si>
    <t>Radiation-Induced Bystander Effect Mediated by Exosomes Involves the Replication Stress in Recipient Cells</t>
  </si>
  <si>
    <t>bystander effect; exosomes; ionizing radiation; non-targeted effects of radiation; replication stress</t>
  </si>
  <si>
    <t>SPECTROMETRY-BASED PROTEOMICS; DNA-DAMAGE; IONIZING-RADIATION; PROTEIN; ATRIP</t>
  </si>
  <si>
    <t>Exosomes released by irradiated cells mediate the radiation-induced bystander effect, which is manifested by DNA breaks detected in recipient cells; yet, the specific mechanism responsible for the generation of chromosome lesions remains unclear. In this study, naive FaDu head and neck cancer cells were stimulated with exosomes released by irradiated (a single 2 Gy dose) or mock-irradiated cells. Maximum accumulation of gamma H2A.X foci, a marker of DNA breaks, was detected after one hour of stimulation with exosomes from irradiated donors, the level of which was comparable to the one observed in directly irradiated cells (a weaker wave of the gamma H2A.X foci accumulation was also noted after 23 h of stimulation). Exosomes from irradiated cells, but not from control ones, activated two stress-induced protein kinases: ATM and ATR. Noteworthy is that while direct irradiation activated only ATM, both ATM and ATR were activated by two factors known to induce the replication stress: hydroxyurea and camptothecin (with subsequent phosphorylation of gamma H2A.X). One hour of stimulation with exosomes from irradiated cells suppressed DNA synthesis in recipient cells and resulted in the subsequent nuclear accumulation of RNA:DNA hybrids, which is an indicator of impaired replication. Interestingly, the abovementioned effects were observed before a substantial internalization of exosomes, which may suggest a receptor-mediated mechanism. It was observed that after one hour of stimulation with exosomes from irradiated donors, phosphorylation of several nuclear proteins, including replication factors and regulators of heterochromatin remodeling as well as components of multiple intracellular signaling pathways increased. Hence, we concluded that the bystander effect mediated by exosomes released from irradiated cells involves the replication stress in recipient cells.</t>
  </si>
  <si>
    <t>[Smolarz, Mateusz; Skoczylas, Lukasz; Gawin, Marta; Krzyzowska, Monika; Pietrowska, Monika] Maria Sklodowska Curie Natl Res Inst Oncol, PL-44102 Gliwice, Poland; [Widlak, Piotr] Med Univ Gdansk, Clin Res Support Ctr, PL-80210 Gdask, Poland</t>
  </si>
  <si>
    <t>Fahrenheit Universities; Medical University Gdansk</t>
  </si>
  <si>
    <t>Pietrowska, M (corresponding author), Maria Sklodowska Curie Natl Res Inst Oncol, PL-44102 Gliwice, Poland.;Widlak, P (corresponding author), Med Univ Gdansk, Clin Res Support Ctr, PL-80210 Gdask, Poland.</t>
  </si>
  <si>
    <t>mateusz.smolarz@io.gliwice.pl; lukasz.skoczylas@io.gliwice.pl; marta.gawin@io.gliwice.pl; monikaxx41@interia.pl; monika.pietrowska@io.gliwice.pl; piotr.widlak@gumed.edu.pl</t>
  </si>
  <si>
    <t>; Gawin, Marta/W-5402-2018</t>
  </si>
  <si>
    <t>Skoczylas, Lukasz/0000-0003-0287-9517; Gawin, Marta/0000-0002-2834-5129; Pietrowska, Monika/0000-0001-9317-7822</t>
  </si>
  <si>
    <t>10.3390/ijms23084169</t>
  </si>
  <si>
    <t>WOS:000787941100001</t>
  </si>
  <si>
    <t>Balaj, L; Lessard, R; Dai, LX; Cho, YJ; Pomeroy, SL; Breakefield, XO; Skog, J</t>
  </si>
  <si>
    <t>Balaj, Leonora; Lessard, Ryan; Dai, Lixin; Cho, Yoon-Jae; Pomeroy, Scott L.; Breakefield, Xandra O.; Skog, Johan</t>
  </si>
  <si>
    <t>Tumour microvesicles contain retrotransposon elements and amplified oncogene sequences</t>
  </si>
  <si>
    <t>BREAST-CANCER; DIAGNOSTIC BIOMARKERS; REVERSE-TRANSCRIPTASE; HORIZONTAL TRANSFER; ENDOTHELIAL-CELLS; APOPTOTIC BODIES; DOUBLE MINUTES; MESSENGER-RNA; HERV-K; GENE</t>
  </si>
  <si>
    <t>Tumour cells release an abundance of microvesicles containing a selected set of proteins and RNAs. Here, we show that tumour microvesicles also carry DNA, which reflects the genetic status of the tumour, including amplification of the oncogene c-Myc. We also find amplified c-Myc in serum microvesicles from tumour-bearing mice. Further, we find remarkably high levels of retrotransposon RNA transcripts, especially for some human endogenous retroviruses, such as LINE-1 and Alu retrotransposon elements, in tumour microvesicles and these transposable elements could be transferred to normal cells. These findings expand the nucleic acid content of tumour microvesicles to include: elevated levels of specific coding and non-coding RNA and DNA, mutated and amplified oncogene sequences and transposable elements. Thus, tumour microvesicles contain a repertoire of genetic information available for horizontal gene transfer and potential use as blood biomarkers for cancer.</t>
  </si>
  <si>
    <t>[Balaj, Leonora; Lessard, Ryan; Breakefield, Xandra O.; Skog, Johan] Harvard Univ, Sch Med, Dept Neurol, Boston, MA 02129 USA; [Balaj, Leonora; Lessard, Ryan; Breakefield, Xandra O.; Skog, Johan] Harvard Univ, Sch Med, Dept Radiol, Boston, MA 02129 USA; [Balaj, Leonora; Lessard, Ryan; Pomeroy, Scott L.; Breakefield, Xandra O.; Skog, Johan] Massachusetts Gen Hosp, Boston, MA 02129 USA; [Balaj, Leonora; Lessard, Ryan; Pomeroy, Scott L.; Breakefield, Xandra O.; Skog, Johan] Harvard Univ, Sch Med, Neurosci Program, Boston, MA 02129 USA; [Balaj, Leonora] Vrije Univ Amsterdam, Dept Neurosurg, NL-1081 HV Amsterdam, Netherlands; [Dai, Lixin] Johns Hopkins Univ, Sch Med, Dept Mol Biol &amp; Genet, Baltimore, MD 21205 USA; [Dai, Lixin] Johns Hopkins Univ, Sch Med, High Throughput Biol Ctr, Baltimore, MD 21205 USA; [Cho, Yoon-Jae; Pomeroy, Scott L.] Childrens Hosp, Dept Neurol, Boston, MA 02115 USA</t>
  </si>
  <si>
    <t>Harvard University; Harvard University; Harvard University; Massachusetts General Hospital; Harvard University; Vrije Universiteit Amsterdam; Johns Hopkins University; Johns Hopkins University; Harvard University; Boston Children's Hospital</t>
  </si>
  <si>
    <t>Skog, J (corresponding author), Harvard Univ, Sch Med, Dept Neurol, Boston, MA 02129 USA.</t>
  </si>
  <si>
    <t>Skog.Johan@mgh.harvard.edu</t>
  </si>
  <si>
    <t>Balaj, Leonora/0000-0003-0931-9715; Skog, Johan/0000-0002-0926-1691</t>
  </si>
  <si>
    <t>10.1038/ncomms1180</t>
  </si>
  <si>
    <t>WOS:000288225900009</t>
  </si>
  <si>
    <t>Avila-Calderon, ED; Medina-Chavez, O; Flores-Romo, L; Hernandez-Hernandez, JM; Donis-Maturano, L; Lopez-Merino, A; Arellano-Reynoso, B; Aguilera-Arreola, MG; Ruiz, EA; Gomez-Lunar, Z; Witonsky, S; Contreras-Rodriguez, A</t>
  </si>
  <si>
    <t>Avila-Calderon, Eric Daniel; Medina-Chavez, Olin; Flores-Romo, Leopoldo; Hernandez-Hernandez, Jose Manuel; Donis-Maturano, Luis; Lopez-Merino, Ahide; Arellano-Reynoso, Beatriz; Aguilera-Arreola, Ma. Guadalupe; Ruiz, Enrico A.; Gomez-Lunar, Zulema; Witonsky, Sharon; Contreras-Rodriguez, Araceli</t>
  </si>
  <si>
    <t>Outer Membrane Vesicles From Brucella melitensis Modulate Immune Response and Induce Cytoskeleton Rearrangement in Peripheral Blood Mononuclear Cells</t>
  </si>
  <si>
    <t>outer membrane vesicles; Brucella; proteomics; OMVs; bacterial vesicles; extracellular vesicle</t>
  </si>
  <si>
    <t>ROUGH STRAIN; LIPOPOLYSACCHARIDE; PROTEINS; BIOGENESIS; PROTECTION; VIRULENCE; BLOCKADE; MUTANTS; RELEASE; VACCINE</t>
  </si>
  <si>
    <t>Similar to what has been described in other Gram-negative bacteria, Brucella melitensis releases outer membrane vesicles (OMVs). OMVs from B. melitensis 16M and the rough-mutant B. melitensis VTRM1 were able to induce a protective immune response against virulent B. melitensis in mice models. The presence of some proteins which had previously been reported to induce protection against Brucella were found in the proteome of OMVs from B. melitensis 16M. However, the proteome of OMVs from B. melitensis VTRM1 had not previously been determined. In order to be better understand the role of OMVs in host-cell interactions, the aim of this work was to compare the proteomes of OMVs from B. melitensis 16M and the derived rough-mutant B. melitensis VTRM1, as well as to characterize the immune response induced by vesicles on host cells. Additionally, the effect of SDS and proteinase K on the stability of OMVs was analyzed. OMVs from B. melitensis 16M (smooth strain) and the B. melitensis VTRM1 rough mutant (lacking the O-polysaccharide side chain) were analyzed through liquid chromatography-mass spectrometry (LC-MS/MS). OMVs were treated with proteinase K, sodium deoxycholate, and SDS, and then their protein profile was determined using SDS-PAGE. Furthermore, PBMCs were treated with OMVs in order to measure their effect on cytoskeleton, surface molecules, apoptosis, DNA damage, proliferation, and cytokine-induction. A total of 131 proteins were identified in OMVs from B. melitensis16M, and 43 in OMVs from B. melitensis VTRM1. Proteome comparison showed that 22 orthologous proteins were common in vesicles from both strains, and their core proteome contained Omp31, Omp25, GroL, and Omp16. After a subsequent detergent and enzyme treatment, OMVs from B. melitensis VTRM1 exhibited higher sensitive compared to OMVs from the B. melitensis 16M strain. Neither OMVs induced IL-17, proliferation, apoptosis or DNA damage. Nonetheless, OMVs from the smooth and rough strains induced overproduction of TNF alpha and IL-6, as well as actin and tubulin rearrangements in the cytoskeleton. Moreover, OMVs from both strains inhibited PD-L1 expression in T-cells. These data revealed significant differences in OMVs derived from the rough and smooth Brucella strains, among which, the presence or absence of complete LPS appeared to be crucial to protect proteins contained within vesicles and to drive the immune response.</t>
  </si>
  <si>
    <t>[Avila-Calderon, Eric Daniel; Lopez-Merino, Ahide; Aguilera-Arreola, Ma. Guadalupe; Gomez-Lunar, Zulema; Contreras-Rodriguez, Araceli] Inst Politecn Nacl, Escuela Nacl Ciencias Biol, Dept Microbiol, Mexico City, DF, Mexico; [Avila-Calderon, Eric Daniel; Flores-Romo, Leopoldo; Hernandez-Hernandez, Jose Manuel] Inst Politecn Nacl, Ctr Invest &amp; Estudios Avanzados, Dept Biol Celular, Mexico City, DF, Mexico; [Medina-Chavez, Olin] Inst Tecnol &amp; Estudios Super Monterrey, Escuela Ingn &amp; Ciencias, Ctr Biotecnol FEMSA, Monterrey, Mexico; [Donis-Maturano, Luis] Univ Nacl Autonoma Mexico, Fac Estudios Super Iztacala, Unidad Invest Biomed, Mexico City, DF, Mexico; [Arellano-Reynoso, Beatriz] Univ Nacl Autonoma Mexico, Fac Med Vet &amp; Zootecnia, Dept Microbiol &amp; Inmunol, Mexico City, DF, Mexico; [Ruiz, Enrico A.] Inst Politecn Nacl, Escuela Nacl Ciencias Biol, Dept Zool, Mexico City, DF, Mexico; [Witonsky, Sharon] Virginia Tech, Virginia Maryland Coll Vet Med, Ctr One Hlth Res, Blacksburg, VA USA; [Witonsky, Sharon] Virginia Tech, Virginia Maryland Coll Vet Med, Large Anim Clin Sci, Blacksburg, VA USA</t>
  </si>
  <si>
    <t>Instituto Politecnico Nacional - Mexico; CINVESTAV - Centro de Investigacion y de Estudios Avanzados del Instituto Politecnico Nacional; Instituto Politecnico Nacional - Mexico; Tecnologico de Monterrey; Universidad Nacional Autonoma de Mexico; Universidad Nacional Autonoma de Mexico; Instituto Politecnico Nacional - Mexico; Virginia Polytechnic Institute &amp; State University; Virginia Polytechnic Institute &amp; State University</t>
  </si>
  <si>
    <t>Contreras-Rodriguez, A (corresponding author), Inst Politecn Nacl, Escuela Nacl Ciencias Biol, Dept Microbiol, Mexico City, DF, Mexico.</t>
  </si>
  <si>
    <t>aracelicontreras21@gmail.com</t>
  </si>
  <si>
    <t>Ruiz, Enrico/AAI-4412-2020; Ruiz, Enrico/AGS-6931-2022</t>
  </si>
  <si>
    <t>Gomez Lunar, Zulema/0000-0001-5500-7881</t>
  </si>
  <si>
    <t>OCT 19</t>
  </si>
  <si>
    <t>10.3389/fmicb.2020.556795</t>
  </si>
  <si>
    <t>WOS:000583276600001</t>
  </si>
  <si>
    <t>Imai, T; Takahashi, Y; Nishikawa, M; Kato, K; Morishita, M; Yamashita, T; Matsumoto, A; Charoenviriyakul, C; Takakura, Y</t>
  </si>
  <si>
    <t>Imai, Takafumi; Takahashi, Yuki; Nishikawa, Makiya; Kato, Kana; Morishita, Masaki; Yamashita, Takuma; Matsumoto, Akihiro; Charoenviriyakul, Chonlada; Takakura, Yoshinobu</t>
  </si>
  <si>
    <t>Macrophage-dependent clearance of systemically administered B16BL6-derived exosomes from the blood circulation in mice</t>
  </si>
  <si>
    <t>exosome; Kupffer cell; splenic macrophage; lactadherin; Gaussia luciferase; clearance</t>
  </si>
  <si>
    <t>DEPLETION; VESICLES; CELLS; LIPOSOMES; MECHANISM; DELIVERY; SPLEEN</t>
  </si>
  <si>
    <t>Previous studies using B16BL6-derived exosomes labelled with gLuc-lactadherin (gLuc-LA), a fusion protein of Gaussia luciferase (a reporter protein) and lactadherin (an exosome-tropic protein), showed that the exosomes quickly disappeared from the systemic circulation after intravenous injection in mice. In the present study, the mechanism of rapid clearance of intravenously injected B16BL6 exosomes was investigated. gLuc-LA-labelled exosomes were obtained from supernatant of B16BL6 cells after transfection with a plasmid DNA encoding gLuc-LA. Labelling was stable when the exosomes were incubated in serum. By using B16BL6 exosomes labelled with PKH26, a lipophilic fluorescent dye, it was demonstrated that PKH26-labelled B16BL6 exosomes were taken up by macrophages in the liver and spleen but not in the lung, while PKH26-labelled exosomes were taken up by the endothelial cells in the lung. Subsequently, gLuc-LA-labelled B16BL6 exosomes were injected into macrophage-depleted mice prepared by injection with clodronate-containing liposomes. The clearance of the intravenously injected B16BL6 exosomes from the blood circulation was much slower in macrophage-depleted mice than that in untreated mice. These results indicate that macrophages play important roles in the clearance of intravenously injected B16BL6 exosomes from the systemic circulation.</t>
  </si>
  <si>
    <t>[Imai, Takafumi; Takahashi, Yuki; Nishikawa, Makiya; Kato, Kana; Morishita, Masaki; Yamashita, Takuma; Matsumoto, Akihiro; Charoenviriyakul, Chonlada; Takakura, Yoshinobu] Kyoto Univ, Grad Sch Pharmaceut Sci, Dept Biopharmaceut &amp; Drug Metab, Kyoto 6068501, Japan</t>
  </si>
  <si>
    <t>Takakura, Y (corresponding author), Kyoto Univ, Grad Sch Pharmaceut Sci, Dept Biopharmaceut &amp; Drug Metab, Kyoto 6068501, Japan.</t>
  </si>
  <si>
    <t>takakura@pharm.kyoto-u.ac.jp</t>
  </si>
  <si>
    <t>10.3402/jev.v4.26238</t>
  </si>
  <si>
    <t>WOS:000365073700001</t>
  </si>
  <si>
    <t>Chiang, WC; Tolker-Nielsen, T</t>
  </si>
  <si>
    <t>Chiang, Wen-Chi; Tolker-Nielsen, Tim</t>
  </si>
  <si>
    <t>Extracellular DNA as Matrix Component in Microbial Biofilms</t>
  </si>
  <si>
    <t>NATURAL GENETIC-TRANSFORMATION; STREPTOCOCCUS-PNEUMONIAE VIRULENCE; PSEUDOMONAS-AERUGINOSA BIOFILMS; CYSTIC-FIBROSIS PATIENTS; QUORUM-SENSING SYSTEM; STAPHYLOCOCCUS-AUREUS; MEMBRANE-VESICLES; IV PILI; MULTICELLULAR STRUCTURES; BACTERIOCIN PRODUCTION</t>
  </si>
  <si>
    <t>Bacteria in nature primarily live in surface-associated communities commonly known as biofilms. Because bacteria in biofilms, in many cases, display tolerance to host immune systems, antibiotics, and biocides, they are often difficult or impossible to eradicate. Biofilm formation, therefore, leads to various persistent infections in humans and animals, and to a variety of complications in industry, where solid water interfaces occur. Knowledge about the molecular mechanisms involved in biofilm formation is necessary for creating strategies to control biofilms. Recent studies have shown that extracellular DNA is an important component of the extracellular matrix of microbial biofilms. The present chapter is focussed on extracellular DNA as matrix component in biofilms formed by Pseudomonas aeruginosa as an example from the Gram-negative bacteria, and Streptococcus and Staphylococcus as examples from the Gram-positive bacteria. Besides the role of extracellular DNA in biofilm formation, the mechanisms involved in DNA release from P. aeruginosa, Streptococcus, and Staphylococcus are addressed.</t>
  </si>
  <si>
    <t>[Tolker-Nielsen, Tim] Univ Copenhagen, Dept Int Hlth Immunol &amp; Microbiol, Fac Hlth Sci, DK-2201 Copenhagen, Denmark; [Chiang, Wen-Chi; Tolker-Nielsen, Tim] Univ Copenhagen, Dept Int Hlth Immunol &amp; Microbiol, Fac Hlth Sci, DK-2200 Copenhagen, Denmark</t>
  </si>
  <si>
    <t>University of Copenhagen; University of Copenhagen</t>
  </si>
  <si>
    <t>Tolker-Nielsen, T (corresponding author), Univ Copenhagen, Dept Int Hlth Immunol &amp; Microbiol, Fac Hlth Sci, Blegdamsvej 3B, DK-2201 Copenhagen, Denmark.</t>
  </si>
  <si>
    <t>ttn@sund.ku.dk</t>
  </si>
  <si>
    <t>Tolker-Nielsen, Tim/0000-0002-9751-474X</t>
  </si>
  <si>
    <t>10.1007/978-3-642-12617-8_1</t>
  </si>
  <si>
    <t>WOS:000281000900001</t>
  </si>
  <si>
    <t>McAndrews, KM; Che, SPY; LeBleu, VS; Kalluri, R</t>
  </si>
  <si>
    <t>McAndrews, Kathleen M.; Che, Sara P. Y.; LeBleu, Valerie S.; Kalluri, Raghu</t>
  </si>
  <si>
    <t>Effective delivery of STING agonist using exosomes suppresses tumor growth and enhances antitumor immunity</t>
  </si>
  <si>
    <t>EXTRACELLULAR VESICLES; INTERCELLULAR COMMUNICATION; CANCER; PLATFORM; ADJUVANT; PATHWAY; SYSTEM</t>
  </si>
  <si>
    <t>The Stimulator of Interferon Genes (STING) pathway is implicated in the innate immune response and is important in both oncogenesis and cancer treatment. Specifically, activation of the cytosolic DNA sensor STING in antigen-presenting cells (APCs) induces a type I interferon response and cytokine production that facilitates antitumor immune therapy. However, use of STING agonists (STINGa) as a cancer therapeutic has been limited by unfavorable pharmacological properties and targeting inefficiency due to rapid clearance and limited uptake into the cytosol. Exosomes, a class of extracellular vesicles shed by all cells are under consideration for their use as effective carriers of drugs owing to their innate ability to be taken up by cells and their biocompatibility for optimal drug biodistribution. Therefore, we engineered exosomes to deliver the STING agonist cyclic GMP-AMP (iExo(STINGa)), to exploit their favorable pharmacokinetics and pharmacodynamics. Selective targeting of the STING pathway in APCs with iExo(STINGa) was associated with superior potency compared with STINGa alone in suppressing B16F10 tumor growth. Moreover, iExo(STINGa) showed superior uptake of STINGa into dendritic cells compared with STINGa alone, which led to increased accumulation of activated CD8(+) T-cells and an antitumor immune response. Our study highlights the potential of exosomes in general, and iExo(STINGa) specifically, in enhancing cancer therapy outcomes.</t>
  </si>
  <si>
    <t>[McAndrews, Kathleen M.; Che, Sara P. Y.; LeBleu, Valerie S.; Kalluri, Raghu] Univ Texas MD Anderson Canc Ctr, Dept Canc Biol, Houston, TX 77030 USA; [LeBleu, Valerie S.] Northwestern Univ, Feinberg Sch Med, Chicago, IL 60611 USA; [Kalluri, Raghu] Rice Univ, Dept Bioengn, Houston, TX 77005 USA; [Kalluri, Raghu] Baylor Coll Med, Dept Mol &amp; Cellular Biol, Houston, TX 77030 USA</t>
  </si>
  <si>
    <t>University of Texas System; UTMD Anderson Cancer Center; Northwestern University; Feinberg School of Medicine; Rice University; Baylor College of Medicine</t>
  </si>
  <si>
    <t>Kalluri, R (corresponding author), Univ Texas MD Anderson Canc Ctr, Dept Canc Biol, Houston, TX 77030 USA.;Kalluri, R (corresponding author), Rice Univ, Dept Bioengn, Houston, TX 77005 USA.;Kalluri, R (corresponding author), Baylor Coll Med, Dept Mol &amp; Cellular Biol, Houston, TX 77030 USA.</t>
  </si>
  <si>
    <t>Kalluri, Raghu/E-2677-2015</t>
  </si>
  <si>
    <t>Kalluri, Raghu/0000-0002-2190-547X; McAndrews, Kathleen/0000-0002-4092-4991</t>
  </si>
  <si>
    <t>10.1016/j.jbc.2021.100523</t>
  </si>
  <si>
    <t>WOS:000672866400497</t>
  </si>
  <si>
    <t>Roy, R; You, RI; Chang, CH; Yang, CY; Lin, NT</t>
  </si>
  <si>
    <t>Roy, Rakesh; You, Ren-In; Chang, Chan-Hua; Yang, Chiou-Ying; Lin, Nien-Tsung</t>
  </si>
  <si>
    <t>Carboxy-Terminal Processing Protease Controls Production of Outer Membrane Vesicles and Biofilm in Acinetobacter baumannii</t>
  </si>
  <si>
    <t>MICROORGANISMS</t>
  </si>
  <si>
    <t>Acinetobacter baumannii; carboxy-terminal processing protease (Ctp); outer-membrane vesicles (OMVs); extracellular DNA (eDNA); capsular polysaccharides (CPSs)</t>
  </si>
  <si>
    <t>CELL-WALL; CONTRIBUTES; BACTERIA; DNA; RESISTANCE; AUTOLYSIS; CTPA</t>
  </si>
  <si>
    <t>Carboxy-terminal processing protease (Ctp) is a serine protease that controls multiple cellular processes through posttranslational modification of proteins. Acinetobacter baumannii ATCC 17978 ctp mutant, namely MR14, is known to cause cell wall defects and autolysis. The objective of this study was to investigate the role of ctp mutation-driven autolysis in regulating biofilms in A. baumannii and to evaluate the vesiculation caused by cell wall defects. We found that in A. baumannii, Ctp is localized in the cytoplasmic membrane, and loss of Ctp function enhances the biofilm-forming ability of A. baumannii. Quantification of the matrix components revealed that extracellular DNA (eDNA) and proteins were the chief constituents of MR14 biofilm, and the transmission electron microscopy further indicated the presence of numerous dead cells compared with ATCC 17978. The large number of MR14 dead cells is potentially the result of compromised outer membrane integrity, as demonstrated by its high sensitivity to sodium dodecyl sulfate (SDS) and ethylenediaminetetraacetic acid (EDTA). MR14 also exhibited the hypervesiculation phenotype, producing outer-membrane vesicles (OMVs) of large mean size. The MR14 OMVs were more cytotoxic toward A549 cells than ATCC 17978 OMVs. Our overall results indicate that A. baumannii ctp negatively controls pathogenic traits through autolysis and OMV biogenesis.</t>
  </si>
  <si>
    <t>[Roy, Rakesh; Lin, Nien-Tsung] Tzu Chi Univ, Inst Med Sci, 701,Sec 3,Zhongyang Rd, Hualien 97004, Taiwan; [You, Ren-In] Tzu Chi Univ, Dept Lab Med &amp; Biotechnol, 701,Sec 3,Zhongyang Rd, Hualien 97004, Taiwan; [Chang, Chan-Hua; Yang, Chiou-Ying] Natl Chung Hsing Univ, Inst Mol Biol, Taichung 40227, Taiwan; [Lin, Nien-Tsung] Tzu Chi Univ, Sch Med, Dept Microbiol, 701,Sec 3,Zhongyang Rd, Hualien 97004, Taiwan</t>
  </si>
  <si>
    <t>Tzu Chi University; Tzu Chi University; National Chung Hsing University; Tzu Chi University</t>
  </si>
  <si>
    <t>Lin, NT (corresponding author), Tzu Chi Univ, Inst Med Sci, 701,Sec 3,Zhongyang Rd, Hualien 97004, Taiwan.;Yang, CY (corresponding author), Natl Chung Hsing Univ, Inst Mol Biol, Taichung 40227, Taiwan.;Lin, NT (corresponding author), Tzu Chi Univ, Sch Med, Dept Microbiol, 701,Sec 3,Zhongyang Rd, Hualien 97004, Taiwan.</t>
  </si>
  <si>
    <t>rakeshroy1803@gmail.com; yri100@gms.tcu.edu.tw; u101010424@cmu.edu.tw; cyyang@dragon.nchu.edu.tw; ntlin@gms.tcu.edu.tw</t>
  </si>
  <si>
    <t>roy, rakesh/0000-0002-6809-0431; You, Ren-In/0000-0002-6289-1852</t>
  </si>
  <si>
    <t>2076-2607</t>
  </si>
  <si>
    <t>10.3390/microorganisms9061336</t>
  </si>
  <si>
    <t>WOS:000666764500001</t>
  </si>
  <si>
    <t>Anticoli, S; Arico, E; Arenaccio, C; Manfredi, F; Chiozzini, C; Olivetta, E; Ferrantelli, F; Lattanzi, L; D'Urso, MT; Proietti, E; Federico, M</t>
  </si>
  <si>
    <t>Anticoli, Simona; Arico, Eleonora; Arenaccio, Claudia; Manfredi, Francesco; Chiozzini, Chiara; Olivetta, Eleonora; Ferrantelli, Flavia; Lattanzi, Laura; D'Urso, Maria Teresa; Proietti, Enrico; Federico, Maurizio</t>
  </si>
  <si>
    <t>Engineered exosomes emerging from muscle cells break immune tolerance to HER2 in transgenic mice and induce antigen-specific CTLs upon challenge by human dendritic cells</t>
  </si>
  <si>
    <t>JOURNAL OF MOLECULAR MEDICINE-JMM</t>
  </si>
  <si>
    <t>CTL vaccines; HER2/neu; Exosomes; Nef; Immunological tolerance</t>
  </si>
  <si>
    <t>VIRUS-LIKE PARTICLES; DNA VACCINATION; BALB/C MICE; EXTRACELLULAR DOMAIN; IN-VIVO; HER-2/NEU; CANCER; CARCINOMAS; VESICLES; E7</t>
  </si>
  <si>
    <t>We recently described a novel biotechnological platform for the production of unrestricted cytotoxic T lymphocyte (CTL) vaccines. It relies on in vivo engineering of exosomes, i.e., nanovesicles constitutively released by all cells, with full-length antigens of choice upon fusion with an exosome-anchoring protein referred to as Nef(mut). They are produced upon intramuscular injection of a DNA vector and, when uploaded with a viral tumor antigen, were found to elicit an immune response inhibiting the tumor growth in a model of transplantable tumors. However, for a possible application in cancer immunotherapy, a number of key issues remained unmet. Among these, we investigated: (i) whether the immunogenic stimulus induced by the engineered exosomes can break immune tolerance, and (ii) their effectiveness when applied in human system. As a model of immune tolerance, we considered mice transgenic for the expression of activated rat HER2/neu which spontaneously develop adenocarcinomas in all mammary glands. When these mice were injected with a DNA vector expressing the product of fusion between Nef(mut) and the extracellular domain of HER2/neu, antigen-specific CD8(+) T lymphocytes became readily detectable. This immune response associated with a HER2-directed CTL activity and a significant delay in tumor development. On the other hand, through cross-priming experiments, we demonstrated the effectiveness of the engineered exosomes emerging from transfected human primary muscle cells in inducing antigen-specific CTLs. We propose our CTL vaccine platform as part of new immunotherapy strategies against tumors expressing self-antigens, i.e., products highly expressed in oncologic lesions but tolerated by the immune system.</t>
  </si>
  <si>
    <t>[Anticoli, Simona; Arenaccio, Claudia; Manfredi, Francesco; Chiozzini, Chiara; Olivetta, Eleonora; Ferrantelli, Flavia; Federico, Maurizio] Ist Super Sanita, Natl Ctr Global Hlth, Viale Regina Elena 299, I-00161 Rome, Italy; [Arico, Eleonora] ISS, FabioCell, Core Facil, Viale Regina Elena 299, I-00161 Rome, Italy; [Lattanzi, Laura; Proietti, Enrico] ISS, Dept Oncol &amp; Mol Med, Viale Regina Elena 299, I-00161 Rome, Italy; [D'Urso, Maria Teresa] ISS, Natl Ctr Anim Expt &amp; Hlth, Viale Regina Elena 299, I-00161 Rome, Italy</t>
  </si>
  <si>
    <t>Istituto Superiore di Sanita (ISS); Istituto Superiore di Sanita (ISS); Istituto Superiore di Sanita (ISS); Istituto Superiore di Sanita (ISS)</t>
  </si>
  <si>
    <t>Anticoli, Simona/M-9940-2017; Ferrantelli, Flavia/J-7794-2016; Anticoli, Simona/AAH-8838-2021; Federico, Maurizio/J-5867-2016; Aricò, Eleonora/AAC-5869-2021; chiozzini, chiara/M-8906-2017; Manfredi, Francesco/ABA-7166-2021; Olivetta, Eleonora/N-5736-2017; Arenaccio, Claudia/J-9914-2016; Chiozzini, Chiara/AAH-1790-2021</t>
  </si>
  <si>
    <t>Ferrantelli, Flavia/0000-0002-0768-1078; Federico, Maurizio/0000-0003-4154-1025; Aricò, Eleonora/0000-0003-4728-9246; Arenaccio, Claudia/0000-0003-3297-2608; Chiozzini, Chiara/0000-0002-4153-0927; Lattanzi, Laura/0000-0001-6998-4827; Olivetta, Eleonora/0000-0003-3296-5328; manfredi, francesco/0000-0002-1746-1546; Anticoli, Simona/0000-0003-3238-3280</t>
  </si>
  <si>
    <t>0946-2716</t>
  </si>
  <si>
    <t>1432-1440</t>
  </si>
  <si>
    <t>10.1007/s00109-017-1617-2</t>
  </si>
  <si>
    <t>Genetics &amp; Heredity; Medicine, Research &amp; Experimental</t>
  </si>
  <si>
    <t>Genetics &amp; Heredity; Research &amp; Experimental Medicine</t>
  </si>
  <si>
    <t>WOS:000423123100009</t>
  </si>
  <si>
    <t>Cheng, SS; Kong, QQ; Hu, XY; Zhang, CL; Xian, YZ</t>
  </si>
  <si>
    <t>Cheng, Shasha; Kong, Qianqian; Hu, Xinyu; Zhang, Cuiling; Xian, Yuezhong</t>
  </si>
  <si>
    <t>An Ultrasensitive Strand Displacement Signal Amplification-Assisted Synchronous Fluorescence Assay for Surface Proteins of Small Extracellular Vesicle Analysis and Cancer Identification</t>
  </si>
  <si>
    <t>MULTIPEDAL DNA WALKER; ELECTROCHEMICAL DETECTION; EXOSOME DETECTION; APTASENSOR</t>
  </si>
  <si>
    <t>Small extracellular vesicles (sEVs), often known as exosomes, are expected to be a promising biomarker for the early diagnosis of cancer because they carry enriched proteins that originated from parent cells. Profiling surface proteins of sEVs offers non-invasive access for the early diagnosis of cancer. However, it remains challenging to simultaneously detect surface proteins of sEVs with desired sensitivity. Herein, a dual color DNA nanodevice based on toehold-mediated DNA strand displacement signal amplification and the synchronous fluorescence technique has been developed for simultaneous analysis of surface proteins of sEVs with high sensitivity. As for the DNA nanodevice-based system, the nanoconjugates of aptamer-magnetic beads can recognize surface proteins of sEVs and lead to the release of single-stranded DNA. Then, the released DNA can trigger toehold-mediated DNA strand displacement for signal amplification. In this system, a CD63 aptamer and MUC1 aptamer were used as recognition elements for the detection of surface proteins of sEVs isolated from cancer cells. Under the optimal conditions, the corresponding proteins of sEVs were simultaneously determined with ultrasensitivity by the synchronous fluorescence method. Also, the detection limits of sEVs by two surface proteins were 67 particles/mu L by CD63 and 37 particles/mu L by MUC1. Of note, the as-constructed method can be applied to recognize sEVs from different tumor cell lines (SGC7901, HepG2, and MCF-7 cells). Furthermore, the system has been successfully applied to precisely identify cancer patients from healthy people by serum analysis. The strategy demonstrates great potential applications in the early diagnosis of cancer.</t>
  </si>
  <si>
    <t>[Cheng, Shasha; Kong, Qianqian; Hu, Xinyu; Zhang, Cuiling; Xian, Yuezhong] East China Normal Univ, Sch Chem &amp; Mol Engn, Dept Chem, Shanghai Engn Res Ctr Mol Therapeut &amp; New Drug De, Shanghai 200241, Peoples R China</t>
  </si>
  <si>
    <t>Zhang, CL; Xian, YZ (corresponding author), East China Normal Univ, Sch Chem &amp; Mol Engn, Dept Chem, Shanghai Engn Res Ctr Mol Therapeut &amp; New Drug De, Shanghai 200241, Peoples R China.</t>
  </si>
  <si>
    <t>clzhang@chem.ecnu.edu.cn; yzxian@chem.ecnu.edu.cn</t>
  </si>
  <si>
    <t>Xian, Yuezhong/H-2445-2015</t>
  </si>
  <si>
    <t>Xian, Yuezhong/0000-0001-9535-3658</t>
  </si>
  <si>
    <t>JAN 18</t>
  </si>
  <si>
    <t>10.1021/acs.analchem.1c04122</t>
  </si>
  <si>
    <t>WOS:000741043400001</t>
  </si>
  <si>
    <t>Su, CL; Tang, YH; Shen, FH; Kang, M; Groom, K; Wise, M; Chamley, L; Chen, Q</t>
  </si>
  <si>
    <t>Su, Chunlin; Tang, Yunhui; Shen, Fanghua; Kang, Matt; Groom, Katie; Wise, Michelle; Chamley, Larry; Chen, Qi</t>
  </si>
  <si>
    <t>Placental extracellular vesicles retain biological activity after short-term storage (14 days) at 4 degrees C or room temperature</t>
  </si>
  <si>
    <t>PLACENTA</t>
  </si>
  <si>
    <t>Placental EVs; Storage conditions; Bioactive; Protein and DNA</t>
  </si>
  <si>
    <t>PHAGOCYTOSIS; BLOOD</t>
  </si>
  <si>
    <t>Introduction: To investigate the role of placental extracellular vesicles (EVs), especially in pathological pregnancy, the use of freshly isolated EVs is often limited due to the sporadic and unpredictable availability of placental samples. Therefore, it is important to understand and use optimised storage conditions for placental EVs. In this study, we investigated different conditions for the short-term storage of placental micro- and nano-EVs and examined their biological activity. Methods: Placental EVs were collected from first trimester placentae. EVs were suspended in PBS and aliquoted, and then stored for up to 14 days at room temperature, 4 degrees C or -20 degrees C. Total protein and DNA levels were measured at various time points. The ability of stored placental EVs to alter endothelial cell activation was quantified by monocyte adhesion assays. Results: There was no difference in the concentration of placental micro- or nano-EVs between each time point, when stored at either room temperature or 4 degrees C. However, there was a significant loss of placental EVs after storage at -20 degrees C. There was no difference in protein or DNA levels of placental EVs when stored at either room temperature or 4 degrees C. Biological activity of placental EVs was retained for up to 14 days at either room temperature or 4 degrees C measured by monocyte adhesion assays. Discussion: We have shown that placental micro- and nano-EVs are stable and retain biological activities following storage in PBS or media for 14 days at either room temperature or 4 degrees C.</t>
  </si>
  <si>
    <t>[Su, Chunlin; Tang, Yunhui] Fudan Univ, Hosp Obstet &amp; Gynaecol, Shanghai, Peoples R China; [Shen, Fanghua] Suzhou Ninth Peoples Hosp, Dept Obstet &amp; Gynaecol, Suzhou, Peoples R China; [Su, Chunlin; Tang, Yunhui; Shen, Fanghua; Kang, Matt; Wise, Michelle; Chamley, Larry; Chen, Qi] Univ Auckland, Dept Obstet &amp; Gynaecol, Auckland, New Zealand; [Groom, Katie] Univ Auckland, Liggins Inst, Auckland, New Zealand; [Kang, Matt; Chamley, Larry; Chen, Qi] Univ Auckland, Hub Extracellular Vesicle Invest, Auckland, New Zealand</t>
  </si>
  <si>
    <t>Fudan University; University of Auckland; University of Auckland; University of Auckland</t>
  </si>
  <si>
    <t>Tang, YH (corresponding author), Fudan Univ, Hosp Obstet &amp; Gynaecol, Shanghai, Peoples R China.;Tang, YH; Chen, Q (corresponding author), Univ Auckland, Dept Obstet &amp; Gynaecol, Auckland, New Zealand.</t>
  </si>
  <si>
    <t>tangyunhui1786@fckyy.org.cn; q.chen@auckland.ac.nz</t>
  </si>
  <si>
    <t>Wise, Michelle/0000-0001-9194-9585</t>
  </si>
  <si>
    <t>0143-4004</t>
  </si>
  <si>
    <t>1532-3102</t>
  </si>
  <si>
    <t>10.1016/j.placenta.2021.09.017</t>
  </si>
  <si>
    <t>Developmental Biology; Obstetrics &amp; Gynecology; Reproductive Biology</t>
  </si>
  <si>
    <t>WOS:000714647500002</t>
  </si>
  <si>
    <t>Ma, SL; Mangala, LS; Hu, W; Bayaktar, E; Yokoi, A; Hu, W; Pradeep, S; Lee, S; Piehowski, PD; Villar-Prados, A; Wu, SY; McGuire, MH; Lara, OD; Rodriguez-Aguayo, C; LaFargue, CJ; Jennings, NB; Rodland, KD; Liu, T; Kundra, V; Ram, PT; Ramakrishnan, S; Lopez-Berestein, G; Coleman, RL; Sood, AK</t>
  </si>
  <si>
    <t>Ma, Shaolin; Mangala, Lingegowda S.; Hu, Wen; Bayaktar, Emine; Yokoi, Akira; Hu, Wei; Pradeep, Sunila; Lee, Sanghoon; Piehowski, Paul D.; Villar-Prados, Alejandro; Wu, Sherry Y.; McGuire, Michael H.; Lara, Olivia D.; Rodriguez-Aguayo, Cristian; LaFargue, Christopher J.; Jennings, Nicholas B.; Rodland, Karin D.; Liu, Tao; Kundra, Vikas; Ram, Prahlad T.; Ramakrishnan, Sundaram; Lopez-Berestein, Gabriel; Coleman, Robert L.; Sood, Anil K.</t>
  </si>
  <si>
    <t>CD63-mediated cloaking of VEGF in small extracellular vesicles contributes to anti-VEGF therapy resistance</t>
  </si>
  <si>
    <t>ENDOTHELIAL GROWTH-FACTOR; INTRACRINE VEGF; OVARIAN-CANCER; CHEMOTHERAPY; BEVACIZUMAB; RECURRENT; EXOSOMES; MECHANISMS; OCEANS; TRIAL</t>
  </si>
  <si>
    <t>Despite wide use of anti-vascular endothelial growth factor (VEGF) therapy for many solid cancers, most individuals become resistant to this therapy, leading to disease progression. Therefore, new biomarkers and strategies for blocking adaptive resistance of cancer to anti-VEGF therapy are needed. As described here, we demonstrate that cancer-derived small extracellular vesicles package increasing quantities of VEGF and other factors in response to anti-VEGF therapy. The packaging process of VEGF into small extracellular vesicles (EVs) ismediated by the tetraspanin CD63. Furthermore, small EV-VEGF (eVEGF) is not accessible to anti-VEGF antibodies and can trigger intracrine VEGF signaling in endothelial cells. eVEGF promotes angiogenesis and enhances tumor growth despite bevacizumab treatment. These data demonstrate a mechanism where VEGF is partitioned into small EVs and promotes tumor angiogenesis and progression. These findings have clinical implications for biomarkers and therapeutic strategies for ovarian cancer.</t>
  </si>
  <si>
    <t>[Ma, Shaolin; Mangala, Lingegowda S.; Hu, Wen; Bayaktar, Emine; Yokoi, Akira; Hu, Wei; Pradeep, Sunila; Villar-Prados, Alejandro; Wu, Sherry Y.; McGuire, Michael H.; Lara, Olivia D.; LaFargue, Christopher J.; Jennings, Nicholas B.; Coleman, Robert L.; Sood, Anil K.] Univ Texas MD Anderson Canc Ctr, Dept Gynecol Oncol &amp; Reprod Med, Houston, TX 77030 USA; [Ma, Shaolin] Sun Yat Sen Univ, Sun Yat Sen Mem Hosp, Dept Gynecol Oncol, Guangzhou 510120, Guangdong, Peoples R China; [Mangala, Lingegowda S.; Rodriguez-Aguayo, Cristian; Lopez-Berestein, Gabriel; Sood, Anil K.] Univ Texas MD Anderson Canc Ctr, Ctr RNA Interference &amp; Noncoding RNA, Houston, TX 77030 USA; [Hu, Wen] Sun Yat Sen Univ, Affiliated Hosp 3, Dept Pathol, Guangzhou 510630, Guangdong, Peoples R China; [Pradeep, Sunila] Med Coll Wisconsin, Dept Obstet &amp; Gynecol, Milwaukee, WI 53226 USA; [Lee, Sanghoon; Ram, Prahlad T.] Univ Texas MD Anderson Canc Ctr, Dept Syst Biol, Houston, TX 77030 USA; [Piehowski, Paul D.; Rodland, Karin D.; Liu, Tao] Pacific Northwest Natl Lab, Richland, WA 99352 USA; [Villar-Prados, Alejandro] Stanford Univ, Dept Med, Stanford, CA 94305 USA; [Rodriguez-Aguayo, Cristian; Lopez-Berestein, Gabriel] Univ Texas MD Anderson Canc Ctr, Dept Expt Therapeut, Houston, TX 77030 USA; [Kundra, Vikas] Univ Texas MD Anderson Canc Ctr, Dept Abdominal Imaging, Houston, TX 77030 USA; [Ramakrishnan, Sundaram] Univ Miami, Miller Sch Med, Dept Surg, Miami, FL 33136 USA; [Sood, Anil K.] Univ Texas MD Anderson Canc Ctr, Dept Canc Biol, Houston, TX 77030 USA</t>
  </si>
  <si>
    <t>University of Texas System; UTMD Anderson Cancer Center; Sun Yat Sen University; University of Texas System; UTMD Anderson Cancer Center; Sun Yat Sen University; Medical College of Wisconsin; University of Texas System; UTMD Anderson Cancer Center; United States Department of Energy (DOE); Pacific Northwest National Laboratory; Stanford University; University of Texas System; UTMD Anderson Cancer Center; University of Texas System; UTMD Anderson Cancer Center; University of Miami; University of Texas System; UTMD Anderson Cancer Center</t>
  </si>
  <si>
    <t>Sood, AK (corresponding author), Univ Texas MD Anderson Canc Ctr, Dept Gynecol Oncol &amp; Reprod Med, Houston, TX 77030 USA.;Sood, AK (corresponding author), Univ Texas MD Anderson Canc Ctr, Ctr RNA Interference &amp; Noncoding RNA, Houston, TX 77030 USA.;Sood, AK (corresponding author), Univ Texas MD Anderson Canc Ctr, Dept Canc Biol, Houston, TX 77030 USA.</t>
  </si>
  <si>
    <t>asood@mdanderson.org</t>
  </si>
  <si>
    <t>Piehowski, Paul/0000-0001-5108-2227</t>
  </si>
  <si>
    <t>AUG 17</t>
  </si>
  <si>
    <t>10.1016/j.celrep.2021.109549</t>
  </si>
  <si>
    <t>WOS:000686356500014</t>
  </si>
  <si>
    <t>Garnier, D; Meehan, B; Kislinger, T; Daniel, P; Sinha, A; Abdulkarim, B; Nakano, I; Rak, J</t>
  </si>
  <si>
    <t>Garnier, Delphine; Meehan, Brian; Kislinger, Thomas; Daniel, Paul; Sinha, Ankit; Abdulkarim, Bassam; Nakano, Ichiro; Rak, Janusz</t>
  </si>
  <si>
    <t>Divergent evolution of temozolomide resistance in glioblastoma stem cells is reflected in extracellular vesicles and coupled with radiosensitization</t>
  </si>
  <si>
    <t>exosomes; glioma stem cells; molecular subtypes; radiation; temozolomide resistance</t>
  </si>
  <si>
    <t>ADJUVANT TEMOZOLOMIDE; INITIATING CELLS; TISSUE FACTOR; TUMOR-CELLS; GLIOMA; THERAPY; REVEALS; HETEROGENEITY; PROGRESSION; INHIBITION</t>
  </si>
  <si>
    <t>Glioblastoma (GBM) is almost invariably fatal due to failure of standard therapy. The relapse of GBM following surgery, radiation, and systemic temozolomide (TMZ) is attributed to the ability of glioma stem cells (GSCs) to survive, evolve, and repopulate the tumor mass, events on which therapy exerts a poorly understood influence. Here we explore the molecular and cellular evolution of TMZ resistance as it emerges in vivo (xenograft models) in a series of human GSCs with either proneural (PN) or mesenchymal (MES) molecular characteristics. We observed that the initial response of GSC-initiated intracranial xenografts to TMZ is eventually replaced by refractory growth pattern. Individual tumors derived from the same isogenic GSC line expressed divergent and complex profiles of TMZ resistance markers, with a minor representation of O-6-methylguanine DNA methyltransferase (MGMT) upregulation. In several independent TMZ-resistant tumors originating from MES GSCs we observed a consistent diminution of mesenchymal features, which persisted in cell culture and correlated with increased expression of Nestin, decline in transglutaminase 2 and sensitivity to radiation. The corresponding mRNA expression profiles reflective of TMZ resistance and stem cell phenotype were recapitulated in the transcriptome of exosome-like extracellular vesicles (EVs) released by GSCs into the culture medium. Intrinsic changes in the tumor-initiating cell compartment may include loss of subtype characteristics and reciprocal alterations in sensitivity to chemo- and radiation therapy. These observations suggest that exploiting therapy-induced changes in the GSC phenotype and alternating cycles of therapy may be explored to improve GBM outcomes.</t>
  </si>
  <si>
    <t>[Garnier, Delphine; Meehan, Brian; Daniel, Paul; Abdulkarim, Bassam; Rak, Janusz] McGill Univ, Res Inst, Ctr Hlth, 1001 Decarie Blvd,E M1 2244, Montreal, PQ H4A 3J1, Canada; [Garnier, Delphine] Univ Nantes, Inst Rech, CRCINA INSERM U1232, Nantes, France; [Kislinger, Thomas; Sinha, Ankit] Univ Toronto, Princess Margaret Canc Ctr, Toronto, ON, Canada; [Kislinger, Thomas; Sinha, Ankit] Univ Toronto, Dept Med Biophys, Toronto, ON, Canada; [Nakano, Ichiro] Univ Alabama Birmingham, Dept Neurosurg, Birmingham, AL USA</t>
  </si>
  <si>
    <t>McGill University; Institut National de la Sante et de la Recherche Medicale (Inserm); Nantes Universite; University of Toronto; University Health Network Toronto; Princess Margaret Cancer Centre; University of Toronto; University of Alabama System; University of Alabama Birmingham</t>
  </si>
  <si>
    <t>Rak, J (corresponding author), McGill Univ, Res Inst, Ctr Hlth, 1001 Decarie Blvd,E M1 2244, Montreal, PQ H4A 3J1, Canada.</t>
  </si>
  <si>
    <t>Kislinger, Thomas/A-5934-2008; Nakano, Ichiro/AAR-9562-2020</t>
  </si>
  <si>
    <t>Nakano, Ichiro/0000-0002-0916-3207; Garnier, Delphine/0000-0002-5744-5612; Sinha, Ankit/0000-0002-9113-2599; Kislinger, Thomas/0000-0003-3525-5540</t>
  </si>
  <si>
    <t>10.1093/neuonc/nox142</t>
  </si>
  <si>
    <t>WOS:000423620100012</t>
  </si>
  <si>
    <t>Yu, YQ; Guo, QQ; Jiang, WL; Zhang, H; Cai, CX</t>
  </si>
  <si>
    <t>Yu, Yongqi; Guo, Qunqun; Jiang, Wenli; Zhang, Hui; Cai, Chenxin</t>
  </si>
  <si>
    <t>Dual-Aptamer-Assisted AND Logic Gate for Cyclic Enzymatic Signal Amplification Electrochemical Detection of Tumor-Derived Small Extracellular Vesicles</t>
  </si>
  <si>
    <t>LABEL-FREE; DNA; EXOSOME; APTASENSOR; PROTEINS; BIOSENSOR; HEMIN; RNA</t>
  </si>
  <si>
    <t>Small extracellular vesicles (sEVs), often referred to as exosomes, are potential biomarkers for noninvasive cancer diagnosis. However, because of their phenotype heterogeneity, precise detection of tumor-derived sEVs is a great challenge. Herein, a dual-aptamer-assisted AND logic gate was fabricated for sensitive electrochemical detection of tumor-derived sEVs based on a cyclic enzymatic signal amplification strategy. Four different tumor-derived sEVs were used to verify the feasibility of the AND logic gate, and CCRF-CEM sEVs were successfully detected by this assay. The electrochemical assay shows a good linear response from 4 X 10(3) to 8 X 10(7) particles/mu L, with a detection limit of 920 particles/mu L, for CCRF-CEM sEVs, indicating potential application in accurate cancer diagnostics.</t>
  </si>
  <si>
    <t>[Yu, Yongqi; Guo, Qunqun; Jiang, Wenli; Zhang, Hui; Cai, Chenxin] Nanjing Normal Univ, Coll Chem &amp; Mat Sci, Jiangsu Collaborat Innovat Ctr Biomed Funct Mat, Jiangsu Key Lab New Power Batteries, Nanjing 210097, Peoples R China</t>
  </si>
  <si>
    <t>Nanjing Normal University</t>
  </si>
  <si>
    <t>Zhang, H (corresponding author), Nanjing Normal Univ, Coll Chem &amp; Mat Sci, Jiangsu Collaborat Innovat Ctr Biomed Funct Mat, Jiangsu Key Lab New Power Batteries, Nanjing 210097, Peoples R China.</t>
  </si>
  <si>
    <t>zhangh@njnu.edu.cn</t>
  </si>
  <si>
    <t>, hui/0000-0002-4922-3745</t>
  </si>
  <si>
    <t>10.1021/acs.analchem.1c02489</t>
  </si>
  <si>
    <t>WOS:000687058400030</t>
  </si>
  <si>
    <t>Chen, TY; Gonzalez-Kozlova, E; Soleymani, T; La Salvia, S; Kyprianou, N; Sahoo, S; Tewari, AK; Cordon-Cardo, C; Stolovitzky, G; Dogra, N</t>
  </si>
  <si>
    <t>Chen, Tzu-Yi; Gonzalez-Kozlova, Edgar; Soleymani, Taliah; La Salvia, Sabrina; Kyprianou, Natasha; Sahoo, Susmita; Tewari, Ashutosh K.; Cordon-Cardo, Carlos; Stolovitzky, Gustavo; Dogra, Navneet</t>
  </si>
  <si>
    <t>Extracellular vesicles carry distinct proteo-transcriptomic signatures that are different from their cancer cell of origin</t>
  </si>
  <si>
    <t>ISCIENCE</t>
  </si>
  <si>
    <t>EXOSOMES; REVEALS; SECRETION; CARRIERS; RNAS</t>
  </si>
  <si>
    <t>Circulating extracellular vesicles (EVs) contain molecular footprints-lipids, proteins, RNA, and DNA-from their cell of origin. Consequently, EV-associated RNA and proteins have gained widespread interest as liquid-biopsy biomarkers. Yet, an integrative proteo-transcriptomic landscape of EVs and comparison with their cell of origin remains obscure. Here, we report that EVs enrich distinct proteo-transcriptome that does not linearly correlate with their cell of origin. We show that EVs enrich endosomal and extracellular proteins, small RNA (similar to 13-200 nucleotides) associated with cell differentiation, development, and Wnt signaling. EVs cargo specific RNAs (RNY3, vtRNA, and MIRLET-7) and their complementary proteins (YBX1, IGF2BP2, and SRSF1/2). To ensure an unbiased and independent analyses, we studied 12 cancer cell lines, matching EVs (inhouse and exRNA database), and serum EVs of patients with prostate cancer. Together, we show that EV-RNA-protein complexes may constitute a functional interaction network to protect and regulate molecular access until a function is achieved.</t>
  </si>
  <si>
    <t>[Chen, Tzu-Yi; Soleymani, Taliah; Cordon-Cardo, Carlos; Dogra, Navneet] Icahn Sch Med Mt Sinai, Dept Pathol, New York, NY 10029 USA; [Chen, Tzu-Yi; Gonzalez-Kozlova, Edgar; Soleymani, Taliah; Cordon-Cardo, Carlos; Stolovitzky, Gustavo; Dogra, Navneet] Icahn Sch Med Mt Sinai, Dept Genet &amp; Genom Sci, New York, NY 10029 USA; [Gonzalez-Kozlova, Edgar; Kyprianou, Natasha; Tewari, Ashutosh K.; Cordon-Cardo, Carlos] Icahn Sch Med Mt Sinai, Dept Oncol Sci, New York, NY 10029 USA; [La Salvia, Sabrina; Sahoo, Susmita] Icahn Sch Med Mt Sinai, Dept Cardiol, New York, NY 10029 USA; [Kyprianou, Natasha; Tewari, Ashutosh K.] Icahn Sch Med Mt Sinai, Dept Urol, New York, NY 10029 USA; [Stolovitzky, Gustavo; Dogra, Navneet] IBM TJ Watson Res Ctr, Yorktown Hts, NY 10598 USA; [Stolovitzky, Gustavo] Sema4, Stamford, CT 06902 USA</t>
  </si>
  <si>
    <t>Icahn School of Medicine at Mount Sinai; Icahn School of Medicine at Mount Sinai; Icahn School of Medicine at Mount Sinai; Icahn School of Medicine at Mount Sinai; Icahn School of Medicine at Mount Sinai; International Business Machines (IBM)</t>
  </si>
  <si>
    <t>Dogra, N (corresponding author), Icahn Sch Med Mt Sinai, Dept Pathol, New York, NY 10029 USA.;Dogra, N (corresponding author), Icahn Sch Med Mt Sinai, Dept Genet &amp; Genom Sci, New York, NY 10029 USA.;Dogra, N (corresponding author), IBM TJ Watson Res Ctr, Yorktown Hts, NY 10598 USA.</t>
  </si>
  <si>
    <t>navneet.dogra@mssm.edu</t>
  </si>
  <si>
    <t>Dogra, Navneet/0000-0002-4602-3991; Gonzalez Kozlova, Edgar Ernesto/0000-0002-6948-0626; Soleymani, Taliah/0000-0003-3732-0334</t>
  </si>
  <si>
    <t>2589-0042</t>
  </si>
  <si>
    <t>JUN 17</t>
  </si>
  <si>
    <t>10.1016/j.isci.2022.104414</t>
  </si>
  <si>
    <t>WOS:000809645900003</t>
  </si>
  <si>
    <t>Liu, ZH; Wang, HS; Li, JG; Wang, ML; Yang, HX; Si, FC; Kong, JM</t>
  </si>
  <si>
    <t>Liu, Zenghui; Wang, Hesen; Li, Jinge; Wang, Mengli; Yang, Huaixia; Si, Fuchun; Kong, Jinming</t>
  </si>
  <si>
    <t>Detection of exosomes via an electrochemical biosensor based on C60-Au-Tb composite</t>
  </si>
  <si>
    <t>MICROCHEMICAL JOURNAL</t>
  </si>
  <si>
    <t>Exosomes; C60; Biosensing; Electrochemistry</t>
  </si>
  <si>
    <t>NANOPARTICLES; APTASENSOR; DNA; IMMOBILIZATION; SURFACE</t>
  </si>
  <si>
    <t>As a new serum biomarker, the sensitive detection of exosomes is significant for the early diagnosis of diseases. In this paper, a novel electrochemical biosensor for the sensitive detection of exosomes was constructed utilizing a novel C60 hybrid as a tracer. Firstly, the epidermal growth factor receptor (EGFR) antibody was immobilized on the electrode surface via Au-NH2 bonding with Nafion AuNPs substrate. After specific capture of exosomes, C60Au-Tb was grafted onto the surface of exosomes through carboxyl-Zr4+-phosphate chemistry, causing a change in the current signal. Under the optimal conditions, there was a linear relationship between the SWV signal and the logarithm of exosomes concentration from 5 x 104 exosomes/mL to 5 x 109 exosomes/mL, and the detection limit was 2.67 x 104 exosomes/mL. In addition, the biosensor had the advantages of high specificity, strong antiinterference ability, good repeatability, and stability. In conclusion, this method had great potential in diagnosing early cancers associated with exosomes.</t>
  </si>
  <si>
    <t>[Liu, Zenghui; Wang, Hesen; Li, Jinge; Wang, Mengli; Yang, Huaixia] Henan Univ Chinese Med, Pharm Coll, Zhengzhou 450046, Peoples R China; [Si, Fuchun] Henan Univ Chinese Med, Acad Chinese Med Sci, Henan Key Lab TCM Syndrome &amp; Prescript Signaling, Henan Int Joint Lab TCM Syndrome &amp; Prescript Sign, Zhengzhou 450046, Peoples R China; [Kong, Jinming] Nanjing Univ Sci &amp; Technol, Sch Environm &amp; Biol Engn, Nanjing 210094, Peoples R China</t>
  </si>
  <si>
    <t>Henan University of Traditional Chinese Medicine; Henan University of Traditional Chinese Medicine; Nanjing University of Science &amp; Technology</t>
  </si>
  <si>
    <t>Yang, HX (corresponding author), Henan Univ Chinese Med, Pharm Coll, Zhengzhou 450046, Peoples R China.;Si, FC (corresponding author), Henan Univ Chinese Med, Acad Chinese Med Sci, Henan Key Lab TCM Syndrome &amp; Prescript Signaling, Henan Int Joint Lab TCM Syndrome &amp; Prescript Sign, Zhengzhou 450046, Peoples R China.;Kong, JM (corresponding author), Nanjing Univ Sci &amp; Technol, Sch Environm &amp; Biol Engn, Nanjing 210094, Peoples R China.</t>
  </si>
  <si>
    <t>yhx998@hactcm.edu.cn; sifc2000@hotmail.com; j.kong@njust.edu.cn</t>
  </si>
  <si>
    <t>Liu, Zenghui/0000-0001-7773-9995</t>
  </si>
  <si>
    <t>0026-265X</t>
  </si>
  <si>
    <t>1095-9149</t>
  </si>
  <si>
    <t>10.1016/j.microc.2021.106772</t>
  </si>
  <si>
    <t>WOS:000697188400003</t>
  </si>
  <si>
    <t>Miao, P; Tang, YG</t>
  </si>
  <si>
    <t>Miao, Peng; Tang, Yuguo</t>
  </si>
  <si>
    <t>A multipedal DNA walker for amplified detection of tumor exosomes</t>
  </si>
  <si>
    <t>RECOGNITION</t>
  </si>
  <si>
    <t>We have fabricated an ultrasensitive exosome biosensor based on a multipedal DNA walker with a core of target exosomes. Specific recognition is achieved by introducing a CD63 aptamer and facile separation is obtained with magnetic Fe3O4@Au nanoparticles. A limit of detection down to 6/mu L is obtained with excellent selectivity.</t>
  </si>
  <si>
    <t>[Miao, Peng; Tang, Yuguo] Chinese Acad Sci, Suzhou Inst Biomed Engn &amp; Technol, CAS Key Lab Biomed Diagnost, Suzhou 215163, Peoples R China; [Miao, Peng] NYU, Dept Chem, 4 Washington Pl, New York, NY 10003 USA</t>
  </si>
  <si>
    <t>Chinese Academy of Sciences; Suzhou Institute of Biomedical Engineering &amp; Technology, CAS; New York University</t>
  </si>
  <si>
    <t>Miao, P (corresponding author), Chinese Acad Sci, Suzhou Inst Biomed Engn &amp; Technol, CAS Key Lab Biomed Diagnost, Suzhou 215163, Peoples R China.;Miao, P (corresponding author), NYU, Dept Chem, 4 Washington Pl, New York, NY 10003 USA.</t>
  </si>
  <si>
    <t>miaopeng@sibet.ac.cn</t>
  </si>
  <si>
    <t>Miao, Peng/J-4249-2013</t>
  </si>
  <si>
    <t>Miao, Peng/0000-0003-3993-4778</t>
  </si>
  <si>
    <t>10.1039/d0cc01817a</t>
  </si>
  <si>
    <t>WOS:000532500300020</t>
  </si>
  <si>
    <t>Lucero, R; Zappulli, V; Sammarco, A; Murillo, OD; Cheah, PS; Srinivasan, S; Tai, E; Ting, DT; Wei, ZY; Roth, ME; Laurent, LC; Krichevsky, AM; Breakefield, XO; Milosavljevic, A</t>
  </si>
  <si>
    <t>Lucero, Rocco; Zappulli, Valentina; Sammarco, Alessandro; Murillo, Oscar D.; Cheah, Pike See; Srinivasan, Srimeenakshi; Tai, Eric; Ting, David T.; Wei, Zhiyun; Roth, Matthew E.; Laurent, Louise C.; Krichevsky, Anna M.; Breakefield, Xandra O.; Milosavljevic, Aleksandar</t>
  </si>
  <si>
    <t>Glioma-Derived miRNA-Containing Extracellular Vesicles Induce Angiogenesis by Reprogramming Brain Endothelial Cells</t>
  </si>
  <si>
    <t>GLIOBLASTOMA; MICRORNA; TUMORS; HETEROGENEITY; MECHANISMS; EXPRESSION; SUBCLASSES; SUBTYPES; THERAPY; EGFR</t>
  </si>
  <si>
    <t>Glioblastoma (GBM) is characterized by aberrant vascularization and a complex tumor microenvironment. The failure of anti-angiogenic therapies suggests pathways of GBM neovascularization, possibly attributable to glioblastoma stem cells (GSCs) and their interplay with the tumor microenvironment. It has been established that GSC-derived extracellular vesicles (GSC-EVs) and their cargoes are proangiogenic in vitro. To further elucidate EV-mediated mechanisms of neovascularization in vitro, we perform RNA-seq and DNA methylation profiling of human brain endothelial cells exposed to GSC-EVs. To correlate these results to tumors in vivo, we perform histoepigenetic analysis of GBM molecular profiles in the TCGA collection. Remarkably, GSC-EVs and normal vascular growth factors stimulate highly distinct gene regulatory responses that converge on angiogenesis. The response to GSC-EVs shows a footprint of post-transcriptional gene silencing by EV-derived miRNAs. Our results provide insights into targetable angiogenesis pathways in GBM and miRNA candidates for liquid biopsy biomarkers.</t>
  </si>
  <si>
    <t>[Lucero, Rocco; Murillo, Oscar D.; Roth, Matthew E.; Milosavljevic, Aleksandar] Baylor Coll Med, Dept Mol &amp; Human Genet, Houston, TX 77030 USA; [Zappulli, Valentina; Sammarco, Alessandro] Univ Padua, Dept Comparat Biomed &amp; Food Sci, Padua, Italy; [Zappulli, Valentina; Sammarco, Alessandro; Cheah, Pike See; Breakefield, Xandra O.] Massachusetts Gen Hosp, Dept Neurol, Boston, MA 02114 USA; [Zappulli, Valentina; Sammarco, Alessandro; Cheah, Pike See; Breakefield, Xandra O.] Massachusetts Gen Hosp, Dept Radiol, Boston, MA 02114 USA; [Zappulli, Valentina; Sammarco, Alessandro; Cheah, Pike See; Breakefield, Xandra O.] Harvard Med Sch, Neurosci Program, Boston, MA 02115 USA; [Cheah, Pike See] Univ Putra Malaysia, Fac Med &amp; Hlth Sci, Dept Human Anat, Seri Kembangan, Selangor, Malaysia; [Srinivasan, Srimeenakshi; Laurent, Louise C.] Univ Calif San Diego, Dept Obstet Gynecol &amp; Reprod Sci, La Jolla, CA 92037 USA; [Srinivasan, Srimeenakshi; Laurent, Louise C.] Univ Calif San Diego, Sanford Consortium Regenerat Med, La Jolla, CA 92037 USA; [Tai, Eric; Ting, David T.] Massachusetts Gen Hosp, Canc Ctr, Boston, MA 02114 USA; [Tai, Eric; Ting, David T.] Massachusetts Gen Hosp, Dept Med, Boston, MA 02114 USA; [Wei, Zhiyun; Krichevsky, Anna M.] Harvard Med Sch, Brigham &amp; Womens Hosp, Dept Neurol, Boston, MA 02115 USA</t>
  </si>
  <si>
    <t>Baylor College of Medicine; University of Padua; Harvard University; Massachusetts General Hospital; Harvard University; Massachusetts General Hospital; Harvard University; Harvard Medical School; Universiti Putra Malaysia; University of California System; University of California San Diego; University of California System; University of California San Diego; Harvard University; Massachusetts General Hospital; Harvard University; Massachusetts General Hospital; Harvard University; Brigham &amp; Women's Hospital; Harvard Medical School</t>
  </si>
  <si>
    <t>Milosavljevic, A (corresponding author), Baylor Coll Med, Dept Mol &amp; Human Genet, Houston, TX 77030 USA.;Zappulli, V (corresponding author), Univ Padua, Dept Comparat Biomed &amp; Food Sci, Padua, Italy.;Zappulli, V (corresponding author), Massachusetts Gen Hosp, Dept Neurol, Boston, MA 02114 USA.;Zappulli, V (corresponding author), Massachusetts Gen Hosp, Dept Radiol, Boston, MA 02114 USA.;Zappulli, V (corresponding author), Harvard Med Sch, Neurosci Program, Boston, MA 02115 USA.</t>
  </si>
  <si>
    <t>valentina.zappulli@unipd.it; amilosav@bcm.edu</t>
  </si>
  <si>
    <t>Cheah, Pike-See/F-4978-2014; Ting, David/F-4389-2017</t>
  </si>
  <si>
    <t>Lucero, Rocco/0000-0002-7026-0313; Ting, David/0000-0002-3261-2322; Murillo, Oscar/0000-0003-1938-3905; Krichevsky, Anna/0000-0002-5080-5507; Cheah, Pike See/0000-0003-2181-2502</t>
  </si>
  <si>
    <t>FEB 18</t>
  </si>
  <si>
    <t>10.1016/j.celrep.2020.01.073</t>
  </si>
  <si>
    <t>WOS:000514824500002</t>
  </si>
  <si>
    <t>Duong, P; Chung, A; Bouchareychas, L; Raffai, RL</t>
  </si>
  <si>
    <t>Duong, Phat; Chung, Allen; Bouchareychas, Laura; Raffai, Robert L.</t>
  </si>
  <si>
    <t>Cushioned-Density Gradient Ultracentrifugation (C-DGUC) improves the isolation efficiency of extracellular vesicles</t>
  </si>
  <si>
    <t>HIGH-YIELD ISOLATION; POLYETHYLENE-GLYCOL; IN-VITRO; EXOSOMES; DNA; PRECIPITATION; CELLS</t>
  </si>
  <si>
    <t>Ultracentrifugation (UC) is recognized as a robust approach for the isolation of extracellular vesicles (EVs). However, recent studies have highlighted limitations of UC including low recovery efficiencies and aggregation of EVs that could impact downstream functional analyses. We tested the benefit of using a liquid cushion of iodixanol during UC to address such shortcomings. In this study, we compared the yield and purity of EVs isolated from J774A.1 macrophage conditioned media by conventional UC and cushioned-UC (C-UC). We extended our study to include two other common EV isolation approaches: ultrafiltration (UF) and polyethylene glycol (PEG) sedimentation. After concentrating EVs using these four methods, the concentrates underwent further purification by using OptiPrep density gradient ultracentrifugation (DGUC). Our data show that C-DGUC provides a two-fold improvement in EV recovery over conventional UC-DGUC. We also found that UF-DGUC retained ten-fold more protein while PEG-DGUC achieved similar performance in nanoparticle and protein recovery compared to C-DGUC. Regarding purity as assessed by nanoparticle to protein ratio, our data show that EVs isolated by UC-DGUC achieved the highest purity while C-DGUC and PEG-DGUC led to similarly pure preparations. Collectively, we demonstrate that the use of a high-density iodixanol cushion during the initial concentration step improves the yield of EVs derived from cell culture media compared to conventional UC. This enhanced yield without substantial retention of protein contaminants and without exposure to forces causing aggregation offers new opportunities for the isolation of EVs that can subsequently be used for functional studies.</t>
  </si>
  <si>
    <t>[Duong, Phat; Chung, Allen; Bouchareychas, Laura; Raffai, Robert L.] San Francisco VA Med Ctr, Surg Serv, San Francisco, CA 94121 USA; [Bouchareychas, Laura; Raffai, Robert L.] Univ Calif San Francisco, Dept Surg, Div Vasc &amp; Endovasc Surg, San Francisco, CA 94143 USA</t>
  </si>
  <si>
    <t>US Department of Veterans Affairs; Veterans Health Administration (VHA); San Francisco VA Medical Center; University of California System; University of California San Francisco</t>
  </si>
  <si>
    <t>Raffai, RL (corresponding author), San Francisco VA Med Ctr, Surg Serv, San Francisco, CA 94121 USA.;Raffai, RL (corresponding author), Univ Calif San Francisco, Dept Surg, Div Vasc &amp; Endovasc Surg, San Francisco, CA 94143 USA.</t>
  </si>
  <si>
    <t>robert.raffai@ucsf.edu</t>
  </si>
  <si>
    <t>Chung, Allen/0000-0002-2494-9179; Bouchareychas, Laura/0000-0003-4962-9750</t>
  </si>
  <si>
    <t>e0215324</t>
  </si>
  <si>
    <t>10.1371/journal.pone.0215324</t>
  </si>
  <si>
    <t>WOS:000464095000067</t>
  </si>
  <si>
    <t>Sheller, S; Papaconstantinou, J; Urrabaz-Garza, R; Richardson, L; Saade, G; Salomon, C; Menon, R</t>
  </si>
  <si>
    <t>Sheller, Samantha; Papaconstantinou, John; Urrabaz-Garza, Rheanna; Richardson, Lauren; Saade, George; Salomon, Carlos; Menon, Ramkumar</t>
  </si>
  <si>
    <t>Amnion-Epithelial-Cell-Derived Exosomes Demonstrate Physiologic State of Cell under Oxidative Stress</t>
  </si>
  <si>
    <t>SITE-SPECIFIC PHOSPHORYLATION; PROGESTERONE-RECEPTOR; 1ST TRIMESTER; EXTRACELLULAR VESICLES; MATERNAL CIRCULATION; PLACENTAL EXOSOMES; SIGNALING PATHWAYS; TROPHOBLAST CELLS; PRETERM BIRTH; EMERGING ROLE</t>
  </si>
  <si>
    <t>At term, the signals of fetal maturity and feto-placental tissue aging prompt uterine readiness for delivery by transitioning quiescent myometrium to an active stage. It is still unclear how the signals reach the distant myometrium. Exosomes are a specific type of extracellular vesicle (EVs) that transport molecular signals between cells, and are released from a wide range of cells, including the maternal and fetal cells. In this study, we hypothesize that i) exosomes act as carriers of signals in utero-placental compartments and ii) exosomes reflect the physiologic status of the origin cells. The primary aims of this study were to determine exosomal contents in exosomes derived from primary amnion epithelial cells (AEC). We also determined the effect of oxidative stress on AEC derived exosomal cargo contents. AEC were isolated from amniotic membrane obtained from normal, term, not in labor placentae at delivery, and culture under standard conditions. Oxidative stress was induced using cigarette smoke extract for 48 hours. AEC-conditioned media were collected and exosomes isolated by differential centrifugations. Both growth conditions (normal and oxidative stress induced) produced cup shaped exosomes of around 50 nm, expressed exosomes enriched markers, such as CD9, CD63, CD81 and HSC70, embryonic stem cell marker Nanog, and contained similar amounts of cell free AEC DNA. Using confocal microscopy, the colocalization of histone (H) 3, heat shock protein (HSP) 70 and activated form of prosenescence and term parturition associated marker p38 mitogen activated protein kinase (MAPK) (P-p38 MAPK) co-localized with exosome enrich marker CD9. HSP70 and P-p38 MAPK were significantly higher in exosomes from AEC grown under oxidative stress conditions than standard conditions (p&lt;0.05). Finally, mass spectrometry and bioinformatics analysis identified 221 different proteins involved in immunomodulatory response and cell-to-cell communication. This study determined AEC exosome characteristics and their cargo reflected the physiologic status of the cell of origin and suggests that AEC-derived exosomal p38 MAPK plays a major role in determining the fate of pregnancy. Understanding the propagation of fetal signals and their mechanisms in normal term pregnancies can provide insights into pathologic activation of such signals associated with spontaneous preterm parturitions.</t>
  </si>
  <si>
    <t>[Sheller, Samantha; Urrabaz-Garza, Rheanna; Richardson, Lauren; Saade, George; Menon, Ramkumar] Univ Texas Med Branch, Dept Obstet &amp; Gynecol, Div Maternal Fetal Med &amp; Perinatal Res, Galveston, TX 77555 USA; [Sheller, Samantha; Papaconstantinou, John] Univ Texas Med Branch, Dept Biochem &amp; Mol Biol, Galveston, TX 77555 USA; [Salomon, Carlos] Univ Queensland, Fac Hlth Sci, Ctr Clin Diagnost, Exosome Biol Lab,UQ Ctr Clin Res, Herston, Qld, Australia</t>
  </si>
  <si>
    <t>University of Texas System; University of Texas Medical Branch Galveston; University of Texas System; University of Texas Medical Branch Galveston; University of Queensland</t>
  </si>
  <si>
    <t>Menon, R (corresponding author), Univ Texas Med Branch, Dept Obstet &amp; Gynecol, Div Maternal Fetal Med &amp; Perinatal Res, Galveston, TX 77555 USA.</t>
  </si>
  <si>
    <t>ram.menon@utmb.edu</t>
  </si>
  <si>
    <t>Salomon, Carlos F/L-2167-2013; Sheller-Miller, Samantha/K-8582-2019; Sheller, Samantha/T-8681-2019</t>
  </si>
  <si>
    <t>Salomon, Carlos F/0000-0003-4474-0046; Sheller-Miller, Samantha/0000-0002-3991-1747; Richardson, Lauren/0000-0001-8392-2833</t>
  </si>
  <si>
    <t>JUN 22</t>
  </si>
  <si>
    <t>e0157614</t>
  </si>
  <si>
    <t>10.1371/journal.pone.0157614</t>
  </si>
  <si>
    <t>WOS:000378212800038</t>
  </si>
  <si>
    <t>Wan, Y; Cheng, G; Liu, X; Hao, SJ; Nisic, M; Zhu, CD; Xia, YQ; Li, WQ; Wang, ZG; Zhang, WL; Rice, SJ; Sebastian, A; Albert, I; Belani, CP; Zheng, SY</t>
  </si>
  <si>
    <t>Wan, Yuan; Cheng, Gong; Liu, Xin; Hao, Si-Jie; Nisic, Merisa; Zhu, Chuan-Dong; Xia, Yi-Qiu; Li, Wen-Qing; Wang, Zhi-Gang; Zhang, Wen-Long; Rice, Shawn J.; Sebastian, Aswathy; Albert, Istvan; Belani, Chandra P.; Zheng, Si-Yang</t>
  </si>
  <si>
    <t>Rapid magnetic isolation of extracellular vesicles via lipid-based nanoprobes</t>
  </si>
  <si>
    <t>NATURE BIOMEDICAL ENGINEERING</t>
  </si>
  <si>
    <t>CANCER-CELL ISOLATION; IMMOBILIZED APTAMERS; FE3O4-AT-SIO2 CORE; EXOSOME ISOLATION; SERUM EXOSOMES; LUNG-CANCER; BIOGENESIS; DNA; POPULATIONS; SECRETION</t>
  </si>
  <si>
    <t>Extracellular vesicles (EVs) can mediate intercellular communication by transferring cargo proteins and nucleic acids between cells. The pathophysiological roles and clinical value of EVs are under intense investigation, yet most studies are limited by technical challenges in the isolation of nanoscale EVs (nEVs). Here, we report a lipid-nanoprobe system that enables spontaneous labelling of nEVs for subsequent magnetic enrichment in 15 minutes, with isolation efficiency and cargo composition similar to what can be achieved by the much slower and bulkier method of ultracentrifugation. We also show that this approach allows for downstream analyses of nucleic acids and proteins, enabling the identification of EGFR and KRAS mutations following nEV isolation from the blood plasma of non-small-cell lung-cancer patients. The efficiency and versatility of the lipid-nanoprobe approach opens up opportunities in point-of-care cancer diagnostics.</t>
  </si>
  <si>
    <t>[Wan, Yuan; Cheng, Gong; Hao, Si-Jie; Nisic, Merisa; Zhu, Chuan-Dong; Xia, Yi-Qiu; Li, Wen-Qing; Wang, Zhi-Gang; Zhang, Wen-Long; Zheng, Si-Yang] Penn State Univ, Micro &amp; Nano Integrated Biosyst MINIBio Lab, Dept Biomed Engn, University Pk, PA 16802 USA; [Wan, Yuan; Cheng, Gong; Hao, Si-Jie; Xia, Yi-Qiu; Li, Wen-Qing; Wang, Zhi-Gang; Zhang, Wen-Long; Zheng, Si-Yang] Penn State Univ, Penn State Mat Res Inst, University Pk, PA 16802 USA; [Liu, Xin; Rice, Shawn J.; Belani, Chandra P.] Penn State Univ, Penn State Milton S Hershey Med Ctr, Hershey, PA 17033 USA; [Liu, Xin; Rice, Shawn J.; Belani, Chandra P.] Penn State Univ, Penn State Hershey Canc Inst, 500 Univ Dr, Hershey, PA 17033 USA; [Nisic, Merisa; Albert, Istvan; Zheng, Si-Yang] Penn State Univ, Huck Inst Life Sci, University Pk, PA 16802 USA; [Zhu, Chuan-Dong] Southeast Univ, Med Sch, Hosp Nanjing 2, Nanjing 210003, Jiangsu, Peoples R China; [Sebastian, Aswathy; Albert, Istvan] Penn State Univ, Dept Biochem &amp; Mol Biol, University Pk, PA 16802 USA; [Zheng, Si-Yang] Penn State Univ, Dept Elect Engn, University Pk, PA 16802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</si>
  <si>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Pennsylvania Commonwealth System of Higher Education (PCSHE); Pennsylvania State University; Penn State Health; Pennsylvania Commonwealth System of Higher Education (PCSHE); Pennsylvania State University; Penn State Health; Pennsylvania Commonwealth System of Higher Education (PCSHE); Pennsylvania State University; Pennsylvania State University - University Park; Southeast University - China; 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</si>
  <si>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Zheng, SY (corresponding author), Penn State Univ, Micro &amp; Nano Integrated Biosyst MINIBio Lab, Dept Biomed Engn, University Pk, PA 16802 USA.;Zheng, SY (corresponding author), Penn State Univ, Penn State Mat Res Inst, University Pk, PA 16802 USA.;Zheng, SY (corresponding author), Penn State Univ, Huck Inst Life Sci, University Pk, PA 16802 USA.;Zheng, SY (corresponding author), Penn State Univ, Dept Elect Engn, University Pk, PA 16802 USA.</t>
  </si>
  <si>
    <t>sxz10@psu.edu</t>
  </si>
  <si>
    <t>Cheng, Gong/C-4111-2014; Albert, Istvan/J-3734-2015</t>
  </si>
  <si>
    <t>Cheng, Gong/0000-0002-2217-6408; Albert, Istvan/0000-0001-8366-984X</t>
  </si>
  <si>
    <t>2157-846X</t>
  </si>
  <si>
    <t>10.1038/s41551-017-0058</t>
  </si>
  <si>
    <t>Engineering, Biomedical</t>
  </si>
  <si>
    <t>WOS:000418855100009</t>
  </si>
  <si>
    <t>Paul, D; Roy, A; Nandy, A; Datta, B; Borar, P; Pal, SK; Senapati, D; Rakshit, T</t>
  </si>
  <si>
    <t>Paul, Debashish; Roy, Anuradha; Nandy, Arpita; Datta, Brateen; Borar, Prateeka; Pal, Samir Kumar; Senapati, Dulal; Rakshit, Tatini</t>
  </si>
  <si>
    <t>Identification of Biomarker Hyaluronan on Colon Cancer Extracellular Vesicles Using Correlative AFM and Spectroscopy</t>
  </si>
  <si>
    <t>JOURNAL OF PHYSICAL CHEMISTRY LETTERS</t>
  </si>
  <si>
    <t>COLORECTAL-CANCER; HUMAN-SALIVA; EXOSOMES; CD44; ACID; EXPRESSION; DNA</t>
  </si>
  <si>
    <t>Extracellular vesicles (EVs), naturally occurring nanosized vesicles secreted from cells, are essential for intercellular communication. They carry unique biomolecules on the surface or interior that are of great interest as biomarkers for various pathological conditions such as cancer. In this work, we use high-resolution atomic force microscopy (AFM) and spectroscopy (AFS) techniques to demonstrate differences between EVs derived from colon cancer cells and colon epithelial cells at the single-vesicle level. We observe that EV populations are significantly increased in the cancer cell media compared to the normal cell EVs. We show that both EVs display an EV marker, CD9, while EVs derived from the cancer cells are slightly higher in density. Hyaluronan (HA) is a nonsulfated glycosaminoglycan linked to malignant tumor growth according to recent reports. Interestingly, at the single-vesicle level, colon cancer EVs exhibit significantly increased HA surface densities compared to the normal EVs. Spectroscopic measurements such as Fourier transform infrared (FTIR), circular dichroism (CD), and Raman spectroscopy unequivocally support the AFM and AFS measurements. To our knowledge, it represents the first report of detecting HA-coated EVs as a potential colon cancer biomarker. Taken together, this sensitive approach will be useful in identifying biomarkers in the early stages of detection and evaluation of cancer.</t>
  </si>
  <si>
    <t>[Paul, Debashish; Datta, Brateen; Pal, Samir Kumar; Rakshit, Tatini] SN Bose Natl Ctr Basic Sci, Dept Chem Biol &amp; Macromol Sci, Kolkata 700106, India; [Roy, Anuradha; Nandy, Arpita; Senapati, Dulal] Saha Inst Nucl Phys, Chem Sci Div, Kolkata 700064, India; [Borar, Prateeka] Bose Inst, Dept Biophys, Centenary Campus, Kolkata 700054, India</t>
  </si>
  <si>
    <t>Department of Science &amp; Technology (India); SN Bose National Centre for Basic Science (SNBNCBS); Saha Institute of Nuclear Physics; Department of Science &amp; Technology (India); Bose Institute</t>
  </si>
  <si>
    <t>Rakshit, T (corresponding author), SN Bose Natl Ctr Basic Sci, Dept Chem Biol &amp; Macromol Sci, Kolkata 700106, India.</t>
  </si>
  <si>
    <t>tatini.chem19@gmail.com</t>
  </si>
  <si>
    <t>Paul, Debashish/0000-0002-6764-5052; Senapati, Dulal/0000-0001-5002-4631; Datta, Brateen/0000-0002-7332-7413; Rakshit, Tatini/0000-0002-4182-9240</t>
  </si>
  <si>
    <t>1948-7185</t>
  </si>
  <si>
    <t>JUL 16</t>
  </si>
  <si>
    <t>10.1021/acs.jpclett.0c01018</t>
  </si>
  <si>
    <t>Chemistry, Physical; Nanoscience &amp; Nanotechnology; Materials Science, Multidisciplinary; Physics, Atomic, Molecular &amp; Chemical</t>
  </si>
  <si>
    <t>WOS:000551546100027</t>
  </si>
  <si>
    <t>He, HT; Ding, ML; Li, T; Zhao, WZ; Zhang, L; Yin, P; Zhang, W</t>
  </si>
  <si>
    <t>He, Hongtao; Ding, Muliang; Li, Tao; Zhao, Wenzhi; Zhang, Lu; Yin, Peng; Zhang, Wei</t>
  </si>
  <si>
    <t>Bone mesenchymal stem cell-derived extracellular vesicles containing NORAD promote osteosarcoma by miR-30c-5p</t>
  </si>
  <si>
    <t>LABORATORY INVESTIGATION</t>
  </si>
  <si>
    <t>MIGRATION; EXOSOMES; CANCER; PROGRESSION; METASTASIS; THERAPY; RISK</t>
  </si>
  <si>
    <t>Osteosarcoma is a bone tumor that often affects children, adolescents and young people. Non-coding RNA activated by DNA damage (NORAD) can promote the proliferation of cancer cells in multiple tumors. Thus, the current study set out to explore the role of NORAD derived from extracellular vesicles (EVs) of bone mesenchymal stem cells (BMSCs) in osteosarcoma. First, NORAD was highly expressed in osteosarcoma cells and tissues, which might be associated with the progression and metastasis of osteosarcoma. We isolated EVs from the characterized BMSCs, and found that NORAD was transferred from BMSCs to osteosarcoma cells via EVs in the co-culture system. Consequently, NORAD delivered by BMSC-derived EVs promoted the proliferation and invasion of osteosarcoma cells. Subsequently, bioinformatics analyses suggested potential binding relationship between NORAD and microRNA-30c-5p (miR-30c-5p) as well as between miR-30c-5p and Krueppel-like factor 10 (KLF10), and the results of which were further verified by dual luciferase reporter gene assay, RNA immunoprecipitation, and RNA pull-down assay. Mechanistically, NORAD acted as a sponge of miR-30c-5p and up-regulated the expression of KLF10 where miR-30-c-5p mimic declined the effect induced by NORAD on cancer cells. The osteosarcoma cells were injected into mice to develop tumor growth and metastasis models. In these two models, injection of BMSC-EVs elevated NORAD expression and KLF10 but reduced miR-30c-5p expression, whereby suppressing tumor growth and lung metastasis. To conclude, BMSC-EVs deliver NORAD to osteosarcoma cells to regulate the miR-30c-5p/KLF10 axis, thereby accelerating the progression and metastasis of osteosarcoma. NORAD, a non-coding RNA activated by DNA damage, is highly expressed in osteosarcoma cells and tissue. The authors show that extracellular vesicles (EVs) derived from bone mesenchymal stem cells (BMSCs) deliver NORAD to osteosarcoma cells to regulate the miR-30c-5p/ Krueppel-like factor 10 axis, thereby accelerating the progression and metastasis of osteosarcoma.</t>
  </si>
  <si>
    <t>[He, Hongtao; Zhao, Wenzhi; Zhang, Lu; Yin, Peng] Dalian Med Univ, Dept Traumat Orthoped, Hosp 2, Dalian 116023, Peoples R China; [Ding, Muliang] Cent South Univ, Xiangya Hosp 2, Dept Orthoped, Changsha 410011, Peoples R China; [Li, Tao] Shanghai Jiao Tong Univ, Sch Med, Dept Orthoped, Renji Hosp, Shanghai 200092, Peoples R China; [Zhang, Wei] Dalian Med Univ, Dept Spine Surg, Hosp 2, Dalian 116023, Peoples R China</t>
  </si>
  <si>
    <t>Dalian Medical University; Central South University; Shanghai Jiao Tong University; Dalian Medical University</t>
  </si>
  <si>
    <t>Zhang, W (corresponding author), Dalian Med Univ, Dept Spine Surg, Hosp 2, Dalian 116023, Peoples R China.</t>
  </si>
  <si>
    <t>zhangwei1983@dmu.edu.cn</t>
  </si>
  <si>
    <t>0023-6837</t>
  </si>
  <si>
    <t>1530-0307</t>
  </si>
  <si>
    <t>10.1038/s41374-021-00691-6</t>
  </si>
  <si>
    <t>WOS:000772958000002</t>
  </si>
  <si>
    <t>Montermini, L; Meehan, B; Gamier, D; Lee, WJ; Lee, TH; Guha, A; Al-Nedawi, K; Rake, J</t>
  </si>
  <si>
    <t>Montermini, Laura; Meehan, Brian; Gamier, Delphine; Lee, Wan Jin; Lee, Tae Hoon; Guha, Abhijit; Al-Nedawi, Khalid; Rake, Janusz</t>
  </si>
  <si>
    <t>Inhibition of Oncogenic Epidermal Growth Factor Receptor Kinase Triggers Release of Exosome-like Extracellular Vesicles and Impacts Their Phosphoprotein and DNA Content</t>
  </si>
  <si>
    <t>TYROSINE KINASES; EMERGING ROLE; CANCER-CELLS; MICROVESICLES; TISSUE; EXPRESSION; SECRETION; HETEROGENEITY; RESISTANCE; BIOMARKERS</t>
  </si>
  <si>
    <t>Cancer cells emit extracellular vesicles (EVs) containing unique molecular signatures. Here, we report that the oncogenic EGF receptor (EGER) and its inhibitors reprogram phosphoproteomes and cargo of tumor cell-derived EVs. Thus, phosphorylated EGER (P-EGFR) and several other receptor tyrosine kinases can be detected in 1/Vs purified from plasma of tumorbearing mice and from conditioned media of cultured cancer cells. Treatment of EGER-driven tumor cells with second generation EGER kinase inhibitors (EKIs), including CI-1033 and PE-00299804 but not with anti-EGER antibody (Cetuximab) or etoposide, triggers a burst in emission of exosome-like Ells contaming EGER, P-EGER, and genomic DNA (exo-gDNA). The EV release can be attenuated by treatment with inhibitors of exosome biogenesis (GW4869) and caspase pathways (ZVAD). The content of P-EGFR isoforms (Tyr-845, Tyr-1068, and Tyr1173), ERK, and AKT varies between cells and their corresponding EVs and as a function of EKI treatment, Immunocapture experiments reveal the presence of EC-FR and exo-gDNA within the same EV population following EKI treatment. These findings suggest that targeted agents may induce cancer cells to change the EV emission profiles reflective of drug-related therapeutic stress. We suggest that EV-based assays may serve as companion diagnostics for targeted anticancer agents.</t>
  </si>
  <si>
    <t>[Montermini, Laura; Meehan, Brian; Gamier, Delphine; Lee, Wan Jin; Lee, Tae Hoon; Guha, Abhijit; Rake, Janusz] McGill Univ, Montreal Childrens Hosp, Ctr Hlth, Res Inst, Montreal, PQ H4A 3J1, Canada; [Guha, Abhijit] Univ Toronto Hlth Network, Hamilton, ON MSG 1L7, Canada; [Al-Nedawi, Khalid] McMaster Univ, Hamilton, ON L8S 4K1, Canada</t>
  </si>
  <si>
    <t>McGill University; University of Toronto; University Health Network Toronto; McMaster University</t>
  </si>
  <si>
    <t>Rake, J (corresponding author), McGill Univ, Ctr Hlth, Res Inst, Glen Site,1001 Decarie Blvd,Rm EMl 2244, Montreal, PQ H4A 3J1, Canada.</t>
  </si>
  <si>
    <t>Rak, Janusz/0000-0002-2912-5566; Garnier, Delphine/0000-0002-5744-5612</t>
  </si>
  <si>
    <t>OCT 2</t>
  </si>
  <si>
    <t>10.1074/jbc.M115.679217</t>
  </si>
  <si>
    <t>WOS:000362218900038</t>
  </si>
  <si>
    <t>Zhang, JJ; Hao, L; Zhao, ZW; Jiang, DC; Chao, J</t>
  </si>
  <si>
    <t>Zhang, Jingjing; Hao, Lin; Zhao, Ziwei; Jiang, Dechen; Chao, Jie</t>
  </si>
  <si>
    <t>Multiple signal amplification electrochemiluminescence biosensor for ultra-sensitive detection of exosomes</t>
  </si>
  <si>
    <t>Electrochemiluminescence biosensor; NiFe-Ru(bpy)(3)(2+) emitter; Multiple Signal amplification; Exosomes; Single particles</t>
  </si>
  <si>
    <t>CANCER-CELLS</t>
  </si>
  <si>
    <t>Here, an ultrasensitive electrochemiluminescence (ECL) biosensor was developed to detect exosomes down to single particles based on multiple signal amplification. In this strategy, NiFe-tris(2,2'-bipyridyl) ruthenium(II) (Ru(bpy)(3)(2+)) on the electrode exhibited an excellent catalytic effect on the ECL reaction, significantly enhancing the ECL signal by approximately six-fold. In addition, the high affinity between the aptamer and CD 63 protein on the exosome surface released the RNA assembled into the DNA-RNA heteroduplex on the electrode. Duplex -specific nucleases activated DNA cleavage on DNA-RNA heteroduplex and initiated RNA recycling. Conse-quently, massive ferrocene (Fc)-DNA was detached from the electrode surface to recover the ECL emission of the NiFe-Ru(bpy)(3)(2+) emitter. Benefiting from the multiple signal amplification, the fabricated ECL biosensor achieved a limit of detection for exosomes as low as 5 particles/mu L and was successfully used for exosomes determination in serum. This sensor fabrication strategy will provide a universal and sensitive nano-platform for exosomes detection and enable the early diagnosis of related diseases.</t>
  </si>
  <si>
    <t>[Zhang, Jingjing; Chao, Jie] Nanjing Univ Posts &amp; Telecommun, Sch Geog &amp; Biol Informat, Nanjing 210023, Peoples R China; [Hao, Lin] Xuzhou Cent Hosp, Dept Urol, Xuzhou 221009, Jiangsu, Peoples R China; [Zhao, Ziwei] Nanjing Univ Posts &amp; Telecommun, Inst Adv Mat IAM, Jiangsu Natl Synerget Innovat Ctr Adv Mat SICAM, Key Lab Organ Elect &amp; Informat Displays,Jiangsu Ke, Nanjing 210023, Peoples R China; [Jiang, Dechen] Nanjing Univ, Sch Chem &amp; Chem Engn, State Key Lab Analyt Chem Life Sci, Nanjing 210023, Peoples R China</t>
  </si>
  <si>
    <t>Nanjing University of Posts &amp; Telecommunications; Nanjing University of Posts &amp; Telecommunications; Nanjing University</t>
  </si>
  <si>
    <t>Chao, J (corresponding author), Nanjing Univ Posts &amp; Telecommun, Sch Geog &amp; Biol Informat, Nanjing 210023, Peoples R China.</t>
  </si>
  <si>
    <t>iamjchao@njupt.edu.cn</t>
  </si>
  <si>
    <t>10.1016/j.snb.2022.132332</t>
  </si>
  <si>
    <t>WOS:000838018200004</t>
  </si>
  <si>
    <t>Tamura, R; Balabanova, A; Frakes, SA; Bargmann, A; Grimm, J; Koch, TH; Yin, H</t>
  </si>
  <si>
    <t>Tamura, Ryo; Balabanova, Alla; Frakes, Samuel A.; Bargmann, Austin; Grimm, Jan; Koch, Tad H.; Yin, Hang</t>
  </si>
  <si>
    <t>Photoactivatable Prodrug of Doxazolidine Targeting Exosomes</t>
  </si>
  <si>
    <t>JOURNAL OF MEDICINAL CHEMISTRY</t>
  </si>
  <si>
    <t>EXTRACELLULAR VESICLES; CERENKOV RADIATION; DELIVERY VEHICLES; TOPOISOMERASE-II; IN-VITRO; DOXORUBICIN; PEPTIDE; IDENTIFICATION; MICROVESICLES; ACTIVATION</t>
  </si>
  <si>
    <t>Natural lipid nanocarriers, exosomes, carry cell-signaling materials such as DNA and RNA for intercellular communications. Exosomes derived from cancer cells contribute to the progression and metastasis of cancer cells by transferring oncogenic signaling molecules to neighboring and remote premetastatic sites. Therefore, applying the unique properties of exosomes for cancer therapy has been expected in science, medicine, and drug discovery fields. Herein, we report that an exosome-targeting prodrug system, designated MARCKS-ED-photodoxaz, could spatiotemporally control the activation of an exquisitely cytotoxic agent, doxazolidine (doxaz), with UV light. The MARCKS-ED peptide enters a cell by forming a complex with the exosomes in situ at its plasma membrane and in the media. MARCKS-ED-photodoxaz releases doxaz under near-UV irradiation to inhibit cell growth with low nanomolar IC50 values. The MARCKS-ED-photodoxaz system targeting exosomes and utilizing photochemistry will potentially provide a new approach for the treatment of cancer, especially for highly progressive and invasive metastatic cancers.</t>
  </si>
  <si>
    <t>[Tamura, Ryo; Balabanova, Alla; Frakes, Samuel A.; Bargmann, Austin; Koch, Tad H.; Yin, Hang] Univ Colorado, Dept Chem &amp; Biochem, Boulder, CO 80309 USA; [Tamura, Ryo; Yin, Hang] Univ Colorado, BioFrontiers Inst, Boulder, CO 80309 USA; [Tamura, Ryo; Grimm, Jan] Mem Sloan Kettering Canc Ctr, Mol Pharmacol Program, New York, NY 10065 USA; [Yin, Hang] Tsinghua Univ, Tsinghua Univ Peking Univ Joint Ctr Life Sci, Sch Pharmaceut Sci, Beijing 100082, Peoples R China</t>
  </si>
  <si>
    <t>University of Colorado System; University of Colorado Boulder; University of Colorado System; University of Colorado Boulder; Memorial Sloan Kettering Cancer Center; Tsinghua University</t>
  </si>
  <si>
    <t>Yin, H (corresponding author), Univ Colorado, Dept Chem &amp; Biochem, Boulder, CO 80309 USA.;Yin, H (corresponding author), Univ Colorado, BioFrontiers Inst, Boulder, CO 80309 USA.;Yin, H (corresponding author), Tsinghua Univ, Tsinghua Univ Peking Univ Joint Ctr Life Sci, Sch Pharmaceut Sci, Beijing 100082, Peoples R China.</t>
  </si>
  <si>
    <t>yin_hang@tsinghua.edu.cn</t>
  </si>
  <si>
    <t>Core, BioFrontiers Advanced Light Microscopy/O-6175-2019; YIN, HANG HUBERT/O-2097-2014</t>
  </si>
  <si>
    <t>YIN, HANG HUBERT/0000-0002-9762-4818</t>
  </si>
  <si>
    <t>0022-2623</t>
  </si>
  <si>
    <t>1520-4804</t>
  </si>
  <si>
    <t>10.1021/acs.jmedchem.8b01508</t>
  </si>
  <si>
    <t>Chemistry, Medicinal</t>
  </si>
  <si>
    <t>Science Citation Index Expanded (SCI-EXPANDED); Index Chemicus (IC)</t>
  </si>
  <si>
    <t>WOS:000460365600016</t>
  </si>
  <si>
    <t>Wang, CC; Zhao, YM; Wang, HY; Zhao, YP</t>
  </si>
  <si>
    <t>Wang, Cheng-cheng; Zhao, Yi-ming; Wang, Huan-yu; Zhao, Yu-pei</t>
  </si>
  <si>
    <t>New Insight into the Role of Exosomes in Pancreatic Cancer</t>
  </si>
  <si>
    <t>ANNALS OF CLINICAL AND LABORATORY SCIENCE</t>
  </si>
  <si>
    <t>Exosomes; pancreatic cancer; biomarker; early detection of cancer; targeted therapy</t>
  </si>
  <si>
    <t>CIRCULATING EXOSOMES; TRANSFERRIN RECEPTOR; MICRORNA-SIGNATURE; STELLATE CELLS; MUTANT KRAS; STEM-CELLS; DNA; ASSOCIATION; BIOMARKERS; MARKERS</t>
  </si>
  <si>
    <t>Pancreatic cancer is one of the most lethal diseases among solid malignancies. Most patients are diagnosed in the late stage or after metastasis. Notably, pancreatic cancer is resistant to chemotherapy and lacks efficient target therapy methods. Given that, investigating the mechanism of metastasis, finding biomarkers for early detection and identifying novel therapeutic target of pancreatic cancer are needed. Exosomes, which are one type of extra-cellular vesicules, play an important role in intercellular communication. It has been confirmed that exosomes can be released by all types of cells and are significantly associated with multifaceted cancer, including pancreatic cancer. It has been suggested that they correlate with biogenesis, progression, metastasis, and tumor immunity in pancreatic cancer. Meanwhile, exosomes have the potential to be non-invasive biomarkers for early detection of pancreatic cancer. In this review, we retrospectively assess the discovery and evolvement of exosomes and highlight the multiple roles of exosomes in pancreatic cancer. Exosomes, as intercellular messengers, are projected to be a novel strategy for early detection and targeted therapy in pancreatic cancer.</t>
  </si>
  <si>
    <t>[Wang, Cheng-cheng; Zhao, Yi-ming; Wang, Huan-yu; Zhao, Yu-pei] Chinese Acad Med Sci &amp; Peking Union Med Coll, Peking Union Med Coll Hosp, Dept Gen Surg, Beijing, Peoples R China</t>
  </si>
  <si>
    <t>Chinese Academy of Medical Sciences - Peking Union Medical College; Peking Union Medical College; Peking Union Medical College Hospital</t>
  </si>
  <si>
    <t>Zhao, YP (corresponding author), Peking Union Med Coll Hosipital, Dept Gen Surg, Beijing 100730, Peoples R China.</t>
  </si>
  <si>
    <t>zhao8028@263.net</t>
  </si>
  <si>
    <t>0091-7370</t>
  </si>
  <si>
    <t>1550-8080</t>
  </si>
  <si>
    <t>MAY-JUN</t>
  </si>
  <si>
    <t>WOS:000503158400016</t>
  </si>
  <si>
    <t>Fiskaa, T; Knutsen, E; Nikolaisen, MA; Jorgensen, TE; Johansen, SD; Perander, M; Seternes, OM</t>
  </si>
  <si>
    <t>Fiskaa, Tonje; Knutsen, Erik; Nikolaisen, Marlen Aas; Jorgensen, Tor Erik; Johansen, Steinar Daae; Perander, Maria; Seternes, Ole Morten</t>
  </si>
  <si>
    <t>Distinct Small RNA Signatures in Extracellular Vesicles Derived from Breast Cancer Cell Lines</t>
  </si>
  <si>
    <t>INTERCELLULAR TRANSFER; TRANSFERRIN RECEPTOR; MICRORNA SIGNATURES; GENE-EXPRESSION; EXOSOMES; MICROVESICLES; PROMOTE; PLASMA; STAGE; ANGIOGENESIS</t>
  </si>
  <si>
    <t>Breast cancer is a heterogeneous disease, and different subtypes of breast cancer show distinct cellular morphology, gene expression, metabolism, motility, proliferation, and metastatic potential. Understanding the molecular features responsible for this heterogeneity is important for correct diagnosis and better treatment strategies. Extracellular vesicles (EVs) and their associated molecules have gained much attention as players in intercellular communication, ability to precondition specific organs for metastatic invasion, and for their potential role as circulating cancer biomarkers. EVs are released from the cells and contain proteins, DNA, and long and small RNA species. Here we show by high-throughput small RNA-sequencing that EVs from nine different breast cancer cell lines share common characteristics in terms of small RNA content that are distinct from their originating cells. Most strikingly, a highly abundant small RNA molecule derived from the nuclear 28S rRNA is vastly enriched in EVs. The miRNA profiles in EVs correlate with the cellular miRNA expression pattern, but with a few exceptions that includes miR-21. This cancer-associated miRNA is retained in breast cancer cell lines. Finally, we report that EVs from breast cancer cell lines cluster together based on their small RNA signature when compared to EVs derived from other cancer cell lines. Altogether, our data demonstrate that breast cancer cell lines manifest a specific small RNA signature in their released EVs. This opens up for further evaluation of EVs as breast cancer biomarkers.</t>
  </si>
  <si>
    <t>[Fiskaa, Tonje; Knutsen, Erik; Johansen, Steinar Daae; Perander, Maria] UiT Arctic Univ Norway, Fac Hlth Sci, Dept Med Biol, MH Bldg Breivika, N-9037 Tromso, Norway; [Fiskaa, Tonje; Nikolaisen, Marlen Aas; Seternes, Ole Morten] UiT Arctic Univ Norway, Fac Hlth Sci, Dept Pharm, MH Bldg Breivika, N-9037 Tromso, Norway; [Jorgensen, Tor Erik; Johansen, Steinar Daae] Nord Univ, Fac Biosci &amp; Aquaculture, Marine Genom Grp, Bodo, Norway</t>
  </si>
  <si>
    <t>UiT The Arctic University of Tromso; UiT The Arctic University of Tromso; Nord University</t>
  </si>
  <si>
    <t>Fiskaa, T (corresponding author), UiT Arctic Univ Norway, Fac Hlth Sci, Dept Med Biol, MH Bldg Breivika, N-9037 Tromso, Norway.;Fiskaa, T (corresponding author), UiT Arctic Univ Norway, Fac Hlth Sci, Dept Pharm, MH Bldg Breivika, N-9037 Tromso, Norway.</t>
  </si>
  <si>
    <t>Tonje.Fiskaa@uit.no</t>
  </si>
  <si>
    <t>Knutsen, Erik/ABH-6287-2020; Seternes, Ole Morten/M-9520-2019</t>
  </si>
  <si>
    <t>Knutsen, Erik/0000-0002-4903-0150; Seternes, Ole Morten/0000-0001-8537-3612; Jorgensen, Tor Erik/0000-0002-6401-0713; Perander, Maria/0000-0002-1177-2407</t>
  </si>
  <si>
    <t>e0161824</t>
  </si>
  <si>
    <t>10.1371/journal.pone.0161824</t>
  </si>
  <si>
    <t>WOS:000382877400043</t>
  </si>
  <si>
    <t>Betker, JL; Angle, BM; Graner, MW; Anchordoquy, TJ</t>
  </si>
  <si>
    <t>Betker, Jamie L.; Angle, Brittany M.; Graner, Michael W.; Anchordoquy, Thomas J.</t>
  </si>
  <si>
    <t>The Potential of Exosomes From Cow Milk for Oral Delivery</t>
  </si>
  <si>
    <t>JOURNAL OF PHARMACEUTICAL SCIENCES</t>
  </si>
  <si>
    <t>milk exosomes; oral delivery; FcRn; oral absorption</t>
  </si>
  <si>
    <t>NEONATAL FC-RECEPTOR; LYOPHILIZED LIPID/DNA COMPLEXES; DRUG-DELIVERY; EXTRACELLULAR VESICLES; MEDIATED TRANSCYTOSIS; FREEZING STEP; BOVINE; CELLS; IGG; EXPRESSION</t>
  </si>
  <si>
    <t>Many pharmaceuticals must be administered intravenously due to their poor oral bioavailability. In addition to issues associated with sterility and inconvenience, the cost of repeated infusion over a 6-week course of therapy costs the health care system tens of billions of dollars per year. Attempts to improve oral bioavailability have traditionally focused on enhancing drug solubility and membrane permeability, and the use of synthetic nanoparticles has also been investigated. As an alternative strategy, some recent reports have clearly demonstrated that exosomes from cow milk are absorbed from the gastrointestinal tract in humans and could potentially be used for oral delivery of drugs that are traditionally administered intravenously. Our previous work has shown that antibodies are present in exosome preparations, and the current work with milk exosomes suggests that absorption from the gastrointestinal tract occurs via the neonatal Fc receptor, FcRn. Furthermore, our results demonstrate that milk exosomes are absorbed from the gut as intact particles that can be modified with ligands to promote retention in target tissues. (c) 2019 American Pharmacists Association (R). Published by Elsevier Inc. All rights reserved.</t>
  </si>
  <si>
    <t>[Betker, Jamie L.; Angle, Brittany M.; Anchordoquy, Thomas J.] Univ Colorado, Skaggs Sch Pharm &amp; Pharmaceut Sci, Anschutz Med Campus, Aurora, CO 80045 USA; [Graner, Michael W.] Univ Colorado, Dept Neurosurg, Anschutz Med Campus, Aurora, CO 80045 USA</t>
  </si>
  <si>
    <t>University of Colorado System; University of Colorado Anschutz Medical Campus; University of Colorado System; University of Colorado Anschutz Medical Campus</t>
  </si>
  <si>
    <t>Anchordoquy, TJ (corresponding author), Univ Colorado, Skaggs Sch Pharm &amp; Pharmaceut Sci, Anschutz Med Campus, Aurora, CO 80045 USA.</t>
  </si>
  <si>
    <t>tom.anchordoquy@ucdenver.edu</t>
  </si>
  <si>
    <t>0022-3549</t>
  </si>
  <si>
    <t>1520-6017</t>
  </si>
  <si>
    <t>10.1016/j.xphs.2018.11.022</t>
  </si>
  <si>
    <t>Chemistry, Medicinal; Chemistry, Multidisciplinary; Pharmacology &amp; Pharmacy</t>
  </si>
  <si>
    <t>Pharmacology &amp; Pharmacy; Chemistry</t>
  </si>
  <si>
    <t>WOS:000477746300015</t>
  </si>
  <si>
    <t>Dong, HY; Xie, QH; Pang, DW; Chen, G; Zhang, ZL</t>
  </si>
  <si>
    <t>Dong, Hao-Yu; Xie, Qi-Hui; Pang, Dai-Wen; Chen, Gang; Zhang, Zhi-Ling</t>
  </si>
  <si>
    <t>Precise selection of aptamers targeting PD-L1 positive small extracellular vesicles on magnetic chips</t>
  </si>
  <si>
    <t>A donor-cell-assisted membrane biotinylation strategy was used to modify small extracellular vesicles (sEVs) while minimizing protein damage, and allowed the sEVs to be loaded onto carriers. Biotinylated programmed death-ligand 1 (PD-L1) positive sEVs were used to select for aptamers from a DNA library. PD-L1 negative sEVs from a homologous cell line were found to remove non-specific aptamer sequences to increase the specificity. After just four rounds, high-affinity aptamers for PD-L1 positive sEVs were selected as novel affinity reagents.</t>
  </si>
  <si>
    <t>[Dong, Hao-Yu; Pang, Dai-Wen; Zhang, Zhi-Ling] Wuhan Univ, Coll Chem &amp; Mol Sci, Wuhan 430072, Peoples R China; [Xie, Qi-Hui; Chen, Gang] Wuhan Univ, Sch &amp; Hosp Stomatol, State Key Lab Breeding Base Basic Sci Stomatol Hu, 237 Luoyu Rd, Wuhan 430079, Peoples R China; [Xie, Qi-Hui; Chen, Gang] Wuhan Univ, Sch &amp; Hosp Stomatol, Minist Educ, Key Lab Oral Biomed, 237 Luoyu Rd, Wuhan 430079, Peoples R China; [Xie, Qi-Hui; Chen, Gang] Wuhan Univ, Sch &amp; Hosp Stomatol, Dept Oral &amp; Maxillofacial Surg, 237 Luoyu Rd, Wuhan 430079, Peoples R China; [Xie, Qi-Hui; Chen, Gang] Wuhan Univ, Frontier Sci Ctr Immunol &amp; Metab, Wuhan, Peoples R China</t>
  </si>
  <si>
    <t>Wuhan University; Wuhan University; Wuhan University; Wuhan University; Wuhan University</t>
  </si>
  <si>
    <t>Zhang, ZL (corresponding author), Wuhan Univ, Coll Chem &amp; Mol Sci, Wuhan 430072, Peoples R China.;Chen, G (corresponding author), Wuhan Univ, Sch &amp; Hosp Stomatol, State Key Lab Breeding Base Basic Sci Stomatol Hu, 237 Luoyu Rd, Wuhan 430079, Peoples R China.;Chen, G (corresponding author), Wuhan Univ, Sch &amp; Hosp Stomatol, Minist Educ, Key Lab Oral Biomed, 237 Luoyu Rd, Wuhan 430079, Peoples R China.;Chen, G (corresponding author), Wuhan Univ, Sch &amp; Hosp Stomatol, Dept Oral &amp; Maxillofacial Surg, 237 Luoyu Rd, Wuhan 430079, Peoples R China.;Chen, G (corresponding author), Wuhan Univ, Frontier Sci Ctr Immunol &amp; Metab, Wuhan, Peoples R China.</t>
  </si>
  <si>
    <t>geraldcham@whu.edu.cn; zlzhang@whu.edu.cn</t>
  </si>
  <si>
    <t>Zhang, Zhi-Ling/B-3135-2010</t>
  </si>
  <si>
    <t>Zhang, Zhi-Ling/0000-0001-7807-2264; Pang, Dai-Wen/0000-0001-5977-9926</t>
  </si>
  <si>
    <t>APR 14</t>
  </si>
  <si>
    <t>10.1039/d1cc00168j</t>
  </si>
  <si>
    <t>WOS:000637899600003</t>
  </si>
  <si>
    <t>Das, P; Mukherjee, A; Adak, S</t>
  </si>
  <si>
    <t>Das, Priya; Mukherjee, Aditi; Adak, Subrata</t>
  </si>
  <si>
    <t>Glyceraldehyde-3-phosphate dehydrogenase present in extracellular vesicles from Leishmania major suppresses host</t>
  </si>
  <si>
    <t>URACIL DNA-GLYCOSYLASE; TRYPANOSOMA-BRUCEI; PHOSPHATE DEHYDROGENASE; NUCLEAR TRANSLOCATION; PROTEIN; BINDING; RNA; GAPDH; IDENTIFICATION; VIRULENCE</t>
  </si>
  <si>
    <t>Glyceraldehyde-3-phosphate dehydrogenase (GAPDH) ful-fills various physiological roles that are unrelated to its glyco-lytic function. However, to date, the nonglycolytic function of GAPDH in trypanosomal parasites is absent from the litera-ture. Exosomes secreted from Leishmania, like entire parasites, were found to have a significant impact on macrophage cell signaling and function, indicating cross talk with the host im-mune system. In this study, we demonstrate that the Leish-mania GAPDH (LmGAPDH) protein is highly enriched within the extracellular vesicles (EVs) secreted during infection. To understand the function of LmGAPDH in EVs, we generated control, overexpressed, half-knockout (HKO), and complement cell lines. HKO cells displayed lower virulence compared with control cells when macrophages and BALB/c mice were infected with them, implying a crucial role for LmGAPDH in Leishmania infection and disease progression. Furthermore, upon infection of macrophages with HKO mutant Leishmania and its EVs, despite no differences in TNFA mRNA expression, there was a considerable increase in TNF-alpha protein expression compared with control, overexpressed, and complement para-sites as determined by ELISA, RT-PCR, and immunoblot data. In vitro protein translation studies suggest that LmGAPDH-mediated TNF-alpha suppression occurs in a concentration-dependent manner. Moreover, mRNA binding assays also verified that LmGAPDH binds to the AU-rich 3 '-UTR region of TNFA mRNA, limiting its production. Together, these findings confirmed that the LmGAPDH contained in EVs inhibits TNF-alpha expression in macrophages during infection via post-transcriptional repression.</t>
  </si>
  <si>
    <t>[Das, Priya; Mukherjee, Aditi; Adak, Subrata] Indian Inst Chem Biol, CSIR, Div Struct Biol &amp; Bioinformat, Kolkata, India</t>
  </si>
  <si>
    <t>Council of Scientific &amp; Industrial Research (CSIR) - India; CSIR - Indian Institute of Chemical Biology (IICB)</t>
  </si>
  <si>
    <t>Adak, S (corresponding author), Indian Inst Chem Biol, CSIR, Div Struct Biol &amp; Bioinformat, Kolkata, India.</t>
  </si>
  <si>
    <t>adaks@iicb.res.in</t>
  </si>
  <si>
    <t>Adak, Subrata/0000-0001-7376-4755</t>
  </si>
  <si>
    <t>10.1016/j.jbc.2021.101198</t>
  </si>
  <si>
    <t>WOS:000713003600006</t>
  </si>
  <si>
    <t>Hardy, MP; Audemard, E; Migneault, F; Feghaly, A; Brochu, S; Gendron, P; Boilard, E; Major, F; Dieude, M; Hebert, MJ; Perreault, C</t>
  </si>
  <si>
    <t>Hardy, Marie-Pierre; Audemard, Eric; Migneault, Francis; Feghaly, Albert; Brochu, Sylvie; Gendron, Patrick; Boilard, Eric; Major, Francois; Dieude, Melanie; Hebert, Marie-Josee; Perreault, Claude</t>
  </si>
  <si>
    <t>Apoptotic endothelial cells release small extracellular vesicles loaded with immunostimulatory viral-like RNAs</t>
  </si>
  <si>
    <t>ENDOGENOUS RETROELEMENTS; SYSTEMS IMMUNOLOGY; IMMUNE-SYSTEM; CANCER CELLS; RECOGNITION; ACTIVATION; SEQUENCE; EXOSOMES; DNA; TOLL-LIKE-RECEPTOR-7</t>
  </si>
  <si>
    <t>Endothelial cells have multifaceted interactions with the immune system, both as initiators and targets of immune responses. In vivo, apoptotic endothelial cells release two types of extracellular vesicles upon caspase-3 activation: apoptotic bodies and exosome-like nanovesicles (ApoExos). Only ApoExos are immunogenic: their injection causes inflammation and autoimmunity in mice. Based on deep sequencing of total RNA, we report that apoptotic bodies and ApoExos are loaded with divergent RNA cargos that are not released by healthy endothelial cells. Apoptotic bodies, like endothelial cells, contain mainly ribosomal RNA whereas ApoExos essentially contain non-ribosomal non-coding RNAs. Endogenous retroelements, bearing viral-like features, represented half of total ApoExos RNA content. ApoExos also contained several copies of unedited Mu repeats and large amounts of non-coding RNAs with a demonstrated role in autoimmunity such as Ul RNA and Y RNA. Moreover, ApoExos RNAs had a unique nucleotide composition and secondary structure characterized by strong enrichment in U-rich motifs and unstably folded RNAs. Globally, ApoExos were therefore loaded with RNAs that can stimulate a variety of RIG-I-like receptors and endosomal TLRs. Hence, apoptotic endothelial cells selectively sort in ApoExos a diversified repertoire of immunostimulatory self RNAs that are tailor-made for initiation of innate immune responses and autoimmunity.</t>
  </si>
  <si>
    <t>[Hardy, Marie-Pierre; Audemard, Eric; Feghaly, Albert; Brochu, Sylvie; Gendron, Patrick; Major, Francois; Perreault, Claude] Univ Montreal, Inst Res Immunol &amp; Canc, Montreal, PQ H3C 3J7, Canada; [Hardy, Marie-Pierre; Migneault, Francis; Brochu, Sylvie; Boilard, Eric; Dieude, Melanie; Hebert, Marie-Josee; Perreault, Claude] Canadian Natl Transplant Res Program, Edmonton, AB T6G 2E1, Canada; [Migneault, Francis; Dieude, Melanie; Hebert, Marie-Josee] Ctr Hosp Univ Montreal CRCHUM, Res Ctr, Montreal, PQ H2X 0A9, Canada; [Boilard, Eric] Univ Laval, Fac Med, Ctr Hosp Univ Quebec, Ctr Rech, Quebec City, PQ, Canada; [Major, Francois] Univ Montreal, Dept Comp Sci &amp; Operat Res, Montreal, PQ H3C 3J7, Canada; [Major, Francois] Univ Montreal, Fac Med, Dept Biochem, Montreal, PQ H3C 3J7, Canada; [Hebert, Marie-Josee; Perreault, Claude] Univ Montreal, Dept Med, Montreal, PQ H3C 3J7, Canada</t>
  </si>
  <si>
    <t>Universite de Montreal; Universite de Montreal; Laval University; Universite de Montreal; Universite de Montreal; Universite de Montreal</t>
  </si>
  <si>
    <t>Perreault, C (corresponding author), Univ Montreal, Inst Res Immunol &amp; Canc, Montreal, PQ H3C 3J7, Canada.;Perreault, C (corresponding author), Canadian Natl Transplant Res Program, Edmonton, AB T6G 2E1, Canada.;Perreault, C (corresponding author), Univ Montreal, Dept Med, Montreal, PQ H3C 3J7, Canada.</t>
  </si>
  <si>
    <t>claude.perreault@umontreal.ca</t>
  </si>
  <si>
    <t>Perreault, Claude/A-7220-2008; Migneault, Francis/B-5442-2019</t>
  </si>
  <si>
    <t>Perreault, Claude/0000-0001-9453-7383; Migneault, Francis/0000-0001-7331-4498; Dieude, Melanie/0000-0002-9300-4232; Feghaly, Albert/0000-0001-7929-415X; Gendron, Patrick/0000-0001-9829-2600; Audemard, Eric/0000-0002-1661-896X; Brochu, Sylvie/0000-0002-4665-0936</t>
  </si>
  <si>
    <t>10.1038/s41598-019-43591-y</t>
  </si>
  <si>
    <t>WOS:000467543700018</t>
  </si>
  <si>
    <t>De Luca, L; Trino, S; Laurenzana, I; Simeon, V; Calice, G; Raimondo, S; Podesta, M; Santodirocco, M; Di Mauro, L; La Rocca, F; Caivano, A; Morano, A; Frassoni, F; Cilloni, D; Del Vecchio, L; Musto, P</t>
  </si>
  <si>
    <t>De Luca, Luciana; Trino, Stefania; Laurenzana, Ilaria; Simeon, Vittorio; Calice, Giovanni; Raimondo, Stefania; Podesta, Marina; Santodirocco, Michele; Di Mauro, Lazzaro; La Rocca, Francesco; Caivano, Antonella; Morano, Annalisa; Frassoni, Francesco; Cilloni, Daniela; Del Vecchio, Luigi; Musto, Pellegrino</t>
  </si>
  <si>
    <t>MiRNAs and piRNAs from bone marrow mesenchymal stem cell extracellular vesicles induce cell survival and inhibit cell differentiation of cord blood hematopoietic stem cells: a new insight in transplantation</t>
  </si>
  <si>
    <t>mesenchymal stem cells; extracellular vesicles; umbilical cord blood stem cells; microRNAs; piRNAs</t>
  </si>
  <si>
    <t>STROMAL CELLS; HORIZONTAL TRANSFER; GENE-EXPRESSION; DOWN-REGULATION; GENOMIC DNA; C/EBP-ALPHA; MICROVESICLES; APOPTOSIS; RNA; MECHANISMS</t>
  </si>
  <si>
    <t>Hematopoietic stem cells (HSC), including umbilical cord blood CD34+ stem cells (UCB-CD34+), are used for the treatment of several diseases. Although different studies suggest that bone marrow mesenchymal stem cells (BM-MSC) support hematopoiesis, the exact mechanism remains unclear. Recently, extracellular vesicles (EVs) have been described as a novel avenue of cell communication, which may mediate BM-MSC effect on HSC. In this work, we studied the interaction between UCB-CD34+ cells and BM-MSC derived EVs. First, by sequencing EV derived miRNAs and piRNAs we found that EVs contain RNAs able to influence UCB-CD34+ cell fate. Accordingly, a gene expression profile of UCB-CD34+ cells treated with EVs, identified about 100 down-regulated genes among those targeted by EV-derived miRNAs and piRNAs (e.g. miR-27b/MPL, miR-21/ANXA1, miR-181/EGR2), indicating that EV content was able to modify gene expression profile of receiving cells. Moreover, we demonstrated that UCB-CD34+ cells, exposed to EVs, significantly changed different biological functions, becoming more viable and less differentiated. UCB-CD34+ gene expression profile also identified 103 up-regulated genes, most of them codifying for chemokines, cytokines and their receptors, involved in chemotaxis of different BM cells, an essential function of hematopoietic reconstitution. Finally, the exposure of UCB-CD34+ cells to EVs caused an increased expression CXCR4, paralleled by an in vivo augmented migration from peripheral blood to BM niche in NSG mice. This study demonstrates the existence of a powerful cross talk between BM-MSC and UCB-CD34+ cells, mediated by EVs, providing new insight in the biology of cord blood transplantation.</t>
  </si>
  <si>
    <t>[De Luca, Luciana; Trino, Stefania; Laurenzana, Ilaria; Simeon, Vittorio; Calice, Giovanni; La Rocca, Francesco; Caivano, Antonella; Morano, Annalisa] CROB, IRCCS, Lab Preclin &amp; Translat Res, I-85028 Rionero In Vulture, Italy; [Raimondo, Stefania; Cilloni, Daniela] Univ Turin, Dept Clin &amp; Biol Sci, I-10126 Turin, Italy; [Podesta, Marina] San Martino Hosp, Stem Cell Ctr, I-16132 Genoa, Italy; [Santodirocco, Michele; Di Mauro, Lazzaro] IRCCS Casa Sollievo Sofferenza, Puglia Cord Blood Bank, Transfus Med Unit, I-71013 San Giovanni Rotondo, Italy; [Frassoni, Francesco] Ist Giannina Gaslini, Lab Cellule Staminali Post Natali &amp; Terapie Cellu, I-16148 Genoa, Italy; [Del Vecchio, Luigi] CEINGE Biotecnol Avanzate SCa RL, I-80145 Naples, Italy; [Del Vecchio, Luigi] Univ Naples Federico II, Dept Mol Med &amp; Med Biotechnol, I-80131 Naples, Italy; [Musto, Pellegrino] CROB, IRCCS, Sci Direct, I-85028 Rionero In Vulture, Italy</t>
  </si>
  <si>
    <t>IRCCS CROB; University of Turin; University of Genoa; IRCCS AOU San Martino IST; IRCCS Casa Sollievo Della Sofferenza; University of Genoa; IRCCS Istituto Giannina Gaslini; CEINGE Biotecnologie Avanzate; University of Naples Federico II; IRCCS CROB</t>
  </si>
  <si>
    <t>De Luca, L (corresponding author), CROB, IRCCS, Lab Preclin &amp; Translat Res, I-85028 Rionero In Vulture, Italy.</t>
  </si>
  <si>
    <t>dr.luciana.deluca@gmail.com</t>
  </si>
  <si>
    <t>Simeon, Vittorio/K-6373-2016; Calice, Giovanni/P-6781-2019; La Rocca, Francesco/K-7784-2016; Laurenzana, Ilaria/G-7104-2019; Podestà, Marina/K-3875-2016; Trino, Stefania/K-6574-2016; Raimondo, Stefania/R-5856-2016; De Luca, Luciana/K-6478-2016; Frassoni, Francesco/K-3971-2018; CAIVANO, ANTONELLA/J-8120-2018; Calice, Giovanni/G-1691-2019</t>
  </si>
  <si>
    <t>Simeon, Vittorio/0000-0003-2387-4125; Calice, Giovanni/0000-0002-2545-1401; La Rocca, Francesco/0000-0002-8868-195X; Laurenzana, Ilaria/0000-0001-8289-8325; Podestà, Marina/0000-0002-6755-613X; Trino, Stefania/0000-0002-0289-5288; Raimondo, Stefania/0000-0002-8907-473X; De Luca, Luciana/0000-0002-2332-3086; Frassoni, Francesco/0000-0003-1262-0648; Calice, Giovanni/0000-0002-2545-1401; CAIVANO, ANTONELLA/0000-0003-2502-4060; Musto, Pellegrino/0000-0003-3277-6594</t>
  </si>
  <si>
    <t>FEB 9</t>
  </si>
  <si>
    <t>10.18632/oncotarget.6791</t>
  </si>
  <si>
    <t>WOS:000376123100024</t>
  </si>
  <si>
    <t>Taylor, DD; Gercel-Taylor, C</t>
  </si>
  <si>
    <t>Tumour-derived exosomes and their role in cancer-associated T-cell signalling defects</t>
  </si>
  <si>
    <t>BRITISH JOURNAL OF CANCER</t>
  </si>
  <si>
    <t>exosomes; activation signaling; membrane vesicles; T lymphocytes; ovarian cancer</t>
  </si>
  <si>
    <t>IA-ANTIGEN EXPRESSION; MEMBRANE-VESICLES; FAS LIGAND; ALKALINE-PHOSPHATASE; ACCUMULATION; APOPTOSIS; RELEASE; IMMUNOGLOBULINS; ENDOMETRIAL; INHIBITION</t>
  </si>
  <si>
    <t>Dendritic and lymphoid ' exosomes' regulate immune activation. Tumours release membranous material mimicking these ' exosomes,' resulting in deletion of reactive lymphocytes. Tumour- derived ' exosomes' have recently been explored as vaccines, without analysis of their immunologic consequences. This investigation examines the composition of tumour- derived ' exosomes' and their effects on T lymphocytes. Membranous materials were isolated from ascites of ovarian cancer patients ( n = 6) and Western immunoblotting was performed for markers associated with ' exosomes.' Using cultured T cells, ' exosomes' were evaluated for suppression of CD3-zeta and JAK 3 expressions and induction of apoptosis, measured by DNA fragmentation. ' Exosome' components mediating suppression of CD3-zeta were isolated by continuous eluting electrophoresis and examined by Western immunoblotting. ' Exosomes' were shown to be identical with previously characterised shed membrane vesicles by protein staining and TSG101 expression. ' Exosomes' expressed class I MHC, placental alkaline phosphatase, B23/ nucleophosmin, and FasL. ' Exosomes' suppressed expression of T- cell activation signalling components, CD3-zeta and JAK 3 and induced apoptosis. CD3-zeta suppression was mediated by two components: 26 and 42 kDa. Only the 42 kDa component reacted with anti- FasL antibody. These results indicate that, while ' exosomes' express tumour antigens, leading to their proposed utility as tumour vaccines, they also can suppress T- cell signalling molecules and induce apoptosis.</t>
  </si>
  <si>
    <t>Univ Louisville, Sch Med, Div Gynecol Oncol, Dept Obstet Gynecol &amp; Womens Hlth, Louisville, KY 40202 USA; Univ Louisville, Sch Med, Dept Radiat Oncol, Louisville, KY 40202 USA</t>
  </si>
  <si>
    <t>University of Louisville; University of Louisville</t>
  </si>
  <si>
    <t>Taylor, DD (corresponding author), Univ Louisville, Sch Med, Div Gynecol Oncol, Dept Obstet Gynecol &amp; Womens Hlth, 511 S Floyd St,MDR 420, Louisville, KY 40202 USA.</t>
  </si>
  <si>
    <t>ddtaylor@louisville.edu</t>
  </si>
  <si>
    <t>0007-0920</t>
  </si>
  <si>
    <t>1532-1827</t>
  </si>
  <si>
    <t>JAN 31</t>
  </si>
  <si>
    <t>10.1038/sj.bjc.6602316</t>
  </si>
  <si>
    <t>WOS:000226543800019</t>
  </si>
  <si>
    <t>Fichtel, P; von Bonin, M; Kuhnert, R; Moebus, K; Bornhaeuser, M; Wobus, M</t>
  </si>
  <si>
    <t>Fichtel, Pascal; von Bonin, Malte; Kuhnert, Robert; Moebus, Kristin; Bornhaeuser, Martin; Wobus, Manja</t>
  </si>
  <si>
    <t>Mesenchymal Stromal Cell-Derived Extracellular Vesicles Modulate Hematopoietic Stem and Progenitor Cell Viability and the Expression of Cell Cycle Regulators in an Age-dependent Manner</t>
  </si>
  <si>
    <t>mesenchymal stromal cells; hematopoiesis; bone marrow; extracellular vesicles; aging; hematopoietic stem cells</t>
  </si>
  <si>
    <t>BONE-MARROW; DONOR CHARACTERISTICS; TRANSPLANTATION; INCREASES; CAPACITY; SURVIVAL</t>
  </si>
  <si>
    <t>Aging of the hematopoietic system is characterized by an expansion of hematopoietic stem and progenitor cells (HSPCs) with reduced capacity for engraftment, self-renewal, and lymphoid differentiation, resulting in myeloid-biased hematopoiesis. This process is mediated by both HSPC intrinsic and extrinsic factors, e.g., the stromal environment. A relevant cellular component of the bone marrow (BM) microenvironment are mesenchymal stromal cells (MSCs) which regulate fate and differentiation of HSPCs. The bi-directional communication with HSPCs is mediated either by direct cell-cell contacts or by extracellular vesicles (EVs) which carry bioactive substances such as small RNA, DNA, lipids and proteins. So far, the impact of MSC-derived EVs on human hematopoietic aging is poorly investigated. BM MSCs were isolated from young (n = 3, median age: 22 years) and aged (n = 3, median age: 70 years) donors and the EVs were isolated after culturing the confluent cell layer in serum-free medium for 48 h. CD34(+) HSPCs were purified from peripheral blood of healthy donors (n = 3, median age: 65 years) by magnetic sorting. Nanoparticle tracking analysis (NTA), transmission electron microscopy (TEM) and western blot detection of EV markers CD63, CD81 and Flotillin-1 revealed no significant differences between young and aged MSC-EVs. Interestingly, young MSCs secreted a significantly higher miRNA concentration than aged cells. However, the amount of distinct miRNAs such as miR-29a and miR-34a was significantly higher in aged MSC-EVs. HSPCs incubated with young EVs showed a significant increase in cell number and a higher viability. The expression of the tumor suppressors PTEN, a known target of mir-29a, and CDKN2A was increased in HSPCs incubated with young EVs. The clonogenic assay demonstrated a decreased colony number of CFU-GM after treatment with young EVs and an increased number of BFU-E/CFU-E after incubation with aged MSC-EVs. Xenogenic transplantation experiments showed no significant differences concerning the engraftment of lymphoid or myeloid cell compartments, but the overall human chimerism 8-16 weeks after transplantation was higher after EV treatment. In conclusion, our data suggest that HSPC characteristics such as cell cycle activity and clonogenicity can be modulated by MSC-derived EVs. Further studies have to elucidate the potential therapeutic relevance of our findings.</t>
  </si>
  <si>
    <t>[Fichtel, Pascal; von Bonin, Malte; Kuhnert, Robert; Moebus, Kristin; Bornhaeuser, Martin; Wobus, Manja] Tech Univ Dresden, Univ Hosp Carl Gustav Carus, Dept Med 1, Dresden, Germany; [Bornhaeuser, Martin; Wobus, Manja] Tech Univ Dresden, Ctr Regenerat Therapies, Dresden, Germany</t>
  </si>
  <si>
    <t>Technische Universitat Dresden; Carl Gustav Carus University Hospital; Technische Universitat Dresden</t>
  </si>
  <si>
    <t>Wobus, M (corresponding author), Tech Univ Dresden, Univ Hosp Carl Gustav Carus, Dept Med 1, Dresden, Germany.;Wobus, M (corresponding author), Tech Univ Dresden, Ctr Regenerat Therapies, Dresden, Germany.</t>
  </si>
  <si>
    <t>manja.wobus@ukdd.de</t>
  </si>
  <si>
    <t>10.3389/fbioe.2022.892661</t>
  </si>
  <si>
    <t>WOS:000811647200001</t>
  </si>
  <si>
    <t>Liao, SM; Klein, MI; Heim, KP; Fan, YW; Bitoun, JP; Ahn, SJ; Burne, RA; Koo, H; Brady, LJ; Wen, ZZT</t>
  </si>
  <si>
    <t>Liao, Sumei; Klein, Marlise I.; Heim, Kyle P.; Fan, Yuwei; Bitoun, Jacob P.; Ahn, San-Joon; Burne, Robert A.; Koo, Hyun; Brady, L. Jeannine; Wen, Zezhang T.</t>
  </si>
  <si>
    <t>Streptococcus mutans Extracellular DNA Is Upregulated during Growth in Biofilms, Actively Released via Membrane Vesicles, and Influenced by Components of the Protein Secretion Machinery</t>
  </si>
  <si>
    <t>RECOGNITION PARTICLE PATHWAY; GLUCAN-BINDING PROTEINS; MAJOR SURFACE PROTEIN; STRESS TOLERANCE; CELL-WALL; STAPHYLOCOCCUS-AUREUS; ORAL STREPTOCOCCI; VIRULENCE TRAITS; SORTASE; EXPRESSION</t>
  </si>
  <si>
    <t>Streptococcus mutans, a major etiological agent of human dental caries, lives primarily on the tooth surface in biofilms. Limited information is available concerning the extracellular DNA (eDNA) as a scaffolding matrix in S. mutans biofilms. This study demonstrates that S. mutans produces eDNA by multiple avenues, including lysis-independent membrane vesicles. Unlike eDNAs from cell lysis that were abundant and mainly concentrated around broken cells or cell debris with floating open ends, eDNAs produced via the lysis-independent pathway appeared scattered but in a structured network under scanning electron microscopy. Compared to eDNA production of planktonic cultures, eDNA production in 5- and 24-h biofilms was increased by &gt; 3- and &gt;1.6-fold, respectively. The addition of DNase I to growth medium significantly reduced biofilm formation. In an in vitro adherence assay, added chromosomal DNA alone had a limited effect on S. mutans adherence to saliva-coated hydroxylapatite beads, but in conjunction with glucans synthesized using purified glucosyltransferase B, the adherence was significantly enhanced. Deletion of sortase A, the transpeptidase that covalently couples multiple surface-associated proteins to the cell wall peptidoglycan, significantly reduced eDNA in both planktonic and biofilm cultures. Sortase A deficiency did not have a significant effect on membrane vesicle production; however, the protein profile of the mutant membrane vesicles was significantly altered, including reduction of adhesin P1 and glucan-binding proteins B and C. Relative to the wild type, deficiency of protein secretion and membrane protein insertion machinery components, including Ffh, YidC1, and YidC2, also caused significant reductions in eDNA.</t>
  </si>
  <si>
    <t>[Liao, Sumei; Bitoun, Jacob P.; Wen, Zezhang T.] Louisiana State Univ, Hlth Sci Ctr, Sch Dent, Ctr Excellence Oral &amp; Craniofacial Biol, New Orleans, LA 70112 USA; [Klein, Marlise I.] Univ Rochester, Sch Med &amp; Dent, Ctr Oral Biol, Rochester, NY USA; [Heim, Kyle P.; Ahn, San-Joon; Burne, Robert A.; Brady, L. Jeannine] Univ Florida, Dept Oral Biol, Sch Dent, Gainesville, FL 32610 USA; [Fan, Yuwei; Wen, Zezhang T.] Louisiana State Univ, Hlth Sci Ctr, Sch Dent, Dept Comprehens Dent &amp; Biomat, New Orleans, LA USA; [Koo, Hyun] Univ Penn, Sch Dent Med, Dept Orthodont, Philadelphia, PA 19104 USA; [Wen, Zezhang T.] Louisiana State Univ, Hlth Sci Ctr, Sch Med, Dept Microbiol Immunol &amp; Parasitol, New Orleans, LA USA</t>
  </si>
  <si>
    <t>Louisiana State University System; Louisiana State University Health Sciences Center New Orleans; University of Rochester; State University System of Florida; University of Florida; Louisiana State University System; Louisiana State University Health Sciences Center New Orleans; University of Pennsylvania; Louisiana State University System; Louisiana State University Health Sciences Center New Orleans</t>
  </si>
  <si>
    <t>Wen, ZZT (corresponding author), Louisiana State Univ, Hlth Sci Ctr, Sch Dent, Ctr Excellence Oral &amp; Craniofacial Biol, New Orleans, LA 70112 USA.</t>
  </si>
  <si>
    <t>Liao, Sumei/E-6589-2015; Klein, Marlise I/A-2550-2014; Fan, Yuwei/A-2951-2009; Brady, L. Jeannine/P-5059-2019</t>
  </si>
  <si>
    <t>Klein, Marlise I/0000-0002-7916-1557; Fan, Yuwei/0000-0001-8477-8458; Burne, Robert/0000-0002-4234-0316</t>
  </si>
  <si>
    <t>10.1128/JB.01493-14</t>
  </si>
  <si>
    <t>WOS:000337239900004</t>
  </si>
  <si>
    <t>Bracht, JWP; Gimenez-Capitan, A; Huang, CY; Potie, N; Pedraz-Valdunciel, C; Warren, S; Rosell, R; Molina-Vila, MA</t>
  </si>
  <si>
    <t>Bracht, Jillian W. P.; Gimenez-Capitan, Ana; Huang, Chung-Ying; Potie, Nicolas; Pedraz-Valdunciel, Carlos; Warren, Sarah; Rosell, Rafael; Molina-Vila, Miguel A.</t>
  </si>
  <si>
    <t>Analysis of extracellular vesicle mRNA derived from plasma using the nCounter platform</t>
  </si>
  <si>
    <t>Extracellular vesicles (EVs) are double-layered phospholipid membrane vesicles that are released by most cells and can mediate intercellular communication through their RNA cargo. In this study, we tested if the NanoString nCounter platform can be used for the analysis of EV-mRNA. We developed and optimized a methodology for EV enrichment, EV-RNA extraction and nCounter analysis. Then, we demonstrated the validity of our workflow by analyzing EV-RNA profiles from the plasma of 19 cancer patients and 10 controls and developing a gene signature to differentiate cancer versus control samples. TRI reagent outperformed automated RNA extraction and, although lower plasma input is feasible, 500 mu L provided highest total counts and number of transcripts detected. A 10-cycle pre-amplification followed by DNase treatment yielded reproducible mRNA target detection. However, appropriate probe design to prevent genomic DNA binding is preferred. A gene signature, created using a bioinformatic algorithm, was able to distinguish between control and cancer EV-mRNA profiles with an area under the ROC curve of 0.99. Hence, the nCounter platform can be used to detect mRNA targets and develop gene signatures from plasma-derived EVs.</t>
  </si>
  <si>
    <t>[Bracht, Jillian W. P.; Gimenez-Capitan, Ana; Molina-Vila, Miguel A.] Quiron Dexeus Univ Hosp, Lab Oncol, Pangaea Oncol, Sabino Arana 5-19, Barcelona 08028, Spain; [Bracht, Jillian W. P.; Pedraz-Valdunciel, Carlos] Univ Autonoma Barcelona UAB, Dept Biochem Mol Biol &amp; Biomed, Cerdanyola Del Valles 08193, Spain; [Huang, Chung-Ying; Warren, Sarah] NanoString Technol, Seattle, WA USA; [Potie, Nicolas] Univ Granada, Dept Genet, Fac Sci, Granada 18071, Spain; [Potie, Nicolas] PTS, Biotechnol Inst, Ctr Invest Biomed, Bioinformat Lab, Avda Conocimiento S-N, Granada 18100, Spain; [Pedraz-Valdunciel, Carlos; Rosell, Rafael] Germans Trias &amp; Pujol Hlth Sci Inst &amp; Hosp IGTP, Barcelona, Spain</t>
  </si>
  <si>
    <t>Autonomous University of Barcelona; University of Granada</t>
  </si>
  <si>
    <t>Bracht, JWP; Molina-Vila, MA (corresponding author), Quiron Dexeus Univ Hosp, Lab Oncol, Pangaea Oncol, Sabino Arana 5-19, Barcelona 08028, Spain.;Bracht, JWP (corresponding author), Univ Autonoma Barcelona UAB, Dept Biochem Mol Biol &amp; Biomed, Cerdanyola Del Valles 08193, Spain.</t>
  </si>
  <si>
    <t>jill94bracht@gmail.com; mamolina@panoncology.com</t>
  </si>
  <si>
    <t>Giménez-Capitán, Ana/AAX-1433-2021; Bracht, Jill/AAA-6419-2022</t>
  </si>
  <si>
    <t>Bracht, Jill/0000-0001-9552-3960</t>
  </si>
  <si>
    <t>FEB 12</t>
  </si>
  <si>
    <t>10.1038/s41598-021-83132-0</t>
  </si>
  <si>
    <t>WOS:000620250900004</t>
  </si>
  <si>
    <t>Sheller-Miller, S; Urrabaz-Garza, R; Saade, G; Menon, R</t>
  </si>
  <si>
    <t>Sheller-Miller, Samantha; Urrabaz-Garza, Rheanna; Saade, George; Menon, Rarnkurnar</t>
  </si>
  <si>
    <t>Damage-Associated molecular pattern markers HMGB1 and cell-Free fetal telomere fragments in oxidative-Stressed amnion epithelial cell-Derived exosomes</t>
  </si>
  <si>
    <t>JOURNAL OF REPRODUCTIVE IMMUNOLOGY</t>
  </si>
  <si>
    <t>Fetal signals; Parturition; Microvesicles; DAMPs; Inflammation; Amniochorion</t>
  </si>
  <si>
    <t>PRETERM BIRTH; STERILE INFLAMMATION; HUMAN PARTURITION; IMMUNE CELLS; TERM LABOR; SENESCENCE; PREGNANCY; MEMBRANES; EXPRESSION; CYTOKINES</t>
  </si>
  <si>
    <t>Term labor in humans is associated with increased oxidative stress (OS) induced senescence and damages to amnion epithelial cells (AECs). Senescent fetal cells release alarmin high-mobility group box 1 (HMGB1) and cell-free fetal telomere fragments (cffTF) which can be carried by exosomes to other uterine tissues to produce parturition-associated inflammatory changes. This study characterized AEC-derived exosomes under normal and OS conditions and their packaging of HMGB1 and cffTF. Primary AECs were treated with either standard media or oxidative stress-induced media (exposure to cigarette smoke extract for 48 h). Senescence was determined, and exosomes were isolated and characterized. To colocalize HMGB1 and cffTF in amnion exosomes, immunofluorescent staining and in situ hybridization were performed, followed by confocal microscopy. Next generation sequencing (NGS) determined exosomal cffTF and other cell-free amnion cell DNA specificity. Regardless of condition, primary AECs produce exosomes with a classic size, shape, and markers. OS and senescence caused the translocation of HMGB1 and cffTF from AECs' nuclei to cytoplasm compared to untreated cells, which was inhibited by antioxidant N-acetyl cysteine (NAC). Linescans confirmed colocalization of HMGB1 and cffTF in exosomes were higher in the cytoplasm after CSE treatment compared to untreated AECs. NGS determined that besides cffTF, AEC exosomes also carry genomic and mitochondrial DNA, regardless of growth conditions. Sterile inflammatory markers HMGB1 and cffTF from senescent fetal cells are packaged inside exosomes. We postulate that this exosomal cargo can act as a fetal signal at term and can cause labor-associated changes in neighboring tissues.</t>
  </si>
  <si>
    <t>[Sheller-Miller, Samantha] Univ Texas Med Branch, Dept Biochem &amp; Mol Biol, Galveston, TX 77555 USA; [Sheller-Miller, Samantha; Urrabaz-Garza, Rheanna; Saade, George; Menon, Rarnkurnar] Univ Texas Med Branch, Dept Obstet &amp; Gynecol, Div Maternal Fetal Med Perinatal Res, 301 Univ Blvd, Galveston, TX 77555 USA</t>
  </si>
  <si>
    <t>University of Texas System; University of Texas Medical Branch Galveston; University of Texas System; University of Texas Medical Branch Galveston</t>
  </si>
  <si>
    <t>Menon, R (corresponding author), Univ Texas Med Branch, Dept Obstet &amp; Gynecol, Div Maternal Fetal Med Perinatal Res, 301 Univ Blvd, Galveston, TX 77555 USA.</t>
  </si>
  <si>
    <t>sashelle@utmb.edu; rhurraba@utmb.edu; gsaade@utmb.edu; ram.menon@utmb.edu</t>
  </si>
  <si>
    <t>Sheller, Samantha/T-8681-2019; Sheller-Miller, Samantha/K-8582-2019</t>
  </si>
  <si>
    <t>Sheller-Miller, Samantha/0000-0002-3991-1747</t>
  </si>
  <si>
    <t>0165-0378</t>
  </si>
  <si>
    <t>10.1016/j.jri.2017.08.003</t>
  </si>
  <si>
    <t>Immunology; Reproductive Biology</t>
  </si>
  <si>
    <t>WOS:000413379300002</t>
  </si>
  <si>
    <t>Huo, JW; Zhou, W; Liu, Y; Yang, SF; Li, J; Wang, CR</t>
  </si>
  <si>
    <t>Huo, Jiawei; Zhou, Wei; Liu, Yang; Yang, Sifen; Li, Jie; Wang, Chunru</t>
  </si>
  <si>
    <t>Potential Resistance to Antineoplastic Aminated Fullerenes Mediated by M2-Like Monocyte-Derived Exosomes</t>
  </si>
  <si>
    <t>C70-EDA; M2-like monocyte-derived exosome; proteomics; Rho GTPase; PAK signaling; tumor proliferation</t>
  </si>
  <si>
    <t>MACROPHAGES</t>
  </si>
  <si>
    <t>Exosomes are small extracellular vesicles critical for intercellular signaling via their delivery of cargoes, including proteins, DNA, RNA, lipids, and metabolites. Exosomes play essential roles in remodeling the tumor microenvironment (TME) for tumor growth, metastasis, and drug resistance. Aminated fullerenes (e.g., C-70-ethylenediamine [EDA]) exhibit antineoplastic effects by targeting multiple functional proteins. Nanosized C-70-EDA with positive surface charges tends to be taken up by monocytes in the bloodstream and monocyte-derived macrophages in the TME. Herein, the alterations of monocytes and monocyte-derived exosomes by C-70-EDA have been investigated. C-70-EDA reprogramed THP-1 monocyte to an M2-like state and substantially increased the protein content in exosomes secreted by M2-like monocytes. Notably, C-70-EDA-induced M2-like monocytes released exosomes that triggered the proliferation of recipient tumor cells, which may alleviate the antineoplastic efficacy of C-70-EDA. As revealed by proteomic profiling of exosomes, this outcome is probably a result of Rho GTPase/p21-activated kinase (PAK) pathway activation in recipient tumor cells induced by upregulated exosomal proteins. This work indicates a promising strategy in which aminated fullerenes can be combined with PAK inhibitors for cancer therapy.</t>
  </si>
  <si>
    <t>[Huo, Jiawei; Zhou, Wei; Liu, Yang; Yang, Sifen; Li, Jie; Wang, Chunru] Chinese Acad Sci, Beijing Natl Res Ctr Mol Sci, Inst Chem, Key Lab Mol Nanostruct &amp; Nanotechnol, Beijing, Peoples R China; [Huo, Jiawei; Liu, Yang; Wang, Chunru] Univ Chinese Acad Sci, Beijing, Peoples R China</t>
  </si>
  <si>
    <t>Chinese Academy of Sciences; Institute of Chemistry, CAS; Chinese Academy of Sciences; University of Chinese Academy of Sciences, CAS</t>
  </si>
  <si>
    <t>Li, J; Wang, CR (corresponding author), Chinese Acad Sci, Beijing Natl Res Ctr Mol Sci, Inst Chem, Key Lab Mol Nanostruct &amp; Nanotechnol, Beijing, Peoples R China.;Wang, CR (corresponding author), Univ Chinese Acad Sci, Beijing, Peoples R China.</t>
  </si>
  <si>
    <t>lijie24@iccas.ac.cn; crwang@iccas.ac.cn</t>
  </si>
  <si>
    <t>10.3389/fonc.2022.779939</t>
  </si>
  <si>
    <t>WOS:000787914800001</t>
  </si>
  <si>
    <t>Tawil, N; Bassawon, R; Meehan, B; Nehme, A; Montermini, L; Gayden, T; De Jay, N; Spinelli, C; Chennakrishnaiah, S; Choi, D; Adnani, L; Zeinieh, M; Jabado, N; Kleinman, CL; Witcher, M; Riazalhosseini, Y; Key, NS; Schiff, D; Grover, SP; Mackman, N; Couturier, CP; Petrecca, K; Suva, ML; Patel, A; Tirosh, I; Najafabadi, H; Rak, J</t>
  </si>
  <si>
    <t>Tawil, Nadim; Bassawon, Rayhaan; Meehan, Brian; Nehme, Ali; Montermini, Laura; Gayden, Tenzin; De Jay, Nicolas; Spinelli, Cristiana; Chennakrishnaiah, Shilpa; Choi, Dongsic; Adnani, Lata; Zeinieh, Michele; Jabado, Nada; Kleinman, Claudia L.; Witcher, Michael; Riazalhosseini, Yasser; Key, Nigel S.; Schiff, David; Grover, Steven P.; Mackman, Nigel; Couturier, Charles P.; Petrecca, Kevin; Suva, Mario L.; Patel, Anoop; Tirosh, Itay; Najafabadi, Hamed; Rak, Janusz</t>
  </si>
  <si>
    <t>Glioblastoma cell populations with distinct oncogenic programs release podoplanin as procoagulant extracellular vesicles</t>
  </si>
  <si>
    <t>BLOOD ADVANCES</t>
  </si>
  <si>
    <t>Vascular anomalies, including local and peripheral thrombosis, are a hallmark of glioblastoma (GBM) and an aftermath of deregulation of the cancer cell genome and epigenome. Although the molecular effectors of these changes are poorly understood, the upregulation of podoplanin (PDPN) by cancer cells has recently been linked to an increased risk for venous thromboembolism (VTE) in GBM patients. Therefore, regulation of this platelet-activating protein by transforming events in cancer cells is of considerable interest. We used single-cell and bulk transcriptome data mining, as well as cellular and xenograft models in mice, to analyze the nature of cells expressing PDPN, as well as their impact on the activation of the coagulation system and platelets. We report that PDPN is expressed by distinct (mesenchymal) GBM cell subpopulations and downregulated by oncogenic mutations of EGFR and IDH1 genes, along with changes in chromatin modifications (enhancer of zeste homolog 2) and DNA methylation. Glioma cells exteriorize their PDPN and/or tissue factor (TF) as cargo of exosome-like extracellular vesicles (EVs) shed from cells in vitro and in vivo. Injection of glioma-derived podoplanin carrying extracelluar vesicles (PDPN-EVs) activates platelets, whereas tissue factor carrying extracellular vesicles (TF-EVs) activate the clotting cascade. Similarly, an increase in platelet activation (platelet factor 4) or coagulation (D-dimer) markers occurs in mice harboring the corresponding glioma xenografts expressing PDPN or TF, respectively. Coexpression of PDPN and TF by GBM cells cooperatively affects tumor microthrombosis. Thus, in GBM, distinct cellular subsets drive multiple facets of cancer-associated thrombosis and may represent targets for phenotype- and cell type-based diagnosis and antithrombotic intervention.</t>
  </si>
  <si>
    <t>[Tawil, Nadim; Chennakrishnaiah, Shilpa; Witcher, Michael; Rak, Janusz] McGill Univ, Dept Expt Med, Montreal, PQ, Canada; [Tawil, Nadim; Bassawon, Rayhaan; Meehan, Brian; Montermini, Laura; Spinelli, Cristiana; Choi, Dongsic; Adnani, Lata; Zeinieh, Michele; Jabado, Nada; Rak, Janusz] McGill Univ, Res Inst, Hlth Ctr, Montreal, PQ, Canada; [Nehme, Ali; Riazalhosseini, Yasser; Najafabadi, Hamed] McGill Univ, Montreal, PQ, Canada; [Nehme, Ali; Riazalhosseini, Yasser; Najafabadi, Hamed] Genome Quebec Innovat Ctr, Montreal, PQ, Canada; [Gayden, Tenzin; De Jay, Nicolas; Zeinieh, Michele; Jabado, Nada; Kleinman, Claudia L.; Riazalhosseini, Yasser; Najafabadi, Hamed] McGill Univ, Dept Human Genet, Montreal, PQ, Canada; [De Jay, Nicolas; Kleinman, Claudia L.; Witcher, Michael] Lady Davis Inst Med Res, Montreal, PQ, Canada; [Spinelli, Cristiana; Chennakrishnaiah, Shilpa; Rak, Janusz] McGill Univ, Dept Biochem, Montreal, PQ, Canada; [Jabado, Nada] McGill Univ, Dept Pediat, Montreal, PQ, Canada; [Key, Nigel S.; Grover, Steven P.; Mackman, Nigel] Univ N Carolina, Dept Med, Chapel Hill, NC 27515 USA; [Schiff, David] Univ Virginia, Dept Neurol, Charlottesville, VA USA; [Couturier, Charles P.; Petrecca, Kevin] McGill Univ, Montreal Neurol Inst, Montreal, PQ, Canada; [Suva, Mario L.] Massachusetts Gen Hosp, Dept Pathol, Boston, MA 02114 USA; [Suva, Mario L.] Massachusetts Gen Hosp, Ctr Canc Res, Boston, MA 02114 USA; [Suva, Mario L.] Harvard Med Sch, Boston, MA 02115 USA; [Suva, Mario L.; Patel, Anoop] Broad Inst Harvard &amp; MIT, Cambridge, MA USA; [Tirosh, Itay] Weizmann Inst Sci, Dept Mol Cell Biol, Rehovot, Israel</t>
  </si>
  <si>
    <t>McGill University; McGill University; McGill University; McGill University; Lady Davis Institute; McGill University; McGill University; McGill University; University of North Carolina; University of North Carolina Chapel Hill; University of Virginia; McGill University; Harvard University; Massachusetts General Hospital; Harvard University; Massachusetts General Hospital; Harvard University; Harvard Medical School; Harvard University; Massachusetts Institute of Technology (MIT); Broad Institute; Weizmann Institute of Science</t>
  </si>
  <si>
    <t>Rak, J (corresponding author), McGill Univ, Dept Expt Med, Montreal, PQ, Canada.;Rak, J (corresponding author), McGill Univ, Res Inst, Hlth Ctr, Montreal, PQ, Canada.</t>
  </si>
  <si>
    <t>Choi, Dongsic/0000-0002-2516-5616; TAWIL, NADIM/0000-0003-2396-6679</t>
  </si>
  <si>
    <t>2473-9529</t>
  </si>
  <si>
    <t>2473-9537</t>
  </si>
  <si>
    <t>10.1182/bloodadvances.2020002998</t>
  </si>
  <si>
    <t>WOS:000632073700010</t>
  </si>
  <si>
    <t>Yang, TH; He, RY; Li, GZ; Liang, J; Zhao, L; Zhao, X; Li, LY; Wang, P</t>
  </si>
  <si>
    <t>Yang, Tianhui; He, Ruyi; Li, Gongzhe; Liang, Jia; Zhao, Liang; Zhao, Xing; Li, Liyang; Wang, Peng</t>
  </si>
  <si>
    <t>Growth arrest and DNA damage-inducible protein 34 (GADD34) contributes to cerebral ischemic injury and can be detected in plasma exosomes</t>
  </si>
  <si>
    <t>NEUROSCIENCE LETTERS</t>
  </si>
  <si>
    <t>GADD34; Plasma exosomes; Ischemic stroke; Biomarker</t>
  </si>
  <si>
    <t>ALPHA-SYNUCLEIN; MOUSE-BRAIN; TRANSMISSION; INHIBITION; APOPTOSIS; DISEASES</t>
  </si>
  <si>
    <t>Growth arrest and DNA damage-inducible protein 34 (GADD34), one of the key effectors of negative feedback loops, is induced by stress and subsequently attempts to restore homeostasis. It plays a critical role in response to DNA damage and endoplasmic reticulum stress. GADD34 has opposing effects on different stimulus-induced cell apoptosis events in many nervous system diseases, but its role in ischemic stroke is unclear. In this study, we evaluated the role of GADD34 and its distribution in a rat cerebral ischemic model. The results showed that GADD34 was increased in the cortex and contributed to brain injury in ischemic rats. Furthermore, treatment with a GADD34 inhibitor reduced the infarct volume, improved functional outcomes, and inhibited neuronal apoptosis in the cortical penumbra after ischemia. The role of GADD34 in ischemic stroke was associated with the dephosphorylation of eukaryotic translation initiation factor 2 alpha (eIF2 alpha) and phosphorylation of p53. In addition, the GADD34 level was increased in plasma exosomes of cerebral ischemic rats. These findings indicate that GADD34 could be a potential therapeutic target and biomarker for ischemic stroke.</t>
  </si>
  <si>
    <t>[Yang, Tianhui; Wang, Peng] Jinzhou Med Univ, Dept Neurobiol, 40,Sect 3,Songpo Rd, Jinzhou 121001, Liaoning, Peoples R China; [Yang, Tianhui; Wang, Peng] Jinzhou Med Univ, Key Lab Neurodegenerat Dis Liaoning Prov, 40,Sect 3,Songpo Rd, Jinzhou 121001, Liaoning, Peoples R China; [He, Ruyi; Li, Gongzhe; Zhao, Liang] Jinzhou Med Univ, Coll Pharm, Jinzhou, Liaoning, Peoples R China; [Liang, Jia] Jinzhou Med Univ, Inst Life Sci, Jinzhou, Liaoning, Peoples R China; [Zhao, Xing; Li, Liyang] Liaoning Prov Corps Hosp Chinese Peoples Armed Po, Dept Ophthalmol &amp; Otolaryngol, Shenyang, Liaoning, Peoples R China</t>
  </si>
  <si>
    <t>Jinzhou Medical University; Jinzhou Medical University; Jinzhou Medical University; Jinzhou Medical University</t>
  </si>
  <si>
    <t>Wang, P (corresponding author), Jinzhou Med Univ, Dept Neurobiol, 40,Sect 3,Songpo Rd, Jinzhou 121001, Liaoning, Peoples R China.;Wang, P (corresponding author), Jinzhou Med Univ, Key Lab Neurodegenerat Dis Liaoning Prov, 40,Sect 3,Songpo Rd, Jinzhou 121001, Liaoning, Peoples R China.</t>
  </si>
  <si>
    <t>wangpeng@jzmu.edu.cn</t>
  </si>
  <si>
    <t>0304-3940</t>
  </si>
  <si>
    <t>1872-7972</t>
  </si>
  <si>
    <t>10.1016/j.neulet.2021.136004</t>
  </si>
  <si>
    <t>WOS:000663753100007</t>
  </si>
  <si>
    <t>Mitchell, MD; Crookenden, MA; Vaswani, K; Roche, JR; Peiris, HN</t>
  </si>
  <si>
    <t>Mitchell, Murray D.; Crookenden, Mallory A.; Vaswani, Kanchan; Roche, John R.; Peiris, Hassendrini N.</t>
  </si>
  <si>
    <t>The frontiers of biomedical science and its application to animal science in addressing the major challenges facing Australasian dairy farming</t>
  </si>
  <si>
    <t>ANIMAL PRODUCTION SCIENCE</t>
  </si>
  <si>
    <t>8th Australasian Dairy Science Symposium (ADSS) - Dairy Science for Profitable and Sustainable Farming</t>
  </si>
  <si>
    <t>NOV, 2018</t>
  </si>
  <si>
    <t>Palmerston North, NEW ZEALAND</t>
  </si>
  <si>
    <t>dairy cow; exosomes; fertility</t>
  </si>
  <si>
    <t>CELL-DERIVED EXOSOMES; DRUG-DELIVERY VEHICLES; BOVINE-MILK EXOSOMES; CIRCULATING EXOSOMES; EXTRACELLULAR VESICLES; HOLSTEIN CATTLE; TRANSITION COW; MICRORNA; PLASMA; EXPRESSION</t>
  </si>
  <si>
    <t>Extraordinary advances are occurring in biomedical science that may revolutionise how we approach health and disease. Many have applications in the dairy industry. We have described one particular area of extracellular vesicles that have already proven to be of interest in diagnostics and prognostics for fertility and assessment of 'transition' cows (i.e. evaluation of the problems related to the risk of clinical diseases in dairy cows, such as mastitis and milk fever, during transition period). The addition of measurements of circulating RNA and DNA may prove of value in identifying dairy cows with higher risks of clinical diseases and potentially poor fertility. We describe the exciting opportunity provided by the possibility of generating exosomes to order as therapeutic agents to potentially enhance fertility. The even more radical concept of using exosomes to deliver a CRISPR-linked gene editing function is presented. Undoubtedly, the use of biomedical advances to assist the dairy industry is an obvious and practical approach that has significant merit.</t>
  </si>
  <si>
    <t>[Mitchell, Murray D.; Vaswani, Kanchan; Peiris, Hassendrini N.] Queensland Univ Technol, Fac Hlth, Inst Hlth &amp; Biomed Innovat, Ctr Childrens Hlth Res, 62 Graham St, South Brisbane, Qld 4101, Australia; [Crookenden, Mallory A.; Roche, John R.] DairyNZ Ltd, Private Bag 3221, Hamilton 3240, New Zealand; [Roche, John R.] Univ Auckland, Sch Biol Sci, Private Bag 92019, Auckland 1142, New Zealand; [Roche, John R.] Minist Primary Ind, Pastoral House, Wellington 6140, New Zealand</t>
  </si>
  <si>
    <t>Queensland University of Technology (QUT); DairyNZ; University of Auckland</t>
  </si>
  <si>
    <t>Mitchell, MD (corresponding author), Queensland Univ Technol, Fac Hlth, Inst Hlth &amp; Biomed Innovat, Ctr Childrens Hlth Res, 62 Graham St, South Brisbane, Qld 4101, Australia.</t>
  </si>
  <si>
    <t>murray.mitchell@qut.edu.au</t>
  </si>
  <si>
    <t>Crookenden, Mallory/AAY-8207-2021; Roche, John/ABG-1722-2020; Mitchell, Murray/A-8639-2010; Peiris, Hassendrini/B-9928-2016</t>
  </si>
  <si>
    <t>Roche, John/0000-0002-4165-9253; Mitchell, Murray/0000-0002-6167-7176; Peiris, Hassendrini/0000-0002-4685-2722</t>
  </si>
  <si>
    <t>1836-0939</t>
  </si>
  <si>
    <t>1836-5787</t>
  </si>
  <si>
    <t>10.1071/AN18579</t>
  </si>
  <si>
    <t>WOS:000505620500002</t>
  </si>
  <si>
    <t>Rak, J</t>
  </si>
  <si>
    <t>Rak, Janusz</t>
  </si>
  <si>
    <t>Microparticles in Cancer</t>
  </si>
  <si>
    <t>SEMINARS IN THROMBOSIS AND HEMOSTASIS</t>
  </si>
  <si>
    <t>Microparticles; cancer; oncogenes; tissue factor; microvesicles; exosomes; coagulation; angiogenesis</t>
  </si>
  <si>
    <t>CELL-DERIVED MICROPARTICLES; FACTOR-POSITIVE MICROPARTICLES; FIBROBLAST GROWTH FACTOR-2; FLOW-CYTOMETRIC ANALYSIS; TISSUE FACTOR ACTIVITY; MEMBRANE-VESICLES; ENDOTHELIAL-CELLS; HORIZONTAL TRANSFER; PLATELET MICROPARTICLES; BIOLOGICAL SIGNIFICANCE</t>
  </si>
  <si>
    <t>Microparticles (MP) are vesicular structures released from cells upon activation, malignant transformation, stress, or death. MP may be derived from the plasma membrane (shed microvesicles), produced by endosomal pathway (exosomes), or arise from membrane blebs of apoptotic cells. The terms microparticles or microvesicles (MV) are often used as general and interchangeable descriptors of all cellular vesicles, but a more rigorous terminology is still to be established. The cargo of MP/MV consists of proteins, lipids, and nucleic acids (DNA, mRNA, microRNA), all of which may be transferred horizontally between cells. In cancer, oncogenic pathways drive production of MP/MV, and oncoproteins may be incorporated into the cargo of MV (oncosomes). Oncogenic pathways may also stimulate production of MP/MV harboring tissue factor and involved in cancer coagulopathy. In addition, the cargo of MV may include several receptors, antigens, bioactive molecules, and other species capable of stimulating tumor progression, immunotolerance, invasion, angiogenesis, and metastasis. MP emanate not only from tumor cells but also from platelets, endothelium, and inflammatory cells. Indeed, circulating MP/MV harbor molecular information related to cancer-related processes and may serve as a reservoir of prognostic and predictive biomarkers to monitor genetic tumor progression, angiogenesis, thrombosis, and responses to targeted therapeutics.</t>
  </si>
  <si>
    <t>McGill Univ, Montreal Childrens Hosp, Res Inst, Montreal, PQ H3Z 2Z3, Canada</t>
  </si>
  <si>
    <t>Rak, J (corresponding author), McGill Univ, Montreal Childrens Hosp, Res Inst, 4060 St Catherine W, Montreal, PQ H3Z 2Z3, Canada.</t>
  </si>
  <si>
    <t>0094-6176</t>
  </si>
  <si>
    <t>1098-9064</t>
  </si>
  <si>
    <t>10.1055/s-0030-1267043</t>
  </si>
  <si>
    <t>WOS:000283532800013</t>
  </si>
  <si>
    <t>Hu, CY; Chen, J; Qin, XH; You, P; Ma, J; Zhang, J; Zhang, H; Xu, JD</t>
  </si>
  <si>
    <t>Hu, Chuan-yi; Chen, Juan; Qin, Xin-hua; You, Pan; Ma, Jie; Zhang, Jing; Zhang, He; Xu, Ji-dong</t>
  </si>
  <si>
    <t>Long non-coding RNA NORAD promotes the prostate cancer cell extracellular vesicle release via microRNA-541-3p-regulated PKM2 to induce bone metastasis of prostate cancer</t>
  </si>
  <si>
    <t>NORAD; miR-541-3p; Pyruvate kinase isozymes M2; Extracellular vesicles; Prostate cancer; Bone metastasis</t>
  </si>
  <si>
    <t>Background Bone metastasis is the leading cause of mortality and reduced quality of life in patients with metastatic prostate cancer (PCa). Long non-coding RNA activated by DNA damage (NORAD) has been observed to have an abnormal expression in various cancers. This article aimed to explore the molecular mechanism underlying the regulatory role of NORAD in bone metastasis of PCa. Methods NORAD expression in clinical PCa tissues and cell lines was detected with the application of qRT-PCR. Cancer cells were then transfected with plasmids expressing NORAD, after which Transwell assay and CCK-8 assay were carried out to detect proliferation, migration, and bone metastasis of PCa. NORAD downstream target molecules were screened through bioinformatics analysis, followed by further verification using dual luciferase assay. Extracellular vesicles (EVs) were labeled with PKH67 and interacted with bone marrow stromal cells. The gain- and loss-function method was applied to determine the internalization and secretion of PCa cells-derived EVs under the intervention of downstream target molecules or NORAD. Results PCa tissues and cell lines were observed to have a high expression of NORAD, particularly in tissues with bone metastasis. NORAD knockdown resulted in reduced secretion and internalization of EVs, and suppressed proliferation, migration, and bone metastasis of PCa cells. It was indicated that NORAD interacted with miR-541-3p, leading to the upregulation of PKM2. Forced expression of PKM2 promoted the transfer of PKH67-labeled EVs to bone marrow stromal cells. Conclusions NORAD might serve as a ceRNA of miR-541-3p to promote PKM2 expression, thereby enhancing the development of bone metastasis in PCa by promoting internalization and transfer of EVs of cancer cells, providing an insight into a novel treatment for the disorder.</t>
  </si>
  <si>
    <t>[Hu, Chuan-yi; Ma, Jie; Zhang, Jing; Zhang, He; Xu, Ji-dong] Gongli Hosp, Shanghai Pudong New Area, Dept Urol, 219,Miaopu Rd,Pudong New Area, Shanghai 200135, Peoples R China; [Chen, Juan] Gongli Hosp, Shanghai Pudong New Area, Dept Gynecol, Shanghai 200135, Peoples R China; [Qin, Xin-hua; You, Pan] Ningxia Med Univ, Grad Sch, Yinchuan 750004, Ningxia, Peoples R China</t>
  </si>
  <si>
    <t>Ningxia Medical University</t>
  </si>
  <si>
    <t>Hu, CY (corresponding author), Gongli Hosp, Shanghai Pudong New Area, Dept Urol, 219,Miaopu Rd,Pudong New Area, Shanghai 200135, Peoples R China.</t>
  </si>
  <si>
    <t>sh_huchuanyi@tom.com</t>
  </si>
  <si>
    <t>MAR 16</t>
  </si>
  <si>
    <t>10.1186/s13046-021-01891-0</t>
  </si>
  <si>
    <t>WOS:000629181100001</t>
  </si>
  <si>
    <t>Jaworski, E; Narayanan, A; Van Duyne, R; Shabbeer-Meyering, S; Iordanskiy, S; Saifuddin, M; Das, R; Afonso, PV; Sampey, GC; Chung, M; Popratiloff, A; Shrestha, B; Sehgal, M; Jain, P; Vertes, A; Mahieux, R; Kashanchi, F</t>
  </si>
  <si>
    <t>Jaworski, Elizabeth; Narayanan, Aarthi; Van Duyne, Rachel; Shabbeer-Meyering, Shabana; Iordanskiy, Sergey; Saifuddin, Mohammed; Das, Ravi; Afonso, Philippe V.; Sampey, Gavin C.; Chung, Myung; Popratiloff, Anastas; Shrestha, Bindesh; Sehgal, Mohit; Jain, Pooja; Vertes, Akos; Mahieux, Renaud; Kashanchi, Fatah</t>
  </si>
  <si>
    <t>Human T-lymphotropic Virus Type 1-infected Cells Secrete Exosomes That Contain Tax Protein</t>
  </si>
  <si>
    <t>HTLV-I TAX; DNA-DAMAGE RESPONSE; MOLECULAR-MECHANISMS; CEREBROSPINAL-FLUID; PROTEOMICS ANALYSIS; MEDIATED TRANSFER; MESSENGER-RNAS; INFECTED-CELLS; LEUKEMIA-CELLS; HUMAN SALIVA</t>
  </si>
  <si>
    <t>Human T-lymphotropic virus type 1 (HTLV-1) is the causative agent of adult T-cell leukemia and HTLV-1-associated myelopathy/tropical spastic paraparesis. The HTLV-1 transactivator protein Tax controls many critical cellular pathways, including host cell DNA damage response mechanisms, cell cycle progression, and apoptosis. Extracellular vesicles called exosomes play critical roles during pathogenic viral infections as delivery vehicles for host and viral components, including proteins, mRNA, and microRNA. We hypothesized that exosomes derived from HTLV-1-infected cells contain unique host and viral proteins that may contribute to HTLV-1-induced pathogenesis. We found exosomes derived from infected cells to contain Tax protein and proinflammatory mediators as well as viral mRNA transcripts, including Tax, HBZ, and Env. Furthermore, we observed that exosomes released from HTLV-1-infected Tax-expressing cells contributed to enhanced survival of exosome-recipient cells when treated with Fas antibody. This survival was cFLIP-dependent, with Tax showing induction of NF-kappa B in exosome-recipient cells. Finally, IL-2-dependent CTLL-2 cells that received Tax-containing exosomes were protected from apoptosis through activation of AKT. Similar experiments with primary cultures showed protection and survival of peripheral blood mononuclear cells even in the absence of phytohemagglutinin/IL-2. Surviving cells contained more phosphorylated Rb, consistent with the role of Tax in regulation of the cell cycle. Collectively, these results suggest that exosomes may play an important role in extracellular delivery of functional HTLV-1 proteins and mRNA to recipient cells.</t>
  </si>
  <si>
    <t>[Jaworski, Elizabeth; Narayanan, Aarthi; Van Duyne, Rachel; Shabbeer-Meyering, Shabana; Iordanskiy, Sergey; Saifuddin, Mohammed; Das, Ravi; Sampey, Gavin C.; Chung, Myung; Kashanchi, Fatah] George Mason Univ, Sch Syst Biol, Natl Ctr Biodef &amp; Infect Dis, Manassas, VA 20110 USA; [Van Duyne, Rachel; Iordanskiy, Sergey] George Washington Univ, Med Ctr, Dept Microbiol Immunol &amp; Trop Med, Washington, DC 20037 USA; [Shrestha, Bindesh; Vertes, Akos] George Washington Univ, Med Ctr, Ctr Microscopy &amp; Image Anal, Washington, DC 20037 USA; [Popratiloff, Anastas] George Washington Univ, Dept Chem, Washington, DC 20037 USA; [Mahieux, Renaud] Univ Lyon 1, Ecole Normale Super Lyon, Equipe Labelisee Ligue Natl Canc,Equipe Oncogenes, Int Ctr Res Infectiol,CNRS,INSERM,U1111,UMR5308, F-69364 Lyon 07, France; [Afonso, Philippe V.] Inst Pasteur, Dept Virol, Unite Epidemiol &amp; Physiopathol Virus Oncogenes, F-75015 Paris, France; [Afonso, Philippe V.] CNRS, UMR3569, F-75015 Paris, France; [Sehgal, Mohit; Jain, Pooja] Drexel Univ, Coll Med, Dept Microbiol &amp; Immunol, Drexel Inst Biotechnol &amp; Virol Res, Doylestown, PA 18902 USA</t>
  </si>
  <si>
    <t>George Mason University; George Washington University; George Washington University; George Washington University; Centre National de la Recherche Scientifique (CNRS); Ecole Normale Superieure de Lyon (ENS de LYON); Institut National de la Sante et de la Recherche Medicale (Inserm); UDICE-French Research Universities; Universite Claude Bernard Lyon 1; Le Reseau International des Instituts Pasteur (RIIP); Institut Pasteur Paris; Centre National de la Recherche Scientifique (CNRS); CNRS - National Institute for Biology (INSB); Le Reseau International des Instituts Pasteur (RIIP); Institut Pasteur Paris; UDICE-French Research Universities; Universite de Paris; Drexel University</t>
  </si>
  <si>
    <t>Kashanchi, F (corresponding author), George Mason Univ, Discovery Hall,Rm 182,10900 Univ Blvd MS 1H8, Manassas, VA 20110 USA.</t>
  </si>
  <si>
    <t>Van Duyne, Rachel/I-7365-2019; Vertes, Akos/B-7159-2008; Afonso, Philippe V/D-2234-2014; Afonso, Philippe V/ABB-5692-2021; Van Duyne, Rachel/ABI-2429-2020; Shrestha, Bindesh/B-8821-2008</t>
  </si>
  <si>
    <t>Vertes, Akos/0000-0001-5186-5352; Afonso, Philippe V/0000-0002-4828-3797; Afonso, Philippe V/0000-0002-4828-3797; Van Duyne, Rachel/0000-0003-2914-6874; Shrestha, Bindesh/0000-0002-7595-3506; Das, Ravi/0000-0002-4301-0642; Sehgal, Mohit/0000-0001-5544-3675; mahieux, renaud/0000-0002-5129-6804</t>
  </si>
  <si>
    <t>AUG 8</t>
  </si>
  <si>
    <t>10.1074/jbc.M114.549659</t>
  </si>
  <si>
    <t>WOS:000340593500041</t>
  </si>
  <si>
    <t>Alves, MBR; de Arruda, RP; Batissaco, L; Garcia-Oliveros, LN; Gonzaga, VHG; Nogueira, VJM; Almeida, FD; Pinto, SCC; Andrade, GM; Perecin, F; da Silveira, JC; Celeghini, ECC</t>
  </si>
  <si>
    <t>Rodrigues Alves, Maira Bianchi; de Arruda, Rubens Paes; Batissaco, Leonardo; Garcia-Oliveros, Laura Nataly; Guilger Gonzaga, Vitor Hugo; Moreira Nogueira, Vinicius Jose; Almeida, Flavia dos Santos; Costa Pinto, Samara Cristine; Andrade, Gabriella Mamede; Perecin, Felipe; da Silveira, Juliano Coelho; Carvalho Celeghini, Eneiva Carla</t>
  </si>
  <si>
    <t>Changes in miRNA levels of sperm and small extracellular vesicles of seminal plasma are associated with transient scrotal heat stress in bulls</t>
  </si>
  <si>
    <t>Epididymis; Epididymosomes; Exosomes; microRNAs; Semen; Testicular thermoregulation</t>
  </si>
  <si>
    <t>EXPRESSION PROFILES; DNA INTEGRITY; SEMEN QUALITY; BOS-INDICUS; EPIDIDYMOSOMES; SPERMATOZOA; INSULATION; MICRORNAS; MICROVESICLES; TEMPERATURE</t>
  </si>
  <si>
    <t>Scrotal heat stress affects spermatogenesis and impairs male fertility by increasing sperm morphological abnormalities, oxidative stress and DNA fragmentation. While sperm morpho-functional changes triggered by scrotal heat stress are well described, sperm molecular alterations remain unknown. Recently, spermatozoa were described as accumulating miRNAs during the last steps of spermatogenesis and through epididymis transit, mainly by communication with small extracellular vesicles (sEVs). Herein, the aim was to investigate the impact of scrotal heat stress in miRNAs profile of sperm, as well as, seminal plasma sEVs. Six Nelore bulls (Bos indicus) were divided into two groups: Control (CON; n = 3) and Scrotal Heat Stress (SHS; n = 3; scrotal heat stressed during 96 h by scrotal bags). The day that the scrotal bags were removed from SHS group was considered as D0 (Day zero). Seminal plasma sEVs were isolated from semen samples collected seven days after heat stress (D+7) to evaluate sEVs diameter, concentration, and 380 miRNA levels. Sperm morpho-functional features and profile of 380 miRNAs were evaluated from semen collected 21 days after heat stress (D+21). As a control, sEVs and sperm were analyzed seven days before heat stress (D-7). Only semen parameters that were not significantly different (P &gt; 0.05) among bulls on D-7 were addressed on D+7 and D+21. While no alterations in diameter and concentration were detected in sEVs on D+7 between CON and SHS groups, three sEVs-miRNAs (miR-23b-5p, -489 and -1248) were down-regulated in SHS bulls compared to CON on D+7; other three (miR-126-5p, -656 and -1307) displayed a tendency (0.05 &lt; P &lt; 0.10) to be altered. Sperm oxidative stress was higher, and the level of 21 sperm miRNAs was altered (18 down-, 3 up-regulated) in SHS bulls compared to CON on D+21. Functional analysis indicated that target genes involved in transcription activation, as well as cell proliferation and differentiation were related to the 18 down-regulated sperm miRNAs (miR-9-5p, -15a, -18a, -20b, -30a-5p, -30b-5p, -30d, -30e-5p -34b, -34c, -106b, -126-5p, -146a, -191, -192, -200b, -335 and -449a). Thus, the scrotal heat stress probably impacted testicular and epididymis functions by reducing the levels of a substantial proportion of sEVs and sperm miRNAs. Our findings suggest that miR-126-5p was possibly trafficked between sEVs and sperm and provide new insights on the mechanism by which sperm acquire miRNAs in the last stages of spermatogenesis and sperm maturation in cattle. (C) 2020 Elsevier Inc. All rights reserved.</t>
  </si>
  <si>
    <t>[Rodrigues Alves, Maira Bianchi; de Arruda, Rubens Paes; Batissaco, Leonardo; Garcia-Oliveros, Laura Nataly; Guilger Gonzaga, Vitor Hugo; Moreira Nogueira, Vinicius Jose; Almeida, Flavia dos Santos; Costa Pinto, Samara Cristine; Carvalho Celeghini, Eneiva Carla] Univ Sao Paulo, Sch Vet Med &amp; Anim Sci, Dept Anim Reprod, Sao Paulo, Brazil; [Andrade, Gabriella Mamede; Perecin, Felipe; da Silveira, Juliano Coelho] Univ Sao Paulo, Sch Anim Sci &amp; Food Engn, Dept Vet Med, Sao Paulo, Brazil</t>
  </si>
  <si>
    <t>Universidade de Sao Paulo; Universidade de Sao Paulo</t>
  </si>
  <si>
    <t>Celeghini, ECC (corresponding author), Univ Sao Paulo, Sch Vet Med &amp; Anim Sci, Dept Anim Reprod, Sao Paulo, Brazil.</t>
  </si>
  <si>
    <t>maira.bianchi@gmail.com; arrudarp@usp.br; leonardo.batissaco@usp.br; natalygarcia624@gmail.com; vitorhugomedvet@gmail.com; vnogueira86@gmail.com; flavia.s.almeida@hotmail.com; scristinecostapinto@usp.br; gabriellamamede@gmail.com; fperecin@usp.br; julianodasilveira@usp.br; celeghin@usp.br</t>
  </si>
  <si>
    <t>Da Silveira, Juliano/AAH-9784-2020; Celeghini, Eneiva Carla Carvalho/D-9010-2012; Perecin, Felipe/C-7268-2012; Alves, Maíra Bianchi Rodrigues/AAM-8213-2020</t>
  </si>
  <si>
    <t>Da Silveira, Juliano/0000-0002-4796-6393; Celeghini, Eneiva Carla Carvalho/0000-0003-1531-5497; Perecin, Felipe/0000-0003-2009-5863; Batissaco, Leonardo/0000-0001-8041-6732</t>
  </si>
  <si>
    <t>10.1016/j.theriogenology.2020.11.015</t>
  </si>
  <si>
    <t>WOS:000608745000004</t>
  </si>
  <si>
    <t>Reif, S; Elbaum-Shiff, Y; Koroukhov, N; Shilo, I; Musseri, M; Golan-Gerstl, R</t>
  </si>
  <si>
    <t>Reif, Shimon; Elbaum-Shiff, Yaffa; Koroukhov, Nickolay; Shilo, Itamar; Musseri, Mirit; Golan-Gerstl, Regina</t>
  </si>
  <si>
    <t>Cow and Human Milk-Derived Exosomes Ameliorate Colitis in DSS Murine Model</t>
  </si>
  <si>
    <t>exosomes; miRNA; milk; colitis</t>
  </si>
  <si>
    <t>INTERLEUKIN-6 PRODUCTION; EXTRACELLULAR VESICLES; INFLAMMATION; INFLIXIMAB; MIGRATION; COMPLEX; GROWTH; CELLS</t>
  </si>
  <si>
    <t>The aim of this study was to investigate the therapeutic effect of cow and human milk derived exosomes (MDEs) on colitis. We used gavage administration of fluorescent labeled MDEs to track their localization patterns in vivo and studied their therapeutic effect on colitis in a dextran sulfate sodium (DSS)-induced colitis model. MDEs attenuated the severity of colitis induced by DSS and statistically reduced the histopathological scoring grade and shortening of the colon. Likewise, treatment with MDEs reduced the expression of interleukin 6 and tumor necrosis factor-alpha. Moreover, miRNAs highly expressed in milk, such as miRNA-320, 375, and Let-7, were found to be more abundant in the colon of MDE-treated mice compared with untreated mice; contrastingly, the expression of their target genes, mainly DNA methyltransferase 1 (DNMT1) and DNMT3 were downregulated. Furthermore, the level of TGF-beta was upregulated in the colon of MDE-treated mice. We demonstrated that MDEs have a therapeutic and anti-inflammatory effect on colitis, involving several complementary pathways in its mechanism of action. The therapeutic effects of MDEs might have implications for the possible addition of MDEs as a nutrient in enteral nutrition formulas for patients with inflammatory bowel disease.</t>
  </si>
  <si>
    <t>[Reif, Shimon; Elbaum-Shiff, Yaffa; Koroukhov, Nickolay; Shilo, Itamar; Musseri, Mirit; Golan-Gerstl, Regina] Hadassah Hebrew Univ, Dept Pediat, Med Ctr, IL-9112001 Jerusalem, Israel; [Elbaum-Shiff, Yaffa] Tel Aviv Med Ctr &amp; Sch Med, Nutr &amp; Dietet Dept, IL-6423906 Tel Aviv, Israel</t>
  </si>
  <si>
    <t>Tel Aviv University; Sackler Faculty of Medicine</t>
  </si>
  <si>
    <t>Golan-Gerstl, R (corresponding author), Hadassah Hebrew Univ, Dept Pediat, Med Ctr, IL-9112001 Jerusalem, Israel.</t>
  </si>
  <si>
    <t>shimon@hadassah.org.il; yaffa.elbaumshif@mail.huji.ac.il; kor_nickolay@hotmail.com; shiloi@hadassah.org.il; miritm@hadassah.org.il; reginag@hadassah.org.il</t>
  </si>
  <si>
    <t>Gerstl, Regina Golan/ADT-3989-2022</t>
  </si>
  <si>
    <t>Golan-Gerstl, Regina/0000-0003-3224-9495</t>
  </si>
  <si>
    <t>10.3390/nu12092589</t>
  </si>
  <si>
    <t>WOS:000581486400001</t>
  </si>
  <si>
    <t>Otaguiri, KK; dos Santos, DF; Slavov, SN; Depieri, LV; Palma, PVB; Meirelles, FV; Covas, DT; da Silveira, JC; Kashima, S</t>
  </si>
  <si>
    <t>Otaguiri, Katia Kaori; dos Santos, Daiane Fernanda; Slavov, Svetoslav Nanev; Depieri, Livia Vieira; Bonini Palma, Patricia Vianna; Meirelles, Flavio Vieira; Covas, Dimas Tadeu; da Silveira, Juliano Coelho; Kashima, Simone</t>
  </si>
  <si>
    <t>TAX-mRNA-Carrying Exosomes from Human T Cell Lymphotropic Virus Type 1-Infected Cells Can Induce Interferon-Gamma Production In Vitro</t>
  </si>
  <si>
    <t>AIDS RESEARCH AND HUMAN RETROVIRUSES</t>
  </si>
  <si>
    <t>exosomes; HTLV-1; HAM; TSP; Tax; interferon-gamma</t>
  </si>
  <si>
    <t>MYELOPATHY/TROPICAL SPASTIC PARAPARESIS; BLOOD MONONUCLEAR-CELLS; PROVIRAL DNA LOAD; EXTRACELLULAR VESICLES; CYTOKINE PRODUCTION; IMMUNE-RESPONSES; VIRAL-RNA; HTLV-1; EXPRESSION; MICROVESICLES</t>
  </si>
  <si>
    <t>Human T cell lymphotropic virus type 1 (HTLV-1) is the etiological agent of HTLV-1-associated myelopathy/tropical spastic paraparesis (HAM/TSP) and adult T cell leukemia/lymphoma. The development of HAM/TSP, a chronic neuroinflammatory disease, is correlated to complex interaction between the host immune response and the infecting virus. Tax expression plays an important role in HAM/TSP pathogenesis by activating various cellular genes, including the cytokines interferon-gamma (IFN-) and tumor necrosis factor-alpha (TNF-). Exosomes have emerged as an important factor of cell-to-cell communication contributing to diverse cellular processes, including immune modulation. Considering the potential role of exosomes in modulating the immune response and inflammation, the main objective of this study was to examine if HTLV-1-infected cells produce exosomes carrying viral proteins or inflammatory molecules, which can participate in the chronic inflammation that is observed in patients with HAM/TSP. Exosomes were isolated from HTLV-1-infected cell line, evaluated for the tax mRNA presence, and tested for the ability to activate peripheral mononuclear cells (PBMC) in inducing an inflammatory immune response. We observed that the proinflammatory cytokines, IFN- and TNF-, were upregulated in T cells after treatment of the PBMC with Tax-carrying exosomes compared to the negative control. Interleukin-4, Granzyme B, and Perforin did not show alterations. Taken together, these results suggest that exosomes carrying tax-mRNA isolated from HTLV-1-infected cells might induce the production of proinflammatory cytokines and activate T helper (Th)(1), and not Th-2-immune response. If this finding is further confirmed, this study may have impact on investigations on the pathogenesis of HAM-TSP and the inflammatory response involved in this disease.</t>
  </si>
  <si>
    <t>[Otaguiri, Katia Kaori; dos Santos, Daiane Fernanda; Kashima, Simone] Univ Sao Paulo, Fac Pharmaceut Sci Ribeirao Preto, Dept Clin Toxicol &amp; Bromatol Anal, Ribeirao Preto, Brazil; [Otaguiri, Katia Kaori; dos Santos, Daiane Fernanda; Slavov, Svetoslav Nanev; Bonini Palma, Patricia Vianna; Covas, Dimas Tadeu; Kashima, Simone] Univ Sao Paulo, Reg Blood Ctr Ribeirao Preto, Fac Med Ribeirao Preto, Ribeirao Preto, Brazil; [Depieri, Livia Vieira] Univ Sao Paulo, Fac Pharmaceut Sci Ribeirao Preto, Dept Pharmaceut Sci, Ribeirao Preto, Brazil; [Meirelles, Flavio Vieira; Covas, Dimas Tadeu] Univ Sao Paulo, Fac Anim Sci &amp; Food Engn, Dept Vet Med, Pirassununga, Brazil; [da Silveira, Juliano Coelho] Univ Sao Paulo, Fac Med Ribeirao Preto, Dept Internal Med, Ribeirao Preto, Brazil</t>
  </si>
  <si>
    <t>Universidade de Sao Paulo; Universidade de Sao Paulo; Universidade de Sao Paulo; Universidade de Sao Paulo; Universidade de Sao Paulo</t>
  </si>
  <si>
    <t>Kashima, S (corresponding author), Fdn Hemoctr Ribeirao Preto, Lab Biol Mol, Rua Tenente Catao Roxo 2501, BR-14051140 Ribeirao Preto, SP, Brazil.</t>
  </si>
  <si>
    <t>skashima@hemocentro.fmrp.usp.br</t>
  </si>
  <si>
    <t>Covas, Dimas/AAL-8499-2021; Covas, Dimas T/C-5431-2013; Meirelles, Flavio V/B-5048-2010; Da Silveira, Juliano/AAH-9784-2020; Kashima, Simone/G-4876-2012</t>
  </si>
  <si>
    <t>Covas, Dimas T/0000-0002-7364-2595; Meirelles, Flavio V/0000-0003-0372-4920; Da Silveira, Juliano/0000-0002-4796-6393; Kashima, Simone/0000-0002-1487-0141</t>
  </si>
  <si>
    <t>0889-2229</t>
  </si>
  <si>
    <t>1931-8405</t>
  </si>
  <si>
    <t>10.1089/aid.2018.0115</t>
  </si>
  <si>
    <t>NOV 2018</t>
  </si>
  <si>
    <t>Immunology; Infectious Diseases; Virology</t>
  </si>
  <si>
    <t>WOS:000448919000001</t>
  </si>
  <si>
    <t>Vitale, SR; Helmijr, JA; Gerritsen, M; Coban, H; van Dessel, LF; Beije, N; van der Vlugt-Daane, M; Vigneri, P; Sieuwerts, AM; Dits, N; van Royen, ME; Jenster, G; Sleijfer, S; Lolkema, M; Martens, JWM; Jansen, MPHM</t>
  </si>
  <si>
    <t>Vitale, Silvia R.; Helmijr, Jean A.; Gerritsen, Marjolein; Coban, Hicret; van Dessel, Lisanne F.; Beije, Nick; van der Vlugt-Daane, Michelle; Vigneri, Paolo; Sieuwerts, Anieta M.; Dits, Natasja; van Royen, Martin E.; Jenster, Guido; Sleijfer, Stefan; Lolkema, Martijn; Martens, John W. M.; Jansen, Maurice P. H. M.</t>
  </si>
  <si>
    <t>Detection of tumor-derived extracellular vesicles in plasma from patients with solid cancer</t>
  </si>
  <si>
    <t>EV-RNA; cfDNA; Liquid biopsy; dPCR</t>
  </si>
  <si>
    <t>MEMBRANE-VESICLES; PROSTATE-CANCER; MESSENGER-RNAS; EXOSOMES; MICROVESICLES; MICRORNAS; TETRASPANINS; BIOMARKERS; PROTEINS; MARKERS</t>
  </si>
  <si>
    <t>BackgroundExtracellular vesicles (EVs) are actively secreted by cells into body fluids and contain nucleic acids of the cells they originate from. The goal of this study was to detect circulating tumor-derived EVs (ctEVs) by mutant mRNA transcripts (EV-RNA) in plasma of patients with solid cancers and compare the occurrence of ctEVs with circulating tumor DNA (ctDNA) in cell-free DNA (cfDNA).MethodsFor this purpose, blood from 20 patients and 15 healthy blood donors (HBDs) was collected in different preservation tubes (EDTA, BCT, CellSave) and processed into plasma within 24h from venipuncture. EVs were isolated with the ExoEasy protocol from this plasma and from conditioned medium of 6 cancer cell lines and characterized according to MISEV2018-guidelines. RNA from EVs was isolated with the ExoRNeasy protocol and evaluated for transcript expression levels of 96 genes by RT-qPCR and genotyped by digital PCR.ResultsOur workflow applied on cell lines revealed a high concordance between cellular mRNA and EV-RNA in expression levels as well as variant allele frequencies for PIK3CA, KRAS and BRAF. Plasma CD9-positive EV and GAPDH EV-RNA levels were significantly different between the preservation tubes. The workflow detected only ctEVs with mutant transcripts in plasma of patients with high amounts (&gt;20%) of circulating tumor DNA (ctDNA). Expression profiling showed that the EVs from patients resemble healthy donors more than tumor cell lines supporting that most EVs are derived from healthy tissue.ConclusionsWe provide a workflow for ctEV detection by spin column-based generic isolation of EVs and PCR-based measurement of gene expression and mutant transcripts in EV-RNA derived from cancer patients' blood plasma. This workflow, however, detected tumor-specific mutations in blood less often in EV-RNA than in cfDNA.</t>
  </si>
  <si>
    <t>[Vitale, Silvia R.; Helmijr, Jean A.; Gerritsen, Marjolein; Coban, Hicret; van Dessel, Lisanne F.; Beije, Nick; van der Vlugt-Daane, Michelle; Sieuwerts, Anieta M.; Sleijfer, Stefan; Lolkema, Martijn; Martens, John W. M.; Jansen, Maurice P. H. M.] Erasmus MC, Canc Inst, Dept Med Oncol, Room Be400,Dr Molewaterpl 40, NL-3015 GD Rotterdam, Netherlands; [Vitale, Silvia R.; Vigneri, Paolo] Univ Catania, Ctr Expt Oncol &amp; Hematol, Dept Clin &amp; Expt Med, Catania, Italy; [Dits, Natasja; Jenster, Guido] Erasmus MC, Canc Inst, Dept Urol, Rotterdam, Netherlands; [van Royen, Martin E.] Erasmus MC, Canc Inst, Dept Pathol, Rotterdam, Netherlands; [Sleijfer, Stefan; Martens, John W. M.] Erasmus MC, Canc Inst, Dept Canc Genom Netherlands, Rotterdam, Netherlands</t>
  </si>
  <si>
    <t>Erasmus University Rotterdam; Erasmus MC; Erasmus MC Cancer Institute; University of Catania; Erasmus University Rotterdam; Erasmus MC; Erasmus MC Cancer Institute; Erasmus University Rotterdam; Erasmus MC; Erasmus MC Cancer Institute; Erasmus University Rotterdam; Erasmus MC; Erasmus MC Cancer Institute</t>
  </si>
  <si>
    <t>Jansen, MPHM (corresponding author), Erasmus MC, Canc Inst, Dept Med Oncol, Room Be400,Dr Molewaterpl 40, NL-3015 GD Rotterdam, Netherlands.</t>
  </si>
  <si>
    <t>m.p.h.m.jansen@erasmusmc.nl</t>
  </si>
  <si>
    <t>; VIGNERI, Paolo/K-8504-2016</t>
  </si>
  <si>
    <t>Lolkema, Martijn/0000-0003-0466-2928; VIGNERI, Paolo/0000-0002-5943-6066</t>
  </si>
  <si>
    <t>10.1186/s12885-021-08007-z</t>
  </si>
  <si>
    <t>WOS:000634948800009</t>
  </si>
  <si>
    <t>Xia, YK; Chen, TT; Chen, WQ; Chen, GY; Xu, LL; Zhang, L; Zhang, XL; Sun, WM; Lan, JM; Lin, X; Chen, JH</t>
  </si>
  <si>
    <t>Xia, Yaokun; Chen, Tingting; Chen, Wenqian; Chen, Guanyu; Xu, Lilan; Zhang, Li; Zhang, Xiaoling; Sun, Weiming; Lan, Jianming; Lin, Xu; Chen, Jinghua</t>
  </si>
  <si>
    <t>A dual-modal aptasensor based on a multifunctional acridone derivate for exosomes detection</t>
  </si>
  <si>
    <t>Exosomes; Aptamer; Acridone derivate; Colorimetry; Photoelectrochemistry</t>
  </si>
  <si>
    <t>BIOSENSOR</t>
  </si>
  <si>
    <t>Exosomes are promising biomarkers for cancer screening, but the development of a robust approach that can sensitively and accurately detect exosomes remains challenging. In the present study, an aptasensor based on the multifunctional signal probe 10-benzyl-2-amino-acridone (BAA) was developed for the colorimetric and photoelectrochemical detection and quantitation of exosomes. Exosomes are captured by cholesterol DNA anchor-modified magnetic beads (MBs) through hydrophobic interactions. This capture process can be monitored under a confocal fluorescence microscope using BAA as the fluorescent signal probe. The aptamer modified copper oxide nanoparticles (CuO NPs) then bind to mucin 1 (MUC1) on the surface of the exosomes to form a sandwich structure (MBs-Exo-CuO NPs). Finally, the MBs-Exo-CuO NPs are dissolved in nitric acid to generate Cu2+, which inhibits the visible-light-induced oxidase mimic activity and photoelectrochemical activity of BAA simultaneously. The changes in absorbance and photocurrent intensities are directly proportional to the concentration of exosomes. In this dual-modal aptasensor, the colorimetric assay can achieve rapid screening and identification, which is especially useful for point-of-care testing. The UV-vis absorbance and photocurrent assays then provide quantitative information, with a limit of detection of 1.09 x 10(3) particles mu L-1 and 1.38 x 10(3) particles mu L-1, respectively. The proposed aptasensor thus performs dual-modal detection and quantitation of exosomes. This aptasensor provides a much-needed toolset for exploring the biological roles of exosomes in specific diseases, particularly in the clinical setting. (C) 2021 Elsevier B.V. All rights reserved.</t>
  </si>
  <si>
    <t>[Xia, Yaokun; Lin, Xu] Fujian Med Univ, Sch Basic Med Sci, Minist Educ Gastrointestinal Canc, Key Lab, Fuzhou 350108, Fujian, Peoples R China; [Chen, Tingting; Chen, Wenqian; Chen, Guanyu; Xu, Lilan; Zhang, Li; Zhang, Xiaoling; Sun, Weiming; Lan, Jianming; Chen, Jinghua] Fujian Med Univ, Sch Pharm, Fuzhou 350108, Fujian, Peoples R China; [Chen, Tingting; Chen, Wenqian; Chen, Guanyu; Xu, Lilan; Zhang, Li; Zhang, Xiaoling; Sun, Weiming; Lan, Jianming; Chen, Jinghua] Fujian Med Univ, Fujian Key Lab Drug Target Discovery &amp; Struct &amp; F, Fuzhou 350108, Fujian, Peoples R China</t>
  </si>
  <si>
    <t>Fujian Medical University; Fujian Medical University; Fujian Medical University</t>
  </si>
  <si>
    <t>Lin, X (corresponding author), Fujian Med Univ, Sch Basic Med Sci, Minist Educ Gastrointestinal Canc, Key Lab, Fuzhou 350108, Fujian, Peoples R China.;Chen, JH (corresponding author), Fujian Med Univ, Sch Pharm, Fuzhou 350108, Fujian, Peoples R China.</t>
  </si>
  <si>
    <t>linxu@mail.fjmu.edu.cn; cjh_huaxue@126.com</t>
  </si>
  <si>
    <t>JAN 25</t>
  </si>
  <si>
    <t>10.1016/j.aca.2021.339279</t>
  </si>
  <si>
    <t>WOS:000752572200006</t>
  </si>
  <si>
    <t>Karvonen, K; Tammisto, H; Nykky, J; Gilbert, L</t>
  </si>
  <si>
    <t>Karvonen, Kati; Tammisto, Hanna; Nykky, Jonna; Gilbert, Leona</t>
  </si>
  <si>
    <t>Borrelia burgdorferi Outer Membrane Vesicles Contain Antigenic Proteins, but Do Not Induce Cell Death in Human Cells</t>
  </si>
  <si>
    <t>Lyme borreliosis; bleb; extracellular vesicle; persistent antigen</t>
  </si>
  <si>
    <t>LYME-DISEASE SPIROCHETE; SURFACE PROTEIN; IMMUNOGLOBULIN; DNA; PERSISTENCE; FEATURES; RELEASE; BLEBS; TOXIN; BLOOD</t>
  </si>
  <si>
    <t>Like many bacterial species, Borrelia burgdorferi, the pleomorphic bacterium that causes Lyme borreliosis, produces outer membrane vesicles (OMVs). Borrelial OMVs (BbOMVs) have been identified as containing virulence factors, such as outer surface proteins (Osps) A, B, and C, as well as DNA. However, the pathogenicity of BbOMVs in disease development is still unclear. In this study, we characterized purified BbOMVs by analyzing their size and immunolabeling for known antigenic markers: OspA, OspC, p39, and peptidoglycan. In addition, BbOMVs were cocultured with human non-immune cells for cytotoxicity analysis. The results demonstrated that, on average, the vesicles were small, ranging between 11 and 108 nm in diameter. In addition, both OspA and OspC, as well as Lyme arthritis markers p39 and peptidoglycan, were detected from BbOMVs. Furthermore, BbOMVs were cocultured with non-immune cells, which did not result in cell death. Combined, these results suggested that BbOMVs could participate in the induction of infection by functioning as a decoy for the host immune system. Furthermore, BbOMVs might serve as a means for persistent antigens to remain in the host for prolonged periods of time.</t>
  </si>
  <si>
    <t>[Karvonen, Kati; Tammisto, Hanna; Nykky, Jonna] Univ Jyvaskyla, Dept Biol &amp; Environm Sci, POB 35, FI-40014 Jyvaskyla, Finland; [Karvonen, Kati; Tammisto, Hanna; Nykky, Jonna] Univ Jyvaskyla, Nanosci Ctr, POB 35, FI-40014 Jyvaskyla, Finland; [Gilbert, Leona] Te Ted Oy, Mattilanniemi 6-8, FI-40100 Jyvaskyla, Finland</t>
  </si>
  <si>
    <t>University of Jyvaskyla; University of Jyvaskyla</t>
  </si>
  <si>
    <t>Karvonen, K (corresponding author), Univ Jyvaskyla, Dept Biol &amp; Environm Sci, POB 35, FI-40014 Jyvaskyla, Finland.;Karvonen, K (corresponding author), Univ Jyvaskyla, Nanosci Ctr, POB 35, FI-40014 Jyvaskyla, Finland.;Gilbert, L (corresponding author), Te Ted Oy, Mattilanniemi 6-8, FI-40100 Jyvaskyla, Finland.</t>
  </si>
  <si>
    <t>kati.s.karvonen@jyu.fi; tammisto.hanna@gmail.com; jonna.nykky@jyu.fi; leona.gilbert@tezted.com</t>
  </si>
  <si>
    <t>Nykky, Jonna/0000-0001-7873-2285; Gilbert, Leona/0000-0002-7470-5770</t>
  </si>
  <si>
    <t>10.3390/microorganisms10020212</t>
  </si>
  <si>
    <t>WOS:000762610600001</t>
  </si>
  <si>
    <t>Linney, MD; Eppley, JM; Romano, AE; Luo, E; DeLong, EF; Karl, DM</t>
  </si>
  <si>
    <t>Linney, Morgan D.; Eppley, John M.; Romano, Anna E.; Luo, Elaine; DeLong, Edward F.; Karl, David M.</t>
  </si>
  <si>
    <t>Microbial Sources of Exocellular DNA in the Ocean</t>
  </si>
  <si>
    <t>bacteriophage; bacterioplankton; eDNA; exocellular DNA; free DNA; metagenomics; microbial ecology; microbial oceanography; open ocean; vesicle</t>
  </si>
  <si>
    <t>DISSOLVED-DNA; EXTRACELLULAR DNA; MARINE-BACTERIA; DYNAMICS; VIRUSES; SURFACE; ACID; BACTERIOPLANKTON; TRANSFORMATION; MORTALITY</t>
  </si>
  <si>
    <t>With advances in metagenomic sequencing, the microbial composition of diverse environmental systems has been investigated, providing new perspectives on potential ecological dynamics and dimensions for experimental investigations. Here, we characterized exocellular free DNA via metagenomics, using a newly developed method that separates free DNA from cells, viruses, and vesicles, and facilitated the independent characterization of each fraction. Exocellular DNA is operationally defined as the fraction of the total DNA pool that passes through a membrane filter (0.1 mu m). It is composed of DNA-containing vesicles, viruses, and free DNA and is ubiquitous in all aquatic systems, although the sources, sinks, and ecological consequences are largely unknown. Using a method that provides separation of these three fractions, we compared open ocean depth profiles of DNA associated with each fraction. Pelagibacter-like DNA dominated the vesicle fractions for all samples examined over a depth range of 75 to 500 m. Viral DNA consisted predominantly of myovirus-like and podovirus-like DNA and contained the highest proportion of unannotated sequences. Euphotic zone free DNA (75 to 125 m) contained primarily bacterial and viral sequences, with bacteria dominating samples from the mesopelagic zone (500 to 1,000 m). A high proportion of mesopelagic zone free DNA sequences appeared to originate from surface waters, including a large amount of DNA contributed by high-light Prochlorococcus ecotypes. Throughout the water column, but especially in the mesopelagic zone, the composition of free DNA sequences was not always reflective of cooccurring microbial communities that inhabit the same sampling depth. These results reveal the composition of free DNA in different regions of the water column (euphotic and mesopelagic zones), with implications for dissolved organic matter cycling and export (by way of sinking particles and/or migratory zooplankton) as a delivery mechanism. IMPORTANCE With advances in metagenomic sequencing, the microbial composition of diverse environmental systems has been investigated, providing new perspectives on potential ecological dynamics and dimensions for experimental investigations. Here, we characterized exocellular free DNA via metagenomics, using a newly developed method that separates free DNA from cells, viruses, and vesicles, and facilitated the independent characterization of each fraction. The fate of this free DNA has both ecological consequences as a nutrient (N and P) source and potential evolutionary consequences as a source of genetic transformation. Here, we document different microbial sources of free DNA at the surface (0 to 200 m) versus depths of 250 to 1,000 m, suggesting that distinct free DNA production mechanisms may be present throughout the oligotrophic water column. Examining microbial processes through the lens of exocellular DNA provides insights into the production of labile dissolved organic matter (i.e., free DNA) at the surface (likely by viral lysis) and processes that influence the fate of sinking, surface-derived organic matter.</t>
  </si>
  <si>
    <t>[Linney, Morgan D.; Eppley, John M.; Romano, Anna E.; Luo, Elaine; DeLong, Edward F.; Karl, David M.] Univ Hawaii Manoa, Daniel K Inouye Ctr Microbial Oceanog Res &amp; Educ, Dept Oceanog, Honolulu, HI 96822 USA; [Linney, Morgan D.] MIT, Dept Civil &amp; Environm Engn, 77 Massachusetts Ave, Cambridge, MA 02139 USA; [Luo, Elaine] Woods Hole Oceanog Inst, Woods Hole, MA 02543 USA</t>
  </si>
  <si>
    <t>University of Hawaii System; University of Hawaii Manoa; Massachusetts Institute of Technology (MIT); Woods Hole Oceanographic Institution</t>
  </si>
  <si>
    <t>Linney, MD (corresponding author), Univ Hawaii Manoa, Daniel K Inouye Ctr Microbial Oceanog Res &amp; Educ, Dept Oceanog, Honolulu, HI 96822 USA.;Linney, MD (corresponding author), MIT, Dept Civil &amp; Environm Engn, 77 Massachusetts Ave, Cambridge, MA 02139 USA.</t>
  </si>
  <si>
    <t>linney@mit.edu</t>
  </si>
  <si>
    <t>Linney, Morgan/0000-0002-1682-822X; DeLong, Edward/0000-0002-3088-4965</t>
  </si>
  <si>
    <t>APR 12</t>
  </si>
  <si>
    <t>e02093-21</t>
  </si>
  <si>
    <t>10.1128/aem.02093-21</t>
  </si>
  <si>
    <t>WOS:000782461400034</t>
  </si>
  <si>
    <t>Alkandari, SA; Bhardwaj, RG; Ellepola, A; Karched, M</t>
  </si>
  <si>
    <t>Alkandari, Sarah A.; Bhardwaj, Radhika G.; Ellepola, Arjuna; Karched, Maribasappa</t>
  </si>
  <si>
    <t>Proteomics of extracellular vesicles produced by Granulicatella adiacens, which causes infective endocarditis</t>
  </si>
  <si>
    <t>OUTER-MEMBRANE VESICLES; BACTERIAL MOONLIGHTING PROTEINS; GROEL-LIKE PROTEIN; MYCOBACTERIUM-TUBERCULOSIS; SUBCELLULAR-LOCALIZATION; SIGNAL PEPTIDES; GENE-EXPRESSION; VIRULENCE; CELLS; IDENTIFICATION</t>
  </si>
  <si>
    <t>When oral bacteria accidentally enter the bloodstream due to transient tissue damage during dental procedures, they have the potential to attach to the endocardium or an equivalent surface of an indwelling prosthesis and cause infection. Many bacterial species produce extracellular vesicles (EVs) as part of normal physiology, but also use it as a virulence strategy. In this study, it was hypothesized that Granulicatella adiacens produce EVs that possibly help it in virulence. Therefore, the objectives were to isolate and characterize EVs produced by G. adiacens and to investigate its immune-stimulatory effects. The reference strain G. adiacens CCUG 27809 was cultured on chocolate blood agar for 2 days. From subsequent broth culture, the EVs were isolated using differential centrifugation and filtration protocol and then observed using scanning electron microscopy. Proteins in the vesicle preparation were identified by nano LC-ESI-MS/MS. The EVs proteome was analyzed and characterized using different bioinformatics tools. The immune-stimulatory effect of the EVs was studied via ELISA quantification of IL-8, IL-1 beta and CCL5, major proinflammatory cytokines, produced from stimulated human PBMCs. It was revealed that G. adiacens produced EVs, ranging in diameter from 30 to 250 nm. Overall, G. adiacens EVs contained 112 proteins. The proteome consists of several ribosomal proteins, DNA associated proteins, binding proteins, and metabolic enzymes. It was also shown that these EVs carry putative virulence factors including moonlighting proteins. These EVs were able to induce the production of IL-8, IL-1 beta and CCL5 from human PBMCs. Further functional characterization of the G. adiacens EVs may provide new insights into virulence mechanisms of this important but less studied oral bacterial species.</t>
  </si>
  <si>
    <t>[Alkandari, Sarah A.; Bhardwaj, Radhika G.; Ellepola, Arjuna; Karched, Maribasappa] Kuwait Univ, Dept Bioclin Sci, Hlth Sci Ctr, Oral Microbiol Res Lab,Fac Dent, Kuwait, Kuwait</t>
  </si>
  <si>
    <t>Kuwait University</t>
  </si>
  <si>
    <t>Karched, M (corresponding author), Kuwait Univ, Dept Bioclin Sci, Hlth Sci Ctr, Oral Microbiol Res Lab,Fac Dent, Kuwait, Kuwait.</t>
  </si>
  <si>
    <t>mkarched@hsc.edu.kw</t>
  </si>
  <si>
    <t>Alkandari, Sarah/0000-0002-2813-7282; Karched, Maribasappa/0000-0001-8927-6617</t>
  </si>
  <si>
    <t>e0227657</t>
  </si>
  <si>
    <t>10.1371/journal.pone.0227657</t>
  </si>
  <si>
    <t>WOS:000595653500003</t>
  </si>
  <si>
    <t>Zhang, YZ; Wang, DN; Yue, S; Lu, YB; Yang, CG; Fang, J; Xu, ZR</t>
  </si>
  <si>
    <t>Zhang, Yingzhi; Wang, Danni; Yue, Shuai; Lu, Yanbing; Yang, Chunguang; Fang, Jin; Xu, Zhangrun</t>
  </si>
  <si>
    <t>Sensitive Multicolor Visual Detection of Exosomes via Dual Signal Amplification Strategy of Enzyme-Catalyzed Metallization of Au Nanorods and Hybridization Chain Reaction</t>
  </si>
  <si>
    <t>exosome; multicolor visual detection; localized still-ace plasmon resonance; hybridization chain reaction; gold nanorods</t>
  </si>
  <si>
    <t>TUMOR-DERIVED EXOSOMES; HUMAN URINARY EXOSOMES; SEED-MEDIATED GROWTH; GOLD NANORODS; EXTRACELLULAR VESICLES; MEMBRANE-VESICLES; QUANTIFICATION; MICROVESICLES; PROBES; SIZE</t>
  </si>
  <si>
    <t>Exosomes as nanosized vesicles have been recognized as potential noninvasive biomarkers for early cancer diagnosis. Herein, we presented a sensitive multicolor visual method for exosome detection based on enzyme-induced silver deposition on gold nanorods (Au NRs). To achieve highly sensitive determination of exosomes, hybridization chain reaction (HCR) was employed to introduce more alkaline phosphatase (ALP) for signal amplification. First, exosomes were captured by magnetic bead-labeled CD63 aptamer, and, then, cholesterol-modified DNA probes were spontaneously inserted into the exosomal lipid membrane. The ends of the DNA probes act as the initiator to trigger the HCR for signal amplification. Finally, with the help of HCR, increased sites led to enhanced ALP loading and thus boosted the ascorbic acid generation. Silver ions were reduced by ascorbic acid, and silver shells were formed on Au NRs, giving rise to the blue shift of the longitudinal localized surface plasmon resonance peak. Correspondingly, the concentration of exosomes can be obviously distinguished with naked eyes via the vivid color variation. Due to the dual signal amplification of HCR and metallization of Au NRs, highly sensitive detection for exosomes were realized with detection limits as low as 1.6 x 10(2) particles/mu L by UV-vis spectroscopy and 9 x 10(3) particles/mu L by naked eyes. Compared to the reported colorimetric methods for exosome quantification, visualization based on plentiful color tonalities is the most captivating merit of our approach, and HCR-induced signal amplification highlights the virtue of the strategy. The applicability of the method was validated by the analysis of clinical samples.</t>
  </si>
  <si>
    <t>[Zhang, Yingzhi; Wang, Danni; Yang, Chunguang; Xu, Zhangrun] Northeastern Univ, Res Ctr Analyt Sci, Shenyang 110819, Liaoning, Peoples R China; [Yue, Shuai; Lu, Yanbing; Fang, Jin] China Med Univ, Dept Cell Biol, Key Lab Cell Biol, Minist Publ Hlth, Shenyang 110122, Liaoning, Peoples R China; [Yue, Shuai; Lu, Yanbing; Fang, Jin] China Med Univ, Key Lab Med Cell Biol, Minist Educ, Shenyang 110122, Liaoning, Peoples R China</t>
  </si>
  <si>
    <t>Xu, ZR (corresponding author), Northeastern Univ, Res Ctr Analyt Sci, Shenyang 110819, Liaoning, Peoples R China.</t>
  </si>
  <si>
    <t>Yang, Chun-Guang/0000-0003-2438-5585</t>
  </si>
  <si>
    <t>10.1021/acssensors.9b01644</t>
  </si>
  <si>
    <t>WOS:000505627100016</t>
  </si>
  <si>
    <t>Pei, YJ; Ge, YH; Zhang, XR; Li, Y</t>
  </si>
  <si>
    <t>Pei, Yujiao; Ge, Yonghao; Zhang, Xiaoru; Li, Ying</t>
  </si>
  <si>
    <t>Cathodic photoelectrochemical aptasensor based on NiO/BiOI/Au NP composite sensitized with CdSe for determination of exosomes</t>
  </si>
  <si>
    <t>Photoelectrochemistry; Nanoparticle composite; Cathodic photocurrent; Exosomes; Tumor cells</t>
  </si>
  <si>
    <t>DNA</t>
  </si>
  <si>
    <t>A cathodic photoelectrochemical sensor has been developed for the determination of exosomes, based on a dual-signal reduction strategy. A heterostructure of NiO/BiOI/Au NP/CdSe was synthesized as a photoelectrochemical sensing interface, which is able to suppress the recombination of electron-hole pairs and produce a higher photocurrent. The obtained materials were characterized, and the mechanism for the generation of the cathodic photocurrent was proposed. CdSe QDs (quantum dots) modified with DNA(2) were assembled on the electrode through the hybridization with EpCAM aptamer on the surface of ITO/NiO/BiOI/Au NP. The introduction of CdSe QDs to the electrode increases the photocurrent.The recognition of exosomes with aptamer DNA led to the separation of CdSe QDs from the electrode, which in turn caused the decrease of photocurrents. Meanwhile, the big volume of exosomes hinders the electron transfer between the electrode and electrolyte. Due to the dual reduction effect, a sensitive PEC sensor was obtained with a detection limit of 1.2x10(2) particles/mu L exosomes (lambda (ex)=430 nm, bias voltage=-0.1 V). The cathodic photoelectrochemical sensor showed good selectivity, performed well in a complex biological environment and could be used to distinguishbreast cancer patients from healthy individuals.</t>
  </si>
  <si>
    <t>[Pei, Yujiao; Ge, Yonghao; Zhang, Xiaoru; Li, Ying] Qingdao Univ Sci &amp; Technol, Key Lab Opt Sensing &amp; Analyt Chem Life Sci, Minist Educ, Shandong Key Lab Biochem Anal, Qingdao 266042, Peoples R China; [Pei, Yujiao; Ge, Yonghao; Zhang, Xiaoru; Li, Ying] Qingdao Univ Sci &amp; Technol, Coll Chem &amp; Mol Engn, Qingdao 266042, Peoples R China</t>
  </si>
  <si>
    <t>Li, Y (corresponding author), Qingdao Univ Sci &amp; Technol, Key Lab Opt Sensing &amp; Analyt Chem Life Sci, Minist Educ, Shandong Key Lab Biochem Anal, Qingdao 266042, Peoples R China.;Li, Y (corresponding author), Qingdao Univ Sci &amp; Technol, Coll Chem &amp; Mol Engn, Qingdao 266042, Peoples R China.</t>
  </si>
  <si>
    <t>liying79307@163.com</t>
  </si>
  <si>
    <t>10.1007/s00604-021-04716-1</t>
  </si>
  <si>
    <t>WOS:000613630700001</t>
  </si>
  <si>
    <t>Tamkovich, S; Grigor'eva, M; Eremina, A; Tupikin, A; Kabilov, M; Chernykh, V; Vlassov, V; Ryabchikova, E</t>
  </si>
  <si>
    <t>Tamkovich, Svetlana; Grigor'eva, Mina; Eremina, Alena; Tupikin, Alexey; Kabilov, Marcel; Chernykh, Valerii; Vlassov, Valentin; Ryabchikova, Elena</t>
  </si>
  <si>
    <t>What information can be obtained from the tears of a patient with primary open angle glaucoma?</t>
  </si>
  <si>
    <t>CLINICA CHIMICA ACTA</t>
  </si>
  <si>
    <t>Tears; Small extracellular vesicles; miRNA; Bacterial DNA</t>
  </si>
  <si>
    <t>EXOSOME ISOLATION; HUMOR; EXPRESSION; CHEMOKINES; MICRORNAS; CYTOKINES; MYOCILIN; GENES; CELLS; CD24</t>
  </si>
  <si>
    <t>Since tears are a biological fluid, they have a potential diagnostic value for ophthalmic diseases. The aim of this study was to compare tear supernatants and pellets obtained from patients suffering from primary open angle glaucoma (POAG) and healthy persons (HPs) using transmission electron microscopy (TEM) and molecular biological methods. Tear supernatants and pellets were prepared using ultrafiltration and ultracentrifugation and were examined by negative staining and immunogold labelling TEM. DNA of the pellets was isolated, quantified and sequenced using a MiSeq (Illumina, USA) genomic sequencer with the Reagent Kit v3 (600 cycles, Illumina, USA). MicroRNA was isolated and quantified from the pellets; miR-146b, miR-16 and miR-126 were detected using TaqMan MicroRNA Assays (Applied Biosystems, USA). TEM of tear supernatants from both POAG patients and HPs revealed identical constituents: spherical or cup shaped vesicles, non-vesicles, cell debris and macromolecular aggregates. Pellets of POAG patients and HPs contained small extracellular vesicles (sEVs) non-labelled vesicles and non-vesicles; pellets of sick persons also contained sEVs with a capsule. POAG-patient tear pellets showed elevated concentrations of genomic ds-DNA and SINE-repeats, and different expressions of miR-146b, miR-16 and miR-126 and a different set of bacterial DNA in comparison with pellets obtained from the tears of HPs. The data obtained indicate that the tears of HPs and POAG patients could serve as an object for TEM studies and as a source of sEV-containing preparations (pellets), which, in turn, could be used for the isolation and study of genomic ds-DNA and RNA. Our data provide the basis for using tears for diagnostic applications.</t>
  </si>
  <si>
    <t>[Tamkovich, Svetlana; Grigor'eva, Mina; Tupikin, Alexey; Kabilov, Marcel; Vlassov, Valentin; Ryabchikova, Elena] Russian Acad Sci, Siberian Branch, Inst Chem Biol &amp; Fundamental Med, Pr Lavrenteva 8, Novosibirsk 630090, Russia; [Eremina, Alena; Chernykh, Valerii] Novosibirsk Branch, Fyodorov Eye Microsurg Complex, Novosibirsk, Russia; [Tamkovich, Svetlana; Ryabchikova, Elena] Novosibirsk Natl Res State Univ, Novosibirsk, Russia</t>
  </si>
  <si>
    <t>Tamkovich, S (corresponding author), Russian Acad Sci, Siberian Branch, Inst Chem Biol &amp; Fundamental Med, Pr Lavrenteva 8, Novosibirsk 630090, Russia.</t>
  </si>
  <si>
    <t>s.tamk@niboch.nsc.ru</t>
  </si>
  <si>
    <t>Tupikin, Alexey/AAE-9025-2021; Ryabchikova, Elena/G-3089-2013; Eremina, Alena/AAI-2929-2020; Kabilov, Marsel R./B-6669-2013; Trunov, Aleksandr/R-7867-2019; Chernykh, Valery/AAH-6121-2020; Tamkovich, Svetlana/G-9790-2013; Vlassov, Valentin/F-4720-2013</t>
  </si>
  <si>
    <t>Tupikin, Alexey/0000-0002-8194-0322; Ryabchikova, Elena/0000-0003-4714-1524; Kabilov, Marsel R./0000-0003-2777-0833; Trunov, Aleksandr/0000-0002-7592-8984; Grigor'eva, Alina/0000-0001-9853-223X; Tamkovich, Svetlana/0000-0001-7774-943X; Vlassov, Valentin/0000-0003-2845-2992</t>
  </si>
  <si>
    <t>0009-8981</t>
  </si>
  <si>
    <t>1873-3492</t>
  </si>
  <si>
    <t>10.1016/j.cca.2019.05.028</t>
  </si>
  <si>
    <t>WOS:000476964200079</t>
  </si>
  <si>
    <t>Champagne-Jorgensen, K; Jose, TA; Stanisz, AM; Mian, MF; Hynes, AP; Bienenstock, J</t>
  </si>
  <si>
    <t>Champagne-Jorgensen, Kevin; Jose, Tamina A.; Stanisz, Andrew M.; Mian, M. Firoz; Hynes, Alexander P.; Bienenstock, John</t>
  </si>
  <si>
    <t>Bacterial membrane vesicles and phages in blood after consumption of lacticaseibacillus rhamnosus JB-1</t>
  </si>
  <si>
    <t>GUT MICROBES</t>
  </si>
  <si>
    <t>Bacteriophage; commensal; extracellular vesicles; interleukin 10; lactobacillus; microbiome; microbiota-gut-brain axis; microvesicle; probiotic; TLR2</t>
  </si>
  <si>
    <t>MOUSE; MICROBIOTA; SIGNALS; IMMUNE; CELLS; MICE</t>
  </si>
  <si>
    <t>Gut microbiota have myriad roles in host physiology, development, and immunity. Though confined to the intestinal lumen by the epithelia, microbes influence distal systems via poorly characterized mechanisms. Recent work has considered the role of extracellular vesicles in interspecies communication, but whether they are involved in systemic microbe-host interaction is unclear. Here, we show that distinctive nanoparticles can be isolated from mouse blood within 2.5 h of consuming Lacticaseibacillus rhamnosus JB-1. In contrast to blood nanoparticles from saline-fed mice, they reproduced lipoteichoic acid-mediated immune functions of the original bacteria, including activation of TLR2 and increased IL-10 expression by dendritic cells. Like the fed bacteria, they also reduced IL-8 induced by TNF in an intestinal epithelial cell line. Though enriched for host neuronal proteins, these isolated nanoparticles also contained proteins and viral (phage) DNA of fed bacterial origin. Our data strongly suggest that oral consumption of live bacteria rapidly leads to circulation of their membrane vesicles and phages and demonstrate a nanoparticulate pathway whereby beneficial bacteria and probiotics may systemically affect their hosts.</t>
  </si>
  <si>
    <t>[Champagne-Jorgensen, Kevin] McMaster Univ, Neurosci Grad Program, Hamilton, ON, Canada; [Champagne-Jorgensen, Kevin; Stanisz, Andrew M.; Mian, M. Firoz; Bienenstock, John] St Josephs Healthcare Hamilton, Brain Body Inst, Hamilton, ON, Canada; [Jose, Tamina A.] McMaster Univ, Dept Biochem &amp; Biomed Sci, Hamilton, ON, Canada; [Jose, Tamina A.; Hynes, Alexander P.] McMaster Univ, Farncombe Family Digest Hlth Res Inst, Dept Med, Hamilton, ON, Canada; [Hynes, Alexander P.] McMaster Univ, Dept Med, Hamilton, ON, Canada; [Bienenstock, John] McMaster Univ, Dept Pathol &amp; Mol Med, Hamilton, ON, Canada</t>
  </si>
  <si>
    <t>McMaster University; McMaster University; McMaster University; McMaster University; McMaster University; McMaster University</t>
  </si>
  <si>
    <t>Champagne-Jorgensen, K (corresponding author), McMaster Univ, Neurosci Grad Program, Hamilton, ON, Canada.;Champagne-Jorgensen, K (corresponding author), St Josephs Healthcare Hamilton, Brain Body Inst, Hamilton, ON, Canada.</t>
  </si>
  <si>
    <t>champk1@mcmaster.ca</t>
  </si>
  <si>
    <t>Champagne-Jorgensen, Kevin/AFK-0579-2022</t>
  </si>
  <si>
    <t>Champagne-Jorgensen, Kevin/0000-0002-1445-1449</t>
  </si>
  <si>
    <t>1949-0976</t>
  </si>
  <si>
    <t>1949-0984</t>
  </si>
  <si>
    <t>10.1080/19490976.2021.1993583</t>
  </si>
  <si>
    <t>WOS:000715538700001</t>
  </si>
  <si>
    <t>Zhang, KS; Xu, SX; Shi, XJ; Xu, GW; Shen, CC; Liu, XT; Zheng, HX</t>
  </si>
  <si>
    <t>Zhang, Keshan; Xu, Shouxing; Shi, Xijuan; Xu, Guowei; Shen, Chaochao; Liu, Xiangtao; Zheng, Haixue</t>
  </si>
  <si>
    <t>Exosomes-mediated transmission of foot-and-mouth disease virus in vivo and in vitro</t>
  </si>
  <si>
    <t>VETERINARY MICROBIOLOGY</t>
  </si>
  <si>
    <t>FMDV; Exosomes; Infection; Transmission; Immune evasion</t>
  </si>
  <si>
    <t>HEPATITIS-C VIRUS; PERSISTENT INFECTION; URINARY EXOSOMES; DNA VACCINE; B-VIRUS; BIOGENESIS; SECRETION; TRANSDUCTION; CELLS; REPLICATION</t>
  </si>
  <si>
    <t>Exosomes are small membrane-enclosed vesicles that participate in intercellular communication between cells Numerous evidences suggested that exosomes derived from virus-infected cells can mediate virus transmission or/and regulate immune response. Foot-and-mouth disease virus (FMDV) is the prototype member of the Aphthovirus genus of the Picomaviridae family. It can cause highly infectious disease of cloven-hoofed livestock and significantly increase public awareness. However, the role of exosomes in the transmission of FMDV has stil remained unknown. In this study, full length of FMDV genomic RNA and partial viral proteins were identified it purified exosomes isolated from FMDV-infected PK-15 cells with qRT-PCR and /MS. Exosomes from FMDV infected cells were capable of transmitting infection to naive PK-15 cells and suckling mice. Furthermore exosome-mediated infection cannot be fully blocked by FMDV-specific neutralizing antibodies. This finding highlights that FMDV transmission by exosomes as a potential immune evasion mechanism.</t>
  </si>
  <si>
    <t>[Zhang, Keshan; Xu, Shouxing; Shi, Xijuan; Xu, Guowei; Shen, Chaochao; Liu, Xiangtao; Zheng, Haixue] Chinese Acad Agr Sci, Lanzhou Vet Res Inst, Natl Foot &amp; Mouth Dis Reference Lab, State Key Lab Vet Etiol Biol, Lanzhou 73004, Gansu, Peoples R China</t>
  </si>
  <si>
    <t>Chinese Academy of Agricultural Sciences; Lanzhou Veterinary Research Institute, CAAS</t>
  </si>
  <si>
    <t>Zheng, HX (corresponding author), Chinese Acad Agr Sci, Lanzhou Vet Res Inst, 1 Xujiaping, Lanzhou 730046, Gansu, Peoples R China.</t>
  </si>
  <si>
    <t>haixuezheng@163.com</t>
  </si>
  <si>
    <t>0378-1135</t>
  </si>
  <si>
    <t>1873-2542</t>
  </si>
  <si>
    <t>10.1016/j.vetmic.2019.04.030</t>
  </si>
  <si>
    <t>Microbiology; Veterinary Sciences</t>
  </si>
  <si>
    <t>WOS:000472124600023</t>
  </si>
  <si>
    <t>Elbakrawy, E; Bains, SK; Bright, S; AL-Abedi, R; Mayah, A; Goodwin, E; Kadhim, M</t>
  </si>
  <si>
    <t>Elbakrawy, Eman; Bains, Savneet Kaur; Bright, Scott; AL-Abedi, Raheem; Mayah, Ammar; Goodwin, Edwin; Kadhim, Munira</t>
  </si>
  <si>
    <t>Radiation-Induced Senescence Bystander Effect: The Role of Exosomes</t>
  </si>
  <si>
    <t>BIOLOGY-BASEL</t>
  </si>
  <si>
    <t>senescence; exosomes; radiation; bystander; the role of exosomes</t>
  </si>
  <si>
    <t>GENOMIC INSTABILITY; DNA-DAMAGE; CELLS; TELOMERES; RESPONSES; EXPOSURE; RELEASE</t>
  </si>
  <si>
    <t>Ionizing Radiation (IR), especially at high doses, induces cellular senescence in exposed cultures. IR also induces bystander effects through signals released from irradiated cells, and these effects include many of the same outcomes observed following direct exposure. Here, we investigate if radiation can cause senescence through a bystander mechanism. Control cultures were exposed directly to 0, 0.1, 2, and 10 Gy. Unirradiated cells were treated with medium from irradiated cultures or with exosomes extracted from irradiated medium. The level of senescence was determined post-treatment (24 h, 15 days, 30 days, and 45 days) by beta-galactosidase staining. Media from cultures exposed to all four doses, and exosomes from these cultures, induced significant senescence in recipient cultures. Senescence levels were initially low at the earliest timepoint, and peaked at 15 days, and then decreased with further passaging. These results demonstrate that senescence is inducible through a bystander mechanism. As with other bystander effects, bystander senescence was induced by a low radiation dose. However, unlike other bystander effects, cultures recovered from bystander senescence after repeated passaging. Bystander senescence may be a potentially significant effect of exposure to IR, and may have both beneficial and harmful effects in the context of radiotherapy.</t>
  </si>
  <si>
    <t>[Elbakrawy, Eman; Bains, Savneet Kaur; AL-Abedi, Raheem; Mayah, Ammar; Kadhim, Munira] Oxford Brookes Univ, Fac Hlth &amp; Life Sci, Dept Biol &amp; Med Sci, Gipsy Lane, Oxford OX3 0BP, England; [Elbakrawy, Eman] Atom Energy Author, Natl Ctr Radiat Res &amp; Technol, Dept Radiat Phys, 3 Ahmed El Zomor Al Manteqah Ath Thamenah, Cairo 11787, Egypt; [Bright, Scott] Univ Texas MD Anderson Canc Ctr, Dept Radiat Phys, 1515 Holcombe Blvd, Houston, TX 77030 USA; [Goodwin, Edwin] Angelina Biomed Labs, 2110 Deer Valley Lane, Laporte, CO 80535 USA</t>
  </si>
  <si>
    <t>Oxford Brookes University; Egyptian Knowledge Bank (EKB); Egyptian Atomic Energy Authority (EAEA); National Center for Radiation Research &amp; Technology; University of Texas System; UTMD Anderson Cancer Center</t>
  </si>
  <si>
    <t>Kadhim, M (corresponding author), Oxford Brookes Univ, Fac Hlth &amp; Life Sci, Dept Biol &amp; Med Sci, Gipsy Lane, Oxford OX3 0BP, England.</t>
  </si>
  <si>
    <t>emanoxford2018@gmail.com; savi.kaur.bains@hotmail.co.uk; SJBright@mdanderson.org; 14107920@brookes.ac.uk; amayah@brookes.ac.uk; Eds_email@msn.com; mkadhim@brookes.ac.uk</t>
  </si>
  <si>
    <t>2079-7737</t>
  </si>
  <si>
    <t>10.3390/biology9080191</t>
  </si>
  <si>
    <t>WOS:000564554300001</t>
  </si>
  <si>
    <t>Kim, SY; Yi, DY</t>
  </si>
  <si>
    <t>Kim, Su Yeong; Yi, Dae Yong</t>
  </si>
  <si>
    <t>Analysis of the human breast milk microbiome and bacterial extracellular vesicles in healthy mothers</t>
  </si>
  <si>
    <t>EXPERIMENTAL AND MOLECULAR MEDICINE</t>
  </si>
  <si>
    <t>OUTER-MEMBRANE VESICLES; STAPHYLOCOCCUS-AUREUS; METAGENOMIC ANALYSIS</t>
  </si>
  <si>
    <t>Gut bacteria: Analysing transfer from mother to child Human breast milk contains a diverse population of bacteria, and tiny membrane-bound packages called extracellular vesicles (EVs) released by bacteria, both of which may contribute to the establishment of beneficial bacterial populations in the infant gut. The microbes that live naturally in our gut are believed to be involved in the development of a healthy immune system, as well as supporting digestion and influencing other aspects of health. Su Yeong Kim and Dae Yong Yi at Chung-Ang University Hospital in Seoul, South Korea, performed a detailed analysis of DNA from bacteria and EVs in breast milk produced by healthy mothers. In addition to categorising the diverse bacterial populations, the study confirms the presence of EVs in human breast milk. These EVs may influence the transmission of bacteria from the mother into an infant's gut. The microbiota of human breast milk (HBM) contribute to infant gut colonization; however, whether bacterial extracellular vesicles (EVs) are present in HBM or might contribute to this process remains unknown. In this study, we characterized the HBM microbiota of healthy Korean mothers and measured the key bacteria likely affecting infant gut colonization by analyzing both the microbiota and bacterial EVs. A total of 22 HBM samples were collected from lactating mothers. The DNA of bacteria and bacteria-derived EVs was extracted from each sample. In alpha-diversity analyses, bacterial samples showed higher richness and evenness than bacterial EV samples, and beta-diversity analyses showed significant differences between bacteria and bacterial EVs within identical individual samples. Firmicutes accounted for the largest proportion among the phyla, followed by Proteobacteria, Bacteroidetes, and Actinobacteria, in both bacteria and bacterial EV samples. At the genus level,Streptococcus(25.1%) andStaphylococcus(10.7%) were predominant in bacterial samples, whereasBacteroides(9.1%),Acinetobacter(6.9%), andLactobacillaceae(f)(5.5%) were prevalent in bacterial EV samples. Several genera, includingBifidobacterium, were significantly positively correlated between the two samples. This study revealed the diverse bacterial communities in the HBM of healthy lactating mothers, and found that gut-associated genera accounted for a high proportion in bacterial EV samples. Our findings suggest the existence of key bacteria with metabolic activity that are independent of the major bacterial populations that inhabit HBM, and the possibility that EVs derived from these bacteria are involved in the vertical transfer of gut microbiota.</t>
  </si>
  <si>
    <t>[Kim, Su Yeong; Yi, Dae Yong] Chung Ang Univ Hosp, Dept Pediat, Seoul 06973, South Korea; [Yi, Dae Yong] Chung Ang Univ, Coll Med, Seoul 06911, South Korea</t>
  </si>
  <si>
    <t>Chung Ang University; Chung Ang University Hospital; Chung Ang University; Chung Ang University Hospital</t>
  </si>
  <si>
    <t>Yi, DY (corresponding author), Chung Ang Univ Hosp, Dept Pediat, Seoul 06973, South Korea.;Yi, DY (corresponding author), Chung Ang Univ, Coll Med, Seoul 06911, South Korea.</t>
  </si>
  <si>
    <t>meltemp2@hanmail.net</t>
  </si>
  <si>
    <t>Yi, Dae yong/G-1729-2014</t>
  </si>
  <si>
    <t>Yi, Dae Yong/0000-0002-4168-7131</t>
  </si>
  <si>
    <t>1226-3613</t>
  </si>
  <si>
    <t>2092-6413</t>
  </si>
  <si>
    <t>10.1038/s12276-020-0470-5</t>
  </si>
  <si>
    <t>WOS:000555345300001</t>
  </si>
  <si>
    <t>Jeon, H; Kang, SK; Lee, MS</t>
  </si>
  <si>
    <t>Jeon, Hyungtaek; Kang, Su-Kyung; Lee, Myung-Shin</t>
  </si>
  <si>
    <t>Effects of different separation methods on the physical and functional properties of extracellular vesicles</t>
  </si>
  <si>
    <t>EMERGING ROLE; EXOSOMES; CELLS</t>
  </si>
  <si>
    <t>Extracellular vesicles (EVs) are small vesicles secreted from cells. They have crucial biological functions in intercellular communications and may even be biomarkers for cancer. The various methods used to isolate EVs from body fluid and cell culture supernatant have been compared in prior studies, which determined that the component yield and physical properties of isolated EVs depend largely on the isolation method used. Several novel and combined methods have been recently developed, which have not yet been compared to the established methods. Therefore, the purpose of this study is to compare the physical and functional differences in EVs isolated using a differential centrifugation method, the precipitation-based Invitrogen kit, the ExoLutE kit, and the Exodisc, of which the latter two were recently developed. We investigated the properties of EVs isolated from non-infected and Kaposi's sarcoma-associated herpesvirus-infected human umbilical vein endothelial cells using each method and determined the yields of DNA, RNA, and proteins using quantitative polymerase chain reaction and bicinchoninic acid assays. Additionally, we determined whether the biological activity of EVs correlated with the quantity or physical properties of the EVs isolated using different methods. We found that Exodisc was the most suitable method for obtaining large quantities of EVs, which might be useful for biomarker investigations, and that the EVs separated using Exodisc exhibited the highest complement activation activity. However, we also found that the functional properties of EVs were best maintained when differential centrifugation was used. Effective isolation is necessary to study EVs as tools for diagnosing cancer and our findings may have relevant implications in the field of oncology by providing researchers with data to assist their selection of a suitable isolation method.</t>
  </si>
  <si>
    <t>[Jeon, Hyungtaek; Kang, Su-Kyung; Lee, Myung-Shin] Eulji Univ, Sch Med, Dept Microbiol &amp; Immunol, Daejeon, South Korea</t>
  </si>
  <si>
    <t>Lee, MS (corresponding author), Eulji Univ, Sch Med, Dept Microbiol &amp; Immunol, Daejeon, South Korea.</t>
  </si>
  <si>
    <t>JUL 7</t>
  </si>
  <si>
    <t>e0235793</t>
  </si>
  <si>
    <t>10.1371/journal.pone.0235793; 10.1371/journal.pone.0235793.r001; 10.1371/journal.pone.0235793.r002; 10.1371/journal.pone.0235793.r003; 10.1371/journal.pone.0235793.r004</t>
  </si>
  <si>
    <t>WOS:000550645600032</t>
  </si>
  <si>
    <t>Ricklefs, FL; Alayo, Q; Krenzlin, H; Mahmoud, AB; Speranza, MC; Nakashima, H; Hayes, JL; Lee, K; Balaj, L; Passaro, C; Rooj, AK; Krasemann, S; Carter, BS; Chen, CC; Steed, T; Treiber, J; Rodig, S; Yang, K; Nakano, I; Lee, H; Weissleder, R; Breakefield, XO; Godlewski, J; Westphal, M; Lamszus, K; Freeman, GJ; Bronisz, A; Lawler, SE; Chiocca, EA</t>
  </si>
  <si>
    <t>Ricklefs, Franz L.; Alayo, Quazim; Krenzlin, Harald; Mahmoud, Ahmad B.; Speranza, Maria C.; Nakashima, Hiroshi; Hayes, Josie L.; Lee, Kyungheon; Balaj, Leonora; Passaro, Carmela; Rooj, Arun K.; Krasemann, Susanne; Carter, Bob S.; Chen, Clark C.; Steed, Tyler; Treiber, Jeffrey; Rodig, Scott; Yang, Katherine; Nakano, Ichiro; Lee, Hakho; Weissleder, Ralph; Breakefield, Xandra O.; Godlewski, Jakub; Westphal, Manfred; Lamszus, Katrin; Freeman, Gordon J.; Bronisz, Agnieszka; Lawler, Sean E.; Chiocca, E. Antonio</t>
  </si>
  <si>
    <t>Immune evasion mediated by PD-L1 on glioblastoma-derived extracellular vesicles</t>
  </si>
  <si>
    <t>SCIENCE ADVANCES</t>
  </si>
  <si>
    <t>CANCER-IMMUNOTHERAPY; INTRATUMORAL HETEROGENEITY; LYMPHOCYTE-ACTIVATION; INDUCE APOPTOSIS; T-LYMPHOCYTES; EXPRESSION; EXOSOMES; RNA; GLIOMA; MICROENVIRONMENT</t>
  </si>
  <si>
    <t>Binding of programmed death ligand-1 (PD-L1) to programmed cell death protein-1 (PD1) leads to cancer immune evasion via inhibition of T cell function. One of the defining characteristics of glioblastoma, a universally fatal brain cancer, is its profound local and systemic immunosuppression. Glioblastoma has also been shown to generate extracellular vesicles (EVs), which may play an important role in tumor progression. We thus hypothesized that glioblastoma EVs may be important mediators of immunosuppression and that PD-L1 could play a role. We show that glioblastoma EVs block T cell activation and proliferation in response to T cell receptor stimulation. PD-L1 was expressed on the surface of some, but not of all, glioblastoma-derived EVs, with the potential to directly bind to PD1. An anti-PD1 receptor blocking antibody significantly reversed the EV-mediated blockade of T cell activation but only when PD-L1 was present on EVs. When glioblastoma PD-L1 was up-regulated by IFN-gamma, EVs also showed some PD-L1-dependent inhibition of T cell activation. PD-L1 expression correlated with the mesenchymal transcriptome profile and was anatomically localized in the perinecrotic and pseudopalisading niche of human glioblastoma specimens. PD-L1 DNA was present in circulating EVs from glioblastoma patients where it correlated with tumor volumes of up to 60 cm(3). These results suggest that PD-L1 on EVs may be another mechanism for glioblastoma to suppress antitumor immunity and support the potential of EVs as biomarkers in tumor patients.</t>
  </si>
  <si>
    <t>[Ricklefs, Franz L.; Alayo, Quazim; Krenzlin, Harald; Mahmoud, Ahmad B.; Speranza, Maria C.; Nakashima, Hiroshi; Passaro, Carmela; Rooj, Arun K.; Godlewski, Jakub; Bronisz, Agnieszka; Lawler, Sean E.; Chiocca, E. Antonio] Harvard Med Sch, Brigham &amp; Womens Hosp, Dept Neurosurg, Harvey Cushing Neuro Oncol Labs, Boston, MA 02115 USA; [Ricklefs, Franz L.; Westphal, Manfred; Lamszus, Katrin] Univ Med Ctr Hamburg Eppendorf, Dept Neurosurg, Hamburg, Germany; [Mahmoud, Ahmad B.] Taibah Univ, Coll Appl Med Sci, Madinah Munawwarah, Saudi Arabia; [Speranza, Maria C.; Freeman, Gordon J.] Harvard Med Sch, Dana Farber Canc Inst, Dept Med Oncol, Boston, MA 02215 USA; [Hayes, Josie L.] Univ Calif Berkeley, Sch Publ Hlth, Berkeley, CA 94720 USA; [Lee, Kyungheon; Lee, Hakho; Weissleder, Ralph] Massachusetts Gen Hosp, Ctr Syst Biol, Boston, MA 02114 USA; [Balaj, Leonora; Carter, Bob S.] Massachusetts Gen Hosp, Dept Neurosurg, Boston, MA 02114 USA; [Krasemann, Susanne] Univ Med Ctr Hamburg Eppendorf, Inst Neuropathol, Hamburg, Germany; [Chen, Clark C.; Steed, Tyler; Treiber, Jeffrey] Univ Calif San Diego, Dept Neurosurg, La Jolla, CA 92121 USA; [Rodig, Scott; Yang, Katherine] Brigham &amp; Womens Hosp, Dept Pathol, Boston, MA 02115 USA; [Nakano, Ichiro] Univ Birmingham, Comprehens Canc Ctr, Birmingham, AL 35294 USA; [Breakefield, Xandra O.] Massachusetts Gen Hosp, Dept Neurol, Boston, MA 02114 USA; [Breakefield, Xandra O.] Massachusetts Gen Hosp, Dept Radiol, Boston, MA 02114 USA; [Breakefield, Xandra O.] Harvard Med Sch, Program Neurosci, Boston, MA 02114 USA; [Steed, Tyler] Emory Univ, Dept Neurosurg, 1365 Clifton Rd Northeast, Atlanta, GA 30322 USA; [Treiber, Jeffrey] Baylor Coll, Dept Neurosurg, Med Med Ctr, McNair Campus 7200, Cambridge, TX 7200 USA</t>
  </si>
  <si>
    <t>Harvard University; Brigham &amp; Women's Hospital; Harvard Medical School; University of Hamburg; University Medical Center Hamburg-Eppendorf; Taibah University; Harvard University; Dana-Farber Cancer Institute; Harvard Medical School; University of California System; University of California Berkeley; Harvard University; Massachusetts General Hospital; Harvard University; Massachusetts General Hospital; University of Hamburg; University Medical Center Hamburg-Eppendorf; University of California System; University of California San Diego; Harvard University; Brigham &amp; Women's Hospital; Harvard University; Massachusetts General Hospital; Harvard University; Massachusetts General Hospital; Harvard University; Harvard Medical School; Emory University; Baylor College of Medicine</t>
  </si>
  <si>
    <t>Lawler, SE; Chiocca, EA (corresponding author), Harvard Med Sch, Brigham &amp; Womens Hosp, Dept Neurosurg, Harvey Cushing Neuro Oncol Labs, Boston, MA 02115 USA.</t>
  </si>
  <si>
    <t>slawler@bwh.harvard.edu; eachiocca@bwh.harvard.edu</t>
  </si>
  <si>
    <t>Bronisz, Agnieszka/M-3485-2019; Krenzlin, Harald/AAS-7602-2020; Rodig, Scott/Y-3889-2019; Bronisz, Agnieszka/G-5980-2019; Carter, Bob/AAB-4868-2021; Krenzlin, Harald/AAM-5444-2020; Godlewski, Jakub/U-4700-2019; Nakano, Ichiro/AAR-9562-2020; Freeman, Gordon/AAC-5380-2019</t>
  </si>
  <si>
    <t>Bronisz, Agnieszka/0000-0002-5841-1051; Bronisz, Agnieszka/0000-0002-5841-1051; Carter, Bob/0000-0002-3586-1324; Nakano, Ichiro/0000-0002-0916-3207; Freeman, Gordon/0000-0002-7210-5616; Balaj, Leonora/0000-0003-0931-9715; Godlewski, Jakub/0000-0003-2122-9798; Mahmoud, ahmad/0000-0002-1515-2352; Alayo, Quazim/0000-0001-5524-7105; Hayes, Josie/0000-0001-6402-6320; Ricklefs, Franz/0000-0002-1321-6930</t>
  </si>
  <si>
    <t>2375-2548</t>
  </si>
  <si>
    <t>eaar2766</t>
  </si>
  <si>
    <t>10.1126/sciadv.aar2766</t>
  </si>
  <si>
    <t>WOS:000427892700035</t>
  </si>
  <si>
    <t>Biadglegne, F; Schmidt, JR; Engel, KM; Lehmann, J; Lehmann, RT; Reinert, A; Konig, B; Schiller, J; Kalkhof, S; Sack, U</t>
  </si>
  <si>
    <t>Biadglegne, Fantahun; Schmidt, Johannes R.; Engel, Kathrin M.; Lehmann, Joerg; Lehmann, Robert T.; Reinert, Anja; Konig, Brigitte; Schiller, Juergen; Kalkhof, Stefan; Sack, Ulrich</t>
  </si>
  <si>
    <t>Mycobacterium tuberculosis Affects Protein and Lipid Content of Circulating Exosomes in Infected Patients Depending on Tuberculosis Disease State</t>
  </si>
  <si>
    <t>exosomes; lipids; proteins; Mycobacterium tuberculosis; plasma; tuberculosis</t>
  </si>
  <si>
    <t>EXTRACELLULAR VESICLES; IDENTIFICATION; GENE; SPHINGOLIPIDS; MACROPHAGES; EXPRESSION; BIOMARKERS; ADHESION; PLATFORM; MODEL</t>
  </si>
  <si>
    <t>Tuberculosis (TB), which is caused by the bacterium Mycobacterium tuberculosis (Mtb), is still one of the deadliest infectious diseases. Understanding how the host and pathogen interact in active TB will have a significant impact on global TB control efforts. Exosomes are increasingly recognized as a means of cell-to-cell contact and exchange of soluble mediators. In the case of TB, exosomes are released from the bacillus and infected cells. In the present study, a comprehensive lipidomics and proteomics analysis of size exclusion chromatography-isolated plasma-derived exosomes from patients with TB lymphadenitis (TBL) and treated as well as untreated pulmonary TB (PTB) was performed to elucidate the possibility to utilize exosomes in diagnostics and knowledge building. According to our findings, exosome-derived lipids and proteins originate from both the host and Mtb in the plasma of active TB patients. Exosomes from all patients are mostly composed of sphingomyelins (SM), phosphatidylcholines, phosphatidylinositols, free fatty acids, triacylglycerols (TAG), and cholesterylesters. Relative proportions of, e.g., SMs and TAGs, vary depending on the disease or treatment state and could be linked to Mtb pathogenesis and dormancy. We identified three proteins of Mtb origin: DNA-directed RNA polymerase subunit beta (RpoC), Diacyglycerol O-acyltransferase (Rv2285), and Formate hydrogenase (HycE), the latter of which was discovered to be differently expressed in TBL patients. Furthermore, we discovered that Mtb infection alters the host protein composition of circulating exosomes, significantly affecting a total of 37 proteins. All TB patients had low levels of apolipoproteins, as well as the antibacterial proteins cathelicidin, Scavenger Receptor Cysteine Rich Family Member (SSC5D), and Ficolin 3 (FCN3). When compared to healthy controls, the protein profiles of PTB and TBL were substantially linked, with 14 proteins being co-regulated. However, adhesion proteins (integrins, Intercellular adhesion molecule 2 (ICAM2), CD151, Proteoglycan 4 (PRG4)) were shown to be more prevalent in PTB patients, while immunoglobulins, Complement component 1r (C1R), and Glutamate receptor-interacting protein 1 (GRIP1) were found to be more abundant in TBL patients, respectively. This study could confirm findings from previous reports and uncover novel molecular profiles not previously in focus of TB research. However, we applied a minimally invasive sampling and analysis of circulating exosomes in TB patients. Based on the findings given here, future studies into host-pathogen interactions could pave the way for the development of new vaccines and therapies.</t>
  </si>
  <si>
    <t>[Biadglegne, Fantahun] Bahir Dar Univ, Coll Med &amp; Hlth Sci, POB 79, Bahir Dar, Ethiopia; [Biadglegne, Fantahun; Konig, Brigitte] Univ Leipzig, Fac Med, Inst Med Microbiol &amp; Epidemiol Infect Dis, D-04103 Leipzig, Germany; [Biadglegne, Fantahun; Sack, Ulrich] Univ Leipzig, Fac Med, Inst Clin Immunol, D-04103 Leipzig, Germany; [Schmidt, Johannes R.; Lehmann, Joerg; Kalkhof, Stefan] Fraunhofer Inst Cell Therapy &amp; Immunol, Dept Preclin Dev &amp; Validat, D-04103 Leipzig, Germany; [Engel, Kathrin M.; Schiller, Juergen] Univ Leipzig, Fac Med, Inst Med Phys &amp; Biophys, D-04107 Leipzig, Germany; [Lehmann, Joerg; Kalkhof, Stefan] Fraunhofer Cluster Excellence Immune Mediated Dis, D-04103 Leipzig, Germany; [Lehmann, Robert T.] Fraunhofer Inst Cell Therapy &amp; Immunol, Dept Diagnost, D-04103 Leipzig, Germany; [Reinert, Anja] Univ Leipzig, Fac Vet Med, Inst Anat Histol &amp; Embryol, D-04103 Leipzig, Germany; [Kalkhof, Stefan] Univ Appl Sci Coburg, Inst Bioanal, D-96450 Coburg, Germany</t>
  </si>
  <si>
    <t>Bahir Dar University; University of Gondar; Leipzig University; Leipzig University; Fraunhofer Gesellschaft; Leipzig University; Fraunhofer Gesellschaft; Leipzig University; Hochschule Coburg</t>
  </si>
  <si>
    <t>Biadglegne, F (corresponding author), Bahir Dar Univ, Coll Med &amp; Hlth Sci, POB 79, Bahir Dar, Ethiopia.;Biadglegne, F (corresponding author), Univ Leipzig, Fac Med, Inst Med Microbiol &amp; Epidemiol Infect Dis, D-04103 Leipzig, Germany.;Biadglegne, F (corresponding author), Univ Leipzig, Fac Med, Inst Clin Immunol, D-04103 Leipzig, Germany.</t>
  </si>
  <si>
    <t>fantahun.degeneh@medizin.uni-leipzig.de; johannes.schmidt@izi.fraunhofer.de; kathrin.engel@medizin.uni-leipzig.de; joerg.lehmann@izi.fraunhofer.de; robert.lehmann@izi.fraunhofer.de; anja.reinert@vetmed.uni-leipzig.de; brigitte.koenig@medizin.uni-leipzig.de; juergen.schiller@medizin.uni-leipzig.de; stefan.kalkhof@hs-coburg.de; ulrich.sack@medizin.uni-leipzig.de</t>
  </si>
  <si>
    <t>Kalkhof, Stefan/Z-2000-2019</t>
  </si>
  <si>
    <t>Kalkhof, Stefan/0000-0001-6121-7105; Konig, Brigitte/0000-0002-5073-3849; Reinert, Anja/0000-0002-3368-0028; Biadglegne, Fantahun/0000-0003-1340-607X; Schmidt, Johannes/0000-0002-2026-9715; Lehmann, Jorg/0000-0001-8560-648X</t>
  </si>
  <si>
    <t>10.3390/biomedicines10040783</t>
  </si>
  <si>
    <t>WOS:000785177900001</t>
  </si>
  <si>
    <t>Kornicka-Garbowska, K; Pedziwiatr, RL; Wozniak, P; Kucharczyk, K; Marycz, K</t>
  </si>
  <si>
    <t>Kornicka-Garbowska, Katarzyna; Pedziwiatr, Rafa L.; Wozniak, Paulina; Kucharczyk, Katarzyna; Marycz, Krzysztof</t>
  </si>
  <si>
    <t>Microvesicles isolated from 5-azacytidine- and-resveratrol-treated mesenchymal stem cells for the treatment of suspensory ligament injury in horse-a case report</t>
  </si>
  <si>
    <t>Microvesicles; Suspensory ligament; Horse; Injury</t>
  </si>
  <si>
    <t>DIGITAL FLEXOR TENDON; SKELETAL-MUSCLE; DIFFERENTIATION; REGENERATION; EXOSOMES</t>
  </si>
  <si>
    <t>Background: In athlete horses, suspensory ligament (SL) injuries are the most common cause of lameness. Healing of SL injury is still problematic, and even proper rehabilitation and pharmacological therapy do not guarantee returning to the initial performance level. In our previous studies, we have shown that a combination of 5-azacytidine (AZA) and resveratrol (RES) exerts beneficial, rejuvenating effects on metabolic syndrome derived adipose-derived stem cells (ASCs). Thus, in the presented research, we investigate whether not only rejuvenated ASC but also microvesicles (MVs(AZA/RES)) secreted by them possess enhanced regenerative properties in SL injury. Methods: In the presented study, a 6-year-old Dutch Warmblood gelding, working in jumping, was diagnosed with SL injury using ultrasonography, Doppler, real-time elastography and thermography. As a therapeutic strategy, the affected animal was treated with extracellular microvesicles derived from ASC treated with the combination of 5-azacytydine (AZA) and resveratrol (RES) (MVs(AZA/RES)). Results: First, anti-apoptotic effects of MVs(AZA/RES) were tested in co-culture with metabolic syndrome derived ASC. The proliferation of cells and expression of pro-apoptotic genes were investigated. Then, MVs(AZA/RES) were injected directly into the injured SL of the Dutch Warmblood gelding. In vitro assays revealed that MVs(AZA/RES) enhance the proliferation of ASC and exert an anti-apoptotic effect. In the affected horse, the application of MVs(AZA/RES) resulted in increased lesion filling and improvement of angiogenesis and elasticity in injured tissue. Conclusions: As MVs(AZA/RES) mimic several of the biological actions exerted by ASC, they have become an alternative for stem cell-based therapies and can be effectively applied for the treatment of SL injury in horses.</t>
  </si>
  <si>
    <t>[Kornicka-Garbowska, Katarzyna; Kucharczyk, Katarzyna; Marycz, Krzysztof] Wroclaw Univ Environm &amp; Life Sci, Dept Expt Biol, Norwida 27B St,A7 Bldg, PL-50375 Wroclaw, Poland; [Kornicka-Garbowska, Katarzyna; Wozniak, Paulina; Kucharczyk, Katarzyna; Marycz, Krzysztof] Int Inst Translat Med, Jesionowa 11, PL-55114 Wisznia Mala, Poland; [Pedziwiatr, Rafa L.] EQUI VET Clin Horses, Stogniowice 55A, PL-32100 Proszowice, Poland; [Marycz, Krzysztof] Justus Liebig Univ, Fac Vet Med Equine Clin Equine Surg, D-35392 Giessen, Germany</t>
  </si>
  <si>
    <t>Wroclaw University of Environmental &amp; Life Sciences; Justus Liebig University Giessen</t>
  </si>
  <si>
    <t>Marycz, K (corresponding author), Wroclaw Univ Environm &amp; Life Sci, Dept Expt Biol, Norwida 27B St,A7 Bldg, PL-50375 Wroclaw, Poland.;Marycz, K (corresponding author), Int Inst Translat Med, Jesionowa 11, PL-55114 Wisznia Mala, Poland.;Marycz, K (corresponding author), Justus Liebig Univ, Fac Vet Med Equine Clin Equine Surg, D-35392 Giessen, Germany.</t>
  </si>
  <si>
    <t>DEC 18</t>
  </si>
  <si>
    <t>10.1186/s13287-019-1469-5</t>
  </si>
  <si>
    <t>WOS:000507295400001</t>
  </si>
  <si>
    <t>Ebrahim, N; Al Saihati, HA; Mostafa, O; Hassouna, A; Abdulsamea, S; El Gebaly, EAEM; Abo-Rayah, NH; Sabry, D; El-Sherbiny, M; Madboly, AG; Hussien, NI; Saadani, RE; Ebrahim, HA; Badr, OAM; Elsherbiny, NM; Salim, RF</t>
  </si>
  <si>
    <t>Ebrahim, Nesrine; Al Saihati, Hajir A.; Mostafa, Ola; Hassouna, Amira; Abdulsamea, Sameh; Abd El Aziz M. El Gebaly, Eman; Abo-Rayah, Nashwa Hassan; Sabry, Dina; El-Sherbiny, Mohamed; Madboly, Abdelmonem G.; Hussien, Noha Ibrahim; Saadani, Raja El Hasnaoui; Ebrahim, Hasnaa Ali; Badr, Omnia A. M.; Elsherbiny, Nehal M.; Salim, Rabab F.</t>
  </si>
  <si>
    <t>Prophylactic Evidence of MSCs-Derived Exosomes in Doxorubicin/Trastuzumab-Induced Cardiotoxicity: Beyond Mechanistic Target of NRG-1/Erb Signaling Pathway</t>
  </si>
  <si>
    <t>trastuzumab; doxorubicin; stem cells; exosomes; cardiac toxicity; NRG-1; MAPK; AKT</t>
  </si>
  <si>
    <t>INHIBIT CARDIOMYOCYTE APOPTOSIS; INDUCED CARDIAC DYSFUNCTION; HEART-FAILURE; MITOCHONDRIAL DYSFUNCTION; EXTRACELLULAR VESICLES; VENTRICULAR MYOCYTES; OXIDATIVE STRESS; GENE-EXPRESSION; DOXORUBICIN; CELLS</t>
  </si>
  <si>
    <t>Trastuzumab (Trz) is a humanized monoclonal antibody targeting epidermal growth factor receptor 2 (HER2; ErbB2). The combined administration of Trz and doxorubicin (DOX) has shown potent anti-cancer efficacy; however, this regimen may be accompanied by severe cardiac toxicity. Mesenchymal stem cells (MSCs)-derived exosomes are nanosized vesicles that play a crucial role in cell-cell communication and have shown efficacy in the treatment of various diseases. In this study, we aim to investigate the cardioprotective effects of MSCs-derived exosomes in a DOX/Trz- mediated cardiotoxicity model, and the possible mechanisms underlying these effects are elucidated. Forty-nine male rats were randomly assigned into four groups: Group I (control); Group II (Dox/Trz); Group III (protective group); and Group IV (curative group). Cardiac hemodynamic parameters, serum markers of cardiac injury, oxidative stress indices, and cardiac histopathology were investigated. Further, transcript profile of specific cardiac tissue injury markers, apoptotic markers, and fibrotic markers were analyzed using qRT-PCR, while the protein expressions of pAkt/Akt, pERK/ERK, pJNK/JNK, pJNK/JNK, and pSTAT3/STAT3 were evaluated by ELISA. Additionally, cardiac mirR-21 and miR-26a were assessed. A combined administration of DOX/Trz disrupted redox and Ca2+ homeostasis in cardiac tissue induced myocardial fibrosis and myofibril loss and triggered cardiac DNA damage and apoptosis. This cardiotoxicity was accompanied by decreased NRG-1 mRNA expression, HER2 protein expression, and suppressed AKT and ERK phosphorylation, while triggering JNK phosphorylation. Histological and ultra-structural examination of cardiac specimens revealed features typical of cardiac tissue injury. Moreover, a significant decline in cardiac function was observed through biochemical testing of serum cardiac markers and echocardiography. In contrast, the intraperitoneal administration of MSCs-derived exosomes alleviated cardiac injury in both protective and curative protocols; however, superior effects were observed in the protective protocol. The results of the current study indicate the ability of MSCs-derived exosomes to protect from and attenuate DOX/Trz-induced cardiotoxicity. The NRG-1/HER2, MAPK, PI3K/AKT, PJNK/JNK, and PSTAT/STAT signaling pathways play roles in mediating these effects.</t>
  </si>
  <si>
    <t>[Ebrahim, Nesrine; Mostafa, Ola] Benha Univ, Fac Med, Dept Med Histol &amp; Cell Biol, Banha 13511, Egypt; [Ebrahim, Nesrine] Benha Univ, Fac Med, Stem Cell Unit, Banha 13511, Egypt; [Al Saihati, Hajir A.] Univ Hafr Albatin, Coll Appl Med Sci, Dept Clin Lab Sci, Hafr Albatin 39524, Saudi Arabia; [Hassouna, Amira] AUT Univ, Fac Hlth &amp; Environm Sci, Sch Interprofess Hlth Studies, Auckland 1010, New Zealand; [Abdulsamea, Sameh] Benha Univ, Fac Med, Dept Paediat, Banha 13511, Egypt; [Abd El Aziz M. El Gebaly, Eman; Abo-Rayah, Nashwa Hassan] Benha Univ, Fac Med, Dept Clin Pharmacol, Banha 13511, Egypt; [Sabry, Dina] Badr Univ Cairo, Fac Med, Dept Med Biochem &amp; Mol Biol, Cairo 11562, Egypt; [Sabry, Dina] Cairo Univ, Fac Med, Dept Med Biochem &amp; Mol Biol, Giza 12613, Egypt; [El-Sherbiny, Mohamed] AlMaarefa Univ, Coll Med, Dept Basic Med Sci, Riyadh 11597, Saudi Arabia; [El-Sherbiny, Mohamed] Mansoura Univ, Mansoura Fac Med, Dept Anat, Mansoura 35516, Egypt; [Madboly, Abdelmonem G.] Benha Univ, Fac Med, Dept Forens Med &amp; Clin Toxicol, Banha 13511, Egypt; [Hussien, Noha Ibrahim] Banha Univ, Fac Med, Dept Physiol, Banha 13511, Egypt; [Saadani, Raja El Hasnaoui; Ebrahim, Hasnaa Ali] Princess Nourah bint Abdulrahman Univ, Coll Med, Dept Basic Med Sci, Riyadh 11671, Saudi Arabia; [Badr, Omnia A. M.] Benha Univ, Fac Agr, Dept Genet &amp; Genet Engn, Banha 13511, Egypt; [Elsherbiny, Nehal M.] Univ Tabuk, Fac Pharm, Dept Pharmaceut Chem, Tabuk 71491, Saudi Arabia; [Elsherbiny, Nehal M.] Mansoura Univ, Fac Pharm, Dept Biochem, Mansoura 35516, Egypt; [Salim, Rabab F.] Benha Univ, Fac Med, Dept Med Biochem &amp; Mol Biol, Banha 13511, Egypt</t>
  </si>
  <si>
    <t>Egyptian Knowledge Bank (EKB); Benha University; Egyptian Knowledge Bank (EKB); Benha University; Hafr Albatin University; Auckland University of Technology; Egyptian Knowledge Bank (EKB); Benha University; Egyptian Knowledge Bank (EKB); Benha University; Badr University in Cairo; Egyptian Knowledge Bank (EKB); Cairo University; Almaarefa University; Egyptian Knowledge Bank (EKB); Mansoura University; Egyptian Knowledge Bank (EKB); Benha University; Egyptian Knowledge Bank (EKB); Benha University; Princess Nourah bint Abdulrahman University; Egyptian Knowledge Bank (EKB); Benha University; University of Tabuk; Egyptian Knowledge Bank (EKB); Mansoura University; Egyptian Knowledge Bank (EKB); Benha University</t>
  </si>
  <si>
    <t>Elsherbiny, NM (corresponding author), Univ Tabuk, Fac Pharm, Dept Pharmaceut Chem, Tabuk 71491, Saudi Arabia.;Elsherbiny, NM (corresponding author), Mansoura Univ, Fac Pharm, Dept Biochem, Mansoura 35516, Egypt.;Salim, RF (corresponding author), Benha Univ, Fac Med, Dept Med Biochem &amp; Mol Biol, Banha 13511, Egypt.</t>
  </si>
  <si>
    <t>nesrien.salem@fmed.bu.edu.eg; hajirsh@uhb.edu.sa; ola.mostafa.moez@gmail.com; amirahassona@kasralainy.edu.eg; samoha779@gmail.com; drimanpharma@gmail.com; nashwa.aborayah@fmed.bu.edu.eg; dinasabry@kasralainy.edu.eg; msharbini@mcst.edu.sa; abdelmonem.algohari@fmed.bu.edu.eg; noha.ibrahim@fmed.bu.edu.eg; relhasnaui@pnu.edu.sa; haebrahim@pnu.edu.sa; omnia.badr@fagr.bu.edu.eg; drnehal@hotmail.com; rabab.bio@yahoo.com</t>
  </si>
  <si>
    <t>Badr, Omnia A./AAW-2036-2021; Ebrahim, Hasnaa ALi/AGM-8084-2022; Elsherbiny, Nehal/AAF-9206-2019; Al Sharbini, Mohammed/AAC-3445-2022</t>
  </si>
  <si>
    <t>Badr, Omnia A./0000-0002-2318-9630; Elsherbiny, Nehal/0000-0001-5167-3377; Al Sharbini, Mohammed/0000-0002-0814-1743; Abo-Rayah, Nashwa/0000-0002-1607-3103; Sabry, Dina/0000-0002-6720-3385; Madboly, Abdelmonem G./0000-0002-4333-9018</t>
  </si>
  <si>
    <t>10.3390/ijms23115967</t>
  </si>
  <si>
    <t>WOS:000808893700001</t>
  </si>
  <si>
    <t>Rizwan, MN; Ma, YX; Nenkov, M; Jin, L; Schroder, DC; Westermann, M; Gassler, N; Chen, Y</t>
  </si>
  <si>
    <t>Rizwan, Maryam Noor; Ma, Yunxia; Nenkov, Miljana; Jin, Lai; Schroeder, Desiree Charlotte; Westermann, Martin; Gassler, Nikolaus; Chen, Yuan</t>
  </si>
  <si>
    <t>Tumor-derived exosomes: Key players in non-small cell lung cancer metastasis and their implication for targeted therapy</t>
  </si>
  <si>
    <t>MOLECULAR CARCINOGENESIS</t>
  </si>
  <si>
    <t>exosome; lung cancer; metastasis; microRNA; targeted therapy; the tumor microenvironment</t>
  </si>
  <si>
    <t>EXTRACELLULAR VESICLES; MEDIATED ENDOCYTOSIS; MOLECULAR-MECHANISMS; TRANSFERRIN RECEPTOR; ACQUIRED-RESISTANCE; RAB GTPASES; BIOGENESIS; DELIVERY; BIOLOGY; IDENTIFICATION</t>
  </si>
  <si>
    <t>Exosomes represent extracellular vesicles of endocytic origin ranging from 30 to 100 nm that are released by most of eukaryotic cells and can be found in body fluids. These vesicles in carrying DNA, RNA, microRNA (miRNA), Long noncoding RNA, proteins, and lipids serve as intercellular communicators. Due to their role in crosstalk between tumor cells and mesenchymal stroma cells, they are vital for tumor growth, progression, and anticancer drug resistance. Lung cancer is a global leading cause of cancer-related deaths with 5-year survival rates of about 7% in patients with distant metastasis. Although the implementation of targeted therapy has improved the clinical outcome of nonsmall cell lung cancer, drug resistance remains a major obstacle. Lung tumor-derived exosomes (TDEs) conveying molecular information from tumor cells to their neighbor cells or cells at distant sites of the body activate the tumor microenvironment (TME) and facilitate tumor metastasis. Exosomal miRNAs are also considered as noninvasive biomarkers for early diagnosis of lung cancer. This review summarizes the influence of lung TDEs on the TME and metastasis. Their involvement in targeted therapy resistance and potential clinical applications are discussed. Additionally, challenges encountered in the development of exosome-based therapeutic strategies are addressed.</t>
  </si>
  <si>
    <t>[Rizwan, Maryam Noor; Ma, Yunxia; Nenkov, Miljana; Schroeder, Desiree Charlotte; Gassler, Nikolaus; Chen, Yuan] Friedrich Schiller Univ, Jena Univ Hosp, Inst Forens Med, Sect Pathol, Jena, Germany; [Jin, Lai] Zhejiang Prov Peoples Hosp, Dept Hematol, Hangzhou, Peoples R China; [Westermann, Martin] Friedrich Schiller Univ, Jena Univ Hosp, Electron Microscopy Ctr, Jena, Germany</t>
  </si>
  <si>
    <t>Friedrich Schiller University of Jena; Zhejiang Provincial People's Hospital; Friedrich Schiller University of Jena</t>
  </si>
  <si>
    <t>Chen, Y (corresponding author), Friedrich Schiller Univ, Jena Univ Hosp, Klinikum 1, D-07747 Jena, Germany.</t>
  </si>
  <si>
    <t>yuan.chen@med.uni-jena.de</t>
  </si>
  <si>
    <t>Rizwan, Maryam/0000-0002-8931-5396</t>
  </si>
  <si>
    <t>0899-1987</t>
  </si>
  <si>
    <t>1098-2744</t>
  </si>
  <si>
    <t>10.1002/mc.23378</t>
  </si>
  <si>
    <t>WOS:000729321200001</t>
  </si>
  <si>
    <t>Abak, A; Abhari, A; Rahimzadeh, S</t>
  </si>
  <si>
    <t>Abak, Atefe; Abhari, Alireza; Rahimzadeh, Sevda</t>
  </si>
  <si>
    <t>Exosomes in cancer: small vesicular transporters for cancer progression and metastasis, biomarkers in cancer therapeutics</t>
  </si>
  <si>
    <t>PEERJ</t>
  </si>
  <si>
    <t>TUMOR-DERIVED EXOSOMES; MYELOGENOUS LEUKEMIA-CELLS; PROSTATE-CANCER; HEPATOCELLULAR-CARCINOMA; EXTRACELLULAR VESICLES; STROMAL CELLS; IN-VIVO; GLIOBLASTOMA-MULTIFORME; MEDIATED TRANSFER; SUPPRESSOR-CELLS</t>
  </si>
  <si>
    <t>Cancer progression is a polygenic procedure in which the exosomes can function as substantial roles. Exosomes are tiny, phospholipid bilayer membrane nanovesicles of endocytic derivation with a diameter of 40-100 nm. These nanovesicles can transport bioactive molecules containing mRNAs, proteins, DNA fragments, and non-coding RNAs from a donor cell to recipient cells, and cause the alteration in genetic and epigenetic factors and reprogramming of the target cells. Many diverse cell types such as mesenchymal cells, immune cells, and cancer cells can induce the release of exosomes. Increasing evidence illustrated that the exosomes derived from tumor cells might trigger the tumor initiation, tumor cell growth and progression, metastasis, and drug resistance. The secreted nanovesicles of exosomes can play significant roles in cells communicate via shuttling the nucleic acid molecules and proteins to target cells and tissues. In this review, we discussed multiple mechanisms related to biogenesis, load, and shuttle of the exosomes. Also, we illustrated the diverse roles of exosomes in several types of human cancer development, tumor immunology, angiogenesis, and metastasis. The exosomes may act as the promising biomarkers for the prognosis of various types of cancers which suggested a new pathway for anti-tumor therapeutic of these nano vesicles and promoted exosome-based cancer for clinical diagnostic and remedial procedures.</t>
  </si>
  <si>
    <t>[Abak, Atefe] Tabriz Univ Med Sci, Fac Med, Dept Med Genet, Tabriz, Iran; [Abhari, Alireza; Rahimzadeh, Sevda] Tabriz Univ Med Sci, Fac Med, Dept Biochem &amp; Clin Lab, Tabriz, Iran</t>
  </si>
  <si>
    <t>Tabriz University of Medical Science; Tabriz University of Medical Science</t>
  </si>
  <si>
    <t>Abak, A (corresponding author), Tabriz Univ Med Sci, Fac Med, Dept Med Genet, Tabriz, Iran.</t>
  </si>
  <si>
    <t>atefeh.abak@gmail.com</t>
  </si>
  <si>
    <t>Abak, Atefe/L-6590-2018</t>
  </si>
  <si>
    <t>Abak, Atefe/0000-0002-2581-8859</t>
  </si>
  <si>
    <t>2167-8359</t>
  </si>
  <si>
    <t>MAY 29</t>
  </si>
  <si>
    <t>e4763</t>
  </si>
  <si>
    <t>10.7717/peerj.4763</t>
  </si>
  <si>
    <t>WOS:000434233600002</t>
  </si>
  <si>
    <t>Pedraza, MCC; Novais, TF; Faustoferri, RC; Quivey, RG; Terekhov, A; Hamaker, BR; Klein, MI</t>
  </si>
  <si>
    <t>Castillo Pedraza, Midian C.; Novais, Tatiana F.; Faustoferri, Roberta C.; Quivey, Robert G., Jr.; Terekhov, Anton; Hamaker, Bruce R.; Klein, Marlise I.</t>
  </si>
  <si>
    <t>Extracellular DNA and lipoteichoic acids interact with exopolysaccharides in the extracellular matrix of Streptococcus mutans biofilms</t>
  </si>
  <si>
    <t>BIOFOULING</t>
  </si>
  <si>
    <t>Biofilms; Streptococcus mutans; extracellular matrix; exopolysaccharides; eDNA; lipoteichoic acids</t>
  </si>
  <si>
    <t>GRAM-POSITIVE BACTERIA; TEICHOIC-ACIDS; DENTAL-CARIES; ORAL BIOFILMS; ACTINOMYCES-NAESLUNDII; STAPHYLOCOCCUS-AUREUS; MEMBRANE-VESICLES; D-ALANINE; STARCH; GLUCOSYLTRANSFERASES</t>
  </si>
  <si>
    <t>Streptococcus mutans-derived exopolysaccharides are virulence determinants in the matrix of biofilms that cause caries. Extracellular DNA (eDNA) and lipoteichoic acid (LTA) are found in cariogenic biofilms, but their functions are unclear. Therefore, strains of S. mutans carrying single deletions that would modulate matrix components were used: eDNA -Delta lytS and Delta lytT; LTA -Delta dltA and Delta dltD; and insoluble exopolysaccharide -Delta gtfB. Single-species (parental strain S. mutans UA159 or individual mutant strains) and mixed-species (UA159 or mutant strain, Actinomyces naeslundii and Streptococcus gordonii) biofilms were evaluated. Distinct amounts of matrix components were detected, depending on the inactivated gene. eDNA was found to be cooperative with exopolysaccharide in early phases, while LTA played a larger role in the later phases of biofilm development. The architecture of mutant strains biofilms was distinct (vs UA159), demonstrating that eDNA and LTA influence exopolysaccharide distribution and microcolony organization. Thus, eDNA and LTA may shape exopolysaccharide structure, affecting strategies for controlling pathogenic biofilms.</t>
  </si>
  <si>
    <t>[Castillo Pedraza, Midian C.; Novais, Tatiana F.; Klein, Marlise I.] Sao Paulo State Univ Unesp, Sch Dent, Dept Dent Mat &amp; Prosthodont, Araraquara, Brazil; [Faustoferri, Roberta C.; Quivey, Robert G., Jr.] Univ Rochester, Ctr Oral Biol, Rochester, NY USA; [Terekhov, Anton; Hamaker, Bruce R.] Purdue Univ, Whistler Ctr Carbohydrate Res, Smith Hall, W Lafayette, IN 47907 USA</t>
  </si>
  <si>
    <t>Universidade Estadual Paulista; University of Rochester; Purdue University System; Purdue University; Purdue University West Lafayette Campus</t>
  </si>
  <si>
    <t>Klein, MI (corresponding author), Sao Paulo State Univ Unesp, Sch Dent, Dept Dent Mat &amp; Prosthodont, Araraquara, Brazil.</t>
  </si>
  <si>
    <t>mklein@foar.unesp.br</t>
  </si>
  <si>
    <t>Klein, Marlise I/A-2550-2014</t>
  </si>
  <si>
    <t>Klein, Marlise I/0000-0002-7916-1557; Faustoferri, Roberta/0000-0002-5741-4971; Castillo Pedraza, Midian Clara/0000-0003-3170-3959</t>
  </si>
  <si>
    <t>0892-7014</t>
  </si>
  <si>
    <t>1029-2454</t>
  </si>
  <si>
    <t>10.1080/08927014.2017.1361412</t>
  </si>
  <si>
    <t>Biotechnology &amp; Applied Microbiology; Marine &amp; Freshwater Biology</t>
  </si>
  <si>
    <t>WOS:000413980100003</t>
  </si>
  <si>
    <t>Cavallari, C; Ranghino, A; Tapparo, M; Cedrino, M; Figliolini, F; Grange, C; Giannachi, V; Garneri, P; Deregibus, MC; Collino, F; Rispoli, P; Camussi, G; Brizzi, MF</t>
  </si>
  <si>
    <t>Cavallari, Claudia; Ranghino, Andrea; Tapparo, Marta; Cedrino, Massimo; Figliolini, Federico; Grange, Cristina; Giannachi, Valentina; Garneri, Paolo; Deregibus, Maria Chiara; Collino, Federica; Rispoli, Pietro; Camussi, Giovanni; Brizzi, Maria Felice</t>
  </si>
  <si>
    <t>Serum-derived extracellular vesicles (EVs) impact on vascular remodeling and prevent muscle damage in acute hind limb ischemia</t>
  </si>
  <si>
    <t>MICROPARTICLES INDUCE ANGIOGENESIS; MICROVESICLES; EXOSOMES; RECEPTOR; DISEASE; CELLS; STATE; NEOVASCULARIZATION; INTERVENTION; REGENERATION</t>
  </si>
  <si>
    <t>Serum is an abundant and accessible source of circulating extracellular vesicles (EVs). Serum-EV (sEV) pro-angiogenic capability and mechanisms are herein analyzed using an in vitro assay which predicts sEV angiogenic potential in vivo. Effective sEVs (e-sEVs) also improved vascular remodeling and prevented muscle damage in a mouse model of acute hind limb ischemia. e-sEV angiogenic proteomic and transcriptomic analyses show a positive correlation with matrix-metalloproteinase activation and extracellular matrix organization, cytokine and chemokine signaling pathways, Insulin-like Growth Factor and platelet pathways, and Vascular Endothelial Growth Factor signaling. A discrete gene signature, which highlights differences in e-sEV and ineffective-EV biological activity, was identified using gene ontology (GO) functional analysis. An enrichment of genes associated with the Transforming Growth Factor beta 1 (TGF beta 1) signaling cascade is associated with e-sEV administration but not with ineffective-EVs. Chromatin immunoprecipitation analysis on the inhibitor of DNA binding I (ID1) promoter region, and the knock-down of small mother against decapentaplegic (SMAD) 1-5 proteins confirmed GO functional analyses. This study demonstrates sEV pro-angiogenic activity, validates a simple, sEV pro-angiogenic assay which predicts their biological activity in vivo, and identifies the TGF beta 1 cascade as a relevant mediator. We propose serum as a readily available source of EVs for therapeutic purposes.</t>
  </si>
  <si>
    <t>[Cavallari, Claudia; Ranghino, Andrea; Tapparo, Marta; Cedrino, Massimo; Figliolini, Federico; Grange, Cristina; Giannachi, Valentina; Deregibus, Maria Chiara; Collino, Federica; Camussi, Giovanni; Brizzi, Maria Felice] Univ Turin, Dept Med Sci, Scarl 2i3T, Turin, Italy; [Garneri, Paolo; Rispoli, Pietro] Univ Turin, Dept Surg Sci, Turin, Italy</t>
  </si>
  <si>
    <t>University of Turin; University of Turin</t>
  </si>
  <si>
    <t>Camussi, G; Brizzi, MF (corresponding author), Univ Turin, Dept Med Sci, Scarl 2i3T, Turin, Italy.</t>
  </si>
  <si>
    <t>giovanni.camussi@unito.it; mariafelice.brizzi@unito.it</t>
  </si>
  <si>
    <t>Brizzi, Maria Felice/J-7882-2016; Collino, Federica/AAC-6032-2022; Figliolini, Federico/AAQ-4983-2021; Collino, Federica/B-9956-2018</t>
  </si>
  <si>
    <t>Collino, Federica/0000-0002-3619-7701; Collino, Federica/0000-0002-3619-7701; GRANGE, CRISTINA/0000-0002-6960-5476; Figliolini, Federico/0000-0002-6142-2261</t>
  </si>
  <si>
    <t>10.1038/s41598-017-08250-0</t>
  </si>
  <si>
    <t>WOS:000407570000057</t>
  </si>
  <si>
    <t>Jiao, Y; Li, WW; Wang, W; Tong, XY; Xia, R; Fan, J; Du, JE; Zhang, CM; Shi, XY</t>
  </si>
  <si>
    <t>Jiao, Yang; Li, Weiwei; Wang, Wei; Tong, Xingyu; Xia, Ran; Fan, Jie; Du, Jianer; Zhang, Chengmi; Shi, Xueyin</t>
  </si>
  <si>
    <t>Platelet-derived exosomes promote neutrophil extracellular trap formation during septic shock</t>
  </si>
  <si>
    <t>CRITICAL CARE</t>
  </si>
  <si>
    <t>Septic shock; Neutrophil extracellular traps; Platelets; Exosomes; HMGB1; miRNAs</t>
  </si>
  <si>
    <t>AUTOPHAGY; ACTIVATION; CELLS; MTOR; MICRORNAS; MECHANISM; PATHWAYS; RELEASE; PROTEIN; SEPSIS</t>
  </si>
  <si>
    <t>BackgroundPlatelets have been demonstrated to be potent activators of neutrophil extracellular trap (NET) formation during sepsis. However, the mediators and molecular pathways involved in human platelet-mediated NET generation remain poorly defined. Circulating plasma exosomes mostly originating from platelets may induce vascular apoptosis and myocardial dysfunction during sepsis; however, their role in NET formation remains unclear. This study aimed to detect whether platelet-derived exosomes could promote NET formation during septic shock and determine the potential mechanisms involved.MethodsPolymorphonuclear neutrophils (PMNs) were cocultured with exosomes isolated from the plasma of healthy controls and septic shock patients or the supernatant of human platelets stimulated ex vivo with phosphate buffer saline (PBS) or lipopolysaccharide (LPS). A lethal cecal ligation and puncture (CLP) mouse model was used to mimic sepsis in vivo; then, NET formation and molecular pathways were detected.ResultsNET components (dsDNA and MPO-DNA complexes) were significantly increased in response to treatment with septic shock patient-derived exosomes and correlated positively with disease severity and outcome. In the animal CLP model, platelet depletion reduced plasma exosome concentration, NET formation, and lung injury. Mechanistic studies demonstrated that exosomal high-mobility group protein 1 (HMGB1) and/or miR-15b-5p and miR-378a-3p induced NET formation through the Akt/mTOR autophagy pathway. Furthermore, the results suggested that I kappa B kinase (IKK) controls platelet-derived exosome secretion in septic shock.ConclusionsPlatelet-derived exosomes promote excessive NET formation in sepsis and subsequent organ injury. This finding suggests a previously unidentified role of platelet-derived exosomes in sepsis and may lead to new therapeutic approaches.</t>
  </si>
  <si>
    <t>[Jiao, Yang; Li, Weiwei; Wang, Wei; Tong, Xingyu; Xia, Ran; Du, Jianer; Zhang, Chengmi; Shi, Xueyin] Shanghai Jiao Tong Univ, Sch Med, Xinhua Hosp, Dept Anesthesiol, 1665 Kongjiang Rd, Shanghai 200092, Peoples R China; [Jiao, Yang; Li, Weiwei; Wang, Wei; Tong, Xingyu; Xia, Ran; Du, Jianer; Zhang, Chengmi; Shi, Xueyin] Shanghai Jiao Tong Univ, Sch Med, Xinhua Hosp, Intens Care Unit, 1665 Kongjiang Rd, Shanghai 200092, Peoples R China; [Fan, Jie] Univ Pittsburgh, Sch Med, Dept Surg, Pittsburgh, PA 15213 USA</t>
  </si>
  <si>
    <t>Shanghai Jiao Tong University; Shanghai Jiao Tong University; Pennsylvania Commonwealth System of Higher Education (PCSHE); University of Pittsburgh</t>
  </si>
  <si>
    <t>Du, JE; Zhang, CM; Shi, XY (corresponding author), Shanghai Jiao Tong Univ, Sch Med, Xinhua Hosp, Dept Anesthesiol, 1665 Kongjiang Rd, Shanghai 200092, Peoples R China.;Du, JE; Zhang, CM; Shi, XY (corresponding author), Shanghai Jiao Tong Univ, Sch Med, Xinhua Hosp, Intens Care Unit, 1665 Kongjiang Rd, Shanghai 200092, Peoples R China.</t>
  </si>
  <si>
    <t>dujianer@xinhuamed.com.cn; zhcm1985@sina.com; shixueyin1128@163.com</t>
  </si>
  <si>
    <t>1466-609X</t>
  </si>
  <si>
    <t>1364-8535</t>
  </si>
  <si>
    <t>JUN 29</t>
  </si>
  <si>
    <t>10.1186/s13054-020-03082-3</t>
  </si>
  <si>
    <t>WOS:000546213800001</t>
  </si>
  <si>
    <t>Surmiak, M; Wawrzycka-Adamczyk, K; Kosalka-Wegiel, J; Polanski, S; Sanak, M</t>
  </si>
  <si>
    <t>Surmiak, Marcin; Wawrzycka-Adamczyk, Katarzyna; Kosalka-Wegiel, Joanna; Polanski, Stanisnaw; Sanak, Marek</t>
  </si>
  <si>
    <t>Profile of circulating extracellular vesicles microRNA correlates with the disease activity in granulomatosis with polyangiitis</t>
  </si>
  <si>
    <t>autoinflammatory disease; vasculitis; gene regulation; neutrophils</t>
  </si>
  <si>
    <t>ANTINEUTROPHIL CYTOPLASMIC ANTIBODIES; TRAPS NETS; EXOSOMES; SERUM; NEUTROPHILS; BIOGENESIS; MIRNA</t>
  </si>
  <si>
    <t>Granulomatosis with polyangiitis is a chronic systemic inflammation of small vessels characterized by circulating anti-proteinase 3 antibodies. MicroRNAs are short transcripts specifically inhibiting protein translation. Neutrophils can release extracellular vesicles (EVs). In this study, we characterized profile of microRNA trafficked by EVs in GPA. Fifty patients with GPA were enrolled in the study, 25 at acute phase and 25 in remission. EVs were isolated from the blood serum, characterized by their number, size distribution. Following unbiased screening for microRNA expression, differentially expressed candidates were measured by quantitative real-time PCR. Circulating DNA-myeloperoxidase complexes and apoptosis-related transcripts in peripheral blood neutrophils were quantified. We identified four differentially expressed microRNAs from EVs in granulomatosis with polyangiitis (GPA). MirRs-223-3p, 664a-3p, and 200b-3p were overexpressed and miR-769-5p suppressed in the disease. A distinction between GPA and healthy controls was the best for miR-223-3p, whereas miR-664a-3p discriminated between active vs. remission of GPA. Correct classification of the disease based on multivariate discriminant analysis was between 92% for acute phase and 85% for all study participants. Bioinformatics tools identified genes transcripts potentially targeted by the microRNAs belonging to pathways of focal adhesion, mTOR signaling and neutrophil extracellular traps formation. Two microRNAs positively correlating with the disease activity were involved in neutrophil extracellular traps formation and apoptosis inhibition. A comprehensive characteristics of microRNAs trafficked in bloodstream inside EVs correlates well with our understanding of the mechanisms of GPA and suggests the importance of EVs in progression of the disease.</t>
  </si>
  <si>
    <t>[Surmiak, Marcin; Kosalka-Wegiel, Joanna; Sanak, Marek] Jagiellonian Univ Med Coll, Dept Internal Med, 8 Skawinska Str, PL-31066 Krakow, Poland; [Wawrzycka-Adamczyk, Katarzyna] Univ Hosp, Clin Rheumatol &amp; Immunol, 2 Jakubowskiego Str, PL-30668 Krakow, Poland; [Polanski, Stanisnaw] Univ Hosp, Div Biochem &amp; Mol Diagnost, 8 Skawinska Str, PL-31066 Krakow, Poland</t>
  </si>
  <si>
    <t>Jagiellonian University; Collegium Medicum Jagiellonian University</t>
  </si>
  <si>
    <t>Sanak, M (corresponding author), Jagiellonian Univ Med Coll, Dept Internal Med, Div Mol Biol &amp; Clin Genet, 8 Skawinska Str, PL-31066 Krakow, Poland.</t>
  </si>
  <si>
    <t>marek.sanak@uj.edu.pl</t>
  </si>
  <si>
    <t>Sanak, Marek/AAV-1628-2021</t>
  </si>
  <si>
    <t>Sanak, Marek/0000-0001-7635-8103</t>
  </si>
  <si>
    <t>10.1093/cei/uxac022</t>
  </si>
  <si>
    <t>WOS:000784527200001</t>
  </si>
  <si>
    <t>Douanne, N; Dong, G; Douanne, M; Olivier, M; Fernandez-Prada, C</t>
  </si>
  <si>
    <t>Douanne, Noelie; Dong, George; Douanne, Melanie; Olivier, Martin; Fernandez-Prada, Christopher</t>
  </si>
  <si>
    <t>Unravelling the proteomic signature of extracellular vesicles released by drug-resistantLeishmania infantum parasites</t>
  </si>
  <si>
    <t>PLOS NEGLECTED TROPICAL DISEASES</t>
  </si>
  <si>
    <t>ANTIMONY RESISTANCE; LEISHMANIA-INFANTUM; SECRETION; COMMUNICATION; PROTEINS; EXOSOMES; TARGETS; TRANSMISSION; EXPRESSION; IMPACT</t>
  </si>
  <si>
    <t>Author summary Visceral leishmaniasis is a life-threatening disease caused byLeishmania infantumparasites, which are transmitted by sand flies. In the absence of vaccines, current control of this disease is based on chemotherapy, which is comprised of a very limited arsenal threatened by the emergence and spread of drug-resistant strains. In the shadow of growing concern and treatment failure due to resistance, the characterization of extracellular vesicles (EVs) released by drug-resistantL.infantumparasites could shed some light on the complex nature of drug resistance inLeishmaniaand increase our understanding of the biology of the parasite. EVs are vesicles secreted by all eukaryotic cells whose contents (proteins, DNA/RNAs, lipids) vary as a function of their cellular origin. Our results demonstrate for the first time that EVs released by drug-resistant parasites are enriched in unique protein markers that reflect the drug-resistance mechanisms involved in the survival of parental cells. These unique proteins included several virulence and transcription factors, as well as drug-resistance genes; this offers a potential benefit for drug-resistant parasites in terms of parasite-to-parasite communication and host-parasite interactions. Collectively, our initial results could serve as a jumping-off point for the future development of novel EV-based diagnostic tools for the detection and appraisal of antimicrobial-resistantLeishmaniapopulations. Leishmaniasis constitutes the 9(th)largest disease burden among all infectious diseases. Control of this disease is based on a short list of chemotherapeutic agents headed by pentavalent antimonials, followed by miltefosine and amphotericin B; drugs that are far from ideal due to host toxicity, elevated cost, limited access, and high rates of drug resistance. Knowing that the composition of extracellular vesicles (EVs) can vary according to the state of their parental cell, we hypothesized that EVs released by drug-resistantLeishmania infantumparasites could contain unique and differently enriched proteins depending on the drug-resistance mechanisms involved in the survival of their parental cell line. To assess this possibility, we studied EV production, size, morphology, and protein content of three well-characterized drug-resistantL.infantumcell lines and a wild-type strain. Our results are the first to demonstrate that drug-resistance mechanisms can induce changes in the morphology, size, and distribution ofL.infantumEVs. In addition, we identifiedL.infantum's core EV proteome. This proteome is highly conserved among strains, with the exception of a handful of proteins that are enriched differently depending on the drug responsible for induction of antimicrobial resistance. Furthermore, we obtained the first snapshot of proteins enriched in EVs released by antimony-, miltefosine- and amphotericin-resistant parasites. These include several virulence factors, transcription factors, as well as proteins encoded by drug-resistance genes. This detailed study ofL.infantumEVs sheds new light on the potential roles of EVs inLeishmaniabiology, particularly with respect to the parasite's survival in stressful conditions. This work outlines a crucial first step towards the discovery of EV-based profiles capable of predicting response to antileishmanial agents.</t>
  </si>
  <si>
    <t>[Douanne, Noelie; Fernandez-Prada, Christopher] Univ Montreal, Fac Vet Med, Dept Pathol &amp; Microbiol, St Hyacinthe, PQ, Canada; [Douanne, Noelie; Fernandez-Prada, Christopher] Univ Montreal, Fac Vet Med, Res Grp Infect Dis Prod Anim GREMIP, St Hyacinthe, PQ, Canada; [Dong, George; Olivier, Martin] McGill Univ, Hlth Ctr, Res Inst, Montreal, PQ, Canada; [Douanne, Melanie] Ecole Prat Hautes Etud, Dept Biol Hlth &amp; Ecol, Paris, France</t>
  </si>
  <si>
    <t>Universite de Montreal; Universite de Montreal; McGill University; UDICE-French Research Universities; PSL Research University Paris; Ecole Pratique des Hautes Etudes (EPHE)</t>
  </si>
  <si>
    <t>Fernandez-Prada, C (corresponding author), Univ Montreal, Fac Vet Med, Dept Pathol &amp; Microbiol, St Hyacinthe, PQ, Canada.;Fernandez-Prada, C (corresponding author), Univ Montreal, Fac Vet Med, Res Grp Infect Dis Prod Anim GREMIP, St Hyacinthe, PQ, Canada.;Olivier, M (corresponding author), McGill Univ, Hlth Ctr, Res Inst, Montreal, PQ, Canada.</t>
  </si>
  <si>
    <t>martin.olivier@mcgill.ca; christopher.fernandez.prada@umontreal.ca</t>
  </si>
  <si>
    <t>Fernandez-Prada, Christopher/0000-0003-4834-4956</t>
  </si>
  <si>
    <t>1935-2735</t>
  </si>
  <si>
    <t>e0008439</t>
  </si>
  <si>
    <t>10.1371/journal.pntd.0008439</t>
  </si>
  <si>
    <t>Infectious Diseases; Parasitology; Tropical Medicine</t>
  </si>
  <si>
    <t>WOS:000550067500004</t>
  </si>
  <si>
    <t>Gonzalez-King, H; Garcia, NA; Ciria, M; Gascon, ST; Sanchez, RS; Grueso, H; Gomez, M; Cabezuelo, RM; Cava, VL; Sepulveda, P</t>
  </si>
  <si>
    <t>Gonzalez-King, Hernan; Garcia, Nahuel A.; Ciria, Maria; Gascon, Sandra T.; Sanchez, Rafael S.; Grueso, Helena; Gomez, Marta; Cabezuelo, Ruben M.; Cava, Vanesa L.; Sepulveda, Pilar</t>
  </si>
  <si>
    <t>Analysis of Exosome Transfer in Mammalian Cells by Fluorescence Recovery after Photobleaching</t>
  </si>
  <si>
    <t>Exosomes; Transference; Quantification; FRAP</t>
  </si>
  <si>
    <t>BIOGENESIS; VESICLES</t>
  </si>
  <si>
    <t>During the course of evolution, prokaryote and eukaryote cells have developed elegant and to some extent analogous strategies to communicate with each other and to adapt to their surrounding environment. Eukaryotic cells communicate with each other through direct interaction via juxtracrine signaling and/or by secreting soluble factors. These secreted factors can subsequently act on the cell itself (autocrine signaling) or interact with neighboring (paracrine signaling) and distant (endocrine signaling) cells. The transmission of signals between cells and tissues has been traditionally thought to be regulated by a protein-based signaling system. Typically, proteins destined for secretion into the extracellular milieu by exocytosis contain a canonical secretion-targeting sequence (Thery et al., 2002). However, proteins with a non-continuous and stimulus-dependent secretion, proteins that do not contain a canonical secretion-targeting sequence, and species that might be too labile within the extracellular environment (DNA, mRNA, peptides, metabolites, miRNA and other RNA species), can be secreted in small membranous extracellular vesicles (EVs) in a specific manner (Hagiwara et al., 2014). Exosomes represent one broad class of these secreted membrane vesicles with a diameter of 30-130 nm (Cocucci et al., 2009; Thery et al., 2009; Kowal et al., 2014), which are formed inside the secreting cells in endosomal compartments called multivesicular bodies. Molecules loaded into exosomes as well as the intensity of the exosome transfer between cells are important parameters for the subsequent conditioning of recipient cells. Current knowledge on secretion of exosomes and their internalization in recipient cells remains incomplete. It is known that secretion intensity of exosomes varies according to the cellular type and its physiological state (Garcia et al., 2016). Moreover, the different combination of transmembrane proteins on the surface of exosomes that facilitate the adhesion to the cell-extracellular matrix vary the avidity with which a recipient cell captures exosomes (Hoshino et al., 2015). Here, we have developed an in vitro system by which the transfer of exosomes between cells in co-culture can be quantified using FRAP ('Fluorescence Recovery After Photobleaching') technology. This protocol has been used to analyze the effects of exosome transfer of hypoxia inducible factor 1-alpha (HIF-1 alpha) in Mesenchymal Stem Cells (MSC; HIF-MSC)to Human Umbilical Cord Vein Endothelial Cells (HUVEC) (Gonzalez-King et al., 2017).</t>
  </si>
  <si>
    <t>[Gonzalez-King, Hernan; Ciria, Maria; Gascon, Sandra T.; Sanchez, Rafael S.; Grueso, Helena; Gomez, Marta; Cabezuelo, Ruben M.; Cava, Vanesa L.; Sepulveda, Pilar] Investigat Fdn La Fe Hosp, Cardiac Transplantat &amp; Regenerat, Principe Felipe Res Inst, Valencia, Spain; [Garcia, Nahuel A.] Cedars Sinai Med Ctr, Cedars Sinai Heart Inst, Los Angeles, CA 90048 USA</t>
  </si>
  <si>
    <t>Cedars Sinai Medical Center</t>
  </si>
  <si>
    <t>Sepulveda, P (corresponding author), Investigat Fdn La Fe Hosp, Cardiac Transplantat &amp; Regenerat, Principe Felipe Res Inst, Valencia, Spain.</t>
  </si>
  <si>
    <t>pilar.sepulveda.sanchis@.qmail.com</t>
  </si>
  <si>
    <t>Sepulveda, Pilar/AAA-6636-2022</t>
  </si>
  <si>
    <t>Sepulveda, Pilar/0000-0001-6071-7431; Garcia, Nahuel/0000-0001-6903-9972; Grueso Navarro, Elena/0000-0002-5384-9978; Gomez, Marta/0000-0002-7671-4734</t>
  </si>
  <si>
    <t>e2692</t>
  </si>
  <si>
    <t>10.21769/BioProtoc.2692</t>
  </si>
  <si>
    <t>WOS:000457912500006</t>
  </si>
  <si>
    <t>Al-Abedi, R; Cagatay, ST; Mayah, A; Brooks, SA; Kadhim, M</t>
  </si>
  <si>
    <t>Al-Abedi, Raheem; Cagatay, Seda Tuncay; Mayah, Ammar; Brooks, Susan A.; Kadhim, Munira</t>
  </si>
  <si>
    <t>Ionising Radiation Promotes Invasive Potential of Breast Cancer Cells: The Role of Exosomes in the Process</t>
  </si>
  <si>
    <t>exosomes; breast cancer; RIBE; invasiveness; EMT; glycosylation</t>
  </si>
  <si>
    <t>EPITHELIAL-MESENCHYMAL TRANSITION; POMATIA AGGLUTININ-BINDING; ACETYL-D-GALACTOSAMINE; HELIX-POMATIA; E-CADHERIN; MIR-200 FAMILY; TRANSCRIPTIONAL REPRESSOR; EXTRACELLULAR VESICLES; O-GLYCOSYLATION; LECTIN-BINDING</t>
  </si>
  <si>
    <t>Along with the cells that are exposed to radiation, non-irradiated cells can unveil radiation effects as a result of intercellular communication, which are collectively defined as radiation induced bystander effects (RIBE). Exosome-mediated signalling is one of the core mechanisms responsible for multidirectional communication of tumor cells and their associated microenvironment, which may result in enhancement of malignant tumor phenotypes. Recent studies show that exosomes and exosome-mediated signalling also play a dynamic role in RIBE in cancer cell lines, many of which focused on altered exosome cargo or their effects on DNA damage. However, there is a lack of knowledge regarding how these changes in exosome cargo are reflected in other functional characteristics of cancer cells from the aspects of invasiveness and metastasis. Therefore, in the current study, we aimed to investigate exosome-mediated bystander effects of 2 Gy X-ray therapeutic dose of ionizing radiation on the invasive potential of MCF-7 breast cancer cells in vitro via assessing Matrigel invasion potential, epithelial mesenchymal transition (EMT) characteristics and the extent of glycosylation, as well as underlying plausible molecular mechanisms. The findings show that exosomes derived from irradiated MCF-7 cells enhance invasiveness of bystander MCF-7 cells, possibly through altered miRNA and protein content carried in exosomes.</t>
  </si>
  <si>
    <t>[Al-Abedi, Raheem; Cagatay, Seda Tuncay; Mayah, Ammar; Brooks, Susan A.; Kadhim, Munira] Oxford Brookes Univ, Dept Biol &amp; Med Sci, Oxford OX3 0BP, England</t>
  </si>
  <si>
    <t>Oxford Brookes University</t>
  </si>
  <si>
    <t>Kadhim, M (corresponding author), Oxford Brookes Univ, Dept Biol &amp; Med Sci, Oxford OX3 0BP, England.</t>
  </si>
  <si>
    <t>abediraheem19@gmail.com; stuncay-cagatay@brookes.ac.uk; mayahahj@gmail.com; sbrooks@brookes.ac.uk; mkadhim@brookes.ac.uk</t>
  </si>
  <si>
    <t>Brooks, Susan/0000-0002-7908-7078; , SEDA/0000-0001-6045-5523</t>
  </si>
  <si>
    <t>10.3390/ijms222111570</t>
  </si>
  <si>
    <t>WOS:000719312700001</t>
  </si>
  <si>
    <t>Tian, YF; Ning, CF; He, F; Yin, BC; Ye, BC</t>
  </si>
  <si>
    <t>Tian, Ya-Fei; Ning, Cui-Fang; He, Fang; Yin, Bin-Cheng; Ye, Bang-Ce</t>
  </si>
  <si>
    <t>Highly sensitive detection of exosomes by SERS using gold nanostar@ Raman reporter@ nanoshell structures modified with a bivalent cholesterollabeled DNA anchor</t>
  </si>
  <si>
    <t>CANCER EXOSOMES; ELECTROCHEMICAL DETECTION; PANCREATIC-CANCER; SCATTERING; QUANTIFICATION; SENSOR; MICROVESICLES; SPECTROSCOPY; APTASENSOR; MICRORNAS</t>
  </si>
  <si>
    <t>Exosomes, as important signal transmitters, play a key role in intercellular communication, especially in cancer metastasis. There is considerable evidence that exosomes can be used as an indicator of cancer. However, convenient and sensitive methods for detecting exosomes are still technically challenging. Here, we present a convenient and highly sensitive surface-enhanced Raman scattering (SERS) based method by combining immunoaffinity, SERS nanoprobes, and portable Raman devices for specific isolation and accurate quantification of exosomes. To construct the SERS-based biosensor, the surfaces of gold nanostar@4-mercaptobenzoic acid@nanoshell structures (AuNS@4-MBA@Au) are modified with a bivalent cholesterol (B-Chol)-labeled DNA anchor to prepare SERS nanoprobes. Exosomes are specifically captured by immunomagnetic beads, and then SERS nanoprobes are fixed on the surface of exosomes by hydrophobic interactions between cholesterol and lipid membranes, thus forming a sandwich-type immunocomplex. The immunocomplex can be magnetically captured and produce enhanced SERS signals. In the absence of exosomes, the sandwich-type immunocomplex cannot be formed, and thus negligible SERS signals are detected. The degree of immunocomplex assembly and the corresponding SERS signals are positively correlated with the exosome concentration over a wide linear range of 40 to 4 x 10(7) particles per L and the limit of detection is as low as 27 particles per L. Consequently, a sensitive and simple strategy for detection of exosomes is successfully constructed. We believe that our biosensor has considerable potential as a convenient and highly sensitive quantification tool to detect exosomes in biological samples.</t>
  </si>
  <si>
    <t>[Tian, Ya-Fei; Ning, Cui-Fang; He, Fang; Yin, Bin-Cheng; Ye, Bang-Ce] East China Univ Sci &amp; Technol, State Key Lab Bioreactor Engn, Lab Biosyst &amp; Microanal, Shanghai 200237, Peoples R China; [Ye, Bang-Ce] Zhejiang Univ Technol, Coll Pharmaceut Sci, Collaborat Innovat Ctr Yangtze River Delta Reg Gr, Hangzhou 310014, Zhejiang, Peoples R China; [Ye, Bang-Ce] Shihezi Univ, Sch Chem &amp; Chem Engn, Xinjiang 832000, Peoples R China</t>
  </si>
  <si>
    <t>East China University of Science &amp; Technology; Zhejiang University of Technology; Shihezi University</t>
  </si>
  <si>
    <t>Yin, BC; Ye, BC (corresponding author), East China Univ Sci &amp; Technol, State Key Lab Bioreactor Engn, Lab Biosyst &amp; Microanal, Shanghai 200237, Peoples R China.;Ye, BC (corresponding author), Zhejiang Univ Technol, Coll Pharmaceut Sci, Collaborat Innovat Ctr Yangtze River Delta Reg Gr, Hangzhou 310014, Zhejiang, Peoples R China.;Ye, BC (corresponding author), Shihezi Univ, Sch Chem &amp; Chem Engn, Xinjiang 832000, Peoples R China.</t>
  </si>
  <si>
    <t>binchengyin@ecust.edu.cn; bcye@ecust.edu.cn</t>
  </si>
  <si>
    <t>Yin, Bin-Cheng/0000-0002-4011-4307</t>
  </si>
  <si>
    <t>OCT 21</t>
  </si>
  <si>
    <t>10.1039/c8an01041b</t>
  </si>
  <si>
    <t>WOS:000448338200013</t>
  </si>
  <si>
    <t>Bennit, HRF; Gonda, A; McMullen, JRW; Kabagwira, J; Wall, NR</t>
  </si>
  <si>
    <t>Bennit, Heather R. Ferguson; Gonda, Amber; McMullen, James R. W.; Kabagwira, Janviere; Wall, Nathan R.</t>
  </si>
  <si>
    <t>Peripheral Blood Cell Interactions of Cancer-Derived Exosomes Affect Immune Function</t>
  </si>
  <si>
    <t>CANCER MICROENVIRONMENT</t>
  </si>
  <si>
    <t>Exosome; Non-Hodgkin's lymphoma; B cell</t>
  </si>
  <si>
    <t>MATURE DENDRITIC CELLS; EPSTEIN-BARR-VIRUS; T-CELLS; HORIZONTAL TRANSFER; RELEASED EXOSOMES; MEMBRANE-VESICLES; TUMOR-GROWTH; ANTIGEN; INDUCE; MOLECULES</t>
  </si>
  <si>
    <t>Cancer-derived exosomes are constitutively produced and secreted into the blood and biofluids of their host patients providing a liquid biopsy for early detection and diagnosis. Given their ubiquitous nature, cancer exosomes influence biological mechanisms that are beneficial to the tumor cells where they are produced and the microenvironment in which these tumors exist. Accumulating evidence suggests that exosomes transport proteins, lipids, DNA, mRNA, miRNA and long non coding RNA (lncRNA) for the purpose of cell-cell and cell-extracellular communication. These exosomes consistently reflect the status as well as identity of their cell of origin and as such may conceivably be affecting the ability of a functional immune system to recognize and eliminate cancer cells. Recognizing and mapping the pathways in which immune suppression is garnered through these tumor derived exosome (TEX) may lead to treatment strategies in which specific cell membrane proteins or receptors may be targeted, allowing for immune surveillance to once again help with the treatment of cancer. This Review focuses on how cancer exosomes interact with immune cells in the blood.</t>
  </si>
  <si>
    <t>[Bennit, Heather R. Ferguson; Gonda, Amber; McMullen, James R. W.; Kabagwira, Janviere; Wall, Nathan R.] Loma Linda Univ, Sch Med, Ctr Hlth Dispar &amp; Mol Med, Loma Linda, CA 92350 USA; [Bennit, Heather R. Ferguson; McMullen, James R. W.; Kabagwira, Janviere; Wall, Nathan R.] Loma Linda Univ, Sch Med, Dept Basic Sci, Loma Linda, CA 92350 USA; [Bennit, Heather R. Ferguson; McMullen, James R. W.; Kabagwira, Janviere; Wall, Nathan R.] Loma Linda Univ, Sch Med, Div Biochem, Loma Linda, CA 92350 USA; [Gonda, Amber] Loma Linda Univ, Sch Med, Dept Anat, Loma Linda, CA 92350 USA; [Wall, Nathan R.] Loma Linda Univ, Ctr Hlth Dispar Research&amp; Mol Med, 11085 Campus St,Mortensen Hall,Room 162, Loma Linda, CA 92350 USA</t>
  </si>
  <si>
    <t>Loma Linda University; Loma Linda University; Loma Linda University; Loma Linda University; Loma Linda University</t>
  </si>
  <si>
    <t>Wall, NR (corresponding author), Loma Linda Univ, Sch Med, Ctr Hlth Dispar &amp; Mol Med, Loma Linda, CA 92350 USA.;Wall, NR (corresponding author), Loma Linda Univ, Sch Med, Dept Basic Sci, Loma Linda, CA 92350 USA.;Wall, NR (corresponding author), Loma Linda Univ, Sch Med, Div Biochem, Loma Linda, CA 92350 USA.;Wall, NR (corresponding author), Loma Linda Univ, Ctr Hlth Dispar Research&amp; Mol Med, 11085 Campus St,Mortensen Hall,Room 162, Loma Linda, CA 92350 USA.</t>
  </si>
  <si>
    <t>nwall@llu.edu</t>
  </si>
  <si>
    <t>Wall, Nathan R./H-7368-2015</t>
  </si>
  <si>
    <t>Wall, Nathan R./0000-0002-3235-4386; McMullen, James/0000-0001-6266-3780</t>
  </si>
  <si>
    <t>1875-2292</t>
  </si>
  <si>
    <t>1875-2284</t>
  </si>
  <si>
    <t>10.1007/s12307-018-0209-1</t>
  </si>
  <si>
    <t>WOS:000468822900004</t>
  </si>
  <si>
    <t>Campos, CDM; Childers, K; Gamage, SST; Wijerathne, H; Zhao, Z; Soper, SA</t>
  </si>
  <si>
    <t>Bohn, PW; Pemberton, JE</t>
  </si>
  <si>
    <t>Campos, Camila D. M.; Childers, Katie; Gamage, Sachindra S. T.; Wijerathne, Harshani; Zhao, Zheng; Soper, Steven A.</t>
  </si>
  <si>
    <t>Analytical Technologies for Liquid Biopsy of Subcellular Materials</t>
  </si>
  <si>
    <t>ANNUAL REVIEW OF ANALYTICAL CHEMISTRY, VOL 14, 2021</t>
  </si>
  <si>
    <t>Annual Review of Analytical Chemistry</t>
  </si>
  <si>
    <t>liquid biopsies; cell-free DNA; extracellular vesicles; virus particles</t>
  </si>
  <si>
    <t>CELL-FREE DNA; RECEPTOR-BINDING DOMAIN; SOLID-PHASE EXTRACTION; EXTRACELLULAR VESICLES; EXOSOME ISOLATION; CIRCULATING EXOSOMES; MICROFLUIDIC DEVICE; EFFICIENT ISOLATION; NUCLEIC-ACIDS; WHOLE-BLOOD</t>
  </si>
  <si>
    <t>Liquid biopsy markers, which can be secured from a simple blood draw or other biological samples, are used to manage a variety of diseases and even monitor for bacterial or viral infections. Although there are several different types of liquid biopsy markers, the subcellular ones, including cell-free DNA, microRNA, extracellular vesicles, and viral particles, are evolving in terms of their utility. A challenge with liquid biopsy markers is that they must be enriched from the biological sample prior to analysis because they are a vast minority in a mixed population, and potential interferences may be present in the sample matrix that can inhibit profiling the molecular cargo from the subcellular marker. In this article, we discuss existing and developing analytical enrichment platforms used to isolate subcellular liquid biopsy markers, and discuss their figures of merit such as recovery, throughput, and purity.</t>
  </si>
  <si>
    <t>[Campos, Camila D. M.] IMEC, Life Sci Dept, B-3001 Leuven, Belgium; [Campos, Camila D. M.] Katholieke Univ Leuven, Dept Elect Engn, B-3001 Leuven, Belgium; [Childers, Katie; Zhao, Zheng; Soper, Steven A.] Univ Kansas, Bioengn Program, Lawrence, KS 66045 USA; [Childers, Katie; Gamage, Sachindra S. T.; Zhao, Zheng; Soper, Steven A.] Ctr Biomodular Multiscale Syst Precis Med, Lawrence, KS 66045 USA; [Gamage, Sachindra S. T.; Soper, Steven A.] Univ Kansas, Dept Chem, Lawrence, KS 66045 USA; [Wijerathne, Harshani] Temple Univ, Dept Mech Engn, Philadelphia, PA 19122 USA; [Soper, Steven A.] Univ Kansas, Dept Mech Engn, Lawrence, KS 66045 USA; [Soper, Steven A.] Univ Kansas, KU Canc Ctr, Med Ctr, Kansas City, KS 66160 USA; [Soper, Steven A.] Ulsan Natl Inst Sci &amp; Technol, Ulsan 44919, South Korea</t>
  </si>
  <si>
    <t>IMEC; KU Leuven; University of Kansas; University of Kansas; Pennsylvania Commonwealth System of Higher Education (PCSHE); Temple University; University of Kansas; University of Kansas; University of Kansas Medical Center; Ulsan National Institute of Science &amp; Technology (UNIST)</t>
  </si>
  <si>
    <t>Soper, SA (corresponding author), Univ Kansas, Bioengn Program, Lawrence, KS 66045 USA.;Soper, SA (corresponding author), Ctr Biomodular Multiscale Syst Precis Med, Lawrence, KS 66045 USA.;Soper, SA (corresponding author), Univ Kansas, Dept Chem, Lawrence, KS 66045 USA.;Soper, SA (corresponding author), Univ Kansas, Dept Mech Engn, Lawrence, KS 66045 USA.;Soper, SA (corresponding author), Univ Kansas, KU Canc Ctr, Med Ctr, Kansas City, KS 66160 USA.;Soper, SA (corresponding author), Ulsan Natl Inst Sci &amp; Technol, Ulsan 44919, South Korea.</t>
  </si>
  <si>
    <t>ssoper@ku.edu</t>
  </si>
  <si>
    <t>Wijerathne, Harshani/AAD-5912-2022; Dalben Madeira Campos, Camila/A-5421-2015</t>
  </si>
  <si>
    <t>Wijerathne, Harshani/0000-0002-9921-0731; Dalben Madeira Campos, Camila/0000-0002-4345-6505; Thippala Gamage, Sachindra Shehani/0000-0002-7507-3226</t>
  </si>
  <si>
    <t>1936-1327</t>
  </si>
  <si>
    <t>1936-1335</t>
  </si>
  <si>
    <t>10.1146/annurev-anchem-091520-093931</t>
  </si>
  <si>
    <t>Chemistry, Analytical; Spectroscopy</t>
  </si>
  <si>
    <t>Chemistry; Spectroscopy</t>
  </si>
  <si>
    <t>WOS:000684016900010</t>
  </si>
  <si>
    <t>Yokoi, A; Villar-Prados, A; Oliphint, PA; Zhang, JH; Song, XZ; De Hoff, P; Morey, R; Liu, JS; Roszik, J; Clise-Dwyer, K; Burks, JK; O'Halloran, TJ; Laurent, LC; Sood, AK</t>
  </si>
  <si>
    <t>Yokoi, Akira; Villar-Prados, Alejandro; Oliphint, Paul Allen; Zhang, Jianhua; Song, Xingzhi; De Hoff, Peter; Morey, Robert; Liu, Jinsong; Roszik, Jason; Clise-Dwyer, Karen; Burks, Jared K.; O'Halloran, Theresa J.; Laurent, Louise C.; Sood, Anil K.</t>
  </si>
  <si>
    <t>Mechanisms of nuclear content loading to exosomes</t>
  </si>
  <si>
    <t>EXTRACELLULAR VESICLES; DNA; MICRONUCLEUS; INSTABILITY; INHIBITORS; PROTEIN</t>
  </si>
  <si>
    <t>Exosome cargoes are highly varied and include proteins, small RNAs, and genomic DNA (gDNA). The presence of gDNA suggests that different intracellular compartments contribute to exosome loading, resulting in distinct exosome subpopulations. However, the loading of gDNA and other nuclear contents into exosomes (nExo) remains poorly understood. Here, we identify the relationship between cancer cell micronuclei (MN), which are markers of genomic instability, and nExo formation. Imaging flow cytometry analyses reveal that 10% of exosomes derived from cancer cells and &lt;1% of exosomes derived from blood and ascites from patients with ovarian cancer carry nuclear contents. Treatment with genotoxic drugs resulted in increased MN and nExos both in vitro and in vivo. We observed that multivesicular body precursors and exosomal markers, such as the tetraspanins, directly interact with MN. Collectively, this work provides new insights related to nExos, which have implications for cancer biomarker development.</t>
  </si>
  <si>
    <t>[Yokoi, Akira; Villar-Prados, Alejandro; Sood, Anil K.] Univ Texas MD Anderson Canc Ctr, Dept Gynecol Oncol &amp; Reprod Med, Houston, TX 77030 USA; [Villar-Prados, Alejandro] Stanford Univ, Dept Med, Stanford, CA 94305 USA; [Oliphint, Paul Allen; O'Halloran, Theresa J.] Univ Texas Austin, Dept Mol Biosci, Austin, TX 78712 USA; [Oliphint, Paul Allen; O'Halloran, Theresa J.] Univ Texas Austin, Inst Cellular &amp; Mol Biol, Austin, TX 78712 USA; [Zhang, Jianhua; Song, Xingzhi; Roszik, Jason] Univ Texas MD Anderson Canc Ctr, Dept Genom Med, Houston, TX 77030 USA; [De Hoff, Peter; Morey, Robert; Laurent, Louise C.] Univ Calif San Diego, Dept Obstet Gynecol &amp; Reprod Sci, La Jolla, CA 92093 USA; [Morey, Robert; Laurent, Louise C.] Univ Calif San Diego, Bioinformat &amp; Syst Biol Grad Program, La Jolla, CA 92093 USA; [Liu, Jinsong] Univ Texas MD Anderson Canc Ctr, Dept Pathol, Houston, TX 77030 USA; [Roszik, Jason] Univ Texas MD Anderson Canc Ctr, Dept Melanoma Med Oncol, Houston, TX 77030 USA; [Clise-Dwyer, Karen] Univ Texas MD Anderson Canc Ctr, Dept Stem Cell Transplantat &amp; Cellular Therapy, Sect Transplant Immunol, Houston, TX 77030 USA; [Burks, Jared K.] Univ Texas MD Anderson Canc Ctr, Dept Leukemia, Houston, TX 77030 USA; [Burks, Jared K.] Univ Texas MD Anderson Canc Ctr, Div Canc Med, Houston, TX 77030 USA; [Sood, Anil K.] Univ Texas MD Anderson Canc Ctr, Ctr RNA Interference &amp; Noncoding RNA, Houston, TX 77030 USA</t>
  </si>
  <si>
    <t>University of Texas System; UTMD Anderson Cancer Center; Stanford University; University of Texas System; University of Texas Austin; University of Texas System; University of Texas Austin; University of Texas System; UTMD Anderson Cancer Center; University of California System; University of California San Diego; University of California System; University of California San Diego; University of Texas System; UTMD Anderson Cancer Center; University of Texas System; UTMD Anderson Cancer Center; University of Texas System; UTMD Anderson Cancer Center; University of Texas System; UTMD Anderson Cancer Center; University of Texas System; UTMD Anderson Cancer Center; University of Texas System; UTMD Anderson Cancer Center</t>
  </si>
  <si>
    <t>Sood, AK (corresponding author), Univ Texas MD Anderson Canc Ctr, Dept Gynecol Oncol &amp; Reprod Med, Houston, TX 77030 USA.;Sood, AK (corresponding author), Univ Texas MD Anderson Canc Ctr, Ctr RNA Interference &amp; Noncoding RNA, Houston, TX 77030 USA.</t>
  </si>
  <si>
    <t>Villar-Prados, Alejandro/0000-0001-6900-3267; Laurent, Louise/0000-0002-2095-7534; Roszik, Jason/0000-0002-4561-6170</t>
  </si>
  <si>
    <t>eaax8849</t>
  </si>
  <si>
    <t>10.1126/sciadv.aax8849</t>
  </si>
  <si>
    <t>WOS:000499736100073</t>
  </si>
  <si>
    <t>Hoang, DH; Nguyen, TD; Nguyen, HP; Nguyen, XH; Do, PTX; Dang, VD; Dam, PTM; Bui, HTH; Trinh, MQ; Vu, DM; Hoang, NTM; Thanh, LN; Than, UTT</t>
  </si>
  <si>
    <t>Diem Huong Hoang; Tu Dac Nguyen; Hoang-Phuong Nguyen; Xuan-Hung Nguyen; Phuong Thi Xuan Do; Van Duc Dang; Phuong Thi Minh Dam; Hue Thi Hong Bui; Mai Quynh Trinh; Duc Minh Vu; Nhung Thi My Hoang; Liem Nguyen Thanh; Uyen Thi Trang Than</t>
  </si>
  <si>
    <t>Differential Wound Healing Capacity of Mesenchymal Stem Cell-Derived Exosomes Originated From Bone Marrow, Adipose Tissue and Umbilical Cord Under Serum- and Xeno-Free Condition</t>
  </si>
  <si>
    <t>exosomes; mesenchymal stem cells; BMMSC-derived exosomes; ADMSC-derived exosomes; UCMSC-derived exosomes; growth factors; wound healing</t>
  </si>
  <si>
    <t>ENHANCE ANGIOGENESIS; DERMAL FIBROBLASTS; PROGENITOR CELLS; PROLIFERATION; MIGRATION; GROWTH; EXPRESSION</t>
  </si>
  <si>
    <t>Exosomes are nano-scale and closed membrane vesicles which are promising for therapeutic applications due to exosome-enclosed therapeutic molecules such as DNA, small RNAs, proteins and lipids. Recently, it has been demonstrated that mesenchymal stem cell (MSC)-derived exosomes have capacity to regulate many biological events associated with wound healing process, such as cell proliferation, cell migration and blood vessel formation. This study investigated the regenerative potentials for cutaneous tissue, in regard to growth factors associated with wound healing and skin cell proliferation and migration, by exosomes released from primary MSCs originated from bone marrow (BM), adipose tissue (AD), and umbilical cord (UC) under serum- and xeno-free condition. We found crucial wound healing-mediated growth factors, such as vascular endothelial growth factor A (VEGF-A), fibroblast growth factor 2 (FGF-2), hepatocyte growth factor (HGF), and platelet-derived growth factor BB (PDGF-BB) in exosomes derived from all three MSC sources. However, expression levels of these growth factors in exosomes were influenced by MSC origins, especially transforming growth factor beta (TGF-beta) was only detected in UCMSC-derived exosomes. All exosomes released by three MSCs sources induced keratinocyte and fibroblast proliferation and migration; and, the induction of cell migration is a dependent manner with the higher dose of exosomes was used (20 mu g), the faster migration rate was observed. Additionally, the influences of exosomes on cell proliferation and migration was associated with exosome origins and also target cells of exosomes that the greatest induction of primary dermal fibroblasts belongs to BMMSC-derived exosomes and keratinocytes belongs to UCMSC-derived exosomes. Data from this study indicated that BMMSCs and UCMSCs under clinical condition secreted exosomes are promising to develop into therapeutic products for wound healing treatment.</t>
  </si>
  <si>
    <t>[Diem Huong Hoang; Tu Dac Nguyen; Hoang-Phuong Nguyen; Xuan-Hung Nguyen; Phuong Thi Xuan Do; Van Duc Dang; Phuong Thi Minh Dam; Hue Thi Hong Bui; Mai Quynh Trinh; Duc Minh Vu; Nhung Thi My Hoang; Liem Nguyen Thanh; Uyen Thi Trang Than] Vinmec Hlth Care Syst, Vinmec Res Inst Stem Cell &amp; Gene Technol VRISG, Hanoi, Vietnam; [Tu Dac Nguyen] Vinmec Healthcare Syst, Vinmec Hightech Ctr, Hanoi, Vietnam; [Diem Huong Hoang; Hoang-Phuong Nguyen; Xuan-Hung Nguyen; Phuong Thi Minh Dam; Hue Thi Hong Bui; Mai Quynh Trinh; Duc Minh Vu; Liem Nguyen Thanh; Uyen Thi Trang Than] Vin Univ, Coll Hlth Sci, Hanoi, Vietnam; [Phuong Thi Xuan Do; Van Duc Dang; Nhung Thi My Hoang] Viet Nam Univ, Univ Sci, Hanoi, Vietnam</t>
  </si>
  <si>
    <t>Vietnam National University Hanoi</t>
  </si>
  <si>
    <t>Than, UTT (corresponding author), Vinmec Hlth Care Syst, Vinmec Res Inst Stem Cell &amp; Gene Technol VRISG, Hanoi, Vietnam.;Than, UTT (corresponding author), Vin Univ, Coll Hlth Sci, Hanoi, Vietnam.</t>
  </si>
  <si>
    <t>v.uyenttt@vinmec.com</t>
  </si>
  <si>
    <t>Nguyen, Phuong/0000-0001-9544-5835; Uyen, Than Thi Trang/0000-0002-2847-7068</t>
  </si>
  <si>
    <t>10.3389/fmolb.2020.00119</t>
  </si>
  <si>
    <t>WOS:000549103600001</t>
  </si>
  <si>
    <t>Yamada, T; Shigemura, H; Ishiguro, N; Inoshima, Y</t>
  </si>
  <si>
    <t>Yamada, Tetsuya; Shigemura, Hiroaki; Ishiguro, Naotaka; Inoshima, Yasuo</t>
  </si>
  <si>
    <t>Cell Infectivity in Relation to Bovine Leukemia Virus gp51 and p24 in Bovine Milk Exosomes</t>
  </si>
  <si>
    <t>STRUCTURES L-PARTICLES; RNA; TRANSMISSION; CATTLE; IDENTIFICATION; ASSOCIATION; MICRORNAS; TEGUMENT; PLASMA; BLOOD</t>
  </si>
  <si>
    <t>Exosomes are small membranous microvesicles (40-100 nm in diameter) and are extracellularly released from a wide variety of cells. Exosomes contain microRNA, mRNA, and cellular proteins, which are delivered into recipient cells via these exosomes, and play a role in intercellular communication. In bovine leukemia virus (BLV) infection of cattle, although it is thought to be a minor route of infection, BLV can be transmitted to calves via milk. Here, we investigated the association between exosomes and BLV in bovine milk. BLV structural proteins, gp51 (Env) and p24 (Gag), were detected in bovine milk exosomes from BLV-infected cattle by Western blot analysis. In cells inoculated with these milk exosomes, BLV DNA was not detected during three serial passages by nested PCR. Purification of exosomes from persistently BLV-infected cells was achieved by immuno-magnetic separation using an antibody against exosomes coupled to magnetic beads. Consistently, BLV gp51 and p24 proteins were detected in purified exosomes. Moreover, reverse transcriptase activity was observed in purified exosomes, meaning that exosomes also contain viral enzyme. However, BLV DNA was not detected in serially passaged cells after inoculation of purified exosomes, indicating that exosomes carrying BLV proteins appeared to be not infectious. These results suggest that BLV proteins are released with milk exosomes and could be transferred into recipient cells of calves via milk exosomes as an alternative route not requiring virus infection. Moreover it is also possible that bovine milk exosomes play a role in clearance of BLV proteins from infected cells.</t>
  </si>
  <si>
    <t>[Yamada, Tetsuya; Shigemura, Hiroaki; Ishiguro, Naotaka; Inoshima, Yasuo] Gifu Univ, Dept Vet Med, Gifu, Japan</t>
  </si>
  <si>
    <t>Gifu University</t>
  </si>
  <si>
    <t>Inoshima, Y (corresponding author), Gifu Univ, Dept Vet Med, Gifu, Japan.</t>
  </si>
  <si>
    <t>inoshima@gifu-u.ac.jp</t>
  </si>
  <si>
    <t>OCT 17</t>
  </si>
  <si>
    <t>e77359</t>
  </si>
  <si>
    <t>10.1371/journal.pone.0077359</t>
  </si>
  <si>
    <t>WOS:000326022200033</t>
  </si>
  <si>
    <t>Naqvi, I; Gunaratne, R; McDade, JE; Moreno, A; Rempel, RE; Rouse, DC; Herrera, SG; Pisetsky, DS; Lee, J; White, RR; Sullenger, BA</t>
  </si>
  <si>
    <t>Naqvi, Ibtehaj; Gunaratne, Ruwan; McDade, Jessica E.; Moreno, Angelo; Rempel, Rachel E.; Rouse, Douglas C.; Herrera, Silvia Gabriela; Pisetsky, David S.; Lee, Jaewoo; White, Rebekah R.; Sullenger, Bruce A.</t>
  </si>
  <si>
    <t>Polymer-Mediated Inhibition of Pro-invasive Nucleic Acid DAMPs and Microvesicles Limits Pancreatic Cancer Metastasis</t>
  </si>
  <si>
    <t>NF-KAPPA-B; EXTRACELLULAR DNA; PROMOTE; BREAST; CELLS; ANGIOGENESIS; PROGRESSION; NUCLEOSOMES; THROMBOSIS; EXPRESSION</t>
  </si>
  <si>
    <t>Nucleic acid binding polymers (NABPs) have been extensively used as vehicles for DNA and RNA delivery. More recently, we discovered that a subset of these NABPs can also serve as anti-inflammatory agents by capturing pro-inflammatory extracellular nucleic acids and associated protein complexes that promote activation of toll-like receptors (TLRs) in diseases such as lupus erythematosus. Nucleic-acid-mediated TLR signaling also facilitates tumor progression and metastasis in several cancers, including pancreatic cancer (PC). In addition, extracellular DNAandRNAcirculate on or within lipid microvesicles, such as microparticles or exosomes, which also promote metastasis by inducing pro-tumorigenic signaling in cancer cells and pre-conditioning secondary sites for metastatic establishment. Here, we explore the use of an NABP, the 3rd generation polyamidoamine dendrimer (PAMAM-G3), as an anti-metastatic agent. We show that PAMAM-G3 not only inhibits nucleic-acid-mediated activation of TLRs and invasion of PC tumor cells in vitro, but can also directly bind extracellular microvesicles to neutralize their pro-invasive effects as well. Moreover, we demonstrate that PAMAM-G3 dramatically reduces liver metastases in a syngeneic murine model of PC. Our findings identify a promising therapeutic application of NABPs for combating metastatic disease in PC and potentially other malignancies.</t>
  </si>
  <si>
    <t>[Naqvi, Ibtehaj; Gunaratne, Ruwan; Sullenger, Bruce A.] Duke Univ, Dept Pharmacol &amp; Canc Biol, Durham, NC 27710 USA; [Naqvi, Ibtehaj; Gunaratne, Ruwan] Duke Univ, Med Scientist Training Program, Durham, NC 27710 USA; [Naqvi, Ibtehaj; Gunaratne, Ruwan; McDade, Jessica E.; Moreno, Angelo; Rempel, Rachel E.; Lee, Jaewoo; White, Rebekah R.; Sullenger, Bruce A.] Duke Univ, Dept Surg, MSRB 2 Room 1079,106 Res Dr, Durham, NC 27710 USA; [Rouse, Douglas C.] Duke Univ, Div Lab Anim Resources, Durham, NC 27710 USA; [Herrera, Silvia Gabriela] Univ N Carolina, Dept Pharmacol, Chapel Hill, NC 27514 USA; [Pisetsky, David S.] Duke Univ, Dept Med, Durham, NC 27710 USA; [White, Rebekah R.] Univ Calif San Diego, Dept Surg, La Jolla, CA 92093 USA</t>
  </si>
  <si>
    <t>Duke University; Duke University; Duke University; Duke University; University of North Carolina; University of North Carolina Chapel Hill; Duke University; University of California System; University of California San Diego</t>
  </si>
  <si>
    <t>White, RR; Sullenger, BA (corresponding author), Duke Univ, Dept Surg, MSRB 2 Room 1079,106 Res Dr, Durham, NC 27710 USA.</t>
  </si>
  <si>
    <t>rewhite@ucsd.edu; bruce.sullenger@duke.edu</t>
  </si>
  <si>
    <t>White, Rebekah/AAS-3224-2021</t>
  </si>
  <si>
    <t>McDade, Jessica/0000-0003-2260-7113; White, Rebekah/0000-0003-2185-8535</t>
  </si>
  <si>
    <t>10.1016/j.ymthe.2018.02.018</t>
  </si>
  <si>
    <t>WOS:000431483400011</t>
  </si>
  <si>
    <t>San Lucas, FA; Allenson, K; Bernard, V; Castillo, J; Kim, DU; Ellis, K; Ehli, EA; Davies, GE; Petersen, JL; Li, D; Wolff, R; Katz, M; Varadhachary, G; Wistuba, I; Maitra, A; Alvarez, H</t>
  </si>
  <si>
    <t>San Lucas, F. A.; Allenson, K.; Bernard, V.; Castillo, J.; Kim, D. U.; Ellis, K.; Ehli, E. A.; Davies, G. E.; Petersen, J. L.; Li, D.; Wolff, R.; Katz, M.; Varadhachary, G.; Wistuba, I.; Maitra, A.; Alvarez, H.</t>
  </si>
  <si>
    <t>Minimally invasive genomic and transcriptomic profiling of visceral cancers by next-generation sequencing of circulating exosomes</t>
  </si>
  <si>
    <t>liquid biopsy; exosomes; pancreatic cancer; next-generation sequencing</t>
  </si>
  <si>
    <t>PANCREATIC-CANCER; PLASMA; DNA; RNA; IMMUNOTHERAPY; CARCINOMAS; KRAS</t>
  </si>
  <si>
    <t>High-resolution profiling of the genomic and transcriptomic landscapes of visceral cancers using the DNA and RNA of tumor shed exosomes has the potential to be used as a clinical tool for cancer diagnosis, therapeutic stratification and treatment monitoring, precluding the need for direct tumor sampling.The ability to perform comprehensive profiling of cancers at high resolution is essential for precision medicine. Liquid biopsies using shed exosomes provide high-quality nucleic acids to obtain molecular characterization, which may be especially useful for visceral cancers that are not amenable to routine biopsies. We isolated shed exosomes in biofluids from three patients with pancreaticobiliary cancers (two pancreatic, one ampullary). We performed comprehensive profiling of exoDNA and exoRNA by whole genome, exome and transcriptome sequencing using the Illumina HiSeq 2500 sequencer. We assessed the feasibility of calling copy number events, detecting mutational signatures and identifying potentially actionable mutations in exoDNA sequencing data, as well as expressed point mutations and gene fusions in exoRNA sequencing data. Whole-exome sequencing resulted in 95%-99% of the target regions covered at a mean depth of 133-490x. Genome-wide copy number profiles, and high estimates of tumor fractions (ranging from 56% to 82%), suggest robust representation of the tumor DNA within the shed exosomal compartment. Multiple actionable mutations, including alterations in NOTCH1 and BRCA2, were found in patient exoDNA samples. Further, RNA sequencing of shed exosomes identified the presence of expressed fusion genes, representing an avenue for elucidation of tumor neoantigens. We have demonstrated high-resolution profiling of the genomic and transcriptomic landscapes of visceral cancers. A wide range of cancer-derived biomarkers could be detected within the nucleic acid cargo of shed exosomes, including copy number profiles, point mutations, insertions, deletions, gene fusions and mutational signatures. Liquid biopsies using shed exosomes has the potential to be used as a clinical tool for cancer diagnosis, therapeutic stratification and treatment monitoring, precluding the need for direct tumor sampling.</t>
  </si>
  <si>
    <t>[San Lucas, F. A.; Wistuba, I.; Maitra, A.] Univ Texas MD Anderson Canc Ctr, Dept Translat Mol Pathol, Houston, TX 77030 USA; [San Lucas, F. A.; Bernard, V.; Castillo, J.; Kim, D. U.; Ellis, K.; Maitra, A.; Alvarez, H.] Univ Texas MD Anderson Canc Ctr, Dept Pathol, Houston, TX 77030 USA; [Allenson, K.] Univ Texas MD Anderson Canc Ctr, Dept Surg Oncol, Houston, TX 77030 USA; [Bernard, V.] Univ Texas Houston, Grad Sch Biomed Sci Houston, Houston, TX USA; [Ehli, E. A.; Davies, G. E.; Petersen, J. L.] Avera Inst Human Genet, Sioux Falls, SD USA; [Li, D.; Wolff, R.; Katz, M.; Varadhachary, G.] Univ Texas MD Anderson Canc Ctr, Dept Gastrointestinal GI Med Oncol, Houston, TX 77030 USA; [Maitra, A.] Univ Texas MD Anderson Canc Ctr, Sheikh Ahmed Pancreat Canc Res Ctr, 6565 MD Anderson Blvd Z3-3038, Houston, TX 77030 USA</t>
  </si>
  <si>
    <t>University of Texas System; UTMD Anderson Cancer Center; University of Texas System; UTMD Anderson Cancer Center; University of Texas System; UTMD Anderson Cancer Center; University of Texas System; University of Texas Health Science Center Houston; University of Texas System; UTMD Anderson Cancer Center; University of Texas System; UTMD Anderson Cancer Center</t>
  </si>
  <si>
    <t>Maitra, A (corresponding author), Univ Texas MD Anderson Canc Ctr, Sheikh Ahmed Pancreat Canc Res Ctr, 6565 MD Anderson Blvd Z3-3038, Houston, TX 77030 USA.</t>
  </si>
  <si>
    <t>amaitra@mdanderson.org</t>
  </si>
  <si>
    <t>Bernard, Vincent/0000-0003-1555-608X</t>
  </si>
  <si>
    <t>10.1093/annonc/mdv604</t>
  </si>
  <si>
    <t>WOS:000374237700011</t>
  </si>
  <si>
    <t>Vilain, S; Pretorius, JM; Theron, J; Brozel, VS</t>
  </si>
  <si>
    <t>Vilain, Sebastien; Pretorius, Jakobus M.; Theron, Jacques; Broezel, Volker S.</t>
  </si>
  <si>
    <t>DNA as an Adhesin: Bacillus cereus Requires Extracellular DNA To Form Biofilms</t>
  </si>
  <si>
    <t>PSEUDOMONAS-AERUGINOSA; CHROMOSOMAL DNA; STAPHYLOCOCCUS-EPIDERMIDIS; STREPTOCOCCUS-PNEUMONIAE; NEISSERIA-GONORRHOEAE; MEMBRANE-VESICLES; ESCHERICHIA-COLI; SUBTILIS; RELEASE; EXPRESSION</t>
  </si>
  <si>
    <t>The soil saprophyte Bacillus cereus forms biofilms at solid-liquid interfaces. The composition of the extracellular polymeric matrix is not known, but biofilms of other bacteria are encased in polysaccharides, protein, and also extracellular DNA (eDNA). A Tn917 screen for strains impaired in biofilm formation at a solid-liquid interface yielded several mutants. Three mutants deficient in the purine biosynthesis genes purA, purC, and purL were biofilm impaired, but they grew planktonically like the wild type in Luria-Bertani broth. Biofilm populations had higher purA, purC, and purL transcript ratios than planktonic cultures, as measured by real-time PCR. Laser scanning confocal microscopy (LSCM) of BacLight-stained samples indicated that there were nucleic acids in the cell-associated matrix. This eDNA could be mobilized off the biofilm into an agarose gel matrix through electrophoresis, and it was a substrate for DNase. Glass surfaces exposed to exponentially growing populations acquired a DNA-containing conditioning film, as indicated by LSCM. Planktonic exponential-phase cells released DNA into an agarose gel matrix through electrophoresis, while stationary-phase populations did not do this. DNase treatment of planktonic exponential-phase populations rendered cells more susceptible than control populations to the DNA-interacting antibiotic actinomycin D. Exponential-phase purA cells did not contain detectable eDNA, nor did they convey a DNA-containing conditioning film to the glass surface. These results indicate that exponential-phase cells of B. cereus ATCC 14579 are decorated with eDNA and that biofilm formation requires DNA as part of the extracellular polymeric matrix.</t>
  </si>
  <si>
    <t>[Vilain, Sebastien; Broezel, Volker S.] S Dakota State Univ, Dept Biol &amp; Microbiol, Brookings, SD 57007 USA; [Pretorius, Jakobus M.; Theron, Jacques] Univ Pretoria, Dept Microbiol &amp; Plant Pathol, ZA-0002 Pretoria, South Africa; [Vilain, Sebastien] Univ Victor Segalen Bordeaux 2, ESTBB, Lab Biotechnol Prot Recombinantes Visee Sante EA4, F-33076 Bordeaux, France</t>
  </si>
  <si>
    <t>South Dakota State University; University of Pretoria; UDICE-French Research Universities; Universite de Bordeaux</t>
  </si>
  <si>
    <t>Brozel, VS (corresponding author), S Dakota State Univ, Dept Biol &amp; Microbiol, Brookings, SD 57007 USA.</t>
  </si>
  <si>
    <t>volker.brozel@sdstate.edu</t>
  </si>
  <si>
    <t>Theron, Jacques/E-4755-2010; Brozel, Volker S/B-6007-2009; Vilain, Sebastien/AAD-8031-2021; Pretorius, Jakobus/F-2614-2010</t>
  </si>
  <si>
    <t>Theron, Jacques/0000-0001-9091-3898; Brozel, Volker/0000-0002-7132-4577</t>
  </si>
  <si>
    <t>10.1128/AEM.01317-08</t>
  </si>
  <si>
    <t>WOS:000265586900032</t>
  </si>
  <si>
    <t>He, N; Thippabhotla, S; Zhong, CC; Greenberg, Z; Xu, L; Pessetto, Z; Godwin, AK; Zeng, Y; He, M</t>
  </si>
  <si>
    <t>He, Nan; Thippabhotla, Sirisha; Zhong, Cuncong; Greenberg, Zachary; Xu, Liang; Pessetto, Ziyan; Godwin, Andrew K.; Zeng, Yong; He, Mei</t>
  </si>
  <si>
    <t>Nano pom-poms prepared exosomes enable highly specific cancer biomarker detection</t>
  </si>
  <si>
    <t>BLADDER-CANCER; BIOGENESIS; RECURRENCE; TUMOR</t>
  </si>
  <si>
    <t>Extracellular vesicles (EVs), particularly nano-sized small EV exosomes, are emerging biomarker sources. However, due to heterogeneous populations secreted from diverse cell types, mapping exosome multi-omic molecular information specifically to their pathogenesis origin for cancer biomarker identification is still extraordinarily challenging. Herein, we introduced a novel 3D-structured nanographene immunomagnetic particles (NanoPoms) with unique flower pom-poms morphology and photo-click chemistry for specific marker-defined capture and release of intact exosome. This specific exosome isolation approach leads to the expanded identification of targetable cancer biomarkers with enhanced specificity and sensitivity, as demonstrated by multi-omic exosome analysis of bladder cancer patient tissue fluids using the next generation sequencing of somatic DNA mutations, miRNAs, and the global proteome (Data are available via ProteomeXchange with identifier PXD034454). The NanoPoms prepared exosomes also exhibit distinctive in vivo biodistribution patterns, highlighting the highly viable and integral quality. The developed method is simple and straightforward, which is applicable to nearly all types of biological fluids and amenable for enrichment, scale up, and high-throughput exosome isolation. 3D-structured nanographene immunomagnetic particles with flower pompoms morphology and photo-click chemistry are applied for specific marker-defined capture and release of exosomes from several types of biological fluids, identifying targetable cancer biomarkers.</t>
  </si>
  <si>
    <t>[He, Nan; He, Mei] Univ Kansas, Dept Chem &amp; Petr Engn, Bioengn Program, Lawrence, KS 66045 USA; [He, Nan] Clara Biotech Inc, Lawrence, KS 66047 USA; [Thippabhotla, Sirisha; Zhong, Cuncong] Univ Kansas, Dept Elect Engn &amp; Comp Sci, Lawrence, KS 66045 USA; [Greenberg, Zachary; He, Mei] Univ Florida, Coll Pharm, Dept Pharmaceut, Gainesville, FL 32610 USA; [Xu, Liang] Univ Kansas, Dept Mol Biosci, Lawrence, KS 66045 USA; [Pessetto, Ziyan; Godwin, Andrew K.] Univ Kansas, Dept Pathol &amp; Lab Med, Med Ctr, Kansas City, KS 66160 USA; [Godwin, Andrew K.] Univ Kansas Canc Ctr, Kansas City, KS 66160 USA; [Zeng, Yong] Univ Florida, Dept Chem, Gainesville, FL 32603 USA</t>
  </si>
  <si>
    <t>University of Kansas; University of Kansas; State University System of Florida; University of Florida; University of Kansas; University of Kansas; University of Kansas Medical Center; State University System of Florida; University of Florida</t>
  </si>
  <si>
    <t>He, M (corresponding author), Univ Kansas, Dept Chem &amp; Petr Engn, Bioengn Program, Lawrence, KS 66045 USA.;He, M (corresponding author), Univ Florida, Coll Pharm, Dept Pharmaceut, Gainesville, FL 32610 USA.</t>
  </si>
  <si>
    <t>mhe@cop.ufl.edu</t>
  </si>
  <si>
    <t>Greenberg, Zachary/0000-0001-9626-2694; He, Mei/0000-0001-5316-9326</t>
  </si>
  <si>
    <t>JUL 4</t>
  </si>
  <si>
    <t>10.1038/s42003-022-03598-0</t>
  </si>
  <si>
    <t>WOS:000820681400006</t>
  </si>
  <si>
    <t>Seper, A; Fengler, VHI; Roier, S; Wolinski, H; Kohlwein, SD; Bishop, AL; Camilli, A; Reidl, J; Schild, S</t>
  </si>
  <si>
    <t>Seper, Andrea; Fengler, Vera H. I.; Roier, Sandro; Wolinski, Heimo; Kohlwein, Sepp D.; Bishop, Anne L.; Camilli, Andrew; Reidl, Joachim; Schild, Stefan</t>
  </si>
  <si>
    <t>Extracellular nucleases and extracellular DNA play important roles in Vibrio cholerae biofilm formation</t>
  </si>
  <si>
    <t>O1 EL-TOR; OUTER-MEMBRANE VESICLES; MANNOSE-SENSITIVE HEMAGGLUTININ; PSEUDOMONAS-AERUGINOSA PAO1; VPS BIOSYNTHESIS GENES; L-ALANINE AMIDASE; CYCLIC DI-GMP; ESCHERICHIA-COLI; STAPHYLOCOCCUS-AUREUS; AQUATIC ENVIRONMENT</t>
  </si>
  <si>
    <t>Biofilms are a preferred mode of survival for many microorganisms including Vibrio cholerae, the causative agent of the severe secretory diarrhoeal disease cholera. The ability of the facultative human pathogen V. cholerae to form biofilms is a key factor for persistence in aquatic ecosystems and biofilms act as a source for new outbreaks. Thus, a better understanding of biofilm formation and transmission of V. cholerae is an important target to control the disease. So far the Vibrio exopolysaccharide was the only known constituent of the biofilm matrix. In this study we identify and characterize extracellular DNA as a component of the Vibrio biofilm matrix. Furthermore, we show that extracellular DNA is modulated and controlled by the two extracellular nucleases Dns and Xds. Our results indicate that extracellular DNA and the extracellular nucleases are involved in diverse processes including the development of a typical biofilm architecture, nutrient acquisition, detachment from biofilms and the colonization fitness of biofilm clumps after ingestion by the host. This study provides new insights into biofilm development and transmission of biofilm-derived V. cholerae.</t>
  </si>
  <si>
    <t>[Seper, Andrea; Fengler, Vera H. I.; Roier, Sandro; Wolinski, Heimo; Kohlwein, Sepp D.; Reidl, Joachim; Schild, Stefan] Karl Franzens Univ Graz, Inst Mol Biowissensch, A-8010 Graz, Austria; [Bishop, Anne L.; Camilli, Andrew] Tufts Univ, Sch Med, Howard Hughes Med Inst, Boston, MA 02111 USA; [Bishop, Anne L.; Camilli, Andrew] Tufts Univ, Sch Med, Dept Mol Biol &amp; Microbiol, Boston, MA 02111 USA</t>
  </si>
  <si>
    <t>University of Graz; Howard Hughes Medical Institute; Tufts University; Tufts University</t>
  </si>
  <si>
    <t>Schild, S (corresponding author), Karl Franzens Univ Graz, Inst Mol Biowissensch, Humboldtstr 50, A-8010 Graz, Austria.</t>
  </si>
  <si>
    <t>stefan.schild@uni-graz.at</t>
  </si>
  <si>
    <t>Reidl, Joachim/O-2107-2016</t>
  </si>
  <si>
    <t>Schild, Stefan/0000-0001-7842-0177; Reidl, Joachim/0000-0001-5798-9524; Fengler, Vera/0000-0002-5124-1491; Wolinski, Heimo/0000-0002-1583-6092; Bishop, Anne/0000-0003-1219-7966; Kohlwein, Sepp Dieter/0000-0002-1030-0598</t>
  </si>
  <si>
    <t>10.1111/j.1365-2958.2011.07867.x</t>
  </si>
  <si>
    <t>WOS:000297546600019</t>
  </si>
  <si>
    <t>Sung, CY; Huang, CC; Chen, YS; Hsu, KF; Lee, GB</t>
  </si>
  <si>
    <t>Sung, Chia-Yu; Huang, Chi-Chien; Chen, Yi-Sin; Hsu, Keng-Fu; Lee, Gwo-Bin</t>
  </si>
  <si>
    <t>Isolation and quantification of extracellular vesicle-encapsulated microRNA on an integrated microfluidic platform</t>
  </si>
  <si>
    <t>ISOTHERMAL AMPLIFICATION; DNA; SERUM; PERSPECTIVES; SYSTEM; LAMP; PCR</t>
  </si>
  <si>
    <t>Ovarian cancer (OvCa) is the most fatal among gynecological cancers and affects many women worldwide. Since OvCa is prone to metastasis, which significantly increases chances of death, biomarkers for early-stage OvCa are greatly needed. This study develops an integrated microfluidic platform for isolating and quantifying one of the OvCa blood biomarkers. As a demonstration, microRNA-21 (miRNA-21), which is one of the important biomarkers for cancers, was isolated and measured in this study. Extracellular vesicles (EVs) in blood were first captured and isolated by anti-CD63-coated magnetic beads. Then, EV-encapsulated miRNA-21 was isolated by complementary DNA-coated magnetic beads, and finally the isolated miRNA-21 was quantified by digital polymerase chain reaction (digital PCR, dPCR). The integrated chip featured a sample treatment module and a miRNA quantification module that automated the entire process, and the limit of detection (LOD) was 11 copies per mL. The inaccuracy of the miRNA quantification module (i.e. dPCR) was found to be &lt;12%. Additionally, spiked samples and clinical samples were used to test the performance of the developed platform. It is envisioned that the developed system can serve as a valuable and promising tool for OvCa biomarker measurements.</t>
  </si>
  <si>
    <t>[Sung, Chia-Yu] Natl Tsing Hua Univ, Dept Life Sci, Hsinchu 30013, Taiwan; [Huang, Chi-Chien; Chen, Yi-Sin; Lee, Gwo-Bin] Natl Tsing Hua Univ, Dept Power Mech Engn, Hsinchu 30013, Taiwan; [Hsu, Keng-Fu] Natl Cheng Kung Univ, Natl Cheng Kung Univ Hosp, Coll Med, Dept Obstet &amp; Gynecol, Tainan 70403, Taiwan; [Lee, Gwo-Bin] Natl Tsing Hua Univ, Inst NanoEngn &amp; Microsyst, Hsinchu 30013, Taiwan</t>
  </si>
  <si>
    <t>National Tsing Hua University; National Tsing Hua University; National Cheng Kung University; National Cheng Kung University Hospital; National Tsing Hua University</t>
  </si>
  <si>
    <t>Lee, GB (corresponding author), Natl Tsing Hua Univ, Dept Power Mech Engn, Hsinchu 30013, Taiwan.;Hsu, KF (corresponding author), Natl Cheng Kung Univ, Natl Cheng Kung Univ Hosp, Coll Med, Dept Obstet &amp; Gynecol, Tainan 70403, Taiwan.;Lee, GB (corresponding author), Natl Tsing Hua Univ, Inst NanoEngn &amp; Microsyst, Hsinchu 30013, Taiwan.</t>
  </si>
  <si>
    <t>d5580@mail.ncku.edu.tw; gwobin@pme.nthu.edu</t>
  </si>
  <si>
    <t>Lee, Gwo-Bin/D-3032-2012</t>
  </si>
  <si>
    <t>Lee, Gwo-Bin/0000-0001-6910-9133</t>
  </si>
  <si>
    <t>10.1039/d1lc00663k</t>
  </si>
  <si>
    <t>WOS:000714701600001</t>
  </si>
  <si>
    <t>Rauschenberger, L; Staar, D; Thom, K; Scharf, C; Venz, S; Homuth, G; Schluter, R; Brandenburg, LO; Ziegler, P; Zimmermann, U; Weitschies, W; Volker, U; Lendeckel, U; Walther, R; Burchardt, M; Stope, MB</t>
  </si>
  <si>
    <t>Rauschenberger, Lisa; Staar, Doreen; Thom, Kathleen; Scharf, Christian; Venz, Simone; Homuth, Georg; Schlueter, Rabea; Brandenburg, Lars-Ove; Ziegler, Patrick; Zimmermann, Uwe; Weitschies, Werner; Voelker, Uwe; Lendeckel, Uwe; Walther, Reinhard; Burchardt, Martin; Stope, Matthias B.</t>
  </si>
  <si>
    <t>Exosomal particles secreted by prostate cancer cells are potent mRNA and protein vehicles for the interference of tumor and tumor environment</t>
  </si>
  <si>
    <t>prostate cancer; exosomes; microenvironment; protein uptake</t>
  </si>
  <si>
    <t>EXTRACELLULAR VESICLES; ANTIGEN; MICROVESICLES; BIOMARKERS; APOPTOSIS; RECEPTOR; RELEASE</t>
  </si>
  <si>
    <t>BackgroundRemodeling of the tumor environment and the modulation of tumor associated non-malignant cells are essential events in tumor progression. Exosomes are small membranous vesicles of 50-150nm in diameter, which are secreted into the extracellular space and supposedly serve as vehicles for signal and effector molecules to modulate adjacent target cells. We characterized the mRNA and protein composition as well as cellular functions of prostate cancer cell-derived exosomes. MethodsExosomes were prepared from prostate cancer cell culture supernatant by ultracentrifugation and subsequently characterized by dynamic light scattering and electron microscopy. Exosomal mRNA and protein composition were analyzed by DNA microarrays and gel electrophoresis coupled with mass spectrometry. Physiological effects of exosomes were studied by means of 3-(4,5-dimethylthiazol-2-yl)-2,5-diphenyltetrazolium bromide and lactate dehydrogenase release cell assays. Using a SILAC approach, putative uptake of exosomal human proteins in canine cells and canine de novo synthesis of proteins specified by exosome-transferred human mRNA was analyzed in MDCK cells via mass spectrometry. ResultsPreparations of exosomes revealed typical cup shaped particles of 150nm in diameter. Analysis of mRNA and protein composition of exosomes exhibited a wide range of mRNA and protein species. Interestingly, the packaging of at least small proteins into exosomes was apparently unspecific, as shown with the example of two model proteins. In cell culture incubation experiments exosomal preparations of prostate cancer cells caused anti-proliferative effects. MS analysis revealed the uptake of exosomal human proteins into canine cells after 6hr of incubation. ConclusionsThe results reveal a distinct exosomal functionality in the modulation of the prostatic tumor adjacent environment. The multitude of translocated factors implies the induction of numerous effects in tumor-associated target cells, including impact on cellular growth. Prostate 76:409-424, 2016. (c) 2015 Wiley Periodicals, Inc.</t>
  </si>
  <si>
    <t>[Rauschenberger, Lisa; Staar, Doreen; Zimmermann, Uwe; Burchardt, Martin; Stope, Matthias B.] Univ Med Greifswald, Dept Urol, Ferdinand Sauerbruch Str, D-17475 Greifswald, Germany; [Thom, Kathleen; Weitschies, Werner] Univ Med Greifswald, Ctr Drug Absorpt &amp; Transport, Dept Pharmacol, D-17475 Greifswald, Germany; [Scharf, Christian; Voelker, Uwe] Univ Med Greifswald, Dept Otorhinolaryngol Head &amp; Neck Surg, D-17475 Greifswald, Germany; [Venz, Simone; Lendeckel, Uwe; Walther, Reinhard] Univ Med Greifswald, Dept Med Biochem &amp; Mol Biol, D-17475 Greifswald, Germany; [Homuth, Georg] Univ Med Greifswald, Interfac Inst Genet &amp; Funct Genom, D-17475 Greifswald, Germany; [Schlueter, Rabea] Ernst Moritz Arndt Univ Greifswald, Inst Microbiol, Greifswald, Germany; [Brandenburg, Lars-Ove] Rhein Westfal TH Aachen, Dept Anat &amp; Cell Biol, Aachen, Germany; [Ziegler, Patrick] Rhein Westfal TH Aachen, Dept Occupat &amp; Social Med, Aachen, Germany</t>
  </si>
  <si>
    <t>Greifswald Medical School; Greifswald Medical School; Greifswald Medical School; Greifswald Medical School; Greifswald Medical School; Ernst Moritz Arndt Universitat Greifswald; RWTH Aachen University; RWTH Aachen University</t>
  </si>
  <si>
    <t>Stope, MB (corresponding author), Univ Med Greifswald, Dept Urol, Ferdinand Sauerbruch Str, D-17475 Greifswald, Germany.</t>
  </si>
  <si>
    <t>matthias.stope@uni-greifswald.de</t>
  </si>
  <si>
    <t>Weitschies, Werner/AAT-7148-2021; Lendeckel, Uwe/Q-6922-2016; Scharf, Christian/A-7931-2011</t>
  </si>
  <si>
    <t>Lendeckel, Uwe/0000-0002-0684-9959; Scharf, Christian/0000-0001-6806-6450; Volker, Uwe/0000-0002-5689-3448</t>
  </si>
  <si>
    <t>10.1002/pros.23132</t>
  </si>
  <si>
    <t>WOS:000368808700009</t>
  </si>
  <si>
    <t>Jiang, YL; Kong, QK; Roland, KL; Curtiss, R</t>
  </si>
  <si>
    <t>Jiang, Yanlong; Kong, Qingke; Roland, Kenneth L.; Curtiss, Roy, III</t>
  </si>
  <si>
    <t>Membrane vesicles of Clostridium perfringens type A strains induce innate and adaptive immunity</t>
  </si>
  <si>
    <t>INTERNATIONAL JOURNAL OF MEDICAL MICROBIOLOGY</t>
  </si>
  <si>
    <t>C. perfringens; Membrane vesicles; Immunity</t>
  </si>
  <si>
    <t>NECROTIC ENTERITIS STRAINS; VIBRIO-CHOLERAE; ALPHA-TOXIN; ESCHERICHIA-COLI; PSEUDOMONAS-AERUGINOSA; PHOSPHOLIPASE-C; BETA2 TOXIN; SHIGA TOXIN; DNA; ASSOCIATION</t>
  </si>
  <si>
    <t>Vesicle shedding from bacteria is a universal process in most Gram-negative bacteria and a few Grampositive bacteria. In this report, we isolate extracellular membrane vesicles (MVs) from the supernatants of Gram-positive pathogen Clostridium perfringens (C perfringens). We demonstrated vesicle production in a variety of virulent and nonvirulent type A strains. MVs did not contain alpha-toxin and NetB toxin demonstrated by negative reaction to specific antibody and absence of specific proteins identified by LC MS/MS. C. perfringens MVs contained DNA components such as 16S ribosomal RNA gene (16S rRNA), alpha-toxin gene (plc) and the perfringolysin O gene (pfoA) demonstrated by PCR. We also identified a total of 431 proteins in vesicles by 1-D gel separation and LC MS/MS analysis. In vitro studies demonstrated that vesicles could be internalized into murine macrophage RAW264.7 cells without direct cytotoxicity effects, causing release of inflammation cytokines including granulocyte colony stimulating factor (GCSF), tumor necrosis factor-alpha (TNE-ce) and interleukin-1 (IL-1), which could also be detected in mice injected with MVs through intraperitoneal (i.p.) route. Mice immunized with C perfringens MVs produced high titer IgG, especially IgG1, antibodies against C perfringens membrane proteins. However, this kind of antibody could not provide protection in mice following challenge, though it could slightly postpone the time of death. Our results indicate that release of MVs from C perfringens could provide a previously unknown mechanism to induce release of inflammatory cytokines, especially TNF-cx, these findings may contribute to a better understanding of the pathogenesis of C perfringens infection. (C) 2014 Elsevier GmbH. All rights reserved.</t>
  </si>
  <si>
    <t>[Jiang, Yanlong; Kong, Qingke; Roland, Kenneth L.; Curtiss, Roy, III] Arizona State Univ, Ctr Infect Dis &amp; Vaccinol, Biodesign Inst, Tempe, AZ 85287 USA; [Curtiss, Roy, III] Arizona State Univ, Sch Life Sci, Tempe, AZ 85287 USA</t>
  </si>
  <si>
    <t>Arizona State University; Arizona State University-Tempe; Arizona State University; Arizona State University-Tempe</t>
  </si>
  <si>
    <t>Curtiss, R (corresponding author), Arizona State Univ, Ctr Infect Dis &amp; Vaccinol, Biodesign Inst, POB 875401,1001 S McAllister Ave, Tempe, AZ 85287 USA.</t>
  </si>
  <si>
    <t>rcurtiss@asu.edu</t>
  </si>
  <si>
    <t>Kong, Qingke/K-3384-2019</t>
  </si>
  <si>
    <t>1438-4221</t>
  </si>
  <si>
    <t>1618-0607</t>
  </si>
  <si>
    <t>3-4</t>
  </si>
  <si>
    <t>10.1016/j.ijmm.2014.02.006</t>
  </si>
  <si>
    <t>Microbiology; Virology</t>
  </si>
  <si>
    <t>WOS:000336339500026</t>
  </si>
  <si>
    <t>Smalheiser, NR; Gomes, OLA</t>
  </si>
  <si>
    <t>Smalheiser, Neil R.; Gomes, Octavio L. A.</t>
  </si>
  <si>
    <t>Mammalian Argonaute-DNA binding?</t>
  </si>
  <si>
    <t>BIOLOGY DIRECT</t>
  </si>
  <si>
    <t>Consensus; Hypothesis assessment; Scientific discovery; DNA interference; Cytoplasmic DNA; RNA interference</t>
  </si>
  <si>
    <t>VESICLE-MEDIATED TRANSFER; CYTOPLASMIC DNA; MESSENGER-RNA; HORIZONTAL TRANSFER; MEMBRANE-VESICLES; CRYSTAL-STRUCTURE; GENOMIC DNA; SYSTEM; CELLS; TRANSCRIPTION</t>
  </si>
  <si>
    <t>When a field shares the consensus that a particular phenomenon does NOT occur, this may reflect extensive experimental investigations with negative outcomes, or may represent the common sense position based on current knowledge and established ways of thinking. The current consensus of the RNA field is that eukaryotic Argonaute (Ago) proteins employ RNA guides and target other RNAs. The alternative - that eukaryotic Ago has biologically important interactions with DNA in vivo - has not been seriously considered, in part because the only role contemplated for DNA was as a guide strand, and in part because it did not seem plausible that any natural source of suitable DNAs exists in eukaryotic cells. However, eukaryotic Argonaute domains bind DNA in the test tube, and several articles report that small inhibitory double-stranded DNAs do have the ability to silence target RNAs in a sequence-dependent (though poorly characterized) manner. A search of the literature identified potential DNA binding partners for Ago, including (among others) single-stranded DNAs residing in extracellular vesicles, and cytoplasmic satellite-repeat DNA fragments that are associated with the plasma membrane and transcribed by Pol II. It is interesting to note that both cytoplasmic and extracellular vesicle DNA are expressed at greatly elevated levels in cancer cells relative to normal cells. In such a pathological scenario, if not under normal conditions, there may be appreciable binding of Ago to DNA despite its lower affinity compared to RNA. If so, DNA might displace Ago from binding to its normal partners (miRNAs, siRNAs and other short ncRNAs), disrupting tightly controlled post-transcriptional gene silencing processes that are vital to correct functioning of a normal cell. The possible contribution to cancer pathogenesis is a strong motivator for further investigation of Ago-DNA binding. More generally, this case underscores the need for better informatics tools to allow investigators to analyze the state of a given scientific question at a high-level and to identify possible new research directions. Reviewers: This article was reviewed by Eugene Koonin, Kira S. Makarova, Alexander Maxwell Burroughs (nominated by L Aravind), and Isidore Rigoutsos. Open peer review: Reviewed by Eugene Koonin, Kira S. Makarova, Alexander Maxwell Burroughs (nominated by L Aravind), and Isidore Rigoutsos. For the full reviews, please go to the Reviewers' comments section.</t>
  </si>
  <si>
    <t>[Smalheiser, Neil R.] Univ Illinois, Dept Psychiat, Chicago, IL 60612 USA; Univ Illinois, Inst Psychiat, Chicago, IL 60612 USA</t>
  </si>
  <si>
    <t>University of Illinois System; University of Illinois Chicago; University of Illinois Chicago Hospital; University of Illinois System; University of Illinois Chicago; University of Illinois Chicago Hospital</t>
  </si>
  <si>
    <t>Smalheiser, NR (corresponding author), Univ Illinois, Dept Psychiat, 1601 W Taylor St MC912, Chicago, IL 60612 USA.</t>
  </si>
  <si>
    <t>neils@uic.edu</t>
  </si>
  <si>
    <t>1745-6150</t>
  </si>
  <si>
    <t>DEC 4</t>
  </si>
  <si>
    <t>10.1186/s13062-014-0027-4</t>
  </si>
  <si>
    <t>WOS:000346385400001</t>
  </si>
  <si>
    <t>Glennon, KI; Maralani, M; Abdian, N; Paccard, A; Montermini, L; Nam, AJ; Arseneault, M; Staffa, A; Jandaghi, P; Meehan, B; Brimo, F; Tanguay, S; Rak, J; Riazalhosseini, Y</t>
  </si>
  <si>
    <t>Glennon, Kate, I; Maralani, Mahafarin; Abdian, Narges; Paccard, Antoine; Montermini, Laura; Nam, Alice Jisoo; Arseneault, Madeleine; Staffa, Alfredo; Jandaghi, Pouria; Meehan, Brian; Brimo, Fadi; Tanguay, Simon; Rak, Janusz; Riazalhosseini, Yasser</t>
  </si>
  <si>
    <t>Rational Development of Liquid Biopsy Analysis in Renal Cell Carcinoma</t>
  </si>
  <si>
    <t>renal cell carcinoma; liquid biopsy; NGS; cfDNA; ctDNA; extracellular vesicles; exosomes</t>
  </si>
  <si>
    <t>CIRCULATING TUMOR DNA; CANCER; HETEROGENEITY; GENOME; PERFORMANCE; EVOLUTION; THERAPY</t>
  </si>
  <si>
    <t>Simple Summary: Among patients affected by renal cell carcinoma (RCC), the most common type of kidney cancer, it remains difficult to identify those who are at high risk for relapse or metastasis. This is in part due to the absence of reliable clinical biomarkers and robust methods to capture them. The aim of our study was to develop an improved assay to capture prognostic genomic biomarkers in circulating tumor DNA (ctDNA) in RCC. For this purpose, we first established a next generation sequencing (NGS) assay, targeting genes that are tailored for RCC and that are largely excluded from commercially available assays. Next, we showed the reliable performance of this assay to detect prognostic gene mutations in tumor DNA isolated from plasma, and from extracellular vesicles. Thus, our study provides a resource to facilitate ctDNA analysis for precision medicine in RCC. Renal cell carcinoma (RCC) is known for its variable clinical behavior and outcome, including heterogeneity in developing relapse or metastasis. Recent data highlighted the potential of somatic mutations as promising biomarkers for risk stratification in RCC. Likewise, the analysis of circulating tumor DNA (ctDNA) for such informative somatic mutations (liquid biopsy) is considered an important advance for precision oncology in RCC, allowing to monitor molecular disease evolution in real time. However, our knowledge about the utility of ctDNA analysis in RCC is limited, in part due to the lack of RCC-appropriate assays for ctDNA analysis. Here, by interrogating different blood compartments in xenograft models, we identified plasma cell-free (cf) DNA and extracellular vesicles (ev) DNA enriched for RCC-associated ctDNA. Additionally, we developed sensitive targeted sequencing and bioinformatics workflows capable of detecting somatic mutations in RCC-relevant genes with allele frequencies &gt;= 0.5%. Applying this assay to patient-matched tumor and liquid biopsies, we captured tumor mutations in cf- and ev-DNA fractions isolated from the blood, highlighting the potentials of both fractions for ctDNA analysis. Overall, our study presents an RCC-appropriate sequencing assay and workflow for ctDNA analysis and provides a proof of principle as to the feasibility of detecting tumor-specific mutations in liquid biopsy in RCC patients.</t>
  </si>
  <si>
    <t>[Glennon, Kate, I; Maralani, Mahafarin; Paccard, Antoine; Nam, Alice Jisoo; Arseneault, Madeleine; Staffa, Alfredo; Jandaghi, Pouria; Riazalhosseini, Yasser] McGill Univ, McGill Genome Ctr, 740 Doctor Penfield Ave, Montreal, PQ H3A 0G1, Canada; [Glennon, Kate, I; Maralani, Mahafarin; Jandaghi, Pouria; Riazalhosseini, Yasser] McGill Univ, Dept Human Genet, 1205 Doctor Penfield Ave, Montreal, PQ H3A 1B1, Canada; [Maralani, Mahafarin; Abdian, Narges; Montermini, Laura; Meehan, Brian; Rak, Janusz] McGill Univ, Hlth Ctr, Res Inst, Montreal, PQ H4A 3J1, Canada; [Brimo, Fadi] McGill Univ, Dept Pathol, Montreal, PQ H3A 2B4, Canada; [Tanguay, Simon] McGill Univ, Div Urol, Montreal, PQ H4A 3J1, Canada</t>
  </si>
  <si>
    <t>McGill University; McGill University; McGill University; McGill University; McGill University</t>
  </si>
  <si>
    <t>Riazalhosseini, Y (corresponding author), McGill Univ, McGill Genome Ctr, 740 Doctor Penfield Ave, Montreal, PQ H3A 0G1, Canada.;Riazalhosseini, Y (corresponding author), McGill Univ, Dept Human Genet, 1205 Doctor Penfield Ave, Montreal, PQ H3A 1B1, Canada.</t>
  </si>
  <si>
    <t>kate.glennon@mail.mcgill.ca; mah_afarin@hotmail.com; nargesabdian@gmail.com; antoine.paccard@mcgill.ca; laura-m@sympatico.ca; ji.nam@mail.mcgill.ca; madeleine.arseneault@mcgill.ca; astaffa@gmail.com; pouria.jandaghi@mail.mcgill.ca; bmeehan82@hotmail.com; fadi.brimo@mcgill.ca; simon.tanguay@mcgill.ca; janusz.rak@mcgill.ca; yasser.riazalhosseini@mcgill.ca</t>
  </si>
  <si>
    <t>Paccard, Antoine/0000-0003-0738-5540; Glennon, Kate/0000-0002-4923-0822</t>
  </si>
  <si>
    <t>10.3390/cancers13225825</t>
  </si>
  <si>
    <t>WOS:000773917700039</t>
  </si>
  <si>
    <t>Huang, YJ; Cao, J; Lee, CY; Wu, YM</t>
  </si>
  <si>
    <t>Huang, Yu-Jen; Cao, Jerry; Lee, Chih-Yuan; Wu, Yao-Ming</t>
  </si>
  <si>
    <t>Umbilical cord blood plasma-derived exosomes as a novel therapy to reverse liver fibrosis</t>
  </si>
  <si>
    <t>Cirrhosis; Exosomes; Hepatic stellate cells; Inhibitor of DNA binding 1</t>
  </si>
  <si>
    <t>HEPATIC STELLATE CELLS; MESENCHYMAL STEM-CELL; GROWTH; ID-1; DIFFERENTIATION; INSIGHTS; PATHWAY; SIGNAL; SERUM</t>
  </si>
  <si>
    <t>Background Cirrhosis is a chronic liver disease whereby scar tissue replaces healthy liver parenchyma, leading to disruption of the liver architecture and hepatic dysfunction. Currently, there is no effective disease-modifying therapy for liver fibrosis. Recently, our group demonstrated that human umbilical cord blood (UCB) plasma possesses therapeutic effects in a rat model of acute liver failure. Methods In the current study, we tested whether exosomes (Exo) existed in UCB plasma and if they produced any antifibrotic benefits in a liver fibrosis model. Results Our results showed that UCB-Exo improved liver function and increased matrix metalloproteinase/tissue inhibitor of metalloproteinase degradation to reduce the degree of fibrosis. Moreover, UCB-Exo were found to suppress hepatic stellate cell (HSC) activity in vitro. These effects were associated with suppression of transforming growth factor-beta/inhibitor of DNA binding 1 signaling. Conclusions These results further support that UCB-Exo have antifibrotic effects in mice with liver fibrosis and activated HSCs and may herald a new cell-free antifibrotic therapy.</t>
  </si>
  <si>
    <t>[Huang, Yu-Jen; Lee, Chih-Yuan; Wu, Yao-Ming] Natl Taiwan Univ Hosp, Dept Surg, 7 Chung Shan South Rd, Taipei, Taiwan; [Cao, Jerry] Wollongong Hosp, Dept Surg, Loftus St, Wollongong, NSW 2500, Australia; [Wu, Yao-Ming] Natl Taiwan Univ, Coll Med, 7 Chung Shan South Rd, Taipei, Taiwan</t>
  </si>
  <si>
    <t>National Taiwan University; National Taiwan University Hospital; Wollongong Hospital; National Taiwan University</t>
  </si>
  <si>
    <t>Wu, YM (corresponding author), Natl Taiwan Univ Hosp, Dept Surg, 7 Chung Shan South Rd, Taipei, Taiwan.;Wu, YM (corresponding author), Natl Taiwan Univ, Coll Med, 7 Chung Shan South Rd, Taipei, Taiwan.</t>
  </si>
  <si>
    <t>wyaoming@gmail.com</t>
  </si>
  <si>
    <t>WU, YAO-MING/0000-0002-1720-7863; Lee, Chih-Yuan/0000-0001-5034-3544</t>
  </si>
  <si>
    <t>NOV 12</t>
  </si>
  <si>
    <t>10.1186/s13287-021-02641-x</t>
  </si>
  <si>
    <t>WOS:000717992400003</t>
  </si>
  <si>
    <t>Lee, Y; Park, JY; Lee, EH; Yang, J; Jeong, BR; Kim, YK; Seoh, JY; Lee, S; Han, PL; Kim, EJ</t>
  </si>
  <si>
    <t>Lee, Yunjin; Park, Jin-Young; Lee, Eun-Hwa; Yang, Jinho; Jeong, Bo-Ri; Kim, Yoon-Keun; Seoh, Ju-Young; Lee, SoHyun; Han, Pyung-Lim; Kim, Eui-Jung</t>
  </si>
  <si>
    <t>Rapid Assessment of Microbiota Changes in Individuals with Autism Spectrum Disorder Using Bacteria-derived Membrane Vesicles in Urine</t>
  </si>
  <si>
    <t>EXPERIMENTAL NEUROBIOLOGY</t>
  </si>
  <si>
    <t>Autism spectrum disorder; gut microbiota; Extracellular membrane vesicles; Bacteria-derived EVs; urine marker</t>
  </si>
  <si>
    <t>GASTROINTESTINAL SYMPTOMS; EXTRACELLULAR VESICLES; GUT MICROBIOTA; CHILDREN; ASSOCIATION; METABOLITES; CHILDHOOD; INFANTIS; CELLS</t>
  </si>
  <si>
    <t>Individuals with autism spectrum disorder (ASD) have altered gut microbiota, which appears to regulate ASD symptoms via gut microbiota-brain interactions. Rapid assessment of gut microbiota profiles in ASD individuals in varying physiological contexts is important to understanding the role of the microbiota in regulating ASD symptoms. Microbiomes secrete extracellular membrane vesicles (EVs) to communicate with host cells and secreted EVs are widely distributed throughout the body including the blood and urine. In the present study, we investigated whether bacteria-derived EVs in urine are useful for the metagenome analysis of microbiota in ASD individuals. To address this, bacterial DNA was isolated from bacteria-derived EVs in the urine of ASD individuals. Subsequent metagenome analysis indicated markedly altered microbiota profiles at the levels of the phylum, class, order, family, and genus in ASD individuals relative to control subjects. Microbiota identified from urine EVs included gut microbiota reported in previous studies and their up-and down-regulation in ASD individuals were partially consistent with microbiota profiles previously assessed from ASD fecal samples. However, overall microbiota profiles identified in the present study represented a distinctive microbiota landscape for ASD. Particularly, the occupancy of g_Pseudomonas, g_Sphingomonas, g_Agrobacterium, g_Achromobacter, and g_Roseateles decreased in ASD, whereas g_Streptococcus, g_Akkermansia, g_Rhodococcus, and g_Halomonas increased. These results demonstrate distinctively altered gut microbiota profiles in ASD, and validate the utilization of urine EVs for the rapid assessment of microbiota in ASD.</t>
  </si>
  <si>
    <t>[Lee, Yunjin; Park, Jin-Young; Lee, Eun-Hwa; Han, Pyung-Lim] Ewha Womans Univ, Dept Brain &amp; Cognit Sci, Seoul 03760, South Korea; [Lee, SoHyun] Ewha Womans Univ, Dept Special Educ, Seoul 03760, South Korea; [Han, Pyung-Lim] Ewha Womans Univ, Dept Chem &amp; Nano Sci, Seoul 03760, South Korea; [Yang, Jinho; Jeong, Bo-Ri; Kim, Yoon-Keun] MD Healthcare Inc, Seoul, South Korea; [Seoh, Ju-Young] Ewha Womans Univ, Coll Med, Dept Microbiol, Seoul 07985, South Korea; [Kim, Eui-Jung] Ewha Womans Univ, Coll Med, Dept Psychiat, Seoul 07985, South Korea</t>
  </si>
  <si>
    <t>Ewha Womans University; Ewha Womans University; Ewha Womans University; Ewha Womans University; Ewha Womans University</t>
  </si>
  <si>
    <t>Han, PL (corresponding author), Ewha Womans Univ, Dept Brain &amp; Cognit Sci, Seoul 03760, South Korea.;Han, PL (corresponding author), Ewha Womans Univ, Dept Chem &amp; Nano Sci, Seoul 03760, South Korea.;Kim, EJ (corresponding author), Ewha Womans Univ, Coll Med, Dept Psychiat, Seoul 07985, South Korea.</t>
  </si>
  <si>
    <t>plhan@ewha.ac.kr; christie@ewha.ac.kr</t>
  </si>
  <si>
    <t>Han, Pyung-Lim/0000-0002-1735-6746; Yang, Jinho/0000-0001-7207-6846</t>
  </si>
  <si>
    <t>1226-2560</t>
  </si>
  <si>
    <t>2093-8144</t>
  </si>
  <si>
    <t>10.5607/en.2017.26.5.307</t>
  </si>
  <si>
    <t>Medicine, Research &amp; Experimental; Neurosciences</t>
  </si>
  <si>
    <t>Research &amp; Experimental Medicine; Neurosciences &amp; Neurology</t>
  </si>
  <si>
    <t>WOS:000424432900007</t>
  </si>
  <si>
    <t>Koh, CC; Wardini, AB; Vieira, M; Passos, LSA; Martinelli, PM; Neves, EGA; Antonelli, LRD; Barbosa, DF; Velikkakam, T; Gutseit, E; Menezes, GB; Giunchetti, RC; Machado, PRL; Carvalho, EM; Gollob, KJ; Dutra, WO</t>
  </si>
  <si>
    <t>Koh, Carolina Cattoni; Wardini, Amanda B.; Vieira, Millene; Passos, Livia S. A.; Martinelli, Patricia Massara; Neves, Eula Graciele A.; Antonelli, Lis Riberido do Vale; Barbosa, Daniela Faria; Velikkakam, Teresiama; Gutseit, Eduardo; Menezes, Gustavo B.; Giunchetti, Rodolfo Cordeiro; Machado, Paulo Roberto Lima; Carvalho, Edgar M.; Gollob, Kenneth J.; Dutra, Walderez Ornelas</t>
  </si>
  <si>
    <t>Human CD8+T Cells Release Extracellular Traps Co-Localized With Cytotoxic Vesicles That Are Associated With Lesion Progression and Severity in Human Leishmaniasis</t>
  </si>
  <si>
    <t>extracellular traps; CD8+T cells; etosis; cytotoxicity; pathology; leishmaniasis</t>
  </si>
  <si>
    <t>CD8(+) T-CELLS; MITOCHONDRIAL-DNA; DEATH; APOPTOSIS; IMMUNITY; RECEPTOR; SIGNALS; SURFACE</t>
  </si>
  <si>
    <t>Cell death plays a fundamental role in mounting protective and pathogenic immunity. Etosis is a cell death mechanism defined by the release of extracellular traps (ETs), which can foster inflammation and exert microbicidal activity. While etosis is often associated with innate cells, recent studies showed that B cells and CD4+ T cells can release ETs. Here we investigate whether CD8+ T cells can also release ETs, which might be related to cytotoxicity and tissue pathology. To these ends, we first employed an in vitro system stimulating human CD8+ T cells isolated from healthy volunteers with anti-CD3/anti-CD28. Using time-frame video, confocal and electron microscopy, we demonstrate that human CD8+ T cells release ETs upon stimulation (herein LETs - lymphocyte extracellular traps), which display unique morphology and functional characteristics. CD8+ T cell-derived LETs form long strands that co-localize with CD107a, a marker of vesicles containing cytotoxic granules. In addition, these structures connect the LET-releasing cell to other neighboring cells, often resulting in cell death. After demonstrating the release of LETs by human CD8+ T cells in vitro, we went on to study the occurrence of CD8-derived LETs in a human disease setting. Thus, we evaluated the occurrence of CD8-derived LETs in lesions from patients with human tegumentary leishmaniasis, where CD8+ T cells play a key role in mediating pathology. In addition, we evaluated the association of these structures with the intensity of the inflammatory infiltrate in early and late cutaneous, as well as in mucosal leishmaniasis lesions. We demonstrated that progression and severity of debilitating and mutilating forms of human tegumentary leishmaniasis are associated with the frequency of CD8+ T cells in etosis, as well as the occurrence of CD8-derived LETs carrying CD107a+ vesicles in the lesions. We propose that CD8+ T cell derived LETs may serve as a tool for delivering cytotoxic vesicles to distant target cells, providing insights into mechanisms of CD8+ T cell mediated pathology.</t>
  </si>
  <si>
    <t>[Koh, Carolina Cattoni; Wardini, Amanda B.; Vieira, Millene; Passos, Livia S. A.; Neves, Eula Graciele A.; Barbosa, Daniela Faria; Velikkakam, Teresiama; Gutseit, Eduardo; Giunchetti, Rodolfo Cordeiro; Dutra, Walderez Ornelas] Univ Fed Minas Gerais, Inst Ciencias Biol, Dept Morfol, Lab Biol Interacoes Celulares, Belo Horizonte, MG, Brazil; [Martinelli, Patricia Massara] Univ Fed Minas Gerais, Inst Ciencias Biol, Dept Morfol, Lab Profa Conceicao Machado, Belo Horizonte, MG, Brazil; [Antonelli, Lis Riberido do Vale] FIOCRUZ MG, Inst Rene Rachou, Lab Biol Imunol Doencas Infecciosas &amp; Parasitaria, Belo Horizonte, MG, Brazil; [Menezes, Gustavo B.] Univ Fed Minas Gerais, Inst Ciencias Biol, Dept Morfol, Ctr Gastrointestinal Biol, Belo Horizonte, MG, Brazil; [Machado, Paulo Roberto Lima; Carvalho, Edgar M.] Univ Fed Bahia, Serv Imunol, Salvador, BA, Brazil; [Machado, Paulo Roberto Lima; Carvalho, Edgar M.; Gollob, Kenneth J.; Dutra, Walderez Ornelas] INCT DT, Salvador, BA, Brazil; [Gollob, Kenneth J.] AC Camargo Canc Ctr, Int Res Ctr, Sao Paulo, Brazil</t>
  </si>
  <si>
    <t>Universidade Federal de Minas Gerais; Universidade Federal de Minas Gerais; Fundacao Oswaldo Cruz; Universidade Federal de Minas Gerais; Universidade Federal da Bahia; A.C.Camargo Cancer Center</t>
  </si>
  <si>
    <t>Dutra, WO (corresponding author), Univ Fed Minas Gerais, Inst Ciencias Biol, Dept Morfol, Lab Biol Interacoes Celulares, Belo Horizonte, MG, Brazil.;Dutra, WO (corresponding author), INCT DT, Salvador, BA, Brazil.</t>
  </si>
  <si>
    <t>waldutra@gmail.com</t>
  </si>
  <si>
    <t>Dutra, Walderez Ornelas/CAH-1502-2022; Menezes, Gustavo B/B-3350-2013; Gollob, Kenneth J/C-1341-2008; Cattoni Koh, Carolina/GON-8196-2022; Passos, Livia/L-3112-2018</t>
  </si>
  <si>
    <t>Dutra, Walderez Ornelas/0000-0002-7586-9996; Gollob, Kenneth J/0000-0003-4184-3867; Passos, Livia/0000-0001-9888-6206</t>
  </si>
  <si>
    <t>OCT 8</t>
  </si>
  <si>
    <t>10.3389/fimmu.2020.594581</t>
  </si>
  <si>
    <t>WOS:000580549200001</t>
  </si>
  <si>
    <t>Badawy, AA; El-Magd, MA; AlSadrah, SA</t>
  </si>
  <si>
    <t>Badawy, Abdelnaser A.; El-Magd, Mohammed A.; AlSadrah, Sana A.</t>
  </si>
  <si>
    <t>Therapeutic Effect of Camel Milk and Its Exosomes on MCF7 Cells In Vitro and In Vivo</t>
  </si>
  <si>
    <t>INTEGRATIVE CANCER THERAPIES</t>
  </si>
  <si>
    <t>camel milk; exosomes; MCF7; apoptosis; immunity</t>
  </si>
  <si>
    <t>BREAST-CANCER CELLS; COLORECTAL-CANCER; INFLAMMATION; EXPRESSION; BOVINE; MIGRATION; ASSAY; RATS; MICE</t>
  </si>
  <si>
    <t>Background/Objectives: In the Middle East, people consume camel milk regularly as it is believed to improve immunity against diseases and decrease the risk for cancer. Recently, it was noted that most of the beneficial effects of milk come from their nanoparticles, especially exosomes. Herein, we evaluated the anticancer potential of camel milk and its exosomes on MCF7 breast cancer cells (in vitro and in vivo) and investigated the possible underlying molecular mechanism of action. Methods/Results: Administration of camel milk (orally) and its exosomes (orally and by local injection) decreased breast tumor progression as evident by (a) higher apoptosis (indicated by higher DNA fragmentation, caspase-3 activity, Bax gene expression, and lower Bcl2 gene expression), (b) remarkable inhibition of oxidative stress (decrease in MDA levels and iNOS gene expression); (c) induction of antioxidant status (increased activities of SOD, CAT, and GPX), (d) notable reduction in expression of inflammation-(IL1b, NF kappa B), angiogenesis-(VEGF) and metastasis-(MMP9, ICAM1) related genes; and (e) higher immune response (high number of CD(+)4, CD(+)8, NK1.1 T cells in spleen). Conclusions: Overall, administration of camel milk-derived exosomes showed better anticancer effect, but less immune response, than treatment by camel milk. Moreover, local injection of exosomes led to better improvement than oral administration. These findings suggest that camel milk and its exosomes have anticancer effect possibly through induction of apoptosis and inhibition of oxidative stress, inflammation, angiogenesis and metastasis in the tumor microenvironment. Thus, camel milk and its exosomes could be used as an anticancer agent for cancer treatment.</t>
  </si>
  <si>
    <t>[Badawy, Abdelnaser A.] Northern Border Univ, Dept Biochem, Fac Med, Ar Ar, Saudi Arabia; [Badawy, Abdelnaser A.] Mansoura Univ, Dept Med Biochem, Fac Med, Mansoura, Egypt; [El-Magd, Mohammed A.] Kafrelsheikh Univ, Dept Anat, Fac Vet Med, Kafrelsheikh, Egypt; [AlSadrah, Sana A.] Govt Hosp Khobar, Minist Hlth, Hlth Ctr Khobar, Dept Prevent Med, Khobar, Saudi Arabia</t>
  </si>
  <si>
    <t>Northern Borders University; Egyptian Knowledge Bank (EKB); Mansoura University; Egyptian Knowledge Bank (EKB); Kafrelsheikh University</t>
  </si>
  <si>
    <t>Badawy, AA (corresponding author), Northern Border Univ, Dept Biochem, Fac Med, Ar Ar, Saudi Arabia.;El-Magd, MA (corresponding author), Kafrelsheikh Univ, Dept Anat, Fac Vet Med, Kafrelsheikh, Egypt.</t>
  </si>
  <si>
    <t>naser2002@mans.edu.eg; mohamed.abouelmagd@vet.kfs.edu.eg</t>
  </si>
  <si>
    <t>Badawy, Abdelnaser/0000-0002-4966-3839; EL-Magd, Mohammed/0000-0002-3314-9202; AlSadrah, Sana/0000-0002-1254-3542</t>
  </si>
  <si>
    <t>1534-7354</t>
  </si>
  <si>
    <t>1552-695X</t>
  </si>
  <si>
    <t>10.1177/1534735418786000</t>
  </si>
  <si>
    <t>Oncology; Integrative &amp; Complementary Medicine</t>
  </si>
  <si>
    <t>WOS:000450322400026</t>
  </si>
  <si>
    <t>Kanada, M; Kim, BD; Hardy, JW; Ronald, JA; Bachmann, MH; Bernard, MP; Perez, GI; Zarea, AA; Ge, TJ; Withrow, A; Ibrahim, SA; Toomajian, V; Gambhir, SS; Paulmurugan, R; Contag, CH</t>
  </si>
  <si>
    <t>Kanada, Masamitsu; Kim, Bryan D.; Hardy, Jonathan W.; Ronald, John A.; Bachmann, Michael H.; Bernard, Matthew P.; Perez, Gloria I.; Zarea, Ahmed A.; Ge, T. Jessie; Withrow, Alicia; Ibrahim, Sherif A.; Toomajian, Victoria; Gambhir, Sanjiv S.; Paulmurugan, Ramasamy; Contag, Christopher H.</t>
  </si>
  <si>
    <t>Microvesicle-Mediated Delivery of Minicircle DNA Results in Effective Gene-Directed Enzyme Prodrug Cancer Therapy</t>
  </si>
  <si>
    <t>MOLECULAR CANCER THERAPEUTICS</t>
  </si>
  <si>
    <t>EXTRACELLULAR VESICLES; BREAST-CANCER; EXOSOMES; SUICIDE; VECTOR; CELLS; NITROREDUCTASE; EXPRESSION; PHOSPHATIDYLSERINE; PLATFORM</t>
  </si>
  <si>
    <t>An emerging approach for cancer treatment employs the use of extracellular vesides, specifically exosomes and microvesides, as delivery vehides. We previously demonstrated that microvesides can functionally deliver plasmid DNA to cells and showed that plasmid size and sequence, in part, determine the delivery efficiency. In this study, delivery vehicles comprised of microvesides loaded with engineered minicirde (MC) DNA that encodes prodrug converting enzymes developed as a cancer therapy in mammary carcinoma models. We demonstrated that MCs can be loaded into shed microvesicles with greater efficiency than their parental plasmid counterparts and that midoveside-mediated MC delivery led to significantly higher and more prolonged transgene expression in recipient cells than microvesicles loaded with the parental plasmid. Microvesides loaded with MCs encoding a thymidine kinase (TK)/nitroreductase (NPR) fusion protein produced prolonged TK-NTR expression in mammary carcinoma cells. In vivo delivery of TK-NTR and administration of prodrugs led to the effective killing of both targeted cells and surrounding tumor cells via TK-NTR-mediated conversion of codelivered prodrugs into active cytotoxic agents. In vivo evaluation of the bystander effect in mouse models demonstrated that for effective therapy, at least 1% of tumor cells need to be delivered with TK-NTR-encoding MCs. These results suggest that MC delivery via microvesides can mediate gene transfer to an extent that enables effective prodrug conversion and tumor cell death such that it comprises a promising approach to cancer therapy.</t>
  </si>
  <si>
    <t>[Kanada, Masamitsu; Hardy, Jonathan W.; Bachmann, Michael H.; Contag, Christopher H.] Stanford Univ, Dept Pediat, Stanford, CA 94305 USA; [Kanada, Masamitsu; Hardy, Jonathan W.; Ronald, John A.; Bachmann, Michael H.; Gambhir, Sanjiv S.; Paulmurugan, Ramasamy; Contag, Christopher H.] Stanford Univ, Dept Mol Imaging Program Stanford MIPS, Stanford, CA 94305 USA; [Kanada, Masamitsu; Bernard, Matthew P.] Michigan State Univ, Dept Pharmacol &amp; Toxicol, E Lansing, MI 48824 USA; [Kanada, Masamitsu; Hardy, Jonathan W.; Bachmann, Michael H.; Bernard, Matthew P.; Perez, Gloria I.; Zarea, Ahmed A.; Ibrahim, Sherif A.; Toomajian, Victoria; Contag, Christopher H.] Michigan State Univ, Inst Quantitat Hlth Sci &amp; Engn IQ, E Lansing, MI 48824 USA; [Kim, Bryan D.] Univ Calif Santa Cruz, Dept Chem, Santa Cruz, CA 95064 USA; [Hardy, Jonathan W.; Bachmann, Michael H.; Contag, Christopher H.] Michigan State Univ, Dept Microbiol &amp; Mol Genet, E Lansing, MI 48824 USA; [Ronald, John A.; Ge, T. Jessie; Gambhir, Sanjiv S.; Paulmurugan, Ramasamy] Stanford Univ, Dept Radiol, Stanford, CA 94305 USA; [Ronald, John A.] Western Univ, Robarts Res Inst, London, ON, Canada; [Ronald, John A.] Lawson Hlth Res Inst, London, ON, Canada; [Withrow, Alicia] Michigan State Univ, Ctr Adv Microscopy, E Lansing, MI 48824 USA; [Ibrahim, Sherif A.] Mansoura Univ, Fac Med, Dept Histol &amp; Cell Biol, Mansoura, Egypt; [Toomajian, Victoria; Contag, Christopher H.] Michigan State Univ, Dept Biomed Engn, E Lansing, MI 48824 USA; [Gambhir, Sanjiv S.] Stanford Univ, Dept Bioengn, Stanford, CA 94305 USA; [Gambhir, Sanjiv S.] Stanford Univ, Dept Mat Sci, Stanford, CA 94305 USA</t>
  </si>
  <si>
    <t>Stanford University; Stanford University; Michigan State University; Michigan State University; University of California System; University of California Santa Cruz; Michigan State University; Stanford University; Western University (University of Western Ontario); Western University (University of Western Ontario); Michigan State University; Egyptian Knowledge Bank (EKB); Mansoura University; Michigan State University; Stanford University; Stanford University</t>
  </si>
  <si>
    <t>Kanada, M; Contag, CH (corresponding author), Michigan State Univ, 775 Woodlot Dr, E Lansing, MI 48824 USA.;Paulmurugan, R (corresponding author), Stanford Univ, Sch Med, 3155 Porter Dr,Room 2236, Palo Alto, CA 94304 USA.</t>
  </si>
  <si>
    <t>kanadama@msu.edu; paulmur8@stanford.edu; contagch@msu.edu</t>
  </si>
  <si>
    <t>Ibrahim, Sherif Abdelfattah/AAC-6282-2021; Hardy, Jonathan/AAO-9306-2020; Kanada, Masamitsu/AAP-1664-2020; Ronald, John/B-7123-2008; Bachmann, Michael/N-9339-2016</t>
  </si>
  <si>
    <t>Ibrahim, Sherif Abdelfattah/0000-0002-9201-4519; Paulmurugan, Ramasamy/0000-0001-7155-4738; Ronald, John/0000-0003-3665-173X; Bachmann, Michael/0000-0002-0204-3720</t>
  </si>
  <si>
    <t>1535-7163</t>
  </si>
  <si>
    <t>1538-8514</t>
  </si>
  <si>
    <t>10.1158/1535-7163.MCT-19-0299</t>
  </si>
  <si>
    <t>WOS:000500955700013</t>
  </si>
  <si>
    <t>Wisler, JR; Singh, K; McCarty, A; Harkless, R; Karpurapu, M; Hernandez, E; Mukherjee, D; Abouhashem, AS; Christman, JW; Sen, CK</t>
  </si>
  <si>
    <t>Wisler, Jon R.; Singh, Kanhaiya; McCarty, Adara; Harkless, Ryan; Karpurapu, Manjula; Hernandez, Edward; Mukherjee, Debasmita; Abouhashem, Ahmed S.; Christman, John W.; Sen, Chandan K.</t>
  </si>
  <si>
    <t>Exosomal Transfer of DNA Methyl-Transferase mRNA Induces an Immunosuppressive Phenotype in Human Monocytes</t>
  </si>
  <si>
    <t>SHOCK</t>
  </si>
  <si>
    <t>DNA methylation; exosomes; immunosuppression; severe sepsis</t>
  </si>
  <si>
    <t>INTENSIVE-CARE-UNIT; PERSISTENT INFLAMMATION; EPIGENETIC REGULATION; SEPSIS; CONTRIBUTES; ADMISSION</t>
  </si>
  <si>
    <t>Introduction: Survivors of sepsis exhibit persistent immunosuppression. Epigenetic events may be responsible for some of these immunosuppressive changes. During sepsis circulating exosomes contain large quantities of DNA methyltransferase (DNMT) mRNAs. We hypothesized that exosomes directly transfer DNMT mRNAs to recipient monocytes with resultant methylation events and immunosuppression. Methods: Exosomes containing DNMT mRNA were generated by stimulating monocytes with LPS. Confocal microscopy was used to determine uptake kinetics in the presence of pharmacologic inhibition. Expression and packaging of specific DNMT mRNA was controlled using DNMT siRNAs. Whole genome and gene specific methylation was assessed using bisulfite sequencing. Ingenuity pathway analysis was performed to determine the biological function of significance of differentially methylated regions. Results: Exosomes effectively transferred DNMT mRNA to recipient monocytes. Pharmacologic inhibition of exosome uptake prevented this increase in DNMT mRNA expression. Recipient monocytes exhibited hypermethylation changes and gene suppression. siRNAs decreased the packaging of DNMT mRNAs and prevented TNF alpha gene suppression, restoring immunocompetence. Conclusion: These data support a role for exosome-mediated transfer of DNMT mRNA with resultant methylation and gene silencing. Pharmacologic uptake inhibition or targeted siRNA mediated DNMT gene silencing prevented DNMT mRNA transfer and maintained the cell's ability to express TNF alpha in response to LPS. This highlights the potential therapeutic value of targeting these exosome-mediated epigenetic events to maintain the host immune response during sepsis.</t>
  </si>
  <si>
    <t>[Wisler, Jon R.; McCarty, Adara; Harkless, Ryan] Ohio State Univ, Dept Surg, Div Trauma &amp; Crit Care, Columbus, OH 43210 USA; [Singh, Kanhaiya; Hernandez, Edward; Abouhashem, Ahmed S.; Sen, Chandan K.] Indiana Univ Sch Med, Dept Surg, Indiana Ctr Regenerat Med &amp; Engn, Indianapolis, IN 46202 USA; [Karpurapu, Manjula; Christman, John W.] Ohio State Univ, Dept Med, Div Pulm Crit Care &amp; Sleep, Columbus, OH 43210 USA; [Mukherjee, Debasmita] Indian Inst Technol Ropar, Rupnagar, Punjab, India</t>
  </si>
  <si>
    <t>Ohio State University; Indiana University System; Indiana University Bloomington; Ohio State University; Indian Institute of Technology System (IIT System); Indian Institute of Technology (IIT) - Ropar</t>
  </si>
  <si>
    <t>Wisler, JR (corresponding author), Ohio State Univ, Dept Surg, Wexner Med Ctr, Columbus, OH 43210 USA.</t>
  </si>
  <si>
    <t>jon.wisler@osumc.edu</t>
  </si>
  <si>
    <t>Mukherjee, Debasmita/0000-0003-3472-2653</t>
  </si>
  <si>
    <t>1073-2322</t>
  </si>
  <si>
    <t>1540-0514</t>
  </si>
  <si>
    <t>10.1097/SHK.0000000000001928</t>
  </si>
  <si>
    <t>Critical Care Medicine; Hematology; Surgery; Peripheral Vascular Disease</t>
  </si>
  <si>
    <t>General &amp; Internal Medicine; Hematology; Surgery; Cardiovascular System &amp; Cardiology</t>
  </si>
  <si>
    <t>WOS:000816691300007</t>
  </si>
  <si>
    <t>Tani, Y; Kaneta, T</t>
  </si>
  <si>
    <t>Tani, Yumeki; Kaneta, Takashi</t>
  </si>
  <si>
    <t>Coalescence of Oil Droplets and Collection of Vesicles by Optical Pressure</t>
  </si>
  <si>
    <t>BUNSEKI KAGAKU</t>
  </si>
  <si>
    <t>optical pressure; oil droplet; liposome; exosome; gold nanoparticle</t>
  </si>
  <si>
    <t>PHOSPHATIDYLCHOLINE; EXOSOMES; DNA</t>
  </si>
  <si>
    <t>We demonstrated the utility of optical pressure in the manipulation of oil droplets and vesicles in the field of analytical chemistry. In order to realize chemical analysis in a limited small space, a method to capture and coalesce two oil droplets was developed using two laser beams. Three types of stabilizers for the formation of oil droplets were explored to achieve the coalescence of two droplets whereas polyethylene glycol (PEG) was the most suitable one among them. When using the oil droplets with PEG, the increase in temperature of the medium induced successful coalescence of two droplets. We also developed a method to collect liposomes, which are a model of artificial extracellular vesicles, using optical pressure. It was found that the collection efficiency was significantly improved by adding gold nanoparticles into the solution. This effect is due to thermal convection induced by the optical absorption of gold nanoparticles in solution and an enhancement of the optical pressure caused by binding between the vesicles and the gold nanoparticles. It was also elucidated that the binding was strongly related to the electrostatic interaction in addition to the hydrophobic interaction. Based on these findings, we achieved the collection of nanometer-sized vesicles and exosomes released by cells by optical pressure.</t>
  </si>
  <si>
    <t>[Tani, Yumeki; Kaneta, Takashi] Okayama Univ, Grad Sch Nat Sci &amp; Technol, Kita Ku, 3-1-1 Tsushimanaka, Okayama, Okayama 7008530, Japan</t>
  </si>
  <si>
    <t>Kaneta, T (corresponding author), Okayama Univ, Grad Sch Nat Sci &amp; Technol, Kita Ku, 3-1-1 Tsushimanaka, Okayama, Okayama 7008530, Japan.</t>
  </si>
  <si>
    <t>kaneta@okayama-u.ac.jp</t>
  </si>
  <si>
    <t>Kaneta, Takashi/O-6958-2019; Kaneta, Takashi/D-3593-2011</t>
  </si>
  <si>
    <t>Kaneta, Takashi/0000-0001-9076-3906; Kaneta, Takashi/0000-0001-9076-3906</t>
  </si>
  <si>
    <t>0525-1931</t>
  </si>
  <si>
    <t>WOS:000598113600001</t>
  </si>
  <si>
    <t>Miyamoto, S; Tanaka, T; Hirosuna, K; Nishie, R; Ueda, S; Hashida, S; Terada, S; Konishi, H; Kogata, Y; Taniguchi, K; Komura, K; Ohmichi, M</t>
  </si>
  <si>
    <t>Miyamoto, Shunsuke; Tanaka, Tomohito; Hirosuna, Kensuke; Nishie, Ruri; Ueda, Shoko; Hashida, Sousuke; Terada, Shinichi; Konishi, Hiromi; Kogata, Yuhei; Taniguchi, Kohei; Komura, Kazumasa; Ohmichi, Masahide</t>
  </si>
  <si>
    <t>Validation of a Patient-Derived Xenograft Model for Cervical Cancer Based on Genomic and Phenotypic Characterization</t>
  </si>
  <si>
    <t>cervical cancer; DNA; extracellular vesicles; patient-derived xenograft; RNA</t>
  </si>
  <si>
    <t>EXTRACELLULAR VESICLES; THERAPEUTIC TARGET; CELL CARCINOMA; GROWTH-FACTOR</t>
  </si>
  <si>
    <t>Simple Summary The rate of total tumor engraftment of patient-derived xenografts is 50% in cervical cancer. These cancers retain their histopathological characteristics. The gene mutations and expression patterns associated with carcinogenesis and infiltration and the expression levels of genes in extracellular vesicles released from the tumors are similar between patient-derived xenograft models and primary tumors. Patient-derived xenograft models of cervical cancer could be potentially useful tools for translational research. Patient-derived xenograft (PDX) models are useful tools for preclinical drug evaluation, biomarker identification, and personalized medicine strategies, and can be developed by the heterotopic or orthotopic grafting of surgically resected tumors into immunodeficient mice. We report the PDX models of cervical cancer and demonstrate the similarities among original and different generations of PDX tumors. Fresh tumor tissues collected from 22 patients with primary cervical cancer were engrafted subcutaneously into NOD.CB17-PrkdcSCID/J mice. Histological and immunohistochemical analyses were performed to compare primary and different generations of PDX tumors. DNA and RNA sequencing were performed to verify the similarity between the genetic profiles of primary and PDX tumors. Total RNA in extracellular vesicles (EVs) released from primary and PDX tumors was also quantified to evaluate gene expression. The total tumor engraftment rate was 50%. Histologically, no major differences were observed between the original and PDX tumors. Most of the gene mutations and expression patterns related to carcinogenesis and infiltration were similar between the primary tumor and xenograft. Most genes associated with carcinogenesis and infiltration showed similar expression levels in the primary tumor and xenograft EVs. Therefore, compared with primary tumors, PDX models could be potentially more useful for translational research.</t>
  </si>
  <si>
    <t>[Miyamoto, Shunsuke; Tanaka, Tomohito; Nishie, Ruri; Ueda, Shoko; Hashida, Sousuke; Terada, Shinichi; Konishi, Hiromi; Kogata, Yuhei; Ohmichi, Masahide] Educ Fdn Osaka Med &amp; Pharmaceut Univ, Dept Obstet &amp; Gynecol, 2 7,Daigaku Machi, Takatsuki, Osaka 5698686, Japan; [Miyamoto, Shunsuke; Tanaka, Tomohito; Hirosuna, Kensuke; Taniguchi, Kohei; Komura, Kazumasa] Educ Fdn Osaka Med &amp; Pharmaceut Univ, Translat Res Program, 2 7,Daigaku Machi, Takatsuki, Osaka 5698686, Japan</t>
  </si>
  <si>
    <t>Tanaka, T (corresponding author), Educ Fdn Osaka Med &amp; Pharmaceut Univ, Dept Obstet &amp; Gynecol, 2 7,Daigaku Machi, Takatsuki, Osaka 5698686, Japan.;Tanaka, T (corresponding author), Educ Fdn Osaka Med &amp; Pharmaceut Univ, Translat Res Program, 2 7,Daigaku Machi, Takatsuki, Osaka 5698686, Japan.</t>
  </si>
  <si>
    <t>shunsuke.miyamoto@ompu.ac.jp; tomohito.tanaka@ompu.ac.jp; ompu20171084@s.ompu.ac.jp; ruri.nishie@ompu.ac.jp; shouko.ueda@ompu.ac.jp; sosuke.hashida@ompu.ac.jp; shinichi.terada@ompu.ac.jp; hiromi.konishi@ompu.ac.jp; yuhei.kogata@ompu.ac.jp; kohei.taniguchi@ompu.ac.jp; kazumasa.komura@ompu.ac.jp; m-ohmichi@ompu.ac.jp</t>
  </si>
  <si>
    <t>Taniguchi, Kohei/0000-0003-0648-1370; Hirosuna, Kensuke/0000-0002-9263-4929; tanaka, tomohito/0000-0003-4210-701X</t>
  </si>
  <si>
    <t>10.3390/cancers14122969</t>
  </si>
  <si>
    <t>WOS:000817629400001</t>
  </si>
  <si>
    <t>Jiang, Y; Huang, JM; Wu, JY; Eda, S</t>
  </si>
  <si>
    <t>Jiang, Yu; Huang, Jiamei; Wu, Jayne; Eda, Shigetoshi</t>
  </si>
  <si>
    <t>A rapid, sensitive, and simple-to-use biosensor for on-site detection of attomolar level microRNA biomarkers from serum extracellular vesicles</t>
  </si>
  <si>
    <t>Capacitive sensing; miRNA detection; Point -of -care detection; AC electrokinetics; AC electrothermal effect</t>
  </si>
  <si>
    <t>POINT; AMPLIFICATION; OPPORTUNITIES; IMMUNOSENSOR; CHALLENGES; GRAPHENE</t>
  </si>
  <si>
    <t>On-site detection of microRNAs in blood-borne extracellular vesicles is important for the timely diagnosis of various diseases and physiologic conditions, including pregnancy status. This work developed a rapid, highly -sensitive capacitive biosensor to detect bovine embryonic mortality-related microRNA, miRNA-16b, in serum extracellular vesicles. The sensor was developed to achieve rapid, highly sensitive and specific detection of miRNA-16b, based on AC electrokinetically accelerated capacitive detection of DNA probe-microRNA hybridi-zation. Using interdigitated electrodes functionalized with complementary DNA probes, this sensing method integrated capacitive measurement with simultaneous AC electrokinetic convection of analytes. Consequently, trace level microRNAs can be quantitatively detected in 30 s, with a detection limit of 22 aM from analytical buffer and 323 aM from neat serum over a linear dynamic range from 0.1 fM to 1 pM. The work also developed a simple and rapid pretreatment protocol to release miRNAs from extracellular vesicles in serum. As a result, the sensor can yield results from serum samples in minutes and diagnose embryonic mortality at day 17 of gestation with a sensitivity of 90.00% and specificity of 88.89% for clinical bovine serum samples. The sensor is fabricated from low-cost printed circuit board electrodes and is mass-production friendly. This rapid and sensitive sensor provides a foundation technology for the development of on-site diagnosis in various human and animal health applications.</t>
  </si>
  <si>
    <t>[Jiang, Yu; Huang, Jiamei; Wu, Jayne] Univ Tennessee, Dept Elect Engn &amp; Comp Sci, Knoxville, TN 37996 USA; [Eda, Shigetoshi] Univ Tennessee, Inst Agr, Dept Forestry Wildlife &amp; Fisheries, Knoxville, TN USA</t>
  </si>
  <si>
    <t>University of Tennessee System; University of Tennessee Knoxville; University of Tennessee System; University of Tennessee Knoxville; UT Institute of Agriculture</t>
  </si>
  <si>
    <t>Wu, JY (corresponding author), Univ Tennessee, Dept Elect Engn &amp; Comp Sci, Knoxville, TN 37996 USA.</t>
  </si>
  <si>
    <t>jaynewu@utk.edu</t>
  </si>
  <si>
    <t>10.1016/j.snb.2022.132314</t>
  </si>
  <si>
    <t>WOS:000829239700006</t>
  </si>
  <si>
    <t>Chen, C; Zong, SF; Liu, Y; Wang, ZY; Zhang, YZ; Chen, BA; Cui, YP</t>
  </si>
  <si>
    <t>Chen, Chen; Zong, Shenfei; Liu, Yun; Wang, Zhuyuan; Zhang, Yizhi; Chen, Baoan; Cui, Yiping</t>
  </si>
  <si>
    <t>Profiling of Exosomal Biomarkers for Accurate Cancer Identification: Combining DNA-PAINT with Machine- Learning-Based Classification</t>
  </si>
  <si>
    <t>biomarkers; cancer diagnosis; DNA-PAINT; exosomes; machine learning</t>
  </si>
  <si>
    <t>SINGLE; SUPERRESOLUTION; MICROSCOPY; PREPARE</t>
  </si>
  <si>
    <t>Exosomes are endosome-derived vesicles enriched in body fluids such as urine, blood, and saliva. So far, they have been recognized as potential biomarkers for cancer diagnostics. However, the present single-variate analysis of exosomes has greatly limited the accuracy and specificity of diagnoses. Besides, most diagnostic approaches focus on bulk analysis using lots of exosomes and tend to be less accurate because they are vulnerable to impure extraction and concentration differences of exosomes. To address these challenges, a quantitative analysis platform is developed to implement a sequential quantification analysis of multiple exosomal surface biomarkers at the single-exosome level, which utilizes DNA-PAINT and a machine learning algorithm to automatically analyze the results. As a proof of concept, the profiling of four exosomal surface biomarkers (HER2, GPC-1, EpCAM, EGFR) is developed to identify exosomes from cancer-derived blood samples. Then, this technique is further applied to detect pancreatic cancer and breast cancer from unknown samples with 100% accuracy.</t>
  </si>
  <si>
    <t>[Chen, Chen; Zong, Shenfei; Liu, Yun; Wang, Zhuyuan; Zhang, Yizhi; Cui, Yiping] Southeast Univ, Adv Photon Ctr, Nanjing 210096, Jiangsu, Peoples R China; [Chen, Baoan] Southeast Univ, Sch Med, Dept Hematol &amp; Oncol, Zhongda Hosp, Nanjing 210009, Jiangsu, Peoples R China</t>
  </si>
  <si>
    <t>Southeast University - China; Southeast University - China</t>
  </si>
  <si>
    <t>Zong, SF; Cui, YP (corresponding author), Southeast Univ, Adv Photon Ctr, Nanjing 210096, Jiangsu, Peoples R China.</t>
  </si>
  <si>
    <t>sfzong@seu.edu.cn; cyp@seu.edu.cn</t>
  </si>
  <si>
    <t>10.1002/smll.201901014</t>
  </si>
  <si>
    <t>WOS:000484852100001</t>
  </si>
  <si>
    <t>Yu, TF; Wang, XF; Zhi, TL; Zhang, JX; Wang, YY; Nie, E; Zhou, FQ; You, YP; Liu, N</t>
  </si>
  <si>
    <t>Yu, Tianfu; Wang, XieFeng; Zhi, Tongle; zhang, Junxia; Wang, Yingyi; Nie, Er; Zhou, Fengqi; You, Yongping; Liu, Ning</t>
  </si>
  <si>
    <t>Delivery of MGMT mRNA to glioma cells by reactive astrocyte-derived exosomes confers a temozolomide resistance phenotype</t>
  </si>
  <si>
    <t>Glioma; Temozolomide; Exosomes; Astrocyte; Microenvironment</t>
  </si>
  <si>
    <t>EXTRACELLULAR VESICLES; GAG PROTEIN; GLIOBLASTOMA; MICROENVIRONMENT; COMMUNICATION; CHEMOTHERAPY; ASTROGLIOSIS; MACROPHAGES; ACTIVATION; MICRORNAS</t>
  </si>
  <si>
    <t>The glioma-astrocyte interaction plays an important role in tumor microenvironment remodeling; however, the underlying mechanism has not been completely clarified. In this study, we show that glioma cells stimulate normal human astrocyte (NHA) into reactive astrocyte (RAS) in a non-contact manner. Additionally, the amount of O6-alkylguanine DNA alkyltransferase (MGMT) mRNA in exosomes (EXOs) released by RAS was significantly increased compared with that in non-reactive NHA. Importantly, MGMT-negative glioma cells can take up RAS-EXOs and acquire a temozolomide (TMZ)-resistant phenotype via the translation of exogenous exosomal MGMT mRNA both in vitro and in vivo. Our findings illuminate a novel phenomenon that may be a potent mechanism underlying glioma recurrence in which glioma-associated NHAs protect MGMT-negative glioma cells from TMZ-induced apoptosis by the functional intercellular transfer of exosomal MGMT mRNA.</t>
  </si>
  <si>
    <t>[Yu, Tianfu; Wang, XieFeng; Zhi, Tongle; zhang, Junxia; Wang, Yingyi; Zhou, Fengqi; You, Yongping; Liu, Ning] Nanjing Med Univ, Affiliated Hosp 1, Dept Neurosurg, Nanjing 210029, Jiangsu, Peoples R China; [Nie, Er] Xuzhou Med Coll, Affiliated Hosp, Dept Neurosurg, Xuzhou 221000, Jiangsu, Peoples R China</t>
  </si>
  <si>
    <t>Nanjing Medical University; Xuzhou Medical University</t>
  </si>
  <si>
    <t>You, YP; Liu, N (corresponding author), Nanjing Med Univ, Affiliated Hosp 1, Dept Neurosurg, Nanjing 210029, Jiangsu, Peoples R China.</t>
  </si>
  <si>
    <t>yyp19@njmu.edu.cn; liuning0853@126.com</t>
  </si>
  <si>
    <t>10.1016/j.canlet.2018.06.041</t>
  </si>
  <si>
    <t>WOS:000441489500021</t>
  </si>
  <si>
    <t>Choi, Y; Kwon, Y; Kim, DK; Jeon, J; Jang, SC; Wang, T; Ban, M; Kim, MH; Jeon, SG; Kim, MS; Choi, CS; Jee, YK; Gho, YS; Ryu, SH; Kim, YK</t>
  </si>
  <si>
    <t>Choi, Youngwoo; Kwon, Yonghoon; Kim, Dae-Kyum; Jeon, Jinseong; Jang, Su Chul; Wang, Taejun; Ban, Minjee; Kim, Min-Hye; Jeon, Seong Gyu; Kim, Min-Sun; Choi, Cheol Soo; Jee, Young-Koo; Gho, Yong Song; Ryu, Sung Ho; Kim, Yoon-Keun</t>
  </si>
  <si>
    <t>Gut microbe-derived extracellular vesicles induce insulin resistance, thereby impairing glucose metabolism in skeletal muscle</t>
  </si>
  <si>
    <t>MEMBRANE-VESICLES; CELL RESPONSES; OBESITY; INFLAMMATION; ENDOTOXEMIA; RETICULOCYTES; TRANSFERRIN; MECHANISMS; RECEPTOR; DATABASE</t>
  </si>
  <si>
    <t>Gut microbes might influence host metabolic homeostasis and contribute to the pathogenesis of type 2 diabetes (T2D), which is characterized by insulin resistance. Bacteria-derived extracellular vesicles (EVs) have been suggested to be important in the pathogenesis of diseases once believed to be noninfectious. Here, we hypothesize that gut microbe-derived EVs are important in the pathogenesis of T2D. In vivo administration of stool EVs from high fat diet (HFD)-fed mice induced insulin resistance and glucose intolerance compared to regular diet (RD)-fed mice. Metagenomic profiling of stool EVs by 16S ribosomal DNA sequencing revealed an increased amount of EVs derived from Pseudomonas panacis (phylum Proteobacteria) in HFD mice compared to RD mice. Interestingly, P. panacis EVs blocked the insulin signaling pathway in both skeletal muscle and adipose tissue. Moreover, isolated P. panacis EVs induced typical diabetic phenotypes, such as glucose intolerance after glucose administration or systemic insulin injection. Thus, gut microbe-derived EVs might be key players in the development of insulin resistance and impairment of glucose metabolism promoted by HFD.</t>
  </si>
  <si>
    <t>[Choi, Youngwoo; Kwon, Yonghoon; Kim, Dae-Kyum; Jeon, Jinseong; Jang, Su Chul; Ban, Minjee; Jeon, Seong Gyu; Gho, Yong Song; Ryu, Sung Ho] Pohang Univ Sci &amp; Technol POSTECH, Dept Life Sci, Pohang, South Korea; [Wang, Taejun] POSTECH, Dept Interdisciplinary Biosci &amp; Biotechnol, Pohang, South Korea; [Kim, Min-Hye; Kim, Yoon-Keun] Ewha Womans Univ, Dept Med, Sch Med, Seoul, South Korea; [Kim, Min-Hye; Kim, Yoon-Keun] Ewha Inst Convergence Med, Seoul, South Korea; [Kim, Min-Sun] Univ Ulsan, Dept Internal Med, Coll Med, Seoul, South Korea; [Choi, Cheol Soo] Gachon Univ, Korea Mouse Metab Phenotyping Ctr, Lee Gil Ya Canc &amp; Diabet Inst, Inchon, South Korea; [Choi, Cheol Soo] Gachon Univ, Div Endocrinol, Gil Med Ctr, Inchon, South Korea; [Jee, Young-Koo] Dankook Univ, Dept Internal Med, Coll Med, Cheonan, South Korea</t>
  </si>
  <si>
    <t>Pohang University of Science &amp; Technology (POSTECH); Pohang University of Science &amp; Technology (POSTECH); Ewha Womans University; University of Ulsan; Gachon University; Gachon University; Dankook University</t>
  </si>
  <si>
    <t>Kim, YK (corresponding author), Ewha Womans Univ, Dept Med, Sch Med, Seoul, South Korea.</t>
  </si>
  <si>
    <t>juinea@ewha.ac.kr</t>
  </si>
  <si>
    <t>Jeon, Jinseong/0000-0003-1829-7319; Kim, Dae-Kyum/0000-0003-4568-8278; Ryu, Sung Ho/0000-0003-0913-3048; Jee, Young-Koo/0000-0001-5800-8038; Jang, Su Chul/0000-0003-3326-1007; Kwon, yonghoon/0000-0002-6232-4305</t>
  </si>
  <si>
    <t>OCT 29</t>
  </si>
  <si>
    <t>10.1038/srep15878</t>
  </si>
  <si>
    <t>WOS:000363627800001</t>
  </si>
  <si>
    <t>Wu, XH; Ma, MJ; Wang, P; Xie, ZY; Wang, S; Su, HJ; Deng, W; Feng, P; Su, CY; Yang, JW; Li, JT; Tang, SA; Wu, YF; Shen, HY</t>
  </si>
  <si>
    <t>Wu, Xiaohua; Ma, Mengjun; Wang, Peng; Xie, Zhongyu; Wang, Shan; Su, Hongjun; Deng, Wen; Feng, Pei; Su, Chunyan; Yang, Jiewen; Li, Jinteng; Tang, Su'an; Wu, Yanfeng; Shen, Huiyong</t>
  </si>
  <si>
    <t>2-HS Glycoprotein in Plasma Extracellular Vesicles Inhibits the Osteogenic Differentiation of Human Mesenchymal Stromal Cells In Vitro</t>
  </si>
  <si>
    <t>STEM CELLS INTERNATIONAL</t>
  </si>
  <si>
    <t>HUMAN BONE-MARROW; STEM-CELLS; FETUIN-A; PROTEIN; EXOSOMES; SERUM; GROWTH; MECHANISMS; PROTEOMICS; CALCIUM</t>
  </si>
  <si>
    <t>Extracellular vesicles (Evs) contain diverse functional proteins, mRNAs, miRNAs, and DNA fragments, are secreted by various types of cells, and play important roles in cellular communication. Here, we show for the first time that plasma Evs inhibited the osteogenic differentiation of mesenchymal stromal cells (MSCs) in vitro and the level of inhibition was positively correlated with the plasma Evs concentration. Plasma Evs downregulated the expression of markers such as osteocalcin (OCN), Runt-related transcription factor 2 (Runx2), and Osterix at mRNA levels required for osteogenic differentiation and reduced pSmad1/5/8 levels in MSCs. Furthermore, pSmad1/5/8 levels increased and MSCs underwent normal osteogenic differentiation after Evs-derived 2-HS glycoprotein (AHSG) function was inhibited with an anti-AHSG neutralizing antibody. However, the levels of pERK1/2, active -catenin, and HES1 were not significantly altered. Therefore, we propose that as essential components of the extracellular microenvironment of MSCs, plasma Evs are taken up by MSCs and subsequently repress osteogenic differentiation through an AHSG-mediated decrease in pSmad1/5/8 levels. Our work identifies plasma Evs as novel regulators of MSC osteogenic differentiation.</t>
  </si>
  <si>
    <t>[Wu, Xiaohua; Wang, Shan; Su, Hongjun; Deng, Wen; Feng, Pei; Su, Chunyan; Yang, Jiewen; Wu, Yanfeng] Sun Yat Sen Univ, Sun Yat Sen Mem Hosp, Ctr Biotherapy, 107 Yan Jiang West Rd, Guangzhou 510120, Guangdong, Peoples R China; [Ma, Mengjun; Wang, Peng; Xie, Zhongyu; Li, Jinteng; Tang, Su'an; Shen, Huiyong] Sun Yat Sen Univ, Sun Yat Sen Mem Hosp, Dept Orthoped, 107 Yan Jiang West Rd, Guangzhou 510120, Guangdong, Peoples R China</t>
  </si>
  <si>
    <t>Sun Yat Sen University; Sun Yat Sen University</t>
  </si>
  <si>
    <t>Wu, YF (corresponding author), Sun Yat Sen Univ, Sun Yat Sen Mem Hosp, Ctr Biotherapy, 107 Yan Jiang West Rd, Guangzhou 510120, Guangdong, Peoples R China.;Shen, HY (corresponding author), Sun Yat Sen Univ, Sun Yat Sen Mem Hosp, Dept Orthoped, 107 Yan Jiang West Rd, Guangzhou 510120, Guangdong, Peoples R China.</t>
  </si>
  <si>
    <t>wuyanfengcn@126.com; shenhuiy@yeah.net</t>
  </si>
  <si>
    <t>Xie, Zhongyu/V-6518-2019</t>
  </si>
  <si>
    <t>1687-966X</t>
  </si>
  <si>
    <t>1687-9678</t>
  </si>
  <si>
    <t>10.1155/2019/7246479</t>
  </si>
  <si>
    <t>WOS:000459102500001</t>
  </si>
  <si>
    <t>Shen, T; Jia, SN; Ding, GP; Ping, DN; Zhou, LJ; Zhou, SH; Cao, LP</t>
  </si>
  <si>
    <t>Shen, Tao; Jia, Shengnan; Ding, Guoping; Ping, Dongnan; Zhou, Liangjing; Zhou, Senhao; Cao, Liping</t>
  </si>
  <si>
    <t>BxPC-3-Derived Small Extracellular Vesicles Induce FOXP3+ Treg through ATM-AMPK-Sirtuins-Mediated FOXOs Nuclear Translocations</t>
  </si>
  <si>
    <t>REGULATORY T-CELLS; PANCREATIC-CANCER; DNA-DAMAGE; PROTEIN-KINASE; TRANSCRIPTION FACTORS; DENDRITIC CELLS; INDUCED IMMUNOSUPPRESSION; IMMUNE PRIVILEGE; EXOSOMES; EXPRESSION</t>
  </si>
  <si>
    <t>Immunotherapy in pancreatic ductal adenocarcinoma (PDAC) treatment faces serious challenges, due particularly to the poor immunogenicity. Cancer cell-derived small extracellular vesicles (sEVs) play important roles in damaging the immune system. However, the effects of pancreatic cancer-derived sEVs on T lymphocytes are unknown. Here we investigated changes in phenotypes and signal transduction pathways in sEVs-treated T lymphocytes. We identified the over-expression of immune checkpoint proteins PD-1, PD-L1, CTLA4, and Tim- 3 and the enrichment of FOXP3+ Treg cluster in sEVs-treated T lymphocytes by CyTOF. Gene set enrichment analysis revealed that DNA damage response andmetabolic pathways might be involved in sEVs-induced Tregs. ATM, AMPK, SIRT1, SIRT2, and SIRT6 were activated sequentially in sEVs-treated T lymphocytes and essential for sEVs-upregulated expressions of FOXO1A, FOXO3A, and FOXP3. Our study reveals the impact and mechanism of pancreatic cancer cell-derived sEVs on T lymphocytes and may provide insights into developing immunotherapy strategies for PDAC treatment.</t>
  </si>
  <si>
    <t>[Shen, Tao; Jia, Shengnan; Ding, Guoping; Ping, Dongnan; Zhou, Liangjing; Zhou, Senhao; Cao, Liping] Zhejiang Univ, Sir Run Run Shaw Hosp, Sch Med, Dept Gen Surg, Hangzhou, Peoples R China; [Cao, Liping] Zhejiang Univ, Innovat Ctr Minimally Invas Tech &amp; Device, Hangzhou, Peoples R China</t>
  </si>
  <si>
    <t>Zhejiang University; Zhejiang University</t>
  </si>
  <si>
    <t>Cao, LP (corresponding author), Zhejiang Univ, Sir Run Run Shaw Hosp, Sch Med, Dept Gen Surg, Hangzhou, Peoples R China.;Cao, LP (corresponding author), Zhejiang Univ, Innovat Ctr Minimally Invas Tech &amp; Device, Hangzhou, Peoples R China.</t>
  </si>
  <si>
    <t>caolipingzju@zju.edu.cn</t>
  </si>
  <si>
    <t>cao, liping/0000-0003-4810-1495</t>
  </si>
  <si>
    <t>AUG 21</t>
  </si>
  <si>
    <t>10.1016/j.isci.2020.101431</t>
  </si>
  <si>
    <t>WOS:000571001700003</t>
  </si>
  <si>
    <t>Ghoul, A; Moudilou, E; Cherifi, ME; Zerrouk, F; Chaouad, B; Moulahoum, A; Aouichat-Bouguerra, S; Othmani, K; Exbrayat, JM; Benazzoug, Y</t>
  </si>
  <si>
    <t>Ghoul, Adel; Moudilou, Elara; Cherifi, Mohamed El Hadi; Zerrouk, Fouzia; Chaouad, Billel; Moulahoum, Anissa; Aouichat-Bouguerra, Souhila; Othmani, Khira; Exbrayat, Jean-Marie; Benazzoug, Yasmina</t>
  </si>
  <si>
    <t>The role of homocysteine in seminal vesicles remodeling in rat</t>
  </si>
  <si>
    <t>FOLIA HISTOCHEMICA ET CYTOBIOLOGICA</t>
  </si>
  <si>
    <t>hyperhomocysteinemia; rat; seminal vesicles; metalloproteinases; collagen I; collagen III; IHC; Western blot</t>
  </si>
  <si>
    <t>SMOOTH-MUSCLE-CELLS; METHIONINE-INDUCED HYPERHOMOCYSTEINEMIA; IMPAIRS ENDOTHELIAL FUNCTION; MATRIX METALLOPROTEINASES; OXIDATIVE STRESS; FOLIC-ACID; DNA HYPERMETHYLATION; EXPRESSION; MMP-9; PLASMA</t>
  </si>
  <si>
    <t>Introduction. Elevated plasma homocysteine (Hcy) levels have been associated with several tissue injuries including heart and liver fibrosis. In these diseases, hyperhomocysteinemia (Hhcy) plays a major role in modulating the alteration of the balance between matrix metalloproteinases (MMP) and tissue inhibitors of metalloproteinases (TIMPs), leading to the pathological accumulation of extracellular matrix (ECM) proteins. Since the effect of Hhcy on ECM of seminal vesicle was not studied, the aim of our research was to check if Hcy can induce a remodeling within seminal vesicles ECM. Material and methods. The study was conducted in 22 adult male Wistar rats. The rats were divided into two groups: a control group, which received standard diet and tap water; the treated group received the same diet and water supplemented with solution of L-methionine (200 mg/kg b.w./day) for 6 months. Plasma homocysteine concentration was measured. Histological changes were observed with light microscope. The presence of collagen I and III and metalloproteinases (2, 3, 7 and 9) in the seminal vesicles was examined using immunohistochemistry and Western blotting. Results. Plasma Hcy levels increased significantly after methionine treatment and interfered significantly with body weight in treated rats. The content of fibrillar collagens (I and III) in the wall of seminal vesicles was elevated in hyperhomocysteinemic rats. Moreover, we found that hyperhomocysteinemia increased the expression of MMP-2, -3, -7 and -9 in seminal vesicles of experimental rats. Conclusions. Increased plasma concentration of Hcy accompanied by the accumulation of collagen and upregulation of MMPs in rat seminal vesicles might contribute to the remodeling of seminal vesicles.</t>
  </si>
  <si>
    <t>[Ghoul, Adel; Zerrouk, Fouzia; Chaouad, Billel; Moulahoum, Anissa; Othmani, Khira; Benazzoug, Yasmina] USTHB, Fac Biol Sci FSB, Extracellular Matrix, Lab Cellular &amp; Mol Biol BCM, Algiers, Algeria; [Moudilou, Elara; Exbrayat, Jean-Marie] Univ Lyon, UMRS 449, Gen Biol Reprod &amp; Comparat Dev, Catholic Univ Lyon,EPHE PSL, Lyon 02, France; [Cherifi, Mohamed El Hadi] EPH Bologhine Ibn Ziri, Cent Lab Biol, Algiers, Algeria; [Aouichat-Bouguerra, Souhila] USTHB, Fac Biol Sci, Lab Cellular &amp; Mol Physiopathol, Algiers, Algeria</t>
  </si>
  <si>
    <t>University Science &amp; Technology Houari Boumediene; UDICE-French Research Universities; PSL Research University Paris; Ecole Pratique des Hautes Etudes (EPHE); University Science &amp; Technology Houari Boumediene</t>
  </si>
  <si>
    <t>Ghoul, A (corresponding author), Univ Sci &amp; Technol Houari Boumediene, BP 32 El Alia 16111, Bab Ezzouar 16111, Algeria.</t>
  </si>
  <si>
    <t>ghoul.adel@yahoo.fr</t>
  </si>
  <si>
    <t>Benazzoug, Yasmina/AAE-4305-2019; ghoul, adel/AAD-2327-2019; Exbrayat, Jean-Marie/I-1630-2019</t>
  </si>
  <si>
    <t>ghoul, adel/0000-0002-8840-1946; Exbrayat, Jean-Marie/0000-0003-4280-2688; Aouichat, Souhila/0000-0002-1079-6722</t>
  </si>
  <si>
    <t>0239-8508</t>
  </si>
  <si>
    <t>1897-5631</t>
  </si>
  <si>
    <t>10.5603/FHC.a2017.0010</t>
  </si>
  <si>
    <t>WOS:000406232700003</t>
  </si>
  <si>
    <t>Chen, XS; Lan, JM; Liu, YX; Li, L; Yan, L; Xia, YK; Wu, F; Li, CY; Li, SR; Chen, JH</t>
  </si>
  <si>
    <t>Chen, Xiaosong; Lan, Jianming; Liu, Yingxin; Li, Li; Yan, Liu; Xia, Yaokun; Wu, Fang; Li, Chunyan; Li, Shirong; Chen, Jinghua</t>
  </si>
  <si>
    <t>A paper-supported aptasensor based on upconversion luminescence resonance energy transfer for the accessible determination of exosomes</t>
  </si>
  <si>
    <t>Exosomes; Aptasensor; Luminescence resonance energy transfer; Upconversion nanoparticles; Gold nanorods</t>
  </si>
  <si>
    <t>EXTRACELLULAR VESICLES; GOLD NANORODS; ELECTROCHEMICAL DETECTION; BACTERIA DETECTION; DRUG-DELIVERY; BREAST-CANCER; DNA; NANOPARTICLES; DEVICE; CELL</t>
  </si>
  <si>
    <t>Exosomes, as potential cancer diagnostic markers have received close attention in recent years. However, there is still a lack of simple and convenient methods to detect and quantitate exosomes. Herein, we used a simple paper supported aptasensor based on luminescence resonance energy transfer (LRET) from upconversion nanoparticles (UCNPs) to gold nanorods (Au NRs) for the accessible determination of exosomes. When exosomes are present, the two sections of the aptamer can combine with the CD63 protein on the surface of exosomes and form a conjugation to close the distance between UCNPs and Au NRs, which initiates the LRET and promotes luminescence quenching. These variations can be monitored by the homemade image system, and the green channel intensities of obtained colored images were extracted with photoshop software to quantify the luminescence. As a result, the quenching of the luminescence of the UCNPs is linearly correlated to the concentration of the exosomes (in the range of 1.0 x 10(4) similar to 1.0 x 10(8) particles/mu L), enabling the detection and quantification of the exosomes. Such approach can reach a low detection limit of exosomes (1.1 x 10(3) particles/mu L) and effectively reduce the background signal by using UCNPs as a luminescent material. This study provides an efficient and practical approach to the detection of exosomes, which should lead to point-of-care testing in clinical applications.</t>
  </si>
  <si>
    <t>[Chen, Xiaosong; Yan, Liu; Li, Shirong] Fujian Med Univ, Dept Plast Surg, Union Hosp, Fuzhou 350001, Fujian, Peoples R China; [Lan, Jianming; Liu, Yingxin; Li, Li; Xia, Yaokun; Wu, Fang; Li, Chunyan; Chen, Jinghua] Fujian Med Univ, Sch Pharm, Fuzhou 350108, Fujian, Peoples R China; [Li, Shirong] Third Mil Med Univ, Southwestern Hosp, Dept Plast &amp; Reconstruct Surg, Chongqing, Peoples R China</t>
  </si>
  <si>
    <t>Fujian Medical University; Fujian Medical University; Army Medical University</t>
  </si>
  <si>
    <t>Chen, XS (corresponding author), Fujian Med Univ, Dept Plast Surg, Union Hosp, Fuzhou 350001, Fujian, Peoples R China.;Chen, JH (corresponding author), Fujian Med Univ, Sch Pharm, Fuzhou 350108, Fujian, Peoples R China.</t>
  </si>
  <si>
    <t>chenxiaosong74@163.com; cjh_huaxue@126.com</t>
  </si>
  <si>
    <t>Chen, Jing-Hua/J-5171-2019</t>
  </si>
  <si>
    <t>Chen, Xiaosong/0000-0002-3780-5510</t>
  </si>
  <si>
    <t>10.1016/j.bios.2017.12.012</t>
  </si>
  <si>
    <t>WOS:000424176600077</t>
  </si>
  <si>
    <t>Asghari, M; Cao, XB; Mateescu, B; van Leeuwen, D; Aslan, MK; Stavrakis, S; Demello, AJ</t>
  </si>
  <si>
    <t>Asghari, Mohammad; Cao, Xiaobao; Mateescu, Bogdan; van Leeuwen, Daniel; Aslan, Mahmut Kamil; Stavrakis, Stavros; deMello, Andrew J.</t>
  </si>
  <si>
    <t>Oscillatory Viscoelastic Microfluidics for Efficient Focusing and Separation of Nanoscale Species</t>
  </si>
  <si>
    <t>viscoelastic microfluidics; extracellular vesicles; oscillatory flow; exosomes; Brownian motion</t>
  </si>
  <si>
    <t>PINCHED FLOW FRACTIONATION; EXTRACELLULAR VESICLES; PARTICLE SEPARATION; LATERAL MIGRATION; CELLS; SIZE; MICROPARTICLES; NANOPARTICLES; CHIP</t>
  </si>
  <si>
    <t>The ability to precisely control particle migration within microfluidic systems is essential for focusing, separating, counting, and detecting a wide range of biological species. To date, viscoelastic microfluidic systems have primarily been applied to the focusing, separation, and isolation of micrometer-sized species, with their use in nanoparticle manipulations being under-developed and underexplored, due to issues related to nanoparticle diffusivity and a need for extended channel lengths. To overcome such issues, we herein present sheathless oscillatory viscoelastic microfluidics as a method for focusing and separating both micrometer and submicrometer species. To highlight the efficacy of our approach, we segment our study into three size regimes, namely, micrometer (where characteristic particle dimensions are above 1 mu m), sub-micrometer (where characteristic dimensions are between 1 mu m and 100 nm), and nano (where characteristic dimensions are below 100 nm) regimes. Based on the ability to successfully manipulate particles in all these regimes, we demonstrate the successful isolation of p-bodies from biofluids (in the micrometer regime), the focusing of lambda-DNA (in the sub-micrometer regime), and the focusing of extracellular vesicles (in the nanoregime). Finally, we characterize the physics underlying viscoelastic microflows using a dimensionless number that relates the lateral velocity (due to elastic effects) to the diffusion constant of the species within the viscoelastic carrier fluid. Based on the ability to precisely manipulate species in all three regimes, we expect that sheathless oscillatory viscoelastic microfluidics may be used to good effect in a range of biological and life science applications.</t>
  </si>
  <si>
    <t>[Asghari, Mohammad; Cao, Xiaobao; Aslan, Mahmut Kamil; Stavrakis, Stavros; deMello, Andrew J.] Swiss Fed Inst Technol, Inst Chem &amp; Bioengn, Vladimir Prelog Weg 1, CH-8093 Zurich, Switzerland; [Mateescu, Bogdan; van Leeuwen, Daniel] Swiss Fed Inst Technol, Dept Biol, Univ Str 2, CH-8092 Zurich, Switzerland</t>
  </si>
  <si>
    <t>ETH Zurich; ETH Zurich</t>
  </si>
  <si>
    <t>Stavrakis, S; Demello, AJ (corresponding author), Swiss Fed Inst Technol, Inst Chem &amp; Bioengn, Vladimir Prelog Weg 1, CH-8093 Zurich, Switzerland.</t>
  </si>
  <si>
    <t>stavros.stavrakis@chem.ethz.ch; andrew.demello@chem.ethz.ch</t>
  </si>
  <si>
    <t>Mateescu, bogdan/A-3101-2014</t>
  </si>
  <si>
    <t>Mateescu, bogdan/0000-0002-0937-352X; Cao, Xiaobao/0000-0003-2211-2823</t>
  </si>
  <si>
    <t>10.1021/acsnano.9b06123</t>
  </si>
  <si>
    <t>WOS:000510531500034</t>
  </si>
  <si>
    <t>Anyanwu, SI; Doherty, A; Powell, MD; Obialo, C; Huang, MB; Quarshie, A; Mitchell, C; Bashir, K; Newman, GW</t>
  </si>
  <si>
    <t>Anyanwu, Samuel I.; Doherty, Akins; Powell, Michael D.; Obialo, Chamberlain; Huang, Ming B.; Quarshie, Alexander; Mitchell, Claudette; Bashir, Khalid; Newman, Gale W.</t>
  </si>
  <si>
    <t>Detection of HIV-1 and Human Proteins in Urinary Extracellular Vesicles from HIV+ Patients</t>
  </si>
  <si>
    <t>ADVANCES IN VIROLOGY</t>
  </si>
  <si>
    <t>GROWTH-FACTOR-BETA; PROTEOMIC ANALYSIS; EXOSOMES; INFECTION; PLASMA; NEF; IMMUNODEFICIENCY; DISEASE; KIDNEY; CELLS</t>
  </si>
  <si>
    <t>Background. Extracellular vesicles (EVs) are membrane bound, secreted by cells, and detected in bodily fluids, including urine, and contain proteins, RNA, and DNA. Our goal was to identify HIV and human proteins (HPs) in urinary EVs from HIV+ patients and compare them to HIV-samples. Methods. Urine samples were collected from HIV+ (n = 35) and HIV-(n = 12) individuals. EVs were isolated by ultrafiltration and characterized using transmission electron microscopy, tandem mass spectrometry (LC/MS/MS), and nanoparticle tracking analysis (NTA). Western blots confirmed the presence of HIV proteins. Gene ontology (GO) analysis was performed using FunRich and HIV Human Interaction database (HHID). Results. EVs from urine were 30-400 nm in size. More EVs were in HIV+ patients, p &lt; 0.05, by NTA. HIV+ samples had 14,475 HPs using LC/MS/MS, while only 111 were in HIV-. HPs in the EVs were of exosomal origin. LC/MS/MS showed all HIV+ samples contained at least one HIV protein. GO analysis showed differences in proteins between HIV+ and HIV- samples and more than 50% of the published HPs in the HHID interacted with EV HIV proteins. Conclusion. Differences in the proteomic profile of EVs from HIV+ versus HIV-samples were found. HIV and HPs in EVs could be used to detect infection and/or diagnose HIV disease syndromes.</t>
  </si>
  <si>
    <t>[Anyanwu, Samuel I.; Doherty, Akins; Powell, Michael D.; Huang, Ming B.; Mitchell, Claudette; Newman, Gale W.] Morehouse Sch Med, Dept Microbiol Biochem &amp; Immunol, Atlanta, GA 30310 USA; [Obialo, Chamberlain; Bashir, Khalid] Morehouse Sch Med, Dept Med, Atlanta, GA 30310 USA; [Quarshie, Alexander] Morehouse Sch Med, Clin Res Ctr, Atlanta, GA 30310 USA</t>
  </si>
  <si>
    <t>Morehouse School of Medicine; Morehouse School of Medicine; Morehouse School of Medicine</t>
  </si>
  <si>
    <t>Newman, GW (corresponding author), Morehouse Sch Med, Dept Microbiol Biochem &amp; Immunol, Atlanta, GA 30310 USA.</t>
  </si>
  <si>
    <t>gnewman@msm.edu</t>
  </si>
  <si>
    <t>1687-8639</t>
  </si>
  <si>
    <t>1687-8647</t>
  </si>
  <si>
    <t>10.1155/2018/7863412</t>
  </si>
  <si>
    <t>WOS:000428367700001</t>
  </si>
  <si>
    <t>Rao, M; Zhu, YG; Qi, LZ; Hu, F; Gao, PJ</t>
  </si>
  <si>
    <t>Rao, Min; Zhu, Yonggang; Qi, Lingzhi; Hu, Feng; Gao, Pujun</t>
  </si>
  <si>
    <t>Circular RNA profiling in plasma exosomes from patients with gastric cancer</t>
  </si>
  <si>
    <t>gastric cancer; exosomes; circular RNA; high-throughput sequencing</t>
  </si>
  <si>
    <t>EXPRESSION; IDENTIFICATION; METASTASIS; INHIBITION; BIOMARKER; GENES</t>
  </si>
  <si>
    <t>Gastric cancer (GC) is among the most common cancer types worldwide with high mortality. Recent studies have shown that exosomes play a crucial role in the tumorigenesis of GC. The present study aimed to investigate the circular RNA (circRNA) profile in plasma exosomes from patients with gastric cancer (GC). Peripheral blood samples were collected from 5 patients with GC and 5 healthy donors, and exosomes were isolated from plasma. The high-throughput RNA sequencing (RNA-seq) method was applied to detect the differently expressed circRNAs (DE circRNAs). Subsequently, sequencing results were confirmed by reverse transcription quantitative (RT-q) PCR. The potential roles of DE circRNAs in GC were identified using Gene ontology (GO) and Kyoto Encyclopedia of Gene and Genome (KEGG) analysis. Furthermore, MiRanda software was used to predict circRNA-micro-RNA (miRNA) interactions. A total of 67,880 circRNAs were identified in all samples and 1,060 significantly DE circRNAs were screened, including 620 upregulated and 440 downregulated ones. These results were further confirmed by RT-qPCR. GO and KEGG analyses revealed that these circRNAs were significantly associated with 'cell cycle', 'cytoskeleton organization', 'cellular response to DNA damage', 'regulation of GTPase activity', 'phosphatidylinositol signaling pathway', 'MAPK signaling pathway', 'thyroid hormone signaling pathway', 'chemokine signaling pathway' and 'Wnt signaling pathway'. In addition, a circRNA-miRNA-mRNA interaction network was established. Taken together, these findings may help better understanding the underlying mechanisms of GC and identifying new molecular alterations in GC, and allow the enrichment of the circRNA profiling in human GC.</t>
  </si>
  <si>
    <t>[Rao, Min; Hu, Feng] Second Part First Hosp Jilin Univ, Dept Hepatol &amp; Gastroenterol, Changchun, Jilin, Peoples R China; [Zhu, Yonggang] Jilin Univ, Dept Radiotherapy, China Japan Union Hosp, Changchun 130033, Jilin, Peoples R China; [Qi, Lingzhi] Peoples Hosp Jilin Prov, Dept Gastroenterol, Changchun, Peoples R China; [Gao, Pujun] First Hosp Jilin Univ, Dept Hepatol, 71 Xinmin St, Changchun 130021, Jilin, Peoples R China</t>
  </si>
  <si>
    <t>Gao, PJ (corresponding author), First Hosp Jilin Univ, Dept Hepatol, 71 Xinmin St, Changchun 130021, Jilin, Peoples R China.</t>
  </si>
  <si>
    <t>pujungao@sina.com</t>
  </si>
  <si>
    <t>10.3892/ol.2020.11800</t>
  </si>
  <si>
    <t>WOS:000563938300015</t>
  </si>
  <si>
    <t>Rastogi, S; Hwang, A; Chan, J; Wang, JYJ</t>
  </si>
  <si>
    <t>Rastogi, Shubhra; Hwang, Amini; Chan, Josolyn; Wang, Jean Y. J.</t>
  </si>
  <si>
    <t>Extracellular vesicles transfer nuclear Abl-dependent and radiation-induced miR-34c into unirradiated cells to cause bystander effects</t>
  </si>
  <si>
    <t>MOLECULAR BIOLOGY OF THE CELL</t>
  </si>
  <si>
    <t>IONIZING-RADIATION; DNA-DAMAGE; C-ABL; TYROSINE KINASE; ACTIVATION; EXPRESSION; SECRETION; RESPONSES</t>
  </si>
  <si>
    <t>Ionizing radiation (IR) not only activates DNA damage response (DDR) in irradiated cells but also induces bystander effects (BE) in cells not directly targeted by radiation. How DDR pathways activated in irradiated cells stimulate BE is not well understood. We show here that extracellular vesicles secreted by irradiated cells (EV-IR), but not those from unirradiated controls (EV-C), inhibit colony formation in unirradiated cells by inducing reactive oxygen species (ROS). We found that mu EV-IR from Abl nuclear localization signal-mutated (Abl-mu NLS) cells could not induce ROS, but expression of wild-type Abl restored that activity. Because nuclear Abl stimulates miR-34c biogenesis, we measured miR-34c in EV and found that its levels correlated with the ROS-inducing activity of EV. We then showed that EV from miR-34c minigene-transfected, but unirradiated cells induced ROS; and transfection with miR-34c-mimic, without radiation or EV addition, also induced ROS. Furthermore, EV-IR from miR34-family triple-knockout cells could not induce ROS, whereas EV-IR from wild-type cells could cause miR-34c increase and ROS induction in the miR-34 triple-knockout cells. These results establish a novel role for extracellular vesicles in transferring nuclear Abl-dependent and radiation-induced miR-34c into unirradiated cells to cause bystander oxidative stress.</t>
  </si>
  <si>
    <t>[Rastogi, Shubhra; Hwang, Amini; Chan, Josolyn; Wang, Jean Y. J.] Univ Calif San Diego, Sch Med, Dept Med, Div Hematol Oncol, La Jolla, CA 92093 USA</t>
  </si>
  <si>
    <t>University of California System; University of California San Diego</t>
  </si>
  <si>
    <t>Wang, JYJ (corresponding author), Univ Calif San Diego, Sch Med, Dept Med, Div Hematol Oncol, La Jolla, CA 92093 USA.</t>
  </si>
  <si>
    <t>jywang@ucsd.edu</t>
  </si>
  <si>
    <t>1059-1524</t>
  </si>
  <si>
    <t>1939-4586</t>
  </si>
  <si>
    <t>10.1091/mbc.E18-02-0130</t>
  </si>
  <si>
    <t>WOS:000451908100009</t>
  </si>
  <si>
    <t>Nasser, MI; Masood, M; Adlat, S; Gang, D; Zhu, SJ; Li, G; Li, NB; Chen, JM; Zhu, P</t>
  </si>
  <si>
    <t>Nasser, M., I; Masood, Muqaddas; Adlat, Salah; Gang, Deng; Zhu, Shuoji; Li, Ge; Li, Nanbo; Chen, Jimei; Zhu, Ping</t>
  </si>
  <si>
    <t>Mesenchymal stem cell-derived exosome microRNA as therapy for cardiac ischemic injury</t>
  </si>
  <si>
    <t>Exosomes; MicroRNA; Molecular mechanism; Ischemic heart disease</t>
  </si>
  <si>
    <t>EXTRACELLULAR VESICLES; STROMAL CELLS; CARDIOMYOCYTE APOPTOSIS; REPERFUSION INJURY; EXPRESSION; INFLAMMATION; MECHANISMS; REPAIR; DEATH</t>
  </si>
  <si>
    <t>Cardiovascular diseases (CVD) are a significant cause of human health harm. In the past, stem cell therapy was reported to have functional defects, such as immune rejection, tumorigenicity, and infusion toxicity. Exosomes are extracellular vesicles with lipid bilayer membrane structure, containing proteins, lipids, mRNA, miRNA, DNA, and other molecules, which can mediate various biological functions such as immune response, inflammatory response, cell migration, and differentiation intercellular communication. Exosomal miRNAs have outstanding advantages in disease diagnosis and curative effect prediction. Likewise, paracrine factors could also mediate the main therapeutic effect of mesenchymal stem cells. Research has shown that mesenchymal stem cellderived micro-exosomes, which may come from stem cells, accumulate in the ischemic tissue and regulate cell proliferation, apoptosis, inflammation, and angiogenesis sites of myocardial injury after being transplanted. This review reviewed the molecular mechanisms of exosomes and internal microRNAs derived from mesenchymal stem cells in cardiac ischemic injury repair.</t>
  </si>
  <si>
    <t>[Nasser, M., I; Masood, Muqaddas; Adlat, Salah; Gang, Deng; Zhu, Shuoji; Li, Ge; Li, Nanbo; Chen, Jimei; Zhu, Ping] Guangdong Acad Med Sci, Guangdong Prov Peoples Hosp, Guangdong Cardiovasc Inst, Guangzhou 510100, Guangdong, Peoples R China</t>
  </si>
  <si>
    <t>Guangdong Academy of Medical Sciences &amp; Guangdong General Hospital</t>
  </si>
  <si>
    <t>Nasser, MI; Chen, JM; Zhu, P (corresponding author), Guangdong Acad Med Sci, Guangdong Prov Peoples Hosp, Guangdong Cardiovasc Inst, Guangzhou 510100, Guangdong, Peoples R China.</t>
  </si>
  <si>
    <t>nassermoussa83@yahoo.com; miss.nagra@yahoo.com; land788@nenu.edu.cn; eric93056@163.com; zhushuoji@qq.com; lige5@mail.sysu.edu.cn; liu.nanbo@163.com; jimei@hotmail.com; tanganqier@163.com</t>
  </si>
  <si>
    <t>Nasser, Moussa Ide/0000-0002-2670-6496; Nasser, Moussa Ide/0000-0003-3685-748X</t>
  </si>
  <si>
    <t>10.1016/j.biopha.2021.112118</t>
  </si>
  <si>
    <t>WOS:000696985100011</t>
  </si>
  <si>
    <t>Charoenviriyakul, C; Takahashi, Y; Nishikawa, M; Takakura, Y</t>
  </si>
  <si>
    <t>Charoenviriyakul, Chonlada; Takahashi, Yuki; Nishikawa, Makiya; Takakura, Yoshinobu</t>
  </si>
  <si>
    <t>Preservation of exosomes at room temperature using lyophilization</t>
  </si>
  <si>
    <t>Exosome; Stability; Lyophilization; Freeze-drying; Trehalose</t>
  </si>
  <si>
    <t>EXTRACELLULAR VESICLES; DELIVERY VEHICLES; STABILITY; PROTEINS; CELLS; SIRNA; CRYOPROTECTANTS; FORMULATION; LIPOSOMES; TRACKING</t>
  </si>
  <si>
    <t>The application of exosomes as a therapeutic reagent or drug delivery vehicle can be expanded by developing a method to preserve exosomes. Although exosomes are generally stored at - 80 degrees C, this temperature is not suitable for their handling or transportation and, therefore, other storage methods are desirable. Lyophilization is a promising storage method that can be used to preserve various substances at room temperature. In this study, we sought to develop a room temperature preservation method for exosomes using lyophilization and compared the properties of the lyophilized exosomes with ones stored at - 80 degrees C. Lyophilization without cryoprotectant resulted in the aggregation of B16BL6 melanoma-derived exosomes, while the addition of trehalose, a cryoprotectant, prevented aggregation during lyophilization. PAGE analysis revealed that the proteins and RNA of exosomes were protected following lyophilization in the presence of trehalose. Lyophilization had little effect on the pharmacokinetics of Gaussia luciferase (gLuc)-labeled exosomes after an intravenous injection into mice. Moreover, it was found that lyophilized exosomes retained the activity of loaded gLuc and immunostimulatory CpG DNA for approximately 4 weeks even when stored at 25 degrees C. In conclusion, lyophilization with trehalose is an effective method for the storage of exosomes for various applications.</t>
  </si>
  <si>
    <t>[Charoenviriyakul, Chonlada; Takahashi, Yuki; Takakura, Yoshinobu] Kyoto Univ, Grad Sch Pharmaceut Sci, Dept Biopharmaceut &amp; Drug Metab, Sakyo Ku, Kyoto 6068501, Japan; [Nishikawa, Makiya] Tokyo Univ Sci, Fac Pharmaceut Sci, Lab Biopharmaceut, 2641 Yamazaki, Noda, Chiba 2788510, Japan</t>
  </si>
  <si>
    <t>Song, Eun Joo/Z-5130-2019</t>
  </si>
  <si>
    <t>Charoenviriyakul, Chonlada/0000-0003-1688-3285; Takahashi, Yuki/0000-0002-8772-2772</t>
  </si>
  <si>
    <t>DEC 20</t>
  </si>
  <si>
    <t>10.1016/j.ijpharm.2018.10.032</t>
  </si>
  <si>
    <t>WOS:000451020300001</t>
  </si>
  <si>
    <t>Perez, A; Loizaga, A; Arceo, R; Lacasa, I; Rabade, A; Zorroza, K; Mosen-Ansorena, D; Gonzalez, E; Aransay, AM; Falcon-Perez, JM; Unda-Urzaiz, M; Royo, F</t>
  </si>
  <si>
    <t>Perez, Amparo; Loizaga, Ana; Arceo, Raquel; Lacasa, Isabel; Rabade, Ainara; Zorroza, Kerman; Mosen-Ansorena, David; Gonzalez, Esperanza; Aransay, Ana M.; Falcon-Perez, Juan M.; Unda-Urzaiz, Miguel; Royo, Felix</t>
  </si>
  <si>
    <t>A Pilot Study on the Potential of RNA-Associated to Urinary Vesicles as a Suitable Non-Invasive Source for Diagnostic Purposes in Bladder Cancer</t>
  </si>
  <si>
    <t>extracellular vesicles; bladder cancer; gene expression analysis; LASS2; GALNT1; ARHGEF39; FOXO3</t>
  </si>
  <si>
    <t>CERAMIDE SYNTHASES; TUMOR-MARKERS; EXPRESSION; BIOMARKERS; IDENTIFICATION; STATISTICS; PROGNOSIS; DISCOVERY; CARCINOMA; MICRORNA</t>
  </si>
  <si>
    <t>Bladder cancer is one of the most common cancers and, together with prostate carcinoma, accounts for the majority of the malignancies of the genitourinary tract. Since prognosis ameliorates with early detection, it will be beneficial to have a repertoire of diagnostic markers that could complement the current diagnosis protocols. Recently, cell- secreted extracellular vesicles have received great interest as a source of low invasive disease biomarkers because they are found in many body fluids, including urine. The current work describes a pilot study to generate an array- based catalogue of mRNA associated to urinary vesicles, and also a comparison with samples obtained from bladder cancer patients. After an analysis of presence/absence of transcripts in bladder cancer EVs, a list of genes was selected for further validation using PCR technique. We found four genes differentially expressed in cancer samples. LASS2 and GALNT1 were present in cancer patients, while ARHGEF39 and FOXO3 were found only in non-cancer urinary vesicles. Previous studies have pointed to the involvement of those genes in tumour progression and metastasis.</t>
  </si>
  <si>
    <t>[Perez, Amparo; Loizaga, Ana; Arceo, Raquel; Lacasa, Isabel; Rabade, Ainara; Unda-Urzaiz, Miguel] Basurto Univ Hosp, Urol Serv, Bilbao 48013, Spain; [Zorroza, Kerman] Basurto Hosp, Basque Fdn Hlth Innovat &amp; Res BIOEF, DNA Lab, Bilbao 48013, Bizkaia, Spain; [Mosen-Ansorena, David; Aransay, Ana M.] Bizkaia Technol Pk, CIBERehd, CIC bioGUNE, Genome Anal Platform, Derio 48160, Bizkaia, Spain; [Gonzalez, Esperanza; Falcon-Perez, Juan M.; Royo, Felix] Bizkaia Technol Pk, CIBERehd, CIC bioGUNE, Metabol Unit, Derio 48160, Bizkaia, Spain; [Falcon-Perez, Juan M.] Basque Fdn Sci, Ikerbasque, Bilbao 48011, Bizkaia, Spain</t>
  </si>
  <si>
    <t>Basurto Hospital; Basurto Hospital; CIBER - Centro de Investigacion Biomedica en Red; CIBEREHD; CIC bioGUNE; CIBER - Centro de Investigacion Biomedica en Red; CIBEREHD; CIC bioGUNE; Basque Foundation for Science</t>
  </si>
  <si>
    <t>Royo, F (corresponding author), Bizkaia Technol Pk, CIBERehd, CIC bioGUNE, Metabol Unit, Derio 48160, Bizkaia, Spain.</t>
  </si>
  <si>
    <t>amparo.perezfernandez@osakidetza.net; ana.loizagairiarte@osakidetza.net; raquel.arceosantiago@osakidetza.net; i_lacasa@hotmail.com; ainarabade@hotmail.com; kerman.zorrozafernandez@osakidetza.net; dmosen.ng@cicbiogune.es; egonzalez@cicbiogune.es; amaransay@cicbiogune.es; jfalcon@cicbiogune.es; jesusmiguel.undaurzaiz@osakidetza.net; froyo.ciberehd@cicbiogune.es</t>
  </si>
  <si>
    <t>unda, miguel/AAP-8322-2021; Royo, Felix/ABE-8064-2021; González, Esperanza/H-5450-2015; Falcon-Perez, Juan M/F-5920-2011; González, Esperanza/AAK-4097-2020; Aransay, Ana M./F-8086-2011</t>
  </si>
  <si>
    <t>unda, miguel/0000-0003-2849-9459; Royo, Felix/0000-0001-9769-4165; González, Esperanza/0000-0002-3831-4596; González, Esperanza/0000-0002-3831-4596; Aransay, Ana M./0000-0002-8271-612X; Falcon-Perez, Juan M/0000-0003-3133-0670</t>
  </si>
  <si>
    <t>10.3390/cancers6010179</t>
  </si>
  <si>
    <t>WOS:000209950500011</t>
  </si>
  <si>
    <t>Nakayama-Imaohji, H; Hirota, K; Yamasaki, H; Yoneda, S; Nariya, H; Suzuki, M; Secher, T; Miyake, Y; Oswald, E; Hayashi, T; Kuwahara, T</t>
  </si>
  <si>
    <t>Nakayama-Imaohji, Haruyuki; Hirota, Katsuhiko; Yamasaki, Hisashi; Yoneda, Saori; Nariya, Hirofumi; Suzuki, Motoo; Secher, Thomas; Miyake, Yoichiro; Oswald, Eric; Hayashi, Tetsuya; Kuwahara, Tomomi</t>
  </si>
  <si>
    <t>DNA Inversion Regulates Outer Membrane Vesicle Production in Bacteroides fragilis</t>
  </si>
  <si>
    <t>INFLAMMATORY-BOWEL-DISEASE; COMMENSAL BACTERIUM; SYMBIOTIC BACTERIA; GENE-EXPRESSION; PHASE VARIATION; SALMONELLA; MICROBIOTA; VIRULENCE; RNA; COLONIZATION</t>
  </si>
  <si>
    <t>Phase changes in Bacteroides fragilis, a member of the human colonic microbiota, mediate variations in a vast array of cell surface molecules, such as capsular polysaccharides and outer membrane proteins through DNA inversion. The results of the present study show that outer membrane vesicle (OMV) formation in this anaerobe is also controlled by DNA inversions at two distantly localized promoters, IVp-I and IVp-II that are associated with extracellular polysaccharide biosynthesis and the expression of outer membrane proteins. These promoter inversions are mediated by a single tyrosine recombinase encoded by BF2766 (orthologous to tsr19 in strain NCTC9343) in B. fragilis YCH46, which is located near IVp-I. A series of BF2766 mutants were constructed in which the two promoters were locked in different configurations (IVp-I/IVp-II = ON/ON, OFF/OFF, ON/OFF or OFF/ON). ON/ON B. fragilis mutants exhibited hypervesiculating, whereas the other mutants formed only a trace amount of OMVs. The hypervesiculating ON/ON mutants showed higher resistance to treatment with bile, LL-37, and human beta-defensin 2. Incubation of wild-type cells with 5% bile increased the population of cells with the ON/ON genotype. These results indicate that B. fragilis regulates the formation of OMVs through DNA inversions at two distantly related promoter regions in response to membrane stress, although the mechanism underlying the interplay between the two regions controlled by the invertible promoters remains unknown.</t>
  </si>
  <si>
    <t>[Nakayama-Imaohji, Haruyuki; Yoneda, Saori; Nariya, Hirofumi; Suzuki, Motoo; Kuwahara, Tomomi] Kagawa Univ, Fac Med, Dept Microbiol, 1750-1 Miki, Kagawa 7610793, Japan; [Hirota, Katsuhiko; Miyake, Yoichiro] Univ Tokushima, Inst Biomed Sci, Dept Oral Microbiol, Grad Sch, Tokushima 7708503, Japan; [Yamasaki, Hisashi] Wakayama Med Univ, Grad Sch Med, Dept Cellular &amp; Mol Med, Wakayama 6418509, Japan; [Secher, Thomas; Oswald, Eric] Inserm UMR1043, Toulouse, France; [Secher, Thomas; Oswald, Eric] INRA USC 1360 Toulouse, Toulouse, France; [Secher, Thomas; Oswald, Eric] CNRS UMR5282 Toulouse, Toulouse, France; [Secher, Thomas; Oswald, Eric] Univ Toulouse, UPS, CPTP, Toulouse, France; [Oswald, Eric] CHU Toulouse, Hop Purpan, Serv Bacteriol Hyg, Toulouse, France; [Hayashi, Tetsuya] Kyushu Univ, Dept Bacteriol, Fac Med Sci, Fukuoka 8128582, Japan</t>
  </si>
  <si>
    <t>Kagawa University; Tokushima University; Wakayama Medical University; Institut National de la Sante et de la Recherche Medicale (Inserm); INRAE; Centre National de la Recherche Scientifique (CNRS); CNRS - National Institute for Biology (INSB); Universite de Toulouse; Universite Toulouse III - Paul Sabatier; Centre National de la Recherche Scientifique (CNRS); Institut National de la Sante et de la Recherche Medicale (Inserm); CHU de Toulouse; Kyushu University</t>
  </si>
  <si>
    <t>Kuwahara, T (corresponding author), Kagawa Univ, Fac Med, Dept Microbiol, 1750-1 Miki, Kagawa 7610793, Japan.</t>
  </si>
  <si>
    <t>tomomi@med.kagawa-u.ac.jp</t>
  </si>
  <si>
    <t>SECHER, Thomas/P-4795-2016; Hayashi, Tetsuya/ABA-1074-2020</t>
  </si>
  <si>
    <t>Oswald, Eric/0000-0002-3017-0081</t>
  </si>
  <si>
    <t>e0148887</t>
  </si>
  <si>
    <t>10.1371/journal.pone.0148887</t>
  </si>
  <si>
    <t>WOS:000370038400100</t>
  </si>
  <si>
    <t>Luo, ZL; Ji, YD; Zhang, DH; Gao, H; Jin, ZM; Yang, MX; Ying, W</t>
  </si>
  <si>
    <t>Luo, Zhenlong; Ji, Yudong; Zhang, Dinghong; Gao, Hong; Jin, Zhongmou; Yang, Meixiang; Ying, Wei</t>
  </si>
  <si>
    <t>Microbial DNA enrichment promotes liver steatosis and fibrosis in the course of non-alcoholic steatohepatitis</t>
  </si>
  <si>
    <t>ACTA PHYSIOLOGICA</t>
  </si>
  <si>
    <t>liver fibrogenic activation; liver inflammation; microbial DNAs; microbiota-derived extracellular vesicles; Vsig4+macrophages</t>
  </si>
  <si>
    <t>EXTRACELLULAR VESICLES; INFLAMMATION; METABOLISM; BACTERIA; RECEPTOR; IMMUNE; PHOSPHATIDYLCHOLINE; TRANSLOCATION; PERMEABILITY; MECHANISMS</t>
  </si>
  <si>
    <t>Aim Low-grade inflammation is the hallmark of non-alcoholic fatty liver diseases (NAFLD) and non-alcoholic steatohepatitis (NASH). The leakage of microbiota-derived products can contribute to liver inflammation during NAFLD/NASH development. Here, we assessed the roles of gut microbial DNA-containing extracellular vesicles (mEVs) in regulating liver cellular abnormalities in the course of NAFLD/NASH. Methods We performed studies with Vsig4(-/-), C3(-/-), cGAS(-/-), and their wild-type littermate mice. Vsig4+ macrophage population and bacterial DNA abundance were examined in both mouse and human liver by either flow cytometric or immunohistochemistry analysis. Gut mEVs were adoptively transferred into Vsig4(-/-), C3(-/-), cGAS(-/-), or littermate WT mice, and hepatocyte inflammation and HSC fibrogenic activation were measured in these mice. Results Non-alcoholic fatty liver diseases and non-alcoholic steatohepatitis development was concomitant with a diminished liver Vsig4+ macrophage population and a marked bacterial DNA enrichment in both hepatocytes and HSCs. In the absence of Vsig4+ macrophages, gut mEVs translocation led to microbial DNA accumulation in hepatocytes and HSCs, resulting elevated hepatocyte inflammation and HSC fibrogenic activation. In contrast, in lean WT mice, Vsig4+ macrophages remove gut mEVs from bloodstream through a C3-dependent opsonization mechanism and prevent the infiltration of gut mEVs into hepatic cells. Additionally, Vsig4(-/-) mice more quickly developed significant liver steatosis and fibrosis than WT mice after Western diet feeding. In vitro treatment with NASH mEVs triggered hepatocyte inflammation and HSC fibrogenic activation. Microbial DNAs are key cargo for the effects of gut mEVs by activating cGAS/STING. Conclusion Accumulation of microbial DNAs fuels the development of NAFLD/NASH-associated liver abnormalities.</t>
  </si>
  <si>
    <t>[Luo, Zhenlong; Ji, Yudong; Zhang, Dinghong; Gao, Hong; Ying, Wei] Univ Calif San Diego, Dept Med, Div Endocrinol &amp; Metab, La Jolla, CA 92093 USA; [Luo, Zhenlong] Huazhong Univ Sci &amp; Technol, Tongji Hosp, Tbngji Med Coll, Dept Gastroenterol, Wuhan, Peoples R China; [Ji, Yudong] Huazhong Univ Sci &amp; Technol, Union Hosp, Tongji Med Coll, Inst Anesthesiol &amp; Crit Care,Dept Anesthesiol, Wuhan, Peoples R China; [Jin, Zhongmou] Univ Calif San Diego, Div Biol Sci, La Jolla, CA 92093 USA; [Yang, Meixiang] Univ Calif San Diego, Dept Pediat, Pediat Diabet Res Ctr, La Jolla, CA 92093 USA; [Yang, Meixiang] Jinan Univ, Biomed Translat Res Inst, Zhuhai Peoples Hosp, Zhuhai Inst Translat Med, Guangzhou, Peoples R China</t>
  </si>
  <si>
    <t>University of California System; University of California San Diego; Huazhong University of Science &amp; Technology; Huazhong University of Science &amp; Technology; University of California System; University of California San Diego; University of California System; University of California San Diego; Jinan University</t>
  </si>
  <si>
    <t>Ying, W (corresponding author), Univ Calif San Diego, Dept Med, Div Endocrinol &amp; Metab, La Jolla, CA 92093 USA.</t>
  </si>
  <si>
    <t>1748-1708</t>
  </si>
  <si>
    <t>1748-1716</t>
  </si>
  <si>
    <t>e13827</t>
  </si>
  <si>
    <t>10.1111/apha.13827</t>
  </si>
  <si>
    <t>WOS:000792596900001</t>
  </si>
  <si>
    <t>Scarlotta, M; Simsek, C; Kim, AK</t>
  </si>
  <si>
    <t>Scarlotta, Matthew; Simsek, Cem; Kim, Amy K.</t>
  </si>
  <si>
    <t>Liquid Biopsy in Solid Malignancy</t>
  </si>
  <si>
    <t>GENETIC TESTING AND MOLECULAR BIOMARKERS</t>
  </si>
  <si>
    <t>liquid biopsy; circulating tumor cells; circulating DNA; extracellular vesicles; cancer</t>
  </si>
  <si>
    <t>CIRCULATING TUMOR-CELLS; METASTATIC COLORECTAL-CANCER; PROSTATE-SPECIFIC ANTIGEN; PROGRESSION-FREE SURVIVAL; DETECTING EGFR MUTATIONS; PHASE-III TRIAL; EXTRACELLULAR VESICLES; BREAST-CANCER; LUNG-CANCER; FREE DNA</t>
  </si>
  <si>
    <t>The clinical utility of tissue biopsies in cancer management will continue to expand, especially with the evolving role of targeted therapies. Liquid biopsy refers to testing a patient's biofluid samples such as blood or urine to detect tumor-derived molecules and cells that can be used diagnostically and prognostically in the assessment of cancer. Many proof-of-concept and pilot studies have shown the clinical potential of liquid biopsies as diagnostic and prognostic markers which would provide a surrogate for the conventional solid biopsy. In this review, we focus on three methods of liquid biopsy-circulating tumor cells, extracellular vesicles, and circulating tumor DNA-to provide a landscape view of their clinical applicability in cancer management and research.</t>
  </si>
  <si>
    <t>[Scarlotta, Matthew] Johns Hopkins Sch Med, Dept Med, Baltimore, MD USA; [Simsek, Cem; Kim, Amy K.] Johns Hopkins Sch Med, Div Gastroenterol &amp; Hepatol, 720 Rutland Ave Ross 918, Baltimore, MD 21205 USA</t>
  </si>
  <si>
    <t>Johns Hopkins University; Johns Hopkins Medicine; Johns Hopkins University; Johns Hopkins Medicine</t>
  </si>
  <si>
    <t>Kim, AK (corresponding author), Johns Hopkins Sch Med, Div Gastroenterol &amp; Hepatol, 720 Rutland Ave Ross 918, Baltimore, MD 21205 USA.</t>
  </si>
  <si>
    <t>akim97@jhmi.edu</t>
  </si>
  <si>
    <t>Simsek, Cem/AAG-7290-2019; /AFP-3472-2022</t>
  </si>
  <si>
    <t>/0000-0001-6121-9581; Simsek, Cem/0000-0002-7037-5233</t>
  </si>
  <si>
    <t>1945-0265</t>
  </si>
  <si>
    <t>1945-0257</t>
  </si>
  <si>
    <t>10.1089/gtmb.2018.0237</t>
  </si>
  <si>
    <t>WOS:000462520900001</t>
  </si>
  <si>
    <t>Lu, JY; Wang, MH; Han, YW; Deng, Y; Zeng, YJ; Li, C; Yang, J; Li, GX</t>
  </si>
  <si>
    <t>Lu, Jianyang; Wang, Minghui; Han, Yiwei; Deng, Ying; Zeng, Yujing; Li, Chao; Yang, Jie; Li, Genxi</t>
  </si>
  <si>
    <t>Functionalization of Covalent Organic Frameworks with DNA via Covalent Modification and the Application to Exosomes Detection</t>
  </si>
  <si>
    <t>ELECTROCHEMICAL DETECTION; CRYSTALLINE; EFFICIENT</t>
  </si>
  <si>
    <t>The functionalization of covalent organic frame-works (COFs) with biomacromolecules can extend their functions, which is the premise of their application in biomedical research. However, strategies to functionalize COFs with biomacromole-cules, which can ensure the stability in complex medium and minimize the undesired effects, are still lacking. In this work, we have proposed a strategy to functionalize COFs with DNA bycovalently linking DNA to the functional group on the COFsurface through Cu(I)-catalyzed azide/alkyne cycloaddition(CuAAC) reaction. The as-prepared DNA-functionalized COFs (DNA-COFs) can exhibit good hybridization ability and cargoloading ability; thus, we have designed a DNA-COF-based nanoprobe and then fabricated an electrochemical biosensor for the detection of exosomes. In this design, the functionalization with DNA enables COFs to recognize and capture exosomes, and the encapsulation of a large number of methylene blue (MB) in COFs facilitates signal amplification, which can enhance the sensitivity of the biosensor. Moreover, by simply replacing the oligonucleotide sequences, the strategy proposed here can generally be used to build different DNA-COFs with diverse functions for broader biomedical applications</t>
  </si>
  <si>
    <t>[Lu, Jianyang; Wang, Minghui; Han, Yiwei; Deng, Ying; Zeng, Yujing; Yang, Jie; Li, Genxi] Nanjing Univ, Sch Life Sci, State Key Lab Pharmaceut Biotechnol, Nanjing 210023, Peoples R China; [Li, Chao] Hefei Univ Technol, Sch Food &amp; Biol Engn, Hefei 230009, Anhui, Peoples R China; [Li, Genxi] Shanghai Univ, Ctr Mol Recognit &amp; Biosensing, Sch Life Sci, Shanghai 200444, Peoples R China</t>
  </si>
  <si>
    <t>Nanjing University; Hefei University of Technology; Shanghai University</t>
  </si>
  <si>
    <t>Yang, J; Li, GX (corresponding author), Nanjing Univ, Sch Life Sci, State Key Lab Pharmaceut Biotechnol, Nanjing 210023, Peoples R China.;Li, C (corresponding author), Hefei Univ Technol, Sch Food &amp; Biol Engn, Hefei 230009, Anhui, Peoples R China.;Li, GX (corresponding author), Shanghai Univ, Ctr Mol Recognit &amp; Biosensing, Sch Life Sci, Shanghai 200444, Peoples R China.</t>
  </si>
  <si>
    <t>lchao@hfut.edu.cn; yangjie@nju.edu.cn; genxili@nju.edu.cn</t>
  </si>
  <si>
    <t>Li, Chao/0000-0002-2552-413X</t>
  </si>
  <si>
    <t>MAR 29</t>
  </si>
  <si>
    <t>10.1021/acs.analchem.1c05222</t>
  </si>
  <si>
    <t>WOS:000779305600022</t>
  </si>
  <si>
    <t>Wang, H; Chen, H; Huang, ZP; Li, TD; Deng, AM; Kong, JL</t>
  </si>
  <si>
    <t>Wang, Hui; Chen, Hui; Huang, Zhipeng; Li, Tengda; Deng, Anmei; Kong, Jilie</t>
  </si>
  <si>
    <t>DNase I enzyme-aided fluorescence signal amplification based on graphene oxide-DNA aptamer interactions for colorectal cancer exosome detection</t>
  </si>
  <si>
    <t>Colorectal cancer (CRC); Exosomes; Graphene oxide; DNA aptamer; Signal amplification</t>
  </si>
  <si>
    <t>PANCREATIC-CANCER; OVARIAN-CANCER; CELL; BIOMARKERS; APTASENSOR; EXPRESSION; DIAGNOSIS; SELECTION; PROTEIN; SENSOR</t>
  </si>
  <si>
    <t>Exosomes have proved to be an effective cancer biomarker with significant potential, and several cell-specific molecules have been found in colorectal cancer (CRC) exosomes. Nevertheless, it is challenging to use exosomes in clinical lab diagnostics due to their nanoscale and the lack of a convenient and effective detection platform. Here, we developed a DNase I enzyme-aided fluorescence amplification method for CRC exosome detection, based on graphene oxide (GO)-DNA aptamer (CD63 and EpCAM aptamers) interactions. The fluorescence of fluorophore-labeled aptamers quenched by GO, recovered after incubation with samples containing CRC exosomes. The DNase I enzyme digested the single-stranded DNA aptamers on the exosome surface and the exosomes were able to interact with more fluorescent aptamer probes, resulting in an increase of signal amplification. The limit of detection for CRC exosomes is 2.1 x 10(4) particles/mu l. Consequently, a rapid and effective method with high sensitivity was established. The method was verified in 19 clinical blood serum samples to distinguish healthy and CRC patients, showing significant diagnostic power. Moreover, it can be expanded to other kinds of cancer exosomes, in addition to CRC.</t>
  </si>
  <si>
    <t>[Wang, Hui; Li, Tengda; Deng, Anmei] Second Mil Med Univ, Changhai Hosp, Ctr Clin Expt, Shanghai 200433, Peoples R China; [Chen, Hui; Huang, Zhipeng; Kong, Jilie] Fudan Univ, Dept Chem, Shanghai 200433, Peoples R China; [Chen, Hui; Huang, Zhipeng; Kong, Jilie] Fudan Univ, Inst Biomed Sci, Shanghai 200433, Peoples R China</t>
  </si>
  <si>
    <t>Naval Medical University; Fudan University; Fudan University</t>
  </si>
  <si>
    <t>Deng, AM (corresponding author), Second Mil Med Univ, Changhai Hosp, Ctr Clin Expt, Shanghai 200433, Peoples R China.;Chen, H; Kong, JL (corresponding author), Fudan Univ, Dept Chem, Shanghai 200433, Peoples R China.;Chen, H; Kong, JL (corresponding author), Fudan Univ, Inst Biomed Sci, Shanghai 200433, Peoples R China.</t>
  </si>
  <si>
    <t>chenhui@fudan.edu.cn; amdeng70@163.com; jlkong@fudan.edu.cn</t>
  </si>
  <si>
    <t>10.1016/j.talanta.2018.02.083</t>
  </si>
  <si>
    <t>WOS:000432234900029</t>
  </si>
  <si>
    <t>Yuan, K; Meng, HM; Wu, YA; Chen, J; Xu, H; Qu, LB; Li, LL; Li, ZH</t>
  </si>
  <si>
    <t>Yuan, Kun; Meng, Hong-Min; Wu, Yanan; Chen, Juan; Xu, Hui; Qu, Lingbo; Li, Lele; Li, Zhaohui</t>
  </si>
  <si>
    <t>Extracellular Milieu and Membrane Receptor Dual-Driven DNA Nanorobot for Accurate in Vivo Tumor Imaging</t>
  </si>
  <si>
    <t>CCS CHEMISTRY</t>
  </si>
  <si>
    <t>accurate cancer diagnosis; DNA nanorobot; in vivo tumor imaging; logic gate; pH(e) and membrane receptors</t>
  </si>
  <si>
    <t>CANCER; COMPUTATION; VESICLE; TARGET; CELLS</t>
  </si>
  <si>
    <t>Precise diagnostic approaches have great potential design in cancer intervention and prognosis. Although therapy. diverse DNA nanoprobes have been reported for tumor diagnosis, precise tumor imaging in vivo still encounters a great challenge due to the scarcity of exquisite design methodology. Herein, by assembling three programmable modules on a DNA triangular prism, we engineered a DNA nanorobot for simultaneous recognition of extracellular pH and cancer cell membrane receptor in an intelligent manner. Since the design uses two heterogeneous types of biomarkers as inputs, pH-RE not only could discriminate target tumor cells from similar cell mixtures with a recognition accuracy as high as 98.8%, but also could perform precise tumor imaging in living mice by intravenous injection. We expect that this extracellular pH and membrane receptor dual-driven DNA nanorobot will facilitate the establishment of a novel design paradigm for precise cancer diagnosis and therapy.</t>
  </si>
  <si>
    <t>[Yuan, Kun; Meng, Hong-Min; Wu, Yanan; Chen, Juan; Xu, Hui; Qu, Lingbo; Li, Zhaohui] Zhengzhou Univ, Zhengzhou Key Lab Funct Nanomat &amp; Med Theranost, Henan Joint Int Res Lab Green Construct Funct Mol, Coll Chem,Green Catalysis Ctr, Zhengzhou 450001, Peoples R China; [Li, Lele] Natl Ctr Nanosci &amp; Technol, CAS Key Lab Biomed Effects Nanomat &amp; Nanosafety, Beijing 100190, Peoples R China; [Li, Lele] Natl Ctr Nanosci &amp; Technol, CAS Ctr Excellence Nanosci, Beijing 100190, Peoples R China</t>
  </si>
  <si>
    <t>Zhengzhou University; Chinese Academy of Sciences; National Center for Nanoscience &amp; Technology - China; Chinese Academy of Sciences; National Center for Nanoscience &amp; Technology - China</t>
  </si>
  <si>
    <t>Meng, HM; Li, ZH (corresponding author), Zhengzhou Univ, Zhengzhou Key Lab Funct Nanomat &amp; Med Theranost, Henan Joint Int Res Lab Green Construct Funct Mol, Coll Chem,Green Catalysis Ctr, Zhengzhou 450001, Peoples R China.</t>
  </si>
  <si>
    <t>2096-5745</t>
  </si>
  <si>
    <t>10.31635/ccschem.021.202100836</t>
  </si>
  <si>
    <t>WOS:000794318300015</t>
  </si>
  <si>
    <t>Ramos-Garcia, V; Ten-Domenech, I; Moreno-Gimenez, A; Gormaz, M; Parra-Llorca, A; Shephard, AP; Sepulveda, P; Perez-Guaita, D; Vento, M; Lendl, B; Quintas, G; Kuligowski, J</t>
  </si>
  <si>
    <t>Ramos-Garcia, Victoria; Ten-Domenech, Isabel; Moreno-Gimenez, Alba; Gormaz, Maria; Parra-Llorca, Anna; Shephard, Alex P.; Sepulveda, Pilar; Perez-Guaita, David; Vento, Maximo; Lendl, Bernhard; Quintas, Guillermo; Kuligowski, Julia</t>
  </si>
  <si>
    <t>ATR-FTIR spectroscopy for the routine quality control of exosome isolations</t>
  </si>
  <si>
    <t>CHEMOMETRICS AND INTELLIGENT LABORATORY SYSTEMS</t>
  </si>
  <si>
    <t>Attenuated total reflectance; Fourier transform infrared (ATR-FTIR); Lipidomics; Exosomes; Human milk; Omics; Extracellular vesicles</t>
  </si>
  <si>
    <t>BATCH EFFECT CORRECTION; SPECTROMETRY DATA; SPECTRA</t>
  </si>
  <si>
    <t>Exosomes are nanosized vesicles containing specific cargos of DNA, RNA, proteins, metabolites, and intracellular and membrane lipids. Exosome isolation needs to be optimized carefully depending on the type of biofluid and tissue and the retrieved exosomes need to be characterized. The main objective of this study was to determine the feasibility of a multimodal analysis of Attenuated Total Reflectance - Fourier Transform Infrared (ATR-FTIR) spectroscopy and UPLC-QqTOE-MSMS for the development of a routine quality control tool of isolated exosomes and the rapid characterization of their lipid profiles and total protein content. Using human milk as model example, exosomes were isolated by multi-stage ultracentrifugation. After single-phase extraction, lipidomic analysis was carried out by UPLC-QqTOE-MSMS with automated MSMS-based annotation using HMDB, METLIN, LipidBlast and MSDIAL databases. The classes with the largest number of annotated features were glycerophospholipids, sphingolipids, and glycerolipids. Then, dry films of 2 mu L. exosomes were directly analyzed by ATRFTIR. Multivariate analysis showed significant associations between ATR-FTIR specific regions and the concentrations of different lipid classes. Principal component analysis and Hierarchical Cluster Analysis of IR and lipidomic data showed that ATR-FTIR renders valuable qualitative descriptors of the lipid content of isolated exosomes. Total LC-MS lipid and total protein contents could also be quantified by using the area of CHs and C=O stretching bands as well as the amide I band. As a conclusion, results obtained show that multimodal analysis of ATR-FTIR and UPLC-MS data is a useful tool for the development of spectroscopic methods. ATR-FTIR provided both, qualitative and quantitative chemical descriptors of isolated exosomes, enabling a fast and direct quantification of total protein and lipid contents.</t>
  </si>
  <si>
    <t>[Ramos-Garcia, Victoria; Ten-Domenech, Isabel; Moreno-Gimenez, Alba; Gormaz, Maria; Parra-Llorca, Anna; Vento, Maximo; Kuligowski, Julia] Hlth Res Inst La Fe, Neonatal Res Grp, Avda Fernando Abril Martorell 106, Valencia 46026, Spain; [Gormaz, Maria; Vento, Maximo] Univ &amp; Polytech Hosp La Fe, Div Neonatol, Avda Fernando Abril Martorell 106, Valencia 46026, Spain; [Shephard, Alex P.] Nanoview Biosci, Malvern Hills Sci Pk,Geraldine Rd, Malvern WR14 3SZ, Worcs, England; [Sepulveda, Pilar] Hlth Res Inst Hosp La Fe, Regenerat Med &amp; Heart Transplantat Unit, Avda Fernando Abril Martorell 106, Valencia 46026, Spain; [Perez-Guaita, David] Univ Valencia, Dept Analyt Chem, 50 Dr Moliner St, Valencia 46100, Spain; [Lendl, Bernhard] Vienna Univ Technol, Inst Chem Technol &amp; Analyt, Getreidemarkt 9-164, A-1060 Vienna, Austria; [Quintas, Guillermo] Leitat Technol Ctr, Hlth &amp; Biomed, Carrer Innovacio 2, Terrassa 08225, Spain; [Quintas, Guillermo] Hlth Res Inst La Fe, Analyt Unit, Avda Fernando Abril Martorell 106, Valencia 46026, Spain</t>
  </si>
  <si>
    <t>Hospital Universitari i Politecnic La Fe; Instituto de Investigacion Sanitaria La Fe (IIS La Fe); University of Valencia; Technische Universitat Wien; Hospital Universitari i Politecnic La Fe; Instituto de Investigacion Sanitaria La Fe (IIS La Fe)</t>
  </si>
  <si>
    <t>Quintas, G (corresponding author), Leitat Technol Ctr, Hlth &amp; Biomed, Carrer Innovacio 2, Terrassa 08225, Spain.</t>
  </si>
  <si>
    <t>gquintas@leitat.org</t>
  </si>
  <si>
    <t>Quintas, Guillermo/G-8953-2017; Perez-Guaita, David/I-2487-2019; Ten-Doménech, Isabel/ABB-6173-2021; Lendl, Bernhard/A-4069-2013; Parra Llorca, Anna/ABB-6438-2021; Vento, Maximo/F-3596-2015; Quintas, Guillermo/AAS-1138-2020; Sepulveda, Pilar/AAA-6636-2022; Kuligowski, Julia/M-3285-2017</t>
  </si>
  <si>
    <t>Perez-Guaita, David/0000-0002-2640-2927; Vento, Maximo/0000-0003-0061-4742; Quintas, Guillermo/0000-0002-4240-9846; Sepulveda, Pilar/0000-0001-6071-7431; Kuligowski, Julia/0000-0001-6979-2235; Lendl, Bernhard/0000-0003-3838-5842</t>
  </si>
  <si>
    <t>0169-7439</t>
  </si>
  <si>
    <t>1873-3239</t>
  </si>
  <si>
    <t>10.1016/j.chemolab.2021.104401</t>
  </si>
  <si>
    <t>Automation &amp; Control Systems; Chemistry, Analytical; Computer Science, Artificial Intelligence; Instruments &amp; Instrumentation; Mathematics, Interdisciplinary Applications; Statistics &amp; Probability</t>
  </si>
  <si>
    <t>Automation &amp; Control Systems; Chemistry; Computer Science; Instruments &amp; Instrumentation; Mathematics</t>
  </si>
  <si>
    <t>WOS:000694769500006</t>
  </si>
  <si>
    <t>Fricke, F; Lee, J; Michalak, M; Warnken, U; Hausser, I; Suarez-Carmona, M; Halama, N; Schnolzer, M; Kopitz, J; Gebert, J</t>
  </si>
  <si>
    <t>Fricke, Fabia; Lee, Jennifer; Michalak, Malwina; Warnken, Uwe; Hausser, Ingrid; Suarez-Carmona, Meggy; Halama, Niels; Schnoelzer, Martina; Kopitz, Juergen; Gebert, Johannes</t>
  </si>
  <si>
    <t>TGFBR2-dependent alterations of exosomal cargo and functions in DNA mismatch repair-deficient HCT116 colorectal cancer cells</t>
  </si>
  <si>
    <t>CELL COMMUNICATION AND SIGNALING</t>
  </si>
  <si>
    <t>Exosomes; Intercellular communication; Proteomics; Transforming Growth Factor Beta Receptor Type 2; DNA mismatch repair deficiency; Microsatellite instability; Colorectal cancer</t>
  </si>
  <si>
    <t>NONSENSE MEDIATED DECAY; GROWTH-FACTOR-BETA; MICROSATELLITE INSTABILITY; EXTRACELLULAR VESICLES; MESENCHYMAL TRANSITION; GENE-EXPRESSION; MESSENGER-RNAS; PROTEIN; METASTASIS; RECEPTOR</t>
  </si>
  <si>
    <t>Background: Colorectal cancers (CRCs) that lack DNA mismatch repair function exhibit the microsatellite unstable (MSI) phenotype and are characterized by the accumulation of frameshift mutations at short repetitive DNA sequences (microsatellites). These tumors recurrently show inactivating frameshift mutations in the tumor suppressor Transforming Growth Factor Beta Receptor Type 2 (TGFBR2) thereby abrogating downstream signaling. How altered TGFBR2 signaling affects exosome-mediated communication between MSI tumor cells and their environment has not been resolved. Here, we report on molecular alterations of exosomes shed by MSI cells and the biological response evoked in recipient cells. Methods: Exosomes were isolated and characterized by electron microscopy, nanoparticle tracking, and western blot analysis. TGFBR2-dependent effects on the cargo and functions of exosomes were studied in a MSI CRC model cell line enabling reconstituted and inducible TGFBR2 expression and signaling. Microsatellite frameshift mutations in exosomal and cellular DNA were examined by PCR-based DNA fragment analysis and exosomal protein profiles were identified by mass spectrometry. Uptake of fluorescent- labeled exosomes by hepatoma recipient cells was monitored by confocal microscopy. TGFBR2-dependent exosomal effects on secreted cytokine levels of recipient cells were analyzed by Luminex technology and ELISA. Results: Frameshift mutation patterns in microsatellite stretches of TGFBR2 and other MSI target genes were found to be reflected in the cargo of MSI CRC-derived exosomes. At the proteome level, reconstituted TGFBR2 expression and signaling uncovered two protein subsets exclusively occurring in exosomes derived from TGFBR2-deficient ( 14 proteins) or TGFBR2-proficient ( five proteins) MSI donor cells. Uptake of these exosomes by recipient cells caused increased secretion (2-6 fold) of specific cytokines (Interleukin-4, Stem Cell Factor, Platelet-derived Growth Factor-B), depending on the TGFBR2 expression status of the tumor cell. Conclusion: Our results indicate that the coding MSI phenotype of DNA mismatch repair-deficient CRC cells is maintained in their exosomal DNA. Moreover, we uncovered that a recurrent MSI tumor driver mutation like TGFBR2 can reprogram the protein content of MSI cell-derived exosomes and in turn modulate the cytokine secretion profile of recipient cells. Apart from its diagnostic potential, these TGFBR2-dependent exosomal molecular and proteomic signatures might help to understand the signaling routes used by MSI tumors.</t>
  </si>
  <si>
    <t>[Fricke, Fabia; Lee, Jennifer; Michalak, Malwina; Kopitz, Juergen; Gebert, Johannes] Univ Heidelberg Hosp, Inst Pathol, Dept Appl Tumor Biol, Neuenheimer Feld 224, D-69120 Heidelberg, Germany; [Fricke, Fabia; Lee, Jennifer; Michalak, Malwina; Kopitz, Juergen; Gebert, Johannes] German Canc Res Ctr, Dept Canc Early Detect, Neuenheimer Feld 224, D-69120 Heidelberg, Germany; [Lee, Jennifer] Tissue Genesis, Suite 1000,Tissue Genesis Tower,810 Richards St, Honolulu, HI 96813 USA; [Warnken, Uwe; Schnoelzer, Martina] German Canc Res Ctr, Funct Proteome Anal &amp; Core Facil Prot Anal B100, Neuenheimer Feld 280, D-69120 Heidelberg, Germany; [Hausser, Ingrid] Univ Heidelberg Hosp, Inst Pathol, Dept Gen Pathol, Neuenheimer Feld 224, D-69120 Heidelberg, Germany; [Suarez-Carmona, Meggy; Halama, Niels] Univ Heidelberg Hosp, Dept Med Oncol, Natl Ctr Tumor Dis NCT, Tissue Imaging &amp; Anal Ctr,Bioquant, Neuenheimer Feld 460, D-69120 Heidelberg, Germany</t>
  </si>
  <si>
    <t>Ruprecht Karls University Heidelberg; Helmholtz Association; German Cancer Research Center (DKFZ); Helmholtz Association; German Cancer Research Center (DKFZ); Ruprecht Karls University Heidelberg; Helmholtz Association; German Cancer Research Center (DKFZ); Ruprecht Karls University Heidelberg</t>
  </si>
  <si>
    <t>Gebert, J (corresponding author), Univ Heidelberg Hosp, Inst Pathol, Dept Appl Tumor Biol, Neuenheimer Feld 224, D-69120 Heidelberg, Germany.;Gebert, J (corresponding author), German Canc Res Ctr, Dept Canc Early Detect, Neuenheimer Feld 224, D-69120 Heidelberg, Germany.</t>
  </si>
  <si>
    <t>Suarez-Carmona, Meggy/0000-0002-8892-1546</t>
  </si>
  <si>
    <t>1478-811X</t>
  </si>
  <si>
    <t>10.1186/s12964-017-0169-y</t>
  </si>
  <si>
    <t>WOS:000398116600001</t>
  </si>
  <si>
    <t>Ji, Y; Kim, D; Kim, H; Han, S; Lee, JB</t>
  </si>
  <si>
    <t>Ji, Yoonbin; Kim, Dajeong; Kim, Hyejin; Han, Sangwoo; Lee, Jong Bum</t>
  </si>
  <si>
    <t>Construction of a two-dimensional DNA-RNA hybridized membrane for collecting tumor-derived exosomes</t>
  </si>
  <si>
    <t>PROGRESS</t>
  </si>
  <si>
    <t>Macroscopic nucleic acid-based structures have attracted much attention in biomedical fields. Here, we introduce a novel DNA-RNA hybridized membrane structure via enzymatic dual polymerization. The membrane exhibited enhanced rigidity and functionality. Encoded with an aptamer, the membrane showed great potential as a collecting platform of tumor-derived exosomes without additional labeling.</t>
  </si>
  <si>
    <t>[Ji, Yoonbin; Kim, Dajeong; Kim, Hyejin; Han, Sangwoo; Lee, Jong Bum] Univ Seoul, Dept Chem Engn, 163 Seoulsiripdaero, Seoul 02504, South Korea</t>
  </si>
  <si>
    <t>University of Seoul</t>
  </si>
  <si>
    <t>Lee, JB (corresponding author), Univ Seoul, Dept Chem Engn, 163 Seoulsiripdaero, Seoul 02504, South Korea.</t>
  </si>
  <si>
    <t>jblee@uos.ac.kr</t>
  </si>
  <si>
    <t>Lee, Jong Bum/0000-0002-8319-5055; Kim, Dajeong/0000-0003-1313-211X</t>
  </si>
  <si>
    <t>DEC 23</t>
  </si>
  <si>
    <t>10.1039/d1cc05924f</t>
  </si>
  <si>
    <t>WOS:000728643400001</t>
  </si>
  <si>
    <t>Li, SJ; Ma, Q</t>
  </si>
  <si>
    <t>Li, Shijie; Ma, Qiang</t>
  </si>
  <si>
    <t>Electrochemical nano-sensing interface for exosomes analysis and cancer diagnosis</t>
  </si>
  <si>
    <t>Electrochemica sensing mode; Rational design of nano-sensing interface; Sensor fabrication strategies; Exosome dentification</t>
  </si>
  <si>
    <t>MARKERS; DNA; NANOPARTICLES; IMMUNOSENSOR; FORCES</t>
  </si>
  <si>
    <t>Exosomes are a class of the nanosized extracellular vesicles, which have emerged as representative liquid biopsy biomarkers. To date, the electrochemical nanosensors are of great significance in the exosome detection with the advantages of easy operation, high accuracy and reliable repeatability. Especially, the growing field of nano interface has provided the electrochemical sensing platforms for the accurate exosomes analysis. The incorpo-ration of multiple nanomaterials can take advantages and synergistic properties of functional units. So, based on the integration of with nanomaterial-based signal transduction and specific biorecognition, the nano-sensing interface provides excellent electrochemical features owing to rapid mass transport and excellent conductiv-ity. The nano-sensing interface with a wide variety of morphologies and structure also provides the large active surface area for the immobilization of bio-capturing agents. Furthermore, through the design of nanostructured electrode array, the efficiency of transducer can be greatly improved. It should be noticed that the elaboration of a proper sensor requires the profound knowledge of the nano-sensing interface. Therefore, this article presents a review of the recent advance in exosomes detection based on the electrochemical nano-sensing interface, including electrochemical analysis principles, exosome sensing mechanisms, nano-interface construction stra-tegies, as well as the typical diagnosis application. In particular, the article is focused on the exploration of the various electrochemical sensing performance of nano-interface in the exosome detection. We have also pro-spected the future trend and challenge of the electrochemical nano-sensing interface for exosomes analysis in clinical cancer diagnosis.</t>
  </si>
  <si>
    <t>[Li, Shijie] Jilin Univ, Div Thyroid Surg, China Japan Union Hosp, Changchun 130033, Peoples R China; [Ma, Qiang] Jilin Univ, Coll Chem, Dept Analyt Chem, Changchun 130012, Peoples R China</t>
  </si>
  <si>
    <t>Ma, Q (corresponding author), Jilin Univ, Coll Chem, Dept Analyt Chem, Changchun 130012, Peoples R China.</t>
  </si>
  <si>
    <t>qma@jlu.edu.cn</t>
  </si>
  <si>
    <t>10.1016/j.bios.2022.114554</t>
  </si>
  <si>
    <t>WOS:000829274700003</t>
  </si>
  <si>
    <t>Liu, WL; Li, JP; Wu, YX; Xing, S; Lai, YZ; Zhang, G</t>
  </si>
  <si>
    <t>Liu, Wanli; Li, Jianpei; Wu, Yixian; Xing, Shan; Lai, Yanzhen; Zhang, Ge</t>
  </si>
  <si>
    <t>Target-induced proximity ligation triggers recombinase polymerase amplification and transcription-mediated amplification to detect tumor-derived exosomes in nasopharyngeal carcinoma with high sensitivity</t>
  </si>
  <si>
    <t>Tumor-derived exosomes; Proximity ligation assay; Recombinase polymerase amplification; Transcription-mediated amplification; Nasopharyngeal carcinoma</t>
  </si>
  <si>
    <t>CANCER; ASSAY; BIOMARKERS; HYBRIDIZATION; DIAGNOSIS; PROTEINS; PLASMA; CHIP</t>
  </si>
  <si>
    <t>Tumor-derived exosomes (TEXs) are extracellular vesicles that are continuously released into the blood by tumor cells and carry specific surface markers of the original tumor cells. Substantial evidence has implicated TEXs as attractive diagnostic markers for cancer. However, the detection of TEXs in blood at an early tumor stage is challenging due to their very low concentration. Here, we established a method called PLA-RPA-TMA assay that allows TEXs to be detected with high sensitivity and specificity. Based on two proximity ligation assay (PLA) probes that recognize a biomarker on a TEX, we generated a unique surrogate DNA signal for the specific biomarker, which was synchronously amplified twice by recombinase polymerase amplification (RPA) coupled with transcription-mediated amplification (TMA), and then the products of the RPA-TMA reaction were quantitatively detected using a gold nanoparticle-based colorimetric assay. We established proof-of-concept evidence for this approach using TEXs from nasopharyngeal carcinoma (NPC) cells, with a detection limit of 102 particles/mL, and reported the measurement of plasma Epstein-Barr virus latent membrane protein 1 (LPM1)-positive (LMP1(+), accuracy: 0.956) and epidermal growth factor receptor (EGFR)-positive (EGFR(+), accuracy: 0.906) TEXs as potent early diagnostic biomarkers for NPC.</t>
  </si>
  <si>
    <t>[Liu, Wanli; Li, Jianpei; Xing, Shan; Lai, Yanzhen] Sun Yat Sen Univ, Canc Ctr, Dept Clin Lab Med, State Key Lab Oncol Southern China, Guangzhou 510080, Guangdong, Peoples R China; [Wu, Yixian; Zhang, Ge] Sun Yat Sen Univ, Sch Pharmaceut Sci, 132 Waihuandong Rd, Guangzhou 510006, Guangdong, Peoples R China</t>
  </si>
  <si>
    <t>State Key Lab Oncology South China; Sun Yat Sen University; Sun Yat Sen University</t>
  </si>
  <si>
    <t>Zhang, G (corresponding author), Sun Yat Sen Univ, Sch Pharmaceut Sci, 132 Waihuandong Rd, Guangzhou 510006, Guangdong, Peoples R China.</t>
  </si>
  <si>
    <t>zhangge@mail.sysu.edu.cn</t>
  </si>
  <si>
    <t>Lai, Yanzhen/0000-0003-3217-0357</t>
  </si>
  <si>
    <t>10.1016/j.bios.2017.11.033</t>
  </si>
  <si>
    <t>WOS:000424176600027</t>
  </si>
  <si>
    <t>Bansal, S; Limaye, AP; Lee, J; Fleming, T; Poulson, C; Omar, A; Hachem, R; Bharat, A; Bremner, RM; Smith, MA; Mohanakumar, T</t>
  </si>
  <si>
    <t>Bansal, Sandhya; Limaye, Ajit P.; Lee, John; Fleming, Timothy; Poulson, Christin; Omar, Ashraf; Hachem, Ramsey; Bharat, Ankit; Bremner, Ross M.; Smith, Michael A.; Mohanakumar, T.</t>
  </si>
  <si>
    <t>Circulating exosomes induced by respiratory viral infections in lung transplant recipients activate cellular stress, innate immune pathways and epithelial to mesenchymal transition</t>
  </si>
  <si>
    <t>TRANSPLANT IMMUNOLOGY</t>
  </si>
  <si>
    <t>Respiratory viral infection; Exosomes; Cell signaling; Lung transplant</t>
  </si>
  <si>
    <t>ENDOPLASMIC-RETICULUM STRESS; ALLOGRAFT DYSFUNCTION; COLLAGEN-V; PATHOGENESIS; ANTIBODIES; TUBULIN; IMPACT; VIRUS</t>
  </si>
  <si>
    <t>Background: Chronic lung transplant rejection occurs in over 50% of lung transplant recipients and mechanism of chronic rejection is unknown. Evaluation of potential mechanism of exosomes from lung transplant recipients diagnosed with respiratory viral infection (RVI) in inducing chronic lung allograft dysfunction (CLAD). Method: Exosomes were isolated from lung transplant recipients followed by DNA and RNA isolation from exosomes. Cell signaling mechanisms were studied by co-culturing exosomes with human epithelial cells. Mice were immunized with exosomes and lung homogenates were studied for immune signaling proteins. Results: Exosomes from lung transplant recipients with RVI carry nucleic acids which are capable of inducing innate immune signaling, endoplasmic reticulum stress, and epithelial mesenchymal transition. Conclusion: Therefore, we propose that RVI can lead to induction of exosomes that initiate the process leading to CLAD in mice models. These novel findings identified the molecular mechanisms by which RVI increases the risk of CLAD.</t>
  </si>
  <si>
    <t>[Bansal, Sandhya; Lee, John; Fleming, Timothy; Poulson, Christin; Omar, Ashraf; Bremner, Ross M.; Smith, Michael A.; Mohanakumar, T.] St Josephs Hosp, Norton Thorac Inst, Phoenix, AZ USA; [Limaye, Ajit P.] Univ Washington, Div Allergy &amp; Infect Dis, Seattle, WA 98195 USA; [Hachem, Ramsey] Washington Univ, Dept Med, Sch Med, St Louis, MO USA; [Bharat, Ankit] Northwestern Univ, Chicago, IL USA</t>
  </si>
  <si>
    <t>St. Joseph's Hospital and Medical Center; University of Washington; University of Washington Seattle; Washington University (WUSTL); Northwestern University</t>
  </si>
  <si>
    <t>Mohanakumar, T (corresponding author), St Josephs Hosp, Norton Thorac Inst Res Lab, 124 W Thomas Rd,Suite 105, Phoenix, AZ 85013 USA.</t>
  </si>
  <si>
    <t>tm.kumar@dignityhealth.org</t>
  </si>
  <si>
    <t>Bansal, Sandhya/0000-0003-0630-9175; Poulson, Christin/0000-0001-7937-765X</t>
  </si>
  <si>
    <t>0966-3274</t>
  </si>
  <si>
    <t>1878-5492</t>
  </si>
  <si>
    <t>10.1016/j.trim.2021.101480</t>
  </si>
  <si>
    <t>Immunology; Transplantation</t>
  </si>
  <si>
    <t>WOS:000706188200003</t>
  </si>
  <si>
    <t>Zhang, N; Luo, YX; Zhang, HP; Zhang, F; Gao, X; Shao, JW</t>
  </si>
  <si>
    <t>Zhang, Nan; Luo, Yuxin; Zhang, Huaping; Zhang, Feng; Gao, Xiang; Shao, Jiawei</t>
  </si>
  <si>
    <t>Exosomes Derived from Mesenchymal Stem Cells Ameliorate the Progression of Atherosclerosis in ApoE(-/-) Mice via FENDRR</t>
  </si>
  <si>
    <t>CARDIOVASCULAR TOXICOLOGY</t>
  </si>
  <si>
    <t>Mesenchymal stem cells; Atherosclerosis; Long non-coding RNA FENDRR; microRNA-28; TEAD1</t>
  </si>
  <si>
    <t>Exosomes (EXO) are extracellular vesicles with lipid bilayer membrane structure containing noncoding RNA, DNA, and other molecules which mediate biological functions. The importance of EXO derived from mesenchymal stem cells (MSCs) has been underlined in cardiovascular diseases. However, the functional role of long non-coding RNA (lncRNA) released by MSCs-EXO on atherosclerosis (AS) was unknown. We aimed to investigate the effects of lncRNA fetal-lethal non-coding developmental regulatory RNA (FENDRR) released from MSC-derived EXO on AS. The accumulation of oxidized low-density lipoprotein (oxLDL) caused AS in mice and damage to human vascular endothelial cells (HUV-EC-C). MSC-EXO restored HUV-EC-C activity and alleviated arterial injury. LncRNA microarrays revealed that FENDRR was delivered to cells and tissues by MSC-EXO. FENDRR bound to microRNA (miR)-28 to regulate TEA domain transcription factor 1 (TEAD1) expression. Moreover, FENDRR knockdown exacerbated cell injury and arterial injury in mice. miR-28 inhibitor reversed the effects of FENDRR silencing and reduced atherosclerotic plaque formation. While loss of TEAD1 mitigated the effect of miR-28 inhibitor and accentuated HUV-EC-C injury in vitro and AS symptoms in vivo. Our results demonstrated that MSC-EXO secreted FENDRR to treat AS. FENDRR competed with TEAD1 to bind to miR-28, thereby reducing HUV-EC-C injury and atherosclerotic plaque formation.</t>
  </si>
  <si>
    <t>[Zhang, Nan; Zhang, Feng; Gao, Xiang; Shao, Jiawei] Hebei Med Univ, Hosp 2, Dept Vasc Surg, 215 Heping West Rd, Shijiazhuang 050000, Hebei, Peoples R China; [Luo, Yuxin] Hebei Med Univ, Hosp 2, Dept Gastroenterol, Shijiazhuang 050000, Hebei, Peoples R China; [Zhang, Huaping] Shijiazhuang Peoples Hosp, Dept Crit Care Med, Shijiazhuang 050030, Hebei, Peoples R China</t>
  </si>
  <si>
    <t>Hebei Medical University; Hebei Medical University</t>
  </si>
  <si>
    <t>Zhang, N (corresponding author), Hebei Med Univ, Hosp 2, Dept Vasc Surg, 215 Heping West Rd, Shijiazhuang 050000, Hebei, Peoples R China.</t>
  </si>
  <si>
    <t>zhangnan_681@163.com</t>
  </si>
  <si>
    <t>1530-7905</t>
  </si>
  <si>
    <t>1559-0259</t>
  </si>
  <si>
    <t>10.1007/s12012-022-09736-8</t>
  </si>
  <si>
    <t>Cardiac &amp; Cardiovascular Systems; Toxicology</t>
  </si>
  <si>
    <t>Cardiovascular System &amp; Cardiology; Toxicology</t>
  </si>
  <si>
    <t>WOS:000780463100001</t>
  </si>
  <si>
    <t>Wijerathne, H; Witek, MA; Jackson, JM; Brown, V; Hupert, ML; Herrera, K; Kramer, C; Davidow, AE; Li, Y; Baird, AE; Murphy, MC; Soper, SA</t>
  </si>
  <si>
    <t>Wijerathne, Harshani; Witek, Malgorzata A.; Jackson, Joshua M.; Brown, Virginia; Hupert, Mateusz L.; Herrera, Kristina; Kramer, Cameron; Davidow, Abigail E.; Li, Yan; Baird, Alison E.; Murphy, Michael C.; Soper, Steven A.</t>
  </si>
  <si>
    <t>Affinity enrichment of extracellular vesicles from plasma reveals mRNA changes associated with acute ischemic stroke</t>
  </si>
  <si>
    <t>GENE-EXPRESSION; LIQUID BIOPSY; BRAIN; IMPROVEMENT; DNA</t>
  </si>
  <si>
    <t>Wijerathne et al develop an approach to quantify mRNA amounts in extracellular vesicles (EVs) from plasma using a microfluidics device to enrich EVs. They show this method allows for the correlation of specific mRNAs with acute ischemic stroke pointing towards potential clinical use. Currently there is no in vitro diagnostic test for acute ischemic stroke (AIS), yet rapid diagnosis is crucial for effective thrombolytic treatment. We previously demonstrated the utility of CD8(+) T-cells' mRNA expression for AIS detection; however extracellular vesicles (EVs) were not evaluated as a source of mRNA for AIS testing. We now report a microfluidic device for the rapid and efficient affinity-enrichment of CD8(+) EVs and subsequent EV's mRNA analysis using droplet digital PCR (ddPCR). The microfluidic device contains a dense array of micropillars modified with anti-CD8 alpha monoclonal antibodies that enriched 158 +/- 10 nm sized EVs at 4.3 +/- 2.1 x 10(9) particles/100 mu L of plasma. Analysis of mRNA from CD8(+) EVs and their parental T-cells revealed correlation in the expression for AIS-specific genes in both cell lines and healthy donors. In a blinded study, 80% test positivity for AIS patients and controls was revealed with a total analysis time of 3.7 h.</t>
  </si>
  <si>
    <t>[Wijerathne, Harshani; Witek, Malgorzata A.; Jackson, Joshua M.; Kramer, Cameron; Davidow, Abigail E.; Soper, Steven A.] Univ Kansas, Dept Chem, Lawrence, KS 66047 USA; [Wijerathne, Harshani; Witek, Malgorzata A.; Jackson, Joshua M.; Brown, Virginia; Kramer, Cameron; Davidow, Abigail E.; Murphy, Michael C.; Soper, Steven A.] Univ Kansas, Ctr BioModular Multiscale Syst Precis Med, Lawrence, KS 66047 USA; [Witek, Malgorzata A.; Soper, Steven A.] Univ Kansas, Med Ctr, Canc Ctr, Kansas City, KS 66160 USA; [Witek, Malgorzata A.; Herrera, Kristina] Univ N Carolina, Dept Chem, Chapel Hill, NC 27599 USA; [Brown, Virginia; Soper, Steven A.] Univ Kansas, Bioengn Program, Lawrence, KS 66047 USA; [Hupert, Mateusz L.; Soper, Steven A.] Biofluidica Inc, San Diego, CA 92121 USA; [Li, Yan; Baird, Alison E.] Suny Downstate Med Ctr, Brooklyn, NY 11203 USA; [Murphy, Michael C.] Louisiana State Univ, Dept Mech Engn, Baton Rouge, LA 70805 USA; [Soper, Steven A.] Univ Kansas, Dept Mech Engn, Lawrence, KS 66047 USA</t>
  </si>
  <si>
    <t>University of Kansas; University of Kansas; University of Kansas; University of Kansas Medical Center; University of North Carolina; University of North Carolina Chapel Hill; University of Kansas; State University of New York (SUNY) System; State University of New York (SUNY) Downstate Medical Center; Louisiana State University System; Louisiana State University; University of Kansas</t>
  </si>
  <si>
    <t>Soper, SA (corresponding author), Univ Kansas, Dept Chem, Lawrence, KS 66047 USA.;Soper, SA (corresponding author), Univ Kansas, Ctr BioModular Multiscale Syst Precis Med, Lawrence, KS 66047 USA.;Soper, SA (corresponding author), Univ Kansas, Med Ctr, Canc Ctr, Kansas City, KS 66160 USA.;Soper, SA (corresponding author), Univ Kansas, Bioengn Program, Lawrence, KS 66047 USA.;Soper, SA (corresponding author), Biofluidica Inc, San Diego, CA 92121 USA.;Soper, SA (corresponding author), Univ Kansas, Dept Mech Engn, Lawrence, KS 66047 USA.</t>
  </si>
  <si>
    <t>Wijerathne, Harshani/AAD-5912-2022</t>
  </si>
  <si>
    <t>Wijerathne, Harshani/0000-0002-9921-0731</t>
  </si>
  <si>
    <t>10.1038/s42003-020-01336-y</t>
  </si>
  <si>
    <t>WOS:000588473600001</t>
  </si>
  <si>
    <t>Sterzenbach, U; Putz, U; Low, LH; Silke, J; Tan, SS; Howitt, J</t>
  </si>
  <si>
    <t>Sterzenbach, Ulrich; Putz, Ulrich; Low, Ley-Hian; Silke, John; Tan, Seong-Seng; Howitt, Jason</t>
  </si>
  <si>
    <t>Engineered Exosomes as Vehicles for Biologically Active Proteins</t>
  </si>
  <si>
    <t>EXTRACELLULAR VESICLES; NEURONAL SURVIVAL; PLASMA EXOSOME; IN-VIVO; NDFIP1; BRAIN; CELLS; PTEN; UBIQUITINATION; BIOGENESIS</t>
  </si>
  <si>
    <t>Exosomes represent an attractive vehicle for the delivery of biomolecules. However, mechanisms for loading functional molecules into exosomes are relatively unexplored. Here we report the use of the evolutionarily conserved late-domain (L-domain) pathway as a mechanism for loading exogenous proteins into exosomes. We demonstrate that labeling of a target protein, Cre recombinase, with a WW tag leads to recognition by the L-domain-containing protein Ndfipl, resulting in ubiquitination and loading into exosomes. Our results show that Ndfipl expression acts as a molecular switch for exosomal packaging of WW-Cre that can be suppressed using the exosome inhibitor GW4869. When taken up by floxed reporter cells, exosomes containing WW-Cre were capable of inducing DNA recombination, indicating functional delivery of the protein to recipient cells. Engineered exosomes were administered to the brain of transgenic reporter mice using the nasal route to test for intracellular protein delivery in vivo. This resulted in the transport of engineered exosomes predominantly to recipient neurons in a number of brain regions, including the olfactory bulb, cortex, striatum, hippocampus, and cerebellum. The ability to engineer exosomes to deliver biologically active proteins across the blood-brain barrier represents an important step for the development of therapeutics to treat brain diseases.</t>
  </si>
  <si>
    <t>[Sterzenbach, Ulrich; Putz, Ulrich; Tan, Seong-Seng; Howitt, Jason] Univ Melbourne, Florey Inst Neurosci &amp; Mental Hlth, Kenneth Myer Bldg,30 Royal Parade, Parkville, Vic 3052, Australia; [Low, Ley-Hian] Univ Calif San Francisco, San Francisco, CA 94121 USA; [Low, Ley-Hian] Vet Affairs Med Ctr, San Francisco, CA 94121 USA; [Silke, John] Univ Melbourne, Walter &amp; Eliza Hall Inst, Parkville, Vic 3052, Australia</t>
  </si>
  <si>
    <t>Florey Institute of Neuroscience &amp; Mental Health; University of Melbourne; University of California System; University of California San Francisco; US Department of Veterans Affairs; Veterans Health Administration (VHA); University of Melbourne; Walter &amp; Eliza Hall Institute</t>
  </si>
  <si>
    <t>Howitt, J (corresponding author), Univ Melbourne, Florey Inst Neurosci &amp; Mental Hlth, Kenneth Myer Bldg,30 Royal Parade, Parkville, Vic 3052, Australia.</t>
  </si>
  <si>
    <t>jason.howitt@florey.edu.au</t>
  </si>
  <si>
    <t>Silke, John/B-7622-2008</t>
  </si>
  <si>
    <t>Silke, John/0000-0002-7611-5774; Howitt, Jason/0000-0001-9922-7931</t>
  </si>
  <si>
    <t>JUN 7</t>
  </si>
  <si>
    <t>10.1016/j.ymthe.2017.03.030</t>
  </si>
  <si>
    <t>WOS:000403196300004</t>
  </si>
  <si>
    <t>Mokarizadeh, A; Rezvanfar, MA; Dorostkar, K; Abdollahi, M</t>
  </si>
  <si>
    <t>Mokarizadeh, Aram; Rezvanfar, Mohammad-Amin; Dorostkar, Kamran; Abdollahi, Mohammad</t>
  </si>
  <si>
    <t>Mesenchymal stem cell derived microvesicles: Trophic shuttles for enhancement of sperm quality parameters</t>
  </si>
  <si>
    <t>REPRODUCTIVE TOXICOLOGY</t>
  </si>
  <si>
    <t>Cryopreservation; Sperm; Mesenchymal stem cell-derived microvesicles; Viability; Motility; Antioxidant capacity; Reproductive toxicity</t>
  </si>
  <si>
    <t>DNA-DAMAGE; GROWTH-FACTOR; CRYOPRESERVATION; FERTILIZATION; MOTILITY; RAT</t>
  </si>
  <si>
    <t>Diminishing sperm quality during cryopreservation process ends up in a complete or partial loss of sperm's fertilizing potential. Rehabilitation of such affected sperm is crucial to improve their fertilizing potential. A variety of evidence has indicated that secreted microvesicles (MVs) from mesenchymal stem cells (MSCs) are involved in regeneration of injured endogenous cells via shuttling MSC trophic molecules. Sperm obtained from cauda epididymides of adult male Wistar rats were equally assigned to four separate groups. Following suspension in cryoprotectant extender, sperm were untreated or treated with increasing concentrations of MSC-derived MVs (25, 50 and 100 mu g). After incubation in successive steps, sperm were cryopreserved. The frozen-thawed sperm were assessed for viability, motility and antioxidant capacity parameters. Consequently, expression levels of surface adhesion molecules (CD29, CD44, ICAM-I and VCAM-I) involved in sperm fusogenic and signaling properties, were assessed by flow cytometry. Results showed an enhanced quality parameters and adhesive properties of cryopreserved sperm following treatment with MSC-derived MVs. (C) 2013 Elsevier Inc. All rights reserved.</t>
  </si>
  <si>
    <t>[Mokarizadeh, Aram] Kurdistan Univ Med Sci, Dept Immunol, Fac Med, Sanandaj, Iran; [Rezvanfar, Mohammad-Amin; Abdollahi, Mohammad] Univ Tehran Med Sci, Fac Pharm, Tehran 1417614411, Iran; [Rezvanfar, Mohammad-Amin; Abdollahi, Mohammad] Univ Tehran Med Sci, Pharmaceut Sci Res Ctr, Tehran 1417614411, Iran; [Dorostkar, Kamran] Islamic Azad Univ, Sanandaj Branch, Dept Clin Sci, Fac Vet Med, Sanandaj, Iran</t>
  </si>
  <si>
    <t>Kurdistan University of Medical Sciences; Tehran University of Medical Sciences; Tehran University of Medical Sciences; Islamic Azad University</t>
  </si>
  <si>
    <t>Abdollahi, M (corresponding author), Univ Tehran Med Sci, Fac Pharm, Tehran 1417614411, Iran.</t>
  </si>
  <si>
    <t>Mohammad.Abdollahi@UToronto.Ca</t>
  </si>
  <si>
    <t>Abdollahi, Mohammad/B-9232-2008; Rezvanfar, Mohammad Amin/Q-4912-2016</t>
  </si>
  <si>
    <t>Abdollahi, Mohammad/0000-0003-0123-1209; Abdi, Mohammad/0000-0002-4766-0423; Rezvanfar, Mohammad Amin/0000-0001-9694-3457; Mokarizadeh, Aram/0000-0002-2630-8308</t>
  </si>
  <si>
    <t>0890-6238</t>
  </si>
  <si>
    <t>10.1016/j.reprotox.2013.07.024</t>
  </si>
  <si>
    <t>Reproductive Biology; Toxicology</t>
  </si>
  <si>
    <t>WOS:000327569100009</t>
  </si>
  <si>
    <t>Iwabuchi, Y; Nakamura, T; Kusumoto, Y; Nakao, R; Iwamoto, T; Shinozuka, O; Senpuku, H</t>
  </si>
  <si>
    <t>Iwabuchi, Yusuke; Nakamura, Tomoyo; Kusumoto, Yasuka; Nakao, Ryoma; Iwamoto, Tsutomu; Shinozuka, Osamu; Senpuku, Hidenobu</t>
  </si>
  <si>
    <t>Effects of pH on the Properties of Membrane Vesicles Including Glucosyltransferase in Streptococcus mutans</t>
  </si>
  <si>
    <t>biofilm; membrane vesicle; GtfC; initial pH; acetic acid</t>
  </si>
  <si>
    <t>BIOFILM FORMATION; BIOCHEMICAL-CHARACTERIZATION; EXTRACELLULAR VESICLES; FATTY-ACIDS; DNA; VIRULENCE; SYSTEM; GROWTH; COMPETENCE; TOLERANCE</t>
  </si>
  <si>
    <t>Streptococcus mutans releases membrane vesicles (MVs) and induces MV-dependent biofilm formation. Glucosyltransferases (Gtfs) are bound to MVs and contribute to the adhesion and glucans-dependent biofilm formation of early adherent bacteria on the tooth surface. The biofilm formation of S. mutans may be controlled depending on whether the initial pH tends to be acidic or alkaline. In this study, the characteristics and effects of MVs extracted from various conditions {(initial pH 6.0 and 8.0 media prepared with lactic acid (LA) and acetic acid (AA), and with NaOH (NO), respectively)} on the biofilm formation of S. mutans and early adherent bacteria were investigated. The quantitative changes in glucans between primary pH 6.0 and 8.0 conditions were observed, associated with different activities affecting MV-dependent biofilm formation. The decreased amount of Gtfs on MVs under the initial pH 6.0 conditions strongly guided low levels of MV-dependent biofilm formation. However, in the initial pH 6.0 and 8.0 solutions prepared with AA and NO, the MVs in the biofilm appeared to be formed by the expression of glucans and/or extracellular DNA. These results suggest that the environmental pH conditions established by acid and alkaline factors determine the differences in the local pathogenic activities of biofilm development in the oral cavity.</t>
  </si>
  <si>
    <t>[Iwabuchi, Yusuke; Kusumoto, Yasuka; Iwamoto, Tsutomu; Shinozuka, Osamu] Tokyo Med &amp; Dent Univ, Grad Sch Med &amp; Dent Sci, Dept Pediat Dent Special Needs Dent, Tokyo 1138519, Japan; [Iwabuchi, Yusuke; Nakamura, Tomoyo; Nakao, Ryoma; Senpuku, Hidenobu] Natl Inst Infect Dis, Dept Bacteriol 1, Tokyo 1628640, Japan; [Nakamura, Tomoyo] Tokyo Univ Technol, Sch Biosci &amp; Biotechnol, Tokyo 1920982, Japan; [Senpuku, Hidenobu] Nihon Univ Sch Dent, Dept Microbiol &amp; Immunol, Matsudo, Chiba 2718587, Japan</t>
  </si>
  <si>
    <t>Tokyo Medical &amp; Dental University (TMDU); National Institute of Infectious Diseases (NIID); Tokyo University of Technology</t>
  </si>
  <si>
    <t>Senpuku, H (corresponding author), Natl Inst Infect Dis, Dept Bacteriol 1, Tokyo 1628640, Japan.;Senpuku, H (corresponding author), Nihon Univ Sch Dent, Dept Microbiol &amp; Immunol, Matsudo, Chiba 2718587, Japan.</t>
  </si>
  <si>
    <t>iwbcdpd@tmd.ac.jp; nakamuraty@stf.teu.ac.jp; yasudysf@tmd.ac.jp; ryoma73@nih.go.jp; iwamoto.dohs@tmd.ac.jp; o.shinozuka.dpd@tmd.ac.jp; senpuku.hidenobu@nihon-u.ac.jp</t>
  </si>
  <si>
    <t>Iwabuchi, Yusuke/0000-0002-6676-4121; Iwamoto, Tsutomu/0000-0001-8472-605X</t>
  </si>
  <si>
    <t>10.3390/microorganisms9112308</t>
  </si>
  <si>
    <t>WOS:000728044600001</t>
  </si>
  <si>
    <t>Pazzaglia, S; Tanno, B; De Stefano, I; Giardullo, P; Leonardi, S; Merla, C; Babini, G; Cagatay, ST; Mayah, A; Kadhim, M; Lyng, FM; von Toerne, C; Khan, ZN; Subedi, P; Tapio, S; Saran, A; Mancuso, M</t>
  </si>
  <si>
    <t>Pazzaglia, Simonetta; Tanno, Barbara; De Stefano, Ilaria; Giardullo, Paola; Leonardi, Simona; Merla, Caterina; Babini, Gabriele; Tuncay Cagatay, Seda; Mayah, Ammar; Kadhim, Munira; Lyng, Fiona M.; von Toerne, Christine; Khan, Zohaib N.; Subedi, Prabal; Tapio, Soile; Saran, Anna; Mancuso, Mariateresa</t>
  </si>
  <si>
    <t>Micro-RNA and Proteomic Profiles of Plasma-Derived Exosomes from Irradiated Mice Reveal Molecular Changes Preventing Apoptosis in Neonatal Cerebellum</t>
  </si>
  <si>
    <t>exosomes; miRNome; proteomics; ionizing radiation; neonatal cerebellum; apoptosis</t>
  </si>
  <si>
    <t>MESENCHYMAL STEM-CELLS; EXTRACELLULAR VESICLES; IONIZING-RADIATION; DNA-DAMAGE; BYSTANDER; INSIGHTS; CANCER; MOUSE; PROLIFERATION; INSTABILITY</t>
  </si>
  <si>
    <t>Cell communication via exosomes is capable of influencing cell fate in stress situations such as exposure to ionizing radiation. In vitro and in vivo studies have shown that exosomes might play a role in out-of-target radiation effects by carrying molecular signaling mediators of radiation damage, as well as opposite protective functions resulting in resistance to radiotherapy. However, a global understanding of exosomes and their radiation-induced regulation, especially within the context of an intact mammalian organism, has been lacking. In this in vivo study, we demonstrate that, compared to sham-irradiated (SI) mice, a distinct pattern of proteins and miRNAs is found packaged into circulating plasma exosomes after whole-body and partial-body irradiation (WBI and PBI) with 2 Gy X-rays. A high number of deregulated proteins (59% of WBI and 67% of PBI) was found in the exosomes of irradiated mice. In total, 57 and 13 miRNAs were deregulated in WBI and PBI groups, respectively, suggesting that the miRNA cargo is influenced by the tissue volume exposed to radiation. In addition, five miRNAs (miR-99b-3p, miR-200a-3p, miR-200a, miR-182-5p, miR-182) were commonly overexpressed in the exosomes from the WBI and PBI groups. In this study, particular emphasis was also given to the determination of the in vivo effect of exosome transfer by intracranial injection in the highly radiosensitive neonatal cerebellum at postnatal day 3. In accordance with a major overall anti-apoptotic function of the commonly deregulated miRNAs, here, we report that exosomes from the plasma of irradiated mice, especially in the case of WBI, prevent radiation-induced apoptosis, thus holding promise for exosome-based future therapeutic applications against radiation injury.</t>
  </si>
  <si>
    <t>[Pazzaglia, Simonetta; Tanno, Barbara; De Stefano, Ilaria; Giardullo, Paola; Leonardi, Simona; Merla, Caterina; Saran, Anna; Mancuso, Mariateresa] Agenzia Nazl Nuove Tecnol, Energia &amp; Sviluppo Econ Sostenibile ENEA, Lab Biomed Technol, I-00123 Rome, Italy; [Babini, Gabriele] Fdn Policlin Univ Gemelli, Ist Ricovero &amp; Cura Carattere Sci IRCCS, Dept Woman &amp; Child Hlth &amp; Publ Hlth, I-00168 Rome, Italy; [Tuncay Cagatay, Seda; Mayah, Ammar; Kadhim, Munira] Oxford Brookes Univ, Dept Biol &amp; Med Sci, Oxford OX3 0BP, England; [Lyng, Fiona M.] Technol Univ Dublin TU Dublin, FOCAS Res Inst, Dublin D07 EWV4, Ireland; [von Toerne, Christine; Khan, Zohaib N.; Subedi, Prabal; Tapio, Soile] German Res Ctr Environm Hlth GmbH HMGU, Helmholtz Zentrum Munchen, Inst Radiat Biol, D-85764 Neuherberg, Germany</t>
  </si>
  <si>
    <t>Italian National Agency New Technical Energy &amp; Sustainable Economics Development; Catholic University of the Sacred Heart; Fondazione IRCCS Istituto Nazionale Tumori Milan; Oxford Brookes University; Helmholtz Association; Helmholtz-Center Munich - German Research Center for Environmental Health</t>
  </si>
  <si>
    <t>Pazzaglia, S; Mancuso, M (corresponding author), Agenzia Nazl Nuove Tecnol, Energia &amp; Sviluppo Econ Sostenibile ENEA, Lab Biomed Technol, I-00123 Rome, Italy.</t>
  </si>
  <si>
    <t>simonetta.pazzaglia@enea.it; barbara.tanno@enea.it; ilaria.destefano@enea.it; paola.giardullo@enea.it; simona.leonardi@enea.it; caterina.merla@enea.it; gabriele.babini@guest.policlinicogemelli.it; stuncay-cagatay@brookes.ac.uk; amayah@brookes.ac.uk; mkadhim@brookes.ac.uk; fiona.lyng@tudublin.ie; vontoerne@helmholtz-muenchen.de; zohaib.khan@helmholtz-muenchen.de; prabal.subedi@helmholtz-muenchen.de; soile.tapio@helmholtz-muenchen.de; annasaran60@gmail.com; mariateresa.mancuso@enea.it</t>
  </si>
  <si>
    <t>khan, zohaib nisar/AAB-4678-2021; Tapio, Soile/CAJ-5871-2022; Tapio, Soile/M-7358-2014; von Toerne, Christine/B-2233-2013</t>
  </si>
  <si>
    <t>khan, zohaib nisar/0000-0001-9233-8639; Babini, Gabriele/0000-0002-2656-0757; , SEDA/0000-0001-6045-5523; Lyng, Fiona/0000-0002-9876-963X; Mancuso, Mariateresa/0000-0002-0912-9287; Tanno, Barbara/0000-0001-6098-699X; Tapio, Soile/0000-0001-9860-3683; von Toerne, Christine/0000-0002-4132-4322; Merla, Caterina/0000-0001-8612-9566</t>
  </si>
  <si>
    <t>10.3390/ijms23042169</t>
  </si>
  <si>
    <t>WOS:000763693300001</t>
  </si>
  <si>
    <t>Putz, U; Howitt, J; Doan, A; Goh, CP; Low, LH; Silke, J; Tan, SS</t>
  </si>
  <si>
    <t>Putz, Ulrich; Howitt, Jason; Doan, Anh; Goh, Choo-Peng; Low, Ley-Hian; Silke, John; Tan, Seong-Seng</t>
  </si>
  <si>
    <t>The Tumor Suppressor PTEN Is Exported in Exosomes and Has Phosphatase Activity in Recipient Cells</t>
  </si>
  <si>
    <t>SCIENCE SIGNALING</t>
  </si>
  <si>
    <t>NUCLEAR PTEN; UBIQUITIN LIGASE; GLIOMA-CELLS; NDFIP1; EXPRESSION; PROTEINS; VESICLE; DOMAIN; GENE; IDENTIFICATION</t>
  </si>
  <si>
    <t>Exosomes are microvesicles of endosomal origin that are secreted, and their contents (proteins, lipids, DNA, or microRNAs) can alter the physiological states of recipient cells. We demonstrated that phosphatase and tensin homolog deleted on chromosome 10 (PTEN), a tumor suppressor protein normally localized in the cytoplasm and nucleus, was secreted in exosomes. Secreted PTEN was internalized by recipient cells with resultant functional activity, which resulted in reduced phosphorylation of the serine and threonine kinase Akt and reduced cellular proliferation. PTEN secretion in exosomes required Ndfip1, an adaptor protein for members of the Nedd4 family of E3 ubiquitin ligases. Without Ndfip1, neither Nedd4-1 nor Nedd4-2 promoted the recruitment of PTEN into exosomes. In addition, lysine 13 within PTEN, which is required for its ubiquitination by Nedd4-1, was required for exosomal transport of PTEN. These results implicate Ndfip1 as a molecular regulator of the exosomal export of PTEN, with consequences for non-cell-autonomous PTEN activity. Thus, we suggest that the ability of PTEN to exert phosphatase activity beyond the cell in which it is produced has implications for PTEN function during development, health, and disease.</t>
  </si>
  <si>
    <t>[Putz, Ulrich; Howitt, Jason; Doan, Anh; Goh, Choo-Peng; Low, Ley-Hian; Tan, Seong-Seng] Univ Melbourne, Florey Neurosci Inst, Brain Dev &amp; Regenerat Div, Parkville, Vic 3010, Australia; [Silke, John] Univ Melbourne, Walter &amp; Eliza Hall Inst, Cell Signalling &amp; Cell Death Lab, Parkville, Vic 3010, Australia</t>
  </si>
  <si>
    <t>Florey Institute of Neuroscience &amp; Mental Health; University of Melbourne; University of Melbourne; Walter &amp; Eliza Hall Institute</t>
  </si>
  <si>
    <t>Tan, SS (corresponding author), Univ Melbourne, Florey Neurosci Inst, Brain Dev &amp; Regenerat Div, Parkville, Vic 3010, Australia.</t>
  </si>
  <si>
    <t>sst@unimelb.edu.au</t>
  </si>
  <si>
    <t>1945-0877</t>
  </si>
  <si>
    <t>1937-9145</t>
  </si>
  <si>
    <t>ra70</t>
  </si>
  <si>
    <t>10.1126/scisignal.2003084</t>
  </si>
  <si>
    <t>WOS:000309511900006</t>
  </si>
  <si>
    <t>Zhang, N; Sun, NR; Deng, CH</t>
  </si>
  <si>
    <t>Zhang, Ning; Sun, Nianrong; Deng, Chunhui</t>
  </si>
  <si>
    <t>Rapid isolation and proteome analysis of urinary exosome based on double interactions of Fe3O4@TiO2-DNA aptamer</t>
  </si>
  <si>
    <t>Exosomes; Isolation; Urine; Proteome analysis; Fe3O4@TiO2-CD63 aptamers</t>
  </si>
  <si>
    <t>EXTRACELLULAR VESICLES; CANCER EXOSOMES; CELLS; MICROVESICLES; DELIVERY; SIRNA</t>
  </si>
  <si>
    <t>There are accumulating evidence that proteins carried by exosomes in urine are most possibly used as biomarkers or therapeutic carriers for certain diseases. The isolation of exosomes is therefore highly desirable for aiding the downstream protein analysis. Particularly, urine is a dynamic biological fluid changing within a short time, resulting in that the separation of urinary exosome requires more efficient technology. Here, a new biocompatible material (denoted as Fe3O4@TiO2-CD63 aptamer) is designed and synthesized for rapid exosome isolation from human urine, depending on the double interactions of TiO2 with phosphate groups as well as aptamers with specific exosome proteins. Moreover, within 10 min, 92.6% exosomes with intact structure are captured from urine by Fe3O4@TiO2-CD63 aptamers, from which 999 proteins are detected through LC-MS/MS.</t>
  </si>
  <si>
    <t>[Zhang, Ning; Deng, Chunhui] Fudan Univ, Dept Chem, Shanghai 200433, Peoples R China; [Sun, Nianrong] Fudan Univ, Zhongshan Hosp, Dept Gastroenterol, Shanghai 200032, Peoples R China; [Deng, Chunhui] Fudan Univ, Inst Biomed Sci, Shanghai 200433, Peoples R China; [Deng, Chunhui] Fudan Univ, Collaborat Innovat Ctr Genet &amp; Dev, Shanghai 200433, Peoples R China</t>
  </si>
  <si>
    <t>Fudan University; Fudan University; Fudan University; Fudan University</t>
  </si>
  <si>
    <t>Deng, CH (corresponding author), Fudan Univ, Dept Chem, Shanghai 200433, Peoples R China.;Sun, NR (corresponding author), Fudan Univ, Zhongshan Hosp, Dept Gastroenterol, Shanghai 200032, Peoples R China.</t>
  </si>
  <si>
    <t>sunnianrong@fudan.edu.cn; chdeng@fudan.edu.cn</t>
  </si>
  <si>
    <t>Sun, Nianrong/0000-0003-1511-7116</t>
  </si>
  <si>
    <t>10.1016/j.talanta.2020.121571</t>
  </si>
  <si>
    <t>WOS:000579910600074</t>
  </si>
  <si>
    <t>Kong, QQ; Cheng, SS; Hu, XY; You, J; Zhang, CL; Xian, YZ</t>
  </si>
  <si>
    <t>Kong, Qianqian; Cheng, Shasha; Hu, Xinyu; You, Jia; Zhang, Cuiling; Xian, Yuezhong</t>
  </si>
  <si>
    <t>Ultrasensitive detection of tumor-derived small extracellular vesicles based on nonlinear hybridization chain reaction fluorescence signal amplification and immunomagnetic separation</t>
  </si>
  <si>
    <t>CONSTRUCTION; TECHNOLOGIES; EXOSOMES; CELLS</t>
  </si>
  <si>
    <t>Small extracellular vesicles (sEVs) have attracted wide attention as a promising tumor biomarker. However, sensitive and selective detection of sEVs is challenging due to the low levels of sEVs in the early stage of cancers. Herein, a novel fluorescent sensor was developed for the detection of sEVs with high sensitivity and selectivity based on nonlinear hybridization chain reaction (nHCR) signal amplification and immunomagnetic separation. Firstly, sEVs were captured and enriched by CD63 antibody conjugated magnetic beads via antibody-antigen reactions. Then, cholesterol-modified DNA probes were anchored spontaneously on lipid membranes of sEVs through efficient hydrophobic interactions between the cholesterol moiety and the phospholipid bilayer of sEVs. The simultaneous recognition of the transmembrane protein and the phospholipid bilayer structure of the sEVs could effectively eliminate interferences from free proteins. The sticky ends of the cholesterol-modified DNA probes acted as the initiator to trigger nHCR to form a hyperbranched network of DNA structure that could recruit more fluorescent signal molecules for signal amplification. Under the optimal conditions, the nHCR-based strategy showed high sensitivity for the detection of sEVs with a limit of detection of 80 particles per mu L. In addition, the as-constructed method was successfully applied for the analysis of clinical samples. It provides a sensitive and selective platform for the isolation and detection of sEVs in the early diagnosis of cancers.</t>
  </si>
  <si>
    <t>[Kong, Qianqian; Cheng, Shasha; Hu, Xinyu; You, Jia; Zhang, Cuiling; Xian, Yuezhong] East China Normal Univ, Shanghai Engn Res Ctr Mol Therapeut &amp; New Drug De, Sch Chem &amp; Mol Engn, Dept Chem, Shanghai 200241, Peoples R China</t>
  </si>
  <si>
    <t>Zhang, CL; Xian, YZ (corresponding author), East China Normal Univ, Shanghai Engn Res Ctr Mol Therapeut &amp; New Drug De, Sch Chem &amp; Mol Engn, Dept Chem, Shanghai 200241, Peoples R China.</t>
  </si>
  <si>
    <t>10.1039/d2an00242f</t>
  </si>
  <si>
    <t>WOS:000780919200001</t>
  </si>
  <si>
    <t>Wu, RX; Tao, Y; Cao, YN; Zhou, Y; Lin, HC</t>
  </si>
  <si>
    <t>Wu, Ruixue; Tao, Ye; Cao, Yina; Zhou, Yan; Lin, Huancai</t>
  </si>
  <si>
    <t>Streptococcus mutansMembrane Vesicles Harboring Glucosyltransferases AugmentCandida albicansBiofilm Development</t>
  </si>
  <si>
    <t>Streptococcus mutans; Candida albicans; membrane vesicles; glucosyltransferases; exopolysaccharides</t>
  </si>
  <si>
    <t>CANDIDA-ALBICANS; EXTRACELLULAR VESICLES; BIOFILM FORMATION; MUTANS; GROWTH; DNA; PATHOGENICITY; MORPHOGENESIS; VIRULENCE; CHILDREN</t>
  </si>
  <si>
    <t>Candida albicans, as the most common fungus in the oral cavity, is often detected in early childhood caries.Streptococcus mutansis the major etiological agent of dental caries, but the role ofS. mutansonC. albicansgrowth and biofilm development remains to be elucidated. Membrane vesicles (MVs) are a cell-secreted subcellular fraction that play an important role in intercellular communication and disease progression. In the present study, we investigated whether MVs fromS. mutansaugmentC. albicansgrowth and biofilm development. The results indicated thatS. mutansMVs augmentedC. albicansbiofilm development but had no significant effect onC. albicansgrowth under planktonic conditions. Subsequently, we labeledS. mutansMVs with PKH26 and used confocal laser scanning microscopy (CLSM) to trackS. mutansMVs, which were observed to be located in theC. albicansbiofilm extracellular matrix. Monosaccharide tests showed thatS. mutansMVs contribute to sucrose metabolism inC. albicans. Polysaccharides were significantly enriched in theS. mutansMV-treated group. MVs from Delta gtfBCmutant strains were compared with those from the wild-typeS. mutans.The results revealed that MVs from the Delta gtfBCmutant had no effect onC. albicansbiofilm formation and exopolysaccharide production. In addition,C. albicansbiofilm transcriptional regulators (Ndt80,Als1,Mnn9,Van1,Pmr1,Gca1, andBig1) expression were upregulated inS. mutansMV-treated group. In summary, the results of the present study showed thatS. mutansMVs harboring glucosyltransferases involved in exopolysaccharide production augmentC. albicansbiofilm development, revealing a key role forS. mutansMVs in cross-kingdom interactions betweenS. mutansandC. albicans.</t>
  </si>
  <si>
    <t>[Wu, Ruixue; Tao, Ye; Cao, Yina; Zhou, Yan; Lin, Huancai] Sun Yat Sen Univ, Guanghua Sch Stomatol, Hosp Stomatol, Dept Prevent Dent, Guangzhou, Peoples R China; [Wu, Ruixue; Tao, Ye; Cao, Yina; Zhou, Yan; Lin, Huancai] Sun Yat Sen Univ, Guangdong Prov Key Lab Stomatol, Guangzhou, Peoples R China</t>
  </si>
  <si>
    <t>Zhou, Y; Lin, HC (corresponding author), Sun Yat Sen Univ, Guanghua Sch Stomatol, Hosp Stomatol, Dept Prevent Dent, Guangzhou, Peoples R China.;Zhou, Y; Lin, HC (corresponding author), Sun Yat Sen Univ, Guangdong Prov Key Lab Stomatol, Guangzhou, Peoples R China.</t>
  </si>
  <si>
    <t>zhouy75@mail.sysu.edu.cn; linhc@mail.sysu.edu.cn</t>
  </si>
  <si>
    <t>Lin, Huancai/0000-0001-7923-9927</t>
  </si>
  <si>
    <t>10.3389/fmicb.2020.581184</t>
  </si>
  <si>
    <t>WOS:000576161300001</t>
  </si>
  <si>
    <t>Marcoux, G; Magron, A; Sut, C; Laroche, A; Laradi, S; Hamzeh-Cognasse, H; Allaeys, I; Cabon, O; Julien, AS; Garraud, O; Cognasse, F; Boilard, E</t>
  </si>
  <si>
    <t>Marcoux, Genevieve; Magron, Audrey; Sut, Caroline; Laroche, Audree; Laradi, Sandrine; Hamzeh-Cognasse, Hind; Allaeys, Isabelle; Cabon, Ophelie; Julien, Anne-Sophie; Garraud, Olivier; Cognasse, Fabrice; Boilard, Eric</t>
  </si>
  <si>
    <t>Platelet-derived extracellular vesicles convey mitochondrial DAMPs in platelet concentrates and their levels are associated with adverse reactions</t>
  </si>
  <si>
    <t>TRANSFUSION</t>
  </si>
  <si>
    <t>CD40 LIGAND CD154; ACUTE LUNG INJURY; MOLECULAR-PATTERNS; TRANSFUSION PRODUCTS; PATHOGEN REDUCTION; BLOOD COMPONENTS; MEDIATED DAMAGE; DNA; MICROPARTICLES; NEUTROPHILS</t>
  </si>
  <si>
    <t>BACKGROUND: Whereas platelet transfusion is a common medical procedure, inflammation still occurs in a fraction of transfused individuals despite the absence of any apparent infectious agents. Platelets can shed membrane vesicles, called extracellular vesicles (EVs), some of which contain mitochondria (mito+EV). With its content of damage-associated molecular pattern (DAMP), the mitochondrion can stimulate the innate immune system. Mitochondrial DNA (mtDNA) is a recognized DAMP detected in the extracellular milieu in numerous inflammatory conditions and in platelet concentrates. We hypothesized that platelet-derived mitochondria encapsulated in EVs may represent a reservoir of mtDNA. STUDY DESIGN AND METHODS: Herein, we explored the implication of mito+EVs in the occurrence of mtDNA quantified in platelet concentrate supernatants that induced or did not induce transfusion adverse reactions. RESULTS: We observed that EVs were abundant in platelet concentrates, and platelet-derived mito+EVs were more abundant in platelet concentrates that induced adverse reactions. A significant correlation (r(s) = 0.73; p &lt; 0.0001) between platelet-derived mito+EV levels and mtDNA concentrations was found. However, there was a nonsignificant correlation between the levels of EVs without mitochondria and mtDNA concentrations (r(s) = -0.11; p = 0.5112). The majority of the mtDNA was encapsulated into EVs. CONCLUSION: This study suggests that platelet-derived EVs, such as those that convey mitochondrial DAMPs, may be a useful biomarker for the prediction of potential risk of adverse transfusion reactions. Moreover, our work implies that investigations are necessary to determine whether there is a causal pathogenic role of mitochondrial DAMP encapsulated in EVs as opposed to mtDNA in solution.</t>
  </si>
  <si>
    <t>[Marcoux, Genevieve; Magron, Audrey; Laroche, Audree; Allaeys, Isabelle; Cabon, Ophelie; Boilard, Eric] Univ Laval, CHU Quebec, Ctr Rech, Dept Infect Dis &amp; Immun, Quebec City, PQ, Canada; [Julien, Anne-Sophie] Univ Laval, Dept Math &amp; Stat, Quebec City, PQ, Canada; [Boilard, Eric] Canadian Natl Transplantat Res Program, Edmonton, AB, Canada; [Sut, Caroline; Laradi, Sandrine; Hamzeh-Cognasse, Hind; Garraud, Olivier; Cognasse, Fabrice] UJM St Etienne, Univ Lyon, GIMAP, EA 3064, St Etienne, France; [Sut, Caroline; Laradi, Sandrine; Cognasse, Fabrice] Etab Francais Sang Auvergne Rhone Alpes, Dept Sci, 25 Blvd Pasteur, F-42100 St Etienne, France</t>
  </si>
  <si>
    <t>Laval University; Laval University</t>
  </si>
  <si>
    <t>Cognasse, F (corresponding author), Etab Francais Sang Auvergne Rhone Alpes, Dept Sci, 25 Blvd Pasteur, F-42100 St Etienne, France.;Boilard, E (corresponding author), Univ Laval, Fac Med, Ctr Hosp Univ Quebec, Ctr Rech, 2705 Laurier Blvd,Room T1-49, Quebec City, PQ G1V 4G2, Canada.</t>
  </si>
  <si>
    <t>fabrice.cognasse@efs.sante.fr; eric.boilard@crchudequebec.ulaval.ca</t>
  </si>
  <si>
    <t>, LARADI/AAD-4643-2020</t>
  </si>
  <si>
    <t>Marcoux, Genevieve/0000-0003-4161-6234; HAMZEH-COGNASSE, Hind/0000-0003-1462-3893; Garraud, Olivier/0000-0002-4102-3714</t>
  </si>
  <si>
    <t>0041-1132</t>
  </si>
  <si>
    <t>1537-2995</t>
  </si>
  <si>
    <t>10.1111/trf.15300</t>
  </si>
  <si>
    <t>WOS:000489700500035</t>
  </si>
  <si>
    <t>Zhao, F; Zheng, T; Gong, WB; Wu, J; Xie, HH; Li, WJ; Zhang, R; Liu, PZ; Liu, JH; Wu, XW; Zhao, Y; Ren, JA</t>
  </si>
  <si>
    <t>Zhao, Fan; Zheng, Tao; Gong, Wenbin; Wu, Jie; Xie, Haohao; Li, Weijie; Zhang, Rui; Liu, Peizhao; Liu, Juanhan; Wu, Xiuwen; Zhao, Yun; Ren, Jianan</t>
  </si>
  <si>
    <t>Extracellular vesicles package dsDNA to aggravate Crohn's disease by activating the STING pathway</t>
  </si>
  <si>
    <t>CELL DEATH &amp; DISEASE</t>
  </si>
  <si>
    <t>DNA; INFLAMMATION; RESPONSES; SENSOR; CELLS</t>
  </si>
  <si>
    <t>Crohn's disease (CD) is an intestinal immune-dysfunctional disease. Extracellular vesicles (EVs) are membrane-enclosed particles full of functional molecules, e.g., nuclear acids. Recently, EVs have been shown to participate in the development of CD by realizing intercellular communication among intestinal cells. However, the role of EVs carrying double-strand DNA (dsDNA) shed from sites of intestinal inflammation in CD has not been investigated. Here we isolated EVs from the plasma or colon lavage of murine colitis and CD patients. The level of exosomal dsDNA, including mtDNA and nDNA, significantly increased in murine colitis and active human CD, and was positively correlated with the disease activity. Moreover, the activation of the STING pathway was verified in CD. EVs from the plasma of active human CD triggered STING activation in macrophages in vitro. EVs from LPS-damaged colon epithelial cells were also shown to raise inflammation in macrophages via activating the STING pathway, but the effect disappeared after the removal of exosomal dsDNA. These findings were further confirmed in STING-deficient mice and macrophages. STING deficiency significantly ameliorated colitis. Besides, potential therapeutic effects of GW4869, an inhibitor of EVs release were assessed. The application of GW4869 successfully ameliorated murine colitis by inhibiting STING activation. In conclusion, exosomal dsDNA was found to promote intestinal inflammation via activating the STING pathway in macrophages and act as a potential mechanistic biomarker and therapeutic target of CD.</t>
  </si>
  <si>
    <t>[Zhao, Fan; Gong, Wenbin; Zhang, Rui; Liu, Peizhao; Liu, Juanhan; Wu, Xiuwen; Ren, Jianan] Nanjing Univ, Res Inst Gen Surg, Jinling Hosp, Med Sch, Nanjing, Peoples R China; [Zheng, Tao; Wu, Jie; Xie, Haohao; Li, Weijie; Zhao, Yun] Nanjing Univ, Dept Gen Surg, BenQ Med Ctr, Affiliated BenQ Hosp, Nanjing, Peoples R China</t>
  </si>
  <si>
    <t>Nanjing University; Nanjing University</t>
  </si>
  <si>
    <t>Wu, XW; Ren, JA (corresponding author), Nanjing Univ, Res Inst Gen Surg, Jinling Hosp, Med Sch, Nanjing, Peoples R China.;Zhao, Y (corresponding author), Nanjing Univ, Dept Gen Surg, BenQ Med Ctr, Affiliated BenQ Hosp, Nanjing, Peoples R China.</t>
  </si>
  <si>
    <t>lygwxw@163.com; zhaoyun056@gmail.com; jiananr@gmail.com</t>
  </si>
  <si>
    <t>吴, 婕/ABD-3684-2022; 吴, 秀文/AEO-0814-2022</t>
  </si>
  <si>
    <t>吴, 婕/0000-0002-7494-2979; Wu, Xiuwen/0000-0002-3813-3867</t>
  </si>
  <si>
    <t>2041-4889</t>
  </si>
  <si>
    <t>10.1038/s41419-021-04101-z</t>
  </si>
  <si>
    <t>WOS:000690954100004</t>
  </si>
  <si>
    <t>Liang, YQ; Xiao, MM; Wu, D; Lin, YX; Liu, LJ; He, JP; Zhang, GJ; Peng, LM; Zhang, ZY</t>
  </si>
  <si>
    <t>Liang, Yuqi; Xiao, Mengmeng; Wu, Ding; Lin, Yanxia; Liu, Lijun; He, Jianping; Zhang, Guojun; Peng, Lian-Mao; Zhang, Zhiyong</t>
  </si>
  <si>
    <t>Wafer-Scale Uniform Carbon Nanotube Transistors for Ultrasensitive and Label-Free Detection of Disease Biomarkers</t>
  </si>
  <si>
    <t>biosensor; carbon nanotubes; field-effect transistors; DNA; extracellular microvesicles</t>
  </si>
  <si>
    <t>FIELD-EFFECT TRANSISTORS; ELECTRICAL DETECTION; DNA; PROTEIN; RECOGNITION; VESICLES</t>
  </si>
  <si>
    <t>Carbon nanotube (CNT) field-effect transistor (FET)-based biosensors have shown great potential for ultrasensitive biomarker detection, but challenges remain, which include unsatisfactory sensitivity, difficulty in stable functionalization, incompatibility with scalable fabrication, and nonuniform performance. Here, we describe ultrasensitive, label-free, and stable FET biosensors built on polymer-sorted high-purity semiconducting CNT films with wafer-scale fabrication and high uniformity. With a floating gate (FG) structure using an ultrathin Y2O3 high-kappa dielectric layer, the CNT FET biosensors show amplified response and improved sensitivity compared with those sensors without Y2O3, which is attributed to the chemical gate-coupling effect dominating the sensor response. The CNT FG-FETs are modified to selectively detect specific disease biomarkers, namely, DNA sequences and microvesicles, with theoretical record detection limits as low as 60 aM and 6 particles/mL, respectively. Furthermore, the biosensors exhibit highly uniform performance over the 4 in. wafer as well as superior bias stress stability. The FG CNT FET biosensors could be extended as a universal biosensor platform for the ultrasensitive detection of multiple biological molecules and applied in highly integrated and multiplexed all CNT-FET-based sensor architectures.</t>
  </si>
  <si>
    <t>[Liang, Yuqi; He, Jianping; Peng, Lian-Mao; Zhang, Zhiyong] Xiangtan Univ, Hunan Inst Adv Sensing &amp; Informat Technol, Xiangtan 411105, Hunan, Peoples R China; [Xiao, Mengmeng; Lin, Yanxia; Liu, Lijun; Peng, Lian-Mao; Zhang, Zhiyong] Peking Univ, Key Lab Phys &amp; Chem Nanodevices, Beijing 100871, Peoples R China; [Xiao, Mengmeng; Lin, Yanxia; Liu, Lijun; Peng, Lian-Mao; Zhang, Zhiyong] Peking Univ, Ctr Carbon Based Elect Dept, Dept Elect, Beijing 100871, Peoples R China; [Wu, Ding; Zhang, Guojun] Hubei Univ Chinese Med, Sch Lab Med, Wuhan 430065, Hubei, Peoples R China</t>
  </si>
  <si>
    <t>Xiangtan University; Peking University; Peking University; Hubei University of Chinese Medicine</t>
  </si>
  <si>
    <t>Zhang, ZY (corresponding author), Xiangtan Univ, Hunan Inst Adv Sensing &amp; Informat Technol, Xiangtan 411105, Hunan, Peoples R China.;Zhang, ZY (corresponding author), Peking Univ, Key Lab Phys &amp; Chem Nanodevices, Beijing 100871, Peoples R China.;Zhang, ZY (corresponding author), Peking Univ, Ctr Carbon Based Elect Dept, Dept Elect, Beijing 100871, Peoples R China.</t>
  </si>
  <si>
    <t>zyzhang@pku.edu.cn</t>
  </si>
  <si>
    <t>Liu, Lijun/AAQ-4429-2021; zhang, zhiyong z/A-9502-2013; Peng, Lian-Mao/E-2089-2011</t>
  </si>
  <si>
    <t>Liu, Lijun/0000-0002-3070-3204; zhang, zhiyong z/0000-0003-1622-3447; Peng, Lian-Mao/0000-0003-0754-074X</t>
  </si>
  <si>
    <t>JUL 28</t>
  </si>
  <si>
    <t>10.1021/acsnano.0c03523</t>
  </si>
  <si>
    <t>WOS:000557762800107</t>
  </si>
  <si>
    <t>Ding, XB; Ma, MM; Teng, JF; Teng, RKF; Zhou, S; Yin, JZ; Fonkem, E; Huang, JH; Wu, EX; Wang, XJ</t>
  </si>
  <si>
    <t>Ding, Xuebing; Ma, Mingming; Teng, Junfang; Teng, Robert K. F.; Zhou, Shuang; Yin, Jingzheng; Fonkem, Ekokobe; Huang, Jason H.; Wu, Erxi; Wang, Xuejing</t>
  </si>
  <si>
    <t>Exposure to ALS-FTD-CSF generates TDP-43 aggregates in glioblastoma cells through exosomes and TNTs-like structure</t>
  </si>
  <si>
    <t>TDP-43; ALS; FTD; exosomes; tunneling nanotubes</t>
  </si>
  <si>
    <t>AMYOTROPHIC-LATERAL-SCLEROSIS; FRONTOTEMPORAL LOBAR DEGENERATION; DNA-BINDING PROTEIN-43; TUNNELING NANOTUBES; CEREBROSPINAL-FLUID; SPATIAL-PATTERNS; MOLECULAR-BASIS; MOTOR-NEURONS; SPINAL-CORD; ASTROCYTES</t>
  </si>
  <si>
    <t>Amyotrophic lateral sclerosis (ALS) and frontotemporal dementia (FTD) represent a continuum of devastating neurodegenerative diseases, characterized by transactive response DNA-binding protein of 43 kDa (TDP-43) aggregates accumulation throughout the nervous system. Despite rapidly emerging evidence suggesting the hypothesis of 'prion-like propagation' of TDP-43 positive inclusion in the regional spread of ALS symptoms, whether and how TDP-43 aggregates spread between cells is not clear. Herein, we established a cerebrospinal fluid (CSF)-cultured cell model to dissect mechanisms governing TDP-43 aggregates formation and propagation. Remarkably, intracellular TDP-43 mislocalization and aggregates were induced in the human glioma U251 cells following exposure to ALS-FTD-CSF but not ALS-CSF and normal control (NC) -CSF for 21 days. The exosomes derived from ALS-FTD-CSF were enriched in TDP-43 C-terminal fragments (CTFs). Incubation of ALS-FTD-CSF induced the increase of mislocated TDP-43 positive exosomes in U251 cells. We further demonstrated that exposure to ALS-FTD-CSF induced the generations of tunneling nanotubes (TNTs)-like structure and exosomes at different stages, which mediated the propagation of TDP-43 aggregates in the cultured U251 cells. Moreover, immunoblotting analyses revealed that abnormal activations of apoptosis and autophagy were induced in U251 cells, following incubation of ALS-CSF and ALS-FTD-CSF. Taken together, our data provide direct evidence that ALS-FTD-CSF has prion-like transmissible properties. TNTs-like structure and exosomes supply the routes for the transfer of TDP-43 aggregates, and selective inhibition of their over-generations may interrupt the progression of TDP-43 proteinopathy.</t>
  </si>
  <si>
    <t>[Ding, Xuebing; Teng, Junfang; Yin, Jingzheng; Wang, Xuejing] Zhengzhou Univ, Affiliated Hosp 1, Dept Neurol, Zhengzhou 450052, Henan, Peoples R China; [Ma, Mingming] Zhengzhou Univ, Peoples Hosp, Dept Neurol, Zhengzhou 450052, Henan, Peoples R China; [Ma, Mingming; Zhou, Shuang; Wu, Erxi] N Dakota State Univ, Dept Pharmaceut Sci, Fargo, ND 58105 USA; [Teng, Robert K. F.] Calif State Univ Los Angeles, Coll Engn, Los Angeles, CA 90032 USA; [Fonkem, Ekokobe; Huang, Jason H.] Texas A&amp;M Hlth Sci Ctr, Coll Med, Scott &amp; White Neurosci Inst, Temple, TX USA</t>
  </si>
  <si>
    <t>Zhengzhou University; Zhengzhou University; North Dakota State University Fargo; California State University System; California State University Los Angeles; Texas A&amp;M University System; Texas A&amp;M University College Station; Texas A&amp;M Health Science Center</t>
  </si>
  <si>
    <t>Wang, XJ (corresponding author), Zhengzhou Univ, Affiliated Hosp 1, Dept Neurol, Zhengzhou 450052, Henan, Peoples R China.</t>
  </si>
  <si>
    <t>Erxi.wu@ndsu.edu; ballet8114@gmail.com</t>
  </si>
  <si>
    <t>Huang, Jason H/J-4739-2019</t>
  </si>
  <si>
    <t>Huang, Jason H/0000-0002-4426-0168; Zhou, Shuang/0000-0002-2403-7161; Wu, Erxi/0000-0002-1680-3639</t>
  </si>
  <si>
    <t>SEP 15</t>
  </si>
  <si>
    <t>10.18632/oncotarget.4680</t>
  </si>
  <si>
    <t>WOS:000363157700081</t>
  </si>
  <si>
    <t>Hinestrosa, JP; Searson, DJ; Lewis, JM; Kinana, A; Perrera, O; Dobrovolskaia, I; Tran, K; Turner, R; Balcer, HI; Clark, I; Bodkin, D; Hoon, DSB; Krishnan, R</t>
  </si>
  <si>
    <t>Hinestrosa, Juan Pablo; Searson, David J.; Lewis, Jean M.; Kinana, Alfred; Perrera, Orlando; Dobrovolskaia, Irina; Tran, Kevin; Turner, Robert; Balcer, Heath, I; Clark, Iryna; Bodkin, David; Hoon, Dave S. B.; Krishnan, Rajaram</t>
  </si>
  <si>
    <t>Simultaneous Isolation of Circulating Nucleic Acids and EV-Associated Protein Biomarkers From Unprocessed Plasma Using an AC Electrokinetics-Based Platform</t>
  </si>
  <si>
    <t>biomarkers; cell-free DNA; extracellular vesicles; plasma; personalized medicine; multi-omics; liquid biopsy; AC electrokinetics</t>
  </si>
  <si>
    <t>CELL-FREE DNA; CANCER-PATIENTS; EXTRACELLULAR VESICLES; BREAST-CANCER; LIQUID BIOPSY; LUNG-CANCER; TUMOR DNA; INTEGRITY; EXOSOMES; MARKER</t>
  </si>
  <si>
    <t>The power of personalized medicine is based on a deep understanding of cellular and molecular processes underlying disease pathogenesis. Accurately characterizing and analyzing connections between these processes is dependent on our ability to access multiple classes of biomarkers (DNA, RNA, and proteins)-ideally, in a minimally processed state. Here, we characterize a biomarker isolation platform that enables simultaneous isolation and on-chip detection of cell-free DNA (cfDNA), extracellular vesicle RNA (EV-RNA), and EV-associated proteins in unprocessed biological fluids using AC Electrokinetics (ACE). Human biofluid samples were flowed over the ACE microelectrode array (ACE chip) on the Verita platform while an electrical signal was applied, inducing a field that reversibly captured biomarkers onto the microelectrode array. Isolated cfDNA, EV-RNA, and EV-associated proteins were visualized directly on the chip using DNA and RNA specific dyes or antigen-specific, directly conjugated antibodies (CD63, TSG101, PD-L1, GPC-1), respectively. Isolated material was also eluted off the chip and analyzed downstream by multiple methods, including PCR, RT-PCR, next-generation sequencing (NGS), capillary electrophoresis, and nanoparticle size characterization. The detection workflow confirmed the capture of cfDNA, EV-RNA, and EV-associated proteins from human biofluids on the ACE chip. Tumor specific variants and the mRNAs of housekeeping gene PGK1 were detected in cfDNA and RNA isolated directly from chips in PCR, NGS, and RT-PCR assays, demonstrating that high-quality material can be isolated from donor samples using the isolation workflow. Detection of the luminal membrane protein TSG101 with antibodies depended on membrane permeabilization, consistent with the presence of vesicles on the chip. Protein, morphological, and size characterization revealed that these vesicles had the characteristics of EVs. The results demonstrated that unprocessed cfDNA, EV-RNA, and EV-associated proteins can be isolated and simultaneously fluorescently analyzed on the ACE chip. The compatibility with established downstream technologies may also allow the use of the platform as a sample preparation method for workflows that could benefit from access to unprocessed exosomal, genomic, and proteomic biomarkers.</t>
  </si>
  <si>
    <t>[Hinestrosa, Juan Pablo; Searson, David J.; Lewis, Jean M.; Kinana, Alfred; Perrera, Orlando; Dobrovolskaia, Irina; Turner, Robert; Balcer, Heath, I; Clark, Iryna; Krishnan, Rajaram] Biol Dynam Inc, San Diego, CA 92121 USA; [Tran, Kevin; Hoon, Dave S. B.] John Wayne Canc Inst, Dept Translat Mol Med, Santa Monica, CA USA; [Tran, Kevin; Hoon, Dave S. B.] John Wayne Canc Inst, Sequence Ctr, Santa Monica, CA USA; [Bodkin, David] Canc Ctr Oncol Med Grp, La Mesa, CA USA</t>
  </si>
  <si>
    <t>John Wayne Cancer Institute; John Wayne Cancer Institute</t>
  </si>
  <si>
    <t>Hinestrosa, JP; Krishnan, R (corresponding author), Biol Dynam Inc, San Diego, CA 92121 USA.</t>
  </si>
  <si>
    <t>jp@biologicaldynamics.com; raj@biologicaldynamics.com</t>
  </si>
  <si>
    <t>Lewis, Jean/0000-0001-6978-5166</t>
  </si>
  <si>
    <t>10.3389/fbioe.2020.581157</t>
  </si>
  <si>
    <t>WOS:000591595400001</t>
  </si>
  <si>
    <t>Han, JS; Kim, SE; Jin, JQ; Park, NR; Lee, JY; Kim, HL; Lee, SB; Yang, SW; Lim, DJ</t>
  </si>
  <si>
    <t>Han, Jeong-Sun; Kim, Sung Eun; Jin, Jun-Qing; Park, Na Ri; Lee, Ji-Young; Kim, Hong Lim; Lee, Seong-Beom; Yang, Suk-Woo; Lim, Dong-Jun</t>
  </si>
  <si>
    <t>Tear-Derived Exosome Proteins Are Increased in Patients with Thyroid Eye Disease</t>
  </si>
  <si>
    <t>exosomes; extracellular vesicle; eear fluids; Graves&amp;#8217; ophthalmopathy; ehyroid-associated ophthalmopathy; eytokines</t>
  </si>
  <si>
    <t>Exosomes contain proteins, lipids, RNA, and DNA that mediate intercellular signaling. Exosomes can contribute to the pathological processes of various diseases, although their roles in ocular diseases are unclear. We aimed to isolate exosomes from tear fluids (TF) of patients with Thyroid eye disease (TED) and analyze the exosomal proteins. TFs were collected from eight patients with TED and eight control subjects. The number of TF exosomes were measured using nanoparticle-tracking analysis. The expression of specific proteins in the purified exosome pellets were analyzed using a Proteome Profiler Array Kit. Cultured normal orbital fibroblasts were incubated with TF exosomes from patients with TED and control subjects, and changes in inflammatory cytokine levels were compared. TF exosomes from TED patients showed more exosomes than the control subjects. The expression levels of exosomal proteins vitamin D-binding (VDB) protein, C-reactive protein (CRP), chitinase 3-like 1 (CHI3L1), matrix metalloproteinase-9 (MMP-9), and vascular adhesion molecule-1 (VCAM-1) were significantly increased in patients with TED, compared to those of controls. Orbital fibroblasts exposed to TF exosomes from patients with TED showed significantly higher levels of interleukin (IL)-6, IL-8, and monocyte chemoattractant protein-1 (MCP-1) production than those treated with control TF exosomes. Specific proteins showed higher expression in exosomes from TED patients, implying that they may play keys roles in TED pathogenesis.</t>
  </si>
  <si>
    <t>[Han, Jeong-Sun; Jin, Jun-Qing; Lim, Dong-Jun] Catholic Univ Korea, Coll Med, Seoul St Mary Hosp, Dept Internal Med,Div Endocrinol &amp; Metab, Seoul 06591, South Korea; [Kim, Sung Eun; Park, Na Ri; Yang, Suk-Woo] Catholic Univ Korea, Coll Med, Seoul St Mary Hosp, Dept Ophthalmol &amp; Visual Sci, Seoul 06591, South Korea; [Lee, Ji-Young; Lee, Seong-Beom] Catholic Univ Korea, Coll Med, Seoul St Mary Hosp, Dept Pathol,Inst Hansens Dis, Seoul 06591, South Korea; [Kim, Hong Lim] Catholic Univ Korea, Coll Med, Integrat Res Support Ctr, Lab Electron Microscope, Seoul 06591, South Korea</t>
  </si>
  <si>
    <t>Catholic University of Korea; Seoul St. Mary's Hospital; Catholic University of Korea; Seoul St. Mary's Hospital; Catholic University of Korea; Seoul St. Mary's Hospital; Catholic University of Korea</t>
  </si>
  <si>
    <t>Lim, DJ (corresponding author), Catholic Univ Korea, Coll Med, Seoul St Mary Hosp, Dept Internal Med,Div Endocrinol &amp; Metab, Seoul 06591, South Korea.;Yang, SW (corresponding author), Catholic Univ Korea, Coll Med, Seoul St Mary Hosp, Dept Ophthalmol &amp; Visual Sci, Seoul 06591, South Korea.</t>
  </si>
  <si>
    <t>winehan@catholic.ac.kr; sungeuni85@naver.com; juncheong1991@catholic.ac.kr; happy_nal@hanmail.net; jy1012sh@hanmail.net; wgwkim@catholic.ac.kr; sblee@catholic.ac.kr; yswoph@hanmail.net; ldj6026@catholic.ac.kr</t>
  </si>
  <si>
    <t>Lim, Dong Jun/0000-0003-0995-6482; Jin, Jun-Qing/0000-0002-5018-7008; Han, Jeong-Sun/0000-0002-4491-626X</t>
  </si>
  <si>
    <t>10.3390/ijms22031115</t>
  </si>
  <si>
    <t>WOS:000615313600001</t>
  </si>
  <si>
    <t>Panfoli, I; Bruschi, M; Candiano, G</t>
  </si>
  <si>
    <t>Panfoli, Isabella; Bruschi, Maurizio; Candiano, Giovanni</t>
  </si>
  <si>
    <t>Exosomes: Key tools for cancer liquid biopsy</t>
  </si>
  <si>
    <t>BIOCELL</t>
  </si>
  <si>
    <t>Cancer; Exosome; Liquid biopsy; Precision medicine</t>
  </si>
  <si>
    <t>CIRCULATING TUMOR-CELLS; HUMAN URINARY EXOSOME; EXTRACELLULAR VESICLES; BIOMARKER; BLOOD; RNA; DISCOVERY; DIAGNOSIS; MICRORNA; BIOLOGY</t>
  </si>
  <si>
    <t>Precision medicine is based on the identification of biomarkers of tumor development and progression. Liquid biopsy is at the forefront of the ability to gather diagnostic and prognostic information on tumors, as it can be noninvasively performed prior or during treatment. Liquid biopsy mostly utilizes circulating tumor cells, or free DNA, but also exosomes. The latter are nanovesicles secreted by most cell types, found in any body fluid that deliver proteins, nucleic acids and lipids to nearby and distant cells with a unique homing ability. Exosomes function in signalling between the tumor microenvironment and the rest of the body, promoting metastasis, immune remodelling and drug resistance. Exosomes are emerging as a key tool in precision medicine for cancer liquid biopsy, as they efficiently preserve their biomarker cargo. Moreover, exosomes strongly resemble the parental cell, which can help in assessing the oxidative and metabolic state of the donor cell. In this respect, exosomes represent one of the most promising new tools to fight cancer. This review will discuss the clinical applications of profiling exosomal proteins and lipids by high-throughput proteomics and metabolomics, and nucleic acids by next generation sequencing, as well as how this may allow cancer diagnosis, therapy response monitoring and recurrence detection.</t>
  </si>
  <si>
    <t>[Panfoli, Isabella] Univ Genoa, Dipartimento Farm DIFAR, I-16132 Genoa, Italy; [Bruschi, Maurizio; Candiano, Giovanni] IRCCS Ist Giannina Gaslini, Lab Mol Nephrol, I-16147 Genoa, Italy</t>
  </si>
  <si>
    <t>University of Genoa; University of Genoa; IRCCS Istituto Giannina Gaslini</t>
  </si>
  <si>
    <t>Panfoli, I (corresponding author), Univ Genoa, Dipartimento Farm DIFAR, I-16132 Genoa, Italy.</t>
  </si>
  <si>
    <t>panfoli@difar.unige.it</t>
  </si>
  <si>
    <t>0327-9545</t>
  </si>
  <si>
    <t>1667-5746</t>
  </si>
  <si>
    <t>10.32604/biocell.2022.020154</t>
  </si>
  <si>
    <t>WOS:000803840300001</t>
  </si>
  <si>
    <t>Sadikot, RT; Bedi, B; Li, J; Yeligar, SM</t>
  </si>
  <si>
    <t>Sadikot, Ruxana T.; Bedi, Brahmchetna; Li, Juan; Yeligar, Samantha M.</t>
  </si>
  <si>
    <t>Alcohol-induced mitochondrial DNA damage promotes injurious crosstalk between alveolar epithelial cells and alveolar macrophages</t>
  </si>
  <si>
    <t>ALCOHOL</t>
  </si>
  <si>
    <t>Alcohol; Lung; Epithelial cells; Alveolar macrophages; Mitochondrial DNA; Exosomes</t>
  </si>
  <si>
    <t>ACUTE LUNG INJURY; OXIDATIVE STRESS; HOST-DEFENSE; GM-CSF; ETHANOL; DYSFUNCTION; APOPTOSIS; DIFFERENTIATION; CONSUMPTION; EXPRESSION</t>
  </si>
  <si>
    <t>Excessive alcohol users have a higher risk for developing respiratory infections compared to individuals who do not chronically misuse alcohol, due to impaired host immune defense. In the lung, alveolar epithelial cells play a critical role in host immune defense against invading pathogens in the lower respiratory tract due to their capacity to maintain barrier integrity, and alveolar macrophages play a key role in pulmonary innate immunity by phagocytizing and clearing infiltrating microbes. Chronic alcohol misuse induces mitochondrial damage that results in release of mitochondrial DNA (mtDNA) in exosomes. We hypothesized that alcohol-induced cellular damage leads to release of exosomes containing damaged mtDNA, which can mediate injurious crosstalk between lung epithelial cells and macrophages. The mouse alveolar epithelial cell line, MLE-12, and the mouse alveolar macrophage cell line, MH-S, were transfected with a damaged mtDNA overexpression plasmid or exposed to ethanol in vitro. Overexpression of damaged mtDNA impaired MLE-12 barrier function and MH-S phagocytic capacity. Ethanol induced damage of mtDNA in MLE-12 and MH-S cells, and promoted release of exosomes enriched with damaged mtDNA from these cells. Exosomes from ethanol-exposed MH-S cells caused mtDNA damage and barrier dysfunction in MLE-12 cells, and exosomes from ethanol-exposed MLE-12 cells caused mtDNA damage and phagocytic dysfunction in MH-S cells. Collectively, these data show that ethanol-induced mtDNA damage in MLE-12 and MH-S cells stimulates release of damaged mtDNA-enriched exosomes and contributes to injurious crosstalk between the alveolar epithelium and macrophages, potentially leading to impaired host immune defense against respiratory infections. (C) 2018 The Authors. Published by Elsevier Inc.</t>
  </si>
  <si>
    <t>[Sadikot, Ruxana T.; Bedi, Brahmchetna; Li, Juan; Yeligar, Samantha M.] Atlanta Vet Affairs Hlth Care Syst, Dept Med, Div Pulm Allergy Crit Care &amp; Sleep Med, Decatur, GA 30033 USA; [Sadikot, Ruxana T.; Bedi, Brahmchetna; Li, Juan; Yeligar, Samantha M.] Emory Univ, Atlanta, GA 30322 USA</t>
  </si>
  <si>
    <t>Yeligar, SM (corresponding author), Emory Univ, 1670 Clairmont Rd 12C-104, Decatur, GA 30033 USA.</t>
  </si>
  <si>
    <t>syeliga@emory.edu</t>
  </si>
  <si>
    <t>Yeligar, Samantha/0000-0001-9309-0233</t>
  </si>
  <si>
    <t>0741-8329</t>
  </si>
  <si>
    <t>1873-6823</t>
  </si>
  <si>
    <t>10.1016/j.alcohol.2018.08.006</t>
  </si>
  <si>
    <t>Substance Abuse; Pharmacology &amp; Pharmacy; Toxicology</t>
  </si>
  <si>
    <t>WOS:000494884600008</t>
  </si>
  <si>
    <t>Wang, L; Deng, Y; Wei, J; Huang, Y; Wang, ZX; Li, GX</t>
  </si>
  <si>
    <t>Wang, Lei; Deng, Ying; Wei, Juan; Huang, Yue; Wang, Zhaoxia; Li, Genxi</t>
  </si>
  <si>
    <t>Spherical nucleic acids-based cascade signal amplification for highly sensitive detection of exosomes</t>
  </si>
  <si>
    <t>Spherical nucleic acids; Cascade signal amplification; Exosomes detection; High sensitivity; Potential clinical diagnosis</t>
  </si>
  <si>
    <t>Exosomes are regarded as a promising biomarker in the diagnosis of disease due to their close relationship with the change of physiology and pathology. However, it is still a hard challenge to come up with a highly sensitive method for the exosomes detection. Herein, we propose a spherical nucleic acids (SNAs)-based cascade signal amplification strategy for the exosomes detection with high sensitivity. In this method, SNAs anchoring on exosomes membrane can be extended to form polyT sequence by terminal deoxynucleotidyl transferase (TdT), generating a template strand for the Exo III-catalyzed excision of the designed signal probe (probe A), which may finally induce significant decrease of electrochemical signal due to the consumption of probe A. Benefiting from the SNAs-based cascade signal amplification, this fabricated biosensor achieves a limit of detection for exosomes as low as 44 particles/mu L. Moreover, this method shows good performance in the differentiation of healthy and malignancy colorectal cancer patients. Therefore, without complicated nucleic acids sequences design, our approach provides a cascade signal amplification strategy for the highly sensitive detection of exosomes and shows the potential applications in clinical diagnosis.</t>
  </si>
  <si>
    <t>[Wang, Lei; Deng, Ying; Li, Genxi] Nanjing Univ, Sch Life Sci, State Key Lab Pharmaceut Biotechnol, Nanjing 210023, Peoples R China; [Wei, Juan] Nanjing Univ Chinese Med, Dept Oncol, Hosp Nanjing 2, Nanjing 210003, Peoples R China; [Huang, Yue] Nanjing Forestry Univ, Dept Food Sci &amp; Engn, Coll Light Ind &amp; Food Engn, Nanjing 210037, Peoples R China; [Wang, Zhaoxia] Nanjing Med Univ, Dept Oncol, Affiliated Hosp 2, Nanjing 210011, Peoples R China; [Li, Genxi] Shanghai Univ, Ctr Mol Recognit &amp; Biosensing, Sch Life Sci, Shanghai 200444, Peoples R China</t>
  </si>
  <si>
    <t>Nanjing University; Nanjing University of Chinese Medicine; Nanjing Forestry University; Nanjing Medical University; Shanghai University</t>
  </si>
  <si>
    <t>Li, GX (corresponding author), Nanjing Univ, Sch Life Sci, State Key Lab Pharmaceut Biotechnol, Nanjing 210023, Peoples R China.;Wang, ZX (corresponding author), Nanjing Med Univ, Dept Oncol, Affiliated Hosp 2, Nanjing 210011, Peoples R China.</t>
  </si>
  <si>
    <t>wangzhaoxia@njmu.edu.cn; genxili@nju.edu.cn</t>
  </si>
  <si>
    <t>wang, zhaoxia/0000-0002-1893-371X</t>
  </si>
  <si>
    <t>10.1016/j.bios.2021.113465</t>
  </si>
  <si>
    <t>WOS:000695231500004</t>
  </si>
  <si>
    <t>Garcia, JM; Garcia, V; Pena, C; Dominguez, G; Silva, J; Diaz, R; Espinosa, P; Citores, MJ; Collado, M; Bonilla, F</t>
  </si>
  <si>
    <t>Garcia, Jose Miguel; Garcia, Vanesa; Pena, Cristina; Dominguez, Gemma; Silva, Javier; Diaz, Raquel; Espinosa, Pablo; Citores, Maria Jesus; Collado, Manuel; Bonilla, Felix</t>
  </si>
  <si>
    <t>Extracellular plasma RNA from colon cancer patients is confined in a vesicle-like structure and is mRNA-enriched</t>
  </si>
  <si>
    <t>RNA</t>
  </si>
  <si>
    <t>vesicle-like structures; plasma mRNA; colon cancer</t>
  </si>
  <si>
    <t>CIRCULATING TUMOR-CELLS; BLOOD-PLASMA; FREE DNA; SERUM; FIBROBLASTS; EXOSOMES; SURVIVAL; RELEASE; MARKER; NMR</t>
  </si>
  <si>
    <t>Little is yet known about the origin and protective mechanism of free nucleic acids in plasma. We investigated the possibility of these free nucleic acids being particle associated. Plasma samples from colon cancer patients and cell culture media were subjected to various antibody incubations, ultracentrifugation, and RNA extraction protocols for total RNA, epithelial RNA, and mRNA. Flow cytometry using a Ber-EP4 antibody and confocal laser microscopy after staining with propidium iodide were also performed. mRNA levels of the LISCH7 and SDHA genes were determined in cells and in culture media. Ber-EP4 antibody and polystyrene beads coated with oligo dT sequences were employed. We observed that, after incubation, total RNA and mRNA were always detected after membrane digestion, and that epithelial RNA was detected before this procedure. In ultracentrifugation, mRNA was caught in the supernatant only if a former lysis mediated or in the pellet if there was no previous digestion. Flow cytometry determinations showed that antibody-coated microbeads keep acellular structures bearing epithelial antigens apart. Confocal laser microscopy made 1- to 2- mm-diameter particles perceptible in the vicinity of magnetic polystyrene beads. Relevant differences were observed between mRNA of cells and culture media, as there was a considerable difference in LISCH7 mRNA levels between HT29 and IMR90 cell co-cultures and their culture media. Our results support the view that extracellular RNA found in plasma from cancer patients circulates in association with or is protected in a multiparticle complex, and that an active release mechanism by tumor cells may be a possible origin.</t>
  </si>
  <si>
    <t>[Garcia, Jose Miguel; Garcia, Vanesa; Pena, Cristina; Dominguez, Gemma; Silva, Javier; Diaz, Raquel; Espinosa, Pablo; Bonilla, Felix] Hosp Univ Puerta Hierro, Dept Med Oncol, E-28035 Madrid, Spain; [Citores, Maria Jesus] Hosp Univ Puerta Hierro, Dept Tumor Immunol, E-28035 Madrid, Spain; [Collado, Manuel] Spanish Natl Canc Ctr CNIO, Tumor Suppress Grp, E-28029 Madrid, Spain</t>
  </si>
  <si>
    <t>Hospital Puerta de Hierro-Majadahonda; Hospital Puerta de Hierro-Majadahonda; Centro Nacional de Investigaciones Oncologicas (CNIO)</t>
  </si>
  <si>
    <t>Bonilla, F (corresponding author), Hosp Univ Puerta Hierro, Dept Med Oncol, C San Martin Porres 4, E-28035 Madrid, Spain.</t>
  </si>
  <si>
    <t>fbonilla.hpth@salud.madrid.org</t>
  </si>
  <si>
    <t>Collado, Manuel/K-8140-2014; Citores, Maria J/O-1588-2019</t>
  </si>
  <si>
    <t>Collado, Manuel/0000-0002-0330-0880; Citores, Maria J/0000-0002-6662-2676; Garcia-Barberan, Vanesa/0000-0002-2531-0203; DIAZ MARTINEZ, RAQUEL/0000-0001-9748-3464; Espinosa Lara, Pablo/0000-0003-0692-7301</t>
  </si>
  <si>
    <t>1355-8382</t>
  </si>
  <si>
    <t>1469-9001</t>
  </si>
  <si>
    <t>10.1261/rna.755908</t>
  </si>
  <si>
    <t>WOS:000256879800017</t>
  </si>
  <si>
    <t>Zuo, R; Liu, MH; Wang, YQ; Li, J; Wang, WK; Wu, JL; Sun, C; Li, B; Wang, ZW; Lan, WR; Zhang, C; Shi, CM; Zhou, Y</t>
  </si>
  <si>
    <t>Zuo, Rui; Liu, Minghan; Wang, Yanqiu; Li, Jie; Wang, Wenkai; Wu, Junlong; Sun, Chao; Li, Bin; Wang, Ziwen; Lan, Weiren; Zhang, Chao; Shi, Chunmeng; Zhou, Yue</t>
  </si>
  <si>
    <t>BM-MSC-derived exosomes alleviate radiation-induced bone loss by restoring the function of recipient BM-MSCs and activating Wnt/-catenin signaling</t>
  </si>
  <si>
    <t>Radiation; Exosomes; Bone marrow mesenchymal stem cell; Differentiation; -Catenin</t>
  </si>
  <si>
    <t>MESENCHYMAL STEM-CELLS; IONIZING-RADIATION; PELVIC FRACTURES; STROMAL CELLS; MARROW; DIFFERENTIATION; IRRADIATION; TRANSPLANTATION; PROLIFERATION; OSTEOPOROSIS</t>
  </si>
  <si>
    <t>BackgroundRadiotherapy to cancer patients is inevitably accompanied by normal tissue injury, and the bone is one of the most commonly damaged tissues. Damage to bone marrow mesenchymal stem cells (BM-MSCs) induced by radiation is thought to be a major cause of radiation-induced bone loss. Exosomes exhibit great therapeutic potential in the treatment of osteoporosis, but whether exosomes are involved in radiation-induced bone loss has not been thoroughly elucidated to date. The main purpose of this study is to investigate the role of exosomes derived from BM-MSCs in restoring recipient BM-MSC function and alleviating radiation-induced bone loss.MethodsBM-MSC-derived exosomes were intravenously injected to rats immediately after irradiation. After 28days, the left tibiae were harvested for micro-CT and histomorphometric analysis. The effects of exosomes on antioxidant capacity, DNA damage repair, proliferation, and cell senescence of recipient BM-MSCs were determined. Osteogenic and adipogenic differentiation assays were used to detect the effects of exosomes on the differentiation potential of recipient BM-MSCs, and related genes were measured by qRT-PCR and Western blot analysis. -Catenin expression was detected at histological and cytological levels.ResultsBM-MSC-derived exosomes can attenuate radiation-induced bone loss in a rat model that is similar to mesenchymal stem cell transplantation. Exosome-treated BM-MSCs exhibit reduced oxidative stress, accelerated DNA damage repair, and reduced proliferation inhibition and cell senescence-associate protein expression compared with BM-MSCs that exclusively received irradiation. Following irradiation, exosomes promote -catenin expression in BM-MSCs and restore the balance between adipogenic and osteogenic differentiation.ConclusionsOur findings indicate that BM-MSC-derived exosomes take effects by restoring the function of recipient BM-MSCs. Therefore, exosomes may represent a promising cell-free therapeutic approach for the treatment of radiation-induced bone loss.</t>
  </si>
  <si>
    <t>[Zuo, Rui; Liu, Minghan; Wang, Yanqiu; Li, Jie; Wang, Wenkai; Wu, Junlong; Sun, Chao; Li, Bin; Lan, Weiren; Zhang, Chao; Zhou, Yue] Third Mil Med Univ, Army Med Univ, Xinqiao Hosp, Dept Orthoped, Chongqing 400038, Peoples R China; [Wang, Ziwen; Shi, Chunmeng] Third Mil Med Univ, Army Med Univ, State Key Lab Trauma Burns &amp; Combined Injury, Inst Rocket Force Med, Chongqing 400038, Peoples R China</t>
  </si>
  <si>
    <t>Army Medical University; Army Medical University</t>
  </si>
  <si>
    <t>Zhou, Y (corresponding author), Third Mil Med Univ, Army Med Univ, Xinqiao Hosp, Dept Orthoped, Chongqing 400038, Peoples R China.;Shi, CM (corresponding author), Third Mil Med Univ, Army Med Univ, State Key Lab Trauma Burns &amp; Combined Injury, Inst Rocket Force Med, Chongqing 400038, Peoples R China.</t>
  </si>
  <si>
    <t>zuorui1988@qq.com; shicm@sina.com; happyzhou@vip.163.com</t>
  </si>
  <si>
    <t>Wang, Ziwen/AAG-9607-2021</t>
  </si>
  <si>
    <t>10.1186/s13287-018-1121-9</t>
  </si>
  <si>
    <t>WOS:000455816200003</t>
  </si>
  <si>
    <t>Ma, R; Li, T; Cao, M; Si, Y; Wu, X; Zhao, L; Yao, Z; Zhang, Y; Fang, S; Deng, R; Novakovic, VA; Bi, Y; Kou, J; Yu, B; Yang, S; Wang, J; Zhou, J; Shi, J</t>
  </si>
  <si>
    <t>Ma, R.; Li, T.; Cao, M.; Si, Y.; Wu, X.; Zhao, L.; Yao, Z.; Zhang, Y.; Fang, S.; Deng, R.; Novakovic, V. A.; Bi, Y.; Kou, J.; Yu, B.; Yang, S.; Wang, J.; Zhou, J.; Shi, J.</t>
  </si>
  <si>
    <t>Extracellular DNA traps released by acute promyelocytic leukemia cells through autophagy</t>
  </si>
  <si>
    <t>CANCER-ASSOCIATED THROMBOSIS; TRANS-RETINOIC ACID; PHOSPHATIDYLSERINE EXPOSURE; NET FORMATION; ALPHA; RESISTANCE; DISEASE; DEATH; DIFFERENTIATION; INDUCTION</t>
  </si>
  <si>
    <t>Acute promyelocytic leukemia (APL) cells exhibit disrupted regulation of cell death and differentiation, and therefore the fate of these leukemic cells is unclear. Here, we provide the first evidence that a small percentage of APL cells undergo a novel cell death pathway by releasing extracellular DNA traps (ETs) in untreated patients. Both APL and NB4 cells stimulated with APL serum had nuclear budding of vesicles filled with chromatin that leaked to the extracellular space when nuclear and cell membranes ruptured. Using immunofluorescence, we found that NB4 cells undergoing ETosis extruded lattice-like structures with a DNA-histone backbone. During all-trans retinoic acid (ATRA)-induced cell differentiation, a subset of NB4 cells underwent ETosis at days 1 and 3 of treatment. The levels of tumor necrosis factor-alpha (TNF-alpha) and interleukin-6 (IL-6) were significantly elevated at 3 days, and combined treatment with TNF-alpha and IL-6 stimulated NB4 cells to release ETs. Furthermore, inhibition of autophagy by pharmacological inhibitors or by small interfering RNA against Atg7 attenuated LC3 autophagy formation and significantly decreased ET generation. Our results identify a previously unrecognized mechanism for death in promyelocytes and suggest that ATRA may accelerate ET release through increased cytokines and autophagosome formation. Targeting this cellular death pathway in addition to conventional chemotherapy may provide new therapeutic modalities for APL.</t>
  </si>
  <si>
    <t>[Ma, R.; Li, T.; Cao, M.; Si, Y.; Wu, X.; Zhao, L.; Yao, Z.; Zhang, Y.; Deng, R.; Zhou, J.; Shi, J.] Harbin Med Univ, Hosp 1, Dept Hematol, Harbin 150001, Peoples R China; [Ma, R.; Li, T.; Cao, M.; Si, Y.; Fang, S.; Yu, B.; Yang, S.] Minist Educ, Key Lab Myocardial Ischemia, Harbin, Heilongjiang Pr, Peoples R China; [Novakovic, V. A.] VA Boston Healthcare Syst, Brigham &amp; Womens Hosp, Dept Res, Boston, MA USA; [Novakovic, V. A.; Shi, J.] Harvard Med Sch, Boston, MA USA; [Bi, Y.] Harbin Med Univ, Hosp 1, Dept Cardiol, Harbin, Peoples R China; [Kou, J.] Harbin Med Univ, Hosp 2, Dept Cardiol, Harbin, Peoples R China; [Wang, J.] Harbin Med Univ, Hosp 2, Dept Hematol, Harbin, Peoples R China; [Shi, J.] VA Boston Healthcare Syst, Brigham &amp; Womens Hosp, Dept Surg, Boston, MA USA</t>
  </si>
  <si>
    <t>Harbin Medical University; Harvard University; Brigham &amp; Women's Hospital; US Department of Veterans Affairs; Veterans Health Administration (VHA); VA Boston Healthcare System; Harvard University; Harvard Medical School; Harbin Medical University; Harbin Medical University; Harbin Medical University; Harvard University; Brigham &amp; Women's Hospital; US Department of Veterans Affairs; Veterans Health Administration (VHA); VA Boston Healthcare System</t>
  </si>
  <si>
    <t>Zhou, J; Shi, J (corresponding author), Harbin Med Univ, Hosp 1, Dept Hematol, Harbin 150001, Peoples R China.;Yang, S; Wang, J (corresponding author), Harbin Med Univ, Hosp 2, Dept Med, Harbin 150086, Peoples R China.</t>
  </si>
  <si>
    <t>shufen_yang@126.com; wang_jing_huaxy@163.com; jin_zhouxy@163.com; shi73661@gmail.com</t>
  </si>
  <si>
    <t>Shi, Jialan/0000-0001-5642-5436; Wu, Xiaoming/0000-0002-4271-8534</t>
  </si>
  <si>
    <t>e2283</t>
  </si>
  <si>
    <t>10.1038/cddis.2016.186</t>
  </si>
  <si>
    <t>WOS:000391813800021</t>
  </si>
  <si>
    <t>Mondal, SK; Whiteside, TL</t>
  </si>
  <si>
    <t>Mondal, Sujan Kumar; Whiteside, Theresa L.</t>
  </si>
  <si>
    <t>Proteomic profiles of melanoma cell-derived exosomes in plasma: discovery of potential biomarkers of melanoma progression</t>
  </si>
  <si>
    <t>MELANOMA RESEARCH</t>
  </si>
  <si>
    <t>biomarkers; exosomes; liquid biopsy; melanoma; proteomics</t>
  </si>
  <si>
    <t>Cancer liquid biopsy encompassing circulating tumor cells (CTC), circulating tumor DNA (ctDNA) and/or tumor-derived exosomes (TEX) emerges as a novel approach to early detection, noninvasive monitoring of responses to therapy and predicting patient survival. TEX are a key component of liquid biopsy because they mimic tumor cells in their proteomic and genetic content. Two recent proteomic analyses of TEX released into plasma by melanoma cells confirms the potential of TEX as diagnostic and prognostic markers in melanoma.</t>
  </si>
  <si>
    <t>[Mondal, Sujan Kumar; Whiteside, Theresa L.] Univ Pittsburgh, Sch Med, Dept Pathol, Pittsburgh, PA USA; [Whiteside, Theresa L.] Univ Pittsburgh, Sch Med, Dept Immunol, Pittsburgh, PA USA; [Whiteside, Theresa L.] Univ Pittsburgh, Sch Med, Dept Otolaryngol, Pittsburgh, PA USA; [Whiteside, Theresa L.] UPMC Hillman Canc Ctr, UPCI Res Pavil,Suite 1-27,5117 Ctr Ave, Pittsburgh, PA 15213 USA</t>
  </si>
  <si>
    <t>Pennsylvania Commonwealth System of Higher Education (PCSHE); University of Pittsburgh; Pennsylvania Commonwealth System of Higher Education (PCSHE); University of Pittsburgh; Pennsylvania Commonwealth System of Higher Education (PCSHE); University of Pittsburgh</t>
  </si>
  <si>
    <t>Whiteside, TL (corresponding author), UPMC Hillman Canc Ctr, UPCI Res Pavil,Suite 1-27,5117 Ctr Ave, Pittsburgh, PA 15213 USA.</t>
  </si>
  <si>
    <t>whitesidetl@upmc.edu</t>
  </si>
  <si>
    <t>Mondal, Sujan K./AAI-3850-2020</t>
  </si>
  <si>
    <t>Mondal, Sujan K./0000-0003-3241-2504</t>
  </si>
  <si>
    <t>0960-8931</t>
  </si>
  <si>
    <t>1473-5636</t>
  </si>
  <si>
    <t>10.1097/CMR.0000000000000762</t>
  </si>
  <si>
    <t>Oncology; Dermatology; Medicine, Research &amp; Experimental</t>
  </si>
  <si>
    <t>Oncology; Dermatology; Research &amp; Experimental Medicine</t>
  </si>
  <si>
    <t>WOS:000693941000009</t>
  </si>
  <si>
    <t>Zhang, JL; Wang, Y</t>
  </si>
  <si>
    <t>Zhang, Jinling; Wang, Yong</t>
  </si>
  <si>
    <t>Altered Expression of Extracellular Vesicles miRNAs from Primary Human Trabecular Meshwork Cells Induced by Transforming Growth Factor-beta 2</t>
  </si>
  <si>
    <t>primary-open angle glaucoma; trabecular meshwork; TGF-beta 2; exosome; microRNA</t>
  </si>
  <si>
    <t>OPEN-ANGLE GLAUCOMA; AQUEOUS-HUMOR; GENE-EXPRESSION; FOCAL ADHESION; PRESSURE; MYOCILIN; EXOSOMES; MATRIX; ACTIVATION; TGF-BETA-2</t>
  </si>
  <si>
    <t>Primary open-angle glaucoma (POAG) is tightly related with extracellular matrix (ECM) remodeling of human trabecular meshwork cells (HTMCs). Transforming growth factor-beta 2 (TGF-beta 2) can induce ECM remodeling. The aim of the study was to investigate the microRNAs (miRNAs) expression changes of extracellular vesicles (EVs) derived from HTMCs treated with TGF-beta 2. EVs were isolated from HTMCs supernatant cultured for 24 h with TGF-beta 2. The morphology of EVs pellets was examined by transmission electron microscopy. Nanoparticle tracking analysis used to demonstrate the particle size distribution. Total EVs RNAs were extracted for subsequent miRNA gene chip analysis to investigate differentially expressed miRNAs between the controls and treatment cells. Gene Ontology (GO) annotation, Kyoto Encyclopedia of Genes and Genomes (KEGG) pathway enrichment analyses were used to predict potential target and validate possible functions of the miRNAs. There were 23 miRNAs upregulated and 3 miRNAs downregulated and 469,102, and 94 GO terms involved in biological processes, cellular components, and molecular function for the possible functions of the 26 miRNAs. These findings indicate that TGF-beta 2 may alter EVs miRNAs expression to participate in the pathogenesis of POAG. They may provide significant information for potential biomarkers for POAG diagnosis and treatment.</t>
  </si>
  <si>
    <t>[Zhang, Jinling; Wang, Yong] Nantong Univ, Dept Ophthalmol, Affiliated Hosp, 20 Xisi Rd, Nantong 226001, Peoples R China</t>
  </si>
  <si>
    <t>Wang, Y (corresponding author), Nantong Univ, Dept Ophthalmol, Affiliated Hosp, 20 Xisi Rd, Nantong 226001, Peoples R China.</t>
  </si>
  <si>
    <t>yongwang.1004@hotmail.com</t>
  </si>
  <si>
    <t>Wang, Yong/0000-0003-0989-9764</t>
  </si>
  <si>
    <t>10.1089/dna.2020.6298</t>
  </si>
  <si>
    <t>WOS:000656636900001</t>
  </si>
  <si>
    <t>Cagatay, ST; Mayah, A; Mancuso, M; Giardullo, P; Pazzaglia, S; Saran, A; Daniel, A; Traynor, D; Meade, AD; Lyng, F; Tapio, S; Kadhim, M</t>
  </si>
  <si>
    <t>Cagatay, Seda Tuncay; Mayah, Ammar; Mancuso, Mariateresa; Giardullo, Paola; Pazzaglia, Simonetta; Saran, Anna; Daniel, Amuthachelvi; Traynor, Damien; Meade, Aidan D.; Lyng, Fiona; Tapio, Soile; Kadhim, Munira</t>
  </si>
  <si>
    <t>Phenotypic and Functional Characteristics of Exosomes Derived from Irradiated Mouse Organs and Their Role in the Mechanisms Driving Non-Targeted Effects</t>
  </si>
  <si>
    <t>exosomes; ionising radiation; non-targeted effects; signalling</t>
  </si>
  <si>
    <t>INDUCED GENOMIC INSTABILITY; IONIZING-RADIATION; IN-VITRO; BYSTANDER; CELLS; CANCER; MICRORNAS; RADIOTHERAPY; INITIATION; SECRETION</t>
  </si>
  <si>
    <t>Molecular communication between irradiated and unirradiated neighbouring cells initiates radiation-induced bystander effects (RIBE) and out-of-field (abscopal) effects which are both an example of the non-targeted effects (NTE) of ionising radiation (IR). Exosomes are small membrane vesicles of endosomal origin and newly identified mediators of NTE. Although exosome-mediated changes are well documented in radiation therapy and oncology, there is a lack of knowledge regarding the role of exosomes derived from inside and outside the radiation field in the early and delayed induction of NTE following IR. Therefore, here we investigated the changes in exosome profile and the role of exosomes as possible molecular signalling mediators of radiation damage. Exosomes derived from organs of whole body irradiated (WBI) or partial body irradiated (PBI) mice after 24 h and 15 days post-irradiation were transferred to recipient mouse embryonic fibroblast (MEF) cells and changes in cellular viability, DNA damage and calcium, reactive oxygen species and nitric oxide signalling were evaluated compared to that of MEF cells treated with exosomes derived from unirradiated mice. Taken together, our results show that whole and partial-body irradiation increases the number of exosomes, instigating changes in exosome-treated MEF cells, depending on the source organ and time after exposure.</t>
  </si>
  <si>
    <t>[Cagatay, Seda Tuncay; Mayah, Ammar; Kadhim, Munira] Oxford Brookes Univ, Dept Biol &amp; Med Sci, Oxford OX3 0BP, England; [Mancuso, Mariateresa; Giardullo, Paola; Pazzaglia, Simonetta; Saran, Anna] Italian Natl Agcy New Technol Energy &amp; Sustainabl, Lab Biomed Technol, I-00123 Rome, Italy; [Giardullo, Paola] Guglielmo Marconi Univ, Dept Radiat Phys, I-00193 Rome, Italy; [Daniel, Amuthachelvi; Traynor, Damien; Meade, Aidan D.; Lyng, Fiona] Technol Univ Dublin, Ctr Radiat &amp; Environm Sci, FOCAS Res Inst, Dublin D08 NF82, Ireland; [Tapio, Soile] Helmholtz Zentrum Munchen, Inst Radiat Biol, D-85764 Munich, Germany</t>
  </si>
  <si>
    <t>Oxford Brookes University; Italian National Agency New Technical Energy &amp; Sustainable Economics Development; Guglielmo Marconi University; Helmholtz Association; Helmholtz-Center Munich - German Research Center for Environmental Health</t>
  </si>
  <si>
    <t>stuncay-cagatay@brookes.ac.uk; amayah@brookes.ac.uk; mariateresa.mancuso@enea.it; paola.giardullo@enea.it; simonetta.pazzaglia@enea.it; annasaran60@gmail.com; amuthachelvi.daniel@dit.ie; damien.traynor@tudublin.ie; aidan.meade@tudublin.ie; fiona.lyng@tudublin.ie; soile.tapio@helmholtz-muenchen.de; mkadhim@brookes.ac.uk</t>
  </si>
  <si>
    <t>Meade, Aidan/A-5092-2013; Tapio, Soile/CAJ-5871-2022; Tapio, Soile/M-7358-2014</t>
  </si>
  <si>
    <t>Meade, Aidan/0000-0003-0353-9768; Tapio, Soile/0000-0001-9860-3683; Mancuso, Mariateresa/0000-0002-0912-9287; Daniel, Amuthachelvi/0000-0002-9622-701X; Lyng, Fiona/0000-0002-9876-963X; , SEDA/0000-0001-6045-5523</t>
  </si>
  <si>
    <t>10.3390/ijms21218389</t>
  </si>
  <si>
    <t>WOS:000589003300001</t>
  </si>
  <si>
    <t>Xiong, YM; He, LL; Yang, M; Wang, Y; Liu, XL; Ma, SS; Yang, B; Guan, FX</t>
  </si>
  <si>
    <t>Xiong, Yamin; He, Leiliang; Yang, Meng; Wang, Ya; Liu, Xinlian; Ma, Shanshan; Yang, Bo; Guan, Fangxia</t>
  </si>
  <si>
    <t>Proximity hybridization-mediated fluorescence resonance energy transfer for highly specific detection of tumor-derived exosomes: Combining multiple exosomal surface markers</t>
  </si>
  <si>
    <t>Exosomes; Combined detection of multiple markers; Proximity hybridization; Fluorescence resonance energy transfer; Lung cancer</t>
  </si>
  <si>
    <t>SIGNAL AMPLIFICATION STRATEGY; LIQUID BIOPSIES; CANCER; DNA; TARGET; CELLS</t>
  </si>
  <si>
    <t>Highly specific detection of tumor-derived exosomes is of great significance to improve the accuracy of diagnosis of cancer. Herein, based on the proximity hybridization-mediated fluorescence resonance energy transfer (FRET), a novel strategy for highly specific detection of tumor-derived exosomes was proposed by combining detection of multiple exosomal surface markers. Exosomes were enriched and separated by CD63 aptamer-functionalized nanomagnetic beads; a pair of FAM-labeled proximity probes simultaneously bind to EGFR and EpCAM on exosomes surface, which could mediate the formation of a stable DNA self-assemble complex with TAMRA-labeled signal probes through proximity hybridization, and then trigger the FRET between FAM and TAMRA to achieve highly specific detection of exosomes co-expressed CD63/EGFR/EpCAM with a LOD of 400 particles/mu L. The relative standard deviation was lower than 7.3% in 50% UC-FBS due to the ratiometric signal improving its anti-interference ability. Importantly, in addition to effectively distinguish exosomes derived from A549 cells and BEAS-2B cells, the feasibility of exosomes detection in human serum was verified, and the level of exosomes co-expressed CD63/EGFR/EpCAM in non-small cell lung cancer patients (n = 15) was significantly higher than that of healthy people (n = 15) (P &lt; 0.001). Moreover, this strategy was universal for the detection of other tumor-derived exosomes just by replacing the corresponding aptamers.</t>
  </si>
  <si>
    <t>[Xiong, Yamin; Yang, Bo] Zhengzhou Univ, Affiliated Hosp 1, Dept Neurosurg, 1 Jianshe East Rd, Zhengzhou 450001, Peoples R China; [Xiong, Yamin; Ma, Shanshan; Guan, Fangxia] Zhengzhou Univ, Sch Life Sci, 100 Sci Ave, Zhengzhou 450001, Peoples R China; [He, Leiliang; Wang, Ya; Liu, Xinlian] Zhengzhou Univ, Coll Publ Hlth, Zhengzhou 450001, Peoples R China; [Yang, Meng] Yuxi Normal Univ, Coll Chem Biol &amp; Environm, Yuxi 653100, Peoples R China</t>
  </si>
  <si>
    <t>Zhengzhou University; Zhengzhou University; Zhengzhou University; Yuxi Normal University</t>
  </si>
  <si>
    <t>Yang, B (corresponding author), Zhengzhou Univ, Affiliated Hosp 1, Dept Neurosurg, 1 Jianshe East Rd, Zhengzhou 450001, Peoples R China.;Guan, FX (corresponding author), Zhengzhou Univ, Sch Life Sci, 100 Sci Ave, Zhengzhou 450001, Peoples R China.</t>
  </si>
  <si>
    <t>yangbo96@126.com; fxguan@126.com</t>
  </si>
  <si>
    <t>10.1016/j.snb.2021.131126</t>
  </si>
  <si>
    <t>WOS:000744546700003</t>
  </si>
  <si>
    <t>Moreira, LR; Serrano, FR; Osuna, A</t>
  </si>
  <si>
    <t>Retana Moreira, Lissette; Rodriguez Serrano, Fernando; Osuna, Antonio</t>
  </si>
  <si>
    <t>Extracellular vesicles of Trypanosoma cruzi tissue-culture cell-derived trypomastigotes: Induction of physiological changes in non-parasitized culture cells</t>
  </si>
  <si>
    <t>STROMAL INTERACTION MOLECULE-1; MEMBRANE-PERMEABILITY; BETA-ADRENOCEPTORS; CHAGAS-DISEASE; IN-VITRO; INVASION; ACTIN; CALCIUM; PROTEINS; EXPRESSION</t>
  </si>
  <si>
    <t>Background Trypanosoma cruzi is the obligate intracellular parasite that causes Chagas disease. The pathogenesis of this disease is a multifactorial complex process that involves a large number of molecules and particles, including the extracellular vesicles. The presence of EVs of T. cruzi was first described in 1979 and, since then, research regarding these particles has been increasing. Some of the functions described for these EVs include the increase in heart parasitism and the immunomodulation and evasion of the host immune response. Also, EVs may be involved in parasite adhesion to host cells and host cell invasion. Methodology/Principal findings EVs (exosomes) of the Pan4 strain of T. cruzi were isolated by differential centrifugation, and measured and quantified by TEM, NTA and DLS. The effect of EVs in increasing the parasitization of Vero cells was evaluated and the ED50 was calculated. Changes in cell permeability induced by EVs were evaluated in Vero and HL-1 cardiomyocyte cells using cell viability techniques such as trypan blue and MTT assays, and by confocal microscopy. The intracellular mobilization of Ca2+ and the disruption of the actin cytoskeleton induced by EVs over Vero cells were followed-up in time using confocal microscopy. To evaluate the effect of EVs over the cell cycle, cell cycle analyses using flow cytometry and Western blotting of the phosphorylated and non-phosphorylated protein of Retinoblastoma were performed. Conclusion/Significance The incubation of cells with EVs of trypomastigotes of the Pan4 strain of T. cruzi induce a number of changes in the host cells that include a change in cell permeability and higher intracellular levels of Ca2+ that can alter the dynamics of the actin cytoskeleton and arrest the cell cycle at G0/G1 prior to the DNA synthesis necessary to complete mitosis. These changes aid the invasion of host cells and augment the percentage of cell parasitization. Author summary Extracellular vesicles (EVs) are a diverse group of nanoparticles involved in intercellular communication under physiological and pathological conditions. Trypanosoma cruzi, the protozoan that causes Chagas disease, releases EVs that facilitate parasite invasion of the host cell, immunomodulate the host response, and help the parasite to evade this response. However, little is known about how the host cell is altered. In this work, we confirm that EVs of tissue-culture cell-derived trypomastigotes of the Pan4 strain increase cell parasitism. We also demonstrate that EVs affect cell permeability in Vero cells and cardiomyocytes and raise intracellular Ca2+ levels, altering the actin filaments and arresting the cell cycle at the G0/G1 phases. This work seeks to elucidate the way in which EVs influence certain aspects of the cell physiology that favour the establishment of this parasite inside the host cell.</t>
  </si>
  <si>
    <t>[Retana Moreira, Lissette; Osuna, Antonio] Univ Granada, Dept Parasitol, Grp Bioquim &amp; Parasitol Mol, Inst Biotecnol, Granada, Spain; [Rodriguez Serrano, Fernando] Univ Granada, Inst Biopatol &amp; Med Regenerat, Granada, Spain</t>
  </si>
  <si>
    <t>University of Granada; University of Granada</t>
  </si>
  <si>
    <t>Osuna, A (corresponding author), Univ Granada, Dept Parasitol, Grp Bioquim &amp; Parasitol Mol, Inst Biotecnol, Granada, Spain.</t>
  </si>
  <si>
    <t>aosuna@ugr.es</t>
  </si>
  <si>
    <t>; RODRIGUEZ-SERRANO, FERNANDO/E-8036-2011</t>
  </si>
  <si>
    <t>Osuna, Antonio/0000-0002-3818-1471; RODRIGUEZ-SERRANO, FERNANDO/0000-0002-7105-4060</t>
  </si>
  <si>
    <t>e0007163</t>
  </si>
  <si>
    <t>10.1371/journal.pntd.0007163</t>
  </si>
  <si>
    <t>WOS:000459970700051</t>
  </si>
  <si>
    <t>Gebremedhn, S; Gad, A; Aglan, HS; Laurincik, J; Prochazka, R; Salilew-Wondim, D; Hoelker, M; Schellander, K; Tesfaye, D</t>
  </si>
  <si>
    <t>Gebremedhn, Samuel; Gad, Ahmed; Aglan, Hoda Samir; Laurincik, Jozef; Prochazka, Radek; Salilew-Wondim, Dessie; Hoelker, Michael; Schellander, Karl; Tesfaye, Dawit</t>
  </si>
  <si>
    <t>Extracellular vesicles shuttle protective messages against heat stress in bovine granulosa cells</t>
  </si>
  <si>
    <t>SHOCK PROTEINS; ENDOPLASMIC-RETICULUM; FOLLICULAR ATRESIA; PLASMA-MEMBRANE; APOPTOSIS; SUMMER; HSP90; HSP70; COMMUNICATION; REPRODUCTION</t>
  </si>
  <si>
    <t>Elevated summer temperature is reported to be the leading cause of stress in dairy and beef cows, which negatively affects various reproductive functions. Follicular cells respond to heat stress (HS) by activating the expression of heat shock family proteins (HSPs) and other antioxidants. HS is reported to negatively affect the bi-directional communication between the follicular cells and the oocyte, which is partly mediated by follicular fluid extracellular vesicles (EVs) released from surrounding cells. As carriers of bioactive molecules (DNA, RNA, protein, and lipids), the involvement of EVs in mediating the stress response in follicular cells is not fully understood. Here we used an in vitro model to decipher the cellular and EV-coupled miRNAs of bovine granulosa cells in response to HS. Moreover, the protective role of stress-related EVs against subsequent HS was assessed. For this, bovine granulosa cells from smaller follicles were cultured in vitro and after sub-confluency, cells were either kept at 37 degrees C or subjected to HS (42 degrees C). Results showed that granulosa cells exposed to HS increased the accumulation of ROS, total oxidized protein, apoptosis, and the expression of HSPs and antioxidants, while the viability of cells was reduced. Moreover, 14 and 6 miRNAs were differentially expressed in heat-stressed granulosa cells and the corresponding EVs, respectively. Supplementation of stress-related EVs in cultured granulosa cells has induced adaptive response to subsequent HS. However, this potential was not pronounced when the cells were kept under 37 degrees C. Taking together, EVs generated from granulosa cells exposed to HS has the potential to shuttle bioactive molecules to recipient cells and make them robust to subsequent HS.</t>
  </si>
  <si>
    <t>[Gebremedhn, Samuel; Tesfaye, Dawit] Colorado State Univ, Dept Biomed Sci, Anim Reprod &amp; Biotechnol Lab, 1351 Rampart Rd, Ft Collins, CO 80525 USA; [Gebremedhn, Samuel; Aglan, Hoda Samir; Salilew-Wondim, Dessie; Hoelker, Michael; Schellander, Karl; Tesfaye, Dawit] Univ Bonn, Inst Anim Sci, Anim Breeding &amp; Husb Grp, Bonn, Germany; [Gad, Ahmed; Laurincik, Jozef; Prochazka, Radek] Czech Acad Sci, Inst Anim Physiol &amp; Genet, Lab Dev Biol, Libechov, Czech Republic; [Gad, Ahmed] Cairo Univ, Dept Anim Prod, Fac Agr, Giza, Egypt; [Laurincik, Jozef] Constantine Philosopher Univ Nitra, Nitra, Slovakia; [Gebremedhn, Samuel; Tesfaye, Dawit] Mekelle Univ, Dept Anim Rangeland &amp; Wildlife Sci, Mekelle, Ethiopia</t>
  </si>
  <si>
    <t>Colorado State University; University of Bonn; Czech Academy of Sciences; Institute of Animal Physiology &amp; Genetics of the Czech Academy of Sciences; Egyptian Knowledge Bank (EKB); Cairo University; Constantine the Philosopher University in Nitra; Mekelle University</t>
  </si>
  <si>
    <t>Tesfaye, D (corresponding author), Colorado State Univ, Dept Biomed Sci, Anim Reprod &amp; Biotechnol Lab, 1351 Rampart Rd, Ft Collins, CO 80525 USA.;Tesfaye, D (corresponding author), Univ Bonn, Inst Anim Sci, Anim Breeding &amp; Husb Grp, Bonn, Germany.;Tesfaye, D (corresponding author), Mekelle Univ, Dept Anim Rangeland &amp; Wildlife Sci, Mekelle, Ethiopia.</t>
  </si>
  <si>
    <t>Dawit.Tesfaye@colostate.edu</t>
  </si>
  <si>
    <t>Laurincik, Jozef/AAC-4489-2020; Gad, Ahmed/M-7273-2013</t>
  </si>
  <si>
    <t>Laurincik, Jozef/0000-0002-7642-9650; Gad, Ahmed/0000-0001-9741-2105; Gebremedhn, Samuel/0000-0002-9977-2347</t>
  </si>
  <si>
    <t>10.1038/s41598-020-72706-z</t>
  </si>
  <si>
    <t>WOS:000577252400055</t>
  </si>
  <si>
    <t>Toyofuku, M; Roschitzki, B; Riedel, K; Eberl, L</t>
  </si>
  <si>
    <t>Toyofuku, Masanori; Roschitzki, Bernd; Riedel, Katharina; Eberl, Leo</t>
  </si>
  <si>
    <t>Identification of Proteins Associated with the Pseudomonas aeruginosa Biofilm Extracellular Matrix</t>
  </si>
  <si>
    <t>Biofilm; Extracellular matrix; Membrane vesicle; P. aeruginosa</t>
  </si>
  <si>
    <t>OUTER-MEMBRANE VESICLES; POLYMERIC SUBSTANCES; ESCHERICHIA-COLI; POLYACRYLAMIDE-GELS; HYDROGEN-PEROXIDE; ACTIVATED-SLUDGE; GENES; CELLS; DNA; CATALASE</t>
  </si>
  <si>
    <t>Biofilms are surface-associated bacteria that are embedded in a matrix of self-produced polymeric substances (EPSs). The EPS is composed of nucleic acids, polysaccharides, lipids, and proteins. While polysaccharide components have been well studied, the protein content of the matrix is largely unknown. Here we conducted a comprehensive proteomic study to identify proteins associated with the biofilm matrix of Pseudomonas aeruginosa PAO1 (the matrix proteome). This analysis revealed that approximately 30% of the identified matrix proteins were outer membrane proteins, which are also typically found in outer membrane vesicles (OMVs). Electron microscopic inspection confirmed the presence of large amounts of OMVs within the biofilm matrix, supporting previous notions that OMVs are abundant constituents of P. aeruginosa biofilms. Our results demonstrate that while some proteins associated with the P. aeruginosa matrix are derived from secreted proteins and lysed cells, the large majority of the matrix proteins originate from OMVs. Furthermore, we demonstrate that the protein content of planktonic and biofilm OMVs is surprisingly different and may reflect the different physiological states of planktonic and sessile cells.</t>
  </si>
  <si>
    <t>[Toyofuku, Masanori; Eberl, Leo] Univ Zurich, Dept Microbiol, Inst Plant Biol, Zurich, Switzerland; [Roschitzki, Bernd] Univ &amp; ETH Zurich, Funct Genom Ctr, Zurich, Switzerland; [Riedel, Katharina] Ernst Moritz Arndt Univ Greifswald, Inst Microbiol, Greifswald, Germany</t>
  </si>
  <si>
    <t>University of Zurich; ETH Zurich; Ernst Moritz Arndt Universitat Greifswald</t>
  </si>
  <si>
    <t>Eberl, L (corresponding author), Univ Zurich, Dept Microbiol, Inst Plant Biol, Zurich, Switzerland.</t>
  </si>
  <si>
    <t>toyofuku.masanori.gf@u.tsukuba.ac.jp; leberl@botinst.uzh.ch</t>
  </si>
  <si>
    <t>Riedel, Katharina/B-6091-2015; Eberl, Leo/AAE-8165-2019; Eberl, Leo/A-8380-2012</t>
  </si>
  <si>
    <t>Eberl, Leo/0000-0002-7241-0864; Riedel, Katharina/0000-0002-4629-3019</t>
  </si>
  <si>
    <t>10.1021/pr300395j</t>
  </si>
  <si>
    <t>WOS:000309441000013</t>
  </si>
  <si>
    <t>Huang, ZP; Lin, QY; Ye, X; Yang, B; Zhang, R; Chen, H; Weng, WH; Kong, JL</t>
  </si>
  <si>
    <t>Huang, Zhipeng; Lin, Qiuyuan; Ye, Xin; Yang, Bin; Zhang, Ren; Chen, Hui; Weng, Wenhao; Kong, Jilie</t>
  </si>
  <si>
    <t>Terminal deoxynucleotidyl transferase based signal amplification for enzyme-linked aptamer-sorbent assay of colorectal cancer exosomes</t>
  </si>
  <si>
    <t>CRC exosomes; TdT; Aptamer; ELASA</t>
  </si>
  <si>
    <t>SENSITIVE DETECTION; LABEL-FREE; DNA; BIOMARKERS; DIAGNOSIS; HYBRIDIZATION; IMMUNOASSAY; SYSTEM</t>
  </si>
  <si>
    <t>Exosomes have received increasingly significant attention and have shown great clinical value as biomarkers for a number of diseases. However, there is still a lack of a highly sensitive and visualized method for the detection of exosomes in numerous samples simultaneously. Here, we developed a high-throughput, colorimetric and simple method to detect colorectal cancer (CRC) exosomes based on terminal deoxynucleotidyl transferase (TdT)-aided ultraviolet signal amplification. Anti-A33, a CRC exosomal protein marker, was selected as a capture probe, and a facility-prepared EpCAM (CRC exosomal protein) aptamer-Au-primer complex was used as a signal probe. After the CRC exosomes were captured onto the surface of 96-well plates, the primer was extended to the poly(biotin-adenine) chains with the help of TdT, resulting in an increase in the binding amount of avidinmodified horseradish peroxidase (Av-HRP) for H2O2-mediated oxidation of 3,3 ',5,5 '-tetramethyl benzidine (TMB) in enzyme-linked aptamer-sorbent assay (ELASA). The results showed that the incorporation of ploy (biotin-A) enabled approximately 10.4-fold signal amplification. This approach achieved a linear range of 9.75 x 10(3)-1.95 x 10(6) particles/mu L for CRC cell-derived exosomes. The feasibility of the developed assay was evaluated using clinical serum samples. CRC patients (n = 16) could be clearly and successfully distinguished from healthy individuals (n = 9). Furthermore, this proposed platform holds considerable potential for the detection of different targets, simply by changing the aptamer and antibody</t>
  </si>
  <si>
    <t>[Huang, Zhipeng; Lin, Qiuyuan; Ye, Xin; Yang, Bin; Zhang, Ren; Chen, Hui; Kong, Jilie] Fudan Univ, Dept Chem, Shanghai 200438, Peoples R China; [Weng, Wenhao] Tongji Univ, Yangpu Hosp, Dept Clin Lab, Sch Med, Shanghai 200090, Peoples R China</t>
  </si>
  <si>
    <t>Fudan University; Tongji University</t>
  </si>
  <si>
    <t>Chen, H; Kong, JL (corresponding author), Fudan Univ, Dept Chem, Shanghai 200438, Peoples R China.</t>
  </si>
  <si>
    <t>chenhui@fudan.edu.cn; wengwenhao2010@163.com; jlkong@fudan.edu.cn</t>
  </si>
  <si>
    <t>Ye, Xin/ABC-6619-2020</t>
  </si>
  <si>
    <t>10.1016/j.talanta.2020.121089</t>
  </si>
  <si>
    <t>WOS:000564488700009</t>
  </si>
  <si>
    <t>Singh, KP; Maremanda, KP; Li, DM; Rahman, I</t>
  </si>
  <si>
    <t>Singh, Kameshwar P.; Maremanda, Krishna P.; Li, Dongmei; Rahman, Irfan</t>
  </si>
  <si>
    <t>Exosomal microRNAs are novel circulating biomarkers in cigarette, waterpipe smokers, E-cigarette users and dual smokers</t>
  </si>
  <si>
    <t>Plasma; Extracellular vesicles; Exosomes; microRNA; E-cig users; Waterpipe smokers; Cigarette smokers</t>
  </si>
  <si>
    <t>TRANSFER-RNA MUTATIONS; EXTRACELLULAR VESICLES; OXIDATIVE STRESS; EPITHELIAL-CELLS; NONCODING RNAS; SMOKING; TOBACCO; MIRNAS; GENES; LIGHT</t>
  </si>
  <si>
    <t>Background Electronic cigarettes (e-cigs) vaping, cigarette smoke, and waterpipe tobacco smoking are associated with various cardiopulmonary diseases. microRNAs are present in higher concentration in exosomes that play an important role in various physiological and pathological functions. We hypothesized that the non-coding RNAs transcript may serve as susceptibility to disease biomarkers by smoking and vaping. Methods Plasma exosomes/EVs from cigarette smokers, waterpipe smokers and dual smokers (cigarette and waterpipe) were characterized for their size, morphology and TEM, Nanosight and immunoblot analysis. Exosomal RNA was used for small RNA library preparation and the library was quantified using the High Sensitivity DNA Analysis on the Agilent 2100 Bioanalyzer system and sequenced using the Illumina NextSeq 500 and were converted to fastq format for mapping genes. Results Enrichment of various non-coding RNAs that include microRNAs, tRNAs, piRNAs, snoRNAs, snRNAs, Mt-tRNAs, and other biotypes are shown in exosomes. A comprehensive differential expression analysis of miRNAs, tRNAs and piRNAs showed significant changes across different pairwise comparisons. The seven microRNAs that were common and differentially expressed of when all the smoking and vaping groups were compared with non-smokers (NS) are hsa-let-7a-5p, hsa-miR-21-5p, hsa-miR-29b-3p, hsa-let-7f-5p, hsa-miR-143-3p, hsa-miR-30a-5p and hsa-let-7i-5p. The e-cig vs. NS group has differentially expressed 5 microRNAs (hsa-miR-224-5p, hsa-miR-193b-3p, hsa-miR-30e-5p, hsa-miR-423-3p, hsa-miR-365a-3p, and hsa-miR-365b-3p), which are not expressed in other three groups. Gene set enrichment analysis of microRNAs showed significant changes in the top six enriched functions that consisted of biological pathway, biological process, molecular function, cellular component, site of expression and transcription factor in all the groups. Further, the pairwise comparison of tRNAs and piRNA in all these groups revealed significant changes in their expressions. Conclusions Plasma exosomes of cigarette smokers, waterpipe smokers, e-cig users and dual smokers have common differential expression of microRNAs which may serve to distinguish smoking and vaping subjects from NS. Among them has-let-7a-5p has high sensitivity and specificity to distinguish NS with the rest of the users, using ROC curve analysis. These findings will pave the way for the utilizing the potential of exosomes/miRNAs as a novel theranostic agents in lung injury and disease caused by tobacco smoking and vaping.</t>
  </si>
  <si>
    <t>[Singh, Kameshwar P.; Maremanda, Krishna P.; Rahman, Irfan] Univ Rochester, Dept Environm Med, Med Ctr, Box 850,601 Elmwood Ave, Rochester, NY 14642 USA; [Li, Dongmei] Univ Rochester, Med Ctr, Dept Clin &amp; Translat Res, Rochester, NY 14642 USA</t>
  </si>
  <si>
    <t>University of Rochester; University of Rochester</t>
  </si>
  <si>
    <t>Rahman, I (corresponding author), Univ Rochester, Dept Environm Med, Med Ctr, Box 850,601 Elmwood Ave, Rochester, NY 14642 USA.</t>
  </si>
  <si>
    <t>irfan_rahman@urmc.rochester.edu</t>
  </si>
  <si>
    <t>Maremanda, Krishna/AAC-7789-2019</t>
  </si>
  <si>
    <t>Maremanda, Krishna/0000-0002-8458-9785</t>
  </si>
  <si>
    <t>10.1186/s12920-020-00748-3</t>
  </si>
  <si>
    <t>WOS:000570655600001</t>
  </si>
  <si>
    <t>Li, H; Feng, Y; Zheng, X; Jia, M; Mei, ZQ; Wang, Y; Zhang, Z; Zhou, ML; Li, CH</t>
  </si>
  <si>
    <t>Li, Hui; Feng, Yue; Zheng, Xiu; Jia, Ming; Mei, Zhiqiang; Wang, Yao; Zhang, Zhuo; Zhou, Meiling; Li, Chunhong</t>
  </si>
  <si>
    <t>M2-type exosomes nanoparticles for rheumatoid arthritis therapy via macrophage re-polarization</t>
  </si>
  <si>
    <t>Rheumatoid arthritis; Exosomes; Macrophage polarization; Synergistic effect; Anti-inflammatory activity</t>
  </si>
  <si>
    <t>DELIVERY; DEXAMETHASONE; NANOMEDICINES; MICROVESICLE; MICELLES; SIRNA</t>
  </si>
  <si>
    <t>Imbalance between the activities of pro-inflammatory M1 and anti-inflammatory M2 macrophages in rheumatoid arthritis (RA) induces synovial inflammation and autoimmunity, leading to joint damage. Here we encapsulated a plasmid DNA encoding the anti-inflammatory cytokine interleukin-10 (IL-10 pDNA) and the chemotherapeutic drug betamethasone sodium phosphate (BSP) into biomimetic vector M2 exosomes (M2 Exo) derived from M2 -type macrophages. We demonstrate that the loaded exosomes target and reduce inflammation for combined therapy against RA. The in vitro efficiency of the M2 Exo/pDNA/BSP co-delivery system was attributed to the synergistic effect of IL-10 pDNA and BSP, which also promoted M1-to-M2 macrophage polarization by reducing the secretion of pro-inflammatory cytokines (IL-1 beta, TNF-alpha) and increasing the expression of IL-10 cytokine. In a mouse model of RA, M2 Exo/pDNA/BSP showed good accumulation at inflamed joint sites, high anti-inflammatory activity, and potent therapeutic effect. The delivery system was non-toxic both in vitro and in vivo. Thus, this system may serve as a promising biocompatible drug carrier and anti-inflammatory agent for RA treatment based on M1-to-M2 macrophage re-polarization.</t>
  </si>
  <si>
    <t>[Li, Hui; Zheng, Xiu; Jia, Ming; Wang, Yao; Zhang, Zhuo; Li, Chunhong] Southwest Med Univ, Sch Pharm, Dept Pharmaceut Sci, 3-319 Zhongshan Rd, Luzhou 646000, Sichuan, Peoples R China; [Feng, Yue] Southwest Med Univ, Dept Nucl Med, Affiliated Hosp, Luzhou 646000, Sichuan, Peoples R China; [Feng, Yue] Nucl Med &amp; Mol Imaging Key Lab Sichuan Prov, Luzhou 646000, Sichuan, Peoples R China; [Mei, Zhiqiang] Southwest Med Univ, Res Ctr Preclin Med, Luzhou 646000, Sichuan, Peoples R China; [Zhou, Meiling] Southwest Med Univ, Dept Pharm, Affiliated Hosp, 25 Taiping St, Luzhou 646000, Sichuan, Peoples R China</t>
  </si>
  <si>
    <t>Southwest Medical University; Southwest Medical University; Southwest Medical University; Southwest Medical University</t>
  </si>
  <si>
    <t>Zhang, Z; Li, CH (corresponding author), Southwest Med Univ, Sch Pharm, Dept Pharmaceut Sci, 3-319 Zhongshan Rd, Luzhou 646000, Sichuan, Peoples R China.;Zhou, ML (corresponding author), Southwest Med Univ, Dept Pharm, Affiliated Hosp, 25 Taiping St, Luzhou 646000, Sichuan, Peoples R China.</t>
  </si>
  <si>
    <t>zhang_zhuo@cmu.ac.th; meilzhou@163.com; lispringhong@126.com</t>
  </si>
  <si>
    <t>10.1016/j.jconrel.2021.11.019</t>
  </si>
  <si>
    <t>WOS:000744266500002</t>
  </si>
  <si>
    <t>Shaikh, S; Rehman, FU; Du, TY; Jiang, H; Yin, LH; Wang, XM; Chai, RJ</t>
  </si>
  <si>
    <t>Shaikh, Sana; Rehman, Fawad Ur; Du, Tianyu; Jiang, Hui; Yin, Lihong; Wang, Xuemei; Chai, Renjie</t>
  </si>
  <si>
    <t>Real-Time Multimodal Bioimaging of Cancer Cells and Exosomes through Biosynthesized Iridium and Iron Nanoclusters</t>
  </si>
  <si>
    <t>multimodal bioimaging; iridium; tumor; exosomes</t>
  </si>
  <si>
    <t>IN-SITU BIOSYNTHESIS; OXIDE NANOPARTICLES; DNA-DAMAGE; FLUORESCENCE; ASSOCIATION; RELAXIVITY; COMPLEXES; PLATFORM; INVITRO; TUMORS</t>
  </si>
  <si>
    <t>Multimodal bioimaging is a powerful tool for visualizing the abnormal state at the target site of the related disease. In this study, we used multimodal imaging techniques such as computed tomography, fluorescence, and magnetic resonance imaging to improve early and precise diagnosis of tumor. Herein, we reported the facile in situ biosynthesis of iridium and iron oxide nanoclusters (NCs) in cancer cells or tumor tissue. These NCs are used as a multimodal bioimaging probe to improve the image sensitivity and specificity toward the tumor. These NCs are applied for the in vivo multimodal imaging in the form of an imaging probe capable of enhancing the sensitivity of the image and specificity toward the tumor tissue. Our observation demonstrates that highly luminescent and magnetic NCs are not only biocompatible but also tumor-targeted because NC formation does not take place in normal cells and tissues. In addition, we isolated exosomes and the biosynthesized NCs internalized within exosomes, and these exosomes can be used as cancer biomarkers.</t>
  </si>
  <si>
    <t>[Shaikh, Sana; Rehman, Fawad Ur; Du, Tianyu; Jiang, Hui; Wang, Xuemei; Chai, Renjie] Southeast Univ, Sch Biol Sci &amp; Med Engn, Chien Shiung Wu Lab, State Key Lab Bioelect, Nanjing 210096, Jiangsu, Peoples R China; [Shaikh, Sana; Wang, Xuemei; Chai, Renjie] Southeast Univ, Minist Educ, Inst Life Sci, Key Lab Dev Genes &amp; Human Dis, Nanjing 210096, Jiangsu, Peoples R China; [Chai, Renjie] Nantong Univ, Coinnovat Ctr Neuroregenerat, Nantong 226001, Peoples R China; [Yin, Lihong] Southeast Univ, Sch Publ Hlth, Minist Educ, Key Lab Environm Med Engn, Nanjing 210009, Jiangsu, Peoples R China</t>
  </si>
  <si>
    <t>Southeast University - China; Southeast University - China; Nantong University; Southeast University - China</t>
  </si>
  <si>
    <t>Wang, XM; Chai, RJ (corresponding author), Southeast Univ, Sch Biol Sci &amp; Med Engn, Chien Shiung Wu Lab, State Key Lab Bioelect, Nanjing 210096, Jiangsu, Peoples R China.;Wang, XM; Chai, RJ (corresponding author), Southeast Univ, Minist Educ, Inst Life Sci, Key Lab Dev Genes &amp; Human Dis, Nanjing 210096, Jiangsu, Peoples R China.;Chai, RJ (corresponding author), Nantong Univ, Coinnovat Ctr Neuroregenerat, Nantong 226001, Peoples R China.</t>
  </si>
  <si>
    <t>xuewang@seu.edu.cn; renjiec@seu.edu.cn</t>
  </si>
  <si>
    <t>Rehman, Fawad Ur/J-9992-2019</t>
  </si>
  <si>
    <t>Rehman, Fawad Ur/0000-0001-7403-0040</t>
  </si>
  <si>
    <t>10.1021/acsami.8b08975</t>
  </si>
  <si>
    <t>WOS:000441477800026</t>
  </si>
  <si>
    <t>Cao, Y; Wang, Y; Yu, XM; Jiang, XH; Li, G; Zhao, J</t>
  </si>
  <si>
    <t>Cao, Ya; Wang, Ying; Yu, Xiaomeng; Jiang, Xihui; Li, Gang; Zhao, Jing</t>
  </si>
  <si>
    <t>Identification of programmed death ligand-1 positive exosomes in breast cancer based on DNA amplification-responsive metal-organic frameworks</t>
  </si>
  <si>
    <t>Metal-organic framework; Hyperbranched rolling circle amplification; Breast cancer; Programmed death ligand-1; Electrochemical technique</t>
  </si>
  <si>
    <t>METASTASIS</t>
  </si>
  <si>
    <t>Cancer-derived exosomes have recently emerged as potent candidates for diagnosis and prognosis of breast cancer. As an example, programmed death ligand-1 positive (PD-L1(+)) exosomes are found to be correlated with the progression and immunotherapy response of breast cancer, and therefore show great potential in liquid biopsy. Herein, we propose an electrochemical biosensing method for accurate identification of PD-L1(+) exosomes by using DNA amplification-responsive metal-organic frameworks, PVP@HRP@ZIF-8. Specially, PD-L1(+) exosomes are captured by anti-CD63 functionalized magnetic beads and bound with anti-PD-Ll -linked capture probe. Then, in situ hyperbranched rolling circle amplification, a typical DNA amplification reaction, is conducted using the surface-attached capture probes as primers, which lows environmental pH. As a result, disassembly of PVP@HRP@ZIF-8 takes place, leading to the release of enzymes, which can arouse amplified electrochemical responses for the identification of target exosomes. Experimental results reveal that the biosensing method displays a linear range for PD-L1(+ )exosomes identification from 1 x 10(3) to 1 x 10(10) particles/mL and the detection limit reaches 334 particles/mL. What is more, by using the method, elevated level of circulating PD-L1(+) exosomes is found in the undiluted serum samples from patients with breast cancer, particularly for metastatic breast cancer, revealing a positive correlation of the PD-L1(+) exosome level with the tumor staging and disease progression of breast cancer. Therefore, the biosensing method may be valuable for not only exosome identification but also providing reference information for diagnosis and real-time monitoring of breast cancer in the future.</t>
  </si>
  <si>
    <t>[Cao, Ya; Wang, Ying; Yu, Xiaomeng; Jiang, Xihui; Zhao, Jing] Shanghai Univ, Ctr Mol Recognit &amp; Biosensing, Sch Life Sci, Shanghai 200444, Peoples R China; [Wang, Ying; Li, Gang] Fudan Univ, Minhang Branch, Shanghai Canc Ctr, Shanghai 200240, Peoples R China; [Jiang, Xihui] Suzhou Chien Shiung Inst Technol, Dept Med Sci &amp; Technol, Taicang 215411, Peoples R China</t>
  </si>
  <si>
    <t>Shanghai University; Fudan University</t>
  </si>
  <si>
    <t>Zhao, J (corresponding author), Shanghai Univ, Ctr Mol Recognit &amp; Biosensing, Sch Life Sci, Shanghai 200444, Peoples R China.;Li, G (corresponding author), Fudan Univ, Minhang Branch, Shanghai Canc Ctr, Shanghai 200240, Peoples R China.</t>
  </si>
  <si>
    <t>13391071510@163.com; jingzhao@t.shu.edu.cn</t>
  </si>
  <si>
    <t>Cao, Ya/0000-0002-1099-7823</t>
  </si>
  <si>
    <t>10.1016/j.bios.2020.112452</t>
  </si>
  <si>
    <t>WOS:000566449100006</t>
  </si>
  <si>
    <t>Shang, Y; Sun, YH; Xu, J; Ge, XH; Hu, ZL; Xiao, J; Ning, YY; Dong, YC; Bai, C</t>
  </si>
  <si>
    <t>Shang, Yan; Sun, Yahong; Xu, Jing; Ge, Xiahui; Hu, Zhenli; Xiao, Jiang; Ning, Yunye; Dong, Yuchao; Bai, Chong</t>
  </si>
  <si>
    <t>Exosomes from mmu_circ_0001359-Modified ADSCs Attenuate Airway Remodeling by Enhancing FoxO1 Signaling-Mediated M2-like Macrophage Activation</t>
  </si>
  <si>
    <t>INFLAMMATION; ALVEOLAR</t>
  </si>
  <si>
    <t>Asthma is the most common chronic disease and is characterized by airway remodeling and chronic inflammation. Increasingly, studies have found that the activation and M1 phenotypic transformation of macrophages play important roles in asthma progress, including airway remodeling. However, the reversal of M1 macrophages to the M2 phenotype has been shown to attenuate airway remodeling. Exosomes are nano-sized extracellular vesicles derived from endosomes; they play direct roles in governing physiological and pathological conditions by the intracellular transfer of bioactive cargo, such as proteins, enzymes, nucleic acids (microRNA [miRNA], mRNA, DNA), and metabolites. However, transfer mechanisms are unclear. To uncover potential therapeutic mechanisms, we constructed an ovalbumin-induced asthma mouse model and lipopolysac-charide-induced RAW264.7 macrophages cells. High-throughput sequencing showed that mmu_circ_0001359 was downregulated in asthmatic mice when compared with normal mice. Adipose-derived stem cell (ADSC)-exosome treatment suppressed inflammatory cytokine expression by the conversion of M1 macrophages to the M2 phenotype, under lipopolysaccharide-induced conditions. Exosomes from mmu_circ_0001359 overexpression in ADSCs increased therapeutic effects, in terms of cytokine expression, when compared with wild-type exosomes. Luciferase reporter assays confirmed that exosomes from mmu_circ_0001359-modified ADSCs attenuated airway remodeling by enhancing Fox01 signaling-mediated M2-like macrophage activation, via sponging miR-183-5p. In conclusion, mmu_circ_0001359-enriched exosomes attenuated airway remodeling by promoting M2-like macrophages.</t>
  </si>
  <si>
    <t>[Shang, Yan; Hu, Zhenli; Xiao, Jiang; Ning, Yunye; Dong, Yuchao; Bai, Chong] Second Mil Med Univ, Changhai Hosp, Dept Resp &amp; Crit Care Med, Naval Med Univ, Shanghai 200433, Peoples R China; [Sun, Yahong] Haining Peoples Hosp Zhejiang Prov, Dept Resp Med, Haining 314400, Zhejiang, Peoples R China; [Xu, Jing; Ge, Xiahui] Shanghai Univ TCM, Dept Resp Med, Peoples Hosp 7, Shanghai 200137, Peoples R China</t>
  </si>
  <si>
    <t>Naval Medical University; Shanghai University of Traditional Chinese Medicine</t>
  </si>
  <si>
    <t>Shang, Y; Bai, C (corresponding author), Second Mil Med Univ, Changhai Hosp, Dept Resp &amp; Crit Care Med, Naval Med Univ, Shanghai 200433, Peoples R China.</t>
  </si>
  <si>
    <t>shangyan751200@163.com; bc7878@sohu.com</t>
  </si>
  <si>
    <t>10.1016/j.omtn.2019.10.049</t>
  </si>
  <si>
    <t>WOS:000519557700082</t>
  </si>
  <si>
    <t>Wlodarczyk, A; Szymanska, A; Bakowska, A; Sklodowska, A; Matlakowska, R</t>
  </si>
  <si>
    <t>Wlodarczyk, Agnieszka; Szymanska, Agata; Bakowska, Agnieszka; Sklodowska, Aleksandra; Matlakowska, Renata</t>
  </si>
  <si>
    <t>Extracellular Membrane Structures: A Component of the Epilithic Biofilm on the Kupferschiefer Black Shale</t>
  </si>
  <si>
    <t>GEOMICROBIOLOGY JOURNAL</t>
  </si>
  <si>
    <t>Biofilm; membrane vesicles; sedimentary rock</t>
  </si>
  <si>
    <t>FORE-SUDETIC MONOCLINE; ESCHERICHIA-COLI K-12; OUTER-MEMBRANE; PSEUDOMONAS-AERUGINOSA; SHEWANELLA-PUTREFACIENS; VESICLES; BACTERIA; DNA; PROTEOMICS; POLAND</t>
  </si>
  <si>
    <t>The presented study focuses on the characterization of extracellular membrane structures (EMSs) detected in the biofilm of an indigenous bacterial consortium growing on the surface of the Kupferschiefer black shale under model laboratory conditions. Received results showed that several types of extracellular structures, including multilayer vesicle-like structures observed for the first time, are a significant component of mixed-species bacterial biofilm. Based on the protein profile, the potential structure and functions of the EMSs were discussed. The findings of this study expand the current knowledge about biofilms formed by bacterial consortia on the surface of sedimentary rocks and show the diversity of EMSs produced by environmental microorganisms.</t>
  </si>
  <si>
    <t>[Wlodarczyk, Agnieszka; Szymanska, Agata; Bakowska, Agnieszka; Sklodowska, Aleksandra; Matlakowska, Renata] Univ Warsaw, Fac Biol, Lab Environm Pollut Anal, Miecznikowa 1, PL-02096 Warsaw, Poland</t>
  </si>
  <si>
    <t>Matlakowska, R (corresponding author), Univ Warsaw, Fac Biol, Lab Environm Pollut Anal, Miecznikowa 1, PL-02096 Warsaw, Poland.</t>
  </si>
  <si>
    <t>Matlakowska, Renata/0000-0002-9419-9254; Sklodowska, Aleksandra/0000-0002-3582-278X</t>
  </si>
  <si>
    <t>0149-0451</t>
  </si>
  <si>
    <t>1521-0529</t>
  </si>
  <si>
    <t>10.1080/01490451.2016.1163625</t>
  </si>
  <si>
    <t>Environmental Sciences; Geosciences, Multidisciplinary</t>
  </si>
  <si>
    <t>Environmental Sciences &amp; Ecology; Geology</t>
  </si>
  <si>
    <t>WOS:000394650300008</t>
  </si>
  <si>
    <t>Xiao, DY; Li, XH; Rouchka, EC; Waigel, S; Zacharias, W; McMasters, KM; Hao, HY</t>
  </si>
  <si>
    <t>Xiao, Deyi; Li, Xiaohong; Rouchka, Eric C.; Waigel, Sabine; Zacharias, Wolfgang; McMasters, Kelly M.; Hao, Hongying</t>
  </si>
  <si>
    <t>Comparative gene expression analysis in melanocytes driven by tumor cell-derived exosomes</t>
  </si>
  <si>
    <t>EXPERIMENTAL CELL RESEARCH</t>
  </si>
  <si>
    <t>RNA sequencing; Melanoma; Exosome; Melanocyte; Tumor progression</t>
  </si>
  <si>
    <t>EXTRACELLULAR VESICLES; ONTOLOGY; TOOL; ID3</t>
  </si>
  <si>
    <t>Abundant with organelle-like membranous structures, the tumor microenvironment is composed of cancer cells that secrete exosomes. Studies have shown that these secreted exosomes transport RNA and active molecules to other cells to reshape the tumor microenvironment and promote tumor growth. In fact, we found that exosomes derived from melanoma cells drive pre-malignant transition in primary melanocytes. However, there is little available in the scientific literature on how exosomes modulate melanocytes in the microenvironment to optimize conditions for tumor progression and metastasis. We therefore focused this current study on identifying these conditions genetically. Through RNA sequencing, we analyzed gene expression levels of melanocytes driven by exosomes derived from melanoma and lung cancer cells compared with those without exosome controls. Significant differences were found in gene expression patterns of melanocytes driven by exosomes derived from melanoma and lung cancer cells. In the melanocytes responding to exosomes derived from melanoma cells, genes of lipopolysaccharide and regulation of leukocyte chemotaxis were predominant. In the melanocytes responding to exosomes derived from lung cancer cells, genes of DNA replication and mitotic nuclear division played an important role. These results provide further mechanistic understanding of tumor progression promoted by tumor-derived exosomes. This will also help identify potential therapeutic targets for melanoma progression.</t>
  </si>
  <si>
    <t>[Xiao, Deyi; McMasters, Kelly M.; Hao, Hongying] Univ Louisville, Hiram C Polk Jr MD Dept Surg, Sch Med, Louisville, KY 40292 USA; [Li, Xiaohong; Rouchka, Eric C.] Univ Louisville, Bioinformat Lab, Sch Med, Louisville, KY 40292 USA; [Waigel, Sabine; Zacharias, Wolfgang] Univ Louisville, Genom Facil, Sch Med, Louisville, KY 40292 USA; [Zacharias, Wolfgang] Univ Louisville, James Graham Brown Canc Ctr, Sch Med, Dept Med, Louisville, KY 40292 USA; [Zacharias, Wolfgang] Univ Louisville, James Graham Brown Canc Ctr, Sch Med, Dept Pharmacol &amp; Toxicol, Louisville, KY 40292 USA</t>
  </si>
  <si>
    <t>University of Louisville; University of Louisville; University of Louisville; University of Louisville; University of Louisville</t>
  </si>
  <si>
    <t>Hao, HY (corresponding author), Univ Louisville, Hiram C Polk Jr MD Dept Surg, Clin Translat Res Bldg,505 S Hancock St,Room 407, Louisville, KY 40202 USA.</t>
  </si>
  <si>
    <t>h0hao001@louisville.edu</t>
  </si>
  <si>
    <t>0014-4827</t>
  </si>
  <si>
    <t>1090-2422</t>
  </si>
  <si>
    <t>10.1016/j.yexcr.2019.111690</t>
  </si>
  <si>
    <t>WOS:000507428500009</t>
  </si>
  <si>
    <t>He, F; Liu, H; Guo, XG; Yin, BC; Ye, BC</t>
  </si>
  <si>
    <t>He, Fang; Liu, Hui; Guo, Xinggang; Yin, Bin-Cheng; Ye, Bang-Ce</t>
  </si>
  <si>
    <t>Direct Exosome Quantification via Bivalent-Cholesterol-Labeled DNA Anchor for Signal Amplification</t>
  </si>
  <si>
    <t>NANOPARTICLE TRACKING ANALYSIS; EXTRACELLULAR VESICLES; BREAST-CANCER; CELL-SURFACE; POLYETHYLENE-GLYCOL; PANCREATIC-CANCER; SECRETION; SEPARATION; ASSEMBLIES; BIOLOGY</t>
  </si>
  <si>
    <t>Exosomes, as an important subpopulation of extracellular vesicles (EVs), play an important role in intercellular communications in various important pathophysiological processes, especially cancer-related. However, reliable and convenient quantitative methods for their determination are still technically challenging. In this study, we developed an efficient and direct method by combining immunoaffinity and lipid membrane surface modification into a single platform for specific isolation and accurate quantification of exosomes. Exosomes are specifically captured by immunomagnetic beads, and then a bivalent-cholesterol (BChol)-labeled DNA anchor with high affinity is spontaneously inserted into the exosome membrane. The rationally designed sticky end of the anchor acts as the initiator for the subsequent horseradish peroxidase (HRP)-linked hybridization chain reaction (HCR) for signal amplification. Detection is based on the color change of HRP-catalyzed H2O2,-mediated oxidation of 3,3',5,5'- tetramethyl benzidine (TMB), which can be conveniently observed by the naked eye and monitored by UV vis spectrometry. This proposed method enables sensitive detection of 2.2 X 103 exosomes per microliter with a relative standard deviation of &lt;5.6%, with 100-fold higher sensitivity compared to conventional ELISA. We believe that our assay has considerable potential as a routine bioassay (cost-efficient, reliable, and easy to operate) for the accurate quantification of exosomes in clinical samples.</t>
  </si>
  <si>
    <t>[He, Fang; Yin, Bin-Cheng; Ye, Bang-Ce] East China Univ Sci &amp; Technol, State Key Lab Bioreactor Engn, Lab Biosyst &amp; Microanal, Shanghai 200237, Peoples R China; [Liu, Hui; Guo, Xinggang] Eastern Hepatobiliary Surg Hosp, Dept Hepat Surg 3, Shanghai 200438, Peoples R China; [Ye, Bang-Ce] Zhejiang Univ Technol, Coll Pharmaceut Sci, Collaborat Innovat Ctr Yangtze River Delta Reg Gr, Hangzhou 310014, Zhejiang, Peoples R China</t>
  </si>
  <si>
    <t>East China University of Science &amp; Technology; Naval Medical University; Zhejiang University of Technology</t>
  </si>
  <si>
    <t>Yin, BC (corresponding author), East China Univ Sci &amp; Technol, State Key Lab Bioreactor Engn, Lab Biosyst &amp; Microanal, Shanghai 200237, Peoples R China.</t>
  </si>
  <si>
    <t>binchengyin@ecust.edu.cn</t>
  </si>
  <si>
    <t>DEC 5</t>
  </si>
  <si>
    <t>10.1021/acs.analchem.7b03919</t>
  </si>
  <si>
    <t>WOS:000417549600051</t>
  </si>
  <si>
    <t>Medvedeva, ES; Baranova, NB; Mouzykantov, AA; Grigorieva, TY; Davydova, MN; Trushin, MV; Chernova, OA; Chernov, VM</t>
  </si>
  <si>
    <t>Medvedeva, Elena S.; Baranova, Natalia B.; Mouzykantov, Alexey A.; Grigorieva, Tatiana Yu.; Davydova, Marina N.; Trushin, Maxim V.; Chernova, Olga A.; Chernov, Vladislav M.</t>
  </si>
  <si>
    <t>Adaptation of Mycoplasmas to Antimicrobial Agents: Acholeplasma laidlawii Extracellular Vesicles Mediate the Export of Ciprofloxacin and a Mutant Gene Related to the Antibiotic Target</t>
  </si>
  <si>
    <t>SCIENTIFIC WORLD JOURNAL</t>
  </si>
  <si>
    <t>OUTER-MEMBRANE VESICLES; TOPOISOMERASE-IV; VIRULENCE GENES; DNA GYRASE; RESISTANCE</t>
  </si>
  <si>
    <t>This study demonstrated that extracellular membrane vesicles are involved with the development of resistance to fluoroquinolones by mycoplasmas (class Mollicutes). This study assessed the differences in susceptibility to ciprofloxacin among strains of Acholeplasma laidlawii PG8. The mechanisms of mycoplasma resistance to antibiotics may be associated with a mutation in a gene related to the target of quinolones, which could modulate the vesiculation level. A. laidlawii extracellular vesicles mediated the export of the nucleotide sequences of the antibiotic target gene as well as the traffic of ciprofloxacin. These results may facilitate the development of effective approaches to control mycoplasma infections, as well as the contamination of cell cultures and vaccine preparations.</t>
  </si>
  <si>
    <t>[Medvedeva, Elena S.; Baranova, Natalia B.; Mouzykantov, Alexey A.; Grigorieva, Tatiana Yu.; Davydova, Marina N.; Trushin, Maxim V.; Chernova, Olga A.; Chernov, Vladislav M.] Russian Acad Sci, Kazan Sci Ctr, Kazan Inst Biochem &amp; Biophys, Kazan 420111, Russia; [Trushin, Maxim V.; Chernova, Olga A.; Chernov, Vladislav M.] Kazan Fed Univ, Kazan 420008, Russia</t>
  </si>
  <si>
    <t>Chernov, VM (corresponding author), Russian Acad Sci, Kazan Sci Ctr, Kazan Inst Biochem &amp; Biophys, Kazan 420111, Russia.</t>
  </si>
  <si>
    <t>chernov@mail.knc.ru</t>
  </si>
  <si>
    <t>10.1155/2014/150615</t>
  </si>
  <si>
    <t>WOS:000330852100001</t>
  </si>
  <si>
    <t>Zhang, Y; Jin, X; Liang, JQ; Guo, YL; Sun, GG; Zeng, XF; Yin, H</t>
  </si>
  <si>
    <t>Zhang, Ying; Jin, Xue; Liang, Jiaqi; Guo, Yilan; Sun, Gaoge; Zeng, Xianfeng; Yin, Hang</t>
  </si>
  <si>
    <t>Extracellular vesicles derived from ODN-stimulated macrophages transfer and activate Cdc42 in recipient cells and thereby increase cellular permissiveness to EV uptake</t>
  </si>
  <si>
    <t>TOLL-LIKE RECEPTORS; EXOSOMES; COMMUNICATION; BIOGENESIS; SECRETION; PATHWAY; TARGETS; VACCINE; DNA</t>
  </si>
  <si>
    <t>Endosomal Toll-like receptors (TLRs) mediate intracellular innate immunity via the recognition of DNA and RNA sequences. Recent work has reported a role for extracellular vesicles (EVs), known to transfer various nucleic acids, in uptake of TLR-activating molecules, raising speculation about possible roles of EVs in innate immune surveillance. Whether EV-mediated uptake is a general mechanism, however, was unresolved; and the molecular machinery that might be involved was unknown. We show that, when macrophages are stimulated with the TLR9 agonist CpG oligodeoxynucleotides (ODN), the secreted EVs transport ODN into naive macrophages and induce the release of chemokine TNF-alpha. In addition, these EVs transfer Cdc42 into recipient cells, resulting in further enhancement of their cellular uptake. Transport of ODN and Cdc42 from TLR9-activated macrophages to naive cells via EVs exerts synergetic effects in propagation of the intracellular immune response, suggesting a general mechanism of EV-mediated uptake of pathogen-associated molecular patterns.</t>
  </si>
  <si>
    <t>[Zhang, Ying; Yin, Hang] Tsinghua Univ, Key Lab Bioorgan Phosphorus Chem &amp; Chem Biol, Minist Educ, Sch Pharmaceut Sci, Beijing 100082, Peoples R China; [Zhang, Ying; Jin, Xue; Liang, Jiaqi; Guo, Yilan; Sun, Gaoge; Zeng, Xianfeng; Yin, Hang] Tsinghua Univ, Peking Univ Joint Ctr Life Sci, Beijing 100084, Peoples R China; [Zhang, Ying; Jin, Xue; Liang, Jiaqi; Guo, Yilan; Sun, Gaoge; Zeng, Xianfeng; Yin, Hang] Tsinghua Univ, Beijing Adv Innovat Ctr Struct Biol, Beijing 100082, Peoples R China; [Jin, Xue] Peking Univ, Sch Life Sci, Beijing 100871, Peoples R China</t>
  </si>
  <si>
    <t>Tsinghua University; Tsinghua University; Tsinghua University; Peking University</t>
  </si>
  <si>
    <t>Yin, H (corresponding author), Tsinghua Univ, Key Lab Bioorgan Phosphorus Chem &amp; Chem Biol, Minist Educ, Sch Pharmaceut Sci, Beijing 100082, Peoples R China.;Yin, H (corresponding author), Tsinghua Univ, Peking Univ Joint Ctr Life Sci, Beijing 100084, Peoples R China.;Yin, H (corresponding author), Tsinghua Univ, Beijing Adv Innovat Ctr Struct Biol, Beijing 100082, Peoples R China.</t>
  </si>
  <si>
    <t>Zhang, Ying/0000-0003-3362-3952; JIN, XUE/0000-0003-4214-6238; Zeng, Xianfeng/0000-0001-9593-3388</t>
  </si>
  <si>
    <t>eaav1564</t>
  </si>
  <si>
    <t>10.1126/sciadv.aav1564</t>
  </si>
  <si>
    <t>WOS:000478770400017</t>
  </si>
  <si>
    <t>Keup, C; Suryaprakash, V; Storbeck, M; Hoffmann, O; Kimmig, R; Kasimir-Bauer, S</t>
  </si>
  <si>
    <t>Keup, Corinna; Suryaprakash, Vinay; Storbeck, Markus; Hoffmann, Oliver; Kimmig, Rainer; Kasimir-Bauer, Sabine</t>
  </si>
  <si>
    <t>Longitudinal Multi-Parametric Liquid Biopsy Approach Identifies Unique Features of Circulating Tumor Cell, Extracellular Vesicle, and Cell-Free DNA Characterization for Disease Monitoring in Metastatic Breast Cancer Patients</t>
  </si>
  <si>
    <t>multi-parametric; multi-modal; multi-analyte; follow-up; serial sampling; gene expression; molecular signature; mutation; next-generation sequencing; unique molecular indices</t>
  </si>
  <si>
    <t>ESR1 MUTATIONS; FOLLOW-UP; PROGRESSION; GUIDELINE; SELECTION; SURVIVAL; THERAPY; RISK</t>
  </si>
  <si>
    <t>Dynamics of mRNA from circulating tumor cells (CTCs), mRNA from extracellular vesicles (EVs), and cell-free DNA (cfDNA) were assessed to examine the relevance of a longitudinal multi-parametric liquid biopsy strategy. Eighteen milliliters of blood was drawn from 27 hormone receptor-positive and human epidermal growth factor receptor 2 (HER2)-negative metastatic breast cancer (MBC) patients at disease progression and at two subsequent radiologic staging time points. CTC mRNA and EV mRNA were analyzed using multi-marker qPCR, and cfDNA was analyzed using targeted next-generation sequencing (NGS). The presence of ERBB2 or ERBB3 overexpression signals in CTCs significantly correlated with disease progression (87% specificity, 36% sensitivity, p-value = 0.023), and the presence of either ERBB3 signals in CTCs or EVs or cfDNA variants in ERBB3 also showed a significant association with progressive MBC. Fluctuations during treatment were detected in the EV fraction with the appearance of hitherto undetected ERCC1 signals correlating with progressive disease (97% specificity, 18% sensitivity, p-value = 0.030). Allele frequency development of ESR1 and PIK3CA variants detected at subsequent staging time points could be used as a predictor for therapy success and, importantly, might help guide therapy decisions. The three analytes, each with their own unique features for disease monitoring, were shown to be complementary, underlining the usefulness of the longitudinal multi-parametric liquid biopsy approach.</t>
  </si>
  <si>
    <t>[Keup, Corinna; Hoffmann, Oliver; Kimmig, Rainer; Kasimir-Bauer, Sabine] Univ Hosp Essen, Dept Gynecol &amp; Obstet, D-45122 Essen, Germany; [Suryaprakash, Vinay; Storbeck, Markus] QIAGEN GmbH, D-40724 Hilden, Germany</t>
  </si>
  <si>
    <t>University of Duisburg Essen; QIAGEN GmbH</t>
  </si>
  <si>
    <t>Keup, C (corresponding author), Univ Hosp Essen, Dept Gynecol &amp; Obstet, D-45122 Essen, Germany.</t>
  </si>
  <si>
    <t>corinna.keup@uk-essen.de; vinay.suryaprakash@qiagen.com; Markus.Storbeck@qiagen.com; Oliver.Hoffmann@uk-essen.de; rainer.kimmig@uk-essen.de; sabine.kasimir-bauer@uk-essen.de</t>
  </si>
  <si>
    <t>Keup, Corinna/ACL-1875-2022</t>
  </si>
  <si>
    <t>Keup, Corinna/0000-0003-3525-7511; Kasimir-Bauer, Sabine/0000-0002-8081-1799</t>
  </si>
  <si>
    <t>10.3390/cells10020212</t>
  </si>
  <si>
    <t>WOS:000622397500001</t>
  </si>
  <si>
    <t>Buratta, S; Urbanelli, L; Sagini, K; Giovagnoli, S; Caponi, S; Fioretto, D; Mitro, N; Caruso, D; Emiliani, C</t>
  </si>
  <si>
    <t>Buratta, Sandra; Urbanelli, Lorena; Sagini, Krizia; Giovagnoli, Stefano; Caponi, Silvia; Fioretto, Daniele; Mitro, Nico; Caruso, Donatella; Emiliani, Carla</t>
  </si>
  <si>
    <t>Extracellular vesicles released by fibroblasts undergoing H-Ras induced senescence show changes in lipid profile</t>
  </si>
  <si>
    <t>DNA-DAMAGE RESPONSE; EXOSOME SECRETION; CELLS; MECHANISM; CANCER; TETRASPANINS; HEPATOCYTES; PLATELETS; CERAMIDE; PROTEIN</t>
  </si>
  <si>
    <t>Cells release extracellular vesicles (EVs) in their environment and cellular lipids play an important role in their formation, secretion and uptake. Besides, there is also evidence that EV transferred lipids impact on recipient's cell signaling. Cellular senescence is characterized by a state of permanent proliferation arrest and represents a barrier towards the development of neoplastic lesions. A peculiar feature of senescence is the release of many soluble factors, the so-called Senescence-Associated Secretory Phenotype, which play a key role in triggering paracrine senescence signals. Recently, evidences have suggested that this phenotype includes not only soluble factors, but also EVs. To identify lipid signatures associated with H-Ras-induced senescence in EVs, we expressed active H-Ras (HRasV12) in human fibroblasts and investigated how it affects EV release and lipid composition. An enrichment of hydroxylated sphingomyelin, lyso-and ether-linked phospholipids and specific H-Ras-induced senescence signatures, e.g. sphingomyelin, lysophosphatidic acid and sulfatides, were found in EVs compared to cells. Furthermore, H-RasV12 expression in fibroblasts was associated with higher levels of tetraspanins involved in vesicle formation.</t>
  </si>
  <si>
    <t>[Buratta, Sandra; Urbanelli, Lorena; Sagini, Krizia; Emiliani, Carla] Univ Perugia, Dept Chem Biol &amp; Biotechnol, Perugia, Italy; [Giovagnoli, Stefano] Univ Perugia, Dept Pharmaceut Sci, Perugia, Italy; [Caponi, Silvia] Univ Perugia, IOM, CNR, Unita Perugia,Dept Phys &amp; Geol, Perugia, Italy; [Fioretto, Daniele] Univ Perugia, Dept Phys &amp; Geol, Perugia, Italy; [Fioretto, Daniele; Emiliani, Carla] CEMIN, Perugia, Italy; [Mitro, Nico; Caruso, Donatella] Univ Milan, Dept Pharmacol &amp; Biomol Sci, Milan, Italy</t>
  </si>
  <si>
    <t>University of Perugia; University of Perugia; Consiglio Nazionale delle Ricerche (CNR); Istituto Officina dei Materiali (IOM-CNR); University of Perugia; University of Perugia; University of Milan</t>
  </si>
  <si>
    <t>Buratta, S; Urbanelli, L (corresponding author), Univ Perugia, Dept Chem Biol &amp; Biotechnol, Perugia, Italy.</t>
  </si>
  <si>
    <t>sandra.buratta@unipg.it; lorena.urbanelli@unipg.it</t>
  </si>
  <si>
    <t>Caponi, Silvia/F-9821-2010; giovagnoli, stefano/N-1064-2018; SAGINI, Krizia/Z-1629-2019; Emiliani, Carla/G-3738-2010; Giovagnoli, Stefano/J-7484-2019</t>
  </si>
  <si>
    <t>Caponi, Silvia/0000-0002-4219-3256; giovagnoli, stefano/0000-0001-5043-7233; SAGINI, Krizia/0000-0003-3357-2171; Emiliani, Carla/0000-0002-6368-1515; Urbanelli, Lorena/0000-0003-0621-8476; Mitro, Nico/0000-0002-5000-3619</t>
  </si>
  <si>
    <t>e0188840</t>
  </si>
  <si>
    <t>10.1371/journal.pone.0188840</t>
  </si>
  <si>
    <t>WOS:000416402000059</t>
  </si>
  <si>
    <t>Sun, N; Lee, YT; Zhang, RY; Kao, RH; Teng, PC; Yang, YY; Yang, P; Wang, JJ; Smalley, M; Chen, PJ; Kim, M; Chou, SJ; Bao, LR; Wang, J; Zhang, XY; Qi, DP; Palomique, J; Nissen, N; Han, SHB; Sadeghi, S; Finn, RS; Saab, S; Busuttil, RW; Markovic, D; Elashoff, D; Yu, HH; Li, HY; Heaney, AP; Posadas, E; You, S; Yang, JD; Pei, RJ; Agopian, VG; Tseng, HR; Zhu, YZ</t>
  </si>
  <si>
    <t>Sun, Na; Lee, Yi-Te; Zhang, Ryan Y.; Kao, Rueihung; Teng, Pai-Chi; Yang, Yingying; Yang, Peng; Wang, Jasmine J.; Smalley, Matthew; Chen, Pin-Jung; Kim, Minhyung; Chou, Shih-Jie; Bao, Lirong; Wang, Jing; Zhang, Xinyue; Qi, Dongping; Palomique, Juvelyn; Nissen, Nicolas; Han, Steven-Huy B.; Sadeghi, Saeed; Finn, Richard S.; Saab, Sammy; Busuttil, Ronald W.; Markovic, Daniela; Elashoff, David; Yu, Hsiao-hua; Li, Huiying; Heaney, Anthony P.; Posadas, Edwin; You, Sungyong; Yang, Ju Dong; Pei, Renjun; Agopian, Vatche G.; Tseng, Hsian-Rong; Zhu, Yazhen</t>
  </si>
  <si>
    <t>Purification of HCC-specific extracellular vesicles on nanosubstrates for early HCC detection by digital scoring</t>
  </si>
  <si>
    <t>CIRCULATING TUMOR-CELLS; HEPATOCELLULAR-CARCINOMA; EFFICIENT CAPTURE; EARLY-DIAGNOSIS; CANCER; DNA; BIOMARKERS; SEPARATION; PROGNOSIS; EXOSOMES</t>
  </si>
  <si>
    <t>We report a covalent chemistry-based hepatocellular carcinoma (HCC)-specific extracellular vesicle (EV) purification system for early detection of HCC by performing digital scoring on the purified EVs. Earlier detection of HCC creates more opportunities for curative therapeutic interventions. EVs are present in circulation at relatively early stages of disease, providing potential opportunities for HCC early detection. We develop an HCC EV purification system (i.e., EV Click Chips) by synergistically integrating covalent chemistry-mediated EV capture/release, multimarker antibody cocktails, nanostructured substrates, and microfluidic chaotic mixers. We then explore the translational potential of EV Click Chips using 158 plasma samples of HCC patients and control cohorts. The purified HCC EVs are subjected to reversetranscription droplet digital PCR for quantification of 10 HCC-specific mRNA markers and computation of digital scoring. The HCC EV-derived molecular signatures exhibit great potential for noninvasive early detection of HCC from at-risk cirrhotic patients with an area under receiver operator characteristic curve of 0.93 (95% CI, 0.86 to 1.00; sensitivity = 94.4%, specificity = 88.5%).</t>
  </si>
  <si>
    <t>[Sun, Na; Lee, Yi-Te; Zhang, Ryan Y.; Kao, Rueihung; Yang, Peng; Smalley, Matthew; Chen, Pin-Jung; Chou, Shih-Jie; Bao, Lirong; Wang, Jing; Zhang, Xinyue; Qi, Dongping; Li, Huiying; Tseng, Hsian-Rong; Zhu, Yazhen] Univ Calif Los Angeles, Calif NanoSyst Inst, Crump Inst Mol Imaging, Dept Mol &amp; Med Pharmacol, Los Angeles, CA 90095 USA; [Sun, Na; Pei, Renjun] Chinese Acad Sci, Key Lab Nanobio Interface, Suzhou Inst Nanotech &amp; Nanobion, Univ Chinese Acad Sci, Suzhou 215123, Peoples R China; [Teng, Pai-Chi; Wang, Jasmine J.; Posadas, Edwin; You, Sungyong] Cedars Sinai Med Ctr, Samuel Oschin Comprehens Canc Inst, Los Angeles, CA 90048 USA; [Yang, Yingying; Han, Steven-Huy B.; Sadeghi, Saeed; Finn, Richard S.; Saab, Sammy; Heaney, Anthony P.] Univ Calif Los Angeles, David Geffen Sch Med, Dept Med, Los Angeles, CA 90095 USA; [Kim, Minhyung; You, Sungyong] Cedars Sinai Med Ctr, Dept Surg, Div Canc Biol &amp; Therapeut, Los Angeles, CA 90048 USA; [Palomique, Juvelyn; Nissen, Nicolas; Yang, Ju Dong] Cedars Sinai Med Ctr, Comprehens Transplant Ctr, Los Angeles, CA 90048 USA; [Sadeghi, Saeed; Finn, Richard S.; Busuttil, Ronald W.; Agopian, Vatche G.] Univ Calif Los Angeles, David Geffen Sch Med, Dept Surg, Los Angeles, CA 90095 USA; [Busuttil, Ronald W.; Agopian, Vatche G.; Tseng, Hsian-Rong] Univ Calif Los Angeles, Jonsson Comprehens Canc Ctr, Los Angeles, CA 90095 USA; [Markovic, Daniela; Elashoff, David] Univ Calif Los Angeles, David Geffen Sch Med, Dept Med, Stat Core, Los Angeles, CA 90095 USA; [Yu, Hsiao-hua] Acad Sinica, Inst Chem, Smart Organ Mat Lab, Taipei 11529, Taiwan; [Yang, Ju Dong] Cedars Sinai Med Ctr, Div Digest &amp; Liver Dis, Los Angeles, CA 90048 USA</t>
  </si>
  <si>
    <t>University of California System; University of California Los Angeles; Chinese Academy of Sciences; Suzhou Institute of Nano-Tech &amp; Nano-Bionics, CAS; University of Chinese Academy of Sciences, CAS; Cedars Sinai Medical Center; University of California System; University of California Los Angeles; University of California Los Angeles Medical Center; David Geffen School of Medicine at UCLA; Cedars Sinai Medical Center; Cedars Sinai Medical Center; University of California System; University of California Los Angeles; University of California Los Angeles Medical Center; David Geffen School of Medicine at UCLA; UCLA Jonsson Comprehensive Cancer Center; University of California System; University of California Los Angeles; University of California System; University of California Los Angeles; University of California Los Angeles Medical Center; David Geffen School of Medicine at UCLA; Academia Sinica - Taiwan; Cedars Sinai Medical Center</t>
  </si>
  <si>
    <t>Tseng, HR; Zhu, YZ (corresponding author), Univ Calif Los Angeles, Calif NanoSyst Inst, Crump Inst Mol Imaging, Dept Mol &amp; Med Pharmacol, Los Angeles, CA 90095 USA.;Pei, RJ (corresponding author), Chinese Acad Sci, Key Lab Nanobio Interface, Suzhou Inst Nanotech &amp; Nanobion, Univ Chinese Acad Sci, Suzhou 215123, Peoples R China.;Agopian, VG (corresponding author), Univ Calif Los Angeles, David Geffen Sch Med, Dept Surg, Los Angeles, CA 90095 USA.;Agopian, VG; Tseng, HR (corresponding author), Univ Calif Los Angeles, Jonsson Comprehens Canc Ctr, Los Angeles, CA 90095 USA.</t>
  </si>
  <si>
    <t>rjpei2011@sinaco.ac.cn; vagopian@mednet.ucla.edu; hrtseng@mednet.ucla.edu; yazhenzhu@metnet.ucla.edu</t>
  </si>
  <si>
    <t>Yu, Hsiao-Hua/B-5565-2013; Chen, Pin-Jung/AAV-3258-2020; You, Sungyong/AAJ-7372-2020</t>
  </si>
  <si>
    <t>Yu, Hsiao-Hua/0000-0002-3603-6932; Chen, Pin-Jung/0000-0002-5923-5299; You, Sungyong/0000-0003-3513-1783; Tseng, Hsian-Rong/0000-0003-0942-5905; Teng, Pai-Chi/0000-0002-1872-466X; LEE, YI-TE/0000-0002-8177-0407; Smalley, Matthew/0000-0002-0509-6502; Zhang, Ryan/0000-0002-3122-4053</t>
  </si>
  <si>
    <t>SEP 7</t>
  </si>
  <si>
    <t>10.1038/s41467-020-18311-0</t>
  </si>
  <si>
    <t>WOS:000573248700001</t>
  </si>
  <si>
    <t>Cao, MK; Zhang, L; Lin, Y; Li, ZY; Xu, JJ; Shi, ZH; Chen, Z; Ma, JQ; Wen, J</t>
  </si>
  <si>
    <t>Cao, Minkai; Zhang, Le; Lin, Yu; Li, Zhengying; Xu, Jianjuan; Shi, Zhonghua; Chen, Zhong; Ma, Jinqi; Wen, Juan</t>
  </si>
  <si>
    <t>Differential mRNA and Long Noncoding RNA Expression Profiles in Umbilical Cord Blood Exosomes from Gestational Diabetes Mellitus Patients</t>
  </si>
  <si>
    <t>umbilical cord blood; exosomes; mRNA; lncRNA; gestational diabetes mellitus</t>
  </si>
  <si>
    <t>PREGNANCY; LNCRNAS; RISK</t>
  </si>
  <si>
    <t>Background and Aims:Exosomes contain numerous RNAs and transfer them between cells or organs, thereby establishing intercellular or interorgan communication. The roles of mRNAs and long noncoding RNAs (lncRNAs) from umbilical cord blood exosomes in gestational diabetes mellitus (GDM) occurrence and fetus growth remain poorly understood. We aimed to establish the differential mRNA and lncRNA expression profiles in umbilical cord blood exosomes from GDM patients compared with normal controls. Results:Using microarray technology, we identified 84 mRNAs and 256 lncRNAs as differentially expressed in umbilical cord blood exosomes of GDM patients compared with controls. The protein-protein interaction network revealed that the differentially expressed mRNAs were associated with glucagon signaling pathway, an important GDM-related pathway. Gene ontology and Kyoto Encyclopedia of Genes and Genomes (KEGG) biological pathway analyses were performed for mRNAs associated with differentially expressed lncRNAs. The results indicated that metabolic process, growth, and development were significantly enriched, which are important in GDM development and fetus growth. Moreover, pathway network was constructed to reveal the key pathways in GDM, such as metabolic pathways and insulin signaling pathway. Further lncRNA/miRNA interaction analysis showed that most of the exosomal lncRNAs harbored miRNA binding sites, and some were associated with GDM. Conclusion:These results showed that exosomal mRNAs and lncRNAs are aberrantly expressed in the umbilical cord blood of GDM patients and play potential roles in GDM development and fetus growth.</t>
  </si>
  <si>
    <t>[Cao, Minkai; Xu, Jianjuan; Chen, Zhong] Nanjing Med Univ, Affiliated Wuxi Matern &amp; Child Hlth Care Hosp, Dept Obstet, Wuxi 214002, Jiangsu, Peoples R China; [Zhang, Le; Li, Zhengying] Nanjing Med Univ, Affiliated Wuxi Childrens Hosp, Dept Neonatol, Wuxi, Jiangsu, Peoples R China; [Zhang, Le; Wen, Juan] Nanjing Med Univ, Nanjing Matern &amp; Child Hlth Care Hosp, Womens Hosp, Nanjing Matern &amp; Child Hlth Care Inst, Nanjing 210004, Peoples R China; [Lin, Yu; Shi, Zhonghua] Nanjing Med Univ, Nanjing Matern &amp; Child Hlth Care Hosp, Womens Hosp, Dept Obstet, Nanjing, Peoples R China; [Ma, Jinqi] Nanjing Med Univ, Affiliated Wuxi Peoples Hosp, Dept Gynaecol &amp; Obstet, Wuxi 214023, Jiangsu, Peoples R China</t>
  </si>
  <si>
    <t>Nanjing Medical University; Nanjing Medical University; Nanjing Medical University; Nanjing Medical University; Nanjing Medical University</t>
  </si>
  <si>
    <t>Chen, Z (corresponding author), Nanjing Med Univ, Affiliated Wuxi Matern &amp; Child Hlth Care Hosp, Dept Obstet, Wuxi 214002, Jiangsu, Peoples R China.;Wen, J (corresponding author), Nanjing Med Univ, Nanjing Matern &amp; Child Hlth Care Hosp, Womens Hosp, Nanjing Matern &amp; Child Hlth Care Inst, Nanjing 210004, Peoples R China.;Ma, JQ (corresponding author), Nanjing Med Univ, Affiliated Wuxi Peoples Hosp, Dept Gynaecol &amp; Obstet, Wuxi 214023, Jiangsu, Peoples R China.</t>
  </si>
  <si>
    <t>wxcz0812@163.com; mjqzjc@163.com; wenj2010@gmail.com</t>
  </si>
  <si>
    <t>le, zhang/0000-0003-4787-0524</t>
  </si>
  <si>
    <t>10.1089/dna.2020.5783</t>
  </si>
  <si>
    <t>WOS:000574508300001</t>
  </si>
  <si>
    <t>Vardaki, I; Corn, P; Gentile, E; Song, JH; Madan, N; Hoang, A; Parikh, N; Guerra, L; Lee, YC; Lin, SC; Yu, GY; Santos, E; Melancon, MP; Troncoso, P; Navone, N; Gallick, GE; Efstathiou, E; Subudhi, SK; Lin, SH; Logothetis, CJ; Panaretakis, T</t>
  </si>
  <si>
    <t>Vardaki, Ioulia; Corn, Paul; Gentile, Emanuela; Song, Jian H.; Madan, Namrata; Anh Hoang; Parikh, Nila; Guerra, Leah; Lee, Yu-Chen; Lin, Song-Chang; Yu, Guoyu; Santos, Elmer; Melancon, Marites P.; Troncoso, Patricia; Navone, Nora; Gallick, Gary E.; Efstathiou, Eleni; Subudhi, Sumit K.; Lin, Sue-Hwa; Logothetis, Christopher J.; Panaretakis, Theocharis</t>
  </si>
  <si>
    <t>Radium-223 Treatment Increases Immune Checkpoint Expression in Extracellular Vesicles from the Metastatic Prostate Cancer Bone Microenvironment</t>
  </si>
  <si>
    <t>CLINICAL CANCER RESEARCH</t>
  </si>
  <si>
    <t>CELLS; GROWTH; ATM</t>
  </si>
  <si>
    <t>Purpose: Radium-223 prolongs survival in a fraction of men with bone metastatic prostate cancer (PCa). However, there are no markers for monitoring response and resistance to Radium-223 treatment. Exosomes are mediators of intercellular communication and may reflect response of the bone microenvironment to Radium-223 treatment. We performed molecular profiling of exosomes and compared the molecular profile in patients with favorable and unfavorable overall survival. Experimental Design: We performed exosomal transcriptome analysis in plasma derived from our preclinical models (MDA-PCa 118b tumors, TRAMP-C2/BMP4 PCa) and from the plasma of 25 patients (paired baseline and end of treatment) treated with Radium-223. All samples were run in duplicate, and array data analyzed with fold changes +2 to -2 and P &lt; 0.05. Results: We utilized the preclinical models to establish that genes derived from the tumor and the tumor-associated bone microenvironment (bTME) are differentially enriched in plasma exosomes upon Radium-223 treatment. The mouse transcriptome analysis revealed changes in bone-related and DNA damage repair-related pathways. Similar findings were observed in plasma-derived exosomes from patients treated with Radium-223 detected changes. In addition, exosomal transcripts detected immune-suppressors (e.g., PD-L1) that were associated with shorter survival to Radium-223. Treatment of the Myc-CaP mouse model with a combination of Radium-223 and immune checkpoint therapy (ICT) resulted in greater efficacy than monotherapy. Conclusions: These clinical and coclinical analyses showed that RNA profiling of plasma exosomes may be used for monitoring the bTME in response to treatment and that ICT may be used to increase the efficacy of Radium-223.</t>
  </si>
  <si>
    <t>[Vardaki, Ioulia; Corn, Paul; Gentile, Emanuela; Song, Jian H.; Madan, Namrata; Anh Hoang; Parikh, Nila; Guerra, Leah; Navone, Nora; Gallick, Gary E.; Efstathiou, Eleni; Subudhi, Sumit K.; Lin, Sue-Hwa; Logothetis, Christopher J.; Panaretakis, Theocharis] MD Anderson Canc Ctr, Dept GU Med Oncol, Houston, TX USA; [Vardaki, Ioulia; Panaretakis, Theocharis] Karolinska Inst, Inst Environm Med, Stockholm, Sweden; [Lee, Yu-Chen; Lin, Song-Chang; Yu, Guoyu; Lin, Sue-Hwa] MD Anderson Canc Ctr, Dept Translat Mol Pathol, Houston, TX USA; [Santos, Elmer; Melancon, Marites P.] MD Anderson Canc Ctr, Dept Nucl Med, Houston, TX USA; [Troncoso, Patricia] MD Anderson Canc Ctr, Dept Intervent Radiol, Houston, TX USA</t>
  </si>
  <si>
    <t>University of Texas System; UTMD Anderson Cancer Center; Karolinska Institutet; University of Texas System; UTMD Anderson Cancer Center; University of Texas System; UTMD Anderson Cancer Center; University of Texas System; UTMD Anderson Cancer Center</t>
  </si>
  <si>
    <t>Panaretakis, T (corresponding author), Univ Texas MD Anderson Canc Ctr, GU Med Oncol, Houston, TX 77030 USA.</t>
  </si>
  <si>
    <t>tpanaretakisa@mdanderson.org</t>
  </si>
  <si>
    <t>1078-0432</t>
  </si>
  <si>
    <t>1557-3265</t>
  </si>
  <si>
    <t>10.1158/1078-0432.CCR-20-4790</t>
  </si>
  <si>
    <t>WOS:000657419800030</t>
  </si>
  <si>
    <t>Xu, DF; Wang, Y; Zhou, KL; Wu, JC; Zhang, ZS; Zhang, JC; Yu, ZW; Liu, LZ; Liu, XM; Li, BD; Zheng, JF</t>
  </si>
  <si>
    <t>Xu, Dafeng; Wang, Yu; Zhou, Kailun; Wu, Jincai; Zhang, Zhensheng; Zhang, Jiachao; Yu, Zhiwei; Liu, Luzheng; Liu, Xiangmei; Li, Bidan; Zheng, Jinfang</t>
  </si>
  <si>
    <t>Identification of an extracellular vesicle-related gene signature in the prediction of pancreatic cancer clinical prognosis</t>
  </si>
  <si>
    <t>BIOSCIENCE REPORTS</t>
  </si>
  <si>
    <t>CANNABINOID RECEPTOR 2; NEUROPEPTIDE-Y; EXPRESSION; EXOSOMES; METASTASIS; CARCINOMA; CELLS; RNA; FRACTALKINE; NEUROMEDIN</t>
  </si>
  <si>
    <t>Although extracellular vesicles (EVs) in body fluid have been considered to be ideal biomarkers for cancer diagnosis and prognosis, it is still difficult to distinguish EVs derived from tumor tissue and normal tissue. Therefore, the prognostic value of tumor-specific EVs was evaluated through related molecules in pancreatic tumor tissue. NA sequencing data of pancreatic adenocarcinoma (PAAD) were acquired from The Cancer Genome Atlas (TCGA) and International Cancer Genome Consortium (ICGC). EV-related genes in pancreatic cancer were obtained from exoRBase. Protein-protein interaction (PPI) network analysis was used to identifymodules related to clinical stage. CIBERSORT was used to assess the abundance of immune and non-immune cells in the tumor microenvironment. A total of 12 PPI modules were identified, and the 3-PPI-MOD was identified based on the randomForest package. The genes of this model are involved in DNA damage and repair and cell membrane-related pathways. The independent external verification cohorts showed that the 3-PPI-MOD can significantly classify patient prognosis. Moreover, compared with the model constructed by pure gene expression, the 3-PPI-MOD showed better prognostic value. The expression of genes in the 3-PPI-MOD had a significant positive correlation with immune cells. Genes related to the hypoxia pathway were significantly enriched in the high-risk tumors predicted by the 3-PPI-MOD. External databases were used to verify the gene expression in the 3-PPI-MOD. The 3-PPI-MOD had satisfactory predictive performance and could be used as a prognostic predictive biomarker for pancreatic cancer.</t>
  </si>
  <si>
    <t>[Xu, Dafeng; Zhou, Kailun; Wu, Jincai; Zhang, Zhensheng; Yu, Zhiwei; Liu, Luzheng; Liu, Xiangmei; Li, Bidan; Zheng, Jinfang] Hainan Med Univ, Hainan Gen Hosp, Dept Hepatobiliary &amp; Pancreat Surg, Hainan Affiliated Hosp, Haikou 570311, Hainan, Peoples R China; [Wang, Yu] Hainan Med Univ, Hainan Gen Hosp, Geriatr Ctr, Hainan Affiliated Hosp, Haikou 570311, Hainan, Peoples R China</t>
  </si>
  <si>
    <t>Hainan Medical University; Hainan Medical University</t>
  </si>
  <si>
    <t>Zheng, JF (corresponding author), Hainan Med Univ, Hainan Gen Hosp, Dept Hepatobiliary &amp; Pancreat Surg, Hainan Affiliated Hosp, Haikou 570311, Hainan, Peoples R China.</t>
  </si>
  <si>
    <t>Zhengjf71@sina.com</t>
  </si>
  <si>
    <t>0144-8463</t>
  </si>
  <si>
    <t>1573-4935</t>
  </si>
  <si>
    <t>BSR20201087</t>
  </si>
  <si>
    <t>10.1042/BSR20201087</t>
  </si>
  <si>
    <t>WOS:000617732000001</t>
  </si>
  <si>
    <t>Renelli, M; Matias, V; Lo, RY; Beveridge, TJ</t>
  </si>
  <si>
    <t>DNA-containing membrane vesicles of Pseudomonas aeruginosa PAO1 and their genetic transformation potential</t>
  </si>
  <si>
    <t>MICROBIOLOGY-SGM</t>
  </si>
  <si>
    <t>GRAM-NEGATIVE BACTERIA; ENTEROTOXIGENIC ESCHERICHIA-COLI; HEAT-LABILE ENTEROTOXIN; OUTER-MEMBRANE; NEISSERIA-GONORRHOEAE; SHIGELLA-FLEXNERI; VIRULENCE FACTORS; GENTAMICIN; SECRETION; MECHANISM</t>
  </si>
  <si>
    <t>Natural membrane vesicles (n-MVs) produced by Pseudomonas aeruginosa PAO1 and PAO1 carrying plasmid pAK1900 (p-MVs) were purified and analysed for DNA content. The MVs were isolated by a procedure designed to ensure no cellular contamination from the parent MV-producing cells. Fluorometry analysis revealed that p-MVs were associated with 7(.)80 ng DNA (20 mug MV protein)(-1). PCR analysis using specific primers for pAK1900 sequences and a chromosomal target, oprL, indicated that only plasmid DNA was contained within the lumen of p-MVs after exogenous DNA was digested by DNase. MVs have previously been shown to be capable of fusing into the outer membrane (OM) of PAO1 and Escherichia coli DH5alpha. Accordingly, p-MVs should deliver the plasmid into the periplasm, where it would only have to by-pass the plasma membrane (PM) for effective transformation. It was speculated that p-MVs should increase transformation efficiency but the data suggested otherwise. p-MVs did not transform PAO1 nor DH5alpha under a variety of transforming conditions. To characterize p-MVs and to ensure that membrane-encapsulated pAK1900 was not derived from a small proportion of lysed cells within the culture and bound by PM instead of OM, which typically forms n-MVs, the physical and ultrastructural differences between n- and p-MVs were determined. Cryo-transmission electron microscopy (cryo-TEM) revealed that n-MVs and p-MVs closely resembled isolated OM. Buoyant density measurements using isopycnic sucrose gradients on isolated PM, OM, n- and p-MVs demonstrated that isolated OM and n-MVs both fractionated into two bands (rho = 1(.)240 and 1(.)260 g ml(-1)). p-MVs also produced two bands but at two different densities (rho = 1(.)250 and 1(.)265 g ml(-1)) which may be attributed to the presence of DNA. SIDS-PAGE showed that p-MVs possessed most major OM proteins and also contained 4370 nmol 3-deoxy-D-manno-octulosonic acid (KDO) (mg protein)(-1) as an LPS marker. The amount of NADH oxidase activity, a PM enzyme, in the p-MVs was barely detectable. These data strongly suggest that p-MVs are OM-based, with little if any PM material associated with them. The possibility of whether exogenous plasmid DNA could enter n-MVs once the vesicles had departed from cells was also tested; surprisingly, a small amount of DNA could. Accordingly, the data suggest that DNA can be taken up by MVs using two separate routes: (1) via a periplasmic route and (2) via an extracellular, exogenous route.</t>
  </si>
  <si>
    <t>Univ Guelph, Canadian Bacterial Dis Network, Natl Ctr Excellence, Guelph, ON N1G 2W1, Canada; Univ Guelph, Dept Microbiol, Guelph, ON N1G 2W1, Canada</t>
  </si>
  <si>
    <t>University of Guelph; University of Guelph</t>
  </si>
  <si>
    <t>Beveridge, TJ (corresponding author), Univ Guelph, Canadian Bacterial Dis Network, Natl Ctr Excellence, Guelph, ON N1G 2W1, Canada.</t>
  </si>
  <si>
    <t>tjb@uoguelph.ca</t>
  </si>
  <si>
    <t>1350-0872</t>
  </si>
  <si>
    <t>1465-2080</t>
  </si>
  <si>
    <t>10.1099/mic.0.26841-0</t>
  </si>
  <si>
    <t>WOS:000222857900017</t>
  </si>
  <si>
    <t>Forsberg, MM; Bjorkander, S; Pang, YH; Lundqvist, L; Ndi, M; Ott, M; Escriba, IB; Jaeger, MC; Roos, S; Sverremark-Ekstrom, E</t>
  </si>
  <si>
    <t>Forsberg, Manuel Mata; Bjorkander, Sophia; Pang, Yanhong; Lundqvist, Ludwig; Ndi, Mama; Ott, Martin; Escriba, Irene Buesa; Jaeger, Marie-Charlotte; Roos, Stefan; Sverremark-Ekstrom, Eva</t>
  </si>
  <si>
    <t>Extracellular Membrane Vesicles from Lactobacilli Dampen IFN-gamma Responses in a Monocyte-Dependent Manner</t>
  </si>
  <si>
    <t>LACTIC-ACID BACTERIA; RHAMNOSUS GG DNA; INTERFERON-GAMMA; INTESTINAL INFLAMMATION; PROBIOTIC BACTERIA; MONONUCLEAR-CELLS; GUT MICROBIOTA; IMMUNE CELLS; METABOLITES; EXPRESSION</t>
  </si>
  <si>
    <t>Secreted factors derived from Lactobacillus are able to dampen pro-inflammatory cytokine responses. Still, the nature of these components and the underlying mechanisms remain elusive. Here, we aimed to identify the components and the mechanism involved in the Lactobacillus-mediated modulation of immune cell activation. PBMC were stimulated in the presence of the cell free supernatants (CFS) of cultured Lactobacillus rhamnosus GG and Lactobacillus reuteri DSM 17938, followed by evaluation of cytokine responses. We show that lactobacilli-CFS effectively dampen induced IFN-gamma and IL-17A responses from T- and NK cells in a monocyte dependent manner by a soluble factor. A proteomic array analysis highlighted Lactobacillus-induced IL-1 receptor antagonist (ra) as a potential candidate responsible for the IFN-gamma dampening activity. Indeed, addition of recombinant IL-1ra to stimulated PBMC resulted in reduced IFN-gamma production. Further characterization of the lactobacilli-CFS revealed the presence of extracellular membrane vesicles with a similar immune regulatory activity to that observed with the lactobacilli-CFS. In conclusion, we have shown that lactobacilli produce extracellular MVs, which are able to dampen pro-inflammatory cytokine responses in a monocyte-dependent manner.</t>
  </si>
  <si>
    <t>[Forsberg, Manuel Mata; Bjorkander, Sophia; Escriba, Irene Buesa; Jaeger, Marie-Charlotte; Sverremark-Ekstrom, Eva] Stockholm Univ, Wenner Gren Inst, Dept Mol Biosci, Stockholm, Sweden; [Pang, Yanhong; Lundqvist, Ludwig; Roos, Stefan] Swedish Univ Agr Sci, Dept Mol Sci, Uppsala, Sweden; [Ndi, Mama; Ott, Martin] Stockholm Univ, Dept Biochem &amp; Biophys, Stockholm, Sweden</t>
  </si>
  <si>
    <t>Stockholm University; Swedish University of Agricultural Sciences; Stockholm University</t>
  </si>
  <si>
    <t>Sverremark-Ekstrom, E (corresponding author), Stockholm Univ, Wenner Gren Inst, Dept Mol Biosci, Stockholm, Sweden.</t>
  </si>
  <si>
    <t>eva.sverremark@su.se</t>
  </si>
  <si>
    <t>Sverremark-Ekström, Eva/A-2305-2016</t>
  </si>
  <si>
    <t>Sverremark-Ekström, Eva/0000-0001-6271-8681; Pang, Yanhong/0000-0002-5167-4174; Lundberg, Ludwig/0000-0001-5983-1771; Ndi, Mama/0000-0001-6460-0783; Roos, Stefan/0000-0002-1606-1794; Ott, Martin/0000-0001-6367-3091</t>
  </si>
  <si>
    <t>10.1038/s41598-019-53576-6</t>
  </si>
  <si>
    <t>WOS:000497702600002</t>
  </si>
  <si>
    <t>Sharifi, H; Shafiee, A; Molavi, G; Razi, E; Mousavi, N; Sarvizadeh, M; Taghizadeh, M</t>
  </si>
  <si>
    <t>Sharifi, Hossein; Shafiee, Alimohammad; Molavi, Ghader; Razi, Ebrahim; Mousavi, Nousin; Sarvizadeh, Mostafa; Taghizadeh, Mohsen</t>
  </si>
  <si>
    <t>Leukemia-derived exosomes: Bringing oncogenic signals to blood cells</t>
  </si>
  <si>
    <t>exosome; leukemia; pathogenesis</t>
  </si>
  <si>
    <t>CHRONIC LYMPHOCYTIC-LEUKEMIA; BONE-MARROW MICROENVIRONMENT; MESENCHYMAL STEM-CELLS; TUMOR VACCINE EFFICACY; EXTRACELLULAR VESICLES; CIRCULATING MICRORNAS; THERAPEUTIC BIOMARKERS; DIAGNOSTIC BIOMARKER; CANCER-DIAGNOSIS; T-CELLS</t>
  </si>
  <si>
    <t>Leukemia is a cancer, which is derived from leukocytes and precursors of leukocytes in the bone marrow. A large number of pivotal biological processes are linked to leukemia pathogenesis. More insights into these mechanisms can provide a better developing pharmacological platform for patients with leukemia. Among the different players in leukemia pathogenesis, exosomes have appeared as a new biological vehicle, which can transfer oncogenic signals to blood cells. Exosomes are nano-carriers, which enable transferring numerous cargos such as DNA fragments, RNAs, messenger RNAs, microRNAs, long noncoding RNA, and proteins. Targeting the contents of exosomes leads to the alteration of host cell behavior. Increasing evidence has indicated that leukemia-derived exosomes could be utilized as prognostic, diagnostic, and therapeutic biomarkers for individuals suffering from leukemia. In this regard, the importance of exosomes in terms of initiation and progression of leukemia was underlined in this study.</t>
  </si>
  <si>
    <t>[Sharifi, Hossein; Razi, Ebrahim; Sarvizadeh, Mostafa] Ayatollah Yasrebi Hosp, Advocate Ctr Clin Res, Kashan, Iran; [Shafiee, Alimohammad] Toronto Gen Hosp, Div Gen Internal Med, Toronto, ON, Canada; [Molavi, Ghader] Tabriz Univ Med Sci, Drug Appl Res Ctr, Tabriz, Iran; [Molavi, Ghader] Tabriz Univ Med Sci, Fac Adv Med Sci, Dept Mol Med, Tabriz, Iran; [Mousavi, Nousin] Kashan Univ Med Sci, Fac Med, Dept Surg, Kashan, Iran; [Taghizadeh, Mohsen] Kashan Univ Med Sci, Res Ctr Biochem &amp; Nutr Metab Dis, Kashan 8715988141, Iran</t>
  </si>
  <si>
    <t>University of Toronto; University Health Network Toronto; Toronto General Hospital; Tabriz University of Medical Science; Tabriz University of Medical Science</t>
  </si>
  <si>
    <t>Taghizadeh, M (corresponding author), Kashan Univ Med Sci, Res Ctr Biochem &amp; Nutr Metab Dis, Kashan 8715988141, Iran.</t>
  </si>
  <si>
    <t>mohsenta44@yahoo.com</t>
  </si>
  <si>
    <t>10.1002/jcb.29018</t>
  </si>
  <si>
    <t>WOS:000483551100001</t>
  </si>
  <si>
    <t>Scribano, S; Guerrini, M; Arvia, R; Guasti, D; Nardini, P; Romagnoli, P; Giannecchini, S</t>
  </si>
  <si>
    <t>Scribano, Stefano; Guerrini, Mirko; Arvia, Rosaria; Guasti, Daniele; Nardini, Patrizia; Romagnoli, Paolo; Giannecchini, Simone</t>
  </si>
  <si>
    <t>Archetype JC polyomavirus DNA associated with extracellular vesicles circulates in human plasma samples</t>
  </si>
  <si>
    <t>JOURNAL OF CLINICAL VIROLOGY</t>
  </si>
  <si>
    <t>PROGRESSIVE MULTIFOCAL LEUKOENCEPHALOPATHY; TRANSMISSION; ESTABLISHES; INFECTION; EXOSOMES; DISEASE; BIOLOGY; BLOOD; CELLS; RISK</t>
  </si>
  <si>
    <t>[Scribano, Stefano; Guerrini, Mirko; Arvia, Rosaria; Guasti, Daniele; Nardini, Patrizia; Romagnoli, Paolo; Giannecchini, Simone] Univ Florence, Dept Expt &amp; Clin Med, Florence, Italy</t>
  </si>
  <si>
    <t>University of Florence</t>
  </si>
  <si>
    <t>Giannecchini, S (corresponding author), Univ Florence, Dept Expt &amp; Clin Med, Florence, Italy.</t>
  </si>
  <si>
    <t>Giannecchini, Simone/K-2136-2016; Arvia, Rosaria/AAD-6034-2021</t>
  </si>
  <si>
    <t xml:space="preserve">Giannecchini, Simone/0000-0003-3374-7621; </t>
  </si>
  <si>
    <t>1386-6532</t>
  </si>
  <si>
    <t>1873-5967</t>
  </si>
  <si>
    <t>WOS:000541168000038</t>
  </si>
  <si>
    <t>Kim, Y; Shin, S; Kim, B; Lee, KA</t>
  </si>
  <si>
    <t>Kim, Yoonjung; Shin, Saeam; Kim, Boyeon; Lee, Kyung-A</t>
  </si>
  <si>
    <t>Selecting short length nucleic acids localized in exosomes improves plasma EGFR mutation detection in NSCLC patients</t>
  </si>
  <si>
    <t>CANCER CELL INTERNATIONAL</t>
  </si>
  <si>
    <t>Liquid biopsy; Extracellular vesicles; Circulating tumor DNA; Non-small cell lung cancer; Epidermal growth factor receptor; ddPCR</t>
  </si>
  <si>
    <t>CELL LUNG-CANCER; CIRCULATING TUMOR DNA; CLINICAL-OUTCOMES; LIQUID BIOPSY; VESICLE</t>
  </si>
  <si>
    <t>Background Exosomal nucleic acid (exoNA) is a feasible target to improve the sensitivity of EGFR mutation testing in non-small cell lung cancer patients with limited cell-free DNA (cfDNA) mutant copies. However, the type and size of target exoNA related to the sensitivity of EGFR mutation testing has not been explored extensively. Methods The type and size of target exoNA related to the sensitivity of EGFR mutation testing was evaluated using ddPCR. A total of 47 plasma samples was tested using short-length exoTNA (exosomal DNA and RNA) and cfDNA. Results The sensitivity of short-length exoTNA (76.5%) was higher than that of cfDNA (64.7%) for detecting EGFR mutations in NSCLC patients. In EGFR-mutant NSCLC patients with intrathoracic disease (M0/M1a) or cases with low-copy T790M, the positive rate was 63.6% (N = 7/11) and 45.5% (N = 5/11) for short-length exoTNA and cfDNA, respectively. On average, the number absolute mutant copies of short-length exoTNA were 1.5 times higher than that of cfDNA. The mutant allele copies (Ex19del and T790M) in short-length exoTNA were relatively well preserved at 4 weeks after storage. The difference (%) in absolute mutant allele copies (Ex19del) between 0 days and 4 weeks after storage was - 61.0% for cfDNA. Conclusion Target nucleic acids and their size distribution may be critical considerations for selecting an extraction method and a detection assay. A short-length exoTNA (200 bp) contained more detectable tumor-derived nucleic acids than exoDNA (similar to 200 bp length or a full-length) or cfDNA. Therefore, a short-length exoTNA as a sensitive biomarker might be useful to detect EGFR mutants for NSCLC patients with low copy number of the mutation target.</t>
  </si>
  <si>
    <t>[Kim, Yoonjung; Shin, Saeam; Kim, Boyeon; Lee, Kyung-A] Yonsei Univ, Coll Med, Dept Lab Med, Seoul, South Korea</t>
  </si>
  <si>
    <t>Yonsei University; Yonsei University Health System</t>
  </si>
  <si>
    <t>Lee, KA (corresponding author), Yonsei Univ, Coll Med, Dept Lab Med, Seoul, South Korea.</t>
  </si>
  <si>
    <t>KAL1119@yuhs.ac</t>
  </si>
  <si>
    <t>Lee, Kyung-A/0000-0001-5320-6705; Kim, Yoonjung/0000-0002-4370-4265; Kim, Boyeon/0000-0003-1867-8648; Shin, Saeam/0000-0003-1501-3923</t>
  </si>
  <si>
    <t>1475-2867</t>
  </si>
  <si>
    <t>10.1186/s12935-019-0978-8</t>
  </si>
  <si>
    <t>WOS:000488473300001</t>
  </si>
  <si>
    <t>Caeiro, LD; Alba-Soto, CD; Rizzi, M; Solana, ME; Rodriguez, G; Chidichimo, AM; Rodriguez, ME; Sanchez, DO; Levy, GV; Tekiel, V</t>
  </si>
  <si>
    <t>Caeiro, Lucas D.; Alba-Soto, Catalina D.; Rizzi, Mariana; Solana, Maria Elisa; Rodriguez, Giselle; Chidichimo, Agustina M.; Rodriguez, Matias E.; Sanchez, Daniel O.; Levy, Gabriela V.; Tekiel, Valeria</t>
  </si>
  <si>
    <t>The protein family TcTASV-C is a novel Trypanosoma cruzi virulence factor secreted in extracellular vesicles by trypomastigotes and highly expressed in bloodstream forms</t>
  </si>
  <si>
    <t>CHAGAS-DISEASE; TRANS-SIALIDASE; IMMUNIZATION; PROTECTION; EXOSOMES; ANTIGENS; VACCINE; LEISHMANIA; CANDIDATE; KNOWLEDGE</t>
  </si>
  <si>
    <t>TcTASV-C is a protein family of about 15 members that is expressed only in the trypomastigote stage of Trypanosoma cruzi. We have previously shown that TcTASV-C is located at the parasite surface and secreted to the medium. Here we report that the expression of different TcTASV-C genes occurs simultaneously at the trypomastigote stage and while some secreted and parasite-associated products are found in both fractions, others are different. Secreted TcTASV-C are mainly shedded through trypomastigote extracellular vesicles, of which they are an abundant constituent, despite its scarce expression on culture-derived trypomastigotes. In contrast, TcTASV-C is highly expressed in bloodstream trypomastigotes; its upregulation in bloodstream parasites was observed in different T. cruzi strains and was specific for TcTASV-C, suggesting that some host-molecules trigger TcTASV-C expression. TcTASV-C is also strongly secreted by bloodstream parasites. A DNA prime protein boost immunization scheme with TcTASV-C was only partially effective to control the infection in mice challenged with a highly virulent T. cruzistrain. Vaccination triggered a strong humoral response that delayed the appearance of bloodstream trypomastigotes at the early phase of the infection. Linear epitopes recognized by vaccinated mice were mapped within the TcTASV-C family motif, suggesting that blockade of secreted TcTASV-C impacts on the settlement of infection. Furthermore, although experimental and naturally T. cruzi-infected hosts did not react with antigens from extracellular vesicles, vaccinated and challenged mice recognized not only TcTASV-C but also other vesicle-antigens. We hypothesize that TcTASV-C is involved in the establishment of the initial T. cruzi infection in the mammalian host. Altogether, these results point towards TcTASV-C as a novel secreted virulence factor of T. cruzitrypomastigotes.</t>
  </si>
  <si>
    <t>[Caeiro, Lucas D.; Rizzi, Mariana; Rodriguez, Giselle; Chidichimo, Agustina M.; Rodriguez, Matias E.; Sanchez, Daniel O.; Levy, Gabriela V.; Tekiel, Valeria] Univ Nacl San Martin UNSAM, CONICET, Inst Invest Biotecnol, Inst Tecnol Chascomus IIB INTECH, San Martin, Buenos Aires, Argentina; [Alba-Soto, Catalina D.; Solana, Maria Elisa] Univ Buenos Aires, Fac Med, Inst Invest Microbiol &amp; Parasitol Med IMPaM, Dept Microbiol Parasitol &amp; Inmunol,UBA CONICET, Buenos Aires, DF, Argentina; [Solana, Maria Elisa] Univ Nacl Lujan, Dept Cs Basicas, Lujan, Buenos Aires, Argentina</t>
  </si>
  <si>
    <t>Consejo Nacional de Investigaciones Cientificas y Tecnicas (CONICET); Consejo Nacional de Investigaciones Cientificas y Tecnicas (CONICET); University of Buenos Aires; Universidad Nacional de Lujan</t>
  </si>
  <si>
    <t>Tekiel, V (corresponding author), Univ Nacl San Martin UNSAM, CONICET, Inst Invest Biotecnol, Inst Tecnol Chascomus IIB INTECH, San Martin, Buenos Aires, Argentina.</t>
  </si>
  <si>
    <t>valet@iib.unsam.edu.ar</t>
  </si>
  <si>
    <t>Rodriguez, Matias/Q-4760-2017</t>
  </si>
  <si>
    <t>Rodriguez, Matias/0000-0002-5819-670X; Alba Soto, Catalina Dirney/0000-0002-2724-0421; Tekiel, Valeria/0000-0003-2981-2312; Levy, Gabriela Vanesa/0000-0002-7638-3509; sanchez, daniel/0000-0002-5427-7764</t>
  </si>
  <si>
    <t>e0006475</t>
  </si>
  <si>
    <t>10.1371/journal.pntd.0006475</t>
  </si>
  <si>
    <t>WOS:000434021900033</t>
  </si>
  <si>
    <t>Bess, JW; Gorelick, RJ; Bosche, WJ; Henderson, LE; Arthur, LO</t>
  </si>
  <si>
    <t>Microvesicles are a source of contaminating cellular proteins found in purified HIV-1 preparations</t>
  </si>
  <si>
    <t>VIROLOGY</t>
  </si>
  <si>
    <t>HUMAN-IMMUNODEFICIENCY-VIRUS; CYCLOPHILIN-A; HTLV-III; HLA ANTIBODIES; MEMBRANE-PROTEINS; ENVELOPE PROTEIN; DOWN-REGULATION; T-CELLS; TYPE-1; ANTIGENS</t>
  </si>
  <si>
    <t>Identification and quantitation of cellular proteins associated with HIV-1 particles are complicated by the presence of nonvirion-associated cellular proteins that copurify with virions. Many cellular proteins are associated with nonviral particles that bud from the surface of cells called microvesicles. Microvesicles band in sucrose gradients in a range of densities that includes the same density as retroviruses. To characterize these microvesicles, HIV-1-infected and uninfected human T-cell lines were propagated and Virus and microvesicles were purified from clarified cell culture supernatants by sucrose density gradient centrifugation or centrifugation through 20% sucrose pads. Microvesicles were found to contain Various proteins, including HLA DR and beta 2-M, and a substantial amount of RNA and DNA The concentrations of HIV-1 p24(CA), HLA DR, and beta 2-microglobulin (beta 2-M) were determined by radioimmunoassay. The ratios of HIV-1 p24(CA) to HLA DR and beta 2-M were found to vary with respect to the HIV-1 isolate, host cell, and other factors. Electron microscopic analysis of microvesicles revealed that they consisted of particles of various sizes and morphologies. Although HIV-1 particles are known to contain some cellular proteins, microvesicles from HIV-1 infected H9 cells appeared to contain little or no HIV-1 gp120(SU). (C) 1997 Academic Press.</t>
  </si>
  <si>
    <t>Bess, JW (corresponding author), NCI,FREDERICK CANC RES &amp; DEV CTR,AIDS VACCINE PROGRAM,SAIC,FREDERICK,MD 21702, USA.</t>
  </si>
  <si>
    <t>Bess, Jr., Julian/B-5343-2012</t>
  </si>
  <si>
    <t>0042-6822</t>
  </si>
  <si>
    <t>10.1006/viro.1997.8499</t>
  </si>
  <si>
    <t>WOS:A1997WT71700013</t>
  </si>
  <si>
    <t>Liao, CM; Luo, TJ; von der Ohe, J; Mora, BD; Schmitt, R; Hass, R</t>
  </si>
  <si>
    <t>Liao, Chieh Ming; Luo, Tianjiao; von der Ohe, Juliane; de Juan Mora, Blanca; Schmitt, Roland; Hass, Ralf</t>
  </si>
  <si>
    <t>Human MSC-Derived Exosomes Reduce Cellular Senescence in Renal Epithelial Cells</t>
  </si>
  <si>
    <t>senescence; exosome; MSC; kidney; PTEC; aging; SASP</t>
  </si>
  <si>
    <t>ACUTE KIDNEY INJURY; EXTRACELLULAR VESICLES; IN-VITRO; DNA-DAMAGE; BIOGENESIS; SECRETION; MECHANISM; TELOMERES; EXCHANGE; SHORTEN</t>
  </si>
  <si>
    <t>Cellular senescence of renal tubular cells is associated with chronic diseases and age-related kidney disorders. Therapies to antagonize senescence are, therefore, explored as novel approaches in nephropathy. Exosomes derived from human mesenchymal stroma-/stem-like cells (MSC) entail the transfer of multiple bioactive molecules, exhibiting profound regenerative potential in various tissues, including therapeutic effects in kidney diseases. Here, we first demonstrate that exosomes promote proliferation and reduce senescence in aged MSC cultures. For potential therapeutic perspectives in organ rejuvenation, we used MSC-derived exosomes to antagonize senescence in murine kidney primary tubular epithelial cells (PTEC). Exosome treatment efficiently reduced senescence while diminishing the transcription of senescence markers and senescence-associated secretory phenotype (SASP) factors. Concomitantly, we observed less DNA damage foci and more proliferating cells. These data provide new information regarding the therapeutic property of MSC exosomes in the development of renal senescence, suggesting a contribution to a new chapter of regenerative vehicles in senotherapy.</t>
  </si>
  <si>
    <t>[Liao, Chieh Ming; de Juan Mora, Blanca; Schmitt, Roland] Hannover Med Sch, Dept Hypertens &amp; Nephrol, D-30625 Hannover, Germany; [Luo, Tianjiao; von der Ohe, Juliane; Hass, Ralf] Hannover Med Sch, Dept Gynecol &amp; Obstet, Biochem &amp; Tumor Biol Lab, D-30625 Hannover, Germany</t>
  </si>
  <si>
    <t>Hannover Medical School; Hannover Medical School</t>
  </si>
  <si>
    <t>Hass, R (corresponding author), Hannover Med Sch, Dept Gynecol &amp; Obstet, Biochem &amp; Tumor Biol Lab, D-30625 Hannover, Germany.</t>
  </si>
  <si>
    <t>deJuanMora.Blanca@mh-hannover.de; Schmitt.Roland@mh-hannover.de; Hass.Ralf@mh-hannover.de</t>
  </si>
  <si>
    <t>Schmitt, Roland/AAP-4609-2021; Hass, Ralf/F-3197-2012</t>
  </si>
  <si>
    <t>Hass, Ralf/0000-0002-2481-7547; Schmitt, Roland/0000-0003-4415-8355</t>
  </si>
  <si>
    <t>10.3390/ijms222413562</t>
  </si>
  <si>
    <t>WOS:000738052700001</t>
  </si>
  <si>
    <t>Morris, DC; Jaehne, AK; Chopp, M; Zhang, ZG; Poisson, L; Chen, YL; Datta, I; Rivers, EP</t>
  </si>
  <si>
    <t>Morris, Daniel C.; Jaehne, Anja K.; Chopp, Michael; Zhang, Zhanggang; Poisson, Laila; Chen, Yalei; Datta, Indrani; Rivers, Emanuel P.</t>
  </si>
  <si>
    <t>Proteomic Profiles of Exosomes of Septic Patients Presenting to the Emergency Department Compared to Healthy Controls</t>
  </si>
  <si>
    <t>sepsis; septic shock; exosomes; proteomic profiles; healthy volunteers; emergency department</t>
  </si>
  <si>
    <t>ACUTE-PHASE PROTEINS; C-REACTIVE PROTEIN; STATISTICAL-MODEL; SEVERE SEPSIS; EXPRESSION; DISEASE; INFECTION; RESPONSES</t>
  </si>
  <si>
    <t>Background: Septic Emergency Department (ED) patients provide a unique opportunity to investigate early sepsis. Recent work focuses on exosomes, nanoparticle-sized lipid vesicles (30-130 nm) that are released into the bloodstream to transfer its contents (RNA, miRNA, DNA, protein) to other cells. Little is known about how early changes related to exosomes may contribute to the dysregulated inflammatory septic response that leads to multi-organ dysfunction. We aimed to evaluate proteomic profiles of plasma derived exosomes obtained from septic ED patients and healthy controls. Methods: This is a prospective observational pilot study evaluating a plasma proteomic exosome profile at an urban tertiary care hospital ED using a single venipuncture blood draw, collecting 40 cc Ethylenediaminetetraacetic acid (EDTA) blood. Measurements: We recruited seven patients in the ED within 6 h of their presentation and five healthy controls. Plasma exosomes were isolated using the Invitrogen Total Exosome Isolation Kit. Exosome proteomic profiles were analyzed using fusion mass spectroscopy and Proteome Discoverer. Principal component analysis (PCA) and differential expression analysis (DEA) for sepsis versus control was performed. Results: PCA of 261 proteins demonstrated septic patients and healthy controls were distributed in two groups. DEA revealed that 62 (23.8%) proteins differed between the exosomes of septic patients and healthy controls,p-value &lt; 0.05. Adjustments using the False Discovery Rate (FDR) showed 23 proteins remained significantly different (FDR &lt; 0.05) between sepsis and controls. Septic patients and controls were classified into two distinct groups by hierarchical clustering using the 62 nominally DE proteins. After adjustment multiple comparisons, three acute phase proteins remained significantly different between patients and controls: Serum amyloid A-1, C-reactive protein and Serum Amyloid A-2. Inflammatory response proteins immunoglobulin heavy constant Delta and Fc-fragment of IgG binding protein were increased. Conclusion: Exosome proteomic profiles of septic ED patients differ from their healthy counterparts with regard to acute phase response and inflammation.</t>
  </si>
  <si>
    <t>[Morris, Daniel C.; Jaehne, Anja K.; Rivers, Emanuel P.] Henry Ford Hosp, Dept Emergency Med, Detroit, MI 48202 USA; [Morris, Daniel C.; Chopp, Michael; Zhang, Zhanggang] Henry Ford Hosp, Dept Neurol Res, Detroit, MI 48202 USA; [Poisson, Laila; Chen, Yalei; Datta, Indrani] Henry Ford Hosp, Dept Publ Hlth Sci, Detroit, MI 48202 USA; [Rivers, Emanuel P.] Henry Ford Hosp, Dept Surg Crit Care, Detroit, MI 48202 USA</t>
  </si>
  <si>
    <t>Henry Ford Hospital; Henry Ford Hospital; Henry Ford Hospital; Henry Ford Hospital</t>
  </si>
  <si>
    <t>Jaehne, AK (corresponding author), Henry Ford Hosp, Dept Emergency Med, Detroit, MI 48202 USA.</t>
  </si>
  <si>
    <t>DMorris4@hfhs.org; AJaehne2@hfhs.org; MChopp1@hfhs.org; ZZhang1@hfhs.org; LPoisso1@hfhs.org; YChen4@hfhs.org; IDatta1@hfhs.org; ERivers1@hfhs.org</t>
  </si>
  <si>
    <t>Jaehne, Anja/AAD-2406-2019</t>
  </si>
  <si>
    <t>Jaehne, Anja/0000-0002-0744-2886; Morris, Daniel/0000-0002-9113-0614</t>
  </si>
  <si>
    <t>10.3390/jcm9092930</t>
  </si>
  <si>
    <t>WOS:000580270100001</t>
  </si>
  <si>
    <t>Baris, IC; Hacioglu, S; Turk, NS; Cetin, GO; Zencir, S; Bagci, G; Caner, V</t>
  </si>
  <si>
    <t>Baris, I. C.; Hacioglu, S.; Turk, N. S.; Cetin, G. O.; Zencir, S.; Bagci, G.; Caner, V.</t>
  </si>
  <si>
    <t>Expression and DNA methylation profiles of EZH2-target genes in plasma exosomes and matched primary tumor tissues of the patients with diffuse large B-cell lymphoma</t>
  </si>
  <si>
    <t>CLINICAL &amp; TRANSLATIONAL ONCOLOGY</t>
  </si>
  <si>
    <t>Diffuse large B-cell lymphoma; Epigenetics; EZH2-target genes; Exosome</t>
  </si>
  <si>
    <t>EXTRACELLULAR VESICLES; CPG ISLANDS; EZH2; HYPERMETHYLATION; MICROVESICLES; PROLIFERATION; PATHOGENESIS; MUTATIONS; SECRETION; GCB</t>
  </si>
  <si>
    <t>Aims Diffuse large B-cell lymphoma (DLBCL) is the most common type of aggressive lymphoma. This study was designed to compare epigenetic alterations observed in Enhancer of Zeste Homolog 2 (EZH2)-target genes between plasma-derived exosomes and primary tumors in DLBCL patients. Main methods Exosomes were isolated from plasma of 21 DLBCL patients and 21 controls. We analyzed the methylation status of the target genes using methylation-specific PCR. We also examined whether the exosomes and the tumor samples contained transcripts of the target genes. Key findings We found that CDKN2A and CDKN2B were methylated in both plasma exosomes and primary tumor tissue samples. None of the transcripts were found in the exosomes except CDKN1B which was expressed in 8 (38%) of the exosome samples. Significance This study showed that plasma exosomes might preferably package certain target molecules from primary tumors and the exosomes containing dual methylated DNAs of CDKN2A and CDKN2B, or CDKN1B transcript may contribute to DLBCL pathogenesis.</t>
  </si>
  <si>
    <t>[Baris, I. C.; Zencir, S.] Pamukkale Univ, Sch Med, Dept Med Biol, Denizli, Turkey; [Hacioglu, S.] Pamukkale Univ, Sch Med, Dept Hematol, Denizli, Turkey; [Turk, N. S.] Pamukkale Univ, Sch Med, Dept Med Pathol, Denizli, Turkey; [Cetin, G. O.; Bagci, G.; Caner, V.] Pamukkale Univ, Sch Med, Dept Med Genet, Denizli, Turkey; [Zencir, S.] Univ Geneva, Dept Mol Biol, CH-1211 Geneva 4, Switzerland</t>
  </si>
  <si>
    <t>Pamukkale University; Pamukkale University; Pamukkale University; Pamukkale University; University of Geneva</t>
  </si>
  <si>
    <t>Caner, V (corresponding author), Pamukkale Univ, Sch Med, Dept Med Genet, Denizli, Turkey.</t>
  </si>
  <si>
    <t>vcaner@pau.edu.tr</t>
  </si>
  <si>
    <t>Caner, Vildan/ABI-5029-2020</t>
  </si>
  <si>
    <t>Caner, Vildan/0000-0003-0980-9335</t>
  </si>
  <si>
    <t>1699-048X</t>
  </si>
  <si>
    <t>1699-3055</t>
  </si>
  <si>
    <t>10.1007/s12094-020-02504-6</t>
  </si>
  <si>
    <t>WOS:000591970200001</t>
  </si>
  <si>
    <t>Bigagli, E; Cinci, L; D'Ambrosio, M; Luceri, C</t>
  </si>
  <si>
    <t>Bigagli, Elisabetta; Cinci, Lorenzo; D'Ambrosio, Mario; Luceri, Cristina</t>
  </si>
  <si>
    <t>Transcriptomic Characterization, Chemosensitivity and Regulatory Effects of Exosomes in Spontaneous EMT/MET Transitions of Breast Cancer Cells</t>
  </si>
  <si>
    <t>CANCER GENOMICS &amp; PROTEOMICS</t>
  </si>
  <si>
    <t>Breast cancer; epithelial-mesenchymal transition (EMT); mesenchymal-epithelial transition (MET); metastasis; chemoresistance; exosomes</t>
  </si>
  <si>
    <t>EPITHELIAL-MESENCHYMAL TRANSITION; EMT</t>
  </si>
  <si>
    <t>Background/Aim: We examined the gene expression changes of breast cancer cells spontaneously undergoing epithelial-mesenchymal transition (EMT) and its reverse process mesenchymal-epithelial transition (MET) and the role of exosomes in these transitions. Materials and Methods: Highly invasive mesenchymal-like breast cancer cells, MDA-MB-231 (basal cells), EMT and MET variants, were characterized by microarray gene expression profiling, immuno cytochemistry and chemo-sensitivity. Results: Spontaneously disseminated cells were anoikis resistant, exhibited a dissociative, EMT-like phenotype and underwent MET when reseeded in cell-free plates. MET was inhibited by exosomes secreted by basal cells. Chemo-sensitivity to doxorubicin, vincristine and paclitaxel decreased in the order EMT&lt;MET&lt;basal. Phenotypic plasticity arose with differential expression of metastasis and stemness associated genes (LGR5, FZD10, DTX1, ErbB3, FTH1 and DLL4) and pathways (DNA replication and repair, ABC transporter, Hedgehog, Notch and metabolic pathways). Conclusion: This is an appropriate model for studying EMT/MET transitions, drug targets and the role of exosomes in breast cancer dissemination.</t>
  </si>
  <si>
    <t>[Bigagli, Elisabetta; Cinci, Lorenzo; D'Ambrosio, Mario; Luceri, Cristina] Univ Florence, Sect Pharmacol &amp; Toxicol, Dept Neurosci Psychol Drug Res &amp; Child Hlth, NEUROFARBA, Viale Gaetano Pieraccini 6, Florence, Italy</t>
  </si>
  <si>
    <t>Bigagli, E (corresponding author), Univ Florence, Sect Pharmacol &amp; Toxicol, Dept Neurosci Psychol Drug Res &amp; Child Hlth, NEUROFARBA, Viale Gaetano Pieraccini 6, Florence, Italy.</t>
  </si>
  <si>
    <t>elisabetta.bigagli@unifi.it</t>
  </si>
  <si>
    <t>Luceri, Cristina/N-4926-2016</t>
  </si>
  <si>
    <t>Luceri, Cristina/0000-0003-1232-8778; Cinci, Lorenzo/0000-0002-1799-4828; D'Ambrosio, Mario/0000-0003-3601-6867</t>
  </si>
  <si>
    <t>1109-6535</t>
  </si>
  <si>
    <t>1790-6245</t>
  </si>
  <si>
    <t>10.21873/cgp.20122</t>
  </si>
  <si>
    <t>Oncology; Genetics &amp; Heredity</t>
  </si>
  <si>
    <t>WOS:000465506400003</t>
  </si>
  <si>
    <t>Abramowicz, A; Labaj, W; Mika, J; Szoltysek, K; Slezak-Prochazka, I; Mielanczyk, L; Story, MD; Pietrowska, M; Polanski, A; Widlak, P</t>
  </si>
  <si>
    <t>Abramowicz, Agata; Labaj, Wojciech; Mika, Justyna; Szoltysek, Katarzyna; Slezak-Prochazka, Izabella; Mielanczyk, Lukasz; Story, Michael D.; Pietrowska, Monika; Polanski, Andrzej; Widlak, Piotr</t>
  </si>
  <si>
    <t>MicroRNA Profile of Exosomes and Parental Cells is Differently Affected by Ionizing Radiation</t>
  </si>
  <si>
    <t>RADIATION RESEARCH</t>
  </si>
  <si>
    <t>EXTRACELLULAR VESICLES; MEDIATED TRANSFER; SENESCENCE; RNA; DNA; MECHANISM; DISCOVERY; BIOLOGY; PROTEIN; LUNG</t>
  </si>
  <si>
    <t>Exosomes are key mediators of cell-to-cell communication involved in different aspects of the response to ionizing radiation. The functional role of exosomes depends on their molecular cargo, including protein and miRNA content. In this work, we compared the miRNA profile of cells exposed to a high-dose of radiation and the exosomes released by those cells. FaDu cells (derived from human head and neck cancer) were exposed to 2 and 8 Gy doses, exosomes were purified from culture media at 36 h postirradiation using a combination of differential centrifugation, ultrafiltration and precipitation, then microRNA was analyzed using the RNA-seq approach. There were 439 miRNA species quantified, and significant differences in their relative abundance were observed between the cells and exosomes; several low-abundance miRNAs were over-represented while high-abundance miRNAwere under-represented in exosomes. There were a few miRNA species markedly affected in irradiated cells and in exosomes released by these cells. However, markedly different radiation-induced effects were observed in both miRNA sets, which could be exemplified by miR-3168 significantly downregulated in cells and upregulated in exosomes. On the other hand, both 2 and 8 Gy radiation doses induced similar effects. Radiation-affected miRNA species present in exosomes are linked to genes involved in the DNA damage and cytokine-mediated response, which may suggest their hypothetical role in the exosome-mediated radiation-induced bystander effect reported elsewhere. (C) 2020 by Radiation Research Society.</t>
  </si>
  <si>
    <t>[Abramowicz, Agata; Szoltysek, Katarzyna; Pietrowska, Monika; Widlak, Piotr] Maria Sklodowska Curie Inst, Gliwice Branch, Oncol Ctr, Wybrzeze AK 15, PL-44101 Gliwice, Poland; [Labaj, Wojciech; Mika, Justyna; Slezak-Prochazka, Izabella; Polanski, Andrzej] Silesian Tech Univ, PL-44100 Gliwice, Poland; [Mielanczyk, Lukasz] Med Univ Silesia, Fac Med Sci Zabrze, Dept Histol &amp; Cell Pathol, Katowice, Poland; [Story, Michael D.] Univ Texas Southwestern Med Ctr Dallas, Dept Radiat Oncol, Dallas, TX 75390 USA</t>
  </si>
  <si>
    <t>Maria Sklodowska-Curie National Research Institute of Oncology; Silesian University of Technology; Medical University Silesia; University of Texas System; University of Texas Southwestern Medical Center Dallas</t>
  </si>
  <si>
    <t>Polanski, A; Widlak, P (corresponding author), Maria Sklodowska Curie Inst, Gliwice Branch, Oncol Ctr, Wybrzeze AK 15, PL-44101 Gliwice, Poland.</t>
  </si>
  <si>
    <t>piotr.widlak@io.gliwice.pl</t>
  </si>
  <si>
    <t>Story, Michael/AAX-2864-2021; Widlak, Piotr/AAL-8075-2021; Polanski, Andrzej/H-5323-2016</t>
  </si>
  <si>
    <t>Story, Michael/0000-0001-6522-4169; Widlak, Piotr/0000-0001-5099-4726; Polanski, Andrzej/0000-0002-1793-9546; Abramowicz, Agata/0000-0002-7826-9398; Mika, Justyna/0000-0003-4615-784X; Szoltysek, Katarzyna/0000-0003-4379-5221</t>
  </si>
  <si>
    <t>0033-7587</t>
  </si>
  <si>
    <t>1938-5404</t>
  </si>
  <si>
    <t>10.1667/RADE-20-00007</t>
  </si>
  <si>
    <t>Biology; Biophysics; Radiology, Nuclear Medicine &amp; Medical Imaging</t>
  </si>
  <si>
    <t>Life Sciences &amp; Biomedicine - Other Topics; Biophysics; Radiology, Nuclear Medicine &amp; Medical Imaging</t>
  </si>
  <si>
    <t>WOS:000558671800004</t>
  </si>
  <si>
    <t>Ishihara, R; Nakajima, T; Uchino, Y; Katagiri, A; Hosokawa, K; Maeda, M; Tomooka, Y; Kikuchi, A</t>
  </si>
  <si>
    <t>Ishihara, Ryo; Nakajima, Tadaaki; Uchino, Yoshitaka; Katagiri, Asuka; Hosokawa, Kazuo; Maeda, Mizuo; Tomooka, Yasuhiro; Kikuchi, Akihiko</t>
  </si>
  <si>
    <t>Rapid and Easy Extracellular Vesicle Detection on a Surface-Functionalized Power-Free Microchip toward Point-of-Care Diagnostics</t>
  </si>
  <si>
    <t>ACS OMEGA</t>
  </si>
  <si>
    <t>MICRORNA DETECTION; PROSTATE-CANCER; IMMUNOASSAY; EXOSOMES; CHIP; BIOMARKERS; SERUM; DNA</t>
  </si>
  <si>
    <t>Extracellular vesicles (EVs) are promising novel cancer biomarkers. However, rapid and easy analysis of EVs is challenging because conventional detection methods require large sample volumes and long detection times. Microchip-based analytical systems have particularly attracted attention for development of point-of-care (POC) diagnostics. Previously, various biomarker detection methods on a portable power-free poly(dimethylsiloxane) (PDMS) microchip using laminar flow-assisted dendritic amplification have been developed. Recently, for easy functionalization, we proposed a microchannel inner surface-functionalized power-free PDMS microchip (SF-PF microchip) utilizing electron beam-induced graft polymerization. In this study, we apply the technique and prepare a novel SF-PF microchip. On the microchip, EVs were successfully detected. The required sample volume was 1.0 mu L, and the total analysis time was 20 min. The microchip can contribute to EV-based POC cancer diagnosis.</t>
  </si>
  <si>
    <t>[Ishihara, Ryo; Uchino, Yoshitaka; Katagiri, Asuka; Kikuchi, Akihiko] Tokyo Univ Sci, Dept Mat Sci &amp; Technol, 6-3-1 Niijuku, Katsushika, Tokyo 1258585, Japan; [Nakajima, Tadaaki; Tomooka, Yasuhiro] Tokyo Univ Sci, Dept Biol Sci &amp; Technol, 6-3-1 Niijuku, Katsushika, Tokyo 1258585, Japan; [Hosokawa, Kazuo; Maeda, Mizuo] RIKEN, Bioengn Lab, 2-1 Hirosawa, Wako, Saitama 3510198, Japan</t>
  </si>
  <si>
    <t>Tokyo University of Science; Tokyo University of Science; RIKEN</t>
  </si>
  <si>
    <t>Ishihara, R (corresponding author), Tokyo Univ Sci, Dept Mat Sci &amp; Technol, 6-3-1 Niijuku, Katsushika, Tokyo 1258585, Japan.</t>
  </si>
  <si>
    <t>r.ishihara@rs.tus.ac.jp</t>
  </si>
  <si>
    <t>Maeda, Mizuo/I-3498-2014; Ishihara, Ryo/G-7722-2016</t>
  </si>
  <si>
    <t>Ishihara, Ryo/0000-0003-4862-4843</t>
  </si>
  <si>
    <t>2470-1343</t>
  </si>
  <si>
    <t>10.1021/acsomega.7b01147</t>
  </si>
  <si>
    <t>WOS:000418744000044</t>
  </si>
  <si>
    <t>Wu, HM; Wang, QM; Zhong, H; Li, L; Zhang, QJ; Huang, QY; Yu, ZK</t>
  </si>
  <si>
    <t>Wu, Heming; Wang, Qiuming; Zhong, Hua; Li, Liang; Zhang, Qunji; Huang, Qingyan; Yu, Zhikang</t>
  </si>
  <si>
    <t>Differentially expressed microRNAs in exosomes of patients with breast cancer revealed by next-generation sequencing</t>
  </si>
  <si>
    <t>microRNAs; exosomes; breast cancer; triple-negative breast cancer; next-generation sequencing</t>
  </si>
  <si>
    <t>TUMOR-DERIVED EXOSOMES; SIGNALING PATHWAYS; METASTASIS; GENE; MIR-21; GROWTH; CELLS; BIOMARKERS; SUBTYPES; MIR-148A</t>
  </si>
  <si>
    <t>MicroRNAs (miRNAs/miRs) in exosomes play crucial roles in the onset, progression and metastasis of cancer by regulating the stability of target mRNAs or by inhibiting translation. In the present study, differentially expressed miRNAs were identified in exosomes of 27 breast cancer patients and 3 healthy controls using RNA sequencing. The differentially expressed microRNAs were selected by bioinformatic analysis. Subjects were followed up for 2 years and exosomal miRNA profiles were compared between patients with and without recurrence of breast cancer. A total of 30 complementary DNA libraries were constructed and sequenced and 1,835 miRNAs were detected. There were no significant differences in the expression of miRNAs between the basal-like, human epidermal growth factor receptor-2(+), luminal A, luminal B and healthy control (HC) groups. A total of 54 differentially expressed miRNAs were identified in triple-negative breast cancer (TNBC) patients vs. HCs, including 20 upregulated and 34 downregulated miRNAs. The results of the reverse transcription-quantitative PCR were consistent with this. Receiver operating characteristic curve analyses indicated that miR-150-5p [area under the curve (AUC)=0.705, upregulated], miR-576-3p (AUC=0.691, upregulated), miR-4665-5p (AUC=0.681, upregulated) were able to distinguish breast cancer patients with recurrence from those without recurrence. In conclusion, the present results indicated differences in miRNA expression profiles between patients with TNBC and healthy controls. Certain exosomal miRNAs were indicated to have promising predictive value as biomarkers for distinguishing breast cancer with recurrence from non-recurrence, which may be utilized for preventive strategies.</t>
  </si>
  <si>
    <t>[Wu, Heming; Zhong, Hua; Zhang, Qunji; Huang, Qingyan; Yu, Zhikang] Sun Yat Sen Univ, Meizhou Hosp, Meizhou Acad Med Sci, Ctr Precis Med,Meizhou Peoples Hosp,Huangtang Hos, 63 Huangtang Rd, Meizhou 514031, Guangdong, Peoples R China; [Wu, Heming; Zhong, Hua; Zhang, Qunji; Huang, Qingyan; Yu, Zhikang] Sun Yat Sen Univ, Meizhou Hosp, Meizhou Acad Med Sci,Meizhou Peoples Hosp,Huangta, Guangdong Prov Key Lab Precis Med,Clin &amp; Translat, Meizhou 514031, Guangdong, Peoples R China; [Wu, Heming; Zhong, Hua; Zhang, Qunji; Huang, Qingyan; Yu, Zhikang] Sun Yat Sen Univ, Meizhou Hosp, Meizhou Peoples Hosp,Huangtang Hosp,Meizhou Acad, Guangdong Prov Engn &amp; Technol Res Ctr Clin Mol Di, Meizhou 514031, Guangdong, Peoples R China; [Wang, Qiuming; Li, Liang] Sun Yat Sen Univ, Meizhou Hosp, Meizhou Peoples Hosp,Huangtang Hosp,Meizhou Acad, Ctr Canc Prevent &amp; Treatment, Meizhou 514031, Guangdong, Peoples R China</t>
  </si>
  <si>
    <t>Sun Yat Sen University; Sun Yat Sen University; Sun Yat Sen University; Sun Yat Sen University</t>
  </si>
  <si>
    <t>Wu, HM (corresponding author), Sun Yat Sen Univ, Meizhou Hosp, Meizhou Acad Med Sci, Ctr Precis Med,Meizhou Peoples Hosp,Huangtang Hos, 63 Huangtang Rd, Meizhou 514031, Guangdong, Peoples R China.</t>
  </si>
  <si>
    <t>wuheming1986@126.com</t>
  </si>
  <si>
    <t>10.3892/or.2019.7401</t>
  </si>
  <si>
    <t>WOS:000505696300020</t>
  </si>
  <si>
    <t>Liu, Y; Tempelaars, MH; Boeren, S; Alexeeva, S; Smid, EJ; Abee, T</t>
  </si>
  <si>
    <t>Liu, Yue; Tempelaars, Marcel H.; Boeren, Sjef; Alexeeva, Svetlana; Smid, Eddy J.; Abee, Tjakko</t>
  </si>
  <si>
    <t>Extracellular vesicle formation in Lactococcus lactis is stimulated by prophage-encoded holin-lysin system</t>
  </si>
  <si>
    <t>MICROBIAL BIOTECHNOLOGY</t>
  </si>
  <si>
    <t>GRAM-POSITIVE BACTERIA; MEMBRANE-VESICLES; EXPRESSION; AUTOLYSIS; SECRETION; PLATFORM; DNA</t>
  </si>
  <si>
    <t>Gram-positive bacterial extracellular membrane vesicles (EVs) have been drawing more attention in recent years. However, mechanistic insights are still lacking on how EVs are released through the cell walls in Gram-positive bacteria. In this study, we characterized underlying mechanisms of EV production and provide evidence for a role of prophage activation in EV release using the Gram-positive bacterium Lactococcus lactis as a model. By applying a standard EV isolation procedure, we observed the presence of EVs in the culture supernatant of a lysogenic L. lactis strain FM-YL11, for which the prophage-inducing condition led to an over 10-fold increase in EV production in comparison with the non-inducing condition. In contrast, the prophage-encoded holin-lysin knockout mutant YL11 Delta HLH and the prophage-cured mutant FM-YL12 produced constantly low levels of EVs. Under the prophage-inducing condition, FM-YL11 did not show massive cell lysis. Defective phage particles were found to be released in and associated with holin-lysin-induced EVs from FM-YL11, as demonstrated by transmission electron microscopic images, flow cytometry and proteomics analysis. Findings from this study further generalized the EV-producing phenotype to Gram-positive L. lactis, and provide additional insights into the EV production mechanism involving prophage-encoded holin-lysin system. The knowledge on bacterial EV production can be applied to all Gram-positive bacteria and other lactic acid bacteria with important roles in fermentations and probiotic formulations, to enable desired release and delivery of cellular components with nutritional values or probiotic effects.</t>
  </si>
  <si>
    <t>[Liu, Yue; Tempelaars, Marcel H.; Alexeeva, Svetlana; Smid, Eddy J.; Abee, Tjakko] Wageningen Univ &amp; Res, Food Microbiol, POB 17, NL-6700 AA Wageningen, Netherlands; [Boeren, Sjef] Wageningen Univ &amp; Res, Lab Biochem, Wageningen, Netherlands</t>
  </si>
  <si>
    <t>Wageningen University &amp; Research; Wageningen University &amp; Research</t>
  </si>
  <si>
    <t>Smid, EJ; Abee, T (corresponding author), Wageningen Univ &amp; Res, Food Microbiol, POB 17, NL-6700 AA Wageningen, Netherlands.</t>
  </si>
  <si>
    <t>eddy.smid@wur.nl; tjakko.abee@wur.nl</t>
  </si>
  <si>
    <t>Smid, Eddy J./0000-0002-6687-5083; Liu, Yue/0000-0003-1579-6278</t>
  </si>
  <si>
    <t>1751-7915</t>
  </si>
  <si>
    <t>10.1111/1751-7915.13972</t>
  </si>
  <si>
    <t>WOS:000762256600001</t>
  </si>
  <si>
    <t>Wang, YL; Li, QY; Shi, HM; Tang, KQ; Qiao, L; Yu, GP; Ding, CF; Yu, SN</t>
  </si>
  <si>
    <t>Wang, Yanlin; Li, Qiaoyu; Shi, Haimei; Tang, Keqi; Qiao, Liang; Yu, Guopeng; Ding, Chuanfan; Yu, Shaoning</t>
  </si>
  <si>
    <t>Microfluidic Raman biochip detection of exosomes: a promising tool for prostate cancer diagnosis</t>
  </si>
  <si>
    <t>EXTRACELLULAR VESICLES; WHOLE-BLOOD; SERS</t>
  </si>
  <si>
    <t>Tumor-derived exosomes, which contain RNA, DNA, and proteins, are a potentially rich non-invasive source of biomarkers. However, no efficient isolation or detection methods are yet available. Here, we developed a microfluidic Raman biochip designed to isolate and analyze exosomes in situ. Anti-CD63 magnetic nanoparticles were used to enrich exosomes through mixing channels of a staggered triangular pillar array. EpCAM-functionalized Raman-active polymeric nanomaterials (Raman beads) allow rapid analysis of exosome samples within 1 h, with a quantitative signal at 2230 cm(-1). The limit of detection of this biochip approaches 1.6 x 10(2) particles per mL with 20 mu L samples. The newly developed biochip assay was successfully applied in the determination of exosomes from clinical serum samples. Thus, this novel device may have potential as a clinical exosome analysis tool for prostate cancer.</t>
  </si>
  <si>
    <t>[Wang, Yanlin; Li, Qiaoyu; Qiao, Liang; Yu, Shaoning] Fudan Univ, Dept Chem, Shanghai 200433, Peoples R China; [Shi, Haimei; Tang, Keqi; Ding, Chuanfan; Yu, Shaoning] Ningbo Univ, Inst Mass Spectrometry, Sch Mat Sci &amp; Chem Engn, Zhejiang Prov Key Lab Adv Mass Spectrometry &amp; Mol, Ningbo 315211, Zhejiang, Peoples R China; [Yu, Guopeng] Shanghai Jiao Tong Univ, Shanghai Peoples Hosp 9, Dept Urol, Sch Med, Shanghai 200011, Peoples R China</t>
  </si>
  <si>
    <t>Fudan University; Ningbo University; Shanghai Jiao Tong University</t>
  </si>
  <si>
    <t>Yu, SN (corresponding author), Fudan Univ, Dept Chem, Shanghai 200433, Peoples R China.;Ding, CF; Yu, SN (corresponding author), Ningbo Univ, Inst Mass Spectrometry, Sch Mat Sci &amp; Chem Engn, Zhejiang Prov Key Lab Adv Mass Spectrometry &amp; Mol, Ningbo 315211, Zhejiang, Peoples R China.</t>
  </si>
  <si>
    <t>dingchuanfan@nbu.edu.cn; yushaoning@nbu.edu.cn</t>
  </si>
  <si>
    <t>Qiao, Liang/I-3134-2012</t>
  </si>
  <si>
    <t>Qiao, Liang/0000-0002-6233-8459</t>
  </si>
  <si>
    <t>DEC 21</t>
  </si>
  <si>
    <t>10.1039/d0lc00677g</t>
  </si>
  <si>
    <t>WOS:000599063600012</t>
  </si>
  <si>
    <t>Xie, JJ; Wu, C</t>
  </si>
  <si>
    <t>Xie, Jingjun; Wu, Can</t>
  </si>
  <si>
    <t>Ultrasensitive quantification of extracellular vesicles through dual signal amplification for the early diagnosis and prognosis of chronic obstructive pulmonary disease (COPD)</t>
  </si>
  <si>
    <t>ANALYTICAL METHODS</t>
  </si>
  <si>
    <t>Accurate quantification of low-abundant EVs plays an essential role in the diagnosis and treatment of chronic obstructive pulmonary disease (COPD). Aptamers, which can specifically recognize and bind with protein molecules through transformation, make it possible to integrate DNA polymerase-based amplification strategies for protein detection. Thus, we have designed an allosteric probe and demonstrated its feasibility to convert the detection signals of EVs (extracellular vesicles) to nucleic acids through the specific recognition of target EVs. In addition, we have integrated the Nt.BstNBI and DNA polymerase based ssDNA generation process with the Exo III recycle process and greatly improved the detection sensitivity. The presence of target EVs initiates the Nt.BstNBI triggered multiple cycle amplification, enabling the achievement of high sensitivity and excellent selectivity, holding great potential in disease diagnosis and biomedical research.</t>
  </si>
  <si>
    <t>[Xie, Jingjun] Army Med Univ, Dept Geriatr &amp; Special Serv Med, Affiliated Hosp 1, Chongqing 400038, Peoples R China; [Wu, Can] North Kuanren Gen Hosp, Phys Examinat Ctr, Chongqing 400020, Peoples R China; [Wu, Can] Chongqing Hosp Tradit Chinese Med, Dept Resp &amp; Crit Care Medcine, Chongqing 400021, Peoples R China</t>
  </si>
  <si>
    <t>Army Medical University</t>
  </si>
  <si>
    <t>Wu, C (corresponding author), North Kuanren Gen Hosp, Phys Examinat Ctr, Chongqing 400020, Peoples R China.;Wu, C (corresponding author), Chongqing Hosp Tradit Chinese Med, Dept Resp &amp; Crit Care Medcine, Chongqing 400021, Peoples R China.</t>
  </si>
  <si>
    <t>wucan1003@163.com</t>
  </si>
  <si>
    <t>1759-9660</t>
  </si>
  <si>
    <t>1759-9679</t>
  </si>
  <si>
    <t>10.1039/d1ay01294k</t>
  </si>
  <si>
    <t>Chemistry, Analytical; Food Science &amp; Technology; Spectroscopy</t>
  </si>
  <si>
    <t>Chemistry; Food Science &amp; Technology; Spectroscopy</t>
  </si>
  <si>
    <t>WOS:000692804300001</t>
  </si>
  <si>
    <t>Dong, HL; Chen, HF; Jiang, JQ; Zhang, H; Cai, CX; Shen, QM</t>
  </si>
  <si>
    <t>Dong, Huilei; Chen, Hongfei; Jiang, Juqian; Zhang, Hui; Cai, Chenxin; Shen, Qingming</t>
  </si>
  <si>
    <t>Highly Sensitive Electrochemical Detection of Tumor Exosomes Based on Aptamer Recognition-Induced Multi-DNA Release and Cyclic Enzymatic Amplification</t>
  </si>
  <si>
    <t>NANOPARTICLE TRACKING ANALYSIS; DUAL SIGNAL AMPLIFICATION; LABEL-FREE; CANCER-CELLS; VESICLES; SENSOR; APTASENSOR; STRATEGY; COMPLEXES; GROWTH</t>
  </si>
  <si>
    <t>Sensitive and specific detection of tumor exosomes is of great significance for early cancer diagnosis. In this paper, we report an aptamer strategy for exosome detection based on aptamer recognition induced multi-DNA release and cyclic enzymatic amplification. First, we use aptamer magnetic bead bioconjugates to capture tumor exosomes derived from LNCaP cells, leading to the release of three kinds of messenger DNAs (mDNAs). After magnetic separation, the released mDNAs hybridized with the probe DNAs immobilized on a gold electrode. Electroactive Ru(NH3)(3+)(6) was used as the signal reporter because of its electrostatic attraction to DNA. Subsequent Exo III cyclic digestion caused the electrochemical signal to turn off'. Because the electrochemical signal reflects the concentration of Ru(NH3)(3+)(6) and the concentration of Ru(NH3)(3+)(6) is correlated with the mDNA concentration, which is correlated with the exosome concentration, the tumor exosomes can be detected by examining the decrease in the peak current of Ru(NH3)(3+)(6). In this paper, the signal was amplified by the numerous mDNAs released from the magnetic bead and the Exo III-assisted mDNA recycling. Under the optimal conditions, a detection limit down to 70 partides/mu L was achieved, which is lower than the LODs of most currently available methods. Furthermore, this assay can be used to detect tumor exosomes in complex biological samples, demonstrating potential application in real sample diagnosis.</t>
  </si>
  <si>
    <t>[Dong, Huilei; Chen, Hongfei; Jiang, Juqian; Zhang, Hui; Cai, Chenxin] Nanjing Normal Univ, Jiangsu Collaborat Innovat Ctr Biomed Funct Mat, Coll Chem &amp; Mat Sci,Jiangsu Key Lab Biomed Mat, Natl &amp; Local Joint Engn Res Ctr Biomed Funct Mat, Nanjing 210097, Jiangsu, Peoples R China; [Shen, Qingming] Nanjing Univ Posts &amp; Telecommun, Jiangsu Natl Synerget Innovat Ctr Adv Mat SICAM, Key Lab Organ Elect &amp; Informat Displays, Nanjing 210023, Jiangsu, Peoples R China; [Shen, Qingming] Nanjing Univ Posts &amp; Telecommun, Jiangsu Natl Synerget Innovat Ctr Adv Mat SICAM, Inst Adv Mat, Nanjing 210023, Jiangsu, Peoples R China</t>
  </si>
  <si>
    <t>Nanjing Normal University; Nanjing University of Posts &amp; Telecommunications; Nanjing University of Posts &amp; Telecommunications</t>
  </si>
  <si>
    <t>Zhang, H (corresponding author), Nanjing Normal Univ, Jiangsu Collaborat Innovat Ctr Biomed Funct Mat, Coll Chem &amp; Mat Sci,Jiangsu Key Lab Biomed Mat, Natl &amp; Local Joint Engn Res Ctr Biomed Funct Mat, Nanjing 210097, Jiangsu, Peoples R China.;Shen, QM (corresponding author), Nanjing Univ Posts &amp; Telecommun, Jiangsu Natl Synerget Innovat Ctr Adv Mat SICAM, Key Lab Organ Elect &amp; Informat Displays, Nanjing 210023, Jiangsu, Peoples R China.;Shen, QM (corresponding author), Nanjing Univ Posts &amp; Telecommun, Jiangsu Natl Synerget Innovat Ctr Adv Mat SICAM, Inst Adv Mat, Nanjing 210023, Jiangsu, Peoples R China.</t>
  </si>
  <si>
    <t>zhangh@njnu.edu.cn; iamqmshen@njupt.edu.cn</t>
  </si>
  <si>
    <t>Zhang, Hui/AAI-6868-2020</t>
  </si>
  <si>
    <t>, hui/0000-0002-4922-3745; Shen, Qingming/0000-0002-5940-8911</t>
  </si>
  <si>
    <t>10.1021/acs.analchem.7b04863</t>
  </si>
  <si>
    <t>WOS:000429385800039</t>
  </si>
  <si>
    <t>Votteler, J; Ogohara, C; Yi, S; Hsia, Y; Nattermann, U; Belnap, DM; King, NP; Sundquist, WI</t>
  </si>
  <si>
    <t>Votteler, Jorg; Ogohara, Cassandra; Yi, Sue; Hsia, Yang; Nattermann, Una; Belnap, David M.; King, Neil P.; Sundquist, Wesley I.</t>
  </si>
  <si>
    <t>Designed proteins induce the formation of nanocage-containing extracellular vesicles</t>
  </si>
  <si>
    <t>COMPUTATIONAL DESIGN; VIRUS; DNA; FUSION; IMAGE; VISUALIZATION</t>
  </si>
  <si>
    <t>Complex biological processes are often performed by self-organizing nanostructures comprising multiple classes of macromolecules, such as ribosomes (proteins and RNA) or enveloped viruses (proteins, nucleic acids and lipids). Approaches have been developed for designing self-assembling structures consisting of either nucleic acids(1,2) or proteins(3-5), but strategies for engineering hybrid biological materials are only beginning to emerge(6,7). Here we describe the design of self-assembling protein nanocages that direct their own release from human cells inside small vesicles in a manner that resembles some viruses. We refer to these hybrid biomaterials as 'enveloped protein nanocages' (EPNs). Robust EPN biogenesis requires protein sequence elements that encode three distinct functions: membrane binding, self-assembly, and recruitment of the endosomal sorting complexes required for transport (ESCRT) machinery(8). A variety of synthetic proteins with these functional elements induce EPN biogenesis, highlighting the modularity and generality of the design strategy. Biochemical analyses and cryo-electron microscopy reveal that one design, EPN-01, comprises small (similar to 100 nm) vesicles containing multiple protein nanocages that closely match the structure of the designed 60-subunit self-assembling scaffold(9). EPNs that incorporate the vesicular stomatitis viral glycoprotein can fuse with target cells and deliver their contents, thereby transferring cargoes from one cell to another. These results show how proteins can be programmed to direct the formation of hybrid biological materials that perform complex tasks, and establish EPNs as a class of designed, modular, genetically-encoded nanomaterials that can transfer molecules between cells.</t>
  </si>
  <si>
    <t>[Votteler, Jorg; Belnap, David M.; Sundquist, Wesley I.] Univ Utah, Dept Biochem, Salt Lake City, UT 84112 USA; [Ogohara, Cassandra; Yi, Sue; Hsia, Yang; Nattermann, Una; King, Neil P.] Univ Washington, Dept Biochem, Seattle, WA 98195 USA; [Ogohara, Cassandra; Yi, Sue; Hsia, Yang; Nattermann, Una; King, Neil P.] Univ Washington, Inst Prot Design, Seattle, WA 98195 USA; [Hsia, Yang; Nattermann, Una] Univ Washington, Grad Program Biol Phys Struct &amp; Design, Seattle, WA 98195 USA; [Belnap, David M.] Univ Utah, Dept Biol, Salt Lake City, UT 84112 USA</t>
  </si>
  <si>
    <t>Utah System of Higher Education; University of Utah; University of Washington; University of Washington Seattle; University of Washington; University of Washington Seattle; University of Washington; University of Washington Seattle; Utah System of Higher Education; University of Utah</t>
  </si>
  <si>
    <t>Sundquist, WI (corresponding author), Univ Utah, Dept Biochem, Salt Lake City, UT 84112 USA.;King, NP (corresponding author), Univ Washington, Dept Biochem, Seattle, WA 98195 USA.;King, NP (corresponding author), Univ Washington, Inst Prot Design, Seattle, WA 98195 USA.</t>
  </si>
  <si>
    <t>neilking@uw.edu; wes@biochem.utah.edu</t>
  </si>
  <si>
    <t>DEC 8</t>
  </si>
  <si>
    <t>10.1038/nature20607</t>
  </si>
  <si>
    <t>WOS:000389548700062</t>
  </si>
  <si>
    <t>Tubita, V; Segui-Barber, J; Lozano, JJ; Banon-Maneus, E; Rovira, J; Cucchiari, D; Moya-Rull, D; Oppenheimer, F; Del Portillo, H; Campistol, JM; Diekmann, F; Ramirez-Bajo, MJ; Revuelta, I</t>
  </si>
  <si>
    <t>Tubita, Valeria; Segui-Barber, Joan; Jose Lozano, Juan; Banon-Maneus, Elisenda; Rovira, Jordi; Cucchiari, David; Moya-Rull, Daniel; Oppenheimer, Federico; Del Portillo, Hernando; Campistol, Josep M.; Diekmann, Fritz; Jose Ramirez-Bajo, Maria; Revuelta, Ignacio</t>
  </si>
  <si>
    <t>Effect of immunosuppression in miRNAs from extracellular vesicles of colorectal cancer and their influence on the pre-metastatic niche</t>
  </si>
  <si>
    <t>RENAL-TRANSPLANT; TUMOR-GROWTH; EXOSOMES; RISK; EXPRESSION; RAPAMYCIN; PATHWAY; CELLS; MTOR; PROGRESSION</t>
  </si>
  <si>
    <t>Colorectal cancer (CRC) occurs with more aggressiveness in kidney transplant recipients compared to the general population. Immunosuppressive therapy plays a crucial role in the development of post-transplant malignancy. Concretely, cyclosporine A (CsA) has intrinsic pro-oncologic properties, while several studies report a regression of cancer after the introduction of rapamycin (RAPA). However, their effect on the extracellular vesicle (EV) content from CRC cell lines and their relevance in the premetastatic niche have not yet been studied. Here, we investigated the effect of RAPA and CsA in EV-miRNAs from metastatic and non-metastatic CRC cell lines and the role of relevant miRNAs transferred into a pre-metastatic niche model. EV-miRNA profiles showed a significant upregulation of miR-6127, miR-6746-5p, and miR-6787-5p under RAPA treatment compared to CsA and untreated conditions in metastatic cell lines that were not observed in non-metastatic cells. From gene expression analysis of transfected lung fibroblasts, we identified 22 shared downregulated genes mostly represented by the histone family involved in chromatin organization, DNA packaging, and cell cycle. These results suggest that EV-miR-6127, miR-6746-5p and miR-6787-5p could be a potential epigenetic mechanism induced by RAPA therapy in the regulation of the pre-metastatic niche of post-transplant colorectal cancer.</t>
  </si>
  <si>
    <t>[Tubita, Valeria; Rovira, Jordi; Campistol, Josep M.; Diekmann, Fritz; Jose Ramirez-Bajo, Maria; Revuelta, Ignacio] IDIBAPS, LENIT, Barcelona, Spain; [Segui-Barber, Joan; Del Portillo, Hernando] Univ Barcelona, Inst Salud Global Barcelona ISGlobal, Hosp Clin, Barcelona, Spain; [Jose Lozano, Juan] CIBEREHD, Bioinformat Platform, Barcelona, Spain; [Banon-Maneus, Elisenda; Moya-Rull, Daniel; Oppenheimer, Federico; Campistol, Josep M.; Diekmann, Fritz] FCRB, LENIT, Barcelona, Spain; [Banon-Maneus, Elisenda; Rovira, Jordi; Moya-Rull, Daniel; Campistol, Josep M.; Diekmann, Fritz; Jose Ramirez-Bajo, Maria; Revuelta, Ignacio] Spanish Kidney Res Network, ISCIII RETIC REDinREN RD016 0 009, Madrid, Spain; [Del Portillo, Hernando] Inst Invest Germans Trias &amp; Pujol IGTP, Badalona, Spain; [Del Portillo, Hernando] ICREA, Barcelona, Spain; [Cucchiari, David; Oppenheimer, Federico; Campistol, Josep M.; Diekmann, Fritz; Revuelta, Ignacio] Hosp Clin Barcelona, Dept Nephrol &amp; Renal Transplantat, ICNU, Barcelona, Spain</t>
  </si>
  <si>
    <t>University of Barcelona; Hospital Clinic de Barcelona; IDIBAPS; ISGlobal; University of Barcelona; Hospital Clinic de Barcelona; CIBER - Centro de Investigacion Biomedica en Red; CIBEREHD; Fundacio Institut d'Investigacio en Ciencies de la Salut Germans Trias i Pujol (IGTP); ICREA; University of Barcelona; Hospital Clinic de Barcelona</t>
  </si>
  <si>
    <t>Ramirez-Bajo, MJ; Revuelta, I (corresponding author), IDIBAPS, LENIT, Barcelona, Spain.;Ramirez-Bajo, MJ; Revuelta, I (corresponding author), Spanish Kidney Res Network, ISCIII RETIC REDinREN RD016 0 009, Madrid, Spain.;Revuelta, I (corresponding author), Hosp Clin Barcelona, Dept Nephrol &amp; Renal Transplantat, ICNU, Barcelona, Spain.</t>
  </si>
  <si>
    <t>mramire1@clinic.cat; irevuelt@clinic.cat</t>
  </si>
  <si>
    <t>Oppenheimer, Federico/AFQ-0323-2022; Barber, Joan Segui/K-5704-2017; Rovira, Jordi/A-9603-2017; del Portillo Obando, Hernando A/L-2131-2014</t>
  </si>
  <si>
    <t>Oppenheimer, Federico/0000-0002-1117-831X; Barber, Joan Segui/0000-0001-6272-2808; Rovira, Jordi/0000-0001-8737-5005; Diekmann, Fritz/0000-0001-6199-3016; Moya Rull, Daniel/0000-0002-3555-6477; del Portillo Obando, Hernando A/0000-0002-5278-3452; ramirez-bajo, maria jose/0000-0003-0119-1331</t>
  </si>
  <si>
    <t>10.1038/s41598-019-47581-y</t>
  </si>
  <si>
    <t>WOS:000478011700028</t>
  </si>
  <si>
    <t>Pinto, DO; Al Sharif, S; Mensah, G; Cowen, M; Khatkar, P; Erickson, J; Branscome, H; Lattanze, T; DeMarino, C; Alem, F; Magni, R; Zhou, WD; Alais, S; Dutartre, H; El-Hage, N; Mahieux, R; Liotta, LA; Kashanchi, F</t>
  </si>
  <si>
    <t>Pinto, Daniel O.; Al Sharif, Sarah; Mensah, Gifty; Cowen, Maria; Khatkar, Pooja; Erickson, James; Branscome, Heather; Lattanze, Thomas; DeMarino, Catherine; Alem, Farhang; Magni, Ruben; Zhou, Weidong; Alais, Sandrine; Dutartre, Helene; El-Hage, Nazira; Mahieux, Renaud; Liotta, Lance A.; Kashanchi, Fatah</t>
  </si>
  <si>
    <t>Extracellular vesicles from HTLV-1 infected cells modulate target cells and viral spread</t>
  </si>
  <si>
    <t>RETROVIROLOGY</t>
  </si>
  <si>
    <t>Background The Human T-cell Lymphotropic Virus Type-1 (HTLV-1) is a blood-borne pathogen and etiological agent of Adult T-cell Leukemia/Lymphoma (ATLL) and HTLV-1 Associated Myelopathy/Tropical Spastic Paraparesis (HAM/TSP). HTLV-1 has currently infected up to 10 million globally with highly endemic areas in Japan, Africa, the Caribbean and South America. We have previously shown that Extracellular Vesicles (EVs) enhance HTLV-1 transmission by promoting cell-cell contact. Results Here, we separated EVs into subpopulations using differential ultracentrifugation (DUC) at speeds of 2 k (2000xg), 10 k (10,000xg), and 100 k (100,000xg) from infected cell supernatants. Proteomic analysis revealed that EVs contain the highest viral/host protein abundance in the 2 k subpopulation (2 k &gt; 10 k &gt; 100 k). The 2 k and 10 k populations contained viral proteins (i.e., p19 and Tax), and autophagy proteins (i.e., LC3 and p62) suggesting presence of autophagosomes as well as core histones. Interestingly, the use of 2 k EVs in an angiogenesis assay (mesenchymal stem cells + endothelial cells) caused deterioration of vascular-like-tubules. Cells commonly associated with the neurovascular unit (i.e., astrocytes, neurons, and macrophages) in the blood-brain barrier (BBB) showed that HTLV-1 EVs may induce expression of cytokines involved in migration (i.e., IL-8; 100 k &gt; 2 k &gt; 10 k) from astrocytes and monocyte-derived macrophages (i.e., IL-8; 2 k &gt; 10 k). Finally, we found that EVs were able to promote cell-cell contact and viral transmission in monocytic cell-derived dendritic cell. The EVs from both 2 k and 10 k increased HTLV-1 spread in a humanized mouse model, as evidenced by an increase in proviral DNA and RNA in the Blood, Lymph Node, and Spleen. Conclusions Altogether, these data suggest that various EV subpopulations induce cytokine expression, tissue damage, and viral spread.</t>
  </si>
  <si>
    <t>[Pinto, Daniel O.; Al Sharif, Sarah; Mensah, Gifty; Cowen, Maria; Khatkar, Pooja; Erickson, James; Branscome, Heather; Lattanze, Thomas; DeMarino, Catherine; Alem, Farhang; Kashanchi, Fatah] George Mason Univ, Sch Syst Biol, Lab Mol Virol, Manassas, VA 20110 USA; [Magni, Ruben; Zhou, Weidong; Liotta, Lance A.] George Mason Univ, Ctr Appl Prote &amp; Mol Med, Manassas, VA USA; [Alais, Sandrine; Dutartre, Helene; Mahieux, Renaud] Univ Lyon, Univ Claude Bernard Lyon 1,CNRS,INSERM, Ecole Normale Super Lyon,Retroviral Oncogenesis L, Int Ctr Res Infectiol,Fdn Rech Med,U1111,Labex Ec, Lyon, France; [El-Hage, Nazira] Florida Int Univ, Dept Immunol &amp; Nanomed, Herbert Wertheim Coll Med, Miami, FL 33199 USA</t>
  </si>
  <si>
    <t>George Mason University; George Mason University; Centre National de la Recherche Scientifique (CNRS); Ecole Normale Superieure de Lyon (ENS de LYON); Institut National de la Sante et de la Recherche Medicale (Inserm); UDICE-French Research Universities; Universite Claude Bernard Lyon 1; State University System of Florida; Florida International University</t>
  </si>
  <si>
    <t>Dutartre, Helene/L-7463-2019</t>
  </si>
  <si>
    <t>Dutartre, Helene/0000-0002-2682-4302; khatkar, pooja/0000-0003-3842-5146</t>
  </si>
  <si>
    <t>1742-4690</t>
  </si>
  <si>
    <t>FEB 23</t>
  </si>
  <si>
    <t>10.1186/s12977-021-00550-8</t>
  </si>
  <si>
    <t>WOS:000620940200001</t>
  </si>
  <si>
    <t>Wang, AL; Lukas, TJ; Yuan, M; Du, N; Tso, MO; Neufeld, AH</t>
  </si>
  <si>
    <t>Wang, Ai Ling; Lukas, Thomas J.; Yuan, Ming; Du, Nga; Tso, Mark O.; Neufeld, Arthur H.</t>
  </si>
  <si>
    <t>Autophagy, exosomes and drusen formation in age-related macular degeneration</t>
  </si>
  <si>
    <t>AUTOPHAGY</t>
  </si>
  <si>
    <t>lysosome; retinal pigment epithelium; aging; mitochondria; DNA damage; exosome</t>
  </si>
  <si>
    <t>Age-related macular degeneration (AMD) is the leading cause of loss of vision in developed countries. AMD is characterized by a progressive degeneration of the macula of the retina, usually bilateral, leading to a severe decrease in central vision. An early sign of AMD is the appearance of drusen, which are extracellular deposits that accumulate on Bruch's membrane below the retinal pigment epithelium (RPE). Drusen are a risk factor for developing AMD. Some of the protein components of drusen are known, yet we know little about the processes that lead to formation of drusen. We have previously reported increased mitochondrial DNA (mtDNA) damage and decreased DNA repair enzyme capabilities in the rodent RPE/choroid with age. In this study, we used in vitro modeling of increased mtDNA damage. Under conditions of increased mtDNA damage, autophagy markers and exosome markers were upregulated. In addition, we found autophagy markers and exosome markers in the region of Bruch's membrane in the retinas of old mice. Furthermore, we found that drusen in AMD donor eyes contain markers for autophagy and for exosomes. We speculate that increased autophagy and the release of intracellular proteins via exosomes by the aged RPE may contribute to the formation of drusen. Molecular and cellular changes in the old RPE may underlie susceptibility to genetic mutations that are found in AMD patients.</t>
  </si>
  <si>
    <t>[Wang, Ai Ling; Lukas, Thomas J.; Yuan, Ming; Du, Nga; Neufeld, Arthur H.] Northwestern Univ, Sch Med, Dept Ophthalmol, Forsythe Lab Invest Aging Retina, Chicago, IL 60611 USA; [Tso, Mark O.] Johns Hopkins Univ, Sch Med, Wilmer Eye Inst, Baltimore, MD 21205 USA</t>
  </si>
  <si>
    <t>Northwestern University; Johns Hopkins University; Johns Hopkins Medicine</t>
  </si>
  <si>
    <t>Neufeld, AH (corresponding author), Northwestern Univ, Sch Med, Dept Ophthalmol, Forsythe Lab Invest Aging Retina, 303 E Chicago Ave,13-753 Tarry, Chicago, IL 60611 USA.</t>
  </si>
  <si>
    <t>a-neufeld@northwestern.edu</t>
  </si>
  <si>
    <t>1554-8627</t>
  </si>
  <si>
    <t>1554-8635</t>
  </si>
  <si>
    <t>10.4161/auto.5.4.8163</t>
  </si>
  <si>
    <t>WOS:000266118900023</t>
  </si>
  <si>
    <t>Que, ZJ; Luo, B; Wang, CT; Qian, FF; Jiang, Y; Li, Y; Han, XH; Li, HG; Liu, JX; Tian, JH</t>
  </si>
  <si>
    <t>Que, Zu-Jun; Luo, Bin; Wang, Chen-Tong; Qian, Fang-Fang; Jiang, Yi; Li, Yan; Han, Xiang-Hui; Li, He-Gen; Liu, Jia-Xiang; Tian, Jian-Hui</t>
  </si>
  <si>
    <t>Proteomics analysis of tumor exosomes reveals vital pathways of Jinfukang inhibiting circulating tumor cells metastasis in lung cancer</t>
  </si>
  <si>
    <t>JOURNAL OF ETHNOPHARMACOLOGY</t>
  </si>
  <si>
    <t>Lung cancer; Exosomes; Metastasis; Circulating tumor cells; Proteome</t>
  </si>
  <si>
    <t>Ethnopharmacological relevance: Jinfukang has long been used for the clinical treatment of lung cancer. Previous studies have shown that Jinfukang can induce the apoptosis of circulating tumor cells by intervening ROS-mediated DNA damage pathway. However, whether Jinfukang can inhibit the metastasis of circulating tumor cells and its mechanism are still unclear. Aim of the study: To further investigate the mechanism of Jinfukang in anti-metastasis of lung cancer from the perspective of intervention of tumor exosomes. Materials and methods: The invadopodia formation was determined with immunofluorescence. Invasion and migration were detected using the Transwell assay. Ultracentrifugation was used to isolate exosomes. Exosomes were characterized by electron microscopy, nanoparticle tracking analysis and immunoblotting, and the protein profile was evaluated by proteomic analysis. The molecular functions, biological processes and signaling pathway enrichment analysis were performed using Gene Ontology (GO) and Kyoto Encyclopedia of Genes and Genomes (KEGG). Key differentially expressed proteins were verified by Western blot. Results: Jinfukang can inhibit the expression of MMP14, cortactin, Tks5 and the formation of invadopodia of CTC-TJH-01 cells. Furthermore, Jinfukang can significantly inhibit the invasion and migration of CTC-TJH-01 cells. The diameter of exosomes extracted from the CTC-TJH-01 cells treated by Jinfukang was 30-100 nm, and the exosomal markers CD63, CD81 and TSG101 were expressed. We identified 680 deferentially expressed proteins. Gene oncology analysis indicated that exosomes were mostly derived from plasma membrane and mainly involved in protein localization and intracellular signaling. The ingenuity pathway analysis showed that the EGF pathway was significantly inhibited, whereas the GP6 signaling pathway was significantly activated. We also confirmed that Jinfukang inhibited the expression of EGF pathway-related proteins in CTC-TJH-01 cells. Besides, when EGF was used to activate EGF signaling pathway, the inhibition of Jinfukang on CTC cell metastasis was reversed. Conclusion: Jinfukang inhibits the metastasis of CTC-TJH-01 cells through the EGF pathway.</t>
  </si>
  <si>
    <t>[Que, Zu-Jun; Luo, Bin; Tian, Jian-Hui] Shanghai Univ Tradit Chinese Med, Longhua Hosp, Inst Tradit Chinese Med Oncol, Shanghai 200032, Peoples R China; [Que, Zu-Jun] Shanghai Univ Tradit Chinese Med, Sch Pharm, Shanghai 201203, Peoples R China; [Wang, Chen-Tong] Shanghai Jiao Tong Univ, Sch Life Sci &amp; Biotechnol, State Key Lab Microbial Metab, Shanghai 200240, Peoples R China; [Qian, Fang-Fang; Jiang, Yi; Li, He-Gen; Liu, Jia-Xiang; Tian, Jian-Hui] Shanghai Univ Tradit Chinese Med, Longhua Hosp, Dept Oncol, Shanghai 200032, Peoples R China; [Li, Yan] Shanghai Univ Tradit Chinese Med, Shanghai Municipal Hosp Tradit Chinese Med, Dept Oncol, Shanghai 200071, Peoples R China; [Han, Xiang-Hui] Shanghai Univ Tradit Chinese Med, Longhua Hosp, Inst Chinese Tradit Surg, Shanghai 200032, Peoples R China</t>
  </si>
  <si>
    <t>Shanghai University of Traditional Chinese Medicine; Shanghai University of Traditional Chinese Medicine; Shanghai Jiao Tong University; Shanghai University of Traditional Chinese Medicine; Shanghai University of Traditional Chinese Medicine; Shanghai University of Traditional Chinese Medicine</t>
  </si>
  <si>
    <t>Tian, JH (corresponding author), Shanghai Univ Tradit Chinese Med, Longhua Hosp, Oncol Inst Tradit Chinese Med, 725 South Wanping Rd, Shanghai 200032, Peoples R China.</t>
  </si>
  <si>
    <t>zujunque@shutcm.edu.cn; luo2014bin@163.com; 13122310063@163.com; 18883873419@163.com; 877708348@qq.com; liyan31415@163.com; hanxianghui1106@163.com; shlaogen@163.com; tjhhawk@163.com; hawk7150@hotmail.com</t>
  </si>
  <si>
    <t>que, zujun/F-9632-2014</t>
  </si>
  <si>
    <t>Que, Zujun/0000-0001-8739-2489; Tian, Jianhui/0000-0003-1577-9179</t>
  </si>
  <si>
    <t>0378-8741</t>
  </si>
  <si>
    <t>1872-7573</t>
  </si>
  <si>
    <t>JUN 28</t>
  </si>
  <si>
    <t>10.1016/j.jep.2020.112802</t>
  </si>
  <si>
    <t>Plant Sciences; Chemistry, Medicinal; Integrative &amp; Complementary Medicine; Pharmacology &amp; Pharmacy</t>
  </si>
  <si>
    <t>Plant Sciences; Pharmacology &amp; Pharmacy; Integrative &amp; Complementary Medicine</t>
  </si>
  <si>
    <t>WOS:000528279300018</t>
  </si>
  <si>
    <t>Zhang, F; Isak, AN; Yang, SQ; Song, YC; Ren, LJ; Feng, C; Chen, GF</t>
  </si>
  <si>
    <t>Zhang, Fan; Isak, Albertina N.; Yang, Shiqi; Song, Yuchen; Ren, Lingjie; Feng, Chang; Chen, Guifang</t>
  </si>
  <si>
    <t>Smartly responsive DNA-miRNA hybrids packaged in exosomes for synergistic enhancement of cancer cell apoptosis</t>
  </si>
  <si>
    <t>BREAST-CANCER; MIR-155; PROLIFERATION; EXPRESSION; MIGRATION; GROWTH</t>
  </si>
  <si>
    <t>Endogenous and exogenous tumor-related microRNAs (miRNAs) are considered promising tumor biomarkers and tumor therapeutic agents. In this work, we propose a miRNA self-responsive drug delivery system (miR-SR DDS), which enables the association between endogenous and exogenous miRNAs, so as to achieve a smart responsive and synergistic drug delivery. The miR-SR DDS consists of DNA-miRNA hybrids of let-7a and the complementary DNA of miR-155, which was packaged in exosomes. In response to the overexpressed miR-155 in breast cancer cells, the hybrids disintegrate and release let-7a and the complementary DNA of miR-155 to inhibit the expression of HMGA1 and relieve the inhibition of SOX1, respectively. Under the dual-targeted gene regulation, results show that the growth, migration and invasion of breast cancer cells can be synergistically inhibited through the Wnt/beta-catenin signaling pathway. The concept and successful practice of the miR-SR DDS can be used as a reference for the development of miRNA drugs.</t>
  </si>
  <si>
    <t>[Zhang, Fan; Isak, Albertina N.; Yang, Shiqi; Song, Yuchen; Ren, Lingjie; Feng, Chang; Chen, Guifang] Shanghai Univ, Ctr Mol Recognit &amp; Biosensing, Sch Life Sci, Shanghai 200444, Peoples R China</t>
  </si>
  <si>
    <t>Feng, C; Chen, GF (corresponding author), Shanghai Univ, Ctr Mol Recognit &amp; Biosensing, Sch Life Sci, Shanghai 200444, Peoples R China.</t>
  </si>
  <si>
    <t>cfeng@shu.edu.cn; gfchen@shu.edu.cn</t>
  </si>
  <si>
    <t>MAY 5</t>
  </si>
  <si>
    <t>10.1039/d1nr08539e</t>
  </si>
  <si>
    <t>WOS:000782949900001</t>
  </si>
  <si>
    <t>Hough, KP; Trevor, JL; Strenkowski, JG; Wang, Y; Chacko, BK; Tousif, S; Chanda, D; Steele, C; Antony, VB; Dokland, T; Ouyang, XS; Zhang, JH; Duncan, SR; Thannickal, VJ; Darley-Usmar, VM; Deshane, JS</t>
  </si>
  <si>
    <t>Hough, Kenneth P.; Trevor, Jennifer L.; Strenkowski, John G.; Wang, Yong; Chacko, Balu K.; Tousif, Sultan; Chanda, Diptiman; Steele, Chad; Antony, Veena B.; Dokland, Terje; Ouyang, Xiaosen; Zhang, Jianhua; Duncan, Steven R.; Thannickal, Victor J.; Darley-Usmar, Victor M.; Deshane, Jessy S.</t>
  </si>
  <si>
    <t>Exosomal transfer of mitochondria from airway myeloid-derived regulatory cells to T cells</t>
  </si>
  <si>
    <t>REDOX BIOLOGY</t>
  </si>
  <si>
    <t>Exosomes; Mitochondria; Asthma; Myeloid-derived; Derived Regulatory Cells</t>
  </si>
  <si>
    <t>MESENCHYMAL STEM-CELLS; OBSTRUCTIVE PULMONARY-DISEASE; LAVAGE FLUID EXOSOMES; SMOOTH-MUSCLE; EXTRACELLULAR VESICLES; TUNNELING NANOTUBES; ASTHMATIC-PATIENTS; OXIDATIVE STRESS; EPITHELIAL-CELLS; DENDRITIC CELLS</t>
  </si>
  <si>
    <t>Chronic inflammation involving both innate and adaptive immune cells is implicated in the pathogenesis of asthma. Intercellular communication is essential for driving and resolving inflammatory responses in asthma. Emerging studies suggest that extracellular vesicles (EVs) including exosomes facilitate this process. In this report, we have used a range of approaches to show that EVs contain markers of mitochondria derived from donor cells which are capable of sustaining a membrane potential. Further, we propose that these participate in intercellular communication within the airways of human subjects with asthma. Bronchoalveolar lavage fluid of both healthy volunteers and asthmatics contain EVs with encapsulated mitochondria; however, the % HLA-DR+ EVs containing mitochondria and the levels of mitochondrial DNA within EVs were significantly higher in asthmatics. Furthermore, mitochondria are present in exosomes derived from the pro-inflammatory HLA-DR+ subsets of airway myeloid-derived regulatory cells (MDRCs), which are known regulators of T cell responses in asthma. Exosomes tagged with MitoTracker Green, or derived from MDRCs transduced with CellLight Mitochondrial GFP were found in recipient peripheral T cells using a co-culture system, supporting direct exosome-mediated cell-cell transfer. Importantly, exosomally transferred mitochondria co-localize with the mitochondrial network and generate reactive oxygen species within recipient T cells. These findings support a potential novel mechanism of cell-cell communication involving exosomal transfer of mitochondria and the bioenergetic and/or redox regulation of target cells.</t>
  </si>
  <si>
    <t>[Hough, Kenneth P.; Trevor, Jennifer L.; Strenkowski, John G.; Wang, Yong; Tousif, Sultan; Chanda, Diptiman; Steele, Chad; Antony, Veena B.; Duncan, Steven R.; Thannickal, Victor J.; Deshane, Jessy S.] Univ Alabama Birmingham, Dept Med, Div Pulm Allergy &amp; Crit Care Med, THT 433A,1900 Univ Blvd, Birmingham, AL 35294 USA; [Dokland, Terje] Univ Alabama Birmingham, Dept Microbiol, Birmingham, AL 35294 USA; [Chacko, Balu K.; Ouyang, Xiaosen; Zhang, Jianhua; Darley-Usmar, Victor M.] Univ Alabama Birmingham, Dept Pathol, Mitochondrial Med Lab, Birmingham, AL 35294 USA; [Steele, Chad] Tulane Univ, Sch Med, Dept Microbiol &amp; Immunol, New Orleans, LA 70112 USA</t>
  </si>
  <si>
    <t>University of Alabama System; University of Alabama Birmingham; University of Alabama System; University of Alabama Birmingham; University of Alabama System; University of Alabama Birmingham; Tulane University</t>
  </si>
  <si>
    <t>Deshane, JS (corresponding author), Univ Alabama Birmingham, Dept Med, Div Pulm Allergy &amp; Crit Care Med, THT 433A,1900 Univ Blvd, Birmingham, AL 35294 USA.</t>
  </si>
  <si>
    <t>csteele4@tulane.edu; jessydeshane@uabmc.edu</t>
  </si>
  <si>
    <t>Tousif, Sultan/0000-0001-6174-6541; Dokland, Terje/0000-0001-5655-4123; Darley-Usmar, Victor/0000-0001-8921-7086; Hough, Kenneth/0000-0002-8446-0084</t>
  </si>
  <si>
    <t>2213-2317</t>
  </si>
  <si>
    <t>10.1016/j.redox.2018.06.009</t>
  </si>
  <si>
    <t>WOS:000447820100007</t>
  </si>
  <si>
    <t>Marzec, M</t>
  </si>
  <si>
    <t>Marzec, Marek</t>
  </si>
  <si>
    <t>EXTRACELLULAR NUCLEOTIDES IN PLANTS</t>
  </si>
  <si>
    <t>extracellular nucleotides (eNTP); apyrases; purinoceptors; signaling; response to stress</t>
  </si>
  <si>
    <t>NUCLEOSIDE TRIPHOSPHATE-DIPHOSPHOHYDROLASE; AUXIN TRANSPORT; GREEN-ALGAE; ATP RELEASE; APYRASE; RECEPTOR; GROWTH; LOCALIZATION; GRAVITROPISM; SUPEROXIDE</t>
  </si>
  <si>
    <t>Extracellular nucleotides (eNTP) occur outside the cytoplasm in the extracellular matrix, were discovered almost 100 years ago in animal cells. These studies showed that the nucleotides are not only building a strand of DNA/RNA or constitute reservoir of energy (eg ATP or GTP) for various biochemical processes, but also may play role in cell growth and development. Extracellular nucleotides are also involved in maintaining homeostasis in the whole animal organism by maintaining adequate blood pressure and immune response. Characterization of receptors that recognize extracellular nucleotides (purynoceptors) and enzymes that act in the extracellular matrix caring out the hydrolysis of eNTP, and thus regulating their levels, made possible a better understanding of the role of extracellular nucleotides play in cells. Extracellular nucleotides are synthesized within the cytoplasm of the cell and then secreted into the extracellular matrix. Three different ways of eNTP transferring were identified, including their gradual secretion by exocytosis of secretory vesicles, rapid by the ion channels or in the association with multidrug resistance transporters. The prevalence of eNTP and the important role they play in animals allowed for assumption that a similar system of regulation of cell growth and development may occur in plants. First reports about the possibility of the presence of extracellular nucleotides in plants were given in the 70's last century. First studies were focused on the effect of exogenously administered ATP on closure of the trap flycatchers, on the modulation of stomatal guard cell aperture and on the cell division. However, evidences that they may serve as important function as in the animal cells appeared recently. Botanists have only just started to explore the mechanisms underlying their actions. This paper presents results of the researches that show the importance of the eNTP in plant response to biotic and abiotic stresses and on cell development and growth. The family of proteins called apyrases are identified in increasing number of plant species. Their mutations cause disruption in Arabidopsis seedling growth, and plants are sterile due to lack of germination of pollen grains. Studies on development of rice root hairs (that also show a tip growth as in a case of germination of pollen grains) revealed a major role of apyrases. Studies carried out on plant cells showed that extracellular nucleotides are signaling molecules inducing cell response production of reactive oxygen species or changes in calcium ion concentration in the cytoplasm. These mechanisms are the most universal and fundamental in the world of plants. Additionally, they proved to increase the concentration of eATP in wounding tissues or in a response to the attack of fungal pathogens and to osmotic stress. This means that extracellular nucleotides play an important role in plant defense and in the adaptation to new environmental conditions. The publications in recent years also suggest that extracellular nucleotides may be evolutionally very old and accompanied plants for millions of years. Some fungal elicitors induce an uptake of Ca2+ in plant cells, and this could be a mechanism for release of ATP from cells under the attack of fungal pathogens. Similar results were obtained for cells of algae in response to wounding. It is not known how ancient the reactive oxygen species strategy of plant pathogen defense is, but the fossil record indicates that plants had already developed fungal defense mechanisms in the Devonian era a billion ears ago. Assembling information about the prevalence of extracellular nucleotides, their participation in the coordination of growth and development of plant cells, early evolutionary origin of eNTP and important functions in response to stress indicated that there are a key signal molecules in the plant world. The paper presents a review of articles supporting this claim.</t>
  </si>
  <si>
    <t>[Marzec, Marek] Uniwersytet Slaski, Wydzial Biol &amp; Ochrony Srodowiska, Katedra Genet, Katowice, Poland</t>
  </si>
  <si>
    <t>University of Silesia in Katowice</t>
  </si>
  <si>
    <t>Marzec, M (corresponding author), Uniwersytet Slaski, Wydzial Biol &amp; Ochrony Srodowiska, Katedra Genet, Ul Jagiellonska 28, PL-40032 Katowice, Poland.</t>
  </si>
  <si>
    <t>marek.marzec@us.edu.pl</t>
  </si>
  <si>
    <t>WOS:000288362400001</t>
  </si>
  <si>
    <t>Kothary, MH; Gopinath, GR; Gangiredla, J; Rallabhandi, PV; Harrison, LM; Yan, QQ; Chase, HR; Lee, B; Park, E; Yoo, Y; Chung, T; Finkelstein, SB; Negrete, FJ; Patel, IR; Carter, L; Sathyamoorthy, V; Fanning, S; Tall, B</t>
  </si>
  <si>
    <t>Kothary, Mahendra H.; Gopinath, Gopal R.; Gangiredla, Jayanthi; Rallabhandi, Prasad V.; Harrison, Lisa M.; Yan, Qiong Q.; Chase, Hannah R.; Lee, Boram; Park, Eunbi; Yoo, YeonJoo; Chung, Taejung; Finkelstein, Samantha B.; Negrete, Flavia J.; Patel, Isha R.; Carter, Laurenda; Sathyamoorthy, Venugopal; Fanning, Seamus; Tall, Ben D.</t>
  </si>
  <si>
    <t>Analysis and Characterization of Proteins Associated with Outer Membrane Vesicles Secreted by Cronobacter spp.</t>
  </si>
  <si>
    <t>outer membrane vesicles; outer membrane proteins; EM; PCR; microarray</t>
  </si>
  <si>
    <t>INTESTINAL EPITHELIAL-CELLS; ENTEROBACTER-SAKAZAKII; VIRULENCE GENES; PCR; IDENTIFICATION; INFECTIONS; INVASION; GENUS; OMPA; MILK</t>
  </si>
  <si>
    <t>Little is known about secretion of outer membrane vesicles (OMVs) by Cronobacter. In this study, OMVs isolated from Cronobacter sakazakii, Cronobacter turicensis, and Cronobacter malonaticus were examined by electron microscopy (EM) and their associated outer membrane proteins (OMP) and genes were analyzed by SDS-PAGE, protein sequencing, BLAST, PCR, and DNA microarray. EM of stained cells revealed that the OMVs are secreted as pleomorphic micro-vesicles which cascade from the cell's surface. SDS-PAGE analysis identified protein bands with molecular weights of 18 kDa to &gt;100 kDa which had homologies to OMPs such as GroEL; OmpA, C, E, F, and X; MipA proteins; conjugative plasmid transfer protein; and an outer membrane auto-transporter protein (OMATP). PCR analyses showed that most of the OMP genes were present in all seven Cronobacter species while a few genes (OMATP gene, groEL, ompC, mipA, ctp, and ompX) were absent in some phylogenetically-related species. Microarray analysis demonstrated sequence divergence among the OMP genes that was not captured by PCR. These results support previous findings that OmpA and OmpX may be involved in virulence of Cronobacter, and are packaged within secreted OMVs. These results also suggest that other OMV-packaged OMPs may be involved in roles such as stress response, cell wall and plasmid maintenance, and extracellular transport.</t>
  </si>
  <si>
    <t>[Kothary, Mahendra H.; Gopinath, Gopal R.; Gangiredla, Jayanthi; Rallabhandi, Prasad V.; Harrison, Lisa M.; Chase, Hannah R.; Lee, Boram; Park, Eunbi; Yoo, YeonJoo; Chung, Taejung; Finkelstein, Samantha B.; Negrete, Flavia J.; Patel, Isha R.; Carter, Laurenda; Sathyamoorthy, Venugopal; Tall, Ben D.] US FDA, Laurel, MD 20708 USA; [Yan, Qiong Q.; Fanning, Seamus] Univ Coll Dublin, WHO Collaborating Ctr Cronobacter, Sch Publ Hlth Physiotherapy &amp; Sports Sci, Ctr Food Safety, Dublin, Ireland</t>
  </si>
  <si>
    <t>US Food &amp; Drug Administration (FDA); University College Dublin</t>
  </si>
  <si>
    <t>Tall, B (corresponding author), US FDA, Laurel, MD 20708 USA.</t>
  </si>
  <si>
    <t>ben.tall@fda.hhs.gov</t>
  </si>
  <si>
    <t>10.3389/fmicb.2017.00134</t>
  </si>
  <si>
    <t>WOS:000393564500001</t>
  </si>
  <si>
    <t>Li, H; Jiang, M; Zhao, SY; Zhang, SQ; Lu, L; He, X; Feng, GX; Wu, X; Fan, SJ</t>
  </si>
  <si>
    <t>Li, Hang; Jiang, Mian; Zhao, Shu-ya; Zhang, Shu-qin; Lu, Lu; He, Xin; Feng, Guo-xing; Wu, Xin; Fan, Sai-jun</t>
  </si>
  <si>
    <t>Exosomes are involved in total body irradiation-induced intestinal injury in mice</t>
  </si>
  <si>
    <t>total body irradiation; radiation-induced intestinal injury; DNA damage; apoptosis; exosome; MicroRNA; GW4869</t>
  </si>
  <si>
    <t>Ionizing radiation-induced intestinal injury is a catastrophic complication in patients receiving radiotherapy. Circulating exosomes from patients undergoing radiotherapy can mediate communication between cells and facilitate a variety of pathological processes in vivo, but its effects on ionizing radiation-induced intestinal damage are undetermined. In this study we investigated the roles of exosomes during total body irradiation (TBI)-induced intestinal injury in vivo and in vitro. We isolated exosomes from serum of donor mice 24 h after lethal dose (9 Gy) TBI (Exo-IR-24h), then intravenously injected the exosomes into receipt mice, and found that Exo-IR-24h injection not only exacerbated 9 Gy TBI-induced lethality and weight loss, but also promoted crypt-villus structural and functional injury of the small intestine in receipt mice. Moreover, Exo-IR-24h injection significantly enhanced the apoptosis and DNA damage of small intestine in receipt mice following TBI exposure. In murine intestinal epithelial MODE-K cells, treatment with Exo-IR-24h significantly promoted 4 Gy ionizing radiation-induced apoptosis, resulting in decreased cell vitality. We further demonstrated that Exo-IR-24h promoted the IR-induced injury in receipt mice partially through its DNA damage-promoting effects and attenuating Nrf2 antioxidant response in irradiated MODE-K cells. In addition, TBI-related miRNAs and their targets in the exosomes of mice were enriched functionally using Gene Ontology (GO) and Kyoto Encyclopedia of Genes and Genomes (KEGG) pathway analyses. Finally, injection of GW4869 (an inhibitor of exosome biogenesis and release, 1.25 mg center dot kg(-1)center dot d(-1), ip, for 5 consecutive days starting 3 days before radiation exposure) was able to rescue mice against 9 Gy TBI-induced lethality and intestinal damage. Collectively, this study reveals that exosomes are involved in TBI-induced intestinal injury in mice and provides a new target to protect patients against irradiation-induced intestinal injury during radiotherapy.</t>
  </si>
  <si>
    <t>[Li, Hang; Jiang, Mian; Zhao, Shu-ya; Zhang, Shu-qin; Lu, Lu; He, Xin; Feng, Guo-xing; Wu, Xin; Fan, Sai-jun] Chinese Acad Med Sci &amp; Peking Union Med Coll, Inst Radiat Med, Tianjin Key Lab Radiat Med &amp; Mol Nucl Med, Tianjin 300192, Peoples R China</t>
  </si>
  <si>
    <t>Chinese Academy of Medical Sciences - Peking Union Medical College; Institute of Radiation Medicine - CAMS; Peking Union Medical College</t>
  </si>
  <si>
    <t>Li, H; Fan, SJ (corresponding author), Chinese Acad Med Sci &amp; Peking Union Med Coll, Inst Radiat Med, Tianjin Key Lab Radiat Med &amp; Mol Nucl Med, Tianjin 300192, Peoples R China.</t>
  </si>
  <si>
    <t>lihang@irm-cams.ac.cn; fansaijun@irm-cams.ac.cn</t>
  </si>
  <si>
    <t>10.1038/s41401-021-00615-6</t>
  </si>
  <si>
    <t>WOS:000622271300001</t>
  </si>
  <si>
    <t>Wang, L; Li, Y; Guan, X; Zhao, JY; Shen, LM; Liu, J</t>
  </si>
  <si>
    <t>Wang, Liang; Li, Ying; Guan, Xin; Zhao, Jingyuan; Shen, Liming; Liu, Jing</t>
  </si>
  <si>
    <t>Exosomal double-stranded DNA as a biomarker for the diagnosis and preoperative assessment of pheochromocytoma and paraganglioma</t>
  </si>
  <si>
    <t>Double-stranded DNA; Exosomes; Diagnosis biomarker; Pheochromocytoma; Paraganglioma</t>
  </si>
  <si>
    <t>MUTATIONS</t>
  </si>
  <si>
    <t>Pheochromocytomas (PCCs) and paragangliomas (PGLs) are the most heritable endocrine tumors. Genetic testing for 12 driver susceptibility genes is recommended in all PCC and PGL cases. However, detection of somatic mutations in PCC and PGL remains unrealizable for genetic diagnosis and preoperative assessment. We compared the serum exosomal DNA and tumor tissue DNA from patients or mice with PCC or PGL and found double-stranded DNA (dsDNA) fragments in the circulating exosomes of patients with PCC or PGL. Exosomal dsDNA shared the same mutations in the susceptibility genes with that of the parent tumor cells. Moreover, our research showed that serum-derived exosomal dsDNA in PCC and PGL was highly consistent with the paired tumor genome. Our findings provide the first definitive evidence of the presence of exosomal dsDNA that can be used as a noninvasive genetic marker in one of the most effective somatic mutation screens for the diagnosis and preoperative assessment of PCCs and PGLs.</t>
  </si>
  <si>
    <t>[Wang, Liang; Li, Ying; Guan, Xin; Zhao, Jingyuan; Shen, Liming; Liu, Jing] Dalian Med Univ, Regenerat Med Ctr, Natl Joint Engn Lab, Stem Cell Clin Res Ctr,Affiliated Hosp 1, 193 Lianhe Rd, Dalian 116011, Liaoning, Peoples R China</t>
  </si>
  <si>
    <t>Dalian Medical University</t>
  </si>
  <si>
    <t>Liu, J (corresponding author), Dalian Med Univ, Regenerat Med Ctr, Natl Joint Engn Lab, Stem Cell Clin Res Ctr,Affiliated Hosp 1, 193 Lianhe Rd, Dalian 116011, Liaoning, Peoples R China.</t>
  </si>
  <si>
    <t>liujing@dmu.edu.cn</t>
  </si>
  <si>
    <t>Liu, Jing/O-8529-2019; Wang, Liang/O-8394-2019</t>
  </si>
  <si>
    <t>Liu, Jing/0000-0002-0493-296X; Wang, Liang/0000-0003-1952-3525; Wang, Liang/0000-0003-2244-7535</t>
  </si>
  <si>
    <t>10.1186/s12943-018-0876-z</t>
  </si>
  <si>
    <t>WOS:000442616900001</t>
  </si>
  <si>
    <t>Rikkert, LG; van der Pol, E; van Leeuwen, TG; Nieuwland, R; Coumans, FAW</t>
  </si>
  <si>
    <t>Rikkert, Linda G.; van der Pol, Edwin; van Leeuwen, Ton G.; Nieuwland, Rienk; Coumans, Frank A. W.</t>
  </si>
  <si>
    <t>Centrifugation affects the purity of liquid biopsy-based tumor biomarkers</t>
  </si>
  <si>
    <t>CYTOMETRY PART A</t>
  </si>
  <si>
    <t>biomarker; centrifugation; circulating cell-free DNA; circulating tumor cells; exosomes; extracellular vesicles; flow cytometry; microparticles; miRNA; tumor-educated platelets</t>
  </si>
  <si>
    <t>BUOYANT DENSITY; CELLS; BLOOD; SURVIVAL; CANCER; VOLUME; SUBPOPULATIONS; EXOSOMES; PREDICT; PLASMA</t>
  </si>
  <si>
    <t>Biomarkers in the blood of cancer patients include circulating tumor cells (CTCs), tumor-educated platelets (TEPs), tumor-derived extracellular vesicles (tdEVs), EV-associated miRNA (EV-miRNA), and circulating cell-free DNA (ccfDNA). Because the size and density of biomarkers differ, blood is centrifuged to isolate or concentrate the biomarker of interest. Here, we applied a model to estimate the effect of centrifugation on the purity of a biomarker according to published protocols. The model is based on the Stokes equation and was validated using polystyrene beads in buffer and plasma. Next, the model was applied to predict the biomarker behavior during centrifugation. The result was expressed as the recovery of CTCs, TEPs, tdEVs in three size ranges (1-8, 0.2-1, and 0.05-0.2 mu m), EV-miRNA, and ccfDNA. Bead recovery was predicted with errors &lt;18%. Most notable cofounders are the 22% contamination of 1-8 mu m tdEVs for TEPs and the 8-82% contamination of &lt;1 mu m tdEVs for ccfDNA. A Stokes model can predict biomarker behavior in blood. None of the evaluated protocols produces a pure biomarker. Thus, care should be taken in the interpretation of obtained results, as, for example, results from TEPs may originate from co-isolated large tdEVs and ccfDNA may originate from DNA enclosed in &lt;1 mu m tdEVs. (c) 2018 The Authors. Cytometry Part A published by Wiley Periodicals, Inc. on behalf of International Society for Advancement of Cytometry.</t>
  </si>
  <si>
    <t>[Rikkert, Linda G.] Univ Twente, Med Cell BioPhys, Enschede, Netherlands; [Rikkert, Linda G.; Nieuwland, Rienk; Coumans, Frank A. W.] Univ Amsterdam, Lab Expt Clin Chem, Amsterdam UMC, Meibergdreef 9, NL-1105 AZ Amsterdam, Netherlands; [Rikkert, Linda G.; van der Pol, Edwin; van Leeuwen, Ton G.; Nieuwland, Rienk; Coumans, Frank A. W.] Univ Amsterdam, Vesicle Observat Ctr, Amsterdam UMC, Amsterdam, Netherlands; [van der Pol, Edwin; van Leeuwen, Ton G.] Univ Amsterdam, Amsterdam UMC, Biomed Engn &amp; Phys, Amsterdam, Netherlands</t>
  </si>
  <si>
    <t>University of Twente; University of Amsterdam; University of Amsterdam; University of Amsterdam</t>
  </si>
  <si>
    <t>l.g.rikkert@amc.uva.nl</t>
  </si>
  <si>
    <t>van Leeuwen, Ton G/C-9135-2010; van der Pol, Edwin/H-2493-2013; Nieuwland, Rienk/AAC-9591-2019</t>
  </si>
  <si>
    <t xml:space="preserve">van Leeuwen, Ton G/0000-0002-5642-1133; van der Pol, Edwin/0000-0002-9497-8426; </t>
  </si>
  <si>
    <t>1552-4922</t>
  </si>
  <si>
    <t>1552-4930</t>
  </si>
  <si>
    <t>93A</t>
  </si>
  <si>
    <t>10.1002/cyto.a.23641</t>
  </si>
  <si>
    <t>WOS:000453599300006</t>
  </si>
  <si>
    <t>Zhang, HM; Li, Q; Zhu, XJ; Liu, W; Hu, H; Liu, T; Cheng, FJ; You, Y; Zhong, ZD; Zou, P; Li, QB; Chen, ZC; Guo, AY</t>
  </si>
  <si>
    <t>Zhang, Hong-Mei; Li, Qing; Zhu, Xiaojian; Liu, Wei; Hu, Hui; Liu, Teng; Cheng, Fanjun; You, Yong; Zhong, Zhaodong; Zou, Ping; Li, Qiubai; Chen, Zhichao; Guo, An-Yuan</t>
  </si>
  <si>
    <t>miR-146b-5p within BCR-ABL1-Positive Microvesicles Promotes Leukemic Transformation of Hematopoietic Cells</t>
  </si>
  <si>
    <t>CHRONIC MYELOID-LEUKEMIA; DNA-DAMAGE-RESPONSE; NF-KAPPA-B; EXTRACELLULAR VESICLES; TRANSCRIPTION FACTOR; BCR-ABL; SIGNAL-TRANSDUCTION; CANCER; EXPRESSION; MICRORNA</t>
  </si>
  <si>
    <t>Evidence is accumulating that extracellular microvesicles (MV) facilitate progression and relapse in cancer. Using a model in which MVs derived from K562 chronic myelogenous leukemia (CML) cells transform normal hematopoietic transplants into leukemia-like cells, we defined the underlying mechanisms of this process through gene-expression studies and network analyses of transcription factors (TF) and miRNAs. We found that antitumor miRNAs were increased and several defense pathways were initiated during the early phases of oncogenic transformation. Later, oncomiRs and genes involved in cell cycle, DNA repair, and energy metabolism pathways were upregulated. Regulatory network analyses revealed that a number of TFs and miRNAs were responsible for the pathway dysregulation and the oncogenic transformation. In particular, we found that miR-146b-5p, which was highly expressed in MVs, coordinated the regulation of cancer-related genes to promote cell-transforming processes. Notably, treatment of recipient cells with MV derived from K562 cells expressing mimics of miR-146b-5p revealed that it accelerated the transformation process in large part by silencing the tumor-suppressor NUMB. High levels of miR-146b-5p also enhanced reactive oxygen species levels and genome instability of recipient cells. Taken together, our finding showed how upregulation of oncogenic miRNAs in MVs promote hematopoetic cells to a leukemic state, as well as a demonstration for TF and miRNA coregulatory analysis in exploring the dysregulation of cancers and discovering key factors. (C) 2016 AACR.</t>
  </si>
  <si>
    <t>[Zhang, Hong-Mei; Liu, Wei; Hu, Hui; Liu, Teng; Guo, An-Yuan] Huazhong Univ Sci &amp; Technol, Dept Bioinformat &amp; Syst Biol, Key Lab Mol Biophys, Minist Educ, Wuhan 430074, Hubei, Peoples R China; [Li, Qing; Cheng, Fanjun; You, Yong; Zhong, Zhaodong; Zou, Ping; Li, Qiubai; Chen, Zhichao] Huazhong Univ Sci &amp; Technol, Union Hosp, Tongji Med Coll, Inst Hematol, Wuhan 430074, Hubei, Peoples R China; [Zhu, Xiaojian] Huazhong Univ Sci &amp; Technol, Tongji Hosp, Tongji Med Coll, Inst Hematol, Wuhan 430074, Hubei, Peoples R China</t>
  </si>
  <si>
    <t>Huazhong University of Science &amp; Technology; Huazhong University of Science &amp; Technology; Huazhong University of Science &amp; Technology</t>
  </si>
  <si>
    <t>Guo, AY (corresponding author), Huazhong Univ Sci &amp; Technol, 1037 Luoyu Rd, Wuhan 430074, Hubei, Peoples R China.</t>
  </si>
  <si>
    <t>guoay@hust.edu.cn</t>
  </si>
  <si>
    <t>Liu, Teng/0000-0002-8171-5328</t>
  </si>
  <si>
    <t>MAY 15</t>
  </si>
  <si>
    <t>10.1158/0008-5472.CAN-15-2120</t>
  </si>
  <si>
    <t>WOS:000375841000009</t>
  </si>
  <si>
    <t>Fais, S; Logozzi, M; Alberti, G; Campanella, C</t>
  </si>
  <si>
    <t>Asea, AAA; Kaur, P</t>
  </si>
  <si>
    <t>Fais, Stefano; Logozzi, Mariantonia; Alberti, Giusi; Campanella, Claudia</t>
  </si>
  <si>
    <t>Exosomal Hsp60: A Tumor Biomarker?</t>
  </si>
  <si>
    <t>HEAT SHOCK PROTEIN 60 IN HUMAN DISEASES AND DISORDERS</t>
  </si>
  <si>
    <t>Heat Shock Proteins</t>
  </si>
  <si>
    <t>Exosomes; Heat shock proteins; Hsp; Hsp60; Tumor biomarker</t>
  </si>
  <si>
    <t>GROWTH-FACTOR; CELL-DEATH; CANCER; MICROVESICLES; BIOGENESIS; CHAPERONES; EXPRESSION; PROTEINS; VESICLES; THERAPY</t>
  </si>
  <si>
    <t>Exosomes (EXs) are extracellular vesicles containing proteins, DNA, mRNA, non-coding RNAs, such as miRNAs, and lipid. The EXs can be easily isolated from different biological fluids and their content is considered a potential biomarker in various diseases, such as cancer. EXs play an important role in intercellular communication, permitting cells to exchange proteins, lipids, and genetic material in normal and pathological conditions. New data have shown that tumor cells-derived EXs contribute to cancer progression through the modulation of tumor microenvironment. Heat shock proteins 60 kDa (Hsp60) is classically considered mitochondrial proteins with different biological roles. In recent years, many studies have focused on the extracellular roles played by Hsp60 that appear to be involved in cancer development and immune system stimulation. Hsp60 is localized on the surface of EXs, secreted by cells and could be a key player in intercellular cross-talk during the course of different diseases. Therefore, exosomal Hsp60 has a great potential for clinical applications, including its use as biomarker for diagnostics, assessing prognosis, and monitoring disease progression and response to treatment, particularly in cancer.</t>
  </si>
  <si>
    <t>[Fais, Stefano; Logozzi, Mariantonia] Natl Inst Hlth, Dept Therapeut Res &amp; Med Evaluat, Rome, Italy; [Fais, Stefano; Campanella, Claudia] EuroMediterranean Inst Sci &amp; Technol IEMEST, Palermo, Italy; [Alberti, Giusi; Campanella, Claudia] Univ Palermo, Dept Biomed Neurosci &amp; Adv Diagnost BIND, Sect Human Anat, Palermo, Italy</t>
  </si>
  <si>
    <t>Istituto Superiore di Sanita (ISS); University of Palermo</t>
  </si>
  <si>
    <t>Campanella, C (corresponding author), EuroMediterranean Inst Sci &amp; Technol IEMEST, Palermo, Italy.;Campanella, C (corresponding author), Univ Palermo, Dept Biomed Neurosci &amp; Adv Diagnost BIND, Sect Human Anat, Palermo, Italy.</t>
  </si>
  <si>
    <t>claudia.campanella@unipa.it</t>
  </si>
  <si>
    <t>1877-1246</t>
  </si>
  <si>
    <t>978-3-030-23154-5; 978-3-030-23153-8</t>
  </si>
  <si>
    <t>10.1007/978-3-030-23154-5_8</t>
  </si>
  <si>
    <t>10.1007/978-3-030-23154-5</t>
  </si>
  <si>
    <t>WOS:000566845400009</t>
  </si>
  <si>
    <t>Liu, JF; Cvirkaite-Krupovic, V; Commere, PH; Yang, YF; Zhou, F; Forterre, P; Shen, YL; Krupovic, M</t>
  </si>
  <si>
    <t>Liu, Junfeng; Cvirkaite-Krupovic, Virginija; Commere, Pierre-Henri; Yang, Yunfeng; Zhou, Fan; Forterre, Patrick; Shen, Yulong; Krupovic, Mart</t>
  </si>
  <si>
    <t>Archaeal extracellular vesicles are produced in an ESCRT-dependent manner and promote gene transfer and nutrient cycling in extreme environments</t>
  </si>
  <si>
    <t>EXTREMELY THERMOPHILIC ARCHAEON; MEMBRANE-VESICLES; CELL-DIVISION; HYPERTHERMOPHILIC ARCHAEA; SULFOLOBUS-ISLANDICUS; LYSINE METHYLATION; III HOMOLOGS; VIRUS; DNA; RNA</t>
  </si>
  <si>
    <t>Membrane-bound extracellular vesicles (EVs), secreted by cells from all three domains of life, transport various molecules and act as agents of intercellular communication in diverse environments. Here we demonstrate that EVs produced by a hyperthermophilic and acidophilic archaeon Sulfolobus islandicus carry not only a diverse proteome, enriched in membrane proteins, but also chromosomal and plasmid DNA, and can transfer this DNA to recipient cells. Furthermore, we show that EVs can support the heterotrophic growth of Sulfolobus in minimal medium, implicating EVs in carbon and nitrogen fluxes in extreme environments. Finally, our results indicate that, similar to eukaryotes, production of EVs in S. islandicus depends on the archaeal ESCRT machinery. We find that all components of the ESCRT apparatus are encapsidated into EVs. Using synchronized S. islandicus cultures, we show that EV production is linked to cell division and appears to be triggered by increased expression of ESCRT proteins during this cell cycle phase. Using a CRISPR-based knockdown system, we show that archaeal ESCRT-III and AAA+ ATPase Vps4 are required for EV production, whereas archaea-specific component CdvA appears to be dispensable. In particular, the active EV production appears to coincide with the expression patterns of ESCRT-III-1 and ESCRT-III-2, rather than ESCRT-III, suggesting a prime role of these proteins in EV budding. Collectively, our results suggest that ESCRT-mediated EV biogenesis has deep evolutionary roots, likely predating the divergence of eukaryotes and archaea, and that EVs play an important role in horizontal gene transfer and nutrient cycling in extreme environments.</t>
  </si>
  <si>
    <t>[Liu, Junfeng; Yang, Yunfeng; Zhou, Fan; Shen, Yulong] Shandong Univ, Microbial Technol Inst, CRISPR &amp; Archaea Biol Res Ctr, State Key Lab Microbial Technol, Qingdao, Peoples R China; [Liu, Junfeng; Cvirkaite-Krupovic, Virginija; Forterre, Patrick; Krupovic, Mart] Inst Pasteur, Archaeal Virol Unit, Paris, France; [Commere, Pierre-Henri] Inst Pasteur, Flow Cytometry Platform, Paris, France</t>
  </si>
  <si>
    <t>Shandong University; Le Reseau International des Instituts Pasteur (RIIP); Institut Pasteur Paris; Le Reseau International des Instituts Pasteur (RIIP); Institut Pasteur Paris</t>
  </si>
  <si>
    <t>Krupovic, M (corresponding author), Inst Pasteur, Archaeal Virol Unit, Paris, France.</t>
  </si>
  <si>
    <t>mart.krupovic@pasteur.fr</t>
  </si>
  <si>
    <t>Krupovic, Mart/ABD-6255-2021; Krupovic, Mart/I-4209-2012</t>
  </si>
  <si>
    <t>Krupovic, Mart/0000-0001-5486-0098; Krupovic, Mart/0000-0001-5486-0098; , Junfeng/0000-0003-1062-2404; Cvirkaite-Krupovic, Virginija/0000-0002-0876-9397</t>
  </si>
  <si>
    <t>10.1038/s41396-021-00984-0</t>
  </si>
  <si>
    <t>WOS:000644276800001</t>
  </si>
  <si>
    <t>Bertokova, A; Svecova, N; Kozics, K; Gabelova, A; Vikartovska, A; Jane, E; Hires, M; Bertok, T; Tkac, J</t>
  </si>
  <si>
    <t>Bertokova, Aniko; Svecova, Natalia; Kozics, Katarina; Gabelova, Alena; Vikartovska, Alica; Jane, Eduard; Hires, Michal; Bertok, Tomas; Tkac, Jan</t>
  </si>
  <si>
    <t>Exosomes from prostate cancer cell lines: Isolation optimisation and characterisation</t>
  </si>
  <si>
    <t>Exosome; Prostate cancer; Liquid biopsy; Nanoparticle tracking analysis</t>
  </si>
  <si>
    <t>HYDROGEN-PEROXIDE; EXTRACELLULAR VESICLES; DNA</t>
  </si>
  <si>
    <t>Exosomes are considered to be a rich source of biomarkers, hence in this article we examine the best procedure for their isolation. We examine several isolation procedures, exosome storage conditions and other conditions affecting exosome production by prostate cell lines. We selected four different commercially available kits based on different principles to achieve exosome isolation, the best being magnetic-based. In addition, we found storage at - 20 degrees C to be good for storing isolated exosomes and that exosomes were produced from the cancerous prostate cell line 22Rv1 in much greater amounts than the non-cancerous prostate cell line RWPE1. We also found differences in the response of both cell lines in the production of exosomes as a result of stress, i.e. exposure to hydrogen peroxide and starvation. The effect of Triton X-100 on exosome lysis was examined using two different surfactant concentrations by analysis of the exosome count and change in the exosome size. The final part of the article details the advantages of the use of a 2D biochip prepared in-house over a commercially available 3D biochip for monitoring the interaction of exosomes via its surface receptors (CD63) with an immobilised ligand (anti-CD63 antibodies) using surface plasmon resonance. The final experiment shows the potential of lectin fluorescent microarrays for the analysis of glycans present in lysed exosomes.</t>
  </si>
  <si>
    <t>[Bertokova, Aniko; Jane, Eduard; Bertok, Tomas; Tkac, Jan] Glycanostics Ltd, Kudlakova 7, Bratislava 84101, Slovakia; [Svecova, Natalia; Vikartovska, Alica; Jane, Eduard; Hires, Michal; Bertok, Tomas; Tkac, Jan] Slovak Acad Sci, Inst Chem, Dubravska cesta 9, Bratislava 84538, Slovakia; [Kozics, Katarina; Gabelova, Alena] Slovak Acad Sci, Biomed Res Ctr, Dubravska cesta 9, Bratislava 84505, Slovakia</t>
  </si>
  <si>
    <t>Slovak Academy of Sciences; Slovak Academy of Sciences</t>
  </si>
  <si>
    <t>Tkac, J (corresponding author), Slovak Acad Sci, Inst Chem, Dubravska cesta 9, Bratislava 84538, Slovakia.</t>
  </si>
  <si>
    <t>jan.tkac@savba.sk</t>
  </si>
  <si>
    <t>10.1016/j.biopha.2022.113093</t>
  </si>
  <si>
    <t>WOS:000804948800006</t>
  </si>
  <si>
    <t>Zavan, L; Bitto, NJ; Johnston, EL; Greening, DW; Kaparakis-Liaskos, M</t>
  </si>
  <si>
    <t>Zavan, Lauren; Bitto, Natalie J.; Johnston, Ella L.; Greening, David W.; Kaparakis-Liaskos, Maria</t>
  </si>
  <si>
    <t>Helicobacter pylori Growth Stage Determines the Size, Protein Composition, and Preferential Cargo Packaging of Outer Membrane Vesicles</t>
  </si>
  <si>
    <t>growth stage; Helicobacter pylori; IL-8; outer membrane vesicles; proteomics; size</t>
  </si>
  <si>
    <t>GRAM-NEGATIVE BACTERIA; PSEUDOMONAS-AERUGINOSA; FUNCTIONAL-CHARACTERIZATION; ACINETOBACTER-BAUMANNII; PERIPLASMIC PROTEINS; BIOGENESIS; RESISTANCE; SECRETION; INFECTION; MUTANTS</t>
  </si>
  <si>
    <t>Gram-negative bacteria release outer membrane vesicles (OMVs) as part of their normal growth that contain a range of cargo from their parent bacterium, including DNA, RNA, and proteins. The protein content of OMVs is suggested to be similar in composition to various sub-cellular locations of their parent bacterium. However, very little is known regarding the effect of bacterial growth stage on the size, content, and selective packaging of proteins into OMVs. In this study, the global proteome of Helicobacter pylori and their OMVs throughout bacterial growth are examined to determine if bacterial growth stage affected OMV cargo composition. Analysis of OMVs produced by H. pylori reveals that bacterial growth stage affects the size, composition, and selection of protein cargo into OMVs. Proteomic analysis identifies that the proteome of H. pylori OMVs is vastly different throughout bacterial growth and that OMVs contain a range of proteins compared to their parent bacteria. In addition, bacterial growth stage affects the ability of OMVs to induce the production of IL-8 by human epithelial cells. Therefore, the findings identify that the size, proteome, and immunogenicity of OMVs produced during various stages of bacterial growth is not comparable. Collectively, these findings highlight the importance of considering the bacterial growth stage from which OMVs are isolated, as this will impact their size, protein composition, and ultimately their biological functions.</t>
  </si>
  <si>
    <t>[Zavan, Lauren; Bitto, Natalie J.; Johnston, Ella L.; Kaparakis-Liaskos, Maria] La Trobe Univ, Dept Physiol Anat &amp; Microbiol, Bundoora, Vic 3086, Australia; [Greening, David W.] La Trobe Univ, La Trobe Inst Mol Sci, Dept Biochem &amp; Genet, Bundoora, Vic 3086, Australia; [Greening, David W.; Kaparakis-Liaskos, Maria] La Trobe Univ, Res Ctr Extracellular Vesicles, Bundoora, Vic 3086, Australia</t>
  </si>
  <si>
    <t>La Trobe University; La Trobe University; La Trobe University</t>
  </si>
  <si>
    <t>Kaparakis-Liaskos, M (corresponding author), La Trobe Univ, Dept Physiol Anat &amp; Microbiol, Bundoora, Vic 3086, Australia.;Kaparakis-Liaskos, M (corresponding author), La Trobe Univ, Res Ctr Extracellular Vesicles, Bundoora, Vic 3086, Australia.</t>
  </si>
  <si>
    <t>Greening, David/E-9138-2016; Kaparakis-Liaskos, Maria/R-9321-2019</t>
  </si>
  <si>
    <t>Greening, David/0000-0001-7516-485X; Kaparakis-Liaskos, Maria/0000-0002-8964-4456; Johnston, Ella/0000-0003-2880-5719; Bitto, Natalie/0000-0003-3533-9824</t>
  </si>
  <si>
    <t>10.1002/pmic.201800209</t>
  </si>
  <si>
    <t>WOS:000456808000005</t>
  </si>
  <si>
    <t>Zheng, W; Ye, WZ; Wu, ZJ; Huang, XY; Xu, YJ; Chen, QY; Lin, ZZ; Chen, YY; Bai, PG; Chen, CB</t>
  </si>
  <si>
    <t>Zheng, Wei; Ye, Wangzhong; Wu, Zijie; Huang, Xinyi; Xu, Yuanji; Chen, Qinyan; Lin, Zhizhong; Chen, Yanyu; Bai, Penggang; Chen, Chuanben</t>
  </si>
  <si>
    <t>Identification of potential plasma biomarkers in early-stage nasopharyngeal carcinoma-derived exosomes based on RNA sequencing</t>
  </si>
  <si>
    <t>Nasopharyngeal carcinoma (NPC); Exosomes; Gene Expression Omnibus (GEO); Bioinformatics analysis; Kyoto encyclopedia of genes and genomes (KEGG)</t>
  </si>
  <si>
    <t>BackgroundEarly diagnosis of nasopharyngeal carcinoma (NPC) is vital to improve the prognosis of these patients. However, early diagnosis of NPC is typically challenging. Therefore, we explored the pathogenetic roles and associated mechanisms of exosomes in plasma of patients with early-stage NPC.MethodsExosomes in plasma were extracted by ultra-high-speed centrifugation. Western blot and transmission electron microscopy (TEM) were used to verify the purity of exosomes. The sequencing data (6 plasma samples from healthy volunteers vs. 6 NPC plasma samples) were analyzed by principal component analysis (PCA), DESeq2, gene ontology (GO), Kyoto encyclopedia of genes and genomes (KEGG), and TargetScan. The differentially expressed miRNAs (DEmiRNAs) were obtained from the dataset (GSE118720) downloaded from the Gene Expression Omnibus (GEO) repository. Additionally, the datasets downloaded from the GEO database (GSE12452, GSE13597, GSE53819, GSE64634) were used to predict the target genes and functions of hsa-miR-1301-3p. qPCR was applied to verify the differences in the expressions of hsa-miR-1301-3p between 10 normal plasma and 10 NPC plasma samples.ResultsWestern blot, TEM, and Nanoparticle Tracking Analysis showed adequate purity of the extracted exosomes. RNA-seq analysis revealed 21 upregulated miRNAs, and 10 downregulated miRNAs in plasma exosomes of early-stage NPC patients. GO analysis showed that the target genes of DEmiRNAs were mainly enriched in DNA synthesis and transcription regulation. KEGG analysis revealed that DEmiRNAs were mainly enriched in PI3K-Akt and MAPK signaling pathways. Moreover, the expression of hsa-mir-1301-3p was verified to be significantly upregulated in enlarged samples of plasma exosomes.ConclusionsWe identified several DEmiRNAs extracted from tumor-derived exosomes between normal plasma and early-stage NPC plasma. Bioinformatics analyses indicated that these DEmiRNAs may be related to NPC development. Our study may provide novel insights into underlying biomarkers and mechanisms of plasma exosomes in early-stage NPC.</t>
  </si>
  <si>
    <t>[Zheng, Wei; Ye, Wangzhong; Wu, Zijie; Huang, Xinyi; Xu, Yuanji; Chen, Qinyan; Lin, Zhizhong; Bai, Penggang; Chen, Chuanben] Fujian Med Univ Canc Hosp, Fujian Canc Hosp, Dept Radiat Oncol, 420 Fuma Rd, Fuzhou 350014, Fujian, Peoples R China; [Ye, Wangzhong; Wu, Zijie; Huang, Xinyi; Chen, Qinyan] Fujian Med Univ, Fuzhou, Fujian, Peoples R China; [Chen, Yanyu] Univ South China, Sch Nucl Sci &amp; Technol, Hengyang, Hunan, Peoples R China</t>
  </si>
  <si>
    <t>Fujian Medical University; University of South China</t>
  </si>
  <si>
    <t>Chen, CB (corresponding author), Fujian Med Univ Canc Hosp, Fujian Canc Hosp, Dept Radiat Oncol, 420 Fuma Rd, Fuzhou 350014, Fujian, Peoples R China.</t>
  </si>
  <si>
    <t>chenchuanben2010@126.com</t>
  </si>
  <si>
    <t>10.1186/s12935-021-01881-4</t>
  </si>
  <si>
    <t>WOS:000636450600001</t>
  </si>
  <si>
    <t>Qamar, AY; Fang, X; Kim, MJ; Cho, J</t>
  </si>
  <si>
    <t>Qamar, Ahmad Yar; Fang, Xun; Kim, Min Jung; Cho, Jongki</t>
  </si>
  <si>
    <t>Improved Post-Thaw Quality of Canine Semen after Treatment with Exosomes from Conditioned Medium of Adipose-Derived Mesenchymal Stem Cells</t>
  </si>
  <si>
    <t>ANIMALS</t>
  </si>
  <si>
    <t>dog sperm; cryopreservation; exosomes; post-thaw quality</t>
  </si>
  <si>
    <t>IN-VITRO FERTILIZATION; TYROSINE PHOSPHORYLATION; DNA INTEGRITY; SPERM QUALITY; MICROVESICLES; FIBRONECTIN; CRYOPRESERVATION; EXPRESSION; PROTEIN; DAMAGE</t>
  </si>
  <si>
    <t>Simple Summary: In this study, we have tried to exploit the potential role of exosomes-derived from canine adipose-derived mesenchymal stem cells in the protection and repair of damaged sperm during cryopreservation. The treatment of sperm with an optimal level of exosomes resulted in improved post-thaw semen quality. This improvement was due to the exosomal proteins that protect the sperm against oxidative damage and induce the repair of membranes and chromatin. The effect of exosomal proteins was also confirmed by higher expression of genes related to the repair of membranes and chromatin accompanied by the lower expression of a gene associated with reactive oxygen species production. Abstract: Freezing decreases sperm quality, ultimately affecting fertilizing ability. The repair of freeze-damaged sperm is considered crucial for improving post-thaw viability and fertility. We investigated the effects of exosomes derived from canine adipose-derived mesenchymal stem cells on dog sperm structure and function during cryopreservation. The pooled ejaculate was diluted with buffer, without (Control), or with exosomal proteins (25, 50, or 100 mu g/mL). Using fresh semen, the determined optimal exosomal protein concentration was 50 mu g/mL (Group 2) which was used in further experiments. Post-thaw sperm treated with exosomes were superior to control (p &lt; 0.05) in terms of motility (56.8 +/- 0.3% vs. 47.2 +/- 0.3%), live sperm percentage (55.9 +/- 0.4% vs. 45.4 +/- 0.4%), membrane integrity (55.6 +/- 0.5% vs. 47.8 +/- 0.3%), and acrosome integrity (60.4 +/- 1.1% vs. 48.6 +/- 0.4%). Moreover, expression of genes related to the repair of the plasma membrane (ANX 1, FN 1, and DYSF), and chromatin material (H3, and HMGB 1) was statistically higher in exosome-treated sperm than control, but the expression of the mitochondrial reactive oxygen species modulator 1 gene was significantly higher in control. Therefore, exosomal treatment may improve the quality of post-thaw dog semen through initiating damaged sperm repair and decreasing reactive oxygen species production.</t>
  </si>
  <si>
    <t>[Qamar, Ahmad Yar; Fang, Xun; Cho, Jongki] Chungnam Natl Univ, Coll Vet Med, Daejeon 34134, South Korea; [Kim, Min Jung] Seoul Natl Univ, Coll Vet Med, Dept Theriogenol &amp; Biotechnol, Seoul 08826, South Korea</t>
  </si>
  <si>
    <t>Chungnam National University; Seoul National University (SNU)</t>
  </si>
  <si>
    <t>Cho, J (corresponding author), Chungnam Natl Univ, Coll Vet Med, Daejeon 34134, South Korea.;Kim, MJ (corresponding author), Seoul Natl Univ, Coll Vet Med, Dept Theriogenol &amp; Biotechnol, Seoul 08826, South Korea.</t>
  </si>
  <si>
    <t>drahmadqamar@gmail.com; fx2442@gmail.com; tinia19@snu.ac.kr; cjki@cnu.ac.kr</t>
  </si>
  <si>
    <t>Cho, Jongki/ABF-8410-2020</t>
  </si>
  <si>
    <t>Cho, Jongki/0000-0002-8431-0457</t>
  </si>
  <si>
    <t>2076-2615</t>
  </si>
  <si>
    <t>10.3390/ani9110865</t>
  </si>
  <si>
    <t>Agriculture, Dairy &amp; Animal Science; Veterinary Sciences; Zoology</t>
  </si>
  <si>
    <t>Agriculture; Veterinary Sciences; Zoology</t>
  </si>
  <si>
    <t>WOS:000502299900011</t>
  </si>
  <si>
    <t>Dutta, S; Warshall, C; Bandyopadhyay, C; Dutta, D; Chandran, B</t>
  </si>
  <si>
    <t>Dutta, Sujoy; Warshall, Case; Bandyopadhyay, Chirosree; Dutta, Dipanjan; Chandran, Bala</t>
  </si>
  <si>
    <t>Interactions between Exosomes from Breast Cancer Cells and Primary Mammary Epithelial Cells Leads to Generation of Reactive Oxygen Species Which Induce DNA Damage Response, Stabilization of p53 and Autophagy in Epithelial Cells</t>
  </si>
  <si>
    <t>TUMOR-DERIVED EXOSOMES; CARCINOMA IN-SITU; OF-THE-ART; INTERCELLULAR-COMMUNICATION; MEMBRANE-VESICLES; FIBROBLASTS; GROWTH; MICROENVIRONMENT; PROGRESSION; MICROVESICLES</t>
  </si>
  <si>
    <t>Exosomes are nanovesicles originating from multivesicular bodies and are released by all cell types. They contain proteins, lipids, microRNAs, mRNAs and DNA fragments, which act as mediators of intercellular communications by inducing phenotypic changes in recipient cells. Tumor-derived exosomes have been shown to play critical roles in different stages of tumor development and metastasis of almost all types of cancer. One of the ways by which exosomes affect tumorigenesis is to manipulate the tumor microenvironments to create tumor permissive niches. Whether breast cancer cell secreted exosomes manipulate epithelial cells of the mammary duct to facilitate tumor development is not known. To address whether and how breast cancer cell secreted exosomes manipulate ductal epithelial cells we studied the interactions between exosomes isolated from conditioned media of 3 different breast cancer cell lines (MDA-MB-231, T47DA18 and MCF7), representing three different types of breast carcinomas, and normal human primary mammary epithelial cells (HMECs). Our studies show that exosomes released by breast cancer cell lines are taken up by HMECs, resulting in the induction of reactive oxygen species (ROS) and autophagy. Inhibition of ROS by N-acetyl-L-cysteine (NAC) led to abrogation of autophagy. HMEC-exosome interactions also induced the phosphorylation of ATM, H2AX and Chk1 indicating the induction of DNA damage repair (DDR) responses. Under these conditions, phosphorylation of p53 at serine 15 was also observed. Both DDR responses and phosphorylation of p53 induced by HMEC-exosome interactions were also inhibited by NAC. Furthermore, exosome induced autophagic HMECs were found to release breast cancer cell growth promoting factors. Taken together, our results suggest novel mechanisms by which breast cancer cell secreted exosomes manipulate HMECs to create a tumor permissive microenvironment.</t>
  </si>
  <si>
    <t>[Dutta, Sujoy; Warshall, Case; Bandyopadhyay, Chirosree; Dutta, Dipanjan; Chandran, Bala] Rosalind Franklin Univ Med &amp; Sci, Chicago Med Sch, Dept Microbiol &amp; Immunol, HM Bligh Canc Res Labs, N Chicago, IL 60064 USA</t>
  </si>
  <si>
    <t>Chicago Medical School; Rosalind Franklin University Medical &amp; Science</t>
  </si>
  <si>
    <t>Dutta, S (corresponding author), Rosalind Franklin Univ Med &amp; Sci, Chicago Med Sch, Dept Microbiol &amp; Immunol, HM Bligh Canc Res Labs, N Chicago, IL 60064 USA.</t>
  </si>
  <si>
    <t>sujoy.dutta@rosalindfranklin.edu</t>
  </si>
  <si>
    <t>e97580</t>
  </si>
  <si>
    <t>10.1371/journal.pone.0097580</t>
  </si>
  <si>
    <t>WOS:000336789500081</t>
  </si>
  <si>
    <t>Haney, MJ; Klyachko, NL; Harrison, EB; Zhao, YL; Kabanov, AV; Batrakova, EV</t>
  </si>
  <si>
    <t>Haney, Matthew J.; Klyachko, Natalia L.; Harrison, Emily B.; Zhao, Yuling; Kabanov, Alexander V.; Batrakova, Elena V.</t>
  </si>
  <si>
    <t>TPP1 Delivery to Lysosomes with Extracellular Vesicles and their Enhanced Brain Distribution in the Animal Model of Batten Disease</t>
  </si>
  <si>
    <t>ADVANCED HEALTHCARE MATERIALS</t>
  </si>
  <si>
    <t>Batten disease; brain; drug delivery systems; EVs; lysosomal storage diseases</t>
  </si>
  <si>
    <t>DRUG-DELIVERY; MURINE MODEL; MACROPHAGE DELIVERY; MEDIATED TRANSFER; STROMAL CELLS; GENE-THERAPY; EXOSOMES; ENZYME; NANOPARTICLES; CONTRIBUTES</t>
  </si>
  <si>
    <t>Extracellular vesicles (EVs) are promising natural nanocarriers for delivery of various types of therapeutics. Earlier engineered EV-based formulations for neurodegenerative diseases and cancer are reported. Herein, the use of macrophage-derived EVs for brain delivery of a soluble lysosomal enzyme tripeptidyl peptidase-1, TPP1, to treat a lysosomal storage disorder, Neuronal Ceroid Lipofuscinoses 2 (CLN2) or Batten disease, is investigated. TPP1 is loaded into EVs using two methods: i) transfection of parental EV-producing macrophages with TPP1-encoding plasmid DNA (pDNA) or ii) incorporation therapeutic protein TPP1 into naive empty EVs. For the former approach, EVs released by pretransfected macrophages contain the active enzyme and TPP1-encoding pDNA. To achieve high loading efficiency by the latter approach, sonication or permeabilization of EV membranes with saponin is utilized. Both methods provide proficient incorporation of functional TPP1 into EVs (EV-TPP1). EVs significantly increase stability of TPP1 against protease degradation and provide efficient TPP1 delivery to target cells in in vitro model of CLN2. The majority of EV-TPP1 (approximate to 70%) is delivered to target organelles, lysosomes. Finally, a robust brain accumulation of EV carriers and increased lifespan is recorded in late-infantile neuronal ceroid lipofuscinosis (LINCL) mouse model following intraperitoneal administration of EV-TPP1.</t>
  </si>
  <si>
    <t>[Haney, Matthew J.; Klyachko, Natalia L.; Harrison, Emily B.; Zhao, Yuling; Kabanov, Alexander V.; Batrakova, Elena V.] Univ North Carolina Chapel Hill, Ctr Nanotechnol Drug Delivery, Chapel Hill, NC 27599 USA; [Haney, Matthew J.; Klyachko, Natalia L.; Harrison, Emily B.; Zhao, Yuling; Kabanov, Alexander V.; Batrakova, Elena V.] Univ North Carolina Chapel Hill, Carolina Inst Nanomed, Chapel Hill, NC 27599 USA; [Haney, Matthew J.; Klyachko, Natalia L.; Harrison, Emily B.; Zhao, Yuling; Kabanov, Alexander V.; Batrakova, Elena V.] Univ North Carolina Chapel Hill, Div Pharmacoengn &amp; Mol Pharmaceut, Eshelman Sch Pharm, Chapel Hill, NC 27599 USA; [Klyachko, Natalia L.; Kabanov, Alexander V.] Moscow MV Lomonosov State Univ, Fac Chem, Deparment Chem Enzymol, Moscow 119991, Russia</t>
  </si>
  <si>
    <t>University of North Carolina; University of North Carolina Chapel Hill; University of North Carolina School of Medicine; University of North Carolina; University of North Carolina Chapel Hill; University of North Carolina School of Medicine; University of North Carolina; University of North Carolina Chapel Hill; University of North Carolina School of Medicine; Lomonosov Moscow State University</t>
  </si>
  <si>
    <t>Batrakova, EV (corresponding author), Univ North Carolina Chapel Hill, Ctr Nanotechnol Drug Delivery, Chapel Hill, NC 27599 USA.;Batrakova, EV (corresponding author), Univ North Carolina Chapel Hill, Carolina Inst Nanomed, Chapel Hill, NC 27599 USA.;Batrakova, EV (corresponding author), Univ North Carolina Chapel Hill, Div Pharmacoengn &amp; Mol Pharmaceut, Eshelman Sch Pharm, Chapel Hill, NC 27599 USA.</t>
  </si>
  <si>
    <t>batrakov@ad.unc.edu</t>
  </si>
  <si>
    <t>Kabanov, Alexander V/N-3356-2013; Klyachko, Natalia L./AAU-8856-2021; Harrison, Emily B./AAW-1826-2021; Kabanov, Alexander/AAY-5751-2020</t>
  </si>
  <si>
    <t>Kabanov, Alexander V/0000-0002-3665-946X; Klyachko, Natalia L./0000-0002-9357-8236; Harrison, Emily B./0000-0002-6934-3875; Kabanov, Alexander/0000-0002-3665-946X; Batrakova, Elena/0000-0002-9386-3790</t>
  </si>
  <si>
    <t>2192-2640</t>
  </si>
  <si>
    <t>2192-2659</t>
  </si>
  <si>
    <t>10.1002/adhm.201801271</t>
  </si>
  <si>
    <t>Engineering, Biomedical; Nanoscience &amp; Nanotechnology; Materials Science, Biomaterials</t>
  </si>
  <si>
    <t>Engineering; Science &amp; Technology - Other Topics; Materials Science</t>
  </si>
  <si>
    <t>WOS:000472669100007</t>
  </si>
  <si>
    <t>Kim, J; Sahloul, S; Orozaliev, A; Do, VQ; Pham, VS; Martins, D; Wei, X; Levicky, R; Song, YA</t>
  </si>
  <si>
    <t>Kim, Jongmin; Sahloul, Sarah; Orozaliev, Ajymurat; Do, Vu Q.; Van Sang Pham; Martins, Diogo; Wei, Xi; Levicky, Rastislav; Song, Yong-Ak</t>
  </si>
  <si>
    <t>Microfluidic Electrokinetic Preconcentration Chips: Enhancing the detection of nucleic acids and exosomes</t>
  </si>
  <si>
    <t>IEEE NANOTECHNOLOGY MAGAZINE</t>
  </si>
  <si>
    <t>Ions; Mathematical model; Electrokinetics; Computational modeling; DNA; Electric fields; Molecular biophysics</t>
  </si>
  <si>
    <t>SOLID-PHASE EXTRACTION; CONCENTRATION POLARIZATION; SAMPLE STACKING; POROUS POLYMER; FREE DNA; SENSITIVITY; INTEGRATION; MICROARRAY; BIASES; ELECTROOSMOSIS</t>
  </si>
  <si>
    <t>Over the past few years, the detection of biological analytes has intensively been studied to understand the biodiagnostics of various diseases [1]. Some of the analytes that have been used as biomarkers for specific diseases include cell-free nucleic acids, (for example, DNA), messenger RNA (mRNA) and microRNA (miRNA) [2]-[5], circulating tumor-specific nucleic acids [circulating tumor DNA (ctDNA) and ctRNA] [6]-[8], exosomes [9], [10], and circulating tumor cells [11]. These biomolecules are known to be effective indicators that can diagnose the presence of a potential disease even if their concentration changes slightly [12].</t>
  </si>
  <si>
    <t>[Kim, Jongmin; Sahloul, Sarah; Orozaliev, Ajymurat] New York Univ, Div Engn, Abu Dhabi, U Arab Emirates; [Do, Vu Q.; Van Sang Pham] Hanoi Univ Sci &amp; Technol, Sch Transportat Engn, Hanoi, Vietnam; [Martins, Diogo] Univ Nova Lisboa, Fac Med Sci, NOVA Med Sch, Lisbon, Portugal; [Wei, Xi] Univ Sci &amp; Technol China, Sch Comp Sci &amp; Technol, Hefei, Peoples R China; [Levicky, Rastislav] NYU, Dept Chem &amp; Biomol Engn, Tandon Sch Engn, New York, NY USA; [Song, Yong-Ak] New York Univ, Abu Dhabi, U Arab Emirates; [Song, Yong-Ak] NYU, Dept Chem &amp; Biomolec Ular Engn, Tandon Sch Engn, New York, NY USA</t>
  </si>
  <si>
    <t>Hanoi University of Science &amp; Technology; Universidade Nova de Lisboa; Chinese Academy of Sciences; University of Science &amp; Technology of China, CAS; New York University; New York University Tandon School of Engineering; New York University; New York University Tandon School of Engineering</t>
  </si>
  <si>
    <t>Kim, J (corresponding author), New York Univ, Div Engn, Abu Dhabi, U Arab Emirates.</t>
  </si>
  <si>
    <t>jk181@nyu.edu; sms30@nyu.edu; ajymurat.orozaliev@nyu.edu; vu.doquochust@gmail.com; sang.phamvan@hust.edu.vn; diogo.martins@nyu.edu; wxi@ustc.edu.cn; rl13O6@nyu.edu; rafael.song@nyu.edu</t>
  </si>
  <si>
    <t>Pham, Van Sang/0000-0002-3325-7801</t>
  </si>
  <si>
    <t>1932-4510</t>
  </si>
  <si>
    <t>1942-7808</t>
  </si>
  <si>
    <t>10.1109/MNANO.2020.2966064</t>
  </si>
  <si>
    <t>Nanoscience &amp; Nanotechnology</t>
  </si>
  <si>
    <t>WOS:000522326700004</t>
  </si>
  <si>
    <t>Aboushady, IM; Abdel-Latif, GAA; Sabry, D; El Moshy, S</t>
  </si>
  <si>
    <t>Aboushady, Iman Mahmoud; Abdel-LatIf, Ghada Abdel Aziz; Sabry, Dina; El Moshy, Sara</t>
  </si>
  <si>
    <t>Correlation between Decreased Nuclear Factor Kappa Beta (NFK beta), Kras, and Braf Genes' Expression and Enhanced Chemosensitivity of Human Squamous Cell Carcinoma Cells to 5-fluorouracil and/or Mesenchymal Stem Cells-derived Microvesicles</t>
  </si>
  <si>
    <t>TURK ONKOLOJI DERGISI-TURKISH JOURNAL OF ONCOLOGY</t>
  </si>
  <si>
    <t>5-Fluorouracil; braf; kras; microvesicles; NFK beta; SCC152 cell line</t>
  </si>
  <si>
    <t>BASE EXCISION-REPAIR; RAS ONCOGENE; ORAL-CANCER; MUTATIONS; ACTIVATION; APOPTOSIS; VESICLES; ASSAY; HEAD; DNA</t>
  </si>
  <si>
    <t>OBJECTIVE Oral squamous cell carcinoma (OSCC) comprises about 10% of head and neck cancer. 5-fluorouracil (5 FU) is commonly used for the treatment of OSCC. However, it has many limitations due to its identified side effects. Therefore, this work compared squamous cell carcinoma (SCC) cells' chemosensitivity to 5-FU, mesenchymal stem cells-derived microvesicles (MVs), and their combination. METHODS Human SCC cell line (SCC152) was subjected to 5-FU or MVs or their combination for 24 h and 48 h. Inverted microscopic evaluation of apoptosis, MTT cell proliferation assay, DNA comet assay, and detection of NFK beta, Kras, and Braf genes' expression were performed. RESULTS The combination group, compared to 5-FU or MVs treated groups, showed the most apparent apoptotic features. Cell proliferation was significantly decreased, while the tailed DNA% was significantly increased in the combination group versus either the 5-FU or MVs groups. The combination group showed a significant decrease in NFK beta, Kras, and Braf genes' expression than the 5-FU or MVs treated groups. The correlation between cell proliferation and the studied genes showed a very strong positive linear relationship, while a strong negative linear relationship existed between cell proliferation and tailed DNA%. CONCLUSION The combination of MVs and 5-FU enhanced the genotoxicity and cytotoxicity of the SCC152 cell line compared to using either of them alone. Moreover, downregulation of NFK beta, Kras, and Braf genes' expression was associated with enhanced apoptotic features, decreased cell proliferation, and enhanced tailed DNA%.</t>
  </si>
  <si>
    <t>[Aboushady, Iman Mahmoud; El Moshy, Sara] Cairo Univ, Fac Dent, Dept Oral Biol, Cairo, Egypt; [Abdel-LatIf, Ghada Abdel Aziz] Suez Canal Univ, Fac Dent, Dept Oral Pathol, Ismailia, Egypt; [Abdel-LatIf, Ghada Abdel Aziz] Taibah Univ, Coll Dent, Dept Oral Basic &amp; Clin Sci, Madinah, Saudi Arabia; [Sabry, Dina] Cairo Univ, Fac Med, Dept Med Biochem &amp; Mol Biol, Cairo, Egypt</t>
  </si>
  <si>
    <t>Egyptian Knowledge Bank (EKB); Cairo University; Egyptian Knowledge Bank (EKB); Suez Canal University; Taibah University; Egyptian Knowledge Bank (EKB); Cairo University</t>
  </si>
  <si>
    <t>El Moshy, S (corresponding author), Cairo Univ, Fac Dent, Dept Oral Biol, Cairo, Egypt.</t>
  </si>
  <si>
    <t>sarah.mahmoud@dentistry.cu.edu.eg</t>
  </si>
  <si>
    <t>1300-7467</t>
  </si>
  <si>
    <t>10.5505/tjo.2021.2714</t>
  </si>
  <si>
    <t>WOS:000744206800009</t>
  </si>
  <si>
    <t>Singh, A; Verma, S; Modak, SB; Chaturvedi, MM; Purohit, JS</t>
  </si>
  <si>
    <t>Singh, Abhilasha; Verma, Sudhir; Modak, Sharmila Basu; Chaturvedi, Madan M.; Purohit, Jogeswar S.</t>
  </si>
  <si>
    <t>Extra-nuclear histones: origin, significance and perspectives</t>
  </si>
  <si>
    <t>MOLECULAR AND CELLULAR BIOCHEMISTRY</t>
  </si>
  <si>
    <t>Extra-nuclear histones; Exosomes; Exosomal histones; Cytoplasmic histones; Vesicle-associated histones</t>
  </si>
  <si>
    <t>EXTRACELLULAR HISTONES; MULTIVESICULAR BODIES; APOPTOTIC CELLS; TUMOR-CELLS; H3; MEMBRANE; EXOSOMES; RELEASE; MITOCHONDRIA; CHROMATIN</t>
  </si>
  <si>
    <t>Histones are classically known to organize the eukaryotic DNA into chromatin. They are one of the key players in regulating transcriptionally permissive and non-permissive states of the chromatin. Nevertheless, their context-dependent appearance within the cytoplasm and systemic circulation has also been observed. The past decade has also witnessed few scientific communications on the existence of vesicle-associated histones. Diverse groups have attempted to determine the significance of these extra-nuclear histones so far, with many of those studies still underway. Of note amongst these are interactions of extra-nuclear or free histones with cellular membranes, mediated by mutual cationic and anionic natures, respectively. It is here aimed to consolidate the mechanism of formation of extra-nuclear histones; implications of histone-induced membrane destabilization and explore the mechanisms of their association/release with extracellular vesicles, along with the functional aspects of these extra-nuclear histones in cell and systemic physiology.</t>
  </si>
  <si>
    <t>[Singh, Abhilasha; Modak, Sharmila Basu; Chaturvedi, Madan M.; Purohit, Jogeswar S.] Univ Delhi, Dept Zool, Delhi 110007, India; [Verma, Sudhir] Univ Delhi, Dept Zool, Deen Dayal Upadhyaya Coll, Delhi 110078, India; [Purohit, Jogeswar S.] Univ Delhi, Mol &amp; Syst Biol Lab, Cluster Innovat Ctr, North Campus,DREAM Bldg, Delhi 110007, India</t>
  </si>
  <si>
    <t>University of Delhi; Deen Dayal Upadhyaya College; University of Delhi; University of Delhi</t>
  </si>
  <si>
    <t>Purohit, JS (corresponding author), Univ Delhi, Dept Zool, Delhi 110007, India.;Purohit, JS (corresponding author), Univ Delhi, Mol &amp; Syst Biol Lab, Cluster Innovat Ctr, North Campus,DREAM Bldg, Delhi 110007, India.</t>
  </si>
  <si>
    <t>jspurohit@cic.du.ac.in</t>
  </si>
  <si>
    <t>0300-8177</t>
  </si>
  <si>
    <t>1573-4919</t>
  </si>
  <si>
    <t>10.1007/s11010-021-04300-4</t>
  </si>
  <si>
    <t>WOS:000720204800002</t>
  </si>
  <si>
    <t>Welch, JL; Kaddour, H; Schlievert, PM; Stapleton, JT; Okeoma, CM</t>
  </si>
  <si>
    <t>Welch, Jennifer L.; Kaddour, Hussein; Schlievert, Patrick M.; Stapleton, Jack T.; Okeoma, Chioma M.</t>
  </si>
  <si>
    <t>Semen Exosomes Promote Transcriptional Silencing of HIV-1 by Disrupting NF-kappa B/Sp1/Tat Circuitry</t>
  </si>
  <si>
    <t>exosomes; HIV-1; transcription; Tat; NF-kappa B; Sp1; RNA Pol II; LTR; promoter; semen; long terminal repeat</t>
  </si>
  <si>
    <t>HUMAN-IMMUNODEFICIENCY-VIRUS; NF-KAPPA-B; TYPE-1 REVERSE TRANSCRIPTION; TAT PROTEIN; IN-VITRO; T-CELLS; COOPERATIVE INTERACTION; FUNCTIONAL INTERACTION; TRANSACTIVATOR TAT; CONTAINS EXOSOMES</t>
  </si>
  <si>
    <t>Exosomes play various roles in host responses to cancer and infective agents, and semen exosomes (SE) inhibit HIV-1 infection and transmission, although the mechanism(s) by which this occurs is unclear. Here, we show that SE block HIV-1 proviral transcription at multiple transcriptional checkpoints, including transcription factor recruitment to the long terminal repeat (LTR), transcription initiation, and elongation. Biochemical and functional studies show that SE inhibit HIV-1 LTR-driven viral gene expression and virus replication. Through partitioning of the HIV-1 RNA, we found that SE reduced the optimal expression of various viral RNA species. Chromatin immunoprecipitation-real-time quantitative PCR (ChIP-RT-qPCR) and electrophoretic mobility shift assay (EMSA) analysis of infected cells identified the human transcription factors NF-kappa B and Sp1, as well as RNA polymerase (Pol) II and the viral protein transcriptional activator (Tat), as targets of SE. Of interest, SE inhibited HIV-1 LTR activation mediated by HIV-1 or Tat, but not by the mitogen phorbol myristate acetate (PMA) or tumor necrosis factor alpha (TNF-alpha). SE inhibited the DNA binding activities of NF-kappa B and Sp1 and blocked the recruitment of these transcription factors and Pol II to the HIV-1 LTR promoter. Importantly, SE directly blocked NF-kappa B, Sp1, and Pol II binding to the LTR and inhibited the interactions of Tat/NF-kappa B and Tat/Sp1, suggesting that SE-mediated inhibition of the functional quadripartite complex NF-kappa B-Sp1-Pol II-Tat may be a novel mechanism of proviral transcription repression. These data provide a novel molecular basis for SE-mediated inhibition of HIV-1 and identify Tat as a potential target of SE. IMPORTANCE HIV is most commonly transmitted sexually, and semen is the primary vector. Despite progress in studies of HIV pathogenesis and the success of combination antiretroviral therapy in controlling viral replication, current therapy cannot completely control sexual transmission. Thus, there is a need to identify effective methods of controlling HIV replication and transmission. Recently, it was shown that human semen contains exosomes that protect against HIV infection in vitro. In this study, we identified a mechanism by which semen exosomes inhibited HIV-1 RNA expression. We found that semen exosomes inhibit recruitment of transcription factors NF-kappa B and Sp1, as well as RNA Pol II, to the promoter region in the 5' long terminal repeat (LTR) of HIV-1. The HIV-1 early protein transcriptional activator (Tat) was a target of semen exosomes, and semen exosomes inhibited the binding and recruitment of Tat to the HIV-1 LTR.</t>
  </si>
  <si>
    <t>[Welch, Jennifer L.; Kaddour, Hussein; Schlievert, Patrick M.; Stapleton, Jack T.; Okeoma, Chioma M.] Univ Iowa, Carver Coll Med, Dept Microbiol &amp; Immunol, Iowa City, IA 52242 USA; [Stapleton, Jack T.] Univ Iowa, Dept Internal Med, Carver Coll Med, Iowa City, IA 52242 USA; [Stapleton, Jack T.] Univ Iowa, Dept Internal Med, Med Serv, Iowa City Vet Affairs Med Ctr, Iowa City, IA 52242 USA; [Kaddour, Hussein; Okeoma, Chioma M.] SUNY Stony Brook, Sch Med, Dept Pharmacol, Stony Brook, NY 11794 USA</t>
  </si>
  <si>
    <t>University of Iowa; University of Iowa; University of Iowa; US Department of Veterans Affairs; Veterans Health Administration (VHA); Iowa City VA Health Care System; State University of New York (SUNY) System; State University of New York (SUNY) Stony Brook</t>
  </si>
  <si>
    <t>Okeoma, CM (corresponding author), Univ Iowa, Carver Coll Med, Dept Microbiol &amp; Immunol, Iowa City, IA 52242 USA.;Okeoma, CM (corresponding author), SUNY Stony Brook, Sch Med, Dept Pharmacol, Stony Brook, NY 11794 USA.</t>
  </si>
  <si>
    <t>chioma.okeoma@stonybrook.edu</t>
  </si>
  <si>
    <t>Kaddour, Hussein/P-4255-2016</t>
  </si>
  <si>
    <t>Kaddour, Hussein/0000-0002-4371-0809; Stapleton, Jack/0000-0002-2302-9055; Okeoma, Chioma/0000-0001-7737-6493; Welch, Jennifer/0000-0003-2725-9875</t>
  </si>
  <si>
    <t>e00731-18</t>
  </si>
  <si>
    <t>10.1128/JVI.00731-18</t>
  </si>
  <si>
    <t>WOS:000447139100005</t>
  </si>
  <si>
    <t>Wang, T; Jian, Z; Baskys, A; Yang, JL; Li, JY; Guo, H; Hei, Y; Xian, PP; He, ZZ; Li, ZY; Li, NM; Long, QF</t>
  </si>
  <si>
    <t>Wang, Tian; Jian, Zhe; Baskys, Andrius; Yang, Junle; Li, Jianying; Guo, Hua; Hei, Yue; Xian, Panpan; He, Zhongzheng; Li, Zhengyu; Li, Namiao; Long, Qianfa</t>
  </si>
  <si>
    <t>MSC-derived exosomes protect against oxidative stress-induced skin injury via adaptive regulation of the NRF2 defense system</t>
  </si>
  <si>
    <t>Exosomes; Oxidative stress; Keratinocytes; NRF2; Nanotherapeutics</t>
  </si>
  <si>
    <t>MESENCHYMAL STEM-CELLS; ULTRAVIOLET-RADIATION; EXTRACELLULAR VESICLES; ATP; INFLAMMATION; DYSFUNCTION; ACTIVATION; GENERATION; APOPTOSIS; CALCIUM</t>
  </si>
  <si>
    <t>Oxidative stress is a major cause of skin injury induced by damaging stimuli such as UV radiation. Currently, owing to their immunomodulatory properties, mesenchymal stem cell-derived exosomes (MSC-Exo), as a nanotherapeutic agent, have attracted considerable attention. Here, we investigated the therapeutic effects of MSC-Exo on oxidative injury in H2O2-stimulated epidermal keratinocytes and UV-irradiated wild type and nuclear factor-erythroid 2-related factor-2 (Nrf2) knocked down cell and animal models. Our findings showed that MSC-Exo treatment reduced reactive oxygen species generation, DNA damage, aberrant calcium signaling, and mitochondrial changes in H2O2-stimulated keratinocytes or UV-irradiated mice skin. Exosome therapy also improved antioxidant capacities shown by increased ferric ion reducing antioxidant power and glutathione peroxidase or superoxide dismutase activities in oxidative stress-induced cell and skin injury. In addition, it alleviated cellular and histological responses to inflammation and oxidation in cell or animal models. Furthermore, the NRF2 signaling pathway was involved in the antioxidation activity of MSC-Exo, while Nrf2 knockdown attenuated the antioxidant capacities of MSC-Exo in vitro and in vivo, suggesting that these effects are partially mediated by the NRF2 signaling pathway. These results indicate that MSC-Exo can repair oxidative stress-induced skin injury via adaptive regulation of the NRF2 defense system. Thus, MSC-Exo may be used as a potential dermatological nanotherapeutic agent for treating oxidative stress-induced skin diseases or disorders.</t>
  </si>
  <si>
    <t>[Wang, Tian; Baskys, Andrius; Yang, Junle; Li, Jianying; Guo, Hua; Xian, Panpan; He, Zhongzheng; Li, Zhengyu; Li, Namiao; Long, Qianfa] Xi An Jiao Tong Univ, Xian Cent Hosp, Miniinvas Neurosurg &amp; Translat Med Ctr, 161,West 5th Rd, Xian 710003, Peoples R China; [Jian, Zhe; Hei, Yue] Fourth Mil Med Univ, Xijing Hosp, Dept Dermatol, 17 Changle West Rd, Xian 710032, Peoples R China; [Baskys, Andrius] Western Univ Hlth Sci, Grad Coll Biomed Sci, Pomona, CA 91766 USA</t>
  </si>
  <si>
    <t>Xi'an Jiaotong University; Air Force Military Medical University; Western University of Health Sciences</t>
  </si>
  <si>
    <t>Long, QF (corresponding author), Xi An Jiao Tong Univ, Xian Cent Hosp, Miniinvas Neurosurg &amp; Translat Med Ctr, 161,West 5th Rd, Xian 710003, Peoples R China.</t>
  </si>
  <si>
    <t>Long, Qianfa/F-6461-2017</t>
  </si>
  <si>
    <t>Long, Qianfa/0000-0001-8848-9688</t>
  </si>
  <si>
    <t>10.1016/j.biomaterials.2020.120264</t>
  </si>
  <si>
    <t>WOS:000563958300001</t>
  </si>
  <si>
    <t>Senpuku, H; Nakamura, T; Iwabuchi, Y; Hirayama, S; Nakao, R; Ohnishi, M</t>
  </si>
  <si>
    <t>Senpuku, Hidenobu; Nakamura, Tomoyo; Iwabuchi, Yusuke; Hirayama, Satoru; Nakao, Ryoma; Ohnishi, Makoto</t>
  </si>
  <si>
    <t>Effects of Complex DNA and MVs with GTF Extracted from Streptococcus mutans on the Oral Biofilm</t>
  </si>
  <si>
    <t>biofilm; eDNA; Streptococcus mutans; GTF; membrane vesicles</t>
  </si>
  <si>
    <t>MEMBRANE-DERIVED VESICLES; EXTRACELLULAR DNA; BACTERIAL DIVERSITY; INSOLUBLE GLUCAN; COMMUNICATION; INTEGRITY; BIOLOGY; SYSTEM</t>
  </si>
  <si>
    <t>Streptococcus mutans is one of the principal pathogens for the development of dental caries. Oral biofilms formed by S. mutans are constructed of insoluble glucan formation induced by the principal enzymes, GTF-I and GTF-SI, in sucrose-containing conditions. However, as another means of biofilm formation, extracellular DNA (eDNA) and membrane vesicles (MVs) are also contributors. To explore the roles of eDNA and MVs for biofilm formation, short and whole size pure DNAs, two types of sub-purified DNAs and MVs were extracted from S. mutans by beads destruction, treatment of proteinase K, and ultracentrifugation of culture supernatant, and applied into the biofilm formation assay using the S. mutans UA159 gtfBC mutant, which lost GTF-I and GTF-SI, on a human saliva-coated 96 well microtiter plate in sucrose-containing conditions. Sub-purified DNAs after cell lysis by beads destruction for total 90 and 180 s showed a complex form of short-size DNA with various proteins and MVs associated with GTF-I and GTF-SI, and induced significantly higher biofilm formation of the S. mutans UA159. gtfBC mutant than no sample (p &lt; 0.05). Short-size pure DNA without proteins induced biofilm formation but whole-size pure DNA did not. Moreover, the complex form of MV associated with GTFs and short-size DNA showed significantly higher biofilm formation of initial colonizers on the human tooth surface such as Streptococcus mitis than no sample (p &lt; 0.05). The short-size DNAs associated with MVs and GTFs are important contributors to the biofilm formation and may be one of additional targets for the prevention of oral biofilm-associated diseases.</t>
  </si>
  <si>
    <t>[Senpuku, Hidenobu; Nakamura, Tomoyo; Iwabuchi, Yusuke; Hirayama, Satoru; Nakao, Ryoma; Ohnishi, Makoto] Natl Inst Infect Dis, Dept Bacteriol 1, Shinjuku Ku, Tokyo 1628640, Japan</t>
  </si>
  <si>
    <t>National Institute of Infectious Diseases (NIID)</t>
  </si>
  <si>
    <t>Senpuku, H (corresponding author), Natl Inst Infect Dis, Dept Bacteriol 1, Shinjuku Ku, Tokyo 1628640, Japan.</t>
  </si>
  <si>
    <t>hsenpuku@nih.go.jp</t>
  </si>
  <si>
    <t>SENPUKU, HIDENOBU/ABC-6160-2021</t>
  </si>
  <si>
    <t>Hirayama, Satoru/0000-0003-0965-8733</t>
  </si>
  <si>
    <t>10.3390/molecules24173131</t>
  </si>
  <si>
    <t>WOS:000488613700111</t>
  </si>
  <si>
    <t>Armacki, M; Polaschek, S; Waldenmaier, M; Morawe, M; Ruhland, C; Schmid, R; Lechel, A; Tharehalli, U; Steup, C; Bektas, Y; Li, HX; Kraus, JM; Kestler, HA; Kruger, S; Ormanns, S; Walther, P; Eiseler, T; Seufferlein, T</t>
  </si>
  <si>
    <t>Armacki, Milena; Polaschek, Sandra; Waldenmaier, Mareike; Morawe, Mareen; Ruhland, Claudia; Schmid, Rebecca; Lechel, Andre; Tharehalli, Umesh; Steup, Christoph; Bektas, Yasin; Li, Hongxia; Kraus, Johann M.; Kestler, Hans A.; Kruger, Stephan; Ormanns, Steffen; Walther, Paul; Eiseler, Tim; Seufferlein, Thomas</t>
  </si>
  <si>
    <t>Protein Kinase D1, Reduced in Human Pancreatic Tumors, Increases Secretion of Small Extracellular Vesicles From Cancer Cells That Promote Metastasis to Lung in Mice</t>
  </si>
  <si>
    <t>Cytoskeleton; Cytoskeletal Organization; Invasion; Multivesicular Bodies</t>
  </si>
  <si>
    <t>EPITHELIAL-MESENCHYMAL TRANSITION; ACTIN POLYMERIZATION; INDEPENDENT GROWTH; EXOSOMES; CORTACTIN; BIOGENESIS; INVASION; PHOSPHORYLATION; FIBROBLASTS; EXPRESSION</t>
  </si>
  <si>
    <t>BACKGROUND &amp; AIMS: Pancreatic tumor cells release small extracellular vesicles (sEVs, exosomes) that contain lipids and proteins, RNA, and DNA molecules that might promote formation of metastases. It is not clear what cargo these vesicles contain and how they are released. Protein kinase D1 (PRKD1) inhibits cell motility and is believed to be dysregulated in pancreatic ductal adenocarcinomas. We investigated whether it regulates production of sEVs in pancreatic cancer cells and their ability to form premetastatic niches for pancreatic cancer cells in mice. METHODS: We analyzed data from UALCAN and human pancreatic tissue microarrays to compare levels of PRKD1 between tumor and nontumor tissues. We studied mice with pancreas-specific disruption of Prkd1 (PRKD1KO mice), mice that express oncogenic KRAS (KC mice), and KC mice with disruption of Prkd1 (PRKD1KO-KC mice). Subcutaneous xenograft tumors were grown in NSG mice from Panc1 cells; some mice were then given injections of sEVs. Pancreata and lung tissues from mice were analyzed by histology, immunohistochemistry, and/or quantitative polymerase chain reaction; we performed nanoparticle tracking analysis of plasma sEVs. The Prkd1 gene was disrupted in Panc1 cells using CRISPR-Cas9 or knocked down with small hairpin RNAs, or PRKD1 activity was inhibited with the selective inhibitor CRT0066101. Pancreatic cancer cell lines were analyzed by gene-expression microarray, quantitative polymerase chain reaction, immunoblot, and immunofluorescence analyses. sEVs secreted by Panc1 cell lines were analyzed by flow cytometry, transmission electron microscopy, and mass spectrometry. RESULTS: Levels of PRKD1 were reduced in human pancreatic ductal adenocarcinoma tissues compared with nontumor tissues. PRKD1KO-KC mice developed more pancreatic intraepithelial neoplasia, at a faster rate, than KC mice, and had more lung metastases and significantly shorter average survival time. Serum from PRKD1KO-KC mice had increased levels of sEVs compared with KC mice. Pancreatic cancer cells with loss or inhibition of PRKD1 increased secretion of sEVs; loss of PRKD1 reduced phosphorylation of its substrate, cortactin, resulting in increased F-actin levels at the plasma membrane. sEVs from cells with loss or reduced expression of PRKD1 had altered content, and injection of these sEVs into mice increased metastasis of xenograft tumors to lung, compared with sEVs from pancreatic cells that expressed PRKD1. PRKD1-deficient pancreatic cancer cells showed increased loading of integrin a6b4 into sEVs-a process that required CD82. CONCLUSIONS: Human pancreatic ductal adenocarcinoma has reduced levels of PRKD1 compared with nontumor pancreatic tissues. Loss of PRKD1 results in reduced phosphorylation of cortactin in pancreatic cancer cell lines, resulting in increased in F-actin at the plasma membrane and increased release of sEVs, with altered content. These sEVs promote metastasis of xenograft and pancreatic tumors to lung in mice.</t>
  </si>
  <si>
    <t>[Armacki, Milena; Polaschek, Sandra; Waldenmaier, Mareike; Morawe, Mareen; Ruhland, Claudia; Schmid, Rebecca; Lechel, Andre; Tharehalli, Umesh; Steup, Christoph; Bektas, Yasin; Li, Hongxia; Eiseler, Tim; Seufferlein, Thomas] Univ Hosp Ulm, Dept Internal Med 1, Albert Einstein Allee 23, D-89081 Ulm, Germany; [Kraus, Johann M.; Kestler, Hans A.] Ulm Univ, Inst Med Syst Biol, Ulm, Germany; [Kruger, Stephan] Ludwig Maximilian Univ Munich, Univ Hosp, Dept Med 3, Munich, Germany; [Ormanns, Steffen] Ludwig Maximilian Univ Munich, Fac Med, Inst Pathol, Munich, Germany; [Walther, Paul] Univ Ulm, Cent Facil Electron Microscopy, Ulm, Germany</t>
  </si>
  <si>
    <t>Ulm University; Ulm University; University of Munich; University of Munich; Ulm University</t>
  </si>
  <si>
    <t>Eiseler, T; Seufferlein, T (corresponding author), Univ Hosp Ulm, Dept Internal Med 1, Albert Einstein Allee 23, D-89081 Ulm, Germany.</t>
  </si>
  <si>
    <t>tim.eiseler@uniklinik-ulm.de; thomas.seufferlein@uniklinik-ulm.de</t>
  </si>
  <si>
    <t>Kestler, Hans A./D-5799-2012; Lechel, André/AAQ-2041-2021</t>
  </si>
  <si>
    <t>Kestler, Hans A./0000-0002-4759-5254; Lechel, André/0000-0003-0221-6959; Waldenmaier, Mareike/0000-0002-6220-512X; Armacki, Milena/0000-0002-5782-4524; Tharehalli, Umesh/0000-0002-4907-5017</t>
  </si>
  <si>
    <t>10.1053/j.gastro.2020.05.052</t>
  </si>
  <si>
    <t>WOS:000573089700006</t>
  </si>
  <si>
    <t>Bhar, S; Edelmann, MJ; Jones, MK</t>
  </si>
  <si>
    <t>Bhar, Sutonuka; Edelmann, Mariola J.; Jones, Melissa K.</t>
  </si>
  <si>
    <t>Characterization and proteomic analysis of outer membrane vesicles from a commensal microbe, Enterobacter cloacae</t>
  </si>
  <si>
    <t>JOURNAL OF PROTEOMICS</t>
  </si>
  <si>
    <t>Enterobacter; Enterobacter cloacae; Outer membrane vesicles; Commensal bacteria; Proteomics</t>
  </si>
  <si>
    <t>GRAM-NEGATIVE BACTERIA; BIOFILM FORMATION; GUT MICROBIOTA; EXTRACELLULAR DNA; PROTEIN FAMILIES; IMPACT; LOCALIZATION; BIOGENESIS; RESISTANCE; HYDROLASE</t>
  </si>
  <si>
    <t>Outer membrane vesicles (OMVs) are membrane-enclosed spherical entities released by gram-negative bacteria and are important for bacterial survival under stress conditions. There have been numerous studies on OMVs released by gram-negative pathogenic bacteria, but an understanding of the functions and characteristics of the OMVs produced by commensal microbes is still lacking. Enterobacter cloacae is a gram-negative commensal bacterium present in the human gut microbiome, but this organism can also function as an opportunistic pathogen. Understanding the OMV-mediated communication route between bacteria-bacteria or bacteria-host is essential for the determination of the biological functions of the commensal bacterium in the gut and delineating between benign and virulent characteristics. In this study, we have described a proteome of E. cloacae OMVs, which are membrane vesicles in a size range of 20-300 nm. Proteomic analysis showed the presence of membrane-bound proteins, including transporters, receptors, signaling molecules, and protein channels. The physical and proteomic analyses also indicate this bacterium uses two mechanisms for OMV production. This study is one of the few existing descriptions of the proteomic profile of OMVs generated by a commensal Proteobacteria, and the first report of OMVs produced by E. cloacae. Significance: This study prioritizes the importance of understanding the vesicular proteome of the human commensal bacterium, Enterobacter cloacae. We demonstrate for the first time that the gram-negative bacterium E. cloacae ATCC 13047 produces outer membrane vesicles (OMVs). The proteomic analysis showed enrichment of membrane-bound proteins in these vesicles. Understanding the cargo proteins of OMVs will help in exploring the physiological and functional role of these vesicles in the human microbiome and how they assist in the conversion of a bacterium from commensal to pathogen under certain conditions. While EM images reveal vesicles budding from the bacterial surface, the presence of cytoplasmic proteins and genomic DNA within the OMVs indicate that explosive cell lysis is an additional mechanism of biogenesis for these OMVs along with outer membrane blebbing. This research encourages future work on characterizing membrane vesicles produced by commensal bacterial and investigating their role in cell to cell communication.</t>
  </si>
  <si>
    <t>[Bhar, Sutonuka; Edelmann, Mariola J.; Jones, Melissa K.] Univ Florida, IFAS, Microbiol &amp; Cell Sci Dept, Gainesville, FL 32611 USA</t>
  </si>
  <si>
    <t>State University System of Florida; University of Florida</t>
  </si>
  <si>
    <t>Jones, MK (corresponding author), 1355 Museum Dr, Gainesville, FL 32611 USA.</t>
  </si>
  <si>
    <t>mmk@ufl.edu</t>
  </si>
  <si>
    <t>Machi, Nicole/0000-0002-3247-8805</t>
  </si>
  <si>
    <t>1874-3919</t>
  </si>
  <si>
    <t>1876-7737</t>
  </si>
  <si>
    <t>JAN 16</t>
  </si>
  <si>
    <t>10.1016/j.jprot.2020.103994</t>
  </si>
  <si>
    <t>WOS:000598798500002</t>
  </si>
  <si>
    <t>Hao, DX; Li, YS; Zhao, GF; Zhang, MZ</t>
  </si>
  <si>
    <t>Hao, Dexun; Li, Yanshuang; Zhao, Gaofeng; Zhang, Mingzhi</t>
  </si>
  <si>
    <t>Soluble fms-like tyrosine kinase-1-enriched exosomes suppress the growth of small cell lung cancer by inhibiting endothelial cell migration</t>
  </si>
  <si>
    <t>Angiogenesis; exosomes; small cell lung cancer; soluble fms-like tyrosine kinase-1 (sFlt-1)</t>
  </si>
  <si>
    <t>PHASE-III; 1ST-LINE TREATMENT; FACTOR RECEPTOR; FACTOR VEGF; GENE; ASSOCIATION; EXPRESSION; TOPOTECAN; FLT-1; IDENTIFICATION</t>
  </si>
  <si>
    <t>Background Previous studies have reported that soluble fms-like tyrosine kinase-1 (sFlt-1) possesses anti-tumor effects by inhibiting angiogenesis in many cancers. Exosomes can be engineered as delivery vehicles for transferring functional biomolecules, such as proteins, lipids, and nucleic acids (DNA, mRNA, and miRNA) to target cells to affect inflammation, apoptosis, and angiogenesis. The purpose of this study was to investigate whether exosomes can function as efficient carriers of sFlt-1 in vitro and in vivo, to play a role in SCLC therapy. Methods We adopted three different methods: TEM, NTA and western blot analysis to characterize the cell-derived exosomes from NCI-H69 SCLC cell line and normal bronchial epithelial BEAS-2B cell line. we next explored the effects of these exosomes on HUVE cell proliferation and migration in vitro.To verify sFlt-1-loaded exosomes suppress the tumor growth in vivo,we established subcutaneous xenografts in nude mice using the NCI-H69 cell line. Results We observed that NCI-H69-exo significantly increased human umbilical vein endothelial cells (HUVEC) migration compared to BEAS-2B-exo in vitro and in vivo. sFlt-1 protein expression was statistically higher in BEAS-2B-exo than NCI-H69-exo. sFlt-1 protein or sFlt-1-enriched exosomes can inhibit the migration of HUVECs. Furthermore, sFlt-1-enriched exosomes exhibited higher inhibition efficacy on pro-angiogenesis of NCI-H69-exo in comparison with the same concentration of sFlt-1 protein. Intriguingly, sFlt-1-loaded exosomes showed marked anti-tumor activity by inhibiting the growth of NCI-H69 tumor xenografts. CD31 staining revealed that sFlt-1-loaded exosomes significantly reduced the vascular density of experimental mice. sFlt-1-loaded exosomes markedly induced tumor apoptosis and inhibited tumor cell proliferation in mice. Conclusion Exosomes from a SCLC cell line contain low levels of sFlt-1 and significantly increased the migration of HUVECs. SFlt-1-enriched exosomes can inhibit NCI-H69-exo-induced HUVEC migration. Exosomes enriched in sFlt-1 have the potential to be effective therapeutic agents for SCLC.</t>
  </si>
  <si>
    <t>[Hao, Dexun] Zhengzhou Univ, Affiliated Hosp 1, Dept Geriatr Resp Ward, Zhengzhou, Henan, Peoples R China; [Li, Yanshuang] Zhengzhou Univ, Affiliated Hosp 1, Dept Anesthesiol, Zhengzhou, Henan, Peoples R China; [Zhao, Gaofeng] Zhengzhou Univ, Affiliated Hosp 1, Dept Thorac Surg, Zhengzhou, Henan, Peoples R China; [Zhang, Mingzhi] Zhengzhou Univ, Affiliated Hosp 1, Dept Oncol, 1 Jianshe East Rd, Zhengzhou 450052, Henan, Peoples R China</t>
  </si>
  <si>
    <t>Zhengzhou University; Zhengzhou University; Zhengzhou University; Zhengzhou University</t>
  </si>
  <si>
    <t>Zhang, MZ (corresponding author), Zhengzhou Univ, Affiliated Hosp 1, Dept Oncol, 1 Jianshe East Rd, Zhengzhou 450052, Henan, Peoples R China.</t>
  </si>
  <si>
    <t>mingzhi_zhang1@126.com</t>
  </si>
  <si>
    <t>10.1111/1759-7714.13175</t>
  </si>
  <si>
    <t>WOS:000483286700001</t>
  </si>
  <si>
    <t>Wen, J; Ma, ZW; Livingston, NJ; Zhang, W; Yuan, YG; Guo, CY; Liu, YT; Fu, P; Dong, Z</t>
  </si>
  <si>
    <t>Wen, Jin; Ma, Zhengwei; Livingston, N. J.; Zhang, Wei; Yuan, Yanggang; Guo, Chunyuan; Liu, Yutao; Fu, Ping; Dong, Zheng</t>
  </si>
  <si>
    <t>Decreased secretion and profibrotic activity of tubular exosomes in diabetic kidney disease</t>
  </si>
  <si>
    <t>AMERICAN JOURNAL OF PHYSIOLOGY-RENAL PHYSIOLOGY</t>
  </si>
  <si>
    <t>diabetic kidney disease; exosome; renal fibrosis; tubular injury</t>
  </si>
  <si>
    <t>EXTRACELLULAR VESICLES; CELLS; ACTIVATION; MECHANISMS; FIBROSIS; RECOVERY; THERAPY</t>
  </si>
  <si>
    <t>Tubular changes contribute to the development of renal pathologies in diabetic kidney disease (DKD), including interstitial fibrosis. It is unclear how tubular cells relay signals to interstitial fibroblasts. Recently. exosomes have been recognized as crucial mediators of intercellular communication. We hypothesized that exosomes secreted from tubular cells may stimulate fibroblasts for interstitial fibrosis in DKD. In this study, we isolated and purified exosomes from the renal cortex of DKD mice and high glucose-treated mouse proximal tubular cells. Compared with nondiabetic mice, exosome secretion in kidney tissues decreased in DKD mice. Likewise, high glucose incubation reduced exosome secretion in mouse kidney proximal tubular BUMPT cells. To study the effect of tubular cell exosomes on fibroblasts, exosomes from BUMPT cells were added to renal fibroblast NRK-49F cell cultures. Notably, exosomes from high glucose conditioned BUMPT cells induced higher proliferation. significant morphological change, and substantial production of fibronectin, alpha-smooth muscle actin, and collagen type I in NRK-49F fibroblasts. Proteomics analysis was further performed to profile the proteins within tubular cell exosomes. Interestingly, 22 proteins were found to be differentially expressed between tubular exosomes derived from high glucose conditioned cells and those from normal glucose conditioned cells. Cytoscape analysis suggested the existence of two protein-protein interaction networks in these exosomal differentially expressed proteins. While one of the proteinprotein interaction networks comprised enolase 1 (Eno1), heat shock protein family A member 8 (Hspa8). thioredoxin 1 (Txn1), peptidylprolyl isomerase A (Ppia), phosphoglycerate kinase 1 (Pgk1), DNA topoisomerase II-beta (Top2b), and beta-actin (Actb), the other had the family proteins of human leucocyte antigen F (Ywhag), a component of the ND10 nuclear body (Ywhae), interferon regulatory factor-8 (Ywhaq), and human leucocyte antigen A (Ywhaz). Gene expression analysis via Nephroseq showed a correlation of Eno1 expression with DKD clinical manifestation. In conclusion, DKD is associated with a decrease in exosome secretion in renal tubular cells. Exosomes from high glucose conditioned tubular cells may regulate the proliferation and activation of fibroblasts, contributing to the paracrine signaling mechanism responsible for the pathological onset of renal interstitial fibrosis in DKD.</t>
  </si>
  <si>
    <t>[Wen, Jin; Fu, Ping] Sichuan Univ, Dept Nephrol, West China Hosp, Chengdu, Peoples R China; [Wen, Jin] Chongqing Med Univ, Dept Nephrol &amp; Rheumatol, Yongchuan Hosp, Chongqing, Peoples R China; [Wen, Jin; Ma, Zhengwei; Livingston, N. J.; Zhang, Wei; Yuan, Yanggang; Guo, Chunyuan; Liu, Yutao; Dong, Zheng] Med Coll Georgia, Dept Cellular Biol &amp; Anat, Augusta, GA 30912 USA; [Wen, Jin; Ma, Zhengwei; Livingston, N. J.; Zhang, Wei; Yuan, Yanggang; Guo, Chunyuan; Liu, Yutao; Dong, Zheng] Charlie Norwood Vet Affairs Med Ctr, Augusta, GA 30904 USA</t>
  </si>
  <si>
    <t>Sichuan University; Chongqing Medical University; University System of Georgia; Augusta University; US Department of Veterans Affairs; Veterans Health Administration (VHA)</t>
  </si>
  <si>
    <t>Dong, Z (corresponding author), Med Coll Georgia, Dept Cellular Biol &amp; Anat, Augusta, GA 30912 USA.;Dong, Z (corresponding author), Charlie Norwood Vet Affairs Med Ctr, Augusta, GA 30904 USA.</t>
  </si>
  <si>
    <t>zdong@augusta.edu</t>
  </si>
  <si>
    <t>WEN, JIN/0000-0002-8883-8443; Livingston, Man/0000-0001-8638-0902</t>
  </si>
  <si>
    <t>1931-857X</t>
  </si>
  <si>
    <t>1522-1466</t>
  </si>
  <si>
    <t>F664</t>
  </si>
  <si>
    <t>F673</t>
  </si>
  <si>
    <t>10.1152/ajprenal.00292.2020</t>
  </si>
  <si>
    <t>Physiology; Urology &amp; Nephrology</t>
  </si>
  <si>
    <t>WOS:000581068700003</t>
  </si>
  <si>
    <t>Choudhuri, S; Garg, NJ</t>
  </si>
  <si>
    <t>Choudhuri, Subhadip; Garg, Nisha Jain</t>
  </si>
  <si>
    <t>PARP1-cGAS-NF-kappa B pathway of proinflammatory macrophage activation by extracellular vesicles released during Trypanosoma cruzi infection and Chagas disease</t>
  </si>
  <si>
    <t>PLOS PATHOGENS</t>
  </si>
  <si>
    <t>GENE-EXPRESSION; T-CELLS; POLY(ADP-RIBOSE); INDETERMINATE; PATHOGENESIS; INHIBITION; MONOCYTES; BINDING</t>
  </si>
  <si>
    <t>Author summary Chagas disease, caused by Trypanosoma cruzi (T. cruzi) parasite, is a life-threatening debilitating illness. Tissue inflammation is a hallmark of clinical form of Chagas dilated cardiomyopathy. Recent studies show that cell membranes shed extracellular vesicles (Ev) that carry DNA, proteins, and lipids of host and pathogen origin. In this study, we show that Ev released by T. cruzi, T. cruzi-infected cells and in plasma of Chagas mice (vs. controls) carry parasite and host DNA that is oxidized. When captured by macrophages, the Ev-carried oxidized DNA molecules were recognized by cytosolic DNA sensors cGAS and PARP1, and subsequently, signaled NF-kappa B-mediated proinflammatory cytokine production. Chemical or genetic inhibition of PARP1 resulted in significant decrease in Ev-induced inflammatory response of macrophages and cardiac inflammation in Chagas mice. We propose that chemical inhibitors of PARP1 offer a potential therapeutic target in arresting chronic inflammation in Chagas disease through modulation of the macrophage proinflammatory signaling. Trypanosoma cruzi (T. cruzi) is the etiological agent of Chagas cardiomyopathy. In the present study, we investigated the role of extracellular vesicles (Ev) in shaping the macrophage (M phi) response in progressive Chagas disease (CD). We purified T. cruzi Ev (TcEv) from axenic parasite cultures, and T. cruzi-induced Ev (TEv) from the supernatants of infected cells and plasma of acutely and chronically infected wild-type and Parp1(-/-) mice. Cultured (Raw 264.7) and bone-marrow M phi responded to TcEV and TEv with a profound increase in the expression and release of TNF-alpha, IL-6, and IL-1 beta cytokines. TEv produced by both immune (M phi) and non-immune (muscle) cells were proinflammatory. Chemical inhibition or genetic deletion of PARP1 (a DNA repair enzyme) significantly depressed the TEv-induced transcriptional and translational activation of proinflammatory M phi response. Oxidized DNA encapsulated by TEv was necessary for PARP1-dependent proinflammatory M phi response. Inhibition studies suggested that DNA-sensing innate immune receptors (cGAS&gt;&gt;TLR9) synergized with PARP1 in signaling the NF kappa B activation, and inhibition of PARP1 and cGAS resulted in &gt;80% inhibition of TEv-induced NF kappa B activity. Histochemical studies showed intense inflammatory infiltrate associated with profound increase in CD11b(+)CD68(+)TNF-alpha(+) M phi in the myocardium of CD wild-type mice. In comparison, chronically infected Parp1(-/-) mice exhibited low-to-moderate tissue inflammation, &gt;80% decline in myocardial infiltration of TNF-alpha(+) M phi, and no change in immunoregulatory IL-10(+) M phi. We conclude that oxidized DNA released with TEv signal the PARP1-cGAS-NF-kappa B pathway of proinflammatory M phi activation and worsens the chronic inflammatory pathology in CD. Small molecule antagonists of PARP1-cGAS signaling pathway would potentially be useful in reprogramming the M phi activation and controlling the chronic inflammation in CD.</t>
  </si>
  <si>
    <t>[Choudhuri, Subhadip; Garg, Nisha Jain] Univ Texas Med Branch, Dept Microbiol &amp; Immunol, Galveston, TX 77555 USA; [Garg, Nisha Jain] UTMB, Inst Human Infect &amp; Immun, Galveston, TX 77555 USA</t>
  </si>
  <si>
    <t>Garg, NJ (corresponding author), Univ Texas Med Branch, Dept Microbiol &amp; Immunol, Galveston, TX 77555 USA.;Garg, NJ (corresponding author), UTMB, Inst Human Infect &amp; Immun, Galveston, TX 77555 USA.</t>
  </si>
  <si>
    <t>nigarg@utmb.edu</t>
  </si>
  <si>
    <t>Choudhuri, Subhadip/AAX-5768-2020</t>
  </si>
  <si>
    <t>Choudhuri, Subhadip/0000-0002-0119-1844</t>
  </si>
  <si>
    <t>1553-7366</t>
  </si>
  <si>
    <t>1553-7374</t>
  </si>
  <si>
    <t>e1008474</t>
  </si>
  <si>
    <t>10.1371/journal.ppat.1008474</t>
  </si>
  <si>
    <t>Microbiology; Parasitology; Virology</t>
  </si>
  <si>
    <t>WOS:000531365400038</t>
  </si>
  <si>
    <t>Rasmussen, NS; Nielsen, CT; Jacobsen, S; Nielsen, CH</t>
  </si>
  <si>
    <t>Rasmussen, Niclas Stefan; Nielsen, Christoffer Tandrup; Jacobsen, Soren; Nielsen, Claus Henrik</t>
  </si>
  <si>
    <t>Stimulation of Mononuclear Cells Through Toll-Like Receptor 9 Induces Release of Microvesicles Expressing Double-Stranded DNA and Galectin 3-Binding Protein in an Interferon-alpha-Dependent Manner</t>
  </si>
  <si>
    <t>peripheral blood mononuclear cells; T cells; microvesicles; Toll-like receptor 9 agonist; type 1 interferon; galectin-3 binding protein; dsDNA; systemic lupus erythematosus</t>
  </si>
  <si>
    <t>SYSTEMIC-LUPUS-ERYTHEMATOSUS; BINDING-PROTEIN; MICROPARTICLES; SIZE; ACTIVATION; CHROMATIN; VESICLES; ANTIBODY</t>
  </si>
  <si>
    <t>Background: Microvesicles (MVs) expressing the type 1 interferon (IFN)-inducible protein galectin-3 binding protein (G3BP) may play a pathogenic role in systemic lupus erythematosus (SLE). Co-expression of double-stranded DNA (dsDNA) on such MVs may render them immunogenic and targets for anti-dsDNA antibodies. Little is known about the mechanisms underlying generation of this MV population. In this study, we investigated how Toll-like receptors (TLRs), IFN-alpha, and T cells are involved in this process in healthy subjects. Methods: Peripheral blood mononuclear cells (PBMCs) isolated from 12 healthy donors were stimulated in-vitro for 24 h with a series of TLR-agonists or the T cell activating antibody OKT3 or were subjected to apoptosis by incubation with staurosporine. MVs in the supernatants were subsequently isolated by differential centrifugation and were quantified and characterized with respect to expression of G3BP and dsDNA by flow cytometry. Results: Stimulation of PBMCs with the TLR9-agonist and strong IFN-alpha inducer ODN2395 significantly increased the release of MVs expressing G3BP. The production of MVs with this phenotype was markedly enhanced by co-stimulation of T cells. Furthermore, dependency on IFN-alpha in the generation of G3BP-expressing MVs was indicated by a marked reduction following addition of the IFN-alpha inhibitor IFN alpha-IFNAR-IN-1 hydrochloride. Conclusion: Release of G3BP-expressing MVs from healthy donor PBMCs is induced by stimulation of TLR9 in an IFN-alpha-dependent manner and is enhanced by co-stimulation of T cells.</t>
  </si>
  <si>
    <t>[Rasmussen, Niclas Stefan; Nielsen, Claus Henrik] Copenhagen Univ Hosp, Rigshosp, Inst Inflammat Res, Ctr Rheumatol &amp; Spine Dis, Copenhagen, Denmark; [Rasmussen, Niclas Stefan; Nielsen, Christoffer Tandrup; Jacobsen, Soren] Copenhagen Univ Hosp, Rigshosp, Ctr Rheumatol &amp; Spine Dis, Copenhagen Lupus &amp; Vasculitis Clin, Copenhagen, Denmark</t>
  </si>
  <si>
    <t>Rigshospitalet; University of Copenhagen; Rigshospitalet; University of Copenhagen</t>
  </si>
  <si>
    <t>Jacobsen, S (corresponding author), Copenhagen Univ Hosp, Rigshosp, Ctr Rheumatol &amp; Spine Dis, Copenhagen Lupus &amp; Vasculitis Clin, Copenhagen, Denmark.</t>
  </si>
  <si>
    <t>soeren.jacobsen.01@regionh.dk</t>
  </si>
  <si>
    <t>OCT 11</t>
  </si>
  <si>
    <t>10.3389/fimmu.2019.02391</t>
  </si>
  <si>
    <t>WOS:000497317900001</t>
  </si>
  <si>
    <t>LEDUC, A; GRENIER, D; MAYRAND, D</t>
  </si>
  <si>
    <t>OUTER MEMBRANE-ASSOCIATED DEOXYRIBONUCLEASE ACTIVITY OF PORPHYROMONAS-GINGIVALIS</t>
  </si>
  <si>
    <t>ANAEROBE</t>
  </si>
  <si>
    <t>PORPHYROMONAS GINGIVALIS; ANAEROBIC BACTERIA; VESICLE; OUTER MEMBRANE; NUCLEASE; DNA</t>
  </si>
  <si>
    <t>POLYACRYLAMIDE-GEL-ELECTROPHORESIS; BLACK-PIGMENTED BACTEROIDES; NUCLEASE ACTIVITIES; VESICLES; DNA; HEMOPHILUS; TRANSFORMATION; BIOLOGY; RELEASE; ENZYMES</t>
  </si>
  <si>
    <t>Extracellular outer membrane vesicles which are produced by Gram-negative bacteria may enclose deoxyribonucleic acid (DNA). While characterizing vesicles of Porphyromonas gingivalis, it was found that they do not contain detectable amount of DNA. It was also shown that the presence of deoxyribonuclease activity on whole cells and vesicles can degrade plasmidic and Linear DNA. Deoxyribonuclease activity was also demonstrated in several other Gram-negative oral bacterial species. The nuclease activity of P. gingivalis was further characterized. When deoxyribonuclease activity was analyzed by zymography, only one active band was detected under the conditions tested. This nuclease enzyme showed a molecular weight of approximately 50 kDa. The activity was inhibited by 5 mM ZnCl2 or 100 mM EDTA whereas Mg2+ or Ca2+ ions were not required for activity. Activity was totally destroyed by treatment at 70 degrees C for 15 min. Although the enzyme may participate in virulence or provide nucleic acid precursors for bacterial growth, its exact role is still unknown.</t>
  </si>
  <si>
    <t>UNIV LAVAL,FAC MED DENT,RECH ECOL BUCCALE GRP,ST FOY,PQ G1K 7P4,CANADA; UNIV LAVAL,FAC SCI &amp; GENIE,DEPT BIOCHIM,ST FOY,PQ G1K 7P4,CANADA</t>
  </si>
  <si>
    <t>Grenier, Daniel/E-5557-2015</t>
  </si>
  <si>
    <t>Grenier, Daniel/0000-0003-0878-4674</t>
  </si>
  <si>
    <t>1075-9964</t>
  </si>
  <si>
    <t>10.1006/anae.1995.1008</t>
  </si>
  <si>
    <t>WOS:A1995RV86500008</t>
  </si>
  <si>
    <t>Miyata, K; Imai, Y; Hori, S; Nishio, M; Loo, TM; Okada, R; Yang, LY; Nakadai, T; Maruyama, R; Fujii, R; Ueda, K; Jiang, L; Zheng, H; Toyokuni, S; Sakata, T; Shirahige, K; Kojima, R; Nakayama, M; Oshima, M; Nagayama, S; Seimiya, H; Hirota, T; Saya, H; Hara, E; Takahashi, A</t>
  </si>
  <si>
    <t>Miyata, Kenichi; Imai, Yoshinori; Hori, Satoshi; Nishio, Mika; Loo, Tze Mun; Okada, Ryo; Yang, Liying; Nakadai, Tomoyoshi; Maruyama, Reo; Fujii, Risa; Ueda, Koji; Jiang, Li; Zheng, Hao; Toyokuni, Shinya; Sakata, Toyonori; Shirahige, Katsuhiko; Kojima, Ryosuke; Nakayama, Mizuho; Oshima, Masanobu; Nagayama, Satoshi; Seimiya, Hiroyuki; Hirota, Toru; Saya, Hideyuki; Hara, Eiji; Takahashi, Akiko</t>
  </si>
  <si>
    <t>Pericentromeric noncoding RNA changes DNA binding of CTCF and inflammatory gene expression in senescence and cancer</t>
  </si>
  <si>
    <t>pericentromeric RNA; senescence-associated secretory phenotype; CTCF; small extracellular vesicles; senescence</t>
  </si>
  <si>
    <t>CELLULAR SENESCENCE; CELLS; COHESIN; METHYLATION; ACTIVATION; CGAS; P53</t>
  </si>
  <si>
    <t>Cellular senescence causes a dramatic alteration of chromatin organization and changes the gene expression profile of proinflammatory factors, thereby contributing to various age-related pathologies through the senescence-associated secretory phenotype (SASP). Chromatin organization and global gene expression are maintained by the CCCTC-binding factor (CTCF); however, the molecular mechanism underlying CTCF regulation and its association with SASP gene expression remains unclear. We discovered that noncoding RNA (ncRNA) derived from normally silenced pericentromeric repetitive sequences directly impairs the DNA binding of CTCF. This CTCF disturbance increases the accessibility of chromatin and activates the transcription of SASP-like inflammatory genes, promoting malignant transformation. Notably, pericentromeric ncRNA was transferred into surrounding cells via small extracellular vesicles acting as a tumorigenic SASP factor. Because CTCF blocks the expression of pericentromeric ncRNA in young cells, the down-regulation of CTCF during cellular senescence triggers the up-regulation of this ncRNA and SASP-related inflammatory gene expression. In this study, we show that pericentromeric ncRNA provokes chromosomal alteration by inhibiting CTCF, leading to a SASP-like inflammatory response in a cell-autonomous and non-cell-autonomous manner and thus may contribute to</t>
  </si>
  <si>
    <t>[Miyata, Kenichi; Imai, Yoshinori; Hori, Satoshi; Nishio, Mika; Loo, Tze Mun; Okada, Ryo; Takahashi, Akiko] Japanese Fdn Canc Res, Canc Inst, Project Cellular Senescence, Tokyo 1358550, Japan; [Yang, Liying; Nakadai, Tomoyoshi; Maruyama, Reo] Japanese Fdn Canc Res, Canc Inst, Project Canc Epigen, Tokyo 1358550, Japan; [Fujii, Risa; Ueda, Koji] Japanese Fdn Canc Res, Canc Precis Med Ctr, Project Personalized Canc Med, Tokyo 1358550, Japan; [Jiang, Li; Zheng, Hao; Toyokuni, Shinya] Nagoya Univ, Dept Pathol &amp; Biol Responses, Grad Sch Med, Nagoya, Aichi 4668550, Japan; [Sakata, Toyonori; Shirahige, Katsuhiko] Univ Tokyo, Inst Quantitat Biosci, Lab Genome Struct &amp; Funct, Tokyo 1130032, Japan; [Kojima, Ryosuke] Univ Tokyo, Grad Sch Med, Tokyo 1130033, Japan; [Kojima, Ryosuke; Takahashi, Akiko] Japan Sci &amp; Technol Agcy, Precursory Res Embryon Sci &amp; Technol, Saitama 3320012, Japan; [Nakayama, Mizuho; Oshima, Masanobu] Kanazawa Univ, Canc Res Inst, Div Genet, Kanazawa, Ishikawa 9201192, Japan; [Nagayama, Satoshi] Japanese Fdn Canc Res, Canc Inst Hosp, Gastroenterol Ctr, Dept Gastroenterol Surg, Tokyo 1358550, Japan; [Seimiya, Hiroyuki] Japanese Fdn Canc Res, Canc Chemotherapy Ctr, Div Mol Biotherapy, Tokyo 1358550, Japan; [Hirota, Toru] Japanese Fdn Canc Res, Canc Inst, Expt Pathol, Tokyo 1358550, Japan; [Saya, Hideyuki] Keio Univ, Sch Med, Inst Adv Med Res, Div Gene Regulat, Tokyo 1608582, Japan; [Hara, Eiji] Osaka Univ, Res Inst Microbial Dis, Dept Mol Microbiol, Osaka 5650871, Japan; [Takahashi, Akiko] Japan Agcy Med Res &amp; Dev, Adv Res &amp; Dev Programs Med Innovat, Tokyo 1000004, Japan; [Takahashi, Akiko] Japanese Fdn Canc Res, NEXT Ganken Program, Canc Cell Commun Project, Tokyo 1358550, Japan</t>
  </si>
  <si>
    <t>Japanese Foundation for Cancer Research; Japanese Foundation for Cancer Research; Japanese Foundation for Cancer Research; Nagoya University; University of Tokyo; University of Tokyo; Japan Science &amp; Technology Agency (JST); Kanazawa University; Japanese Foundation for Cancer Research; Japanese Foundation for Cancer Research; Japanese Foundation for Cancer Research; Keio University; Osaka University; Japanese Foundation for Cancer Research</t>
  </si>
  <si>
    <t>Takahashi, A (corresponding author), Japanese Fdn Canc Res, Canc Inst, Project Cellular Senescence, Tokyo 1358550, Japan.;Takahashi, A (corresponding author), Japan Sci &amp; Technol Agcy, Precursory Res Embryon Sci &amp; Technol, Saitama 3320012, Japan.;Takahashi, A (corresponding author), Japan Agcy Med Res &amp; Dev, Adv Res &amp; Dev Programs Med Innovat, Tokyo 1000004, Japan.;Takahashi, A (corresponding author), Japanese Fdn Canc Res, NEXT Ganken Program, Canc Cell Commun Project, Tokyo 1358550, Japan.</t>
  </si>
  <si>
    <t>akiko.takahashi@jfcr.or.jp</t>
  </si>
  <si>
    <t>Toyokuni, Shinya/C-1358-2010; Toyokuni, Shinya/ABE-7714-2021</t>
  </si>
  <si>
    <t>Toyokuni, Shinya/0000-0002-5757-1109; Toyokuni, Shinya/0000-0002-5757-1109; Miyata, Kenichi/0000-0002-8618-3105; Loo, Tze Mun/0000-0001-5725-1423</t>
  </si>
  <si>
    <t>e2025647118</t>
  </si>
  <si>
    <t>10.1073/pnas.2025647118</t>
  </si>
  <si>
    <t>WOS:000700327400010</t>
  </si>
  <si>
    <t>Zhang, D; Lee, H; Zhu, ZW; Minhas, JK; Jin, Y</t>
  </si>
  <si>
    <t>Zhang, Duo; Lee, Heedoo; Zhu, Ziwen; Minhas, Jasleen K.; Jin, Yang</t>
  </si>
  <si>
    <t>Enrichment of selective miRNAs in exosomes and delivery of exosomal miRNAs in vitro and in vivo</t>
  </si>
  <si>
    <t>AMERICAN JOURNAL OF PHYSIOLOGY-LUNG CELLULAR AND MOLECULAR PHYSIOLOGY</t>
  </si>
  <si>
    <t>exosome; Exo; microRNA; macrophage; electroporation; calcium chloride transfection</t>
  </si>
  <si>
    <t>EXTRACELLULAR VESICLES; MEDIATED DELIVERY; MESSENGER-RNAS; MICROVESICLES; CANCER; CELLS; MICRORNA; ELECTROPORATION; MACROPHAGES; DIFFERENTIATION</t>
  </si>
  <si>
    <t>Exosomes are nanovesicles secreted by cells and contain various molecules including protein, lipid, and DNA/ RNA. They are crucial mediators of the intercellular communication and serve as promising vehicles for drug delivery and gene therapy. Recently, accumulating evidence suggests that microRNAs (miRNAs) may serve as new and potentially powerful targets for therapeutic interventions against various human diseases. However, steadily and effectively delivering miRNA mimics or inhibitors to target cells remains a major obstacle. To enhance the efficacy of exosomemediated delivery of miRNA molecules, it is crucial to develop a convenient and efficient method to enrich specific miRNAs or antisense oligos in isolated exosomes. Here we report a novel method to prepare specific miRNA molecule-loaded exosomes. Using a modified calcium chloride-mediated transfection method, we successfully enhanced the designated miRNA mimics or inhibitors in isolated exosomes directly, instead of transfecting their mother cells. We also compared this method with direct transfection of exosomes using electroporation. Both methods confirmed that exosomes can serve as cargos to deliver a robustly increased amount of selected miRNA mimic(s) or inhibitor(s) to the recipient cells. Delivery of these miRNA molecule enriched-exosomes subsequently results in highly efficient overexpression or deletion of the designated miRNAs in the recipient cells both in vivo and in vitro. Additionally, we confirmed that exosome-delivered miRNA mimics or inhibitors are functional in the recipient cells. Collectively, we developed a novel protocol to conveniently manipulate exosomal miRNAs with high efficiency and successfully deliver the exosomal miRNA molecules to recipient cells.</t>
  </si>
  <si>
    <t>[Zhang, Duo; Lee, Heedoo; Zhu, Ziwen; Jin, Yang] Boston Univ, Dept Med, Div Pulm &amp; Crit Care Med, Boston, MA 02118 USA; [Minhas, Jasleen K.] Salem Hosp, Dept Med, North Shore Med Ctr, Boston, MA USA</t>
  </si>
  <si>
    <t>Boston University</t>
  </si>
  <si>
    <t>Jin, Y (corresponding author), Boston Univ, Dept Med, Div Pulm &amp; Crit Care Med, Boston, MA 02118 USA.</t>
  </si>
  <si>
    <t>yjin1@bu.edu</t>
  </si>
  <si>
    <t>Minhas, Jasleen/ABH-3435-2021; Zhang, Duo/U-6203-2019; Zhang, Duo/S-2034-2016</t>
  </si>
  <si>
    <t>Minhas, Jasleen/0000-0001-7864-6096; Lee, Heedoo/0000-0001-7652-3930; Zhang, Duo/0000-0003-0361-4174</t>
  </si>
  <si>
    <t>1040-0605</t>
  </si>
  <si>
    <t>1522-1504</t>
  </si>
  <si>
    <t>L110</t>
  </si>
  <si>
    <t>L121</t>
  </si>
  <si>
    <t>10.1152/ajplung.00423.2016</t>
  </si>
  <si>
    <t>Physiology; Respiratory System</t>
  </si>
  <si>
    <t>WOS:000393791100011</t>
  </si>
  <si>
    <t>Peng, Q; Chiu, PKF; Wong, CYP; Cheng, CKL; Teoh, JYC; Ng, CF</t>
  </si>
  <si>
    <t>Peng, Qiang; Chiu, Peter Ka-Fung; Wong, Christine Yim-Ping; Cheng, Carol Ka-Lo; Teoh, Jeremy Yuen-Chun; Ng, Chi-Fai</t>
  </si>
  <si>
    <t>Identification of piRNA Targets in Urinary Extracellular Vesicles for the Diagnosis of Prostate Cancer</t>
  </si>
  <si>
    <t>prostate cancer; PIWI-interacting RNAs; biomarkers; urinary EVs; non-coding RNA</t>
  </si>
  <si>
    <t>PIWI-INTERACTING RNAS; DNA METHYLATION; NONCODING RNAS; TUMORIGENESIS; SIGNATURES; PATHWAY; ANTIGEN</t>
  </si>
  <si>
    <t>Emerging studies demonstrate that PIWI-interacting RNAs (piRNAs) are associated with various human cancers. This study aimed to evaluate the urinary extracellular vesicles (EVs) piRNAs as non-invasive biomarkers for prostate cancer (PCa) diagnosis. RNA was extracted from urinary EVs from five PCa patients and five healthy controls (HC), and the piRNAs were analyzed by small RNA sequencing. Dysregulated piRNAs were identified and then validated in another 30 PCa patients and 10 HC by reverse-transcription polymerase chain reaction (RT-qPCR). The expressions of novel_pir349843, novel_pir382289, novel_pir158533, and hsa_piR_002468 in urinary EVs were significantly increased in the PCa group compared with the HC group. The area under the curve (AUC) of novel_pir158533, novel_pir349843, novel_pir382289, hsa_piR_002468, and the combination of the four piRNA in PCa diagnosis was 0.723, 0.757, 0.777, 0.783, and 0.853, respectively. After the RNAhybrid program analysis, all four piRNAs had multiple potential binding sites with key mRNAs in PTEN/PI3K/Akt, Wnt/beta-catenin, or androgen receptor pathway, which are critical in PCa development and progression. In conclusion, our findings indicate that specific piRNAs in urinary EVs may serve as non-invasive diagnostic biomarkers for PCa.&lt;/p&gt;</t>
  </si>
  <si>
    <t>[Peng, Qiang; Chiu, Peter Ka-Fung; Wong, Christine Yim-Ping; Cheng, Carol Ka-Lo; Teoh, Jeremy Yuen-Chun; Ng, Chi-Fai] Chinese Univ Hong Kong, SH Ho Urol Ctr, Dept Surg, Hong Kong, Peoples R China</t>
  </si>
  <si>
    <t>Chinese University of Hong Kong</t>
  </si>
  <si>
    <t>Ng, CF (corresponding author), Chinese Univ Hong Kong, SH Ho Urol Ctr, Dept Surg, Hong Kong, Peoples R China.</t>
  </si>
  <si>
    <t>pengqiang@surgery.cuhk.edu.hk; peterchiu@surgery.cuhk.edu.hk; christinewong@surgery.cuhk.edu.hk; carolcheng@surgery.cuhk.edu.hk; jeremyteoh@surgery.cuhk.edu.hk; ngcf@surgery.cuhk.edu.hk</t>
  </si>
  <si>
    <t>Chi-fai, NG/AAV-8270-2021; Ng, Chi-Fai/E-5134-2011; Teoh, Jeremy Yuen-Chun/H-5184-2016</t>
  </si>
  <si>
    <t>Ng, Chi-Fai/0000-0002-1723-9646; PENG, Qiang/0000-0002-3798-8716; Teoh, Jeremy Yuen-Chun/0000-0002-9361-2342</t>
  </si>
  <si>
    <t>10.3390/diagnostics11101828</t>
  </si>
  <si>
    <t>WOS:000716102500001</t>
  </si>
  <si>
    <t>Ronquist, KG; Ronquist, G; Carlsson, L; Larsson, A</t>
  </si>
  <si>
    <t>Ronquist, K. Goran; Ronquist, Gunnar; Carlsson, Lena; Larsson, Anders</t>
  </si>
  <si>
    <t>Human Prostasomes Contain Chromosomal DNA</t>
  </si>
  <si>
    <t>prostasomes; PC-3-cells; DNA vehicles; gene therapy; microvesicles</t>
  </si>
  <si>
    <t>CA2&amp;-STIMULATED ADENOSINE-TRIPHOSPHATASE; EXTRACELLULAR ORGANELLES PROSTASOMES; HUMAN PROSTATIC FLUID; HUMAN SEMINAL PLASMA; HORIZONTAL TRANSFER; HUMAN SEMEN; MESSENGER-RNA; SPERM CELLS; SPERMATOZOA; DELIVERY</t>
  </si>
  <si>
    <t>BACKGROUND. The aim of this study was to perform a comprehensive evaluation of the occurrence of DNA in human prostasomes. METHODS. Prostasomes were purified from seminal fluid (seminal prostasomes) and from PC-3-cells (PC-3 cell prostasomes). DNA extracted from both sources of prostasomes was visualized on agarose gels. Further, the DNA was cloned and sequenced (13 clones from seminal prostasomal DNA and 16 clones from PC-3 cell prostasomal DNA) and identified by alignment in the BLAST-nucleotide search database. In order to decide if the DNA was internally or externally located in/on prostasomes, prostasomes were treated with nuclease (DNase) and A(260) was measured before and after treatment. Additionally, flow cytometric studies were performed with membrane permeable and membrane impermeable DNA stains. RESULTS. We identified human chromosomal DNA in purified prostasomes from both sources and treatment with DNase demonstrated that the prostasome-shielded DNA was protected from enzyme attack. Membrane-permeable DNA stain raised the fluorescence contrary to membrane-impermeable stain. Clearly discernible nucleic acid of prostasomes was separated on 1% agarose gel yielding DNA fragments of about 13 kbp and below with a marked band at about 1 kbp. Cloning and sequencing of 13 fragments from seminal prostasomes and 16 from PC-3 cell prostasomes revealed a chromosomal origin of the DNA. In purified seminal prostasomes, 4 out of 13 DNA clones featured gene sequences (31%). The corresponding figure for PC3-derived prostasomes was 4 out of 16 clones featuring gene sequences (25%). CONCLUSION. Human prostasomes contain chromosomal DNA. Both nuclease treatment and differential DNA stainings indicated an inside location of the prostasomal DNA. Our findings suggest a DNA-delivery function of prostasomes to sperm cells. Prostate 69: 737-743, 2009. (C) 2009 Wiley-Liss, Inc.</t>
  </si>
  <si>
    <t>[Ronquist, K. Goran; Ronquist, Gunnar; Carlsson, Lena; Larsson, Anders] Univ Uppsala Hosp, Dept Med Sci, SE-75185 Uppsala, Sweden</t>
  </si>
  <si>
    <t>Uppsala University; Uppsala University Hospital</t>
  </si>
  <si>
    <t>Larsson, A (corresponding author), Univ Uppsala Hosp, Dept Med Sci, SE-75185 Uppsala, Sweden.</t>
  </si>
  <si>
    <t>anders.larsson@akademiska.se</t>
  </si>
  <si>
    <t>10.1002/pros.20921</t>
  </si>
  <si>
    <t>WOS:000265727700006</t>
  </si>
  <si>
    <t>Moon, PG; Lee, JE; Cho, YE; Lee, SJ; Jung, JH; Chae, YS; Bae, HI; Kim, YB; Kim, IS; Park, HY; Baek, MC</t>
  </si>
  <si>
    <t>Moon, Pyong-Gon; Lee, Jeong-Eun; Cho, Young-Eun; Lee, Soo Jung; Jung, Jin Hyang; Chae, Yee Soo; Bae, Han-Ik; Kim, Young-Bum; Kim, In-San; Park, Ho Yong; Baek, Moon-Chang</t>
  </si>
  <si>
    <t>Identification of Developmental Endothelial Locus-1 on Circulating Extracellular Vesicles as a Novel Biomarker for Early Breast Cancer Detection</t>
  </si>
  <si>
    <t>URINARY EXOSOMES; TUMOR DNA; MICROVESICLES; RECOMMENDATIONS; METASTASIS; PROGNOSIS; MARKERS; PROTEIN; DEL-1; CELLS</t>
  </si>
  <si>
    <t>Purpose: Currently, there are no molecular biomarkers for the early detection of breast cancer. This study focused on identifying surface proteins found on circulating extracellular vesicles (EVs) for detecting early-stage breast cancer. Experimental Design: Circulating EVs, isolated from the plasma of 10 patients with breast cancer (stages I and II) and 5 healthy controls, were analyzed using LC-MS/MS. Developmental endothelial locus-1 protein (Del-1) was selected as a candidate biomarker. Two different ELISAs were used to measure Del-1 in plasma samples from healthy controls (n = 81), patients with breast cancer (n = 269), breast cancer patients after surgical resection (n = 50), patients with benign breast tumors (n = 64), and patients with noncancerous diseases (n = 98) in two cohorts. Results: Plasma Del-1 levels were significantly higher (P &lt; 0.0001) in patients with breast cancer than in all controls and returned to almost normal after tumor removal. The diagnostic accuracy of Del-1 was AUC, 0.961 [95% confidence interval (CI), 0.924-0.983], sensitivity of 94.70%, and specificity of 86.36% in test cohort and 0.968 (0.933-0.988), 92.31%, and 86.62% in validation cohort for early-stage breast cancer by one type of ELISA. Furthermore, Del-1 maintained diagnostic accuracy for patients with early-stage breast cancer using the other type of ELISA [0.946 (0.905-0.972), 90.90%, and 77.14% in the test cohort; 0.943 (0.900-0.971), 89.23%, and 80.99% in the validation cohort]. Conclusions: Del-1 on circulating EVs is a promising marker to improve identification of patients with early-stage breast cancer and distinguish breast cancer from benign breast tumors and noncancerous diseases. (C) 2015 AACR.</t>
  </si>
  <si>
    <t>[Moon, Pyong-Gon; Lee, Jeong-Eun; Cho, Young-Eun; Baek, Moon-Chang] Kyungpook Natl Univ, Cell &amp; Matrix Res Inst, Sch Med, Dept Mol Med, Daegu 700422, South Korea; [Lee, Soo Jung; Chae, Yee Soo] Kyungpook Natl Univ Hosp, Dept Oncol Hematol, Daegu, South Korea; [Jung, Jin Hyang; Park, Ho Yong] Kyungpook Natl Univ Hosp, Dept Breast &amp; Thyroid Surg, Daegu, South Korea; [Bae, Han-Ik] Kyungpook Natl Univ Hosp, Dept Pathol, Daegu, South Korea; [Kim, Young-Bum] Beth Israel Deaconess Med Ctr, Div Endocrinol Diabet &amp; Metab, Boston, MA 02215 USA; [Kim, Young-Bum] Harvard Univ, Sch Med, Boston, MA 02215 USA; [Kim, In-San] Kyungpook Natl Univ, Dept Biochem &amp; Cell Biol, Sch Med, Daegu 700422, South Korea</t>
  </si>
  <si>
    <t>Kyungpook National University; Kyungpook National University; Kyungpook National University Hospital; Kyungpook National University; Kyungpook National University Hospital; Kyungpook National University; Kyungpook National University Hospital; Harvard University; Beth Israel Deaconess Medical Center; Harvard University; Kyungpook National University</t>
  </si>
  <si>
    <t>Baek, MC (corresponding author), Kyungpook Natl Univ, 101 Donging Dong, Daegu 700422, South Korea.</t>
  </si>
  <si>
    <t>mcbaek@knu.ac.kr</t>
  </si>
  <si>
    <t>김, 인산/I-8988-2014; Kim, In-San/D-3956-2017</t>
  </si>
  <si>
    <t>Lee, Jeong-Eun/0000-0002-1466-0523</t>
  </si>
  <si>
    <t>10.1158/1078-0432.CCR-15-0654</t>
  </si>
  <si>
    <t>WOS:000373360600023</t>
  </si>
  <si>
    <t>Xu, HY; Zheng, L; Zhou, Y; Ye, BC</t>
  </si>
  <si>
    <t>Xu, Huiying; Zheng, Lu; Zhou, Yu; Ye, Bang-Ce</t>
  </si>
  <si>
    <t>An artificial enzyme cascade amplification strategy for highly sensitive and specific detection of breast cancer-derived exosomes</t>
  </si>
  <si>
    <t>EXTRACELLULAR VESICLES; MULTIENZYME COMPLEXES; HEMIN/G-QUADRUPLEX; DNA; NANOSTRUCTURES; BIOMARKERS; BIOSENSOR</t>
  </si>
  <si>
    <t>Tumor-related exosomes, which are heterogeneous membrane-enclosed nanovesicles shed from cancer cells, have been widely recognized as potential noninvasive biomarkers for early cancer diagnosis. Herein, an artificial enzyme cascade amplification strategy based on a switchable DNA tetrahedral (SDT) scaffold was proposed for quantification of breast cancer-derived exosomes. The SDT scaffold is composed of G-quadruplex mimicking DNAzyme sequences on its two single-stranded edges and glucose oxidase (GOx) on the four termini of the complementary strands. In the initial state, the SDT scaffold is blocked by the switch strand which consists of partial complementary domains with the DNA tetrahedron and a MUC1 aptamer. MCF-7 exosomes could release the quadruplex-forming sequences through the recognition of the MUC1 aptamer. The newly formed DNAzyme brings GOx into spatial proximity and induces high-efficiency enzyme cascade catalytic reactions on the SDT. Consequently, high sensitivity toward MCF-7 exosome analysis was obtained with a wide linear range of 3.8 x 10(6) to 1.2 x 10(8) particles per mL and a limit of detection of 1.51 x 10(5) particles per mL. In addition, such a DNAzyme reconfiguration strategy was able to distinguish MCF-7 exosomes from other breast cancer cell derived exosomes, indicating its excellent method specificity. The proposed enzyme cascade strategy not only provides a novel signal transformation and amplification nanoplatform for quantifying the specific populations of exosomes, but also can be further expanded to the analysis of multiple cancer biomarkers.</t>
  </si>
  <si>
    <t>[Xu, Huiying; Zheng, Lu; Zhou, Yu; Ye, Bang-Ce] East China Univ Sci &amp; Technol, Lab Biosyst &amp; Microanal, State Key Lab Bioreactor Engn, Shanghai 200237, Peoples R China</t>
  </si>
  <si>
    <t>East China University of Science &amp; Technology</t>
  </si>
  <si>
    <t>Ye, BC (corresponding author), East China Univ Sci &amp; Technol, Lab Biosyst &amp; Microanal, State Key Lab Bioreactor Engn, Shanghai 200237, Peoples R China.</t>
  </si>
  <si>
    <t>bcye@ecust.edu.cn</t>
  </si>
  <si>
    <t>SEP 21</t>
  </si>
  <si>
    <t>10.1039/d1an01071a</t>
  </si>
  <si>
    <t>WOS:000687623000001</t>
  </si>
  <si>
    <t>Kim, MH; Rho, M; Choi, JP; Choi, HI; Park, HK; Song, WJ; Min, TK; Cho, SH; Cho, YJ; Kim, YK; Yang, S; Pyun, BY</t>
  </si>
  <si>
    <t>Kim, Min-Hye; Rho, Mina; Choi, Jun-Pyo; Choi, Hyuh-Il; Park, Han-Ki; Song, Woo-Jung; Min, Taek-Ki; Cho, Sang-Heon; Cho, Young-Joo; Kim, Yoon-Keun; Yang, Sanghwa; Pyun, Bok Yang</t>
  </si>
  <si>
    <t>A Metagenomic Analysis Provides a Culture-Independent Pathogen Detection for Atopic Dermatitis</t>
  </si>
  <si>
    <t>Atopic dermatitis; extracellular vesicle; metagenomic analysis</t>
  </si>
  <si>
    <t>EXTRACELLULAR VESICLES; KOREAN CHILDREN; DISEASE; PREVALENCE</t>
  </si>
  <si>
    <t>Purpose: Atopic dermatitis (AD) is an inflammatory skin disease, significantly affecting the quality of life. Using AD as a model system, we tested a successive identification of AD-associated microbes, followed by a culture-independent serum detection of the identified microbe. Methods: A total of 43 genomic DNA preparations from washing fluid of the cubital fossa of 6 healthy controls, skin lesions of 27 AD patients, 10 of which later received treatment (post-treatment), were subjected to high-throughput pyrosequencing on a.Roche 454 GS-FLX platform. Results: Microbial diversity was decreased in AD, and was restored following treatment. AD was characterized by the domination of Staphylococcus, Pseudomonas, and Streptococcus, whereas Alcaligenaceae (f), Sediminibacterium, and Lactococcus were characteristic of healthy skin. An enzyme-linked immunosorbent assay (ELISA) showed that serum could be used as a source for the detection of Staphylococcus aureus extracellular vesicles (EVs). S. aureus EV-specific immunoglobulin G (IgG) and immunoglobulin E (IgE) were quantified in the serum. Conclusions: A metagenomic analysis together with a serum detection of pathogen-specific EVs provides a model for successive identification and diagnosis of pathogens of AD.</t>
  </si>
  <si>
    <t>[Kim, Min-Hye; Cho, Young-Joo] Ewha Womans Univ, Dept Internal Med, Sch Med, Seoul, South Korea; [Rho, Mina] Hanyang Univ, Dept Comp Sci &amp; Engn, Seoul, South Korea; [Choi, Jun-Pyo] Univ Ulsan, Asan Inst Life Sci, Coll Med, Asan Med Ctr, Seoul, South Korea; [Choi, Hyuh-Il] Pohang Univ Sci &amp; Technol, Div Mol &amp; Life Sci, Dept Life Sci, Pohang, South Korea; [Park, Han-Ki] Ajou Univ, Dept Allergy &amp; Clin Immunol, Med Ctr, Suwon, South Korea; [Song, Woo-Jung; Cho, Sang-Heon] Seoul Natl Univ, Dept Internal Med, Coll Med, Seoul, South Korea; [Min, Taek-Ki; Pyun, Bok Yang] Soonchunhyang Univ, Dept Pediat, Pediat Allergy &amp; Resp Ctr, Soonchunhyang Univ Hosp,Coll Med, 59 Daesagwan Ro, Seoul 04401, South Korea; [Kim, Yoon-Keun; Yang, Sanghwa] Inst MD Healthcare, 9 World Cup Buk Ro 56 Gil, Seoul 03923, South Korea</t>
  </si>
  <si>
    <t>Ewha Womans University; Hanyang University; University of Ulsan; Pohang University of Science &amp; Technology (POSTECH); Ajou University; Seoul National University (SNU); Soonchunhyang University; Soonchunhyang University Hospital</t>
  </si>
  <si>
    <t>Pyun, BY (corresponding author), Soonchunhyang Univ, Dept Pediat, Pediat Allergy &amp; Resp Ctr, Soonchunhyang Univ Hosp,Coll Med, 59 Daesagwan Ro, Seoul 04401, South Korea.;Yang, S (corresponding author), Inst MD Healthcare, 9 World Cup Buk Ro 56 Gil, Seoul 03923, South Korea.</t>
  </si>
  <si>
    <t>arraychip@gmail.com; bypyun@schmc.ac.kr</t>
  </si>
  <si>
    <t>Park, Han-Ki/0000-0002-5460-9917</t>
  </si>
  <si>
    <t>10.4168/aair.2017.9.5.453</t>
  </si>
  <si>
    <t>WOS:000409288100011</t>
  </si>
  <si>
    <t>Phan, TK; Fonseka, P; Tixeira, R; Pathan, M; Ang, CS; Ozkocak, DC; Mathivanan, S; Poon, IKH</t>
  </si>
  <si>
    <t>Phan, Thanh Kha; Fonseka, Pamali; Tixeira, Rochelle; Pathan, Mohashin; Ang, Ching-Seng; Ozkocak, Dilara Ceyda; Mathivanan, Suresh; Poon, Ivan Ka Ho</t>
  </si>
  <si>
    <t>Pannexin-1 channel regulates nuclear content packaging into apoptotic bodies and their size</t>
  </si>
  <si>
    <t>apoptotic bodies; cargo sorting; DNA; extracellular vesicles; nuclear proteins; pannexin 1</t>
  </si>
  <si>
    <t>Apoptotic bodies (ApoBDs), which are large extracellular vesicles exclusively released by apoptotic cells, possess therapeutically exploitable properties including biomolecule loadability and transferability. However, current limited understanding of ApoBD biology has hindered its exploration for clinical use. Particularly, as ApoBD-accompanying cargoes (e.g., nucleic acids and proteins) have major influence on their functionality, further insights into the mechanism of biomolecule sorting into ApoBDs are critical to unleash their therapeutic potential. Previous studies suggested pannexin 1 (PANX1) channel, a negative regulator of ApoBD biogenesis, can modify synaptic vesicle contents. We also reported that trovafloxacin (a PANX1 inhibitor) increases proportion of ApoBDs containing DNA. Therefore, we sought to define the role of PANX1 in regulating the sorting of nuclear content into ApoBDs. Here, using flow cytometry and label-free quantitative proteomic analyses, we showed that targeting PANX1 activity during apoptosis, via either pharmacological inhibition or genetic disruption, resulted in enrichment of both DNA and nuclear proteins in ApoBDs that were unexpectedly smaller in size. Our data suggest that PANX1, besides being a key regulator of ApoBD formation, also functions as a negative regulator of nuclear content packaging and modulator of ApoBD size. Together, our findings provide further insights into ApoBD biology and form a novel conceptual framework for ApoBD-based therapies through pharmacologically manipulating ApoBD contents.</t>
  </si>
  <si>
    <t>[Phan, Thanh Kha; Fonseka, Pamali; Pathan, Mohashin; Ozkocak, Dilara Ceyda; Mathivanan, Suresh; Poon, Ivan Ka Ho] La Trobe Univ, La Trobe Inst Mol Sci, Dept Biochem &amp; Genet, Melbourne, Vic 3086, Australia; [Tixeira, Rochelle] Ghent Univ VIB, Dept Biomed Mol Biol, Ctr Inflammat Res, Ghent, Belgium; [Ang, Ching-Seng] Univ Melbourne, Bio21 Mol Sci &amp; Biotechnol Inst, Parkville, Vic, Australia</t>
  </si>
  <si>
    <t>La Trobe University; Flanders Institute for Biotechnology (VIB); Ghent University; University of Melbourne</t>
  </si>
  <si>
    <t>Phan, TK (corresponding author), La Trobe Univ, La Trobe Inst Mol Sci, Dept Biochem &amp; Genet, Melbourne, Vic 3086, Australia.</t>
  </si>
  <si>
    <t>Thanh.Phan@latrobe.edu.au; S.Mathivanan@latrobe.edu.au; I.Poon@latrobe.edu.au</t>
  </si>
  <si>
    <t>Mathivanan, Suresh/D-2045-2009; Ang, Ching-Seng/O-9811-2016</t>
  </si>
  <si>
    <t>Mathivanan, Suresh/0000-0002-7290-5795; Poon, Ivan/0000-0002-9119-7173; Phan, Thanh Kha/0000-0001-5802-1603; Fonseka, Pamali/0000-0002-7978-2361; Ang, Ching-Seng/0000-0001-7861-6719</t>
  </si>
  <si>
    <t>13-14</t>
  </si>
  <si>
    <t>e2000097</t>
  </si>
  <si>
    <t>10.1002/pmic.202000097</t>
  </si>
  <si>
    <t>WOS:000641053400001</t>
  </si>
  <si>
    <t>Willis, CM; Nicaise, AM; Bongarzone, ER; Givogri, M; Reiter, CR; Heintz, O; Jellison, ER; Sutter, PA; TeHennepe, G; Ananda, G; Vella, AT; Crocker, SJ</t>
  </si>
  <si>
    <t>Willis, Cory M.; Nicaise, Alexandra M.; Bongarzone, Ernesto R.; Givogri, Maria; Reiter, Cory R.; Heintz, Olivia; Jellison, Evan R.; Sutter, Pearl A.; TeHennepe, Gregg; Ananda, Guruprasad; Vella, Anthony T.; Crocker, Stephen J.</t>
  </si>
  <si>
    <t>Astrocyte Support for Oligodendrocyte Differentiation can be Conveyed via Extracellular Vesicles but Diminishes with Age</t>
  </si>
  <si>
    <t>ONCOGENE-INDUCED SENESCENCE; DNA-DAMAGE RESPONSE; CELLULAR SENESCENCE; PARKINSONS-DISEASE; MOUSE MODEL; HUMAN-CELLS; URIC-ACID; BRAIN; ROLES; MECHANISMS</t>
  </si>
  <si>
    <t>The aging brain is associated with significant changes in physiology that alter the tissue microenvironment of the central nervous system (CNS). In the aged CNS, increased demyelination has been associated with astrocyte hypertrophy and aging has been implicated as a basis for these pathological changes. Aging tissues accumulate chronic cellular stress, which can lead to the development of a pro-inflammatory phenotype that can be associated with cellular senescence. Herein, we provide evidence that astrocytes aged in culture develop a spontaneous pro-inflammatory and senescence-like phenotype. We found that extracellular vesicles (EVs) from young astrocyte were sufficient to convey support for oligodendrocyte differentiation while this support was lost by EVs from aged astrocytes. Importantly, the negative influence of culture age on astrocytes, and their cognate EVs, could be countered by treatment with rapamycin. Comparative proteomic analysis of EVs from young and aged astrocytes revealed peptide repertoires unique to each age. Taken together, these findings provide new information on the contribution of EVs as potent mediators by which astrocytes can extert changing influence in either the disease or aged brain.</t>
  </si>
  <si>
    <t>[Willis, Cory M.; Nicaise, Alexandra M.; Heintz, Olivia; Sutter, Pearl A.; Crocker, Stephen J.] Univ Connecticut, Sch Med, Dept Neurosci, Farmington, CT 06030 USA; [Bongarzone, Ernesto R.; Givogri, Maria; Reiter, Cory R.] Univ Illinois, Dept Anat &amp; Cell Biol, Chicago, IL USA; [Jellison, Evan R.; Vella, Anthony T.] Univ Connecticut, Dept Immunol, Sch Med, Farmington, CT USA; [TeHennepe, Gregg; Ananda, Guruprasad] Jackson Lab Genom Med, Farmington, CT USA</t>
  </si>
  <si>
    <t>University of Connecticut; University of Illinois System; University of Illinois Chicago; University of Illinois Chicago Hospital; University of Connecticut</t>
  </si>
  <si>
    <t>Willis, CM; Crocker, SJ (corresponding author), Univ Connecticut, Sch Med, Dept Neurosci, Farmington, CT 06030 USA.</t>
  </si>
  <si>
    <t>cw739@cam.ac.uk; crocker@uchc.edu</t>
  </si>
  <si>
    <t>Willis, Cory/AAL-1086-2020; Nicaise, Alexandra/ABB-1822-2020</t>
  </si>
  <si>
    <t>Sutter, Pearl/0000-0003-0186-6087; Willis, Cory/0000-0001-7938-7276; Nicaise, Alexandra/0000-0001-7160-5988</t>
  </si>
  <si>
    <t>10.1038/s41598-020-57663-x</t>
  </si>
  <si>
    <t>WOS:000512142100066</t>
  </si>
  <si>
    <t>Zhang, JL; Shi, JJ; Liu, W; Zhang, KX; Zhao, HJ; Zhang, HL; Zhang, ZZ</t>
  </si>
  <si>
    <t>Zhang, Junli; Shi, Jinjin; Liu, Wei; Zhang, Kaixiang; Zhao, Hongjuan; Zhang, Hongling; Zhang, Zhenzhong</t>
  </si>
  <si>
    <t>A simple, specific and on-off type MUC1 fluorescence aptasensor based on exosomes for detection of breast cancer</t>
  </si>
  <si>
    <t>Exosomes; On-off type aptasensor; Breast cancer; Tumor diagnosis; MUC1</t>
  </si>
  <si>
    <t>STRANDED-DNA; THERAPY; CELLS; MCF-7; NANOPARTICLES; APTAMERS; SENSOR; BLOOD; SERUM</t>
  </si>
  <si>
    <t>Numerous studies have demonstrated tumor-derived exosomes (TEX) as an ideal biomarker for cancer. However, most present exosome detection methods were cumbersome and expensive, simple and specific detection of TEX in the blood still remained a challenging task. To solve the above problem, we found firstly that MUC1 was highly expressed on the surface of exosomes secreted by MCF-7 cells compared to other cells. Here, we designed an on-off-type aptasensor based on MUC1 activation on TEX. In the absence of TEX, the aptasensor was off state. Once in the presence of TEX, the aptasensor recognized the MUC1 on TEX and then turned on state, resulting in emitting a fluorescence signal. We used the aptasensor to detect exosomes derived from MCF-7, MCF-7/ADR, A549, MGC-803 and Hs578Bst cells and blood serum from breast cancer patients and healthy donors. The fluorescence signal value of exosomes from serum in breast cancer patients was markedly higher than healthy donors, which were a significant difference between the two groups (P &lt; 0.05). Consequently, the method based on exosomes with high sensitivity, specificity and small amount sample were very likely to be used for breast cancer diagnosis. More importantly, this method can be universally applicable for other tumor diagnosis by changing the aptamer.</t>
  </si>
  <si>
    <t>[Zhang, Junli; Shi, Jinjin; Liu, Wei; Zhang, Kaixiang; Zhao, Hongjuan; Zhang, Hongling; Zhang, Zhenzhong] Zhengzhou Univ, Sch Pharmaceut Sci, Zhengzhou, Henan, Peoples R China; [Zhang, Hongling; Zhang, Zhenzhong] Key Lab Targeting Therapy &amp; Diag Crit Dis, Zhengzhou, Henan, Peoples R China; [Zhang, Hongling; Zhang, Zhenzhong] Collaborat Innovat Ctr New Drug Res &amp; Safety Eval, Zhengzhou, Henan, Peoples R China</t>
  </si>
  <si>
    <t>Zhang, HL; Zhang, ZZ (corresponding author), 100 Kexue Ave, Zhengzhou 450001, Henan, Peoples R China.</t>
  </si>
  <si>
    <t>zhanghongling729@zzu.edu.cn; zhangzhenzhong@zzu.edu.cn</t>
  </si>
  <si>
    <t>10.1016/j.snb.2018.08.056</t>
  </si>
  <si>
    <t>WOS:000444637600069</t>
  </si>
  <si>
    <t>Liang, SF; Xu, HY; Ye, BC</t>
  </si>
  <si>
    <t>Liang, Shifu; Xu, Huiying; Ye, Bang-Ce</t>
  </si>
  <si>
    <t>Membrane-Decorated Exosomes for Combination Drug Delivery and Improved Glioma Therapy</t>
  </si>
  <si>
    <t>LANGMUIR</t>
  </si>
  <si>
    <t>TUMOR CELL-LINES; O-6-METHYLGUANINE-DNA METHYLTRANSFERASE; EXTRACELLULAR VESICLES; RESISTANCE; GLIOBLASTOMA; ALKYLTRANSFERASE; PHARMACOKINETICS; RECEPTOR; CANCER; O-6-BENZYLGUANINE</t>
  </si>
  <si>
    <t>Glioblastoma multiforme (GBM) is the most aggressive tumor of the central nervous system in adults. The standard therapy of GBM fails to eradicate it due to the drug resistance of glioblastoma stem cells (GSCs) and the presence of the blood-brain-barrier (BBB). Temozolomide (TMZ) is the first-line anti-GBM drug after surgery. However, the high activity of O-6-alkylguanine-DNA alkyltransferase (AGT) limits the therapeutic effect of TMZ. Herein, we reported dual-receptor-specific exosomes as vehicles loaded with TMZ and O-6-benzylguanine (BG) for eradicating TMZ-resistant GBM. Exosomes pose great promise as nanocarriers due to their intrinsic low immunogenicity, strong cargo-protective capacity, ideal size range, and natural penetration ability of the blood-brain-barrier (BBB). The target ligands angiopep-2 and CD133 RNA aptamers were conjugated on exosomes via an amphiphilic molecule bridge, which was induced to express on donor cells. The resulting nanocarriers exhibited efficient uptake by U87MG and GSCs, excellent BBB penetration ability, and perfect GBM accumulation due to An2 and CD133 aptamer functionalization. Such superior properties of the two dual-receptor-specific exosomes resulted in excellent in vitro proliferation inhibition of U87MG and GSCs and extension of the median survival time of U87MG-bearing mice, without causing adverse effects. The formed exosome nanocomposites can serve as powerful nanomedicine for GBM therapy and provide a promising avenue for targeted therapy against other diseases of the central nervous system.</t>
  </si>
  <si>
    <t>[Liang, Shifu; Ye, Bang-Ce] Zhejiang Univ Technol, Coll Pharmaceut Sci, Collaborat Innovat Ctr Yangtze River Delta Reg Gr, Inst Engn Biol &amp; Hlth, Hangzhou 310014, Peoples R China; [Xu, Huiying; Ye, Bang-Ce] East China Univ Sci &amp; Technol, Lab Biosyst &amp; Microanal, State Key Lab Bioreactor Engn, Shanghai 200237, Peoples R China</t>
  </si>
  <si>
    <t>Zhejiang University of Technology; East China University of Science &amp; Technology</t>
  </si>
  <si>
    <t>Ye, BC (corresponding author), Zhejiang Univ Technol, Coll Pharmaceut Sci, Collaborat Innovat Ctr Yangtze River Delta Reg Gr, Inst Engn Biol &amp; Hlth, Hangzhou 310014, Peoples R China.;Xu, HY; Ye, BC (corresponding author), East China Univ Sci &amp; Technol, Lab Biosyst &amp; Microanal, State Key Lab Bioreactor Engn, Shanghai 200237, Peoples R China.</t>
  </si>
  <si>
    <t>xuhuiying@ecust.edu.cn; bcye@ecust.edu.cn</t>
  </si>
  <si>
    <t>0743-7463</t>
  </si>
  <si>
    <t>JAN 11</t>
  </si>
  <si>
    <t>10.1021/acs.langmuir.1c02500</t>
  </si>
  <si>
    <t>Chemistry, Multidisciplinary; Chemistry, Physical; Materials Science, Multidisciplinary</t>
  </si>
  <si>
    <t>WOS:000759480200031</t>
  </si>
  <si>
    <t>Zhang, H; Qiao, B; Guo, QQ; Jiang, JQ; Cai, CX; Shen, J</t>
  </si>
  <si>
    <t>Zhang, Hui; Qiao, Bin; Guo, Qunqun; Jiang, Juqian; Cai, Chenxin; Shen, Jian</t>
  </si>
  <si>
    <t>A facile and label-free electrochemical aptasensor for tumour-derived extracellular vesicle detection based on the target-induced proximity hybridization of split aptamers</t>
  </si>
  <si>
    <t>SENSITIVE DETECTION; CHAIN-REACTION; DNA; EXOSOME; ASSAY; AMPLIFICATION; QUANTIFICATION; ANTIGEN; DRIVEN; STEP</t>
  </si>
  <si>
    <t>Facile detection of tumour-derived extracellular vesicles (EVs) is crucial to cancer diagnosis. Herein, a facile and label-free electrochemical aptasensor was fabricated to detect tumour-derived EVs based on the target-induced proximity hybridization of split aptamers. In this assay, two designed oligonucleotide probes containing fragments of a protein tyrosine kinase-7 (PTK7) aptamer were used to recognize and capture EVs containing PTK7. In the presence of target EVs, the aptamer-target ternary complex could induce proximity hybridization and form a DNA duplex on the electrode. The DNA duplex could bind more electroactive Ru(NH3)(6)(3+) through electrostatic attraction, resulting in an increased cathodic current signal. By virtue of the excellent electrochemical signal reporter RuHex, the specificity of the aptamer and proximity ligation, a facile EV electrochemical aptasensor with a detection limit of 6.607 x 10(5) particles per mL was realized. Furthermore, this aptasensor showed good selectivity to distinguish different tumour-derived EVs and was applied to detect EVs in complex biological samples. The proposed electrochemical aptasensor can be further extended to the detection of other EVs, thus showing great potential in clinical diagnosis.</t>
  </si>
  <si>
    <t>[Zhang, Hui; Qiao, Bin; Guo, Qunqun; Jiang, Juqian; Cai, Chenxin; Shen, Jian] Nanjing Normal Univ, Jiangsu Collaborat Innovat Ctr Biomed Funct Mat, Jiangsu Key Lab Biomed Mat,Jiangsu Key Lab New Po, Coll Chem &amp; Mat Sci,Natl &amp; Local Joint Engn Res C, Nanjing 210023, Peoples R China</t>
  </si>
  <si>
    <t>Zhang, H (corresponding author), Nanjing Normal Univ, Jiangsu Collaborat Innovat Ctr Biomed Funct Mat, Jiangsu Key Lab Biomed Mat,Jiangsu Key Lab New Po, Coll Chem &amp; Mat Sci,Natl &amp; Local Joint Engn Res C, Nanjing 210023, Peoples R China.</t>
  </si>
  <si>
    <t>Shen, Jian/ABC-5878-2021</t>
  </si>
  <si>
    <t>Shen, Jian/0000-0002-9009-6151; , hui/0000-0002-4922-3745</t>
  </si>
  <si>
    <t>10.1039/d0an00066c</t>
  </si>
  <si>
    <t>WOS:000536789000007</t>
  </si>
  <si>
    <t>Zhou, Q; Rahimian, A; Son, K; Shin, DS; Patel, T; Revzin, A</t>
  </si>
  <si>
    <t>Zhou, Qing; Rahimian, Ali; Son, Kyungjin; Shin, Dong-Sik; Patel, Tushar; Revzin, Alexander</t>
  </si>
  <si>
    <t>Development of an aptasensor for electrochemical detection of exosomes</t>
  </si>
  <si>
    <t>METHODS</t>
  </si>
  <si>
    <t>Exosome detection; Aptamer; Aptasensor; CD63; Electrochemical biosensor</t>
  </si>
  <si>
    <t>TUMOR-DERIVED EXOSOMES; VESICLES; DNA; RELEASE; SENSOR; BLOOD; GOLD</t>
  </si>
  <si>
    <t>Exosomes are small (50-100 nm in diameter) vesicles secreted from various mammalian cells. Exosomes have been correlated with tumor antigens and anti-tumor immune responses and may represent cancer biomarkers. Herein, we report on the development of an aptamer-based electrochemical biosensor for quantitative detection of exosomes. Aptamers specific to exosome transmembrane protein CD63 were immobilized onto gold electrode surfaces and incorporated into a microfluidic system. Probing strands pre-labeled with redox moieties were hybridized onto aptamer molecules anchored on the electrode surface. In the presence of exosomes these beacons released probing strands with redox reporters causing electrochemical signal to decrease. These biosensors could be used to detect as few as 1 x 10(6) particles/mL of exosomes, which represents 100-fold decrease in the limit of detection compared to commercial immunoassays relying on anti-CD63 antibodies: Given the importance of exosome-mediated signal transmission among cells, our study may represent an important step towards development of a simple biosensor that detects exosomes without washing or labeling steps in complex media. (C) 2015 Elsevier Inc. All rights reserved.</t>
  </si>
  <si>
    <t>[Zhou, Qing; Rahimian, Ali; Son, Kyungjin; Shin, Dong-Sik; Revzin, Alexander] Univ Calif Davis, Dept Biomed Engn, Davis, CA 95616 USA; [Shin, Dong-Sik] Sookmyung Womens Univ, Dept Med &amp; Pharmaceut Sci, Seoul, South Korea; [Patel, Tushar] Mayo Clin, Dept Transplantat, Jacksonville, FL 32224 USA; [Patel, Tushar] Mayo Clin, Dept Canc Biol, Jacksonville, FL 32224 USA</t>
  </si>
  <si>
    <t>University of California System; University of California Davis; Sookmyung Women's University; Mayo Clinic; Mayo Clinic</t>
  </si>
  <si>
    <t>Revzin, A (corresponding author), Univ Calif Davis, Dept Biomed Engn, Davis, CA 95616 USA.</t>
  </si>
  <si>
    <t>qczhou@ucdavis.edu; alirahimian@ucdavis.edu; kson@ucdavis.edu; neweat@gmail.com; Patel.Tushar@mayo.edu; arevzin@ucdavis.edu</t>
  </si>
  <si>
    <t>Shin, Dong-Sik/E-4606-2011</t>
  </si>
  <si>
    <t>Shin, Dong-Sik/0000-0001-8101-0793</t>
  </si>
  <si>
    <t>1046-2023</t>
  </si>
  <si>
    <t>1095-9130</t>
  </si>
  <si>
    <t>10.1016/j.ymeth.2015.10.012</t>
  </si>
  <si>
    <t>WOS:000372759300012</t>
  </si>
  <si>
    <t>Li, YL; Huang, LY; Chen, YC; Shi, YX; Ze, YT; Yao, Y</t>
  </si>
  <si>
    <t>Li, Yiling; Huang, Linyang; Chen, Yanchi; Shi, Yixin; Ze, Yiting; Yao, Yang</t>
  </si>
  <si>
    <t>Irradiated Cell-Derived Exosomes Transmit Essential Molecules Inducing Radiation Therapy Resistance</t>
  </si>
  <si>
    <t>INTERNATIONAL JOURNAL OF RADIATION ONCOLOGY BIOLOGY PHYSICS</t>
  </si>
  <si>
    <t>DNA-DAMAGE RESPONSE; EPITHELIAL-MESENCHYMAL TRANSITION; IONIZING-RADIATION; PANCREATIC-CANCER; TGF-BETA; BIOGENESIS; INHIBITION; MECHANISMS; SECRETION; CARCINOMA</t>
  </si>
  <si>
    <t>Radioresistance has always been a major obstacle in radiation therapy (RT) progress. Radiation therapy (RT) leads to changes in the contents of released exosomes. Research has shown that irradiated cell-derived exosomes influence recipient cell proliferation, migration, cell cycle arrest, and apoptosis. All evidence indicates that exosomes play a significant role in radioresistance. In this review, we describe the potential role of exosomes in cancer. We summarize that the irradiated cell-derived exosomes influence radioresistance in recipient cells by 3 main mechanisms: (1) enhancing DNA repair, (2) regulating cell death signaling pathways, and (3) inducing cancer cells to exhibit stem cell properties. We also discuss that the origin of the phenomenon might be the changes of molecular mechanisms of irradiated cell-derived exosomes formation affected by RT. Further, targeting exosomes as an adjuvant therapy might be a promising way for cancer treatments. (C) 2022 Elsevier Inc. All rights reserved.</t>
  </si>
  <si>
    <t>[Li, Yiling; Huang, Linyang; Chen, Yanchi; Shi, Yixin; Ze, Yiting; Yao, Yang] Sichuan Univ, West China Hosp Stomatol, State Key Lab Oral Dis, Chengdu, Sichuan, Peoples R China; [Li, Yiling; Huang, Linyang; Chen, Yanchi; Shi, Yixin; Ze, Yiting] Sichuan Univ, West China Sch Stomatol, Chengdu, Sichuan, Peoples R China</t>
  </si>
  <si>
    <t>Sichuan University; Sichuan University</t>
  </si>
  <si>
    <t>Yao, Y (corresponding author), Sichuan Univ, West China Hosp Stomatol, State Key Lab Oral Dis, Chengdu, Sichuan, Peoples R China.</t>
  </si>
  <si>
    <t>yaoyang9999@126.com</t>
  </si>
  <si>
    <t>0360-3016</t>
  </si>
  <si>
    <t>1879-355X</t>
  </si>
  <si>
    <t>10.1016/j.ijrobp.2022.01.036</t>
  </si>
  <si>
    <t>Oncology; Radiology, Nuclear Medicine &amp; Medical Imaging</t>
  </si>
  <si>
    <t>WOS:000832410700032</t>
  </si>
  <si>
    <t>De Lise, F; Mensitieri, F; Rusciano, G; Dal Piaz, F; Forte, G; Di Lorenzo, F; Molinaro, A; Zarrelli, A; Romanucci, V; Cafaro, V; Sasso, A; Filippelli, A; Di Donato, A; Izzo, V</t>
  </si>
  <si>
    <t>De Lise, Federica; Mensitieri, Francesca; Rusciano, Giulia; Dal Piaz, Fabrizio; Forte, Giovanni; Di Lorenzo, Flaviana; Molinaro, Antonio; Zarrelli, Armando; Romanucci, Valeria; Cafaro, Valeria; Sasso, Antonio; Filippelli, Amelia; Di Donato, Alberto; Izzo, Viviana</t>
  </si>
  <si>
    <t>Novosphingobium sp. PP1Y as a novel source of outer membrane vesicles</t>
  </si>
  <si>
    <t>JOURNAL OF MICROBIOLOGY</t>
  </si>
  <si>
    <t>outer membrane vesicles; exocytosis; bacterial secretion; sphingomonadales; Novosphingobium; outer cell membrane</t>
  </si>
  <si>
    <t>GRAM-NEGATIVE BACTERIA; PROTEOMIC CHARACTERIZATION; BIOGENESIS; RHAMNOSIDASE; INSIGHTS; RELEASE; MODEL; DNA</t>
  </si>
  <si>
    <t>Outer membrane vesicles (OMVs) are nanostructures of 20-200 nm diameter deriving from the surface of several Gram-negative bacteria. OMVs are emerging as shuttles involved in several mechanisms of communication and environmental adaptation. In this work, OMVs were isolated and characterized from Novosphingobium sp. PP1Y, a Gram-negative non-pathogenic microorganism lacking LPS on the outer membrane surface and whose genome was sequenced and annotated. Scanning electron microscopy performed on samples obtained from a culture in minimal medium highlighted the presence of PP1Y cells embedded in an extracellular matrix rich in vesicular structures. OMVs were collected from the exhausted growth medium during the mid-exponential phase, and purified by ultracentrifugation on a sucrose gradient. Atomic force microscopy, dynamic light scattering and nanoparticle tracking analysis showed that purified PP1Y OMVs had a spherical morphology with a diameter of ca. 150 nm and were homogenous in size and shape. Moreover, proteomic and fatty acid analysis of purified OMVs revealed a specific biochemical fingerprint, suggesting interesting details concerning their biogenesis and physiological role. Moreover, these extracellular nanostructures do not appear to be cytotoxic on HaCaT cell line, thus paving the way to their future use as novel drug delivery systems.</t>
  </si>
  <si>
    <t>[De Lise, Federica; Mensitieri, Francesca; Cafaro, Valeria; Di Donato, Alberto] Univ Naples Federico II, Dept Biol, Naples, Italy; [Rusciano, Giulia; Sasso, Antonio] Univ Naples Federico II, Dept Phys, Naples, Italy; [Dal Piaz, Fabrizio; Filippelli, Amelia; Izzo, Viviana] Univ Salerno, Dept Med Surg &amp; Dent, Salerno, Italy; [Forte, Giovanni] Univ Salerno, Dept Pharm, Salerno, Italy; [Di Lorenzo, Flaviana; Molinaro, Antonio; Zarrelli, Armando; Romanucci, Valeria] Univ Naples Federico II, Dept Chem Sci, Naples, Italy</t>
  </si>
  <si>
    <t>University of Naples Federico II; University of Naples Federico II; University of Salerno; University of Salerno; University of Naples Federico II</t>
  </si>
  <si>
    <t>Izzo, V (corresponding author), Univ Salerno, Dept Med Surg &amp; Dent, Salerno, Italy.</t>
  </si>
  <si>
    <t>vizzo@unisa.it</t>
  </si>
  <si>
    <t>De Lise, Federica/AAN-6065-2021; Izzo, Viviana/Q-2076-2015; Cafaro, Valeria/GLV-3363-2022; Romanucci, Valeria/J-1843-2018; Filippelli, Amelia/AAC-5321-2022</t>
  </si>
  <si>
    <t>De Lise, Federica/0000-0002-9614-9226; Izzo, Viviana/0000-0001-6066-7569; Romanucci, Valeria/0000-0003-0317-5140; Mensitieri, Francesca/0000-0002-5062-313X; Filippelli, Amelia/0000-0002-8235-9118</t>
  </si>
  <si>
    <t>1225-8873</t>
  </si>
  <si>
    <t>1976-3794</t>
  </si>
  <si>
    <t>10.1007/s12275-019-8483-2</t>
  </si>
  <si>
    <t>WOS:000469228500009</t>
  </si>
  <si>
    <t>Shi, MQ; Wang, X; Wu, YA; Yuan, K; Li, ZJ; Meng, HM; Li, ZH</t>
  </si>
  <si>
    <t>Shi, Mingqing; Wang, Xing; Wu, Yanan; Yuan, Kun; Li, Zhijun; Meng, Hong-Min; Li, Zhaohui</t>
  </si>
  <si>
    <t>Exploring the size of DNA functionalized gold nanoparticles for high efficiency exosome uptake and sensitive biosensing</t>
  </si>
  <si>
    <t>Exosomes; AuNPs size; Uptake efficiency; Sensitivity</t>
  </si>
  <si>
    <t>Exosomes are nanoscale lipid vesicles that play important roles in oncogenesis and tumor heterogeneity. Recently, more attentions have been attracted for the analysis of exosomes by using AuNPs-based nanoprobes due to their unique physicochemical properties. In this regard, the geometrical parameters of AuNPs have high impact on the performance for exosome sensing, whereas the related mechanistic studies have not been reported so far. Herein in this work, we symmetrically explored the size influence of DNA functionalized AuNPs on their uptake efficiency by exosomes, and found that the uptake efficiency was highly size-dependent. Based on these interesting discoveries, we developed AuNPs-based nanoprobes for the in-situ detection of miRNA in exosomes. The nanoprobe prepared using 5 nm AuNPs exhibits the highest sensitivity with a detection limit of 6.53 x 10(3) particles/mu L, which is about 2 orders of magnitude lower than that of traditional 13 nm AuNPs. Furthermore, the nanoprobe based on 5 nm AuNPs was successfully used in clinical serum samples to differentiate cancer patients from healthy individuals. All these results advise that DNA-AuNPs can be easily tailored through size modulation to design functional nanoprobe with excellent exosome uptake properties and improved performance in exosome sensing applications.</t>
  </si>
  <si>
    <t>[Shi, Mingqing; Wang, Xing; Wu, Yanan; Yuan, Kun; Li, Zhijun; Meng, Hong-Min; Li, Zhaohui] Zhengzhou Univ, Coll Chem, Inst Analyt Chem Life Sci,Zhengzhou Key Lab Funct, Henan Joint Int Res Lab Green Construct Funct Mol, Zhengzhou 450001, Peoples R China</t>
  </si>
  <si>
    <t>Meng, HM; Li, ZH (corresponding author), Zhengzhou Univ, Coll Chem, Inst Analyt Chem Life Sci,Zhengzhou Key Lab Funct, Henan Joint Int Res Lab Green Construct Funct Mol, Zhengzhou 450001, Peoples R China.</t>
  </si>
  <si>
    <t>10.1016/j.snb.2021.131315</t>
  </si>
  <si>
    <t>WOS:000752497500007</t>
  </si>
  <si>
    <t>Yang, J; McDowell, A; Kim, EK; Seo, H; Yum, K; Lee, WH; Jee, YK; Kim, YK</t>
  </si>
  <si>
    <t>Yang, Jinho; McDowell, Andrea; Kim, Eun Kyoung; Seo, Hochan; Yum, Kyujin; Lee, Won Hee; Jee, Young-Koo; Kim, Yoon-Keun</t>
  </si>
  <si>
    <t>Consumption of a Leuconostoc holzapfelii-enriched synbiotic beverage alters the composition of the microbiota and microbial extracellular vesicles</t>
  </si>
  <si>
    <t>GUT MICROBIOTA; LIVER AMINOTRANSFERASES; PROBIOTICS; ACID; BACTEROIDES; METABOLISM; PREBIOTICS; MORTALITY; INJURY; RISK</t>
  </si>
  <si>
    <t>Synbiotics, the combination of probiotics and prebiotics, are known to confer health benefits via intestinal microbiota modulation. However, significant intestinal microbiota alterations can be difficult to determine in intervention studies based on solely bacterial stool metagenomic analysis. Intestinal microbiota constituents secrete 20-200-nm-sized extracellular vesicles (EVs) containing microbial DNA, proteins, and lipids that are distributed throughout the body, providing an alternative target for microbiota metagenomic analysis. Here, we determined the impact of a synbiotic beverage enriched with the kimchi-derived bacterium Leuconostoc holzapfelii (L. holzapfelii) on the intestinal microbiota and local and circulatory microbiota-derived EV composition of healthy Korean adults. We isolated microbial DNA from stool bacteria, stool EVs, and urinary EVs and conducted next-generation sequencing of the 16S rDNA V3-V4 regions before and after synbiotic consumption. The species diversity of circulating urinary EVs was significantly increased after synbiotic consumption, while stool bacterial and EV diversity remained unchanged. Furthermore, we found that while a single genus was decreased among the stool bacteria constituents, stool EVs and urinary EVs showed significant alterations in four and eight genera, respectively. Blood chemistry assays revealed that synbiotic consumption significantly lowered aspartate aminotransferase (AST) serum levels, particularly in subjects with starting levels above the normal range (&gt;40 UI/L). In conclusion, the L. holzapfelii-enriched synbiotic beverage greatly altered serum AST levels and microbial EV composition in urine and stool, while only minor changes were observed in the gut microbiota composition. Based on these findings, we suggest the potential use of microbiota-derived EVs as surrogate markers in future predictive diagnosis studies.</t>
  </si>
  <si>
    <t>[Yang, Jinho; McDowell, Andrea; Kim, Eun Kyoung; Seo, Hochan; Lee, Won Hee; Kim, Yoon-Keun] MD Healthcare Inc, Seoul, South Korea; [Yang, Jinho] Korea Univ, Dept Hlth &amp; Safety Convergence Sci, Seoul, South Korea; [Yum, Kyujin] Coenbio Co LTD, Seoul, South Korea; [Jee, Young-Koo] Dankook Univ, Dept Internal Med, Coll Med, Cheonan, South Korea</t>
  </si>
  <si>
    <t>Korea University; Dankook University</t>
  </si>
  <si>
    <t>Kim, YK (corresponding author), MD Healthcare Inc, Seoul, South Korea.;Jee, YK (corresponding author), Dankook Univ, Dept Internal Med, Coll Med, Cheonan, South Korea.</t>
  </si>
  <si>
    <t>ykjee@dankook.ac.kr; ykkim@mdhc.kr</t>
  </si>
  <si>
    <t>Yang, Jinho/0000-0001-7207-6846; Jee, Young-Koo/0000-0001-5800-8038; Lee, Won Hee/0000-0003-0162-4176</t>
  </si>
  <si>
    <t>10.1038/s12276-019-0288-1</t>
  </si>
  <si>
    <t>WOS:000479316300001</t>
  </si>
  <si>
    <t>Ibrahim, HM; Mohammed-Geba, K; Tawfic, AA; El-Magd, MA</t>
  </si>
  <si>
    <t>Ibrahim, Hany M.; Mohammed-Geba, Khaled; Tawfic, Amr A.; El-Magd, Mohammed A.</t>
  </si>
  <si>
    <t>Camel milk exosomes modulate cyclophosphamide-induced oxidative stress and immuno-toxicity in rats</t>
  </si>
  <si>
    <t>FOOD &amp; FUNCTION</t>
  </si>
  <si>
    <t>BOVINE LACTOFERRIN; DNA-DAMAGE; LEVAMISOLE; PROTEIN; PROLIFERATION; ANTIOXIDANT; IMMUNOSUPPRESSION; IMMUNOTOXICITY; PEPTIDES; VESICLES</t>
  </si>
  <si>
    <t>Camel milk proteins exhibit many beneficial properties including immuno-modulatory and anti-oxidant effects. Recent studies demonstrated that most of these properties are ascribed to the presence of extracellular nanovesicles known as exosomes. Therefore, the current study aimed to investigate the effect of the immuno-modulatory and anti-oxidant properties of camel milk exosomes on the immuno-toxicity and oxidative stress induced by cyclophosphamide (CTX) in albino rats. Exosomes were isolated from camel milk and exosomal kappa casein and lactoferrin mRNAs were detected and then sequenced. CTX was used to induce immunosuppression in rats, which were further treated with camel milk and its exosomes. The alterations in biochemical parameters, antioxidant status, cytokine profile, spleen histopathology and flow cytometric analysis were detected. Treatment with CTX resulted in a significant decrease in total protein, albumin, globulin, catalase (CAT), superoxide dismutase (SOD) and glutathione peroxidase (GPx) levels associated with a significant increase in the levels of malondialdehyde (MDA) when compared with the control group. Moreover, CTX depleted lymphocytes in the spleen tissue, significantly reduced the expression of interferon gamma (IFN-gamma) in the spleen cells and decreased the CD4(+) and CD8(+) cell percentages in the blood and spleen, while it induced a significant increase in the expression of interleukin (IL)-6 and tumor necrosis factor (TNF)-alpha. Co-administration of camel milk exosomes was able to normalize the antioxidant status and most of the biochemical and immunological parameters. This study clarifies that camel milk and its exosomes successfully ameliorate immunosuppression and oxidative stress induced by CTX in rats.</t>
  </si>
  <si>
    <t>[Ibrahim, Hany M.; Mohammed-Geba, Khaled; Tawfic, Amr A.] Menoufia Univ, Dept Zool, Fac Sci, Shibin Al Kawm, Egypt; [El-Magd, Mohammed A.] Kafrel Shiekh Univ, Dept Anat &amp; Embryol, Fac Vet Med, Kafr Al Sheikh, Egypt</t>
  </si>
  <si>
    <t>Egyptian Knowledge Bank (EKB); Menofia University</t>
  </si>
  <si>
    <t>Ibrahim, HM (corresponding author), Menoufia Univ, Dept Zool, Fac Sci, Shibin Al Kawm, Egypt.;El-Magd, MA (corresponding author), Kafrel Shiekh Univ, Dept Anat &amp; Embryol, Fac Vet Med, Kafr Al Sheikh, Egypt.</t>
  </si>
  <si>
    <t>hany.mohamed@science.menofia.edu.eg; mohamed.abouelmagd@vet.kfs.edu.eg</t>
  </si>
  <si>
    <t>Mohammed-Geba, Khaled/AAI-7098-2020; El-Magd, Mohammed/O-2673-2019</t>
  </si>
  <si>
    <t>Mohammed-Geba, Khaled/0000-0002-0281-816X; EL-Magd, Mohammed/0000-0002-3314-9202; Ibrahim, Hany/0000-0002-5137-0058</t>
  </si>
  <si>
    <t>2042-6496</t>
  </si>
  <si>
    <t>2042-650X</t>
  </si>
  <si>
    <t>10.1039/c9fo01914f</t>
  </si>
  <si>
    <t>Biochemistry &amp; Molecular Biology; Food Science &amp; Technology</t>
  </si>
  <si>
    <t>WOS:000497763600048</t>
  </si>
  <si>
    <t>Wu, Q; Wang, H; Gong, KK; Shang, JH; Liu, XQ; Wang, F</t>
  </si>
  <si>
    <t>Wu, Qiong; Wang, Hong; Gong, Keke; Shang, Jinhua; Liu, Xiaoqing; Wang, Fuan</t>
  </si>
  <si>
    <t>Construction of an Autonomous Nonlinear Hybridization Chain Reaction for Extracellular Vesicles-Associated MicroRNAs Discrimination</t>
  </si>
  <si>
    <t>ROLLING-CIRCLE AMPLIFICATION; SIGNAL AMPLIFICATION; AMPLIFIED DETECTION; NUCLEIC-ACIDS; ELECTROCHEMICAL DETECTION; ISOTHERMAL AMPLIFICATION; MESSENGER-RNA; BREAST-CANCER; LABEL-FREE; DNA</t>
  </si>
  <si>
    <t>Extracellular vesicles (EVs) have emerged as promising tumor biomarkers for early cancer diagnosis, as primary tumor-secreted EVs carry characteristic molecular information on parent cells. It is thus desirable to realize the efficient discrimination of the signatured EVs-associated microRNAs (miRNAs) with low expression and subtle variation. Here, we introduce an autonomous nonlinear enzyme-free signal amplification paradigm for EVs discrimination through a highly sensitive and selective detection of their inherent miRNAs in situ. Our proposed amplifier consists of a modularized DNAzyme-amplified two-stage cascaded hybridization chain reaction (CHCR-DNAzyme) circuit, where the analyte-generated output of the preceding hybridization chain reaction (HCR1) stage serves as input to motivate the following hybridization chain reaction (HCR2) stage and the concomitant assembly of numerous DNAzyme biocatalysts. By incorporating a flexibly configurable sensing module, this modular CHCR-DNAzyme circuit can further extend to plug-and-play sensing mode that enables the miRNA assay with high specificity. The sophisticated design and the detecting performance of our CHCR-DNAzyme scheme were systematically investigated in vitro. The optimized CHCR-DNAzyme system was further applied for distinguishing EVs derived from different cells through the amplified detection of a putative miRNA biomarker in EVs. This compact CHCR-DNAzyme amplifier provides a universal and facile toolbox for highly efficient identification of multiple miRNAs-involved EVs and thus holds great potential for early cancer diagnosis.</t>
  </si>
  <si>
    <t>[Wu, Qiong; Wang, Hong; Gong, Keke; Shang, Jinhua; Liu, Xiaoqing; Wang, Fuan] Wuhan Univ, Coll Chem &amp; Mol Sci, Minist Educ, Key Lab Analyt Chem Biol &amp; Med, Wuhan 430072, Hubei, Peoples R China</t>
  </si>
  <si>
    <t>Wuhan University</t>
  </si>
  <si>
    <t>Wang, F (corresponding author), Wuhan Univ, Coll Chem &amp; Mol Sci, Minist Educ, Key Lab Analyt Chem Biol &amp; Med, Wuhan 430072, Hubei, Peoples R China.</t>
  </si>
  <si>
    <t>fuanwang@whu.edu.cn</t>
  </si>
  <si>
    <t>Wang, Fuan/AGF-0891-2022; Wang, Fuan/C-2980-2008; Liu, Xiaoqing/C-5752-2009</t>
  </si>
  <si>
    <t>Wang, Fuan/0000-0002-3063-2485; Wang, Fuan/0000-0002-3063-2485; Liu, Xiaoqing/0000-0002-1309-5454</t>
  </si>
  <si>
    <t>AUG 6</t>
  </si>
  <si>
    <t>10.1021/acs.analchem.9b02181</t>
  </si>
  <si>
    <t>WOS:000480499200113</t>
  </si>
  <si>
    <t>Kitai, Y; Kawasaki, T; Sueyoshi, T; Kobiyama, K; Ishii, KJ; Zou, J; Akira, S; Matsuda, T; Kawai, T</t>
  </si>
  <si>
    <t>Kitai, Yuichi; Kawasaki, Takumi; Sueyoshi, Takuya; Kobiyama, Kouji; Ishii, Ken J.; Zou, Jian; Akira, Shizuo; Matsuda, Tadashi; Kawai, Taro</t>
  </si>
  <si>
    <t>DNA-Containing Exosomes Derived from Cancer Cells Treated with Topotecan Activate a STING- Dependent Pathway and Reinforce Antitumor Immunity</t>
  </si>
  <si>
    <t>I INTERFERON; CYTOKINE PRODUCTION; INNATE IMMUNITY; DAMAGE; INFLAMMATION; RECOGNITION; RESPONSES; RNA; DIFFERENTIATION; RECEPTORS</t>
  </si>
  <si>
    <t>Danger- associated molecular patterns derived from damaged or dying cells elicit inflammation and potentiate antitumor immune responses. In this article, we show that treatment of breast cancer cells with the antitumor agent topotecan (TPT), an inhibitor of topoisomerase I, induces danger-associated molecular pattern secretion that triggers dendritic cell (DC) activation and cytokine production. TPT administration inhibits tumor growth in tumor- bearing mice, which is accompanied by infiltration of activated DCs and CD8 (+) T cells. These effects are abrogated in mice lacking STING, an essential molecule in cytosolic DNA- mediated innate immune responses. Furthermore, TPT- treated cancer cells release exosomes that contain DNA that activate DCs via STING signaling. These findings suggest that a STING- dependent pathway drives antitumor immunity by responding to tumor cell-derived DNA.</t>
  </si>
  <si>
    <t>[Kitai, Yuichi; Matsuda, Tadashi] Hokkaido Univ, Grad Sch Pharmaceut Sci, Dept Immunol, Sapporo, Hokkaido 0600812, Japan; [Kitai, Yuichi; Kawasaki, Takumi; Sueyoshi, Takuya; Kawai, Taro] Nara Inst Sci &amp; Technol, Grad Sch Biol Sci, Lab Mol Immunobiol, 8916-5 Takayama Cho, Ikoma, Nara 6300192, Japan; [Kobiyama, Kouji; Ishii, Ken J.] Osaka Univ, Immunol Frontier Res Ctr, Lab Vaccine Sci, Suita, Osaka 5650871, Japan; [Kobiyama, Kouji; Ishii, Ken J.] Natl Inst Biomed Innovat Hlth &amp; Nutr, Lab Adjuvant Innovat, Ibaraki, Osaka 5670085, Japan; [Zou, Jian; Akira, Shizuo] Osaka Univ, Immunol Frontier Res Ctr, Host Def Lab, Suita, Osaka 5650871, Japan; [Zou, Jian; Akira, Shizuo] Osaka Univ, Microbial Dis Res Inst, Dept Host Def, Suita, Osaka 5650871, Japan; [Kobiyama, Kouji] La Jolla Inst Allergy &amp; Immunol, Div Inflammat Biol, La Jolla, CA USA</t>
  </si>
  <si>
    <t>Hokkaido University; Nara Institute of Science &amp; Technology; Osaka University; Osaka University; Osaka University; La Jolla Institute for Immunology</t>
  </si>
  <si>
    <t>Kawai, T (corresponding author), Nara Inst Sci &amp; Technol, Grad Sch Biol Sci, Lab Mol Immunobiol, 8916-5 Takayama Cho, Ikoma, Nara 6300192, Japan.</t>
  </si>
  <si>
    <t>tarokawai@bs.naist.jp</t>
  </si>
  <si>
    <t>Ishii, Ken J/B-1685-2012; Akira, Shizuo/C-3134-2009; Matsuda, Tadashi/A-3835-2012</t>
  </si>
  <si>
    <t>Ishii, Ken J/0000-0002-6728-3872; Matsuda, Tadashi/0000-0002-3089-3757; Kawai, Taro/0000-0001-7510-4662</t>
  </si>
  <si>
    <t>10.4049/jimmunol.1601694</t>
  </si>
  <si>
    <t>WOS:000395898600028</t>
  </si>
  <si>
    <t>Wu, N; Zhang, XY; Xia, J; Li, X; Yang, T; Wang, JH</t>
  </si>
  <si>
    <t>Wu, Na; Zhang, Xin-Yu; Xia, Jie; Li, Xin; Yang, Ting; Wang, Jian-Hua</t>
  </si>
  <si>
    <t>Ratiometric 3D DNA Machine Combined with Machine Learning Algorithm for Ultrasensitive and High-Precision Screening of Early Urinary Diseases</t>
  </si>
  <si>
    <t>uEVs; DNA machine; fluorescence detection; machine learning; urinary diseases</t>
  </si>
  <si>
    <t>EXTRACELLULAR VESICLES; CANCER; BIOMARKERS; EXOSOMES</t>
  </si>
  <si>
    <t>Urinary extracellular vesicles (uEVs) have received consid- Urinary EVs enable attention as a potential biomarker source for the diagnosis of urinary diseases. Present studies mainly focus on the discovery of biomarkers based on high-throughput proteomics, while limited efforts have been paid to applying the uEVs' biomarkers for the diagnosis of early urinary disease. Herein, we demonstrate a diagnosis protocol to realize ultrasensitive detection of uEVs and accurate classification of early urinary diseases, by combing a ratiometric three-dimensional (3D) DNA machine with machine learning (ML). The ratiometric 3D DNA machine platform is constructed by conjugating a padlock probe (PLP) containing cytosine-rich (C-rich) sequences, anchor strands, and nucleic-acid-stabilized silver nanoclusters (DNA(AgNCs)) onto the magnetic nanoparticles (MNPs). The competitive binding of uEVs with the aptamer releases the walker strand, thus the ratiometric 3D DNA machine was activated to undergo an accurate amplification reaction and produce a ratiometric fluorescence signal. The present biosensor offers a detection limit of 9.9 X 10(3) particles mL(-1) with a linear range of 10(4)-10(8) particles mL(-1) for uEVs. Two ML algorithms, K-nearest neighbor (KNN) and support vector machine (SVM), were subsequently applied for analyzing the correlation between the sensing signals of uEV multibiomarkers and the clinical state. The disease diagnostic accuracy of optimal biomarker combination reaches 95% and 100% by analyzing with KNN and SVM, and the disease type classification exhibits an accuracy of 94.7% and 89.5%, respectively. Moreover, the protocol results in 100% accurate visual identification of clinical uEV samples from individuals with disease or as healthy control by a t-distributed stochastic neighbor embedding (tSNE) algorithm.</t>
  </si>
  <si>
    <t>[Wu, Na; Yang, Ting; Wang, Jian-Hua] Northeastern Univ, Coll Sci, Res Ctr Analyt Sci, Dept Chem, Shenyang 110819, Peoples R China; [Zhang, Xin-Yu; Li, Xin] Gen Hosp Northern Theater Command, Shenyang 110015, Peoples R China; [Zhang, Xin-Yu] Dalian Med Univ, Dalian 116044, Peoples R China; [Xia, Jie] Zhejiang Huayou Cobalt Co Ltd, Prod Res Inst, Res &amp; Dev Ctr, Huayou Nonferrous Ind Grp, Quzhou 324000, Peoples R China</t>
  </si>
  <si>
    <t>Northeastern University - China; Dalian Medical University</t>
  </si>
  <si>
    <t>Yang, T (corresponding author), Northeastern Univ, Coll Sci, Res Ctr Analyt Sci, Dept Chem, Shenyang 110819, Peoples R China.</t>
  </si>
  <si>
    <t>yangting@mail.neu.edu.cn</t>
  </si>
  <si>
    <t>Yang, Ting/0000-0001-5517-5658</t>
  </si>
  <si>
    <t>DEC 28</t>
  </si>
  <si>
    <t>10.1021/acsnano.1c06429</t>
  </si>
  <si>
    <t>WOS:000751890100069</t>
  </si>
  <si>
    <t>Yokoyama, K; Horii, T; Yamashino, T; Hashikawa, S; Barua, S; Hasegawa, T; Watanabe, H; Ohta, M</t>
  </si>
  <si>
    <t>Production of Shiga toxin by Escherichia coli measured with reference to the membrane vesicle-associated toxins</t>
  </si>
  <si>
    <t>FEMS MICROBIOLOGY LETTERS</t>
  </si>
  <si>
    <t>shiga toxin; membrane vesicle; immunoblot analysis; Stx-producing Escherichia coli</t>
  </si>
  <si>
    <t>ANTIMICROBIAL AGENTS; O157-H7; RELEASE; PHAGE; STRAINS; EXPORT; GENES; DNA</t>
  </si>
  <si>
    <t>Production of Shiga toxin (Stx) 1 and 2 from Stx-producing Escherichia coli (STEC) was measured with reference to the membrane vesicle (MV)-associated toxins. An immunoblot analysis method using specific antibodies for Stx1 and Stx2 was developed for the detection of the extracellular toxins. All 46 STEC isolates, studied including 30 O157 and 16 other O-antigenic isolates, released Stx1 and Stx2 as MV-associated and MV-removed fractions under aerobic and anaerobic conditions. Treatment of vesicles with polymyxin B that disrupted MVs increased the release of Stx1 and Stx2. Therefore, delivery of Stx 1 and S1x2 by MVs is a general mechanism in STEC. Stx1 remained within MVs rather than in the MV-removed fraction under an aerobic culture condition. Oil the other hand, a larger proportion of Stx2 was detected in the MV-removed fraction. The kinetic patterns of the release of the toxins from STEC strains showed that both Stx1 and Stx2 were released into the growth medium during the exponential growth phase. An rpoS-deficient mutation did not have altered levels of extracellular Stx1 and Stx2, supporting the idea that Stx1 and Stx2 are produced during exponential growth phase. (C) 2000 Federation of European Microbiological Societies. Published by Elsevier Science B.V. All rights reserved.</t>
  </si>
  <si>
    <t>Nagoya Univ, Postgrad Med Sch, Dept Mol Bacteriol, Showa Ku, Aichi 4668550, Japan; Hamamatsu Univ Sch Med, Dept Lab Med, Shizuoka 4313192, Japan; Natl Inst Infect Dis, Dept Bacteriol, Shinjuku Ku, Tokyo 1628640, Japan</t>
  </si>
  <si>
    <t>Nagoya University; Hamamatsu University School of Medicine; National Institute of Infectious Diseases (NIID)</t>
  </si>
  <si>
    <t>Ohta, M (corresponding author), Nagoya Univ, Postgrad Med Sch, Dept Mol Bacteriol, Showa Ku, 65 Tsurumaicho, Aichi 4668550, Japan.</t>
  </si>
  <si>
    <t>mohta@tsuru.med.nagoya-u.ac.jp</t>
  </si>
  <si>
    <t>0378-1097</t>
  </si>
  <si>
    <t>10.1016/S0378-1097(00)00424-9</t>
  </si>
  <si>
    <t>WOS:000090047200023</t>
  </si>
  <si>
    <t>Hashizume, S; Nakano, M; Kubota, K; Sato, S; Himuro, N; Kobayashi, E; Takaoka, A; Fujimiya, M</t>
  </si>
  <si>
    <t>Hashizume, Shin; Nakano, Masako; Kubota, Kenta; Sato, Seiichi; Himuro, Nobuaki; Kobayashi, Eiji; Takaoka, Akinori; Fujimiya, Mineko</t>
  </si>
  <si>
    <t>Mindfulness intervention improves cognitive function in older adults by enhancing the level of miRNA-29c in neuron-derived extracellular vesicles</t>
  </si>
  <si>
    <t>BRIEF SCREENING TOOL; ALZHEIMER-DISEASE; STRESS REDUCTION; DNA METHYLATION; MEDITATION; BETA; MICRORNA-29C; POPULATION; IMPAIRMENT; EXPRESSION</t>
  </si>
  <si>
    <t>Although mindfulness-based stress reduction (MBSR) improves cognitive function, the mechanism is not clear. In this study, people aged 65 years and older were recruited from elderly communities in Chitose City, Japan, and assigned to a non-MBSR group or a MBSR group. Before and after the intervention, the Japanese version of the Montreal Cognitive Assessment (MoCA-J) was administered, and blood samples were collected. Then, neuron-derived extracellular vesicles (NDEVs) were isolated from blood samples, and microRNAs, as well as the target mRNAs, were evaluated in NDEVs. A linear mixed model analysis showed significant effects of the MBSR x time interaction on the MoCA-J scores, the expression of miRNA(miR)-29c, DNA methyltransferase 3 alpha (DNMT3A), and DNMT3B in NDEVs. These results indicate that MBSR can improve cognitive function by increasing the expression of miR-29c and decreasing the expression of DNMT3A, as well as DNMT3B, in neurons. It was also found that intracerebroventricular injection of miR-29c mimic into 5xFAD mice prevented cognitive decline, as well as neuronal loss in the subiculum area, by down-regulating Dnmt3a and Dnmt3b in the hippocampus. The present study suggests that MBSR can prevent neuronal loss and cognitive impairment by increasing the neuronal expression of miR-29c.</t>
  </si>
  <si>
    <t>[Hashizume, Shin; Nakano, Masako; Kubota, Kenta; Kobayashi, Eiji; Fujimiya, Mineko] Sapporo Med Univ, Dept Anat, Sch Med, Chuo Ku, W17,S1, Sapporo, Hokkaido 0608556, Japan; [Kubota, Kenta] Hokkaido Chitose Rehabil Coll, Dept Phys Therapy, Chitose, Hokkaido, Japan; [Sato, Seiichi; Takaoka, Akinori] Hokkaido Univ, Inst Genet Med, Div Signaling Canc &amp; Immunol, Sapporo, Hokkaido, Japan; [Sato, Seiichi; Takaoka, Akinori] Hokkaido Univ, Grad Sch Chem Sci &amp; Engn, Mol Med Biochem Unit, Biol Chem &amp; Engn Course, Sapporo, Hokkaido, Japan; [Himuro, Nobuaki] Sapporo Med Univ, Dept Publ Hlth, Sch Med, Sapporo, Hokkaido, Japan; [Kobayashi, Eiji] Hokkaido Bunkyo Univ, Fac Human Sci, Dept Phys Therapy, Eniwa, Hokkaido, Japan</t>
  </si>
  <si>
    <t>Sapporo Medical University; Hokkaido University; Hokkaido University; Sapporo Medical University</t>
  </si>
  <si>
    <t>Nakano, M (corresponding author), Sapporo Med Univ, Dept Anat, Sch Med, Chuo Ku, W17,S1, Sapporo, Hokkaido 0608556, Japan.</t>
  </si>
  <si>
    <t>m.nakano@sapmed.ac.jp</t>
  </si>
  <si>
    <t>Himuro, Nobuaki/AFK-3379-2022</t>
  </si>
  <si>
    <t>10.1038/s41598-021-01318-y</t>
  </si>
  <si>
    <t>WOS:000716101700052</t>
  </si>
  <si>
    <t>Mulcahy, H; Charron-Mazenod, L; Lewenza, S</t>
  </si>
  <si>
    <t>Mulcahy, Heidi; Charron-Mazenod, Laetitia; Lewenza, Shawn</t>
  </si>
  <si>
    <t>Pseudomonas aeruginosa produces an extracellular deoxyribonuclease that is required for utilization of DNA as a nutrient source</t>
  </si>
  <si>
    <t>CYSTIC-FIBROSIS; STREPTOCOCCUS-PNEUMONIAE; CAENORHABDITIS-ELEGANS; MEMBRANE-VESICLES; BIOFILM FORMATION; GENE; PATHOGENESIS; VIRULENCE; EXPRESSION; MODEL</t>
  </si>
  <si>
    <t>P&gt;Pseudomonas aeruginosa is an opportunistic pathogen that occupies a wide variety of environmental niches. Extracellular DNA is ubiquitous in various environments and is a rich source of carbon, nitrogen and phosphate. Here we show that P. aeruginosa is capable of using DNA as a nutrient source. Under phosphate-limiting conditions, or when DNA is supplied as a source of phosphate, expression of PA3909 is induced. PA3909 encodes an extracellular deoxyribonuclease (DNase), which is required for degradation of DNA and utilization of DNA as a source of carbon, nitrogen and phosphate. Stabilization of PA3909 by the addition of excess Mg2+ and Ca2+ was required for DNase activity in culture supernatants. Extracellular DNase activity was seen in multiple P. aeruginosa strains and isolates from cystic fibrosis patients. The primary Xcp type II secretion system but not the Hxc type II secretion system is required for DNase activity and the ability to use DNA as a source of nutrients. This study identifies an extracellular DNase produced by P. aeruginosa that enables degradation of extracellular DNA into an accessible source of carbon, nitrogen and phosphate. DNase production by P. aeruginosa also has important implications for virulence and biofilm formation.</t>
  </si>
  <si>
    <t>[Mulcahy, Heidi; Charron-Mazenod, Laetitia; Lewenza, Shawn] Univ Calgary, Dept Microbiol &amp; Infect Dis, Calgary, AB T2N 4N1, Canada</t>
  </si>
  <si>
    <t>University of Calgary</t>
  </si>
  <si>
    <t>Lewenza, S (corresponding author), Univ Calgary, Dept Microbiol &amp; Infect Dis, 3330 Hosp Dr NW, Calgary, AB T2N 4N1, Canada.</t>
  </si>
  <si>
    <t>slewenza@ucalgary.ca</t>
  </si>
  <si>
    <t>10.1111/j.1462-2920.2010.02208.x</t>
  </si>
  <si>
    <t>WOS:000278394400019</t>
  </si>
  <si>
    <t>Liu, HY; Kang, M; Wang, J; Blenkiron, C; Lee, A; Wise, M; Chamley, L; Chen, Q</t>
  </si>
  <si>
    <t>Liu, Haiyan; Kang, Matt; Wang, Julie; Blenkiron, Cherie; Lee, Arier; Wise, Michelle; Chamley, Larry; Chen, Qi</t>
  </si>
  <si>
    <t>Estimation of the burden of human placental micro- and nano-vesicles extruded into the maternal blood from 8 to 12 weeks of gestation</t>
  </si>
  <si>
    <t>Placental EVs; Gestational age; Quantity; Protein and DNA</t>
  </si>
  <si>
    <t>1ST TRIMESTER; TROPHOBLAST DIFFERENTIATION; OXYGEN CONCENTRATION; PREECLAMPSIA; EXOSOMES; CELLS; DEPORTATION; CIRCULATION; EXPRESSION; DEBRIS</t>
  </si>
  <si>
    <t>Background: The human placenta extrudes a variety of extracellular vesicles (EVs) into the maternal blood daily. These vesicles may be crucial to the adaptation of the maternal cardiovascular and immune systems to pregnancy. Quantifying the EVs that are released in early gestation is important to our understanding of how placental EVs may contribute to the regulation of maternal physiology. Methods: EVs were isolated from first trimester placental explants and separated into micro-and nano-vesicles by differential centrifugation. The numbers of each type of EVs extruded from each milligram of placentae between gestational weeks 8 and 12 was determined by Nanoparticle Tracking Analysis. The total protein or DNA content of the vesicles was determined by BCA assay or Qubit (R) 2.0. Results: Neither the number of micro-nor nano-EVs/mg explant (n=49), nor the total protein (n=19) and DNA content (n=29) of these EVs changed significantly between 8 and 12 weeks of gestation. When the increasing placental weight with gestation was accounted for, the daily number of placental EVs extruded into the maternal blood increased by more than 100 fold between 8 and 12 weeks (micro-EVs 6.23 X 10(14) and nano-EVs 1.84 X 10(14) at 12 weeks, p=0.0003). Discussion: Constant production of micro-and nano-EVs per-milligram placenta, regardless of gestational age, and the increased daily burden of EVs across gestational age indicate these EVs have the potential to regulate maternal physiology from early pregnancy. Since total EV protein content, like EV numbers was, constant, this is a potentially reliable surrogate for quantifying EVs.</t>
  </si>
  <si>
    <t>[Liu, Haiyan; Chen, Qi] Fudan Univ, Hosp Obstet &amp; Gynaecol, 419 Fangxie Rd, Shanghai, Peoples R China; [Liu, Haiyan; Kang, Matt; Wang, Julie; Blenkiron, Cherie; Wise, Michelle; Chamley, Larry; Chen, Qi] Univ Auckland, Dept Obstet &amp; Gynaecol, Auckland, New Zealand; [Blenkiron, Cherie] Univ Auckland, Dept Mol Med &amp; Pathol, Auckland, New Zealand; [Lee, Arier] Univ Auckland, Sch Populat Hlth, Sect Epidemiol &amp; Biostat, Auckland, New Zealand</t>
  </si>
  <si>
    <t>Chen, Q (corresponding author), Fudan Univ, Hosp Obstet &amp; Gynaecol, 419 Fangxie Rd, Shanghai, Peoples R China.</t>
  </si>
  <si>
    <t>q.chen@auckland.ac.nz</t>
  </si>
  <si>
    <t>Wise, Michelle/0000-0001-9194-9585; Chamley, Lawrence/0000-0002-7501-1340; Blenkiron, Cherie/0000-0002-0217-3808</t>
  </si>
  <si>
    <t>72-73</t>
  </si>
  <si>
    <t>10.1016/j.placenta.2018.10.009</t>
  </si>
  <si>
    <t>WOS:000451301700006</t>
  </si>
  <si>
    <t>Tang, KD; Wan, YX; Zhang, X; Bozyk, N; Vasani, S; Kenny, L; Punyadeera, C</t>
  </si>
  <si>
    <t>Tang, Kai Dun; Wan, Yunxia; Zhang, Xi; Bozyk, Natalie; Vasani, Sarju; Kenny, Liz; Punyadeera, Chamindie</t>
  </si>
  <si>
    <t>Proteomic Alterations in Salivary Exosomes Derived from Human Papillomavirus-Driven Oropharyngeal Cancer</t>
  </si>
  <si>
    <t>MOLECULAR DIAGNOSIS &amp; THERAPY</t>
  </si>
  <si>
    <t>SQUAMOUS-CELL CARCINOMA; ORAL HPV INFECTION; LIQUID-BIOPSY; UNITED-STATES; 16 E6; HEAD; EXPRESSION; OVEREXPRESSION; PREVALENCE; BIOMARKERS</t>
  </si>
  <si>
    <t>Background Increasing evidence supports the notion that human papillomavirus (HPV) DNA integration onto the human genome can influence and alter the molecular cargo in the exosomes derived from head and neck cancer cells. However, the molecular cargo of salivary exosomes derived from HPV-driven oropharyngeal cancer (HPV-driven OPC) remains unelucidated. Methods and materials Salivary exosomes morphology and molecular characterizations were examined using the nanoparticle tracking (NTA), western blot analysis, transmission electron microscopy (TEM) and mass spectrometry analysis. Results We report that HPV16 DNA was detected (80%) in isolated salivary exosomes of HPV-driven OPC patients. Importantly, we demonstrate elevated protein levels of six main glycolytic enzymes [i.e., aldolase (ALDOA), glyceraldehye-3-phosphate dehydrogenase (GAPDH), lactate dehydrogenase A/B (LDHA and LDHB), phosphoglycerate kinase 1 (PGK1) and pyruvate kinase M1/2 (PKM)] in isolated salivary exosomes of HPV-driven OPC patients, suggesting a novel mechanism underlying the potential role of salivary exosomes in mediating the reciprocal interplay between glucose metabolism and HPV-driven OPC. Conclusion Our data demonstrate the potential diagnostic value of HPV16 DNA and glycolytic enzymes in salivary exosomes in discriminating healthy controls from HPV-driven OPC patients, thereby opening new avenues in the future for clinical translation studies.</t>
  </si>
  <si>
    <t>[Tang, Kai Dun; Wan, Yunxia; Zhang, Xi; Bozyk, Natalie; Punyadeera, Chamindie] Queensland Univ Technol QUT, Sch Biomed Sci, Saliva &amp; Liquid Biopsy Translat Lab, Translat Res Inst, 60 Musk Ave,GPO Box 2434, Brisbane, Qld 4059, Australia; [Vasani, Sarju] Royal Brisbane &amp; Womens Hosp, Dept Otolaryngol, Herston, Qld 4029, Australia; [Kenny, Liz] Univ Queensland, Royal Brisbane &amp; Womens Hosp, Cent Integrated Reg Canc Serv, Sch Med,Queensland Hlth, Brisbane, Qld 4029, Australia</t>
  </si>
  <si>
    <t>Queensland University of Technology (QUT); Royal Brisbane &amp; Women's Hospital; Queensland Health; Royal Brisbane &amp; Women's Hospital; University of Queensland</t>
  </si>
  <si>
    <t>Punyadeera, C (corresponding author), Queensland Univ Technol QUT, Sch Biomed Sci, Saliva &amp; Liquid Biopsy Translat Lab, Translat Res Inst, 60 Musk Ave,GPO Box 2434, Brisbane, Qld 4059, Australia.</t>
  </si>
  <si>
    <t>chamindie.punyadeera@qut.edu.au</t>
  </si>
  <si>
    <t>Punyadeera, Chamindie/0000-0001-9039-8259</t>
  </si>
  <si>
    <t>1177-1062</t>
  </si>
  <si>
    <t>1179-2000</t>
  </si>
  <si>
    <t>10.1007/s40291-021-00538-2</t>
  </si>
  <si>
    <t>Genetics &amp; Heredity; Pharmacology &amp; Pharmacy</t>
  </si>
  <si>
    <t>WOS:000657214600001</t>
  </si>
  <si>
    <t>Galuska, CE; Dambon, JA; Kuhnle, A; Bornhofft, KF; Prem, G; Zlatina, K; Lutteke, T; Galuska, SP</t>
  </si>
  <si>
    <t>Galuska, Christina E.; Dambon, Jan A.; Kuehnle, Andrea; Bornhoefft, Kim F.; Prem, Gerlinde; Zlatina, Kristina; Luetteke, Thomas; Galuska, Sebastian P.</t>
  </si>
  <si>
    <t>Artificial Polysialic Acid Chains as Sialidase-Resistant Molecular-Anchors to Accumulate Particles on Neutrophil Extracellular Traps</t>
  </si>
  <si>
    <t>neutrophil extracellular traps; polysialic acid; nanoparticle; histones; lipopolysaccharides</t>
  </si>
  <si>
    <t>PERFORMANCE LIQUID-CHROMATOGRAPHY; INNATE IMMUNE-SYSTEM; AUTOIMMUNE-DISEASES; ENDOTHELIAL-CELLS; DARK SIDE; NETS; NANOPARTICLES; SEPSIS; SPERMATOZOA; ACTIVATION</t>
  </si>
  <si>
    <t>Neutrophils are involved in numerous immunological events. One mechanism of neutrophils to combat pathogens is the formation of neutrophil extracellular traps (NETs). Thereby, neutrophils use DNA fibers to form a meshwork of DNA and histones as well as several antimicrobial components to trap and kill invaders. However, the formation of NETs can lead to pathological conditions triggering among other things (e.g., sepsis or acute lung failure), which is mainly a consequence of the cytotoxic characteristics of accumulated extracellular histones. Interestingly, the carbohydrate polysialic acid represents a naturally occurring antagonist of the cytotoxic properties of extracellular histones. Inspired by polysialylated vesicles, we developed polysialylated nanoparticles. Since sialidases are frequently present in areas of NET formation, we protected the sensitive non-reducing end of these homopolymers. To this end, the terminal sialic acid residue of the non-reducing end was oxidized and directly coupled to nanoparticles. The covalently linked sialidase-resistant polysialic acid chains are still able to neutralize histone-mediated cytotoxicity and to initiate binding of these polysialylated particles to NET filaments. Furthermore, polysialylated fluorescent microspheres can be used as a bioanalytical tool to stain NET fibers. Thus, polySia chains might not only be a useful agent to reduce histone-mediated cytotoxicity but also an anchor to accumulate nanoparticles loaded with active substances in areas of NET formation.</t>
  </si>
  <si>
    <t>[Galuska, Christina E.; Dambon, Jan A.; Kuehnle, Andrea; Bornhoefft, Kim F.; Zlatina, Kristina; Galuska, Sebastian P.] Leibniz Inst Farm Anim Biol FBN, Inst Reprod Biol, Dummerstorf, Germany; [Galuska, Christina E.; Dambon, Jan A.; Prem, Gerlinde; Zlatina, Kristina; Galuska, Sebastian P.] Justus Liebig Univ, Inst Biochem, Fac Med, Giessen, Germany; [Luetteke, Thomas] Justus Liebig Univ, Inst Vet Physiol &amp; Biochem, Giessen, Germany; [Luetteke, Thomas] iTech Progress GmbH, Ludwigshafen, Germany</t>
  </si>
  <si>
    <t>Forschungsinstitut fur Nutztierbiologie (FBN); Justus Liebig University Giessen; Justus Liebig University Giessen</t>
  </si>
  <si>
    <t>Galuska, SP (corresponding author), Leibniz Inst Farm Anim Biol FBN, Inst Reprod Biol, Dummerstorf, Germany.;Galuska, SP (corresponding author), Justus Liebig Univ, Inst Biochem, Fac Med, Giessen, Germany.</t>
  </si>
  <si>
    <t>galuska.sebastian@fbn-dummerstorf.de</t>
  </si>
  <si>
    <t>Lütteke, Thomas/ABH-2327-2020</t>
  </si>
  <si>
    <t>Lütteke, Thomas/0000-0002-7140-9933</t>
  </si>
  <si>
    <t>10.3389/fimmu.2017.01229</t>
  </si>
  <si>
    <t>WOS:000411961400001</t>
  </si>
  <si>
    <t>Fang, C; Li, YM; Hu, S; Wang, H; Chen, XX; Zhu, XL</t>
  </si>
  <si>
    <t>Fang, Cheng; Li, Yuming; Hu, Song; Wang, Hao; Chen, Xiaoxia; Zhu, Xiaoli</t>
  </si>
  <si>
    <t>Self-Assembled Growing DNA Tree Mediated by Exosomes for Amplified Imaging of Messenger RNA in Living Cells</t>
  </si>
  <si>
    <t>HYBRIDIZATION CHAIN-REACTION; SIGNAL AMPLIFICATION; RELEASE; PCR</t>
  </si>
  <si>
    <t>Sensitive, accurate, and nondestructive probing of endogenous messenger RNA (mRNA) in living cells places extremely high demands on nanocarriers and probes and is still a challenge. In the present study, we describe a target-triggered self- assembled DNA tree for amplified analysis of mRNA in intact living cells. The probes assembled into a DNA tree are transported into cells by exosomes, which is beneficial for reducing cell damage and realizing nondestructive analysis. The probes are L-configured single-stranded DNAs (LDNAs) that can resist the degradation of exonuclease and endonuclease, thus laying the foundation for accurate analysis. Under the induction of the target mRNA, the probes in the cells assemble into a small plantlet and eventually grow into a tree after a few rounds of self-cycling, achieving the exponential amplification of fluorescence signals. Compared with the signal amplification based on one-dimensional DNA trunk self-assembly, the three-dimensional DNA tree shows an excellent sensitivity both ex situ and in situ. In this way, favorable sensitivity, accuracy, and nondestructive analysis are integrated into one system. This DNA tree expands the analysis platform for analyzing more biomarkers on a genetic level in an intracellular, nondestructive, and hypersensitive manner and holds great potential in clinical diagnostic and research applications.</t>
  </si>
  <si>
    <t>[Fang, Cheng; Li, Yuming] Fudan Univ, Huashan Hosp, Dept Crit Care Med, Shanghai 200040, Peoples R China; [Hu, Song; Wang, Hao; Zhu, Xiaoli] Tongji Univ, Dept Clin Lab Med, Shanghai Peoples Hosp 10, Shanghai 200072, Peoples R China; [Chen, Xiaoxia; Zhu, Xiaoli] Shanghai Univ, Ctr Mol Recognit &amp; Biosensing, Sch Life Sci, Shanghai 200444, Peoples R China; [Chen, Xiaoxia] Shanghai Jiao Tong Univ, Sch Biomed Engn, Shanghai 200030, Peoples R China; [Chen, Xiaoxia] Shanghai Jiao Tong Univ, Med X Res Inst, Shanghai 200030, Peoples R China</t>
  </si>
  <si>
    <t>Fudan University; Tongji University; Shanghai University; Shanghai Jiao Tong University; Shanghai Jiao Tong University</t>
  </si>
  <si>
    <t>Zhu, XL (corresponding author), Tongji Univ, Dept Clin Lab Med, Shanghai Peoples Hosp 10, Shanghai 200072, Peoples R China.;Chen, XX; Zhu, XL (corresponding author), Shanghai Univ, Ctr Mol Recognit &amp; Biosensing, Sch Life Sci, Shanghai 200444, Peoples R China.;Chen, XX (corresponding author), Shanghai Jiao Tong Univ, Sch Biomed Engn, Shanghai 200030, Peoples R China.;Chen, XX (corresponding author), Shanghai Jiao Tong Univ, Med X Res Inst, Shanghai 200030, Peoples R China.</t>
  </si>
  <si>
    <t>accalia@sjtu.edu.cn; xiaolizhu@shu.edu.cn</t>
  </si>
  <si>
    <t>Wang, Hao/0000-0002-9652-6941</t>
  </si>
  <si>
    <t>10.1021/acs.analchem.1c00211</t>
  </si>
  <si>
    <t>WOS:000665642500007</t>
  </si>
  <si>
    <t>Ke, X; Yang, DH; Liang, JW; Wang, X; Wu, SY; Wang, XQ; Hu, CH</t>
  </si>
  <si>
    <t>Ke, Xiao; Yang, Dahao; Liang, Jiawen; Wang, Xing; Wu, Shaoyun; Wang, Xiaoqing; Hu, Chengheng</t>
  </si>
  <si>
    <t>Human Endothelial Progenitor Cell-Derived Exosomes Increase Proliferation and Angiogenesis in Cardiac Fibroblasts by Promoting the Mesenchymal-Endothelial Transition and Reducing High Mobility Group Box 1 Protein B1 Expression</t>
  </si>
  <si>
    <t>myocardial fibrosis; endothelial progenitor cells; exosomes; cardiac fibroblasts; mesenchymal-endothelial transition; angiogenesis</t>
  </si>
  <si>
    <t>FIBROSIS; IDENTIFICATION; CONTRIBUTES; DYSFUNCTION; INJURY; MODEL; RATS</t>
  </si>
  <si>
    <t>Myocardial fibrosis is a characteristic feature of cardiomyopathies. However, no effective strategies to attenuate cardiac fibrosis are currently available. Late-stage endothelial progenitor cells (EPCs) are precursors of endothelial cells (ECs) that repair the heart through a paracrine mechanism. In the present study, we tested whether EPC-derived exosomes regulate the differentiation of fibroblasts into ECs. We isolated late-stage EPCs from human peripheral blood (PB) and used immunofluorescence and flow cytometry to confirm their identity. Next, we isolated exosomes from the EPCs and characterized their morphology using electron microscopy and confirmed the expression of exosome-specific marker proteins using Western blots. We then investigated the in vitro effects of exosomes on the proliferation and angiogenesis of cardiac fibroblasts (CFs) and on the expression of the mesenchymal-endothelial transition (MEndT)-related genes and the myocardial fibrosis-regulated protein, high mobility group box 1 protein B1 (HMGB1). We found that human PB-EPC-derived exosomes enhanced the proliferation and angiogenesis of CFs in vitro. Furthermore, CFs stimulated with these exosomes showed increased expression of the EC-specific markers, like cluster of differentiation 31 and vascular endothelial growth factor receptor 2, and decreased expression of proteins involved in fibrosis, like alpha-smooth muscle actin, vimentin, collagen I, transforming growth factor-beta, and tumor necrosis factor-alpha. In addition, CFs stimulated with human PB-EPC-derived exosomes, inhibited the expression of HMGB1. Taken together, our study demonstrated that EPC-derived exosomes promote the proliferation and angiogenesis of CFs by inhibiting MEndT and decreasing the expression of HMGB1.</t>
  </si>
  <si>
    <t>[Ke, Xiao; Yang, Dahao; Wang, Xiaoqing] Shenzhen Sun Yat Sen Cardiovasc Hosp, Dept Cardiol, 1021 Dongmen North Rd, Shenzhen 518112, Guangdong, Peoples R China; [Liang, Jiawen; Wang, Xing; Wu, Shaoyun; Hu, Chengheng] Sun Yat Sen Univ, Affiliated Hosp 1, Dept Cardiol, 58 Zhongshan 2nd Rd, Guangzhou 510080, Guangdong, Peoples R China</t>
  </si>
  <si>
    <t>Wang, XQ (corresponding author), Shenzhen Sun Yat Sen Cardiovasc Hosp, Dept Cardiol, 1021 Dongmen North Rd, Shenzhen 518112, Guangdong, Peoples R China.;Hu, CH (corresponding author), Sun Yat Sen Univ, Affiliated Hosp 1, Dept Cardiol, 58 Zhongshan 2nd Rd, Guangzhou 510080, Guangdong, Peoples R China.</t>
  </si>
  <si>
    <t>wangxiaoq@163.com; huchengheng138@163.com</t>
  </si>
  <si>
    <t>10.1089/dna.2017.3836</t>
  </si>
  <si>
    <t>WOS:000415091900017</t>
  </si>
  <si>
    <t>Crewe, C; Funcke, JB; Li, SJ; Joffin, N; Gliniak, CM; Ghaben, AL; An, YA; Sadek, HA; Gordillo, R; Akgul, Y; Chen, SW; Samovski, D; Fischer-Posovszky, P; Kusminski, CM; Klein, S; Scherer, PE</t>
  </si>
  <si>
    <t>Crewe, Clair; Funcke, Jan-Bernd; Li, Shujuan; Joffin, Nolwenn; Gliniak, Christy M.; Ghaben, Alexandra L.; An, Yu A.; Sadek, Hesham A.; Gordillo, Ruth; Akgul, Yucel; Chen, Shiuhwei; Samovski, Dmitri; Fischer-Posovszky, Pamela; Kusminski, Christine M.; Klein, Samuel; Scherer, Philipp E.</t>
  </si>
  <si>
    <t>Extracellular vesicle-based interorgan transport of mitochondria from energetically stressed adipocytes</t>
  </si>
  <si>
    <t>CELL METABOLISM</t>
  </si>
  <si>
    <t>DIET-INDUCED OBESITY; REPERFUSION INJURY; MYOCARDIAL SUSCEPTIBILITY; OXIDATIVE STRESS; HEART-DISEASE; PATHWAY; TOLERANCE; MECHANISM; DNA; DYSREGULATION</t>
  </si>
  <si>
    <t>Adipocytes undergo intense energetic stress in obesity resulting in loss of mitochondrial mass and function. We have found that adipocytes respond to mitochondrial stress by rapidly and robustly releasing small extra cellular vesicles (sEVs). These sEVs contain respiration-competent, but oxidatively damaged mitochondrial particles, which enter circulation and are taken up by cardiomyocytes, where they trigger a burst of ROS. The result is compensatory antioxidant signaling in the heart that protects cardiomyocytes from acute oxidative stress, consistent with a preconditioning paradigm. As such, a single injection of sEVs from energetically stressed adipocytes limits cardiac ischemia/reperfusion injury in mice. This study provides the first description of functional mitochondrial transfer between tissues and the first vertebrate example of inter-organ mitohormesis.Thus, these seemingly toxic adipocyte sEVs may provide a physiological avenue of potent cardio-protection against the inevitable lipotoxic or ischemic stresses elicited by obesity.</t>
  </si>
  <si>
    <t>[Crewe, Clair; Funcke, Jan-Bernd; Joffin, Nolwenn; Gliniak, Christy M.; Ghaben, Alexandra L.; An, Yu A.; Gordillo, Ruth; Chen, Shiuhwei; Kusminski, Christine M.; Scherer, Philipp E.] Univ Texas Southwestern Med Ctr Dallas, Dept Internal Med, Touchstone Diabet Ctr, Dallas, TX 75390 USA; [Li, Shujuan; Sadek, Hesham A.] Univ Texas Southwestern Med Ctr Dallas, Ctr Regenerat Sci &amp; Med, Dallas, TX 75390 USA; [Akgul, Yucel] Univ Texas Southwestern Med Ctr Dallas, Dept Plast Surg, Dallas, TX 75390 USA; [Samovski, Dmitri; Klein, Samuel] Washington Univ, Sch Med, Ctr Human Nutr, St Louis, MO USA; [Samovski, Dmitri; Klein, Samuel] Washington Univ, Sch Med, Dept Med, St Louis, MO 63110 USA; [Fischer-Posovszky, Pamela] Ulm Univ, Dept Pediat &amp; Adolescent Med, Med Ctr, D-89075 Ulm, Germany; [Li, Shujuan] Sun Yat Sen Univ, Affiliated Hosp 1, Dept Pediat Cardiol, Guangzhou, Peoples R China; [Sadek, Hesham A.] Univ Texas Southwestern Med Ctr Dallas, Div Cardiol, Dept Internal Med, Dallas, TX 75390 USA; [Scherer, Philipp E.] Univ Texas Southwestern Med Ctr Dallas, Dept Cell Biol, Dallas, TX 75390 USA</t>
  </si>
  <si>
    <t>University of Texas System; University of Texas Southwestern Medical Center Dallas; University of Texas System; University of Texas Southwestern Medical Center Dallas; University of Texas System; University of Texas Southwestern Medical Center Dallas; Washington University (WUSTL); Washington University (WUSTL); Ulm University; Sun Yat Sen University; University of Texas System; University of Texas Southwestern Medical Center Dallas; University of Texas System; University of Texas Southwestern Medical Center Dallas</t>
  </si>
  <si>
    <t>Scherer, PE (corresponding author), Univ Texas Southwestern Med Ctr Dallas, Dept Internal Med, Touchstone Diabet Ctr, Dallas, TX 75390 USA.;Scherer, PE (corresponding author), Univ Texas Southwestern Med Ctr Dallas, Dept Cell Biol, Dallas, TX 75390 USA.</t>
  </si>
  <si>
    <t>philipp.scherer@utsouthwestern.edu</t>
  </si>
  <si>
    <t>An, Yu/O-2966-2013</t>
  </si>
  <si>
    <t>An, Yu/0000-0002-9678-3382</t>
  </si>
  <si>
    <t>1550-4131</t>
  </si>
  <si>
    <t>1932-7420</t>
  </si>
  <si>
    <t>10.1016/j.cmet.2021.08.002</t>
  </si>
  <si>
    <t>Cell Biology; Endocrinology &amp; Metabolism</t>
  </si>
  <si>
    <t>WOS:000696568500002</t>
  </si>
  <si>
    <t>Huang, L; Wang, DB; Singh, N; Yang, F; Gu, N; Zhang, XE</t>
  </si>
  <si>
    <t>Huang, Lin; Wang, Dian-Bing; Singh, Netrapal; Yang, Fang; Gu, Ning; Zhang, Xian-En</t>
  </si>
  <si>
    <t>A dual-signal amplification platform for sensitive fluorescence biosensing of leukemia-derived exosomes</t>
  </si>
  <si>
    <t>FLOW-CYTOMETRIC ANALYSIS; DIAGNOSIS; APTASENSOR; VESICLES; BIOLOGY; SURFACE</t>
  </si>
  <si>
    <t>Exosomes as nanosized biomarkers hold great potential for the diagnosis of cancer. However, the low concentration of cancer-derived exosomes present in biofluids makes early diagnosis strenuous. Here, we developed a fluorescent biosensing platform, namely a dual signal amplification, for the ultrasensitive detection of leukemia cell-derived exosomes. The protocol consists of three steps: first, leukemia-derived exosomes containing CD63 and nucleolin were captured by anti-CD63 antibody modified magnetic bead conjugates (MB-CD63); then, a DNA primer comprising a nucleolin-recognition aptamer (AS1411) was applied to bind the exosomes which further initiated a rolling circle amplification (RCA) reaction to generate many repeat sequences for hybridization with gold nanoparticle (GNP)-DNA-fluorescent dye (FAM) conjugates (GNP-DNA-FAM); finally, nicking endonuclease (NbBbvCI) assisted target recycling was introduced. As a result, FAM was released from GNP-DNA-FAM conjugates, transformed from the quenching state to the emission state and thus fluorescence signals continuously accumulated. With this dual signal amplification platform, as low as 1 x 10(2) particles per L exosomes could be detected. Furthermore, we have successfully applied this method for the detection of exosomes in spiked serum samples, indicating a promising tool for clinical application.</t>
  </si>
  <si>
    <t>[Huang, Lin; Yang, Fang; Gu, Ning] Southeast Univ, Sch Biol Sci &amp; Med Engn, Nanjing 210096, Jiangsu, Peoples R China; [Wang, Dian-Bing; Singh, Netrapal; Zhang, Xian-En] Chinese Acad Sci, Inst Biophys, Natl Lab Biomacromol, CAS Ctr Excellence Biomacromol, Beijing 100101, Peoples R China; [Singh, Netrapal] Chinese Acad Sci, Shenzhen Inst Adv Technol, Inst Synthet Biol Res, Shenzhen 518055, Peoples R China</t>
  </si>
  <si>
    <t>Southeast University - China; Chinese Academy of Sciences; Institute of Biophysics, CAS; Chinese Academy of Sciences; Shenzhen Institute of Advanced Technology, CAS</t>
  </si>
  <si>
    <t>Gu, N (corresponding author), Southeast Univ, Sch Biol Sci &amp; Med Engn, Nanjing 210096, Jiangsu, Peoples R China.;Zhang, XE (corresponding author), Chinese Acad Sci, Inst Biophys, Natl Lab Biomacromol, CAS Ctr Excellence Biomacromol, Beijing 100101, Peoples R China.</t>
  </si>
  <si>
    <t>guning@seu.edu.cn; zhangxe@ibp.ac.cn</t>
  </si>
  <si>
    <t>Wang, Dian-Bing/AFQ-6894-2022; Singh, Netrapal/AAS-7477-2021; ZHANG, Xian-En/AAJ-5579-2021</t>
  </si>
  <si>
    <t>Wang, Dian-Bing/0000-0001-6225-7010; Singh, Netrapal/0000-0001-6762-1707; huang, lin/0000-0002-8794-7920</t>
  </si>
  <si>
    <t>10.1039/c8nr07720g</t>
  </si>
  <si>
    <t>WOS:000451762800022</t>
  </si>
  <si>
    <t>Wang, ZY; Maruyama, K; Sakisaka, Y; Suzuki, S; Tada, H; Suto, M; Saito, M; Yamada, S; Nemoto, E</t>
  </si>
  <si>
    <t>Wang, Zhuyu; Maruyama, Kentarou; Sakisaka, Yukihiko; Suzuki, Shigeki; Tada, Hiroyuki; Suto, Mizuki; Saito, Masahiro; Yamada, Satoru; Nemoto, Eiji</t>
  </si>
  <si>
    <t>Cyclic Stretch Force Induces Periodontal Ligament Cells to Secrete Exosomes That Suppress IL-1 beta Production Through the Inhibition of the NF-kappa B Signaling Pathway in Macrophages</t>
  </si>
  <si>
    <t>exosomes; cyclic stretch; NF-kappa B signaling; inflammasome; periodontal ligament cells; macrophages</t>
  </si>
  <si>
    <t>NLRP3 INFLAMMASOME ACTIVATION; OSTEOGENIC DIFFERENTIATION; ENDOTHELIAL-CELLS; STEM; EXPRESSION; OSTEOBLASTS; MECHANISM; NEURONS; KINASE</t>
  </si>
  <si>
    <t>In the oral mechanical environment, periodontal ligament cells (PDL cells) contribute to maintaining periodontal tissue homeostasis. Recent studies showed that exosomes, which are small vesicles secreted by various types of cells, play a pivotal role in cell-to-cell communication in biological processes. We examined the secretion of exosomes from PDL cells stimulated with cyclic stretch and their role in the inflammatory response of macrophages using the human macrophage cell line THP-1 and human primary monocytes/macrophages. We prepared supernatants from human PDL cells (PDL-sup) stimulated with cyclic stretch. The treatment of macrophages with PDL-sup, but not PDL-sup from unstimulated PDL cells, inhibited the production of IL-1 beta in LPS/nigericin-stimulated macrophages. The pretreatment of PDL cells with GW4869, an inhibitor of exosome secretion, or siRNA for Rab27B, which controls exosome secretion, abrogated the inhibitory effects of PDL-sup. A transmission electron microscopy analysis demonstrated the existence of exosomes with diameters ranging between 30 and 100 nm in PDL-sup, suggesting that exosomes in PDL-sup contribute to this inhibition. An immunofluorescence microscopy analysis revealed that exosomes labeled with PKH67, a fluorescent dye, were incorporated by macrophages as early as 2 h after the addition of exosomes. Purified exosomes inhibited IL-1 beta production in LPS/nigericin-stimulated macrophages and the nuclear translocation of NF-kappa B as well as NF-kappa B p65 DNA-binding activity in LPS-stimulated macrophages, suggesting that exosomes suppress IL-1 beta production by inhibiting the NF-KB signaling pathway. Our results indicate that PDL cells in mechanical environments contribute to the maintenance of periodontal immune/inflammatory homeostasis by releasing exosomes.</t>
  </si>
  <si>
    <t>[Wang, Zhuyu; Maruyama, Kentarou; Sakisaka, Yukihiko; Suzuki, Shigeki; Suto, Mizuki; Yamada, Satoru; Nemoto, Eiji] Tohoku Univ, Grad Sch Dent, Dept Periodontol &amp; Endodontol, Sendai, Miyagi, Japan; [Tada, Hiroyuki] Tohoku Univ, Grad Sch Dent, Dept Oral Immunol, Sendai, Miyagi, Japan; [Saito, Masahiro] Tohoku Univ, Grad Sch Dent, Dept Restorat Dent, Sendai, Miyagi, Japan</t>
  </si>
  <si>
    <t>Tohoku University; Tohoku University; Tohoku University</t>
  </si>
  <si>
    <t>Nemoto, E (corresponding author), Tohoku Univ, Grad Sch Dent, Dept Periodontol &amp; Endodontol, Sendai, Miyagi, Japan.</t>
  </si>
  <si>
    <t>e-nemoto@dent.tohoku.ac.jp</t>
  </si>
  <si>
    <t>JUN 20</t>
  </si>
  <si>
    <t>10.3389/fimmu.2019.01310</t>
  </si>
  <si>
    <t>WOS:000472216600001</t>
  </si>
  <si>
    <t>Bu, J; Shim, JE; Lee, TH; Cho, YH</t>
  </si>
  <si>
    <t>Bu, Jiyoon; Shim, Jae-Eul; Lee, Tae Hee; Cho, Young-Ho</t>
  </si>
  <si>
    <t>Multi-modal liquid biopsy platform for cancer screening: screening both cancer-associated rare cells and cancer cell-derived vesicles on the fabric filters for a reliable liquid biopsy analysis</t>
  </si>
  <si>
    <t>NANO CONVERGENCE</t>
  </si>
  <si>
    <t>Circulating tumor cells; Extracellular vesicles; Cytochalasin B; Polyester fabric; Liquid biopsy; Multi-modal screening</t>
  </si>
  <si>
    <t>CIRCULATING TUMOR-CELLS; MESENCHYMAL-LIKE TRANSITION; BIOELECTRONIC NOSE; EXOSOMES; DIAGNOSIS; AFFINITY; DNA</t>
  </si>
  <si>
    <t>Circulating tumor cells (CTCs) are receiving a great amount of scientific interest as a diagnostic biomarker for various types of cancer. Despite the recent progress in the development of highly sensitive CTC isolation devices, post-capture analysis of CTCs is still hindered by technical challenges associated with their rarity. Herein, we present a multi-modal CTC screening platform which is capable to analyze CTCs and CTC-derived extracellular vesicles (EVs), simultaneously from a single sample. Cytochalasin B (CB) treatment promotes cells to release large number of EVs from their surface, as demonstrated by CB-treated cells (5 mu g/mL for 3 h) secreting 3.5-fold more EVs, compared to the non-treated cells. CB further generates 1.7-fold more EVs from the cells captured on our CTC filtration device (the fabric filter), compared to those from the cell culture flasks, owing to its multiple pore structure design which reduces the non-specific binding of EVs. Both CB-treated cancer cells and CB-induced EVs are found to overexpress tumor-associated markers, demonstrating a potential for the development of CTC dual-screening platform. Collectively, the results presented in this study reveal that our multi-modal cancer screening platform can synergistically improve the reliability and efficacy of the current CTC analysis systems.</t>
  </si>
  <si>
    <t>[Bu, Jiyoon; Shim, Jae-Eul; Lee, Tae Hee; Cho, Young-Ho] Korea Adv Inst Sci &amp; Technol, Cell Bench Res Ctr, 291 Daehak Ro, Daejeon 34141, South Korea; [Bu, Jiyoon] Univ Wisconsin, Sch Pharm, Pharmaceut Sci Div, 777 Highland Ave, Madison, WI 53705 USA; [Lee, Tae Hee] Eulji Univ, Graduated Sch, Dept Senior Healthcare, Plus Program BK21, 77,Gyeryong Ro 771Beon-gil, Daejeon, South Korea</t>
  </si>
  <si>
    <t>Korea Advanced Institute of Science &amp; Technology (KAIST); University of Wisconsin System; University of Wisconsin Madison; Eulji University</t>
  </si>
  <si>
    <t>Cho, YH (corresponding author), Korea Adv Inst Sci &amp; Technol, Cell Bench Res Ctr, 291 Daehak Ro, Daejeon 34141, South Korea.</t>
  </si>
  <si>
    <t>nanosys@kaist.ac.kr</t>
  </si>
  <si>
    <t>Bu, Jiyoon/ABD-7471-2021</t>
  </si>
  <si>
    <t>Bu, Jiyoon/0000-0002-0153-5109</t>
  </si>
  <si>
    <t>2196-5404</t>
  </si>
  <si>
    <t>10.1186/s40580-019-0204-3</t>
  </si>
  <si>
    <t>Nanoscience &amp; Nanotechnology; Materials Science, Multidisciplinary; Physics, Applied</t>
  </si>
  <si>
    <t>Science &amp; Technology - Other Topics; Materials Science; Physics</t>
  </si>
  <si>
    <t>WOS:000496570000001</t>
  </si>
  <si>
    <t>Li, SL; Liu, Q; Geng, Z; Li, KY; Zhao, T; Liu, P</t>
  </si>
  <si>
    <t>Li, Shanglin; Liu, Qiang; Geng, Zhi; Li, Kaiyi; Zhao, Tian; Liu, Peng</t>
  </si>
  <si>
    <t>Anionic Polysaccharide-Modified Filter Papers for Rapid Isolation of Extracellular Vesicles from Diverse Samples in a Simple Bind-Wash-Elute Manner</t>
  </si>
  <si>
    <t>CELL LUNG-CANCER; GLYCINE BETAINE; EXOSOMES; DIAGNOSIS; MICRORNA; PROTEIN; MECHANISM</t>
  </si>
  <si>
    <t>Extracellular vesicles (EVs) play a significant role in the pathophysiological process of many diseases, highlighting their values in medical diagnosis and disease monitoring. However, the current EV isolation methods are time-consuming, inconvenient to operate, and incompatible with downstream analyses. Here, we present a novel isolation method employing anionic polysaccharide-modified filter papers for the isolation of EVs (AppiEV) via electrostatic adsorption. A disc of glass fiber-based filter modified with sodium alginate was assembled into a spin column to function as the solid capture phase. In the acidic condition, EVs were induced to carry more positively charged ions, which enable the capture of EVs by the negatively charged filter paper. After a wash, the EVs were released from the spin column using an alkaline elution buffer, which induces the EVs to carry more negative charges. The EVs isolated by AppiEV from cell culture supernatants, plasma, and urine are similar to or even better than those isolated by ultracentrifugation in terms of EV size distribution, protein distribution, and nucleic acid contents. Due to the interference removal of the EV-free RNA and DNA attributed to the negatively charged capture medium, the eluate of AppiEV could be directly used for genetic analysis, including the stem-loop RT-PCR analysis of miR-21 and the allele-specific PCR analysis of mutation genes of EGFR p.L858R and EGFR p.T790M. We believe that AppiEV offers a simple and efficient approach for the isolation of high-quality EVs from various liquid specimens.</t>
  </si>
  <si>
    <t>[Li, Shanglin; Geng, Zhi; Li, Kaiyi; Zhao, Tian; Liu, Peng] Tsinghua Univ, Sch Med, Dept Biomed Engn, Beijing 100084, Peoples R China; [Liu, Qiang] Beijing Haidian Hosp, Beijing 100080, Peoples R China</t>
  </si>
  <si>
    <t>Tsinghua University</t>
  </si>
  <si>
    <t>Liu, P (corresponding author), Tsinghua Univ, Sch Med, Dept Biomed Engn, Beijing 100084, Peoples R China.</t>
  </si>
  <si>
    <t>pliu@tsinghua.edu.cn</t>
  </si>
  <si>
    <t>Liu, Peng/0000-0003-3000-3168</t>
  </si>
  <si>
    <t>MAY 25</t>
  </si>
  <si>
    <t>10.1021/acs.analchem.0c02107</t>
  </si>
  <si>
    <t>WOS:000656519500005</t>
  </si>
  <si>
    <t>Li, BB; Hong, JX; Hong, M; Wang, YJ; Yu, TT; Zang, SB; Wu, QL</t>
  </si>
  <si>
    <t>Li, Beibei; Hong, Jiaxin; Hong, Mei; Wang, Yajun; Yu, Tingting; Zang, Sibin; Wu, Qiuling</t>
  </si>
  <si>
    <t>piRNA-823 delivered by multiple myeloma-derived extracellular vesicles promoted tumorigenesis through re-educating endothelial cells in the tumor environment</t>
  </si>
  <si>
    <t>ONCOGENE</t>
  </si>
  <si>
    <t>NOVO DNA METHYLATION; BONE-MARROW MICROENVIRONMENT; LEUKEMIA-CELLS; SMALL RNA; EXOSOMES; MICROVESICLES; ANGIOGENESIS; CONTRIBUTES; PROTEINS; MIRNAS</t>
  </si>
  <si>
    <t>Extracellular vesicles (EVs) can carry a wide array of RNAs in the tumor microenvironment, and are crucial for communication between tumor and surrounding stromal cells, including endothelial cells. Piwi-interacting RNAs (piRNAs) are important regulators implicated in the pathogenesis of multiple myeloma (MM). However, little is understood about the role of piRNA-823 in intercellular communication between MM and endothelial cells. In this study, we found that piRNA-823 mainly accumulated in EVs from peripheral blood of MM patients and EVs derived from MM cells (MM-derived-EVs). Increased piRNA-823 expression was associated with late stages and poor prognosis of MM. The MM-derived-EVs effectively transferred piRNA-823 to EA.hy926 endothelial cells. The piRNA-823 mimic and inhibitor were designed to upregulate or to suppress the endogenous function of piRNA-823. Transfection with piRNA-823 mimic or treatment with MM-derived-EVs significantly promoted the proliferation, tube formation, and invasion of EA.hy926 cells by enhancing the expression of VEGF, IL-6, and ICAM-1 and attenuating apoptosis. EA.hy926 cells transfected with piRNA-823 mimic or pre-treated with MM-derived-EVs promoted the growth of xenograft MM in mice. In contrast, the transfection with piRNA-823 inhibitor or treatment with EVs from piRNA-823 inhibitor-transfected-MM cells had diametrically opposite effects. Our findings demonstrated that piRNA-823 carried by MM-derived-EVs is essential for the re-education of ECs toward a unique environment amenable to the growth of MM cells by altering its biological characteristics. Our findings may pave the way for the development of new piRNA-mediated prognostic stratification and therapeutic strategies for MM.</t>
  </si>
  <si>
    <t>[Li, Beibei; Hong, Jiaxin; Hong, Mei; Wang, Yajun; Yu, Tingting; Zang, Sibin; Wu, Qiuling] Huazhong Univ Sci &amp; Technol, Union Hosp, Tongji Med Coll, Inst Hematol, Wuhan, Hubei, Peoples R China; [Hong, Jiaxin] Huazhong Univ Sci &amp; Technol, Union Hosp, Tongji Med Coll, Canc Ctr, Wuhan, Hubei, Peoples R China; [Hong, Mei] Soochow Univ, Collaborat Innovat Ctr Hematol, Suzhou, Peoples R China</t>
  </si>
  <si>
    <t>Huazhong University of Science &amp; Technology; Huazhong University of Science &amp; Technology; Soochow University - China</t>
  </si>
  <si>
    <t>Wu, QL (corresponding author), Huazhong Univ Sci &amp; Technol, Union Hosp, Tongji Med Coll, Inst Hematol, Wuhan, Hubei, Peoples R China.</t>
  </si>
  <si>
    <t>wuqiuling927@qq.com</t>
  </si>
  <si>
    <t>Wu, Qiuling/0000-0001-6488-5731</t>
  </si>
  <si>
    <t>0950-9232</t>
  </si>
  <si>
    <t>1476-5594</t>
  </si>
  <si>
    <t>10.1038/s41388-019-0788-4</t>
  </si>
  <si>
    <t>Biochemistry &amp; Molecular Biology; Oncology; Cell Biology; Genetics &amp; Heredity</t>
  </si>
  <si>
    <t>WOS:000473025300008</t>
  </si>
  <si>
    <t>Sukreet, S; Braga, CP; An, TT; Adamec, J; Cui, J; Zempleni, J</t>
  </si>
  <si>
    <t>Sukreet, Sonal; Braga, Camila Pereira; An, Thuy T.; Adamec, Jiri; Cui, Juan; Zempleni, Janos</t>
  </si>
  <si>
    <t>Ultrasonication of Milk Decreases the Content of Exosomes and MicroRNAs in an Exosome-Defined Rodent Diet</t>
  </si>
  <si>
    <t>JOURNAL OF NUTRITION</t>
  </si>
  <si>
    <t>bovine milk exosomes; lactose intolerance; lipids; microRNA; proteins; rodent diet; ultrasonication</t>
  </si>
  <si>
    <t>BOVINE-MILK; INTESTINAL LACTASE; OXIDATIVE DAMAGE; GENE-EXPRESSION; MESSENGER-RNA; CELLS; PROTEOMICS; TRANSPORT; LACTOSE; STORAGE</t>
  </si>
  <si>
    <t>Background Bovine milk exosomes (BMEs) harbor regulatory proteins, lipids, and microRNAs. Consumption of an exosome- and RNA-depleted (ERD) diet elicited phenotypes compared with controls fed an exosome- and RNA-sufficient (ERS) diet in mice. All other ingredients were identical in the diets. ERD and ERS diets were prepared by substituting ultrasonicated and nonultrasonicated milk, respectively, for casein in the AIN-93G formulation. Objectives The objective of this study was to assess the effect of ultrasonication of milk on exosome content and bioavailability, and cargo content. Methods Bovine milk was ultrasonicated and exosomes were isolated by ultracentrifugation [ultrasonicated exosomes (USEs)]; controls were not ultrasonicated [nonultrasonicated exosomes (NSEs)]. Exosome count, size, and morphology were assessed using a nanoparticle tracker and electron microscopy. RNAs, lipids, and proteins were analyzed by RNA sequencing and MS. Intestinal transport, bioavailability, and distribution were measured by using fluorophore-labeled USEs and NSEs in Caco-2 cells, FHs 74 Int cells, and C57BL/6J mice (n = 3; age: 6-8 wk). Results The exosome count was 76% +/- 22% lower in USEs than in NSEs (P &lt; 0.05). Ultrasonication caused a degradation of &lt;= 100% of microRNAs. USEs and NSEs contained 145 and 332 unique lipid signatures, respectively (P &lt; 0.05). We detected a total of 525 and 484 proteins in USEs and NSEs, respectively. The uptake of USEs decreased by 46% +/- 30% and 40% +/- 27% compared with NSEs in Caco-2 and FHs 74 Int cells, respectively (P &lt; 0.05). The hepatic accumulation of USEs was 48% +/- 28% lower than the accumulation of NSEs in mice (P &lt; 0.05). Conclusions Ultrasonication of milk depletes bioavailable BMEs in studies of Caco-2 cells, FHs 74 Int cells, and C57BL/6J mice and causes a near-complete degradation of microRNA cargos.</t>
  </si>
  <si>
    <t>[Sukreet, Sonal; Zempleni, Janos] Univ Nebraska, Dept Nutr &amp; Hlth Sci, Lincoln, NE 68588 USA; [Braga, Camila Pereira; Adamec, Jiri] Univ Nebraska, Dept Biochem, Lincoln, NE 68583 USA; [An, Thuy T.; Cui, Juan] Univ Nebraska, Dept Comp Sci &amp; Engn, Lincoln, NE 68588 USA</t>
  </si>
  <si>
    <t>Zempleni, J (corresponding author), Univ Nebraska, Dept Nutr &amp; Hlth Sci, Lincoln, NE 68588 USA.</t>
  </si>
  <si>
    <t>Sukreet, Sonal/0000-0001-8177-0522; Zempleni, Janos/0000-0001-5492-4661</t>
  </si>
  <si>
    <t>0022-3166</t>
  </si>
  <si>
    <t>1541-6100</t>
  </si>
  <si>
    <t>10.1093/jn/nxab452</t>
  </si>
  <si>
    <t>WOS:000767411100001</t>
  </si>
  <si>
    <t>Chiang, MD; Chang, CY; Shih, HJ; Le, VL; Huang, YH; Huang, CJ</t>
  </si>
  <si>
    <t>Chiang, Milton D.; Chang, Chao-Yuan; Shih, Hung-Jen; Le, Van Long; Huang, Yen-Hua; Huang, Chun-Jen</t>
  </si>
  <si>
    <t>Exosomes from Human Placenta Choriodecidual Membrane-Derived Mesenchymal Stem Cells Mitigate Endoplasmic Reticulum Stress, Inflammation, and Lung Injury in Lipopolysaccharide-Treated Obese Mice</t>
  </si>
  <si>
    <t>lung injury; obesity; endoplasmic reticulum stress; exosomes; LPS</t>
  </si>
  <si>
    <t>NF-KAPPA-B; ER-STRESS; ACTIVATION; CHOP; TRANSLATION; INHIBITION; IL-1-BETA; REGULATOR; INTERPLAY; SEPSIS</t>
  </si>
  <si>
    <t>Endoplasmic reticulum (ER) stress mediates the effects of obesity on aggravating sepsis-induced lung injury. We investigated whether exosomes from human placenta choriodecidual membrane-derived mesenchymal stem cells (pcMSCs) can mitigate pulmonary ER stress, lung injury, and the mechanisms of inflammation, oxidation, and apoptosis in lipopolysaccharide-treated obese mice. Diet-induced obese (DIO) mice (adult male C57BL/6J mice fed with a 12-week high-fat diet) received lipopolysaccharide (10 mg/kg, i.p.; DIOLPS group) or lipopolysaccharide plus exosomes (1 x 10(8) particles/mouse, i.p.; DIOLPSExo group). Our data demonstrated lower levels of ER stress (upregulation of glucose-regulated protein 78, phosphorylated eukaryotic initiation factor 2 alpha, and C/EBP homologous protein; p = 0.038, &lt;0.001, and &lt;0.001, respectively), inflammation (activation of nuclear factor-kB, hypoxia-inducible factor-1 alpha, macrophages, and NLR family pyrin domain containing 3; upregulation of tumor necrosis factor-alpha, interleukin-1 beta, and interleukin-6; p = 0.03, &lt;0.001, &lt;0.001, &lt;0.001, &lt;0.001, &lt;0.001, and &lt;0.001, respectively), lipid peroxidation (p &lt; 0.001), and apoptosis (DNA fragmentation, p = 0.003) in lung tissues, as well as lower lung injury level (decreases in tidal volume, peak inspiratory flow, and end expiratory volume; increases in resistance, injury score, and tissue water content; p &lt; 0.001, &lt;0.001, &lt;0.001, &lt;0.001, &lt;0.001, and =0.002, respectively) in the DIOLPSExo group than in the DIOLPS group. In conclusion, exosomes from human pcMSCs mitigate pulmonary ER stress, inflammation, oxidation, apoptosis, and lung injury in lipopolysaccharide-treated obese mice.</t>
  </si>
  <si>
    <t>[Chiang, Milton D.; Le, Van Long] Taipei Med Univ, Coll Med, Int PhD Program Med, Taipei 110, Taiwan; [Chang, Chao-Yuan] Taipei Med Univ, Wan Fang Hosp, Dept Med Res, Taipei 116, Taiwan; [Chang, Chao-Yuan; Huang, Chun-Jen] Taipei Med Univ, Wan Fang Hosp, Integrat Res Ctr Crit Care, Taipei 116, Taiwan; [Chang, Chao-Yuan; Huang, Chun-Jen] Taipei Med Univ, Grad Inst Clin Med, Coll Med, Taipei 110, Taiwan; [Shih, Hung-Jen] Changhua Christian Hosp, Dept Surg, Div Urol, Changhua 500, Taiwan; [Shih, Hung-Jen] MinDao Univ, Dept Recreat &amp; Holist Wellness, Changhua 523, Taiwan; [Shih, Hung-Jen] Taipei Med Univ, Coll Med, Sch Med, Dept Urol, Taipei 110, Taiwan; [Le, Van Long] Hue Univ Med &amp; Pharm, Dept Anesthesiol &amp; Crit Care, Hue City 52000, Vietnam; [Huang, Yen-Hua] Taipei Med Univ, Coll Med, Sch Med, Dept Biochem &amp; Mol Cell Biol, Taipei 110, Taiwan; [Huang, Yen-Hua] Taipei Med Univ, Res Ctr Cell Therapy &amp; Regenerat Med, Taipei 110, Taiwan; [Huang, Yen-Hua] Taipei Med Univ, Coll Med, Int PhD Program Cell Therapy &amp; Regenerat Med, Taipei 110, Taiwan; [Huang, Yen-Hua] Taipei Med Univ, Taipei Med Univ Hosp, Ctr Reprod Med, Taipei 110, Taiwan; [Huang, Chun-Jen] Taipei Med Univ, Wan Fang Hosp, Dept Anesthesiol, Taipei 116, Taiwan; [Huang, Chun-Jen] Taipei Med Univ, Coll Med, Sch Med, Dept Anesthesiol, Taipei 110, Taiwan</t>
  </si>
  <si>
    <t>Taipei Medical University; Taipei Medical University; Taipei Municipal WanFang Hospital; Taipei Medical University; Taipei Municipal WanFang Hospital; Taipei Medical University; Changhua Christian Hospital; Taipei Medical University; Hue University; Taipei Medical University; Taipei Medical University; Taipei Medical University; Taipei Medical University; Taipei Medical University Hospital; Taipei Medical University; Taipei Municipal WanFang Hospital; Taipei Medical University</t>
  </si>
  <si>
    <t>Huang, CJ (corresponding author), Taipei Med Univ, Wan Fang Hosp, Integrat Res Ctr Crit Care, Taipei 116, Taiwan.;Huang, CJ (corresponding author), Taipei Med Univ, Grad Inst Clin Med, Coll Med, Taipei 110, Taiwan.;Huang, CJ (corresponding author), Taipei Med Univ, Wan Fang Hosp, Dept Anesthesiol, Taipei 116, Taiwan.;Huang, CJ (corresponding author), Taipei Med Univ, Coll Med, Sch Med, Dept Anesthesiol, Taipei 110, Taiwan.</t>
  </si>
  <si>
    <t>d142108016@tmu.edu.tw; yuanc669@gmail.com; jasta1206@gmail.com; drlong.gmhshue@gmail.com; rita1204@tmu.edu.tw; cjhuang@tmu.edu.tw</t>
  </si>
  <si>
    <t>Huang, Yen-Hua/0000-0001-6020-9998; Chiang Morales, Milton Daniel/0000-0002-6853-4733; Le, Long/0000-0001-6508-5947</t>
  </si>
  <si>
    <t>10.3390/antiox11040615</t>
  </si>
  <si>
    <t>WOS:000787495600001</t>
  </si>
  <si>
    <t>Liu, WJ; Huang, YY; Li, ZP; Li, LL; Zhao, YL; Li, MY</t>
  </si>
  <si>
    <t>Liu, Wenjing; Huang, Yuanyu; Li, Zhengping; Li, Lele; Zhao, Yuliang; Li, Mengyuan</t>
  </si>
  <si>
    <t>Multivalent Engineering of Exosomes with Activatable Aptamer Probes for Specific Regulation and Monitoring of Cell Targeting</t>
  </si>
  <si>
    <t>EXTRACELLULAR VESICLES; DELIVERY; SECRETION</t>
  </si>
  <si>
    <t>Reconstituting and probing exosome-cell interactions is critical for elucidating exosome-related cell biology and advancing their diagnostic and therapeutic potential. We report here an exosomal engineering strategy to achieve controlled regulation of exosome-cell interactions with activatable sensing capability. The approach relies on membrane-protein directed, programmable DNA self-assembly to construct a DNA polymeric scaffold with multivalent display of structure-switchable aptamer sensing probes on exosome surfaces. The engineered exosomes exhibit enhanced cancer cell targeting ability compared to exosomes modified with monovalent aptamers. Furthermore, the anchored aptamer probes could be activated by specific membrane protein targeting, followed by structural switching to report an output fluorescence signal, thus allowing dynamic monitoring of exosome-cell interactions both in vitro and in vivo. We envision this will provide a complementary tool for specific regulation and monitoring of exosome-cell docking interactions and will advance the development of exosome-based biomedical applications.</t>
  </si>
  <si>
    <t>[Liu, Wenjing; Huang, Yuanyu] Beijing Inst Technol, Adv Res Inst Multidisciplinary Sci, Beijing 100081, Peoples R China; [Liu, Wenjing; Li, Lele; Zhao, Yuliang] Natl Ctr Nanosci &amp; Technol, CAS Key Lab Biomed Effects Nanomat &amp; Nanosafety, Beijing 100190, Peoples R China; [Li, Zhengping; Li, Mengyuan] Univ Sci &amp; Technol Beijing, Sch Chem &amp; Biol Engn, Beijing 100083, Peoples R China</t>
  </si>
  <si>
    <t>Beijing Institute of Technology; Chinese Academy of Sciences; National Center for Nanoscience &amp; Technology - China; University of Science &amp; Technology Beijing</t>
  </si>
  <si>
    <t>Li, MY (corresponding author), Univ Sci &amp; Technol Beijing, Sch Chem &amp; Biol Engn, Beijing 100083, Peoples R China.</t>
  </si>
  <si>
    <t>limengyuan@ustb.edu.cn</t>
  </si>
  <si>
    <t>Huang, Yuanyu/H-8466-2014</t>
  </si>
  <si>
    <t>Huang, Yuanyu/0000-0003-3935-7245</t>
  </si>
  <si>
    <t>10.1021/acs.analchem.1c04741</t>
  </si>
  <si>
    <t>WOS:000819810300010</t>
  </si>
  <si>
    <t>Chalapathi, D; Padmanabhan, S; Manjithaya, R; Narayana, C</t>
  </si>
  <si>
    <t>Chalapathi, Divya; Padmanabhan, Sreedevi; Manjithaya, Ravi; Narayana, Chandrabhas</t>
  </si>
  <si>
    <t>Surface-Enhanced Raman Spectroscopy as a Tool for Distinguishing Extracellular Vesicles under Autophagic Conditions: A Marker for Disease Diagnostics</t>
  </si>
  <si>
    <t>JOURNAL OF PHYSICAL CHEMISTRY B</t>
  </si>
  <si>
    <t>Extracellular vesicles (EVs) laden with lipids, proteins, DNA, and micro-RNAs play important biological functions in intercellular communication and have pivotal roles in pathophysiological conditions. Characterization of the EVs has always been a multistep process involving large volumes, and they are heterogeneous in size and properties. A multitude of approaches is used to distinguish the EVs. Here, we report simple citrate reduced silver nanoparticles assisted surface-enhanced Raman spectroscopy (SERS) as a tool to distinguish EVs extracted from several cell lines isolated under autophagic conditions (nitrogen starvation). This study is the first report of its kind in characterizing EVs from cells under autophagic conditions using SERS. We used two cancerous cell lines, HeLa, its corresponding autophagy-deficient cell line (Atg5(-/-)), and a noncancerous cell line, HEK293, to isolate EVs. Our study helps in the facile detection and differentiation of EVs isolated between two closely related human cell lines that differ by their autophagic ability. The principal component analysis (PCA) of the SERS spectra of these EVs consistently showed the presence of distinct chemical compositions of the EVs. SERS of EVs can help in probing more into the molecular level information from EVs and could become a powerful tool once coupled with improved microscopy techniques for diagnosis and therapy.</t>
  </si>
  <si>
    <t>[Chalapathi, Divya; Narayana, Chandrabhas] Jawaharlal Nehru Ctr Adv Sci Res, Chem &amp; Phys Mat Unit, Bengaluru, India; [Chalapathi, Divya; Narayana, Chandrabhas] Jawaharlal Nehru Ctr Adv Sci Res, Sch Adv Mat, Bengaluru, India; [Padmanabhan, Sreedevi; Manjithaya, Ravi] Jawaharlal Nehru Ctr Adv Sci Res, Mol Biol &amp; Genet Unit, Bengaluru, India</t>
  </si>
  <si>
    <t>Department of Science &amp; Technology (India); Jawaharlal Nehru Center for Advanced Scientific Research (JNCASR); Department of Science &amp; Technology (India); Jawaharlal Nehru Center for Advanced Scientific Research (JNCASR); Department of Science &amp; Technology (India); Jawaharlal Nehru Center for Advanced Scientific Research (JNCASR)</t>
  </si>
  <si>
    <t>Narayana, C (corresponding author), Jawaharlal Nehru Ctr Adv Sci Res, Chem &amp; Phys Mat Unit, Bengaluru, India.;Narayana, C (corresponding author), Jawaharlal Nehru Ctr Adv Sci Res, Sch Adv Mat, Bengaluru, India.;Manjithaya, R (corresponding author), Jawaharlal Nehru Ctr Adv Sci Res, Mol Biol &amp; Genet Unit, Bengaluru, India.</t>
  </si>
  <si>
    <t>ravim@jncasr.ac.in; cbhas@jncasr.ac.in</t>
  </si>
  <si>
    <t>1520-6106</t>
  </si>
  <si>
    <t>1520-5207</t>
  </si>
  <si>
    <t>DEC 3</t>
  </si>
  <si>
    <t>10.1021/acs.jpcb.0c06910</t>
  </si>
  <si>
    <t>WOS:000598115300008</t>
  </si>
  <si>
    <t>Zeng, RJ; Wang, J; Wang, QS; Tang, DP; Lin, Y</t>
  </si>
  <si>
    <t>Zeng, Ruijin; Wang, Jun; Wang, Qingshui; Tang, Dianping; Lin, Yao</t>
  </si>
  <si>
    <t>Horseradish peroxidase-encapsulated DNA nanoflowers: An innovative signal-generation tag for colorimetric biosensor</t>
  </si>
  <si>
    <t>Colorimetric biosensor; DNA nanoflowers; Rolling circle amplification; Enzyme encapsulation; DNA nanotechnology</t>
  </si>
  <si>
    <t>Herein a versatile colorimetric biosensing platform was designed for sensitive, specific, and rapid screening of cancer-derived exosomes (HepG2 cell-derived) by introducing horseradish pemxidase -encapsulated DNA nanoflowers (HRP-DF) as the biorecognition elements and signal-generation tags. HRP was concurrently associated with the growing ultralong-chain DNA and the magnesium pyrophosphate crystals (Mg(2)PPi) during the rolling circle amplification (RCA), thereby ultimately leading to the direct fixation of HRP in DFs. For demonstration, a linear DNA circular molecule encoding the complementary sequence of CD63 aptamer (a nucleic acid sequence that can highly bind to exosomes) was used as a starting amplification template to obtain HRP-DF with the high biorecognition ability of exosomes. Upon addition of target exosomes, a sandwiched reaction was carried out between the cholesterol-modified DNA probes-conjugated magnetic bead (MB) and the HRP-DFs, accompanying formation of ternary complexes (MB-exosomes-HRP-DF). After simple magnetic separation, the HRP carried on the ternary complexes (MB-exosomes-HRP-DF) initiated oxidation of 2,2'-azino-bis(3-ethyl-benzothiazoline-6-sulphonic acid) (ABTS, nearly colorless) into green-colored oxidized ABTS in the presence of hydrogen peroxide (H2O2). The obvious color change (from nearly colorless to dark green) of ABTS-H2O2 system can be easily observed with the naked eye and accurately monitored by UV-visible spectrometry, which was also proportional to the concentration of exosomes. Impressively, HRP-DF-based biosensing platform exhibited satisfactory colorimetric responses toward target exosomes within the working range from 5.0 x 10(3) to 5.0 x 10(6) particles/mu L at a low detection limit of 3.32 x 10(3) particles/mu L. Combined with a one-step sandwich reaction, magnetic separation and HRP-DF-based color-changing, this system had the advantages of acceptable accuracy, strong anti-interference ability and good reproducibility.</t>
  </si>
  <si>
    <t>[Zeng, Ruijin; Wang, Qingshui; Lin, Yao] Fujian Univ Tradit Chinese Med, Collaborat Innovat Ctr Rehabil Technol, Fujian Tradit Chinese Med Univ, Cent Lab,Affiliated Hosp 2, Fuzhou 350122, Fujian, Peoples R China; [Wang, Jun] Fujian Univ Tradit Chinese Med, Collaborat Innovat Ctr Rehabil Technol, Fujian Tradit Chinese Med Univ, Dept Gen Surg,Affiliated Hosp 2, Fuzhou 350122, Fujian, Peoples R China; [Zeng, Ruijin; Tang, Dianping] Fuzhou Univ, Dept Chem, MOE &amp; Fujian Prov, Key Lab Analyt Sci Food Safety &amp; Biol, Fuzhou 350108, Peoples R China</t>
  </si>
  <si>
    <t>Fujian University of Traditional Chinese Medicine; Fujian University of Traditional Chinese Medicine; Fuzhou University</t>
  </si>
  <si>
    <t>Lin, Y (corresponding author), Fujian Univ Tradit Chinese Med, Collaborat Innovat Ctr Rehabil Technol, Fujian Tradit Chinese Med Univ, Cent Lab,Affiliated Hosp 2, Fuzhou 350122, Fujian, Peoples R China.;Wang, J (corresponding author), Fujian Univ Tradit Chinese Med, Collaborat Innovat Ctr Rehabil Technol, Fujian Tradit Chinese Med Univ, Dept Gen Surg,Affiliated Hosp 2, Fuzhou 350122, Fujian, Peoples R China.</t>
  </si>
  <si>
    <t>1095077121@qq.com; yaolin@fjnu.edu.cn</t>
  </si>
  <si>
    <t>, yao/0000-0002-0493-0155</t>
  </si>
  <si>
    <t>10.1016/j.talanta.2020.121600</t>
  </si>
  <si>
    <t>WOS:000579910600087</t>
  </si>
  <si>
    <t>Mizrak, A; Bolukbasi, MF; Ozdener, GB; Brenner, GJ; Madlener, S; Erkan, EP; Strobel, T; Breakefield, XO; Saydam, O</t>
  </si>
  <si>
    <t>Mizrak, Arda; Bolukbasi, Mehmet Fatih; Ozdener, Gokhan Baris; Brenner, Gary J.; Madlener, Sibylle; Erkan, Erdogan Pekcan; Stroebel, Thomas; Breakefield, Xandra O.; Saydam, Okay</t>
  </si>
  <si>
    <t>Genetically Engineered Microvesicles Carrying Suicide mRNA/Protein Inhibit Schwannoma Tumor Growth</t>
  </si>
  <si>
    <t>GENE-THERAPY; CYTOSINE DEAMINASE; MEDIATED TRANSFER; IMMUNE-RESPONSES; PROTEIN-KINASE; T-CELLS; IN-VIVO; EXOSOMES; DELIVERY; MICRORNAS</t>
  </si>
  <si>
    <t>Microvesicles (MVs) play an important role in intercellular communication by carrying mRNAs, microRNAs (miRNAs), non-coding RNAs, proteins, and DNA from cell to cell. To our knowledge, this is the first report of delivery of a therapeutic mRNA/protein via MVs for treatment of cancer. We first generated genetically engineered MVs by expressing high levels of the suicide gene mRNA and protein-cytosine deaminase (CD) fused to uracil phosphoribosyltransferase (UPRT) in MV donor cells. MVs were isolated from these cells and used to treat pre-established nerve sheath tumors (schwannomas) in an orthotopic mouse model. We demonstrated that MV-mediated delivery of CD-UPRT mRNA/protein by direct injection into schwannomas led to regression of these tumors upon systemic treatment with the prodrug (5-fluorocytosine (5-FC)), which is converted within tumor cells to 5-fluorouracil (5-FU)-an anticancer agent. Taken together, these studies suggest that MVs can serve as novel cell-derived liposomes to effectively deliver therapeutic mRNA/proteins to treatment of diseases.</t>
  </si>
  <si>
    <t>[Madlener, Sibylle; Erkan, Erdogan Pekcan; Saydam, Okay] Med Univ Vienna, Mol Neurooncol Res Unit, Dept Pediat, A-1090 Vienna, Austria; [Mizrak, Arda; Bolukbasi, Mehmet Fatih; Ozdener, Gokhan Baris; Breakefield, Xandra O.] Massachusetts Gen Hosp, Dept Neurol &amp; Radiol, Boston, MA 02114 USA; [Mizrak, Arda; Bolukbasi, Mehmet Fatih; Ozdener, Gokhan Baris; Breakefield, Xandra O.] Harvard Univ, Sch Med, Program Neurosci, Boston, MA 02115 USA; [Brenner, Gary J.] Harvard Univ, Massachusetts Gen Hosp, Sch Med, Dept Anesthesia &amp; Crit Care, Boston, MA USA; [Stroebel, Thomas] Med Univ Vienna, Inst Neurol, A-1090 Vienna, Austria</t>
  </si>
  <si>
    <t>Medical University of Vienna; Harvard University; Massachusetts General Hospital; Harvard University; Harvard University; Massachusetts General Hospital; Medical University of Vienna</t>
  </si>
  <si>
    <t>Saydam, O (corresponding author), Med Univ Vienna, Mol Neurooncol Res Unit, Dept Pediat, A-1090 Vienna, Austria.</t>
  </si>
  <si>
    <t>okay.saydam@meduniwien.ac.at</t>
  </si>
  <si>
    <t>Madlener, Sibylle/AAP-2541-2020; Erkan, Erdogan Pekcan/ABI-6822-2020; Brenner, Gary/AAI-1293-2019</t>
  </si>
  <si>
    <t>Erkan, Erdogan Pekcan/0000-0001-9287-4773; Brenner, Gary/0000-0002-4586-1723; Madlener, Sibylle/0000-0001-7099-9997</t>
  </si>
  <si>
    <t>10.1038/mt.2012.161</t>
  </si>
  <si>
    <t>WOS:000313035000012</t>
  </si>
  <si>
    <t>Hu, W; Li, LN; Sharma, S; Wang, J; McHardy, I; Lux, R; Yang, Z; He, XS; Gimzewski, JK; Li, YZ; Shi, WY</t>
  </si>
  <si>
    <t>Hu, Wei; Li, Lina; Sharma, Shivani; Wang, Jing; McHardy, Ian; Lux, Renate; Yang, Zhe; He, Xuesong; Gimzewski, James K.; Li, Yuezhong; Shi, Wenyuan</t>
  </si>
  <si>
    <t>DNA Builds and Strengthens the Extracellular Matrix in Myxococcus xanthus Biofilms by Interacting with Exopolysaccharides</t>
  </si>
  <si>
    <t>PSEUDOMONAS-AERUGINOSA BIOFILMS; STAPHYLOCOCCUS-EPIDERMIDIS; MULTICELLULAR STRUCTURES; COLOCALIZATION ANALYSIS; NEISSERIA-GONORRHOEAE; CHEMOTAXIS HOMOLOGS; MEMBRANE-VESICLES; CHROMOSOMAL DNA; SOCIAL MOTILITY; POLYSACCHARIDE</t>
  </si>
  <si>
    <t>One intriguing discovery in modern microbiology is the extensive presence of extracellular DNA (eDNA) within biofilms of various bacterial species. Although several biological functions have been suggested for eDNA, including involvement in biofilm formation, the detailed mechanism of eDNA integration into biofilm architecture is still poorly understood. In the biofilms formed by Myxococcus xanthus, a Gram-negative soil bacterium with complex morphogenesis and social behaviors, DNA was found within both extracted and native extracellular matrices (ECM). Further examination revealed that these eDNA molecules formed well organized structures that were similar in appearance to the organization of exopolysaccharides (EPS) in ECM. Biochemical and image analyses confirmed that eDNA bound to and colocalized with EPS within the ECM of starvation biofilms and fruiting bodies. In addition, ECM containing eDNA exhibited greater physical strength and biological stress resistance compared to DNase I treated ECM. Taken together, these findings demonstrate that DNA interacts with EPS and strengthens biofilm structures in M. xanthus.</t>
  </si>
  <si>
    <t>[Hu, Wei; Wang, Jing; Li, Yuezhong] Shandong Univ, Sch Life Sci, State Key Lab Microbial Technol, Jinan, Shandong, Peoples R China; [Hu, Wei; Li, Lina; Wang, Jing; McHardy, Ian; Lux, Renate; Yang, Zhe; He, Xuesong; Shi, Wenyuan] Univ Calif Los Angeles, Sch Dent, Los Angeles, CA 90024 USA; [Hu, Wei; Li, Lina; Wang, Jing; McHardy, Ian; Lux, Renate; Yang, Zhe; He, Xuesong; Shi, Wenyuan] Univ Calif Los Angeles, Inst Mol Biol, Los Angeles, CA 90024 USA; [Sharma, Shivani; Gimzewski, James K.] Univ Calif Los Angeles, Dept Chem &amp; Biochem, Los Angeles, CA 90024 USA; [Sharma, Shivani; Gimzewski, James K.] Univ Calif Los Angeles, Calif NanoSyst Inst CNSI, Los Angeles, CA 90024 USA; [Gimzewski, James K.] Natl Inst Mat Sci, Int Ctr Mat Nanoarchitecton Satellite MANA, Tsukuba, Ibaraki, Japan</t>
  </si>
  <si>
    <t>Shandong University; University of California System; University of California Los Angeles; University of California System; University of California Los Angeles; University of California System; University of California Los Angeles; University of California System; University of California Los Angeles; National Institute for Materials Science</t>
  </si>
  <si>
    <t>Shi, WY (corresponding author), Univ Calif Los Angeles, Sch Dent, Los Angeles, CA 90024 USA.</t>
  </si>
  <si>
    <t>wenyuan@ucla.edu</t>
  </si>
  <si>
    <t>Li, Yuezhong/0000-0001-8336-6638; McHardy, Ian/0000-0002-2121-5460; gimzewski, james/0000-0003-4333-6957</t>
  </si>
  <si>
    <t>DEC 26</t>
  </si>
  <si>
    <t>e51905</t>
  </si>
  <si>
    <t>10.1371/journal.pone.0051905</t>
  </si>
  <si>
    <t>WOS:000313618800035</t>
  </si>
  <si>
    <t>Elbakrawy, EM; Mayah, A; Hill, MA; Kadhim, M</t>
  </si>
  <si>
    <t>Elbakrawy, Eman Mohammed; Mayah, Ammar; Hill, Mark A.; Kadhim, Munira</t>
  </si>
  <si>
    <t>Induction of Genomic Instability in a Primary Human Fibroblast Cell Line Following Low-Dose Alpha-Particle Exposure and the Potential Role of Exosomes</t>
  </si>
  <si>
    <t>genomic instability; bystander; exosomes; alpha-particles; low dose</t>
  </si>
  <si>
    <t>Simple Summary Exposure to the naturally occurring radioactive gas Radon, and the resulting alpha-particle emitting progeny, dominates human exposure and is the second largest cause of lung cancer after smoking. The work presented shows that not only can very low doses of alpha-particles produce DNA damage in normal HF19 fibroblast cells (detected using comet and micronuclei assays) in the irradiated cell population, but also results in an enhanced yield of DNA damage in the progeny of these cells out to 10 and even 20 population doublings. This persistent elevation of DNA damage is consistent with genomic instability, a well-recognised feature of many tumours with its ability to generate genetic diversity in the dividing population. Environmental exposure is normally associated with a small fraction of cells being irradiated with a single alpha-particle, while the vast majority of cells remain unirradiated. Here, we demonstrate an enhanced yield of DNA damage observed at 10 and 20 population doublings even when less than 1% of the cell population is traversed, with a response similar to that observed when essentially all cells are irradiated. The finding also highlights the potential of exosomes produced by irradiated cells contributing to DNA damage observed in unirradiated bystander cells. Purpose: To study the induction of genomic instability (GI) in the progeny of cell populations irradiated with low doses of alpha-particles and the potential role of exosome-encapsulated bystander signalling. Methods: The induction of GI in HF19 normal fibroblast cells was assessed by determining the formation of micronuclei (MN) in binucleate cells along with using the alkaline comet assay to assess DNA damage. Results: Low dose alpha-particle exposure (0.0001-1 Gy) was observed to produce a significant induction of micronuclei and DNA damage shortly after irradiation (assays performed at 5 and 1 h post exposure, respectively). This damage was not only still evident and statistically significant in all irradiated groups after 10 population doublings, but similar trends were observed after 20 population doublings. Exosomes from irradiated cells were also observed to enhance the level of DNA damage in non-irradiated bystander cells at early times. Conclusion: very low doses of alpha-particles are capable of inducing GI in the progeny of irradiated cells even at doses where &lt;1% of the cells are traversed, where the level of response was similar to that observed at doses where 100% of the cells were traversed. This may have important implications with respect to the evaluation of cancer risk associated with very low-dose alpha-particle exposure and deviation from a linear dose response.</t>
  </si>
  <si>
    <t>[Elbakrawy, Eman Mohammed; Mayah, Ammar; Kadhim, Munira] Oxford Brookes Univ, Fac Hlth &amp; Life Sci, Dept Biol &amp; Med Sci, Oxford OX3 0BP, England; [Elbakrawy, Eman Mohammed] Atom Energy Author, Dept Radiat Phys, Natl Ctr Radiat Res &amp; Technol, 3 Ahmed El Zomor Manteqah Ath Thamenah, Cairo 11787, Egypt; [Hill, Mark A.] Univ Oxford, MRC Oxford Inst Radiat Oncol, Gray Labs, ORCRB Roosevelt Dr, Oxford OX3 7DQ, England</t>
  </si>
  <si>
    <t>Oxford Brookes University; Egyptian Knowledge Bank (EKB); Egyptian Atomic Energy Authority (EAEA); National Center for Radiation Research &amp; Technology; University of Oxford</t>
  </si>
  <si>
    <t>Kadhim, M (corresponding author), Oxford Brookes Univ, Fac Hlth &amp; Life Sci, Dept Biol &amp; Med Sci, Oxford OX3 0BP, England.</t>
  </si>
  <si>
    <t>emanoxford2018@gmail.com; mayahahj@gmail.com; mark.hill@oncology.ox.ac.uk; mkadhim@brookes.ac.uk</t>
  </si>
  <si>
    <t>Hill, Mark/0000-0002-6894-7829</t>
  </si>
  <si>
    <t>10.3390/biology10010011</t>
  </si>
  <si>
    <t>WOS:000609766100001</t>
  </si>
  <si>
    <t>Ma, J; Cao, HX; Rodrigues, RM; Xu, MJ; Ren, TY; He, Y; Hwang, S; Feng, DC; Ren, RX; Yang, PX; Liangpunsakul, S; Sun, J; Gao, B</t>
  </si>
  <si>
    <t>Ma, Jing; Cao, Haixia; Rodrigues, Robim M.; Xu, Mingjiang; Ren, Tianyi; He, Yong; Hwang, Seonghwan; Feng, Dechun; Ren, Ruixue; Yang, Peixin; Liangpunsakul, Suthat; Sun, Jian; Gao, Bin</t>
  </si>
  <si>
    <t>Chronic-plus-binge alcohol intake induces production of proinflammatory mtDNA-enriched extracellular vesicles and steatohepatitis via ASK1/p38MAPK alpha-dependent mechanisms</t>
  </si>
  <si>
    <t>JCI INSIGHT</t>
  </si>
  <si>
    <t>ACTIVATED PROTEIN-KINASE; OXIDIZED MITOCHONDRIAL-DNA; MAP KINASE; STRESS; METALLOTHIONEIN; PROTECTION; PATHWAY; PATHOGENESIS; MEMBER; ROLES</t>
  </si>
  <si>
    <t>Alcohol-associated liver disease is a spectrum of liver disorders with histopathological changes ranging from simple steatosis to steatohepatitis, cirrhosis, and hepatocellular carcinoma. Recent data suggest that chronic-plus-binge ethanol intake induces steatohepatitis by promoting release by hepatocytes of proinflammatory mitochondrial DNA-enriched (mtDNA-enriched) extracellular vesicles (EVs). The aim of the present study was to investigate the role of the stress kinase apoptosis signal-regulating kinase 1 (ASK1) and p38 mitogen-activated protein kinase (p38) in chronic-plus-binge ethanol-induced steatohepatitis and mtDNA-enriched EV release. Microarray analysis revealed the greatest hepatic upregulation of metallothionein 1 and 2 (Mt1/2), which encode 2 of the most potent antioxidant proteins. Genetic deletion of the Mt1 and Mt2 genes aggravated ethanol-induced liver injury, as evidenced by elevation of serum ALT, neutrophil infiltration, oxidative stress, and ASK1/p38 activation in the liver. Inhibition or genetic deletion of Ask1 or p38 ameliorated ethanol-induced liver injury, inflammation, ROS levels, and expression of phagocytic oxidase and ER stress markers in the liver. In addition, inhibition of ASK1 or p38 also attenuated ethanol-induced mtDNA-enriched EV secretion from hepatocytes. Taken together, these findings indicate that induction of hepatic mtDNA-enriched EVs by ethanol is dependent on ASK1 and p38, thereby promoting alcoholic steatohepatitis.</t>
  </si>
  <si>
    <t>[Ma, Jing; Sun, Jian] Southern Med Univ, Nanfang Hosp, Dept Infect Dis, State Key Lab Organ Failure Res, Guangzhou, Peoples R China; [Ma, Jing; Cao, Haixia; Rodrigues, Robim M.; Xu, Mingjiang; Ren, Tianyi; He, Yong; Hwang, Seonghwan; Feng, Dechun; Ren, Ruixue; Gao, Bin] NIAAA, Lab Liver Dis, NIH, 5625 Fishers Lane, Bethesda, MD 20892 USA; [Yang, Peixin] Univ Maryland, Sch Med, Dept Obstet &amp; Gynecol Sci, Baltimore, MD 21201 USA; [Liangpunsakul, Suthat] Indiana Univ Sch Med, Dept Med, Div Gastroenterol &amp; Hepatol, Indianapolis, IN 46202 USA; [Liangpunsakul, Suthat] Indiana Univ Sch Med, Dept Biochem &amp; Mol Biol, Indianapolis, IN 46202 USA; [Liangpunsakul, Suthat] Richard L Roudebush Vet Adm Med Ctr, Indianapolis, IN USA</t>
  </si>
  <si>
    <t>Southern Medical University - China; National Institutes of Health (NIH) - USA; NIH National Institute on Alcohol Abuse &amp; Alcoholism (NIAAA); University System of Maryland; University of Maryland Baltimore; Indiana University System; Indiana University Bloomington; Indiana University System; Indiana University Bloomington; US Department of Veterans Affairs; Veterans Health Administration (VHA); Richard L. Roudebush VA Medical Center</t>
  </si>
  <si>
    <t>Gao, B (corresponding author), NIAAA, Lab Liver Dis, NIH, 5625 Fishers Lane, Bethesda, MD 20892 USA.;Sun, J (corresponding author), Southern Med Univ, Nanfang Hosp, Dept Infect Dis, Guangzhou, Peoples R China.</t>
  </si>
  <si>
    <t>sunjian@fimmu.edu.cn; bgao@mail.nih.gov</t>
  </si>
  <si>
    <t>Rodrigues, Robim/K-1366-2015</t>
  </si>
  <si>
    <t>Rodrigues, Robim/0000-0003-2927-6791</t>
  </si>
  <si>
    <t>2379-3708</t>
  </si>
  <si>
    <t>JUL 23</t>
  </si>
  <si>
    <t>e136496</t>
  </si>
  <si>
    <t>10.1172/jci.insight.136496</t>
  </si>
  <si>
    <t>WOS:000568843900002</t>
  </si>
  <si>
    <t>Nakao, R; Myint, SL; Wai, SN; Uhlin, BE</t>
  </si>
  <si>
    <t>Nakao, Ryoma; Myint, Si Lhyam; Wai, Sun Nyunt; Uhlin, Bernt Eric</t>
  </si>
  <si>
    <t>Enhanced Biofilm Formation and Membrane Vesicle Release by Escherichia coli Expressing a Commonly Occurring Plasmid Gene, kil</t>
  </si>
  <si>
    <t>Escherichia coli; bacterial biofilms; membrane vesicles; kil; ColE1 plasmids</t>
  </si>
  <si>
    <t>OUTER-MEMBRANE; PSEUDOMONAS-AERUGINOSA; PORPHYROMONAS-GINGIVALIS; NUCLEOTIDE-SEQUENCE; EXTRACELLULAR DNA; BACTERIAL BIOFILMS; MOLECULAR-CLONING; STATIONARY-PHASE; GENOME SEQUENCE; RESISTANCE GENE</t>
  </si>
  <si>
    <t>Escherichia coli is one of the most prevalent microorganisms forming biofilms on indwelling medical devices, as well as a representative model to study the biology and ecology of biofilms. Here, we report that a small plasmid gene, kil, enhances biofilm formation of E coli. The kil gene is widely conserved among naturally occurring colicinogenic plasmids such as ColE1 plasmid, and is also present in some plasmid derivatives used as cloning vectors. First, we found that overexpression of the kil gene product dramatically increased biofilm mass enriched with extracellular DNA in the outer membrane-compromised strain RN102, a deep rough LPS mutant E. coli K-12 derivative. We also found that the kil-enhanced biofilm formation was further promoted by addition of physiologically relevant concentrations of Mg2+, not only in the case of RN102, but also with the parental strain BW25113, which retains intact core-oligosaccharide LPS. Biofilm formation by kil-expressing BW25113 strain (BW25113 kil(+)) was significantly inhibited by protease but not DNase I. In addition, a large amount of proteinous materials were released from the BW25113 kil(+ )cells. These materials contained soluble cytoplasmic and periplasmic proteins, and insoluble membrane vesicles (MVs). The kil-induced MVs were composed of not only outer membrane/periplasmic proteins, but also inner membrane/cytoplasmic proteins, indicating that MVs from both of the outer and inner membranes could be released into the extracellular milieu. Subcellular fractionation analysis revealed that the Kil proteins translocated to both the outer and inner membranes in whole cells of BW25113 kil(+). Furthermore, the BW25113 kil(+) showed not only reduced viability in the stationary growth phase, but also increased susceptibility to killing by predator bacteria, Vibrio cholerae expressing the type VI secretion system, despite no obvious change in morphology and physiology of the bacterial membrane under regular culture conditions. Taken together, our findings suggest that there is risk of increasing biofilm formation and spreading of numerous MVs releasing various cellular components due to kit gene expression. From another point of view, our findings could also offer efficient MV production strategies using a conditional kil vector in biotechnological applications.</t>
  </si>
  <si>
    <t>[Nakao, Ryoma; Myint, Si Lhyam; Wai, Sun Nyunt; Uhlin, Bernt Eric] Umea Univ, Umea Ctr Microbial Res, Lab Mol Infect Med Sweden, Dept Mol Biol, Umea, Sweden; [Nakao, Ryoma] Natl Inst Infect Dis, Dept Bacteriol 1, Tokyo, Japan</t>
  </si>
  <si>
    <t>Umea University; National Institute of Infectious Diseases (NIID)</t>
  </si>
  <si>
    <t>Nakao, R; Uhlin, BE (corresponding author), Umea Univ, Umea Ctr Microbial Res, Lab Mol Infect Med Sweden, Dept Mol Biol, Umea, Sweden.;Nakao, R (corresponding author), Natl Inst Infect Dis, Dept Bacteriol 1, Tokyo, Japan.</t>
  </si>
  <si>
    <t>ryoma73@nih.go.jp; bernt.eric.uhlin@umu.se</t>
  </si>
  <si>
    <t>Uhlin, Bernt Eric/AAO-6292-2021</t>
  </si>
  <si>
    <t>Uhlin, Bernt Eric/0000-0002-2991-8072; Wai, Sun Nyunt/0000-0003-4793-4671</t>
  </si>
  <si>
    <t>NOV 7</t>
  </si>
  <si>
    <t>10.3389/fmicb.2018.02605</t>
  </si>
  <si>
    <t>WOS:000449415700001</t>
  </si>
  <si>
    <t>Cheng, L; Zhang, K; Qing, YA; Li, D; Cui, MH; Jin, P; Xu, TM</t>
  </si>
  <si>
    <t>Cheng, Lin; Zhang, Kun; Qing, Yunan; Li, Dong; Cui, Manhua; Jin, Peng; Xu, Tianmin</t>
  </si>
  <si>
    <t>Proteomic and lipidomic analysis of exosomes derived from ovarian cancer cells and ovarian surface epithelial cells</t>
  </si>
  <si>
    <t>JOURNAL OF OVARIAN RESEARCH</t>
  </si>
  <si>
    <t>Ovarian cancer; Exosome; Proteomics; Lipidomics</t>
  </si>
  <si>
    <t>STIMULATES CHEMOTACTIC MIGRATION; CHOLESTEROL-RICH EMULSION; EXTRACELLULAR VESICLES; COMMUNICATION; PATHWAY; MARKERS</t>
  </si>
  <si>
    <t>Background: The limitation of current biomarker of early stage ovarian cancer and the anatomical location of ovarian (depths of the pelvic) make ovarian cancer difficult to be detected in early stage. Growing evidence shows exosomes as key information transmitters, it carried molecules, such as miRNAs, proteins, lipids, double-stranded DNA have been reported as promising biomarkers in many diseases. However, little is known about the protein and lipid composition of ovarian cancer. Methods: Here, we report proteomic and lipidomic analysis of exosomes derived from ovarian cancer cells (SKOV-3) and ovarian surface epithelial cells (HOSEPiC). Results: A total of 1433 proteins and 1227 lipid species were identified from two cell line derived exosomes. Several lipid species and proteins significantly differ in SKOV-3 derived exosomes compared to those from HOSEPiC. For example, we noted that ChE and ZyE species were in general more abundant in exosomes from SKOV-3 than from HOSEPiC; Collagen type V alpha 2 chain (COL5A2) and lipoprotein lipase (LPL) were significantly higher in SKOV-3 derived exosomes than HOSEpic (p &lt; 0.05). Conclusions: Our research indicates the promising role of exosomal proteins and lipids in the early diagnosis of ovarian cancer.</t>
  </si>
  <si>
    <t>[Cheng, Lin; Zhang, Kun; Qing, Yunan; Li, Dong; Cui, Manhua; Xu, Tianmin] Second Hosp Jilin Univ, 218 Ziqiang St, Changchun 130000, Peoples R China; [Jin, Peng] Emory Univ, Sch Med, Dept Human Genet, 615 Michael St, Atlanta, GA 30322 USA</t>
  </si>
  <si>
    <t>Jilin University; Emory University</t>
  </si>
  <si>
    <t>Xu, TM (corresponding author), Second Hosp Jilin Univ, 218 Ziqiang St, Changchun 130000, Peoples R China.</t>
  </si>
  <si>
    <t>xutianmin@126.com</t>
  </si>
  <si>
    <t>Qing, Yun'an/0000-0001-5566-6174</t>
  </si>
  <si>
    <t>1757-2215</t>
  </si>
  <si>
    <t>JAN 22</t>
  </si>
  <si>
    <t>10.1186/s13048-020-0609-y</t>
  </si>
  <si>
    <t>Reproductive Biology</t>
  </si>
  <si>
    <t>WOS:000526275100001</t>
  </si>
  <si>
    <t>Wu, D; Yan, JH; Shen, X; Sun, Y; Thulin, M; Cai, YL; Wik, L; Shen, QJ; Oelrich, J; Qian, XY; Dubois, KL; Ronquist, KG; Nilsson, M; Landegren, U; Kamali-Moghaddam, M</t>
  </si>
  <si>
    <t>Wu, Di; Yan, Junhong; Shen, Xia; Sun, Yu; Thulin, Mans; Cai, Yanling; Wik, Lotta; Shen, Qiujin; Oelrich, Johan; Qian, Xiaoyan; Dubois, K. Louise; Ronquist, K. Goran; Nilsson, Mats; Landegren, Ulf; Kamali-Moghaddam, Masood</t>
  </si>
  <si>
    <t>Profiling surface proteins on individual exosomes using a proximity barcoding assay</t>
  </si>
  <si>
    <t>PROSTASOMES; VESICLES; CELLS</t>
  </si>
  <si>
    <t>Exosomes have been implicated in numerous biological processes, and they may serve as important disease markers. Surface proteins on exosomes carry information about their tissues of origin. Because of the heterogeneity of exosomes it is desirable to investigate them individually, but this has so far remained impractical. Here, we demonstrate a proximity-dependent barcoding assay to profile surface proteins of individual exosomes using antibody-DNA conjugates and next-generation sequencing. We first validate the method using artificial streptavidin-oligonucleotide complexes, followed by analysis of the variable composition of surface proteins on individual exosomes, derived from human body fluids or cell culture media. Exosomes from different sources are characterized by the presence of specific combinations of surface proteins and their abundance, allowing exosomes to be separately quantified in mixed samples to serve as markers for tissue-specific engagement in disease.</t>
  </si>
  <si>
    <t>[Wu, Di; Yan, Junhong; Wik, Lotta; Shen, Qiujin; Landegren, Ulf; Kamali-Moghaddam, Masood] Uppsala Univ, Dept Immunol Genet &amp; Pathol, Sci Life Lab, SE-75185 Uppsala, Sweden; [Wu, Di; Qian, Xiaoyan; Nilsson, Mats] Stockholm Univ, Sci Life Lab, Dept Biochem &amp; Biophys, SE-17165 Solna, Sweden; [Wu, Di; Oelrich, Johan] Vesicode AB, Nobels Vag 16, SE-17165 Solna, Sweden; [Shen, Xia] Univ Edinburgh, Usher Inst Populat Hlth Sci &amp; Informat, Ctr Global Hlth Res, Teviot Pl, Edinburgh EH8 9AG, Midlothian, Scotland; [Shen, Xia] Karolinska Inst, Dept Med Epidemiol &amp; Biostat, Nobels Vag 12 A, SE-17177 Stockholm, Sweden; [Shen, Xia] Sun Yat Sen Univ, Sch Life Sci, State Key Lab Biocontrol, Biostat Grp, CN-510000 Guangzhou, Guangdong, Peoples R China; [Sun, Yu] Uppsala Univ, Dept Mol Evolut, SE-75124 Uppsala, Sweden; [Thulin, Mans] Uppsala Univ, Dept Stat, SE-75120 Uppsala, Sweden; [Cai, Yanling] Second Peoples Hosp Shenzhen, Inst Translat Med, CN-518000 Shenzhen, Peoples R China; [Dubois, K. Louise; Ronquist, K. Goran] Uppsala Univ, Dept Med Sci, Clin Chem, SE-75185 Uppsala, Sweden; [Sun, Yu] South China Agr Univ, Coll Life Sci, Guangdong Prov Key Lab Prot Funct &amp; Regulat Agr O, Guangzhou 510642, Guangdong, Peoples R China; [Thulin, Mans] Univ Edinburgh, Sch Math, Teviot Pl, Edinburgh EH8 9AG, Midlothian, Scotland; [Thulin, Mans] Univ Edinburgh, Maxwell Inst Math Sci, Teviot Pl, Edinburgh EH8 9AG, Midlothian, Scotland</t>
  </si>
  <si>
    <t>Uppsala University; Stockholm University; University of Edinburgh; Karolinska Institutet; Sun Yat Sen University; Uppsala University; Uppsala University; Uppsala University; South China Agricultural University; University of Edinburgh; Heriot Watt University; University of Edinburgh</t>
  </si>
  <si>
    <t>Wu, D (corresponding author), Uppsala Univ, Dept Immunol Genet &amp; Pathol, Sci Life Lab, SE-75185 Uppsala, Sweden.;Wu, D (corresponding author), Stockholm Univ, Sci Life Lab, Dept Biochem &amp; Biophys, SE-17165 Solna, Sweden.;Wu, D (corresponding author), Vesicode AB, Nobels Vag 16, SE-17165 Solna, Sweden.</t>
  </si>
  <si>
    <t>di.wu@vesicode.com</t>
  </si>
  <si>
    <t>Landegren, Ulf D/A-8197-2019; Shen, Xia/AAO-4233-2020</t>
  </si>
  <si>
    <t>Shen, Xia/0000-0003-4390-1979; Sun, Yu/0000-0003-4799-0745; Shen, Qiujin/0000-0003-2103-4253; Yan, Junhong/0000-0002-2332-2315; Ronquist, Goran/0000-0001-5885-8067; Oelrich, Johan/0000-0002-8591-7728; Wu, Di/0000-0003-0293-9057</t>
  </si>
  <si>
    <t>AUG 26</t>
  </si>
  <si>
    <t>10.1038/s41467-019-11486-1</t>
  </si>
  <si>
    <t>WOS:000482567200002</t>
  </si>
  <si>
    <t>Smith, RA; Lam, AK</t>
  </si>
  <si>
    <t>Lam, AK</t>
  </si>
  <si>
    <t>Smith, Robert A.; Lam, Alfred K.</t>
  </si>
  <si>
    <t>Liquid Biopsy for Investigation of Cancer DNA in Esophageal Adenocarcinoma: Cell-Free Plasma DNA and Exosome-Associated DNA</t>
  </si>
  <si>
    <t>ESOPHAGEAL ADENOCARCINOMA: Methods and Protocols</t>
  </si>
  <si>
    <t>Liquid biopsy; Cell-free DNA; Exosome-associated DNA; Cancer surveillance; Cancer detection; Cancer management; Mutations</t>
  </si>
  <si>
    <t>CIRCULATING TUMOR-CELLS</t>
  </si>
  <si>
    <t>Liquid biopsy of cancers is an area of increasing interest in medical practice for the surveillance, management, and potential detection of malignant cells, using minimally invasive collection of body fluids. A liquid biopsy is particularly useful for metastatic cancers, which may be difficult to be sampled by core biopsy, due to difficulty of access or an occult location. Access to DNA shed from esophageal adenocarcinoma can enable the detection of mutations confirming the presence of malignant cells or the evolution of clonal lines with altered treatment response profiles. In this chapter, we detail a method for the isolation of cell-free DNA from blood plasma and DNA associated with exosomes in blood from patients with esophageal adenocarcinoma.</t>
  </si>
  <si>
    <t>[Smith, Robert A.] Queensland Univ Technol, Genom Res Ctr, Sch Biomed Sci, Inst Hlth &amp; Biomed Innovat, Kelvin Grove, Qld, Australia; [Lam, Alfred K.] Griffith Univ, Canc Mol Pathol, Sch Med, Gold Coast, Australia</t>
  </si>
  <si>
    <t>Queensland University of Technology (QUT); Griffith University</t>
  </si>
  <si>
    <t>Smith, RA (corresponding author), Queensland Univ Technol, Genom Res Ctr, Sch Biomed Sci, Inst Hlth &amp; Biomed Innovat, Kelvin Grove, Qld, Australia.</t>
  </si>
  <si>
    <t>Lam, Alfred/C-1652-2008</t>
  </si>
  <si>
    <t>Lam, Alfred/0000-0003-2771-564X</t>
  </si>
  <si>
    <t>978-1-4939-7734-5; 978-1-4939-7733-8</t>
  </si>
  <si>
    <t>10.1007/978-1-4939-7734-5_17</t>
  </si>
  <si>
    <t>10.1007/978-1-4939-7734-5</t>
  </si>
  <si>
    <t>Biochemical Research Methods; Oncology; Gastroenterology &amp; Hepatology</t>
  </si>
  <si>
    <t>Biochemistry &amp; Molecular Biology; Oncology; Gastroenterology &amp; Hepatology</t>
  </si>
  <si>
    <t>WOS:000685158800018</t>
  </si>
  <si>
    <t>Luo, L; Foster, NC; Man, KL; Brunet, M; Hoey, DA; Cox, SC; Kimber, SJ; El Haj, AJ</t>
  </si>
  <si>
    <t>Luo, Lu; Foster, Nicola C.; Man, Kenny L.; Brunet, Mathieu; Hoey, David A.; Cox, Sophie C.; Kimber, Susan J.; El Haj, Alicia J.</t>
  </si>
  <si>
    <t>Hydrostatic pressure promotes chondrogenic differentiation andmicrovesicle release from human embryonic and bone marrow stem cells</t>
  </si>
  <si>
    <t>BIOTECHNOLOGY JOURNAL</t>
  </si>
  <si>
    <t>bone marrow stem cells; embryonic stem cells; extracellular vesicle; hydrostatic pressure; mechanical stimulation</t>
  </si>
  <si>
    <t>FUNCTIONAL-DEVELOPMENT; STROMAL CELLS; CARTILAGE; TISSUE; MICROPARTICLES; EXOSOMES; MICROVESICLES; COMMUNICATION; INTEGRATION; EXPRESSION</t>
  </si>
  <si>
    <t>Mechanical stimulation plays in an important role in regulating stem cell differentiation and their release of extracellular vesicles (EVs). In this study, effects of low magnitude hydrostatic pressure (HP) on the chondrogenic differentiation and microvesicle release from human embryonic stem cells (hESCs) and human bone marrow stem cells (hBMSCs) are examined. hESCs were differentiated into chondroprogenitors and then embedded in fibrin gels and subjected to HP (270 kPa, 1 Hz, 5 days per week). hBMSC pellets were differentiated in chondrogenic media and subjected to the same regime. HP significantly enhanced ACAN expression in hESCs. It also led to a significant increase in DNA content, sGAG content and total sGAG/DNA level in hBMSCs. Furthermore, HP significantly increased microvesicle protein content released from both cell types. These results highlight the benefit of HP bioreactor in promoting chondrogenesis and EV production for cartilage tissue engineering.</t>
  </si>
  <si>
    <t>[Luo, Lu; Foster, Nicola C.; El Haj, Alicia J.] Univ Birmingham, Healthcare Technol Inst, Birmingham, W Midlands, England; [Luo, Lu; Man, Kenny L.; Brunet, Mathieu; Cox, Sophie C.] Univ Birmingham, Sch Chem Engn, Birmingham, W Midlands, England; [Foster, Nicola C.; El Haj, Alicia J.] Keele Univ, Inst Sci &amp; Technol Med, Stoke On Trent, Staffs, England; [Hoey, David A.] Trinity Coll Dublin, Sch Engn, Dept Mech Mfg &amp; Biomed Engn, Dublin, Ireland; [Hoey, David A.] Trinity Coll Dublin, Trinity Ctr Biomed Engn, Trinity Biomed Sci Inst, Dublin, Ireland; [Kimber, Susan J.] Univ Manchester, Sch Biol Sci, Manchester, Lancs, England</t>
  </si>
  <si>
    <t>University of Birmingham; University of Birmingham; Keele University; Trinity College Dublin; Trinity College Dublin; University of Manchester</t>
  </si>
  <si>
    <t>El Haj, AJ (corresponding author), Inst Translat Med, Healthcare Technol Inst, 3rd Floor,Heritage Bldg,Mindelsohn Way, Birmingham B15 2TH, W Midlands, England.</t>
  </si>
  <si>
    <t>A.ElHaj@bham.ac.uk</t>
  </si>
  <si>
    <t>; Hoey, David/G-3301-2013</t>
  </si>
  <si>
    <t>Luo, Lu/0000-0002-6749-6616; Man, Kenny/0000-0002-7946-9375; Hoey, David/0000-0001-5898-0409</t>
  </si>
  <si>
    <t>1860-6768</t>
  </si>
  <si>
    <t>1860-7314</t>
  </si>
  <si>
    <t>e2100401</t>
  </si>
  <si>
    <t>10.1002/biot.202100401</t>
  </si>
  <si>
    <t>Biochemical Research Methods; Biotechnology &amp; Applied Microbiology</t>
  </si>
  <si>
    <t>WOS:000743097400001</t>
  </si>
  <si>
    <t>Wang, JC; Wang, JR; Wang, YY; Sun, P; Zou, XH; Ren, L; Zhang, CX; Liu, EM</t>
  </si>
  <si>
    <t>Wang, Jichun; Wang, Junrui; Wang, Yanyan; Sun, Peng; Zou, Xiaohui; Ren, Luo; Zhang, Chunxia; Liu, Enmei</t>
  </si>
  <si>
    <t>iTRAQ (R)-based quantitative proteomics reveals the proteomic profiling of methicillin-resistant Staphylococcus aureus-derived extracellular vesicles after exposure to imipenem</t>
  </si>
  <si>
    <t>FOLIA MICROBIOLOGICA</t>
  </si>
  <si>
    <t>RIBOSOMAL STALK; DNA; EVOLUTION; PROTEIN; RNA; EXOSOMES; BINDING; DAMAGE</t>
  </si>
  <si>
    <t>This study sought to reveal the proteomic profiling of methicillin-resistant Staphylococcus aureus (MRSA)-derived extracellular vesicles (EVs) after exposure to imipenem. The advanced isobaric tags for relative and absolute quantitation (iTRAQ (R)) proteomic approach were used to analyze the alterations in MRSA-derived EV protein patterns upon exposure to imipenem. A total of 1260 EV proteins were identified and quantified. Among these, 861 differentially expressed exosome proteins (P &lt; 0.05) were found. Multivariate analysis, Gene Ontology (GO) annotation, and Kyoto Encyclopedia of Genes and Genomes (KEGG) pathway analysis were used to analyze the identified proteins. Enrichment analysis of GO annotations indicated that imipenem primarily regulated the metabolic processes in MRSA. The metabolism of differentially expressed proteins was found to be the most significant in the combined analysis of the KEGG pathway analysis. Based on the results from the STRING analysis, 50S ribosomal protein L16 (RplP) and 30S ribosomal protein S8 (RpsH) were involved in the imipenem-induced MRSA-derived EVs. These results provide vital information on MRSA-derived EVs, increasing our knowledge of the proteome level changes in EVs upon exposure to imipenem. Moreover, these results pave the way for developing novel MRSA treatments.</t>
  </si>
  <si>
    <t>[Wang, Jichun; Liu, Enmei] Chongqing Med Univ, Childrens Hosp, Dept Resp Med, 136,Zhong Shan 2nd Rd, Chongqing 400014, Yuzhong Distric, Peoples R China; [Wang, Jichun; Zhang, Chunxia] Inner Mongolia Med Univ, Dept Pediat, Affiliated Hosp, Hohhot 010110, Inner Mongolia, Peoples R China; [Wang, Junrui; Wang, Yanyan] Inner Mongolia Med Univ, Dept Clin Lab, Affiliated Hosp, 1 Tongdao North St, Hohhot 010110, Inner Mongolia, Peoples R China; [Sun, Peng] Inner Mongolia Med Univ, Pathogen &amp; Immun Res Ctr, Coll Basic Med, Hohhot 010110, Inner Mongolia, Peoples R China; [Zou, Xiaohui] Minist Hlth, Chinese Natl Influenza Ctr, Natl Inst Viral Dis Control &amp; Prevention, Beijing 102206, Peoples R China; [Zou, Xiaohui] Minist Hlth, China CDC, Key Lab Med Virol, Beijing 102206, Peoples R China; [Ren, Luo] Chongqing Med Univ, Childrens Hosp, Pediat Inst, Chongqing 400014, Peoples R China</t>
  </si>
  <si>
    <t>Chongqing Medical University; Inner Mongolia Medical University; Inner Mongolia Medical University; Inner Mongolia Medical University; Chinese Center for Disease Control &amp; Prevention; National Institute for Viral Disease Control &amp; Prevention, Chinese Center for Disease Control &amp; Prevention; Chinese Center for Disease Control &amp; Prevention; Chongqing Medical University</t>
  </si>
  <si>
    <t>Liu, EM (corresponding author), Chongqing Med Univ, Childrens Hosp, Dept Resp Med, 136,Zhong Shan 2nd Rd, Chongqing 400014, Yuzhong Distric, Peoples R China.;Wang, JR (corresponding author), Inner Mongolia Med Univ, Dept Clin Lab, Affiliated Hosp, 1 Tongdao North St, Hohhot 010110, Inner Mongolia, Peoples R China.</t>
  </si>
  <si>
    <t>wangjunrui123@yeah.net; nmgwangjunrui123@163.com</t>
  </si>
  <si>
    <t>0015-5632</t>
  </si>
  <si>
    <t>1874-9356</t>
  </si>
  <si>
    <t>10.1007/s12223-020-00836-y</t>
  </si>
  <si>
    <t>WOS:000587979900001</t>
  </si>
  <si>
    <t>Grabuschnig, S; Soh, J; Heidinger, P; Bachler, T; Hirschbock, E; Rodriguez, IR; Schwendenwein, D; Sensen, CW</t>
  </si>
  <si>
    <t>Grabuschnig, Stefan; Soh, Jung; Heidinger, Petra; Bachler, Thorsten; Hirschboeck, Elisabeth; Rodriguez, Ingund Rosales; Schwendenwein, Daniel; Sensen, Christoph W.</t>
  </si>
  <si>
    <t>Circulating cell-free DNA is predominantly composed of retrotransposable elements and non-telomeric satellite DNA</t>
  </si>
  <si>
    <t>JOURNAL OF BIOTECHNOLOGY</t>
  </si>
  <si>
    <t>Circulating nucleic acids; Cell-free DNA; Active release; Retrotransposable elements; Satellite DNA; Exosomes</t>
  </si>
  <si>
    <t>COPY NUMBER ABERRATIONS; STRANDED GENOMIC DNA; PLASMA DNA; CANCER; TRANSCRIPTION; REPLICATION; EVOLUTION; APOPTOSIS; SERUM; TELOMERES</t>
  </si>
  <si>
    <t>Circulating cell-free DNAs (cfDNAs) are DNA fragments which can be isolated from mammalian blood serum or plasma. In order to gain deeper insight into their origin(s), we have characterized the composition of human and cattle cfDNA via large-scale analyses of high-throughput sequencing data. We observed significant differences between the composition of cfDNA in serum/plasma and the corresponding DNA sequence composition of the human genome. Retrotransposable elements and non-telomeric satellite DNA were particularly overrepresented in the cfDNA population, while telomeric satellite DNA was underrepresented. This was consistently observed for human plasma, bovine serum and for the supernatant of human cancer cell cultures. Our results suggest that reverse transcription of retrotransposable elements and secondary-structure formation during the replication of satellite DNA are contributing to the composition of the cfDNA molecules in the mammalian blood stream. We believe that our work is an important step towards the understanding of the biogenesis of cfDNAs and thus may also facilitate the future exploitation of their diagnostic potential.</t>
  </si>
  <si>
    <t>[Grabuschnig, Stefan; Sensen, Christoph W.] Graz Univ Technol, Inst Computat Biotechnol, Petersgasse 14-V, A-8010 Graz, Austria; [Soh, Jung; Sensen, Christoph W.] CNA Diagnost Inc, Suite 300,4838 Richard Rd SW, Calgary, AB T3E 6L1, Canada; [Heidinger, Petra; Bachler, Thorsten; Schwendenwein, Daniel] Acib GmbH, Petersgasse 14, A-8010 Graz, Austria; [Hirschboeck, Elisabeth; Rodriguez, Ingund Rosales; Sensen, Christoph W.] CNA Diagnost GmbH, Parkring 18, A-8074 Grambach, Austria; [Sensen, Christoph W.] BioTechMed Graz, Mozartgasse 12-2, A-8010 Graz, Austria</t>
  </si>
  <si>
    <t>Graz University of Technology; Austrian Centre of Industrial Biotechnology</t>
  </si>
  <si>
    <t>Sensen, CW (corresponding author), Graz Univ Technol, Inst Computat Biotechnol, Petersgasse 14-V, A-8010 Graz, Austria.</t>
  </si>
  <si>
    <t>csensen@tugraz.at</t>
  </si>
  <si>
    <t>Sensen, Christoph W./C-1798-2013; Heidinger (Kofinger), Petra/O-3661-2014</t>
  </si>
  <si>
    <t>Sensen, Christoph W./0000-0001-9604-8962; Heidinger (Kofinger), Petra/0000-0003-3497-1529; Rosales Rodriguez, Ingund/0000-0003-3007-3908; Grabuschnig, Stefan/0000-0001-9303-2981</t>
  </si>
  <si>
    <t>0168-1656</t>
  </si>
  <si>
    <t>1873-4863</t>
  </si>
  <si>
    <t>10.1016/j.jbiotec.2020.03.002</t>
  </si>
  <si>
    <t>Biotechnology &amp; Applied Microbiology</t>
  </si>
  <si>
    <t>WOS:000522793800006</t>
  </si>
  <si>
    <t>Pucciarelli, MG; Prieto, AI; Casadesus, J; Garcia-del Portillo, F</t>
  </si>
  <si>
    <t>Envelope instability in DNA adenine methylase mutants of Salmonella enterica</t>
  </si>
  <si>
    <t>dam methylation; membrane vesicle; protein secretion</t>
  </si>
  <si>
    <t>PEPTIDOGLYCAN-ASSOCIATED LIPOPROTEIN; GRAM-NEGATIVE BACTERIA; OUTER-MEMBRANE VESICLES; ESCHERICHIA-COLI; PSEUDOMONAS-AERUGINOSA; VIRULENCE FACTORS; PHASE VARIATION; DAM METHYLTRANSFERASE; REGULATORY PROTEIN; SHIGELLA-FLEXNERI</t>
  </si>
  <si>
    <t>Mutants of Salmonella enterica, serovar Typhimurium lacking DNA adenine (Dam) methylase show reduced secretion of invasion effectors encoded in the Salmonella-pathogenicity island 1 (SPI-1). Concomitant with this alteration, a high number and quantity of extracellular proteins are detected in cultures of Dam(-) mutants. This study shows by subcellular fractionation analysis that the presence of numerous extracellular proteins in cultures of Dam(-) mutants is linked to an exacerbated release of membrane particulate material. The membrane 'leaky' phenotype and the impaired functionality of type III secretion systems were, however, unrelated since exacerbated release of proteins to the medium was evident in Dam(-) strains carrying mutations in either SPI-1 (invA, invJ) or flagellar (flhD) genes. This result supports the view that Dam methylation controls a plethora of cellular processes. Electron microscopy analysis demonstrated that the accumulation of membrane particulate material occurs preferentially as vesicles in stationary cultures of Dam(-) strains. In addition, a reduction in the relative amount of pepticloglycan-associated lipoprotein (PAL), TolB, OmpA and murein lipoprotein (Lpp) bound to peptidoglycan was observed in actively growing Dam(-) mutants. The existence of an envelope defect was further confirmed by the increased sensitivity to deoxycholate exhibited by Dam(-) mutants, mostly during exponential growth. Unexpectedly, lack of Dam methylation neither increased envelope instability nor impaired the association of PAL-Tol-Lpp proteins to the pepticloglycan in Escherichia coli. Accordingly, E. coli Dam(-) mutants did not show sensitivity to deoxycholate. Altogether, these results indicate that, besides its role in modulating the secretion of effectors by the SPI-1-encoded type III apparatus, Dam methylation controls cell envelope integrity in S. enterica.</t>
  </si>
  <si>
    <t>CSIC, Dept Biotecnol Microbiana, Ctr Nacl Biotecnol, E-28049 Madrid, Spain; Univ Seville, Fac Biol, Dept Genet, E-41080 Seville, Spain</t>
  </si>
  <si>
    <t>Consejo Superior de Investigaciones Cientificas (CSIC); CSIC - Centro Nacional de Biotecnologia (CNB); University of Sevilla</t>
  </si>
  <si>
    <t>Garcia-del Portillo, F (corresponding author), CSIC, Dept Biotecnol Microbiana, Ctr Nacl Biotecnol, Campus Cantoblanco, E-28049 Madrid, Spain.</t>
  </si>
  <si>
    <t>fgportillo@cnb.uam.es</t>
  </si>
  <si>
    <t>García-del Portillo, Francisco/D-2576-2009; Casadesús, Josep/C-6222-2016; Prieto Marquez, Ana Isabel/B-4196-2017</t>
  </si>
  <si>
    <t>Casadesús, Josep/0000-0002-2308-293X; Prieto Marquez, Ana Isabel/0000-0002-0867-9674; Pucciarelli Morrone, Maria Graciela/0000-0002-4268-2316</t>
  </si>
  <si>
    <t>10.1099/00221287-148-4-1171</t>
  </si>
  <si>
    <t>WOS:000175084400025</t>
  </si>
  <si>
    <t>Rostami, N; Shields, RC; Yassin, SA; Hawkins, AR; Bowen, L; Luo, TL; Rickard, AH; Holliday, R; Preshaw, PM; Jakubovics, NS</t>
  </si>
  <si>
    <t>Rostami, N.; Shields, R. C.; Yassin, S. A.; Hawkins, A. R.; Bowen, L.; Luo, T. L.; Rickard, A. H.; Holliday, R.; Preshaw, P. M.; Jakubovics, N. S.</t>
  </si>
  <si>
    <t>A Critical Role for Extracellular DNA in Dental Plaque Formation</t>
  </si>
  <si>
    <t>JOURNAL OF DENTAL RESEARCH</t>
  </si>
  <si>
    <t>biofilms; dental implants; microbial ecology; microbiology; microscopy; plaque biofilms</t>
  </si>
  <si>
    <t>BIOFILM FORMATION; MICROBIAL BIOFILMS; MEMBRANE-VESICLES; MATRIX; EXOPOLYSACCHARIDE; MECHANISM; RELEASE; SYSTEM</t>
  </si>
  <si>
    <t>Extracellular DNA (eDNA) has been identified in the matrix of many different monospecies biofilms in vitro, including some of those produced by oral bacteria. In many cases, eDNA stabilizes the structure of monospecies biofilms. Here, the authors aimed to determine whether eDNA is an important component of natural, mixed-species oral biofilms, such as plaque on natural teeth or dental implants. To visualize eDNA in oral biofilms, approaches for fluorescently stained eDNA with either anti-DNA antibodies or an ultrasensitive cell-impermeant dye, YOYO-1, were first developed using Enterococcus faecalis, an organism that has previously been shown to produce extensive eDNA structures within biofilms. Oral biofilms were modelled as in vitro microcosms on glass coverslips inoculated with the natural microbial population of human saliva and cultured statically in artificial saliva medium. Using antibodies and YOYO-1, eDNA was found to be distributed throughout microcosm biofilms, and was particularly abundant in the immediate vicinity of cells. Similar arrangements of eDNA were detected in biofilms on crowns and overdenture abutments of dental implants that had been recovered from patients during the restorative phase of treatment, and in subgingival dental plaque of periodontitis patients, indicating that eDNA is a common component of natural oral biofilms. In model oral biofilms, treatment with a DNA-degrading enzyme, NucB from Bacillus licheniformis, strongly inhibited the accumulation of biofilms. The bacterial species diversity was significantly reduced by treatment with NucB and particularly strong reductions were observed in the abundance of anaerobic, proteolytic bacteria such as Peptostreptococcus, Porphyromonas and Prevotella. Preformed biofilms were not significantly reduced by NucB treatment, indicating that eDNA is more important or more exposed during the early stages of biofilm formation. Overall, these data demonstrate that dental plaque eDNA is potentially an important target for oral biofilm control.</t>
  </si>
  <si>
    <t>[Rostami, N.; Shields, R. C.; Yassin, S. A.; Holliday, R.; Preshaw, P. M.; Jakubovics, N. S.] Newcastle Univ, Sch Dent Sci, Newcastle Upon Tyne, Tyne &amp; Wear, England; [Hawkins, A. R.] Newcastle Univ, Inst Cell &amp; Mol Biosci, Newcastle Upon Tyne, Tyne &amp; Wear, England; [Bowen, L.] Univ Durham, Dept Phys, Durham, England; [Luo, T. L.; Rickard, A. H.] Univ Michigan, Dept Epidemiol, Ann Arbor, MI 48109 USA</t>
  </si>
  <si>
    <t>Newcastle University - UK; Newcastle University - UK; Durham University; University of Michigan System; University of Michigan</t>
  </si>
  <si>
    <t>Bowen, Leon/B-4586-2018; Jakubovics, Nicholas S/B-1938-2010; Holliday, Richard/T-7342-2019; Holliday, Richard S/R-5283-2018; Shields, Robert C./I-7890-2019</t>
  </si>
  <si>
    <t>Jakubovics, Nicholas S/0000-0001-6667-0515; Holliday, Richard/0000-0002-9072-8083; Holliday, Richard S/0000-0002-9072-8083; Shields, Robert C./0000-0002-8823-9504</t>
  </si>
  <si>
    <t>0022-0345</t>
  </si>
  <si>
    <t>1544-0591</t>
  </si>
  <si>
    <t>10.1177/0022034516675849</t>
  </si>
  <si>
    <t>Dentistry, Oral Surgery &amp; Medicine</t>
  </si>
  <si>
    <t>WOS:000393965500012</t>
  </si>
  <si>
    <t>Anand, K; Vadivalagan, C; Joseph, JS; Singh, SK; Gulati, M; Shahbaaz, M; Abdellattif, MH; Prasher, P; Gupta, G; Chellappan, DK; Dua, K</t>
  </si>
  <si>
    <t>Anand, Krishnan; Vadivalagan, Chithravel; Joseph, Jitcy Saji; Singh, Sachin Kumar; Gulati, Monica; Shahbaaz, Mohd; Abdellattif, Magda H.; Prasher, Parteek; Gupta, Gaurav; Chellappan, Dinesh Kumar; Dua, Kamal</t>
  </si>
  <si>
    <t>A novel nano therapeutic using convalescent plasma derived exosomal (CPExo) for COVID-19: A combined hyperactive immune modulation and diagnostics</t>
  </si>
  <si>
    <t>CHEMICO-BIOLOGICAL INTERACTIONS</t>
  </si>
  <si>
    <t>Exosomes; Convalescent plasma; Immunotherapy; COVID-19; Drug delivery; miRNAs; Diagnosis</t>
  </si>
  <si>
    <t>CORONAVIRUS; SURFACE; CELLS</t>
  </si>
  <si>
    <t>Extracellular vesicles like exosomes are important therapeutic tactics for treating COVID -19. By utilizing convalescent plasma derived exosomes (CPExo) from COVID-19 recovered persistence could accelerate the treatment strategies in the current state of affairs. Adequate literature has shown that administering the exosome to the in vivo system could be beneficial and could target the pathogens in an effective and precise manner. In this hypothesis we highlight the CPExo instead of convalescent plasma (CP), perhaps to dispense of exosomes are gratified and it's more effectively acquired immune response conferral through antibodies. COVID-19 convalescent plasma has billions of exosomes and it has aptitudes to carry molecular constituents like proteins, lipids, RNA and DNA, etc. Moreover, exosomes are capable of recognizing antigens with adequate sensitivity and specificity. Many of these derivatives could trigger an immune modulation into the cells and act as an epigenetic inheritor response to target pathogens through RNAs. COIVID-19 resistance activated plasma-derived exosomes are either responsible for the effects of plasma beyond the contained immune antibodies or could be inhibitory. The proposed hypothesis suggests that preselecting the plasma-derived antibodies and RNAs merged exosomes would be an optimized therapeutic tactic for COVID-19 patients. We suggest that, the CPExo has a multi-potential effect for treatment efficacy by acting as immunotherapeutic, drug carrier, and diagnostic target with noncoding genetic materials as a biomarker.</t>
  </si>
  <si>
    <t>[Anand, Krishnan] Univ Free State, Fac Hlth Sci, Sch Pathol, Dept Chem Pathol, Bloemfontein, South Africa; [Anand, Krishnan] Univ Free State, Natl Hlth Lab Serv, Bloemfontein, South Africa; [Vadivalagan, Chithravel] Taipei Med Univ, Coll Med, Grad Inst Med Sci, Taipei 11031, Taiwan; [Joseph, Jitcy Saji] Natl Inst Occupat Hlth NIOH, Dept Toxicol &amp; Biochem, Johannesburg, South Africa; [Singh, Sachin Kumar; Gulati, Monica] Lovely Profess Univ, Sch Pharmaceut Sci, Phagwara 144411, Punjab, India; [Shahbaaz, Mohd] Univ Western Cape, South African Natl Bioinformat Inst, South African Med Res Council, Bioinformat Unit, Private Bag X17, ZA-7535 Cape Town, South Africa; [Shahbaaz, Mohd] South Ural State Univ, Lab Computat Modeling Drugs, 76 Lenin Prospekt, Chelyabinsk 454080, Russia; [Abdellattif, Magda H.] Taif Univ, Coll Sci, Dept Chem, Sci Res, POB 11099, Al Haweiah 21944, Taif, Saudi Arabia; [Prasher, Parteek] Univ Petr &amp; Energy Studies, Dept Chem, Energy Acres, Dehra Dun 248007, Uttarakhand, India; [Gupta, Gaurav] Suresh Gyan Vihar Univ, Sch Pharm, Jagatpura Mahal Rd, Jaipur 302017, Rajasthan, India; [Chellappan, Dinesh Kumar] Int Med Univ, Sch Pharm, Kuala Lumpur 57000, Malaysia; [Dua, Kamal] Univ Technol Sydney, Grad Sch Hlth, Discipline Pharm, Ultimo, NSW 2007, Australia</t>
  </si>
  <si>
    <t>University of the Free State; University of the Free State; Taipei Medical University; Lovely Professional University; South African Medical Research Council; University of the Western Cape; South Ural State University; Taif University; University of Petroleum &amp; Energy Studies (UPES); International Medical University Malaysia; University of Technology Sydney</t>
  </si>
  <si>
    <t>Anand, K (corresponding author), Univ Free State, Fac Hlth Sci, Sch Pathol, Dept Chem Pathol, Bloemfontein, South Africa.;Anand, K (corresponding author), Univ Free State, Natl Hlth Lab Serv, Bloemfontein, South Africa.;Vadivalagan, C (corresponding author), Taipei Med Univ, Coll Med, Grad Inst Med Sci, Taipei 11031, Taiwan.</t>
  </si>
  <si>
    <t>organicanand@gmail.com; marinedrug.9@gmail.com</t>
  </si>
  <si>
    <t>Abdellattif, magda h/W-2267-2017; abdellattif, magda h/ABA-8660-2020</t>
  </si>
  <si>
    <t>abdellattif, magda h/0000-0002-8562-4749; VADIVALAGAN, Chithravel/0000-0002-1751-4361; Joseph, Jitcy Saji/0000-0001-9113-989X; Singh, Sachin/0000-0003-3823-6572</t>
  </si>
  <si>
    <t>0009-2797</t>
  </si>
  <si>
    <t>1872-7786</t>
  </si>
  <si>
    <t>10.1016/j.cbi.2021.109497</t>
  </si>
  <si>
    <t>Biochemistry &amp; Molecular Biology; Pharmacology &amp; Pharmacy; Toxicology</t>
  </si>
  <si>
    <t>WOS:000670220100002</t>
  </si>
  <si>
    <t>Cheng, AN; Cheng, LC; Kuo, CL; Lo, YK; Chou, HY; Chen, CH; Wang, YH; Chuang, TH; Cheng, SJ; Lee, AYL</t>
  </si>
  <si>
    <t>Cheng, An Ning; Cheng, Li-Chun; Kuo, Cheng-Liang; Lo, Yu Kang; Chou, Han-Yu; Chen, Chung-Hsing; Wang, Yi-Hao; Chuang, Tsung-Hsien; Cheng, Shih-Jung; Lee, Alan Yueh-Luen</t>
  </si>
  <si>
    <t>Mitochondrial Lon-induced mtDNA leakage contributes to PD-L1-mediated immunoescape via STING-IFN signaling and extracellular vesicles</t>
  </si>
  <si>
    <t>JOURNAL FOR IMMUNOTHERAPY OF CANCER</t>
  </si>
  <si>
    <t>tumor microenvironment; tumor biomarkers; interferon inducers; tumor escape; inflammation</t>
  </si>
  <si>
    <t>INNATE IMMUNE-RESPONSES; OXIDATIVE STRESS; I INTERFERON; CANCER-CELLS; DNA; PROTEASE; EXOSOMES; INFLAMMATION; PROMOTES; METASTASIS</t>
  </si>
  <si>
    <t>Background Mitochondrial Lon is a chaperone and DNA-binding protein that functions in protein quality control and stress response pathways. The level of Lon regulates mitochondrial DNA (mtDNA) metabolism and the production of mitochondrial reactive oxygen species (ROS). However, there is little information in detail on how mitochondrial Lon regulates ROS-dependent cancer immunoescape through mtDNA metabolism in the tumor microenvironment (TME). Methods We explored the understanding of the intricate interplay between mitochondria and the innate immune response in the inflammatory TME. Results We found that oxidized mtDNA is released into the cytosol when Lon is overexpressed and then it induces interferon (IFN) signaling via cGAS-STING-TBK1, which upregulates PD-L1 and IDO-1 expression to inhibit T-cell activation. Unexpectedly, upregulation of Lon also induces the secretion of extracellular vehicles (EVs), which carry mtDNA and PD-L1. Lon-induced EVs further induce the production of IFN and IL-6 from macrophages, which attenuates T-cell immunity in the TME. Conclusions The levels of mtDNA and PD-L1 in EVs in patients with oral cancer function as a potential diagnostic biomarker for anti-PD-L1 immunotherapy. Our studies provide an insight into the immunosuppression on mitochondrial stress and suggest a therapeutic synergy between anti-inflammation therapy and immunotherapy in cancer.</t>
  </si>
  <si>
    <t>[Cheng, An Ning; Cheng, Li-Chun; Kuo, Cheng-Liang; Lo, Yu Kang; Chou, Han-Yu; Chen, Chung-Hsing; Wang, Yi-Hao; Lee, Alan Yueh-Luen] Natl Hlth Res Inst, Natl Inst Canc Res, Miaoli, Taiwan; [Chuang, Tsung-Hsien] Natl Hlth Res Inst, Immunol Res Ctr, Miaoli, Taiwan; [Cheng, Shih-Jung] Natl Taiwan Univ, Sch Dent, Taipei, Taiwan; [Cheng, Shih-Jung] Natl Taiwan Univ, Natl Taiwan Univ Hosp, Coll Med, Dept Dent, Taipei, Taiwan; [Lee, Alan Yueh-Luen] Kaohsiung Med Univ, Coll Life Sci, Dept Biotechnol, Kaohsiung, Taiwan; [Lee, Alan Yueh-Luen] China Med Univ, Grad Inst Biomed Sci, Taichung, Taiwan</t>
  </si>
  <si>
    <t>National Health Research Institutes - Taiwan; National Health Research Institutes - Taiwan; National Taiwan University; National Taiwan University; National Taiwan University Hospital; Kaohsiung Medical University; China Medical University Taiwan</t>
  </si>
  <si>
    <t>Lee, AYL (corresponding author), Natl Hlth Res Inst, Natl Inst Canc Res, Miaoli, Taiwan.;Lee, AYL (corresponding author), Kaohsiung Med Univ, Coll Life Sci, Dept Biotechnol, Kaohsiung, Taiwan.;Lee, AYL (corresponding author), China Med Univ, Grad Inst Biomed Sci, Taichung, Taiwan.</t>
  </si>
  <si>
    <t>alanylee@nhri.edu.tw</t>
  </si>
  <si>
    <t>Chuang, Tsung-Hsien/F-9679-2010</t>
  </si>
  <si>
    <t>Chen, Chung-Hsing/0000-0002-1205-7368; Kuo, Cheng-Liang/0000-0003-2401-9390; Cheng, Shih-Jung/0000-0003-4674-4892; Lee, Alan Yueh-Luen/0000-0003-0252-0571</t>
  </si>
  <si>
    <t>2051-1426</t>
  </si>
  <si>
    <t>e001372</t>
  </si>
  <si>
    <t>10.1136/jitc-2020-001372</t>
  </si>
  <si>
    <t>WOS:000597166600001</t>
  </si>
  <si>
    <t>Vazquez-Villasenor, I; Smith, CI; Thang, YJR; Heath, PR; Wharton, SB; Blackburn, DJ; Ridger, VC; Simpson, JE</t>
  </si>
  <si>
    <t>Vazquez-Villasenor, Irina; Smith, Cynthia, I; Thang, Yung J. R.; Heath, Paul R.; Wharton, Stephen B.; Blackburn, Daniel J.; Ridger, Victoria C.; Simpson, Julie E.</t>
  </si>
  <si>
    <t>RNA-Seq Profiling of Neutrophil-Derived Microvesicles in Alzheimer's Disease Patients Identifies a miRNA Signature That May Impact Blood-Brain Barrier Integrity</t>
  </si>
  <si>
    <t>Alzheimer's disease; systemic infection; neutrophil; neutrophil-derived microvesicles; miRNA</t>
  </si>
  <si>
    <t>CEREBROSPINAL-FLUID; MOUSE MODEL; BETA; BIOMARKERS; INJURY; DISRUPTION; REGULATOR; DEMENTIA; MUSCLE; CELLS</t>
  </si>
  <si>
    <t>(1) Background: Systemic infection is associated with increased neuroinflammation and accelerated cognitive decline in AD patients. Activated neutrophils produce neutrophil-derived microvesicles (NMV), which are internalised by human brain microvascular endothelial cells and increase their permeability in vitro, suggesting that NMV play a role in blood-brain barrier (BBB) integrity during infection. The current study investigated whether microRNA content of NMV from AD patients is significantly different compared to healthy controls and could impact cerebrovascular integrity. (2) Methods: Neutrophils isolated from peripheral blood samples of five AD and five healthy control donors without systemic infection were stimulated to produce NMV. MicroRNAs isolated from NMV were analysed by RNA-Seq, and online bioinformatic tools were used to identify significantly differentially expressed microRNAs in the NMV. Target and pathway analyses were performed to predict the impact of the candidate microRNAs on vascular integrity. (3) Results: There was no significant difference in either the number of neutrophils (p = 0.309) or the number of NMV (p = 0.3434) isolated from AD donors compared to control. However, 158 microRNAs were significantly dysregulated in AD NMV compared to controls, some of which were associated with BBB dysfunction, including miR-210, miR-20b-5p and miR-126-5p. Pathway analysis revealed numerous significantly affected pathways involved in regulating vascular integrity, including the TGF beta and PDGFB pathways, as well as Hippo, IL-2 and DNA damage signalling. (4) Conclusions: NMV from AD patients contain miRNAs that may alter the integrity of the BBB and represent a novel neutrophil-mediated mechanism for BBB dysfunction in AD and the accelerated cognitive decline seen as a result of a systemic infection.</t>
  </si>
  <si>
    <t>[Vazquez-Villasenor, Irina; Smith, Cynthia, I; Thang, Yung J. R.; Heath, Paul R.; Wharton, Stephen B.; Blackburn, Daniel J.; Simpson, Julie E.] Univ Sheffield, Sheffield Inst Translat Neurosci, Sheffield S10 2HQ, S Yorkshire, England; [Ridger, Victoria C.] Univ Sheffield, Med Sch, Dept Infect Immun &amp; Cardiovasc Dis, Beech Hill Rd, Sheffield S10 2RX, S Yorkshire, England</t>
  </si>
  <si>
    <t>University of Sheffield; University of Sheffield</t>
  </si>
  <si>
    <t>Vazquez-Villasenor, I; Simpson, JE (corresponding author), Univ Sheffield, Sheffield Inst Translat Neurosci, Sheffield S10 2HQ, S Yorkshire, England.</t>
  </si>
  <si>
    <t>i.vazquez@sheffield.ac.uk; isabel_9691@yahoo.com; yjrthang1@sheffield.ac.uk; p.heath@sheffield.ac.uk; s.wharton@sheffield.ac.uk; d.blackburn@sheffield.ac.uk; v.c.ridger@sheffield.ac.uk; julie.simpson@sheffield.ac.uk</t>
  </si>
  <si>
    <t>Ridger, Victoria/GLN-8158-2022</t>
  </si>
  <si>
    <t>Wharton, Stephen B/0000-0003-2785-333X; Heath, Paul/0000-0002-8385-1438; blackburn, daniel/0000-0001-8886-1283</t>
  </si>
  <si>
    <t>10.3390/ijms23115913</t>
  </si>
  <si>
    <t>WOS:000809878500001</t>
  </si>
  <si>
    <t>Ma, XT; Yao, MN; Gao, Y; Yue, YL; Li, Y; Zhang, TJ; Nie, GJ; Zhao, X; Liang, XL</t>
  </si>
  <si>
    <t>Ma, Xiaotu; Yao, Meinan; Gao, Yu; Yue, Yale; Li, Yao; Zhang, Tianjiao; Nie, Guangjun; Zhao, Xiao; Liang, Xiaolong</t>
  </si>
  <si>
    <t>Functional Immune Cell-Derived Exosomes Engineered for the Trilogy of Radiotherapy Sensitization</t>
  </si>
  <si>
    <t>ADVANCED SCIENCE</t>
  </si>
  <si>
    <t>engineered exosome; immune microenvironment; macrophage polarization; radiotherapy sensitization; tumor hypoxia</t>
  </si>
  <si>
    <t>CANCER; HYPOXIA; RESISTANCE; ANGIOGENESIS</t>
  </si>
  <si>
    <t>The limited efficacy of radiotherapy leads to radio-resistance and high rates of tumor recurrence and metastasis, which is caused by tumor hypoxia, rapid DNA damage repair, and especially the suppressive immune microenvironment of tumor. Lots of immune cell-derived exosomes can regulate antitumor immunity, but their application in enhancing radiotherapy is rarely studied. Herein, as a model of concept, M1 macrophage-derived exosomes (M1Exos) is engineered as effective radiotherapy sensitizers, realizing the trilogy of radiotherapy sensitization: 1) M1Exos is engineered to express catalases on the inside of membrane, which can effectively relieve tumor hypoxia, and enhance DNA damage. 2) The DNA damage repair inhibitor is loaded in M1Exos to effectively inhibit DNA damage repair. 3) M1Exos can polarize M2 macrophages into M1 phenotypes, and the anti-PD-L1 nanobody engineered on the outside of M1Exos can relieve the immunosuppression of T cells, both ultimately leading to the remodeling of the tumor suppressive microenvironment. The trilogy of radiotherapy sensitization achieves excellent antitumor efficacy, exhibiting the good utility of engineering immune cell-derived exosomes as radiotherapy sensitizers, inspiring the future efforts to explore different kinds of immune cell-derived exosomes for enhanced radiotherapy.</t>
  </si>
  <si>
    <t>[Ma, Xiaotu; Liang, Xiaolong] Peking Univ Third Hosp, Dept Ultrasound, Beijing 100191, Peoples R China; [Ma, Xiaotu; Yue, Yale; Li, Yao; Zhang, Tianjiao; Nie, Guangjun; Zhao, Xiao] Natl Ctr Nanosci &amp; Technol China, CAS Key Lab Biomed Effects Nanomat &amp; Nanosafety, Beijing 100190, Peoples R China; [Ma, Xiaotu; Yue, Yale; Li, Yao; Zhang, Tianjiao; Nie, Guangjun; Zhao, Xiao] Natl Ctr Nanosci &amp; Technol China, CAS Ctr Excellence Nanosci, Beijing 100190, Peoples R China; [Yao, Meinan] Beijing Ctr Dis Control &amp; Prevent, Beijing 100013, Peoples R China; [Gao, Yu] Chinese Acad Sci, CAS Ctr Excellence Biomacromol, Inst Biophys, Key Lab Prot &amp; Peptide Pharmaceut, Beijing 100101, Peoples R China; [Zhao, Xiao] Chinese Acad Sci, IGDB NCNST Joint Res Ctr, Inst Genet &amp; Dev Biol, Beijing 100101, Peoples R China</t>
  </si>
  <si>
    <t>Peking University; Chinese Academy of Sciences; National Center for Nanoscience &amp; Technology - China; Chinese Academy of Sciences; National Center for Nanoscience &amp; Technology - China; Chinese Academy of Sciences; Institute of Biophysics, CAS; Chinese Academy of Sciences; Institute of Genetics &amp; Developmental Biology, CAS</t>
  </si>
  <si>
    <t>Liang, XL (corresponding author), Peking Univ Third Hosp, Dept Ultrasound, Beijing 100191, Peoples R China.;Zhao, X (corresponding author), Natl Ctr Nanosci &amp; Technol China, CAS Key Lab Biomed Effects Nanomat &amp; Nanosafety, Beijing 100190, Peoples R China.;Zhao, X (corresponding author), Natl Ctr Nanosci &amp; Technol China, CAS Ctr Excellence Nanosci, Beijing 100190, Peoples R China.;Zhao, X (corresponding author), Chinese Acad Sci, IGDB NCNST Joint Res Ctr, Inst Genet &amp; Dev Biol, Beijing 100101, Peoples R China.</t>
  </si>
  <si>
    <t>zhaox@nanoctr.cn; xiaolong_liang@bjmu.edu.cn</t>
  </si>
  <si>
    <t>2198-3844</t>
  </si>
  <si>
    <t>10.1002/advs.202106031</t>
  </si>
  <si>
    <t>WOS:000812466900001</t>
  </si>
  <si>
    <t>Tayyaba; Rehman, FU; Shaikh, S; Tanziela; Semcheddine, F; Du, TY; Jiang, H; Wang, XM</t>
  </si>
  <si>
    <t>Tayyaba; Rehman, Fawad Ur; Shaikh, Sana; Tanziela; Semcheddine, Farouk; Du, Tianyu; Jiang, Hui; Wang, Xuemei</t>
  </si>
  <si>
    <t>In situ self-assembled Ag-Fe3O4 nanoclusters in exosomes for cancer diagnosis</t>
  </si>
  <si>
    <t>JOURNAL OF MATERIALS CHEMISTRY B</t>
  </si>
  <si>
    <t>EXTRACELLULAR VESICLES; CONTRAST AGENT; DNA-DAMAGE; NANOPARTICLES; CELLS; INTERNALIZATION; BIOSYNTHESIS; ACTIVATION; RECEPTOR; DELIVERY</t>
  </si>
  <si>
    <t>Recently, exosomes have gained attention as an effective tool for early cancer detection. Almost all types of cells release exosomes, making them substantially important for disease diagnosis. In this study, we have utilized HepG2 cancer cells for the in situ biosynthesis of silver and iron oxide nanoclusters (NCs) from their respective salts (i.e., AgNO3 and FeCl2, respectively) in the presence of glutathione (GSH). The self-assembled biosynthesized silver and iron NCs were readily loaded on exosomes as payloads and secreted into the cell culture medium. The cargo loaded exosomes were then isolated and characterized by electron microscopy for nano-silver and iron oxide NC confirmation. Ag NCs have potential as a fluorescent probe and Fe3O4 NCs as a contrast agent for CT and MRI. Furthermore, these isolated exosomes from HepG2 cancer cells have a significant influence on cellular uptake and cell viability when exposed to both HepG2 and U87 cancer cells. These findings demonstrate that the biocompatible nature of these self-assembled NCs loaded on exosomes could be utilized to bioimage cancer in the initial stages through fluorescence imaging.</t>
  </si>
  <si>
    <t>[Tayyaba; Rehman, Fawad Ur; Shaikh, Sana; Tanziela; Semcheddine, Farouk; Du, Tianyu; Jiang, Hui; Wang, Xuemei] Southeast Univ, Sch Biol Sci &amp; Med Engn, State Key Lab Bioelect, Nanjing, Peoples R China</t>
  </si>
  <si>
    <t>Wang, XM (corresponding author), Southeast Univ, Sch Biol Sci &amp; Med Engn, State Key Lab Bioelect, Nanjing, Peoples R China.</t>
  </si>
  <si>
    <t>2050-750X</t>
  </si>
  <si>
    <t>2050-7518</t>
  </si>
  <si>
    <t>10.1039/c9tb02610j</t>
  </si>
  <si>
    <t>WOS:000525489500008</t>
  </si>
  <si>
    <t>Almanza, G; Rodvold, JJ; Tsui, B; Jepsen, K; Carter, H; Zanetti, M</t>
  </si>
  <si>
    <t>Almanza, Gonzalo; Rodvold, Jeffrey J.; Tsui, Brian; Jepsen, Kristen; Carter, Hannah; Zanetti, Maurizio</t>
  </si>
  <si>
    <t>Extracellular vesicles produced in B cells deliver tumor suppressor miR-335 to breast cancer cells disrupting oncogenic programming in vitro and in vivo</t>
  </si>
  <si>
    <t>INDEPENDENT PROGNOSTIC MARKER; NONCODING RNA; MICRORNAS; SOX4; GENE; METASTASIS; EXPRESSION; REPRESENTS; MICE; EMT</t>
  </si>
  <si>
    <t>The successful implementation of miRNA (miR) therapies in humans will ultimately rely on the use of vehicles with improved cellular delivery capability. Here we tested a new system that leverages extracellular vesicles (EVs) laden with a tumor suppressor miRNA (miR-335) produced in B cells by plasmid DNA induction (iEVs). We demonstrate that iEVs-335 efficiently and durably restored the endogenous miR-335 pool in human triple negative breast cancer cells, downregulated the expression of the miR-335 target gene SOX4 transcription factor, and markedly inhibited tumor growth in vivo. Remarkably, iEVs-335 mediated transcriptional effects that persisted in tumors after 60 days post orthotopic implantation. Genome-wide RNASeq analysis of cancer cells treated in vitro with iEVs-335 showed the regulation of a discrete number of genes only, without broad transcriptome perturbations. This new technology may be ideally suited for therapies aimed to restore tumor suppressor miRNAs in cancer cells, disrupting the oncogenic program established after escape from miRNA control.</t>
  </si>
  <si>
    <t>[Almanza, Gonzalo; Rodvold, Jeffrey J.; Zanetti, Maurizio] Univ Calif San Diego, Dept Med, Lab Immunol, 9500 Gilman Dr, La Jolla, CA 92093 USA; [Almanza, Gonzalo; Rodvold, Jeffrey J.; Zanetti, Maurizio] Univ Calif San Diego, Moores Canc Ctr, 9500 Gilman Dr, La Jolla, CA 92093 USA; [Tsui, Brian; Carter, Hannah] Univ Calif San Diego, Div Med Genet, Dept Med, 9500 Gilman Dr, La Jolla, CA 92093 USA; [Jepsen, Kristen] Univ Calif San Diego, IGM Genom Ctr, 9500 Gilman Dr, La Jolla, CA 92093 USA</t>
  </si>
  <si>
    <t>Zanetti, M (corresponding author), Univ Calif San Diego, Dept Med, Lab Immunol, 9500 Gilman Dr, La Jolla, CA 92093 USA.;Zanetti, M (corresponding author), Univ Calif San Diego, Moores Canc Ctr, 9500 Gilman Dr, La Jolla, CA 92093 USA.</t>
  </si>
  <si>
    <t>Carter, Hannah/R-8425-2017</t>
  </si>
  <si>
    <t>Carter, Hannah/0000-0002-1729-2463</t>
  </si>
  <si>
    <t>10.1038/s41598-018-35968-2</t>
  </si>
  <si>
    <t>WOS:000452084100001</t>
  </si>
  <si>
    <t>Mao, DS; Zheng, MM; Li, WX; Xu, Y; Wang, CG; Qian, QL; Li, SN; Chen, GF; Zhu, XL; Mi, XQ</t>
  </si>
  <si>
    <t>Mao, Dongsheng; Zheng, Mengmeng; Li, Wenxing; Xu, Yi; Wang, Chengguang; Qian, Qiuling; Li, Shuainan; Chen, Guifang; Zhu, Xiaoli; Mi, Xianqiang</t>
  </si>
  <si>
    <t>Cubic DNA nanocage-based three-dimensional molecular beacon for accurate detection of exosomal miRNAs in confined spaces</t>
  </si>
  <si>
    <t>DNA Nanocage; Molecular beacon; Exosome; miRNA; Confined space</t>
  </si>
  <si>
    <t>EXTRACELLULAR VESICLES; DIAGNOSIS</t>
  </si>
  <si>
    <t>In situ nondestructive bioanalysis of targets in nanoscale confined space, e.g. exosomes, poses a high challenge to analytical technologies, especially to molecular fluorescent probes, because it is required to enter the confined space to recognize the target, and maintain independent and stable signal output. The unexpected fluorescence quenching and fluorescence resonance energy transfer (FRET) caused by high-frequency Brownian motion and collision in confined space are the main limiting factors. Herein, we constructed a well-defined and program-mable cubic DNA nanocage-based three-dimensional molecular beacon (ncMB), which successfully broke through the above dilemma, and realized the detection of miRNA in exosomes. Specifically, steric hindrance and electrostatic repulsion derived from the unique three-dimensional structure of ncMB result in a barrier between fluorescent probes, thus eliminating unexpected fluorescence quenching during single exosomal miRNA detec-tion and unexpected FRET during dual exosomal miRNA detection. Benefiting from the excellent anti-fluorescence and anti-FRET performance of ncMB, compared with traditional molecular beacons (MB), the detected fluorescence signal in exosomes can be improved by an order of magnitude. Moreover, ncMB is proven to have powerful programmability and anti-interference capability. Overall, it is believed that the ncMB can eliminate the signal distortion that was usually associated with commonly used MB, especially in the confined space. The ncMB is considered as a powerful and versatile tool for accurate in situ signal output in exosomes and maybe other confined spaces.</t>
  </si>
  <si>
    <t>[Mao, Dongsheng; Mi, Xianqiang] Chinese Acad Sci, Shanghai Inst Microsyst &amp; Informat Technol, State Key Lab Funct Mat Informat, Shanghai 200050, Peoples R China; [Mao, Dongsheng; Zheng, Mengmeng; Li, Wenxing; Chen, Guifang] Shanghai Univ, Ctr Mol Recognit &amp; Biosensing, Sch Life Sci, Shanghai 200444, Peoples R China; [Zheng, Mengmeng; Li, Wenxing; Xu, Yi; Wang, Chengguang; Qian, Qiuling; Li, Shuainan; Mi, Xianqiang] Chinese Acad Sci, Shanghai Adv Res Inst, Shanghai 201210, Peoples R China; [Zhu, Xiaoli] Tongji Univ, Dept Clin Lab Med, Shanghai Peoples Hosp 10, Shanghai 200072, Peoples R China; [Mi, Xianqiang] CAS Ctr Excellence Superconducting Elect CENSE, Shanghai 200050, Peoples R China; [Mi, Xianqiang] Chinese Acad Sci, Univ Chinese Acad Sci, Hangzhou Inst Adv Study, Key Lab Syst Hlth Sci Zhejiang Prov, Hangzhou 310024, Zhejiang, Peoples R China; [Xu, Yi; Wang, Chengguang; Qian, Qiuling; Li, Shuainan; Mi, Xianqiang] Univ Chinese Acad Sci, Beijing 100049, Peoples R China</t>
  </si>
  <si>
    <t>Chinese Academy of Sciences; Shanghai Institute of Microsystem &amp; Information Technology, CAS; Shanghai University; Chinese Academy of Sciences; Shanghai Advanced Research Institute, CAS; Tongji University; Chinese Academy of Sciences; University of Chinese Academy of Sciences, CAS; Chinese Academy of Sciences; University of Chinese Academy of Sciences, CAS</t>
  </si>
  <si>
    <t>Mi, XQ (corresponding author), Chinese Acad Sci, Shanghai Inst Microsyst &amp; Informat Technol, State Key Lab Funct Mat Informat, Shanghai 200050, Peoples R China.;Chen, GF (corresponding author), Shanghai Univ, Ctr Mol Recognit &amp; Biosensing, Sch Life Sci, Shanghai 200444, Peoples R China.;Zhu, XL (corresponding author), Tongji Univ, Dept Clin Lab Med, Shanghai Peoples Hosp 10, Shanghai 200072, Peoples R China.</t>
  </si>
  <si>
    <t>gfchen@shu.edu.cn; xiaolizhu@shu.edu.cn; mixq@mail.sim.ac.cn</t>
  </si>
  <si>
    <t>Mao, Dongsheng/0000-0002-3881-0418</t>
  </si>
  <si>
    <t>10.1016/j.bios.2022.114077</t>
  </si>
  <si>
    <t>WOS:000779152300003</t>
  </si>
  <si>
    <t>Yang, ZJ; LaRiviere, MJ; Ko, J; Till, JE; Christensen, T; Yee, SS; Black, TA; Tien, K; Lin, A; Shen, H; Bhagwat, N; Herman, D; Adallah, A; O'Hara, MH; Vollmer, CM; Katona, BW; Stanger, BZ; Issadore, D; Carpenter, EL</t>
  </si>
  <si>
    <t>Yang, Zijian; LaRiviere, Michael J.; Ko, Jina; Till, Jacob E.; Christensen, Theresa; Yee, Stephanie S.; Black, Taylor A.; Tien, Kyle; Lin, Andrew; Shen, Hanfei; Bhagwat, Neha; Herman, Daniel; Adallah, Andrew; O'Hara, Mark H.; Vollmer, Charles M.; Katona, Bryson W.; Stanger, Ben Z.; Issadore, David; Carpenter, Erica L.</t>
  </si>
  <si>
    <t>A Multianalyte Panel Consisting of Extracellular Vesicle miRNAs and mRNAs, cfDNA, and CA19-9 Shows Utility for Diagnosis and Staging of Pancreatic Ductal Adenocarcinoma</t>
  </si>
  <si>
    <t>CIRCULATING TUMOR-CELLS; NEOADJUVANT THERAPY; ADJUVANT THERAPY; LIQUID BIOPSY; FREE DNA; CANCER; EXOSOMES; SURVIVAL; SERUM; RECOMMENDATIONS</t>
  </si>
  <si>
    <t>Purpose: To determine whether a multianalyte liquid biopsy can improve the detection and staging of pancreatic ductal adenocarcinoma (PDAC). Experimental Design: We analyzed plasma from 204 subjects (71 healthy, 44 non-PDAC pancreatic disease, and 89 PDAC) for the following biomarkers: tumor-associated extracellular vesicle miRNA and m RNA isolated on a nanomagnetic platform that we developed and measured by next-generation sequencing or qPCR, circulating cell-free DNA (ccfDNA) concentration measured by qPCR, ccfDNA KRAS G12D/V/R mutations detected by droplet digital PCR, and CA19-9 measured by electrochemiluminescence immunoassay. We applied machine learning to training sets and subsequently evaluated model performance in independent, user-blinded test sets. Results: To identify patients with PDAC versus those without, we generated a classification model using a training set of 47 subjects (20 PDAC and 27 noncancer). When applied to a blinded test set (N = 136), the model achieved an AUC of 0.95 and accuracy of 92%, superior to the best individual biomarker, CA19-9 (89%). We next used a cohort of 20 patients with PDAC to train our model for disease staging and applied it to a blinded test set of 25 patients clinically staged by imaging as metastasis-free, including 9 subsequently determined to have had occult metastasis. Our workflow achieved significantly higher accuracy for disease staging (84%) than imaging alone (accuracy - 64%; P &lt; 0.05). Conclusions: Algorithmically combining blood-based biomarkers may improve PDAC diagnostic accuracy and preoperative identification of nonmetastatic patients best suited for surgery, although larger validation studies are necessary.</t>
  </si>
  <si>
    <t>[Yang, Zijian] Univ Penn, Sch Engn &amp; Appl Sci, Dept Mech Engn &amp; Appl Mech, Philadelphia, PA 19104 USA; [LaRiviere, Michael J.] Univ Penn, Dept Radiat Oncol, Perelman Sch Med, Philadelphia, PA 19104 USA; [Ko, Jina; Lin, Andrew; Shen, Hanfei; Adallah, Andrew; Issadore, David] Univ Penn, Sch Engn &amp; Appl Sci, Dept Bioengn, Philadelphia, PA 19104 USA; [Till, Jacob E.; Christensen, Theresa; Yee, Stephanie S.; Black, Taylor A.; Tien, Kyle; O'Hara, Mark H.; Carpenter, Erica L.] Univ Penn, Dept Med, Perelman Sch Med, Div Hematol Oncol, Philadelphia, PA 19104 USA; [Bhagwat, Neha; Katona, Bryson W.; Stanger, Ben Z.] Univ Penn, Dept Med, Div Gastroenterol, Perelman Sch Med, Philadelphia, PA 19104 USA; [Herman, Daniel] Univ Penn, Dept Pathol &amp; Lab Med, Perelman Sch Med, Philadelphia, PA USA; [Vollmer, Charles M.] Hosp Univ Penn, Dept Surg, Div Gen Surg, 3400 Spruce St, Philadelphia, PA 19104 USA; [Issadore, David] Univ Penn, Sch Engn &amp; Appl Sci, Dept Elect &amp; Syst Engn, Philadelphia, PA 19104 USA</t>
  </si>
  <si>
    <t>University of Pennsylvania; University of Pennsylvania; University of Pennsylvania; University of Pennsylvania; University of Pennsylvania; University of Pennsylvania; University of Pennsylvania; University of Pennsylvania</t>
  </si>
  <si>
    <t>Carpenter, EL (corresponding author), Univ Penn, 8-104 Perelman Ctr Adv Med South Tower, Philadelphia, PA 19104 USA.</t>
  </si>
  <si>
    <t>erical@upenn.edu</t>
  </si>
  <si>
    <t>Yang, Zijian/AAO-9763-2021</t>
  </si>
  <si>
    <t>Till, Jacob/0000-0002-2824-1282; Christensen, Theresa/0000-0002-8928-5174; LaRiviere, Michael/0000-0002-1662-5086</t>
  </si>
  <si>
    <t>10.1158/1078-0432.CCR-19-3313</t>
  </si>
  <si>
    <t>WOS:000546016400021</t>
  </si>
  <si>
    <t>Schrick, D; Molnar, T; Tokes-Fuzesi, M; Molnar, A; Ezer, E</t>
  </si>
  <si>
    <t>Schrick, Diana; Molnar, Tihamer; Tokes-Fuzesi, Margit; Molnar, Abigel; Ezer, Erzsebet</t>
  </si>
  <si>
    <t>Circulating Microvesicles in Convalescent Ischemic Stroke Patients: A Contributor to High-On-Treatment Residual Platelet Reactivity?</t>
  </si>
  <si>
    <t>microvesicles; platelet; neutrophil; ischemic stroke; antiplatelet therapy; clopidogrel</t>
  </si>
  <si>
    <t>EXTRACELLULAR DNA; EXOSOMES</t>
  </si>
  <si>
    <t>Introduction: Exploration of novel and effective antiplatelet strategies for the secondary prevention of ischemic stroke is utmost. Some platelet derived microparticles (PMVs) in convalescent stroke subjects were found to be predictive for the next vascular event. Patients with high-on-treatment platelet reactivity (HTPR) had a significantly higher risk for ischemic stroke. Here, we aimed to explore associations among circulating microparticles and responsivness to antiplatelet (clopidogrel) therapy. Methods: A total of 18 patients on clopidogrel therapy due to secondary stroke prevention were rospectively recruited into this study. Twenty age-matched healthy subjects served as controls. Flow cytometric measurements of microparicles (MVs) and data analysis were performed on Beckman-Coulter FC5(X) cytometer with CXP software. Besides, platelet aggregometry data were revealed. Both measurements were performed in whole blood and from the lower and upper blood fractions separated after 1-hour gravity sedimentation by the analogy with erythrocyte sedimentation rate. Results: The total number of circulating MVs, and particularly the platelet derived CD42(+) and PAC-1(+) were significantly higher in post-stroke patients (p &lt; 0.001). The platelet aggregation in the whole blood (area under the curve, A IJC) showed a significant negative correlation with the total number of MPs in the lower blood sample after 1-hour gravity sedimentation (r = -0.650, p= 0.005). Next, we analyzed associations among MPs and aggregometry data obtained from clopidogrel responders and non-responders. Both, area under the curve (AUC) and velocity in the whole blood showed opposite correlation with the total number of MVs in the lower blood sample after 1-hour gravity sedimentation. Importantly, a significant negative correlation was observed for the velocity (r = 0.801, p = 0.005), but not for the AUC in responders. Platelet derived CD42(+) and PAC-1(+) MVs showed positive correlations with neutrophils in the lower blood sample (p= 0.008 and p= 0.006 respectively). Conclusions: Circulating MVs may allow to monitor the response to antiplatelet therapy in post-stroke patients. In addition, the link between platelet derived MVs and neutrophil granulocytes might become therapeutic targets in the future.</t>
  </si>
  <si>
    <t>[Schrick, Diana; Molnar, Tihamer; Ezer, Erzsebet] Univ Pecs, Clin Ctr, Med Sch, Dept Anaesthesiol &amp; Intens Care, H-7624 Pecs, Hungary; [Tokes-Fuzesi, Margit] Univ Pecs, Clin Ctr, Med Sch, Dept Lab Med, H-7624 Pecs, Hungary; [Tokes-Fuzesi, Margit] Szigetvar Hosp, Cent Lab, H-7900 Szigetvar, Hungary; [Molnar, Abigel] Univ Pecs, Med Sch, Dept Med Biol, H-7624 Pecs, Hungary; [Molnar, Abigel] Univ Pecs, Med Sch, Cent Electron Microscop Lab, H-7624 Pecs, Hungary</t>
  </si>
  <si>
    <t>University of Pecs; University of Pecs; University of Pecs; University of Pecs</t>
  </si>
  <si>
    <t>Tokes-Fuzesi, M (corresponding author), Univ Pecs, Clin Ctr, Med Sch, Dept Lab Med, H-7624 Pecs, Hungary.;Tokes-Fuzesi, M (corresponding author), Szigetvar Hosp, Cent Lab, H-7900 Szigetvar, Hungary.</t>
  </si>
  <si>
    <t>tfgitta@gmail.com</t>
  </si>
  <si>
    <t>2768-6701</t>
  </si>
  <si>
    <t>2768-6698</t>
  </si>
  <si>
    <t>10.31083/j.fbl2705158</t>
  </si>
  <si>
    <t>WOS:000807685700021</t>
  </si>
  <si>
    <t>Wang, JH; Forterre, AV; Zhao, JJ; Frimannsson, DO; Delcayre, A; Antes, TJ; Efron, B; Jeffrey, SS; Pegram, M; Matin, AC</t>
  </si>
  <si>
    <t>Wang, Jing-Hung; Forterre, Alexis V.; Zhao, Jinjing; Frimannsson, Daniel O.; Delcayre, Alain; Antes, Travis J.; Efron, Bradley; Jeffrey, Stefanie S.; Pegram, Markd.; Matin, A. C.</t>
  </si>
  <si>
    <t>Anti-HER2 scFv-Directed Extracellular Vesicle-Mediated mRNA-Based Gene Delivery Inhibits Growth of HER2-Positive Human Breast Tumor Xenografts by Prodrug Activation</t>
  </si>
  <si>
    <t>SIRNA DELIVERY; CANCER; EXOSOMES; THERAPY; ENZYME; TRASTUZUMAB; ADJUVANT; BRAIN; NITROREDUCTASE; IMMUNOTHERAPY</t>
  </si>
  <si>
    <t>This paper deals with specific targeting of the prodrug/enzyme regimen, CNOB/HChrR6, to treat a serious disease, namely HER2(-) human breast cancer with minimal off-target toxicity. HChrR6 is an improved bacterial enzyme that converts CNOB into the cytotoxic drug MCHB. Extracellular vesicles (EV) were used for mRNA-based HchrR6 gene delivery: EVs may cause minimal immune rejection, and mRNA may be superior to DNA for gene delivery. To confine HChrR6 generation and CNOB activation to the cancer, the EVHB chimeric protein was constructed. It contains high-affinity anti-HER2scFv antibody (ML39) and is capable of latching on to EV surface. Cells transfected with EVHB-encoding plasmid generated EVs displaying this protein (directed EVs). Transfection of a separate batch of cells with the new plasmid, XPort/HChrR6, generated EVs containing HChrR6 mRNA; incubation with pure EVHB enabled these to target the HER2 receptor, generating EXO-DEPT EVs. EXO-DEPT treatment specifically enabled HER2-overexpressing BT474 cells to convert CNOB into MCHB in actinomycin D-independent manner, showing successful and specific delivery of HChrR6 mRNA. EXO-DEPTs-but not undirected EVs-plus CNOB caused nearcomplete growth arrest of orthotopic BT474 xenografts in vivo, demonstrating for the first time EV-mediated delivery of functional exogenous mRNA to tumors. EXO-DEPTs may be generated from patients' own dendritic cells to evade immune rejection, and without plasmids and their potentially harmful genetic material, raising the prospect of clinical use of this regimen. This approach can be used to treat any disease overexpressing a specific marker. (C) 2018 AACR.</t>
  </si>
  <si>
    <t>[Wang, Jing-Hung; Forterre, Alexis V.; Zhao, Jinjing; Frimannsson, Daniel O.; Matin, A. C.] Stanford Univ, Dept Microbiol &amp; Immunol, Sch Med, Stanford, CA 94305 USA; [Delcayre, Alain] ExoThera LLC, Menlo Pk, CA USA; [Antes, Travis J.] Syst Biosci, Palo Alto, CA USA; [Efron, Bradley] Stanford Univ, Dept Stat, Stanford, CA 94305 USA; [Jeffrey, Stefanie S.] Stanford Univ, Sch Med, Dept Surg, Stanford, CA 94305 USA; [Pegram, Markd.] Stanford Univ, Dept Med, Sch Med, Stanford, CA 94305 USA</t>
  </si>
  <si>
    <t>Stanford University; Stanford University; Stanford University; Stanford University</t>
  </si>
  <si>
    <t>Matin, AC (corresponding author), Stanford Univ, Sch Med, 299 Campus Dr West, Stanford, CA 94305 USA.</t>
  </si>
  <si>
    <t>a.matin@stanford.edu</t>
  </si>
  <si>
    <t>Matin, AC/A-1315-2007</t>
  </si>
  <si>
    <t>Matin, AC/0000-0003-4468-980X; Jeffrey, Stefanie/0000-0003-4478-2764; Forterre, Alexis/0000-0002-5000-9009</t>
  </si>
  <si>
    <t>10.1158/1535-7163.MCT-17-0827</t>
  </si>
  <si>
    <t>WOS:000431314700023</t>
  </si>
  <si>
    <t>Zhu, HH; Liu, H; Wen, JF; Yuan, T; Ren, GY; Jiang, YQ; Yuan, YJ; Mei, JH; Yu, YF; Li, GR</t>
  </si>
  <si>
    <t>Zhu, Haohao; Liu, Huai; Wen, Jianfeng; Yuan, Ting; Ren, Guangyu; Jiang, Yonqing; Yuan, Yujun; Mei, Jinhong; Yu, Yuefei; Li, Guorong</t>
  </si>
  <si>
    <t>Overexpression of Human Aspartyl (Asparaginyl) beta-hydroxylase in NSCLC: Its Diagnostic Value by Means of Exosomes of Bronchoalveolar Lavage</t>
  </si>
  <si>
    <t>APPLIED IMMUNOHISTOCHEMISTRY &amp; MOLECULAR MORPHOLOGY</t>
  </si>
  <si>
    <t>bronchoalveolar lavage; exosomes; human aspartyl beta-hydroxylase (ASPH); non-small cell lung carcinoma</t>
  </si>
  <si>
    <t>CELL-FREE DNA; LUNG-CANCER</t>
  </si>
  <si>
    <t>The human aspartyl beta-hydroxylase (ASPH) is overexpressed in tumor tissues. Bronchoalveolar lavage (BAL) is a diagnostic procedure for infections and malignancies. The aim of this study was to investigate whether tumor exosomes carrying ASPH gene marker were present in bronchoalveolar fluid of patients with non-small cell lung cancer (NSCLC). A tissue microarray analysis was applied to explore the expression of ASPH in different histologic NSCLC. The human NSCLC cell lines and normal bronchial cell lines were used to study exosomal ASPH exprerssion. A total of 27 NSCLC, 21 benign tumor, and 15 healthy controls underwent BAL. Immunohistochemistry was performed to study the ASPH expression in malignant and normal lung tissues. The expression characteristics of ASPH in different NSCLC and normal bronchial cells and pneumocytes were confirmed by cell blocks. A reverse transcription-quantitative polymerase chain reaction was carried out to study the levels of exosomal ASPH expression. Immunohistochemical staining of tissue microarray demonstrated that overexpression of ASPH was found in NSCLC tissues including adenocarcinoma, large cell carcinoma, and squamous cell carcinoma, but absent in adjacent normal tissues. All NSCLC specimens exhibited high levels of ASPH immunoreactivity, while nonmalignant and normal lung tissues exhibited a very low level of expression. Overexpression of ASPH was found in exosomes from NSCLC cell lines but absent from the normal bronchial cell line NL-20. ASPH level from BAL exosomes was significantly increased in NSCLC patients compared with that from nonmalignant or health group. Our method of isolation of BAL exosomes was easily performed in the clinical laboratory. BAL exosomal ASPH can be a potential biomarker for NSCLC diagnosis.</t>
  </si>
  <si>
    <t>[Zhu, Haohao; Mei, Jinhong] Nanchang Univ, Affiliated Hosp 1, Dept Pathol, Nanchang, Jiangxi, Peoples R China; [Zhu, Haohao; Yuan, Ting; Ren, Guangyu] 908th Hosp PLA Joint Logist Support Force, Dept Pathol, Nanchang, Jiangxi, Peoples R China; [Wen, Jianfeng] 908th Hosp PLA Joint Logist Support Force, Dept Neurosurg, Nanchang, Jiangxi, Peoples R China; [Mei, Jinhong; Yu, Yuefei] Jiangxi Huitai Biotech Ltd, 989 Tianxiang North, Nanchang 330000, Jiangxi, Peoples R China; [Liu, Huai; Jiang, Yonqing; Yuan, Yujun] Jiujiang Univ Affiliated Hosp, Jiujiang, Jiangxi, Peoples R China; [Li, Guorong] CHU St Etienne, Dept Urol, North Hosp, St Etienne, France</t>
  </si>
  <si>
    <t>Nanchang University; CHU de St Etienne</t>
  </si>
  <si>
    <t>Yu, YF (corresponding author), Jiangxi Huitai Biotech Ltd, 989 Tianxiang North, Nanchang 330000, Jiangxi, Peoples R China.</t>
  </si>
  <si>
    <t>yfyu1963@yahoo.com; grli2001@yahoo.fr</t>
  </si>
  <si>
    <t>1541-2016</t>
  </si>
  <si>
    <t>1533-4058</t>
  </si>
  <si>
    <t>NOV-DEC</t>
  </si>
  <si>
    <t>Anatomy &amp; Morphology; Medical Laboratory Technology; Pathology</t>
  </si>
  <si>
    <t>WOS:000756930100003</t>
  </si>
  <si>
    <t>Streleckiene, G; Reid, HM; Arnold, N; Bauerschlag, D; Forster, M</t>
  </si>
  <si>
    <t>Streleckiene, Greta; Reid, Hayley M.; Arnold, Norbert; Bauerschlag, Dirk; Forster, Michael</t>
  </si>
  <si>
    <t>Quantifying cell-free DNA in urine: comparison between commercial kits, impact of gender and inter-individual variation</t>
  </si>
  <si>
    <t>circulating cell-free DNA; DNA amount; urine</t>
  </si>
  <si>
    <t>BIOMARKER; CANCER</t>
  </si>
  <si>
    <t>DNA can enter the blood circulation from living cells by extracellular vesicles or at cell death, and pass into urine through the kidney barrier. Urine can be collected non-invasively, making it an interesting source of cell-free DNA (cfDNA) for research studies and ultimately for clinical diagnostics. However, there is currently a lack of data on the quantity and variability of cfDNA in urine. Here, we benchmark two commercial urine cfDNA isolation kits with respect to the quantity of DNA, the labor time, and cost. The results show distinctive differences between each kit. Furthermore, the cfDNA amount from the same probands varied strongly from day to day and may be higher in female samples than in male samples (p = 0.003).</t>
  </si>
  <si>
    <t>[Streleckiene, Greta] Lithuanian Univ Hlth Sci, Inst Digest Res, Eiveniu Str 2, LT-50009 Kaunas, Lithuania; [Streleckiene, Greta; Reid, Hayley M.; Arnold, Norbert; Forster, Michael] Christian Albrechts Univ Kiel, Inst Clin Mol Biol, D-24105 Kiel, Germany; [Arnold, Norbert; Bauerschlag, Dirk] Christian Albrechts Univ Kiel, Univ Hosp Schleswig Holstein, Dept Gynecol &amp; Obstet, D-24105 Kiel, Germany</t>
  </si>
  <si>
    <t>Lithuanian University of Health Sciences; University of Kiel; University of Kiel; Schleswig Holstein University Hospital</t>
  </si>
  <si>
    <t>Forster, M (corresponding author), Christian Albrechts Univ Kiel, Inst Clin Mol Biol, D-24105 Kiel, Germany.</t>
  </si>
  <si>
    <t>m.forster@ikmb.uni-kiel.de</t>
  </si>
  <si>
    <t>Arnold, Norbert/E-3012-2010</t>
  </si>
  <si>
    <t>Arnold, Norbert/0000-0003-4523-8808; Bauerschlag, Dirk O./0000-0001-8157-6121; Reid, Hayley M/0000-0003-2101-6450; Varkalaite, Greta/0000-0003-3488-2171; Forster, Michael/0000-0001-9927-5124</t>
  </si>
  <si>
    <t>10.2144/btn-2018-0003</t>
  </si>
  <si>
    <t>WOS:000433310500007</t>
  </si>
  <si>
    <t>Almanza, G; Anufreichik, V; Rodvold, JJ; Chiu, KT; DeLaney, A; Akers, JC; Chen, CC; Zanetti, M</t>
  </si>
  <si>
    <t>Almanza, Gonzalo; Anufreichik, Veronika; Rodvold, Jeffrey J.; Chiu, Kevin T.; DeLaney, Alexandra; Akers, Johnny C.; Chen, Clark C.; Zanetti, Maurizio</t>
  </si>
  <si>
    <t>Synthesis and delivery of short, noncoding RNA by B lymphocytes</t>
  </si>
  <si>
    <t>microvesicles; immunotherapy</t>
  </si>
  <si>
    <t>T-CELLS; VIRAL MICRORNAS; MESSENGER-RNAS; HUMAN CANCERS; IN-VIVO; TARGETS; EXPRESSION; EXOSOMES; MIR-150; BIOGENESIS</t>
  </si>
  <si>
    <t>Evolutionarily conserved short (20-30 nucleotides) noncoding RNAs (microRNAs) are powerful regulators of gene expression in a variety of physiological and pathological processes. As such, means to efficiently modulate microRNA function constitute an important therapeutic opportunity. Here we demonstrate that primary B lymphocytes can be genetically programmed with nonviral plasmid DNA for the biogenesis and delivery of antisense sequences (anti-microRNA) against microRNA-150 (miR-150). Within 18 h of transfection with an anti-miR-150 construct, primary B lymphocytes secrete similar to 3,000 copies of anti-miR-150 molecules per cell. Anti-miR-150 molecules released by B lymphocytes were internalized by CD8 T lymphocytes during cross-priming in vitro and in vivo, resulting in marked down-regulation of endogenous miR-150. However, such internalization was not observed in the absence of cross-priming. These results suggest that shuttling anti-miR-150 molecules from B lymphocytes to T cells requires the activation of receiver T cells via the antigen receptor. Finally, anti-miR-150 synthesized in B cells were secreted both as free and extracellular vesicle-associated fractions, but only extracellular vesicle-associated anti-miR-150 were apparently taken up by CD8 T cells. Collectively, these data indicate that primary B lymphocytes represent an efficient platform for the synthesis and delivery of short, noncoding RNA, paving the way for an approach to immunogenomic therapies.</t>
  </si>
  <si>
    <t>[Almanza, Gonzalo; Anufreichik, Veronika; Rodvold, Jeffrey J.; Chiu, Kevin T.; DeLaney, Alexandra; Zanetti, Maurizio] Univ Calif San Diego, Dept Med, Lab Immunol, La Jolla, CA 92093 USA; [Almanza, Gonzalo; Anufreichik, Veronika; Rodvold, Jeffrey J.; Chiu, Kevin T.; DeLaney, Alexandra; Akers, Johnny C.; Chen, Clark C.; Zanetti, Maurizio] Univ Calif San Diego, Moores Canc Ctr, La Jolla, CA 92093 USA; [Akers, Johnny C.; Chen, Clark C.] Univ Calif San Diego, Ctr Theoret &amp; Appl Neurooncol, Div Neurosurg, La Jolla, CA 92093 USA</t>
  </si>
  <si>
    <t>University of California System; University of California San Diego; University of California System; University of California San Diego; University of California System; University of California San Diego</t>
  </si>
  <si>
    <t>Zanetti, M (corresponding author), Univ Calif San Diego, Dept Med, Lab Immunol, La Jolla, CA 92093 USA.</t>
  </si>
  <si>
    <t>Chen, Clark C/C-8714-2013</t>
  </si>
  <si>
    <t>Chen, Clark C/0000-0001-6258-9277</t>
  </si>
  <si>
    <t>10.1073/pnas.1311145110</t>
  </si>
  <si>
    <t>WOS:000328061700056</t>
  </si>
  <si>
    <t>Pilsczek, FH; Salina, D; Poon, KKH; Fahey, C; Yipp, BG; Sibley, CD; Robbins, SM; Green, FHY; Surette, MG; Sugai, M; Bowden, MG; Hussain, M; Zhang, KY; Kubes, P</t>
  </si>
  <si>
    <t>Pilsczek, Florian H.; Salina, Davide; Poon, Karen K. H.; Fahey, Candace; Yipp, Bryan G.; Sibley, Christopher D.; Robbins, Stephen M.; Green, Francis H. Y.; Surette, Mike G.; Sugai, Motoyuki; Bowden, M. Gabriela; Hussain, Muzaffar; Zhang, Kunyan; Kubes, Paul</t>
  </si>
  <si>
    <t>A Novel Mechanism of Rapid Nuclear Neutrophil Extracellular Trap Formation in Response to Staphylococcus aureus</t>
  </si>
  <si>
    <t>GROUP-A STREPTOCOCCUS; HUMAN POLYMORPHONUCLEAR LEUKOCYTES; MITOCHONDRIAL-DNA; IMMUNE EVASION; ENVELOPE; CONTRIBUTES; INFECTION; PATHOGENESIS; EXPRESSION; APOPTOSIS</t>
  </si>
  <si>
    <t>Neutrophil extracellular traps (NETs) are webs of DNA covered with antimicrobial molecules that constitute a newly described killing mechanism in innate immune defense. Previous publications reported that NETs take up to 3-4 h to form via an oxidant-dependent event that requires lytic death of neutrophils. In this study, we describe neutrophils responding uniquely to Staphylococcus aureus via a novel process of NET formation that did not require neutrophil lysis or even breach of the plasma membrane. The multilobular nucleus rapidly became rounded and condensed. During this process, we observed the separation of the inner and outer nuclear membranes and budding of vesicles, and the separated membranes and vesicles were filled with nuclear DNA. The vesicles were extruded intact into the extracellular space where they ruptured, and the chromatin was released. This entire process occurred via a unique, very rapid (5-60 min), oxidant-independent mechanism. Mitochondrial DNA constituted very little if any of these NETs. They did have a limited amount of proteolytic activity and were able to kill S. aureus. With time, the nuclear envelope ruptured, and DNA filled the cytoplasm presumably for later lytic NET production, but this was distinct from the vesicular release mechanism. Panton-Valentine leukocidin, autolysin, and a lipase were identified in supernatants with NET-inducing activity, but Panton-Valentine leukocidin was the dominant NET inducer. We describe a new mechanism of NET release that is very rapid and contributes to trapping and killing of S. aureus. The Journal of Immunology, 2010, 185: 7413-7425.</t>
  </si>
  <si>
    <t>[Kubes, Paul] Univ Calgary, Immunol Res Grp, Dept Physiol &amp; Biophys, Calgary, AB T2N 4N1, Canada; [Pilsczek, Florian H.; Salina, Davide; Poon, Karen K. H.; Fahey, Candace; Yipp, Bryan G.; Sibley, Christopher D.; Green, Francis H. Y.; Surette, Mike G.; Kubes, Paul] Hiroshima Univ, Snyder Inst Infect Immun &amp; Inflammat, Hiroshima, Japan; [Salina, Davide; Green, Francis H. Y.; Zhang, Kunyan] Hiroshima Univ, Dept Pathol &amp; Lab Med, Hiroshima, Japan; [Sibley, Christopher D.; Surette, Mike G.; Zhang, Kunyan] Hiroshima Univ, Dept Microbiol &amp; Infect Dis, Hiroshima, Japan; [Robbins, Stephen M.] Hiroshima Univ, Dept Oncol &amp; Biochem &amp; Mol Biol, Hiroshima, Japan; [Sugai, Motoyuki] Hiroshima Univ, Dept Bacteriol, Hiroshima, Japan; [Bowden, M. Gabriela] Texas A&amp;M Univ Syst Hlth Sci Ctr, Ctr Extracellular Matrix Biol, Houston, TX 77030 USA; [Hussain, Muzaffar] Univ Hosp, Inst Med Microbiol, Munster, Germany</t>
  </si>
  <si>
    <t>University of Calgary; Hiroshima University; Hiroshima University; Hiroshima University; Hiroshima University; Hiroshima University; Texas A&amp;M University System; Texas A&amp;M University College Station; Texas A&amp;M Health Science Center; University of Munster</t>
  </si>
  <si>
    <t>Kubes, P (corresponding author), Univ Calgary, Immunol Res Grp, Dept Physiol &amp; Biophys, 3280 Hosp Dr NW, Calgary, AB T2N 4N1, Canada.</t>
  </si>
  <si>
    <t>pkubes@ucalgary.ca</t>
  </si>
  <si>
    <t>Surette, Michael/AAE-8825-2020</t>
  </si>
  <si>
    <t>Robbins, Stephen/0000-0001-7475-1665; Yipp, Bryan/0000-0002-5887-9551</t>
  </si>
  <si>
    <t>10.4049/jimmunol.1000675</t>
  </si>
  <si>
    <t>WOS:000284878700038</t>
  </si>
  <si>
    <t>Tamura, R; Uemoto, S; Tabata, Y</t>
  </si>
  <si>
    <t>Tamura, Ryo; Uemoto, Shinji; Tabata, Yasuhiko</t>
  </si>
  <si>
    <t>Immunosuppressive effect of mesenchymal stem cell-derived exosomes on a concanavalin A-induced liver injury model</t>
  </si>
  <si>
    <t>INFLAMMATION AND REGENERATION</t>
  </si>
  <si>
    <t>Exosome; Mesenchymal stem cell; Concavanalin-A; Immune-induced liver injury; Nanovesicle; Transplantation</t>
  </si>
  <si>
    <t>STROMAL CELLS; KUPFFER CELLS; EXTRACELLULAR VESICLES; PROGENITOR CELLS; IN-VITRO; TOLERANCE; MECHANISM; REGENERATION; CIRCULATION; DELIVERY</t>
  </si>
  <si>
    <t>Background: This study aimed to evaluate the effect of mesenchymal stem cell (MSC)-derived exosomes on an immune-induced liver injury model. MSCs show a unique function to modulate immune reaction although the molecular mechanisms are still under investigation. Exosomes are a nanoparticle containing microRNA and many ligands and are recognized as important factors secreted from MSC to express their function. This research is undertaken to evaluate the effect of MSC-derived exosome on concanavalin-A (con-A)-induced liver injury. Methods: Exosomes were collected from the supernatant of MSC from the bone marrow of C57B6 mice with ultracentrifugation. The collected exosomes or MSCs were injected intravenously into liver injury mice that had been prepared by the intravenous con-A injection. Liver and serum samples were collected 24 h later to evaluate the macro- and microscopic images, the alanine aminotransferase (ALT), and cytokine messenger RNA (mRNA) expression levels. Phenotypical change of non-parenchymal liver cells was also evaluated by flow cytometry. Liver localization of PKH26 after the injection of PKH26-labeled exosomes or MSCs was observed by microscope. Each result was statistically analyzed with Student's t test. Results: PKH was observed in the liver after PKH-labeled exosomes were injected into mouse, whereas it was only observed in the lung in a mouse group receiving PKH-leveled MSC. There were decreases in ALT, liver necrotic areas, and the extent of apoptosis indicated by the single-stranded DNA index of groups that received multiple injections of MSC-derived exosomes, but an increase in the Ki-67 index. The mRNA expression of anti-inflammatory cytokines was enhanced. The number of Treg was increased among NPCs in a group receiving exosomes multiple times. Conclusions: Suppression of con-A-induced liver injury by injection of exosomes was observed as same extent as MSC. Considering the advantage of exosomes as its non-living nature and dosing adjustability over MSC, exosome will be one alternative of MSC transplantation.</t>
  </si>
  <si>
    <t>[Tamura, Ryo; Uemoto, Shinji] Kyoto Univ, Grad Sch Med, Dept Surg, Kyoto, Japan; [Tamura, Ryo; Tabata, Yasuhiko] Kyoto Univ, Inst Frontier Med Sci, Dept Biomat, Field Tissue Engn, Kyoto, Japan</t>
  </si>
  <si>
    <t>Kyoto University; Kyoto University</t>
  </si>
  <si>
    <t>Tabata, Y (corresponding author), Kyoto Univ, Inst Frontier Med Sci, Dept Biomat, Field Tissue Engn, Kyoto, Japan.</t>
  </si>
  <si>
    <t>yasuhiko@frontier.kyoto-u.ac.jp</t>
  </si>
  <si>
    <t>1880-8190</t>
  </si>
  <si>
    <t>10.1186/s41232-016-0030-5</t>
  </si>
  <si>
    <t>WOS:000449587700026</t>
  </si>
  <si>
    <t>Lopez-Guerrero, JA; Pastor-Navarro, B; Claramunt-Alonso, R; Garcia-Flores, M; Rubio-Briones, YJ</t>
  </si>
  <si>
    <t>Lopez-Guerrero, Jose Antonio; Pastor-Navarro, Belen; Claramunt-Alonso, Reyes; Garcia-Flores, Maria; Rubio-Briones, Y. Jose</t>
  </si>
  <si>
    <t>LIQUID BIOPSY: POSSIBILITIES AND LIMITATIONS IN URO-ONCOLOGY</t>
  </si>
  <si>
    <t>ARCHIVOS ESPANOLES DE UROLOGIA</t>
  </si>
  <si>
    <t>Liquid biopsy; cfDNA; CTCs; Extracellular vesicles; Biomarkers</t>
  </si>
  <si>
    <t>CIRCULATING TUMOR DNA; PROSTATE-CANCER; CLINICAL UTILITY; PCA3; SURVIVAL; CELLS; PERFORMANCE; BIOMARKERS; MUTATIONS; CXBLADDER</t>
  </si>
  <si>
    <t>In the recent years, research in oncology has focused on liquid biopsies, which rely on the detection of cancer-derived components, including circulating tumor cells (CTCs), circulating tumor DNA (ctDNA), circulating free RNA (cfRNA), and extracellular vesicles (EVs), in the biofluids of patients, providing genomic, epigenetic and transcriptomic, information about tumors and metastatic sites. In this review we collect current evidence regarding the potential of liquid biopsies for the diagnosis and follow-up of uro-oncology patients, as well as the advantages and limitations of these approaches. Although promising, the way in which this methodology must be incorporated into the clinical routine needs to be still defined both at the pre-analytical and analytical level before their clinical utility is demonstrated.</t>
  </si>
  <si>
    <t>[Lopez-Guerrero, Jose Antonio; Pastor-Navarro, Belen; Claramunt-Alonso, Reyes; Garcia-Flores, Maria] Fdn Inst Valenciano Oncol IVO, Lab Biol Mol, Valencia, Spain; [Lopez-Guerrero, Jose Antonio; Pastor-Navarro, Belen; Garcia-Flores, Maria] Ctr Invest Principe Felipe CIPF, IVO CIPF Unidad Mixta Invest Canc, Valencia, Spain; [Lopez-Guerrero, Jose Antonio] Univ Catolica Valencia, Fac Med, Dept Patol, Valencia, San Vicente Mar, Spain; [Rubio-Briones, Y. Jose] Hosp VITHAS 9 Octubre, Clin Urol, Valencia, Spain</t>
  </si>
  <si>
    <t>Instituto Valenciano De Oncologia; Prince Felipe Research Center; Universidad Catolica de Valencia San Vicente Martir</t>
  </si>
  <si>
    <t>Lopez-Guerrero, JA (corresponding author), Lab Biol Mol, C Prof Beltran Baguena 8, Valencia 46009, Spain.</t>
  </si>
  <si>
    <t>jalopez@fivo.org</t>
  </si>
  <si>
    <t>0004-0614</t>
  </si>
  <si>
    <t>1576-8260</t>
  </si>
  <si>
    <t>WOS:000820185900014</t>
  </si>
  <si>
    <t>Zhang, P; Crow, J; Lella, D; Zhou, X; Samuel, G; Godwin, AK; Zeng, Y</t>
  </si>
  <si>
    <t>Zhang, Peng; Crow, Jennifer; Lella, Divya; Zhou, Xin; Samuel, Glenson; Godwin, Andrew K.; Zeng, Yong</t>
  </si>
  <si>
    <t>Ultrasensitive quantification of tumor mRNAs in extracellular vesicles with an integrated microfluidic digital analysis chip</t>
  </si>
  <si>
    <t>EWINGS-SARCOMA; MICROARRAY HYBRIDIZATION; ABSOLUTE QUANTIFICATION; LIQUID BIOPSY; CANCER; CELLS; ASSAY; DNA; PROGRESSION; EXPRESSION</t>
  </si>
  <si>
    <t>Extracellular vesicles (EVs) present a promising liquid biopsy for cancer diagnosis. However, it remains a daunting challenge to quantitatively measure molecular contents of EVs including tumor-associated mRNAs. Herein, we report a configurable microwell-patterned microfluidic digital analysis platform combined with a dual-probe hybridization assay for PCR-free, single-molecule detection of specific mRNAs in EVs. The microwell array in our device is configurable between the flow-through assay mode for enhanced hybridization capture and tagging of mRNAs and the digital detection mode based on femtoliter-scale enzymatic signal amplification for single-molecule counting of surface-bound targets. Furthermore, a dual-probe hybridization assay has been developed to enhance the sensitivity of the digital single-molecule detection of EV mRNAs. Combining the merits of the chip design and the dual-probe digital mRNA hybridization assay, the integrated microfluidic system has been demonstrated to afford quantitative detection of synthetic GAPDH mRNA with a LOD as low as 20 aM. Using this technology, we quantified the level of GAPDH and EWS-FLI1 mRNAs in EVs derived from two cell lines of peripheral primitive neuroectodermal tumor (PNET), CHLA-9 and CHLA-258. Our measurements detected 64.6 and 43.5 copies of GAPDH mRNA and 6.5 and 0.277 copies of EWS-FLI1 fusion transcripts per 10(5) EVs derived from CHLA-9 and CHLA-258 cells, respectively. To our knowledge, this is the first demonstration of quantitative measurement of EWS-FLI1 mRNA copy numbers in Ewing Sarcoma (EWS)-derived EVs. These results highlight the ultralow frequency of tumor-specific mRNA markers in EVs and the necessity of developing highly sensitive methods for analysis of EV mRNAs. The microfluidic digital mRNA analysis platform presented here would provide a useful tool to facilitate quantitative analysis of tumor-associated EV mRNAs for liquid biopsy-based cancer diagnosis and monitoring.</t>
  </si>
  <si>
    <t>[Zhang, Peng; Lella, Divya; Zhou, Xin; Zeng, Yong] Univ Kansas, Dept Chem, Lawrence, KS 66045 USA; [Crow, Jennifer; Godwin, Andrew K.] Univ Kansas, Med Ctr, Dept Pathol &amp; Lab Med, Kansas City, KS 66103 USA; [Samuel, Glenson] Childrens Mercy Hosp &amp; Clin, Div Hematol Oncol &amp; Bone Marrow Transplantat, Kansas City, MO USA; [Godwin, Andrew K.; Zeng, Yong] Univ Kansas, Ctr Canc, Kansas City, KS 66160 USA</t>
  </si>
  <si>
    <t>University of Kansas; University of Kansas; University of Kansas Medical Center; Children's Mercy Hospital; University of Kansas</t>
  </si>
  <si>
    <t>Zeng, Y (corresponding author), Univ Kansas, Dept Chem, Lawrence, KS 66045 USA.;Godwin, AK (corresponding author), Univ Kansas, Med Ctr, Dept Pathol &amp; Lab Med, Kansas City, KS 66103 USA.;Godwin, AK; Zeng, Y (corresponding author), Univ Kansas, Ctr Canc, Kansas City, KS 66160 USA.</t>
  </si>
  <si>
    <t>agodwin@kumc.edu; yongz@ku.edu</t>
  </si>
  <si>
    <t>Zhou, Xin/0000-0002-7962-7599; zhang, peng/0000-0002-0896-6411; Zeng, Yong/0000-0003-0537-109X</t>
  </si>
  <si>
    <t>10.1039/c8lc01071d</t>
  </si>
  <si>
    <t>WOS:000452320500007</t>
  </si>
  <si>
    <t>Burns, JR</t>
  </si>
  <si>
    <t>Burns, Jonathan R.</t>
  </si>
  <si>
    <t>Introducing Bacteria and Synthetic Biomolecules along Engineered DNA Fibers</t>
  </si>
  <si>
    <t>condensation; DNA nanotechnology; fibers; macromolecular nanoarchitectonics; nanotubes</t>
  </si>
  <si>
    <t>Deoxyribonucleic acid (DNA) nanotechnology enables user-defined structures to be built with unrivalled control. The approach is currently restricted across the nanoscale, yet the ability to generate macroscopic DNA structures has enormous potential with applications spanning material, physical, and biological science. To address this need, I employed DNA nanotechnology and developed a new macromolecular nanoarchitectonic assembly method to produce DNA fibers with customizable properties. The process involves coalescing DNA nanotubes under high salt conditions to yield filament superstructures. Using this strategy, fibers over 100 microns long, with stiffnesses 10 times greater than cytoskeletal actin filaments can be fabricated. The DNA framework enables fibers to be functionalized with advanced synthetic molecules, including, aptamers, origami, nanoparticles, and vesicles. In addition, the fibers can act as bacterial extracellular scaffolds and adhere Escherichia coli cells in a controllable fashion. These results showcase the opportunities offered from DNA nanotechnology across the macroscopic scale. The new biophysical approach should find widespread use, from the generation of hybrid-fabric materials, smart analytical devices in biomedicine, and platforms to study cell-cell interactions.</t>
  </si>
  <si>
    <t>[Burns, Jonathan R.] UCL, Inst Struct &amp; Mol Biol, Dept Chem, London WC1H 0AJ, England</t>
  </si>
  <si>
    <t>University of London; Birkbeck University London; University College London</t>
  </si>
  <si>
    <t>Burns, JR (corresponding author), UCL, Inst Struct &amp; Mol Biol, Dept Chem, London WC1H 0AJ, England.</t>
  </si>
  <si>
    <t>jonathan.burns@ucl.ac.uk</t>
  </si>
  <si>
    <t>10.1002/smll.202100136</t>
  </si>
  <si>
    <t>WOS:000647966600001</t>
  </si>
  <si>
    <t>Wu, D; Kittana, H; Shu, J; Kachman, SD; Cui, J; Ramer-Tait, AE; Zempleni, J</t>
  </si>
  <si>
    <t>Wu, Di; Kittana, Hatem; Shu, Jiang; Kachman, Stephen D.; Cui, Juan; Ramer-Tait, Amanda E.; Zempleni, Janos</t>
  </si>
  <si>
    <t>Dietary Depletion of Milk Exosomes and Their MicroRNA Cargos Elicits a Depletion of miR-200a-3p and Elevated Intestinal Inflammation and Chemokine (C-X-C Motif) Ligand 9 Expression in Mdr1a(-/-) Mice</t>
  </si>
  <si>
    <t>CURRENT DEVELOPMENTS IN NUTRITION</t>
  </si>
  <si>
    <t>CXCL9; exosomes; inflammatory bowel disease; Mdr1a(-/-) mice; microRNA</t>
  </si>
  <si>
    <t>BOVINE-MILK; EXTRACELLULAR VESICLES; BOWEL-DISEASE; GENE-EXPRESSION; MESSENGER-RNA; COLITIS; CELLS; TRANSPORT; RELEVANT; COSTS</t>
  </si>
  <si>
    <t>Background: Exosomes transfer regulatory microRNAs (miRs) from donor cells to recipient cells. Exosomes and miRs originate from both endogenous synthesis and dietary sources such as milk. miR-200a-3p is a negative regulator of the proinflammatory chemokine (C-X-C motif) ligand 9 (CXCL9). Male Mdr1a(-/-) mice spontaneously develop clinical signs of inflammatory bowel disease (IBD). Objectives: We assessed whether dietary depletion of exosomes and miRs alters the severity of IBD in Mdr1a(-/-) mice owing to aberrant regulation of proinflammatory cytokines. Methods: Starting at 5 wk of age, 16 male Mdr1a(-/-) mice were fed either milk exosome- and RNA-sufficient (ERS) or milk exosome- and RNA-depleted (ERD) diets. The ERD diet is characterized by a near-complete depletion of miRs and a 60% loss of exosome bioavailability compared with ERS. Mice were killed when their weight loss exceeded 15% of peak body weight. Severity of IBD was assessed by histopathological evaluation of cecum. Serum cytokine and chemokine concentrations and mRNA and miR tissue expression were analyzed by multiplex ELISAs, RNA-sequencing analysis, and qRT-PCR, respectively. Results: Stromal collapse, gland hyperplasia, and additive microscopic disease scores were (mean +/- SD) 56.7% +/- 23.3%, 23.5% +/- 11.8%, and 29.6% +/- 8.2% lower, respectively, in ceca of ERS mice than of ERD mice (P &lt; 0.05). The serum concentration of CXCL9 was 35.0% +/- 31.0% lower in ERS mice than in ERD mice (P &lt; 0.05). Eighty-seven mRNAs were differentially expressed in the ceca from ERS and ERD mice; 16 of these mRNAs are implicated in immune function. The concentrations of 4 and 1 out of 5 miRs assessed (including miR-200a-3p) were &lt;= 63% lower in livers and ceca, respectively, from ERD mice than from ERS mice. Conclusions: Milk exosome and miR depletion exacerbates cecal inflammation in Mdr1a(-/-) mice.</t>
  </si>
  <si>
    <t>[Wu, Di; Zempleni, Janos] Univ Nebraska, Dept Nutr &amp; Hlth Sci, Lincoln, NE 68583 USA; [Kittana, Hatem; Ramer-Tait, Amanda E.] Univ Nebraska, Dept Food Sci &amp; Technol, Lincoln, NE 68583 USA; [Shu, Jiang; Cui, Juan] Univ Nebraska, Dept Comp Sci &amp; Engn, Lincoln, NE 68588 USA; [Kachman, Stephen D.] Univ Nebraska, Dept Stat, Lincoln, NE USA</t>
  </si>
  <si>
    <t>University of Nebraska System; University of Nebraska Lincoln; University of Nebraska System; University of Nebraska Lincoln; University of Nebraska System; University of Nebraska Lincoln; University of Nebraska System; University of Nebraska Lincoln</t>
  </si>
  <si>
    <t>Shu, Jiang/0000-0001-7677-721X; Kachman, Stephen/0000-0003-0506-513X; Zempleni, Janos/0000-0001-5492-4661; Ramer-Tait, Amanda/0000-0003-0950-7548</t>
  </si>
  <si>
    <t>2475-2991</t>
  </si>
  <si>
    <t>nzz122</t>
  </si>
  <si>
    <t>10.1093/cdn/nzz122</t>
  </si>
  <si>
    <t>WOS:000504327500002</t>
  </si>
  <si>
    <t>Beazer, JD; Patanapirunhakit, P; Gill, JMR; Graham, D; Karlsson, H; Ljunggren, S; Mulder, MT; Freeman, DJ</t>
  </si>
  <si>
    <t>Beazer, Jack D.; Patanapirunhakit, Patamat; Gill, Jason M. R.; Graham, Delyth; Karlsson, Helen; Ljunggren, Stefan; Mulder, Monique T.; Freeman, Dilys J.</t>
  </si>
  <si>
    <t>High-density lipoprotein's vascular protective functions in metabolic and cardiovascular disease - could extracellular vesicles be at play?</t>
  </si>
  <si>
    <t>CORONARY-HEART-DISEASE; MYOCARDIAL-INFARCTION; ENDOTHELIAL-CELLS; ANTIINFLAMMATORY FUNCTION; MEDITERRANEAN DIET; DIABETES-MELLITUS; SOUTH ASIANS; WEIGHT-LOSS; HDL; CHOLESTEROL</t>
  </si>
  <si>
    <t>High-density lipoprotein (HDL) is a circulating complex of lipids and proteins known primarily for its role in reverse cholesterol transport and consequent protection from atheroma. In spite of this, therapies aimed at increasing HDL concentration do not reduce the risk of cardiovascular disease (CVD), and as such focus has shifted towards other HDL functions protective of vascular health - including vasodilatory, anti-inflammatory, antioxidant and anti-thrombotic actions. It has been demonstrated that in disease states such as CVD and conditions of insulin resistance such as Type 2 diabetes mellitus (T2DM), HDL function is impaired owing to changes in the abundance and function of HDL-associated lipids and proteins, resulting in reduced vascular protection. However, the gold standard density ultracentrifugation technique used in the isolation of HDL also co-isolates extracellular vesicles (EVs). EVs are ubiquitous cell-derived particles with lipid bilayers that carry a number of lipids, proteins and DNA/RNA/miRNAs involved in cell-to-cell communication. EVs transfer their bioactive load through interaction with cell surface receptors, membrane fusion and endocytic pathways, and have been implicated in both cardiovascular and metabolic diseases - both as protective and pathogenic mediators. Given that studies using density ultracentrifugation to isolate HDL also co-isolate EVs, biological effects attributed to HDL may be confounded by EVs. We hypothesise that some of HDL's vascular protective functions in cardiovascular and metabolic disease may be mediated by EVs. Elucidating the contribution of EVs to HDL functions will provide better understanding of vascular protection and function in conditions of insulin resistance and potentially provide novel therapeutic targets for such diseases.</t>
  </si>
  <si>
    <t>[Beazer, Jack D.; Patanapirunhakit, Patamat; Gill, Jason M. R.; Graham, Delyth; Freeman, Dilys J.] Univ Glasgow, Coll Med Vet &amp; Life Sci, Inst Cardiovasc &amp; Med Sci, Wolfson Link Bldg,Univ Ave, Glasgow G12 8QQ, Lanark, Scotland; [Karlsson, Helen; Ljunggren, Stefan] Linkoping Univ, Dept Hlth Med &amp; Caring Sci, Occupat &amp; Environm Med Ctr, Linkoping, Sweden; [Mulder, Monique T.] Erasmus MC, Dept Internal Med, Sect Pharmacol Vasc &amp; Metab Dis, Rotterdam, Netherlands</t>
  </si>
  <si>
    <t>University of Glasgow; Linkoping University; Erasmus University Rotterdam; Erasmus MC</t>
  </si>
  <si>
    <t>Beazer, JD (corresponding author), Univ Glasgow, Coll Med Vet &amp; Life Sci, Inst Cardiovasc &amp; Med Sci, Wolfson Link Bldg,Univ Ave, Glasgow G12 8QQ, Lanark, Scotland.</t>
  </si>
  <si>
    <t>j.beazer.1@research.gla.ac.uk</t>
  </si>
  <si>
    <t>Beazer, Jack/0000-0001-6978-3072</t>
  </si>
  <si>
    <t>10.1042/CS20200892</t>
  </si>
  <si>
    <t>WOS:000625344200001</t>
  </si>
  <si>
    <t>Madison, MN; Roller, RJ; Okeoma, CM</t>
  </si>
  <si>
    <t>Madison, Marisa N.; Roller, Richard J.; Okeoma, Chioma M.</t>
  </si>
  <si>
    <t>Human semen contains exosomes with potent anti-HIV-1 activity</t>
  </si>
  <si>
    <t>Exosome; Semen; HIV-1; mAIDS; HSV</t>
  </si>
  <si>
    <t>IMMUNODEFICIENCY-VIRUS TYPE-1; HIV-1 REVERSE-TRANSCRIPTASE; REPLICATION IN-VIVO; T-CELLS; SEXUAL TRANSMISSION; BREAST-MILK; INFECTION; APOBEC3G; RNA; PLASMA</t>
  </si>
  <si>
    <t>Background: Exosomes are membranous nanovesicles secreted into the extracellular milieu by diverse cell types. Exosomes facilitate intercellular communication, modulate cellular pheno/genotype, and regulate microbial pathogenesis. Although human semen contains exosomes, their role in regulating infection with viruses that are sexually transmitted remains unknown. In this study, we used semen exosomes purified from healthy human donors to evaluate the role of exosomes on the infectivity of different strains of HIV-1 in a variety of cell lines. Results: We show that human semen contains a heterologous population of exosomes, enriched in mRNA encoding tetraspanin exosomal markers and various antiviral factors. Semen exosomes are internalized by recipient cells and upon internalization, inhibit replication of a broad array of HIV-1 strains. Remarkably, the anti-HIV-1 activity of semen exosomes is specific to retroviruses because semen exosomes blocked replication of the murine AIDS (mAIDS) virus complex (LP-BM5). However, exosomes from blood had no effect on HIV-1 or LP-BM5 replication. Additionally, semen and blood exosomes had no effect on replication of herpes simplex virus; types 1 and 2 (HSV1 and HSV2). Mechanistic studies indicate that semen exosomes exert a post-entry block on HIV-1 replication by orchestrating deleterious effects on particle-associated reverse transcriptase activity and infectivity. Conclusions: These illuminating findings i) improve our knowledge of the cargo of semen exosomes, ii) reveal that semen exosomes possess anti-retroviral activity, and iii) suggest that semen exosome-mediated inhibition of HIV-1 replication may provide novel opportunities for the development of new therapeutics for HIV-1.</t>
  </si>
  <si>
    <t>[Madison, Marisa N.; Roller, Richard J.; Okeoma, Chioma M.] Univ Iowa, Carver Coll Med, Dept Microbiol, Iowa City, IA 52242 USA; [Okeoma, Chioma M.] Univ Iowa, Interdisciplinary Program Mol &amp; Cellular Biol, Iowa City, IA 52242 USA</t>
  </si>
  <si>
    <t>Okeoma, CM (corresponding author), Univ Iowa, Carver Coll Med, Dept Microbiol, 51 Newton Rd, Iowa City, IA 52242 USA.</t>
  </si>
  <si>
    <t>Okeoma, Chioma/0000-0001-7737-6493; Roller, Richard/0000-0001-8340-3224</t>
  </si>
  <si>
    <t>10.1186/s12977-014-0102-z</t>
  </si>
  <si>
    <t>WOS:000345706500001</t>
  </si>
  <si>
    <t>Turnbull, L; Toyofuku, M; Hynen, AL; Kurosawa, M; Pessi, G; Petty, NK; Osvath, SR; Carcamo-Oyarce, G; Gloag, ES; Shimoni, R; Omasits, U; Ito, S; Yap, X; Monahan, LG; Cavaliere, R; Ahrens, CH; Charles, IG; Nomura, N; Eberl, L; Whitchurch, CB</t>
  </si>
  <si>
    <t>Turnbull, Lynne; Toyofuku, Masanori; Hynen, Amelia L.; Kurosawa, Masaharu; Pessi, Gabriella; Petty, Nicola K.; Osvath, Sarah R.; Carcamo-Oyarce, Gerardo; Gloag, Erin S.; Shimoni, Raz; Omasits, Ulrich; Ito, Satoshi; Yap, Xinhui; Monahan, Leigh G.; Cavaliere, Rosalia; Ahrens, Christian H.; Charles, Ian G.; Nomura, Nobuhiko; Eberl, Leo; Whitchurch, Cynthia B.</t>
  </si>
  <si>
    <t>Explosive cell lysis as a mechanism for the biogenesis of bacterial membrane vesicles and biofilms</t>
  </si>
  <si>
    <t>PSEUDOMONAS-AERUGINOSA PAO1; EXTRACELLULAR DNA; STRUCTURED ILLUMINATION; PYOCIN PRODUCTION; QUINOLONE SIGNAL; SOS RESPONSE; MICROSCOPY; VIRULENCE; INDUCTION; PROTEINS</t>
  </si>
  <si>
    <t>Many bacteria produce extracellular and surface-associated components such as membrane vesicles (MVs), extracellular DNA and moonlighting cytosolic proteins for which the biogenesis and export pathways are not fully understood. Here we show that the explosive cell lysis of a sub-population of cells accounts for the liberation of cytosolic content in Pseudomonas aeruginosa biofilms. Super-resolution microscopy reveals that explosive cell lysis also produces shattered membrane fragments that rapidly form MVs. A prophage endolysin encoded within the R-and F-pyocin gene cluster is essential for explosive cell lysis. Endolysin-deficient mutants are defective in MV production and biofilm development, consistent with a crucial role in the biogenesis of MVs and liberation of extracellular DNA and other biofilm matrix components. Our findings reveal that explosive cell lysis, mediated through the activity of a cryptic prophage endolysin, acts as a mechanism for the production of bacterial MVs.</t>
  </si>
  <si>
    <t>[Turnbull, Lynne; Hynen, Amelia L.; Petty, Nicola K.; Osvath, Sarah R.; Gloag, Erin S.; Shimoni, Raz; Yap, Xinhui; Monahan, Leigh G.; Cavaliere, Rosalia; Charles, Ian G.; Whitchurch, Cynthia B.] Univ Technol Sydney, Ithree Inst, Ultimo, NSW 2007, Australia; [Toyofuku, Masanori; Kurosawa, Masaharu; Ito, Satoshi; Nomura, Nobuhiko] Univ Tsukuba, Dept Life &amp; Environm Sci, Tsukuba, Ibaraki 3058572, Japan; [Toyofuku, Masanori; Pessi, Gabriella; Carcamo-Oyarce, Gerardo; Eberl, Leo] Univ Zurich, Dept Plant &amp; Microbial Biol, CH-8008 Zurich, Switzerland; [Omasits, Ulrich] Swiss Fed Inst Technol, Inst Mol Syst Biol, Dept Biol, CH-8093 Zurich, Switzerland; [Ahrens, Christian H.] Agroscope, Inst Plant Prod Sci, Res Grp Mol Diagnost Genom &amp; Bioinformat, CH-8820 Wadenswil, Switzerland; [Ahrens, Christian H.] SIB, CH-8820 Wadenswil, Switzerland</t>
  </si>
  <si>
    <t>University of Technology Sydney; University of Tsukuba; University of Zurich; ETH Zurich; Swiss Federal Research Station Agroscope; Swiss Institute of Bioinformatics</t>
  </si>
  <si>
    <t>Whitchurch, CB (corresponding author), Univ Technol Sydney, Ithree Inst, Ultimo, NSW 2007, Australia.;Toyofuku, M (corresponding author), Univ Tsukuba, Dept Life &amp; Environm Sci, Tsukuba, Ibaraki 3058572, Japan.;Toyofuku, M; Eberl, L (corresponding author), Univ Zurich, Dept Plant &amp; Microbial Biol, CH-8008 Zurich, Switzerland.</t>
  </si>
  <si>
    <t>toyofuku.masanori.gf@u.tsukuba.ac.jp; leberl@botinst.uzh.ch; Cynthia.Whitchurch@uts.edu.au</t>
  </si>
  <si>
    <t>Monahan, Leigh/T-6939-2019; Eberl, Leo/AAE-8165-2019; Ahrens, Christian H./F-4656-2011; Gloag, Erin/AAE-7695-2020; Nomura, Nobuhiko/AAR-1915-2021; Eberl, Leo/A-8380-2012; Whitchurch, Cynthia/A-5954-2008; Turnbull, Lynne/A-2605-2012</t>
  </si>
  <si>
    <t>Ahrens, Christian H./0000-0002-8148-7257; Nomura, Nobuhiko/0000-0003-1103-9157; Eberl, Leo/0000-0002-7241-0864; Charles, Ian/0000-0002-2423-1167; Whitchurch, Cynthia/0000-0003-2296-3791; Monahan, Leigh/0000-0003-2933-9000; Hynen, Amelia/0000-0002-7153-5040; Turnbull, Lynne/0000-0002-9255-9033; Pessi, Gabriella/0000-0002-8138-5541</t>
  </si>
  <si>
    <t>10.1038/ncomms11220</t>
  </si>
  <si>
    <t>WOS:000374121100001</t>
  </si>
  <si>
    <t>Liquid Biopsy for Investigation of Cancer DNA in Esophageal Squamous Cell Carcinoma</t>
  </si>
  <si>
    <t>ESOPHAGEAL SQUAMOUS CELL CARCINOMA: METHODS AND PROTOCOLS</t>
  </si>
  <si>
    <t>CIRCULATING TUMOR DNA; METHYLATION; MUTATION; MARKERS; BLOOD</t>
  </si>
  <si>
    <t>Early detection of cancer and the monitoring of cancer recurrence in treated patients are significant challenges in esophageal squamous cell carcinoma (ESCC). Liquid biopsy is the identification of tumor biomarkers from minimally invasive samples of biological fluids, including urine, blood, stool, saliva, or cerebrospinal fluid. Liquid biopsy offers a potential solution to the problems of detection and surveillance as DNA shed from cancer cells as cell-free DNA or in exosomes can be detected in body fluids. By detecting these DNAs, we can identify the presence of cancer-associated mutations for basic detection, as well as to obtain information on the recurrence and evolution of disease following initial treatment. These sources of information have the potential to significantly improve the management of patients with ESCC. In this chapter, we detail a method for the isolation of cell-free DNA from blood plasma and DNA associated with exosomes in blood from patients with esophageal squamous cell carcinomas.</t>
  </si>
  <si>
    <t>[Smith, Robert A.] Queensland Univ Technol, Inst Hlth &amp; Biomed Innovat, Genom Res Ctr, Kelvin Grove, Qld, Australia; [Lam, Alfred K.] Griffith Univ, Sch Med, Canc Mol Pathol, Gold Coast, Qld, Australia</t>
  </si>
  <si>
    <t>Smith, RA (corresponding author), Queensland Univ Technol, Inst Hlth &amp; Biomed Innovat, Genom Res Ctr, Kelvin Grove, Qld, Australia.</t>
  </si>
  <si>
    <t>978-1-0716-0377-2; 978-1-0716-0376-5</t>
  </si>
  <si>
    <t>10.1007/978-1-0716-0377-2_16</t>
  </si>
  <si>
    <t>10.1007/978-1-0716-0377-2</t>
  </si>
  <si>
    <t>Oncology; Medical Laboratory Technology</t>
  </si>
  <si>
    <t>WOS:000678137300017</t>
  </si>
  <si>
    <t>Augmented liver targeting of exosomes by surface modification with cationized pullulan</t>
  </si>
  <si>
    <t>ACTA BIOMATERIALIA</t>
  </si>
  <si>
    <t>Exosome; Pullulan; Concanavalin A; Liver targeting; Nanoparticle</t>
  </si>
  <si>
    <t>CELL-DERIVED EXOSOMES; KUPFFER CELLS; IN-VIVO; ASIALOGLYCOPROTEIN RECEPTOR; PLASMID DNA; SPERMINE DERIVATIVES; EXPRESSION PROFILE; MOUSE MODEL; INJURY; MECHANISM</t>
  </si>
  <si>
    <t>Exosomes are membrane nanoparticles containing biological substances that are employed as therapeutics in experimental inflammatory models. Surface modification of exosomes for better tissue targetability and enhancement of their therapeutic ability was recently attempted mainly using gene transfection techniques. Here, we show for the first time that the surface modification of exosomes with cationized pullulan, which has the ability to target hepatocyte asialoglycoprotein receptors, can target injured liver and enhance the therapeutic effect of exosomes. Surface modification can be achieved by a simple mixing of original exosomes and cationized pullulan and through an electrostatic interaction of both substances. The exosomes modified with cationized pullulan were internalized into HepG2 cells in vitro to a significantly greater extent than unmodified ones and this internalization was induced through the asialoglycoprotein receptor that was specifically expressed on HepG2 cells and hepatocytes. When injected intravenously into mice with concanavalin A-induced liver injury, the modified exosomes accumulated in the liver tissue, resulting in an enhanced anti-inflammatory effect in vivo. It is concluded that the surface modification with cationized pullulan promoted accumulation of the exosomes in the liver and the subsequent biological function, resulting in a greater therapeutic effect on liver injury. Statement of significance Exosomes have shown potentials as therapeutics for various inflammatory disease models. This study is the first to show the specific accumulation of exosomes in the liver and enhanced anti-inflammatory effect via the surface modification of exosomes using pullulan, which is specifically recognized by the asialoglycoprotein receptor (AGPR) on HepG2 cells and hepatocytes. The pullulan was expressed on the surface of PKH-labeled exosomes, and it led increased accumulation of PKH into HepG2 cells, whereas the accumulation was canceled by AGPR inhibitor. In the mouse liver injury model, the modification of PKH-labeled exosomes with pullulan enabled increased accumulation of PKH specifically in the injured liver. Furthermore the greater therapeutic effects against the liver injury compared with unmodified original exosomes was observed. (C) 2017 Acta Materialia Inc. Published by Elsevier Ltd. All rights reserved.</t>
  </si>
  <si>
    <t>[Tamura, Ryo; Uemoto, Shinji] Kyoto Univ, Grad Sch Med, Dept Surg, Kyoto, Japan; [Tamura, Ryo; Tabata, Yasuhiko] Kyoto Univ, Inst Frontier Med Sci, Dept Biomat, Kyoto, Japan</t>
  </si>
  <si>
    <t>Tabata, Y (corresponding author), Kyoto Univ, Inst Frontier Med Sci, Dept Biomat, Kyoto, Japan.</t>
  </si>
  <si>
    <t>1742-7061</t>
  </si>
  <si>
    <t>1878-7568</t>
  </si>
  <si>
    <t>10.1016/j.actbio.2017.05.013</t>
  </si>
  <si>
    <t>WOS:000405041900022</t>
  </si>
  <si>
    <t>Munagala, R; Aqil, F; Jeyabalan, J; Kandimalla, R; Wallen, M; Tyagi, N; Wilcher, S; Yan, J; Schultz, DJ; Spencer, W; Gupta, RC</t>
  </si>
  <si>
    <t>Munagala, Radha; Aqil, Farrukh; Jeyabalan, Jeyaprakash; Kandimalla, Raghuram; Wallen, Margaret; Tyagi, Neha; Wilcher, Sarah; Yan, Jun; Schultz, David J.; Spencer, Wendy; Gupta, Ramesh C.</t>
  </si>
  <si>
    <t>Exosome-mediated delivery of RNA and DNA for gene therapy</t>
  </si>
  <si>
    <t>Exosome; Cancer; Delivery; siRNA; Plasmid-DNA</t>
  </si>
  <si>
    <t>TARGETING DRUG-DELIVERY; MILK-DERIVED EXOSOMES; SYSTEMIC INJECTION; CLINICAL-TRIAL; CANCER; SIRNA; VECTORS; BIODISTRIBUTION; ANTHOCYANIDINS; NANOPARTICLES</t>
  </si>
  <si>
    <t>Gene therapy promises to revolutionize biomedicine and personalized medicine by modulating or compensating the expression of abnormal genes. The biggest obstacle for clinical application is the lack of an effective, nonimmunogenic delivery system. We show that bovine colostrum exosomes and polyethyleneimine matrix (EPM) delivers short interfering RNA (siRNA) or plasmid DNA (pDNA) for effective gene therapy. KRAS, a therapeutic focus for many cancers, was targeted by EPM-delivered KRAS siRNA (siKRAS) and inhibited lung tumor growth (&gt;70%) and reduced KRAS expression (50%-80%). Aberrant p53 is another therapeutic focus for many cancers. EPM-mediated introduction of wild-type (WT) p53 pDNA (pcDNA-p53) resulted in p53 expression in p53-null H1299 cells in culture, subcutaneous lung tumor, and tissues of p53-knockout mice. Additionally, chemosensitizing effects of paclitaxel were restored by exogenous WT p53 in lung cancer cells. Together, this novel EPM technology represents an effective `platform' for delivery of therapeutic nucleic acids to treat human disease.</t>
  </si>
  <si>
    <t>[Munagala, Radha; Jeyabalan, Jeyaprakash; Wallen, Margaret; Spencer, Wendy; Gupta, Ramesh C.] 3P Biotechnol Inc, Louisville, KY 40202 USA; [Aqil, Farrukh; Kandimalla, Raghuram; Tyagi, Neha; Yan, Jun; Gupta, Ramesh C.] Univ Louisville, James Graham Brown Canc Ctr, Louisville, KY 40202 USA; [Aqil, Farrukh] Univ Louisville, Dept Med, Louisville, KY 40202 USA; [Kandimalla, Raghuram; Tyagi, Neha; Gupta, Ramesh C.] Univ Louisville, Dept Pharmacol &amp; Toxicol, Louisville, KY 40202 USA; [Wilcher, Sarah] Univ Louisville, Res Resources Ctr, Louisville, KY 40202 USA; [Yan, Jun] Univ Louisville, Dept Surg, Louisville, KY 40202 USA; [Schultz, David J.] Univ Louisville, Dept Biol, Louisville, KY 40292 USA</t>
  </si>
  <si>
    <t>University of Louisville; University of Louisville; University of Louisville; University of Louisville; University of Louisville; University of Louisville</t>
  </si>
  <si>
    <t>Gupta, RC (corresponding author), Univ Louisville, Room 304E,580 S Preston St, Louisville, KY 40202 USA.</t>
  </si>
  <si>
    <t>Aqil, Farrukh/AFK-2012-2022; Kandimalla, Raghuram/Q-1004-2019</t>
  </si>
  <si>
    <t>Aqil, Farrukh/0000-0002-0081-7251; Kandimalla, Raghuram/0000-0002-9202-4071; TYAGI, NEHA/0000-0002-4504-5689; Yan, Jun/0000-0003-2922-422X; Spencer, Wendy/0000-0002-0455-3628</t>
  </si>
  <si>
    <t>10.1016/j.canlet.2021.02.011</t>
  </si>
  <si>
    <t>WOS:000631848300006</t>
  </si>
  <si>
    <t>Cao, Y; Yu, XM; Zeng, TY; Fu, ZY; Zhao, YY; Nie, BB; Zhao, J; Yin, YM; Li, GX</t>
  </si>
  <si>
    <t>Cao, Ya; Yu, Xiaomeng; Zeng, Tianyu; Fu, Ziyi; Zhao, Yingyan; Nie, Beibei; Zhao, Jing; Yin, Yongmei; Li, Genxi</t>
  </si>
  <si>
    <t>Molecular Characterization of Exosomes for Subtype-Based Diagnosis of Breast Cancer</t>
  </si>
  <si>
    <t>Breast cancer is very heterogeneous and the most frequently diagnosed cancer worldwide, and precise therapy targeting specific subtypes may improve the survival rates of breast cancer patients. In this study, we designed a biomimetic vesicle by camouflaging catalytic DNA machinery with a breast cancer cell membrane, which enabled the molecular classification of circulating exosomes for subtype-based diagnosis through homo-typic recognition. In addition, the vesicles specifically targeted and fused with breast cancer exosomes with phenotypic homology and manipulated the DNA machinery to amplify electrochemical signaling using exosomal RNA as an endogenous trigger. The biomimetic vesicles prepared with MCF-7 cancer cell-derived membranes were shown to recognize estrogen receptor-positive breast cancer exosomes and exhibited a low detection limit of 557 particles mL(-1) with microRNA-375 used as the endogenous biomarker. Furthermore, the biomimetic vesicles prepared with MDA-MB-231 cancer cell-derived membranes displayed satisfactory performance in a homotypic analysis of triple-negative breast cancer exosomes with a potential therapeutic target, PD-L1 mRNA, used as the endogenous biomarker. Most importantly, cross-validation experiments confirmed the high accuracy and selectivity of this homotypic recognition-driven analysis for molecular subtyping of breast cancer. When applied to clinical samples of breast cancer patients, the vesicles demonstrated feasibility and reliability for evaluating the molecular features of cancer cell-derived exosomes and enabled stage-specific monitoring of breast cancer patients because the electrochemical signals showed a positive correlation with disease progression. Therefore, this work may provide new ideas for the precise diagnosis and personalized treatment of breast cancer patients throughout the whole disease process.</t>
  </si>
  <si>
    <t>[Cao, Ya; Yu, Xiaomeng; Zhao, Jing] Shanghai Univ, Inst Geriatr, Affiliated Nantong Hosp, Sixth Peoples Hosp Nantong, Nantong 226011, Peoples R China; [Cao, Ya; Yu, Xiaomeng; Zhao, Yingyan; Zhao, Jing; Li, Genxi] Shanghai Univ, Ctr Mol Recognit &amp; Biosensing, Shanghai Engn Res Ctr Organ Repair, Sch Life Sci, Shanghai 200444, Peoples R China; [Cao, Ya; Yu, Xiaomeng; Nie, Beibei; Li, Genxi] Nanjing Univ, State Key Lab Pharmaceut Biotechnol, Sch Life Sci, P, Nanjing 210023, Peoples R China; [Zeng, Tianyu; Fu, Ziyi; Yin, Yongmei] Nanjing Med Univ, Dept Oncol, Affiliated Hosp 1, Nanjing 210029, Peoples R China</t>
  </si>
  <si>
    <t>Shanghai University; Shanghai University; Nanjing University; Nanjing Medical University</t>
  </si>
  <si>
    <t>Zhao, J (corresponding author), Shanghai Univ, Inst Geriatr, Affiliated Nantong Hosp, Sixth Peoples Hosp Nantong, Nantong 226011, Peoples R China.;Zhao, J; Li, GX (corresponding author), Shanghai Univ, Ctr Mol Recognit &amp; Biosensing, Shanghai Engn Res Ctr Organ Repair, Sch Life Sci, Shanghai 200444, Peoples R China.;Li, GX (corresponding author), Nanjing Univ, State Key Lab Pharmaceut Biotechnol, Sch Life Sci, P, Nanjing 210023, Peoples R China.;Yin, YM (corresponding author), Nanjing Med Univ, Dept Oncol, Affiliated Hosp 1, Nanjing 210029, Peoples R China.</t>
  </si>
  <si>
    <t>jingzhao@t.shu.edu.cn; ymyin@njmu.edu.cn; genxili@nju.edu.cn</t>
  </si>
  <si>
    <t>10.1021/jacs.2c00119</t>
  </si>
  <si>
    <t>JUL 2022</t>
  </si>
  <si>
    <t>WOS:000830923900001</t>
  </si>
  <si>
    <t>O'Hara, BA; Gee, GV; Haley, SA; Morris-Love, J; Nyblade, C; Nieves, C; Hanson, BA; Dang, X; Turner, TJ; Chavin, JM; Lublin, A; Koralnik, IJ; Atwood, WJ</t>
  </si>
  <si>
    <t>O'Hara, Bethany A.; Gee, Gretchen V.; Haley, Sheila A.; Morris-Love, Jenna; Nyblade, Charlotte; Nieves, Chris; Hanson, Barbara A.; Dang, Xin; Turner, Timothy J.; Chavin, Jeffrey M.; Lublin, Alex; Koralnik, Igor J.; Atwood, Walter J.</t>
  </si>
  <si>
    <t>Teriflunomide Inhibits JCPyV Infection and Spread in Glial Cells and Choroid Plexus Epithelial Cells</t>
  </si>
  <si>
    <t>multiple sclerosis; demyelination; glia; autoimmunity; neuroinflammation; choroid plexus; extracellular vesicle; polyomavirus</t>
  </si>
  <si>
    <t>PROGRESSIVE MULTIFOCAL LEUKOENCEPHALOPATHY; NATALIZUMAB; PATIENT; VIRUS; RISK</t>
  </si>
  <si>
    <t>Several classes of immunomodulators are used for treating relapsing-remitting multiple sclerosis (RRMS). Most of these disease-modifying therapies, except teriflunomide, carry the risk of progressive multifocal leukoencephalopathy (PML), a severely debilitating, often fatal virus-induced demyelinating disease. Because teriflunomide has been shown to have antiviral activity against DNA viruses, we investigated whether treatment of cells with teriflunomide inhibits infection and spread of JC polyomavirus (JCPyV), the causative agent of PML. Treatment of choroid plexus epithelial cells and astrocytes with teriflunomide reduced JCPyV infection and spread. We also used droplet digital PCR to quantify JCPyV DNA associated with extracellular vesicles isolated from RRMS patients. We detected JCPyV DNA in all patients with confirmed PML diagnosis (n = 2), and in six natalizumab-treated (n = 12), two teriflunomide-treated (n = 7), and two nonimmunomodulated (n = 2) patients. Of the 21 patients, 12 (57%) had detectable JCPyV in either plasma or serum. CSF was uniformly negative for JCPyV. Isolation of extracellular vesicles did not increase the level of detection of JCPyV DNA versus bulk unprocessed biofluid. Overall, our study demonstrated an effect of teriflunomide inhibiting JCPyV infection and spread in glial and choroid plexus epithelial cells. Larger studies using patient samples are needed to correlate these in vitro findings with patient data.</t>
  </si>
  <si>
    <t>[O'Hara, Bethany A.; Haley, Sheila A.; Morris-Love, Jenna; Nyblade, Charlotte; Nieves, Chris; Atwood, Walter J.] Brown Univ, Dept Mol Biol Cell Biol &amp; Biochem, Providence, RI 02903 USA; [Gee, Gretchen V.] Univ Massachusetts, Sch Med, MassBiol, Worcester, MA 01601 USA; [Hanson, Barbara A.; Dang, Xin; Koralnik, Igor J.] Northwestern Univ, Feinberg Sch Med, Davee Dept Neurol, Chicago, IL 60007 USA; [Turner, Timothy J.; Chavin, Jeffrey M.; Lublin, Alex] Sanofi, Cambridge, MA 02114 USA</t>
  </si>
  <si>
    <t>Brown University; University of Massachusetts System; University of Massachusetts Worcester; Northwestern University; Feinberg School of Medicine; Sanofi-Aventis</t>
  </si>
  <si>
    <t>Atwood, WJ (corresponding author), Brown Univ, Dept Mol Biol Cell Biol &amp; Biochem, Providence, RI 02903 USA.</t>
  </si>
  <si>
    <t>bethany_ohara@brown.edu; Gretchen.Gee@umassmed.edu; sheila_haley@brown.edu; jenna_morris-love@brown.edu; charlotte_nyblade@brown.edu; chris_nieves@brown.edu; barbara.hanson@northwestern.edu; xin.dang@northwestern.edu; Timothy.Turner@sanofi.com; jeffrey.chavin@sanofi.com; alex.lublin@sanofi.com; igor.koralnik@northwestern.edu; Walter_Atwood@brown.edu</t>
  </si>
  <si>
    <t>Morris-Love, Jenna/0000-0002-4853-2175; Atwood, Walter/0000-0002-3763-9073</t>
  </si>
  <si>
    <t>10.3390/ijms22189809</t>
  </si>
  <si>
    <t>WOS:000699823900001</t>
  </si>
  <si>
    <t>Kalamvoki, M; Du, T; Roizman, B</t>
  </si>
  <si>
    <t>Kalamvoki, Maria; Du, Te; Roizman, Bernard</t>
  </si>
  <si>
    <t>Cells infected with herpes simplex virus 1 export to uninfected cells exosomes containing STING, viral mRNAs, and microRNAs</t>
  </si>
  <si>
    <t>herpes simplex viruses; exosomes; STING; microRNAs; tetraspanins</t>
  </si>
  <si>
    <t>INTERCELLULAR COMMUNICATION; GENE-EXPRESSION; IMMUNE-RESPONSE; VIRIONS; ICP0; TRANSMISSION; ESTABLISHES; STABILIZES; ENDOSOMES; VESICLES</t>
  </si>
  <si>
    <t>STING (stimulator of IFN genes) activates the IFN-dependent innate immune response to infection on sensing the presence of DNA in cytosol. The quantity of STING accumulating in cultured cells varies; it is relatively high in some cell lines [e. g., HEp-2, human embryonic lung fibroblasts (HEL), and HeLa] and low in others (e. g., Vero cells). In a preceding publication we reported that STING was stable in four cell lines infected with herpes simplex virus 1 and that it was actively stabilized in at least two cell lines derived from human cancers. In this report we show that STING is exported from HEp-2 cells to Vero cells along with virions, viral mRNAs, microRNAs, and the exosome marker protein CD9. The virions and exosomes copurified. The quantity of STING and CD9 exported from one cell line to another was inoculum-size-dependent and reflected the levels of STING and CD9 accumulating in the cells in which the virus inoculum was made. The export of STING, an innate immune sensor, and of viral mRNAs whose major role may be in silencing viral genes in latently infected neurons, suggests that the virus has evolved mechanisms that curtail rather than foster the spread of infection under certain conditions.</t>
  </si>
  <si>
    <t>[Kalamvoki, Maria; Du, Te; Roizman, Bernard] Univ Chicago, Marjorie B Kovler Viral Oncol Labs, Chicago, IL 60637 USA</t>
  </si>
  <si>
    <t>University of Chicago</t>
  </si>
  <si>
    <t>Roizman, B (corresponding author), Univ Chicago, Marjorie B Kovler Viral Oncol Labs, 910 E 58Th St, Chicago, IL 60637 USA.</t>
  </si>
  <si>
    <t>bernard.roizman@bsd.uchicago.edu</t>
  </si>
  <si>
    <t>E4991</t>
  </si>
  <si>
    <t>E4996</t>
  </si>
  <si>
    <t>10.1073/pnas.1419338111</t>
  </si>
  <si>
    <t>WOS:000345153300014</t>
  </si>
  <si>
    <t>Pasini, L; Notarangelo, M; Vagheggini, A; Burgio, MA; Crino, L; Chiadini, E; Prochowski, AI; Delmonte, A; Ulivi, P; D'Agostino, VG</t>
  </si>
  <si>
    <t>Pasini, Luigi; Notarangelo, Michela; Vagheggini, Alessandro; Burgio, Marco Angelo; Crino, Lucio; Chiadini, Elisa; Prochowski, Andrea Iamurri; Delmonte, Angelo; Ulivi, Paola; D'Agostino, Vito Giuseppe</t>
  </si>
  <si>
    <t>Unveiling mutational dynamics in non-small cell lung cancer patients by quantitative EGFR profiling in vesicular RNA</t>
  </si>
  <si>
    <t>MOLECULAR ONCOLOGY</t>
  </si>
  <si>
    <t>EGFR; extracellular vesicles; liquid biopsy; NSCLC; RNA</t>
  </si>
  <si>
    <t>TYROSINE KINASE INHIBITORS; NICKEL-BASED ISOLATION; CIRCULATING TUMOR DNA; DROPLET DIGITAL PCR; EXTRACELLULAR VESICLES; 1ST-LINE TREATMENT; LIQUID BIOPSY; OPEN-LABEL; PLASMA; NSCLC</t>
  </si>
  <si>
    <t>The mutational status of the epidermal growth factor receptor (EGFR) guides the stratification of non-small cell lung cancer (NSCLC) patients for treatment with tyrosine kinase inhibitors (TKIs). A liquid biopsy test on cell-free DNA is recommended as a clinical decision-supporting tool, although it has limited sensitivity. Here, we comparatively investigated the extracellular vesicle (EV)-RNA as an independent source for multidimensional and longitudinal EGFR profiling in a cohort of 27 NSCLC patients. We introduced and validated a new rapid, highly specific EV-RNA test with wild-type (WT) and mutant-sensitive probes (E746-A750del, L858R, and T790M). We included a cohort of 20 NSCLC patients with EGFR WT tumor tissues and systematically performed molecular EV-RNA and circulating tumor DNA analyses with clinical data statistics and biophysical profiles of EVs. At the single-patient level, we detected variegated tumor heterogeneity dynamics supported by combinations of driver EGFR mutations. EV-RNA-based mutation analysis showed an unprecedented sensitivity of over 90%. The resistance-associated mutation T790M frequently pre-existed at baseline with a gained EV-transcript copy number at progression, while the general mutational burden was mostly decreasing during the intermediate follow-up. The biophysical profile of EVs and the quantitative assessment of T790M revealed an association with tumor size determined by the sum of the longest diameters in target lesions. Vesicular RNA provides a validated tool suitable for use in clinical practice to investigate the dynamics of common driver EGFR mutations in NSCLC patients receiving TKIs.</t>
  </si>
  <si>
    <t>[Pasini, Luigi; Chiadini, Elisa; Ulivi, Paola] IRCCS Ist Romagnolo Studio Tumori IRST Dino Amado, Biosci Lab, Meldola, Italy; [Notarangelo, Michela; D'Agostino, Vito Giuseppe] Univ Trento, Dept Cellular Computat &amp; Integrat Biol CIBIO, Lab Biotechnol &amp; Nanomed, Via Sommarive 9, I-38123 Trento, Italy; [Vagheggini, Alessandro] IRCCS Ist Romagnolo Studio Tumori IRST Dino Amado, Unit Biostat, Meldola, Italy; [Burgio, Marco Angelo; Crino, Lucio; Delmonte, Angelo] IRCCS Ist Romagnolo Studio Tumori IRST Dino Amado, Med Oncol Unit, Meldola, Italy; [Prochowski, Andrea Iamurri] IRCCS Ist Romagnolo Studio Tumori IRST Dino Amado, Radiol Unit, Meldola, Italy</t>
  </si>
  <si>
    <t>University of Trento</t>
  </si>
  <si>
    <t>D'Agostino, VG (corresponding author), Univ Trento, Dept Cellular Computat &amp; Integrat Biol CIBIO, Lab Biotechnol &amp; Nanomed, Via Sommarive 9, I-38123 Trento, Italy.;Ulivi, P (corresponding author), Ist Romagnolo Studio Tumori Dino Amadori IRST IRC, Biosci Lab, Translat Oncol Unit, Via P Maroncelli 40, I-47014 Meldola, Italy.</t>
  </si>
  <si>
    <t>paola.ulivi@irst.emr.it; paola.ulivi@irst.emr.it; vito.dagostino@unitn.it</t>
  </si>
  <si>
    <t>Notarangelo, Michela/AEQ-9394-2022; Chiadini, Elisa/AAC-3742-2022</t>
  </si>
  <si>
    <t>Notarangelo, Michela/0000-0003-3400-4440; D'AGOSTINO, VITO/0000-0003-3379-2254</t>
  </si>
  <si>
    <t>1574-7891</t>
  </si>
  <si>
    <t>1878-0261</t>
  </si>
  <si>
    <t>10.1002/1878-0261.12976</t>
  </si>
  <si>
    <t>WOS:000652361600001</t>
  </si>
  <si>
    <t>Won, JH; Cho, KO</t>
  </si>
  <si>
    <t>Won, Jong-Hoon; Cho, Kyung-Ok</t>
  </si>
  <si>
    <t>Wg secreted by conventional Golgi transport diffuses and forms Wg gradient whereas Wg tethered to extracellular vesicles do not diffuse</t>
  </si>
  <si>
    <t>CELL DEATH AND DIFFERENTIATION</t>
  </si>
  <si>
    <t>LONG-RANGE ACTION; WINGLESS; EXPRESSION; POLARITY; NOTCH; TIKI; AXIS; SPECIFICATION; NEUROTACTIN; ORGANIZES</t>
  </si>
  <si>
    <t>Wingless (Wg)/Wnt family proteins are essential for animal development and adult homeostasis. DrosophilaWg secreted from the dorsal-ventral (DV) midline in wing discs forms a concentration gradient that is shaped by diffusion rate and stability of Wg. To understand how the gradient of extracellular Wg is generated, we compared the secretion route of NRT-Wg, an artificial membrane-tethered form of Wg that is supposedly not secreted but still supports fly development, to that of wild-type Wg. We found that wild-type Wg is secreted by both conventional Golgi transport and via extracellular vesicles (EVs), and NRT-Wg can be also secreted via EVs. Furthermore, wild-type Wg secreted by Golgi transport diffused and formed Wg gradient but Wg-containing EVs did not diffuse at all. In case of Wg stability, Sol narae (Sona), a metalloprotease that cleaves Wg, contributes to generate a steep Wg gradient. Interestingly, Wg was also produced in the presumptive wing blade region, which indicates that NRT-Wg on EVs expressed in the blade allows the blade cells to proliferate and differentiate without Wg diffused from the DV midline. We propose that EV-associated Wg induces Wg signaling in autocrine and juxtaposed manners whereas Wg secreted by Golgi transport forms gradient and acts in the long-range signaling, and different organs differentially utilize these two types of Wg signaling for their own development.</t>
  </si>
  <si>
    <t>[Won, Jong-Hoon; Cho, Kyung-Ok] Korea Adv Inst Sci &amp; Technol, Dept Biol Sci, 291 Daehak Ro, Daejeon, South Korea</t>
  </si>
  <si>
    <t>Korea Advanced Institute of Science &amp; Technology (KAIST)</t>
  </si>
  <si>
    <t>Cho, KO (corresponding author), Korea Adv Inst Sci &amp; Technol, Dept Biol Sci, 291 Daehak Ro, Daejeon, South Korea.</t>
  </si>
  <si>
    <t>kocho@kaist.ac.kr</t>
  </si>
  <si>
    <t>1350-9047</t>
  </si>
  <si>
    <t>1476-5403</t>
  </si>
  <si>
    <t>10.1038/s41418-020-00632-8</t>
  </si>
  <si>
    <t>WOS:000577407600001</t>
  </si>
  <si>
    <t>Vojtech, L; Woo, S; Hughes, S; Levy, C; Ballweber, L; Sauteraud, RP; Strobl, J; Westerberg, K; Gottardo, R; Tewari, M; Hladik, F</t>
  </si>
  <si>
    <t>Vojtech, Lucia; Woo, Sangsoon; Hughes, Sean; Levy, Claire; Ballweber, Lamar; Sauteraud, Renan P.; Strobl, Johanna; Westerberg, Katharine; Gottardo, Raphael; Tewari, Muneesh; Hladik, Florian</t>
  </si>
  <si>
    <t>Exosomes in human semen carry a distinctive repertoire of small non-coding RNAs with potential regulatory functions</t>
  </si>
  <si>
    <t>EXTRACELLULAR ORGANELLES PROSTASOMES; CHROMOSOMAL DNA-REPLICATION; MURINE LEUKEMIA-VIRUS; PIWI-INTERACTING RNAS; HUMAN SEMINAL PLASMA; DENDRITIC CELLS; T-CELLS; CIRCULATING MICRORNAS; LUPUS-ERYTHEMATOSUS; MEDIATED TRANSFER</t>
  </si>
  <si>
    <t>Semen contains relatively ill-defined regulatory components that likely aid fertilization, but which could also interfere with defense against infection. Each ejaculate contains trillions of exosomes, membrane-enclosed subcellular microvesicles, which have immunosuppressive effects on cells important in the genital mucosa. Exosomes in general are believed to mediate inter-cellular communication, possibly by transferring small RNA molecules. We found that seminal exosome (SE) preparations contain a substantial amount of RNA from 20 to 100 nucleotides (nts) in length. We sequenced 20-40 and 40-100 nt fractions of SE RNA separately from six semen donors. We found various classes of small non-coding RNA, including microRNA (21.7% of the RNA in the 20-40 nt fraction) as well as abundant Y RNAs and tRNAs present in both fractions. Specific RNAs were consistently present in all donors. For example, 10 (of similar to 2600 known) microRNAs constituted over 40% of mature microRNA in SE. Additionally, tRNA fragments were strongly enriched for 5'-ends of 18-19 or 30-34 nts in length; such tRNA fragments repress translation. Thus, SE could potentially deliver regulatory signals to the recipient mucosa via transfer of small RNA molecules.</t>
  </si>
  <si>
    <t>[Vojtech, Lucia; Hughes, Sean; Hladik, Florian] Univ Washington, Dept Obstet &amp; Gynecol, Seattle, WA 98195 USA; [Woo, Sangsoon; Levy, Claire; Ballweber, Lamar; Sauteraud, Renan P.; Strobl, Johanna; Westerberg, Katharine; Gottardo, Raphael; Hladik, Florian] Fred Hutchinson Canc Res Ctr, Vaccine &amp; Infect Dis Div, Seattle, WA 98104 USA; [Gottardo, Raphael; Tewari, Muneesh; Hladik, Florian] Univ Washington, Dept Med, Seattle, WA USA; [Tewari, Muneesh] Fred Hutchinson Canc Res Ctr, Human Biol Div, Seattle, WA 98104 USA</t>
  </si>
  <si>
    <t>University of Washington; University of Washington Seattle; Fred Hutchinson Cancer Center; University of Washington; University of Washington Seattle; Fred Hutchinson Cancer Center</t>
  </si>
  <si>
    <t>Vojtech, L (corresponding author), Univ Washington, Dept Obstet &amp; Gynecol, Seattle, WA 98195 USA.</t>
  </si>
  <si>
    <t>luciav@uw.edu; fhladik@fhcrc.org</t>
  </si>
  <si>
    <t>Hladik, Florian/G-1041-2012; Hladik, Florian/AAR-8852-2021</t>
  </si>
  <si>
    <t>Hladik, Florian/0000-0002-0375-2764; Hladik, Florian/0000-0002-0375-2764; Strobl, Johanna/0000-0003-3606-2185; Hughes, Sean/0000-0002-9409-9405; Vojtech, Lucia/0000-0003-2343-0719</t>
  </si>
  <si>
    <t>10.1093/nar/gku347</t>
  </si>
  <si>
    <t>WOS:000338769400048</t>
  </si>
  <si>
    <t>Cardinali, B; De Luca, G; Tasso, R; Coco, S; Garuti, A; Buzzatti, G; Sciutto, A; Arecco, L; Villa, F; Carli, F; Reverberi, D; Quarto, R; Dono, M; Del Mastro, L</t>
  </si>
  <si>
    <t>Cardinali, Barbara; De Luca, Giuseppa; Tasso, Roberta; Coco, Simona; Garuti, Anna; Buzzatti, Giulia; Sciutto, Andrea; Arecco, Luca; Villa, Federico; Carli, Franca; Reverberi, Daniele; Quarto, Rodolfo; Dono, Mariella; Del Mastro, Lucia</t>
  </si>
  <si>
    <t>Targeting PIK3CA Actionable Mutations in the Circulome: A Proof of Concept in Metastatic Breast Cancer</t>
  </si>
  <si>
    <t>breast cancer; PIK3CA mutations; liquid biopsy; circulating tumor DNA; circulating tumor cells; extracellular vesicles</t>
  </si>
  <si>
    <t>CIRCULATING TUMOR-CELLS; LIQUID BIOPSY; DNA; SURVIVAL; EXOSOMES; ASSAY</t>
  </si>
  <si>
    <t>The study of circulating cancer-derived components (circulome) is considered the new frontier of liquid biopsy. Despite the recognized role of circulome biomarkers, their comparative molecular profiling is not yet routine. In advanced breast cancer (BC), approximately 40% of hormone-receptor-positive, HER2-negative BC cases harbor druggable PIK3CA mutations suitable for combined alpelisib/fulvestrant treatment. This pilot study investigates PIK3CA mutations in circulating tumor DNA (ctDNA), tumor cells (CTCs), and extracellular vesicles (EVs) with the aim of determining which information on molecular targetable profiling could be recollected in each of them. The in-depth molecular analysis of four BC patients demonstrated, as a proof-of-concept study, that it is possible to retrieve mutational information in the three components. Patient-specific PIK3CA mutations were found in both tissue and ctDNA and in 3/4 cases, as well as in CTCs, in the classical population (large-sized CD45-/EpCAM+/- cells), and/or in the non-conventional sub-population (smaller-sized CD44+/EpCAM-/CD45- cells). Consistent mutational profiles of EVs with CTCs suggest that they may have been released by CTCs. This preliminary evidence on the molecular content of the different circulating biomaterials suggests their possible function as a mirror of the intrinsic heterogeneity of BC. Moreover, this study demonstrates, through mutational assessment, the tumor origin of the different CTC sub-populations sustaining the translational value of the circulome for a more comprehensive picture of the disease.</t>
  </si>
  <si>
    <t>[Cardinali, Barbara; Sciutto, Andrea; Arecco, Luca; Del Mastro, Lucia] IRCCS Osped Policlin San Martino, Clin Oncol Med, I-1016132 Genoa, Italy; [De Luca, Giuseppa; Dono, Mariella] IRCCS Osped Policlin San Martino, Mol Diagnost Unit, I-1016132 Genoa, Italy; [Tasso, Roberta; Quarto, Rodolfo] Univ Genoa, Dept Expt Med DIMES, I-516126 Genoa, Italy; [Coco, Simona] IRCCS Osped Policlin San Martino, Lung Canc Unit, I-1016132 Genoa, Italy; [Garuti, Anna] IRCCS Osped Policlin San Martino, Clin Oncol Med Ad Indirizzo Oncol, I-1016132 Genoa, Italy; [Buzzatti, Giulia] IRCCS Osped Policlin San Martino, Oncol Med 2, I-16132 Genoa, Italy; [Villa, Federico] IRCCS Osped Policlin San Martino, Mol Oncol &amp; Angiogenesis Unit, I-16132 Genoa 10, Italy; [Carli, Franca] IRCCS Osped Policlin San Martino, Surg Pathol Unit, I-16132 Genoa 10, Italy; [Reverberi, Daniele] IRCCS Osped Policlin San Martino, Mol Pathol Unit, I-16132 Genoa 10, Italy; [Quarto, Rodolfo] IRCCS Osped Policlin San Martino, Cellular Oncol Unit, I-16132 Genoa 10, Italy; [Del Mastro, Lucia] Univ Genoa, Dept Internal Med &amp; Med Specialties DIMI, I-16126 Genoa 5, Italy</t>
  </si>
  <si>
    <t>University of Genoa; University of Genoa</t>
  </si>
  <si>
    <t>Cardinali, B (corresponding author), IRCCS Osped Policlin San Martino, Clin Oncol Med, I-1016132 Genoa, Italy.;De Luca, G (corresponding author), IRCCS Osped Policlin San Martino, Mol Diagnost Unit, I-1016132 Genoa, Italy.</t>
  </si>
  <si>
    <t>barbara.cardinali@hsanmartino.it; gdeluca.biotech@libero.it; roberta.tasso@unige.it; simona.coco@hsanmartino.it; anna.garuti@hsanmartino.it; giulia.buzzatti@hsanmartino.it; andrea.sciutto@hsanmartino.it; arecco.luca@gmail.com; vilfed@libero.it; franca.carli@hsanmartino.it; daniele.reverberi@hsanmartino.it; rodolfo.quarto@unige.it; maria.dono@hsanmartino.it; lucia.delmastro@hsanmartino.it</t>
  </si>
  <si>
    <t>De Luca, Giuseppa/AAB-6744-2019; Dono, Mariella/AAP-4379-2020; Coco, Simona/J-6051-2016; Del Mastro, Lucia/J-6163-2016</t>
  </si>
  <si>
    <t>De Luca, Giuseppa/0000-0003-4877-1309; Dono, Mariella/0000-0003-1280-0278; Coco, Simona/0000-0002-5296-4325; Arecco, Luca/0000-0002-3818-0364; Quarto, Rodolfo/0000-0002-1146-894X; Del Mastro, Lucia/0000-0002-9546-5841</t>
  </si>
  <si>
    <t>10.3390/ijms23116320</t>
  </si>
  <si>
    <t>WOS:000808776100001</t>
  </si>
  <si>
    <t>Xiao, WH; Sanren, GW; Zhu, JH; Li, QW; Kang, HR; Wang, RL; Song, LP; Ye, M</t>
  </si>
  <si>
    <t>Xiao, Wen-Hua; Sanren, Gao-Wa; Zhu, Jian-Hua; Li, Qiu-Wen; Kang, Huan-Rong; Wang, Ru-Liang; Song, Lin-Ping; Ye, Ming</t>
  </si>
  <si>
    <t>Effect of 5-Aza-2 '-deoxycytidine on immune-associated proteins in exosomes from hepatoma</t>
  </si>
  <si>
    <t>5-Aza-2 '-deoxycytidine; Exosome; Immunomolecule; Hepatoma cell</t>
  </si>
  <si>
    <t>HEPATOCELLULAR-CARCINOMA; DNA METHYLTRANSFERASE; CURRENT MANAGEMENT; NY-ESO-1; IMMUNOTHERAPY; ACTIVATION; EXPRESSION; INDUCTION; CANCER</t>
  </si>
  <si>
    <t>AIM: To study the effect of 5-Aza-2'-deoxycytidine (5-Aza-CdR) on heat shock protein 70 (HSP70), human leucocyte antigen- I (HLA- I) and NY-ESO-1 proteins in exosomes produced by hepatoma cells, HepG2 and Hep3B. METHODS: Exosomes derived from HepG2 and Hep3B cells treated with or without 5-aza-CdR were isolated and purified by ultrafiltration centrifugation and sucrose gradient ultracentrifugation. The number of exosomes was counted under electron microscope. Concentration of proteins in exosomes was measured by bicinchoninic acid protein assay. Expression of HSP70, HLA- I and NY-ESO-1 proteins in exosomes was detected by Western blotting and immunoelectron microscopy. mRNA expression of p53 gene was detected by reverse transcription polymerase chain reaction. RESULTS: The mRNA expression of p53 gene was increased in both hepatoma cell lines after treatment with 5-Aza-CdR. The number of exosomes and the concentration of total proteins in exosomes were increased significantly after treatment with 5-aza-CdR (P &lt; 0.05). After treatment with 5-Aza-CdR, immunoelectron microscopy and Western blotting showed that the HSP70, HLA- I and NY-ESO-1 proteins were increased in exosomes produced by both hepatoma cell lines. CONCLUSION: 5-aza-CdR, an inhibitor of DNA methyltransferase, can increase exosomes produced by hepatoma cells and immune-associated protein component of exosomes, which may be mediated by p53 gene upregulation and 5-Aza-CdR demethylation. (C) 2010 Baishideng. All rights reserved.</t>
  </si>
  <si>
    <t>[Xiao, Wen-Hua; Zhu, Jian-Hua; Li, Qiu-Wen; Kang, Huan-Rong; Wang, Ru-Liang; Song, Lin-Ping; Ye, Ming] Chinese Peoples Liberat Army Gen Hosp, Affiliated Hosp 1, Dept Oncol, Beijing 100048, Peoples R China; [Sanren, Gao-Wa] Inner Mongolia Med Coll, Dept Histol &amp; Embryol, Hohhot 010010, Inner Mongolia, Peoples R China</t>
  </si>
  <si>
    <t>Chinese People's Liberation Army General Hospital; Inner Mongolia Medical University</t>
  </si>
  <si>
    <t>Xiao, WH (corresponding author), Chinese Peoples Liberat Army Gen Hosp, Affiliated Hosp 1, Dept Oncol, Beijing 100048, Peoples R China.</t>
  </si>
  <si>
    <t>10.3748/wjg.v16.i19.2371</t>
  </si>
  <si>
    <t>WOS:000277975100007</t>
  </si>
  <si>
    <t>Wu, PP; Zhang, B; Han, XY; Sun, YX; Sun, ZX; Li, LL; Zhou, XR; Jin, Q; Fu, PW; Xu, WR; Qian, H</t>
  </si>
  <si>
    <t>Wu, Peipei; Zhang, Bin; Han, Xinye; Sun, Yaoxiang; Sun, Zixuan; Li, Linli; Zhou, Xinru; Jin, Qian; Fu, Peiwen; Xu, Wenrong; Qian, Hui</t>
  </si>
  <si>
    <t>HucMSC exosome-delivered 14-3-3 zeta alleviates ultraviolet radiation-induced photodamage via SIRT1 pathway modulation</t>
  </si>
  <si>
    <t>AGING-US</t>
  </si>
  <si>
    <t>exosomes; SIRT1; mesenchymal stem cells; DNA damage; oxidative stress</t>
  </si>
  <si>
    <t>MESENCHYMAL STEM-CELLS; OXIDATIVE STRESS; SENESCENCE; SIRTUINS; DAMAGE; MSC; P53; SUPPRESSION; METABOLISM; REGULATORS</t>
  </si>
  <si>
    <t>Exosomes derived from human umbilical cord mesenchymal stem cells (hucMSC-ex) are nano-sized membrane-bound vesicles that have been reported to facilitate skin regeneration and repair. However, the roles played by hucMSC-ex in ultraviolet (UV) radiation-induced skin photodamage and the underlying mechanisms remain unknown. To investigate the functions of hucMSC-ex in a rat model of acute skin photodamage, immunofluorescence and immunohistochemical staining, quantitative real-time-polymerase chain reaction (qRT-PCR), western blot, and gene silencing assays were performed. We found that the in vivo subcutaneous injection of hucMSC-ex elicited antioxidant and anti-inflammatory effects against UV radiation-induced DNA damage and apoptosis. Further studies showed that the sirtuin 1 (SIRT1) expression level in skin keratinocytes (HaCaT) decreased in a time- and dose-dependent manner under in vitro UV radiation induced-oxidative stress conditions, which could be reversed by treatment with hucMSC-ex. The activation of SIRT1 significantly attenuated UV- and H2O2-induced cytotoxic damage by inhibiting oxidative stress and promoting the activation of autophagy. Our study found that 14-3-3 zeta protein, which was delivered by hucMSC-ex, exerted a cytoprotective function via the modulation of a SIRT1-dependent antioxidant pathway. Collectively, our findings indicated that hucMSC-ex might represent a new potential agent for preventing or treating UV radiation-induced skin photodamage and aging.</t>
  </si>
  <si>
    <t>[Wu, Peipei; Zhang, Bin; Han, Xinye; Sun, Yaoxiang; Sun, Zixuan; Li, Linli; Zhou, Xinru; Jin, Qian; Fu, Peiwen; Xu, Wenrong; Qian, Hui] Jiangsu Univ, Sch Med, Key Lab Lab Med Jiangsu Prov, Zhenjiang 212013, Jiangsu, Peoples R China; [Wu, Peipei; Han, Xinye; Sun, Yaoxiang; Sun, Zixuan; Li, Linli; Zhou, Xinru; Jin, Qian; Fu, Peiwen; Xu, Wenrong; Qian, Hui] Jiangsu Univ, Sch Med, Jiangsu Key Lab Med Sci &amp; Lab Med, Zhenjiang Key Lab High Technol Res Exosomes Fdn &amp;, Zhenjiang 212013, Jiangsu, Peoples R China; [Zhang, Bin] Jining Med Univ, Affiliated Hosp, Dept Lab Med, Jining 272000, Shandong, Peoples R China</t>
  </si>
  <si>
    <t>Jiangsu University; Jiangsu University; Jining Medical University</t>
  </si>
  <si>
    <t>Xu, WR; Qian, H (corresponding author), Jiangsu Univ, Sch Med, Key Lab Lab Med Jiangsu Prov, Zhenjiang 212013, Jiangsu, Peoples R China.;Xu, WR; Qian, H (corresponding author), Jiangsu Univ, Sch Med, Jiangsu Key Lab Med Sci &amp; Lab Med, Zhenjiang Key Lab High Technol Res Exosomes Fdn &amp;, Zhenjiang 212013, Jiangsu, Peoples R China.</t>
  </si>
  <si>
    <t>icls@ujs.edu.cn; lstmmmlst@163.com</t>
  </si>
  <si>
    <t>B, Zhang/R-4316-2019</t>
  </si>
  <si>
    <t>B, Zhang/0000-0002-2879-379X</t>
  </si>
  <si>
    <t>1945-4589</t>
  </si>
  <si>
    <t>APR 30</t>
  </si>
  <si>
    <t>WOS:000646469100003</t>
  </si>
  <si>
    <t>Aga, M; Bentz, GL; Raffa, S; Torrisi, MR; Kondo, S; Wakisaka, N; Yoshizaki, T; Pagano, JS; Shackelford, J</t>
  </si>
  <si>
    <t>Aga, M.; Bentz, G. L.; Raffa, S.; Torrisi, M. R.; Kondo, S.; Wakisaka, N.; Yoshizaki, T.; Pagano, J. S.; Shackelford, J.</t>
  </si>
  <si>
    <t>Exosomal HIF1 alpha supports invasive potential of nasopharyngeal carcinoma-associated LMP1-positive exosomes</t>
  </si>
  <si>
    <t>INDUCIBLE FACTOR 1-ALPHA; MULTIVESICULAR BODIES; MESSENGER-RNAS; HYPOXIA; MICROVESICLES; MECHANISM; RELEASE; CELLS; PALMITOYLATION; INHIBITION</t>
  </si>
  <si>
    <t>It has emerged recently that exosomes are potential carriers of pro-tumorigenic factors that participate in oncogenesis. However, whether oncogenic transcription factors are transduced by exosomes is unknown. Hypoxia-inducible factor-1 alpha (HIF1 alpha) transcriptionally regulates numerous key aspects of tumor development and progression by promoting a more aggressive tumor phenotype, characterized by increased proliferation and invasiveness coupled with neoangiogenesis. It has been shown that the principal oncoprotein of Epstein-Barr virus (EBV), latent membrane protein 1 (LMP1), drives oncogenic processes and tumor progression of the highly invasive EBV malignancy, nasopharyngeal carcinoma (NPC). We now demonstrate that endogenous HIF1 alpha is detectable in exosomes and that LMP1 significantly increases levels of HIF1 alpha in exosomes. HIF1 recovered from exosomes retains DNA-binding activity and is transcriptionally active in recipient cells after exosome uptake. We also show that treatment of EBV-negative cells with LMP1-exosomes increases migration and invasiveness of NP cell lines in functional assays, which correlates with the phenotype associated with epithelial-mesenchymal transition (EMT). In addition, we provide evidence that HIF1 alpha itself participates in exosome-mediated pro-metastatic effects in recipient cells, as exosome-mediated delivery of active and inactive forms of HIF1 alpha results in reciprocal changes in the expression of E- and N-cadherins associated with EMT. Further, immunohistochemical analysis of NPC tumor tissues revealed direct correlation between protein levels of LMP1 and of the endosome/exosome marker tetraspanin, CD63, which suggests an increase in exosome formation in this EBV-positive malignancy. We hypothesize that exosome-mediated transfer of functional pro-metastatic factors by LMP1-positive NPC cells to surrounding tumor cells promotes cancer progression.</t>
  </si>
  <si>
    <t>[Aga, M.; Bentz, G. L.; Pagano, J. S.; Shackelford, J.] Univ N Carolina, Lineberger Comprehens Canc Ctr, Chapel Hill, NC 27599 USA; [Aga, M.; Kondo, S.; Wakisaka, N.; Yoshizaki, T.] Kanazawa Univ, Grad Sch Med, Div Otolaryngol, Kanazawa, Ishikawa, Japan; [Raffa, S.; Torrisi, M. R.] Univ Roma La Sapienza, Dipartimento Med Clin &amp; Mol, I-00185 Rome, Italy; [Shackelford, J.] Univ N Carolina, Dept Cell Biol &amp; Physiol, Chapel Hill, NC 27599 USA</t>
  </si>
  <si>
    <t>University of North Carolina; University of North Carolina Chapel Hill; Kanazawa University; Sapienza University Rome; University of North Carolina; University of North Carolina Chapel Hill</t>
  </si>
  <si>
    <t>Pagano, JS (corresponding author), Univ N Carolina, Lineberger Comprehens Canc Ctr, Chapel Hill, NC 27599 USA.</t>
  </si>
  <si>
    <t>joseph_pagano@med.unc.edu</t>
  </si>
  <si>
    <t>Raffa, Salvatore/AAW-7060-2020; RAFFA, SALVATORE/AAL-5514-2020</t>
  </si>
  <si>
    <t>RAFFA, SALVATORE/0000-0001-9501-7638</t>
  </si>
  <si>
    <t>10.1038/onc.2014.66</t>
  </si>
  <si>
    <t>WOS:000342004800008</t>
  </si>
  <si>
    <t>Feng, YM; Guo, YN; Li, YR; Tao, J; Ding, L; Wu, J; Ju, HX</t>
  </si>
  <si>
    <t>Feng, Yimei; Guo, Yuna; Li, Yiran; Tao, Jing; Ding, Lin; Wu, Jie; Ju, Huangxian</t>
  </si>
  <si>
    <t>Lectin-mediated in situ rolling circle amplification on exosomes for probing cancer-related glycan pattern</t>
  </si>
  <si>
    <t>Glycan; Exosome; Array; Lectin; In situ; Rolling circle amplification</t>
  </si>
  <si>
    <t>EXTRACELLULAR VESICLES; CELL-SURFACE; GLYCOSYLATION; QUANTIFICATION; SIZE</t>
  </si>
  <si>
    <t>Exosomal surface glycans play important roles in microvesicle protein sorting and exosome-cell interactions, and also provide promising biomarkers for various diseases. However, in situ detection techniques for exosomal glycans are largely lacking. In this work, an exosomal array is fabricated for probing cancer-related exosomal glycan signatures by lectin recognition-mediated in situ rolling circle assembly of fluorophore-labeled DNA. Different from commonly used lectin array, the proposed strategy enables the direct and amplified conversion of glycan recognition signals to fluorescence detection signals. Focusing on tumor-associated glycans including sialic acids, fucose and truncated O-glycans, the method has been used not only to compare glycan patterns between exosomes with different origins, but also to reveal the specific exosomal glycan characteristics compared to their parent cells. The limits of detection were identified to be 5.4 x 10(6) and 1.3 x 10(6) particles mL(-1) for HeLa and PANC-1 exosomes, respectively. The dynamic ranges were 4.7 x 10(5) to 4.7 x 10(8), 4.7 x 10(8) to 4.7 x 10(9) for HeLa exosomes, and 4.7 x 10(5) to 1.2 x 10(9), 1.2 x 10(9) to 4.7 x 10(9) particles mL(-1) for PANC-1 exosomes. The remodeling of exosomal glycans can also be monitored as demonstrated on the cleavage of sialic acids under sialidase treatment. It could be anticipated that this strategy would become a powerful tool for development of exosome-based glyco-biomarkers and elucidation of biological significance of exosomal glycans. (C) 2018 Elsevier B.V. All rights reserved.</t>
  </si>
  <si>
    <t>[Feng, Yimei; Guo, Yuna; Li, Yiran; Tao, Jing; Ding, Lin; Wu, Jie; Ju, Huangxian] Nanjing Univ, Sch Chem &amp; Chem Engn, State Key Lab Analyt Chem Life Sci, Nanjing 210023, Jiangsu, Peoples R China</t>
  </si>
  <si>
    <t>Nanjing University</t>
  </si>
  <si>
    <t>Ding, L; Wu, J (corresponding author), Nanjing Univ, Sch Chem &amp; Chem Engn, State Key Lab Analyt Chem Life Sci, Nanjing 210023, Jiangsu, Peoples R China.</t>
  </si>
  <si>
    <t>dinglin@nju.edu.cn; wujie@nju.edu.cn</t>
  </si>
  <si>
    <t>; Ding, Lin/F-9110-2010</t>
  </si>
  <si>
    <t>Li, Yiran/0000-0001-8236-792X; Ding, Lin/0000-0001-5381-3484; Ju, Huangxian/0000-0002-6741-5302</t>
  </si>
  <si>
    <t>10.1016/j.aca.2018.07.040</t>
  </si>
  <si>
    <t>WOS:000447155200012</t>
  </si>
  <si>
    <t>Yang, SS; Wang, L; Gu, LN; Wang, Z; Wang, Y; Wang, JA; Zhang, YY</t>
  </si>
  <si>
    <t>Yang, Shanshan; Wang, Le; Gu, Lina; Wang, Zhao; Wang, Yuan; Wang, Jianan; Zhang, Yunyan</t>
  </si>
  <si>
    <t>Mesenchymal stem cell-derived extracellular vesicles alleviate cervical cancer by delivering microRNA-331-3p to reduce LIM zinc finger domain containing 2 methylation in tumor cells</t>
  </si>
  <si>
    <t>HUMAN MOLECULAR GENETICS</t>
  </si>
  <si>
    <t>GASTRIC-CANCER; PROGRESSION; EXOSOMES; PINCH-2; PREVENTION; MIR-331-3P</t>
  </si>
  <si>
    <t>The aim of this study is to investigate if extracellular vesicles (EVs) from bone marrow mesenchymal stem cells (BMSCs) deliver microRNA (miR)-331-3p to regulate LIM zinc finger domain containing 2 (LIMS2) methylation in cervical cancer cells. Cervical cancer cells were incubated with EVs from BMSCs with altered expression of miR-331-3p, DNA methyltransferase 3 alpha (DNMT3A) or/and LIMS2 and then subjected to 5-ethynyl-2 '-deoxyuridine, Transwell, flow cytometry and western blotting analyses. Dual-luciferase reporter assay was conducted to verify the binding between miR-331-3p and DNMT3A. A xenograft model was established to evaluate the effect of BMSC-derived EV-miR-331-3p on cervical tumor growth. miR-331-3p was lowly and DNMT3A was highly expressed in cervical cancer. BMSC-derived EVs delivered miR-331-3p to control the behaviors of cervical cancer cells. miR-331-3p inhibited the expression of DNMT3A by binding DNMT3A mRNA. DNMT3A promoted LIMS2 methylation and reduced the expression of LIMS2. Overexpression of DNMT3A or silencing of LIMS2 in BMSCs counteracted the tumor suppressive effects of miR-331-3p. BMSC-derived EV-miR-331-3p also inhibited the growth of cervical tumors in vivo. BMSC-derived EVs alleviate cervical cancer partially by delivering miR-331-3p to reduce DNMT3A-dependent LIMS2 methylation in tumor cells.</t>
  </si>
  <si>
    <t>[Yang, Shanshan; Wang, Le; Gu, Lina; Wang, Zhao; Wang, Yuan; Wang, Jianan; Zhang, Yunyan] Harbin Med Univ, Canc Hosp, Dept Gynecol Radiotherapy, 150 HaPing Rd, Harbin 150081, Heilongjiang, Peoples R China</t>
  </si>
  <si>
    <t>Harbin Medical University</t>
  </si>
  <si>
    <t>Zhang, YY (corresponding author), Harbin Med Univ, Canc Hosp, Dept Gynecol Radiotherapy, 150 HaPing Rd, Harbin 150081, Heilongjiang, Peoples R China.</t>
  </si>
  <si>
    <t>zhangyunyan@hrbmu.edu.cn</t>
  </si>
  <si>
    <t>0964-6906</t>
  </si>
  <si>
    <t>1460-2083</t>
  </si>
  <si>
    <t>10.1093/hmg/ddac130</t>
  </si>
  <si>
    <t>WOS:000838693700001</t>
  </si>
  <si>
    <t>Januszyk, K; Lima, CD</t>
  </si>
  <si>
    <t>Jensen, TH</t>
  </si>
  <si>
    <t>Januszyk, Kurt; Lima, Christopher D.</t>
  </si>
  <si>
    <t>STRUCTURAL COMPONENTS AND ARCHITECTURES OF RNA EXOSOMES</t>
  </si>
  <si>
    <t>RNA EXOSOME</t>
  </si>
  <si>
    <t>ARCHAEBACTERIUM PYROCOCCUS-FURIOSUS; DNA-POLYMERASE-I; ESCHERICHIA-COLI; POLYNUCLEOTIDE PHOSPHORYLASE; CRYSTAL-STRUCTURE; ARCHAEAL EXOSOME; FUNCTIONAL-CHARACTERIZATION; CATALYTIC MECHANISM; PIN-DOMAIN; KH DOMAINS</t>
  </si>
  <si>
    <t>A large body of structural work conducted over the past ten years has elucidated mechanistic details related to 3' to 5' processing and decay of RNA substrates by the RNA exosome. This chapter will focus on the structural organization of eukaryotic exosomes and their evolutionary cousins in bacteria and archaea with an emphasis on mechanistic details related to substrate recognition and to 3' to 5' phosphorolytic exoribonucleolytic activities of bacterial and archaeal exosomes as well as the hydrolytic exoribonucleolytic and endoribonucleolytic activities of eukaryotic exosomes. These points will be addressed in large part through presentation of crystal structures of phosphorolytic enzymes such as bacterial RNase PH, PNPase and archaeal exosomes and crystal structures of the eukaryotic exosome and exosome sub-complexes in addition to standalone structures of proteins that catalyze activities associated with the eukaryotic RNA exosome, namely Rrp44, Rrp6 and their bacterial counterparts.</t>
  </si>
  <si>
    <t>[Januszyk, Kurt; Lima, Christopher D.] Sloan Kettering Inst, Struct Biol Program, New York, NY 10021 USA</t>
  </si>
  <si>
    <t>Memorial Sloan Kettering Cancer Center</t>
  </si>
  <si>
    <t>Lima, CD (corresponding author), Sloan Kettering Inst, Struct Biol Program, New York, NY 10021 USA.</t>
  </si>
  <si>
    <t>limac@mskcc.org</t>
  </si>
  <si>
    <t>Lima, Christopher/0000-0002-9163-6092</t>
  </si>
  <si>
    <t>978-1-4419-7840-0</t>
  </si>
  <si>
    <t>10.1007/978-1-4419-7841-7</t>
  </si>
  <si>
    <t>WOS:000285532300002</t>
  </si>
  <si>
    <t>Tesei, A; Arienti, C; Bossi, G; Santi, S; De Santis, I; Bevilacqua, A; Zanoni, M; Pignatta, S; Cortesi, M; Zamagni, A; Storci, G; Bonafe, M; Sarnelli, A; Romeo, A; Cavallo, C; Bartolazzi, A; Rossi, S; Soriani, A; Strigari, L</t>
  </si>
  <si>
    <t>Tesei, Anna; Arienti, Chiara; Bossi, Gianluca; Santi, Spartaco; De Santis, Ilaria; Bevilacqua, Alessandro; Zanoni, Michele; Pignatta, Sara; Cortesi, Michela; Zamagni, Alice; Storci, Gianluca; Bonafe, Massimiliano; Sarnelli, Anna; Romeo, Antonino; Cavallo, Carola; Bartolazzi, Armando; Rossi, Stefania; Soriani, Antonella; Strigari, Lidia</t>
  </si>
  <si>
    <t>TP53 drives abscopal effect by secretion of senescence-associated molecular signals in non-small cell lung cancer</t>
  </si>
  <si>
    <t>Abscopal effect; Non-small cell lung cancer; TP53; Cellular senescence; Extracellular vesicles; DNA; RNA hybrids; Retrotransposon</t>
  </si>
  <si>
    <t>IONIZING-RADIATION; P53; RADIOTHERAPY; IMMUNITY; ELEMENTS; ARREST</t>
  </si>
  <si>
    <t>Background Recent developments in abscopal effect strongly support the use of radiotherapy for the treatment of metastatic disease. However, deeper understanding of the molecular mechanisms underlying the abscopal effect are required to best benefit a larger proportion of patients with metastasis. Several groups including ours, reported the involvement of wild-type (wt) p53 in radiation-induced abscopal effects, however very little is known on the role of wtp53 dependent molecular mechanisms. Methods We investigated through in vivo and in vitro approaches how wtp53 orchestrates radiation-induced abscopal effects. Wtp53 bearing (A549) and p53-null (H1299) NSCLC lines were xenotransplanted in nude mice, and cultured in 2D monolayers and 3D tumor spheroids. Extracellular vesicles (EVs) were isolated from medium cell culture by ultracentrifugation protocol followed by Nanoparticle Tracking Analysis. Gene expression was evaluated by RT-Real Time, digital qRT-PCR, and dot blot technique. Protein levels were determined by immunohistochemistry, confocal anlysis, western blot techniques, and immunoassay. Results We demonstrated that single high-dose irradiation (20 Gy) induces significant tumor growth inhibition in contralateral non-irradiated (NIR) A549 xenograft tumors but not in NIR p53-null H1299 or p53-silenced A549 (A549sh/p53) xenografts. We further demonstrates that irradiation of A549 cells in vitro induces a senescence-associated secretory phenotype (SASP) producing extracellular vesicles (EVs) expressing CD63 and carrying DNA:RNA hybrids and LINE-1 retrotransposon. IR-A549 EVs also hamper the colony-forming capability of recipient NIR A549 cells, induce senescent phenotype, nuclear expression of DNA:RNA hybrids, and M1 macrophage polarization. Conclusions In our models, we demonstrate that high radiation dose in wtp53 tumors induce the onset of SASP and secretion of CD63+ EVs loaded with DNA:RNA hybrids and LINE-1 retrotransposons that convey senescence messages out of the irradiation field triggering abscopal effect in NIR tumors.</t>
  </si>
  <si>
    <t>[Tesei, Anna; Arienti, Chiara; Zanoni, Michele; Pignatta, Sara; Cortesi, Michela; Zamagni, Alice] Ist Sci Romagnolo Studio &amp; Cura Tumori IRST, IRCCS, Biosci Lab, Meldola, Italy; [Bossi, Gianluca] Regina Elena Inst Canc Res, IRCCS, Oncogen &amp; Epigenet Unit, Rome, Italy; [Santi, Spartaco] Inst Mol Genet Luigi Luca Cavalli Sforza, CNR, Bologna, Italy; [Santi, Spartaco] Ist Ortoped Rizzoli, IRCCS, Bologna, Italy; [De Santis, Ilaria] Univ Bologna, Alma Mater Studiorum, Dept Med &amp; Surg Sci DIMEC, I-40138 Bologna, Emilia Romagna, Italy; [De Santis, Ilaria] Univ Bologna, Alma Mater Res Inst Global Challenges &amp; Climate C, Interdept Ctr, I-40126 Bologna, Emilia Romagna, Italy; [Bevilacqua, Alessandro] Univ Bologna, Dept Comp Sci &amp; Engn DISI, Bologna, Italy; [Bevilacqua, Alessandro] Univ Bologna, Adv Res Ctr Elect Syst Informat &amp; Commun Technol, Bologna, Italy; [Storci, Gianluca; Bonafe, Massimiliano] Univ Bologna, Dept Expt Diagnost &amp; Specialty Med, Bologna, Italy; [Sarnelli, Anna] Ist Sci Romagnolo Studio &amp; Cura Tumori IRST, IRCCS, Med Phys Unit, Meldola, Italy; [Romeo, Antonino] Ist Sci Romagnolo Studio &amp; Cura Tumori IRST, IRCCS, Radiotherapy Unit, Meldola, Italy; [Cavallo, Carola] Ist Ortoped Rizzoli, IRCCS, Lab RAMSES, Innovat &amp; Technol Dept RIT,Rizzoli Res, Bologna, Italy; [Bartolazzi, Armando] St Andrea Hosp, Pathol Res Lab, Rome, Italy; [Rossi, Stefania] Ist Super Sanita, Dept Oncol &amp; Mol Med, Rome, Italy; [Soriani, Antonella] Regina Elena Inst Canc Res, IRCCS, Lab Med Phys &amp; Expert Syst, Rome, Italy; [Strigari, Lidia] Univ Hosp Bologna, IRCCS, Dept Med Phys, Via Massarenti 9, I-40138 Bologna, Italy</t>
  </si>
  <si>
    <t>IRCCS Meldola (IRST); IRCCS Istituti Fisioterapici Ospitalieri (IFO); IRCCS Regina Elena; Consiglio Nazionale delle Ricerche (CNR); IRCCS Istituto Ortopedico Rizzoli; University of Bologna; University of Bologna; University of Bologna; University of Bologna; University of Bologna; IRCCS Meldola (IRST); IRCCS Meldola (IRST); IRCCS Istituto Ortopedico Rizzoli; Sapienza University Rome; Azienda Ospedaliera Sant'Andrea; Istituto Superiore di Sanita (ISS); IRCCS Istituti Fisioterapici Ospitalieri (IFO); IRCCS Regina Elena; IRCCS Azienda Ospedaliero-Universitaria di Bologna</t>
  </si>
  <si>
    <t>Tesei, A; Arienti, C (corresponding author), Ist Sci Romagnolo Studio &amp; Cura Tumori IRST, IRCCS, Biosci Lab, Meldola, Italy.;Bossi, G (corresponding author), Regina Elena Inst Canc Res, IRCCS, Oncogen &amp; Epigenet Unit, Rome, Italy.;Strigari, L (corresponding author), Univ Hosp Bologna, IRCCS, Dept Med Phys, Via Massarenti 9, I-40138 Bologna, Italy.</t>
  </si>
  <si>
    <t>anna.tesei@irst.emr.it; chiara.arienti@irst.emr.it; gianluca.bossi@ifo.gov.it; lidia.strigari@aosp.bo.it</t>
  </si>
  <si>
    <t>cortesi, michela/X-1540-2018; Bossi, Gianluca/B-9394-2017; Bevilacqua, Alessandro/B-7851-2013; Tesei, Anna/C-7748-2016; Cavallo, Carola/K-5598-2016; arienti, chiara/AAA-9493-2021</t>
  </si>
  <si>
    <t>Bossi, Gianluca/0000-0002-2947-1063; Bevilacqua, Alessandro/0000-0003-2938-5058; Tesei, Anna/0000-0002-8351-5952; Cavallo, Carola/0000-0002-2913-856X; arienti, chiara/0000-0002-2265-828X; STORCI, GIANLUCA/0000-0001-5145-3091</t>
  </si>
  <si>
    <t>MAR 5</t>
  </si>
  <si>
    <t>10.1186/s13046-021-01883-0</t>
  </si>
  <si>
    <t>WOS:000625954200001</t>
  </si>
  <si>
    <t>Yoo, JY; Rho, M; You, YA; Kwon, EJ; Kim, MH; Kym, S; Jee, YK; Kim, YK; Kim, YJ</t>
  </si>
  <si>
    <t>Yoo, Jae Young; Rho, Mina; You, Young-Ah; Kwon, Eun Jin; Kim, Min-Hye; Kym, Sungmin; Jee, Young-Koo; Kim, Yoon-Keun; Kim, Young Ju</t>
  </si>
  <si>
    <t>16S rRNA gene-based metagenomic analysis reveals differences in bacteria-derived extracellular vesicles in the urine of pregnant and non-pregnant women</t>
  </si>
  <si>
    <t>MEMBRANE-VESICLES; INTRAAMNIOTIC INFLAMMATION; INTRAUTERINE INFECTION; TRACT-INFECTIONS; AMNIOTIC-FLUID; ENDOCRINE; RUPTURE; DISEASE; TH1</t>
  </si>
  <si>
    <t>Recent evidence has indicated that bacteria-derived extracellular vesicles (EVs) are important for host-microbe communication. The aims of the present study were to evaluate whether bacteria-derived EVs are excreted via the urinary tract and to compare the composition of bacteria-derived EVs in the urine of pregnant and non-pregnant women. Seventy-three non-pregnant and seventy-four pregnant women were enrolled from Dankook University and Ewha Womans University hospitals. DNA was extracted from urine EVs after EV isolation using the differential centrifugation method. 16S ribosomal RNA (16S rRNA) gene sequencing was performed using high-throughput 454 pyrosequencing after amplification of the V1-V3 region of the 16S rDNA. The composition of 13 taxa differed significantly between the pregnant and non-pregnant women. At the genus level, Bacillus spp. EVs were more significantly enriched in the urine of the pregnant women than in that of the non-pregnant women (45.61% vs 0.12%, respectively). However, Pseudomonas spp. EVs were more dominant in non-pregnant women than in pregnant women (13.2% vs 4.09%, respectively). Regarding the compositional difference between pregnant women with normal and preterm delivery, EVs derived from Ureaplasma spp. and the family Veillonellaceae (including Megasphaera spp.) were more abundant in the urine of preterm-delivered women than in that of women with normal deliveries. Taken together, these data showed that Bacillus spp. EVs predominate in the urine of pregnant women, whereas Pseudomonas spp. EVs predominate in the urine of non-pregnant women; this suggests that Bacillus spp. EVs might have an important role in the maintenance of pregnancy.</t>
  </si>
  <si>
    <t>[Yoo, Jae Young; You, Young-Ah; Kwon, Eun Jin; Kim, Young Ju] Ewha Womans Univ, Dept Obstet &amp; Gynecol, Sch Med, Ewha Med Ctr, 1071 Anyangcheon Ro, Seoul 158710, South Korea; [Yoo, Jae Young; You, Young-Ah; Kwon, Eun Jin; Kim, Young Ju] Ewha Womans Univ, Ewha Med Inst, Ewha Med Ctr, 1071 Anyangcheon Ro, Seoul 158710, South Korea; [Yoo, Jae Young] Natl Agcy Breeding Stock Improvement, Natl Inst Anim Sci, Cheonan, South Korea; [Rho, Mina] Hanyang Univ, Dept Comp Engn, Seoul 133791, South Korea; [Kim, Min-Hye] Ewha Womans Univ, Dept Internal Med, Sch Med, Seoul, South Korea; [Kym, Sungmin] Inje Univ, Dept Internal Med, Coll Med, Busan, South Korea; [Jee, Young-Koo] Dankook Univ, Dept Internal Med, Coll Med, Cheonan, South Korea; [Kim, Yoon-Keun] Ewha Womans Univ, Dept Med, Sch Med, 1071 Anyangcheon Ro, Seoul 158710, South Korea; [Kim, Yoon-Keun] Ewha Med Ctr, Ewha Inst Convergence Med, 1071 Anyangcheon Ro, Seoul 158710, South Korea</t>
  </si>
  <si>
    <t>Ewha Womans University; Ewha Womans University; National Institute of Animal Science; Hanyang University; Ewha Womans University; Inje University; Dankook University; Ewha Womans University</t>
  </si>
  <si>
    <t>Kim, YJ (corresponding author), Ewha Womans Univ, Dept Obstet &amp; Gynecol, Sch Med, Ewha Med Ctr, 1071 Anyangcheon Ro, Seoul 158710, South Korea.;Kim, YJ (corresponding author), Ewha Womans Univ, Ewha Med Inst, Ewha Med Ctr, 1071 Anyangcheon Ro, Seoul 158710, South Korea.;Kim, YK (corresponding author), Ewha Womans Univ, Dept Med, Sch Med, 1071 Anyangcheon Ro, Seoul 158710, South Korea.;Kim, YK (corresponding author), Ewha Med Ctr, Ewha Inst Convergence Med, 1071 Anyangcheon Ro, Seoul 158710, South Korea.</t>
  </si>
  <si>
    <t>juinea@ewha.ac.kr; kkyj@ewha.ac.kr</t>
  </si>
  <si>
    <t>Kim, Young Ju/P-1853-2014</t>
  </si>
  <si>
    <t>Kim, Young Ju/0000-0002-3153-3008; Jee, Young-Koo/0000-0001-5800-8038; You, Younag-Ah/0000-0001-6714-7144; Yoo, Jae Young/0000-0001-7119-5421; Kim, Sungmin/0000-0003-3518-966X</t>
  </si>
  <si>
    <t>e208</t>
  </si>
  <si>
    <t>10.1038/emm.2015.110</t>
  </si>
  <si>
    <t>WOS:000369891800002</t>
  </si>
  <si>
    <t>Nicholas, A; Jeon, H; Selasi, GN; Na, SH; Kwon, HI; Kim, YJ; Choi, CW; Kim, SI; Lee, JC</t>
  </si>
  <si>
    <t>Nicholas, Asiimwe; Jeon, Hyejin; Selasi, Gati Noble; Na, Seok Hyeon; Kwon, Hyo Il; Kim, Yoo Jeong; Choi, Chi Won; Kim, Seung Il; Lee, Je Chul</t>
  </si>
  <si>
    <t>Clostridium difficile-derived membrane vesicles induce the expression of pro-inflammatory cytokine genes and cytotoxicity in colonic epithelial cells in vitro</t>
  </si>
  <si>
    <t>C. difficile; Membrane vesicle; Pro-inflammatory cytokines; Cytotoxicity</t>
  </si>
  <si>
    <t>PROTEINS; PROTEOMICS; BACTERIA; DNA; BIOGENESIS; INFECTION; RELEASE</t>
  </si>
  <si>
    <t>Clostridium difficile is the most common etiological agent of antibiotic-associated diarrhea in hospitalized and non-hospitalized patients. This study investigated the secretion of membrane vesicles (MVs) from C. difficile and determined the expression of pro-inflammatory cytokine genes and cytotoxicity of C difficile MVs in epithelial cells in vitro. C. difficile ATCC 43255 and two clinical isolates secreted spherical MVs during in vitro culture. Proteomic analysis revealed that MVs of C difficile ATCC 43255 contained a total of 262 proteins. Translation-associated proteins were the most commonly identified in C difficile MVs, whereas TcdA and TcdB toxins were not detected. C difficile ATCC 43255-derived MVs stimulated the expression of pro-inflammatory cytokine genes, including interleukin (IL)-1 beta, IL-6, IL-8, and monocyte chemoattractant protein-1 in human colorectal epithelial Caco-2 cells. Moreover, these extracellular vesicles induced cytotoxicity in Caco-2 cells. In conclusion, C difficile MVs are important nanocomplexes that elicit a pro-inflammatory response and induce cytotoxicity in colonic epithelial cells, which may contribute, along with toxins, to intestinal mucosal injury during C difficile infection. (C) 2017 Elsevier Ltd. All rights reserved.</t>
  </si>
  <si>
    <t>[Nicholas, Asiimwe; Jeon, Hyejin; Selasi, Gati Noble; Na, Seok Hyeon; Kwon, Hyo Il; Kim, Yoo Jeong; Lee, Je Chul] Kyungpook Natl Univ, Dept Microbiol, Sch Med, 680 Gukchaebosang Ro, Daegu 41944, South Korea; [Choi, Chi Won; Kim, Seung Il] Korea Basic Sci Inst, Drug &amp; Dis Target Team, Daejeon, South Korea</t>
  </si>
  <si>
    <t>Kyungpook National University; Korea Basic Science Institute (KBSI)</t>
  </si>
  <si>
    <t>Lee, JC (corresponding author), Kyungpook Natl Univ, Dept Microbiol, Sch Med, 680 Gukchaebosang Ro, Daegu 41944, South Korea.</t>
  </si>
  <si>
    <t>leejc@knu.ac.kr</t>
  </si>
  <si>
    <t>Na, Seok Hyeon/0000-0002-8550-9150; Asiimwe, Nicholas/0000-0003-0484-4481; Gati, Noble Selasi/0000-0002-4229-2908</t>
  </si>
  <si>
    <t>1096-1208</t>
  </si>
  <si>
    <t>10.1016/j.micpath.2017.03.006</t>
  </si>
  <si>
    <t>WOS:000402496000002</t>
  </si>
  <si>
    <t>Khatua, AK; Taylor, HE; Hildreth, JEK; Popik, W</t>
  </si>
  <si>
    <t>Khatua, Atanu K.; Taylor, Harry E.; Hildreth, James E. K.; Popik, Waldemar</t>
  </si>
  <si>
    <t>Exosomes Packaging APOBEC3G Confer Human Immunodeficiency Virus Resistance to Recipient Cells</t>
  </si>
  <si>
    <t>HIV-1 REVERSE TRANSCRIPTION; CD4(+) T-CELLS; DENDRITIC CELLS; MESSENGER-RNA; VIF PROTEIN; IN-VIVO; ALU RETROTRANSPOSITION; HORIZONTAL TRANSFER; DEAMINASE APOBEC3G; PEPTIDE COMPLEXES</t>
  </si>
  <si>
    <t>The human cytidine deaminase APOBEC3G (A3G) is a part of a cellular defense system against human immunodeficiency virus type 1 (HIV-1) and other retroviruses. Antiretroviral activity of A3G can be severely blunted in the presence of the HIV-1 protein Vif. However, in some cells expressing the enzymatically active low-molecular-mass form of A3G, HIV-1 replication is restricted at preintegration steps, before accumulation of Vif. Here, we show that A3G can be secreted by cells in exosomes that confer resistance to both vif-defective and wild-type HIV-1 in exosome recipient cells. Our results also suggest that A3G is the major exosomal component responsible for the anti-HIV-1 activity of exosomes. However, enzymatic activity of encapsidated A3G does not correlate with the observed limited cytidine deamination in HIV-1 DNA, suggesting that A3G-laden exosomes restrict HIV-1 through a nonenzymatic mechanism. Real-time PCR quantitation demonstrated that A3G exosomes reduce accumulation of HIV-1 reverse transcription products and steady-state levels of HIV-1 Gag and Vif proteins. Our findings suggest that A3G exosomes could be developed into a novel class of anti-HIV-1 therapeutics.</t>
  </si>
  <si>
    <t>[Khatua, Atanu K.; Taylor, Harry E.; Hildreth, James E. K.; Popik, Waldemar] Meharry Med Coll, Ctr AIDS Hlth Dispar Res, Nashville, TN 37208 USA</t>
  </si>
  <si>
    <t>Meharry Medical College</t>
  </si>
  <si>
    <t>Popik, W (corresponding author), Meharry Med Coll, Ctr AIDS Hlth Dispar Res, 1005 DB Todd Blvd, Nashville, TN 37208 USA.</t>
  </si>
  <si>
    <t>wpopik@mmc.edu</t>
  </si>
  <si>
    <t>10.1128/JVI.01658-08</t>
  </si>
  <si>
    <t>WOS:000262045000003</t>
  </si>
  <si>
    <t>Kim, M; Jeon, J; Kim, J</t>
  </si>
  <si>
    <t>Kim, Miah; Jeon, Jaegyu; Kim, Jaegon</t>
  </si>
  <si>
    <t>Streptococcus mutans extracellular DNA levels depend on the number of bacteria in a biofilm</t>
  </si>
  <si>
    <t>MEMBRANE-VESICLES; AUTOLYSIN; RELEASE; SUCROSE; STARCH; CARIES; DECAY</t>
  </si>
  <si>
    <t>Streptococcus mutans is a component of oral plaque biofilm that accumulates on the surface of teeth. The biofilm consists of extracellular components including extracellular DNA (eDNA). This study was conducted to investigate the factors that may affect the eDNA levels of S. mutans in biofilms. For the study, S. mutans UA159 biofilms were formed for 52 h on hydroxyapatite (HA) discs in 0% (w/v) sucrose +0% glucose, 0.5% sucrose, 1% sucrose, 0.5% glucose, 1% glucose, or 0.5% sucrose +0.5% glucose. Acidogenicity of S. mutans in the biofilms was measured after biofilm formation (22 h) up to 52 h. eDNA was collected after 52 h biofilm formation and measured using DNA binding fluorescent dye, SYBR Green I. Biofilms cultured in 0.5% sucrose or glucose had more eDNA and colony forming units (CFUs) and less exopolysaccharides (EPSs) than the biofilms cultured in 1% sucrose or glucose at 52 h, respectively. The biofilms formed in 0% sucrose +0% glucose maintained pH around 7, while the biofilms grown in 0.5% sucrose had more acidogenicity than those grown in 1% sucrose, and the same pattern was shown in glucose. In conclusion, the results of this study show that the number of S. mutans in biofilms affects the concentrations of eDNA as well as the acidogenicity of S. mutans in the biofilms. In addition, the thickness of EPS is irrelevant to eDNA aggregation within biofilms.</t>
  </si>
  <si>
    <t>[Kim, Miah] Chonbuk Natl Univ, Dept Conservat Dent, 567 Baekjaedaero, Jeonju 54896, Jeonbuk, South Korea; [Jeon, Jaegyu] Chonbuk Natl Univ, Sch Dent, Dept Prevent Dent, 567 Baekjaedaero, Jeonju 54896, Jeonbuk, South Korea; [Kim, Jaegon] Chonbuk Natl Univ, Sch Dent, Dept Pediat Dent, 567 Baekjaedaero, Jeonju 54896, Jeonbuk, South Korea</t>
  </si>
  <si>
    <t>Jeonbuk National University; Jeonbuk National University; Jeonbuk National University</t>
  </si>
  <si>
    <t>Kim, J (corresponding author), Chonbuk Natl Univ, Sch Dent, Dept Pediat Dent, 567 Baekjaedaero, Jeonju 54896, Jeonbuk, South Korea.</t>
  </si>
  <si>
    <t>pedokjg@jbnu.ac.kr</t>
  </si>
  <si>
    <t>SEP 6</t>
  </si>
  <si>
    <t>10.1038/s41598-018-31275-y</t>
  </si>
  <si>
    <t>WOS:000443800900010</t>
  </si>
  <si>
    <t>Kameli, N; Borman, R; Lopez-lglesias, C; Savelkoul, P; Stassen, FRM</t>
  </si>
  <si>
    <t>Kameli, Nader; Borman, Reitske; Lopez-lglesias, Carmen; Savelkoul, Paul; Stassen, Frank R. M.</t>
  </si>
  <si>
    <t>Characterization of Feces-Derived Bacterial Membrane Vesicles and the Impact of Their Origin on the Inflammatory Response</t>
  </si>
  <si>
    <t>intestinal microbes; membrane vesicles; bead-based flow cytometer; inflammatory response; bacterial phyla</t>
  </si>
  <si>
    <t>EXTRACELLULAR VESICLES; GUT MICROBIOTA; SEMIQUANTITATIVE ANALYSIS; FLOW-CYTOMETRY; HEALTH</t>
  </si>
  <si>
    <t>The human gastrointestinal tract harbors a diverse and complex microbiome, which interacts in a variety of ways with the host. There is compelling evidence that gut microbial dysbiosis, defined as an alteration of diversity and abundance in intestinal microbes, is an etiological factor in inflammatory bowel disease (IBD). Membrane vesicles (MVs), which are nano-sized particles released by bacteria, have been found to interact with the host and modulate the development and function of the immune system. As a result MVs have been suggested to play a critical role in both health and disease. In this study we developed a method to isolate, characterize and assess the immunoreactivity of heterogeneous populations of MVs from fecal samples (fMVs) of healthy volunteers. We successfully isolated 2*10(9)-2*10(10) particles/ml from 0.5 gram of feces by using a combination of ultrafiltration and size exclusion chromatography (SEC) from 10 fecal samples. Bead-based flowcytometry in combination with tunable resistive pulse sensing (TRPS) provided a reliable method for (semi-)quantitative determination of fMVs originating from both Gram-positive and Gram-negative bacteria, while transmission electron microscopy confirmed the presence of fMVs. Real time 16s PCR on bacterial cell fractions or isolated fMVs DNA of the most common phyla (Firmicutes, Bacteroidetes, Actinobacteria and Proteobacteria) revealed differences in the relative abundance between bacteria and the fMVs. Moreover, fMVs evoke the release of TNF-alpha by THP-1 cells in a dose-dependent matter. Also, a significant positive correlation was found between Actinobacteria/gamma-Proteobacteria derived vesicles and the release of TNF-alpha. It has become increasingly clear that fMVs could provide an additional layer to the definition of homeostasis or dysbiosis of the microbiota. The current study supports their potential involvement in the intestinal homeostasis or inflammatory disorders and provides putative interesting incentives for future research.</t>
  </si>
  <si>
    <t>[Kameli, Nader; Borman, Reitske; Savelkoul, Paul; Stassen, Frank R. M.] Maastricht Univ, Sch Nutr &amp; Translat Res Metab NUTRIM, Dept Med Microbiol, Med Ctr, Maastricht, Netherlands; [Kameli, Nader] Jazan Univ, Fac Appl Med Sci, Dept Med Microbiol, Jazan, Saudi Arabia; [Lopez-lglesias, Carmen] Maastricht Univ, Fac Hlth Med &amp; Life Sci, Maastricht Multimodal Mol Imaging Inst M4I, Microscopy CORE Lab, Maastricht, Netherlands; [Savelkoul, Paul] Univ Amsterdam, Dept Med Microbiol &amp; Infect Control, Locat VUmc, Med Ctr, Amsterdam, Netherlands</t>
  </si>
  <si>
    <t>Maastricht University; Jazan University; Maastricht University; University of Amsterdam</t>
  </si>
  <si>
    <t>Stassen, FRM (corresponding author), Maastricht Univ, Sch Nutr &amp; Translat Res Metab NUTRIM, Dept Med Microbiol, Med Ctr, Maastricht, Netherlands.</t>
  </si>
  <si>
    <t>n.kameli@maastrichtuniversity.nl; f.stassen@maastrichtuniversity.nl</t>
  </si>
  <si>
    <t>Stassen, Frank/0000-0001-8450-9506</t>
  </si>
  <si>
    <t>10.3389/fcimb.2021.667987</t>
  </si>
  <si>
    <t>WOS:000652639100001</t>
  </si>
  <si>
    <t>Trivedi, M; Talekar, M; Shah, P; Ouyang, Q; Amiji, M</t>
  </si>
  <si>
    <t>Trivedi, M.; Talekar, M.; Shah, P.; Ouyang, Q.; Amiji, M.</t>
  </si>
  <si>
    <t>Modification of tumor cell exosome content by transfection with wt-p53 and microRNA-125b expressing plasmid DNA and its effect on macrophage polarization</t>
  </si>
  <si>
    <t>ONCOGENESIS</t>
  </si>
  <si>
    <t>MICROVESICLES; MECHANISM; DELIVERY; PROLIFERATION; MIGRATION; GROWTH; SIRNA</t>
  </si>
  <si>
    <t>Exosomes are responsible for intercellular communication between tumor cells and others in the tumor microenvironment. These microvesicles promote oncogensis and can support towards metastasis by promoting a pro-tumorogenic environment. Modifying the exosomal content and exosome delivery are emerging novel cancer therapies. However, the clinical translation is limited due to feasibility of isolating and delivery of treated exosomes as well as an associated immune response in patients. In this study, we provide proof-of-concept for a novel treatment approach for manipulating exosomal content by genetic transfection of tumor cells using dual-targeted hyaluronic acid-based nanoparticles. Following transfection with plasmid DNA encoding for wild-type p53 (wt-p53) and microRNA-125b (miR-125b), we evaluate the transgene expression in the SK-LU-1 cells and in the secreted exosomes. Furthermore, along with modulation of wt-p53 and miR-125b expression, we also show that the exosomes (i.e., wt-p53/exo, miR-125b/exo and combination/exo) have a reprogramed global miRNA profile. The miRNAs in the exosomes were mainly related to the activation of genes associated with apoptosis as well as p53 signaling. More importantly, these altered miRNA levels in the exosomes could mediate macrophage repolarization towards a more pro-inflammatory/antitumor M1 phenotype. However, further studies, especially in vivo studies, are warranted to assess the direct influence of such macrophage reprogramming on cancer cells and oncogenesis post-treatment. The current study provides a novel platform enabling the development of therapeutic strategies affecting not only the cancer cells but also the tumor microenvironment by utilizing the 'bystander effect' through genetic transfer with secreted exosomes. Such modification could also support antitumor environment leading to decreased oncogenesis.</t>
  </si>
  <si>
    <t>[Trivedi, M.; Talekar, M.; Shah, P.; Ouyang, Q.; Amiji, M.] Northeastern Univ, Bouve Coll Hlth Sci, Sch Pharm, Dept Pharmaceut Sci, 140 Fenway,Room 156,360 Huntington Ave, Boston, MA 02115 USA; [Amiji, M.] King Abdulaziz Univ, Fac Pharm, Jeddah, Saudi Arabia; Northeastern Univ, Boston, MA 02115 USA; [Trivedi, M.] Nova SE Univ, Sch Pharm, Dept Pharmaceut Sci, Davie, FL USA</t>
  </si>
  <si>
    <t>Northeastern University; King Abdulaziz University; Northeastern University; Nova Southeastern University</t>
  </si>
  <si>
    <t>Amiji, M (corresponding author), Northeastern Univ, Bouve Coll Hlth Sci, Sch Pharm, Dept Pharmaceut Sci, 140 Fenway,Room 156,360 Huntington Ave, Boston, MA 02115 USA.</t>
  </si>
  <si>
    <t>m.amiji@neu.edu</t>
  </si>
  <si>
    <t>Shah, Parin/J-6018-2019; Amiji, Mansoor M/AAK-1531-2020</t>
  </si>
  <si>
    <t>Shah, Parin/0000-0003-4648-7830; Amiji, Mansoor M/0000-0001-6170-881X; Talekar, Meghna/0000-0002-6450-9055</t>
  </si>
  <si>
    <t>2157-9024</t>
  </si>
  <si>
    <t>e250</t>
  </si>
  <si>
    <t>10.1038/oncsis.2016.52</t>
  </si>
  <si>
    <t>WOS:000382022900001</t>
  </si>
  <si>
    <t>Vaidya, M; Sreerama, S; Gaviria, M; Sugaya, K</t>
  </si>
  <si>
    <t>Vaidya, Manjusha; Sreerama, Sandeep; Gaviria, Mariana; Sugaya, Kiminobu</t>
  </si>
  <si>
    <t>Exposure to a Pathological Condition May Be Required for the Cells to Secrete Exosomes Containing mtDNA Aberration</t>
  </si>
  <si>
    <t>JOURNAL OF NUCLEIC ACIDS</t>
  </si>
  <si>
    <t>MITOCHONDRIAL-DNA; MUTATIONS; DISEASE; IDENTIFICATION; DYSFUNCTION; GENOME; GENE</t>
  </si>
  <si>
    <t>Exosomes, nanovesicles secreted by all cells, carry out intercellular communication by transmitting biologically active cargo comprising DNA, RNA, and proteins. These biomolecules reflect the status of their parent cells and can be altered by pathological conditions. Therefore, the researchers have been investigating differential sequences and quantities of DNA associated with exosomes as valuable biomarkers of diseases. Exosomes carry different types of DNA molecules, including genomic, cytoplasmic, and mitochondrial (mtDNA). The mtDNA aberrations are reported to be a hallmark of diseases involving oxidative stress, such as cancer and neurodegenerative diseases. Establishing robust in vitro models comprising appropriate cell lineages is the first step towards investigating disease-specific anomalies and testing therapeutics. Induced pluripotent stem (iPS) cells from patients with diseases have been used for this purpose since they can differentiate into various cells. The current study investigated mtDNA aberrations in exosomes secreted by primary cancer cells and neural stem cells (NSCs) differentiated from iPS cells. The primary cancer cells were isolated from surgically removed glioblastoma multiforme (GBM) tissue, and the iPS cells were produced from control and Alzheimer's disease (AD) subjects' B lymphocytes. We detected aberrations in mtDNA associated with exosomes secreted from GBM cells but not from the NSCs. This result indicates that the cells may not secrete exosomes carrying mtDNA aberration without exposure to a pathological condition. Thus, we may need to consider this fact when we use iPS cell-derived cells as an in vitro disease model.</t>
  </si>
  <si>
    <t>[Vaidya, Manjusha; Sreerama, Sandeep; Gaviria, Mariana; Sugaya, Kiminobu] Univ Cent Florida, Coll Med, Burnett Sch Biomed Sci, Orlando, FL 32827 USA</t>
  </si>
  <si>
    <t>State University System of Florida; University of Central Florida</t>
  </si>
  <si>
    <t>Sugaya, K (corresponding author), Univ Cent Florida, Coll Med, Burnett Sch Biomed Sci, Orlando, FL 32827 USA.</t>
  </si>
  <si>
    <t>manjusha.vaidya@ucf.edu; sreerama@bu.edu; mgavi021@knights.ucf.edu; ksugaya@ucf.edu</t>
  </si>
  <si>
    <t>2090-0201</t>
  </si>
  <si>
    <t>2090-021X</t>
  </si>
  <si>
    <t>MAR 17</t>
  </si>
  <si>
    <t>10.1155/2022/7960198</t>
  </si>
  <si>
    <t>WOS:000791827900001</t>
  </si>
  <si>
    <t>Marguet, E; Gaudin, M; Gauliard, E; Fourquaux, I; du Plouy, SL; Matsui, I; Forterre, P</t>
  </si>
  <si>
    <t>Marguet, Evelyne; Gaudin, Marie; Gauliard, Emilie; Fourquaux, Isabelle; du Plouy, Stephane le Blond; Matsui, Ikuo; Forterre, Patrick</t>
  </si>
  <si>
    <t>Membrane vesicles, nanopods and/or nanotubes produced by hyperthermophilic archaea of the genus Thermococcus</t>
  </si>
  <si>
    <t>BIOCHEMICAL SOCIETY TRANSACTIONS</t>
  </si>
  <si>
    <t>Archaea; extracellular membrane vesicle; hyperthermophile; nanopod; nanotube; oligopeptide-binding protein A (OppA); stomatin; Thermococcus</t>
  </si>
  <si>
    <t>OUTER-MEMBRANE; DOMAIN; DNA; ULTRASTRUCTURE; IGNICOCCUS; STOMATIN; COMPLEX; CELLS</t>
  </si>
  <si>
    <t>Thermococcus species produce MVs (membrane vesicles) into their culture medium. These MVs are formed by a budding process from the cell envelope, similar to ectosome formation in eukaryotic cells. The major protein present in MVs of Thermococci is a peptide-binding receptor of the OppA (oligopeptide-binding protein A) family. In addition, some of them contain a homologue of stomatin, a universal membrane protein involved in vesiculation. MVs produced by Thermococcus species can recruit endogenous or exogenous plasmids and plasmid transfer through MVs has been demonstrated in Thermococcus kodakaraensis. MVs are frequently secreted in clusters surrounded by S-layer, producing either big protuberances (nanosphere) or tubular structures (nanotubes). Thermococcus gammatolerans and T. kodakaraensis produce nanotubes containing strings of MVs, resembling the recently described nanopods in bacteria, whereas Thermococcus sp. 5-4 produces filaments whose internal membrane is continuous. These nanotubes can bridge neighbouring cells, forming cellular networks somehow resembling nanotubes recently observed in Firmicutes. As suggested for bacteria, archaeal nanopods and/or nanotubes could be used to expand the metabolic sphere around cells and/or to promote intercellular communication.</t>
  </si>
  <si>
    <t>[Marguet, Evelyne; Gaudin, Marie; Gauliard, Emilie; Forterre, Patrick] Univ Paris 11, CNRS UMR8621, Inst Genet &amp; Microbiol, F-91405 Orsay, France; [Fourquaux, Isabelle; du Plouy, Stephane le Blond] CMEAB Fac Med Rangueil, Ctr Microscopie Elect Appl Biol, F-31062 Toulouse, France; [Matsui, Ikuo] Natl Inst Adv Ind Sci &amp; Technol, Biomed Res Inst, Tsukuba, Ibaraki, Japan; [Forterre, Patrick] Inst Pasteur, F-75015 Paris, France</t>
  </si>
  <si>
    <t>UDICE-French Research Universities; Universite Paris Saclay; National Institute of Advanced Industrial Science &amp; Technology (AIST); Le Reseau International des Instituts Pasteur (RIIP); Institut Pasteur Paris</t>
  </si>
  <si>
    <t>Marguet, E (corresponding author), Univ Paris 11, CNRS UMR8621, Inst Genet &amp; Microbiol, F-91405 Orsay, France.</t>
  </si>
  <si>
    <t>evelyne.marguet@igmors.u-psud.fr; forterre@pasteur.fr</t>
  </si>
  <si>
    <t>Emilie, Gauliard/0000-0002-9617-1634</t>
  </si>
  <si>
    <t>0300-5127</t>
  </si>
  <si>
    <t>1470-8752</t>
  </si>
  <si>
    <t>10.1042/BST20120293</t>
  </si>
  <si>
    <t>WOS:000314222900074</t>
  </si>
  <si>
    <t>Xu, HY; Nottingham, RM; Lambowitz, AM</t>
  </si>
  <si>
    <t>Xu, Hengyi; Nottingham, Ryan M.; Lambowitz, Alan M.</t>
  </si>
  <si>
    <t>TGIRT-seq Protocol for the Comprehensive Profiling of Coding and Non-coding RNA Biotypes in Cellular, Extracellular Vesicle, and Plasma RNAs</t>
  </si>
  <si>
    <t>Group II intron reverse transcriptase; Non-LTR-retroelement; Reverse transcriptase; RNA-seq; Template switching; Transcriptomics; Illumina sequencing</t>
  </si>
  <si>
    <t>REVERSE-TRANSCRIPTASE; GENERATION; EFFICIENT; BROAD</t>
  </si>
  <si>
    <t>High-throughput RNA sequencing (RNA-seq) has extraordinarily advanced our understanding of gene expression and disease etiology, and is a powerful tool for the identification of biomarkers in a wide range of organisms. However, most RNA-seq methods rely on retroviral reverse transcriptases (RTs), enzymes that have inherently low fidelity and processivity, to convert RNAs into cDNAs for sequencing. Here, we describe an RNA-seq protocol using Thermostable Group II Intron Reverse Transcriptases (TGIRTs), which have high fidelity, processivity, and strand-displacement activity, as well as a proficient template-switching activity that enables efficient and seamless RNA-seq adapter addition. By combining these activities, TGIRT-seq enables the simultaneous profiling of all RNA biotypes from small amounts of starting material, with superior RNA-seq metrics, and unprecedented ability to sequence structured RNAs. The TGIRT-seq protocol for Illumina sequencing consists of three steps: (i) addition of a 3' RNA-seq adapter, coupled to the initiation of cDNA synthesis at the 3' end of a target RNA, via template switching from a synthetic adapter RNA/DNA starter duplex; (ii) addition of a 5' RNA-seq adapter, by using thermostable 5' App DNA/RNA ligase to ligate an adapter oligonucleotide to the 3' end of the completed cDNA; (iii) minimal PCR amplification, to add capture sites and indices for Illumina sequencing. TGIRT-seq for the Illumina sequencing platform has been used for comprehensive profiling of coding and non-coding RNAs in ribodepleted, chemically fragmented cellular RNAs, and for the analysis of intact (non-chemically fragmented) cellular, extracellular vesicle (EV), and plasma RNAs, where it yields continuous full-length end-to-end sequences of structured small non-coding RNAs (sncRNAs), including tRNAs, snoRNAs, snRNAs, pre-miRNAs, and full-length excised linear intron (FLEXI) RNAs. [GRAPHICS] .</t>
  </si>
  <si>
    <t>[Xu, Hengyi; Nottingham, Ryan M.; Lambowitz, Alan M.] Univ Texas Austin, Dept Mol Biosci &amp; Oncol, Austin, TX 78712 USA</t>
  </si>
  <si>
    <t>University of Texas System; University of Texas Austin</t>
  </si>
  <si>
    <t>Lambowitz, AM (corresponding author), Univ Texas Austin, Dept Mol Biosci &amp; Oncol, Austin, TX 78712 USA.</t>
  </si>
  <si>
    <t>lambowitz@austin.utexas.edu</t>
  </si>
  <si>
    <t>e4239</t>
  </si>
  <si>
    <t>10.21769/BioProtoc.4239</t>
  </si>
  <si>
    <t>WOS:000729206600013</t>
  </si>
  <si>
    <t>Keup, C; Mach, P; Aktas, B; Tewes, M; Kolberg, HC; Hauch, S; Sprenger-Haussels, M; Kimmig, R; Kasimir-Bauer, S</t>
  </si>
  <si>
    <t>Keup, Corinna; Mach, Pawel; Aktas, Bahriye; Tewes, Mitra; Kolberg, Hans-Christian; Hauch, Siegfried; Sprenger-Haussels, Markus; Kimmig, Rainer; Kasimir-Bauer, Sabine</t>
  </si>
  <si>
    <t>RNA Profiles of Circulating Tumor Cells and Extracellular Vesicles for Therapy Stratification of Metastatic Breast Cancer Patients</t>
  </si>
  <si>
    <t>CLINICAL CHEMISTRY</t>
  </si>
  <si>
    <t>PREDICTIVE-VALUE; PROSTATE-CANCER; DNA; BIOMARKERS; RECEPTOR</t>
  </si>
  <si>
    <t>BACKGROUND: Liquid biopsies are discussed to provide surrogate markers for therapy stratification and monitoring. We compared messenger RNA (mRNA) profiles of circulating tumor cells (CTCs) and extracellular vesicles (EVs) in patients with metastatic breast cancer (MBC) to estimate their utility in therapy management. METHODS: Blood was collected from 35 hormone receptor-positive/HER2-negative patients with MBC at the time of disease progression and at 2 consecutive staging time points. CTCs were isolated from 5 mL of blood by positive immunomagnetic selection, and EVs from 4 mL of plasma by a membrane affinity-based procedure. mRNA was reverse transcribed, preamplified, and analyzed for 18 genes by multimarker quantitative polymerase chain reaction (qPCR) assays. RNA profiles were normalized to healthy donor controls (n = 20), and results were correlated with therapy outcome. RESULTS: There were great differences in mRNA profiles of EVs and CTCs, with only 5% (21/403) of positive signals identical in both fractions. Transcripts involved in the PI3K signaling pathway were frequently overexpressed in CTCs, and AURKA, PARP1, and SRC signals appeared more often in EVs. Of all patients, 40% and 34% showed ERBB2 and ERBB3 signals, respectively, in CTCs, which was significantly associated with disease progression (P = 0.007). Whereas MTOR signals in CTCs significantly correlated with response (P = 0.046), signals in EVs indicated therapy failure (P = 0.011). The presence of AURKA signals in EVs seemed to be a marker for the indication of unsuccessful treatment of bone metastasis. CONCLUSIONS: These results emphasize the potential of CTCs and EVs for therapy monitoring and the need for critical evaluation of the implementation of any liquid biopsy in clinical practice. (C) 2018 American Association for Clinical Chemistry</t>
  </si>
  <si>
    <t>[Keup, Corinna; Mach, Pawel; Aktas, Bahriye; Kimmig, Rainer; Kasimir-Bauer, Sabine] Univ Hosp Essen, Dept Gynecol &amp; Obstet, Hufelandstr 55, D-45122 Essen, Germany; [Aktas, Bahriye] Univ Hosp Leipzig, Dept Gynecol, Leipzig, Germany; [Tewes, Mitra] Univ Hosp Essen, Dept Internal Med Canc Res, Essen, Germany; [Kolberg, Hans-Christian] Marienhosp Bottrop, Clin Gynecol &amp; Obstet, Bottrop, Germany; [Hauch, Siegfried; Sprenger-Haussels, Markus] QIAGEN GmbH, Hilden, Germany</t>
  </si>
  <si>
    <t>University of Duisburg Essen; Leipzig University; University of Duisburg Essen; St. Marien Hospital; QIAGEN GmbH</t>
  </si>
  <si>
    <t>Keup, C (corresponding author), Univ Hosp Essen, Dept Gynecol &amp; Obstet, Hufelandstr 55, D-45122 Essen, Germany.</t>
  </si>
  <si>
    <t>Corinna.Keup@uk-essen.de</t>
  </si>
  <si>
    <t>Aktas, Bahriye/AAW-1201-2021; Keup, Corinna/ACL-1875-2022; Tewes, Mitra/AAX-9434-2020</t>
  </si>
  <si>
    <t>Aktas, Bahriye/0000-0002-5474-051X; Keup, Corinna/0000-0003-3525-7511; Tewes, Mitra/0000-0001-8868-8329</t>
  </si>
  <si>
    <t>0009-9147</t>
  </si>
  <si>
    <t>1530-8561</t>
  </si>
  <si>
    <t>10.1373/clinchem.2017.283531</t>
  </si>
  <si>
    <t>WOS:000448294200010</t>
  </si>
  <si>
    <t>Kuehnemann, C; Hu, KQ; Butera, K; Patel, SK; Bons, J; Schilling, B; Aguayo-Mazzucato, C; Wiley, CD</t>
  </si>
  <si>
    <t>Kuehnemann, Chisaka; Hu, Kang-Quan; Butera, Kayla; Patel, Sandip K.; Bons, Joanna; Schilling, Birgit; Aguayo-Mazzucato, Cristina; Wiley, Christopher D.</t>
  </si>
  <si>
    <t>Extracellular Nicotinamide Phosphoribosyltransferase Is a Component of the Senescence-Associated Secretory Phenotype</t>
  </si>
  <si>
    <t>senescence; cellular senescence; NAMPT; eNAMPT; SASP; NAD; aging; diabetes</t>
  </si>
  <si>
    <t>MITOCHONDRIAL DYSFUNCTION; ADIPOSE-TISSUE; NAD(+); NAMPT; CELLS; MECHANISM; RADIATION; ENAMPT; STATE</t>
  </si>
  <si>
    <t>Cellular senescence is a stress or damage response by which a cell adopts of state of essentially permanent proliferative arrest, coupled to the secretion of a number of biologically active molecules. This senescence-associated secretory phenotype (SASP) underlies many of the degenerative and regenerative aspects of cellular senescence - including promoting wound healing and development, but also driving diabetes and multiple age-associated diseases. We find that nicotinamide phosphoribosyltransferase (NAMPT), which catalyzes the rate-limiting step in nicotinamide adenine dinucleotide (NAD) biosynthesis, is elevated in senescent cells without a commensurate increase in NAD levels. This elevation is distinct from the acute DNA damage response, in which NAD is depleted, and recovery of NAD by NAMPT elevation is AMPK-activated protein kinase (AMPK)-dependent. Instead, we find that senescent cells release extracellular NAMPT (eNAMPT) as part of the SASP. eNAMPT has been reported to be released as a catalytically active extracellular vesicle-contained dimer that promotes NAD increases in other cells and extends lifespan, and also as free monomer that acts as a damage-associated molecular pattern and promotes conditions such as diabetes and fibrosis. Senescent cells released eNAMPT as dimer, but surprisingly eNAMPT appeared in the soluble secretome while being depleted from exosomes. Finally, diabetic mice showed elevated levels of eNAMPT, and this was lowered by treatment with the senolytic drug, ABT-263. Together, these data reveal a new SASP factor with implications for NAD metabolism.</t>
  </si>
  <si>
    <t>[Kuehnemann, Chisaka; Hu, Kang-Quan; Butera, Kayla; Wiley, Christopher D.] Tufts Univ, Jean Mayer USDA Human Nutr Res Ctr Aging, Boston, MA 0211 USA; [Kuehnemann, Chisaka; Patel, Sandip K.; Bons, Joanna; Schilling, Birgit] Buck Inst Res Aging, Novato, CA USA; [Aguayo-Mazzucato, Cristina] Harvard Med Sch, Joslin Diabet Ctr, Boston, MA USA</t>
  </si>
  <si>
    <t>Tufts University; United States Department of Agriculture (USDA); Buck Institute for Research on Aging; Harvard University; Harvard Medical School; Joslin Diabetes Center, Inc.</t>
  </si>
  <si>
    <t>Wiley, CD (corresponding author), Tufts Univ, Jean Mayer USDA Human Nutr Res Ctr Aging, Boston, MA 0211 USA.</t>
  </si>
  <si>
    <t>Christopher.Wiley@tufts.edu</t>
  </si>
  <si>
    <t>JUL 14</t>
  </si>
  <si>
    <t>10.3389/fendo.2022.935106</t>
  </si>
  <si>
    <t>WOS:000833825300001</t>
  </si>
  <si>
    <t>Guidi, R; Levi, L; Rouf, SF; Puiac, S; Rhen, M; Frisan, T</t>
  </si>
  <si>
    <t>Guidi, Riccardo; Levi, Laura; Rouf, Syed Fazle; Puiac, Speranta; Rhen, Mikael; Frisan, Teresa</t>
  </si>
  <si>
    <t>Salmonella enterica delivers its genotoxin through outer membrane vesicles secreted from infected cells</t>
  </si>
  <si>
    <t>CELLULAR MICROBIOLOGY</t>
  </si>
  <si>
    <t>CYTOLETHAL DISTENDING TOXIN; POLYNUCLEOTIDE PHOSPHORYLASE; CELLULAR INTERNALIZATION; GENE-EXPRESSION; VIRULENCE; CDTB; LIPOPOLYSACCHARIDE; LOCALIZATION; EXOTOXIN; VACUOLE</t>
  </si>
  <si>
    <t>Cytolethal-distending toxins (CDTs) belong to a family of DNA damage inducing exotoxins that are produced by several Gram-negative bacteria. Salmonella enterica serovar Typhi expresses its CDT (named as Typhoid toxin) only in the Salmonella-containing vacuole (SCV) of infected cells, which requires its export for cell intoxication. The mechanisms of secretion, release in the extracellular space and uptake by bystander cells are poorly understood. We have addressed these issues using a recombinant S.Typhimurium strain, MC71-CDT, where the genes encoding for the PltA, PltB and CdtB subunits of the Typhoid toxin are expressed under control of the endogenous promoters. MC71-CDT grown under conditions that mimic the SCV secreted the holotoxin in outer membrane vesicles (OMVs). Epithelial cells infected with MC71-CDT also secreted OMVs-like vesicles. The release of these extracellular vesicles required an intact SCV and relied on anterograde transport towards the cellular cortex on microtubule and actin tracks. Paracrine internalization of Typhoid toxin-loaded OMVs by bystander cells was dependent on dynamin-1, indicating active endocytosis. The subsequent induction of DNA damage required retrograde transport of the toxin through the Golgi complex. These data provide new insights on the mode of secretion of exotoxins by cells infected with intracellular bacteria.</t>
  </si>
  <si>
    <t>[Guidi, Riccardo; Levi, Laura; Frisan, Teresa] Karolinska Inst, Dept Cell &amp; Mol Biol, Stockholm, Sweden; [Rouf, Syed Fazle; Puiac, Speranta; Rhen, Mikael] Karolinska Inst, Dept Microbiol Tumor &amp; Cell Biol, Stockholm, Sweden</t>
  </si>
  <si>
    <t>Karolinska Institutet; Karolinska Institutet</t>
  </si>
  <si>
    <t>Frisan, T (corresponding author), Karolinska Inst, Dept Cell &amp; Mol Biol, Stockholm, Sweden.</t>
  </si>
  <si>
    <t>Teresa.Frisan@ki.se</t>
  </si>
  <si>
    <t>Frisan, Teresa/H-8444-2019</t>
  </si>
  <si>
    <t>Frisan, Teresa/0000-0002-1209-0942; Guidi, Riccardo/0000-0002-1033-0252; Rouf, Syed Fazle/0000-0003-3776-5018</t>
  </si>
  <si>
    <t>1462-5814</t>
  </si>
  <si>
    <t>1462-5822</t>
  </si>
  <si>
    <t>10.1111/cmi.12172</t>
  </si>
  <si>
    <t>Cell Biology; Microbiology</t>
  </si>
  <si>
    <t>WOS:000326934000008</t>
  </si>
  <si>
    <t>Schiller, M; Heyder, P; Ziegler, S; Niessen, A; Classen, L; Lauffer, A; Lorenz, HM</t>
  </si>
  <si>
    <t>Schiller, Martin; Heyder, Petra; Ziegler, Saskia; Niessen, Anna; Classen, Laura; Lauffer, Anna; Lorenz, Hanns-Martin</t>
  </si>
  <si>
    <t>During apoptosis HMGB1 is translocated into apoptotic cell-derived membraneous vesicles</t>
  </si>
  <si>
    <t>AUTOIMMUNITY</t>
  </si>
  <si>
    <t>DENDRITIC CELLS; MICROPARTICLES; DISEASE; PROTEIN; BLEBS; PHOSPHORYLATION; PATHOGENESIS; INFLAMMATION; LYMPHOCYTES; INDUCTION</t>
  </si>
  <si>
    <t>High mobility group box protein B1 (HMGB1), a nuclear protein reportedly involved in the structural organisation of DNA, is released from necrotic cells or upon cellular activation. After its release into the extracellular space, HMGB1 serves as a mediator of inflammation. In contrast to necrotic cells, apoptotic ones usually do not release HMGB1. Formation and release of membraneous vesicles is a well-known feature of apoptotic cell death. Only recently, subcellular membrane vesicles, such as those released during apoptotic cell death have been identified as immune regulators and as mediators of cell to cell communication. We and others have previously detected nuclear antigens within apoptosis-released membranous vesicles and HMGB1 together with nuclear antigens has been discussed to be a key player in etiology and pathogenesis of autoimmune diseases. On this background, we analysed whether HMGB1 is included in the membraneous vesicles generated by apoptosing cells. Employing immune blots we observed abundand amounts of HMGB1 in the fraction of the small membraneous particles isolated from cell culture supernatants and conclude that HMGB1 is translocated into vesicles generated during apoptosis.</t>
  </si>
  <si>
    <t>[Schiller, Martin; Heyder, Petra; Niessen, Anna; Classen, Laura; Lauffer, Anna; Lorenz, Hanns-Martin] Univ Heidelberg Hosp, Div Rheumatol, Dept Internal Med 5, Heidelberg, Germany; [Ziegler, Saskia] Univ Heidelberg Hosp, Dept Infect Dis Med Microbiol &amp; Hyg, Heidelberg, Germany</t>
  </si>
  <si>
    <t>Ruprecht Karls University Heidelberg; Ruprecht Karls University Heidelberg</t>
  </si>
  <si>
    <t>Schiller, M (corresponding author), Heidelberg Univ, Div Rheumatol, Dept Internal Med 5, Neuenheimer Feld 410, D-69120 Heidelberg, Germany.</t>
  </si>
  <si>
    <t>martin.schiller@med.uni-heidelberg.de</t>
  </si>
  <si>
    <t>Niessen, Anna/AAE-4865-2022</t>
  </si>
  <si>
    <t>Niessen, Anna/0000-0002-1255-6095</t>
  </si>
  <si>
    <t>0891-6934</t>
  </si>
  <si>
    <t>10.3109/08916934.2012.750302</t>
  </si>
  <si>
    <t>WOS:000321762600011</t>
  </si>
  <si>
    <t>Wang, LY; Cheng, W; Zhu, JJ; Li, WY; Li, DY; Yang, X; Zhao, WX; Ren, MJ; Ren, JJ; Mo, XM; Fu, Q; Zhang, KL</t>
  </si>
  <si>
    <t>Wang, Liyang; Cheng, Wei; Zhu, Jingjing; Li, Wenyao; Li, Danyang; Yang, Xi; Zhao, Weixin; Ren, Mingjun; Ren, Jieji; Mo, Xiumei; Fu, Qiang; Zhang, Kaile</t>
  </si>
  <si>
    <t>Electrospun nanoyarn and exosomes of adipose-derived stem cells for urethral regeneration: Evaluations in vitro and in vivo</t>
  </si>
  <si>
    <t>COLLOIDS AND SURFACES B-BIOINTERFACES</t>
  </si>
  <si>
    <t>Electrospinning; Nanoyarn; Adipose-derived stem cells; Exosomes</t>
  </si>
  <si>
    <t>SCAFFOLD; DIFFERENTIATION; HYDROGEL; SYSTEM; REPAIR</t>
  </si>
  <si>
    <t>Regeneration of urethral defects has been difficult in the clinic. To address it, the collagen/ poly (L-lactide-co-caprolactone) (P(LLA-CL)) nanoyarn scaffold delivering adipose-derived stem cells' exosomes (ADSC-exos) was fabricated. The multipotential differentiation potential of ADSCs were confirmed by Adipogenic, osteogenic, and chondrogenic differentiation. The 3-(4,5-dimethylthiazol-2-yl)-2,5-diphenyltetrazolium bromide assay shows that 50% concentration of ADSC-exos nanoyarn scaffold dramatically enhanced the cell viability of fibroblasts. The ADSC-exos nanoyarn scaffold for human foreskin fibroblasts (HFFs) and human urethral scar fibroblasts (HSFs) shows good biocompatibility: theproduction of inflammatory factors IL-6 and Col 1A1 was less, indicating that ADSC-exos had the minimal inflammatory effect of cells. Besides, the cells on the ADSC-exos nanoyarn scaffold did not appear to contribute to DNA damage in the same way as the normal cell's growth did. The HFFs seeding on the ADSC-exos nanoyarn scaffold shows a typical morphology of extending outwards. Urethral repair with ADSC-exos nanoyarn scaffold did not lead to either a sign of urethral stricture or scar formation after 4 weeks post-surgery. The deposition of collagen was less and the epithelial cells formed multiple layer epithelium. The treatment of ADSC-exos stimulated epithelization and vascularization. And the transition from an inflam-matory state to a regenerative state was promoted. The ADSC-exos-treated group did not promote the over-proliferation of fibroblasts and the expression of Collagen I. Therefore, the ADSC-exos nanoyarn scaffold has evident, positive effects on wound healing and tissue fibrosis inhibition.</t>
  </si>
  <si>
    <t>[Wang, Liyang; Li, Wenyao; Li, Danyang] Shanghai Univ Engn Sci, Sch Mat Engn, Shanghai 201620, Peoples R China; [Fu, Qiang; Zhang, Kaile] Shanghai Jiao Tong Univ, Affiliated Peoples Hosp 6, Dept Urol, Shanghai 200233, Peoples R China; [Cheng, Wei] Shanghai Jiao Tong Univ, Sch Publ Hlth, Sch Med, Shanghai 200025, Peoples R China; [Zhu, Jingjing; Mo, Xiumei] Donghua Univ, Coll Chem &amp; Chem Engn &amp; Biotechnol, State Key Lab Modificat Chem Fibers &amp; Polymer Mat, Shanghai 201620, Peoples R China; [Fu, Qiang; Zhang, Kaile] Shanghai Eastern Inst Urol Reconstruct, Shanghai 200233, Peoples R China; [Yang, Xi] Novaprint Therapeut Suzhou Co Ltd, Suzhou 215000, Peoples R China; [Zhao, Weixin] Wake Forest Inst Regenerat Med, Winston Salem, NC USA; [Ren, Mingjun; Ren, Jieji] Shanghai Jiao Tong Univ, State Key Lab Mech Syst &amp; Vibrat, Sch Mech Engn, Shanghai 200233, Peoples R China</t>
  </si>
  <si>
    <t>Shanghai University of Engineering Science; Shanghai Jiao Tong University; Shanghai Jiao Tong University; Donghua University; Wake Forest University; Shanghai Jiao Tong University</t>
  </si>
  <si>
    <t>Li, WY (corresponding author), Shanghai Univ Engn Sci, Sch Mat Engn, Shanghai 201620, Peoples R China.;Zhang, KL (corresponding author), Shanghai Jiao Tong Univ, Affiliated Peoples Hosp 6, Dept Urol, Shanghai 200233, Peoples R China.</t>
  </si>
  <si>
    <t>liwenyao@sues.edu.cn; jamesqfu@aliyun.com; great_z0313@126.com</t>
  </si>
  <si>
    <t>Mo, Xiumei/C-9340-2013</t>
  </si>
  <si>
    <t>0927-7765</t>
  </si>
  <si>
    <t>1873-4367</t>
  </si>
  <si>
    <t>10.1016/j.colsurfb.2021.112218</t>
  </si>
  <si>
    <t>Biophysics; Chemistry, Physical; Materials Science, Biomaterials</t>
  </si>
  <si>
    <t>Biophysics; Chemistry; Materials Science</t>
  </si>
  <si>
    <t>WOS:000720947900001</t>
  </si>
  <si>
    <t>Schwartz, RE; Shokhirev, MN; Andrade, LR; Gutkind, JS; Iglesias-Bartolome, R; Shadel, GS</t>
  </si>
  <si>
    <t>Schwartz, Rachael E.; Shokhirev, Maxim N.; Andrade, Leonardo R.; Gutkind, J. Silvio; Iglesias-Bartolome, Ramiro; Shadel, Gerald S.</t>
  </si>
  <si>
    <t>Insights into epithelial cell senescence from transcriptome and secretome analysis of human oral keratinocytes</t>
  </si>
  <si>
    <t>cellular senescence; inflammation; extracellular vesicles; keratinocytes; carcinoma</t>
  </si>
  <si>
    <t>DNA; DIFFERENTIATION; INFLAMMATION; REGULATOR; GENES; P21</t>
  </si>
  <si>
    <t>Senescent cells produce chronic inflammation that contributes to the diseases and debilities of aging. How this process is orchestrated in epithelial cells, the origin of human carcinomas, is poorly understood. We used human normal oral keratinocytes (NOKs) to elucidate senescence programs in a prototype primary mucosal epithelial cell that senesces spontaneously. While NOKs exhibit several typical facets of senescence, they also display distinct characteristics. These include expression of p21WAF1/CIP1 at early passages, making this common marker of senescence unreliable in NOKs. Transcriptome analysis by RNA-seq revealed specific commonalities with and differences from cancer cells, explicating the tumor avoidance role of senescence. Repression of DNA repair genes that correlated with downregulation of E2F1 mRNA and protein was observed for two donors; a divergent result was seen for the third. Using proteomic profiling of soluble (non-vesicular) and extracellular vesicle (EV) associated secretions, we propose additions to the senescence associated secretory phenotype, including HSP60, which localizes to the surface of EVs. Finally, EVs from senescent NOKs activate interferon pathway signaling in THP-1 monocytes in a STING-dependent manner and associate with mitochondrial and nuclear DNA. Our results highlight senescence changes in epithelial cells and how they might contribute to chronic inflammation and age-related diseases.</t>
  </si>
  <si>
    <t>[Schwartz, Rachael E.; Shadel, Gerald S.] Salk Inst Biol Studies, Mol &amp; Cell Biol Lab, La Jolla, CA 92037 USA; [Schwartz, Rachael E.; Shadel, Gerald S.] Univ Calif San Diego, La Jolla, CA 92037 USA; [Shokhirev, Maxim N.] Salk Inst Biol Studies, Razavi Newman Integrat Genom &amp; Bioinformat Core, La Jolla, CA 92037 USA; [Andrade, Leonardo R.] Salk Inst Biol Studies, Waitt Adv Biophoton Core, La Jolla, CA 92037 USA; [Gutkind, J. Silvio] Univ Calif San Diego, Dept Pharmacol, La Jolla, CA 92093 USA; [Gutkind, J. Silvio] Univ Calif San Diego, Moores Canc Ctr, La Jolla, CA 92093 USA; [Iglesias-Bartolome, Ramiro] NCI, Ctr Canc Res, NIH, Bethesda, MD 20892 USA</t>
  </si>
  <si>
    <t>Salk Institute; University of California System; University of California San Diego; Salk Institute; Salk Institute; University of California System; University of California San Diego; University of California System; University of California San Diego; National Institutes of Health (NIH) - USA; NIH National Cancer Institute (NCI)</t>
  </si>
  <si>
    <t>Schwartz, RE (corresponding author), Salk Inst Biol Studies, Mol &amp; Cell Biol Lab, La Jolla, CA 92037 USA.;Schwartz, RE (corresponding author), Univ Calif San Diego, La Jolla, CA 92037 USA.</t>
  </si>
  <si>
    <t>rschwartz@salk.edu</t>
  </si>
  <si>
    <t>Gutkind, J. Silvio/J-1201-2016</t>
  </si>
  <si>
    <t>Gutkind, J. Silvio/0000-0002-5150-4482</t>
  </si>
  <si>
    <t>WOS:000624688500002</t>
  </si>
  <si>
    <t>Zhang, YZ; Wei, YY; Liu, P; Zhang, X; Xu, ZR; Tan, XD; Chen, ML; Wang, JH</t>
  </si>
  <si>
    <t>Zhang, Yingzhi; Wei, Yunyun; Liu, Peng; Zhang, Xuan; Xu, Zhangrun; Tan, Xiaodong; Chen, Mingli; Wang, Jianhua</t>
  </si>
  <si>
    <t>ICP-MS and Photothermal Dual-Readout Assay for Ultrasensitive and Point-of-Care Detection of Pancreatic Cancer Exosomes</t>
  </si>
  <si>
    <t>AMPLIFICATION STRATEGY; CIRCULATING EXOSOMES; QUANTIFICATION; NANORODS; ABSOLUTE; DNA</t>
  </si>
  <si>
    <t>Pancreatic cancer is known to have a high mortality rate, and its early diagnosis remains challenging due to the occult location of the pancreas. Exosomes derived from pancreatic cancer cells specifically express glypican-1, which may provide a liquid biopsy opportunity for the early diagnosis of pancreatic cancer. Herein, an inductively coupled plasma mass spectrometry (ICP-MS) and photothermal dual-readout platform was proposed for the ultrasensitive and point-of-care analysis of pancreatic cancer exosomes. In our design, exosomes were specifically captured by the sandwich immunoassay, and simultaneously, alkaline phosphatase was introduced in a low-background manner. The alkaline phosphatase triggered the hydrolysis of L-ascorbic acid 2-phosphate to produce ascorbic acid, followed by the etching of Fe3O4@MnO2 nanoflowers. As a result, the Mn2+ generated by etching stripped off the Fe3O4 and was quantified using ICP-MS. Meanwhile, the reduced Fe3O4@MnO2 was applied for the photothermal assay by oxidizing dopamine with MnO2. The protocol exhibits a detection limit down to 19.1 particles mL(-1), which is the most sensitive protocol reported so far. To our knowledge, this is the first endeavor for exosome quantification using ICP-MS and photothermal methods. The developed dual-readout platform not only is capable of distinguishing pancreatic cancer patients from healthy people, but also shows excellent discernibility of individual differences at low concentrations of exosomes. This dual-readout assay is a promising platform for the ultrasensitive and point-of-care detection of exosomes in liquid biopsy-based early cancer diagnosis.</t>
  </si>
  <si>
    <t>[Zhang, Yingzhi; Wei, Yunyun; Zhang, Xuan; Xu, Zhangrun; Chen, Mingli; Wang, Jianhua] Northeastern Univ, Res Ctr Analyt Sci, Shenyang 110819, Peoples R China; [Liu, Peng; Tan, Xiaodong] China Med Univ, Dept Gen Surg 1, Shengjing Hosp, Shenyang 110004, Peoples R China</t>
  </si>
  <si>
    <t>Northeastern University - China; China Medical University</t>
  </si>
  <si>
    <t>CHEN, MINGLI/A-3025-2013</t>
  </si>
  <si>
    <t>CHEN, MINGLI/0000-0001-8536-8864; Liu, Peng/0000-0001-8193-8997; Zhang, Xuan/0000-0001-9175-0082</t>
  </si>
  <si>
    <t>AUG 24</t>
  </si>
  <si>
    <t>10.1021/acs.analchem.1c02004</t>
  </si>
  <si>
    <t>WOS:000691297400023</t>
  </si>
  <si>
    <t>Pace, KR; Dutt, R; Galileo, DS</t>
  </si>
  <si>
    <t>Pace, Karma R.; Dutt, Reetika; Galileo, Deni S.</t>
  </si>
  <si>
    <t>Exosomal L1CAM Stimulates Glioblastoma Cell Motility, Proliferation, and Invasiveness</t>
  </si>
  <si>
    <t>exosomes; glioblastoma; L1CAM; fibroblast growth factor receptor; focal adhesion kinase; cell motility; cell invasion</t>
  </si>
  <si>
    <t>FOCAL ADHESION KINASE; GROWTH; GLIOMA; ACTIVATION; INHIBITOR; PROTEINS; SURVIVAL; FGFR; TIME; L1</t>
  </si>
  <si>
    <t>Immunoglobulin superfamily protein L1CAM (L1, CD171) normally facilitates neuronal migration, differentiation, and axon guidance during development. Many types of cancers, including glioblastoma (GBM), also abnormally express L1, and this has been associated with poor prognosis due to increased cell proliferation, invasiveness, or metastasis. We showed previously that the soluble L1 ectodomain, which is proteolyzed from the transmembrane form, can stimulate proliferation and motility of GBM cells in vitro by acting through integrins and fibroblast growth factor receptors (FGFRs). Minute L1-decorated exosomal vesicles also are released by GBM cells and potentially could stimulate cell motility, proliferation, and invasiveness, but this needed to be demonstrated. In the present study, we aimed to determine if minute L1-decorated extracellular vesicles (exosomes) were capable of stimulating GBM cell motility, proliferation, and invasiveness. L1-decorated exosomes were isolated from the conditioned media of the human T98G GBM cell line and were evaluated for their effects on the behavior of glioma cell lines and primary tumor cells. L1-decorated exosomes significantly increased cell velocity in the three human glioma cells tested (T98G/shL1, U-118 MG, and primary GBM cells) in a highly quantitative SuperScratch assay compared to L1-reduced exosomes from L1-attenuated T98G/shL1 cells. They also caused a marked increase in cell proliferation as determined by DNA cell cycle analysis and cell counting. In addition, L1-decorated exosomes facilitated initial GBM cell invasion when mixed with non-invasive T98G/shL1 cells in our chick embryo brain tumor model, whereas mixing with L1-reduced exosomes did not. Chemical inhibitors against focal adhesion kinase (FAK) and fibroblast growth factor receptor (FGFR) decreased L1-mediated motility and proliferation to varying degrees. These novel data show that L1-decoratred exosomes stimulate motility, proliferation and invasion to influence GBM cell behavior, which adds to the complexity of how L1 stimulates cancer cells through not only soluble ectodomain but also through exosomes.</t>
  </si>
  <si>
    <t>[Pace, Karma R.; Dutt, Reetika; Galileo, Deni S.] Univ Delaware, Dept Biol Sci, Newark, DE 19716 USA; [Pace, Karma R.] Delaware State Univ, Dept Biol Sci, Dover, DE 19901 USA; [Dutt, Reetika] Univ Delaware, Dept Chem &amp; Biochem, Newark, DE 19716 USA</t>
  </si>
  <si>
    <t>University of Delaware; Delaware State University; University of Delaware</t>
  </si>
  <si>
    <t>Galileo, DS (corresponding author), Univ Delaware, Dept Biol Sci, Newark, DE 19716 USA.</t>
  </si>
  <si>
    <t>dgalileo@udel.edu</t>
  </si>
  <si>
    <t>1661-6596</t>
  </si>
  <si>
    <t>AUG 2</t>
  </si>
  <si>
    <t>10.3390/ijms20163982</t>
  </si>
  <si>
    <t>WOS:000484411100139</t>
  </si>
  <si>
    <t>Gao, XY; Teng, XC; Dai, YC; Li, JH</t>
  </si>
  <si>
    <t>Gao, Xiaoyi; Teng, Xucong; Dai, Yicong; Li, Jinghong</t>
  </si>
  <si>
    <t>Rolling Circle Amplification-Assisted Flow Cytometry Approach for Simultaneous Profiling of Exosomal Surface Proteins</t>
  </si>
  <si>
    <t>exosomes; rolling circle amplification (RCA); flow cytometry analysis; surface proteins; heterogeneity; cancer diagnosis</t>
  </si>
  <si>
    <t>EXTRACELLULAR VESICLES; LIQUID BIOPSIES; CANCER-PATIENTS; MASS CYTOMETRY; MICROVESICLES</t>
  </si>
  <si>
    <t>Exosomes that carry multiple proteins from the originating cells are known as emerging biomarkers for tumor diagnostics. However, it is still technically challenging to accurately evaluate subtle differences of exosomal membrane proteins. Here, we developed a rolling circle amplification (RCA)-assisted flow cytometry approach (FCA) to simultaneously profile surface proteins and quantify exosomes. In this work, specific anti-CD63 antibody-conjugated magnetic beads were first utilized to capture exosomes. Then, the captured exosomes were bound with DNA primers, which comprise exosomal surface protein-specific recognition aptamers. The RCA reaction generates repeat DNA sequences for fluorescent probe hybridization. Finally, a conventional flow cytometer was introduced to phenotype exosomal protein markers. Such a sensitive RCA-assisted FCA displays an excellent detection limit of 1.3 x 10(5) exosome/mL. The variable composition of four protein markers on different cell-derived exosomes was sensitively detected through changing the protein-recognition sequence of the DNA primer, which reveals a heterogeneous pattern. Exosomes from different cell sources could be distinguished by the abundance difference of multiple surface proteins. Furthermore, the developed RCA-assisted FCA enabled quantitative analysis of blood samples from lung cancer patients, indicating its potential for early clinical diagnosis and prognosis of cancer.</t>
  </si>
  <si>
    <t>[Gao, Xiaoyi; Teng, Xucong; Dai, Yicong; Li, Jinghong] Tsinghua Univ, Ctr BioAnalyt Chem, Dept Chem, Key Lab Bioorgan Phosphorus Chem &amp; Chem Biol, Beijing 100084, Peoples R China</t>
  </si>
  <si>
    <t>Li, JH (corresponding author), Tsinghua Univ, Ctr BioAnalyt Chem, Dept Chem, Key Lab Bioorgan Phosphorus Chem &amp; Chem Biol, Beijing 100084, Peoples R China.</t>
  </si>
  <si>
    <t>jhli@mail.tsinghua.edu.cn</t>
  </si>
  <si>
    <t>Yicong, Dai/0000-0001-6503-965X</t>
  </si>
  <si>
    <t>OCT 22</t>
  </si>
  <si>
    <t>10.1021/acssensors.1c01163</t>
  </si>
  <si>
    <t>WOS:000711034500012</t>
  </si>
  <si>
    <t>Yamabe, K; Arakawa, Y; Shoji, M; Miyamoto, K; Tsuchiya, T; Minoura, K; Akeda, Y; Tomono, K; Onda, M</t>
  </si>
  <si>
    <t>Yamabe, Kaoru; Arakawa, Yukio; Shoji, Masaki; Miyamoto, Katsushiro; Tsuchiya, Takahiro; Minoura, Katsuhiko; Akeda, Yukihiro; Tomono, Kazunori; Onda, Mitsuko</t>
  </si>
  <si>
    <t>Enhancement of Acinetobacter baumannii biofilm growth by cephem antibiotics via enrichment of protein and extracellular DNA in the biofilm matrices</t>
  </si>
  <si>
    <t>JOURNAL OF APPLIED MICROBIOLOGY</t>
  </si>
  <si>
    <t>Acinetobacter baumannii; azithromycin; biofilm; carbapenem antibiotics; cephem antibiotics; outer membrane protein A; outer membrane vesicles</t>
  </si>
  <si>
    <t>INFECTIONS; RESISTANCE; PATHOGENESIS; MECHANISMS; HERELLEA; OUTCOMES; IMPACT</t>
  </si>
  <si>
    <t>Aims The aims were to determine the effects of subinhibitory concentrations of eight cephem and carbapenem antibiotics on the biofilm formation of Acinetobacter baumannii cells and examine their effects on pre-established biofilms. Methods and Results Effects of antibiotics on biofilm formation were assayed using microtitre plates with polystyrene peg-lids. Cefmetazole, ceftriaxone, ceftazidime and cefpirome increased the biomass of pre-established biofilms on pegs in the range of their sub-minimum inhibitory concentrations (MICs), whereas none increased biofilm formation by planktonic cells. Carbapenems had a negative effect. The constituents of antibiotic-induced biofilms were analysed. Ceftriaxone or ceftazidime treatment markedly increased the matrix constituent amounts in the biofilms (carbohydrate, 2.7-fold; protein, 8.9-12.7-fold; lipid, 3.3-3.6-fold; DNA, 9.1-12.2-fold; outer membrane vesicles, 2.7-3.8-fold and viable cells, 6.8-10.1-fold). The antibiotic-enhanced biofilms had increased outer membrane protein A and were resistant to the anti-biofilm effect of azithromycin. Conclusions Some cephems increased the biomass of pre-established biofilms in the ranges of their sub-MICs. The antibiotic-enhanced biofilms possessed more virulent characteristics than normal biofilms. Significance and Impact of the Study Incomplete administration of certain cephems following biofilm-related Ac. baumannii infections could adversely cause exacerbated and chronic clinical results.</t>
  </si>
  <si>
    <t>[Yamabe, Kaoru; Arakawa, Yukio; Shoji, Masaki; Onda, Mitsuko] Osaka Med &amp; Pharmaceut Univ, Dept Social &amp; Adm Pharm, 4-20-1 Nasahara, Takatsuki, Osaka 5691094, Japan; [Miyamoto, Katsushiro; Tsuchiya, Takahiro] Osaka Med &amp; Pharmaceut Univ, Dept Microbiol &amp; Infect Control, Takatsuki, Osaka, Japan; [Miyamoto, Katsushiro] Osaka Med &amp; Pharmaceut Univ, Joint Res Ctr, Takatsuki, Osaka, Japan; [Akeda, Yukihiro] Natl Inst Infect Dis, Dept Bacteriol, Tokyo, Japan; [Tomono, Kazunori] Osaka Inst Publ Hlth, Osaka, Japan</t>
  </si>
  <si>
    <t>National Institute of Infectious Diseases (NIID); Osaka Prefectural Institute of Public Health</t>
  </si>
  <si>
    <t>Onda, M (corresponding author), Osaka Med &amp; Pharmaceut Univ, Dept Social &amp; Adm Pharm, 4-20-1 Nasahara, Takatsuki, Osaka 5691094, Japan.</t>
  </si>
  <si>
    <t>mitsuko.onda@ompu.ac.jp</t>
  </si>
  <si>
    <t>1364-5072</t>
  </si>
  <si>
    <t>1365-2672</t>
  </si>
  <si>
    <t>10.1111/jam.15712</t>
  </si>
  <si>
    <t>WOS:000827182100001</t>
  </si>
  <si>
    <t>Zeng, AL; Wei, ZY; Yan, W; Yin, JX; Huang, XX; Zhou, X; Li, R; Shen, F; Wu, WN; Wang, XF; You, YP</t>
  </si>
  <si>
    <t>Zeng, Ailiang; Wei, Zhiyun; Yan, Wei; Yin, Jianxing; Huang, Xiaoxu; Zhou, Xu; Li, Rui; Shen, Feng; Wu, Weining; Wang, Xiefeng; You, Yongping</t>
  </si>
  <si>
    <t>Exosomal transfer of miR-151a enhances chemosensitivity to temozolomide in drug-resistant glioblastoma</t>
  </si>
  <si>
    <t>miR-151a; Glioblastoma; Temozolomide; Chemoresistance; Extracellular vesicles</t>
  </si>
  <si>
    <t>DOUBLE-STRAND BREAKS; DNA-REPAIR; GLIOMA; RECOMBINATION; MECHANISMS; PHENOTYPE; PATHWAY</t>
  </si>
  <si>
    <t>Chemoresistance blunts the effect of Temozolomide (TMZ) in the treatment of glioblastoma multiforme (GBM). Whether exosomal transfer of miRNAs derived from TMZ-resistant GBM cells could confer TMZ resistance remains to be determined. qPCR was used to determine miR-151a expression in two TMZ-resistant GBM cell lines. The direct targets of miR-151a were identified by microarray assays, bioinformatics and further RNA chromatin immunoprecipitation (RNA-ChIP) assay. We characterized exosomes from TMZ-resistant cell lines, serum and cerebrospinal fluid (CSF) and determined the effect of exosomes from TMZ-resistant cells on recipient GBM cells. miR-151a loss drove the acquisition of TMZ resistance. Restored miR-151a expression sensitized TMZ-resistant GBM cells via inhibiting XRCC4-mediated DNA repair. TMZ-resistant GBM cells conferred TMZ chemoresistance to recipient TMZ-sensitive cells in an exosomal miR-151a loss-dependent manner. Restoration of exosomal miR151a from donor TMZ-resistant cells abolished the chemoresistance dissemination that was directed by donor TMZ-resistant cells. CSF-derived exosomes contained miRNA signatures reflective of the underlying chemoresistant status of GBMs in terms of miR-151a expression levels. Exosomal miR-151a is not only essentially a lessinvasive 'liquid biopsy' that might predict chemotherapy response, but also represents a promising therapeutic target for therapy-refractory GBMs.</t>
  </si>
  <si>
    <t>[Zeng, Ailiang; Yan, Wei; Yin, Jianxing; Zhou, Xu; Li, Rui; Shen, Feng; Wu, Weining; Wang, Xiefeng; You, Yongping] Nanjing Med Univ, Dept Neurosurg, Affiliated Hosp 1, Nanjing 210029, Jiangsu, Peoples R China; [Zeng, Ailiang; Wei, Zhiyun] Brigham &amp; Womens Hosp, Dept Neurol, 75 Francis St, Boston, MA 02115 USA; [Zeng, Ailiang; Wei, Zhiyun] Harvard Med Sch, Boston, MA 02115 USA; [Huang, Xiaoxu] Nanjing Med Univ, Affiliated Hosp 1, Dept Gen Surg, Nanjing, Jiangsu, Peoples R China</t>
  </si>
  <si>
    <t>Nanjing Medical University; Harvard University; Brigham &amp; Women's Hospital; Harvard University; Harvard Medical School; Nanjing Medical University</t>
  </si>
  <si>
    <t>Yan, W; You, YP (corresponding author), Nanjing Med Univ, Dept Neurosurg, Affiliated Hosp 1, Nanjing 210029, Jiangsu, Peoples R China.</t>
  </si>
  <si>
    <t>neuro.yw@njmu.edu.cn; yypl9@njmu.edu.cn</t>
  </si>
  <si>
    <t>zeng, ailiang/AAF-4498-2020; Wei, Zhiyun/E-2008-2016</t>
  </si>
  <si>
    <t>Wei, Zhiyun/0000-0002-3554-4142; Zeng, Ailiang/0000-0003-2869-9899</t>
  </si>
  <si>
    <t>10.1016/j.canlet.2018.08.004</t>
  </si>
  <si>
    <t>WOS:000447095000002</t>
  </si>
  <si>
    <t>Wang, FF; Zhang, Y; Chen, DS; Zhang, ZQ; Li, ZP</t>
  </si>
  <si>
    <t>Wang, Fangfang; Zhang, Yi; Chen, Desheng; Zhang, Zhuoqi; Li, Zhengping</t>
  </si>
  <si>
    <t>Ultrasensitive detection of tumor-specific exosomal proteins by a Single Microbead-based Aptasensor coupled with Terminal deoxynucleotidyl transferase-initiated DNA amplification (SMAT)</t>
  </si>
  <si>
    <t>Exosomes; Tumor-specific proteins; Single microbead; Terminal deoxynucleotidyl transferase (TdT)</t>
  </si>
  <si>
    <t>QUANTIFICATION; SECRETION; CHIP</t>
  </si>
  <si>
    <t>Tumor-derived exosomes carry lots of tumor-specific proteins, attracting more attention as ideal biomarkers for non-invasive diagnosis. However, due to the low concentration of exosomes in biological samples, the development of an ultrasensitive method for tumor-specific exosomal protein detection is highly desired. Here, a sensitive Single Microbead (MB)-based Aptasensor coupled with Terminal deoxynucleotidyl transferase (TdT)triggered signal amplification (SMAT) is reported to detect tumor-specific exosomal proteins. In the SMAT detection system, a single MB is used as the reaction carrier and firstly modified by the antibodies of generic membrane biomarkers (anti-CD63 and anti-CD81) of exosomes for efficient enrichment of exosomes in samples. Then, the DNA aptamers immobilized on gold nanoparticles (AuNPs) are applied to specifically bind to the tumor-specific proteins on exosome surfaces. Subsequently, the DNA aptamers can be efficiently extended by TdT to generate a long poly(dT) tail. By hybridization with lots of fluorescein-labeled poly(dA)25 (FAM-poly(dA)25) probes, large amounts of fluorescence molecules will be highly enriched on one MB and in situ monitored with fluorescence imaging. With this strategy, exosomal EpCAM protein (Exo-EpCAM) has been sensitively detected from the samples containing 55 particles/mu L tumor-derived exosomes. Furthermore, the proposed method could be applied for detection of Exo-EpCAM from plasma microsamples, indicating great application prospect in future for clinical diagnosis.</t>
  </si>
  <si>
    <t>[Wang, Fangfang; Chen, Desheng; Li, Zhengping] Univ Sci &amp; Technol Beijing, Sch Chem &amp; Biol Engn, Beijing Key Lab Bioengn &amp; Sensing Technol, 30 Xueyuan Rd, Beijing 100083, Peoples R China; [Zhang, Yi; Zhang, Zhuoqi] Hebei Univ, Dept Gastrointestinal Surg, Affiliated Hosp, 212 Yuhua East Rd, Baoding 071000, Peoples R China</t>
  </si>
  <si>
    <t>University of Science &amp; Technology Beijing; Hebei University</t>
  </si>
  <si>
    <t>Li, ZP (corresponding author), Univ Sci &amp; Technol Beijing, Sch Chem &amp; Biol Engn, Beijing Key Lab Bioengn &amp; Sensing Technol, 30 Xueyuan Rd, Beijing 100083, Peoples R China.;Zhang, ZQ (corresponding author), Hebei Univ, Dept Gastrointestinal Surg, Affiliated Hosp, 212 Yuhua East Rd, Baoding 071000, Peoples R China.</t>
  </si>
  <si>
    <t>oldeagles2000@163.com; lzpbd@ustb.edu.cn</t>
  </si>
  <si>
    <t>10.1016/j.snb.2021.130034</t>
  </si>
  <si>
    <t>WOS:000652633000004</t>
  </si>
  <si>
    <t>AKHTAR, M; KARDAR, H; LINJAWI, T; MCCLINTOCK, J; ALI, MA</t>
  </si>
  <si>
    <t>CHROMOPHOBE CELL-CARCINOMA OF THE KIDNEY - A CLINICOPATHOLOGICAL STUDY OF 21 CASES</t>
  </si>
  <si>
    <t>AMERICAN JOURNAL OF SURGICAL PATHOLOGY</t>
  </si>
  <si>
    <t>CHROMOPHOBE; RENAL CELL CARCINOMA; ULTRASTRUCTURE DNA ANALYSIS; MICROVESICLES; IMMUNOHISTOCHEMISTRY</t>
  </si>
  <si>
    <t>RENAL-CARCINOMA; PLOIDY STATUS; DNA CONTENT; TUMORS; ONCOCYTOMAS; STAGE</t>
  </si>
  <si>
    <t>The clinicopathologic features in a series of 21 chromophobe cell carcinomas are reviewed. Patients' ages ranged from 30 to 83 years (mean, 53 years), and the number of men and women was roughly equal. Major presenting complaints included hematuria, flank pain, and flank mass. All but two tumors were staged as tumor node metastasis (TNM) T(2)N(0)M(0). Histologically, the carcinomas were composed of large cells with variably reticulated, translucent cytoplasm. The tumor cells could be divided into three types according to the extent and distribution of reticulated cytoplasm. Ultrastructurally, these reticulated areas were characterized by the presence of large numbers of microvesicles, which appeared to be unique to chromophobe eel carcinomas because ultrastructural examination of 20 clear cell carcinomas and six granular eel carcinomas failed to reveal similar structures. The origin of the vesicles appeared to be from saccular outpouchings from the outer mitochondrial membrane. Immunohistochemical studies revealed that all the tumors were variably positive for cytokeratins 8, 18, and 19, and epithelial membrane antigen but negative for vimentin. Flow cytometric DNA analysis of eight carcinomas revealed slightly hypodiploid cell populations in seven tumors. Of these, four also contained hyperdiploid cell populations. Follow-up (6-108 months) of 16 patients revealed all these patients to be alive and well. These findings further confirm the concept that chromophobe cell carcinoma is a special subtype of renal cell carcinoma in which the presence of microvesicles is a characteristic morphologic feature. Furthermore, loss of chromosomal DNA may also be a frequent, perhaps unique, feature of chromophobe cell carcinoma.</t>
  </si>
  <si>
    <t>KING FAISAL SPECIALIST HOSP &amp; RES CTR,DEPT SURG,RIYADH 11211,SAUDI ARABIA; KING FAISAL SPECIALIST HOSP &amp; RES CTR,DEPT RADIOL,RIYADH 11211,SAUDI ARABIA</t>
  </si>
  <si>
    <t>King Faisal Specialist Hospital &amp; Research Center; King Faisal Specialist Hospital &amp; Research Center</t>
  </si>
  <si>
    <t>AKHTAR, M (corresponding author), KING FAISAL SPECIALIST HOSP &amp; RES CTR,DEPT PATHOL &amp; LAB MED MBC 10,POB 3354,RIYADH 11211,SAUDI ARABIA.</t>
  </si>
  <si>
    <t>0147-5185</t>
  </si>
  <si>
    <t>10.1097/00000478-199511000-00004</t>
  </si>
  <si>
    <t>Pathology; Surgery</t>
  </si>
  <si>
    <t>WOS:A1995TA13000004</t>
  </si>
  <si>
    <t>Saxena, R; Kaur, J; Hora, R; Singh, P; Singh, V; Mishra, PC</t>
  </si>
  <si>
    <t>Saxena, Ritu; Kaur, Jasweer; Hora, Rachna; Singh, Palwinder; Singh, Vineeta; Mishra, Prakash Chandra</t>
  </si>
  <si>
    <t>CX3CL1 binding protein-2 (CBP2) of Plasmodium falciparum binds nucleic acids</t>
  </si>
  <si>
    <t>INTERNATIONAL JOURNAL OF BIOLOGICAL MACROMOLECULES</t>
  </si>
  <si>
    <t>Nucleic acid binding protein; RNA/DNA; Extracellular vesicles (EVs); ATP; Infected RBCs; PfSBP1</t>
  </si>
  <si>
    <t>INFECTED ERYTHROCYTES; EXPORT PATHWAY; VIRULENCE; RNA; COMMUNICATION; CHEMOKINE; ADHESION; DATABASE; MEDIATE; CELLS</t>
  </si>
  <si>
    <t>Several exported Plasmodium falciparum (Pf) proteins contribute to malaria biology through their involvement in cytoadherence, immune evasion and host cell remodelling. Many of these exported proteins and other host molecules are present in iRBC (infected red blood cell) generated extracellular vesicles (EVs), which are responsible for host cell modification and parasite development. CX3CL1 binding proteins (CBPs) present on the surface of iRBCs have been reported to contribute to cytoadhesion by binding with the chemokine 'CX3CL1' via their extra cellular domains. Here, we have characterized the cytoplasmic domain of CBP2 to understand its function in parasite biology using biochemical and biophysical methods. Recombinant cytoplasmic CBP2 (cCBP2) binds nucleic acids showing interaction with DNA/RNA. cCBP2 shows dimer formation under non-reducing conditions highlighting the role of disulphide bonds in its oligomerization while ATP binding leads to structural changes in the protein. In vitro interaction studies depict its binding with a Maurer's cleft resident protein 'PfSBP1', which is influenced by ATP binding of cCBP2. Our results suggest CBP2 as a two-transmembrane (2TM) receptor responsible for targeting EVs and delivering cargo to host endothelial cells. We propose CBP2 as an important molecule having roles in cytoadherence and immune modulation through its extracellular and cytoplasmic domains respectively. (C) 2019 Elsevier B.V. All rights reserved.</t>
  </si>
  <si>
    <t>[Saxena, Ritu; Mishra, Prakash Chandra] Guru Nanak Dev Univ, Dept Biotechnol, Amritsar 143005, Punjab, India; [Kaur, Jasweer; Hora, Rachna] Guru Nanak Dev Univ, Dept Mol Biol &amp; Biochem, Amritsar 143005, Punjab, India; [Singh, Palwinder] Guru Nanak Dev Univ, Dept Chem, Amritsar 143005, Punjab, India; [Singh, Vineeta] Natl Inst Malaria Res, New Delhi, India</t>
  </si>
  <si>
    <t>Guru Nanak Dev University; Guru Nanak Dev University; Guru Nanak Dev University; Indian Council of Medical Research (ICMR); ICMR - National Institute of Malaria Research (NIMR)</t>
  </si>
  <si>
    <t>Mishra, PC (corresponding author), Guru Nanak Dev Univ, Dept Biotechnol, Amritsar 143005, Punjab, India.</t>
  </si>
  <si>
    <t>pm.biotech@gndu.ac.in</t>
  </si>
  <si>
    <t>Mishra, Prakash Chandra/0000-0002-6059-7174</t>
  </si>
  <si>
    <t>0141-8130</t>
  </si>
  <si>
    <t>1879-0003</t>
  </si>
  <si>
    <t>10.1016/j.ijbiomac.2019.07.178</t>
  </si>
  <si>
    <t>Biochemistry &amp; Molecular Biology; Chemistry, Applied; Polymer Science</t>
  </si>
  <si>
    <t>WOS:000487569000105</t>
  </si>
  <si>
    <t>Ulz, P; Heitzer, E; Geigl, JB; Speicher, MR</t>
  </si>
  <si>
    <t>Ulz, Peter; Heitzer, Ellen; Geigl, Jochen B.; Speicher, Michael R.</t>
  </si>
  <si>
    <t>Patient monitoring through liquid biopsies using circulating tumor DNA</t>
  </si>
  <si>
    <t>INTERNATIONAL JOURNAL OF CANCER</t>
  </si>
  <si>
    <t>circulating tumor DNA; liquid biopsy; tumor monitoring; tumor evolution models; detection limits</t>
  </si>
  <si>
    <t>COPY NUMBER ALTERATIONS; ACQUIRED-RESISTANCE; PLASMA DNA; CLONAL EVOLUTION; RARE MUTATIONS; CANCER; CELLS; IDENTIFICATION; QUANTIFICATION; AMPLIFICATION</t>
  </si>
  <si>
    <t>Tumors release components such as circulating tumor cells (CTCs), circulating tumor DNA (ctDNA), and tumor-derived extracellular vesicles into the circulation. Multiple studies have demonstrated that molecular information about tumors and metastases can be extracted from these factors, which are therefore frequently referred to as liquid biopsies. Liquid biopsies allow the longitudinal monitoring of tumor genomes non-invasively and may hence ensure that patients receive appropriate treatments that target the molecular features of their disease. Accordingly, the number of studies employing liquid biopsy based assays has been skyrocketing in the last few years. Here, we focus on three important issues, which are of high relevance for monitoring tumor genomes. First, we analyze the relation between the allele frequency of somatic tumor-specific mutations and the tumor fraction within plasma DNA. Second, we ask how well current tumor evolution models correlate with findings in longitudinal liquid biopsy studies. And, finally, as sensitivity is one of the key challenges of mutation detection, we address the challenge of detecting mutations occurring at very low allele frequencies in plasma DNA.</t>
  </si>
  <si>
    <t>[Ulz, Peter; Heitzer, Ellen; Geigl, Jochen B.; Speicher, Michael R.] Med Univ Graz, Inst Human Genet, Harrachgasse 21-8, A-8010 Graz, Austria; [Heitzer, Ellen; Speicher, Michael R.] BioTechMed Graz, Graz, Austria</t>
  </si>
  <si>
    <t>Medical University of Graz</t>
  </si>
  <si>
    <t>Speicher, MR (corresponding author), Med Univ Graz, Inst Human Genet, Harrachgasse 21-8, A-8010 Graz, Austria.</t>
  </si>
  <si>
    <t>michael.speicher@medunigraz.at</t>
  </si>
  <si>
    <t>Speicher, Michael R/B-5362-2013</t>
  </si>
  <si>
    <t>Speicher, Michael R/0000-0003-0105-955X; Geigl, Jochen/0000-0001-9160-0682</t>
  </si>
  <si>
    <t>0020-7136</t>
  </si>
  <si>
    <t>1097-0215</t>
  </si>
  <si>
    <t>10.1002/ijc.30759</t>
  </si>
  <si>
    <t>WOS:000404842200004</t>
  </si>
  <si>
    <t>Buscail, E; Alix-Panabieres, C; Quincy, P; Cauvin, T; Chauvet, A; Degrandi, O; Caumont, C; Verdon, S; Lamrissi, I; Moranvillier, I; Buscail, C; Marty, M; Laurent, C; Vendrely, V; Moreau-Gaudry, F; Bedel, A; Dabernat, S; Chiche, L</t>
  </si>
  <si>
    <t>Buscail, Etienne; Alix-Panabieres, Catherine; Quincy, Pascaline; Cauvin, Thomas; Chauvet, Alexandre; Degrandi, Olivier; Caumont, Charline; Verdon, Severine; Lamrissi, Isabelle; Moranvillier, Isabelle; Buscail, Camille; Marty, Marion; Laurent, Christophe; Vendrely, Veronique; Moreau-Gaudry, Francois; Bedel, Aurelie; Dabernat, Sandrine; Chiche, Laurence</t>
  </si>
  <si>
    <t>High Clinical Value of Liquid Biopsy to Detect Circulating Tumor Cells and Tumor Exosomes in Pancreatic Ductal Adenocarcinoma Patients Eligible for Up-Front Surgery</t>
  </si>
  <si>
    <t>pancreatic cancer; liquid biopsy; exosomes; circulating tumor cells</t>
  </si>
  <si>
    <t>PORTAL-VEIN; CANCER; DNA; EPIDEMIOLOGY; METASTASES; BLOOD; LIVER</t>
  </si>
  <si>
    <t>Purpose: Expediting the diagnosis of pancreatic ductal adenocarcinoma (PDAC) would benefit care management, especially for the start of treatments requiring histological evidence. This study evaluated the combined diagnostic performance of circulating biomarkers obtained by peripheral and portal blood liquid biopsy in patients with resectable PDAC. Experimental design: Liquid biopsies were performed in a prospective translational clinical trial (PANC-CTC #NCT03032913) including 22 patients with resectable PDAC and 28 noncancer controls from February to November 2017. Circulating tumor cells (CTCs) were detected using the CellSearch (R) method or after RosetteSep (R) enrichment combined with CRISPR/Cas9-improved KRAS mutant alleles quantification by droplet digital PCR. CD63 bead-coupled Glypican-1 (GPC1)-positive exosomes were quantified by flow cytometry. Results: Liquid biopsies were positive in 7/22 (32%), 13/22 (59%), and 14/22 (64%) patients with CellSearch (R) or RosetteSep (R)-based CTC detection or GPC1-positive exosomes, respectively, in peripheral and/or portal blood. Liquid biopsy performance was improved in portal blood only with CellSearch (R), reaching 45% of PDAC identification (5/11) versus 10% (2/22) in peripheral blood. Importantly, combining CTC and GPC1-positive-exosome detection displayed 100% of sensitivity and 80% of specificity, with a negative predictive value of 100%. High levels of GPC1(+)-exosomes and/or CTC presence were significantly correlated with progression-free survival and with overall survival when CTC clusters were found. Conclusion: This study is the first to evaluate combined CTC and exosome detection to diagnose resectable pancreatic cancers. Liquid biopsy combining several biomarkers could provide a rapid, reliable, noninvasive decision-making tool in early, potentially curable pancreatic cancer. Moreover, the prognostic value could select patients eligible for neoadjuvant treatment before surgery. This exploratory study deserves further validation.</t>
  </si>
  <si>
    <t>[Buscail, Etienne; Quincy, Pascaline; Cauvin, Thomas; Chauvet, Alexandre; Degrandi, Olivier; Lamrissi, Isabelle; Moranvillier, Isabelle; Laurent, Christophe; Vendrely, Veronique; Moreau-Gaudry, Francois; Bedel, Aurelie; Dabernat, Sandrine; Chiche, Laurence] INSERM, U1035, F-33000 Bordeaux, France; [Buscail, Etienne; Quincy, Pascaline; Cauvin, Thomas; Chauvet, Alexandre; Degrandi, Olivier; Caumont, Charline; Verdon, Severine; Marty, Marion; Laurent, Christophe; Vendrely, Veronique; Moreau-Gaudry, Francois; Bedel, Aurelie; Dabernat, Sandrine; Chiche, Laurence] CHU Bordeaux, F-33000 Bordeaux, France; [Buscail, Etienne; Quincy, Pascaline; Cauvin, Thomas; Chauvet, Alexandre; Degrandi, Olivier; Caumont, Charline; Lamrissi, Isabelle; Moranvillier, Isabelle; Laurent, Christophe; Vendrely, Veronique; Moreau-Gaudry, Francois; Bedel, Aurelie; Dabernat, Sandrine; Chiche, Laurence] Univ Bordeaux, F-33076 Bordeaux, France; [Alix-Panabieres, Catherine] Univ Med Ctr Montpellier, Lab Rare Human Circulating Cells, EA2415 Montpellier, Montpellier, France; [Buscail, Camille] Paris 13 Univ, Nutr Epidemiol Res Team EREN, INSERM, INRA,CNAM,U1153,U1125,Paris Cite Epidemiol &amp; Stat, F-93017 Bobigny, France</t>
  </si>
  <si>
    <t>Institut National de la Sante et de la Recherche Medicale (Inserm); UDICE-French Research Universities; Universite de Bordeaux; CHU Bordeaux; UDICE-French Research Universities; Universite de Bordeaux; Universite de Montpellier; CHU de Montpellier; heSam Universite; Conservatoire National Arts &amp; Metiers (CNAM); INRAE; Institut National de la Sante et de la Recherche Medicale (Inserm); UDICE-French Research Universities; Universite de Paris</t>
  </si>
  <si>
    <t>Dabernat, S (corresponding author), INSERM, U1035, F-33000 Bordeaux, France.;Dabernat, S (corresponding author), CHU Bordeaux, F-33000 Bordeaux, France.;Dabernat, S (corresponding author), Univ Bordeaux, F-33076 Bordeaux, France.</t>
  </si>
  <si>
    <t>ebuscail@me.com; c-panabieres@chu-montpellier.fr; pascaquincy@gmail.com; cauvin.lapeyre@gmail.com; alexandre.chauvet@yahoo.fr; olivier.degrandi@chu-bordeaux.fr; charline.caumont@chu-bordeaux.fr; severine.verdon@chu-bordeaux.fr; isabelle.lamrissi-garcia@u-bordeaux.fr; isabelle.moranvillier@u-bordeaux.fr; camille.debrauer@gmail.com; marion.marty@chu-bordeaux.fr; christophe.laurent@chu-bordeaux.fr; veronique.vendrely@chu-bordeaux.fr; francois.moreau-gaudry@u-bordeaux.fr; aurelie.bedel@u-bordeaux.fr; sandrine.dabernat@u-bordeaux.fr; laurence.chiche@chu-bordeaux.fr</t>
  </si>
  <si>
    <t>Alix-Panabieres, Catherine/0000-0002-6401-2903; Buscail, Etienne/0000-0003-2040-3045; Moreau-Gaudry, Francois/0000-0003-1813-3939</t>
  </si>
  <si>
    <t>10.3390/cancers11111656</t>
  </si>
  <si>
    <t>WOS:000502290100038</t>
  </si>
  <si>
    <t>Cooke, AC; Florez, C; Dunshee, EB; Lieber, AD; Terry, ML; Light, CJ; Schertzer, JW</t>
  </si>
  <si>
    <t>Cooke, Adam C.; Florez, Catalina; Dunshee, Elise B.; Lieber, Avery D.; Terry, Michelle L.; Light, Caitlin J.; Schertzer, Jeffrey W.</t>
  </si>
  <si>
    <t>Pseudomonas Quinolone Signal-Induced Outer Membrane Vesicles Enhance Biofilm Dispersion in Pseudomonas aeruginosa</t>
  </si>
  <si>
    <t>MSPHERE</t>
  </si>
  <si>
    <t>PQS; Pseudomonas aeruginosa; biofilms; dispersion; outer membrane vesicles; quorum sensing; secretion systems</t>
  </si>
  <si>
    <t>PROTEOMIC ANALYSIS; BETA-LACTAMASE; MECHANISM; PROTEIN; RESISTANCE; BACTERIA; SURFACE; GROWTH; GENES; PQSA</t>
  </si>
  <si>
    <t>Bacterial biofilms are major contributors to chronic infections in humans. Because they are recalcitrant to conventional therapy, they present a particularly difficult treatment challenge. Identifying factors involved in biofilm development can help uncover novel targets and guide the development of antibiofilm strategies. Pseudomonas aeruginosa causes surgical site, burn wound, and hospitalacquired infections and is also associated with aggressive biofilm formation in the lungs of cystic fibrosis patients. A potent but poorly understood contributor to P. aeruginosa virulence is the ability to produce outer membrane vesicles (OMVs). OMV trafficking has been associated with cell-cell communication, virulence factor delivery, and transfer of antibiotic resistance genes. Because OMVs have almost exclusively been studied using planktonic cultures, little is known about their biogenesis and function in biofilms. Several groups have shown that Pseudomonas quinolone signal (PQS) induces OMV formation in P. aeruginosa. Our group described a biophysical mechanism for this and recently showed it is operative in biofilms. Here, we demonstrate that PQS-induced OMV production is highly dynamic during biofilm development. Interestingly, PQS and OMV synthesis are significantly elevated during dispersion compared to attachment and maturation stages. PQS biosynthetic and receptor mutant biofilms were significantly impaired in their ability to disperse, but this phenotype was rescued by genetic complementation or exogenous addition of PQS. Finally, we show that purified OMVs can actively degrade extracellular protein, lipid, and DNA. We therefore propose that enhanced production of PQS-induced OMVs during biofilm dispersion facilitates cell escape by coordinating the controlled degradation of biofilm matrix components. IMPORTANCE Treatments that manipulate biofilm dispersion hold the potential to convert chronic drug-tolerant biofilm infections from protected sessile communities into released populations that are orders-of-magnitude more susceptible to antimicrobial treatment. However, dispersed cells often exhibit increased acute virulence and dissemination phenotypes. A thorough understanding of the dispersion process is therefore critical before this promising strategy can be effectively employed. Pseudomonas quinolone signal (PQS) has been implicated in early biofilm development, but we hypothesized that its function as an outer membrane vesicle (OMV) inducer may contribute at multiple stages. Here, we demonstrate that PQS and OMVs are differentially produced during Pseudomonas aeruginosa biofilm development and provide evidence that effective biofilm dispersion is dependent on the production of PQSinduced OMVs, which likely act as delivery vehicles for matrix-degrading enzymes. These findings lay the groundwork for understanding OMV contributions to biofilm development and suggest a model to explain the controlled matrix degradation that accompanies biofilm dispersion in many species.</t>
  </si>
  <si>
    <t>[Cooke, Adam C.; Florez, Catalina; Dunshee, Elise B.; Lieber, Avery D.; Terry, Michelle L.; Light, Caitlin J.; Schertzer, Jeffrey W.] Binghamton Univ, Dept Biol Sci, Binghamton, NY 13902 USA; [Cooke, Adam C.; Florez, Catalina; Dunshee, Elise B.; Light, Caitlin J.; Schertzer, Jeffrey W.] Binghamton Univ, Binghamton Biofilm Res Ctr, Binghamton, NY 13902 USA; [Lieber, Avery D.; Terry, Michelle L.; Light, Caitlin J.] Binghamton Univ, First Year Res Immers Program, Binghamton, NY USA; [Light, Caitlin J.] Binghamton Univ, Summer Res Immers Program, Binghamton, NY USA; [Cooke, Adam C.] Wilson Coll, Div Integrated Sci, Chambersburg, PA USA; [Florez, Catalina] US Mil Acad, Dept Chem &amp; Life Sci, West Point, NY 10996 USA; [Dunshee, Elise B.] Univ Minnesota, Dept Biochem Mol Biol &amp; Biophys, Minneapolis, MN USA</t>
  </si>
  <si>
    <t>State University of New York (SUNY) System; State University of New York (SUNY) Binghamton; State University of New York (SUNY) System; State University of New York (SUNY) Binghamton; State University of New York (SUNY) System; State University of New York (SUNY) Binghamton; State University of New York (SUNY) System; State University of New York (SUNY) Binghamton; United States Department of Defense; United States Army; United States Military Academy; University of Minnesota System; University of Minnesota Twin Cities</t>
  </si>
  <si>
    <t>Schertzer, JW (corresponding author), Binghamton Univ, Dept Biol Sci, Binghamton, NY 13902 USA.;Schertzer, JW (corresponding author), Binghamton Univ, Binghamton Biofilm Res Ctr, Binghamton, NY 13902 USA.</t>
  </si>
  <si>
    <t>jschertz@binghamton.edu</t>
  </si>
  <si>
    <t>Florez, Catalina/ABB-4875-2021</t>
  </si>
  <si>
    <t>Florez, Catalina/0000-0002-0407-861X; Light, Caitlin/0000-0001-9281-9037; Terry, Michelle/0000-0001-5162-0638</t>
  </si>
  <si>
    <t>2379-5042</t>
  </si>
  <si>
    <t>e01109-20</t>
  </si>
  <si>
    <t>10.1128/mSphere.01109-20</t>
  </si>
  <si>
    <t>WOS:000644695100009</t>
  </si>
  <si>
    <t>WESSEL, GM; BERG, L</t>
  </si>
  <si>
    <t>A SPATIALLY RESTRICTED MOLECULE OF THE EXTRACELLULAR-MATRIX IS CONTRIBUTED BATH MATERNALLY AND ZYGOTICALLY IN THE SEA-URCHIN EMBRYO</t>
  </si>
  <si>
    <t>DEVELOPMENT GROWTH &amp; DIFFERENTIATION</t>
  </si>
  <si>
    <t>BASAL LAMINA; EXTRACELLULAR MATRIX; GASTRULATION; REGULATED SECRETION</t>
  </si>
  <si>
    <t>PRIMARY MESENCHYME CELLS; STRONGYLOCENTROTUS-PURPURATUS; SEQUENCE-ANALYSIS; GENE-EXPRESSION; COLLAGEN GENE; BASAL LAMINA; GASTRULATION; PROTEINS; ACCUMULATION; LOCALIZATION</t>
  </si>
  <si>
    <t>The extracellular matrix of the early sea urchin embryo is known to have an important functional role in morphogenesis and in the regulation of cell type specific gene expression. We have undertaken an immuno-cDNA screen to identify the constituents of the embryonic blastocoelic-extracellular matrix. Here we describe a newly identified member of the extracellular matrix that we have designated ECM 3. The transcript encoding ECM 3 is approximately 9.5 kb in length and partial DNA sequence contains no significant similarity to other sequences in the Genbank. This transcript is present in eggs and early embryos, and early in gastrulation the transcript accumulation increases approximately 25 fold. In situ RNA hybridization shows that the mRNA is present uniformly throughout eggs and early embryos, but beginning at mesenchyme blastula stage, RNA accumulation is selective to cells of the ectoderm except at the animal pole, where ECM 3 mRNA is greatly reduced. In this species, Lytechinus variegatus, the animal pole ectoderm is the site of fusion with the invaginating endoderm during formation of the mouth. In situ analysis of protein expression using a monospecific polyclonal antisera made against recombinant ECM 3 polypeptides shows that during gastrulation the ECM 3 protein accumulates selectively in the basal lamina and blastocoelar regions adjacent to the ectoderm in all regions except for the ectoderm at the animal pole. The ECM 3 protein is not detected in other regions of the blastocoel e.g. adjacent to the endoderm. ECM 3 is also contributed maternally the ECM 3 protein is synthesized during oogenesis and stored in oocytes within membrane-bound vesicles in the vicinity of Golgi complexes. Following fertilization ECM 3 is selectively secreted basally into the nascent blastocoel. No accumulation is detected in apical regions of the blastomeres or in the hyaline layer/apical lamina. This newly described molecule of the extracellular matrix thus demonstrates expression regulated both by secretion and by cell type specific gene expression, and shows a correlation between a microenvironment of the extracellular matrix and a morphogenetic event.</t>
  </si>
  <si>
    <t>WESSEL, GM (corresponding author), BROWN UNIV, DEPT BIOCHEM &amp; MOLEC &amp; CELL BIOL, DIV BIOL &amp; MED, PROVIDENCE, RI 02912 USA.</t>
  </si>
  <si>
    <t>0012-1592</t>
  </si>
  <si>
    <t>1440-169X</t>
  </si>
  <si>
    <t>WOS:A1995TE11100006</t>
  </si>
  <si>
    <t>Jain, HV; Takeda, K; Tami, C; Verthelyi, D; Beaucage, SL</t>
  </si>
  <si>
    <t>Jain, Harsh V.; Takeda, Kazuyo; Tami, Cecilia; Verthelyi, Daniela; Beaucage, Serge L.</t>
  </si>
  <si>
    <t>Assessment of the cellular internalization of thermolytic phosphorothioate DNA oligonucleotide prodrugs</t>
  </si>
  <si>
    <t>BIOORGANIC &amp; MEDICINAL CHEMISTRY</t>
  </si>
  <si>
    <t>Thermolytic DNA prodrugs; fma-Thiophosphate protecting group; Positively charged DNA prodrug; Cellular internalization; Nuclear localization; Nucleic acid-based drug delivery</t>
  </si>
  <si>
    <t>LIPOPHILIC PRO-OLIGONUCLEOTIDES; ANTISENSE OLIGONUCLEOTIDES; BIOLOGICAL BARRIERS; PROTECTING GROUP; BACTERIAL-DNA; HELA-CELLS; DELIVERY; TRANSPORTERS; TRAFFICKING; MECHANISMS</t>
  </si>
  <si>
    <t>The bioactivity of a CpG-containing phosphorothioate DNA oligonucleotide with thermolytic 2-(N-formyl-N-methylamino) ethyl (fma) thiophosphate groups in mice led us to investigate the parameters affecting the internalization of these thermosensitive DNA prodrugs in various cell lines. Flow cytometry and confocal microscopy analyses indicate that 5'-fluoresceinated fma-phosphorothioate DNA sequences are poorly internalized in Vero, HeLa and GC-2 cells. However, when four fma-thiophosphate groups of a 15-nucleotide long oligothymidylate prodrug are replaced with 3-(N, N-dimethylamino) prop-1-yl thiophosphate functions, internalization of the positively charged prodrug, under physiological conditions, increased fourfold in HeLa and 40-fold in Vero or GC-2 cells. No cytotoxic effects are observed in Vero cells even at an extracellular prodrug concentration of 50 mu M over a period of 72 h. Confocal microscopy studies show that internalization of the positively charged oligothymidylate prodrug in Vero cells is time-dependent with early trafficking of the DNA sequence through endosomal vesicles and, eventually, to the nucleus of the cells. Thus, the incorporation of four 3-(N, N-dimethylamino) prop-1-yl thiophosphate groups into thermosentive fma-phosphorothioate DNA prodrugs is an attractive strategy for efficient cellular internalization of these nucleic acid-based drugs for potential therapeutic indications. Published by Elsevier Ltd.</t>
  </si>
  <si>
    <t>[Jain, Harsh V.; Beaucage, Serge L.] FDA CDER, Chem Lab, Bethesda, MD 20892 USA; [Takeda, Kazuyo] FDA CBER, Confocal Microscopy Core Facil, Bethesda, MD 20892 USA; [Tami, Cecilia; Verthelyi, Daniela] FDA CDER, Immunol Lab, Bethesda, MD 20892 USA</t>
  </si>
  <si>
    <t>US Food &amp; Drug Administration (FDA); US Food &amp; Drug Administration (FDA); US Food &amp; Drug Administration (FDA)</t>
  </si>
  <si>
    <t>Beaucage, SL (corresponding author), FDA CDER, Chem Lab, 8800 Rockville Pike, Bethesda, MD 20892 USA.</t>
  </si>
  <si>
    <t>serge.beaucage@fda.hhs.gov</t>
  </si>
  <si>
    <t>Jain, Harsh/H-4910-2019</t>
  </si>
  <si>
    <t>Jain, Harsh/0000-0001-8163-6219</t>
  </si>
  <si>
    <t>0968-0896</t>
  </si>
  <si>
    <t>1464-3391</t>
  </si>
  <si>
    <t>10.1016/j.bmc.2013.04.071</t>
  </si>
  <si>
    <t>Biochemistry &amp; Molecular Biology; Chemistry, Medicinal; Chemistry, Organic</t>
  </si>
  <si>
    <t>Biochemistry &amp; Molecular Biology; Pharmacology &amp; Pharmacy; Chemistry</t>
  </si>
  <si>
    <t>WOS:000325162000019</t>
  </si>
  <si>
    <t>Dong, ZZ; Tang, CH; Zhang, Z; Zhou, W; Zhao, R; Wang, LN; Xu, JC; Wu, YY; Wu, J; Zhang, X; Xu, L; Zhao, LB; Fang, XH</t>
  </si>
  <si>
    <t>Dong, Zaizai; Tang, Chuanhao; Zhang, Zhen; Zhou, Wei; Zhao, Rong; Wang, Lina; Xu, Jiachao; Wu, Yayun; Wu, Jiang; Zhang, Xing; Xu, Li; Zhao, Libo; Fang, Xiaohong</t>
  </si>
  <si>
    <t>Simultaneous Detection of Exosomal Membrane Protein and RNA by Highly Sensitive Aptamer Assisted Multiplex-PCR</t>
  </si>
  <si>
    <t>ACS APPLIED BIO MATERIALS</t>
  </si>
  <si>
    <t>aptamer; exosome; multiplex-PCR; CD63; PD-L1; IDO1</t>
  </si>
  <si>
    <t>Exosomes, which are 30-150 nm extracellular vesicles containing a variety of biomolecules (i.e., proteins, RNA, DNA, and lipids), have emerged as important analytes in liquid biopsy. Although exosome detection offers a valuable chance to understand disease status in a multidimensional manner, comprehensive analysis of different exosomal biomolecules with limited specimens remains a challenge. Herein, we introduced an aptamer-based PCR (polymerase chain reaction) platform and realized highly sensitive detection of CD63 protein positive exosomes as low as 50 particles/mu L. More importantly, simultaneous analysis of exosomal RNA and surface protein is available using this method. In a proof of concept experiment, simultaneous detection of two immunotherapy-related biomarkers, programmed death-ligand 1 (PD-L1) protein and indoleamine 2,3-dioxygenase 1 (IDO1) mRNA, was demonstrated with clinical samples. Our method provides a strategy for the comprehensive analysis of exosomes, with the advantages of high sensitivity and practicability.</t>
  </si>
  <si>
    <t>[Dong, Zaizai; Zhang, Zhen; Zhou, Wei; Zhao, Rong; Wang, Lina; Xu, Jiachao; Wu, Yayun; Zhang, Xing; Xu, Li; Fang, Xiaohong] Chinese Acad Sci, Inst Chem, Key Lab Mol Nanostruct &amp; Nanotechnol, Beijing 100190, Peoples R China; [Dong, Zaizai; Zhou, Wei; Zhao, Rong; Wang, Lina; Xu, Jiachao; Wu, Yayun; Wu, Jiang; Fang, Xiaohong] Univ Chinese Acad Sci, Beijing 100049, Peoples R China; [Tang, Chuanhao] Peking Univ Int Hosp, Dept Med Oncol, Beijing 102206, Peoples R China; [Zhao, Libo] Echo Biotech Co Ltd, Beijing 102206, Peoples R China</t>
  </si>
  <si>
    <t>Chinese Academy of Sciences; Institute of Chemistry, CAS; Chinese Academy of Sciences; University of Chinese Academy of Sciences, CAS; Peking University</t>
  </si>
  <si>
    <t>Fang, XH (corresponding author), Chinese Acad Sci, Inst Chem, Key Lab Mol Nanostruct &amp; Nanotechnol, Beijing 100190, Peoples R China.;Fang, XH (corresponding author), Univ Chinese Acad Sci, Beijing 100049, Peoples R China.;Zhao, LB (corresponding author), Echo Biotech Co Ltd, Beijing 102206, Peoples R China.</t>
  </si>
  <si>
    <t>lbzhao@iccas.ac.cn; xfang@iccas.ac.cn</t>
  </si>
  <si>
    <t>Yayun, Wu/0000-0002-5735-8156</t>
  </si>
  <si>
    <t>2576-6422</t>
  </si>
  <si>
    <t>MAY 18</t>
  </si>
  <si>
    <t>10.1021/acsabm.9b00825</t>
  </si>
  <si>
    <t>Nanoscience &amp; Nanotechnology; Materials Science, Biomaterials</t>
  </si>
  <si>
    <t>WOS:000604588000004</t>
  </si>
  <si>
    <t>Jia, LF; Chopp, M; Wang, L; Lu, XR; Szalad, A; Zhang, ZG</t>
  </si>
  <si>
    <t>Jia, Longfei; Chopp, Michael; Wang, Lei; Lu, Xuerong; Szalad, Alexandra; Zhang, Zheng Gang</t>
  </si>
  <si>
    <t>Exosomes derived from high-glucose-stimulated Schwann cells promote development of diabetic peripheral neuropathy</t>
  </si>
  <si>
    <t>microRNA; neuron; axonal growth</t>
  </si>
  <si>
    <t>ROOT GANGLIA NEURONS; NERVOUS-SYSTEM; AXONAL GROWTH; PROTEIN GAP-43; IN-SITU; MICE; MICRORNAS; CULTURE; STROKE; MOUSE</t>
  </si>
  <si>
    <t>Schwann cells actively interact with axons of dorsal root ganglia (DRG) neurons. Exosomes mediate intercellular communication by transferring their biomaterials, including microRNAs (miRs) into recipient cells. We hypothesized that exosomes derived from Schwann cells stimulated by high glucose (HG) exosomes accelerate development of diabetic peripheral neuropathy and that exosomal cargo miRs contribute to this process. We found that HG exosomes contained high levels of miR-28, -31a, and -130a compared to exosomes derived from non-HG-stimulated Schwann cells. In vitro, treatment of distal axons with HG exosomes resulted in reduction of axonal growth, which was associated with elevation of miR-28, -31a, and -130a and reduction of their target proteins of DNA methyltransferase-3, NUMB (an endocytic adaptor protein), synaptosome associated protein 25, and growth-associated protein-43 in axons. In vivo, administration of HG exosomes to sciatic nerves of diabetic db/db mice at 7 wk of age promoted occurrence of peripheral neuropathy characterized by impairment of nerve conduction velocity and induction of mechanic and thermal hypoesthesia, which was associated with substantial decreases in intraepidermal nerve fibers. Our findings demonstrate a functional role of exosomes derived from HG-stimulated Schwann cells in mediating development of diabetic peripheral neuropathy.Jia, L., Chopp, M., Wang, L., Lu, X., Szalad, A., Zhang, Z. G. Exosomes derived from high-glucose-stimulated Schwann cells promote development of diabetic peripheral neuropathy.</t>
  </si>
  <si>
    <t>[Jia, Longfei] Capital Med Univ, Xuanwu Hosp, Dept Neurol, Inovat Ctr Neurol Disorders, Beijing, Peoples R China; [Jia, Longfei; Chopp, Michael; Wang, Lei; Lu, Xuerong; Szalad, Alexandra; Zhang, Zheng Gang] Henry Ford Hosp, Dept Neurol, 2799 West Grand Blvd, Detroit, MI 48202 USA; [Chopp, Michael] Oakland Univ, Dept Phys, Rochester, MI USA</t>
  </si>
  <si>
    <t>Capital Medical University; Henry Ford Hospital; Oakland University</t>
  </si>
  <si>
    <t>Zhang, ZG (corresponding author), Henry Ford Hosp, Dept Neurol, 2799 West Grand Blvd, Detroit, MI 48202 USA.</t>
  </si>
  <si>
    <t>zhazh@neuro.hfh.edu</t>
  </si>
  <si>
    <t>Jia, Longfei/0000-0003-3648-3668</t>
  </si>
  <si>
    <t>10.1096/fj.201800597R</t>
  </si>
  <si>
    <t>WOS:000449359700043</t>
  </si>
  <si>
    <t>Wang, QY; Yu, JJ; Kadungure, T; Beyene, J; Zhang, H; Lu, Q</t>
  </si>
  <si>
    <t>Wang, Qiyu; Yu, Jiujiu; Kadungure, Tatenda; Beyene, Joseph; Zhang, Hong; Lu, Quan</t>
  </si>
  <si>
    <t>ARMMs as a versatile platform for intracellular delivery of macromolecules</t>
  </si>
  <si>
    <t>EXTRACELLULAR VESICLES; RNA THERAPEUTICS; PROTEINS; EXOSOMES; MICROVESICLES; RESTORATION; SPECIFICITY; CHALLENGES; STRATEGIES; BINDING</t>
  </si>
  <si>
    <t>Majority of disease-modifying therapeutic targets are restricted to the intracellular space and are therefore not druggable using existing biologic modalities. The ability to efficiently deliver macromolecules inside target cells or tissues would greatly expand the current landscape of therapeutic targets for future generations of biologic drugs, but remains challenging. Here we report the use of extracellular vesicles, known as arrestin domain containing protein 1 [ARRDC1]-mediated microvesicles (ARMMs), for packaging and intracellular delivery of a myriad of macromolecules, including the tumor suppressor p53 protein, RNAs, and the genome-editing CRISPR-Cas9/guide RNA complex. We demonstrate selective recruitment of these macromolecules into ARMMs. When delivered intracellularly via ARMMs, these macromolecules are biologically active in recipient cells. P53 delivered via ARMMs induces DNA damage-dependent apoptosis in multiple tissues in mice. Together, our results provide proof-of-principle demonstration that ARMMs represent a highly versatile platform for packaging and intracellular delivery of therapeutic macromolecules.</t>
  </si>
  <si>
    <t>[Wang, Qiyu; Yu, Jiujiu; Beyene, Joseph; Lu, Quan] Harvard TH Sch Publ Hlth, Program Mol &amp; Integrat Physiol Sci, Dept Environm Hlth, Boston, MA 02115 USA; [Wang, Qiyu; Yu, Jiujiu; Beyene, Joseph; Lu, Quan] Harvard TH Sch Publ Hlth, Program Mol &amp; Integrat Physiol Sci, Dept Genet &amp; Complex Dis, Boston, MA 02115 USA; [Yu, Jiujiu] Univ Nebraska, Dept Nutr &amp; Hlth Sci, Lincoln, NE 68583 USA; [Kadungure, Tatenda; Zhang, Hong] Univ Massachusetts, Med Sch, Dept Pediat, Div Genes &amp; Dev, Worcester, MA 01655 USA</t>
  </si>
  <si>
    <t>Harvard University; Harvard T.H. Chan School of Public Health; Harvard University; Harvard T.H. Chan School of Public Health; University of Nebraska System; University of Nebraska Lincoln; University of Massachusetts System; University of Massachusetts Worcester</t>
  </si>
  <si>
    <t>Lu, Q (corresponding author), Harvard TH Sch Publ Hlth, Program Mol &amp; Integrat Physiol Sci, Dept Environm Hlth, Boston, MA 02115 USA.;Lu, Q (corresponding author), Harvard TH Sch Publ Hlth, Program Mol &amp; Integrat Physiol Sci, Dept Genet &amp; Complex Dis, Boston, MA 02115 USA.</t>
  </si>
  <si>
    <t>qlu@hsph.harvard.edu</t>
  </si>
  <si>
    <t>10.1038/s41467-018-03390-x</t>
  </si>
  <si>
    <t>WOS:000426659300006</t>
  </si>
  <si>
    <t>Cao, Y; Li, LL; Han, B; Wang, Y; Dai, YH; Zhao, J</t>
  </si>
  <si>
    <t>Cao, Ya; Li, Lingling; Han, Bing; Wang, Ying; Dai, Yuhao; Zhao, Jing</t>
  </si>
  <si>
    <t>A catalytic molecule machine-driven biosensing method for amplified electrochemical detection of exosomes</t>
  </si>
  <si>
    <t>Cascaded toehold-mediated strand displacement reaction; Catalytic molecule machine; Exosome detection; CD63; Click chemistry</t>
  </si>
  <si>
    <t>ISOTHERMAL AMPLIFICATION; ENZYME-FREE; MICRORNA; BIOLOGY</t>
  </si>
  <si>
    <t>Nowadays, exosomes that carry abundant information have attracted increasing attention as potent biomarkers of liquid biopsy and ideal candidates for early diagnosis and treatment of cancers. In this work, we propose a principle-of-proof biosensing method for amplified electrochemical detection of exosomes by using HepG2-derived exosomes as models. Specifically, target exosomes are enriched on anti-CD63-functionalized immunobeads and then recognized by a DNA chain containing CD63 aptamer region, which subsequently initiates a catalytic molecule machine that relies on cascade toehold-mediated strand displacement reaction. Benefiting from high efficiency of the molecule machine, the method shows a linear range from 1 x 10(5) to 5 x 10(7) particles/mL and a detection limit of 1.72 x 10(4) particles/mL toward target exosomes, better than most existing detection methods. Moreover, the method demonstrates a high specificity even in serum samples and suggests a potential use in clinic, which may provide sufficient information for disease diagnosis, especially early detection and prognosis monitoring of tumors.</t>
  </si>
  <si>
    <t>[Cao, Ya; Li, Lingling; Han, Bing; Wang, Ying; Dai, Yuhao; Zhao, Jing] Shanghai Univ, Ctr Mol Recognit &amp; Biosensing, Sch Life Sci, Shanghai 200444, Peoples R China; [Li, Lingling] Shanghai Univ, Shanghai Key Lab Bioenergy Crops, Shanghai 200444, Peoples R China</t>
  </si>
  <si>
    <t>Shanghai University; Shanghai University</t>
  </si>
  <si>
    <t>Zhao, J (corresponding author), Shanghai Univ, Ctr Mol Recognit &amp; Biosensing, Sch Life Sci, Shanghai 200444, Peoples R China.</t>
  </si>
  <si>
    <t>jingzhao@shu.edu.cn</t>
  </si>
  <si>
    <t>10.1016/j.bios.2019.111397</t>
  </si>
  <si>
    <t>WOS:000486132800023</t>
  </si>
  <si>
    <t>Kanno, S; Hirano, S; Sakamoto, T; Furuyama, A; Takase, H; Kato, H; Fukuta, M; Aoki, Y</t>
  </si>
  <si>
    <t>Kanno, Sanae; Hirano, Seishiro; Sakamoto, Tsubasa; Furuyama, Akiko; Takase, Hiroshi; Kato, Hideaki; Fukuta, Mamiko; Aoki, Yasuhiro</t>
  </si>
  <si>
    <t>Scavenger receptor MARCO contributes to cellular internalization of exosomes by dynamin-dependent endocytosis and macropinocytosis</t>
  </si>
  <si>
    <t>MACROPHAGE RECEPTOR; COLLAGENOUS STRUCTURE; NANOPARTICLES; MECHANISM; MEMBRANE; PATHWAYS; DYNASORE; MOLECULE; BACTERIA; BINDING</t>
  </si>
  <si>
    <t>Macrophage receptor with collagenous structure (MARCO) is a scavenger receptor class-A protein that is expressed on the cell surface of macrophages. MARCO mediates binding and ingestion of unopsonized environmental particles, including nano-sized materials. Exosomes are cell-derived, nano-sized vesicles (40-150 nm) that can contain lipids, RNA, DNA, and various proteins. Exosomes play an essential role in cell-to-cell communication via body fluids. However, mechanisms for the recognition and internalization of exosomes by recipient cells remain poorly characterized. In this study, cellular association of serum-derived fluorescent exosomes and 20-nm fluorescent nanoparticles (positive control) was compared between MARCO-expressing (CHO-MARCO) and control (CHO-CT) CHO-K1 cells to examine whether MARCO expression by recipient cells mediates the cellular uptake of exosomes and environmental nanoparticles. Fluorescence microscopic studies and quantitative analyses revealed that the cellular associations of both exosomes and 20-nm nanoparticles were greater in CHO-MARCO cells than in CHO-CT cells. Exosomes and nanoparticles colocalized with green fluorescent protein (GFP)-MARCO in cells transfected with GFP-MARCO-encoding constructs . Furthermore, inhibitory studies showed that actin reorganization and dynamin are involved in the MARCO-mediated cellular internalization of exosomes. These results indicated that MARCO plays a role in the uptake of exosomes.</t>
  </si>
  <si>
    <t>[Kanno, Sanae; Sakamoto, Tsubasa; Kato, Hideaki; Fukuta, Mamiko; Aoki, Yasuhiro] Nagoya City Univ, Dept Forens Med, Grad Sch Med Sci, Mizuho Ku, 1 Kawasumi, Nagoya, Aichi 4678601, Japan; [Hirano, Seishiro; Furuyama, Akiko] Natl Inst Environm Studies, Ctr Hlth &amp; Environm Risk Res, 16-2 Onogawa, Tsukuba, Ibaraki 3058506, Japan; [Takase, Hiroshi] Nagoya City Univ, Grad Sch Med Sci, Core Lab, Mizuho Ku, 1 Kawasumi, Nagoya, Aichi 4678601, Japan</t>
  </si>
  <si>
    <t>Nagoya City University; National Institute for Environmental Studies - Japan; Nagoya City University</t>
  </si>
  <si>
    <t>Kanno, S (corresponding author), Nagoya City Univ, Dept Forens Med, Grad Sch Med Sci, Mizuho Ku, 1 Kawasumi, Nagoya, Aichi 4678601, Japan.</t>
  </si>
  <si>
    <t>sanae@med.nagoya-cu.ac.jp</t>
  </si>
  <si>
    <t>DEC 11</t>
  </si>
  <si>
    <t>10.1038/s41598-020-78464-2</t>
  </si>
  <si>
    <t>WOS:000599946500007</t>
  </si>
  <si>
    <t>Sun, CK; Chen, CH; Chang, CL; Chiang, HJ; Sung, PH; Chen, KH; Chen, YL; Chen, SY; Kao, GS; Chang, HW; Lee, MS; Yip, HK</t>
  </si>
  <si>
    <t>Sun, Cheuk-Kwan; Chen, Chih-Hung; Chang, Chia-Lo; Chiang, Hsin-Ju; Sung, Pei-Hsun; Chen, Kuan-Hung; Chen, Yi-Ling; Chen, Sheng-Yi; Kao, Gour-Shenq; Chang, Hsueh-Wen; Lee, Mel S.; Yip, Hon-Kan</t>
  </si>
  <si>
    <t>Melatonin treatment enhances therapeutic effects of exosomes against acute liver ischemia-reperfusion injury</t>
  </si>
  <si>
    <t>AMERICAN JOURNAL OF TRANSLATIONAL RESEARCH</t>
  </si>
  <si>
    <t>Exogenic exosomes; melatonin; liver ischemia-reperfusion injury; inflammation; oxidative stress; immunomodulation; anti-oxidant</t>
  </si>
  <si>
    <t>MESENCHYMAL STEM-CELLS; OXIDATIVE STRESS; ISCHEMIA/REPERFUSION; UPDATE; RATS</t>
  </si>
  <si>
    <t>This study tests the hypothesis that combined melatonin and exogenic adipose mesenchymal stem cell (ADMSC)-derived exosome treatment offers superior protection against liver ischemia-reperfusion (LIR) injury compared to either alone. In vitro studies utilized a macrophage cell line (RAW) pretreated with lipopolysaccharide and hepatocytes pretreated with melatonin or exosomes before hypoxia treatment, while in vitro experiments involved analyses of liver specimens from male adult Sprague-Dawley rats (n = 50) equally categorized into sham controls (SC), LIR only, LIR-exosome (100 mu g, 30 minute post-LIR), LIR-melatonin (20 mg/kg, 30 minute post-LIR and 50 mg/kg at 6 and 18 hours post-LIR), and LIR-exosome-melatonin groups. In vitro studies showed suppression of inflammation (MIF, MMP-9, IL-1 beta, TNF-alpha, COX-2) and oxidative stress (NOX-1, NOX-2, oxidized protein)/apoptosis (cleaved caspase 3 and PARP) by exosome and exosome/melatonin treatment, respectively (all P&lt;0.001). In vivo data demonstrated lowest liver injury score and plasma AST concentrations in LIR-exosome-melatonin group compared with other groups (P&lt;0.001). Besides, expressions of inflammatory markers at protein (ICAM-1, IL-1 beta, MMP-9, TNF-alpha, NF-kappa B, RANTES) and cellular (CD3+, CD4+, CD8+, CD161+, CD11+, CD14+, F4/80) levels, and protein expressions of apoptosis (cleaved caspase-3, PARP), oxidative stress (NOX-1, NOX-2), DNA damage (gamma-H2AX) and mitochondrial damage (cytosolic cytochrome-C) markers displayed a pattern similar to that of liver injury score, whereas protein expression of anti-oxidants (HO-1, NQO-1) showed progressive increase from SC to the combined treatment group (all P&lt;0.001). In conclusion, combined exosome-melatonin regimen was superior to either alone in protecting the liver against ischemia-reperfusion injury.</t>
  </si>
  <si>
    <t>[Sun, Cheuk-Kwan] I Shou Univ, Sch Med Int Students, E Da Hosp, Dept Emergency Med, Kaohsiung, Taiwan; [Chen, Chih-Hung] Kaohsiung Chang Gung Mem Hosp, Dept Internal Med, Div Gen Med, Kaohsiung, Taiwan; [Chang, Chia-Lo] Kaohsiung Chang Gung Mem Hosp, Dept Surg, Div Colorectal Surg, Kaohsiung, Taiwan; [Chiang, Hsin-Ju] Kaohsiung Chang Gung Mem Hosp, Dept Obstet &amp; Gynecol, Kaohsiung, Taiwan; [Sung, Pei-Hsun; Chen, Yi-Ling; Chen, Sheng-Yi; Kao, Gour-Shenq; Yip, Hon-Kan] Kaohsiung Chang Gung Mem Hosp, Dept Internal Med, Div Cardiol, 123 Dapi Rd, Kaohsiung 83301, Taiwan; [Chen, Kuan-Hung] Kaohsiung Chang Gung Mem Hosp, Dept Anesthesiol, Kaohsiung, Taiwan; [Lee, Mel S.] Kaohsiung Chang Gung Mem Hosp, Dept Orthoped, Kaohsiung, Taiwan; [Lee, Mel S.] Kaohsiung Chang Gung Mem Hosp, Inst Translat Res Biomed, Kaohsiung, Taiwan; [Yip, Hon-Kan] Kaohsiung Chang Gung Mem Hosp, Ctr Shockwave Med &amp; Tissue Engn, Kaohsiung, Taiwan; [Yip, Hon-Kan] Chang Gung Univ Coll Med, 123 Dapi Rd, Kaohsiung 83301, Taiwan; [Chang, Hsueh-Wen] Natl Sun Yat Sen Univ, Dept Biol Sci, Kaohsiung, Taiwan; [Yip, Hon-Kan] China Med Univ, China Med Univ Hosp, Dept Med Res, Taichung 40402, Taiwan; [Yip, Hon-Kan] Asia Univ, Dept Nursing, Taichung 41354, Taiwan</t>
  </si>
  <si>
    <t>E-Da Hospital; I Shou University; Chang Gung Memorial Hospital; Chang Gung Memorial Hospital; Chang Gung Memorial Hospital; Chang Gung Memorial Hospital; Chang Gung Memorial Hospital; Chang Gung Memorial Hospital; Chang Gung Memorial Hospital; Chang Gung Memorial Hospital; Chang Gung University; National Sun Yat Sen University; China Medical University Taiwan; China Medical University Hospital - Taiwan; Asia University Taiwan</t>
  </si>
  <si>
    <t>Sun, CK (corresponding author), I Shou Univ, Sch Med Int Students, E Da Hosp, Dept Emergency Med, Kaohsiung, Taiwan.;Yip, HK (corresponding author), Kaohsiung Chang Gung Mem Hosp, Dept Internal Med, Div Cardiol, 123 Dapi Rd, Kaohsiung 83301, Taiwan.;Yip, HK (corresponding author), Chang Gung Univ Coll Med, 123 Dapi Rd, Kaohsiung 83301, Taiwan.</t>
  </si>
  <si>
    <t>lawrence.c.k.sun@gmail.com; han.gung@msa.hinet.net</t>
  </si>
  <si>
    <t>Sun, Cheuk-Kwan/K-5723-2012</t>
  </si>
  <si>
    <t>Sung, Pei-Hsun/0000-0002-1989-9752; Chen, Chih-Hung/0000-0003-3718-2373</t>
  </si>
  <si>
    <t>1943-8141</t>
  </si>
  <si>
    <t>WOS:000400487800001</t>
  </si>
  <si>
    <t>Aghamir, SMK; Heshmat, R; Ebrahimi, M; Khatami, F</t>
  </si>
  <si>
    <t>Aghamir, Seyed Mohammad Kazem; Heshmat, Ramin; Ebrahimi, Mehdi; Khatami, Fatemeh</t>
  </si>
  <si>
    <t>Liquid Biopsy: The Unique Test for Chasing the Genetics of Solid Tumors</t>
  </si>
  <si>
    <t>EPIGENETICS INSIGHTS</t>
  </si>
  <si>
    <t>Liquid biopsy; cell-free nucleic acids (cfNAs); circulating tumor cells (CTCs); exosomes</t>
  </si>
  <si>
    <t>CELL-FREE DNA; RESISTANT PROSTATE-CANCER; CIRCULATING FREE DNA; MESSENGER-RNA; INTRATUMOR HETEROGENEITY; EXTRACELLULAR VESICLES; PROGNOSTIC VALUE; STRANDED-DNA; LABEL-FREE; FOLLOW-UP</t>
  </si>
  <si>
    <t>Blood test is a kind of liquid biopsy that checks cancer cells or cancer nucleic acids circulating freely from cells in the blood. A liquid biopsy may be used to distinguish cancer at early stages and it could be a game-changer for both cancer diagnosis and prognosis strategies. Liquid biopsy tests consider several tumor components, such as DNA, RNA, proteins, and the tiny vesicles originating from tumor cells. Actually, liquid biopsy signifies the genetic alterations of tumors through nucleic acids or cells in various body fluids, including blood, urine, cerebrospinal fluid, or saliva in a noninvasive manner. In this review, we present an overall description of liquid biopsy in which circulating tumor cells, cell-free nucleic acids, exosomes, and extrachromosomal circular DNA are included.</t>
  </si>
  <si>
    <t>[Aghamir, Seyed Mohammad Kazem; Khatami, Fatemeh] Univ Tehran Med Sci, Sina Hosp, Urol Res Ctr, Hassan Abad Sq,Imam Khomeini St, Tehran, Iran; [Heshmat, Ramin] Univ Tehran Med Sci, Endocrinol &amp; Metab Populat Sci Inst, Chron Dis Res Ctr, Tehran, Iran; [Ebrahimi, Mehdi] Univ Tehran Med Sci, Sina Hosp, Dept Internal Med, Fac Med, Tehran, Iran</t>
  </si>
  <si>
    <t>Tehran University of Medical Sciences; Tehran University of Medical Sciences; Tehran University of Medical Sciences</t>
  </si>
  <si>
    <t>Khatami, F (corresponding author), Univ Tehran Med Sci, Sina Hosp, Urol Res Ctr, Hassan Abad Sq,Imam Khomeini St, Tehran, Iran.</t>
  </si>
  <si>
    <t>f-khatami@alumnus.tums.ac.ir</t>
  </si>
  <si>
    <t>Khatami, Fatemeh/AAQ-3091-2021; Heshmat, Ramin/S-7435-2017</t>
  </si>
  <si>
    <t>2516-8657</t>
  </si>
  <si>
    <t>10.1177/2516865720904052</t>
  </si>
  <si>
    <t>WOS:000517516000001</t>
  </si>
  <si>
    <t>Li, N; Huang, ZL; Ye, ZW; Zhang, XF; Chen, LC; Xiao, Y</t>
  </si>
  <si>
    <t>Li, Ning; Huang, Zhenlong; Ye, Zhiwei; Zhang, Xinfu; Chen, Lingcheng; Xiao, Yi</t>
  </si>
  <si>
    <t>Total membrane lipid assay (MLA): simple and practical quantification of exosomes based on efficient membrane-specific dyes unaffected by proteins</t>
  </si>
  <si>
    <t>MATERIALS CHEMISTRY FRONTIERS</t>
  </si>
  <si>
    <t>EXTRACELLULAR VESICLES; LONG-WAVELENGTH; BIOMARKERS; PROTEOMICS; DNA</t>
  </si>
  <si>
    <t>There has been a rapidly rising interest directed toward exosomes owing to their potential application in diagnosis and prognosis of major diseases. However, forthright and low-cost but accurate quantification of isolated or purified exosomes remains a technical challenge. Herein, we have developed a practical fluorimetry method to ratiometrically detect exosomes. Different from the conventional BCA total protein assay to quantify exosomes, we choose the exosome membrane lipids as the analyte and propose a new exosome quantification method called Total Membrane Lipid Assay (MLA). Our idea is based on two fluorescent dyes of completely different nature. The first one (Dye A) should be a membrane-specific dye that is non-fluorescent in aqueous buffer solutions but emits strong fluorescence once inserted into the membrane phospholipid bimolecular layer. The second one (Dye B) should be a highly water-soluble dye that has no affinity to membranes of exosomes. Therefore, the former is in charge of sensing exosomes and the latter acts as the internal reference insensitive to exosomes. The ratio of Dye A's fluorescence intensity to Dye B's (R-A/B) can be used as the quantitative basis. We have screened several candidate dyes, and among them we have obtained two that meet our requirements for Dye A and Dye B, respectively. Then, a linear relationship between exosomes' membrane lipid and R-A/B has been established, with the detection limit as low as 0.342 ng mu L-1 (MLA total membrane lipid content). Therefore, the analytical sensitivity of this ratiometric assay is recommendable. Finally, we confirm the practical applicability of this method by quantification of exosomes isolated from different real samples, including culture media of HeLa, MCF-7, MCF-10A cells and human serum.</t>
  </si>
  <si>
    <t>[Li, Ning; Huang, Zhenlong; Ye, Zhiwei; Zhang, Xinfu; Chen, Lingcheng; Xiao, Yi] Dalian Univ Technol, State Key Lab Fine Chem, Dalian 116024, Peoples R China</t>
  </si>
  <si>
    <t>Dalian University of Technology</t>
  </si>
  <si>
    <t>Xiao, Y (corresponding author), Dalian Univ Technol, State Key Lab Fine Chem, Dalian 116024, Peoples R China.</t>
  </si>
  <si>
    <t>xiaoyi@dlut.edu.cn</t>
  </si>
  <si>
    <t>Chen, Lingcheng/0000-0002-0824-8399; Xiao, Yi/0000-0001-7881-3907; Huang, Zhenlong/0000-0003-4148-426X</t>
  </si>
  <si>
    <t>2052-1537</t>
  </si>
  <si>
    <t>10.1039/c8qm00300a</t>
  </si>
  <si>
    <t>WOS:000448416200020</t>
  </si>
  <si>
    <t>Menon, R; Mesiano, S; Taylor, RN</t>
  </si>
  <si>
    <t>Menon, Ramkumar; Mesiano, Sam; Taylor, Robert N.</t>
  </si>
  <si>
    <t>Programmed Fetal Membrane Senescence and exosome-Mediated Signaling: A Mechanism Associated with Timing of Human Parturition</t>
  </si>
  <si>
    <t>fetal signals; parturition; exosomes; biomarker; aging; fetal membranes; p38MAPK; microvesicles</t>
  </si>
  <si>
    <t>PRETERM PREMATURE RUPTURE; CELL-FREE DNA; OXIDATIVE STRESS; AMNIOTIC-FLUID; INTRAAMNIOTIC INFECTION; TERM LABOR; HMGB1; PREGNANCY; INFLAMMATION; EXPRESSION</t>
  </si>
  <si>
    <t>Human parturition is an inflammatory process that involves both fetal and maternal compartments. The precise immune cell interactions have not been well delineated in human uterine tissues during parturition, but insights into human labor initiation have been informed by studies in animal models. Unfortunately, the timing of parturition relative to fetal maturation varies among viviparous species-indicative of different phylogenetic clocks and alarms-but what is clear is that important common pathways must converge to control the birth process. Herein, we hypothesize a novel signaling mechanism initiated by human fetal membrane aging and senescence-associated inflammation. Programmed events of fetal membrane aging coincide with fetal growth and organ maturation. Mechanistically, senescence involves in telomere shortening and activation of p38 mitogen-activated signaling kinase resulting in aging-associated phenotypic transition. Senescent tissues release inflammatory signals that are propagated via exosomes to cause functional changes in maternal uterine tissues. In vitro, oxidative stress causes increased release of inflammatory mediators (senescence-associated secretory phenotype and damage-associated molecular pattern markers) that can be packaged inside the exosomes. These exosomes traverse through tissues layers, reach maternal tissues to increase overall inflammatory load transitioning them from a quiescent to active state. Animal model studies have shown that fetal exosomes can travel from fetal to the maternal side. Thus, aging fetal membranes and membrane-derived exosomes cargo fetal signals to the uterus and cervix and may trigger parturition. This review highlights a novel hypothesis in human parturition research based on data from ongoing research using human fetal membrane model system.</t>
  </si>
  <si>
    <t>[Menon, Ramkumar] Univ Texas Med Branch, Dept Obstet &amp; Gynecol, Div Maternal Fetal Med Perinatal Res, Galveston, TX 77555 USA; [Mesiano, Sam] Case Western Reserve Univ, Dept Reprod Biol &amp; Obstet &amp; Gynecol, Cleveland, OH 44106 USA; [Taylor, Robert N.] Wake Forest Sch Med, Dept Obstet &amp; Gynecol, Winston Salem, NC USA</t>
  </si>
  <si>
    <t>University of Texas System; University of Texas Medical Branch Galveston; Case Western Reserve University; Wake Forest University</t>
  </si>
  <si>
    <t>Menon, R (corresponding author), Univ Texas Med Branch, Dept Obstet &amp; Gynecol, Div Maternal Fetal Med Perinatal Res, Galveston, TX 77555 USA.</t>
  </si>
  <si>
    <t>10.3389/fendo.2017.00196</t>
  </si>
  <si>
    <t>WOS:000408497900001</t>
  </si>
  <si>
    <t>Zhao, Y; Fang, XX; Bai, M; Zhang, J; Yu, HH; Chen, F; Zhao, YX</t>
  </si>
  <si>
    <t>Zhao, Yue; Fang, Xiaoxing; Bai, Min; Zhang, Jin; Yu, Huahang; Chen, Feng; Zhao, Yongxi</t>
  </si>
  <si>
    <t>A microfluidic surface-enhanced Raman scattering (SERS) sensor for microRNA in extracellular vesicles with nucleic acid-tyramine cascade amplification</t>
  </si>
  <si>
    <t>CHINESE CHEMICAL LETTERS</t>
  </si>
  <si>
    <t>Microfluidic chips; Surface-enhanced Raman scattering (SERS); Exosome; Tyramide signal amplification; Nucleic acid amplification</t>
  </si>
  <si>
    <t>SIGNAL AMPLIFICATION; EXOSOMAL MICRORNA; CARBON DOTS; CHIP</t>
  </si>
  <si>
    <t>Exosomal microRNA (miRNA) is an ideal candidate of noninvasive biomarker for the early diagnosis of cancer. Sensitive and accurate sensing of abnormal exosomal miRNA plays essential role for clinical promotion due to its close correlation with tumor proliferation and progression. Herein, a microfluidic surface-enhanced Raman scattering (SERS) sensor was proposed for an on-line detection of exosomal miRNA based on rolling circle amplification (RCA) and tyramine signal amplification (TSA) strategy. The microfluidic chip consists of a magnetic enrichment chamber, a serpentine fluidic mixer and a plasmonic SERS substrate functionalized with capture probes. The released miRNA activates the capture probe, triggers RCA reaction, and generates a large number of single-stranded DNA products to drive the catalysis of nanotags deposition via TSA, producing numerous hot spots to enhance the SERS signals. In merit of the microfluidics chip and nucleic acid-tyramine cascade amplification, the developed SERS sensor significantly improves the sensitivity for the exosomal miRNA assay, resulting in a limit of detection (LOD) as low as 1 pmol/L and can be successfully applied in the analysis of exosomes secreted from breast tumor cells, which demonstrates the potential utility in practical applications. (c) 2021 Published by Elsevier B.V. on behalf of Chinese Chemical Society and Institute of Materia Medica, Chinese Academy of Medical Sciences.</t>
  </si>
  <si>
    <t>[Zhao, Yue; Fang, Xiaoxing; Bai, Min; Zhang, Jin; Yu, Huahang; Chen, Feng; Zhao, Yongxi] Xi An Jiao Tong Univ, Sch Life Sci &amp; Technol, Inst Analyt Chem &amp; Instrument Life Sci, Key Lab Biomed Informat Engn,Minist Educ, Xian 710049, Peoples R China</t>
  </si>
  <si>
    <t>Xi'an Jiaotong University</t>
  </si>
  <si>
    <t>Zhao, YX (corresponding author), Xi An Jiao Tong Univ, Sch Life Sci &amp; Technol, Inst Analyt Chem &amp; Instrument Life Sci, Key Lab Biomed Informat Engn,Minist Educ, Xian 710049, Peoples R China.</t>
  </si>
  <si>
    <t>yxzhao@mail.xjtu.edu.cn</t>
  </si>
  <si>
    <t>1001-8417</t>
  </si>
  <si>
    <t>1878-5964</t>
  </si>
  <si>
    <t>10.1016/j.cclet.2021.08.047</t>
  </si>
  <si>
    <t>WOS:000789375500072</t>
  </si>
  <si>
    <t>Jachlewski, S; Jachlewski, WD; Linne, U; Brasen, C; Wingender, J; Siebers, B</t>
  </si>
  <si>
    <t>Jachlewski, Silke; Jachlewski, Witold D.; Linne, Uwe; Braesen, Christopher; Wingender, Jost; Siebers, Bettina</t>
  </si>
  <si>
    <t>Isolation of extracellular polymeric substances from biofilms of the thermoacidophilic archaeon Sulfolobus acidocaldarius</t>
  </si>
  <si>
    <t>Archaea; thermoacidophile; Sulfolobus acidocaldarius; biofilms; extracellular polymeric substances; proteins; enzymes</t>
  </si>
  <si>
    <t>Extracellular polymeric substances (EPS) are the major structural and functional components of microbial biofilms. The aim of this study was to establish a method for EPS isolation from biofilms of the thermoacidophilic archaeon, Sulfolobus acidocaldarius, as a basis for EPS analysis. Biofilms of S. acidocaldarius were cultivated on the surface of gellan gum-solidified Brock medium at 78 degrees C for 4 days. Five EPS extraction methods were compared, including shaking of biofilm suspensions in phosphate buffer, cation-exchange resin (CER) extraction, and stirring with addition of EDTA, crown ether, or NaOH. With respect to EPS yield, impact on cell viability, and compatibility with subsequent biochemical analysis, the CER extraction method was found to be the best suited isolation procedure resulting in the detection of carbohydrates and proteins as the major constituents and DNA as a minor component of the EPS. Culturability of CER-treated cells was not impaired. Analysis of the extracellular proteome using two-dimensional gel electrophoresis resulted in the detection of several hundreds of protein spots, mainly with molecular masses of 25-116 kDa and pI values of 5-8. Identification of proteins suggested a cytoplasmic origin for many of these proteins, possibly released via membrane vesicles or biofilm-inherent cell lysis during biofilm maturation. Functional analysis of EPS proteins, using fluorogenic substrates as well as zymography, demonstrated the activity of diverse enzyme classes, such as proteases, lipases, esterases, phosphatases, and glucosidases. In conclusion, the CER extraction method, as previously applied to bacterial biofilms, also represents a suitable method for isolation of water soluble EPS from the archaeal biofilms of S. acidocaldarius, allowing the investigation of composition and function of EPS components in these types of biofilms.</t>
  </si>
  <si>
    <t>[Jachlewski, Silke; Braesen, Christopher; Siebers, Bettina] Univ Duisburg Essen, Ctr Water &amp; Environm Res CWE, Mol Enzyme Technol &amp; Biochem MEB, Biofilm Ctr, Univ Str 5, D-45141 Essen, Germany; [Jachlewski, Witold D.; Wingender, Jost] Univ Duisburg Essen, Ctr Water &amp; Environm Res CWE, Aquat Microbiol, Biofilm Ctr, Essen, Germany; [Linne, Uwe] Philipps Univ Marburg, Dept Chem, Core Facil Mass Spectrometry &amp; Elemental Anal, Marburg, Germany; [Linne, Uwe] Philipps Univ Marburg, SYNMIKRO, Marburg, Germany</t>
  </si>
  <si>
    <t>University of Duisburg Essen; University of Duisburg Essen; Philipps University Marburg; Philipps University Marburg</t>
  </si>
  <si>
    <t>Siebers, B (corresponding author), Univ Duisburg Essen, Ctr Water &amp; Environm Res CWE, Mol Enzyme Technol &amp; Biochem MEB, Biofilm Ctr, Univ Str 5, D-45141 Essen, Germany.</t>
  </si>
  <si>
    <t>bettina.siebers@uni-due.de</t>
  </si>
  <si>
    <t>Siebers, Bettina/0000-0002-9905-541X</t>
  </si>
  <si>
    <t>10.3389/fbioe.2015.00123</t>
  </si>
  <si>
    <t>WOS:000536548500119</t>
  </si>
  <si>
    <t>Hao, YX; Li, YM; Ye, M; Guo, YY; Li, QW; Peng, XM; Wang, Q; Zhang, SF; Zhao, HX; Zhang, H; Li, GH; Zhu, JH; Xiao, WH</t>
  </si>
  <si>
    <t>Hao, Yi-Xin; Li, Yong-Mei; Ye, Ming; Guo, Yan-Yan; Li, Qiu-Wen; Peng, Xiu-Mei; Wang, Qi; Zhang, Shu-Fang; Zhao, Hui-Xia; Zhang, He; Li, Guang-Hui; Zhu, Jian-Hua; Xiao, Wen-Hua</t>
  </si>
  <si>
    <t>KRAS and BRAF mutations in serum exosomes from patients with colorectal cancer in a Chinese population</t>
  </si>
  <si>
    <t>Kirsten rat sarcoma viral oncogene homolog; BRAF serine/threonine kinase proto-oncogene; mutation; exosome; colorectal cancer</t>
  </si>
  <si>
    <t>TUMOR-DERIVED EXOSOMES; DIAGNOSTIC BIOMARKERS; CLINICAL-SIGNIFICANCE; OVARIAN-CANCER; NUCLEIC-ACIDS; BLOOD-PLASMA; STOOL DNA; MICRORNAS; CELLS; IDENTIFICATION</t>
  </si>
  <si>
    <t>The efficacy of epidermal growth factor receptor targeted therapy is significantly associated with Kirsten rat sarcoma viral oncogene homolog (KRAS) and B-raf serine/threonine kinase proto-oncogene (BRAE) mutation in patients with colorectal cancer (CRC), for which the standard gene testing is currently performed using tumor tissue DNA. The aim of the present study was to compare the presence of KRAS and BRAE mutations in the serum exosome and primary tumor tissue from patients with CRC Genomic DNA were extracted from the tumor tissues of 35 patients with histologically-confirmed CRC and exosomal mRNA were obtained from peripheral blood, which were collected from the corresponding patients prior to surgery. Three mutations in the KRAS gene (codons 12, 13 and 61) and a mutation in the BRAF gene (codon 600) were detected using a polymerase chain reaction-based sequencing method and their presence were compared between tumor tissues and the matched serum exosomes. The KRAS mutation rates in tumor tissues and the matched serum exosomes were 57.6 and 42.4%, respectively, which was not significantly different (P=0.063). The detection rate of the BRAE mutation was 24.2 and 18.2% in tumor tissues and the matched serum exosomes, respectively, and there was no significant difference (P=0.500). The patients with CRC that had a KRAS mutation of codon 12 in exon 2 in their tumor tissues and serum exosomes were significantly older compared with those without this mutation (tumor tissue, P=0.002; serum exosome, P=0.022). The sensitivity of KRAS and BRAE imitation detection using exosomal mRNA was 73.7 and 75%, respectively. The specificity of the detected mutations exhibited an efficiency of 100%, and the total consistency rate was 94.9 and 93.9% for KRAS and BRAE mutations, respectively. These results suggested that serum exosomal mRNA may be used as a novel source for the rapid and non-invasive genotyping of patients with CRC.</t>
  </si>
  <si>
    <t>[Hao, Yi-Xin; Ye, Ming; Guo, Yan-Yan; Li, Qiu-Wen; Peng, Xiu-Mei; Wang, Qi; Zhang, Shu-Fang; Zhao, Hui-Xia; Zhang, He; Li, Guang-Hui; Zhu, Jian-Hua; Xiao, Wen-Hua] Peoples Liberat Army, Affiliated Hosp 1, Dept Oncol, Gen Hosp, 51 Fucheng Rd, Beijing 100039, Peoples R China; [Li, Yong-Mei] Second Mil Med Univ, Changhai Hosp, Dept Oncol, Shanghai 200433, Peoples R China</t>
  </si>
  <si>
    <t>Chinese People's Liberation Army General Hospital; Naval Medical University</t>
  </si>
  <si>
    <t>Hao, YX; Xiao, WH (corresponding author), Peoples Liberat Army, Affiliated Hosp 1, Dept Oncol, Gen Hosp, 51 Fucheng Rd, Beijing 100039, Peoples R China.</t>
  </si>
  <si>
    <t>15901537871@163.com; w_hxiao@hotmail.com</t>
  </si>
  <si>
    <t>10.3892/ol.2017.5889</t>
  </si>
  <si>
    <t>WOS:000401129800103</t>
  </si>
  <si>
    <t>Chen, FY; Xu, B; Li, J; Yang, X; Gu, JJ; Yao, XJ; Sun, XC</t>
  </si>
  <si>
    <t>Chen, Fangyu; Xu, Bing; Li, Jie; Yang, Xi; Gu, Junjie; Yao, Xijuan; Sun, Xinchen</t>
  </si>
  <si>
    <t>Hypoxic tumour cell-derived exosomal miR-340-5p promotes radioresistance of oesophageal squamous cell carcinoma via KLF10</t>
  </si>
  <si>
    <t>Hypoxia; Extracellular vesicles; miRNA; Oesophageal cancer; Radiotherapy</t>
  </si>
  <si>
    <t>CANCER SURVIVAL; IN-VITRO; CHEMORADIOTHERAPY; RADIOTHERAPY</t>
  </si>
  <si>
    <t>BackgroundRadiotherapy resistance is a major obstacle in the treatment of oesophageal squamous cell carcinoma (OSCC). Hypoxia is a critical cause of radioresistance. However, the communication between hypoxic cells and aerobic cells via exosomes during the transfer of radiation resistance remains unclear.MethodsExo-miR-340-5p levels were analysed by RNA-seq and qRT-PCR. We co-cultured OSCC cells with isolated normoxic and hypoxic exosomes to study their impact on radiosensitivity. We used a specific exo-miR-340-5p mimic and knock-down retrovirus to explore the role of this miRNA in the transfer of radioresistance from hypoxic to normoxic cells. Dual-luciferase reporter and RIP assays were used to verify KLF10 as a putative target of miR-340-5p. Several in vitro assays were conducted and xenograft models were established to investigate the effect of exo-miR-340-5p on OSCC radiosensitivity. The plasma exo-miR-340-5p levels in OSCC patients were analysed to study the clinical value of this parameter.ResultsHypoxic exosomes alleviated radiation-induced apoptosis and accelerated DNA damage repair. miR-340-5p was highly expressed in hypoxic exosomes and was transferred into normoxic cells, where it induced radioresistance. Overexpression of miR-340-5p in normoxic OSCC cells mimicked the radioresistance of cells co-cultured with hypoxic exosomes. Knockdown of miR-340-5p in hypoxic exosomes reversed the radioresistance effect, indicating that exo-miR-340-5p is critical for hypoxic EV-transferred radioresistance. KLF10 was identified as the direct target of miR-340-5p. Moreover, metformin was found to increase the expression of KLF10 and enhance the radiosensitivity of OSCC. Higher levels of miR-340-5p in the plasma exosomes from OSCC patients are related to a poorer radiotherapy response and prognosis.ConclusionsHypoxic tumour cell-derived exosomal miR-340-5p confers radioresistance in OSCC by targeting KLF10/UVRAG, suggesting that miR-340-5p could be a potential biomarker and therapeutic target for the enhancement of radiosensitivity in OSCC. Metformin can increase KLF10 expression, which ameliorates the radioresistance induced by exo-miR-340-5p transfer. Therefore, metformin could be further investigated as a therapeutic option for the treatment of OSCC.</t>
  </si>
  <si>
    <t>[Chen, Fangyu; Xu, Bing; Li, Jie; Gu, Junjie; Yao, Xijuan] Nanjing Med Univ, Sch Clin Med 1, Nanjing, Peoples R China; [Chen, Fangyu; Xu, Bing; Gu, Junjie; Yao, Xijuan; Sun, Xinchen] Nanjing Med Univ, Affiliated Hosp 1, Dept Radiat Oncol, 300 Guangzhou Rd, Nanjing 210029, Peoples R China; [Yang, Xi] Fudan Univ, Dept Radiat Oncol, Shanghai Canc Ctr, Shanghai, Peoples R China; [Yang, Xi] Fudan Univ, Shanghai Med Coll, Dept Oncol, Shanghai, Peoples R China</t>
  </si>
  <si>
    <t>Nanjing Medical University; Nanjing Medical University; Fudan University; Fudan University</t>
  </si>
  <si>
    <t>Sun, XC (corresponding author), Nanjing Med Univ, Affiliated Hosp 1, Dept Radiat Oncol, 300 Guangzhou Rd, Nanjing 210029, Peoples R China.</t>
  </si>
  <si>
    <t>sunxinchen@njmu.edu.cn</t>
  </si>
  <si>
    <t>JAN 23</t>
  </si>
  <si>
    <t>10.1186/s13046-021-01834-9</t>
  </si>
  <si>
    <t>WOS:000612959100003</t>
  </si>
  <si>
    <t>Shimoda, A; Tahara, Y; Sawada, S; Sasaki, Y; Akiyoshi, K</t>
  </si>
  <si>
    <t>Shimoda, Asako; Tahara, Yoshiro; Sawada, Shin-ichi; Sasaki, Yoshihiro; Akiyoshi, Kazunari</t>
  </si>
  <si>
    <t>Glycan profiling analysis using evanescent-field fluorescence-assisted lectin array: Importance of sugar recognition for cellular uptake of exosomes from mesenchymal stem cells</t>
  </si>
  <si>
    <t>Exosome; Mesenchymal stem cell; Glycan; Lectin array; Sialic acid</t>
  </si>
  <si>
    <t>EXTRACELLULAR VESICLES; SIALIC ACIDS; IMMUNOGLOBULIN-G; DRUG-DELIVERY; GLYCOSYLATION; NANOCARRIERS; STRATEGY; MICROARRAYS; ROLES</t>
  </si>
  <si>
    <t>Studies involving the functional analysis of exosomal contents including proteins, DNA, and RNA have been reported. Most membrane proteins and lipids are glycosylated, which controls their physical properties and functions, but little is known about glycans on exosomes owing to the difficulty of analysing them. To shed light on these issues, we collected exosomes from mesenchymal stem cells (MSCs) derived from human adipose tissue for glycan profiling using evanescent-field fluorescence assisted lectin array as well as analysis of their uptake in vivo. Initial analyses showed that the mean diameter of the collected exosomes was 178 nm and they presented with typical exosomal and MSC markers. Regarding the glycan profiling, exosomes interacted more strongly than the membrane of the original MSCs did with a range of lectins, especially sialic acid-binding lectins. The findings also showed that cellular exosome uptake involved recognition by HeLa cell-surface-bound sialic acid-binding immunoglobulin (1g)-like lectins (siglecs). Confirming this siglec-related uptake, in vivo experiments involving subcutaneous injection of the fluorescently labelled exosomes into mice showed their transport into lymph nodes and internalization by antigen-presenting cells, particularly those expressing CD11b. Closer analysis revealed the colocalization of the exosomes with siglecs, indicating their involvement in the uptake. These findings provide us with an improved understanding of the importance of exosomal transport and targeting in relation to glycans on exosomal surfaces, potentially enabling us to standardize exosomes when using them for therapeutic purposes.(C) 2017 Elsevier Inc. All rights reserved.</t>
  </si>
  <si>
    <t>[Shimoda, Asako; Tahara, Yoshiro; Sawada, Shin-ichi; Sasaki, Yoshihiro; Akiyoshi, Kazunari] Kyoto Univ, Dept Polymer Chem, Grad Sch Engn, Nishikyo Ku, Kyoto 6158510, Japan; [Shimoda, Asako; Tahara, Yoshiro; Sawada, Shin-ichi; Akiyoshi, Kazunari] Japan Sci &amp; Technol Agcy JST, Exploratory Res Adv Technol ERATO, Bionanotransporter Project, Katsura Inttech Ctr,Nishikyo Ku, Kyoto 6158530, Japan</t>
  </si>
  <si>
    <t>Kyoto University; Japan Science &amp; Technology Agency (JST)</t>
  </si>
  <si>
    <t>Akiyoshi, K (corresponding author), Kyoto Univ, Dept Polymer Chem, Grad Sch Engn, Nishikyo Ku, Kyoto 6158510, Japan.</t>
  </si>
  <si>
    <t>akiyoshi@bio.polym.kyoto-u.ac.jp</t>
  </si>
  <si>
    <t>Tahara, Yoshiro/F-2786-2018</t>
  </si>
  <si>
    <t>Tahara, Yoshiro/0000-0003-2278-9121</t>
  </si>
  <si>
    <t>10.1016/j.bbrc.2017.07.126</t>
  </si>
  <si>
    <t>WOS:000410876900021</t>
  </si>
  <si>
    <t>Ning, CF; Wang, LY; Tian, YF; Yin, BC; Ye, BC</t>
  </si>
  <si>
    <t>Ning, Cui-Fang; Wang, Luying; Tian, Ya-Fei; Yin, Bin-Cheng; Ye, Bang-Ce</t>
  </si>
  <si>
    <t>Multiple and sensitive SERS detection of cancer-related exosomes based on gold-silver bimetallic nanotrepangs</t>
  </si>
  <si>
    <t>RAMAN-SPECTROSCOPY; MOLECULES; NANORODS; BEADS; AU</t>
  </si>
  <si>
    <t>Exosomes are endogenous vesicles of cells, and can be used as important biomarkers for cancers. In this work, we developed a sensitive and reliable SERS sensor for simultaneous detection of multiple cancer-related exosomes. The SERS detection probes were made of bimetallic SERS-active nanotags, gold-silver-silver core-shell-shell nanotrepangs (GSSNTs), which were composed of bumpy surface nanorod (gold nanotrepang, GNT) cores and bilayer silver shells, and decorated with linker DNAs, which were complementary to the aptamer targeting exosomes. Three kinds of SERS detection probes were designed via the adoption of different Raman reporter molecules and linker DNAs. The capture probes were prepared by modifying specific aptamers of the target exosomes on magnetic beads (MBs). In the absence of target exosomes, SERS detection probes were coupled with MBs via specific DNA hybridization for use as aptamer-based SERS sensors. In the presence of target exosomes, the aptamer specifically recognized and captured the exosomes, and GSSNTs were subsequently released into the supernatant. Therefore, attenuated SERS signals were detected on the MBs, indicating the presence of target exosomes. The proposed aptamer-based SERS sensor is expected to be a facile and sensitive method for the multiplex detection of cancer biomarkers and has potential future applications in clinical diagnosis.</t>
  </si>
  <si>
    <t>[Ning, Cui-Fang; Wang, Luying; Yin, Bin-Cheng; Ye, Bang-Ce] Zhejiang Univ Technol, Inst Engn Biol &amp; Hlth, Collaborat Innovat Ctr Yangtze River Delta Reg Gr, Coll Pharmaceut Sci, Hangzhou 310014, Zhejiang, Peoples R China; [Tian, Ya-Fei; Yin, Bin-Cheng; Ye, Bang-Ce] East China Univ Sci &amp; Technol, Lab Biosyst &amp; Microanal, State Key Lab Bioreactor Engn, Shanghai 200237, Peoples R China; [Yin, Bin-Cheng; Ye, Bang-Ce] Shihezi Univ, Sch Chem &amp; Chem Engn, Xinjiang 832000, Peoples R China</t>
  </si>
  <si>
    <t>Zhejiang University of Technology; East China University of Science &amp; Technology; Shihezi University</t>
  </si>
  <si>
    <t>Yin, BC (corresponding author), Zhejiang Univ Technol, Inst Engn Biol &amp; Hlth, Collaborat Innovat Ctr Yangtze River Delta Reg Gr, Coll Pharmaceut Sci, Hangzhou 310014, Zhejiang, Peoples R China.;Yin, BC (corresponding author), East China Univ Sci &amp; Technol, Lab Biosyst &amp; Microanal, State Key Lab Bioreactor Engn, Shanghai 200237, Peoples R China.;Yin, BC (corresponding author), Shihezi Univ, Sch Chem &amp; Chem Engn, Xinjiang 832000, Peoples R China.</t>
  </si>
  <si>
    <t>APR 7</t>
  </si>
  <si>
    <t>10.1039/c9an02180a</t>
  </si>
  <si>
    <t>WOS:000526825700036</t>
  </si>
  <si>
    <t>Podolich, O; Kukharenko, O; Zaets, I; Orlovska, I; Palchykovska, L; Zaika, L; Sysoliatin, S; Zubova, G; Reva, O; Galkin, M; Horid'ko, T; Kosiakova, H; Borisova, T; Kravchenko, V; Skoryk, M; Kremenskoy, M; Ghosh, P; Barh, D; Goes-Neto, A; Azevedo, V; de Vera, JP; Kozyrovska, N</t>
  </si>
  <si>
    <t>Podolich, Olga; Kukharenko, Olga; Zaets, Iryna; Orlovska, Iryna; Palchykovska, Larysa; Zaika, Leonid; Sysoliatin, Serhii; Zubova, Ganna; Reva, Oleg; Galkin, Maxym; Horid'ko, Tetyana; Kosiakova, Halyna; Borisova, Tatiana; Kravchenko, Volodymyr; Skoryk, Mykola; Kremenskoy, Maxym; Ghosh, Preetam; Barh, Debmalya; Goes-Neto, Aristoteles; Azevedo, Vasco; de Vera, Jean-Pierre; Kozyrovska, Natalia</t>
  </si>
  <si>
    <t>Fitness of Outer Membrane Vesicles From Komagataeibacter intermedius Is Altered Under the Impact of Simulated Mars-like Stressors Outside the International Space Station</t>
  </si>
  <si>
    <t>outer membrane vesicles; Mars-like stressors; lipids; functionality; biosafety</t>
  </si>
  <si>
    <t>GRAM-NEGATIVE BACTERIA; EXTRACELLULAR VESICLES; IMMUNE-RESPONSES; PROTEINS; ACID; PH; PHOSPHOLIPIDS; MICROGRAVITY; SPACEFLIGHT; MODULATION</t>
  </si>
  <si>
    <t>Outer membrane vesicles (OMVs), produced by nonpathogenic Gram-negative bacteria, have potentially useful biotechnological applications in extraterrestrial extreme environments. However, their biological effects under the impact of various stressors have to be elucidated for safety reasons. In the spaceflight experiment, model biofilm kombucha microbial community (KMC) samples, in which Komagataeibacter intermedius was a dominant community-member, were exposed under simulated Martian factors (i.e., pressure, atmosphere, and UV-illumination) outside the International Space Station (ISS) for 1.5 years. In this study, we have determined that OMVs from post-flight K. intermedius displayed changes in membrane composition, depending on the location of the samples and some other factors. Membrane lipids such as sterols, fatty acids (FAs), and phospholipids (PLs) were modulated under the Mars-like stressors, and saturated FAs, as well as both short-chain saturated and trans FAs, appeared in the membranes of OMVs shed by both post-UV-illuminated and dark bacteria. The relative content of zwitterionic and anionic PLs changed, producing a change in surface properties of outer membranes, thereby resulting in a loss of interaction capability with polynucleotides. The changed composition of membranes promoted a bigger OMV size, which correlated with changes of OMV fitness. Biochemical characterization of the membrane-associated enzymes revealed an increase in their activity (DNAse, dehydrogenase) compared to wild type. Other functional membrane-associated capabilities of OMVs (e.g., proton accumulation, interaction with linear DNA, or synaptosomes) were also altered after exposure to the spaceflight stressors. Despite alterations in membranes, vesicles did not acquire endotoxicity, cytotoxicity, and neurotoxicity. Altogether, our results show that OMVs, originating from rationally selected nonpathogenic Gram-negative bacteria, can be considered as candidates in the design of postbiotics or edible mucosal vaccines for in situ production in extreme environment. Furthermore, these OMVs could also be used as promising delivery vectors for applications in Astromedicine.</t>
  </si>
  <si>
    <t>[Podolich, Olga; Kukharenko, Olga; Zaets, Iryna; Orlovska, Iryna; Palchykovska, Larysa; Zaika, Leonid; Sysoliatin, Serhii; Zubova, Ganna; Kozyrovska, Natalia] NASU, Inst Mol Biol &amp; Genet, Kiev, Ukraine; [Reva, Oleg] Univ Pretoria, Ctr Bioinformat &amp; Computat Biol, Pretoria, South Africa; [Galkin, Maxym; Horid'ko, Tetyana; Kosiakova, Halyna; Borisova, Tatiana] NASU, Palladin Inst Biochem, Kiev, Ukraine; [Kravchenko, Volodymyr; Kremenskoy, Maxym] NanoMedTech LLC, Kiev, Ukraine; [Skoryk, Mykola; Ghosh, Preetam] Virginia Commonwealth Univ, Dept Comp Sci, Richmond, VA USA; [Barh, Debmalya] Ctr Genom &amp; Appl Gene Technol, Inst Integrat Omics &amp; Appl Biotechnol IIOAB, Purba Medinipur, India; [Goes-Neto, Aristoteles] Univ Fed Minas Gerais, Inst Biol Sci, Dept Microbiol, Mol &amp; Computat Biol Fungi Lab, Belo Horizonte, MG, Brazil; [Azevedo, Vasco] Univ Fed Minas Gerais, Inst Biol Sci, Dept Gen Biol, Lab Cellular &amp; Mol Genet, Belo Horizonte, MG, Brazil; [de Vera, Jean-Pierre] German Aerosp Ctr, Inst Planetary Res, Berlin, Germany</t>
  </si>
  <si>
    <t>National Academy of Sciences Ukraine; Institute of Molecular Biology &amp; Genetics of NASU; University of Pretoria; National Academy of Sciences Ukraine; Palladin Institute of Biochemistry of NASU; Virginia Commonwealth University; Universidade Federal de Minas Gerais; Universidade Federal de Minas Gerais; Helmholtz Association; German Aerospace Centre (DLR)</t>
  </si>
  <si>
    <t>Podolich, O (corresponding author), NASU, Inst Mol Biol &amp; Genet, Kiev, Ukraine.</t>
  </si>
  <si>
    <t>podoloiga@ukr.net</t>
  </si>
  <si>
    <t>Azevedo, Vasco A/B-1556-2019</t>
  </si>
  <si>
    <t>Azevedo, Vasco A/0000-0002-4775-2280; Galkin, Maksym/0000-0002-5953-1725; Kozyrovska, Natalia/0000-0002-2849-3471</t>
  </si>
  <si>
    <t>JUN 26</t>
  </si>
  <si>
    <t>10.3389/fmicb.2020.01268</t>
  </si>
  <si>
    <t>WOS:000615594300001</t>
  </si>
  <si>
    <t>Chen, ML; He, F; Yin, BC; Ye, BC</t>
  </si>
  <si>
    <t>Chen, Meng-Li; He, Fang; Yin, Bin-Cheng; Ye, Bang-Ce</t>
  </si>
  <si>
    <t>Simultaneous imaging of cancer biomarkers in live cells based on DNA-engineered exosomes</t>
  </si>
  <si>
    <t>Cancer biomarkers are directly related to the development of cancers. Noninvasive identification of the location and expression levels of these biomarkers in live cancer cells offers great potential for accurate early-stage cancer diagnosis and cancer metastasis monitoring. Herein, we propose a DNA-engineered exosome (DNA-Exo) nanoplatform to image dual cancer biomarkers at the single-cell level, in which DNA probes were modified with the cholesterol group to facilely anchor on the exosomal membrane through hydrophobic interaction. Fluorophore-labeled DNA aptamer and hairpin probes targeting two kinds of cancer biomarkers of transmembrane glycoprotein mucin 1 (MUC1) and cytoplasmic microRNA-21 (miR-21), respectively, were employed for convenient dual-fluorescence imaging of cancer cells. The cellular uptake of DNA-Exos induced the specific recognition of MUC1 and miR-21, allowing the acquisition of the expression levels and spatial distributions of these two biomarkers in three tested cell lines. Our work demonstrated that the proposed DNA-Exos with designable functions have the capacity to visually discriminate different cell types based on the specific recognition of analytes.</t>
  </si>
  <si>
    <t>[Chen, Meng-Li; He, Fang; Yin, Bin-Cheng; Ye, Bang-Ce] East China Univ Sci &amp; Technol, Lab Biosyst &amp; Microanal, State Key Lab Bioreactor Engn, Shanghai 200237, Peoples R China; [Yin, Bin-Cheng; Ye, Bang-Ce] Zhejiang Univ Technol, Collaborat Innovat Ctr Yangtze River Delta Reg Gr, Coll Pharmaceut Sci, Hangzhou 310014, Zhejiang, Peoples R China; [Yin, Bin-Cheng] Shihezi Univ, Sch Chem &amp; Chem Engn, Shihezi 832000, Xinjiang, Peoples R China</t>
  </si>
  <si>
    <t>Yin, BC; Ye, BC (corresponding author), East China Univ Sci &amp; Technol, Lab Biosyst &amp; Microanal, State Key Lab Bioreactor Engn, Shanghai 200237, Peoples R China.;Yin, BC; Ye, BC (corresponding author), Zhejiang Univ Technol, Collaborat Innovat Ctr Yangtze River Delta Reg Gr, Coll Pharmaceut Sci, Hangzhou 310014, Zhejiang, Peoples R China.;Yin, BC (corresponding author), Shihezi Univ, Sch Chem &amp; Chem Engn, Shihezi 832000, Xinjiang, Peoples R China.</t>
  </si>
  <si>
    <t>MAR 7</t>
  </si>
  <si>
    <t>10.1039/d0an02353a</t>
  </si>
  <si>
    <t>WOS:000626184800016</t>
  </si>
  <si>
    <t>Wieckowski, EU; Visus, C; Szajnik, M; Szczepanski, MJ; Storkus, WJ; Whiteside, TL</t>
  </si>
  <si>
    <t>Wieckowski, Eva U.; Visus, Carmen; Szajnik, Marta; Szczepanski, Miroslaw J.; Storkus, Walter J.; Whiteside, Theresa L.</t>
  </si>
  <si>
    <t>Tumor-Derived Microvesicles Promote Regulatory T Cell Expansion and Induce Apoptosis in Tumor-Reactive Activated CD8(+) T Lymphocytes</t>
  </si>
  <si>
    <t>FAS LIGAND; PROTEOMIC ANALYSIS; RELEASED MICROVESICLES; IMMUNE SUPPRESSION; MEMBRANE-VESICLES; EXOSOMES; CANCER; HEAD; NECK; CARCINOMA</t>
  </si>
  <si>
    <t>Sera of patients with cancer contain membraneous microvesicles (MV) able to induce apoptosis of activated T cells by activating the Fas/Fas ligand pathway. However, the cellular origin of MV found in cancer patients' sera varies as do their molecular and cellular profiles. To distinguish tumor-derived MV in cancer patients' sera, we used MAGE 3/6(+) present in tumors and MV. Molecular profiles of MAGE 3/6(+) MV were compared in Western blots or by flow cytometry with those of MV secreted by dendritic cells or activated T cells. These profiles were found to be distinct for each cell type. Only tumor-derived MV were MAGE 3/6(+) and were variably enriched in 42-kDa Fas ligand and MHC class I but not class H molecules. Effects of MV on signaling via the TCR and IL-2R and proliferation or apoptosis of activated primary T cells and T cell subsets were also assessed. Functions of activated CD8(+) and CD4(+) T lymphocytes were differentially modulated by tumor-derived MV. These MV inhibited signaling and proliferation of activated CD8(+) but not CD4(+) T cells and induced apoptosis of CD8(+) T cells, including tumor-reactive, tetramer(+)CD8(+) T cells as detected by flow cytometry for caspase activation and annexin V binding or by DNA fragmentation. Tumor-derived but not dendritic cell-derived MV induced the in vitro expansion of CD4(+)CD25(+)FOXP3(+) T regulatory cells and enhanced their suppressor activity. The data suggest that tumor-derived MV induce immune suppression by promoting T regulatory cell expansion and the demise of antitumor CD8(+) effector T cells, thus contributing to tumor escape. The Journal of Immunology, 2009,183: 3720-3730.</t>
  </si>
  <si>
    <t>[Whiteside, Theresa L.] Univ Pittsburgh, Canc Inst Res Pavil, Hillman Canc Ctr, Sch Med,Dept Pathol, Pittsburgh, PA 15213 USA; [Storkus, Walter J.] Univ Pittsburgh, Sch Med, Dept Dermatol, Pittsburgh, PA 15213 USA; [Wieckowski, Eva U.; Visus, Carmen; Szajnik, Marta; Szczepanski, Miroslaw J.; Storkus, Walter J.; Whiteside, Theresa L.] Univ Pittsburgh, Inst Canc, Pittsburgh, PA 15213 USA</t>
  </si>
  <si>
    <t>Whiteside, TL (corresponding author), Univ Pittsburgh, Canc Inst Res Pavil, Hillman Canc Ctr, Sch Med,Dept Pathol, 5117 Ctr Ave,Suite 1-27D, Pittsburgh, PA 15213 USA.</t>
  </si>
  <si>
    <t>whitesidet1@upmc.edu</t>
  </si>
  <si>
    <t>Storkus, Walter/0000-0001-8961-4444</t>
  </si>
  <si>
    <t>10.4049/jimmunol.0900970</t>
  </si>
  <si>
    <t>WOS:000270179700023</t>
  </si>
  <si>
    <t>Seneff, S; Nigh, G; Kyriakopoulos, AM; McCullough, PA</t>
  </si>
  <si>
    <t>Seneff, Stephanie; Nigh, Greg; Kyriakopoulos, Anthony M.; McCullough, Peter A.</t>
  </si>
  <si>
    <t>Innate immune suppression by SARS-CoV-2 mRNA vaccinations: The role of G-quadruplexes, exosomes, and MicroRNAs</t>
  </si>
  <si>
    <t>FOOD AND CHEMICAL TOXICOLOGY</t>
  </si>
  <si>
    <t>SARS-CoV-2 mRNA vaccines; Type I interferon Response; Exosomes; G-quadruplexes; microRNAs; Cancer</t>
  </si>
  <si>
    <t>REGULATORY FACTOR FAMILY; I INTERFERONS; ANGIOTENSIN-II; IFN-ALPHA; PROTEIN EXPRESSION; PROSTATE-CANCER; BONE METASTASIS; T-CELLS; VACCINES; GAMMA</t>
  </si>
  <si>
    <t>The mRNA SARS-CoV-2 vaccines were brought to market in response to the public health crises of Covid-19. The utilization of mRNA vaccines in the context of infectious disease has no precedent. The many alterations in the vaccine mRNA hide the mRNA from cellular defenses and promote a longer biological half-life and high production of spike protein. However, the immune response to the vaccine is very different from that to a SARS-CoV-2 infection. In this paper, we present evidence that vaccination induces a profound impairment in type I interferon signaling, which has diverse adverse consequences to human health. Immune cells that have taken up the vaccine nanoparticles release into circulation large numbers of exosomes containing spike protein along with critical microRNAs that induce a signaling response in recipient cells at distant sites. We also identify potential profound disturbances in regulatory control of protein synthesis and cancer surveillance. These disturbances potentially have a causal link to neurodegenerative disease, myocarditis, immune thrombocytopenia, Bell's palsy, liver disease, impaired adaptive immunity, impaired DNA damage response and tumorigenesis. We show evidence from the VAERS database supporting our hypothesis. We believe a comprehensive risk/benefit assessment of the mRNA vaccines questions them as positive contributors to public health.</t>
  </si>
  <si>
    <t>[Seneff, Stephanie] MIT, Comp Sci &amp; Artificial Intelligence Lab, Cambridge, MA 02139 USA; [Nigh, Greg] Immers Hlth, Portland, OR 97214 USA; [Kyriakopoulos, Anthony M.] Dept Res &amp; Dev, Nasco AD Biotechnol Lab, Res &amp; Dev, Sachtouri 11, Piraeus 18536, Greece; [McCullough, Peter A.] Truth Hlth Fdn, Tucson, AZ USA</t>
  </si>
  <si>
    <t>Massachusetts Institute of Technology (MIT)</t>
  </si>
  <si>
    <t>Seneff, S (corresponding author), MIT, Comp Sci &amp; Artificial Intelligence Lab, Cambridge, MA 02139 USA.</t>
  </si>
  <si>
    <t>seneff@csail.mit.edu; drnigh@immersionhealthpdx.com; antkyriak@gmail.com; peteramccullough@gmail.com</t>
  </si>
  <si>
    <t>Seneff, Stephanie/0000-0001-8191-1049</t>
  </si>
  <si>
    <t>0278-6915</t>
  </si>
  <si>
    <t>1873-6351</t>
  </si>
  <si>
    <t>10.1016/j.fct.2022.113008</t>
  </si>
  <si>
    <t>Food Science &amp; Technology; Toxicology</t>
  </si>
  <si>
    <t>WOS:000829861300004</t>
  </si>
  <si>
    <t>Chaput, N; Schartz, NEC; Andre, F; Taieb, J; Novault, S; Bonnaventure, P; Aubert, N; Bernard, J; Lemonnier, F; Merad, M; Adema, G; Adams, M; Ferrantini, M; Carpentier, AF; Escudier, B; Tursz, T; Angevin, E; Zitvogel, L</t>
  </si>
  <si>
    <t>Exosomes as potent cell-free peptide-based vaccine. II. Exosomes in CpG adjuvants efficiently prime naive Tc1 lymphocytes leading to tumor rejection</t>
  </si>
  <si>
    <t>DOUBLE-STRANDED-RNA; SYNTHETIC IMMUNOMODULATOR MURABUTIDE; HUMAN DENDRITIC CELLS; TOLL-LIKE RECEPTORS; IN-VIVO; IMMUNE-RESPONSES; NECROSIS-FACTOR; BACTERIAL-DNA; MURAMYL PEPTIDES; CLINICAL-TRIAL</t>
  </si>
  <si>
    <t>Ideal vaccines should be stable, safe, molecularly defined, and out-of-shelf reagents efficient at triggering effector and memory Ag-specific T cell-based immune responses. Dendritic cell-derived exosomes could be considered as novel peptide-based vaccines because exosomes harbor a discrete set of proteins, bear functional MHC class I and 11 molecules that can be loaded with synthetic peptides of choice, and are stable reagents that were safely used in pioneering phase I studies. However, we showed in part I that exosomes are efficient to promote primary MHC class I-restricted effector CD8(+) T cell responses only when transferred onto mature DC in vivo. In this work, we bring evidence that among the clinically available reagents, Toll-like receptor 3 and 9 ligands are elective adjuvants capable of triggering efficient MHC-restricted CD8(+) T cell responses when combined to exosomes. Exosome immunogenicity across species allowed to verify the efficacy of good manufactory procedures-manufactured human exosomes admixed with CpG oligonucleotides in prophylactic and therapeutic settings of melanoma in HLA-A2 transgenic mice. CpG adjuvants appear to be ideal adjuvants for exosome-based cancer vaccines.</t>
  </si>
  <si>
    <t>Inst Gustave Roussy, ERM0208, INSERM, Immunol Unit,Dept Clin Biol, F-94805 Villejuif, France; Ctr Jean Godinot, Reims, France; Inst Pasteur, Unite Immunol Cellulaire Antivirale, Paris, France; AP HP St Louis, Serv Dermatol 2, Paris, France; Stanford Univ, Stanford Blood Ctr, Stanford, CA USA; Ist Super Sanita, Virol Lab, I-00161 Rome, Italy; Univ Hosp Nijmegen, Dept Tumor Immunol, Nijmegen, Netherlands; Velindre Hosp NHS Trust, Dept Med Oncol, Cardiff, S Glam, Wales; AP HP Pitie Salpetriere, Neurol Serv, Paris, France</t>
  </si>
  <si>
    <t>Institut National de la Sante et de la Recherche Medicale (Inserm); UNICANCER; Gustave Roussy; UNICANCER; Institut Jean Godinot; Le Reseau International des Instituts Pasteur (RIIP); Institut Pasteur Paris; Assistance Publique Hopitaux Paris (APHP); Hopital Universitaire Saint-Louis - APHP; UDICE-French Research Universities; Universite de Paris; Stanford University; Istituto Superiore di Sanita (ISS); Radboud University Nijmegen; Velindre Hospital; Assistance Publique Hopitaux Paris (APHP); Hopital Universitaire Pitie-Salpetriere - APHP; UDICE-French Research Universities; Sorbonne Universite</t>
  </si>
  <si>
    <t>Zitvogel, L (corresponding author), Inst Gustave Roussy, ERM0208, INSERM, Immunol Unit,Dept Clin Biol, 39 Rue Camille Desmoulins, F-94805 Villejuif, France.</t>
  </si>
  <si>
    <t>zitvogel@igr.fr</t>
  </si>
  <si>
    <t>ANDRE, Fabrice/AAL-2683-2020; Adema, G.J./H-8007-2014</t>
  </si>
  <si>
    <t>ANDRE, Fabrice/0000-0001-5795-8357; Ferrantini, Maria/0000-0002-6979-0149; Francois, Lemonnier/0000-0002-6741-2742; ZITVOGEL, laurence/0000-0003-1596-0998; ANGEVIN, Eric/0000-0001-6249-7209</t>
  </si>
  <si>
    <t>10.4049/jimmunol.172.4.2137</t>
  </si>
  <si>
    <t>WOS:000188788600020</t>
  </si>
  <si>
    <t>Lavialle, F; Deshayes, S; Gonnet, F; Larquet, E; Kruglik, SG; Boisset, N; Daniel, R; Alfsen, A; Tatischeff, I</t>
  </si>
  <si>
    <t>Lavialle, Francoise; Deshayes, Sophie; Gonnet, Florence; Larquet, Eric; Kruglik, Sergei G.; Boisset, Nicolas; Daniel, Regis; Alfsen, Annette; Tatischeff, Irene</t>
  </si>
  <si>
    <t>Nanovesicles released by Dictyostelium cells: A potential carrier for drug delivery</t>
  </si>
  <si>
    <t>Extracellular vesicles; Drug delivery; Hypericin; Dictyostelium discoideum</t>
  </si>
  <si>
    <t>VITRO PHOTODYNAMIC THERAPY; IN-VITRO; GOLGI-APPARATUS; LIVING CELLS; HYPERICIN; PROTEIN; VESICLES; EXOSOMES; BIOGENESIS; LIPOSOMES</t>
  </si>
  <si>
    <t>Nanovesicles released by Dictyostelium discoideum cells grown in the presence of the DNA-specific dye Hoechst 33342 have been previously shown to mediate the transfer of the dye into the nuclei of Hoechst-resistant cells. The present investigation extends this work by conducting experiments in the presence of hypericin, a fluorescent therapeutic photosensitizer assayed for antitumoral photodynamic therapy. Nanovesicles released by Dictyostelium cells exhibit an averaged diameter between 50 and 150 nm, as measured by transmission cryoelectron microscopy. A proteomic analysis reveals a predominance of actin and actin-related proteins. The detection of a lysosomal membrane protein (LIMP II) indicates that these vesicles are likely generated in the late endosomal compartment. The use of the hypericin-containing nanovesicles as nanodevices for in vitro drug delivery was investigated by fluorescence microscopy. The observed signal was almost exclusively located in the perinuclear area of two human cell lines, skin fibroblasts (HS68)and cervix carcinoma (HeLa)cells. Studies by confocal microscopy with specific markers of cell organelles, provided evidence that hypericin was accumulated in the Golgi apparatus. All these data shed a new light on in vitro drug delivery by using cell-released vesicles as carriers. (C) 2009 Elsevier B.V. All rights reserved.</t>
  </si>
  <si>
    <t>[Tatischeff, Irene] Univ Paris 06, CNRS, FRE 3207,UMR7033, ANBio BioMoCeTi,Lab Biophys Mol Cellulaire &amp; Tiss, F-91030 Evry, France; [Gonnet, Florence; Daniel, Regis] Univ Evry val Essonne, CNRS, UMR8587, Lab Anal &amp; Modelisat Biol &amp; Environm, F-91025 Evry, France; [Larquet, Eric; Boisset, Nicolas] Univ Paris 06, CNRS, UMR7590, Inst Mineral &amp; Phys Milieux Condenses, F-75252 Paris, France; [Alfsen, Annette] Univ Paris 05, Dept Biol Cellulaire, Inst Cochin, CNRS,INSERM,UMR8104,U567, F-75014 Paris, France</t>
  </si>
  <si>
    <t>Centre National de la Recherche Scientifique (CNRS); UDICE-French Research Universities; Sorbonne Universite; Centre National de la Recherche Scientifique (CNRS); CNRS - Institute of Chemistry (INC); UDICE-French Research Universities; Universite Paris Saclay; CEA; CY Cergy Paris Universite; Centre National de la Recherche Scientifique (CNRS); CNRS - Institute of Physics (INP); UDICE-French Research Universities; Sorbonne Universite; Institut de Recherche pour le Developpement (IRD); Universite de Paris; Assistance Publique Hopitaux Paris (APHP); Hopital Universitaire Cochin - APHP; Centre National de la Recherche Scientifique (CNRS); CNRS - National Institute for Biology (INSB); Institut National de la Sante et de la Recherche Medicale (Inserm); UDICE-French Research Universities; Universite de Paris</t>
  </si>
  <si>
    <t>Tatischeff, I (corresponding author), Univ Paris 06, CNRS, FRE 3207,UMR7033, ANBio BioMoCeTi,Lab Biophys Mol Cellulaire &amp; Tiss, Genopole Campus 1,Bat Genavenir 8,5 Rue Henri Des, F-91030 Evry, France.</t>
  </si>
  <si>
    <t>Daniel, Regis/S-7890-2016; Kruglik, Sergei/F-7042-2012; Gonnet, Florence/R-9650-2017; larquet, eric/ABB-3063-2021</t>
  </si>
  <si>
    <t>Daniel, Regis/0000-0003-0725-5439; Kruglik, Sergei/0000-0002-2945-3092; Gonnet, Florence/0000-0001-5414-2635; larquet, eric/0000-0002-9994-6845</t>
  </si>
  <si>
    <t>10.1016/j.ijpharm.2009.06.039</t>
  </si>
  <si>
    <t>WOS:000270495400028</t>
  </si>
  <si>
    <t>Keller, S; Ridinger, J; Rupp, AK; Janssen, JWG; Altevogt, P</t>
  </si>
  <si>
    <t>Keller, Sascha; Ridinger, Johannes; Rupp, Anne-Kathleen; Janssen, Johannes W. G.; Altevogt, Peter</t>
  </si>
  <si>
    <t>Body fluid derived exosomes as a novel template for clinical diagnostics</t>
  </si>
  <si>
    <t>TUMOR-GROWTH; MATERNAL PLASMA; FETAL DNA; CD24; BIOGENESIS; BIOMARKERS; CELLS; RNA; PROGRESSION; MECHANISM</t>
  </si>
  <si>
    <t>Background: Exosomes are small membrane vesicles with a size of 40-100 nm that are released by different cell types from a late endosomal cellular compartment. They can be found in various body fluids including plasma, malignant ascites, urine, amniotic fluid and saliva. Exosomes contain proteins, miRNAs and mRNAs (exosome shuttle RNA, esRNA) that could serve as novel platform for diagnosis. Method: We isolated exosomes from amniotic fluid, saliva and urine by differential centrifugation on sucrose gradients. Marker proteins were identified by Western blot and FACS analysis after adsorption of exosomes to latex beads. We extracted esRNA from exosomes, carried out RT-PCR, and analyzed amplified products by restriction length polymorphism. Results: Exosomes were positive for the marker proteins CD24, CD9, Annexin-1 and Hsp70 and displayed the correct buoyant density and orientation of antigens. In sucrose gradients the exosomal fractions contained esRNA that could be isolated with sufficient quantity for further analysis. EsRNAs were protected in exosomes from enzymatic degradation. Amniotic fluid esRNA served as template for the typing of the CD24 single nucleotide polymorphism (rs52812045). It also allowed sex determination of the fetus based on the detection of the male specific ZFY gene product. Conclusions: Our data demonstrate that exosomes from body fluids carry esRNAs which can be analyzed and offers access to the transcriptome of the host organism. The exosomal lipid bilayer protects the genetic information from degradation. As the isolation of exosomes is a minimally invasive procedure, this technique opens new possibilities for diagnostics.</t>
  </si>
  <si>
    <t>[Keller, Sascha; Ridinger, Johannes; Rupp, Anne-Kathleen; Altevogt, Peter] German Canc Res Ctr, Tumor Immunol Programme, D-69120 Heidelberg, Germany; [Janssen, Johannes W. G.] Univ Heidelberg, Dept Human Genet, D-69120 Heidelberg, Germany</t>
  </si>
  <si>
    <t>Helmholtz Association; German Cancer Research Center (DKFZ); Ruprecht Karls University Heidelberg</t>
  </si>
  <si>
    <t>Altevogt, P (corresponding author), German Canc Res Ctr, Tumor Immunol Programme, D015, D-69120 Heidelberg, Germany.</t>
  </si>
  <si>
    <t>P.Altevogt@dkfz.de</t>
  </si>
  <si>
    <t>JUN 8</t>
  </si>
  <si>
    <t>10.1186/1479-5876-9-86</t>
  </si>
  <si>
    <t>WOS:000291822700001</t>
  </si>
  <si>
    <t>Mo, LJ; Song, M; Huang, QH; Guan, H; Liu, XD; Xie, DF; Huang, B; Huang, RX; Zhou, PK</t>
  </si>
  <si>
    <t>Mo, Li-Jun; Song, Man; Huang, Qiao-Hua; Guan, Hua; Liu, Xiao-Dan; Xie, Da-Fei; Huang, Bo; Huang, Rui-Xue; Zhou, Ping-Kun</t>
  </si>
  <si>
    <t>Exosome-packaged miR-1246 contributes to bystander DNA damage by targeting LIG4</t>
  </si>
  <si>
    <t>DOUBLE-STRAND BREAKS; EXTRACELLULAR VESICLES; IRRADIATED KERATINOCYTES; HOMOLOGOUS RECOMBINATION; IONIZING-RADIATION; MESSENGER-RNA; CANCER; REPAIR; CELLS; POLYMORPHISMS</t>
  </si>
  <si>
    <t>BACKGROUND: An increasing number of studies have recently reported that microRNAs packaged in exosomes contribute to multiple biological processes such as cancer progression; however, little is known about their role in the development of radiation-induced bystander effects. METHODS: The exosomes were isolated from the culture medium of BEP2D cells with or without gamma-ray irradiation by ultracentrifugation. To monitor DNA damage and repair efficiency, the DNA double-strand break biomarker 53BP1 foci, comet, micronuclei, expression of DNA repair genes and NHEJ repair activity were detected. The miR-1246 targeting sequence of the DNA ligase 4 (LIG4) mRNA 3'UTR was assessed by luciferase reporter vectors. RESULTS: miR-1246 was increased in exosomes secreted from 2 Gy-irradiated BEP2D cells and inhibited the proliferation of nonirradiated cells. The miR-1246 mimic, exosomes from irradiated cells, and radiation-conditioned cell culture medium increased the yields of 53BP1 foci, comet tail and micronuclei in nonirradiated cells, and decreased NHEJ efficiency. miR-1246 downregulated LIG4 expression by directly targeting its 3'UTR. CONCLUSIONS: Our findings demonstrate that miR-1246 packaged in exosomes could act as a transfer messenger and contribute to DNA damage by directly repressing the LIG4 gene. Exosomal miR-1246 may be a critical predictor of and player in radiation-induced bystander DNA damage.</t>
  </si>
  <si>
    <t>[Mo, Li-Jun; Huang, Qiao-Hua; Huang, Bo] Univ South China, Coll Publ Hlth, Inst Environm Med &amp; Radiat Hlth, Hengyang 421001, Hunan, Peoples R China; [Mo, Li-Jun; Song, Man; Guan, Hua; Liu, Xiao-Dan; Xie, Da-Fei; Zhou, Ping-Kun] Beijing Inst Radiat Med, Dept Radiat Biol, Beijing Key Lab Radiobiol, Beijing 100850, Peoples R China; [Huang, Rui-Xue] Cent S Univ, Xiangya Sch Publ Hlth, Dept Occupat &amp; Environm Hlth, Changsha 410078, Hunan, Peoples R China; [Zhou, Ping-Kun] Guangzhou Med Univ, Inst Chem Carcinogenesis, State Key Lab Resp, Guangzhou 511436, Guangdong, Peoples R China</t>
  </si>
  <si>
    <t>University of South China; Central South University; Guangzhou Medical University</t>
  </si>
  <si>
    <t>Zhou, PK (corresponding author), Beijing Inst Radiat Med, Dept Radiat Biol, Beijing Key Lab Radiobiol, Beijing 100850, Peoples R China.;Huang, RX (corresponding author), Cent S Univ, Xiangya Sch Publ Hlth, Dept Occupat &amp; Environm Hlth, Changsha 410078, Hunan, Peoples R China.;Zhou, PK (corresponding author), Guangzhou Med Univ, Inst Chem Carcinogenesis, State Key Lab Resp, Guangzhou 511436, Guangdong, Peoples R China.</t>
  </si>
  <si>
    <t>huangruixue@csu.edu.cn; zhoupk@bmi.ac.cn</t>
  </si>
  <si>
    <t>Zhou, Ping-Kun/AAF-3536-2019</t>
  </si>
  <si>
    <t>Zhou, Ping-Kun/0000-0001-7666-1209</t>
  </si>
  <si>
    <t>10.1038/s41416-018-0192-9</t>
  </si>
  <si>
    <t>WOS:000444244700013</t>
  </si>
  <si>
    <t>Zhang, HW; Yu, LJ; Zhang, CM; Zhang, YS; Shi, XD</t>
  </si>
  <si>
    <t>Zhang Hua-Wei; Yu Li-Jia; Zhang Chun-Min; Zhang Yan-Song; Shi Xiao-Dong</t>
  </si>
  <si>
    <t>Study on The Biological Function of Exosomal miRNA and Its Regulation in Pulmonary Fibrosis Disease</t>
  </si>
  <si>
    <t>PROGRESS IN BIOCHEMISTRY AND BIOPHYSICS</t>
  </si>
  <si>
    <t>extracellular vesicles; exosome; miRNA; pulmonary fibrosis; regulation function</t>
  </si>
  <si>
    <t>EXTRACELLULAR VESICLES; CELLS; LUNG; BIOGENESIS; SENESCENCE; SECRETION; DNA; IDENTIFICATION; COMMUNICATION; INFLAMMATION</t>
  </si>
  <si>
    <t>Exosome is a kind of micro and nanometer level extracellular vesicles. Because it can directly participate in the transmission of information between cells and the transport of substances, exosome is considered to be an important carrier of biomarkers for intercellular communication, immunomodulation, disease diagnosis and prognosis. In addition, the nucleic acid and protein contained in exosome can affect significantly the physiological state of recipient cells. As an endogenous non-coding microRNA, miRNA is of great value in the diagnosis and treatment of diseases. There is a great deal of evidence that these molecules play a role in controlling and regulating the pathogenesis of lung diseases. This review article focuses on the biological characteristics and functional fields of exosome derived miRNA in recent years, and summarizes the regulation function and mechanism of exosomal miRNA in lung diseases, especially pulmonary fibrosis, which is a hot topic in biomedical research in recent years. Therefore, it can not only act as a new molecular biomarker for the diagnosis of pulmonary fibrosis, but also suggest a new therapy strategy for exosomal intervention of pulmonary fibrosis.</t>
  </si>
  <si>
    <t>[Zhang Hua-Wei; Yu Li-Jia; Zhang Chun-Min; Zhang Yan-Song; Shi Xiao-Dong] Natl Hlth Commiss Peoples Republ China, Natl Ctr Occupat Safety &amp; Hlth, Beijing 102308, Peoples R China</t>
  </si>
  <si>
    <t>Shi, XD (corresponding author), Natl Hlth Commiss Peoples Republ China, Natl Ctr Occupat Safety &amp; Hlth, Beijing 102308, Peoples R China.</t>
  </si>
  <si>
    <t>xdshi_7603@sina.com</t>
  </si>
  <si>
    <t>1000-3282</t>
  </si>
  <si>
    <t>10.16476/j.pibb.2019.0110</t>
  </si>
  <si>
    <t>WOS:000498757400005</t>
  </si>
  <si>
    <t>Saadeldin, IM; Oh, HJ; Lee, BC</t>
  </si>
  <si>
    <t>Saadeldin, Islam M.; Oh, Hyun Ju; Lee, Byeong Chun</t>
  </si>
  <si>
    <t>Embryonic-maternal cross-talk via exosomes: potential implications</t>
  </si>
  <si>
    <t>STEM CELLS AND CLONING-ADVANCES AND APPLICATIONS</t>
  </si>
  <si>
    <t>embryo; endometrium; placenta; mRNA; miRNA</t>
  </si>
  <si>
    <t>A myriad of locally produced factors into the microenvironment of the reproductive tract is regulated, not one-way but rather, through embryonic-maternal cross-talk. In this mini-review, we focused on the exosomes, which are cell-derived vesicles of 30-100 nm in diameter, as a communicating language facilitating this dialog. These nanovesicles are secreted from preimplantation embryos, oviduct epithelium, and endometrium as well as from the placenta, and contain proteins, messenger RNA (mRNA), microRNA, and DNA cargoes, and have pleiotropic effects on both embryonic and maternal environments. A better understanding of the molecular mechanisms mediating this cross-talk will lead to the development of new regulating agents, with novel diagnostic, biological, and therapeutic potential for either supporting or hindering the normal reproductive functions.</t>
  </si>
  <si>
    <t>[Saadeldin, Islam M.] Zagazig Univ, Dept Physiol, Fac Vet Med, Zagazig, Egypt; [Oh, Hyun Ju; Lee, Byeong Chun] Seoul Natl Univ, Coll Vet Med, Dept Theriogenol &amp; Biotechnol, 1 Gwanak Ro, Seoul 151742, South Korea; [Oh, Hyun Ju; Lee, Byeong Chun] Seoul Natl Univ, Res Inst Vet Sci, Seoul, South Korea; [Lee, Byeong Chun] Seoul Natl Univ, Inst Green Bio Sci &amp; Technol, Pyeong Chang, Kangwon Do, South Korea</t>
  </si>
  <si>
    <t>Egyptian Knowledge Bank (EKB); Zagazig University; Seoul National University (SNU); Seoul National University (SNU); Seoul National University (SNU)</t>
  </si>
  <si>
    <t>Lee, BC (corresponding author), Seoul Natl Univ, Coll Vet Med, Dept Theriogenol &amp; Biotechnol, 1 Gwanak Ro, Seoul 151742, South Korea.</t>
  </si>
  <si>
    <t>bclee@snu.ac.kr</t>
  </si>
  <si>
    <t>Saadeldin, Islam M./J-6729-2013</t>
  </si>
  <si>
    <t>Saadeldin, Islam M./0000-0002-7633-730X</t>
  </si>
  <si>
    <t>1178-6957</t>
  </si>
  <si>
    <t>10.2147/SCCAA.S84991</t>
  </si>
  <si>
    <t>WOS:000215868500009</t>
  </si>
  <si>
    <t>Anticoli, S; Manfredi, F; Chiozzini, C; Arenaccio, C; Olivetta, E; Ferrantelli, F; Capocefalo, A; Falcone, E; Ruggieri, A; Federico, M</t>
  </si>
  <si>
    <t>Anticoli, Simona; Manfredi, Francesco; Chiozzini, Chiara; Arenaccio, Claudia; Olivetta, Eleonora; Ferrantelli, Flavia; Capocefalo, Antonio; Falcone, Emiliana; Ruggieri, Anna; Federico, Maurizio</t>
  </si>
  <si>
    <t>An Exosome-Based Vaccine Platform Imparts Cytotoxic T Lymphocyte Immunity Against Viral Antigens</t>
  </si>
  <si>
    <t>CTL immunity; DNA immunization; Ebola virus; exosomes; HIV-1 Nef</t>
  </si>
  <si>
    <t>EBOLA-VIRUS INFECTION; CELL RESPONSES; VESICLES; IDENTIFICATION; PROTECTION; PARTICLES; PROTEIN; HIV-1</t>
  </si>
  <si>
    <t>Exosomes are 50-150nm sized nanovesicles released by all eukaryotic cells. The authors very recently described a method to engineer exosomes in vivo with the E7 protein of Human Papilloma Virus (HPV). This technique consists in the intramuscular injection of a DNA vector expressing HPV-E7 fused at the C-terminus of an exosome-anchoring protein, that is, Nef(mut), the authors previously characterized for its high levels of incorporation in exosomes. In this configuration, the approximate to 11kDa E7 protein elicited a both strong and effective antigen-specific cytotoxic T lymphocyte (CTL) immunity. Attempting to establish whether this method could have general applicability, the authors expanded the immunogenicity studies toward an array of viral products of various origin and size including Ebola Virus VP24, VP40 and NP, Influenza Virus NP, Crimean-Congo Hemorrhagic Fever NP, West Nile Virus NS3, and Hepatitis C Virus NS3. All antigens appeared stable upon fusion with Nef(mut), and are uploaded in exosomes at levels comparable to Nef(mut). When injected in mice, DNA vectors expressing the diverse fusion products elicited a well detectable antigen-specific CD8(+) T cell response associating with a cytotoxic activity potent enough to kill peptide-loaded and/or antigen-expressing syngeneic cells. These data definitely proven both effectiveness and flexibility of this innovative CTL vaccine platform.</t>
  </si>
  <si>
    <t>[Anticoli, Simona; Manfredi, Francesco; Chiozzini, Chiara; Arenaccio, Claudia; Olivetta, Eleonora; Ferrantelli, Flavia; Federico, Maurizio] Ist Super Sanita, Natl Ctr Global Hlth, Viale Regina Elena 299, I-00161 Rome, Italy; [Capocefalo, Antonio; Falcone, Emiliana; Ruggieri, Anna] Ist Super Sanita, Dept Vet Publ Hlth &amp; Food Safety, Viale Regina Elena 299, I-00161 Rome, Italy</t>
  </si>
  <si>
    <t>Olivetta, Eleonora/N-5736-2017; Chiozzini, Chiara/AAH-1790-2021; Manfredi, Francesco/ABA-7166-2021; Federico, Maurizio/J-5867-2016; Capocefalo, Antonio/O-3027-2017; chiozzini, chiara/M-8906-2017; Arenaccio, Claudia/J-9914-2016; Ferrantelli, Flavia/J-7794-2016; Anticoli, Simona/M-9940-2017; Anticoli, Simona/AAH-8838-2021</t>
  </si>
  <si>
    <t>Chiozzini, Chiara/0000-0002-4153-0927; Federico, Maurizio/0000-0003-4154-1025; Capocefalo, Antonio/0000-0002-4215-4265; Arenaccio, Claudia/0000-0003-3297-2608; Ferrantelli, Flavia/0000-0002-0768-1078; manfredi, francesco/0000-0002-1746-1546; Anticoli, Simona/0000-0003-3238-3280; Ruggieri, Anna/0000-0003-2987-3844; Olivetta, Eleonora/0000-0003-3296-5328</t>
  </si>
  <si>
    <t>10.1002/biot.201700443</t>
  </si>
  <si>
    <t>WOS:000430116900008</t>
  </si>
  <si>
    <t>Cerritelli, S; Velluto, D; Hubbell, JA</t>
  </si>
  <si>
    <t>Cerritelli, Simona; Velluto, Diana; Hubbell, Jeffrey A.</t>
  </si>
  <si>
    <t>PEG-SS-PPS: Reduction-sensitive disulfide block copolymer vesicles for intracellular drug delivery</t>
  </si>
  <si>
    <t>POLYMERIC VESICLES; TRIGGERED RELEASE; PROPYLENE SULFIDE; GENE DELIVERY; PH; GLUTATHIONE; LIPOSOMES; REDOX; DNA; DEGRADATION</t>
  </si>
  <si>
    <t>Under appropriate conditions, block copolymeric macroamphiphiles will self-assemble in water to form vesicles, referred to as polymersomes. We report here polymersomes that can protect biomolecules in the extracellular environment, are taken up by endocytosis, and then suddenly burst within the early endosome, releasing their contents prior to exposure to the harsh conditions encountered after lysosomal fusion. Specifically, block copolymers of the hydrophile poly(ethylene glycol) (PEG) and the hydrophobe poly(propylene sulfide) (PPS) were synthesized with an intervening disulfide, PEG(17)-SS-PPS30. Polymersomes formed from this block copolymer were demonstrated to disrupt in the presence of intracellular concentrations of cysteine. In cellular experiments, uptake, disruption, and release were observed within 10 min of exposure to cells, well within the time frame of the early endosome of endolysosomal processing. This system may be useful in cytoplasmic delivery of biomolecular drugs such as peptides, proteins, oligonucleotides, and DNA.</t>
  </si>
  <si>
    <t>Ecole Polytech Fed Lausanne, Inst Bioengn, CH-1110 Lausanne, Switzerland; Ecole Polytech Fed Lausanne, Inst Chem Sci &amp; Engn, CH-1110 Lausanne, Switzerland; Univ G dAnnunzio, Dipartimento Sci Farmaco, I-66013 Chieti, Italy</t>
  </si>
  <si>
    <t>Ecole Polytechnique Federale de Lausanne; Ecole Polytechnique Federale de Lausanne; G d'Annunzio University of Chieti-Pescara</t>
  </si>
  <si>
    <t>Hubbell, JA (corresponding author), Ecole Polytech Fed Lausanne, Inst Bioengn, CH-1110 Lausanne, Switzerland.</t>
  </si>
  <si>
    <t>jeffrey.hubbell@epfl.ch</t>
  </si>
  <si>
    <t>Hubbell, Jeffrey A/A-9266-2008</t>
  </si>
  <si>
    <t>Hubbell, Jeffrey A/0000-0003-0276-5456</t>
  </si>
  <si>
    <t>10.1021/bm070085x</t>
  </si>
  <si>
    <t>WOS:000247107900027</t>
  </si>
  <si>
    <t>Li, N; Zheng, X; Chen, MR; Huang, L; Chen, L; Huo, R; Li, XT; Huang, YC; Sun, MW; Mai, SQ; Wu, ZY; Zhang, H; Liu, JB; Yang, CT</t>
  </si>
  <si>
    <t>Li, Na; Zheng, Xue; Chen, Mianrong; Huang, Li; Chen, Li; Huo, Rui; Li, Xiaotong; Huang, Yucan; Sun, Mingwen; Mai, Suiqing; Wu, Zhuoyi; Zhang, Hui; Liu, Jinbao; Yang, Chun-tao</t>
  </si>
  <si>
    <t>Deficient DNASE1L3 facilitates neutrophil extracellular traps-induced invasion via cyclic GMP-AMP synthase and the non-canonical NF-kappa B pathway in diabetic hepatocellular carcinoma</t>
  </si>
  <si>
    <t>CLINICAL &amp; TRANSLATIONAL IMMUNOLOGY</t>
  </si>
  <si>
    <t>cyclic GMP-AMP synthase; diabetes; hepatocellular carcinoma; metastasis; neutrophil extracellular traps; non-canonical NF-kappa B pathway</t>
  </si>
  <si>
    <t>CHROMOSOMAL INSTABILITY; DNA SENSOR; MELLITUS; CGAS; RISK; INCREASES; IMMUNITY; NETOSIS; DISEASE; CANCER</t>
  </si>
  <si>
    <t>Objective. Diabetic hepatocellular carcinoma (HCC) patients have high mortality and metastasis rates. Diabetic conditions promote neutrophil extracellular traps (NETs) generation, which mediates HCC metastasis and invasion. However, whether and how diabetes-induced NETs trigger HCC invasion is largely unknown. Here, we aimed to observe the effects of diabetes-induced NETs on HCC invasion and investigate mechanisms relevant to a DNA sensor cyclic GMP-AMP synthase (cGAS). Methods. Serum from diabetic patients and healthy individuals was collected. Human neutrophil-derived NETs were isolated for stimulating HCC cell invasion. Data from the SEER and TCGA databases were used for bioinformatics analysis. In HCC cells and allograft models, NETs-triggered invasion was observed. Results. Diabetic HCC patients had poorer survival than non-diabetic ones. Either diabetic serum or extracted NETs caused HCC invasion. Induction of diabetes or NETosis elicited HCC allograft invasion in nude mice. HCC cell invasion was attenuated by the treatment with DNase1. In TCGA_LIHC, an extracellular DNase DNASE1L3 was downregulated in tumor tissues, while function terms (the endocytic vesicle membrane, the NF-kappa B pathway and extracellular matrix disassembly) were enriched. DNASE1L3 knockdown in LO2 hepatocytes or H22 cell-derived allografts facilitated HCC invasion in NETotic or diabetic nude mice. Moreover, exposure of HCC cells to NETs upregulated cGAS and the non-canonical NF-kappa B pathway and induced expression of metastasis genes (MMP9 and SPP1). Both cGAS inhibitor and NF-kappa B RELB knockdown diminished HCC invasion caused by NETs DNA. Also, cGAS inhibitor was able to retard translocation of NF-kappa B RELB. Conclusion. Defective DNASE1L3 aggravates NETs DNA-triggered HCC invasion on diabetic conditions via cGAS and the non-canonical NF-kappa B pathway.</t>
  </si>
  <si>
    <t>[Li, Na; Zheng, Xue; Chen, Li; Huo, Rui; Li, Xiaotong; Huang, Yucan; Sun, Mingwen; Mai, Suiqing; Wu, Zhuoyi; Zhang, Hui; Liu, Jinbao; Yang, Chun-tao] Guangzhou Med Univ, Affiliated Canc Hosp, Guangzhou 511436, Peoples R China; [Li, Na; Zheng, Xue; Chen, Li; Huo, Rui; Li, Xiaotong; Huang, Yucan; Sun, Mingwen; Mai, Suiqing; Wu, Zhuoyi; Zhang, Hui; Liu, Jinbao; Yang, Chun-tao] Guangzhou Med Univ, Inst Guangzhou Med Univ, Guangzhou Municipal &amp; Guangdong Prov Key Lab Prot, Sch Basic Med Sci, Guangzhou 511436, Peoples R China; [Li, Na] Yue Bei Peoples Hosp, Dept Pathol, Shaoguan, Peoples R China; [Chen, Mianrong] Guangzhou Med Univ, Affiliated Hosp 2, Dept Radiol, Guangzhou, Peoples R China; [Huang, Li] Sun Yat Sen Univ, Dept Pancreatobiliary Surg, Affiliated Hosp 1, Guangzhou, Peoples R China</t>
  </si>
  <si>
    <t>Guangzhou Medical University; Guangzhou Medical University; Guangzhou Medical University; Sun Yat Sen University</t>
  </si>
  <si>
    <t>Liu, JB; Yang, CT (corresponding author), Guangzhou Med Univ, Affiliated Canc Hosp, Guangzhou 511436, Peoples R China.;Liu, JB; Yang, CT (corresponding author), Guangzhou Med Univ, Inst Guangzhou Med Univ, Guangzhou Municipal &amp; Guangdong Prov Key Lab Prot, Sch Basic Med Sci, Guangzhou 511436, Peoples R China.</t>
  </si>
  <si>
    <t>jliu@gzhmu.edu.cn; cyang@gzhmu.edu.cn</t>
  </si>
  <si>
    <t>2050-0068</t>
  </si>
  <si>
    <t>e1386</t>
  </si>
  <si>
    <t>10.1002/cti2.1386</t>
  </si>
  <si>
    <t>WOS:000784080300001</t>
  </si>
  <si>
    <t>Asada, K; Ito, K; Yui, DS; Tagaya, H; Yokota, T</t>
  </si>
  <si>
    <t>Asada, Ken; Ito, Keiya; Yui, Daishi; Tagaya, Hirokuni; Yokota, Takanori</t>
  </si>
  <si>
    <t>Cytosolic Genomic DNA functions as a Natural Antisense</t>
  </si>
  <si>
    <t>AICARDI-GOUTIERES-SYNDROME; DOUBLE-STRANDED DNA; EXONUCLEASE TREX1; NUCLEIC-ACIDS; I INTERFERON; CANCER CELLS; R LOOPS; RNA; SENSOR; EXOSOMES</t>
  </si>
  <si>
    <t>Stress conditions such as UV irradiation, exposure to genotoxic agents, stalled DNA replication, and even tumors trigger the release of cytosolic genomic DNA (cgDNA). Classically, cg DNA induces interferon response via its binding to proteins such as STING. In this study, we found previously reported cg DNA (cg721) exists in the cytosol of the mouse cell lines, cultured under no stress conditions. The overexpression of cg721 suppressed the complementary RNA expression using strand selection and knockdown of DNA/RNA hybrid R-loop removing enzyme RNase H and three prime repair exonuclease 1 TREX1 increased the expression levels of cg721 and thus, inhibited the target Naa40 transcript, as well as protein expression, with a phenotypic effect. In addition, cg DNA was incorporated into extracellular vesicles (EVs), and the EV-derived cg721 inhibited gene expression of the acceptor cells. Thus, our findings suggest that cg721 functions as a natural antisense DNA and play a role in cell-to-cell gene regulation once it secreted outside the cell as EVs.</t>
  </si>
  <si>
    <t>[Asada, Ken; Yui, Daishi; Yokota, Takanori] Tokyo Med &amp; Dent Univ, Grad Sch Med &amp; Dent Sci, Dept Neurol &amp; Neurol Sci, Tokyo 1138519, Japan; [Asada, Ken; Yui, Daishi; Yokota, Takanori] Tokyo Med &amp; Dent Univ, Ctr Brain Integrat Res, Tokyo 1138519, Japan; [Ito, Keiya; Tagaya, Hirokuni] Kitasato Univ, Sch Allied Hlth Sci, Dept Hlth Sci, Sagamihara, Kanagawa 2520373, Japan</t>
  </si>
  <si>
    <t>Tokyo Medical &amp; Dental University (TMDU); Tokyo Medical &amp; Dental University (TMDU); Kitasato University</t>
  </si>
  <si>
    <t>Yokota, T (corresponding author), Tokyo Med &amp; Dent Univ, Grad Sch Med &amp; Dent Sci, Dept Neurol &amp; Neurol Sci, Tokyo 1138519, Japan.;Yokota, T (corresponding author), Tokyo Med &amp; Dent Univ, Ctr Brain Integrat Res, Tokyo 1138519, Japan.</t>
  </si>
  <si>
    <t>tak-yokota.nuro@tmd.ac.jp</t>
  </si>
  <si>
    <t>Asada, Ken/AAP-6668-2020</t>
  </si>
  <si>
    <t>Asada, Ken/0000-0003-0548-4449; Yokota, Takanori/0000-0002-6490-3263</t>
  </si>
  <si>
    <t>JUN 4</t>
  </si>
  <si>
    <t>10.1038/s41598-018-26487-1</t>
  </si>
  <si>
    <t>WOS:000434011100038</t>
  </si>
  <si>
    <t>Byrd, AS; O'Brien, XM; Johnson, CM; Lavigne, LM; Reichner, JS</t>
  </si>
  <si>
    <t>Byrd, Angel S.; O'Brien, Xian M.; Johnson, Courtney M.; Lavigne, Liz M.; Reichner, Jonathan S.</t>
  </si>
  <si>
    <t>An Extracellular Matrix-Based Mechanism of Rapid Neutrophil Extracellular Trap Formation in Response to Candida albicans</t>
  </si>
  <si>
    <t>EARLY HOST-DEFENSE; BETA-GLUCAN; NADPH-OXIDASE; RISK-FACTORS; MYELOPEROXIDASE; RECOGNITION; ACTIVATION; SURVIVAL; YEAST; BURST</t>
  </si>
  <si>
    <t>The armament of neutrophil-mediated host defense against pathogens includes the extrusion of a lattice of DNA and microbicidal enzymes known as neutrophil extracellular traps (NETs). The receptor/ligand interactions and intracellular signaling mechanisms responsible for elaborating NETs were determined for the response to Candida albicans. Because the host response of extravasated neutrophils to mycotic infections within tissues necessitates contact with extracellular matrix, this study also identified a novel and significant regulatory role for the ubiquitous matrix component fibronectin (Fn) in NET release. We report that recognition of purified fungal pathogen-associated molecular pattern beta-glucan by human neutrophils causes rapid (&lt;= 30 min) homotypic aggregation and NET release by a mechanism that requires Fn. Alone, immobilized beta-glucan induces reactive oxygen species (ROS) production but not NET release, whereas in the context of Fn, ROS production is suppressed and NETs are extruded. NET release to Fn with beta-glucan is robust, accounting for 17.2 +/- 3.4% of total DNA in the cell population. Release is dependent on beta-glucan recognition by complement receptor 3 (CD11b/CD18), but not Dectin-1, or ROS. The process of NET release included filling of intracellular vesicles with nuclear material that was eventually extruded. We identify a role for ERK in homotypic aggregation and NET release. NET formation to C. albicans hyphae was also found to depend on beta-glucan recognition by complement receptor 3, require Fn and ERK but not ROS, and result in hyphal destruction. We report a new regulatory mechanism of NETosis in which the extracellular matrix is a key component of the rapid antifungal response. The Journal of Immunology, 2013, 190: 4136-4148.</t>
  </si>
  <si>
    <t>[Byrd, Angel S.; O'Brien, Xian M.; Johnson, Courtney M.; Lavigne, Liz M.; Reichner, Jonathan S.] Rhode Isl Hosp, Dept Surg, Div Surg Res, Providence, RI 02903 USA; [Byrd, Angel S.; Johnson, Courtney M.; Reichner, Jonathan S.] Brown Univ, Warren Alpert Med Sch, Providence, RI 02912 USA; [Byrd, Angel S.; Johnson, Courtney M.; Reichner, Jonathan S.] Brown Univ, Grad Program Pathobiol, Providence, RI 02912 USA</t>
  </si>
  <si>
    <t>Lifespan Health Rhode Island; Rhode Island Hospital; Brown University; Brown University</t>
  </si>
  <si>
    <t>Reichner, JS (corresponding author), Rhode Isl Hosp, Dept Surg, 593 Eddy St, Providence, RI 02903 USA.</t>
  </si>
  <si>
    <t>Reichner@Brown.edu</t>
  </si>
  <si>
    <t>Reichner, Jonathan/0000-0002-7349-6321</t>
  </si>
  <si>
    <t>10.4049/jimmunol.1202671</t>
  </si>
  <si>
    <t>WOS:000317274500032</t>
  </si>
  <si>
    <t>Sandgren, S; Wittrup, A; Cheng, F; Jonsson, M; Eklund, E; Busch, S; Belting, M</t>
  </si>
  <si>
    <t>The human antimicrobial peptide LL-37 transfers extracellular DNA plasmid to the nuclear compartment of mammalian cells via lipid rafts and proteoglycan-dependent endocytosis</t>
  </si>
  <si>
    <t>MEDIATED GENE-TRANSFER; HEPARAN-SULFATE; HOST-DEFENSE; INNATE IMMUNITY; HUMAN LUNG; ANTIBIOTICS; PROTEIN; SURFACE; GLYCOSAMINOGLYCANS; CATHELICIDINS</t>
  </si>
  <si>
    <t>Antimicrobial peptides, such as LL-37, are found both in nonvertebrates and vertebrates, where they represent important components of innate immunity. Bacterial infections at epithelial surfaces are associated with substantial induction of LL-37 expression, which allows efficient lysis of the invading microbes. Peptide-mediated lysis results in the release of bacterial nucleic acids with potential pathobiological activity in the host. Here, we demonstrate that LL-37 targets extracellular DNA plasmid to the nuclear compartment of mammalian cells, where it is expressed. DNA transfer occurred at physiological LL-37 concentrations that killed bacterial cells, whereas virtually no cytotoxic or growth-inhibitory effects were observed in mammalian cells. Furthermore, LL-37 protected DNA from serum nuclease degradation. LL-37.DNA complex uptake was a saturable time- and temperature-dependent process and was sensitive to cholesterol-depleting agents that are known to disrupt lipid rafts and caveolae, as shown by flow cytometry. Confocal fluorescence microscopy studies showed localization of internalized DNA to compartments stained by cholera toxin B, a marker of lipid rafts, but failed to demonstrate any co-localization of internalized DNA with caveolin-positive endocytotic vesicles. Moreover, LL-37-mediated plasmid uptake and reporter gene expression were strictly dependent on cell surface proteoglycans. We conclude that the human antimicrobial peptide LL-37 binds to, protects, and efficiently targets DNA plasmid to the nuclei of mammalian cells through caveolae-independent membrane raft endocytosis and cell surface proteoglycans.</t>
  </si>
  <si>
    <t>Lund Univ, Biomed Ctr C13, Dept Cell &amp; Mol Biol, Sect Cell &amp; Matrix Biol, SE-22184 Lund, Sweden</t>
  </si>
  <si>
    <t>Lund University</t>
  </si>
  <si>
    <t>Belting, M (corresponding author), Scripps Res Inst, Dept Immunol, C-204,105 50 N Torrey Pines Rd, La Jolla, CA 92037 USA.</t>
  </si>
  <si>
    <t>belting@scripps.edu</t>
  </si>
  <si>
    <t>Wittrup, Anders/0000-0003-4918-0500; Belting, Mattias/0000-0003-1585-5434</t>
  </si>
  <si>
    <t>APR 23</t>
  </si>
  <si>
    <t>10.1074/jbc.M311440200</t>
  </si>
  <si>
    <t>WOS:000220870400129</t>
  </si>
  <si>
    <t>Millner, LM; Strotman, LN</t>
  </si>
  <si>
    <t>Millner, Lori M.; Strotman, Lindsay N.</t>
  </si>
  <si>
    <t>The Future of Precision Medicine in Oncology</t>
  </si>
  <si>
    <t>CLINICS IN LABORATORY MEDICINE</t>
  </si>
  <si>
    <t>Liquid biopsy; Targeted therapy; Circulating tumor cell (CTC); Cell-free nucleic acid (cfNA); Exosomes; Extracellular vesicle (EV)</t>
  </si>
  <si>
    <t>CIRCULATING TUMOR-CELLS; EXTRACELLULAR VESICLES; MOLECULAR MARKERS; PLASMA DNA; CANCER; BIOMARKERS; DIAGNOSIS; MELANOMA; MUTATIONS; SELECTION</t>
  </si>
  <si>
    <t>Precision medicine in oncology focuses on identifying which therapies are most effective for each patient based on genetic characterization of the cancer. Traditional chemotherapy is cytotoxic and destroys all cells that are rapidly dividing. The foundation of precision medicine is targeted therapies and selecting patients who will benefit most from these therapies. One of the newest aspects of precision medicine is liquid biopsy. A liquid biopsy includes analysis of circulating tumor cells, cell-free nucleic acid, or exosomes obtained from a peripheral blood draw. These can be studied individually or in combination and collected serially, providing real-time information as a patient's cancer changes.</t>
  </si>
  <si>
    <t>[Millner, Lori M.; Strotman, Lindsay N.] PGXL Technol, 201 East Jefferson St,Suite 306, Louisville, KY 40202 USA; [Millner, Lori M.] Univ Louisville, Dept Pathol &amp; Lab Med, Louisville, KY 40292 USA; [Strotman, Lindsay N.] Univ Louisville, Dept Engn, Louisville, KY 40292 USA</t>
  </si>
  <si>
    <t>Strotman, LN (corresponding author), PGXL Technol, 201 East Jefferson St,Suite 306, Louisville, KY 40202 USA.</t>
  </si>
  <si>
    <t>lindsay.strotman@pgxlab.com</t>
  </si>
  <si>
    <t>0272-2712</t>
  </si>
  <si>
    <t>1557-9832</t>
  </si>
  <si>
    <t>10.1016/j.cii.2016.05.003</t>
  </si>
  <si>
    <t>WOS:000382802500009</t>
  </si>
  <si>
    <t>Bernard, V; Ling, JJ; Maitra, A</t>
  </si>
  <si>
    <t>Amiji, M; Ramesh, R</t>
  </si>
  <si>
    <t>Bernard, Vincent; Ling, Jinjie; Maitra, Anirban</t>
  </si>
  <si>
    <t>Heterogeneity of Tumor Exosomes - Role in Precision Medicine</t>
  </si>
  <si>
    <t>DIAGNOSTIC AND THERAPEUTIC APPLICATIONS OF EXOSOMES IN CANCER</t>
  </si>
  <si>
    <t>EXTRACELLULAR VESICLES; GENOMIC DNA; CANCER; KRAS; RNA; MICROVESICLES; MICRORNAS</t>
  </si>
  <si>
    <t>[Bernard, Vincent; Ling, Jinjie; Maitra, Anirban] UT MD Anderson Canc Ctr, Sheikh Ahmed Pancreat Canc Res Ctr, Houston, TX 77030 USA</t>
  </si>
  <si>
    <t>University of Texas System; UTMD Anderson Cancer Center</t>
  </si>
  <si>
    <t>Bernard, V (corresponding author), UT MD Anderson Canc Ctr, Sheikh Ahmed Pancreat Canc Res Ctr, Houston, TX 77030 USA.</t>
  </si>
  <si>
    <t>978-0-12-812804-6; 978-0-12-812774-2</t>
  </si>
  <si>
    <t>10.1016/B978-0-12-812774-2.00004-3</t>
  </si>
  <si>
    <t>Oncology; Pharmacology &amp; Pharmacy</t>
  </si>
  <si>
    <t>WOS:000462786700005</t>
  </si>
  <si>
    <t>Harshyne, LA; Hooper, KM; Andrews, EG; Nasca, BJ; Kenyon, LC; Andrews, DW; Hooper, DC</t>
  </si>
  <si>
    <t>Harshyne, Larry A.; Hooper, Kirsten M.; Andrews, Edward G.; Nasca, Brian J.; Kenyon, Lawrence C.; Andrews, David W.; Hooper, D. Craig</t>
  </si>
  <si>
    <t>Glioblastoma exosomes and IGF-1R/AS-ODN are immunogenic stimuli in a translational research immunotherapy paradigm</t>
  </si>
  <si>
    <t>Antisense; Exosome; Antibody; Diffusion chamber; GL261; Glioblastoma</t>
  </si>
  <si>
    <t>CELL-DERIVED EXOSOMES; FACTOR-I RECEPTOR; BACTERIAL-DNA; TUMOR; GROWTH; MICROVESICLES; OLIGODEOXYNUCLEOTIDES; INTERLEUKIN-5; BIOGENESIS; PROTEINS</t>
  </si>
  <si>
    <t>Glioblastomas are primary intracranial tumors for which there is no cure. Patients receiving standard of care, chemotherapy and irradiation, survive approximately 15 months prompting studies of alternative therapies including vaccination. In a pilot study, a vaccine consisting of Lucite diffusion chambers containing irradiated autologous tumor cells pre-treated with an antisense oligodeoxynucleotide (AS-ODN) directed against the insulin-like growth factor type 1 receptor was found to elicit positive clinical responses in 8/12 patients when implanted in the rectus sheath for 24 h. Our preliminary observations supported an immune response, and we have since reopened a second Phase 1 trial to assess this possibility among other exploratory objectives. The current study makes use of a murine glioma model and samples from glioblastoma patients in this second Phase 1 trial to investigate this novel therapeutic intervention more thoroughly. Implantation of the chamber-based vaccine protected mice from tumor challenge, and we posit this occurred through the release of immunostimulatory AS-ODN and antigen-bearing exosomes. Exosomes secreted by glioblastoma cultures are immunogenic, eliciting and binding antibodies present in the sera of immunized mice. Similarly, exosomes released by human glioblastoma cells bear antigens recognized by the sera of 6/12 patients with recurrent glioblastomas. These results suggest that the release of AS-ODN together with selective release of exosomes from glioblastoma cells implanted in chambers may drive the therapeutic effect seen in the pilot vaccine trial.</t>
  </si>
  <si>
    <t>[Harshyne, Larry A.; Hooper, Kirsten M.; Andrews, Edward G.; Nasca, Brian J.; Andrews, David W.; Hooper, D. Craig] Thomas Jefferson Univ, Dept Neurol Surg, Philadelphia, PA 19107 USA; [Kenyon, Lawrence C.] Thomas Jefferson Univ, Dept Pathol, Philadelphia, PA 19107 USA; [Hooper, D. Craig] Thomas Jefferson Univ, Dept Canc Biol, Philadelphia, PA 19107 USA</t>
  </si>
  <si>
    <t>Jefferson University; Jefferson University; Jefferson University</t>
  </si>
  <si>
    <t>Harshyne, LA (corresponding author), Thomas Jefferson Univ, Dept Neurol Surg, 1020 Locust St,Rm 454, Philadelphia, PA 19107 USA.</t>
  </si>
  <si>
    <t>larry.harshyne@jefferson.edu</t>
  </si>
  <si>
    <t>Hooper, Douglas/0000-0002-8578-5104; Kenyon, Lawrence/0000-0002-3719-9565</t>
  </si>
  <si>
    <t>10.1007/s00262-014-1622-z</t>
  </si>
  <si>
    <t>WOS:000350351200004</t>
  </si>
  <si>
    <t>Zhu, X; You, Y; Li, Q; Zeng, C; Fu, F; Guo, A; Zhang, H; Zou, P; Zhong, Z; Wang, H; Wu, Y; Li, Q; Kong, F; Chen, Z</t>
  </si>
  <si>
    <t>Zhu, X.; You, Y.; Li, Q.; Zeng, C.; Fu, F.; Guo, A.; Zhang, H.; Zou, P.; Zhong, Z.; Wang, H.; Wu, Y.; Li, Q.; Kong, F.; Chen, Z.</t>
  </si>
  <si>
    <t>BCR-ABL1-positive microvesicles transform normal hematopoietic transplants through genomic instability: implications for donor cell leukemia</t>
  </si>
  <si>
    <t>ACUTE MYELOID-LEUKEMIA; MARROW-TRANSPLANTATION; EPIGENETIC REGULATION; TUMOR-CELLS; CANCER; BLOOD; DNA; FUSION; CONTRIBUTES; VESICLES</t>
  </si>
  <si>
    <t>Malignant transformation of normal hematopoietic transplants induced by residual leukemia cells is considered as a pivotal mechanism of donor cell leukemia (DCL). The effects of leukemia cell-derived microvesicles (MVs) in this transformation were examined. We found that MVs derived from K562 leukemia cells contained the breakpoint cluster region-Abelson leukemia gene human homolog 1 (BCR-ABL1) mRNA. Following incubation with BCR-ABL7-positive MVs, mononuclear cells derived from normal transplants exhibited a leukemia-like malignant phenotype both in vitro and in vivo. Horizontal transfer of BCR-ABL1 mRNA from MVs into the recipient cells was critical to the transformation. Relative genomic instability was observed and considered the main mechanism in the recipient cells. MVs contributed to genomic instability by two distinct pathways: via consequent overexpression of activation-induced cytidine deaminase and reactive oxygen species, which mediated DNA breakage and recombination; and via upregulation of rnethyltransferases and global DNA hypermethylation. We demonstrated that BCR-ABL1-positive MVs could initiate malignant transformation of normal hematopoietic transplants through genomic instability, which might serve as a convenient and operable model for investigating leukemogenesis, especially for DCL. Furthermore, MVs themselves could act as an early warning indicator and a novel tool to detect and prevent the occurrence of DCL.</t>
  </si>
  <si>
    <t>[Zhu, X.; You, Y.; Li, Q.; Zeng, C.; Fu, F.; Zou, P.; Zhong, Z.; Wu, Y.; Li, Q.; Kong, F.; Chen, Z.] Huazhong Univ Sci &amp; Technol, Tongji Med Coll, Union Hosp, Inst Hematol, Wuhan 430022, Peoples R China; [Guo, A.; Zhang, H.] Huazhong Univ Sci &amp; Technol, Coll Life Sci &amp; Technol, Dept Biomed Engn, Wuhan 430022, Peoples R China; [Wang, H.] Cent Hosp, Dept Hematol, Wuhan, Peoples R China</t>
  </si>
  <si>
    <t>Zou, P (corresponding author), Huazhong Univ Sci &amp; Technol, Tongji Med Coll, Union Hosp, Inst Hematol, 1277 Jiefang Rd, Wuhan 430022, Peoples R China.</t>
  </si>
  <si>
    <t>zouping387@163.com; chenzhichao@hust.edu.cn</t>
  </si>
  <si>
    <t>10.1038/leu.2014.51</t>
  </si>
  <si>
    <t>WOS:000341334600010</t>
  </si>
  <si>
    <t>Teran, LC; Distefano, M; Bellich, B; Petrosino, S; Bertoncin, P; Cescutti, P; Sblattero, D</t>
  </si>
  <si>
    <t>Teran, Lucrecia C.; Distefano, Marco; Bellich, Barbara; Petrosino, Sara; Bertoncin, Paolo; Cescutti, Paola; Sblattero, Daniele</t>
  </si>
  <si>
    <t>Proteomic Studies of the Biofilm Matrix including Outer Membrane Vesicles of Burkholderia multivorans C1576, a Strain of Clinical Importance for Cystic Fibrosis</t>
  </si>
  <si>
    <t>Burkholderia multivorans; proteomic; biofilm; outer membrane vesicles; LC-LC; MS</t>
  </si>
  <si>
    <t>PSEUDOMONAS-AERUGINOSA; EXTRACELLULAR DNA; CEPACIA COMPLEX; ACTIVATED-SLUDGE; VIRULENCE GENES; SP NOV.; PROTEINS; CENOCEPACIA; IDENTIFICATION; IRON</t>
  </si>
  <si>
    <t>Biofilms are aggregates of microbial cells encased in a highly hydrated matrix made up of self-produced extracellular polymeric substances (EPS) which consist of polysaccharides, proteins, nucleic acids, and lipids. While biofilm matrix polysaccharides are unraveled, there is still poor knowledge about the identity and function of matrix-associated proteins. With this work, we performed a comprehensive proteomic approach to disclose the identity of proteins associated with the matrix of biofilm-growing Burkholderia multivorans C1576 reference strain, a cystic fibrosis clinical isolate. Transmission electron microscopy showed that B. multivorans C1576 also releases outer membrane vesicles (OMVs) in the biofilm matrix, as already demonstrated for other Gram-negative species. The proteomic analysis revealed that cytoplasmic and membrane-bound proteins are widely represented in the matrix, while OMVs are highly enriched in outer membrane proteins and siderophores. Our data suggest that cell lysis and OMVs production are the most important sources of proteins for the B. multivorans C1576 biofilm matrix. Of note, some of the identified proteins are lytic enzymes, siderophores, and proteins involved in reactive oxygen species (ROS) scavenging. These proteins might help B. multivorans C1576 in host tissue invasion and defense towards immune system assaults.</t>
  </si>
  <si>
    <t>[Teran, Lucrecia C.; Distefano, Marco; Bellich, Barbara; Petrosino, Sara; Bertoncin, Paolo; Cescutti, Paola; Sblattero, Daniele] Univ Trieste, Dept Life Sci, I-34127 Trieste, Italy</t>
  </si>
  <si>
    <t>University of Trieste</t>
  </si>
  <si>
    <t>Sblattero, D (corresponding author), Univ Trieste, Dept Life Sci, I-34127 Trieste, Italy.</t>
  </si>
  <si>
    <t>lucreteran@gmail.com; marco.diste86@gmail.com; bbellich@units.it; sar.petrosino@gmail.com; pbertoncin@units.it; pcescutti@units.it; dsblattero@units.it</t>
  </si>
  <si>
    <t>Teran, Lucrecia/ABB-3407-2021</t>
  </si>
  <si>
    <t>Teran, Lucrecia/0000-0002-7326-7190; Cescutti, Paola/0000-0003-3744-2198; Petrosino, Sara/0000-0002-1153-4273</t>
  </si>
  <si>
    <t>10.3390/microorganisms8111826</t>
  </si>
  <si>
    <t>WOS:000593211000001</t>
  </si>
  <si>
    <t>Wang, YM; Liu, JW; Adkins, GB; Shen, W; Trinh, MP; Duan, LY; Jiang, JH; Zhong, WW</t>
  </si>
  <si>
    <t>Wang, Yu-Min; Liu, Jin-Wen; Adkins, Gary Brent; Shen, Wen; Trinh, Michael Patrick; Duan, Lu-Ying; Jiang, Jian-Hui; Zhong, Wenwan</t>
  </si>
  <si>
    <t>Enhancement of the Intrinsic Peroxidase-Like Activity of Graphitic Carbon Nitride Nanosheets by ssDNAs and Its Application for Detection of Exosomes</t>
  </si>
  <si>
    <t>VISIBLE-LIGHT; EXTRACELLULAR VESICLES; ARTIFICIAL ENZYMES; CATALYTIC-ACTIVITY; GLUCOSE DETECTION; NANOPARTICLES; NANOZYMES; GRAPHENE; ASSAY; DNA</t>
  </si>
  <si>
    <t>The present work investigates the capability of single-stranded DNA (ssDNA) in enhancing the intrinsic peroxidase-like activity of the g-C3N4 nanosheets (NSs). We found that ssDNA adsorbed on g-C3N4 NSs could improve the catalytic activity of the nanosheets. The maximum reaction rate of the H2O2-mediated TMB oxidation catalyzed by the ssDNA-NSs hybrid was at least 4 times faster than that obtained with unmodified NSs. The activity enhancement could be attributed to the strong interaction between TMB and ssDNA mediated by electrostatic attraction and aromatic stacking and by both the length and base composition of the ssDNA. The high catalytic activity of the ssDNA-NSs hybrid permitted sensitive colorimetric detection of exosomes if the aptamer against CD63, a surface marker of exosome, was employed in hybrid construction. The sensor recognized the differential expression of CD63 between the exosomes produced by a breast cancer cell line (MCF-7) and a control cell line (MCF-10A). Moreover, a similar trend was detected in the circulating exosomes isolated from the sera samples collected from breast cancer patients and healthy controls. Our work sheds lights on the possibility of using ssDNA to enhance the peroxidase-like activity of nanomaterials and demonstrates the high potential of the ssDNA-NSs hybrid in clinical diagnosis using liquid biopsy.</t>
  </si>
  <si>
    <t>[Wang, Yu-Min; Liu, Jin-Wen; Duan, Lu-Ying; Jiang, Jian-Hui] Hunan Univ, Inst Chem Biol &amp; Nanomed, Coll Chem &amp; Chem Engn, State Key Lab Chemo Biosensing &amp; Chemometr, Changsha 410082, Hunan, Peoples R China; [Wang, Yu-Min; Adkins, Gary Brent; Shen, Wen; Trinh, Michael Patrick; Zhong, Wenwan] Univ Calif Riverside, Dept Chem, Riverside, CA 92521 USA</t>
  </si>
  <si>
    <t>Jiang, JH (corresponding author), Hunan Univ, Inst Chem Biol &amp; Nanomed, Coll Chem &amp; Chem Engn, State Key Lab Chemo Biosensing &amp; Chemometr, Changsha 410082, Hunan, Peoples R China.;Zhong, WW (corresponding author), Univ Calif Riverside, Dept Chem, Riverside, CA 92521 USA.</t>
  </si>
  <si>
    <t>jianhuijiang@hnu.edu.cn; wenwan.zhong@ucr.edu</t>
  </si>
  <si>
    <t>Jiang, Jian-Hui/K-2054-2012; Nanozymes, Nanozymes/D-8197-2019; Adkins, Gary/I-4827-2015</t>
  </si>
  <si>
    <t>Adkins, Gary/0000-0002-1568-7146</t>
  </si>
  <si>
    <t>10.1021/acs.analchem.7b03335</t>
  </si>
  <si>
    <t>WOS:000416498100061</t>
  </si>
  <si>
    <t>Kalnina, Z; Meistere, I; Kikuste, I; Tolmanis, I; Zayakin, P; Line, A</t>
  </si>
  <si>
    <t>Kalnina, Zane; Meistere, Irena; Kikuste, Ilze; Tolmanis, Ivars; Zayakin, Pawel; Line, Aija</t>
  </si>
  <si>
    <t>Emerging blood-based biomarkers for detection of gastric cancer</t>
  </si>
  <si>
    <t>Gastric cancer; Biomarker; Liquid biopsy; Cell-free DNA; Cell-free RNA; Extracellular vesicles; Autoantibodies; Proteomics</t>
  </si>
  <si>
    <t>CELL-FREE DNA; HUMORAL IMMUNE-RESPONSE; CIRCULATING TUMOR-CELLS; LONG NONCODING RNAS; CLINICAL-SIGNIFICANCE; POTENTIAL BIOMARKERS; SERUM PEPSINOGEN; PROGNOSTIC VALUE; BREAST-CANCER; PROMOTER HYPERMETHYLATION</t>
  </si>
  <si>
    <t>Early detection and efficient monitoring of tumor dynamics are prerequisites for reducing disease burden and mortality, and for improving the management of patients with gastric cancer (GC). Blood-based biomarker assays for the detection of early-stage GC could be of great relevance both for population-wide or risk group-based screening programs, while circulating biomarkers that reflect the genetic make-up and dynamics of the tumor would allow monitoring of treatment efficacy, predict recurrences and assess the genetic heterogeneity of the tumor. Recent research to identify blood-based biomarkers of GC has resulted in the identification of a wide variety of cancer-associated molecules, including various proteins, autoantibodies against tumor associated antigens, cell-free DNA fragments, mRNAs and various non-coding RNAs, circulating tumor cells and cancer-derived extracellular vesicles. Each type of these biomarkers provides different information on the disease status, has different advantages and disadvantages, and distinct clinical usefulness. In the current review, we summarize the recent developments in blood-based GC biomarker discovery, discuss the origin of various types of biomarkers and their clinical usefulness and the technological challenges in the development of biomarker assays for clinical use.</t>
  </si>
  <si>
    <t>[Kalnina, Zane; Meistere, Irena; Zayakin, Pawel; Line, Aija] Latvian Biomed Res &amp; Study Ctr, LV-1067 Riga, Latvia; [Kikuste, Ilze; Tolmanis, Ivars] Digest Dis Ctr GASTRO, LV-1006 Riga, Latvia; [Kikuste, Ilze] Latvian State Univ, Fac Med, LV-1586 Riga, Latvia</t>
  </si>
  <si>
    <t>Latvian Biomedical Research &amp; Study Centre; University of Latvia</t>
  </si>
  <si>
    <t>Line, A (corresponding author), Latvian Biomed Res &amp; Study Ctr, Canc Biomarker Grp, Ratsupites Str 1,K-1, LV-1067 Riga, Latvia.</t>
  </si>
  <si>
    <t>aija@biomed.lu.lv</t>
  </si>
  <si>
    <t>Zayakin, Pawel/AAJ-8418-2021; Zayakin, Pawel/GPC-4340-2022; Kalnina, Zane/AAH-9884-2021; Linē, Aija/AAH-9999-2021</t>
  </si>
  <si>
    <t>Zayakin, Pawel/0000-0002-5336-3484; Kalnina, Zane/0000-0001-9002-3131; Linē, Aija/0000-0002-8492-4758; TOLMANIS, IVARS/0000-0003-0783-6460; Meistere, Irena/0000-0002-4694-3042</t>
  </si>
  <si>
    <t>10.3748/wjg.v21.i41.11636</t>
  </si>
  <si>
    <t>WOS:000365025100012</t>
  </si>
  <si>
    <t>Wisler, JW; Becker, RC</t>
  </si>
  <si>
    <t>Wisler, James W.; Becker, Richard C.</t>
  </si>
  <si>
    <t>Emerging paradigms in arterial thrombosis</t>
  </si>
  <si>
    <t>JOURNAL OF THROMBOSIS AND THROMBOLYSIS</t>
  </si>
  <si>
    <t>Thrombosis; Cell-free DNA; Histones; NETs; Polyphosphates; Microvesicles</t>
  </si>
  <si>
    <t>TISSUE FACTOR ACTIVITY; NEUTROPHIL EXTRACELLULAR TRAPS; FACTOR-POSITIVE MICROPARTICLES; CELL-FREE DNA; BLOOD-PLASMA; IN-VIVO; COAGULATION ACTIVATION; DEOXYRIBONUCLEIC-ACID; ENDOTHELIAL-CELLS; GLYCOPROTEIN-VI</t>
  </si>
  <si>
    <t>A traditional perspective of arterial thrombosis begins with vessel wall injury and exposure of subendothelial proteins, including collagen and tissue factor, to circulating cellular and non-cellular components. Adhesion and activation of platelets, mediated by their interaction with von Willebrand protein and collagen, respectively, coupled with tissue factor-mediated activation of coagulation proteins, results in thrombin generation and fibrin formation. While this time-honored paradigm remains firm and soundly based, emerging evidence suggests that arterial thrombosis is much more complex and dynamic than originally believed. Several novel triggers, templates and facilitators, such as cell-free nucleic acids, histones, DNA-histone complexes, polyphosphates, and microvesicles have recently been identified and require inclusion in the expanding universe of thrombosis as a dominant phenotype of human disease. Because these mediators appear to have modest if any effect on physiologic hemostasis, they likely represent acquired and disease or condition-dependent processes that are highly attractive targets for pharmacologic intervention.</t>
  </si>
  <si>
    <t>[Wisler, James W.] Duke Univ, Med Ctr, Div Cardiol, Durham, NC 27705 USA; [Becker, Richard C.] Duke Univ, Med Ctr, Duke Clin Res Inst, Div Cardiol, Durham, NC 27705 USA; [Becker, Richard C.] Duke Univ, Med Ctr, Duke Clin Res Inst, Div Hematol, Durham, NC 27705 USA; [Becker, Richard C.] Duke Univ, Med Ctr, Duke Clin Res Inst, Cardiovasc Thrombosis Ctr, Durham, NC 27705 USA</t>
  </si>
  <si>
    <t>Duke University; Duke University; Duke University; Duke University</t>
  </si>
  <si>
    <t>Wisler, JW (corresponding author), Duke Univ, Med Ctr, Div Cardiol, 7400,2301 Erwin Rd, Durham, NC 27705 USA.</t>
  </si>
  <si>
    <t>jim.wisler@duke.edu</t>
  </si>
  <si>
    <t>0929-5305</t>
  </si>
  <si>
    <t>1573-742X</t>
  </si>
  <si>
    <t>10.1007/s11239-013-0965-1</t>
  </si>
  <si>
    <t>WOS:000329941200002</t>
  </si>
  <si>
    <t>Jiang, JQ; Yu, YQ; Zhang, H; Cai, CX</t>
  </si>
  <si>
    <t>Jiang, Juqian; Yu, Yongqi; Zhang, Hui; Cai, Chenxin</t>
  </si>
  <si>
    <t>Electrochemical aptasensor for exosomal proteins profiling based on DNA nanotetrahedron coupled with enzymatic signal amplification</t>
  </si>
  <si>
    <t>Electrochemical aptasensor; DNA nanotetrahedron; Exosome; Exosomal proteins profiling; Signal amplification</t>
  </si>
  <si>
    <t>NUCLEIC-ACIDS; GOLD NANOPARTICLES; CANCER-CELLS; I ENZYME; GRAPHENE; BIOSENSOR; SENSOR; FUNCTIONALIZATION; RECOGNITION; RELEASE</t>
  </si>
  <si>
    <t>Exosomes are extracellular nanovesicles for transferring and delivering membrane and cytosolic molecules between cells. Detection and profiling of exosomal proteins can provide direct information on disease progression, which is important to the early diagnosis and monitoring of diseases. Herein, a welldesigned electrochemical aptasensor was fabricated for the profiling of cancerous exosomal proteins based on DNA nanotetrahedron (NTH) coupled with Au nanoparticles (NPs) and enzymatic signal amplification. In this assay, the aptamer modified DNA NTHs were used as the recognition and capture unit, Au NPs-DNA conjugates coupled with horseradish peroxidase were used to realize signal amplification. This aptasensor achieves a detection limit down to 1.66 x 10(4) particles/mL for HepG2 liver cancer exosomes. In addition, the analysis of plasma-derived exosomes in HepG2 liver cancer bearing mice at different cancer stages was also achieved. More importantly, the aptasensor can be used to profile four kinds of exosomal proteins by using the corresponding aptamer. The proposed electrochemical aptasensor may be served as a potential platform for exosome detection and exosomal proteins profiling. (C) 2020 Elsevier B.V. All rights reserved.</t>
  </si>
  <si>
    <t>[Jiang, Juqian; Yu, Yongqi; Zhang, Hui; Cai, Chenxin] Nanjing Normal Univ, Coll Chem &amp; Mat Sci,Jiangsu Key Lab Biomed Mat, Jiangsu Collaborat Innovat Ctr Biomed Funct Mat, Natl &amp; Local Joint Engn Res Ctr Biomed Funct Mat, Nanjing 210097, Peoples R China</t>
  </si>
  <si>
    <t>Zhang, H (corresponding author), Nanjing Normal Univ, Coll Chem &amp; Mat Sci,Jiangsu Key Lab Biomed Mat, Jiangsu Collaborat Innovat Ctr Biomed Funct Mat, Natl &amp; Local Joint Engn Res Ctr Biomed Funct Mat, Nanjing 210097, Peoples R China.</t>
  </si>
  <si>
    <t>, hui/0000-0002-1129-7706</t>
  </si>
  <si>
    <t>10.1016/j.aca.2020.07.012</t>
  </si>
  <si>
    <t>WOS:000569059300001</t>
  </si>
  <si>
    <t>Zhao, LD; Zuo, P; Yin, BC; Hong, CL; Ye, BC</t>
  </si>
  <si>
    <t>Zhao Li-Dong; Zuo Peng; Yin Bin-Cheng; Hong Chenglin; Ye Bang-Ce</t>
  </si>
  <si>
    <t>A Cell Membrane-Anchored DNA Tetrahedral Sensor for Real-time Monitoring of Exosome Secretion</t>
  </si>
  <si>
    <t>ACTA CHIMICA SINICA</t>
  </si>
  <si>
    <t>cell membrane-anchored sensor; DNA tetrahedron; exosome; secretion; real-time monitoring; aptamer</t>
  </si>
  <si>
    <t>ELECTROCHEMICAL DETECTION; BIOSENSING INTERFACE; NANOSTRUCTURES; BEHAVIOR</t>
  </si>
  <si>
    <t>Exosomes are nanoscale bilayer membrane vesicles actively secreted by cells, which carry abundant cell-specific substances. They can directly reflect the physiological and functional status of the secreting cells and play important roles in intercellular communication, physiological and pathological processes. In this work, we combined membrane modification technique with fluorescence imaging technique and blended CD63 aptamers into a highly stable and universal DNA tetrahedral structure to construct a cell membrane-anchored DNA sensor for real-time monitoring the secretion of exosomes. We designed four functional toes on each vertex of the tetrahedral sensor, respectively. A signal report toe on the top vertex consisted of fluorophore-modified CD63 aptamer, quencher-modified quencher probe(QP) binding part of the CD63 aptamer, and block probe (BP) binding the rest of the CD63 aptamer. The other three extended toes on the vertices were immobilized to the cell membrane by hybridizing with cholesterol-modified anchor probes(AI)), which spontaneously incorporated to a lipid bilayer via hydrophobic interaction between the cholesterol moieties and the cellular membrane. In the initial state, the proposed DNA tetrahedral sensor was tethered to membrane with fluorophores quenched by QP and CD63 aptamer blocked by QP and BP. Trigger probes (TP) were add to bind to BP, resulting in the activation of the sensor. Subsequently, CD63 aptamers were specifically bound to the secreted exosomes, leading to the release of QP and concurrent fluorescence restoration of fluorophore. The intensity of the fluorescent signal in cell membrane was proportional to the amount of exosomes captured, thus realizing the real-time monitoring of the exosomes by analysis the changes of the fluorescence intensity. The experimental results showed that the sensor exhibited a good stability and a high capture efficiency for secreted exosomes. This strategy would provide a potentially useful tool for a variety of applications in biomedical research, drug discovery and tissue engineering.</t>
  </si>
  <si>
    <t>[Zhao Li-Dong; Zuo Peng; Yin Bin-Cheng; Ye Bang-Ce] East China Univ Sci &amp; Technol, Lab Biosyst &amp; Microanal, State Key Lab Bioreactor Engn, Shanghai 200237, Peoples R China; [Yin Bin-Cheng; Hong Chenglin] Shihezi Univ, Sch Chem &amp; Chem Engn, Key Lab Green Proc Chem Engn Xinjiang Bingtuan, Shihezi 832000, Peoples R China; [Ye Bang-Ce] Zhejiang Univ Technol, Coll Pharmaceut Sci, Collaborat Innovat Ctr Yangtze River Delta Reg Gr, Hangzhou 310014, Peoples R China</t>
  </si>
  <si>
    <t>East China University of Science &amp; Technology; Shihezi University; Zhejiang University of Technology</t>
  </si>
  <si>
    <t>Yin, BC; Ye, BC (corresponding author), East China Univ Sci &amp; Technol, Lab Biosyst &amp; Microanal, State Key Lab Bioreactor Engn, Shanghai 200237, Peoples R China.;Yin, BC; Hong, CL (corresponding author), Shihezi Univ, Sch Chem &amp; Chem Engn, Key Lab Green Proc Chem Engn Xinjiang Bingtuan, Shihezi 832000, Peoples R China.;Ye, BC (corresponding author), Zhejiang Univ Technol, Coll Pharmaceut Sci, Collaborat Innovat Ctr Yangtze River Delta Reg Gr, Hangzhou 310014, Peoples R China.</t>
  </si>
  <si>
    <t>binchengyin@ecust.edu.cn; hcl_tea@shzu.edu.cn; bcye@ecust.edu.cn</t>
  </si>
  <si>
    <t>0567-7351</t>
  </si>
  <si>
    <t>10.6023/A20060235</t>
  </si>
  <si>
    <t>WOS:000589508100007</t>
  </si>
  <si>
    <t>Kim, JY; Song, J; Jung, H; Mok, H</t>
  </si>
  <si>
    <t>Kim, Jun Yeong; Song, Jihyeon; Jung, Heejung; Mok, Hyejung</t>
  </si>
  <si>
    <t>I-motif-coated exosomes as a pH-sensitive carrier for anticancer drugs</t>
  </si>
  <si>
    <t>APPLIED BIOLOGICAL CHEMISTRY</t>
  </si>
  <si>
    <t>Biotin; Doxorubicin; Exosome; I-motif; pH-responsive; Streptavidin</t>
  </si>
  <si>
    <t>BREAST-CANCER CELLS; TUMOR MICROENVIRONMENT; DELIVERY; DOXORUBICIN; DNA; NANOPARTICLES; EFFICIENT; EFFLUX; TARGET; SIZE</t>
  </si>
  <si>
    <t>Nature-derived exosomes have been noted as emerging carriers for anticancer drugs. In this study, as a proof-of-concept, the anticancer drug doxorubicin (Dox) was loaded onto i-motif-modified exosomes (Exo-i-motif) to deliver Dox to cancer cells efficiently. The double-stranded biotin-i-motif/flare (ds-i-motif-bio)s efficiently released Dox in an acidic pH-responsive manner within 1h. Based on gel electrophoresis, it was clearly confirmed that ds-i-motif-bio successfully interacts with biotin-conjugated exosomes and streptavidin (strep) via the biotin-streptavidin interaction. The particle sizes were below 150nm without aggregation after strep-mediated modification of ds-i-motif-bio on the surfaces of the exosomes. In addition, released Dox had intact bioactivity for anti-proliferation after immobilization onto the exosomes. This study could serve as a new concept of pH-responsive delivery systems of anticancer drug using nature-derived exosomes with i-motifs.</t>
  </si>
  <si>
    <t>[Kim, Jun Yeong; Song, Jihyeon; Jung, Heejung; Mok, Hyejung] Konkuk Univ, Dept Biosci &amp; Biotechnol, Seoul 05029, South Korea</t>
  </si>
  <si>
    <t>Konkuk University</t>
  </si>
  <si>
    <t>Mok, H (corresponding author), Konkuk Univ, Dept Biosci &amp; Biotechnol, Seoul 05029, South Korea.</t>
  </si>
  <si>
    <t>hjmok@konkuk.ac.kr</t>
  </si>
  <si>
    <t>2468-0834</t>
  </si>
  <si>
    <t>2468-0842</t>
  </si>
  <si>
    <t>10.1007/s13765-018-0394-0</t>
  </si>
  <si>
    <t>Food Science &amp; Technology</t>
  </si>
  <si>
    <t>WOS:000451960200001</t>
  </si>
  <si>
    <t>Lu, YS; Delijani, K; Mecum, A; Goldkorn, A</t>
  </si>
  <si>
    <t>Lu, Yi-Tsung; Delijani, Kevin; Mecum, Andrew; Goldkorn, Amir</t>
  </si>
  <si>
    <t>Current status of liquid biopsies for the detection and management of prostate cancer</t>
  </si>
  <si>
    <t>CANCER MANAGEMENT AND RESEARCH</t>
  </si>
  <si>
    <t>prostate cancer; biomarker; circulating tumor cell; circulating tumor DNA</t>
  </si>
  <si>
    <t>CIRCULATING TUMOR-CELLS; MESSENGER-RNA DETECTION; ANDROGEN RECEPTOR; FREE DNA; EXTRACELLULAR VESICLES; TELOMERASE ACTIVITY; PROGNOSTIC MARKERS; MICRORNA SIGNATURE; CLINICAL UTILITY; WHOLE-BLOOD</t>
  </si>
  <si>
    <t>In recent years, new therapeutic options have become available for prostate cancer (PC) patients, generating an urgent need for better biomarkers to guide the choice of therapy and monitor treatment response. Liquid biopsies, including circulating tumor cells (CTCs), circulating nucleic acids, and exosomes, have been developed as minimally invasive assays allowing oncologists to monitor PC patients with real-time cellular or molecular information. While CTC counts remain the most extensively validated prognostic biomarker to monitor treatment response, recent advances demonstrate that CTC morphology and androgen receptor characterization can provide additional information to guide the choice of treatment. Characterization of cell-free DNA (cfDNA) is another rapidly emerging field with novel technologies capable of monitoring the evolution of treatment relevant alterations such as those in DNA damage repair genes for poly (ADP-ribose) polymerase (PARP) inhibition. In addition, several new liquid biopsy fields are emerging, including the characterization of heterogeneity, CTC RNA sequencing, the culture and xenografting of CTCs, and the characterization of extracellular vesicles (EVs) and circulating microRNAs. This review describes the clinical utilization of liquid biopsies in the management of PC patients and emerging liquid biopsy technologies with the potential to advance personalized cancer therapy.</t>
  </si>
  <si>
    <t>[Goldkorn, Amir] Univ Southern Calif, Div Med Oncol, Dept Med, Keck Sch Med, 1441 Eastlake Ave,Ste 3440, Los Angeles, CA 90089 USA; Univ Southern Calif, Translat &amp; Clin Sci Program, USC Norris Comprehens Canc Ctr, Los Angeles, CA USA</t>
  </si>
  <si>
    <t>Goldkorn, A (corresponding author), Univ Southern Calif, Div Med Oncol, Dept Med, Keck Sch Med, 1441 Eastlake Ave,Ste 3440, Los Angeles, CA 90089 USA.;Goldkorn, A (corresponding author), Univ Southern Calif, Norris Comprehens Canc Ctr, 1441 Eastlake Ave,Ste 3440, Los Angeles, CA 90089 USA.</t>
  </si>
  <si>
    <t>agoldkor@med.usc.edu</t>
  </si>
  <si>
    <t>Lu, Yi-Tsung/0000-0001-6407-8921; Mecum, Andrew/0000-0001-5194-8684</t>
  </si>
  <si>
    <t>1179-1322</t>
  </si>
  <si>
    <t>10.2147/CMAR.S170380</t>
  </si>
  <si>
    <t>WOS:000470703200004</t>
  </si>
  <si>
    <t>Jin, T; Gu, JC; Xia, HB; Chen, HM; Xu, XM; Li, ZS; Yue, YM; Gui, YX</t>
  </si>
  <si>
    <t>Jin, Tao; Gu, Jiachen; Xia, Hongbo; Chen, Huimin; Xu, Xiaomin; Li, Zongshan; Yue, Yumei; Gui, Yaxing</t>
  </si>
  <si>
    <t>Differential Expression of microRNA Profiles andWntSignals in Stem Cell-Derived Exosomes During Dopaminergic Neuron Differentiation</t>
  </si>
  <si>
    <t>exosome; dopaminergic neurons; differentiation; microRNAs</t>
  </si>
  <si>
    <t>HUMAN ES; ENHANCES DIFFERENTIATION; HUMAN FIBROBLASTS; MIDBRAIN; MOUSE; CONVERSION; NURR1; SPECIFICATION; NEUROGENESIS; PITX3</t>
  </si>
  <si>
    <t>The role of secreted exosomes during dopaminergic (DA) neuron differentiation is still unknown. To investigate the roles of exosomes in DA neuron fate specification, we profiled exosomal microRNAs (miRNAs) during DA neuron differentiation of epiblast-derived stem cells (EpiSCs). There were 26 miRNAs differentially expressed (relative fold &gt;2,p &lt; 0.05) in EpiSC-derived exosomes at 0, 2, 4, 6, 8, 10, 12, and 14 days of DA epiblast differentiation. Among them, 23 exosomic miRNAs were significantly increased, including miR-124, miR-132, miR-133b, miR-218, miR-9, miR-34b, miR-34c, and miR-135a2, while three exosomic miRNAs (miR-214, miR-7a, and miR-302b) were decreased, when compared with control samples. Bioinformatics analysis by DIANA-mirPath demonstrated that extracellular matrix-receptor interaction, signaling pathways regulating pluripotency of stem cells, FoxO signaling pathway, DA synapse,Wntsignaling pathway, GABAergic synapse, and neurotrophin signaling pathway were significantly enriched in DA differentiation-related miRNA signature (allp-values &lt;0.012). Furthermore, messenger RNAs for nine DA neuronal markers tyrosine hydroxylase (TH), Nr4a2, Pitx3, Drd1a, Lmx1a, Lmx1b, Foxa1, Dmrt5, and Slc18a2 were significantly increased expressed over time in exosomes derived from differentiated EpiSCs. Interestingly, adding with exosomes derived from EpiSC induction experiment resulted in a twofold increase of TH-positive neurons production (35% vs. 17%,p &lt; 0.01) during DA neuronal differentiation from mouse embryonic stem cells (ESCs). In summary, our results suggested exosomal miRNAs are potential regulators of DA neuron differentiation. More importantly, EpiSC-derived exosomes could promote the generation of DA neuron differentiation from ESCs.</t>
  </si>
  <si>
    <t>[Jin, Tao; Gu, Jiachen; Xia, Hongbo; Chen, Huimin; Xu, Xiaomin; Li, Zongshan; Yue, Yumei; Gui, Yaxing] Zhejiang Univ, Sch Med, Sir Run Run Shaw Hosp, Dept Neurol, 3 Qingchun East Rd, Hangzhou 310016, Zhejiang, Peoples R China; [Xia, Hongbo] First Peoples Hosp Fuyang, Dept Neurol, Hangzhou, Peoples R China; [Chen, Huimin] Shaoxing Univ, Sch Med, Dept Neurol, Shaoxing, Peoples R China</t>
  </si>
  <si>
    <t>Zhejiang University; Shaoxing University</t>
  </si>
  <si>
    <t>Gui, YX (corresponding author), Zhejiang Univ, Sch Med, Sir Run Run Shaw Hosp, Dept Neurol, 3 Qingchun East Rd, Hangzhou 310016, Zhejiang, Peoples R China.</t>
  </si>
  <si>
    <t>guiyaxing@zju.edu.cn</t>
  </si>
  <si>
    <t>10.1089/dna.2020.5931</t>
  </si>
  <si>
    <t>WOS:000581176100001</t>
  </si>
  <si>
    <t>Frances Tran; Boedicker, James Q.</t>
  </si>
  <si>
    <t>Genetic cargo and bacterial species set the rate of vesicle-mediated horizontal gene transfer</t>
  </si>
  <si>
    <t>OUTER-MEMBRANE VESICLES; GRAM-NEGATIVE BACTERIA; ESCHERICHIA-COLI; DNA UPTAKE; ANTIBIOTIC-RESISTANCE; CONJUGATIVE PLASMIDS; EVOLUTION; MECHANISM; TRANSFORMATION; BIOGENESIS</t>
  </si>
  <si>
    <t>Most bacteria release extracellular vesicles (EVs). Recent studies have found these vesicles are capable of gene delivery, however the consequences of vesicle-mediated transfer on the patterns and rates of gene flow within microbial communities remains unclear. Previous studies have not determined the impact of both the genetic cargo and the donor and recipient species on the rate of vesicle-mediated gene exchange. This report examines the potential for EVs as a mechanism of gene transfer within heterogeneous microbial populations. EVs were harvested from three species of Gramnegative microbes carrying different plasmids. The dynamics of gene transfer into recipient species was measured. This study demonstrates that vesicles enable gene exchange between five species of Gram-negative bacteria, and that the identity of the genetic cargo, donor strain, and recipient strain all influence gene transfer rates. Each species released and acquired vesicles containing genetic material to a variable degree, and the transfer rate did not correlate with the relatedness of the donor and recipient species. The results suggest that EVs may be a general mechanism to exchange non-specialized genetic cargo between bacterial species.</t>
  </si>
  <si>
    <t>[Frances Tran; Boedicker, James Q.] Univ Southern Calif, Seaver Sci Ctr SSC 212, Dept Biol Sci, 920 Bloom Walk, Los Angeles, CA 90089 USA; [Boedicker, James Q.] Univ Southern Calif, Dept Phys &amp; Astron, Seaver Sci Ctr SSC 212, 920 Bloom Walk, Los Angeles, CA 90089 USA</t>
  </si>
  <si>
    <t>Boedicker, JQ (corresponding author), Univ Southern Calif, Seaver Sci Ctr SSC 212, Dept Biol Sci, 920 Bloom Walk, Los Angeles, CA 90089 USA.;Boedicker, JQ (corresponding author), Univ Southern Calif, Dept Phys &amp; Astron, Seaver Sci Ctr SSC 212, 920 Bloom Walk, Los Angeles, CA 90089 USA.</t>
  </si>
  <si>
    <t>10.1038/s41598-017-07447-7</t>
  </si>
  <si>
    <t>WOS:000407980000067</t>
  </si>
  <si>
    <t>Yang, LM; Yin, XH; An, B; Li, F</t>
  </si>
  <si>
    <t>Yang, Limin; Yin, Xuehan; An, Bin; Li, Feng</t>
  </si>
  <si>
    <t>Precise Capture and Direct Quantification of Tumor Exosomes via a Highly Efficient Dual-Aptamer Recognition-Assisted Ratiometric Immobilization-Free Electrochemical Strategy</t>
  </si>
  <si>
    <t>Tumor exosomes are promising biomarkers for early cancer diagnosis in a noninvasive manner. However, precise capture and direct analysis of tumor-specific exosomes in complex biological samples are still challenging. Herein, we present a highly efficient dual-aptamer recognition system for precisely isolating and quantifying tumor exosomes from the complex biological environment based on hyperbranched DNA superstructure-facilitated signal amplification and ratiometric dual-signal strategies. When tumor exosomes were captured by the dual-aptamer recognition system, the cholesterol-modified DNA probe was anchored on the surface of the exosomes, activating DNA tetrahedron-based hyperbranched hybridization chain reaction to generate a sandwich complex. Then, the sandwich complex could bind a large number of Ru(NH3)(6)(3+) (Ru(III)), leading to a small amount of unbound Ru(III) left in the supernatant after magnetic separation. Hence, the redox reaction between Ru(II) and [Fe(CN)(6)](3-) (Fe(III)) was significantly prevented, causing an obviously enhanced I-Fe(III)/I-Ru(III) value. Consequently, highly sensitive detection of tumor exosomes was achieved. The developed approach successfully realized direct isolation and analysis of tumor exosomes in complex sample media and human serum samples as well. More significantly, this ratiometric dual-signal mode and immobilization-free strategy effectively circumvented the systematic errors caused by external factors and the tedious probe immobilization processes, thus displaying the excellent performances of high reliability, improved accuracy, and easy manipulation. Overall, this approach is expected to offer novel ways for nondestructive early cancer diagnosis.</t>
  </si>
  <si>
    <t>[Yang, Limin; Yin, Xuehan; An, Bin; Li, Feng] Qingdao Agr Univ, Coll Chem &amp; Pharmaceut Sci, Qingdao 266109, Peoples R China</t>
  </si>
  <si>
    <t>Qingdao Agricultural University</t>
  </si>
  <si>
    <t>Li, F (corresponding author), Qingdao Agr Univ, Coll Chem &amp; Pharmaceut Sci, Qingdao 266109, Peoples R China.</t>
  </si>
  <si>
    <t>lifeng@qau.edu.cn</t>
  </si>
  <si>
    <t>10.1021/acs.analchem.0c04308</t>
  </si>
  <si>
    <t>WOS:000613922400065</t>
  </si>
  <si>
    <t>Podolich, O; Kukharenko, O; Haidak, A; Zaets, I; Zaika, L; Storozhuk, O; Palchikovska, L; Orlovska, I; Reva, O; Borisova, T; Khirunenko, L; Sosnin, M; Rabbow, E; Kravchenko, V; Skoryk, M; Kremenskoy, M; Demets, R; Olsson-Francis, K; Kozyrovska, N; de Vera, JPP</t>
  </si>
  <si>
    <t>Podolich, Olga; Kukharenko, Olga; Haidak, Andriy; Zaets, Iryna; Zaika, Leonid; Storozhuk, Olha; Palchikovska, Larysa; Orlovska, Iryna; Reva, Oleg; Borisova, Tatiana; Khirunenko, Ludmila; Sosnin, Mikhail; Rabbow, Elke; Kravchenko, Volodymyr; Skoryk, Mykola; Kremenskoy, Maksym; Demets, Rene; Olsson-Francis, Karen; Kozyrovska, Natalia; de Vera, Jean-Pierre Paul</t>
  </si>
  <si>
    <t>Multimicrobial Kombucha Culture Tolerates Mars-Like Conditions Simulated on Low-Earth Orbit</t>
  </si>
  <si>
    <t>ASTROBIOLOGY</t>
  </si>
  <si>
    <t>BIOMEX (Biology and Mars Experiment); Kombucha multimicrobial culture; Survivability; Biofilm; Extracellular membrane vesicles</t>
  </si>
  <si>
    <t>MICROBIAL COMMUNITY; BACILLUS-SUBTILIS; ESCHERICHIA-COLI; AQUEOUS EXTRACTS; SPACE; SURVIVAL; EXPOSURE; MICROGRAVITY; BIOFILMS; FERMENTATION</t>
  </si>
  <si>
    <t>A kombucha multimicrobial culture (KMC) was exposed to simulated Mars-like conditions in low-Earth orbit (LEO). The study was part of the Biology and Mars Experiment (BIOMEX), which was accommodated in the European Space Agency's EXPOSE-R2 facility, outside the International Space Station. The aim of the study was to investigate the capability of a KMC microecosystem to survive simulated Mars-like conditions in LEO. During the 18-month exposure period, desiccated KMC samples, represented by living cellulose-based films, were subjected to simulated anoxic Mars-like conditions and ultraviolet (UV) radiation, as prevalent at the surface of present-day Mars. Postexposure analysis demonstrated that growth of both the bacterial and yeast members of the KMC community was observed after 60 days of incubation; whereas growth was detected after 2 days in the initial KMC. The KMC that was exposed to extraterrestrial UV radiation showed degradation of DNA, alteration in the composition and structure of the cellular membranes, and an inhibition of cellulose synthesis. In the space dark control (exposed to LEO conditions without the UV radiation), the diversity of the microorganisms that survived in the biofilm was reduced compared with the ground-based controls. This was accompanied by structural dissimilarities in the extracellular membrane vesicles. After a series of subculturing, the revived communities restored partially their structure and associated activities.</t>
  </si>
  <si>
    <t>[Podolich, Olga; Kukharenko, Olga; Haidak, Andriy; Zaets, Iryna; Zaika, Leonid; Storozhuk, Olha; Palchikovska, Larysa; Orlovska, Iryna; Kozyrovska, Natalia] NASU, Inst Mol Biol &amp; Genet, Acad Zabolotnoho Str 150, UA-03680 Kiev, Ukraine; [Reva, Oleg] Univ Pretoria, Ctr Bioinformat &amp; Computat Biol, Dept Biochem Genet &amp; Microbiol, Pretoria, South Africa; [Borisova, Tatiana] NASU, Palladin Inst Biochem, Kiev, Ukraine; [Khirunenko, Ludmila; Sosnin, Mikhail] NASU, Inst Phys, Kiev, Ukraine; [Rabbow, Elke] German Aerosp Ctr DLR Cologne, Inst Aerosp Med, Radiat Biol, Berlin, Germany; [Kravchenko, Volodymyr; Skoryk, Mykola; Kremenskoy, Maksym] NanoMedTech LLC, Kiev, Ukraine; [Demets, Rene] ESA ESTEC, Noordwijk, Netherlands; [Olsson-Francis, Karen] Open Univ, Sch Environm Earth &amp; Ecosyst Sci, Milton Keynes, Bucks, England; [de Vera, Jean-Pierre Paul] German Aerosp Ctr DLR Berlin, Inst Planetary Res Management &amp; Infrastruct, Astrobiol Labs, Berlin, Germany</t>
  </si>
  <si>
    <t>National Academy of Sciences Ukraine; Institute of Molecular Biology &amp; Genetics of NASU; University of Pretoria; National Academy of Sciences Ukraine; Palladin Institute of Biochemistry of NASU; National Academy of Sciences Ukraine; Institute of Physics of the National Academy of Sciences of Ukraine; Helmholtz Association; German Aerospace Centre (DLR); European Space Agency; Open University - UK; Helmholtz Association; German Aerospace Centre (DLR)</t>
  </si>
  <si>
    <t>Podolich, O (corresponding author), NASU, Inst Mol Biol &amp; Genet, Acad Zabolotnoho Str 150, UA-03680 Kiev, Ukraine.</t>
  </si>
  <si>
    <t>podololga@ukr.net</t>
  </si>
  <si>
    <t>Zaika, Leonid/AAM-1424-2020; Kremenskoy, Maksym/AAD-8898-2021; Kozyrovska, Natalia O./P-1635-2017; Khirunenko, Lyudmila I/N-7459-2018</t>
  </si>
  <si>
    <t>Khirunenko, Lyudmila I/0000-0003-4535-5529; Mykola, Skoryk/0000-0002-3479-166X; Kozyrovska, Natalia/0000-0002-2849-3471; Storozhuk, Olha/0000-0003-4317-5786; Reva, Oleg/0000-0002-5459-2772</t>
  </si>
  <si>
    <t>1531-1074</t>
  </si>
  <si>
    <t>1557-8070</t>
  </si>
  <si>
    <t>10.1089/ast.2017.1746</t>
  </si>
  <si>
    <t>WOS:000451392200001</t>
  </si>
  <si>
    <t>Sun, CY; Chen, GD; He, BC; Fu, WE; Lee, CH; Leu, YW; Hsiao, SH</t>
  </si>
  <si>
    <t>Sun, Chiao-Yin; Chen, Guo-Dung; He, Bo-Ching; Fu, Wei-En; Lee, Chia-Huei; Leu, Yu-Wei; Hsiao, Shu-Huei</t>
  </si>
  <si>
    <t>Dysregulated HIC1 and RassF1A expression in vitro alters the cell cytoskeleton and exosomal Piwi-interacting RNA</t>
  </si>
  <si>
    <t>Cell stiffness; piRNA; Biomarkers; Extracellular vesicles; Renal cell carcinoma</t>
  </si>
  <si>
    <t>TUMOR-SUPPRESSOR GENES; DNA METHYLATION; PROTEIN; SERUM</t>
  </si>
  <si>
    <t>HIC1 and RassF1A methylation, which cause loss of gene function, are found in various cancers, including renal cell carcinoma (RCC), and could alter cell stiffness and the content of extracellular vesicles (EVs). These physiological changes may provide a tumoral survival advantage and thus could serve as cellular biomarkers for monitoring cell transformation, although direct associations between these changes and cell transformation remain to be established. As we found HIC1 and RassF1A methylation and expression changes in RCC samples, we examined the effects of gain and loss of HIC1 and RassF1A expression on cell DNA content, cytoskeletal structure, and Piwi-interacting RNA (piRNA) expression in EVs. We found HIC1 and RassF1A hypermethylation and abnormal expression in RCC patient samples was independent of the somatic mutations found in publicly available data. Cell stiffness was reduced in accordance with disrupted cytoskeleton conformation after knockdown of HIC1 or RassF1A. Gain or loss of HIC1 expression induced instability in genomic content, abnormal RassF1A expression disturbed cytoskeletal structure, and the abnormal expression of either gene altered piRNA content in EVs. These results suggest a causal relationship between abnormal tumor suppressor gene expression, cell stiffness, and piRNA expression. (c) 2022 Published by Elsevier Inc.</t>
  </si>
  <si>
    <t>[Sun, Chiao-Yin] Keelung Chang Gung Mem Hosp, Dept Nephrol, Keelung 204, Taiwan; [Sun, Chiao-Yin] Chang Gung Univ, Coll Med, Taoyuan 333, Taiwan; [Chen, Guo-Dung; He, Bo-Ching; Fu, Wei-En] Ind Technol Res Inst, Ctr Measurement Stand, Nano &amp; Mech Measurement Lab, Hsinchu, Taiwan; [Lee, Chia-Huei] Natl Hlth Res Inst, Natl Inst Canc Res, Zhunan 350, Taiwan; [Leu, Yu-Wei; Hsiao, Shu-Huei] Natl Chung Cheng Univ, Dept Biomed Sci, Chiayi 621, Taiwan</t>
  </si>
  <si>
    <t>Chang Gung Memorial Hospital; Chang Gung University; Industrial Technology Research Institute - Taiwan; National Health Research Institutes - Taiwan; National Chung Cheng University</t>
  </si>
  <si>
    <t>Leu, YW; Hsiao, SH (corresponding author), Natl Chung Cheng Univ, Dept Biomed Sci, Chiayi 621, Taiwan.</t>
  </si>
  <si>
    <t>bioywl@ccu.edu.tw; bioshh@ccu.edu.tw</t>
  </si>
  <si>
    <t>Lee, Chia-Huei/0000-0002-8847-3288</t>
  </si>
  <si>
    <t>10.1016/j.bbrc.2022.01.065</t>
  </si>
  <si>
    <t>WOS:000748425600010</t>
  </si>
  <si>
    <t>Liang, Z; Luo, Y; Lv, YG</t>
  </si>
  <si>
    <t>Liang, Zhuo; Luo, Yue; Lv, Yonggang</t>
  </si>
  <si>
    <t>Mesenchymal stem cell-derived microvesicles mediate BMP2 gene delivery and enhance bone regeneration</t>
  </si>
  <si>
    <t>MORPHOGENETIC PROTEIN-2; EXTRACELLULAR VESICLES; MATRIX; POLYETHYLENEIMINE; PROGRESS; BINDING; PEI; DNA</t>
  </si>
  <si>
    <t>A demineralized bone matrix (DBM) scaffold has good biocompatibility, low antigenicity, a natural porous structure and no cytotoxicity, and so it is an appropriate material for bone regeneration. However, osteoinductive growth factors are often removed during preparation, which destroys the osteoinductive capacity of the DBM scaffold. Biomaterials combined with gene therapy is a promising approach to effectively avoid this adverse side effect. This study develops a human bone morphogenetic protein 2 (hBMP2) gene-activated DBM scaffold to enhance the osteoinductive capacity of DBM and improve bone repair. Bone marrow mesenchymal stem cell (MSC)-derived microvesicles (MVs) were obtained, and polyethyleneimine (PEI) and human bone morphogenetic protein 2 (hBMP2) plasmids (phBMP2) were sequentially coated on the MVs by layer-by-layer (LBL) self-assembly to form an MVs-PEI/phBMP2 non-viral gene vector. Finally, the gene-activated scaffold (DBM/MVs-PEI/phBMP2) was prepared by loading MVs-PEI/phBMP2 onto a DBM scaffold. The experimental results show that the MVs-PEI/phBMP2 exhibits higher transfection efficiency and lower cytotoxicity to MSCs when the MVs/PEI weight ratio = 5, and could enhance the osteogenic differentiation of MSCs in vitro. Subcutaneous implantation into rats showed that the DBM/MVs-PEI/phBMP2 scaffold could efficiently enhance the deposition of: collagen fibers, osteocalcin, osteopontin and CD34 endogenous proteins. Rabbit femoral condyle defect experiments proved that the DBM/MVs-PEI/phBMP2 scaffold could significantly promote bone repair. This study presents a novel, highly efficient and low cytotoxicity gene delivery vector based on MVs. The geneactivated DBM scaffold based on MVs not only could promote bone formation but also angiogenesis, implying that this kind of gene-activated scaffold is a promising bone substitute material.</t>
  </si>
  <si>
    <t>[Liang, Zhuo; Luo, Yue; Lv, Yonggang] Chongqing Univ, Bioengn Coll, Mechanobiol &amp; Regenerat Med Lab, Chongqing 400044, Peoples R China; [Liang, Zhuo; Luo, Yue; Lv, Yonggang] Chongqing Univ, Bioengn Coll, Minist Educ, Key Lab Biorheol Sci &amp; Technol, Chongqing 400044, Peoples R China</t>
  </si>
  <si>
    <t>Chongqing University; Chongqing University</t>
  </si>
  <si>
    <t>Lv, YG (corresponding author), Chongqing Univ, Bioengn Coll, Mechanobiol &amp; Regenerat Med Lab, Chongqing 400044, Peoples R China.;Lv, YG (corresponding author), Chongqing Univ, Bioengn Coll, Minist Educ, Key Lab Biorheol Sci &amp; Technol, Chongqing 400044, Peoples R China.</t>
  </si>
  <si>
    <t>yglv@cqu.edu.cn</t>
  </si>
  <si>
    <t>10.1039/d0tb00422g</t>
  </si>
  <si>
    <t>WOS:000555679300015</t>
  </si>
  <si>
    <t>Yang, Q; Wei, B; Peng, CG; Wang, L; Li, C</t>
  </si>
  <si>
    <t>Yang, Qi; Wei, Bo; Peng, Chuangang; Wang, Le; Li, Chang</t>
  </si>
  <si>
    <t>Identification of serum exosomal miR-98-5p, miR-183-5p, miR-323-3p and miR-19b-3p as potential biomarkers for glioblastoma patients and investigation of their mechanisms</t>
  </si>
  <si>
    <t>CURRENT RESEARCH IN TRANSLATIONAL MEDICINE</t>
  </si>
  <si>
    <t>Glioblastoma; Extracellular vesicles; Exosomes; miRNAs; Biomarker</t>
  </si>
  <si>
    <t>CELL-PROLIFERATION; GENE-EXPRESSION; CANCER; SURVIVAL; GLIOMA; MICRORNA-210; RESISTANCE; MIGRATION; DIAGNOSIS; CASPASE-3</t>
  </si>
  <si>
    <t>Background: Exosomal miRNAs have attracted increasing interest as potential biomarkers and treatment targets for cancers, however, glioblastoma (GBM)-related exosomal miRNAs remain rarely reported. The study aimed to screen crucial serum exosomal miRNAs in GBM patients and explored their possible mechanisms.Methods: Serum exosomal miRNA profile datasets of GBM patients and normal controls were downloaded from the Gene Expression Omnibus database (GSE112462 and GSE122488). The differentially expressed miRNAs (DEMs) were identified using the limma method. Their diagnostic values were assessed by receiver operating characteristic (ROC) curve analysis. The target genes of DEMs were predicted by the miRwalk 2.0 database. Function enrichment analysis was performed using the DAVID database. The expression and prognosis of target genes were validated using TCGA sequencing data and immunohistochemistry.Results: Seven DEMs were shared in two datasets, among which hsa-miR-183-5p and hsa-miR-98-5p as well as has-miR-323-3p or has-miR-19b-3p constituted a diagnostic signature to distinguish GBM from controls, with the area under the ROC curve nearly approximate to 1. MAPK8IP1/FAM175B, OSMR/CASP3, PTPN2 and FBXO32 may be underlying targets for hsa-miR-183-5p, hsa-miR-98-5p, has-miR-323-3p and hasmiR-19b-3p, respectively. Function analysis showed all of these target genes were involved in cell proliferation and related signaling pathways [positive regulation of cell proliferation (OSMR), negative regulation of transcription from RNA polymerase II promoter (PTPN2), cell division (FAM175B), regulation of transcription, DNA-templated (MAPK8IP1), hsa05200:Pathways in cancer (CASP3) and hsa04068:FoxO signaling pathway (FBXO32)]. The protein and (or mRNA) expression levels of OSMR, CASP3, PTPN2 and FBXO32 were validated to be upregulated, while MAPK8IP1 and FAM175B were downregulated in GBM tissues. Also, OSMR, CASP3, PTPN2 and FBXO32 were associated with patients' prognosis. Conclusion: These findings suggest these four exosomal miRNAs may represent potential diagnostic biomarkers and therapeutic targets for GBM.(c) 2021 The Authors. Published by Elsevier Masson SAS. This is an open access article under the CC BY-NC-ND license (http://creativecommons.org/licenses/by-nc-nd/4.0/)</t>
  </si>
  <si>
    <t>[Yang, Qi] Jilin Univ, Dept Gynecol &amp; Obstet, China Japan Union Hosp, Changchun 130033, Jilin, Peoples R China; [Wei, Bo] Jilin Univ, Dept Neurosurg, China Japan Union Hosp, Changchun 130033, Jilin, Peoples R China; [Peng, Chuangang] Jilin Univ, Orthopaed Med Ctr, Hosp 2, Changchun 130041, Jilin, Peoples R China; [Wang, Le] Jilin Univ, First Hosp Jilin Univ, Ophthalmol, Changchun 130021, Jilin, Peoples R China; [Li, Chang] Jilin Univ, Dept VIP Unit, China Japan Union Hosp, Changchun 130033, Jilin, Peoples R China</t>
  </si>
  <si>
    <t>Jilin University; Jilin University; Jilin University; Jilin University; Jilin University</t>
  </si>
  <si>
    <t>Li, C (corresponding author), Jilin Univ, Dept VIP Unit, China Japan Union Hosp, Changchun 130033, Jilin, Peoples R China.</t>
  </si>
  <si>
    <t>changli@jlu.edu.cn</t>
  </si>
  <si>
    <t>2452-3186</t>
  </si>
  <si>
    <t>10.1016/j.retram.2021.103315</t>
  </si>
  <si>
    <t>WOS:000778720100002</t>
  </si>
  <si>
    <t>Ramirez, R; Ceprian, N; Figuer, A; Valera, G; Bodega, G; Alique, M; Carracedo, J</t>
  </si>
  <si>
    <t>Ramirez, Rafael; Ceprian, Noemi; Figuer, Andrea; Valera, Gemma; Bodega, Guillermo; Alique, Matilde; Carracedo, Julia</t>
  </si>
  <si>
    <t>Endothelial Senescence and the Chronic Vascular Diseases: Challenges and Therapeutic Opportunities in Atherosclerosis</t>
  </si>
  <si>
    <t>atherosclerosis; cellular senescence; endothelial senescence; extracellular vesicles; inflammation; senolityc</t>
  </si>
  <si>
    <t>CELLULAR SENESCENCE; EXTRACELLULAR VESICLES; CLONAL HEMATOPOIESIS; SECRETORY PHENOTYPE; DNA-DAMAGE; IN-VIVO; CELLS; TELOMERE; HALLMARKS; CANCER</t>
  </si>
  <si>
    <t>Atherosclerosis is probably one of the paradigms of disease linked to aging. Underlying the physiopathology of atherosclerosis are cellular senescence, oxidative stress, and inflammation. These factors are increased in the elderly and from chronic disease patients. Elevated levels of oxidative stress affect cellular function and metabolism, inducing senescence. This senescence modifies the cell phenotype into a senescent secretory phenotype. This phenotype activates immune cells, leading to chronic systemic inflammation. Moreover, due to their secretory phenotype, senescence cells present an increased release of highlighted extracellular vesicles that will change nearby/neighborhood cells and paracrine signaling. For this reason, searching for specific senescent cell biomarkers and therapies against the development/killing of senescent cells has become relevant. Recently, senomorphic and senolityc drugs have become relevant in slowing down or eliminating senescence cells. However, even though they have shown promising results in experimental studies, their clinical use is still yet to be determined.</t>
  </si>
  <si>
    <t>[Ramirez, Rafael; Figuer, Andrea; Alique, Matilde] Univ Alcala, Dept Biol Sistemas, Madrid 28871, Spain; [Ramirez, Rafael; Figuer, Andrea; Alique, Matilde] Inst Ramon y Cajal Invest Sanitaria IRYCIS, Madrid 28034, Spain; [Ceprian, Noemi; Valera, Gemma; Carracedo, Julia] Univ Complutense Madrid, Hosp 12 Octubre Imas12, Inst Invest Sanitaria, Dept Genet Fisiol &amp; Microbiol,Fac Ciencias Biol, Madrid 28040, Spain; [Bodega, Guillermo] Univ Alcala, Dept Biomed &amp; Biotecnol, Madrid 28871, Spain</t>
  </si>
  <si>
    <t>Universidad de Alcala; Complutense University of Madrid; Hospital Universitario 12 de Octubre; Universidad de Alcala</t>
  </si>
  <si>
    <t>Alique, M (corresponding author), Univ Alcala, Dept Biol Sistemas, Madrid 28871, Spain.;Alique, M (corresponding author), Inst Ramon y Cajal Invest Sanitaria IRYCIS, Madrid 28034, Spain.;Carracedo, J (corresponding author), Univ Complutense Madrid, Hosp 12 Octubre Imas12, Inst Invest Sanitaria, Dept Genet Fisiol &amp; Microbiol,Fac Ciencias Biol, Madrid 28040, Spain.</t>
  </si>
  <si>
    <t>manuel.ramirez@uah.es; nceprian@ucm.es; andrea.figuer@salud.madrid.org; gemmavaar@hotmail.com; guillermo.bodega@uah.es; matilde.alique@uah.es; julcar01@ucm.es</t>
  </si>
  <si>
    <t>Carracedo, Julia/L-2012-2015; Alique, Matilde/I-1341-2016; Ceprian, Noemi/S-5661-2018</t>
  </si>
  <si>
    <t>Carracedo, Julia/0000-0002-8422-812X; Alique, Matilde/0000-0002-7912-1133; Rafael, Ramirez/0000-0003-4598-339X; Ceprian, Noemi/0000-0001-7028-3083; Figuer Rubio, Andrea/0000-0001-9788-0136</t>
  </si>
  <si>
    <t>10.3390/jpm12020215</t>
  </si>
  <si>
    <t>WOS:000762522100001</t>
  </si>
  <si>
    <t>Rice, KC; Mann, EE; Endres, JL; Weiss, EC; Cassat, JE; Smeltzer, MS; Bayles, KW</t>
  </si>
  <si>
    <t>Rice, Kelly C.; Mann, Ethan E.; Endres, Jennifer L.; Weiss, Elizabeth C.; Cassat, James E.; Smeltzer, Mark S.; Bayles, Kenneth W.</t>
  </si>
  <si>
    <t>The cidA murein hydrolase regulator contributes to DNA release and biofilm development in Staphylococcus aureus</t>
  </si>
  <si>
    <t>autolysis; extracellular DNA; programmed cell death; holin</t>
  </si>
  <si>
    <t>GLOBAL GENE-EXPRESSION; QUORUM-SENSING SYSTEM; PSEUDOMONAS-AERUGINOSA; STREPTOCOCCUS-PNEUMONIAE; CELL-DEATH; EXTRACELLULAR DNA; MEMBRANE-VESICLES; PSEUDOALTEROMONAS-TUNICATA; COMPETENCE DEVELOPMENT; BACTERIOCIN PRODUCTION</t>
  </si>
  <si>
    <t>The Staphylococcus aureus cidA and lrgA genes have been shown to affect cell lysis under a variety of conditions during planktonic growth. It is hypothesized that these genes encode holins and antiholins, respectively, and may serve as molecular control elements of bacterial cell lysis. To examine the biological role of cell death and lysis, we studied the impact of the cidA mutation on biofilm development. Interestingly, this mutation had a dramatic impact on biofilm morphology and adherence. The cidA mutant (KB1050) biofilm exhibited a rougher appearance compared with the parental strain (UAMS-1) and was less adherent. Propidium iodide staining revealed that KB1050 accumulated more dead cells within the biofilm population relative to UAMS-1, indicative of reduced cell lysis. In agreement with this finding, quantitative real-time PCR experiments demonstrated the presence of 5-fold less genomic DNA in the KB1050 biofilm relative to UAMS-1. Furthermore, treatment of the UAMS-1 biofilm with DNase I caused extensive cell detachment, whereas similar treatment of the KB1050 biofilm had only a modest effect. These results demonstrate that cidA-controlled cell lysis plays a significant role during biofilm development and that released genomic DNA is an important structural component of S. aureus biofilm.</t>
  </si>
  <si>
    <t>Univ Nebraska, Med Ctr, Dept Pathol &amp; Microbiol, Omaha, NE 68198 USA; Univ Arkansas Med Sci, Dept Microbiol &amp; Immunol, Little Rock, AR 72205 USA</t>
  </si>
  <si>
    <t>University of Nebraska System; University of Nebraska Medical Center; University of Arkansas System; University of Arkansas Medical Sciences</t>
  </si>
  <si>
    <t>Bayles, KW (corresponding author), Univ Nebraska, Med Ctr, Dept Pathol &amp; Microbiol, 600 S 42nd St, Omaha, NE 68198 USA.</t>
  </si>
  <si>
    <t>kbayles@unmc.edu</t>
  </si>
  <si>
    <t>Cottrill, Elizabeth/AAG-3186-2021; Smeltzer, Mark/M-2009-2018</t>
  </si>
  <si>
    <t>Cottrill, Elizabeth/0000-0001-5861-5428; Smeltzer, Mark/0000-0002-0878-0692</t>
  </si>
  <si>
    <t>MAY 8</t>
  </si>
  <si>
    <t>10.1073/pnas.0610226104</t>
  </si>
  <si>
    <t>WOS:000246461500068</t>
  </si>
  <si>
    <t>Ando, T; Suzuki, H; Nishimura, S; Tanaka, T; Hiraishi, A; Kikuchi, Y</t>
  </si>
  <si>
    <t>Ando, Tomoaki; Suzuki, Hiromichi; Nishimura, Seiichiro; Tanaka, Terumichi; Hiraishi, Akira; Kikuchi, Yo</t>
  </si>
  <si>
    <t>Characterization of extracellular RNAs produced by the marine photosynthetic bacterium Rhodovulum sulfidophilum</t>
  </si>
  <si>
    <t>JOURNAL OF BIOCHEMISTRY</t>
  </si>
  <si>
    <t>extracellular RNA; flocculation; photosynthetic bacterium; Rhodovulum sulfidophilum; RNA cloning</t>
  </si>
  <si>
    <t>PURPLE NONSULFUR BACTERIA; GENETIC-TRANSFORMATION; STREPTOCOCCUS-PNEUMONIAE; PSEUDOMONAS-AERUGINOSA; NATURAL COMPETENCE; MEMBRANE-VESICLES; DNA; NOV; FLOCCULATION; PURIFICATION</t>
  </si>
  <si>
    <t>The marine photosynthetic bacterium Rhodovulum sulfidophilum produces extracellular nucleic acids that are involved in its flocculation. These were found to be produced concomitantly with cell growth. The RNA fraction of these extracellular nucleic acids was subjected to cDNA analysis by applying a micro RNA cloning method and found to contain mainly fully mature-sized tRNAs and fragments of 16S and 23S rRNAs. Analyses of modified bases and genes of the RNAs revealed no structural difference between the intracellular and extracellular RNAs. This is the first report of structural analyses of bacterial extracellular RNAs.</t>
  </si>
  <si>
    <t>Toyohashi Univ Technol, Dept Ecol Engn, Div Biosci &amp; Biotechnol, Toyohashi, Aichi 4418580, Japan</t>
  </si>
  <si>
    <t>Toyohashi University of Technology</t>
  </si>
  <si>
    <t>Kikuchi, Y (corresponding author), Toyohashi Univ Technol, Dept Ecol Engn, Div Biosci &amp; Biotechnol, Tempaku Cho, Toyohashi, Aichi 4418580, Japan.</t>
  </si>
  <si>
    <t>kikuchi@eco.tut.ac.jp</t>
  </si>
  <si>
    <t>Hiraishi, Akira/0000-0001-5556-344X</t>
  </si>
  <si>
    <t>0021-924X</t>
  </si>
  <si>
    <t>1756-2651</t>
  </si>
  <si>
    <t>10.1093/jb/mvj091</t>
  </si>
  <si>
    <t>WOS:000237887000021</t>
  </si>
  <si>
    <t>Yan, WH; Li, TH; Yin, TY; Hou, ZJ; Qu, K; Wang, N; Durkan, C; Dong, LQ; Qiu, JH; Gregersen, H; Wang, GX</t>
  </si>
  <si>
    <t>Yan, Wenhua; Li, Tianhan; Yin, Tieying; Hou, Zhengjun; Qu, Kai; Wang, Nan; Durkan, Colm; Dong, Lingqing; Qiu, Juhui; Gregersen, Hans; Wang, Guixue</t>
  </si>
  <si>
    <t>M2 macrophage-derived exosomes promote the c-KIT phenotype of vascular smooth muscle cells during vascular tissue repair after intravascular stent implantation</t>
  </si>
  <si>
    <t>M2 macrophage; exosomes; stiffness; vascular smooth muscle cell; dedifferentiation; intravascular stent</t>
  </si>
  <si>
    <t>NEOINTIMAL HYPERPLASIA; ENDOTHELIAL-CELLS; PROLIFERATION; ATHEROSCLEROSIS; EXPRESSION; APOPTOSIS; MIGRATION; REGENERATION; ANGIOPLASTY; STIFFNESS</t>
  </si>
  <si>
    <t>Rationale: For intravascular stent implantation to be successful, the processes of vascular tissue repair and therapy are considered to be critical. However, the mechanisms underlying the eventual fate of vascular smooth muscle cells (VSMCs) during vascular tissue repair remains elusive. In this study, we hypothesized that M2 macrophage-derived exosomes to mediate cell-to-cell crosstalk and induce dedifferentiation phenotypes in VSMCs. Methods: In vivo, 316L bare metal stents (BMS) were implanted from the left iliac artery into the abdominal aorta of 12-week-old male Sprague-Dawley (SD) rats for 7 and 28 days. Hematoxylin and eosin (HE) were used to stain the neointimal lesions. En-face immunofluorescence staining of smooth muscle 22 alpha (SM22a) and CD68 showed the rat aorta smooth muscle cells (RASMCs) and macrophages. Immunohistochemical staining of total galactose-specific lectin 3 (MAC-2) and total chitinase 3-like 3 (YM-1) showed the total macrophages and M2 macrophages. In vitro, exosomes derived from IL-4+IL-13-treated macrophages (M2Es) were isolated by ultracentrifugation and characterized based on their specific morphology. Ki-67 staining was conducted to assess the effects of the M2Es on the proliferation of RASMCs. An atomic force microscope (AFM) was used to detect the stiffness of the VSMCs. GW4869 was used to inhibit exosome release. RNA-seq was performed to determine the mRNA profiles of the RASMCs and M2Es-treated RASMCs. Quantitative real-time PCR (qRT-PCR) analysis was conducted to detect the expression levels of the mRNAs. Western blotting was used to detect the candidate protein expression levels. T-5224 was used to inhibit the DNA binding activity of AP-1 in RASMCs. Results: M2Es promote c-KIT expression and softening of nearby VSMCs, hence accelerating the vascular tissue repair process. VSMCs co-cultured in vitro with M2 macrophages presented an increased capacity for de-differentiation and softening, which was exosome dependent. In addition, the isolated M2Es helped to promote VSMC dedifferentiation and softening. Furthermore, the M2Es enhanced vascular tissue repair potency by upregulation of VSMCs c-KIT expression via activation of the c-Jun/activator protein 1 (AP-1) signaling pathway. Conclusions: The findings of this study emphasize the prominent role of M2Es during VSMC dedifferentiation and vascular tissue repair via activation of the c-Jun/AP-1 signaling pathway, which has a profound impact on the therapeutic strategies of coronary stenting techniques.</t>
  </si>
  <si>
    <t>[Yan, Wenhua; Li, Tianhan; Yin, Tieying; Hou, Zhengjun; Qu, Kai; Qiu, Juhui; Gregersen, Hans; Wang, Guixue] Chongqing Univ, Bioengn Coll, State &amp; Local Joint Engn Lab Vasc Implants, Key Lab Biorheol Sci &amp; Technol, Chongqing, Peoples R China; [Gregersen, Hans] Chinese Univ Hong Kong, Dept Surg, GIOME, Hong Kong, Peoples R China; [Wang, Nan; Durkan, Colm] Univ Cambridge, Nanosci Ctr, Cambridge, England; [Dong, Lingqing] Univ Cambridge, Cavendish Lab, Cambridge, England</t>
  </si>
  <si>
    <t>Chongqing University; Chinese University of Hong Kong; University of Cambridge; University of Cambridge</t>
  </si>
  <si>
    <t>Qiu, JH; Gregersen, H; Wang, GX (corresponding author), Chongqing Univ, Bioengn Coll, State &amp; Local Joint Engn Lab Vasc Implants, Key Lab Biorheol Sci &amp; Technol, Chongqing, Peoples R China.;Gregersen, H (corresponding author), Chinese Univ Hong Kong, Dept Surg, GIOME, Hong Kong, Peoples R China.</t>
  </si>
  <si>
    <t>jhqiu@cqu.edu.cn; hag@giome.org; wanggx@cqu.edu.cn</t>
  </si>
  <si>
    <t>Gregersen, Hans/AAH-3723-2021</t>
  </si>
  <si>
    <t>Gregersen, Hans/0000-0002-5792-2845; Durkan, Colm/0000-0001-9398-2813; Yan, Wenhua/0000-0001-9741-4952</t>
  </si>
  <si>
    <t>10.7150/thno.46143</t>
  </si>
  <si>
    <t>WOS:000566786000008</t>
  </si>
  <si>
    <t>Jelonek, K; Widlak, P; Pietrowska, M</t>
  </si>
  <si>
    <t>Jelonek, Karol; Widlak, Piotr; Pietrowska, Monika</t>
  </si>
  <si>
    <t>The Influence of Ionizing Radiation on Exosome Composition, Secretion and Intercellular Communication</t>
  </si>
  <si>
    <t>PROTEIN AND PEPTIDE LETTERS</t>
  </si>
  <si>
    <t>Exosome; ionizing radiation; intercellular communication; bystander effect</t>
  </si>
  <si>
    <t>CELL-DERIVED MICROVESICLES; MATURE DENDRITIC CELLS; PROMOTE TUMOR-GROWTH; MULTIVESICULAR BODIES; IN-VIVO; EXTRACELLULAR VESICLES; BYSTANDER RESPONSES; CYTOKINE RECEPTORS; MESSENGER-RNAS; T-LYMPHOCYTES</t>
  </si>
  <si>
    <t>A large variety of vesicles is actively secreted into the extracellular space by most type of cells. The smallest nanoparticles (30-120 nm), called exosomes, are known to transport their cargo (nucleic acids, proteins and lipids) between diverse locations in the body. Specific content of exosomes and their influence on recipient cells depends primarily on the type of the secretory (donor) cell, yet several studies highlight the importance of environmental stress on which the donor cells are exposed. Ionizing radiation, which induces damage to DNA and other structures of a target cell, is one of well-recognized stress conditions influencing behavior of affected cells. A few recent studies have evidenced radiation-induced changes in composition of exosomes released from irradiated cells and their involvement in radiation-related communication between cells. Inducible pathways of exosome secretion activated in irradiated cells are regulated by TSAP6 protein (the transmembrane protein tumor suppressor-activated pathway 6), which is transcriptionally regulated by p53, hence cellular status of this major DNA damage response factor affects composition and secretion rate of exosomes released from target cells. Moreover, exosomes released from irradiated cells have been shown to mediate the radiation-induced bystander effect. Understanding radiation-related mechanisms involved in exosome formation and makeup of their cargo would shed light on the role of exosomes in systemic response of cells, tissues and organisms to ionizing radiation which may open new perspectives in translational medicine and anticancer-treatment.</t>
  </si>
  <si>
    <t>[Jelonek, Karol; Widlak, Piotr; Pietrowska, Monika] Maria Sklodowska Curie Mem Canc Ctr, Ctr Translat Res &amp; Mol Biol Canc, Wybrzeze Armii Krajowej 15, PL-44100 Gliwice, Poland; [Jelonek, Karol; Widlak, Piotr; Pietrowska, Monika] Inst Oncol, Gliwice Branch, Wybrzeze Armii Krajowej 15, PL-44100 Gliwice, Poland</t>
  </si>
  <si>
    <t>Maria Sklodowska-Curie National Research Institute of Oncology; Maria Sklodowska-Curie National Research Institute of Oncology</t>
  </si>
  <si>
    <t>Pietrowska, M (corresponding author), Maria Sklodowska Curie Mem Canc Ctr, Ctr Translat Res &amp; Mol Biol Canc, Wybrzeze Armii Krajowej 15, PL-44100 Gliwice, Poland.;Pietrowska, M (corresponding author), Inst Oncol, Gliwice Branch, Wybrzeze Armii Krajowej 15, PL-44100 Gliwice, Poland.</t>
  </si>
  <si>
    <t>m_pietrowska@io.gliwice.pl</t>
  </si>
  <si>
    <t>Widlak, Piotr/AAL-8075-2021</t>
  </si>
  <si>
    <t>Widlak, Piotr/0000-0001-5099-4726; Pietrowska, Monika/0000-0001-9317-7822; Jelonek, Karol/0000-0002-7233-7695</t>
  </si>
  <si>
    <t>0929-8665</t>
  </si>
  <si>
    <t>1875-5305</t>
  </si>
  <si>
    <t>10.2174/0929866523666160427105138</t>
  </si>
  <si>
    <t>WOS:000381411900009</t>
  </si>
  <si>
    <t>Wang, Y; Cai, QY; Chen, JN; Huang, ZH; Wu, WB; Yuan, MJ; Yang, K</t>
  </si>
  <si>
    <t>Wang, Yan; Cai, Qingyun; Chen, Jiannan; Huang, Zhihong; Wu, Wenbi; Yuan, Meijin; Yang, Kai</t>
  </si>
  <si>
    <t>Autographa Californica Multiple Nucleopolyhedrovirus P48 (Ac103) Is Required for the Efficient Formation of Virus-Induced Intranuclear Microvesicles</t>
  </si>
  <si>
    <t>VIROLOGICA SINICA</t>
  </si>
  <si>
    <t>P48; Baculovirus; Intranuclear microvesicle formation; Protein association; Ac93</t>
  </si>
  <si>
    <t>OCCLUSION-DERIVED-VIRUS; NUCLEAR POLYHEDROSIS-VIRUS; BUDDED-VIRUS; BV PRODUCTION; DNA-SEQUENCE; CORE GENE; PROTEIN; EXPRESSION; DELETION; EGRESS</t>
  </si>
  <si>
    <t>Our previous study has shown that the Autographa californica multiple nucleopolyhedrovirus (AcMNPV) p48 (ac103) gene is essential for the nuclear egress of nucleocapsids and the formation of occlusion-derived virions (ODVs). However, the exact role of p48 in the morphogenesis of ODVs remains unknown. In this study, we demonstrated that p48 was required for the efficient formation of intranuclear microvesicles. To further understand its functional role in intranuclear microvesicle formation, we characterized the distribution of the P48 protein, which was found to be associated with the nucleocapsid and envelope fractions of both budded virions and ODVs. In AcMNPV-infected cells, P48 was predominantly localized to nucleocapsids in the virogenic stroma and the nucleocapsids enveloped in ODVs, with a limited but discernible distribution in the plasma membrane, nuclear envelope, intranuclear microvesicles, and ODV envelope. Furthermore, coimmunoprecipitation assays showed that among the viral proteins required for intranuclear microvesicle formation, P48 associated with Ac93 in the absence of viral infection.</t>
  </si>
  <si>
    <t>[Wang, Yan; Cai, Qingyun; Chen, Jiannan; Huang, Zhihong; Wu, Wenbi; Yuan, Meijin; Yang, Kai] Sun Yat Sen Univ, State Key Lab Biocontrol, Guangzhou 510275, Guangdong, Peoples R China</t>
  </si>
  <si>
    <t>Yuan, MJ (corresponding author), Sun Yat Sen Univ, State Key Lab Biocontrol, Guangzhou 510275, Guangdong, Peoples R China.</t>
  </si>
  <si>
    <t>lssymj@mail.sysu.edu.cn</t>
  </si>
  <si>
    <t>1674-0769</t>
  </si>
  <si>
    <t>1995-820X</t>
  </si>
  <si>
    <t>10.1007/s12250-019-00147-8</t>
  </si>
  <si>
    <t>WOS:000500088400011</t>
  </si>
  <si>
    <t>Wu, M; Chen, ZK; Xie, QH; Xiao, BL; Zhou, G; Chen, G; Bian, Z</t>
  </si>
  <si>
    <t>Wu, Min; Chen, Zhuokun; Xie, Qihui; Xiao, Bolin; Zhou, Gang; Chen, Gang; Bian, Zhuan</t>
  </si>
  <si>
    <t>One-step quantification of salivary exosomes based on combined aptamer recognition and quantum dot signal amplification</t>
  </si>
  <si>
    <t>Exosome; Aptamer; Quantum dot; Fluorescent biosensor</t>
  </si>
  <si>
    <t>SECRETION; LIGHT</t>
  </si>
  <si>
    <t>As promising fluid biomarkers for non-invasive diagnosis, naturally-occurring exosomes in saliva have attracted a wide interest for their potential application in oral diseases especially oral cancers. However, accurate quantification of salivary exosomes is still challenging due to the current difficulties in simultaneous identification and measurement of these nano-sized vesicles. In this study, we developed a novel fluorescent biosensor for onestep sensitive quantification of salivary exosomes based on magnetic and fluorescent bio-probes (MFBPs). Within the MFBPs, self-assembled DNA concatamers loaded with numerous quantum dots (QDs) were ingeniously tethered to aptamers, which were anchored on the surface of magnetic microspheres (MMs). Efficient recognition and capture of an exosome by the aptamer would simultaneously trigger the release of a DNA concatamer as the detection signal carrier, thereby generating a one exosome-numerous QDs amplification effect. As the result, this biosensor allowed one-step quantification with less assay time and achieved a high sensitivity with low limit of detection. Moreover, unique fluorescent properties of QDs and the superparamagnetism of MMs offered a strong anti-interference ability, enabling a robust quantification in complex matrices. Furthermore, this biosensor exhibited a good clinical feasibility with favorable accuracy comparable to nanoscale flow cytometry, and a superiority in label-free analysis and convenient operation. This study provides a novel and general strategy for one-step sensitive quantification of exosomes from body fluids, facilitating the development of exosome-based liquid biopsy for disease diagnosis.</t>
  </si>
  <si>
    <t>[Wu, Min; Chen, Zhuokun; Xie, Qihui; Xiao, Bolin; Zhou, Gang; Chen, Gang; Bian, Zhuan] Wuhan Univ, Sch &amp; Hosp Stomatol, State Key Lab Breeding Base Basic Sci Stomatol Hu, Wuhan 430079, Peoples R China; [Wu, Min; Chen, Zhuokun; Xie, Qihui; Xiao, Bolin; Zhou, Gang; Chen, Gang; Bian, Zhuan] Wuhan Univ, Sch &amp; Hosp Stomatol, Key Lab Oral Biomed, Minist Educ, Wuhan 430079, Peoples R China; [Zhou, Gang] Wuhan Univ, Sch &amp; Hosp Stomatol, Dept Oral Med, Wuhan 430079, Peoples R China; [Chen, Gang] Wuhan Univ, Sch &amp; Hosp Stomatol, Dept Oral &amp; Maxillofacial Surg, Wuhan 430079, Peoples R China</t>
  </si>
  <si>
    <t>Wuhan University; Wuhan University; Wuhan University; Wuhan University</t>
  </si>
  <si>
    <t>Bian, Z (corresponding author), Wuhan Univ, Sch &amp; Hosp Stomatol, State Key Lab Breeding Base Basic Sci Stomatol Hu, Wuhan 430079, Peoples R China.;Bian, Z (corresponding author), Wuhan Univ, Sch &amp; Hosp Stomatol, Key Lab Oral Biomed, Minist Educ, Wuhan 430079, Peoples R China.</t>
  </si>
  <si>
    <t>bianzhuan@whu.edu.cn</t>
  </si>
  <si>
    <t>10.1016/j.bios.2020.112733</t>
  </si>
  <si>
    <t>WOS:000603553700003</t>
  </si>
  <si>
    <t>Ambrosio, MR; Vernillo, R; De Carolis, S; Carducci, A; Mundo, L; Ginori, A; Rocca, BJ; Nardone, V; Fei, AL; Carfagno, T; Lazzi, S; Cricca, M; Tosi, P</t>
  </si>
  <si>
    <t>Ambrosio, Maria Raffaella; Vernillo, Remo; De Carolis, Sabrina; Carducci, Antonietta; Mundo, Lucia; Ginori, Alessandro; Rocca, Bruno Jim; Nardone, Valerio; Fei, Alessandra Lucenti; Carfagno, Tommaso; Lazzi, Stefano; Cricca, Monica; Tosi, Piero</t>
  </si>
  <si>
    <t>Putative Role of Circulating Human Papillomavirus DNA in the Development of Primary Squamous Cell Carcinoma of the Middle Rectum: A Case Report</t>
  </si>
  <si>
    <t>circulating HPV; immune evasion; exosomes; middle rectum; cancer</t>
  </si>
  <si>
    <t>INFECTION; CANCER; MICROBIOME; VIRUS; TUMOR; RISK; E6</t>
  </si>
  <si>
    <t>Here we present the case of a patient affected by rectal squamous cell carcinoma in which we demonstrated the presence of Human Papillomavirus (HPV) by a variety of techniques. Collectively, the virus was detected not only in the tumor but also in some regional lymph nodes and in non-neoplastic mucosa of the upper tract of large bowel. By contrast, it was not identifiable in its common sites of entry, namely oral and ano-genital region. We also found HPV DNA in the plasma-derived exosome. Next, by in vitro studies, we confirmed the capability of HPV DNA-positive exosomes, isolated from the supernatant of a HPV DNA positive cell line (CaSki), to transfer its DNA to human colon cancer and normal cell lines. In the stroma nearby the tumor mass we were able to demonstrate the presence of virus DNA in the stromal compartment, supporting its potential to be transferred from epithelial cells to the stromal ones. Thus, this case report favors the notion that human papillomavirus DNA can be vehiculated by exosomes in the blood of neoplastic patients and that it can be transferred, at least in vitro, to normal and neoplastic cells. Furthermore, we showed the presence of viral DNA and RNA in pluripotent stem cells of non-tumor tissue, suggesting that after viral integration (as demonstrated by p16 and RNA in situ hybridization positivity), stem cells might have been activated into cancer stem cells inducing neoplastic transformation of normal tissue through the inactivation of p53, p21, and Rb. It is conceivable that the virus has elicited its oncogenic effect in this specific site and not elsewhere, despite its wide anatomical distribution in the patient, for a local condition of immune suppression, as demonstrated by the increase of T-regulatory (CD4/CD25/FOXP3 positive) and T-exhausted (CD8/PD-lpositive) lymphocytes and the M2 polarization (high CD163/CD68 ratio) of macrophages in the neoplastic microenvironment. It is noteworthy that our findings depicted a static picture of a long-lasting dynamic process that might evolve in the development of tumors in other anatomical sites.</t>
  </si>
  <si>
    <t>[Ambrosio, Maria Raffaella; Carducci, Antonietta; Mundo, Lucia; Lazzi, Stefano] Univ Siena, Dept Med Biotechnol, Siena, Italy; [Vernillo, Remo; Fei, Alessandra Lucenti] Univ Siena, Dept Med Sci Surg &amp; Neurosci, Siena, Italy; [De Carolis, Sabrina] St Orsola Marcello Malpighi Hosp, Ctr Appl Biomed Res CRBA, Bologna, Italy; [De Carolis, Sabrina; Cricca, Monica] Univ Bologna, Dept Expt Diagnost &amp; Specialty Med, Bologna, Italy; [Ginori, Alessandro; Rocca, Bruno Jim] Osped Civ Carrara, Pathol Unit, Carrara, Italy</t>
  </si>
  <si>
    <t>University of Siena; University of Siena; IRCCS Azienda Ospedaliero-Universitaria di Bologna; University of Bologna</t>
  </si>
  <si>
    <t>Lazzi, S (corresponding author), Univ Siena, Dept Med Biotechnol, Siena, Italy.;Cricca, M (corresponding author), Univ Bologna, Dept Expt Diagnost &amp; Specialty Med, Bologna, Italy.</t>
  </si>
  <si>
    <t>lazzi2@unisi.it; monica.cricca3@unibo.it</t>
  </si>
  <si>
    <t>Ambrosio, Maria Raffaella/S-2228-2019; Lazzi, Stefano/P-8265-2018; Nardone, Valerio/AAI-2491-2019; Mundo, Lucia/ABE-8599-2021; Ambrosio, Maria Raffaella/K-8953-2016</t>
  </si>
  <si>
    <t>Lazzi, Stefano/0000-0002-2218-3771; Nardone, Valerio/0000-0002-7347-0965; Ambrosio, Maria Raffaella/0000-0002-1172-6902</t>
  </si>
  <si>
    <t>10.3389/fonc.2019.00093</t>
  </si>
  <si>
    <t>WOS:000459290000001</t>
  </si>
  <si>
    <t>Kalani, A; Kamat, PK; Kalani, K; Tyagi, N</t>
  </si>
  <si>
    <t>Kalani, Anuradha; Kamat, Pradip K.; Kalani, Komal; Tyagi, Neetu</t>
  </si>
  <si>
    <t>Epigenetic impact of curcumin on stroke prevention</t>
  </si>
  <si>
    <t>Exosomes; DNA methylation; Histone modifications; microRNA; Oxidative stress</t>
  </si>
  <si>
    <t>HISTONE DEACETYLASE; ISCHEMIC-STROKE; MICRORNA EXPRESSION; ALZHEIMERS-DISEASE; CEREBRAL-ISCHEMIA; EMERGING ROLES; CELL-DEATH; BRAIN; DIET; MECHANISMS</t>
  </si>
  <si>
    <t>The epigenetic impact of curcumin in stroke and neurodegenerative disorders is curiosity-arousing. It is derived from Curcuma longa (spice), possesses anti-oxidative, anti-inflammatory, anti-lipidemic, neuro-protective and recently shown to exhibit epigenetic modulatory properties. Epigenetic studies include DNA methylation, histone modifications and RNA-based mechanisms which regulate gene expression without altering nucleotide sequences. Curcumin has been shown to affect cancer by altering epigenetic changes but its role as an epigenetic agent in cerebral stroke has not been much explored. Although curcumin possesses remarkable medicinal properties, the bioavailability of curcumin has limited its success in epigenetic studies and clinical trials. The present review is therefore designed to look into epigenetic mechanisms that could be induced with curcumin during stroke, along with its molecular designing with different moieties that may increase its bioavailability. Curcumin has been shown to be encapsulated in exosomes, nano-vesicles (&lt; 200 nm), thereby showing its therapeutic effects in brain diseases. Curcumin delivered through nanoparticles has been shown to be neuroregenerative but the use of nanoparticles in brain has limitations. Hence, curcumin-encapsulated exosomes along with curcumin-primed exosomes (exosomes released by curcumin-treated cells) are much needed to be explored to broadly look into their use as a novel therapy for stroke.</t>
  </si>
  <si>
    <t>[Kalani, Anuradha; Kamat, Pradip K.; Tyagi, Neetu] Univ Louisville, Hlth Sci Ctr, Sch Med, Dept Physiol &amp; Biophys, Louisville, KY 40202 USA; [Kalani, Komal] CSIR, CIMAP, Lucknow 226001, Uttar Pradesh, India</t>
  </si>
  <si>
    <t>University of Louisville; Council of Scientific &amp; Industrial Research (CSIR) - India; CSIR - Central Institute of Medicinal &amp; Aromatic Plants (CIMAP)</t>
  </si>
  <si>
    <t>Tyagi, N (corresponding author), Univ Louisville, Hlth Sci Ctr, Sch Med, Dept Physiol &amp; Biophys, A-1201,500 South Preston St, Louisville, KY 40202 USA.</t>
  </si>
  <si>
    <t>n0tyag01@louisville.edu</t>
  </si>
  <si>
    <t>Tyagi, Neetu/AFZ-1370-2022</t>
  </si>
  <si>
    <t>Tyagi, Neetu/0000-0002-1789-0754</t>
  </si>
  <si>
    <t>10.1007/s11011-014-9537-0</t>
  </si>
  <si>
    <t>WOS:000350894800008</t>
  </si>
  <si>
    <t>Wang, W; Kong, P; Ma, G; Li, L; Zhu, J; Xia, TS; Xie, H; Zhou, WB; Wang, S</t>
  </si>
  <si>
    <t>Wang, Wei; Kong, Peng; Ma, Ge; Li, Li; Zhu, Jin; Xia, Tiansong; Xie, Hui; Zhou, Wenbin; Wang, Shui</t>
  </si>
  <si>
    <t>Characterization of the release and biological significance of cell-free DNA from breast cancer cell lines</t>
  </si>
  <si>
    <t>breast cancer; cell-free DNA; circulating tumor DNA; biological significance</t>
  </si>
  <si>
    <t>FREE NUCLEIC-ACIDS; CIRCULATING TUMOR DNA; PLASMA DNA; INFLAMMATION; RECOGNITION; BIOMARKERS; EXOSOMES</t>
  </si>
  <si>
    <t>In breast cancer, cell-free DNA (cfDNA) has been proven to be a diagnostic and prognostic biomarker. However, there have been few studies on the origin and biological significance of cfDNA. In this study, we assessed the release pattern of cfDNA from breast cancer cell lines under different culture conditions and investigated the biological significance of cfDNA. The cfDNA concentration increased rapidly (6 h) after passage, decreased gradually, and was then maintained at a relatively stable level after 24 h. In addition, the cfDNA concentration did not correlate with the amount of apoptotic and necrotic cells. Interestingly, if more cells were in the G1 phase, more cfDNA was detected (p &lt; 0.01) and the cfDNA concentration correlated positively with the percent of cells in the G1 phase (p &lt; 0.05). We observed that cells could release cfDNA actively, but not exclusively, via exosomes. Furthermore, we showed that cfDNA could stimulate hormone receptor-positive breast cancer cell proliferation by activating the TLR9-NF-KB-cyclin D1 pathway. In conclusion, cfDNA is released from breast cancer mainly by active secretion, and cfDNA could stimulate proliferation of breast cancer cells.</t>
  </si>
  <si>
    <t>[Wang, Wei; Kong, Peng; Ma, Ge; Li, Li; Zhu, Jin; Xia, Tiansong; Xie, Hui; Zhou, Wenbin; Wang, Shui] Nanjing Med Univ, Affiliated Hosp 1, Dept Breast Surg, Nanjing 210029, Jiangsu, Peoples R China</t>
  </si>
  <si>
    <t>Zhou, WB; Wang, S (corresponding author), Nanjing Med Univ, Affiliated Hosp 1, Dept Breast Surg, Nanjing 210029, Jiangsu, Peoples R China.</t>
  </si>
  <si>
    <t>zhouwenbin_1984@foxmail.com; ws0801@hotmail.com</t>
  </si>
  <si>
    <t>Ma, Ge/AAK-9903-2020</t>
  </si>
  <si>
    <t>10.18632/oncotarget.17858</t>
  </si>
  <si>
    <t>WOS:000405493400116</t>
  </si>
  <si>
    <t>Maccelli, A; Carradori, S; Puca, V; Sisto, F; Lanuti, P; Crestoni, ME; Lasalvia, A; Muraro, R; Bysell, H; Di Sotto, A; Roos, S; Grande, R</t>
  </si>
  <si>
    <t>Maccelli, Alessandro; Carradori, Simone; Puca, Valentina; Sisto, Francesca; Lanuti, Paola; Crestoni, Maria Elisa; Lasalvia, Alba; Muraro, Raffaella; Bysell, Helena; Di Sotto, Antonella; Roos, Stefan; Grande, Rossella</t>
  </si>
  <si>
    <t>Correlation between the Antimicrobial Activity and Metabolic Profiles of Cell Free Supernatants and Membrane Vesicles Produced by Lactobacillus reuteri DSM 17938</t>
  </si>
  <si>
    <t>Lactobacillus reuteri; Limosilactobacillus reuteri; cell free supernatant; metabolomics; extracellular and membrane vesicles; antimicrobial activity; biofilm; probiotics</t>
  </si>
  <si>
    <t>HELICOBACTER-PYLORI; EXTRACELLULAR DNA; BIOFILM FORMATION; ESCHERICHIA-COLI; RHAMNOSUS GG; HEALTH; ATCC-55730; RESISTANCE; EXPRESSION; VIABILITY</t>
  </si>
  <si>
    <t>The aim of the work is to assess the antimicrobial activities of Cell Free Supernatants (CFS) and Membrane Vesicles (MVs), produced by Lactobacillus reuteri DSM 17938, versus Gram-positive and Gram-negative bacteria and investigate their metabolic profiles. The Minimum Inhibitory Concentration was determined through the broth microdilution method and cell proliferation assay while the Minimum Bactericidal Concentration was determined by Colony Forming Units counts. The characteristics of the antimicrobial compounds were evaluated by pH adjustments, proteinase treatment, and size fractionation of the CFS. The cytotoxicity of CFS was tested on two human cell lines. A detailed snapshot of the L. reuteri metabolism was attained through an untargeted metabolic profiling by means of high resolution Fourier Transform Ion Cyclotron Resonance Mass Spectrometry (FT-ICR MS) coupled with Electrospray Ionization Source (ESI). The results showed (i) a greater efficacy of CFS and its fractions towards Gram-negative compared to Gram-positive bacteria; (ii) an antimicrobial effect related to pH-dependent compounds but not to MVs; (iii) a molecular weight &lt; 3 KDa as well as an a non-proteinaceous nature of the antimicrobial compounds; and (iv) more than 200 and 500 putative metabolites annotated in MVs and supernatants, covering several classes of metabolites, including amino acids, lipids, fatty and organic acids, polyalcohols, nucleotides, and vitamins. Some putative compounds were proposed not only as characteristic of specific fractions, but also possibly involved in antimicrobial activity.</t>
  </si>
  <si>
    <t>[Maccelli, Alessandro; Crestoni, Maria Elisa; Lasalvia, Alba] Sapienza Univ Roma, Dipartimento Chim &amp; Tecnol Farmaco, I-00185 Rome, Italy; [Carradori, Simone; Grande, Rossella] G dAnnunzio Univ Chieti Pescara, Dept Pharm, I-66100 Chieti, Italy; [Puca, Valentina; Lanuti, Paola; Grande, Rossella] G dAnnunzio Univ Chieti Pescara, Ctr Adv Studies &amp; Technol CAST, I-66100 Chieti, Italy; [Puca, Valentina; Lanuti, Paola] G dAnnunzio Univ Chieti Pescara, Dept Med &amp; Aging Sci, I-66100 Chieti, Italy; [Sisto, Francesca] Univ Milan, Dept Biomed Surg &amp; Dent Sci, I-20133 Milan, Italy; [Muraro, Raffaella] G dAnnunzio Univ Chieti Pescara, Dept Med Oral &amp; Biotechnol Sci, I-66100 Chieti, Italy; [Bysell, Helena] BioGaia, SE-10364 Stockholm, Sweden; [Di Sotto, Antonella] Sapienza Univ Rome, Dept Physiol &amp; Pharmacol V Erspamer, Ple Aldo Moro 5, I-00185 Rome, Italy; [Roos, Stefan] Swedish Univ Agr Sci, Dept Mol Sci, S-75007 Uppsala, Sweden</t>
  </si>
  <si>
    <t>Sapienza University Rome; G d'Annunzio University of Chieti-Pescara; G d'Annunzio University of Chieti-Pescara; G d'Annunzio University of Chieti-Pescara; University of Milan; G d'Annunzio University of Chieti-Pescara; Sapienza University Rome; Swedish University of Agricultural Sciences</t>
  </si>
  <si>
    <t>Carradori, S (corresponding author), G dAnnunzio Univ Chieti Pescara, Dept Pharm, I-66100 Chieti, Italy.;Grande, R (corresponding author), G dAnnunzio Univ Chieti Pescara, Ctr Adv Studies &amp; Technol CAST, I-66100 Chieti, Italy.</t>
  </si>
  <si>
    <t>alessandro.maccelli@uniroma1.it; simone.carradori@unich.it; valentina.puca@unich.it; francesca.sisto@unimi.it; paola.lanuti@unich.it; mariaelisa.crestoni@uniroma1.it; alba.lasalvia@uniroma1.it; raffaella.muraro@unich.it; hb@biogaia.se; antonella.disotto@uniroma1.it; sr@biogaia.se; rossella.grande@unich.it</t>
  </si>
  <si>
    <t>Crestoni, Maria Elisa/AGX-9467-2022; Carradori, Simone/S-4776-2019</t>
  </si>
  <si>
    <t>Carradori, Simone/0000-0002-8698-9440; PUCA, VALENTINA/0000-0002-6417-876X; Maccelli, Alessandro/0000-0003-2725-1961; CRESTONI, MARIA ELISA/0000-0002-0991-5034; Roos, Stefan/0000-0002-1606-1794; SISTO, FRANCESCA/0000-0003-0166-2164; Di Sotto, Antonella/0000-0002-7467-1689</t>
  </si>
  <si>
    <t>10.3390/microorganisms8111653</t>
  </si>
  <si>
    <t>WOS:000593419600001</t>
  </si>
  <si>
    <t>Xu, XH; Qian, J; Ding, JX; Li, JD; Nan, FL; Wang, WQ; Qin, Q; Fei, YD; Xue, C; Wang, JZ; Yin, RF; Ding, Z</t>
  </si>
  <si>
    <t>Xu, Xiaohong; Qian, Jing; Ding, Jiaxin; Li, Jindou; Nan, Fulong; Wang, Weiqi; Qin, Qi; Fei, Yidong; Xue, Cong; Wang, Jianzhong; Yin, Renfu; Ding, Zhuang</t>
  </si>
  <si>
    <t>Detection of viral components in exosomes derived from NDV-infected DF-1 cells and their promoting ability in virus replication</t>
  </si>
  <si>
    <t>Newcastle disease virus (NDV); Exosome; Protein A/G; Nucleoprotein (NP); Infection</t>
  </si>
  <si>
    <t>NEWCASTLE-DISEASE VIRUS; ACTIVATION; AUTOPHAGY</t>
  </si>
  <si>
    <t>Exosomes are micro messengers encapsulating RNA, DNA, and proteins for intercellular communication associated with various physiological and pathological reactions. Several viral infection processes have been reported to pertain to exosomal pathways. However, because of the difficulty in obtaining avian-sourced exosomes, avian virus-related exosomes are scarcely investigated. In this study, we developed a protein A/G-correlated method and successfully obtained the Newcastle disease virus-related exosome (NDV Ex). These exosomes promoted NDV propagation, proven by both GW4869-mediated deprivation and exosomal supplementation. Viral structural proteins NP and F were detected in the NDV Ex and further investigation indicated that the NP protein can be transferred to DF-1 cells through exosomes. The intracellular NP protein exhibited viral replication-promoting and cytokine-suppressing abilities. Therefore, NDV infection produces exosomes, which transfer viral NP protein and promote NDV infection, emphasizing the importance of exosomes in an NDV infection.</t>
  </si>
  <si>
    <t>[Xu, Xiaohong; Ding, Jiaxin; Li, Jindou; Nan, Fulong; Wang, Weiqi; Qin, Qi; Fei, Yidong; Yin, Renfu; Ding, Zhuang] Jilin Univ, Minist Educ, Key Lab Zoonosis Res, Lab Infect Dis,Coll Vet Med, Changchun 130062, Jilin, Peoples R China; [Qian, Jing] Jiangsu Acad Agr Sci, Key Lab Vet Bioprod Engn, Minist Agr, Inst Vet Med, Nanjing 210014, Jiangsu, Peoples R China; [Xue, Cong] Linyi Univ, Coll Agr &amp; Forestry Sci, Shuangling Rd, Linyi 276005, Shandong, Peoples R China; [Wang, Jianzhong] Jilin Agr Univ, Coll Anim Sci &amp; Technol, Engn Res Ctr Jilin Prov Anim Probiot, Changchun 130118, Jilin, Peoples R China</t>
  </si>
  <si>
    <t>Jilin University; Jiangsu Academy of Agricultural Sciences; Linyi University; Jilin Agricultural University</t>
  </si>
  <si>
    <t>Ding, Z (corresponding author), Jilin Univ, Dept Vet Prevent Med, Coll Vet Med, Xian Rd 5333, Changchun 130062, Jilin, Peoples R China.</t>
  </si>
  <si>
    <t>dingzhuang@jlu.edu.cn</t>
  </si>
  <si>
    <t>10.1016/j.micpath.2018.12.047</t>
  </si>
  <si>
    <t>WOS:000460195700058</t>
  </si>
  <si>
    <t>Zhou, Z; Tu, ZH; Zhang, J; Tan, C; Shen, XY; Wan, BB; Li, YJ; Wang, AG; Zhao, LQ; Hu, JJ; Ma, N; Zhou, J; Chen, L; Song, YQ; Lu, WY</t>
  </si>
  <si>
    <t>Zhou, Zhi; Tu, Zhihua; Zhang, Juan; Tan, Can; Shen, Xiaoyong; Wan, Bangbei; Li, Yejuan; Wang, Anguo; Zhao, Liqiang; Hu, Jiajia; Ma, Ning; Zhou, Jing; Chen, Lin; Song, Yanqin; Lu, Weiying</t>
  </si>
  <si>
    <t>Follicular Fluid-Derived Exosomal MicroRNA-18b-5p Regulates PTEN-Mediated PI3K/Akt/mTOR Signaling Pathway to Inhibit Polycystic Ovary Syndrome Development</t>
  </si>
  <si>
    <t>Polycystic ovary syndrome; Follicular fluid-derived exosomes; MicroRNA-18b-5p; PTEN; PI3K; Akt; mTOR pathway</t>
  </si>
  <si>
    <t>GRANULOSA-CELLS; UP-REGULATION; PROLIFERATION; EXPRESSION; APOPTOSIS</t>
  </si>
  <si>
    <t>Small RNA sequences in follicular fluid (FF)-derived exosomes (extracellular vesicles contain proteins, DNA, and RNA) vitally function in the development of polycystic ovary syndrome (PCOS). It has been identified that microRNA (miR)-18b-5p is one of miRs that differ between control and PCOS women that passed the false discovery rate, and phosphatase and tensin homolog deleted on chromosome 10 (PTEN) is an important modifier of biological functions of ovarian granulosa cells (GCs) in PCOS. However, whether miR-18b-5p could functionally mediate the progression of PCOS via PTEN was not clarified completely, which was the issue we wanted to solve in our research. FF-derived exosomes were isolated using an extraction kit. KGN cells were co-cultured with miR-18b-5p-modified exosomes or transfected with a PTEN-related vector. After treatment, cell proliferation and apoptosis were observed. A rat model of PCOS was established by letrozole and then injected with miR-18b-5p-modified exosomes. Then, serum follicle-stimulating hormone (FSH), luteinizing hormone (LH), testosterone, and estradiol (E2) levels in PCOS rats were measured. miR-18b-5p, PTEN, and phosphatidylinositol 3 kinases/protein kinase B/mammalian target of rapamycin (PI3K/Akt/mTOR) pathway-related genes were tested. In PCOS patients, miR-18b-5p was downregulated, and PTEN was highly expressed in FF and GCs. PTEN knockdown increased KGN cell proliferation and limited apoptosis. FF-derived exosomes stimulated proliferation and suppressed apoptosis of KGN cells; decreased FSH, LH, and testosterone; and increased E2 in PCOS rats. Upregulating miR-18b-5p further enhanced the inhibitory effects of exosomes on suppressing the progression of PCOS. miR-18b-5p targeted PTEN and could activate PI3K/Akt/mTOR pathway. miR-18b-5p produced by FF-derived exosomes reduces PTEN expression and promotes the activation of the PI3K/Akt/mTOR signaling pathway to improve PCOS. Based on that, circulating miR-18b-5p levels can contribute to the progression of PCOS complications.</t>
  </si>
  <si>
    <t>[Zhou, Zhi; Tu, Zhihua; Wan, Bangbei; Li, Yejuan; Wang, Anguo; Zhao, Liqiang; Hu, Jiajia; Ma, Ning; Zhou, Jing; Chen, Lin; Song, Yanqin; Lu, Weiying] Hainan Women &amp; Childrens Med Ctr, Reprod Med Ctr, 75 Longkun South Rd, Haikou 570206, Hainan, Peoples R China; [Zhang, Juan] Zhuzhou Cent Hosp, Reprod Med Ctr, Zhuzhou 412007, Hunan, Peoples R China; [Tan, Can] Northwestern Univ, Feinberg Sch Med, Feinberg Cardiovasc &amp; Renal Res Inst, Chicago, IL 60611 USA; [Shen, Xiaoyong] Yikon Genom Co Ltd, Suzhou 215000, Jiangsu, Peoples R China</t>
  </si>
  <si>
    <t>Northwestern University; Feinberg School of Medicine</t>
  </si>
  <si>
    <t>Lu, WY (corresponding author), Hainan Women &amp; Childrens Med Ctr, Reprod Med Ctr, 75 Longkun South Rd, Haikou 570206, Hainan, Peoples R China.</t>
  </si>
  <si>
    <t>Luweiying206@163.com</t>
  </si>
  <si>
    <t>10.1007/s12035-021-02714-1</t>
  </si>
  <si>
    <t>WOS:000749152400001</t>
  </si>
  <si>
    <t>Wu, WY; Wu, D; Yan, WM; Wang, YL; You, J; Wan, XY; Xi, D; Luo, XP; Han, MF; Ning, Q</t>
  </si>
  <si>
    <t>Wu, Wenyu; Wu, Di; Yan, Weiming; Wang, Yongli; You, Jie; Wan, Xiaoyang; Xi, Dong; Luo, Xiaoping; Han, Meifang; Ning, Qin</t>
  </si>
  <si>
    <t>Interferon-Induced Macrophage-Derived Exosomes Mediate Antiviral Activity Against Hepatitis B Virus Through miR-574-5p</t>
  </si>
  <si>
    <t>exosome; hsa-miR-574-5p; IFN-a; pgRNA; HBV cccDNA</t>
  </si>
  <si>
    <t>HBEAG-POSITIVE PATIENTS; GENE-EXPRESSION; FOLLOW-UP; ENTECAVIR; TRANSCRIPTION; REPLICATION; SUPPRESSION; THERAPY; GENOME; CELLS</t>
  </si>
  <si>
    <t>Background. Interferon alfa (IFN-alpha) has been proved effective in treating chronic hepatitis B (CHB), owing to its ability to suppress hepatitis B surface antigen and hepatitis B virus (HBV) covalently closed circular DNA. However, the underlying mechanisms are unclear. Methods. We investigated the antiviral activities of exosomes from responders and nonresponders to pegylated IFN-alpha (PegIFN-alpha) as well as the supernatants of IFN-alpha-treated macrophages derived from THP-1 (the human leukemia monocyte cell line). Then the expression profiles of exosomal microRNAs (miRNAs) were analyzed using miRNA sequencing. The luciferase reporter assay was used to locate the binding position of HBV genomic sequence targeted by the identified miRNA. Results. Exosomes from PegIFN-alpha-treated patients, particularly responders, as well as the supernatants of IFN-alpha-treated macrophages exhibited anti-HBV activities, as manifested by the suppression of hepatitis B surface antigen, hepatitis B e antigen, HBV DNA, and covalently closed circular DNA levels in HBV-related cell lines. PegIFN-alpha treatment up-regulated exosomal hsa-miR-193a-5p, hsa-miR-25-5p, and hsa-miR-574-5p, which could partially inhibit HBV replication and transcription, and hsa-miR-574-5p reduced pregenomic RNA and polymerase messenger RNA levels by binding to the 2750-2757 position of the HBV genomic sequence. Conclusions. Exosomes can transfer IFN-alpha-related miRNAs from macrophages to HBV-infected hepatocytes, and they exhibit antiviral activities against HBV replication and expression.</t>
  </si>
  <si>
    <t>[Wu, Wenyu; Wu, Di; Yan, Weiming; Wang, Yongli; You, Jie; Wan, Xiaoyang; Xi, Dong; Han, Meifang; Ning, Qin] Huazhong Univ Sci &amp; Technol, Tongji Hosp, Dept &amp; Inst Infect Dis, Tongji Med Coll, Wuhan, Peoples R China; [Luo, Xiaoping] Huazhong Univ Sci &amp; Technol, Tongji Hosp, Dept Pediat, Tongji Med Coll, Wuhan, Peoples R China</t>
  </si>
  <si>
    <t>Ning, Q (corresponding author), Huazhong Univ Sci &amp; Technol, Tongji Med Coll, Dept Infect Dis, Tongji Hosp, Wuhan 430030, Peoples R China.</t>
  </si>
  <si>
    <t>qning@vip.sina.com</t>
  </si>
  <si>
    <t>Han, Meifang/0000-0002-1948-8128</t>
  </si>
  <si>
    <t>10.1093/infdis/jiaa399</t>
  </si>
  <si>
    <t>WOS:000648914400017</t>
  </si>
  <si>
    <t>Nazarian, P; Tran, F; Boedicker, JQ</t>
  </si>
  <si>
    <t>Nazarian, Phillip; Tran, Frances; Boedicker, James Q.</t>
  </si>
  <si>
    <t>Modeling Multispecies Gene Flow Dynamics Reveals the Unique Roles of Different Horizontal Gene Transfer Mechanisms</t>
  </si>
  <si>
    <t>horizontal gene transfer; gene exchange simulation; extracellular vesicles; conjugation; transduction; transformation</t>
  </si>
  <si>
    <t>OUTER-MEMBRANE VESICLES; PLASMID TRANSFER; NATURAL TRANSFORMATION; PROKARYOTIC DIVERSITY; CRISPR INTERFERENCE; HOST-RANGE; RECOMBINATION; TRANSDUCTION; INFECTION; DNA</t>
  </si>
  <si>
    <t>Horizontal gene transfer within diverse bacterial populations occurs through multiple mechanisms of exchange. The most established routes of gene transfer, transduction, transformation, and conjugation, have been characterized in detail, revealing the advantages and limitations of each mechanism. More recently, interspecies gene exchange via extracellular vesicles has been reported and characterized, making vesicle-mediated exchange a fourth, general mechanism of gene transfer. Despite an understanding of each individual pathway, how all of these mechanisms act in concert has not been explored. Here we develop a model of gene exchange in a multispecies bacterial community that takes into account the rates and limitations of all four gene transfer mechanisms. Our results reveal unique roles for each gene exchange mechanism, and highlight how multiple pathways working together are required for widespread gene exchange within diverse bacterial populations.</t>
  </si>
  <si>
    <t>[Nazarian, Phillip; Boedicker, James Q.] Univ Southern Calif, Dept Phys &amp; Astron, Los Angeles, CA 90089 USA; [Tran, Frances; Boedicker, James Q.] Univ Southern Calif, Dept Biol Sci, Los Angeles, CA 90089 USA</t>
  </si>
  <si>
    <t>Boedicker, JQ (corresponding author), Univ Southern Calif, Dept Phys &amp; Astron, Los Angeles, CA 90089 USA.;Boedicker, JQ (corresponding author), Univ Southern Calif, Dept Biol Sci, Los Angeles, CA 90089 USA.</t>
  </si>
  <si>
    <t>10.3389/fmicb.2018.02978</t>
  </si>
  <si>
    <t>WOS:000452033400002</t>
  </si>
  <si>
    <t>Soltesz, B; Urbancsek, R; Pos, O; Hajas, O; Forgacs, IN; Szilagyi, E; Nagy-Balo, E; Szemes, T; Csanadi, Z; Nagy, B</t>
  </si>
  <si>
    <t>Soltesz, Beata; Urbancsek, Reka; Pos, Ondrej; Hajas, Orsolya; Forgacs, Ildiko Noemi; Szilagyi, Edina; Nagy-Balo, Edina; Szemes, Tomas; Csanadi, Zoltan; Nagy, Balint</t>
  </si>
  <si>
    <t>Quantification of peripheral whole blood, cell-free plasma and exosome encapsulated mitochondrial DNA copy numbers in patients with atrial fibrillation</t>
  </si>
  <si>
    <t>Mitochondrial DNA; Peripheral blood; Cell-Free plasma; Exosome; Atrial fibrillation</t>
  </si>
  <si>
    <t>ORAL ANTICOAGULANTS; ASSOCIATION; ACCUMULATION; MUTATIONS; BIOMARKER; DISEASE; AGE</t>
  </si>
  <si>
    <t>Mitochondrial DNA (mtDNA) copy number changes have been associated with various diseases. Several studies showed that mtDNA content in peripheral blood was associated with oxidative stress and cardiovascular disease. Atrial fibrillation (AF) is one of the severe cardiovascular diseases. We aimed to determine the mtDNA copy numbers in peripheral blood, in cell-free plasma and in exosomes of AF patients and healthy controls. Peripheral blood was drawn from 60 AF patients and 72 healthy controls. DNA was isolated from EDTA blood and plasma. Exosomes were isolated from cell-free plasma and then exosome encapsulated DNA (exoDNA) was extracted. Quantitative-real-time PCR was performed with Human Mitochondrial DNA (mtDNA) Monitoring Primer Set. Statistical analysis of the data was performed. We found statistically significant difference in mtDNA copy numbers in DNA isolated from peripheral whole blood, cell-free plasma and exosome samples of controls' (44.4 +/- 18.0, 27.2 +/- 30.1, 11.5 +/- 8.7), and patients' group (43.4 +/- 13.6, 26.2 +/- 26.4, 14.5 +/- 12.3). However there was no significant difference in mtDNA copy number between the two study groups either in peripheral blood, in cell-free plasma and in exosomes, and even in different sexes and ages. We found the highest copy number of mtDNA in peripheral blood, followed by plasma and exosomes. We did not find differences between patients and controls, neither age nor gender had effect on the mtDNA copy number. According to our results the mtDNA copy numbers did not differ in AF patients.</t>
  </si>
  <si>
    <t>[Soltesz, Beata; Szilagyi, Edina; Nagy, Balint] Univ Debrecen, Fac Med, Dept Human Genet, Debrecen, Hungary; [Urbancsek, Reka; Hajas, Orsolya; Forgacs, Ildiko Noemi; Nagy-Balo, Edina; Csanadi, Zoltan] Univ Debrecen, Fac Med, Inst Cardiol, Debrecen, Hungary; [Pos, Ondrej; Szemes, Tomas] Comenius Univ, Fac Nat Sci, Dept Mol Biol, Bratislava, Slovakia</t>
  </si>
  <si>
    <t>University of Debrecen; University of Debrecen; Comenius University Bratislava</t>
  </si>
  <si>
    <t>Soltesz, B (corresponding author), Egyet Ter 1, H-4032 Debrecen, Hungary.</t>
  </si>
  <si>
    <t>soltesz.beata@med.unideb.hu</t>
  </si>
  <si>
    <t>Pös, Ondrej/AAI-6140-2020</t>
  </si>
  <si>
    <t>Pös, Ondrej/0000-0003-2491-2285; Szemes, Tomas/0000-0002-0900-2534; Nagy, Balint/0000-0002-0295-185X</t>
  </si>
  <si>
    <t>10.1016/j.jbiotec.2019.04.018</t>
  </si>
  <si>
    <t>WOS:000468162100010</t>
  </si>
  <si>
    <t>Conigliaro, A; Fontana, S; Raimondo, S; Alessandro, R</t>
  </si>
  <si>
    <t>Xiao, J; Cretoiu, S</t>
  </si>
  <si>
    <t>Conigliaro, Alice; Fontana, Simona; Raimondo, Stefania; Alessandro, Riccardo</t>
  </si>
  <si>
    <t>Exosomes: Nanocarriers of Biological Messages</t>
  </si>
  <si>
    <t>EXOSOMES IN CARDIOVASCULAR DISEASES: BIOMARKERS, PATHOLOGICAL AND THERAPEUTIC EFFECTS</t>
  </si>
  <si>
    <t>LONG NONCODING RNA; CELLS PROMOTE ANGIOGENESIS; DOUBLE-STRANDED DNA; EXTRACELLULAR VESICLES; URINARY EXOSOMES; DIABETIC-NEPHROPATHY; MEDIATED TRANSFER; CANCER EXOSOMES; DENDRITIC CELLS; GENOMIC DNA</t>
  </si>
  <si>
    <t>[Conigliaro, Alice] Sapienza Univ Rome, Dipartimento Biotecnol Cellulari &amp; Ematol, I-00185 Rome, Italy; [Conigliaro, Alice; Fontana, Simona; Raimondo, Stefania; Alessandro, Riccardo] Univ Palermo, Dipartimento Biopatol &amp; Biotecnol Med, I-90133 Palermo, Italy; [Alessandro, Riccardo] CNR, Inst Biomedicine &amp; Mol Immunol IBIM, Palermo, Italy</t>
  </si>
  <si>
    <t>Sapienza University Rome; University of Palermo; Consiglio Nazionale delle Ricerche (CNR)</t>
  </si>
  <si>
    <t>Alessandro, R (corresponding author), Univ Palermo, Dipartimento Biopatol &amp; Biotecnol Med, I-90133 Palermo, Italy.;Alessandro, R (corresponding author), CNR, Inst Biomedicine &amp; Mol Immunol IBIM, Palermo, Italy.</t>
  </si>
  <si>
    <t>riccardo.alessandro@unipa.it</t>
  </si>
  <si>
    <t>Fontana, Simona/AAI-9072-2020; Conigliaro, Alice/L-5590-2019; RAIMONDO, Stefania/J-7997-2016</t>
  </si>
  <si>
    <t>Conigliaro, Alice/0000-0002-3037-835X; RAIMONDO, Stefania/0000-0001-5413-1303</t>
  </si>
  <si>
    <t>978-981-10-4397-0; 978-981-10-4396-3</t>
  </si>
  <si>
    <t>10.1007/978-981-10-4397-0_2</t>
  </si>
  <si>
    <t>10.1007/978-981-10-4397-0</t>
  </si>
  <si>
    <t>Biochemistry &amp; Molecular Biology; Oncology; Medicine, Research &amp; Experimental</t>
  </si>
  <si>
    <t>Biochemistry &amp; Molecular Biology; Oncology; Research &amp; Experimental Medicine</t>
  </si>
  <si>
    <t>WOS:000438242500002</t>
  </si>
  <si>
    <t>Compere, P; Bouchtia, H; Thiry, M; Goffinet, G</t>
  </si>
  <si>
    <t>''Exolysosomes,'' enzyme-containing vesicles in the ecdysial space of molting crabs</t>
  </si>
  <si>
    <t>JOURNAL OF STRUCTURAL BIOLOGY</t>
  </si>
  <si>
    <t>TERMINAL DEOXYNUCLEOTIDYL TRANSFERASE; DNA; NUCLEOLUS</t>
  </si>
  <si>
    <t>Free vesicle-like bodies (VLBs) present in the ecdysial space of cuticle regions undergoing degradation during preecdysis of the Atlantic shore crab Carcinus maenas have been interpreted either as infectious organisms or as secretion structures associated with degradation of the old cuticle, Ultrastructural, cytochemical, and immunocytological investigations were performed to test these hypotheses and to see whether VLBs are peculiar to this crab species. Similar VLBs were systematically found in two other preecdysial crabs, Cancer pagurus and Macropipus puber. In Car, maenas, they originate during early premolt inside Golgi buddings and are often gathered into large vacuoles in epidermal cells, The histochemical ate-dye technique and a cerium-based cytochemical method revealed acid phosphatase activity in both the ecdysial space and the VLBs, while Feulgen's method and immunocytological labelling always failed to reveal any DNA or RNA in either the ecdysial space or the VLBs. We conclude that VLBs are not infectious organisms but ''extracellular'' cuticle-degrading organelles of lysosomal origin and propose to coin them ''exolysosomes.'' (C) 1997 Academic Press.</t>
  </si>
  <si>
    <t>UNIV LIEGE,INST SCHWAN,LAB BIOL CELLULAIRE &amp; TISSULAIRE,B-4020 LIEGE,BELGIUM</t>
  </si>
  <si>
    <t>University of Liege</t>
  </si>
  <si>
    <t>Compere, P (corresponding author), UNIV LIEGE,INST ZOOL,LAB BIOL GEN &amp; MORPHOL ULTRASTRUCT,22 QUAI ED VAN BENEDEN,B-4020 LIEGE,BELGIUM.</t>
  </si>
  <si>
    <t>1047-8477</t>
  </si>
  <si>
    <t>10.1006/jsbi.1997.3876</t>
  </si>
  <si>
    <t>WOS:A1997XP43500002</t>
  </si>
  <si>
    <t>Zhang, B; Zhao, N; Jia, L; Che, JY; He, XX; Liu, KF; Bao, BL</t>
  </si>
  <si>
    <t>Zhang, Bo; Zhao, Na; Jia, Lei; Che, Jinyuan; He, Xiaoxu; Liu, Kefeng; Bao, Baolong</t>
  </si>
  <si>
    <t>Identification and application of piwi-interacting RNAs from seminal plasma exosomes in Cynoglossus semilaevis</t>
  </si>
  <si>
    <t>Piwi-interacting RNAs; Seminal plasma exosome; Cynoglossus semilaevis; Pseudomale; Biomarkers</t>
  </si>
  <si>
    <t>PIRNA PATHWAY; SEX; 21U-RNAS; GENOME; PCR</t>
  </si>
  <si>
    <t>BackgroundPiwi-interacting RNAs (piRNAs) have been linked to epigenetic and post-transcriptional gene silencing of retrotransposons in germ line cells, particularly in spermatogenesis. Exosomes are important mediators of vesicle transport, and the piRNAs in exosomes might play an important role in cell communication and signal pathway regulation. Moreover, exosomic piRNAs are promising biomarkers for disease diagnosis and physiological status indication. We used Cynoglossus semilaevis because of its commercial value and its sexual dimorphism, particularly the sex reversed pseudomales who have a female karyotype, produce sperm, and copulate with normal females to produce viable offspring.ResultsTo determine whether piRNAs from fish germ line cells have similar features, seminal plasma exosomes from half-smooth tongue sole, C. semilaevis, were identified, and their small RNAs were sequenced and analysed. We identified six signature piRNAs as biomarkers in exosomes of seminal plasma from males and pseudomale C. semilaevis. Bioinformatic analysis showed that all six signatures were sex-related, and four were DNA methylation-related and transposition-related piRNAs. Their expression profiles were verified using real-time quantitative PCR. The expression of the signature piRNAs was markedly higher in males than in pseudomales. The signature piRNAs could be exploited as male-specific biomarkers in this fish.ConclusionsThese signatures provide an effective tool to explore the regulatory mechanism of sex development in C. semilaevis and may provide guidance for future research on the function of piRNAs in the generative mechanism of sex reversed pseudomales in C. semilaevis.</t>
  </si>
  <si>
    <t>[Zhang, Bo; Che, Jinyuan; Bao, Baolong] Shanghai Ocean Univ, Minist Educ, Key Lab Explorat &amp; Utilizat Aquat Genet Resources, Shanghai 201306, Peoples R China; [Zhang, Bo; Che, Jinyuan; Bao, Baolong] Shanghai Ocean Univ, Minist Sci &amp; Technol, Int Res Ctr Marine Biosci, Shanghai 201306, Peoples R China; [Zhang, Bo; Che, Jinyuan; Bao, Baolong] Shanghai Ocean Univ, Natl Demonstrat Ctr Expt Fisheries Sci Educ, Shanghai 201306, Peoples R China; [Zhang, Bo; Jia, Lei; He, Xiaoxu; Liu, Kefeng] Tianjin Sea Fisheries Res Inst, Tianjin, Peoples R China; [Zhao, Na] Tianjin Med Biotechnol Co Ltd, Tianjin, Peoples R China</t>
  </si>
  <si>
    <t>Shanghai Ocean University; Shanghai Ocean University; Shanghai Ocean University</t>
  </si>
  <si>
    <t>Bao, BL (corresponding author), Shanghai Ocean Univ, Minist Educ, Key Lab Explorat &amp; Utilizat Aquat Genet Resources, Shanghai 201306, Peoples R China.;Bao, BL (corresponding author), Shanghai Ocean Univ, Minist Sci &amp; Technol, Int Res Ctr Marine Biosci, Shanghai 201306, Peoples R China.;Bao, BL (corresponding author), Shanghai Ocean Univ, Natl Demonstrat Ctr Expt Fisheries Sci Educ, Shanghai 201306, Peoples R China.</t>
  </si>
  <si>
    <t>blbao@shou.edu.cn</t>
  </si>
  <si>
    <t>zhang, bo/0000-0002-9157-8988</t>
  </si>
  <si>
    <t>10.1186/s12864-020-6660-7</t>
  </si>
  <si>
    <t>WOS:000529208400006</t>
  </si>
  <si>
    <t>Wang, HZ; Wan, KJ; Zhou, Y; He, XX; He, DG; Cheng, H; Huang, J; Jia, RC; Wang, KM</t>
  </si>
  <si>
    <t>Wang, Huizhen; Wan, Kejing; Zhou, Yue; He, Xiaoxiao; He, Dinggeng; Cheng, Hong; Huang, Jin; Jia, Ruichen; Wang, Kemin</t>
  </si>
  <si>
    <t>A three-dimensional multipedal DNA walker for the ultrasensitive detection of tumor exosomes</t>
  </si>
  <si>
    <t>A three-dimensional (3D) multipedal DNA walker triggered by the specific recognition between aptamers and proteins was developed for ultrasensitive tumor exosome sensing. A detection limit of 1 particle mu L-1 was obtained with high selectivity. With the advantages of being simple, cost-effective and ultrasensitive, the biosensor offers potential for the early clinical diagnosis of tumors.</t>
  </si>
  <si>
    <t>[Wang, Huizhen; Wan, Kejing; He, Xiaoxiao; He, Dinggeng; Cheng, Hong; Huang, Jin; Jia, Ruichen; Wang, Kemin] Hunan Univ, Coll Chem &amp; Chem Engn, Key Lab Bionanotechnol &amp; Mol Engn Hunan Prov, Coll Biol,State Key Lab Chemo Biosensing &amp; Chemom, Changsha 410082, Peoples R China; [Zhou, Yue] Cent South Univ, Natl Tissue Engn Ctr China, Hunan Canc Hosp,Cent Lab,Affiliated Canc Hosp, Hunan Branch Ctr,Translat Med Ctr,Xiangya Sch Med, Changsha, Peoples R China</t>
  </si>
  <si>
    <t>He, XX; He, DG; Wang, KM (corresponding author), Hunan Univ, Coll Chem &amp; Chem Engn, Key Lab Bionanotechnol &amp; Mol Engn Hunan Prov, Coll Biol,State Key Lab Chemo Biosensing &amp; Chemom, Changsha 410082, Peoples R China.</t>
  </si>
  <si>
    <t>xiaoxiaohe@hnu.edu.cn; hedinggeng@hnu.edu.cn; kmwang@hnu.edu.cn</t>
  </si>
  <si>
    <t>10.1039/d0cc04360e</t>
  </si>
  <si>
    <t>WOS:000582936100012</t>
  </si>
  <si>
    <t>Allenson, K; Castillo, J; San Lucas, FAS; Scelo, G; Kim, DU; Bernard, V; Davis, G; Kumar, T; Katz, M; Overman, MJ; Foretova, L; Fabianova, E; Holcatova, I; Janout, V; Meric-Bernstam, F; Gascoyne, P; Wistuba, I; Varadhachary, G; Brennan, P; Hanash, S; Li, D; Maitra, A; Alvarez, H</t>
  </si>
  <si>
    <t>Allenson, K.; Castillo, J.; San Lucas, F. A.; Scelo, G.; Kim, D. U.; Bernard, V.; Davis, G.; Kumar, T.; Katz, M.; Overman, M. J.; Foretova, L.; Fabianova, E.; Holcatova, I.; Janout, V.; Meric-Bernstam, F.; Gascoyne, P.; Wistuba, I.; Varadhachary, G.; Brennan, P.; Hanash, S.; Li, D.; Maitra, A.; Alvarez, H.</t>
  </si>
  <si>
    <t>High prevalence of mutant KRAS in circulating exosome-derived DNA from early-stage pancreatic cancer patients</t>
  </si>
  <si>
    <t>exosome; liquid biopsy; KRAS; pancreatic cancer; circulating tumor DNA</t>
  </si>
  <si>
    <t>K-RAS MUTATIONS; COLORECTAL-CANCER; ADENOCARCINOMA; PLASMA; MICROVESICLES; UTILITY; GROWTH; CELLS</t>
  </si>
  <si>
    <t>Background: Exosomes arise from viable cancer cells and may reflect a different biology than circulating cell-free DNA (cfDNA) shed from dying tissues. We compare exosome-derived DNA (exoDNA) to cfDNA in liquid biopsies of patients with pancreatic ductal adenocarcinoma (PDAC). Patients and methods: Patient samples were obtained between 2003 and 2010, with clinically annotated follow up to 2015. Droplet digital PCR was performed on exoDNA and cfDNA for sensitive detection of KRAS mutants at codons 12/13. A cumulative series of 263 individuals were studied, including a discovery cohort of 142 individuals: 68 PDAC patients of all stages; 20 PDAC patients initially staged with localized disease, with blood drawn after resection for curative intent; and 54 age-matched healthy controls. A validation cohort of 121 individuals (39 cancer patients and 82 healthy controls) was studied to validate KRAS detection rates in early-stage PDAC patients. Primary outcome was circulating KRAS status as detected by droplet digital PCR. Secondary outcomes were disease-free and overall survival. Results: KRAS mutations in exoDNA, were identified in 7.4%, 66.7%, 80%, and 85% of age-matched controls, localized, locally advanced, and metastatic PDAC patients, respectively. Comparatively, mutant KRAS cfDNA was detected in 14.8%, 45.5%, 30.8%, and 57.9% of these individuals. Higher exoKRAS MAFs were associated with decreased disease-free survival in patients with localized disease. In the validation cohort, mutant KRAS exoDNA was detected in 43.6% of early-stage PDAC patients and 20% of healthy controls. Conclusions: Exosomes are a distinct source of tumor DNA that may be complementary to other liquid biopsy DNA sources. A higher percentage of patients with localized PDAC exhibited detectable KRAS mutations in exoDNA than previously reported for cfDNA. A substantial minority of healthy samples demonstrated mutant KRAS in circulation, dictating careful consideration and application of liquid biopsy findings, which may limit its utility as a broad cancer-screening method.</t>
  </si>
  <si>
    <t>[Allenson, K.; Katz, M.] Univ Texas MD Anderson Canc Ctr, Dept Surg Oncol, Houston, TX 77030 USA; [Allenson, K.; Castillo, J.; Kim, D. U.; Bernard, V.; Davis, G.; Kumar, T.; Maitra, A.; Alvarez, H.] Univ Texas MD Anderson Canc Ctr, Dept Pathol, Houston, TX 77030 USA; [San Lucas, F. A.; Wistuba, I.] Univ Texas MD Anderson Canc Ctr, Dept Translat Mol Pathol, Houston, TX 77030 USA; [San Lucas, F. A.; Maitra, A.; Alvarez, H.] Univ Texas MD Anderson Canc Ctr, Sheikh Ahmed Pancreat Canc Res Ctr, Houston, TX 77030 USA; [Scelo, G.; Brennan, P.] Int Agcy Res Canc, Genet Epidemiol Grp, Lyon, France; [Overman, M. J.; Varadhachary, G.; Li, D.] Univ Texas MD Anderson Canc Ctr, Dept GI Med Oncol, Houston, TX 77030 USA; [Foretova, L.] Masaryk Mem Canc Inst, Dept Canc Epidemiol &amp; Genet, Brno, Czech Republic; [Holcatova, I.] Reg Author Publ Hlth Banska Bystrica, Banska Bystrica, Slovakia; [Holcatova, I.] Charles Univ Prague, Fac Med 2, Inst Publ Hlth &amp; Prevent Med, Prague, Czech Republic; [Janout, V.] Palacky Univ Med, Dept Prevent Med, Olomouc, Czech Republic; [Janout, V.] Univ Ostrava, Fac Med, Dept Epidemiol &amp; Publ Hlth, Ostrava, Czech Republic; [Meric-Bernstam, F.] Dept Invest Canc Therapeut, Houston, TX USA; [Meric-Bernstam, F.] Inst Personalized Canc Therapy, Houston, TX USA; [Brennan, P.] ContinuumDx, Houston, TX USA; [Hanash, S.] Univ Texas MD Anderson Canc Ctr, Dept Clin Canc Prevent, Houston, TX 77030 USA</t>
  </si>
  <si>
    <t>University of Texas System; UTMD Anderson Cancer Center; University of Texas System; UTMD Anderson Cancer Center; University of Texas System; UTMD Anderson Cancer Center; University of Texas System; UTMD Anderson Cancer Center; World Health Organization; International Agency for Research on Cancer (IARC); University of Texas System; UTMD Anderson Cancer Center; Masaryk Memorial Cancer Institute; Regional Authority of Public Health Banska Bystrica; Charles University Prague; Palacky University Olomouc; University of Ostrava; University of Texas System; UTMD Anderson Cancer Center</t>
  </si>
  <si>
    <t>Maitra, A (corresponding author), 6565 MD Anderson Blvd Z3 3038, Houston, TX 77030 USA.</t>
  </si>
  <si>
    <t>Holcatova, Ivana/C-8327-2017; Kumar, Tejas/Q-9650-2018; Scelo, Ghislaine/CAF-8077-2022</t>
  </si>
  <si>
    <t>Holcatova, Ivana/0000-0002-1366-0337; Kumar, Tejas/0000-0003-3514-3960; Foretova, Lenka/0000-0003-0494-2620; Bernard, Vincent/0000-0003-1555-608X</t>
  </si>
  <si>
    <t>10.1093/annonc/mdx004</t>
  </si>
  <si>
    <t>WOS:000397622100014</t>
  </si>
  <si>
    <t>Taghizadeh, S; Kaviani, S; Atashi, A</t>
  </si>
  <si>
    <t>Taghizadeh, Sima; Kaviani, Saeid; Atashi, Amir</t>
  </si>
  <si>
    <t>The expression of miR-125b, miR-9, and miR-22 oncomiRs in exosomes derived from Jurkat and NB4 cell lines</t>
  </si>
  <si>
    <t>BALI MEDICAL JOURNAL</t>
  </si>
  <si>
    <t>exosome; miR-125b; miR-9; miR-22</t>
  </si>
  <si>
    <t>MICRORNAS; EVOLUTION</t>
  </si>
  <si>
    <t>Exosomes are nanoparticles released by many types of normal and cancer cells into the environment including blood and intracellular fluid. Exosomes have potential ability to be published and be circulated in the body fluid, and its structure allows them to carry cargo well to the target cell. The presence of various bioactive molecules of growth factors, types of signaling molecules, DNA, mRNA, and sequences of microRNA(miRNA), in the content of exosome's cargo are clearly demonstrated. Here, we evaluated the presence of miR-125b, miR-9, and miR-22 oncomiRs in the exosomes derived from myeloid and lymphoid cell lines. The exosomes of Jurkat and NB4 cell lines, that lymphoid and myeloid were representative assessed by Real-Time PCR. The results showed that miR-125b, miR-9, and miR-22 oncomiRs, was expressed in Jurkat and NB4 cells, and also in their exosomes. But the presence of miR-22 in exosomes derived from Jurkat was not detected. Regarding the current findings namely presence of oncomiRs in exosomes derived cancer cells, more studies recommended to evaluating probable oncogenesis in exosomes-receiving cells. Also, the application of exosomes from a normal cell to induce apoptosis in leukemic cells could be verified.</t>
  </si>
  <si>
    <t>[Taghizadeh, Sima; Kaviani, Saeid; Atashi, Amir] Tarbiat Modares Univ, Sch Med Sci, Dept Hematol, Tehran, Iran</t>
  </si>
  <si>
    <t>Tarbiat Modares University</t>
  </si>
  <si>
    <t>Kaviani, S (corresponding author), Tarbiat Modares Univ, Sch Med Sci, Dept Hematol, Tehran, Iran.</t>
  </si>
  <si>
    <t>nima.mirsharifi@gmail.com</t>
  </si>
  <si>
    <t>Atashi, Amir/B-1715-2017</t>
  </si>
  <si>
    <t>2089-1180</t>
  </si>
  <si>
    <t>2302-2914</t>
  </si>
  <si>
    <t>10.15562/bmj.v6i2.476</t>
  </si>
  <si>
    <t>WOS:000411808300029</t>
  </si>
  <si>
    <t>Cao, SY; Wu, YQ; Reece, EA; Xu, C; Shen, WB; Kaushal, S; Yang, PX</t>
  </si>
  <si>
    <t>Cao, Songying; Wu, Yanqing; Reece, E. Albert; Xu, Cheng; Shen, Wei-Bin; Kaushal, Sunjay; Yang, Peixin</t>
  </si>
  <si>
    <t>Functional cargos of exosomes derived from Flk-1(+) vascular progenitors enable neurulation and ameliorate embryonic anomalies in diabetic pregnancy</t>
  </si>
  <si>
    <t>NEURAL-TUBE DEFECTS; ENDOPLASMIC-RETICULUM STRESS; MOUSE MODEL; YOLK-SAC; IN-VIVO; APOPTOSIS; GENE; SURVIVIN; EXPRESSION; INDUCTION</t>
  </si>
  <si>
    <t>Various types of progenitors initiate individual organ formation and their crosstalk orchestrates morphogenesis for the entire embryo. Here we show that progenitor exosomal communication across embryonic organs occurs in normal development and is altered in embryos of diabetic pregnancy. Endoderm fibroblast growth factor 2 (FGF2) stimulates mesoderm Flk-1(+) vascular progenitors to produce exosomes containing the anti-stress protein Survivin. These exosomes act on neural stem cells of the neuroepithelium to facilitate neurulation by inhibiting cellular stress and apoptosis. Maternal diabetes causes Flk-1(+) progenitor dysfunction by suppressing FGF2 through DNA hypermethylation. Restoring endoderm FGF2 prevents diabetes-induced survivin reduction in Flk-1(+) progenitor exosomes. Transgenic Survivin expression in Flk-1(+) progenitors or in utero delivery of survivin-enriched exosomes restores cellular homeostasis and prevents diabetes-induced neural tube defects (NTDs), whereas inhibiting exosome production induces NTDs. Thus, functional inter-organ communication via Flk-1 exosomes is vital for neurulation and its disruption leads to embryonic anomalies. A crosstalk among components of the endoderm, mesoderm and neuroectoderm via the growth factor FGF2 and Survivin-containing exosomes is essential for successful neurulation and is deregulated in diabetic pregnancy.</t>
  </si>
  <si>
    <t>[Cao, Songying; Wu, Yanqing; Reece, E. Albert; Xu, Cheng; Shen, Wei-Bin; Yang, Peixin] Univ Maryland, Sch Med, Dept Obstet Gynecol &amp; Reprod Sci, Baltimore, MD 21201 USA; [Reece, E. Albert; Yang, Peixin] Univ Maryland, Sch Med, Dept Biochem &amp; Mol Biol, Baltimore, MD 21201 USA; [Kaushal, Sunjay] Univ Maryland, Sch Med, Dept Surg, Baltimore, MD 21201 USA; [Wu, Yanqing] Wenzhou Univ, Inst Life Sci, Wenzhou 325035, Zhejiang, Peoples R China; [Kaushal, Sunjay] Ann &amp; Robert H Lurie Childrens Hosp Chicago, Div Cardiovasc Thorac Surg, 225 E Chicago Ave, Chicago, IL 60611 USA</t>
  </si>
  <si>
    <t>University System of Maryland; University of Maryland Baltimore; University System of Maryland; University of Maryland Baltimore; University System of Maryland; University of Maryland Baltimore; Wenzhou University; Ann &amp; Robert H. Lurie Children's Hospital of Chicago</t>
  </si>
  <si>
    <t>Yang, PX (corresponding author), Univ Maryland, Sch Med, Dept Obstet Gynecol &amp; Reprod Sci, Baltimore, MD 21201 USA.;Yang, PX (corresponding author), Univ Maryland, Sch Med, Dept Biochem &amp; Mol Biol, Baltimore, MD 21201 USA.</t>
  </si>
  <si>
    <t>pyang@som.umaryland.edu</t>
  </si>
  <si>
    <t>10.1038/s42003-022-03614-3</t>
  </si>
  <si>
    <t>WOS:000819811400004</t>
  </si>
  <si>
    <t>Bodega, G; Alique, M; Bohorquez, L; Moran, M; Magro, L; Puebla, L; Ciordia, S; Mena, MC; Arza, E; Ramirez, MR</t>
  </si>
  <si>
    <t>Bodega, Guillermo; Alique, Matilde; Bohorquez, Lourdes; Moran, Miriam; Magro, Luis; Puebla, Lilian; Ciordia, Sergio; Mena, Maria C.; Arza, Elvira; Ramirez, Manuel R.</t>
  </si>
  <si>
    <t>Young and Especially Senescent Endothelial Microvesicles Produce NADPH: The Fuel for Their Antioxidant Machinery</t>
  </si>
  <si>
    <t>OXIDATIVE MEDICINE AND CELLULAR LONGEVITY</t>
  </si>
  <si>
    <t>PENTOSE-PHOSPHATE PATHWAY; FREE-RADICAL THEORY; OXIDATIVE STRESS; CELLULAR FUNCTIONS; DNA-DAMAGE; EXOSOMES; DISEASE; DEATH</t>
  </si>
  <si>
    <t>In a previous study, we demonstrated that endothelial microvesicles (eMVs) have a well-developed enzymatic team involved in reactive oxygen species detoxification. In the present paper, we demonstrate that eMVs can synthesize the reducing power (NAD(P)H) that nourishes this enzymatic team, especially those eMVs derived from senescent human umbilical vein endothelial cells. Moreover, we have demonstrated that the molecules that nourish the enzymatic machinery involved in NAD(P)H synthesis are blood plasma metabolites: lactate, pyruvate, glucose, glycerol, and branched-chain amino acids. Drastic biochemical changes are observed in senescent eMVs to optimize the synthesis of reducing power. Mitochondrial activity is diminished and the glycolytic pathway is modified to increase the activity of the pentose phosphate pathway. Different dehydrogenases involved in NADPH synthesis are also increased. Functional experiments have demonstrated that eMVs can synthesize NADPH. In addition, the existence of NADPH in eMVs was confirmed by mass spectrometry. Multiphoton confocal microscopy images corroborate the synthesis of reducing power in eMVs. In conclusion, our present and previous results demonstrate that eMVs can act as autonomous reactive oxygen species scavengers: they use blood metabolites to synthesize the NADPH that fuels their antioxidant machinery. Moreover, senescent eMVs have a stronger reactive oxygen species scavenging capacity than young eMVs.</t>
  </si>
  <si>
    <t>[Bodega, Guillermo] Univ Alcala, Dept Biomed &amp; Biotecnol, Madrid 28805, Spain; [Alique, Matilde; Bohorquez, Lourdes; Moran, Miriam; Magro, Luis; Puebla, Lilian; Ramirez, Manuel R.] Univ Alcala, Dept Biol Sistemas, Madrid 28805, Spain; [Ciordia, Sergio; Mena, Maria C.] CSIC, Ctr Nacl Biotecnol, Prote Facil, Campus Cantoblanco, Madrid 28049, Spain; [Arza, Elvira] CNIC, Unidad Tecn Microscopia, C Melchor Fernandez Almagro 3, Madrid 28029, Spain</t>
  </si>
  <si>
    <t>Universidad de Alcala; Universidad de Alcala; Consejo Superior de Investigaciones Cientificas (CSIC); CSIC - Centro Nacional de Biotecnologia (CNB); Centro Nacional de Investigaciones Cardiovasculares (CNIC)</t>
  </si>
  <si>
    <t>Bodega, G (corresponding author), Univ Alcala, Dept Biomed &amp; Biotecnol, Madrid 28805, Spain.</t>
  </si>
  <si>
    <t>guillermo.bodega@uah.es</t>
  </si>
  <si>
    <t>Alique, Matilde/I-1341-2016</t>
  </si>
  <si>
    <t>Alique, Matilde/0000-0002-7912-1133; Arza, Elvira/0000-0001-9626-047X; Ciordia, Sergio/0000-0002-5726-853X</t>
  </si>
  <si>
    <t>1942-0900</t>
  </si>
  <si>
    <t>1942-0994</t>
  </si>
  <si>
    <t>10.1155/2018/3183794</t>
  </si>
  <si>
    <t>WOS:000430275300001</t>
  </si>
  <si>
    <t>Pleet, ML; DeMarino, C; Lepene, B; Aman, MJ; Kashanchi, F</t>
  </si>
  <si>
    <t>Pleet, Michelle L.; DeMarino, Catherine; Lepene, Benjamin; Aman, M. Javad; Kashanchi, Fatah</t>
  </si>
  <si>
    <t>The Role of Exosomal VP40 in Ebola Virus Disease</t>
  </si>
  <si>
    <t>Ebola; VP40; exosomes; ESCRT; RNAi; apoptosis</t>
  </si>
  <si>
    <t>HUMAN-IMMUNODEFICIENCY-VIRUS; PROTEIN SORTING PATHWAY; EXTRACELLULAR VESICLES; CELL-PROLIFERATION; TETRASPANIN CD63; IN-VIVO; INFECTION; TSG101; PATHOGENESIS; MINOCYCLINE</t>
  </si>
  <si>
    <t>Ebola virus (EBOV) can cause a devastating hemorrhagic disease, leading to death in a short period of time. After infection, the resulting EBOV disease results in high levels of circulating cytokines, endothelial dysfunction, coagulopathy, and bystander lymphocyte apoptosis in humans and nonhuman primates. The VP40 matrix protein of EBOV is essential for viral assembly and budding from the host cell. Recent data have shown that VP40 exists in the extracellular environment, including in exosomes, and exosomal VP40 can impact the viability of recipient immune cells, including myeloid and T cells, through the regulation of the RNAi and endosomal sorting complexes required for transport pathways. In this study, we discuss the latest findings of the impact of exosomal VP40 on immune cells in vitro and its potential implications for pathogenesis in vivo.</t>
  </si>
  <si>
    <t>[Pleet, Michelle L.; DeMarino, Catherine; Kashanchi, Fatah] George Mason Univ, Sch Syst Biol, Lab Mol Virol, Manassas, VA USA; [Lepene, Benjamin] Ceres Nanosci Inc, Manassas, VA USA; [Aman, M. Javad] Integrated BioTherapeut Inc, Gaithersburg, MD USA</t>
  </si>
  <si>
    <t>George Mason University</t>
  </si>
  <si>
    <t>Kashanchi, F (corresponding author), George Mason Univ, Lab Mol Virol, Discovery Hall Room 182,10900 Univ Blvd, Manassas, VA 20110 USA.</t>
  </si>
  <si>
    <t>10.1089/dna.2017.3639</t>
  </si>
  <si>
    <t>WOS:000398466900001</t>
  </si>
  <si>
    <t>Gao, HH; Gao, Y; Pang, WJ; Pan, CY; Ji, H; Dong, WZ</t>
  </si>
  <si>
    <t>Gao, Huihui; Gao, Yao; Pang, Weijun; Pan, Chuanying; Ji, Hong; Dong, Wuzi</t>
  </si>
  <si>
    <t>Iridoviral infection can be reduced by UCHL1-loaded exosomes from the testis of Chinese giant salamanders (Andrias davidianus)</t>
  </si>
  <si>
    <t>Iridovirus; Exosome; UCHLI; Testis; Chinese giant salamanders (Andrias davidianus)</t>
  </si>
  <si>
    <t>Chinese giant salamander iridovirus (CGSIV) is a large double-stranded DNA virus that infects Chinese giant salamanders (CGSs) and is responsible for a high mortality rate of CGSs under certain conditions. It is generally believed that CGSIV is a horizontally transmitting virus that affects lower vertebrates. Exosomes from tissues and cells affect the mechanism of viral infections. UCHL1, a deubiquitinating enzyme, is indirectly involved in virus propagation via cytokine and chemokine suppression. In our study, a few CGSIVs were detected in the testis of the special symptom CGSs using PCR and immunofluorescence analysis. The exosomes originating in the testicular fluid was isolated and identified using the Nanosight NS300 system and scanning electron microscopy. The UCHL1-loaded exosomes may resist CGSIV entry by fusing with and remodeling CGSIV. UCHL1 in the primary testicular fibroblasts was maintained at a stable level to inhibit the infection and replication of CGSIV by secreting and sorting exosomes. These data provided a new insight into CGSIV being a type of horizontally transmitting virus.</t>
  </si>
  <si>
    <t>[Gao, Huihui; Gao, Yao; Pang, Weijun; Pan, Chuanying; Ji, Hong; Dong, Wuzi] Northwest A&amp;F Univ, Coll Anim Sci &amp; Technol, 22 Xinong Rd, Yangling 712100, Shaanxi, Peoples R China</t>
  </si>
  <si>
    <t>Dong, WZ (corresponding author), Northwest A&amp;F Univ, Coll Anim Sci &amp; Technol, 22 Xinong Rd, Yangling 712100, Shaanxi, Peoples R China.</t>
  </si>
  <si>
    <t>dongwuzi@nwsuaf.edu.cn</t>
  </si>
  <si>
    <t>pan, chuanying/AAM-7092-2021</t>
  </si>
  <si>
    <t>10.1016/j.vetmic.2018.08.025</t>
  </si>
  <si>
    <t>WOS:000447477000008</t>
  </si>
  <si>
    <t>de Wit, S; Rossi, E; Weber, S; Tamminga, M; Manicone, M; Swennenhuis, JF; Groothuis-Oudshoorn, CGM; Vidotto, R; Facchinetti, A; Zeune, LL; Schuuring, E; Zamarchi, R; Hiltermann, TJN; Speicher, MR; Heitzer, E; Terstappen, LWMM; Groen, HJM</t>
  </si>
  <si>
    <t>de Wit, Sanne; Rossi, Elisabetta; Weber, Sabrina; Tamminga, Menno; Manicone, Mariangela; Swennenhuis, Joost F.; Groothuis-Oudshoorn, Catharina G. M.; Vidotto, Riccardo; Facchinetti, Antonella; Zeune, Leonie L.; Schuuring, Ed; Zamarchi, Rita; Hiltermann, T. Jeroen N.; Speicher, Michael R.; Heitzer, Ellen; Terstappen, Leon W. M. M.; Groen, Harry J. M.</t>
  </si>
  <si>
    <t>Single tube liquid biopsy for advanced non-small cell lung cancer</t>
  </si>
  <si>
    <t>liquid biopsy; circulating tumor cells; circulating tumor DNA; extracellular vesicles; survival; non-small cell lung cancer; EpCAM; biomarkers</t>
  </si>
  <si>
    <t>CIRCULATING TUMOR-CELLS; EPITHELIAL-MESENCHYMAL PLASTICITY; PROGRESSION-FREE SURVIVAL; PROSTATE; PREDICT; CHALLENGES; BIOMARKERS; RELEVANCE; EXOSOMES; BLOOD</t>
  </si>
  <si>
    <t>The need for a liquid biopsy in non-small cell lung cancer (NSCLC) patients is rapidly increasing. We studied the relation between overall survival (OS) and the presence of four cancer biomarkers from a single blood draw in advanced NSCLC patients: EpCAM(high) circulating tumor cells (CTC), EpCAM(low) CTC, tumor-derived extracellular vesicles (tdEV) and cell-free circulating tumor DNA (ctDNA). EpCAM(high) CTC were detected with CellSearch, tdEV in the CellSearch images and EpCAM(low) CTC with filtration after CellSearch. ctDNA was isolated from plasma and mutations present in the primary tumor were tracked with deep sequencing methods. In 97 patients, 21% had &gt;= 2 EpCAM(high) CTC, 15% had &gt;= 2 EpCAM(low) CTC, 27% had &gt;= 18 tdEV and 19% had ctDNA with &gt;= 10% mutant allele frequency. Either one of these four biomarkers could be detected in 45% of the patients and all biomarkers were present in 2%. In 11 out of 16 patients (69%) mutations were detected in the ctDNA. Two or more unfavorable biomarkers were associated with poor OS. The presence of EpCAM(high) CTC and elevated levels of tdEV and ctDNA was associated with a poor OS; however, the presence of EpCAM(low) CTC was not. This single tube approach enables simultaneous analysis of multiple biomarkers to explore their potential as a liquid biopsy.</t>
  </si>
  <si>
    <t>[de Wit, Sanne; Swennenhuis, Joost F.; Zeune, Leonie L.; Terstappen, Leon W. M. M.] Univ Twente, Dept Med Cell BioPhys, Enschede, Netherlands; [Rossi, Elisabetta; Facchinetti, Antonella] Univ Padua, DISCOG, Padua, Italy; [Rossi, Elisabetta; Manicone, Mariangela; Vidotto, Riccardo; Facchinetti, Antonella; Zamarchi, Rita; Hiltermann, T. Jeroen N.] Veneto Inst Oncol IOV IRCCS, Padua, Italy; [Weber, Sabrina; Speicher, Michael R.; Heitzer, Ellen] Med Univ Graz, Inst Human Genet, Diagnost &amp; Res Ctr Mol BioMed, Graz, Austria; [Tamminga, Menno; Schuuring, Ed; Groen, Harry J. M.] Univ Groningen, Univ Med Ctr Groningen, Dept Pulm Dis, Groningen, Netherlands; [Groothuis-Oudshoorn, Catharina G. M.] Univ Twente, Dept Hlth Technol &amp; Serv Res, Enschede, Netherlands; [Zeune, Leonie L.] Univ Twente, Dept Appl Math, Enschede, Netherlands; [Heitzer, Ellen] Med Univ Graz, Christian Doppler Lab Liquid Biopsies Early Detec, Graz, Austria</t>
  </si>
  <si>
    <t>University of Twente; University of Padua; IRCCS Istituto Oncologico Veneto (IOV); Medical University of Graz; University of Groningen; University of Twente; University of Twente; Medical University of Graz</t>
  </si>
  <si>
    <t>Groen, HJM (corresponding author), Fac Med Sci, Lung Dis, Hanzepl 1, NL-9713 GZ Groningen, Netherlands.</t>
  </si>
  <si>
    <t>h.j.m.groen@umcg.nl</t>
  </si>
  <si>
    <t>Zamarchi, Rita/K-4517-2016; Groen, Harry/AAP-2242-2021; Vidotto, Riccardo RV/L-4857-2016; Facchinetti, Antonella/K-5036-2016; terstappen, leon/O-4923-2018; Speicher, Michael R/B-5362-2013; Rossi, Elisabetta/K-4346-2016; , HiltermannTJN/ABA-9144-2021</t>
  </si>
  <si>
    <t>Zamarchi, Rita/0000-0001-6435-2257; Vidotto, Riccardo RV/0000-0002-6526-9284; Facchinetti, Antonella/0000-0002-5628-5899; terstappen, leon/0000-0001-5944-3787; Speicher, Michael R/0000-0003-0105-955X; Rossi, Elisabetta/0000-0002-5242-9568; Groothuis-Oudshoorn, Catharina/0000-0002-4875-5379; Groen, Harry J.M./0000-0002-2978-5265; de Wit, Sanne/0000-0001-8867-2968; Weber, Sabrina/0000-0003-0374-0349</t>
  </si>
  <si>
    <t>10.1002/ijc.32056</t>
  </si>
  <si>
    <t>WOS:000466449100022</t>
  </si>
  <si>
    <t>Liu, T; Chen, G; Sun, D; Lei, MH; Li, YQ; Zhou, CM; Li, XD; Xue, W; Wang, H; Liu, CJ; Xu, J</t>
  </si>
  <si>
    <t>Liu, Tao; Chen, Gang; Sun, Dawei; Lei, Minghui; Li, Yongqiang; Zhou, Changming; Li, Xiaodong; Xue, Wei; Wang, Hong; Liu, Chunjun; Xu, Jiang</t>
  </si>
  <si>
    <t>Exosomes containing miR-21 transfer the characteristic of cisplatin resistance by targeting PTEN and PDCD4 in oral squamous cell carcinoma</t>
  </si>
  <si>
    <t>ACTA BIOCHIMICA ET BIOPHYSICA SINICA</t>
  </si>
  <si>
    <t>oral squamous cell carcinoma; exosome; miR-21; cisplatin resistance</t>
  </si>
  <si>
    <t>CANCER CELLS; HEAD; CHEMOTHERAPY; CHEMOSENSITIVITY; BIOGENESIS; MICRORNAS; PATHWAY; RNAS</t>
  </si>
  <si>
    <t>Resistance to chemotherapy remains a major obstacle for the effective treatment of oral squamous cell carcinoma (OSCC). Evidence for the involvement of exosomes as important regulators of cisplatin chemoresistance in OSCC is still poorly understood. Our objective of this study was to explore the roles for exosomes in modulating key cellular pathways mediating response to chemotherapy. We first developed the cisplatin-resistant cell lines (HSC-3-R and SCC-9-R) and found that the conditioned media from cisplatin-resistant OSCC cells enhanced the chemoresistance of parental OSCC cell. The release of exosomes was blocked by inhibitor (GW4869) and exosomes were found to be involved in the chemoresistance of parental OSCC cell transferred from resistant cells. The exosomes derived from resistant cells and parental cells were isolated. Then, the isolated exosomes were characterized and quantified by electron microscopy, qNano analysis, and western blot analysis. Exosomes derived from cisplatin-resistant OSCC cells were found to enhance the chemoresistance of OSCC cell and decrease the DNA damage signaling in response to cisplatin. It was also found that exosomes derived from cisplatin-resistant OSCC cells transferred miR-21 to OSCC parental cells and induced cisplatin resistance by targeting phosphatase and tensin homolog and programmed cell death 4. Furthermore, the roles of cisplatin-resistant OSCC cells-derived exosomes in vivo were confirmed by subcutaneous xenograft mouse model. Collectively, the results suggest that exosomes released from cisplatin-resistant OSCC cells transmit miR-21 to induce cisplatin resistance of OSCC cells.</t>
  </si>
  <si>
    <t>[Liu, Tao] Yanan Univ, Otorhinolaryngol Head &amp; Neck Surg, Affiliated Hosp, Yanan 716000, Peoples R China; [Chen, Gang] Shangluo Cent Hosp, Dept Stomatol, Shangluo 726000, Peoples R China; [Sun, Dawei; Wang, Hong; Liu, Chunjun] Cent Hosp Baoji, Dept Stomatol, Baoji 721008, Peoples R China; [Lei, Minghui] Shananxi Univ Chinese Med, Affiliated Hosp, Xianyang 712000, Peoples R China; [Li, Yongqiang] Hanzhong Cent Hosp, Dept Stomatol, Hanzhong 723000, Peoples R China; [Zhou, Changming] Yanan Univ, Dept Otorhinolaryngol, Affiliated Hosp, Yanan 716000, Peoples R China; [Li, Xiaodong] Yanan Peoples Hosp, Dept Stomatol, Yanan 716000, Peoples R China; [Xue, Wei] Baoji Peoples Hosp, Dept Stomatol, Baoji 721008, Peoples R China; [Xu, Jiang] Tongchuan Peoples Hosp, Dept Stomatol, Tongchuan 727000, Peoples R China</t>
  </si>
  <si>
    <t>Yanan University; Yanan University</t>
  </si>
  <si>
    <t>Xu, J (corresponding author), Tongchuan Peoples Hosp, Dept Stomatol, Tongchuan 727000, Peoples R China.</t>
  </si>
  <si>
    <t>xjtcsrmyykqk@sohu.com</t>
  </si>
  <si>
    <t>Xue, Wei/T-7043-2019</t>
  </si>
  <si>
    <t>1672-9145</t>
  </si>
  <si>
    <t>1745-7270</t>
  </si>
  <si>
    <t>10.1093/abbs/gmx078</t>
  </si>
  <si>
    <t>WOS:000409246700007</t>
  </si>
  <si>
    <t>Liu, B; Pilarsky, C</t>
  </si>
  <si>
    <t>Dumitrescu, RG; Verma, M</t>
  </si>
  <si>
    <t>Liu, Bin; Pilarsky, Christian</t>
  </si>
  <si>
    <t>Analysis of DNA Hypermethylation in Pancreatic Cancer Using Methylation-Specific PCR and Bisulfite Sequencing</t>
  </si>
  <si>
    <t>CANCER EPIGENETICS FOR PRECISION MEDICINE: METHODS AND PROTOCOLS</t>
  </si>
  <si>
    <t>DNA hypermethylation; Pancreatic cancer; Methylation-specific PCR; Bisulfite sequencing; Plasma; Tissue samples</t>
  </si>
  <si>
    <t>NPTX2 HYPERMETHYLATION; DUCTAL ADENOCARCINOMA; MOLECULAR SUBTYPES; TUMOR-SUPPRESSOR; BIOMARKERS; GENE; EXOSOMES</t>
  </si>
  <si>
    <t>Pancreatic ductal adenocarcinoma (PDAC) is an aggressive tumor and the fourth common cause of cancer death in the Western world. The lack of effective therapeutic strategies is attributed to the late diagnosis of this disease. Methylation markers could improve early detection and help in the surveillance of PDAC after treatment. Analysis of hypermethylation in the tumor tissue and tumor-derived exosomes might help to identify new therapeutic strategies and aid in the understanding of the pathophysiological changes occurring in pancreatic cancer. There are several methods for the detection of methylation events. Whereas methylation-specific PCR (MSP-PCR) is the method of choice, the cost reductions in DNA sequencing enables researchers to add bisulfite sequencing (BSS) to their repertoire if a small number of genes will be tested in a larger set of patients' samples. During the last years, several techniques to isolate and analyze DNA methylation have been proposed, but DNA modification using sodium bisulfite is still the gold standard.</t>
  </si>
  <si>
    <t>[Liu, Bin; Pilarsky, Christian] Friedrich Alexander Univ Erlangen, Univ Klinikum Erlangen, Dept Surg, Erlangen, Germany</t>
  </si>
  <si>
    <t>University of Erlangen Nuremberg</t>
  </si>
  <si>
    <t>Liu, B (corresponding author), Friedrich Alexander Univ Erlangen, Univ Klinikum Erlangen, Dept Surg, Erlangen, Germany.</t>
  </si>
  <si>
    <t>Pilarsky, Christian/0000-0002-7968-3283; Liu, Bin/0000-0003-0407-6486</t>
  </si>
  <si>
    <t>978-1-4939-8751-1; 978-1-4939-8750-4</t>
  </si>
  <si>
    <t>10.1007/978-1-4939-8751-1_16</t>
  </si>
  <si>
    <t>10.1007/978-1-4939-8751-1</t>
  </si>
  <si>
    <t>WOS:000458615400017</t>
  </si>
  <si>
    <t>Luong, N; Olson, JK</t>
  </si>
  <si>
    <t>Luong, Nhungoc; Olson, Julie K.</t>
  </si>
  <si>
    <t>Exosomes Secreted by Microglia During Virus Infection in the Central Nervous System Activate an Inflammatory Response in Bystander Cells</t>
  </si>
  <si>
    <t>microglia; neuroinflammation; virus infection; demyelinating disease; exosome</t>
  </si>
  <si>
    <t>DEMYELINATING DISEASE; INNATE; MICE; MACROPHAGES</t>
  </si>
  <si>
    <t>Microglia become persistently infected during Theiler's murine encephalomyelitis virus (TMEV) infection in the central nervous system (CNS) of susceptible mice. We have previously shown that microglia infected with TMEV become activated through the innate immune receptors to express type I interferons, cytokines, and chemokines. Persistent TMEV infection in the CNS promotes chronic neuroinflammation and development of demyelinating disease similar to multiple sclerosis. In the current studies, we wanted to determine whether TMEV-infected microglia secrete exosomes which contribute to neuroinflammation in the CNS thus promoting the development of demyelinating disease. Exosomes are vesicles containing RNA, DNA, and proteins that are released from one cell and taken up by another cell to facilitate communication between cells. These studies isolated exosomes secreted by microglia during TMEV infection in vitro as well as exosomes secreted by microglia during early TMEV infection in mice. These studies show that microglia secrete exosomes during TMEV infection which contain the viral RNA coding region. The exosomes secreted by microglia during TMEV infection can be taken up by uninfected bystander cells, including CNS resident microglia, astrocytes, and neurons. The viral RNA in the exosomes can be transferred to the bystander cells. In addition, the bystander cells that took up these exosomes were activated through the innate immune response to express type I interferons, IFN alpha and IFN beta, pro-inflammatory cytokines, IL-6, IL-12, and TNF alpha, and chemokines, CCL2. Most interestingly, exosomes secreted by microglia during early TMEV infection in mice activated an inflammatory response when transferred to the brains of naive mice. These results show that exosomes secreted by microglia during early TMEV infection contain viral RNA and can activate uninfected bystander CNS cells to promote an inflammatory immune response. Thus, exosomes secreted by microglia during virus infection may promote viral persistence and neuroinflammation which contributes to the development of demyelinating disease.</t>
  </si>
  <si>
    <t>[Luong, Nhungoc; Olson, Julie K.] Univ Minnesota, Dept Vet &amp; Biomed Sci, Minneapolis, MN 55455 USA; [Olson, Julie K.] Univ Minnesota, Dept Diagnost &amp; Biol Sci, Minneapolis, MN 55455 USA</t>
  </si>
  <si>
    <t>University of Minnesota System; University of Minnesota Twin Cities; University of Minnesota System; University of Minnesota Twin Cities</t>
  </si>
  <si>
    <t>Olson, JK (corresponding author), Univ Minnesota, Dept Vet &amp; Biomed Sci, Minneapolis, MN 55455 USA.;Olson, JK (corresponding author), Univ Minnesota, Dept Diagnost &amp; Biol Sci, Minneapolis, MN 55455 USA.</t>
  </si>
  <si>
    <t>jkolson@umn.edu</t>
  </si>
  <si>
    <t>AUG 13</t>
  </si>
  <si>
    <t>10.3389/fcell.2021.661935</t>
  </si>
  <si>
    <t>WOS:000692317300001</t>
  </si>
  <si>
    <t>Liu, P; Qian, XQ; Li, XM; Fan, L; Li, XY; Cui, DX; Yan, YR</t>
  </si>
  <si>
    <t>Liu, Ping; Qian, Xiaoqing; Li, Xinmin; Fan, Lu; Li, Xinyu; Cui, Daxiang; Yan, Yurong</t>
  </si>
  <si>
    <t>Enzyme-Free Electrochemical Biosensor Based on Localized DNA Cascade Displacement Reaction and Versatile DNA Nanosheets for Ultrasensitive Detection of Exosomal MicroRNA</t>
  </si>
  <si>
    <t>electrochemical biosensor; exosomal microRNA; localized DNA circuit reaction; DNA nanostructure; enzyme-free</t>
  </si>
  <si>
    <t>LIGHT</t>
  </si>
  <si>
    <t>MicroRNA existing in exosomes (exo-miRNA) is a crucial and reliable biomarker for cancer screening and diagnosis. However, accurate detection of ultralow exo-miRNA amounts in real samples remains a challenge. Herein, a robust and ultrasensitive electrochemical biosensor was developed based on localized DNA cascade displacement reaction (L-DCDR) and versatile DNA nanosheets (DNSs) for enzyme-free analysis of exo-miRNA. The target activated L-DCDR repeatedly by consecutive toehold mediated strand displacement, which released plentiful P strands to hybridize with capture probes immobilized on the electrode surface and DNS tags, generating an amplified electrochemical signal for the detection of exo-miRNA. The DNS could label-free load various electroactive molecules. The electrochemical biosensor revealed high sensitivity ranging from 0.1 fM to 1 nM with a limit of detection of 65 aM and good specificity. The constructed biosensor was demonstrated to be able to detect exo-miRNA derived from gastric cancer cell line (SGC-7901) and gastric cancer patients. In addition, the developed biosensor possessed several considerable advantages including simple substrate assembly, improved reaction rate, and high signal-to-noise ratio. Therefore, this strategy has great potential in bioanalysis and clinical diagnostics.</t>
  </si>
  <si>
    <t>[Liu, Ping; Fan, Lu; Li, Xinyu; Yan, Yurong] Chongqing Med Univ, Coll Lab Med, Key Lab Clin Lab Diagnost, Minist Educ, Chongqing 400016, Peoples R China; [Qian, Xiaoqing] Shanghai Jiao Tong Univ, Sch Biomed Engn, Shanghai 200240, Peoples R China; [Li, Xinmin] Chongqing Tradit Chinese Med Hosp, Dept Lab Med, Chongqing 400016, Peoples R China; [Cui, Daxiang] Shanghai Jiao Tong Univ, Inst Nano Biomed &amp; Engn, Shanghai Engn Ctr Intelligent Diag &amp; Treatment In, Natl Ctr Translat Med,Dept Instrument Sci &amp; Engn, Shanghai 200240, Peoples R China</t>
  </si>
  <si>
    <t>Chongqing Medical University; Shanghai Jiao Tong University; Shanghai Jiao Tong University</t>
  </si>
  <si>
    <t>Yan, YR (corresponding author), Chongqing Med Univ, Coll Lab Med, Key Lab Clin Lab Diagnost, Minist Educ, Chongqing 400016, Peoples R China.</t>
  </si>
  <si>
    <t>yanyurong@cqmu.edu.cn</t>
  </si>
  <si>
    <t>Li, xinmin/0000-0001-9137-3598</t>
  </si>
  <si>
    <t>10.1021/acsami.0c14621</t>
  </si>
  <si>
    <t>WOS:000579956100128</t>
  </si>
  <si>
    <t>Bezdan, D; Grigorev, K; Meydan, C; Vatter, FAP; Cioffi, M; Rao, V; MacKay, M; Nakahira, K; Burnham, P; Afshinnekoo, E; Westover, C; Butler, D; Mozsary, C; Donahoe, T; Foox, J; Mishra, T; Lucotti, S; Rana, BK; Melnick, AM; Zhang, HY; Matei, I; Kelsen, D; Yu, K; Lyden, DC; Taylor, L; Bailey, SM; Snyder, MP; Garrett-Bakelman, FE; Ossowski, S; De Vlaminck, I; Mason, CE</t>
  </si>
  <si>
    <t>Bezdan, Daniela; Grigorev, Kirill; Meydan, Cem; Vatter, Fanny A. Pelissier; Cioffi, Michele; Rao, Varsha; MacKay, Matthew; Nakahira, Kiichi; Burnham, Philip; Afshinnekoo, Ebrahim; Westover, Craig; Butler, Daniel; Mozsary, Chris; Donahoe, Timothy; Foox, Jonathan; Mishra, Tejaswini; Lucotti, Serena; Rana, Brinda K.; Melnick, Ari M.; Zhang, Haiying; Matei, Irina; Kelsen, David; Yu, Kenneth; Lyden, David C.; Taylor, Lynn; Bailey, Susan M.; Snyder, Michael P.; Garrett-Bakelman, Francine E.; Ossowski, Stephan; De Vlaminck, Iwijn; Mason, Christopher E.</t>
  </si>
  <si>
    <t>Cell-free DNA (cfDNA) and Exosome Profiling from a Year-Long Human Spaceflight Reveals Circulating Biomarkers</t>
  </si>
  <si>
    <t>EXTRACELLULAR VESICLES; DEGRADATION; SECRETION; UBIQUITIN; DISTINCT</t>
  </si>
  <si>
    <t>Liquid biopsies based on cell-free DNA (cfDNA) or exosomes provide a noninvasive approach to monitor human health and disease but have not been utilized for astronauts. Here, we profile cfDNA characteristics, including fragment size, cellular deconvolution, and nucleosome positioning, in an astronaut during a year-long mission on the International Space Station, compared to his identical twin on Earth and healthy donors. We observed a significant increase in the proportion of cell-free mitochondrial DNA (cf-mtDNA) inflight, and analysis of post-flight exosomes in plasma revealed a 30-fold increase in circulating exosomes and patient-specific protein cargo (including brain-derived peptides) after the yearlong mission. This longitudinal analysis of astronaut cfDNA during spaceflight and the exosome profiles highlights their utility for astronaut health monitoring, as well as cf-mtDNA levels as a potential biomarker for physiological stress or immune system responses related to microgravity, radiation exposure, and the other unique environmental conditions of spaceflight.</t>
  </si>
  <si>
    <t>[Bezdan, Daniela; Grigorev, Kirill; Meydan, Cem; MacKay, Matthew; Afshinnekoo, Ebrahim; Westover, Craig; Butler, Daniel; Mozsary, Chris; Donahoe, Timothy; Foox, Jonathan; Mason, Christopher E.] Weill Cornell Med, Dept Physiol &amp; Biophys, 1305 York Ave,Y13-05, New York, NY 10021 USA; [Vatter, Fanny A. Pelissier; Cioffi, Michele; Lucotti, Serena; Matei, Irina; Lyden, David C.] Weill Cornell Med Coll, Childrens Canc &amp; Blood Fdn Labs, Meyer Canc Ctr, Dept Pediat,Drukier Inst Childrens Hlth, New York, NY USA; [Vatter, Fanny A. Pelissier; Cioffi, Michele; Lucotti, Serena; Matei, Irina; Lyden, David C.] Weill Cornell Med Coll, Childrens Canc &amp; Blood Fdn Labs, Meyer Canc Ctr, Dept Cell &amp; Dev Biol,Drukier Inst Childrens Hlth, New York, NY USA; [Rao, Varsha; Mishra, Tejaswini; Snyder, Michael P.] Stanford Univ, Dept Genet, Sch Med, Stanford, CA 94305 USA; [Nakahira, Kiichi] Nara Med Univ, Kashihara, Nara, Japan; [Burnham, Philip] Univ Penn, Dept Bioengn, Philadelphia, PA 19104 USA; [Meydan, Cem; Afshinnekoo, Ebrahim; Mason, Christopher E.] Weill Cornell Med, HRH Prince Alwaleed Bin Talal Bin Abdulaziz Alsau, New York, NY 10065 USA; [Meydan, Cem; Afshinnekoo, Ebrahim; Mason, Christopher E.] Weill Cornell Med, WorldQuant Initiat Quantitat Predict, New York, NY 10065 USA; [Rana, Brinda K.] Univ Calif San Diego, Dept Psychiat, La Jolla, CA 92093 USA; [Melnick, Ari M.; Garrett-Bakelman, Francine E.] Weill Cornell Med, Dept Med, New York, NY USA; [Zhang, Haiying; Kelsen, David; Yu, Kenneth] Mem Sloan Kettering Canc Ctr, Dept Med, 1275 York Ave, New York, NY 10021 USA; [Taylor, Lynn; Bailey, Susan M.] Colorado State Univ, Dept Environm &amp; Radiol Hlth Sci, Ft Collins, CO 80523 USA; [Garrett-Bakelman, Francine E.] Univ Virginia, Sch Med, Dept Med, Charlottesville, VA 22908 USA; [Garrett-Bakelman, Francine E.] Univ Virginia, Sch Med, Dept Biochem &amp; Mol Genet, Charlottesville, VA 22908 USA; [Garrett-Bakelman, Francine E.] Univ Virginia, Canc Ctr, Charlottesville, VA USA; [Ossowski, Stephan] Univ Tubingen, Inst Med Genet &amp; Appl Genom, Tubingen, Germany; [De Vlaminck, Iwijn] Cornell Univ, Nancy E &amp; Peter C Meinig Sch Biomed Engn, Ithaca, NY USA; [Mason, Christopher E.] Weill Cornell Med, Feil Family Brain &amp; Mind Res Inst, New York, NY 10065 USA; [Bezdan, Daniela] Univ Hosp, Inst Med Virol &amp; Epidemiol Viral Dis, Tubingen, Germany</t>
  </si>
  <si>
    <t>Cornell University; Cornell University; Cornell University; Stanford University; Nara Medical University; University of Pennsylvania; Cornell University; Cornell University; University of California System; University of California San Diego; Cornell University; Memorial Sloan Kettering Cancer Center; Colorado State University; University of Virginia; University of Virginia; University of Virginia; Eberhard Karls University of Tubingen; Cornell University; Cornell University; Eberhard Karls University of Tubingen; EBERHARD KARLS UNIVERSITY HOSPITAL</t>
  </si>
  <si>
    <t>Mason, CE (corresponding author), Weill Cornell Med, Dept Physiol &amp; Biophys, 1305 York Ave,Y13-05, New York, NY 10021 USA.;Mason, CE (corresponding author), Weill Cornell Med, HRH Prince Alwaleed Bin Talal Bin Abdulaziz Alsau, New York, NY 10065 USA.;Mason, CE (corresponding author), Weill Cornell Med, WorldQuant Initiat Quantitat Predict, New York, NY 10065 USA.;Mason, CE (corresponding author), Weill Cornell Med, Feil Family Brain &amp; Mind Res Inst, New York, NY 10065 USA.</t>
  </si>
  <si>
    <t>chm2042@med.cornell.edu</t>
  </si>
  <si>
    <t>Mishra, Tejaswini/D-3528-2018; BEZDAN, DANIELA/H-2259-2015</t>
  </si>
  <si>
    <t>Mishra, Tejaswini/0000-0001-9931-1260; BEZDAN, DANIELA/0000-0002-1203-8239; Cioffi, Michele/0000-0003-4180-5369; Butler, Daniel J./0000-0002-3687-8419; Burnham, Philip/0000-0002-9017-0403; Grigorev, Kirill/0000-0003-3628-0123; , Kiichi/0000-0003-4871-0178</t>
  </si>
  <si>
    <t>10.1016/j.isci.2020.101844</t>
  </si>
  <si>
    <t>WOS:000600670000087</t>
  </si>
  <si>
    <t>Lewis, JM; Vyas, AD; Qiu, YQ; Messer, KS; White, R; Heller, MJ</t>
  </si>
  <si>
    <t>Lewis, Jean M.; Vyas, Ankit D.; Qiu, Yuqi; Messer, Karen S.; White, Rebekah; Heller, Michael J.</t>
  </si>
  <si>
    <t>Integrated Analysis of Exosomal Protein Biomarkers on Alternating Current Electrokinetic Chips Enables Rapid Detection of Pancreatic Cancer in Patient Blood</t>
  </si>
  <si>
    <t>exosome; biomarkers; pancreatic cancer; cancer diagnostics; colon cancer; whole blood; glypican-1</t>
  </si>
  <si>
    <t>TUMOR-DERIVED EXOSOMES; EXTRACELLULAR VESICLES; COLORECTAL-CANCER; BREAST-CANCER; GLYPICAN-1; PLASMA; DNA; GROWTH; MICROVESICLES; DIAGNOSIS</t>
  </si>
  <si>
    <t>Pancreatic ductal adenocarcinoma (PDAC) typically has nonspecific symptoms and is often found too late to treat. Because diagnosis of PDAC involves complex, invasive, and expensive procedures, screening populations at increased risk will depend on developing rapid, sensitive, specific, and cost-effective tests. Exosomes, which are nanoscale vesicles shed into blood from tumors, have come into focus as valuable entities for noninvasive liquid biopsy diagnostics. However, rapid capture and analysis of exosomes with their protein and other biomarkers have proven difficult. Here, we present a simple method integrating capture and analysis of exosomes and other extracellular vesicles directly from whole blood, plasma, or serum onto an AC electrokinetic microarray chip. In this process, no pretreatment or dilution of sample is required, nor is it necessary to use capture antibodies or other affinity techniques. Subsequent on-chip immunofluorescence analysis permits specific identification and quantification of target biomarkers within as little as 30 min total time. In this initial validation study, the biomarkers glypican-1 and CD63 were found to reflect the presence of PDAC and thus were used to develop a bivariate model for detecting PDAC. Twenty PDAC patient samples could be distinguished from 11 healthy subjects with 99% sensitivity and 82% specificity. In a smaller group of colon cancer patient samples, elevated glypican-1 was observed for metastatic but not for nonmetastatic disease. The speed and simplicity of ACE exosome capture and on-chip biomarker detection, combined with the ability to use whole blood, will enable seamless sample-to-answer liquid biopsy screening and improve early stage cancer diagnostics.</t>
  </si>
  <si>
    <t>[Lewis, Jean M.; Vyas, Ankit D.; Heller, Michael J.] Univ Calif San Diego, Dept NanoEngn, La Jolla, CA 92093 USA; [Messer, Karen S.; White, Rebekah] Univ Calif San Diego, Moores Canc Ctr, La Jolla, CA 92093 USA; [Qiu, Yuqi; Messer, Karen S.] Univ Calif San Diego, Dept Family Med &amp; Publ Hlth, Div Biostat &amp; Bioinformat, La Jolla, CA 92093 USA; [White, Rebekah] Univ Calif San Diego, Dept Surg, La Jolla, CA 92093 USA; [Heller, Michael J.] OHSU Sch Med, Ctr Early Detect &amp; Res, Portland, OR 97239 USA</t>
  </si>
  <si>
    <t>University of California System; University of California San Diego; University of California System; University of California San Diego; University of California System; University of California San Diego; University of California System; University of California San Diego; Oregon Health &amp; Science University</t>
  </si>
  <si>
    <t>Lewis, JM; Heller, MJ (corresponding author), Univ Calif San Diego, Dept NanoEngn, La Jolla, CA 92093 USA.;Heller, MJ (corresponding author), OHSU Sch Med, Ctr Early Detect &amp; Res, Portland, OR 97239 USA.</t>
  </si>
  <si>
    <t>jeanlewis@ucsd.edu; mheller@ucsd.edu</t>
  </si>
  <si>
    <t>10.1021/acsnano.7b08199</t>
  </si>
  <si>
    <t>WOS:000431088200027</t>
  </si>
  <si>
    <t>Qiao, B; Guo, QQ; Jiang, JQ; Qi, YL; Zhang, H; He, BS; Cai, CX; Shen, J</t>
  </si>
  <si>
    <t>Qiao, Bin; Guo, Qunqun; Jiang, Juqian; Qi, Yunlong; Zhang, Hui; He, Bangshun; Cai, Chenxin; Shen, Jian</t>
  </si>
  <si>
    <t>An electrochemiluminescent aptasensor for amplified detection of exosomes from breast tumor cells (MCF-7 cells) based on G-quadruplex/hemin DNAzymes</t>
  </si>
  <si>
    <t>HYBRIDIZATION CHAIN-REACTION; ELECTROCHEMICAL DETECTION; EXTRACELLULAR VESICLES; SENSITIVE DETECTION; LABEL-FREE; DNA; AMPLIFICATION; QUANTIFICATION; NANOPARTICLES; BIOSENSOR</t>
  </si>
  <si>
    <t>Exosomes are non-invasive biomarkers for cancer diagnosis. Herein, we describe an electrochemiluminescent (ECL) aptasensor for the detection of exosomes from breast tumor cells. Mercaptopropionic acid (MPA)-modified Eu3+-doped CdS nanocrystals (MPA-CdS:Eu NCs) and H2O2 were used as ECL emitters and coreactant, respectively. The exosomes are recognized and captured by the CD63 aptamer, and then form a G-quadruplex/hemin DNAzyme, which efficiently catalyzes the decomposition of H2O2, resulting in the decreased ECL signal of MPA-CdS: Eu NCs. The exosomes from breast tumor cells (MCF-7 cells) can be detected in the range of 3.4 x 10(5) to 1.7 x 10(8) particles per mL. The limit of detection (LOD) was estimated to be 7.41 x 10(4) particles per mL at a signal-to-noise ratio of 3. The aptasensor has been successfully used to detect exosomes in the serum.</t>
  </si>
  <si>
    <t>[Qiao, Bin; Guo, Qunqun; Jiang, Juqian; Qi, Yunlong; Zhang, Hui; Cai, Chenxin; Shen, Jian] Nanjing Normal Univ, Jiangsu Key Lab Biomed Mat,Jiangsu Key Lab New Po, Jiangsu Collaborat Innovat Ctr Biomed Ilinct Mat, Natl &amp; Local Joint Engn Res Ctr Biomed Funct Mat, Nanjing 210023, Jiangsu, Peoples R China; [He, Bangshun] Nanjing Med Univ, Gen Clin Res Ctr, Nanjing Hosp 1, Nanjing 210006, Jiangsu, Peoples R China</t>
  </si>
  <si>
    <t>Nanjing Normal University; Nanjing Medical University</t>
  </si>
  <si>
    <t>Zhang, H; Shen, J (corresponding author), Nanjing Normal Univ, Jiangsu Key Lab Biomed Mat,Jiangsu Key Lab New Po, Jiangsu Collaborat Innovat Ctr Biomed Ilinct Mat, Natl &amp; Local Joint Engn Res Ctr Biomed Funct Mat, Nanjing 210023, Jiangsu, Peoples R China.;He, BS (corresponding author), Nanjing Med Univ, Gen Clin Res Ctr, Nanjing Hosp 1, Nanjing 210006, Jiangsu, Peoples R China.</t>
  </si>
  <si>
    <t>zhangh@njnu.edu.cn; hebangshun@163.com; jshen@njnu.edu.cn</t>
  </si>
  <si>
    <t>Shen, Jian/ABC-5878-2021; Zhang, Hui/AAI-6868-2020</t>
  </si>
  <si>
    <t>10.1039/c9an00181f</t>
  </si>
  <si>
    <t>WOS:000474061200025</t>
  </si>
  <si>
    <t>Haque, S; Sinha, N; Ranjit, S; Midde, NM; Kashanchi, F; Kumar, S</t>
  </si>
  <si>
    <t>Haque, Sanjana; Sinha, Namita; Ranjit, Sabina; Midde, Narasimha M.; Kashanchi, Fatah; Kumar, Santosh</t>
  </si>
  <si>
    <t>Monocyte-derived exosomes upon exposure to cigarette smoke condensate alter their characteristics and show protective effect against cytotoxicity and HIV-1 replication</t>
  </si>
  <si>
    <t>LC-MS/MS METHOD; OXIDATIVE STRESS; ANTIRETROVIRAL THERAPY; TOBACCO SMOKING; DNA-DAMAGE; CONCURRENT DETERMINATION; EXTRACELLULAR VESICLES; NICOTINE METABOLITES; DELIVERY VEHICLES; HEALTH-RISKS</t>
  </si>
  <si>
    <t>Smoking is known to exacerbate HIV-1 pathogenesis, especially in monocytes, through the oxidative stress pathway. Exosomes are known to alter HIV-1 pathogenesis through inter-cellular communication. However, the role of exosomes in smoking-mediated HIV-1 pathogenesis is unknown. In this study, we investigated the effect of cigarette smoke condensate (CSC) on the characteristics of monocyte-derived exosomes and their influence on HIV-1 replication. Initially, we demonstrated that CSC reduced total protein and antioxidant capacity in exosomes derived from HIV-1-infected and uninfected macrophages. The exosomes from CSC-treated uninfected cells showed a protective effect against cytotoxicity and viral replication in HIV-1-infected macrophages. However, exosomes derived from HIV-1-infected cells lost their protective capacity. The results suggest that the exosomal defense is likely to be more effective during the early phase of HIV-1 infection and diminishes at the latter phase. Furthermore, we showed CSC-mediated upregulation of catalase in exosomes from uninfected cells, with a decrease in the levels of catalase and PRDX6 in exosomes derived from HIV-1-infected cells. These results suggest a potential role of antioxidant enzymes, which are differentially packaged into CSC-exposed HIV-1-infected and uninfected cell-derived exosomes, on HIV-1 replication of recipient cells. Overall, our study suggests a novel role of exosomes in tobacco-mediated HIV-1 pathogenesis.</t>
  </si>
  <si>
    <t>[Haque, Sanjana; Sinha, Namita; Ranjit, Sabina; Midde, Narasimha M.; Kumar, Santosh] Univ Tennessee, Hlth Sci Ctr, Coll Pharm, Dept Pharmaceut Sci, Memphis, TN 38163 USA; [Kashanchi, Fatah] George Mason Univ, Lab Mol Virol, Manassas, VA 20110 USA</t>
  </si>
  <si>
    <t>University of Tennessee System; University of Tennessee Health Science Center; George Mason University</t>
  </si>
  <si>
    <t>Kumar, S (corresponding author), Univ Tennessee, Hlth Sci Ctr, Coll Pharm, Dept Pharmaceut Sci, Memphis, TN 38163 USA.</t>
  </si>
  <si>
    <t>ksantosh@uthsc.edu</t>
  </si>
  <si>
    <t>ranjit, sabina/ABE-5008-2021</t>
  </si>
  <si>
    <t>Haque, Sanjana/0000-0003-1469-6232</t>
  </si>
  <si>
    <t>NOV 23</t>
  </si>
  <si>
    <t>10.1038/s41598-017-16301-9</t>
  </si>
  <si>
    <t>WOS:000416129200032</t>
  </si>
  <si>
    <t>Ronquist, GK; Larsson, A; Ronquist, G; Isaksson, A; Hreinsson, J; Carlsson, L; Stavreus-Evers, A</t>
  </si>
  <si>
    <t>Ronquist, Goran K.; Larsson, Anders; Ronquist, Gunnar; Isaksson, Anders; Hreinsson, Julius; Carlsson, Lena; Stavreus-Evers, Anneli</t>
  </si>
  <si>
    <t>Prostasomal DNA Characterization and Transfer Into Human Sperm</t>
  </si>
  <si>
    <t>HUMAN SEMINAL PLASMA; EXTRACELLULAR ORGANELLES PROSTASOMES; HUMAN SEMEN; ENRICHED MICRODOMAINS; MEMBRANE-FUSION; SPERMATOZOA; VESICLES; PREGNANCY; CELLS; MOUSE</t>
  </si>
  <si>
    <t>Human prostasomes, exosome-like microvesicles secreted by acinar cells of the prostate gland, contain chromosomal DNA. Agarose gel electrophoresis of DNA from seminal prostasomes displayed fragments of over 12 kb and smaller, with a distinct band around 1 kb that was excised, cloned, and sequenced. The sequences showed 8 out of 25 clones (32%) originating from genes. We elaborated the concept further by carrying out a genome-wide DNA copy number analysis of prostasomal DNA, hypothesizing that human prostasomes contain fragments of DNA randomly selected from the entire genome. Acridine orange-stained prostasomes were incubated with freshly prepared sperm for different times, and a transfer of acridine orange-stained prostasomal DNA to sperm (preferentially the head region) was observed. Fluorescence microscopy of slices in the center of 14 optical slides of the sperm head displayed an even fluorescence rather than a halo-like one, indicating DNA-uptake rather than just binding along the sperm head membrane. Mol. Reprod. Dev. 78: 467-476, 2011. (C) 2011 Wiley-Liss, Inc.</t>
  </si>
  <si>
    <t>[Ronquist, Goran K.; Larsson, Anders; Ronquist, Gunnar; Carlsson, Lena] Uppsala Univ, Dept Med Sci, S-75185 Uppsala, Sweden; [Isaksson, Anders] Uppsala Univ, Dept Med Sci Canc Pharmacol &amp; Informat, S-75185 Uppsala, Sweden; [Hreinsson, Julius; Stavreus-Evers, Anneli] Uppsala Univ, Dept Womens &amp; Childrens Hlth, S-75185 Uppsala, Sweden</t>
  </si>
  <si>
    <t>Uppsala University; Uppsala University; Uppsala University</t>
  </si>
  <si>
    <t>Larsson, A (corresponding author), Uppsala Univ, Dept Med Sci, S-75185 Uppsala, Sweden.</t>
  </si>
  <si>
    <t>Isaksson, Anders/0000-0001-6576-7825; Ronquist, Goran/0000-0001-5885-8067</t>
  </si>
  <si>
    <t>10.1002/mrd.21327</t>
  </si>
  <si>
    <t>WOS:000293457500004</t>
  </si>
  <si>
    <t>Nazarenko, I</t>
  </si>
  <si>
    <t>Schaffner, F; Merlin, JL; VonBubnoff, N</t>
  </si>
  <si>
    <t>Nazarenko, Irina</t>
  </si>
  <si>
    <t>Extracellular Vesicles: Recent Developments in Technology and Perspectives for Cancer Liquid Biopsy</t>
  </si>
  <si>
    <t>TUMOR LIQUID BIOPSIES</t>
  </si>
  <si>
    <t>Recent Results in Cancer Research</t>
  </si>
  <si>
    <t>DOUBLE-STRANDED DNA; PROSTATE-CANCER; PROTEOMIC ANALYSIS; EXOSOME SECRETION; APOPTOTIC BODIES; LARGE ONCOSOMES; SERUM EXOSOMES; MESSENGER-RNA; EMERGING ROLE; TUMOR-GROWTH</t>
  </si>
  <si>
    <t>[Nazarenko, Irina] Univ Freiburg, Inst Infect Prevent &amp; Hosp Epidemiol, Med Ctr, Fac Med, D-79106 Freiburg, Germany; [Nazarenko, Irina] German Canc Consortium DKTK, German Canc Res Ctr DKFZ, Partner Site Freiburg, Heidelberg, Germany</t>
  </si>
  <si>
    <t>Nazarenko, I (corresponding author), Univ Freiburg, Inst Infect Prevent &amp; Hosp Epidemiol, Med Ctr, Fac Med, D-79106 Freiburg, Germany.</t>
  </si>
  <si>
    <t>0080-0015</t>
  </si>
  <si>
    <t>2197-6767</t>
  </si>
  <si>
    <t>978-3-030-26439-0; 978-3-030-26438-3</t>
  </si>
  <si>
    <t>10.1007/978-3-030-26439-0_17</t>
  </si>
  <si>
    <t>10.1007/978-3-030-26439-0</t>
  </si>
  <si>
    <t>WOS:000562810500017</t>
  </si>
  <si>
    <t>Wang, B; Han, SS</t>
  </si>
  <si>
    <t>Wang, Bo; Han, Shuangshuang</t>
  </si>
  <si>
    <t>Modified Exosomes Reduce Apoptosis and Ameliorate Neural Deficits Induced by Traumatic Brain Injury</t>
  </si>
  <si>
    <t>ASAIO JOURNAL</t>
  </si>
  <si>
    <t>traumatic brain injury; apoptosis; exosome; gene therapy</t>
  </si>
  <si>
    <t>BCL-2; GENE; DELIVERY; THERAPY; BAX; OVEREXPRESSION; MITOCHONDRIA; VECTORS; SIRNA; DNA</t>
  </si>
  <si>
    <t>Apoptosis contributes to the pathogenesis of traumatic brain injury (TBI). Engineered exosomes incorporated with therapeutic nuclear acids have been explored for gene therapy for human diseases. The current study sought to investigate the effect of modified exosome-containing plasmids expressing B-cell lymphoma-2 (Bcl-2) and Bcl-2-associated X-protein (Bax) short hairpin RNA (shRNA) on apoptosis and neural functions after TBI. C57BL/6J mice were subjected to controlled cortical impact injury and were treated with the modified exosomes. The results showed that modified exosomes attenuated the decrease of myeloid cell leukemia-1 (Mcl-1), X-linked inhibitor of apoptosis protein (XIAP), and Survivin protein levels in the brain and reduced Cytochrome c release from mitochondria to cytosol after TBI. They also attenuated the impairments of miniature excitatory postsynaptic current (mEPSC) and long-term potentiation (LTP) in the hippocampus of TBI mice and improved the motor and cognitive behaviors after TBI. These results suggested that the modified exosomes might reduce apoptosis and ameliorate neural and functional deficits in mouse models of TBI.</t>
  </si>
  <si>
    <t>[Wang, Bo] Cangzhou Cent Hosp, Emergency Dept, 16 Xinhua West Rd, Cangzhou 061001, Hebei, Peoples R China; [Han, Shuangshuang] Cangzhou Med Coll, Cangzhou, Hebei, Peoples R China</t>
  </si>
  <si>
    <t>Wang, B (corresponding author), Cangzhou Cent Hosp, Emergency Dept, 16 Xinhua West Rd, Cangzhou 061001, Hebei, Peoples R China.</t>
  </si>
  <si>
    <t>wangbo6292@126.com</t>
  </si>
  <si>
    <t>1058-2916</t>
  </si>
  <si>
    <t>1538-943X</t>
  </si>
  <si>
    <t>MAR-APR</t>
  </si>
  <si>
    <t>10.1097/MAT.0000000000000810</t>
  </si>
  <si>
    <t>Engineering, Biomedical; Transplantation</t>
  </si>
  <si>
    <t>Engineering; Transplantation</t>
  </si>
  <si>
    <t>WOS:000460295000015</t>
  </si>
  <si>
    <t>Singh, N; Huang, L; Wang, DB; Shao, N; Zhang, XE</t>
  </si>
  <si>
    <t>Singh, Netrapal; Huang, Lin; Wang, Dian-Bing; Shao, Nan; Zhang, Xian-En</t>
  </si>
  <si>
    <t>Simultaneous Detection of a Cluster of Differentiation Markers on Leukemia-Derived Exosomes by Multiplex Immuno-Polymerase Chain Reaction via Capillary Electrophoresis Analysis</t>
  </si>
  <si>
    <t>PCR; BIOMARKERS; EXPRESSION; ANTIGENS; CD117</t>
  </si>
  <si>
    <t>Acute myeloid leukemia (AML) is a heterogeneous disease, and there are critical interests in detecting multiple biomarkers as a single biomarker detection cannot reflect the exact phase of the disease. Exosomes derived from different types of AML cells contain respective combinations of cluster of differentiation (CD) markers that may be used to guide the molecular typing of AML in the clinic. Here, aiming to build more precise molecular typing of AML, we demonstrate multiplex immuno-PCR (mI-PCR) assay for simultaneous detection of multiple surface CDs on exosomes of AML via capillary electrophoresis with laser-induced fluorescence (CE-LIF). This method comprises of four steps: (1) chemical attachment of reporter DNA sequence to the specific detection antibodies, (2) binding of the detection antibodies to their targets on the exosomes, (3) DNA amplification of the reporter DNA, and (4) capillary electrophoresis analysis of the PCR products. With the method, we first realized simultaneous detection of five target CD molecules (CD9, CD34, c-Kit/CD117, CD123, and FLT-3/CD135) on leukemia cell-derived exosomes with high detection sensitivity. The limit of detection (LOD) and limit of quantification (LOQ) are 2.41 +/- 0.04 particles/mu L and 8.02 +/- 0.16 particles/mu L, respectively, for leukemia cellderived exosomes. This mI-PCR is found sensitive enough to detect picogram (10(-12)) levels of protein concentrations with high recovery (95%) in spiked serum sample experiments. We thus anticipate that the proposed method is promising in sensitive detection of multitargets to assist in the precise molecular typing of many complex diseases.</t>
  </si>
  <si>
    <t>[Singh, Netrapal; Huang, Lin; Wang, Dian-Bing; Shao, Nan; Zhang, Xian-En] Chinese Acad Sci, CAS Ctr Biol Macromol, Inst Biophys, Natl Key Lab Biomacromol, Beijing 100101, Peoples R China; [Singh, Netrapal; Zhang, Xian-En] Chinese Acad Sci, Inst Synthet Biol, Shenzhen Inst Adv Technol, Shenzhen 518055, Peoples R China; [Zhang, Xian-En] Univ Chinese Acad Sci, Beijing 100049, Peoples R China</t>
  </si>
  <si>
    <t>Chinese Academy of Sciences; Institute of Biophysics, CAS; Chinese Academy of Sciences; Shenzhen Institute of Advanced Technology, CAS; Chinese Academy of Sciences; University of Chinese Academy of Sciences, CAS</t>
  </si>
  <si>
    <t>Zhang, XE (corresponding author), Chinese Acad Sci, CAS Ctr Biol Macromol, Inst Biophys, Natl Key Lab Biomacromol, Beijing 100101, Peoples R China.;Zhang, XE (corresponding author), Chinese Acad Sci, Inst Synthet Biol, Shenzhen Inst Adv Technol, Shenzhen 518055, Peoples R China.;Zhang, XE (corresponding author), Univ Chinese Acad Sci, Beijing 100049, Peoples R China.</t>
  </si>
  <si>
    <t>zhangxe@ibp.ac.cn</t>
  </si>
  <si>
    <t>Wang, Dian-Bing/0000-0001-6225-7010; Singh, Netrapal/0000-0001-6762-1707; Zhang, Xian-En/0000-0003-1347-3168</t>
  </si>
  <si>
    <t>AUG 4</t>
  </si>
  <si>
    <t>10.1021/acs.analchem.0c01464</t>
  </si>
  <si>
    <t>WOS:000558761500050</t>
  </si>
  <si>
    <t>Kulkarni, HM; Swamy, CVB; Jagannadham, MV</t>
  </si>
  <si>
    <t>Kulkarni, Heramb M.; Swamy, Ch V. B.; Jagannadham, Medicharla V.</t>
  </si>
  <si>
    <t>Molecular Characterization and Functional Analysis of Outer Membrane Vesicles from the Antarctic Bacterium Pseudomonas syringae Suggest a Possible Response to Environmental Conditions</t>
  </si>
  <si>
    <t>outer membrane vesicles; proteomics; lipidomics; Antarctic bacterium; MALDI-TOF/TOF; ESI-MS/MS; antibiotic activity; OMV biogenesis</t>
  </si>
  <si>
    <t>PSYCHROTOLERANT BACTERIUM; ANTIBIOTIC-RESISTANCE; AERUGINOSA PAO1; BETA-LACTAMASE; LIPOPOLYSACCHARIDE; STRESS; PROTEOMICS; RELEASE; DNA; IDENTIFICATION</t>
  </si>
  <si>
    <t>Outer membrane vesicles (OMVs) of Gram-negative bacteria form an important aspect of bacterial physiology as they are involved in various functions essential for their survival. The OMVs of the Antarctic bacterium Pseudomonas syringae Lz4W were isolated, and the proteins and lipids they contain were identified. The matrix-assisted laser desorption/ionization time of flight (MALDI-TOF/TOF) analysis revealed that phosphatidylethanolamines and phosphatidylglycerols are the main lipid components. The proteins of these vesicles were identified by separating them by one-dimensional gel electrophoresis and liquid chromatography coupled to electrospray ionization tandem mass spectrometry (ESI-MS/MS). They are composed of outer membrane and periplasmic proteins according to the subcellular localization predictions by Psortb v.3 and Cello V2.5. The functional annotation and gene ontology of these proteins provided hints for various functions attributed to OMVs and suggested a potential mechanism to respond to the extracellular environmental changes. The OMVs were found to protect the producer organism against the membrane active antibiotics colistin and melittin but not from streptomycin. The 1-N-phenylnapthylamine (NPN)-uptake assay revealed that the OMVs protect the bacterium from membrane active antibiotics by scavenging them and also showed that membrane and protein packing of the OMVs was similar to the parent bacterium. The sequestering depends on the composition and organization of lipids and proteins in the OMVs.</t>
  </si>
  <si>
    <t>[Kulkarni, Heramb M.; Swamy, Ch V. B.; Jagannadham, Medicharla V.] Ctr Cellular &amp; Mol Biol, CSIR, Hyderabad 500007, Andhra Pradesh, India</t>
  </si>
  <si>
    <t>Council of Scientific &amp; Industrial Research (CSIR) - India; CSIR - Centre for Cellular &amp; Molecular Biology (CCMB)</t>
  </si>
  <si>
    <t>Jagannadham, MV (corresponding author), Ctr Cellular &amp; Mol Biol, CSIR, Hyderabad 500007, Andhra Pradesh, India.</t>
  </si>
  <si>
    <t>jagan@ccmb.res.in</t>
  </si>
  <si>
    <t>Jagannadham, Medicharla V. V./AAW-6773-2021</t>
  </si>
  <si>
    <t>10.1021/pr4009223</t>
  </si>
  <si>
    <t>WOS:000332756300017</t>
  </si>
  <si>
    <t>Rocca, A; Martelli, F; Delbue, S; Ferrante, P; Bartolozzi, D; Azzi, A; Giannecchini, S</t>
  </si>
  <si>
    <t>Rocca, Arianna; Martelli, Francesco; Delbue, Serena; Ferrante, Pasquale; Bartolozzi, Dario; Azzi, Alberta; Giannecchini, Simone</t>
  </si>
  <si>
    <t>The JCPYV DNA load inversely correlates with the viral microrna expression in blood and cerebrospinal fluid of patients at risk of PML</t>
  </si>
  <si>
    <t>HIV; JCPyV; MicroRNA expression; Exosomes; PML</t>
  </si>
  <si>
    <t>PROGRESSIVE MULTIFOCAL LEUKOENCEPHALOPATHY; HUMAN POLYOMAVIRUSES; MIRNA; REPLICATION; STRAINS; JCV</t>
  </si>
  <si>
    <t>Background: In light of their regulatory role, changes in the expression of Polyomavirus JC (JCPyV) microRNAs may be relevant for virus reactivation and the development of progressive multifocal leukoencephalopathy (PML). Objectives: To investigate the presence of JCPyV-DNA and JCPyV microRNA expression in clinical specimens of patients at risk for PML. Study design: The JCPyV-DNA and microRNA status was assessed in peripheral blood mononuclear cells (PBMCs) and plasma from 100 HIV patients, in serum and cerebrospinal fluid (CSF) from 14 HIV PML patients and in PBMCs and plasma from 50 healthy controls using Multiplex real-time PCR and JCPyV miRNA-J1-3p and -5p stem-loop RT-PCR. The JCPyV-DNA microRNA-expressing region was also sequenced. Results: A positive JCPyV-DNA status was more prevalent in HIV patients (67%, 67/100) compared to healthy controls (18%, 9/50). Among these, 46% and 42% of the HIV patients and 18% and 0% of the healthy controls were positive based on PBMC and plasma determinations, respectively. PBMC JCPyV microRNA positivity was observed in 22 out of 46 (48%) JCPyV+HIV patients and in 3 out of 9 (33%) JCPyV+healthy controls. Moreover, JCPyV microRNAs in exosomes were found in 6 out of 100 (6%) HIV plasma samples, in 12 out of 50 (24%) healthy samples, in 6 out of 14 (43%) serum samples, and in 3 out of 5 (60%) HIV PML CSF samples. Of note, the JCPyV-DNA load was inversely correlated with expression of the viral microRNA. The JCPyV microRNA genomic expression region showed a different combination of three mutations. Conclusions: The low levels of JCPyV microRNA expression in HIV patients with high JCPyV-DNA prevalence observed in this study highlight the potential clinical relevance of JCPyV microRNAs in PML risk assessment. (C) 2015 Elsevier B.V. All rights reserved.</t>
  </si>
  <si>
    <t>[Rocca, Arianna; Martelli, Francesco; Azzi, Alberta; Giannecchini, Simone] Univ Florence, Dipartimento Med Sperimentale &amp; Clin, I-50134 Florence, Italy; [Bartolozzi, Dario] Univ Florence, Infect Dis Unit, Careggi Univ Hosp, I-50134 Florence, Italy; [Delbue, Serena; Ferrante, Pasquale] Univ Milan, Dept Biomed Surg &amp; Dent Sci, I-20122 Milan, Italy</t>
  </si>
  <si>
    <t>University of Florence; University of Florence; Azienda Ospedaliero Universitaria Careggi; University of Milan</t>
  </si>
  <si>
    <t>Giannecchini, S (corresponding author), Univ Florence, Dipartimento Med Sperimentale &amp; Clin, Viale Morgagni 48, I-50134 Florence, Italy.</t>
  </si>
  <si>
    <t>delbue, serena/A-1145-2010; Giannecchini, Simone/K-2136-2016</t>
  </si>
  <si>
    <t>Giannecchini, Simone/0000-0003-3374-7621; Delbue, Serena/0000-0002-3199-9369; Rocca, Arianna/0000-0002-7013-2362; Ferrante, Pasquale/0000-0001-7040-7293</t>
  </si>
  <si>
    <t>10.1016/j.jcv.2015.06.104</t>
  </si>
  <si>
    <t>WOS:000360075100001</t>
  </si>
  <si>
    <t>Gao, H; Jin, ZM; Tang, KC; Ji, YD; Suarez, J; Suarez, JA; Rocha, KCE; Zhang, DH; Dillmann, WH; Mahata, SK; Ying, W</t>
  </si>
  <si>
    <t>Gao, Hong; Jin, Zhongmou; Tang, Kechun; Ji, Yudong; Suarez, Jorge; Suarez, Jorge A.; Rocha, Karina Cunha E.; Zhang, Dinghong; Dillmann, Wolfgang H.; Mahata, Sushil K.; Ying, Wei</t>
  </si>
  <si>
    <t>Microbial DNA Enrichment Promotes Adrenomedullary Inflammation, Catecholamine Secretion, and Hypertension in Obese Mice</t>
  </si>
  <si>
    <t>adrenomedullary inflammation; catecholamine; CRIg plus macrophage; microbial DNA; obesity-induced hypertension</t>
  </si>
  <si>
    <t>SYMPATHETIC-NERVOUS-SYSTEM; CHROMAFFIN CELLS; COMPLEMENT RECEPTOR; ADRENAL-CELLS; WEIGHT-REDUCTION; CRIG; MECHANISMS; PHAGOCYTOSIS; MACROPHAGES; PATHOPHYSIOLOGY</t>
  </si>
  <si>
    <t>Background Obesity is an established risk factor for hypertension. Although obesity-induced gut barrier breach leads to the leakage of various microbiota-derived products into host circulation and distal organs, the roles of microbiota in mediating the development of obesity-associated adrenomedullary disorders and hypertension have not been elucidated. We seek to explore the impacts of microbial DNA enrichment on inducing obesity-related adrenomedullary abnormalities and hypertension. Methods and Results Obesity was accompanied by remarkable bacterial DNA accumulation and elevated inflammation in the adrenal glands. Gut microbial DNA containing extracellular vesicles (mEVs) were readily leaked into the bloodstream and infiltrated into the adrenal glands in obese mice, causing microbial DNA enrichment. In lean wild-type mice, adrenal macrophages expressed CRIg (complement receptor of the immunoglobulin superfamily) that efficiently blocks the infiltration of gut mEVs. In contrast, the adrenal CRIg+ cell population was greatly decreased in obese mice. In lean CRIg(-/-) or C3(-/-) (complement component 3) mice intravenously injected with gut mEVs, adrenal microbial DNA accumulation elevated adrenal inflammation and norepinephrine secretion, concomitant with hypertension. In addition, microbial DNA promoted inflammatory responses and norepinephrine production in rat pheochromocytoma PC12 cells treated with gut mEVs. Depletion of microbial DNA cargo markedly blunted the effects of gut mEVs. We also validated that activation of cGAS (cyclic GMP-AMP synthase)/STING (cyclic GMP-AMP receptor stimulator of interferon genes) signaling is required for the ability of microbial DNA to trigger adrenomedullary dysfunctions in both in vivo and in vitro experiments. Restoring CRIg+ cells in obese mice decreased microbial DNA abundance, inflammation, and hypertension. Conclusions The leakage of gut mEVs leads to adrenal enrichment of microbial DNA that are pathogenic to induce obesity-associated adrenomedullary abnormalities and hypertension. Recovering the CRIg+ macrophage population attenuates obesity-induced adrenomedullary disorders.</t>
  </si>
  <si>
    <t>[Gao, Hong; Ji, Yudong; Suarez, Jorge; Suarez, Jorge A.; Rocha, Karina Cunha E.; Zhang, Dinghong; Dillmann, Wolfgang H.; Mahata, Sushil K.; Ying, Wei] Univ Calif San Diego, Dept Med, Div Endocrinol &amp; Metab, La Jolla, CA 92093 USA; [Jin, Zhongmou] Univ Calif San Diego, Div Biol Sci, La Jolla, CA 92093 USA; [Tang, Kechun; Mahata, Sushil K.] VA San Diego Healthcare Syst, San Diego, CA USA; [Ji, Yudong] Huazhong Univ Sci &amp; Technol, Union Hosp, Tongji Med Coll, Dept Anesthesiol,Inst Anesthesiol &amp; Crit Care, Wuhan, Peoples R China</t>
  </si>
  <si>
    <t>University of California System; University of California San Diego; University of California System; University of California San Diego; US Department of Veterans Affairs; Veterans Health Administration (VHA); VA San Diego Healthcare System; Huazhong University of Science &amp; Technology</t>
  </si>
  <si>
    <t>Mahata, SK; Ying, W (corresponding author), Univ Calif San Diego, Dept Med, 9500 Gilman Dr, La Jolla, CA 92093 USA.</t>
  </si>
  <si>
    <t>smahata@health.ucsd.edu; weying@health.ucsd.edu</t>
  </si>
  <si>
    <t>Mahata, Sushil/0000-0002-8300-9873; zhang, dinghong/0000-0002-6291-0750</t>
  </si>
  <si>
    <t>e024561</t>
  </si>
  <si>
    <t>10.1161/JAHA.121.024561</t>
  </si>
  <si>
    <t>WOS:000755152900002</t>
  </si>
  <si>
    <t>Cossetti, C; Lugini, L; Astrologo, L; Saggio, I; Fais, S; Spadafora, C</t>
  </si>
  <si>
    <t>Cossetti, Cristina; Lugini, Luana; Astrologo, Letizia; Saggio, Isabella; Fais, Stefano; Spadafora, Corrado</t>
  </si>
  <si>
    <t>Soma-to-Germline Transmission of RNA in Mice Xenografted with Human Tumour Cells: Possible Transport by Exosomes</t>
  </si>
  <si>
    <t>GENE-TRANSFER; INHERITANCE; SPERMATOZOA; VESICLES; ORIGIN</t>
  </si>
  <si>
    <t>Mendelian laws provide the universal founding paradigm for the mechanism of genetic inheritance through which characters are segregated and assorted. In recent years, however, parallel with the rapid growth of epigenetic studies, cases of inheritance deviating from Mendelian patterns have emerged. Growing studies underscore phenotypic variations and increased risk of pathologies that are transgenerationally inherited in a non-Mendelian fashion in the absence of any classically identifiable mutation or predisposing genetic lesion in the genome of individuals who develop the disease. Non-Mendelian inheritance is most often transmitted through the germline in consequence of primary events occurring in somatic cells, implying soma-to-germline transmission of information. While studies of sperm cells suggest that epigenetic variations can potentially underlie phenotypic alterations across generations, no instance of transmission of DNA-or RNA-mediated information from somatic to germ cells has been reported as yet. To address these issues, we have now generated a mouse model xenografted with human melanoma cells stably expressing EGFP-encoding plasmid. We find that EGFP RNA is released from the xenografted human cells into the bloodstream and eventually in spermatozoa of the mice. Tumor-released EGFP RNA is associated with an extracellular fraction processed for exosome purification and expressing exosomal markers, in all steps of the process, from the xenografted cancer cells to the spermatozoa of the recipient animals, strongly suggesting that exosomes are the carriers of a flow of information from somatic cells to gametes. Together, these results indicate that somatic RNA is transferred to sperm cells, which can therefore act as the final recipients of somatic cell-derived information.</t>
  </si>
  <si>
    <t>[Cossetti, Cristina; Spadafora, Corrado] Ist Super Sanita, SBGSA, I-00161 Rome, Italy; [Lugini, Luana; Fais, Stefano] Ist Super Sanita, Dept Therapeut Res &amp; Med Evaluat, Unit Antitumor Drugs, I-00161 Rome, Italy; [Astrologo, Letizia; Saggio, Isabella] Univ Roma La Sapienza, Dept Biol &amp; Biotechnol Charles Darwin, I-00185 Rome, Italy</t>
  </si>
  <si>
    <t>Istituto Superiore di Sanita (ISS); Istituto Superiore di Sanita (ISS); Sapienza University Rome</t>
  </si>
  <si>
    <t>Spadafora, C (corresponding author), Ist Super Sanita, SBGSA, Viale Regina Elena 299, I-00161 Rome, Italy.</t>
  </si>
  <si>
    <t>cspadaf@tin.it</t>
  </si>
  <si>
    <t>Cossetti, Cristina/K-5034-2016; Saggio, Isabella/H-2417-2015; Lugini, Luana/J-8672-2016; Fais, Stefano/J-8638-2016</t>
  </si>
  <si>
    <t>Cossetti, Cristina/0000-0002-8809-4149; Lugini, Luana/0000-0002-8778-2601; Fais, Stefano/0000-0001-9060-2766; saggio, isabella/0000-0002-9497-7415</t>
  </si>
  <si>
    <t>e101629</t>
  </si>
  <si>
    <t>10.1371/journal.pone.0101629</t>
  </si>
  <si>
    <t>WOS:000341253400100</t>
  </si>
  <si>
    <t>Hiraga, C; Yamamoto, S; Hashimoto, S; Kasahara, M; Minamisawa, T; Matsumura, S; Katakura, A; Yajima, Y; Nomura, T; Shiba, K</t>
  </si>
  <si>
    <t>Hiraga, Chiho; Yamamoto, Satoshi; Hashimoto, Sadamitsu; Kasahara, Masataka; Minamisawa, Tamiko; Matsumura, Sachiko; Katakura, Akira; Yajima, Yasutomo; Nomura, Takeshi; Shiba, Kiyotaka</t>
  </si>
  <si>
    <t>Pentapartite fractionation of particles in oral fluids by differential centrifugation</t>
  </si>
  <si>
    <t>GROWTH-FACTOR RECEPTOR; SQUAMOUS-CELL CARCINOMA; SALIVARY-GLAND TUMORS; EXTRACELLULAR VESICLES; EGF RECEPTOR; CANCER-CELLS; E-CADHERIN; EXOSOMES; LC3; PROTEIN</t>
  </si>
  <si>
    <t>Oral fluids (OFs) contain small extracellular vesicles (sEVs or exosomes) that carry disease-associated diagnostic molecules. However, cells generate extracellular vesicles (EVs) other than sEVs, so the EV population is quite heterogeneous. Furthermore, molecules not packaged in EVs can also serve as diagnostic markers. For these reasons, developing a complete picture of particulate matter in the oral cavity is important before focusing on specific subtypes of EVs. Here, we used differential centrifugation to fractionate human OFs from healthy volunteers and patients with oral squamous cell carcinoma into 5 fractions, and we characterized the particles, nucleic acids, and proteins in each fraction. Canonical exosome markers, including CD63, CD9, CD133, and HSP70, were found in all fractions, whereas CD81 and AQP5 were enriched in the 160K fraction, with non-negligible amounts in the 2K fraction. The 2K fraction also contained its characteristic markers that included short derivatives of EGFR and E-cadherin, as well as an autophagosome marker, LC3, and large multi-layered vesicles were observed by electronic microscopy. Most of the DNA and RNA was recovered from the 0.3K and 2K fractions, with some in the 160K fraction. These results can provide guideline information for development of purpose-designed OF-based diagnostic systems.</t>
  </si>
  <si>
    <t>[Hiraga, Chiho; Minamisawa, Tamiko; Matsumura, Sachiko; Shiba, Kiyotaka] Japanese Fdn Canc Res, Canc Inst, Div Prot Engn, Koto Ku, Ariake 3-8-31, Tokyo 1358550, Japan; [Hiraga, Chiho; Nomura, Takeshi] Tokyo Dent Coll, Dept Oral Oncol Oral &amp; Maxillofacial Surg, 5-11-13 Sugano, Ichikawa, Chiba 2728513, Japan; [Yamamoto, Satoshi; Kasahara, Masataka] Tokyo Dent Coll, Dept Pharmacol, Chiyoda Ku, 2-1-14 Misaki Cho, Tokyo 1010061, Japan; [Hashimoto, Sadamitsu] Tokyo Dent Coll, Lab Biol, Chiyoda Ku, 2-9-7 Kanda Surugadai, Tokyo 1010062, Japan; [Katakura, Akira] Tokyo Dent Coll, Dept Oral Pathobiol Sci &amp; Surg, Chiyoda Ku, 2-9-18 Misaki Cho, Tokyo 1010061, Japan; [Yajima, Yasutomo] Tokyo Dent Coll, Dept Oral Implantol, Chiyoda Ku, 2-9-18 Misaki Cho, Tokyo 1010061, Japan</t>
  </si>
  <si>
    <t>Japanese Foundation for Cancer Research; Tokyo Dental College; Tokyo Dental College; Tokyo Dental College; Tokyo Dental College; Tokyo Dental College</t>
  </si>
  <si>
    <t>Shiba, K (corresponding author), Japanese Fdn Canc Res, Canc Inst, Div Prot Engn, Koto Ku, Ariake 3-8-31, Tokyo 1358550, Japan.</t>
  </si>
  <si>
    <t>kshiba@jfcr.or.jp</t>
  </si>
  <si>
    <t>Shiba, Kiyotaka/I-9588-2014</t>
  </si>
  <si>
    <t>Shiba, Kiyotaka/0000-0001-6459-0204</t>
  </si>
  <si>
    <t>10.1038/s41598-021-82451-6</t>
  </si>
  <si>
    <t>WOS:000617646300011</t>
  </si>
  <si>
    <t>Cheng, YH; Xie, QH; He, M; Chen, BB; Chen, G; Yin, X; Kang, Q; Xu, Y; Hu, B</t>
  </si>
  <si>
    <t>Cheng, Yuhuan; Xie, Qihui; He, Man; Chen, Beibei; Chen, Gang; Yin, Xiao; Kang, Qi; Xu, Yan; Hu, Bin</t>
  </si>
  <si>
    <t>Sensitive detection of exosomes by gold nanoparticles labeling inductively coupled plasma mass spectrometry based on cholesterol recognition and rolling circle amplification</t>
  </si>
  <si>
    <t>Oral squamous cell carcinoma; Rolling circle amplification; Gold nanoparticles; Inductively coupled plasma mass spectrometry; Cholesterol</t>
  </si>
  <si>
    <t>ASSEMBLIES</t>
  </si>
  <si>
    <t>Exosomes, potential biomarkers for liquid biopsy, provide a promising opportunity for early cancer diagnosis in a noninvasive manner. However, direct analysis of exosomes in complicated biological samples is still challenging. Herein, a cholesterol recognition assay was proposed for detection of exosomes by gold nanoparticles (Au NPs) labeling inductively coupled plasma mass spectrometry. Specifically, exosomes were captured by anti-CD63, and then cholesterol-modified rolling circle amplification product was inserted into the membrane of exosomes for signal amplification. Simultaneously, Au NPs-labelled DNA was prepared for labeling and read-out signal. The proposed method achieved the quantification of the exosome concentration in a range of 10-106 particles/mu L with a limit of detection of 1.5 particles/mu L. The method was applied for the direct detection of exosomes in human serum in a purification-free way, and the analytical result coincided with that obtained by nanoparticle tracking analysis. Real sample analysis manifested that the exosome concentration in the serum of oral squamous cell carcinoma patients was higher than that in the healthy volunteers' serum. The developed method is sensitive, selective, accurate and can be used for the direct detection of exosomes in human serum, providing a new opportunity for exosome-based liquid biopsy in early cancer diagnosis.</t>
  </si>
  <si>
    <t>[Cheng, Yuhuan; He, Man; Chen, Beibei; Yin, Xiao; Kang, Qi; Xu, Yan; Hu, Bin] Wuhan Univ, Dept Chem, Wuhan 430072, Peoples R China; [Xie, Qihui; Chen, Gang] Wuhan Univ, Sch &amp; Hosp Stomatol, State Key Lab Breeding Base Basic Sci Stomatol Hub, Wuhan 430079, Peoples R China; [Xie, Qihui; Chen, Gang] Wuhan Univ, Sch &amp; Hosp Stomatol, Dept Oral &amp; Maxillofacial Surg, Wuhan 430079, Peoples R China; [Xie, Qihui; Chen, Gang] Wuhan Univ, Sch &amp; Hosp Stomatol, Key Lab Oral Biomed Minist Educ, Wuhan 430079, Peoples R China</t>
  </si>
  <si>
    <t>Hu, B (corresponding author), Wuhan Univ, Dept Chem, Wuhan 430072, Peoples R China.</t>
  </si>
  <si>
    <t>binhu@whu.edu.cn</t>
  </si>
  <si>
    <t>10.1016/j.aca.2022.339938</t>
  </si>
  <si>
    <t>WOS:000808280900005</t>
  </si>
  <si>
    <t>He, XL; Li, S; Yin, Y; Xu, JH; Gong, WJ; Li, GC; Qian, L; Yin, YY; He, XQ; Guo, TT; Huang, YZ; Lu, F; Cao, J</t>
  </si>
  <si>
    <t>He, Xinlong; Li, Shuang; Yin, Yi; Xu, Jiahui; Gong, Weijuan; Li, Guocai; Qian, Li; Yin, Yinyan; He, Xiaoqin; Guo, Tingting; Huang, Yuzheng; Lu, Feng; Cao, Jun</t>
  </si>
  <si>
    <t>Membrane Vesicles Are the Dominant Structural Components of Ceftazidime-Induced Biofilm Formation in an Oxacillin-Sensitive MRSA</t>
  </si>
  <si>
    <t>methicillin-resistant Staphylococcus aureus; MRSA; antibiotic resistance; biofilm; membrane vesicle</t>
  </si>
  <si>
    <t>RESISTANT STAPHYLOCOCCUS-AUREUS; METHICILLIN RESISTANCE; SURFACE HYDROPHOBICITY; MECA; EXPRESSION; BACTERIA; IDENTIFICATION; EPIDEMIOLOGY; PREVALENCE; SIGMA(B)</t>
  </si>
  <si>
    <t>Methicillin-resistant Staphylococcus aureus (MRSA) has received increasing attention in recent years. However, the characteristics and relevant mechanisms of biofilm formation in oxacillin-sensitive MRSA (OS-MRSA) are poorly understood. This study was designed to characterize biofilm formation in OS-MRSA BWSA15 in response to ceftazidime (TZ) by comparing the methicillin-sensitive S. aureus (MSSA) strain BWSA23 and the oxacillin-resistant MRSA (OR-MRSA) strain BWSA11. The biofilms and biofilm-forming cells were observed by electron microscopy. Biofilms grown on microtiter plates were chemically decomposed and analyzed by Fourier transform infrared spectroscopy. The transcriptional regulation of genes associated with methicillin resistance, surface adhesion, fatty acid biosynthesis, and global regulation (sigma B) was investigated. A significant increase in biofilm formation ability (10.21-fold) and aggregation ability (2.56-fold) was observed in BWSA15 upon the treatment with TZ (16 mu g/ml). The TZ-induced biofilm formation in BWSA15 was characterized by a disappearance of polysaccharide-like extracellular substances and an appearance of a large number of intercellular MVs from extracellular matrix. Few MVs were identified in the biofilms formed by BWSA11 and BWSA23. There was a significant upregulation of mecA, sigB, and fatty acid biosynthesis-associated genes and downregulation of icaA, icaD, clfA, clfB, and fnaA in BWSA15 upon the treatment with TZ. The formation of intracellular junctions of MVs in the biofilms of BWSA15 was mediated by a significant increase in the proportion of proteins as well as by an increase in the proportion of non-ionized carboxyl groups in fatty acids. This study demonstrated that beta-lactam antibiotics can induce biofilm formation in OS-MRSA, and the biofilm induction in OS-MRSA can mainly be attributed to exposed MVs with increased hydrophobicity rather than polysaccharide intercellular adhesins, cell wall-anchored surface proteins, and extracellular DNA.</t>
  </si>
  <si>
    <t>[He, Xinlong; Li, Shuang; Yin, Yi; Xu, Jiahui; Gong, Weijuan; Li, Guocai; Qian, Li; Yin, Yinyan; Guo, Tingting; Lu, Feng] Yangzhou Univ, Med Coll, Inst Translat Med, Yangzhou, Jiangsu, Peoples R China; [He, Xinlong; He, Xiaoqin; Huang, Yuzheng; Lu, Feng; Cao, Jun] Jiangsu Inst Parasit Dis, NHC Key Lab Parasit Dis Control &amp; Prevent, Jiangsu Prov Key Lab Parasite &amp; Vector Control Te, Wuxi, Peoples R China; [He, Xinlong; Lu, Feng] Yangzhou Univ, Coll Vet Med, Jiangsu Coinnovat Ctr Prevent &amp; Control Important, Yangzhou, Jiangsu, Peoples R China; [He, Xinlong] Third Peoples Hosp Wuxi, Wuxi, Peoples R China; [Lu, Feng] Yangzhou Univ, Jiangsu Key Lab Integrated Tradit Chinese &amp; Weste, Yangzhou, Jiangsu, Peoples R China; [Cao, Jun] Nanjing Med Univ, Ctr Global Hlth, Sch Publ Hlth, Nanjing, Jiangsu, Peoples R China; [Cao, Jun] Jiangnan Univ, Publ Hlth Res Ctr, Wuxi, Peoples R China</t>
  </si>
  <si>
    <t>Yangzhou University; Yangzhou University; Jiangnan University; Yangzhou University; Nanjing Medical University; Jiangnan University</t>
  </si>
  <si>
    <t>Lu, F (corresponding author), Yangzhou Univ, Med Coll, Inst Translat Med, Yangzhou, Jiangsu, Peoples R China.;Lu, F; Cao, J (corresponding author), Jiangsu Inst Parasit Dis, NHC Key Lab Parasit Dis Control &amp; Prevent, Jiangsu Prov Key Lab Parasite &amp; Vector Control Te, Wuxi, Peoples R China.;Lu, F (corresponding author), Yangzhou Univ, Coll Vet Med, Jiangsu Coinnovat Ctr Prevent &amp; Control Important, Yangzhou, Jiangsu, Peoples R China.;Lu, F (corresponding author), Yangzhou Univ, Jiangsu Key Lab Integrated Tradit Chinese &amp; Weste, Yangzhou, Jiangsu, Peoples R China.;Cao, J (corresponding author), Nanjing Med Univ, Ctr Global Hlth, Sch Publ Hlth, Nanjing, Jiangsu, Peoples R China.;Cao, J (corresponding author), Jiangnan Univ, Publ Hlth Res Ctr, Wuxi, Peoples R China.</t>
  </si>
  <si>
    <t>lufencg981@hotmail.com; caojuncn@hotmail.com</t>
  </si>
  <si>
    <t>YIN, Yinyan/GPK-5820-2022; Huang, Yuzheng/AAW-2130-2021; Cao, Jun/AAR-7268-2020; Lu, Feng/AAW-7341-2021</t>
  </si>
  <si>
    <t xml:space="preserve">Cao, Jun/0000-0001-5298-9234; </t>
  </si>
  <si>
    <t>MAR 21</t>
  </si>
  <si>
    <t>10.3389/fmicb.2019.00571</t>
  </si>
  <si>
    <t>WOS:000461848900001</t>
  </si>
  <si>
    <t>Brameyer, S; Plener, L; Muller, A; Klingl, A; Wanner, G; Jung, K</t>
  </si>
  <si>
    <t>Brameyer, Sophie; Plener, Laure; Mueller, Axel; Klingl, Andreas; Wanner, Gerhard; Jung, Kirsten</t>
  </si>
  <si>
    <t>Outer Membrane Vesicles Facilitate Trafficking of the Hydrophobic Signaling Molecule CAI-1 between Vibrio harveyi Cells</t>
  </si>
  <si>
    <t>7th ASM International Conference on the Biology of Vibrios (Vibrio)</t>
  </si>
  <si>
    <t>NOV, 2017</t>
  </si>
  <si>
    <t>Vibrio cholerae; autoinducer; cell-cell communication; quorum sensing</t>
  </si>
  <si>
    <t>QUORUM-SENSING SYSTEMS; GRAM-NEGATIVE BACTERIA; PSEUDOMONAS-AERUGINOSA; STRUCTURAL IDENTIFICATION; LUMINESCENCE SYSTEM; GENE-EXPRESSION; CHOLERAE; HETEROGENEITY; AUTOINDUCERS; ASSOCIATION</t>
  </si>
  <si>
    <t>Many bacteria use extracellular signaling molecules to coordinate group behavior, a process referred to as quorum sensing (QS). However, some QS molecules are hydrophobic in character and are probably unable to diffuse across the bacterial cell envelope. How these molecules are disseminated between bacterial cells within a population is not yet fully understood. Here, we show that the marine pathogen Vibrio harveyi packages the hydrophobic QS molecule CAI-1, a long-chain amino ketone, into outer membrane vesicles. Electron micrographs indicate that outer membrane vesicles of variable size are predominantly produced and released into the surroundings during the stationary phase of V. harveyi, which correlates with the timing of CAI-1-dependent signaling. The large vesicles (diameter, &lt;55 nm) can trigger a QS phenotype in CAI-1-nonproducing V. harveyi and Vibrio cholerae cells. Packaging of CAI-1 into outer membrane vesicles might stabilize the molecule in aqueous environments and facilitate its distribution over distances. IMPORTANCE Formation of membrane vesicles is ubiquitous among bacteria. These vesicles are involved in protein and DNA transfer and offer new approaches for vaccination. Gram-negative bacteria use hydrophobic signaling molecules, among others, for cell-cell communication; however, due to their hydrophobic character, it is unclear how these molecules are disseminated between bacterial cells. Here, we show that the marine pathogen Vibrio harveyi packages one of its QS molecules, the long-chain ketone CAI-1, into outer membrane vesicles (OMVs). Isolated CAI-1-containing vesicles trigger a QS phenotype in CAI-1 nonproducing V. harveyi and also in Vibrio cholerae cells. Packaging of CAI-1 into OMVs not only solubilizes, stabilizes, and concentrates this class of molecules, but facilitate their distribution between bacteria that live in aqueous environments.</t>
  </si>
  <si>
    <t>[Brameyer, Sophie; Plener, Laure; Mueller, Axel; Jung, Kirsten] Ludwig Maximilians Univ Munchen, Dept Biol 1, Munich Ctr Integrated Prot Sci CiPSM, Microbiol, Martinsried, Germany; [Klingl, Andreas; Wanner, Gerhard] Ludwig Maximilians Univ Munchen, Plant Dev, Dept Biol 1, Martinsried, Germany; [Brameyer, Sophie] UCL, London, England; [Plener, Laure] Gene&amp;GreenTK, Marseille, France; [Mueller, Axel] City Hope Natl Med Ctr, Dept Diabet &amp; Canc Discovery Sci, 1500 E Duarte Rd, Duarte, CA 91010 USA</t>
  </si>
  <si>
    <t>University of Munich; University of Munich; University of London; University College London; City of Hope</t>
  </si>
  <si>
    <t>Jung, K (corresponding author), Ludwig Maximilians Univ Munchen, Dept Biol 1, Munich Ctr Integrated Prot Sci CiPSM, Microbiol, Martinsried, Germany.</t>
  </si>
  <si>
    <t>jung@lmu.de</t>
  </si>
  <si>
    <t>Klingl, Andreas/K-6675-2014</t>
  </si>
  <si>
    <t>Brameyer, Sophie/0000-0002-6779-2343; Klingl, Andreas/0000-0001-8414-8317</t>
  </si>
  <si>
    <t>e00740-17</t>
  </si>
  <si>
    <t>10.1128/JB.00740-17</t>
  </si>
  <si>
    <t>WOS:000439047500013</t>
  </si>
  <si>
    <t>Castillo, J; Bernard, V; San Lucas, FA; Allenson, K; Capello, M; Kim, DU; Gascoyne, P; Mulu, FC; Stephens, BM; Huang, J; Wang, H; Momin, AA; Jacamo, RO; Katz, M; Wolff, R; Javle, M; Varadhachary, G; Wistuba, II; Hanash, S; Maitra, A; Alvarez, H</t>
  </si>
  <si>
    <t>Castillo, J.; Bernard, V.; San Lucas, F. A.; Allenson, K.; Capello, M.; Kim, D. U.; Gascoyne, P.; Mulu, F. C.; Stephens, B. M.; Huang, J.; Wang, H.; Momin, A. A.; Jacamo, R. O.; Katz, M.; Wolff, R.; Javle, M.; Varadhachary, G.; Wistuba, I. I.; Hanash, S.; Maitra, A.; Alvarez, H.</t>
  </si>
  <si>
    <t>Surfaceome profiling enables isolation of cancer-specific exosomal cargo in liquid biopsies from pancreatic cancer patients</t>
  </si>
  <si>
    <t>exosomes; liquid biopsies; pancreatic cancer; proteomics; next-generation sequencing</t>
  </si>
  <si>
    <t>CIRCULATING EXOSOMES; DNA; PATHWAY; CELLS</t>
  </si>
  <si>
    <t>Background: Detection of circulating tumor DNA can be limited due to their relative scarcity in circulation, particularly while patients are actively undergoing therapy. Exosomes provide a vehicle through which cancer-specific material can be enriched from the compendium of circulating non-neoplastic tissue-derived nucleic acids. We carried out a comprehensive profiling of the pancreatic ductal adenocarcinoma (PDAC) exosomal 'surfaceome' in order to identify surface proteins that will render liquid biopsies amenable to cancer-derived exosome enrichment for downstream molecular profiling. Patients and methods: Surface exosomal proteins were profiled in 13 human PDAC and 2 non-neoplastic cell lines by liquid chromatography-mass spectrometry. A total of 173 prospectively collected blood samples from 103 PDAC patients underwent exosome isolation. Droplet digital PCR was used on 74 patients (136 total exosome samples) to determine baseline KRAS mutation call rates while patients were on therapy. PDAC-specific exosome capture was then carried out on additional 29 patients (37 samples) using an antibody cocktail directed against selected proteins, followed by droplet digital PCR analysis. Exosomal DNA in a PDAC patient resistant to therapy were profiled using a molecular barcoded, targeted sequencing panel to determine the utility of enriched nucleic acid material for comprehensive molecular analysis. Results: Proteomic analysis of the exosome 'surfaceome' revealed multiple PDAC-specific biomarker candidates: CLDN4, EPCAM, CD151, LGALS3BP, HIST2H2BE, and HIST2H2BF. KRAS mutations in total exosomes were detected in 44.1% of patients undergoing active therapy compared with 73.0% following exosome capture using the selected biomarkers. Enrichment of exosomal cargo was amenable to molecular profiling, elucidating a putative mechanism of resistance to PARP inhibitor therapy in a patient harboring a BRCA2 mutation. Conclusion: Exosomes provide unique opportunities in the context of liquid biopsies for enrichment of tumor-specific material in circulation. We present a comprehensive surfaceome characterization of PDAC exosomes which allows for capture and molecular profiling of tumor-derived DNA.</t>
  </si>
  <si>
    <t>[Castillo, J.; Bernard, V.; Kim, D. U.; Mulu, F. C.; Stephens, B. M.; Huang, J.; Maitra, A.; Alvarez, H.] Univ Texas MD Anderson Canc Ctr, Dept Pathol, Houston, TX 77030 USA; [Bernard, V.] Univ Texas MD Anderson Canc UTHlth, Grad Sch Biomed Sci, Houston, TX USA; [San Lucas, F. A.] Univ Texas MD Anderson Canc Ctr, Dept Epidemiol, Houston, TX 77030 USA; [Allenson, K.; Katz, M.] Univ Texas MD Anderson Canc Ctr, Dept Surg Oncol, Houston, TX 77030 USA; [Hanash, S.] Univ Texas MD Anderson Canc Ctr, Dept Clin Canc Prevent, Houston, TX 77030 USA; [Gascoyne, P.] ContinuumDx, Houston, TX USA; [Wang, H.; Momin, A. A.] Univ Texas MD Anderson Canc Ctr, McCombs Inst Early Detect &amp; Treatment Canc, Houston, TX 77030 USA; [Jacamo, R. O.] Univ Texas MD Anderson Canc Ctr, Dept Leukemia, Houston, TX 77030 USA; [Wolff, R.; Javle, M.; Varadhachary, G.] Univ Texas MD Anderson Canc Ctr, Dept Gastrointestinal Med Oncol, Houston, TX 77030 USA; [Wistuba, I. I.] Univ Texas MD Anderson Canc Ctr, Dept Translat Mol Pathol, Houston, TX 77030 USA; [Maitra, A.; Alvarez, H.] Univ Texas MD Anderson Canc Ctr, Sheikh Ahmed Pancreat Canc Res Ctr, 6565 MD Anderson Blvd Z3-3038, Houston, TX 77030 USA</t>
  </si>
  <si>
    <t>University of Texas System; UTMD Anderson Cancer Center; University of Texas System; UTMD Anderson Cancer Center; University of Texas System; UTMD Anderson Cancer Center; University of Texas System; UTMD Anderson Cancer Center; University of Texas System; UTMD Anderson Cancer Center; University of Texas System; UTMD Anderson Cancer Center; University of Texas System; UTMD Anderson Cancer Center; University of Texas System; UTMD Anderson Cancer Center; University of Texas System; UTMD Anderson Cancer Center; University of Texas System; UTMD Anderson Cancer Center</t>
  </si>
  <si>
    <t>Bernard, Vincent/0000-0003-1555-608X; Capello, Michela/0000-0001-5810-6375; Huang, Jonathan/0000-0002-2867-3384</t>
  </si>
  <si>
    <t>10.1093/annonc/mdx542</t>
  </si>
  <si>
    <t>WOS:000423741500033</t>
  </si>
  <si>
    <t>Alghamdi, AS; Foster, DN</t>
  </si>
  <si>
    <t>Seminal DNase frees spermatozoa entangled in neutrophil extracellular traps</t>
  </si>
  <si>
    <t>BIOLOGY OF REPRODUCTION</t>
  </si>
  <si>
    <t>immunology; seminal vesicles; sperm; sperm motility and transport</t>
  </si>
  <si>
    <t>FERTILITY-ASSOCIATED ANTIGEN; FOREIGN DNA; SPERM CELLS; PLASMA; PURIFICATION; CAPACITATION; INFILTRATION; INSEMINATION; LEUKOCYTOSIS; BINDING</t>
  </si>
  <si>
    <t>insemination always stimulates neutrophil migration into the female reproductive tract (FRT), which eliminates excess spermatozoa and bacterial contaminants introduced by the breeding process. However, the presence of neutrophils in the FRT at the time of semen deposition has been shown to result in sperm-neutrophil binding that reduces motility and fertility. Although the binding and trapping mechanism has not been determined, seminal plasma (SP) was found to include a protein factor or factors that reduced sperm-neutrophil binding and improved fertility of sperm inseminated in the presence of neutrophils. Although DNase has been shown to be present in the SP of different species and has been associated with improved fertility in bulls, the mechanism(s) explaining this association and the paradox of DNA-packed cells being associated with DNase have remained unresolved. We demonstrate that sperm-activated neutrophils extrude their DNA, which in turn traps sperm cells and hinders their motility (and ultimately may hinder sperm transport to the fertilization site). DNase activity present in the SP digests the extruded DNA and frees entangled spermatozoa, which in turn may allow more spermatozoa to reach the oviduct, and explains at least one mechanism by which SP increases the rate of fertility. The ability of SP proteins to suppress neutrophil activation in the presence of spermatozoa did not render neutrophils incapable of combating bacteria, demonstrating that SP proteins are highly selective for suppressing neutrophils activated by spermatozoa, but not by bacteria.</t>
  </si>
  <si>
    <t>Univ Minnesota, Dept Vet Populat Med, St Paul, MN 55108 USA; Univ Minnesota, Dept Anim Sci, St Paul, MN 55108 USA</t>
  </si>
  <si>
    <t>Alghamdi, AS (corresponding author), 495 AnSc Vet Med,1988 Fitch Ave, St Paul, MN 55108 USA.</t>
  </si>
  <si>
    <t>algh0007@umn.edu</t>
  </si>
  <si>
    <t>0006-3363</t>
  </si>
  <si>
    <t>1529-7268</t>
  </si>
  <si>
    <t>10.1095/biolreprod.105.045666</t>
  </si>
  <si>
    <t>WOS:000233580700012</t>
  </si>
  <si>
    <t>Chen, Y; Jing, HY; Chen, MY; Liang, W; Yang, J; Deng, GZ; Guo, MY</t>
  </si>
  <si>
    <t>Chen, Yu; Jing, Hongyuan; Chen, Miaoyu; Liang, Wan; Yang, Jing; Deng, Ganzhen; Guo, Mengyao</t>
  </si>
  <si>
    <t>Transcriptional Profiling of Exosomes Derived from Staphylococcus aureus-Infected Bovine Mammary Epithelial Cell Line MAC-T by RNA-Seq Analysis</t>
  </si>
  <si>
    <t>INFLAMMATORY RESPONSES; GENE-EXPRESSION; CAMK4</t>
  </si>
  <si>
    <t>Mastitis is a common disease in the dairy industry that causes huge economic losses worldwide. Exosomes (carrying proteins, miRNA, lncRNA, etc.) play a vital role in the regulation of immune response. lncRNA can play a variety of regulatory roles by combining with protein, RNA, and DNA. The expression of mRNA and lncRNA in exosomes derived from bovine mammary epithelial cells infected by S. aureus is rarely understood. To explore this issue, RNA sequencing analysis was performed on exosomes derived from S. aureus-infected and noninfected MAC-T cells. Analysis of the sequencing results showed that there were 186 differentially expressed genes, 431 differentially expressed mRNAs and 19 differentially expressed lncRNAs in the exosomes derived from S. aureus-infected and noninfected MAC-T cells. By predicting lncRNA target genes, it was found that 19 differentially expressed lncRNAs all acted on multiple mRNAs in cis and trans. GO analysis revealed that differentially expressed genes and lncRNA target genes played significant roles in such metabolism (reactive oxygen species metabolic processes), transmembrane transport, cellular response to DNA damage stimulus, and response to cytokines. KEGG enrichment indicated that lncRNA target genes gathered in the TNF pathway, Notch pathway, MAPK pathway, NF-kappa B pathway, Hippo pathway, p53 pathway, reactive oxygen species metabolic processes, and longevity regulating pathway. In summary, all data indicated that differentially expressed gene, mRNA, and lncRNA in transcriptional profiling of exosomes participated in bacterial invasion and adhesion, oxidative stress, inflammation, and apoptosis-related signaling pathway. The data obtained in this study would provide valuable resource for understanding the lncRNA information in exosomes derived from dairy cow mammary epithelial cells and conduced to the study of S. aureus infection in dairy cow mammary glands.</t>
  </si>
  <si>
    <t>[Chen, Yu; Jing, Hongyuan; Guo, Mengyao] Northeast Agr Univ, Coll Vet Med, Harbin 150030, Peoples R China; [Jing, Hongyuan; Chen, Miaoyu; Liang, Wan; Yang, Jing; Deng, Ganzhen] Huazhong Agr Univ, Coll Vet Med, Wuhan 430070, Peoples R China</t>
  </si>
  <si>
    <t>Northeast Agricultural University - China; Huazhong Agricultural University</t>
  </si>
  <si>
    <t>Guo, MY (corresponding author), Northeast Agr Univ, Coll Vet Med, Harbin 150030, Peoples R China.</t>
  </si>
  <si>
    <t>gmy@neau.edu.cn</t>
  </si>
  <si>
    <t>Chen, Yu/AGE-3862-2022</t>
  </si>
  <si>
    <t>Chen, Yu/0000-0003-3900-3180; Guo, meng-yao/0000-0002-7596-3632</t>
  </si>
  <si>
    <t>10.1155/2021/8460355</t>
  </si>
  <si>
    <t>WOS:000684845900002</t>
  </si>
  <si>
    <t>Han, TK; Yoder, S; Cao, CH; Ugen, KE; Dao, ML</t>
  </si>
  <si>
    <t>Expression of Streptococcus mutans wall-associated protein a gene in Chinese hamster ovary cells: Prospect for a dental caries DNA vaccine</t>
  </si>
  <si>
    <t>PROTECTIVE IMMUNITY; GLUCAN-BINDING; ANTIGEN-A; GLUCOSYLTRANSFERASE; IMMUNIZATION; INFECTION; ANTIBODY; REGION</t>
  </si>
  <si>
    <t>The Streptococcus mutans strain GS-5 wall-associated protein A (Wap-A) is a precursor to the extracellular antigen A (AgA), a recognized candidate dental caries vaccine. The full-length wapA gene (wapA-E) and a C-terminal truncated version (wapA-G) encoding the AgA were cloned into the mammalian expression vector pcDNA 3.1/V5/His-TOPO. The resulting constructs were propagated in the Escherichia coli Top10. To investigate the expression of the S. mutans genes in mammalian cells, the above constructs were used to transfect Chinese hamster ovary (CHO) cells in the presence of the cationic lipid pfx-8. Transient expression of the wapA-E and wapA-G genes was observed at 24 h post-transfection, as shown by Western immunoblot analysis using a rabbit antiserum to S. mutans cell wall. Immunochemical staining of the transfected CHO cells showed expression of WapA mainly in the cells and budding vesicles, whereas AgA was found mainly in the transfected cells and extracellular medium. The expression of S. mutans proteins in CHO cells, in either vesicles or soluble form, suggested an antibody response to the above DNA constructs. Work is under way to test the efficacy of these as DNA vaccines against S. mutans.</t>
  </si>
  <si>
    <t>Univ S Florida, Coll Arts &amp; Sci, Dept Biol, SCA 110, Tampa, FL 33620 USA; Univ S Florida, Coll Med, Dept Med Microbiol &amp; Immunol, Tampa, FL 33620 USA</t>
  </si>
  <si>
    <t>State University System of Florida; University of South Florida; State University System of Florida; University of South Florida</t>
  </si>
  <si>
    <t>Dao, ML (corresponding author), Univ S Florida, Coll Arts &amp; Sci, Dept Biol, SCA 110, 4202 E Fowler Ave, Tampa, FL 33620 USA.</t>
  </si>
  <si>
    <t>Ugen, Kenneth E/H-6544-2011</t>
  </si>
  <si>
    <t>10.1089/104454901317095016</t>
  </si>
  <si>
    <t>WOS:000172031000008</t>
  </si>
  <si>
    <t>Zhang, KL; Wang, YJ; Sun, J; Zhou, J; Xing, C; Huang, GM; Li, J; Yang, HH</t>
  </si>
  <si>
    <t>Zhang, Kai-Long; Wang, Ying-Jie; Sun, Jin; Zhou, Jie; Xing, Chao; Huang, Guoming; Li, Juan; Yang, Huanghao</t>
  </si>
  <si>
    <t>Artificial chimeric exosomes for anti-phagocytosis and targeted cancer therapy</t>
  </si>
  <si>
    <t>CHEMICAL SCIENCE</t>
  </si>
  <si>
    <t>DRUG-DELIVERY; BIOMIMETIC NANOPARTICLES; VESICLES; BRAIN; TOOLS; SIRNA; DNA</t>
  </si>
  <si>
    <t>Development of exosome-based delivery systems is still facing some formidable challenges, including the lack of standardized isolation and purification methods, non-large-scale production and low drug-loading efficiency. Inspired by biomimetic technologies, we turned to the design of artificial chimeric exosomes (ACEs) constructed by integrating cell membrane proteins from multiple cell types into synthetic phospholipid bilayers. For benchmarking, hybrid membrane proteins derived from red blood cells (RBCs) and MCF-7 cancer cells were selected as models. The resulting ACEs were engineered much like Emperor Qin's Terra-Cotta Warriors, simultaneously equipped with armor (anti-phagocytosis capability from RBCs) and dagger-axes (homologous targeting ability from cancer cells). ACEs demonstrated higher tumor accumulation, lower interception and better antitumor therapeutic effect than plain liposomes in vivo, alongside large-scale standardized preparation, stable structure, high drug-loading capacity and custom-tailored functionality, highlighting the suitability of ACEs as promising alternatives of exosomes in clinical applications.</t>
  </si>
  <si>
    <t>[Zhang, Kai-Long; Wang, Ying-Jie; Zhou, Jie; Xing, Chao; Li, Juan; Yang, Huanghao] Fuzhou Univ, Fujian Prov Key Lab Anal &amp; Detect Technol Food Sa, State Key Lab Photocatalysis Energy &amp; Environm, MOE Key Lab Analyt Sci Food Safety &amp; Biol,Coll Ch, Fuzhou 350116, Fujian, Peoples R China; [Sun, Jin; Li, Juan] Shanghai Jiao Tong Univ, Sch Med, Inst Mol Med, Renji Hosp, Shanghai 200240, Peoples R China; [Sun, Jin; Huang, Guoming] Fuzhou Univ, Coll Biol Sci &amp; Engn, Fuzhou 350116, Fujian, Peoples R China</t>
  </si>
  <si>
    <t>Fuzhou University; Shanghai Jiao Tong University; Fuzhou University</t>
  </si>
  <si>
    <t>Li, J; Yang, HH (corresponding author), Fuzhou Univ, Fujian Prov Key Lab Anal &amp; Detect Technol Food Sa, State Key Lab Photocatalysis Energy &amp; Environm, MOE Key Lab Analyt Sci Food Safety &amp; Biol,Coll Ch, Fuzhou 350116, Fujian, Peoples R China.;Li, J (corresponding author), Shanghai Jiao Tong Univ, Sch Med, Inst Mol Med, Renji Hosp, Shanghai 200240, Peoples R China.</t>
  </si>
  <si>
    <t>lijuan@fzu.edu.cn; hhyang@fzu.edu.cn</t>
  </si>
  <si>
    <t>Huang, Guoming/P-4586-2019</t>
  </si>
  <si>
    <t>Huang, Guoming/0000-0002-8075-5205</t>
  </si>
  <si>
    <t>2041-6520</t>
  </si>
  <si>
    <t>2041-6539</t>
  </si>
  <si>
    <t>10.1039/c8sc03224f</t>
  </si>
  <si>
    <t>WOS:000457448700032</t>
  </si>
  <si>
    <t>Zangari, J; Ilie, M; Rouaud, F; Signetti, L; Ohanna, M; Didier, R; Romeo, B; Goldoni, D; Nottet, N; Staedel, C; Gal, J; Mari, B; Mograbi, B; Hofman, P; Brest, P</t>
  </si>
  <si>
    <t>Zangari, Josephine; Ilie, Marius; Rouaud, Florian; Signetti, Laurie; Ohanna, Mickael; Didier, Robin; Romeo, Barnabe; Goldoni, Dana; Nottet, Nicolas; Staedel, Cathy; Gal, Jocelyn; Mari, Bernard; Mograbi, Baharia; Hofman, Paul; Brest, Patrick</t>
  </si>
  <si>
    <t>Rapid decay of engulfed extracellular miRNA by XRN1 exonuclease promotes transient epithelial-mesenchymal transition</t>
  </si>
  <si>
    <t>CAENORHABDITIS-ELEGANS; MICRORNAS; CANCER; TURNOVER; DEGRADATION; EXPRESSION; EXOSOMES; DISEASE; FAMILY; TARGET</t>
  </si>
  <si>
    <t>Extracellular vesicles (EVs) have been shown to play an important role in intercellular communication as carriers of DNA, RNA and proteins. While the intercellular transfer of miRNA through EVs has been extensively studied, the stability of extracellular miRNA (ex-miRNA) once engulfed by a recipient cell remains to be determined. Here, we identify the ex-miRNA-directed phenotype to be transient due to the rapid decay of ex-miRNA. We demonstrate that the ex-miR-223-3p transferred from polymorphonuclear leukocytes to cancer cells were functional, as demonstrated by the decreased expression of its target FOXO1 and the occurrence of epithelial-mesenchymal transition reprogramming. We showed that the engulfed ex-miRNA, unlike endogenous miRNA, was unstable, enabling dynamic regulation and a return to a non-invasive phenotype within 8 h. This transient phenotype could be modulated by targeting XRN1/PACMAN exonuclease. Indeed, its silencing was associated with slower decay of exmiR-223-3p and subsequently prolonged the invasive properties. In conclusion, we showed that the 'steady step' level of engulfed miRNA and its subsequent activity was dependent on the presence of a donor cell in the surroundings to constantly fuel the recipient cellwith ex-miRNAs and of XRN1 exonuclease, which is involved in the decay of these imported miRNA.</t>
  </si>
  <si>
    <t>[Zangari, Josephine; Ilie, Marius; Signetti, Laurie; Romeo, Barnabe; Goldoni, Dana; Mograbi, Baharia; Hofman, Paul; Brest, Patrick] Univ Cote Azur, CNRS, INSERM, IRCAN,FHU OncoAge, F-06107 Nice, France; [Ilie, Marius; Hofman, Paul] Univ Cote Azur, CHU Nice, Hosp Related Biobank BB 0033 00025, FHU OncoAge, F-06000 Nice, France; [Rouaud, Florian; Ohanna, Mickael; Didier, Robin] Univ Cote Azur, INSERM, C3M, F-06200 Nice, France; [Nottet, Nicolas; Mari, Bernard] Univ Cote Azur, CNRS, INSERM, IPMC,FHU OncoAge, F-06560 Valbonne, France; [Staedel, Cathy] Univ Bordeaux, INSERM, ARNA, F-33076 Bordeaux, France; [Gal, Jocelyn] Antoine Lacassagne Canc Ctr, Epidemiol &amp; Biostat Unit, F-06189 Nice, France</t>
  </si>
  <si>
    <t>Centre National de la Recherche Scientifique (CNRS); CHU Nice; Institut National de la Sante et de la Recherche Medicale (Inserm); UDICE-French Research Universities; Universite Cote d'Azur; CHU Nice; UDICE-French Research Universities; Universite Cote d'Azur; Institut National de la Sante et de la Recherche Medicale (Inserm); UDICE-French Research Universities; Universite Cote d'Azur; Centre National de la Recherche Scientifique (CNRS); Institut National de la Sante et de la Recherche Medicale (Inserm); UDICE-French Research Universities; Universite Cote d'Azur; Institut National de la Sante et de la Recherche Medicale (Inserm); UDICE-French Research Universities; Universite de Bordeaux; UNICANCER; Centre Antoine Lacassagne</t>
  </si>
  <si>
    <t>Mograbi, B; Hofman, P; Brest, P (corresponding author), Univ Cote Azur, CNRS, INSERM, IRCAN,FHU OncoAge, F-06107 Nice, France.;Hofman, P (corresponding author), Univ Cote Azur, CHU Nice, Hosp Related Biobank BB 0033 00025, FHU OncoAge, F-06000 Nice, France.</t>
  </si>
  <si>
    <t>mograbi@unice.fr; hofman.p@chu-nice.fr; brest@unice.fr</t>
  </si>
  <si>
    <t>Mari, Bernard P/F-8960-2013; GAL, Jocelyn/ABG-9107-2020; brest, patrick/K-6164-2019; Mograbi, Baharia/Q-7953-2019; Mograbi, Baharia/N-5531-2018; brest, patrick/B-7311-2012; Jani, Arpit/B-5376-2017; Hofman, Paul/P-7654-2018; Mari, Bernard P/D-7445-2015; Ilié, Marius/M-7964-2019; Ohanna, Mickael/O-5784-2016; Mari, Bernard/Q-5832-2019</t>
  </si>
  <si>
    <t>Mari, Bernard P/0000-0002-0422-9182; brest, patrick/0000-0002-1252-4747; brest, patrick/0000-0002-1252-4747; Hofman, Paul/0000-0003-0431-9353; Mari, Bernard P/0000-0002-0422-9182; Ilié, Marius/0000-0002-2014-1236; Ohanna, Mickael/0000-0002-7751-9164; Mari, Bernard/0000-0002-0422-9182; Nottet, Nicolas/0000-0002-8699-6747; Staedel, Cathy/0000-0003-0488-0239; Mograbi, Baharia/0000-0002-1025-3429</t>
  </si>
  <si>
    <t>APR 20</t>
  </si>
  <si>
    <t>10.1093/nar/gkw1284</t>
  </si>
  <si>
    <t>WOS:000399448400051</t>
  </si>
  <si>
    <t>Bhardwaj, BK; Thankachan, S; Venkatesh, T; Suresh, PS</t>
  </si>
  <si>
    <t>Bhardwaj, Boddapati Kalyani; Thankachan, Sanu; Venkatesh, Thejaswini; Suresh, Padmanaban S.</t>
  </si>
  <si>
    <t>Liquid biopsy in ovarian cancer</t>
  </si>
  <si>
    <t>Ovarian cancer; Circulating tumor cells; microRNAs; Exosomes; Cell-free DNA</t>
  </si>
  <si>
    <t>CIRCULATING TUMOR-CELLS; FREE DNA; MUTATION PROFILES; PERITONEAL-FLUID; NUCLEIC-ACIDS; PLASMA DNA; SERUM; BLOOD; METHYLATION; EXPRESSION</t>
  </si>
  <si>
    <t>Ovarian cancer is typically diagnosed at an advanced stage and poses a significant challenge to treatment and recovery. Relapsed ovarian cancer and chemoresistance of ovarian tumor cells are other clinical challenges. Liquid biopsy is an essential non-invasive diagnostic test that evaluates circulating tumor cells and tumor DNA, as well as other blood markers that may be useful in guiding precision medicine. Although liquid biopsy is not a routinely used diagnostic test, the potential applications in the diagnosis and prognosis in ovarian cancer are rapidly growing. This review explores recent studies examining the clinical potential of circulating tumor cells, cell-free microRNA, exosomes, tumor DNA, and other analytes as a source of liquid biopsy biomarkers in ovarian cancer diagnosis, prognosis and response to treatment.</t>
  </si>
  <si>
    <t>[Bhardwaj, Boddapati Kalyani; Thankachan, Sanu; Suresh, Padmanaban S.] Natl Inst Technol, Sch Biotechnol, Calicut 673601, Kerala, India; [Venkatesh, Thejaswini] Cent Univ Kerala, Dept Biochem &amp; Mol Biol, Kasargod 671316, Kerala, India</t>
  </si>
  <si>
    <t>National Institute of Technology (NIT System); National Institute of Technology Calicut; National Institute of Technology Puducherry; Central University of Kerala</t>
  </si>
  <si>
    <t>Suresh, PS (corresponding author), Natl Inst Technol, Sch Biotechnol, Calicut 673601, Kerala, India.</t>
  </si>
  <si>
    <t>surepadman@gmail.com</t>
  </si>
  <si>
    <t>Venkatesh, Thejaswini/ABC-4002-2021</t>
  </si>
  <si>
    <t>Venkatesh, Thejaswini/0000-0002-5831-9255; Thankachan, Sanu/0000-0002-7160-8799</t>
  </si>
  <si>
    <t>10.1016/j.cca.2020.06.047</t>
  </si>
  <si>
    <t>WOS:000582504300008</t>
  </si>
  <si>
    <t>Huang, ZP; Lin, QY; Yang, B; Ye, X; Chen, H; Weng, WH; Kong, JL</t>
  </si>
  <si>
    <t>Huang, Zhipeng; Lin, Qiuyuan; Yang, Bin; Ye, Xin; Chen, Hui; Weng, Wenhao; Kong, Jilie</t>
  </si>
  <si>
    <t>Cascade signal amplification for sensitive detection of exosomes by integrating tyramide and surface-initiated enzymatic polymerization</t>
  </si>
  <si>
    <t>GOLD NANOPARTICLES; DNA; HYBRIDIZATION; DEPOSITION; CHIP</t>
  </si>
  <si>
    <t>A novel cascade signal amplification based on tyramide signal amplification (TSA) and surface-initiated enzymatic polymerization (SIEP) was first reported for the sensitive and template-free detection of colorectal cancer (CRC) exosomes. This assay exhibited 20.9-fold signal amplification with a low detection limit of 12.8 particles per mu L. Furthermore, accurate and reproducible results were obtained for detecting exosomes in serum samples, suggesting its potential application in exosomes analysis and clinical diagnostics.</t>
  </si>
  <si>
    <t>[Huang, Zhipeng; Lin, Qiuyuan; Yang, Bin; Ye, Xin; Chen, Hui; Kong, Jilie] Fudan Univ, Dept Chem, Shanghai 200438, Peoples R China; [Weng, Wenhao] Tongji Univ, Yangpu Hosp, Dept Clin Lab, Sch Med, Shanghai 200090, Peoples R China</t>
  </si>
  <si>
    <t>Chen, H; Kong, JL (corresponding author), Fudan Univ, Dept Chem, Shanghai 200438, Peoples R China.;Weng, WH (corresponding author), Tongji Univ, Yangpu Hosp, Dept Clin Lab, Sch Med, Shanghai 200090, Peoples R China.</t>
  </si>
  <si>
    <t>OCT 28</t>
  </si>
  <si>
    <t>10.1039/d0cc04881j</t>
  </si>
  <si>
    <t>WOS:000580724600019</t>
  </si>
  <si>
    <t>Mamaeva, SN; Kononova, IV; Alekseev, VA; Nikolaev, NA; Pavlov, AN; Semenova, MN; Maksimov, GV</t>
  </si>
  <si>
    <t>Mamaeva, S. N.; Kononova, I. V.; Alekseev, V. A.; Nikolaev, N. A.; Pavlov, A. N.; Semenova, M. N.; Maksimov, G. V.</t>
  </si>
  <si>
    <t>Determination of Blood Parameters using Scanning Electron Microscopy as a Prototype Model for Evaluating the Effectiveness of Radiation Therapy for Cervical Cancer</t>
  </si>
  <si>
    <t>INTERNATIONAL JOURNAL OF BIOMEDICINE</t>
  </si>
  <si>
    <t>scanning electron microscopy; cervical cancer; extracellular vesicle; nanoparticle</t>
  </si>
  <si>
    <t>Using the method of SEM in patients with cervical cancer (CC) during radiation therapy (RT) revealed differences in the size and morphology of nanoparticles (NPs) localized on the outer surface of the erythrocyte membrane. We found that NP-V (viruses) objects localized on the surface of the erythrocyte membrane of CC patients before RT have more distinct contours and are smaller in comparison with the number of NP-EV (extracellular vesicles) arising during RT. Our previous study showed that NP-V objects are evenly distributed not only on the surface of erythrocytes but also in blood plasma, and that during the RT the amount of NP-V decreases, while NP-EV both increases and decreases. The linear size of the NP-EV is characterized by a Gaussian distribution, while the NP-V has a normal size distribution in certain ranges with different mean values. We found that the number of NP-Vs having different linear dimensions differ significantly. Using X-ray radiation, we established characteristic elemental composition of NP. The PCR method was used to determine the HPV DNA in blood samples from CC patients. The revealed differences in the morphology and composition of NP, as well as the data of PCR analysis, possibly indicate their different nature and can be used as a criterion for assessing the effectiveness of RT and the recovery period.</t>
  </si>
  <si>
    <t>[Mamaeva, S. N.; Nikolaev, N. A.; Pavlov, A. N.; Semenova, M. N.] MK Ammosov North Eastern Fed Univ, Med Inst, Yakutsk, Russia; [Kononova, I. V.; Alekseev, V. A.] Yakut Sci Ctr Complex Med Problems, Yakutsk, Russia; [Semenova, M. N.] Republican Oncol Dispensary, Yakutsk, Russia; [Maksimov, G. V.] Lomonosov Moscow State Univ, Moscow, Russia; [Maksimov, G. V.] Natl Univ Sci &amp; Technol MISiS, Moscow, Russia</t>
  </si>
  <si>
    <t>North-Eastern Federal University in Yakutsk; Yakut Science Centre of Complex Medical Problems; Lomonosov Moscow State University; National University of Science &amp; Technology (MISIS)</t>
  </si>
  <si>
    <t>Kononova, IV (corresponding author), Yakut Sci Ctr Complex Med Problems, Yakutsk, Russia.</t>
  </si>
  <si>
    <t>irinakon.07@mail.ru</t>
  </si>
  <si>
    <t>Alekseev, Vladislav/G-6157-2019</t>
  </si>
  <si>
    <t>Alekseev, Vladislav/0000-0001-6751-6210</t>
  </si>
  <si>
    <t>2158-0510</t>
  </si>
  <si>
    <t>2158-0529</t>
  </si>
  <si>
    <t>10.21103/Article11(1)_OA6</t>
  </si>
  <si>
    <t>WOS:000634017700006</t>
  </si>
  <si>
    <t>Qiu, ZL; Fan, DC; Xue, XH; Zhang, JY; Xu, JL; Lyu, HX; Chen, YT</t>
  </si>
  <si>
    <t>Qiu, Zhenli; Fan, Dechun; Xue, XiangHang; Zhang, Jiayi; Xu, Jiaolin; Lyu, Haixia; Chen, Yiting</t>
  </si>
  <si>
    <t>Ti3C2 MXene-anchored photoelectrochemical detection of exosomes by in situ fabrication of CdS nanoparticles with enzyme-assisted hybridization chain reaction</t>
  </si>
  <si>
    <t>RSC ADVANCES</t>
  </si>
  <si>
    <t>CARCINOEMBRYONIC ANTIGEN; 001 FACETS; TIO2; APTASENSOR; NANOSHEETS</t>
  </si>
  <si>
    <t>Exosomes that carry large amounts of tumor-specific molecular information have been identified as a potential non-invasive biomarker for early warning of cancer. In this work, we reported an enzyme-assisted photoelectrochemical (PEC) biosensor for quantification of exosomes based on the in situ synthesis of Ti3C2 MXene/CdS composites with magnetic separation technology and hybridization chain reaction (HCR). First, exosomes were specifically bound between aptamer-labeled magnetic beads (CD63-MBs) and a cholesterol-labeled DNA anchor. The properly designed anchor ends acted as a trigger to enrich the alkaline phosphatase (ALP) through HCR. It catalyzed more sodium thiophosphate to generate the sulfideion (S2-), which combined with Cd2+ for in situ fabrication of CdS on Ti3C2 MXene resulting in elevated photocurrent. The Ti3C2 MXene-anchored PEC method was realized for the quantitative detection of exosomes, which exhibited the dynamic working range from 7.3 x 10(5) particles per mL to 3.285 x 10(8) particles per mL with a limit of detection of 7.875 x 10(4) particles per mL. The strategy showed acceptable stability, high sensitivity, rapid response and excellent selectivity. Furthermore, we believe that the PEC biosensor has huge potential as a routine bioassay method for the precise quantification of exosomes from breast cancer in the future.</t>
  </si>
  <si>
    <t>[Qiu, Zhenli; Fan, Dechun; Xue, XiangHang; Zhang, Jiayi; Xu, Jiaolin; Chen, Yiting] Minjiang Univ, Coll Mat &amp; Chem Engn, Fuzhou 350108, Peoples R China; [Qiu, Zhenli] Fujian Engn &amp; Res Ctr New Chinese Lacquer Mat, Fuzhou 350108, Peoples R China; [Fan, Dechun; Lyu, Haixia] Fuzhou Univ, Coll Mat Sci &amp; Engn, Fuzhou 350108, Peoples R China; [Chen, Yiting] Fujian Prov Univ, Res Ctr Green Mat &amp; Chem Engn, Fuzhou 350108, Peoples R China</t>
  </si>
  <si>
    <t>Minjiang University; Fuzhou University; Fuzhou University</t>
  </si>
  <si>
    <t>Chen, YT (corresponding author), Minjiang Univ, Coll Mat &amp; Chem Engn, Fuzhou 350108, Peoples R China.;Chen, YT (corresponding author), Fujian Prov Univ, Res Ctr Green Mat &amp; Chem Engn, Fuzhou 350108, Peoples R China.</t>
  </si>
  <si>
    <t>cyt@mju.edu.cn</t>
  </si>
  <si>
    <t>2046-2069</t>
  </si>
  <si>
    <t>10.1039/d2ra01545e</t>
  </si>
  <si>
    <t>WOS:000793314800001</t>
  </si>
  <si>
    <t>Liu, Z; Cao, K; Liao, ZB; Chen, YY; Lei, X; Wei, Q; Liu, C; Sun, XJ; Yang, YY; Cai, JM; Gao, F</t>
  </si>
  <si>
    <t>Liu, Zhe; Cao, Kun; Liao, Zebin; Chen, Yuanyuan; Lei, Xiao; Wei, Qun; Liu, Cong; Sun, Xuejun; Yang, Yanyong; Cai, Jianming; Gao, Fu</t>
  </si>
  <si>
    <t>Monophosphoryl lipid A alleviated radiation-induced testicular injury through TLR4-dependent exosomes</t>
  </si>
  <si>
    <t>exosome; MPLA; radioprotection; testis</t>
  </si>
  <si>
    <t>BLOOD-BRAIN-BARRIER; IONIZING-RADIATION; DNA-DAMAGE; THERAPY; MOUSE; SPERMATOGENESIS; DIFFERENTIATION; MIGRATION; CANCER; MODEL</t>
  </si>
  <si>
    <t>Radiation protection on male testis is an important task for ionizing radiation-related workers or people who receive radiotherapy for tumours near the testicle. In recent years, Toll-like receptors (TLRs), especially TLR4, have been widely studied as a radiation protection target. In this study, we detected that a low-toxicity TLR4 agonist monophosphoryl lipid A (MPLA) produced obvious radiation protection effects on mice testis. We found that MPLA effectively alleviated testis structure damage and cell apoptosis induced by ionizing radiation (IR). However, as the expression abundance differs a lot in distinct cells and tissues, MPLA seemed not to directly activate TLR4 singling pathway in mice testis. Here, we demonstrated a brand new mechanism for MPLA producing radiation protection effects on testis. We observed a significant activation of TLR4 pathway in macrophages after MPLA stimulation and identified significant changes in macrophage-derived exosomes protein expression. We proved that after MPLA treatment, macrophage-derived exosomes played an important role in testis radiation protection, and specially, G-CSF and MIP-2 in exosomes are the core molecules in this protection effect.</t>
  </si>
  <si>
    <t>[Liu, Zhe; Cao, Kun; Liao, Zebin; Chen, Yuanyuan; Lei, Xiao; Liu, Cong; Sun, Xuejun; Yang, Yanyong; Cai, Jianming; Gao, Fu] Second Mil Med Univ, Fac Naval Med, Dept Radiat Med, 800 Xiangyin Rd, Shanghai 200433, Peoples R China; [Cao, Kun; Sun, Xuejun] Second Mil Med Univ, Fac Naval Med, Dept Naval Aeromed, Shanghai, Peoples R China; [Wei, Qun] Zhejiang Univ, Sir Run Run Shaw Hosp, Dept Surg Oncol, Sch Med, Hangzhou, Peoples R China</t>
  </si>
  <si>
    <t>Naval Medical University; Naval Medical University; Zhejiang University</t>
  </si>
  <si>
    <t>Yang, YY; Cai, JM; Gao, F (corresponding author), Second Mil Med Univ, Fac Naval Med, Dept Radiat Med, 800 Xiangyin Rd, Shanghai 200433, Peoples R China.</t>
  </si>
  <si>
    <t>yyyang2010@163.com; cjm882003@163.com; gaofusmmu@163.com</t>
  </si>
  <si>
    <t>Liao, Zebin/AAC-8303-2022</t>
  </si>
  <si>
    <t>10.1111/jcmm.14978</t>
  </si>
  <si>
    <t>WOS:000547854800009</t>
  </si>
  <si>
    <t>Huang, HD; Guo, ZZ; Zhang, CJ; Cui, C; Fu, T; Liu, QL; Tan, WH</t>
  </si>
  <si>
    <t>Huang, Huidong; Guo, Zhenzhen; Zhang, Chunjuan; Cui, Cheng; Fu, Ting; Liu, Qiaoling; Tan, Weihong</t>
  </si>
  <si>
    <t>Logic-Gated Cell-Derived Nanovesicles via DNA-Based Smart Recognition Module</t>
  </si>
  <si>
    <t>surface modification; cell-derived nanovesicles; DNA logic gate; functional nucleic acids; redox status monitoring</t>
  </si>
  <si>
    <t>EXTRACELLULAR VESICLES; EXOSOMES; DELIVERY</t>
  </si>
  <si>
    <t>Engineering cell-derived nanovesicles with active-targeting ligands is an important strategy to enhance the targeting efficiency. However, the enhanced binding capability to targeting cells also leads to the binding with nontarget cells that share the same biomarkers. DNA-based logic gate is a kind of molecular system that responds to chemical inputs by generating output signals, and the relationship between the input and the output is based on a certain logic. Thus, the DNA-based logic gate could provide a new approach to improve the delivery efficiency of the nanovesicle. In this work, we developed a DNA logic-gated module that coupled two tumor cell-targeting factors (e.g., low pH and a tumor cell biomarker) in a Boolean manner. Immobilization of this module on the surface of the nanovesicle enables the nanovesicle to sense tumor cell-targeting factors and regard these cues as inputs AND logic gate. With the guide of DNA-based logic gate, gold carbon dots (GCDs) encapsulated within nanovesicles were delivered into target cells, and then the intracellular redox status variation was reflected by fluorescence change of GCDs. Overall, we developed DNA logic-gated nanovesicles that contract different targeting factors into a unique tag for target cells. This facile functionalization strategy can pave the way for constructing smart nanovesicles and would broaden their application in the field of precision medicine and personalized treatment.</t>
  </si>
  <si>
    <t>[Huang, Huidong; Guo, Zhenzhen; Zhang, Chunjuan; Cui, Cheng; Liu, Qiaoling; Tan, Weihong] Hunan Univ, Mol Sci &amp; Biomed Lab MBL, State Key Lab Chemo Biosensing &amp; Chemometr, Coll Biol,Coll Chem &amp; Chem Engn,Aptamer Engn Ctr, Changsha 410082, Hunan, Peoples R China; [Fu, Ting; Tan, Weihong] Univ Chinese Acad Sci, Inst Basic Med &amp; Canc IBMC, Zhejiang Canc Hosp, Chinese Acad Sci,Canc Hosp, Hangzhou 310022, Zhejiang, Peoples R China; [Tan, Weihong] Shanghai Jiao Tong Univ, Sch Med, Renji Hosp, Inst Mol Med IMM, Shanghai 200240, Peoples R China</t>
  </si>
  <si>
    <t>Hunan University; Chinese Academy of Sciences; University of Chinese Academy of Sciences, CAS; Zhejiang Cancer Hospital; Shanghai Jiao Tong University</t>
  </si>
  <si>
    <t>Liu, QL; Tan, WH (corresponding author), Hunan Univ, Mol Sci &amp; Biomed Lab MBL, State Key Lab Chemo Biosensing &amp; Chemometr, Coll Biol,Coll Chem &amp; Chem Engn,Aptamer Engn Ctr, Changsha 410082, Hunan, Peoples R China.;Tan, WH (corresponding author), Univ Chinese Acad Sci, Inst Basic Med &amp; Canc IBMC, Zhejiang Canc Hosp, Chinese Acad Sci,Canc Hosp, Hangzhou 310022, Zhejiang, Peoples R China.;Tan, WH (corresponding author), Shanghai Jiao Tong Univ, Sch Med, Renji Hosp, Inst Mol Med IMM, Shanghai 200240, Peoples R China.</t>
  </si>
  <si>
    <t>qlliu@iccas.ac.cn; tao@.hnu.edu.cn</t>
  </si>
  <si>
    <t>10.1021/acsami.1c07632</t>
  </si>
  <si>
    <t>WOS:000672492800014</t>
  </si>
  <si>
    <t>Diamond, JM; Vanpouille-Box, C; Spada, S; Rudqvist, NP; Chapman, JR; Ueberheide, BM; Pilones, KA; Sarfraz, Y; Formenti, SC; Demaria, S</t>
  </si>
  <si>
    <t>Diamond, Julie M.; Vanpouille-Box, Claire; Spada, Sheila; Rudqvist, Nils-Petter; Chapman, Jessica R.; Ueberheide, Beatrix M.; Pilones, Karsten A.; Sarfraz, Yasmeen; Formenti, Silvia C.; Demaria, Sandra</t>
  </si>
  <si>
    <t>Exosomes Shuttle TREX1-Sensitive IFN-Stimulatory dsDNA from Irradiated Cancer Cells to DCs</t>
  </si>
  <si>
    <t>CANCER IMMUNOLOGY RESEARCH</t>
  </si>
  <si>
    <t>DENDRITIC CELLS; IMMUNOGENIC TUMORS; ANTITUMOR IMMUNITY; I INTERFERON; RADIOTHERAPY; DNA; VESICLES; IMMUNOTHERAPY; INDUCTION; PHENOTYPE</t>
  </si>
  <si>
    <t>Radiotherapy (RT) used at immunogenic doses leads to accumulation of cytosolic double-stranded DNA (dsDNA) in cancer cells, which activates type I IFN (IFN-I) via the cGAS/STING pathway. Cancer cell-derived IFN-I is required to recruit BATF3-dependent dendritic cells (DC) to poorly immunogenic tumors and trigger antitumor T-cell responses in combination with immune checkpoint blockade. We have previously demonstrated that the exonuclease TREX1 regulates radiation immunogenicity by degrading cytosolic dsDNA. Tumor-derived DNA can also activate cGAS/STING-mediated production of IFN-I by DCs infiltrating immunogenic tumors. However, how DNA from cancer cells is transferred to the cytoplasm of DCs remains unclear. Here, we showed that tumor-derived exosomes (TEX) produced by irradiated mouse breast cancer cells (RT-TEX) transfer dsDNA to DCs and stimulate DC upregulation of costimulatory molecules and STING-dependent activation of IFN-I. In vivo, RT-TEX elicited tumor-specificCD8(+) T-cell responses and protected mice from tumor development significantly better than TEX from untreated cancer cells in a prophylactic vaccination experiment. We demonstrated that the IFN-stimulatory dsDNA cargo of RT-TEX is regulated by TREX1 expression in the parent cells. Overall, these results identify RT-TEX as a mechanism whereby IFN-stimulatory dsDNA is transferred from irradiated cancer cells to DCs. We have previously shown that the expression of TREX1 is dependent on the RT dose size. Thus, these data have important implications for the use of RT with immunotherapy. (C) 2018 AACR.</t>
  </si>
  <si>
    <t>[Diamond, Julie M.] NYU, Sch Med, Dept Pathol, New York, NY USA; [Diamond, Julie M.; Vanpouille-Box, Claire; Spada, Sheila; Rudqvist, Nils-Petter; Pilones, Karsten A.; Sarfraz, Yasmeen; Formenti, Silvia C.; Demaria, Sandra] Weill Cornell Med, Dept Radiat Oncol, New York, NY USA; [Chapman, Jessica R.; Ueberheide, Beatrix M.] NYU, Sch Med, Prote Lab, New York, NY USA; [Ueberheide, Beatrix M.] NYU, Sch Med, Dept Biochem &amp; Mol Pharmacol, New York, NY USA; [Demaria, Sandra] Weill Cornell Med, Dept Pathol &amp; Lab Med, New York, NY USA</t>
  </si>
  <si>
    <t>New York University; Cornell University; New York University; New York University; Cornell University</t>
  </si>
  <si>
    <t>Demaria, S (corresponding author), Weill Cornell Med, 1300 York Ave,Box 169, New York, NY 10065 USA.</t>
  </si>
  <si>
    <t>szd3005@med.cornell.edu</t>
  </si>
  <si>
    <t>Demaria, Sandra/AAA-5816-2020; Vanpouille-Box, Claire/AAO-5355-2021; Spada, Sheila/AAN-1520-2020</t>
  </si>
  <si>
    <t>Demaria, Sandra/0000-0003-4426-0499; /0000-0002-4080-8667; Vanpouille-Box, Claire/0000-0001-7213-0670; Ueberheide, Beatrix/0000-0003-2512-0204</t>
  </si>
  <si>
    <t>2326-6066</t>
  </si>
  <si>
    <t>2326-6074</t>
  </si>
  <si>
    <t>10.1158/2326-6066.CIR-17-0581</t>
  </si>
  <si>
    <t>WOS:000440814700004</t>
  </si>
  <si>
    <t>Park, JY; Choi, J; Lee, Y; Lee, JE; Lee, EH; Kwon, HJ; Yang, J; Jeong, BR; Kim, YK; Han, PL</t>
  </si>
  <si>
    <t>Park, Jin-Young; Choi, Juli; Lee, Yunjin; Lee, Jung-Eun; Lee, Eun-Hwa; Kwon, Hye-Jin; Yang, Jinho; Jeong, Bo-Ri; Kim, Yoon-Keun; Han, Pyung-Lim</t>
  </si>
  <si>
    <t>Metagenome Analysis of Bodily Microbiota in a Mouse Model of Alzheimer Disease Using Bacteria-derived Membrane Vesicles in Blood</t>
  </si>
  <si>
    <t>Alzheimer Disease; Microbiota; Metagenomics</t>
  </si>
  <si>
    <t>GRAM-POSITIVE BACTERIA; EXTRACELLULAR VESICLES; TRANSGENIC MICE; GUT; BRAIN; DIVERSITY; PATHOLOGY</t>
  </si>
  <si>
    <t>Emerging evidence has suggested that the gut microbiota contribute to brain dysfunction, including pathological symptoms of Alzheimer disease (AD). Microbiota secrete membrane vesicles, also called extracellular vesicles (EVs), which contain bacterial genomic DNA fragments and other molecules and are distributed throughout the host body, including blood. In the present study, we investigated whether bacteria-derived EVs in blood are useful for metagenome analysis in an AD mouse model. Sequence readings of variable regions of 16S rRNA genes prepared from blood EVs in Tg-APP/PS1 mice allowed us to identify over 3,200 operational taxonomic units corresponding to gut microbiota reported in previous studies. Further analysis revealed a distinctive microbiota landscape in Tg-APP/PS1 mice, with a dramatic alteration in specific microbiota at all taxonomy levels examined. Specifically, at the phylum level, the occupancy of p_Firmicutes increased, while the occupancy of p_Proteobacteria and p_Bacteroidetes moderately decreased in Tg-APP/PS1 mice. At the genus level, the occupancy of g_Aerococcus, g_Jeotgalicoccus, g_Blautia, g_Pseudomonas and unclassified members of f_Clostridiale and f_Ruminococcaceae increased, while the occupancy of g_Lactobacillus, unclassified members of f_S24-7, and g_Corynebacterium decreased in Tg-APP/PS1 mice. A number of genus members were detected in Tg-APP/PS1 mice, but not in wild-type mice, while other genus members were detected in wild-type mice, but lost in Tg-APP/PS1 mice. The results of the present study suggest that the bodily microbiota profile is altered in Tg-APP/PS1 mice, and that blood EVs are useful for the metagenome analysis of bodily microbiota in AD.</t>
  </si>
  <si>
    <t>[Park, Jin-Young; Choi, Juli; Lee, Yunjin; Lee, Jung-Eun; Lee, Eun-Hwa; Kwon, Hye-Jin; Han, Pyung-Lim] Ewha Womans Univ, Dept Brain &amp; Cognit Sci, Seoul 03760, South Korea; [Yang, Jinho; Jeong, Bo-Ri; Kim, Yoon-Keun] MD Healthcare Inc, Seoul 03923, South Korea; [Han, Pyung-Lim] Ewha Womans Univ, Dept Chem &amp; Nano Sci, Seoul 03760, South Korea</t>
  </si>
  <si>
    <t>Ewha Womans University; Ewha Womans University</t>
  </si>
  <si>
    <t>Han, PL (corresponding author), Ewha Womans Univ, Dept Brain &amp; Cognit Sci, Seoul 03760, South Korea.;Han, PL (corresponding author), Ewha Womans Univ, Dept Chem &amp; Nano Sci, Seoul 03760, South Korea.</t>
  </si>
  <si>
    <t>plhan@ewha.ac.kr</t>
  </si>
  <si>
    <t>Yang, Jinho/0000-0001-7207-6846; Han, Pyung-Lim/0000-0002-1735-6746</t>
  </si>
  <si>
    <t>10.5607/en.2017.26.6.369</t>
  </si>
  <si>
    <t>WOS:000424434200007</t>
  </si>
  <si>
    <t>Wang, L; Deng, Y; Huang, Y; Wei, J; Ma, JH; Li, GX</t>
  </si>
  <si>
    <t>Wang, Lei; Deng, Ying; Huang, Yue; Wei, Juan; Ma, Jiehua; Li, Genxi</t>
  </si>
  <si>
    <t>Template-free multiple signal amplification for highly sensitive detection of cancer cell-derived exosomes</t>
  </si>
  <si>
    <t>In this work, we have designed a template-free multiple signal amplification method for the highly sensitive detection of cancer cell-derived exosomes. In this design, DNase I serves as a bridge to link the DNA-based amplification approach and terminal deoxynucleotidyl transferase (TdT)-mediated polymerization reaction. Consequently, a detection limit of 10 particles per mu L can be achieved, while a complex nucleic acid sequence design can be avoided. This method also exhibits good performance in a complicated matrix and enables the differentiation of healthy individuals from colorectal cancer (CRC) patients.</t>
  </si>
  <si>
    <t>[Wang, Lei; Deng, Ying; Li, Genxi] Nanjing Univ, Sch Life Sci, State Key Lab Pharmaceut Biotechnol, Nanjing 210023, Peoples R China; [Huang, Yue] Nanjing Forestry Univ, Coll Light Ind &amp; Food Engn, Dept Food Sci &amp; Engn, Nanjing 210037, Peoples R China; [Wei, Juan] Nanjing Univ, Chinese Med, Hosp Nanjing 2, Dept Oncol, Nanjing 210003, Peoples R China; [Ma, Jiehua] Nanjing Med Univ, Nanjing Matern &amp; Child Hlth Care Hosp, Affiliated Obstet &amp; Gynecol Hosp, Nanjing, Peoples R China; [Li, Genxi] Shanghai Univ, Sch Life Sci, Ctr Mol Recognit &amp; Biosensing, Shanghai 200444, Peoples R China</t>
  </si>
  <si>
    <t>Nanjing University; Nanjing Forestry University; Nanjing University; Nanjing Medical University; Shanghai University</t>
  </si>
  <si>
    <t>Li, GX (corresponding author), Nanjing Univ, Sch Life Sci, State Key Lab Pharmaceut Biotechnol, Nanjing 210023, Peoples R China.;Ma, JH (corresponding author), Nanjing Med Univ, Nanjing Matern &amp; Child Hlth Care Hosp, Affiliated Obstet &amp; Gynecol Hosp, Nanjing, Peoples R China.;Li, GX (corresponding author), Shanghai Univ, Sch Life Sci, Ctr Mol Recognit &amp; Biosensing, Shanghai 200444, Peoples R China.</t>
  </si>
  <si>
    <t>majiehua@126.com; genxili@nju.edu.cn</t>
  </si>
  <si>
    <t>SEP 4</t>
  </si>
  <si>
    <t>10.1039/d1cc03640h</t>
  </si>
  <si>
    <t>WOS:000681399600001</t>
  </si>
  <si>
    <t>Sevlever, D; Zou, FG; Ma, L; Carrasquillo, S; Crump, MG; Culley, OJ; Hunter, TA; Bisceglio, GD; Younkin, L; Allen, M; Carrasquillo, MM; Sando, SB; Aasly, JO; Dickson, DW; Graff-Radford, NR; Petersen, RC; Morgan, K; Belbin, O</t>
  </si>
  <si>
    <t>Sevlever, Daniel; Zou, Fanggeng; Ma, Li; Carrasquillo, Sebastian; Crump, Michael G.; Culley, Oliver J.; Hunter, Talisha A.; Bisceglio, Gina D.; Younkin, Linda; Allen, Mariet; Carrasquillo, Minerva M.; Sando, Sigrid B.; Aasly, Jan O.; Dickson, Dennis W.; Graff-Radford, Neill R.; Petersen, Ronald C.; Morgan, Kevin; Belbin, Olivia</t>
  </si>
  <si>
    <t>ARUK Consortium</t>
  </si>
  <si>
    <t>Genetically-controlled Vesicle-Associated Membrane Protein 1 expression may contribute to Alzheimer's pathophysiology and susceptibility</t>
  </si>
  <si>
    <t>MOLECULAR NEURODEGENERATION</t>
  </si>
  <si>
    <t>SNARE; Vesicle-Associated Membrane Protein 1; beta-amyloid; Alzheimer's disease; Synapse</t>
  </si>
  <si>
    <t>AMYLOID-BETA-PROTEIN; HIPPOCAMPAL-NEURONS; DISEASE; OLIGOMERS; ENDOCYTOSIS; MUTATION; NUMBER</t>
  </si>
  <si>
    <t>Background: Alzheimer's disease is a neurodegenerative disorder in which extracellular deposition of beta-amyloid (A beta) oligomers causes synaptic injury resulting in early memory loss, altered homeostasis, accumulation of hyperphosphorylated tau and cell death. Since proteins in the SNAP (Soluble N-ethylmaleimide-sensitive factor Attachment Protein) REceptors (SNARE) complex are essential for neuronal A beta release at pre-synaptic terminals, we hypothesized that genetically controlled SNARE expression could alter neuronal A beta release at the synapse and hence play an early role in Alzheimer's pathophysiology. Results: Here we report 5 polymorphisms in Vesicle-Associated Membrane Protein 1 (VAMP1), a gene encoding a member of the SNARE complex, associated with bidirectionally altered cerebellar VAMP1 transcript levels (all p &lt; 0.05). At the functional level, we demonstrated that control of VAMP1 expression by heterogeneous knockdown in mice resulted in up to 74% reduction in neuronal A beta exocytosis (p &lt; 0.001). We performed a case-control association study of the 5 VAMP1 expression regulating polymorphisms in 4,667 Alzheimer's disease patients and 6,175 controls to determine their contribution to Alzheimer's disease risk. We found that polymorphisms associated with increased brain VAMP1 transcript levels conferred higher risk for Alzheimer's disease than those associated with lower VAMP1 transcript levels (p = 0.03). Moreover, we also report a modest protective association for a common VAMP1 polymorphism with Alzheimer's disease risk (OR = 0.88, p = 0.03). This polymorphism was associated with decreased VAMP1 transcript levels (p = 0.02) and was functionally active in a dual luciferase reporter gene assay (p &lt; 0.01). Conclusions: Genetically regulated VAMP1 expression in the brain may modify both Alzheimer's disease risk and may contribute to Alzheimer's pathophysiology.</t>
  </si>
  <si>
    <t>[Sevlever, Daniel; Zou, Fanggeng; Ma, Li; Carrasquillo, Sebastian; Crump, Michael G.; Culley, Oliver J.; Hunter, Talisha A.; Bisceglio, Gina D.; Younkin, Linda; Allen, Mariet; Carrasquillo, Minerva M.; Dickson, Dennis W.; Belbin, Olivia] Mayo Clin, Coll Med, Dept Neurosci, Jacksonville, FL 32224 USA; [Zou, Fanggeng] Cincinnati Childrens Hosp Med Ctr, Div Human Genet, Cincinnati, OH 45229 USA; [Sando, Sigrid B.] St Olavs Hosp, Dept Neurol, N-7006 Trondheim, Norway; [Sando, Sigrid B.; Aasly, Jan O.] Norwegian Univ Sci &amp; Technol, NTNU, Dept Neurosci, N-7491 Trondheim, Norway; [Graff-Radford, Neill R.] Mayo Clin, Coll Med, Dept Neurol, Jacksonville, FL 32224 USA; [Petersen, Ronald C.] Mayo Clin, Coll Med, Dept Neurol, Rochester, MN USA; [Petersen, Ronald C.] Mayo Clin, Coll Med, Mayo Alzheimer Dis Res Ctr, Rochester, MN USA; [Morgan, Kevin; ARUK Consortium] Univ Nottingham, Queens Med Ctr, Inst Genet, Sch Mol Med Sci, Nottingham NG7 2RD, England; [Belbin, Olivia] Autonomous Univ Barcelona, Inst Biomed Invest St Pau, Memory Disorders Unit, Barcelona, Spain</t>
  </si>
  <si>
    <t>Mayo Clinic; Cincinnati Children's Hospital Medical Center; Norwegian University of Science &amp; Technology (NTNU); Norwegian University of Science &amp; Technology (NTNU); Mayo Clinic; Mayo Clinic; Mayo Clinic; University of Nottingham; Autonomous University of Barcelona</t>
  </si>
  <si>
    <t>Belbin, O (corresponding author), Mayo Clin, Coll Med, Dept Neurosci, Jacksonville, FL 32224 USA.</t>
  </si>
  <si>
    <t>obelbin@santpau.cat</t>
  </si>
  <si>
    <t>Deak, Ferenc/AAE-4324-2019</t>
  </si>
  <si>
    <t>Culley, Oliver/0000-0002-6765-9390; Morgan, Kevin/0000-0002-8217-2396; Belbin, Olivia/0000-0002-6109-6371</t>
  </si>
  <si>
    <t>1750-1326</t>
  </si>
  <si>
    <t>APR 9</t>
  </si>
  <si>
    <t>10.1186/s13024-015-0015-x</t>
  </si>
  <si>
    <t>WOS:000354358900001</t>
  </si>
  <si>
    <t>Oieni, J; Levy, L; Khait, NL; Yosef, L; Schoen, B; Fliman, M; Shalom-Luxenburg, H; Dayan, NM; D'Atri, D; Anavy, NC; Machluf, M</t>
  </si>
  <si>
    <t>Oieni, Jacopo; Levy, Lior; Khait, Nitzan Letko; Yosef, Liat; Schoen, Beth; Fliman, Miguel; Shalom-Luxenburg, Hagit; Dayan, Natali Malkah; D'Atri, Domenico; Anavy, Noa Cohen; Machluf, Marcelle</t>
  </si>
  <si>
    <t>Nano-Ghosts: Biomimetic membranal vesicles, technology and characterization</t>
  </si>
  <si>
    <t>Nano-Ghosts; Nanovesicles; Membrane-based nanoparticles; Mesenchymal stem cells; Cancer drug delivery</t>
  </si>
  <si>
    <t>MESENCHYMAL STEM-CELLS; CAMOUFLAGED NANOPARTICLES; EXTRACELLULAR VESICLES; CANCER-CHEMOTHERAPY; DRUG; NANOGHOSTS; CLEARANCE; LIPOSOMES; PLATFORM; PEG</t>
  </si>
  <si>
    <t>Currently, nano-carriers for anti-cancer drug delivery are complex systems, which struggle with immunogenicity and enhanced permeability effect (EPR)-related problems that halt the clinical translation of many therapeutics. Consequently, a rapidly growing field of research has been focusing on biomimetic nano-vesicles (BNVs) as an effective delivery alternative. Nevertheless, the translation of many BNVs is limited due to scalability problems, inconsistent production process, and insufficient loading efficiency. Here we discuss the process of our previously published BNVs, termed Nano-Ghosts (NGs), which are produced from the membrane of mesenchymal stem cells. We demonstrate the flexibility of the process, while alternating physical methodologies (sonication or extrusion) to produce the NGs while preserving their desired characteristics. We also show that our NGs can be labeled using multiple methods (fluorescence, radiolabeling, and genetic engineering) for tracking and diagnostic purposes. Lastly, we demonstrate that the loading efficiency can be improved by using electroporation to accommodate a range of therapeutics (small molecules, peptides and DNA) that can be delivered by the NGs. Our results emphasize the robustness of the NGs technology, its versatility and a vast range of applications, differentiating it from other BNVs and leading the way towards clinical translation.</t>
  </si>
  <si>
    <t>[Oieni, Jacopo; Levy, Lior; Khait, Nitzan Letko; Yosef, Liat; Schoen, Beth; Fliman, Miguel; Shalom-Luxenburg, Hagit; Dayan, Natali Malkah; D'Atri, Domenico; Anavy, Noa Cohen; Machluf, Marcelle] Technion Israel Inst Technol, Dept Biotechnol &amp; Food Engn, Haifa 32000, Israel</t>
  </si>
  <si>
    <t>Technion Israel Institute of Technology; Rappaport Faculty of Medicine</t>
  </si>
  <si>
    <t>Machluf, M (corresponding author), Technion Israel Inst Technol IIT, Fac Biotechnol &amp; Food Engn, Lab Canc Drug Delivery &amp; Cell Based Technol, Room 428, Haifa 3200003, Israel.</t>
  </si>
  <si>
    <t>machlufm@technion.ac.il</t>
  </si>
  <si>
    <t>10.1016/j.ymeth.2019.11.013</t>
  </si>
  <si>
    <t>WOS:000530080400014</t>
  </si>
  <si>
    <t>Nakamura, T; Iwabuchi, Y; Hirayama, S; Narisawa, N; Takenaga, F; Nakao, R; Senpuku, H</t>
  </si>
  <si>
    <t>Nakamura, Tomoyo; Iwabuchi, Yusuke; Hirayama, Satoru; Narisawa, Naoki; Takenaga, Fumio; Nakao, Ryoma; Senpuku, Hidenobu</t>
  </si>
  <si>
    <t>Roles of membrane vesicles from Streptococcus mutans for the induction of antibodies to glucosyltransferase in mucosal immunity</t>
  </si>
  <si>
    <t>Biofilm; Membrane vesicle; GtfC; Mucosal immunization; PAc</t>
  </si>
  <si>
    <t>SURFACE PROTEIN ANTIGEN; ESCHERICHIA-COLI; PROTECTIVE IMMUNITY; EXTRACELLULAR DNA; TERMINAL DOMAIN; B-CELL; IMMUNOGENICITY; CARIOGENICITY; PURIFICATION; PEPTIDES</t>
  </si>
  <si>
    <t>Glucosyltransferase (Gtf) B and GtfC from Streptococcus mutans are key enzymes for the development of biofilmassociated diseases such as dental caries. Gtfs are involved in membrane vesicles (MVs) and function in the formation of biofilms by initial colonizers such as Streptococcus mitis and Streptococcus oralis on the tooth surface. Therefore, MVs may be important virulence factors and targets for the prevention of biofilm-associated disease. To clarify how GtfB encoded by gtfB and GtfC encoded by gtfC associate with MVs and whether MVs are effective as a mucosal immunogen to induce the production of antibodies against Gtfs, MVs from S. mutans UA159 wildtype (WT), gtfB-, gtfCand gtfB-Cwere extracted from culture supernatants by ultracentrifugation and observed by scanning electron microscopy. Compared with GtfB, GtfC was mainly contained in MVs and regulated the size and aggregation of MVs, and the biofilm formation of S. mutans. The intranasal immunization of BALB/c mice with MVs plus a TLR3 agonist, poly(I-C), was performed 2 or 3 times for 5 weeks, with an interval of 2 or 3 weeks. MVs from all strains caused anti-MV IgA and IgG antibody production. In quality analysis of these antibodies, the IgA and IgG antibodies produced by immunization with MVs from WT and gtfBstrains reacted with Gtfs in the saliva, nasal wash and serum but those produced by immunization with MVs from gtfCand gtfB-Cstrains did not. S. mutans MVs mainly formed by GtfC are an intriguing immunogen for the production of anti-Gtf antibodies in mucosal immunogenicity.</t>
  </si>
  <si>
    <t>[Nakamura, Tomoyo; Narisawa, Naoki; Takenaga, Fumio] Nihon Univ, Coll Bioresource Sci, Dept Food Biosci &amp; Biotechnol, Fujisawa, Kanagawa 2520880, Japan; [Nakamura, Tomoyo; Iwabuchi, Yusuke; Hirayama, Satoru; Nakao, Ryoma; Senpuku, Hidenobu] Natl Inst Infect Dis, Dept Bacteriol, Tokyo 1628640, Japan</t>
  </si>
  <si>
    <t>Nihon University; National Institute of Infectious Diseases (NIID)</t>
  </si>
  <si>
    <t>Senpuku, H (corresponding author), Natl Inst Infect Dis, Dept Bacteriol 1, Shinjuku Ku, 1-23-1 Toyama, Tokyo 1628640, Japan.</t>
  </si>
  <si>
    <t>10.1016/j.micpath.2020.104260</t>
  </si>
  <si>
    <t>WOS:000599710800007</t>
  </si>
  <si>
    <t>Zainfeld, D; Ghani, U; Kang, I; Goldkorn, A</t>
  </si>
  <si>
    <t>Roychowdhury, S; VanAllen, EM</t>
  </si>
  <si>
    <t>Zainfeld, Daniel; Ghani, Umair; Kang, Irene; Goldkorn, Amir</t>
  </si>
  <si>
    <t>Liquid Biopsy: Translating Minimally Invasive Disease Profiling from the Lab to the Clinic</t>
  </si>
  <si>
    <t>PRECISION CANCER MEDICINE: Challenges and Opportunities</t>
  </si>
  <si>
    <t>Liquid biopsy; Circulating tumor cells; Cell-free DNA; Cell-free RNA; Exosomes; Extracellular vesicles; Clinical trials</t>
  </si>
  <si>
    <t>CIRCULATING TUMOR-CELLS; RESISTANT PROSTATE-CANCER; PROGRESSION-FREE SURVIVAL; BREAST-CANCER; LUNG-CANCER; EXTRACELLULAR VESICLES; DNA; EXPRESSION; EXOSOMES; BLOOD</t>
  </si>
  <si>
    <t>[Zainfeld, Daniel; Ghani, Umair; Kang, Irene; Goldkorn, Amir] Univ Southern Calif, Los Angeles, CA 90007 USA</t>
  </si>
  <si>
    <t>University of Southern California</t>
  </si>
  <si>
    <t>Goldkorn, A (corresponding author), Univ Southern Calif, Los Angeles, CA 90007 USA.</t>
  </si>
  <si>
    <t>agoldkor@usc.edu</t>
  </si>
  <si>
    <t>978-3-030-23637-3; 978-3-030-23636-6</t>
  </si>
  <si>
    <t>10.1007/978-3-030-23637-3_10</t>
  </si>
  <si>
    <t>10.1007/978-3-030-23637-3</t>
  </si>
  <si>
    <t>Oncology; Medicine, General &amp; Internal</t>
  </si>
  <si>
    <t>Oncology; General &amp; Internal Medicine</t>
  </si>
  <si>
    <t>WOS:000642277700010</t>
  </si>
  <si>
    <t>Eguchi, A; Yan, R; Pan, SQ; Wu, R; Kim, J; Chen, YB; Ansong, C; Smith, RD; Tempaku, M; Ohno-Machado, L; Takei, Y; Feldstein, AE; Tsukamoto, H</t>
  </si>
  <si>
    <t>Eguchi, Akiko; Yan, Rui; Pan, Stephanie Q.; Wu, Raymond; Kim, Jihoon; Chen, Yibu; Ansong, Charles; Smith, Richard D.; Tempaku, Mina; Ohno-Machado, Lucila; Takei, Yoshiyuki; Feldstein, Ariel E.; Tsukamoto, Hidekazu</t>
  </si>
  <si>
    <t>Comprehensive characterization of hepatocyte-derived extracellular vesicles identifies direct miRNA-based regulation of hepatic stellate cells and DAMP-based hepatic macrophage IL-1 beta and IL-17 upregulation in alcoholic hepatitis mice</t>
  </si>
  <si>
    <t>AH; Hepatocyte-derived EVs; miRNAs; DAMPs; HSC activation; Hepatic macrophage activation</t>
  </si>
  <si>
    <t>KUPFFER CELLS; MASS-SPECTROMETRY; LIVER FIBROSIS; RECEPTOR; HEPATOTOXICITY; GENES; LOOP</t>
  </si>
  <si>
    <t>Extracellular vesicles (EVs) have been growingly recognized as biomarkers and mediators of alcoholic liver disease (ALD) in human and mice. Here we characterized hepatocyte-derived EVs (HC-EVs) and their cargo for their biological functions in a novel murine model that closely resembles liver pathology observed in patients with alcoholic hepatitis (AH), the most severe spectrum of ALD. The numbers of circulating EVs and HC-EVs were significantly increased by 10-fold in AH mice compared with control mice. The miRNA (miR)-seq analysis detected 20 upregulated and 4 downregulated miRNAs (P &lt; 0.001-0.05) in AH-HC-EVs. Treatment of murine primary hepatic stellate cells (HSCs) with AH-HC-EVs induced alpha-SMA(P &lt; 0.05) andCol1a1(P &lt; 0.001).Smad7andNr1d2 genes,which were downregulated in HSCs from the AH mice, were predicted targets of 20 miRs upregulated in AH-HC-EVs. Among them were miR-27a and miR-181 which upon transfection in HSCs, indeed repressedNr1d2, the quiescent HSC marker. AH-HC-EVs were also enriched with organelle proteins and mitochondrial DNA (10-fold,P &lt; 0.05) and upregulated IL-1 beta and IL-17 production by hepatic macrophages (HMs) from AH mice in a TLR9-dependent manner. These results demonstrate HC-EV release is intensified in AH and suggest that AH-HC-EVs orchestrate liver fibrogenesis by directly targeting the quiescent HSC transcripts via a unique set of miRNAs and by amplifying HSC activation via DAMP-based induction of profibrogenic IL-1 beta and IL-17 by HMs. Key messages center dot Circulating EVs and HC-EVs were increased in AH mice compared with control mice center dot AH-HC-EVs were enriched in miRNAs, organelle proteins, and mitochondrial DNA center dot AH-HC-EVs increased cytokine production by AH-HMs in a TLR9-dependent manner</t>
  </si>
  <si>
    <t>[Eguchi, Akiko; Tempaku, Mina; Takei, Yoshiyuki] Mie Univ, Grad Sch Med, Dept Gastroenterol &amp; Hepatol, Tsu, Mie, Japan; [Eguchi, Akiko; Feldstein, Ariel E.] Univ Calif San Diego, Dept Pediat, La Jolla, CA 92093 USA; [Eguchi, Akiko; Yan, Rui; Pan, Stephanie Q.; Wu, Raymond; Feldstein, Ariel E.; Tsukamoto, Hidekazu] Southern Calif Res Ctr ALPD &amp; Cinhosis, Los Angeles, CA 90033 USA; [Eguchi, Akiko] PRETO, JST, 4-1-8 Honcho, Kawaguchi, Saitama 3320012, Japan; [Yan, Rui; Pan, Stephanie Q.; Wu, Raymond; Tsukamoto, Hidekazu] Univ Southern Calif, Keck Sch Med, Dept Pathol, 1333 San Pablo St,MMR 402, Los Angeles, CA 90033 USA; [Kim, Jihoon; Ohno-Machado, Lucila] Univ Calif San Diego, Dept Biomed Informat, La Jolla, CA 92093 USA; [Chen, Yibu] Univ Southern Calif, Keck Sch Med, Bioinformat Serv, Los Angeles, CA 90007 USA; [Ansong, Charles; Smith, Richard D.] Pacific Northwest Natl Lab, Richland, WA 99352 USA; [Tsukamoto, Hidekazu] Greater Los Angeles VA Healthcare Syst, Los Angeles, CA 90073 USA</t>
  </si>
  <si>
    <t>Mie University; University of California System; University of California San Diego; Japan Science &amp; Technology Agency (JST); University of Southern California; University of California System; University of California San Diego; University of Southern California; United States Department of Energy (DOE); Pacific Northwest National Laboratory; US Department of Veterans Affairs; Veterans Health Administration (VHA); VA Greater Los Angeles Healthcare System</t>
  </si>
  <si>
    <t>Eguchi, A (corresponding author), Mie Univ, Grad Sch Med, Dept Gastroenterol &amp; Hepatol, Tsu, Mie, Japan.;Eguchi, A (corresponding author), Univ Calif San Diego, Dept Pediat, La Jolla, CA 92093 USA.;Eguchi, A; Tsukamoto, H (corresponding author), Southern Calif Res Ctr ALPD &amp; Cinhosis, Los Angeles, CA 90033 USA.;Eguchi, A (corresponding author), PRETO, JST, 4-1-8 Honcho, Kawaguchi, Saitama 3320012, Japan.;Tsukamoto, H (corresponding author), Univ Southern Calif, Keck Sch Med, Dept Pathol, 1333 San Pablo St,MMR 402, Los Angeles, CA 90033 USA.;Tsukamoto, H (corresponding author), Greater Los Angeles VA Healthcare Syst, Los Angeles, CA 90073 USA.</t>
  </si>
  <si>
    <t>akieguchi@clin.medic.mie-u.ac.jp; htsukamo@med.usc.edu</t>
  </si>
  <si>
    <t>10.1007/s00109-020-01926-7</t>
  </si>
  <si>
    <t>WOS:000541215300001</t>
  </si>
  <si>
    <t>Luo, HT; Zheng, YY; Tang, J; Shao, LJ; Mao, YH; Yang, W; Yang, XF; Li, Y; Tian, RJ; Li, FR</t>
  </si>
  <si>
    <t>Luo, Hai-Tao; Zheng, Yuan-Yuan; Tang, Jun; Shao, Li-Juan; Mao, Yi-Heng; Yang, Wei; Yang, Xiao-Fei; Li, Yang; Tian, Rui-Jun; Li, Fu-Rong</t>
  </si>
  <si>
    <t>Dissecting the multi-omics atlas of the exosomes released by human lung adenocarcinoma stem-like cells</t>
  </si>
  <si>
    <t>NPJ GENOMIC MEDICINE</t>
  </si>
  <si>
    <t>COMPUTATIONAL PLATFORM; NEXT-GENERATION; LIQUID BIOPSY; CANCER; RNA; IDENTIFICATION; EVOLUTIONARY; TECHNOLOGY; DNA</t>
  </si>
  <si>
    <t>Lung adenocarcinoma is heterogeneous and hierarchically organized, with a subpopulation of stem-like cells (CSCs) that reside at the apex of the hierarchy, in which exosomes act as important mediators by transporting specific molecules among different cell populations. Although there have been numerous studies on tumor exosomes, the constituents and functional properties of CSC-derived exosomes are still poorly characterized. Here we present a detail transcriptome and proteome atlas of the exosomes released by human lung adenocarcinoma stem-like cells (LSLCs). The transcriptome analysis indicates the specific patterns of exosomal constituents, including the fragmentation of transcripts and the low-level presence of circular RNAs, and identifies multiple exosomal-enriched mRNAs and lncRNAs. Integrative analysis of transcriptome and proteome data reveals the diverse functions of exosomal-enriched RNAs and proteins, many of which are associated with tumorigenesis. Importantly, several LSLC markers we identified are highly expressed in LSLC-derived exosomes and associate with poor survival, which may serve as promising liquid biopsy biomarkers for lung adenocarcinoma diagnosis. Our study provides a resource for the future elucidation of the functions of tumor-derived exosomes and their regulatory mechanisms in mediating lung cancer development.</t>
  </si>
  <si>
    <t>[Luo, Hai-Tao; Zheng, Yuan-Yuan; Shao, Li-Juan; Yang, Wei; Yang, Xiao-Fei; Li, Yang; Li, Fu-Rong] Jinan Univ, Translat Med Collaborat Innovat Ctr, Shenzhen Peoples Hosp, Second Clin Med Coll, Shenzhen, Guangdong, Peoples R China; [Luo, Hai-Tao; Zheng, Yuan-Yuan; Tang, Jun; Shao, Li-Juan; Yang, Wei; Yang, Xiao-Fei; Li, Yang; Li, Fu-Rong] Southern Univ Sci &amp; Technol, Affiliated Hosp 1, Shenzhen, Guangdong, Peoples R China; [Luo, Hai-Tao; Zheng, Yuan-Yuan; Shao, Li-Juan; Yang, Wei; Yang, Xiao-Fei; Li, Yang; Li, Fu-Rong] Shenzhen Key Lab Stem Cell Res &amp; Clin Transformat, Shenzhen, Peoples R China; [Luo, Hai-Tao; Tang, Jun; Shao, Li-Juan] Jinan Univ, Integrated Chinese &amp; Western Med Postdoctoral Res, Guangzhou, Peoples R China; [Tang, Jun] Jinan Univ, Inst Oncol, Shenzhen Peoples Hosp, Second Clin Med Coll, Shenzhen, Guangdong, Peoples R China; [Mao, Yi-Heng; Tian, Rui-Jun] Southern Univ Sci &amp; Technol, Dept Chem, Shenzhen, Peoples R China</t>
  </si>
  <si>
    <t>Jinan University; Southern University of Science &amp; Technology; Jinan University; Jinan University; Southern University of Science &amp; Technology</t>
  </si>
  <si>
    <t>Li, FR (corresponding author), Jinan Univ, Translat Med Collaborat Innovat Ctr, Shenzhen Peoples Hosp, Second Clin Med Coll, Shenzhen, Guangdong, Peoples R China.;Li, FR (corresponding author), Southern Univ Sci &amp; Technol, Affiliated Hosp 1, Shenzhen, Guangdong, Peoples R China.;Li, FR (corresponding author), Shenzhen Key Lab Stem Cell Res &amp; Clin Transformat, Shenzhen, Peoples R China.;Tian, RJ (corresponding author), Southern Univ Sci &amp; Technol, Dept Chem, Shenzhen, Peoples R China.</t>
  </si>
  <si>
    <t>tianrj@sustech.edu.cn; frli62@163.com</t>
  </si>
  <si>
    <t>Shao, Lijuan/0000-0001-7980-2003; Luo, Haitao/0000-0003-3671-7786; Li, Fu-Rong/0000-0002-0606-8861; Yang, Wei/0000-0003-2138-5563</t>
  </si>
  <si>
    <t>2056-7944</t>
  </si>
  <si>
    <t>10.1038/s41525-021-00217-5</t>
  </si>
  <si>
    <t>WOS:000664119500002</t>
  </si>
  <si>
    <t>Ronci, M; Del Prete, S; Puca, V; Carradori, S; Carginale, V; Muraro, R; Mincione, G; Aceto, A; Sisto, F; Supuran, CT; Grande, R; Capasso, C</t>
  </si>
  <si>
    <t>Ronci, Maurizio; Del Prete, Sonia; Puca, Valentina; Carradori, Simone; Carginale, Vincenzo; Muraro, Raffaella; Mincione, Gabriella; Aceto, Antonio; Sisto, Francesca; Supuran, Claudiu T.; Grande, Rossella; Capasso, Clemente</t>
  </si>
  <si>
    <t>Identification and characterization of the alpha-CA in the outer membrane vesicles produced by Helicobacter pylori</t>
  </si>
  <si>
    <t>JOURNAL OF ENZYME INHIBITION AND MEDICINAL CHEMISTRY</t>
  </si>
  <si>
    <t>Carbonic anydrases; Helicobacter pylori; outer membrane vesicles (OMVs); biofilm; protonography; mass spectrometry</t>
  </si>
  <si>
    <t>BACTERIAL CARBONIC-ANHYDRASES; ANION INHIBITION PROFILES; EXTRACELLULAR DNA; BETA; GAMMA; BIOFILM; PROTONOGRAPHY; SULFONAMIDE; PROTEINS; CLONING</t>
  </si>
  <si>
    <t>The genome of Helicobacter pylori encodes for carbonic anhydrases (CAs, EC 4.2.1.1) belonging to the alpha- and beta-CA classes, which together with urease, have a pivotal role in the acid acclimation of the microorganism within the human stomach. Recently, in the exoproteome of H. pylori, a CA with no indication of the corresponding class was identified. Here, using the protonography and the mass spectrometry, a CA belonging to the alpha-class was detected in the outer membrane vesicles (OMVs) generated by planktonic and biofilm phenotypes of four H. pylori strains. The amount of this metalloenzyme was higher in the planktonic OMVs (pOMVs) than in the biofilm OMVs (bOMVs). Furthermore, the content of alpha-CA increases over time in the pOMVs. The identification of the alpha-CA in pOMVs and bOMVs might shed new light on the role of this enzyme in the colonization, survival, persistence, and pathogenesis of H. pylori.</t>
  </si>
  <si>
    <t>[Ronci, Maurizio; Puca, Valentina; Grande, Rossella] CeSI MeT Ctr Sci Invecchiamento &amp; Med Traslaz, Ctr Aging Sci &amp; Translat Med CeSi Met, Chieti, Italy; [Ronci, Maurizio; Muraro, Raffaella; Mincione, Gabriella; Aceto, Antonio] Univ G dAnnunzio, Dept Med Oral &amp; Biotechnol Sci, Chieti, Italy; [Del Prete, Sonia; Carginale, Vincenzo; Capasso, Clemente] CNR, Ist Biosci &amp; Biorisorse, Naples, Italy; [Puca, Valentina] G dAnnunzio Chieti Pescara, Dept Med &amp; Aging Sci, Chieti, Italy; [Carradori, Simone; Grande, Rossella] Univ G dAnnunzio, Dept Pharm, Chieti, Italy; [Sisto, Francesca] Univ Milan, Dipartimento Sci Biomed Chirurg Odontoiatr, Milan, Italy; [Supuran, Claudiu T.] Univ Firenze, NEUROFARBA Dept, Sez Sci Farmaceut &amp; Nutraceut, Sesto, Italy</t>
  </si>
  <si>
    <t>G d'Annunzio University of Chieti-Pescara; Consiglio Nazionale delle Ricerche (CNR); Istituto di Bioscienze e Biorisorse (IBBR-CNR); G d'Annunzio University of Chieti-Pescara; G d'Annunzio University of Chieti-Pescara; University of Milan; University of Florence</t>
  </si>
  <si>
    <t>Grande, R (corresponding author), CeSI MeT Ctr Sci Invecchiamento &amp; Med Traslaz, Ctr Aging Sci &amp; Translat Med CeSi Met, Chieti, Italy.</t>
  </si>
  <si>
    <t>rossella.grande@unich.it; clemente.capasso@ibbr.cnr.it</t>
  </si>
  <si>
    <t>Ronci, Maurizio/I-2851-2012; Carginale, Vincenzo/N-2531-2014; Carradori, Simone/S-4776-2019; Capasso, Clemente/P-3522-2016</t>
  </si>
  <si>
    <t>Ronci, Maurizio/0000-0002-0797-6087; Carginale, Vincenzo/0000-0002-1842-494X; Carradori, Simone/0000-0002-8698-9440; Capasso, Clemente/0000-0003-3314-2411; Supuran, Claudiu/0000-0003-4262-0323; SISTO, FRANCESCA/0000-0003-0166-2164; PUCA, VALENTINA/0000-0002-6417-876X</t>
  </si>
  <si>
    <t>1475-6366</t>
  </si>
  <si>
    <t>1475-6374</t>
  </si>
  <si>
    <t>10.1080/14756366.2018.1539716</t>
  </si>
  <si>
    <t>Biochemistry &amp; Molecular Biology; Chemistry, Medicinal</t>
  </si>
  <si>
    <t>WOS:000454983900001</t>
  </si>
  <si>
    <t>Hu, P; Chiarini, A; Wu, J; Freddi, G; Nie, KY; Armato, U; Dal Pra, I</t>
  </si>
  <si>
    <t>Hu, Peng; Chiarini, Anna; Wu, Jun; Freddi, Giuliano; Nie, Kaiyu; Armato, Ubaldo; Dal Pra, Ilaria</t>
  </si>
  <si>
    <t>Exosomes of adult human fibroblasts cultured on 3D silk fibroin nonwovens intensely stimulate neoangiogenesis</t>
  </si>
  <si>
    <t>BURNS &amp; TRAUMA</t>
  </si>
  <si>
    <t>Silk fibroin; Nonwovens; Dermis; Fibroblast; Human endothelial cell; Exosome; Cytokine; Chemokine; Angiogenesis; Regeneration; Tissue engineering</t>
  </si>
  <si>
    <t>ENDOTHELIAL-CELL SURVIVAL; FOCAL ADHESION KINASE; IN-VIVO; DIFFERENTIAL EXPRESSION; CXC CHEMOKINES; GROWTH-FACTORS; ANGIOPOIETIN-1; ANGIOGENESIS; RECEPTOR; ALPHA</t>
  </si>
  <si>
    <t>Background: Bombyx mori silk fibroin is a biomacromolecule that allows the assembly of scaffolds for tissue engineering and regeneration purposes due to its cellular adhesiveness, high biocompatibility and low immunogenicity. Earlier work showed that two types of 3D silk fibroin nonwovens (3D-SFnws) implanted into mouse subcutaneous tissue were promptly vascularized via undefined molecular mechanisms. The present study used nontumorigenic adult human dermal fibroblasts (HDFs) adhering to a third type of 3D-SFnws to assess whether HDFs release exosomes whose contents promote neoangiogenesis. Methods: Electron microscopy imaging and physical tests defined the features of the novel carded/hydroentangled 3D-SFnws. HDFs were cultured on 3D-SFnws and polystyrene plates in an exosome-depleted medium. DNA amounts and D-glucose consumption revealed the growth and metabolic activities of HDFs on 3D-SFnws. CD9-expressing total exosome fractions were from conditioned media of 3D-SFnws and 2D polystyrene plates HDF cultures. Angiogenic growth factors (AGFs) in equal amounts of the two groups of exosomal proteins were analysed via doubleantibody arrays. A tube formation assay using human dermal microvascular endothelial cells (HDMVECs) was used to evaluate the exosomes' angiogenic power. Results: The novel features of the 3D-SFnws met the biomechanical requirements typical of human soft tissues. By experimental day 15, 3D-SFnws-adhering HDFs had increased 4.5-fold in numbers and metabolized 5.4-fold more D-glucose than at day 3 in vitro. Compared to polystyrene-stuck HDFs, exosomes from 3D-SFnws-adhering HDFs carried significantly higher amounts of AGFs, such as interleukin (IL)-1 alpha, IL-4 and IL-8; angiopoietin-1 and angiopoietin-2; angiopoietin-1 receptor (or Tie-2); growth-regulated oncogene (GRO)-alpha, GRO-beta and GRO-gamma; matrix metalloproteinase-1; tissue inhibitor metalloproteinase-1; and urokinase-type plasminogen activator surface receptor, but lesser amounts of anti-angiogenic tissue inhibitor metalloproteinase-2 and pro-inflammatory monocyte chemoattractant protein-1. At concentrations from 0.62 to 10 mu g/ml, the exosomes from 3D-SFnws-cultured HDFs proved their angiogenic power by inducing HDMVECs to form significant amounts of tubes in vitro. Conclusions: The structural and mechanical properties of carded/hydroentangled 3D-SFnws proved their suitability for tissue engineering and regeneration applications. Consistent with our hypothesis, 3D-SFnws-adhering HDFs released exosomes carrying several AGFs that induced HDMVECs to promptly assemble vascular tubes in vitro. Hence, we posit that once implanted in vivo, the 3D-SFnws/HDFs interactions could promote the vascularization and repair of extended skin wounds due to burns or other noxious agents in human and veterinary clinical settings. Highlights This work reports, for the first time, the structural and mechanical features of novel carded and hydroentangled 3D-SFnws fitting the requirements for human soft tissue engineering/regeneration. Adult HDFs adhering to such carded/hydroentangled 3D-SFnws continued growing, metabolizing D-glucose and extracellularly releasing exosomes for at least 15 days in vitro. The exosomes released from 3D-SFnws-adhering HDFs carried high amounts of 10 different angiogenic/growth factors that powerfully induced human dermal microvascular endothelial cells to rapidly form tubes in vitro. These findings suggest that by interacting with local HDFs, grafted 3D-SFnws would crucially advance the vascularization and healing of extended and deep skin wounds caused by burns or other noxious agents.</t>
  </si>
  <si>
    <t>[Hu, Peng; Chiarini, Anna; Wu, Jun; Armato, Ubaldo; Dal Pra, Ilaria] Univ Verona, Dept Surg Dent Paediat &amp; Gynaecol, Human Histol &amp; Embryol Sect, Med Sch, Str Le Grazie 8, I-37134 Verona, Italy; [Hu, Peng; Nie, Kaiyu] ZunYi Med Univ, Affiliated Hosp, Dept Burns &amp; Plast Surg, 149 Dalian Rd, Zunyi 563003, Guizhou, Peoples R China; [Wu, Jun; Armato, Ubaldo; Dal Pra, Ilaria] Univ Shenzhen, Peoples Hosp 2, Dept Burns &amp; Plast Surg, 3002 Sungang West Rd, Shenzhen 518000, Guangdong, Peoples R China; [Freddi, Giuliano] Silk Biomat Srl, Via Cavour 2, I-22074 Lomazzo, Lombardy, Italy</t>
  </si>
  <si>
    <t>University of Verona; Zunyi Medical University; Shenzhen University</t>
  </si>
  <si>
    <t>Chiarini, A; Dal Pra, I (corresponding author), Univ Verona, Dept Surg Dent Paediat &amp; Gynaecol, Human Histol &amp; Embryol Sect, Med Sch, Str Le Grazie 8, I-37134 Verona, Italy.;Dal Pra, I (corresponding author), Univ Shenzhen, Peoples Hosp 2, Dept Burns &amp; Plast Surg, 3002 Sungang West Rd, Shenzhen 518000, Guangdong, Peoples R China.</t>
  </si>
  <si>
    <t>anna.chiarini@univr.it; ilaria.dalpra@univr.it</t>
  </si>
  <si>
    <t>DAL PRÀ, Ilaria Pierpaola/AAR-4216-2021; Dal Prà, Ilaria Pierpaola/R-3534-2017</t>
  </si>
  <si>
    <t>DAL PRÀ, Ilaria Pierpaola/0000-0001-5523-4910; Dal Prà, Ilaria Pierpaola/0000-0001-5523-4910; Chiarini, Anna/0000-0002-6974-7685</t>
  </si>
  <si>
    <t>2321-3868</t>
  </si>
  <si>
    <t>2321-3876</t>
  </si>
  <si>
    <t>tkab003</t>
  </si>
  <si>
    <t>10.1093/burnst/tkab003</t>
  </si>
  <si>
    <t>Emergency Medicine; Dermatology; Surgery</t>
  </si>
  <si>
    <t>WOS:000652164700002</t>
  </si>
  <si>
    <t>Urquiza, J; Cevallos, C; Elizalde, MM; Delpino, MV; Quarleri, J</t>
  </si>
  <si>
    <t>Urquiza, Javier; Cevallos, Cintia; Elizalde, Maria Mercedes; Delpino, M. Victoria; Quarleri, Jorge</t>
  </si>
  <si>
    <t>Priming Astrocytes With HIV-Induced Reactive Oxygen Species Enhances Their Trypanosoma cruzi Infection</t>
  </si>
  <si>
    <t>astrocytes; Trypanosoma cruzi; human immunodeficiency virus; reactive oxygen species; extracellular vesicles</t>
  </si>
  <si>
    <t>CENTRAL-NERVOUS-SYSTEM; CHAGAS-DISEASE; OXIDATIVE STRESS; INHIBITION; IMPAIRMENT; INDUCTION; VESICLES</t>
  </si>
  <si>
    <t>Introduction: Trypanosoma cruzi is an intracellular protozoa and etiological agent that causes Chagas disease. Its presence among the immunocompromised HIV-infected individuals is relevant worldwide because of its impact on the central nervous system (CNS) causing severe meningoencephalitis. The HIV infection of astrocytes - the most abundant cells in the brain, where the parasite can also be hosted - being able to modify reactive oxygen species (ROS) could influence the parasite growth. In such interaction, extracellular vesicles (EVs) shed from trypomastigotes may alter the surrounding environment including its pro-oxidant status. Methods: We evaluated the interplay between both pathogens in human astrocytes and its consequences on the host cell pro-oxidant condition self-propitiated by the parasite - using its EVs - or by HIV infection. For this goal, we challenged cultured human primary astrocytes with both pathogens and the efficiency of infection and multiplication were measured by microscopy and flow cytometry and parasite DNA quantification. Mitochondrial and cellular ROS levels were measured by flow cytometry in the presence or not of scavengers with a concomitant evaluation of the cellular apoptosis level. Results: We observed that increased mitochondrial and cellular ROS production boosted significantly T. cruzi infection and multiplication in astrocytes. Such oxidative condition was promoted by free trypomastigotes-derived EVs as well as by HIV infection. Conclusions: The pathogenesis of the HIV-T. cruzi coinfection in astrocytes leads to an oxidative misbalance as a key mechanism, which exacerbates ROS generation and promotes positive feedback to parasite growth in the CNS.</t>
  </si>
  <si>
    <t>[Urquiza, Javier; Cevallos, Cintia; Elizalde, Maria Mercedes; Quarleri, Jorge] Univ Buenos Aires UBA, Fac Med, Inst Invest Biomed Retrovirus &amp; Sida INBIR, Buenos Aires, DF, Argentina; [Urquiza, Javier; Cevallos, Cintia; Elizalde, Maria Mercedes; Delpino, M. Victoria; Quarleri, Jorge] Consejo Nacl Invest Cient &amp; Tecn, Consejo Nacl Invest Cient &amp; Tecn, Buenos Aires, DF, Argentina; [Delpino, M. Victoria] Univ Buenos Aires, Fac Farm &amp; Bioquim, Inst Inmunol Genet &amp; Metab INIGEM, Buenos Aires, DF, Argentina</t>
  </si>
  <si>
    <t>University of Buenos Aires; Consejo Nacional de Investigaciones Cientificas y Tecnicas (CONICET); University of Buenos Aires</t>
  </si>
  <si>
    <t>Quarleri, J (corresponding author), Univ Buenos Aires UBA, Fac Med, Inst Invest Biomed Retrovirus &amp; Sida INBIR, Buenos Aires, DF, Argentina.;Delpino, MV; Quarleri, J (corresponding author), Consejo Nacl Invest Cient &amp; Tecn, Consejo Nacl Invest Cient &amp; Tecn, Buenos Aires, DF, Argentina.;Delpino, MV (corresponding author), Univ Buenos Aires, Fac Farm &amp; Bioquim, Inst Inmunol Genet &amp; Metab INIGEM, Buenos Aires, DF, Argentina.</t>
  </si>
  <si>
    <t>mdelpino@ffyb.uba.ar; quarleri@fmed.uba.ar</t>
  </si>
  <si>
    <t>Elizalde, Maria Mercedes/0000-0002-0533-4283</t>
  </si>
  <si>
    <t>10.3389/fmicb.2020.563320</t>
  </si>
  <si>
    <t>WOS:000583271200001</t>
  </si>
  <si>
    <t>Hu, M; Guo, GX; Huang, Q; Cheng, CF; Xu, RQ; Li, AQ; Liu, NN; Liu, SM</t>
  </si>
  <si>
    <t>Hu, Ming; Guo, Guixian; Huang, Qiang; Cheng, Chuanfang; Xu, Ruqin; Li, Aiqun; Liu, Ningning; Liu, Shiming</t>
  </si>
  <si>
    <t>The harsh microenvironment in infarcted heart accelerates transplanted bone marrow mesenchymal stem cells injury: the role of injured cardiomyocytes-derived exosomes</t>
  </si>
  <si>
    <t>IN-VIVO; MYOCARDIAL-INFARCTION; SURVIVAL; HYPOXIA; HSP60; PHOSPHORYLATION; INFLAMMATION; CYTOTOXICITY; HYPERTROPHY; MECHANISM</t>
  </si>
  <si>
    <t>Stem cell therapy can be used to repair and regenerate damaged hearts tissue; nevertheless, the low survival rate of transplanted cells limits their therapeutic efficacy. Recently, it has been proposed that exosomes regulate multiple cellular processes by mediating cell survival and communication among cells. The following study investigates whether injured cardiomyocytes-derived exosomes (cardiac exosomes) affect the survival of transplanted bone marrow mesenchymal stem cells (BMSCs) in infarcted heart. To mimic the harsh microenvironment in infarcted heart that the cardiomyocytes or transplanted BMSCs encounter in vivo, cardiomyocytes conditioned medium and cardiac exosomes collected from H2O2-treated cardiomyocytes culture medium were cultured with BMSCs under oxidative stress in vitro. Cardiomyocytes conditioned medium and cardiac exosomes significantly accelerated the injury of BMSCs induced by H2O2; increased cleaved caspase-3/caspase-3 and apoptotic percentage, and decreased the ratio of Bcl-2/Bax and cell viability in those cells. Next, we explored the role of cardiac exosomes in the survival of transplanted BMSCs in vivo by constructing a Rab27a knockout (KO) mice model by a transcription activator-like effector nuclease (TALEN) genome-editing technique; Rab27a is a family of GTPases, which has critical role in secretion of exosomes. Male mouse GFP-modified BMSCs were implanted into the viable myocardium bordering the infarction in Rab27a KO and wild-type female mice. The obtained results showed that the transplanted BMSCs survival in infarcted heart was increased in Rab27a KO mice by the higher level of Y-chromosome Sry DNA, GFP mRNA, and the GFP fluorescence signal intensity. To sum up, these findings revealed that the injured cardiomyocytes-derived exosomes accelerate transplanted BMSCs injury in infarcted heart, thus highlighting a new mechanism underlying the survival of transplanted cells after myocardial infarction.</t>
  </si>
  <si>
    <t>[Hu, Ming; Guo, Guixian; Huang, Qiang; Cheng, Chuanfang; Xu, Ruqin; Li, Aiqun; Liu, Ningning; Liu, Shiming] Guangzhou Med Univ, Affiliated Hosp 2, Guangzhou Inst Cardiovasc Dis, Guangzhou 510260, Guangdong, Peoples R China</t>
  </si>
  <si>
    <t>Guangzhou Medical University</t>
  </si>
  <si>
    <t>Liu, NN; Liu, SM (corresponding author), Guangzhou Med Univ, Affiliated Hosp 2, Guangzhou Inst Cardiovasc Dis, Guangzhou 510260, Guangdong, Peoples R China.</t>
  </si>
  <si>
    <t>lnn425@163.com; liushiming@gzhmu.edu.cn</t>
  </si>
  <si>
    <t>Liu, Ningning/0000-0002-9587-2332</t>
  </si>
  <si>
    <t>10.1038/s41419-018-0392-5</t>
  </si>
  <si>
    <t>WOS:000427423300009</t>
  </si>
  <si>
    <t>Baba, T; Yoshida, T; Tanabe, Y; Nishimura, T; Morishita, S; Gotoh, N; Hirao, A; Hanayama, R; Mukaida, N</t>
  </si>
  <si>
    <t>Baba, Tomohisa; Yoshida, Takeshi; Tanabe, Yamato; Nishimura, Tatsunori; Morishita, Soji; Gotoh, Noriko; Hirao, Atsushi; Hanayama, Rikinari; Mukaida, Naofumi</t>
  </si>
  <si>
    <t>Cytoplasmic DNA accumulation preferentially triggers cell death of myeloid leukemia cells by interacting with intracellular DNA sensing pathway</t>
  </si>
  <si>
    <t>INITIATING CELLS; GENES</t>
  </si>
  <si>
    <t>Accumulating evidence indicates the presence of cytoplasmic DNAs in various types of malignant cells, and its involvement in anti-cancer drug- or radiotherapy-mediated DNA damage response and replication stress. However, the pathophysiological roles of cytoplasmic DNAs in leukemias remain largely unknown. We observed that during hematopoietic stem cell transplantation (HSCT) in mouse myeloid leukemia models, double-stranded (ds)DNAs were constitutively secreted in the form of extracellular vesicles (EVs) from myeloid leukemia cells and were transferred to the donor cells to dampen their hematopoietic capabilities. Subsequent analysis of cytoplasmic DNA dynamics in leukemia cells revealed that autophagy regulated cytoplasmic dsDNA accumulation and subsequent redistribution into EVs. Moreover, accumulated cytoplasmic dsDNAs activated STING pathway, thereby reducing leukemia cell viability through reactive oxygen species (ROS) generation. Pharmaceutical inhibition of autophagosome formation induced cytoplasmic DNA accumulation, eventually triggering cytoplasmic DNA sensing pathways to exert cytotoxicity, preferentially in leukemia cells. Thus, manipulation of cytoplasmic dsDNA dynamics can be a novel and potent therapeutic strategy for myeloid leukemias.</t>
  </si>
  <si>
    <t>[Baba, Tomohisa; Tanabe, Yamato; Mukaida, Naofumi] Kanazawa Univ, Canc Res Inst, Div Mol Bioregulat, Kanazawa, Ishikawa, Japan; [Yoshida, Takeshi; Hanayama, Rikinari] Kanazawa Univ, Grad Sch Med Sci, Dept Immunol, Kanazawa, Ishikawa, Japan; [Yoshida, Takeshi; Hirao, Atsushi; Hanayama, Rikinari] Kanazawa Univ, Nano Life Sci Inst, Kanazawa, Ishikawa, Japan; [Nishimura, Tatsunori; Gotoh, Noriko] Kanazawa Univ, Canc Res Inst, Div Canc Cell Biol, Kanazawa, Ishikawa, Japan; [Morishita, Soji] Juntendo Univ, Dept Transfus Med &amp; Stem Cell Regulat, Sch Med, Tokyo, Japan; [Hirao, Atsushi] Kanazawa Univ, Canc Res Inst, Div Mol Genet, Kanazawa, Ishikawa, Japan</t>
  </si>
  <si>
    <t>Kanazawa University; Kanazawa University; Kanazawa University; Kanazawa University; Juntendo University; Kanazawa University</t>
  </si>
  <si>
    <t>Baba, T (corresponding author), Kanazawa Univ, Canc Res Inst, Div Mol Bioregulat, Kanazawa, Ishikawa, Japan.</t>
  </si>
  <si>
    <t>sergenti@staff.kanazawa-u.ac.jp</t>
  </si>
  <si>
    <t>Hanayama, Rikinari/AAO-4959-2021; Mukaida, Naofumi/D-7623-2011</t>
  </si>
  <si>
    <t>Hanayama, Rikinari/0000-0003-2102-3386; Mukaida, Naofumi/0000-0002-4193-1851; Baba, Tomohisa/0000-0002-2161-2087; Yoshida, Takeshi/0000-0003-0422-0337</t>
  </si>
  <si>
    <t>MAR 26</t>
  </si>
  <si>
    <t>10.1038/s41419-021-03587-x</t>
  </si>
  <si>
    <t>WOS:000681173200001</t>
  </si>
  <si>
    <t>Takemoto, K; Imoto, M</t>
  </si>
  <si>
    <t>Takemoto, Kazuhiro; Imoto, Miku</t>
  </si>
  <si>
    <t>Exosomes in mammals with greater habitat variability contain more proteins and RNAs</t>
  </si>
  <si>
    <t>ROYAL SOCIETY OPEN SCIENCE</t>
  </si>
  <si>
    <t>habitat variability; genomics; exosome; environmental adaptation</t>
  </si>
  <si>
    <t>METABOLIC-RATE; GENOME SIZE; BODY-SIZE; EVOLUTION; GENE; TEMPERATURE; ADAPTATION; MODULARITY; MODEL; DNA</t>
  </si>
  <si>
    <t>Factors determining habitat variability are poorly understood despite possible explanations based on genome and physiology. This is because previous studies only focused on primary measures such as genome size and body size. In this study, we hypothesize that specific gene functions determine habitat variability in order to explore new factors beyond primary measures. We comprehensively evaluate the relationship between gene functions and the climate envelope while statistically controlling for potentially confounding effects by using data on the habitat range, genome, body size and metabolism of various mammals. Our analyses show that the number of proteins and RNAs contained in exosomes is predominantly associated with the climate envelope. This finding indicates the importance of exosomes to habitat range expansion of mammals and provides a new hypothesis for the relationship between the genome and habitat variability.</t>
  </si>
  <si>
    <t>[Takemoto, Kazuhiro; Imoto, Miku] Kyushu Inst Technol, Dept Biosci &amp; Bioinformat, Iizuka, Fukuoka 8208502, Japan</t>
  </si>
  <si>
    <t>Kyushu Institute of Technology</t>
  </si>
  <si>
    <t>Takemoto, K (corresponding author), Kyushu Inst Technol, Dept Biosci &amp; Bioinformat, Iizuka, Fukuoka 8208502, Japan.</t>
  </si>
  <si>
    <t>takemoto@bio.kyutech.ac.jp</t>
  </si>
  <si>
    <t>Takemoto, Kazuhiro/H-2915-2019</t>
  </si>
  <si>
    <t>Takemoto, Kazuhiro/0000-0002-6355-1366</t>
  </si>
  <si>
    <t>2054-5703</t>
  </si>
  <si>
    <t>10.1098/rsos.170162</t>
  </si>
  <si>
    <t>WOS:000400527200042</t>
  </si>
  <si>
    <t>Kalita-de Croft, P; Joshi, V; Saunus, JM; Lakhani, SR</t>
  </si>
  <si>
    <t>Kalita-de Croft, Priyakshi; Joshi, Vaibhavi; Saunus, Jodi M.; Lakhani, Sunil R.</t>
  </si>
  <si>
    <t>Emerging Biomarkers for Diagnosis, Prevention and Treatment of Brain Metastases-From Biology to Clinical Utility</t>
  </si>
  <si>
    <t>DISEASES</t>
  </si>
  <si>
    <t>liquid biopsy; brain metastasis; circulating tumour cells; extracellular vesicles; diagnostic; predictive; prognostic</t>
  </si>
  <si>
    <t>CENTRAL-NERVOUS-SYSTEM; GRADED PROGNOSTIC ASSESSMENT; PARTITIONING ANALYSIS RPA; BREAST-CANCER; RADIATION-THERAPY; MELANOMA PATIENTS; LIQUID BIOPSY; TUMOR-CELLS; LUNG; SURVIVAL</t>
  </si>
  <si>
    <t>Primary malignancies of the lung, skin (melanoma), and breast have higher propensity for metastatic spread to the brain. Advances in molecular tumour profiling have aided the development of targeted therapies, stereotactic radiotherapy, and immunotherapy, which have led to some improvement in patient outcomes; however, the overall prognosis remains poor. Continued research to identify new prognostic and predictive biomarkers is necessary to further impact patient outcomes, as this will enable better risk stratification at the point of primary cancer diagnosis, earlier detection of metastatic deposits (for example, through surveillance), and more effective systemic treatments. Brain metastases exhibit considerable inter- and intratumoural heterogeneity-apart from distinct histology, treatment history and other clinical factors, the metastatic brain tumour microenvironment is incredibly variable both in terms of subclonal diversity and cellular composition. This review discusses emerging biomarkers; specifically, the biological context and potential clinical utility of tumour tissue biomarkers, circulating tumour cells, extracellular vesicles, and circulating tumour DNA.</t>
  </si>
  <si>
    <t>[Kalita-de Croft, Priyakshi; Joshi, Vaibhavi; Saunus, Jodi M.; Lakhani, Sunil R.] Univ Queensland, UQ Ctr Clin Res, Fac Med, Herston, Qld 4029, Australia; [Lakhani, Sunil R.] Royal Brisbane &amp; Womens Hosp Herston, Pathol Queensland, Herston, Qld 4029, Australia</t>
  </si>
  <si>
    <t>University of Queensland; Royal Brisbane &amp; Women's Hospital</t>
  </si>
  <si>
    <t>Kalita-de Croft, P; Lakhani, SR (corresponding author), Univ Queensland, UQ Ctr Clin Res, Fac Med, Herston, Qld 4029, Australia.;Lakhani, SR (corresponding author), Royal Brisbane &amp; Womens Hosp Herston, Pathol Queensland, Herston, Qld 4029, Australia.</t>
  </si>
  <si>
    <t>p.kalita@uq.edu.au; vaibhavi.joshi@uq.edu.au; j.saunus@uq.edu.au; s.lakhani@uq.edu.au</t>
  </si>
  <si>
    <t>Kalita-de Croft, Priyakshi/M-8790-2016; Lakhani, Sunil/I-1970-2018</t>
  </si>
  <si>
    <t>Kalita-de Croft, Priyakshi/0000-0001-8877-7655; Lakhani, Sunil/0000-0003-4067-2760; Joshi, Vaibhavi/0000-0002-1309-1664</t>
  </si>
  <si>
    <t>2079-9721</t>
  </si>
  <si>
    <t>10.3390/diseases10010011</t>
  </si>
  <si>
    <t>WOS:000776824900001</t>
  </si>
  <si>
    <t>Yao, HC; Tian, LL; Yan, BR; Yang, LK; Li, YS</t>
  </si>
  <si>
    <t>Yao, Hongchao; Tian, Linli; Yan, Bingrui; Yang, Like; Li, Yushan</t>
  </si>
  <si>
    <t>LncRNA TP73-AS1 promotes nasopharyngeal carcinoma progression through targeting miR-342-3p and M2 polarization via exosomes</t>
  </si>
  <si>
    <t>Nasopharyngeal carcinoma; TP73-AS1; miR-342-3p; Exosome; Progression</t>
  </si>
  <si>
    <t>TUMOR-ASSOCIATED MACROPHAGES; LONG NONCODING RNAS; CANCER-CELLS; PROLIFERATION; GENE</t>
  </si>
  <si>
    <t>Background Nasopharyngeal carcinoma (NPC) is a deadly cancer, mainly presenting in southeast and east Asia. Long noncoding RNAs (lncRNAs) play essential roles in cancer progression. Exosomes are critical for intercellular communication. Thus, the aim of this study was to identify the functional lncRNAs in NPC and its relevant mechanisms. Methods Data from public databases were utilized to screen for functional lncRNAs in NPC. Functional and mechanical experiments were performed to determine the role of lncRNAs in NPC and its relative molecular mechanisms. Exosomes derived from NPC cells were isolated to determine their function in tumor-associated macrophages. Results LncRNA TP73-AS1 was increased in NPC cells and tissues and was associated with a poor prognosis. TP73-AS1 overexpression promoted proliferation, colony formation, and DNA synthesis of NPC cells while TP73-AS1 knockdown showed opposite roles. TP73-AS1 could directly bind with miR-342-3p. MiR-342-3p overexpression attenuated the effect of TP73-AS1 in NPC cells. Furthermore, TP73-AS1 was transferred by exosomes to promote M2 polarization of macrophages. Lastly, exosomal TP73-AS1 enhanced the motility and tube formation of macrophages. Conclusions Together, this study suggests that TP73-AS1 promotes NPC progression through targeting miR-342-3p and exosome-based communication with macrophages and that TP73-AS1 might be an emerging biomarker for NPC.</t>
  </si>
  <si>
    <t>[Yao, Hongchao; Tian, Linli; Yan, Bingrui; Yang, Like; Li, Yushan] Harbin Med Univ, Affiliated Hosp 2, Dept Otolaryngol Head &amp; Neck Surg, 246 Xue Fu Rd, Harbin 150086, Peoples R China</t>
  </si>
  <si>
    <t>Yao, HC (corresponding author), Harbin Med Univ, Affiliated Hosp 2, Dept Otolaryngol Head &amp; Neck Surg, 246 Xue Fu Rd, Harbin 150086, Peoples R China.</t>
  </si>
  <si>
    <t>yaozhangzen3462@163.com</t>
  </si>
  <si>
    <t>10.1186/s12935-021-02418-5</t>
  </si>
  <si>
    <t>WOS:000741000100001</t>
  </si>
  <si>
    <t>Slyusarenko, M; Shalaev, S; Valitova, A; Zabegina, L; Nikiforova, N; Nazarova, I; Rudakovskaya, P; Vorobiev, M; Lezov, A; Filatova, L; Yevlampieva, N; Gorin, D; Krzhivitsky, P; Malek, A</t>
  </si>
  <si>
    <t>Slyusarenko, Maria; Shalaev, Sergey; Valitova, Alina; Zabegina, Lidia; Nikiforova, Nadezhda; Nazarova, Inga; Rudakovskaya, Polina; Vorobiev, Maxim; Lezov, Alexey; Filatova, Larisa; Yevlampieva, Natalia; Gorin, Dmitry; Krzhivitsky, Pavel; Malek, Anastasia</t>
  </si>
  <si>
    <t>AuNP Aptasensor for Hodgkin Lymphoma Monitoring</t>
  </si>
  <si>
    <t>BIOSENSORS-BASEL</t>
  </si>
  <si>
    <t>enzyme-mimetic nanoparticles; gold nanoparticles; aptamer; liquid biopsy; small extracellular vesicles; Hodgkin lymphoma; diagnostic; monitoring</t>
  </si>
  <si>
    <t>PEROXIDASE-LIKE ACTIVITY; ELECTROCHEMICAL DETECTION; EXTRACELLULAR VESICLES</t>
  </si>
  <si>
    <t>A liquid biopsy based on circulating small extracellular vesicles (SEVs) has not yet been used in routine clinical practice due to the lack of reliable analytic technologies. Recent studies have demonstrated the great diagnostic potential of nanozyme-based systems for the detection of SEV markers. Here, we hypothesize that CD30-positive Hodgkin and Reed-Sternberg (HRS) cells secrete CD30 + SEVs; therefore, the relative amount of circulating CD30 + SEVs might reflect classical forms of Hodgkin lymphoma (cHL) activity and can be measured by using a nanozyme-based technique. A AuNP aptasensor analytics system was created using aurum nanoparticles (AuNPs) with peroxidase activity. Sensing was mediated by competing properties of DNA aptamers to attach onto surface of AuNPs inhibiting their enzymatic activity and to bind specific markers on SEVs surface. An enzymatic activity of AuNPs was evaluated through the color reaction. The study included characterization of the components of the analytic system and its functionality using transmission and scanning electron microscopy, nanoparticle tracking analysis (NTA), dynamic light scattering (DLS), and spectrophotometry. AuNP aptasensor analytics were optimized to quantify plasma CD30 + SEVs. The developed method allowed us to differentiate healthy donors and cHL patients. The results of the CD30 + SEV quantification in the plasma of cHL patients were compared with the results of disease activity assessment by positron emission tomography/computed tomography (PET-CT) scanning, revealing a strong positive correlation. Moreover, two cycles of chemotherapy resulted in a statistically significant decrease in CD30 + SEVs in the plasma of cHL patients. The proposed AuNP aptasensor system presents a promising new approach for monitoring cHL patients and can be modified for the diagnostic testing of other diseases.</t>
  </si>
  <si>
    <t>[Slyusarenko, Maria; Shalaev, Sergey; Valitova, Alina; Zabegina, Lidia; Nikiforova, Nadezhda; Nazarova, Inga; Filatova, Larisa; Krzhivitsky, Pavel; Malek, Anastasia] NN Petrov Natl Med Res Ctr Oncol, Dept Hematol &amp; Chemotherapy, Subcellular Technol Lab, St Petersburg 197758, Russia; [Slyusarenko, Maria; Shalaev, Sergey; Valitova, Alina; Zabegina, Lidia; Nikiforova, Nadezhda; Nazarova, Inga; Filatova, Larisa; Krzhivitsky, Pavel; Malek, Anastasia] NN Petrov Natl Med Res Ctr Oncol, Dept Radionuclide Diagnost, St Petersburg 197758, Russia; [Slyusarenko, Maria; Vorobiev, Maxim; Lezov, Alexey; Yevlampieva, Natalia] St Petersburg State Univ, Fac Phys, St Petersburg 199034, Russia; [Slyusarenko, Maria; Vorobiev, Maxim; Lezov, Alexey; Yevlampieva, Natalia] St Petersburg State Univ, Ctr Mol &amp; Cell Technol, St Petersburg 199034, Russia; [Rudakovskaya, Polina; Gorin, Dmitry] Skolkovo Inst Sci &amp; Technol, Ctr Photon &amp; Quantum Mat, Moscow 121205, Russia</t>
  </si>
  <si>
    <t>Saint Petersburg State University; Saint Petersburg State University; Skolkovo Institute of Science &amp; Technology</t>
  </si>
  <si>
    <t>Malek, A (corresponding author), NN Petrov Natl Med Res Ctr Oncol, Dept Hematol &amp; Chemotherapy, Subcellular Technol Lab, St Petersburg 197758, Russia.;Malek, A (corresponding author), NN Petrov Natl Med Res Ctr Oncol, Dept Radionuclide Diagnost, St Petersburg 197758, Russia.</t>
  </si>
  <si>
    <t>slusarenko_masha@mail.ru; shalaev.haemonc@gmail.com; valitva.alina@gmail.com; lidusikza@yandex.ru; niki2naden_ka@mail.ru; oblaka12@mail.ru; polinaru@list.ru; vorobiev.maxim@rambler.ru; alezov@gmail.com; larisa_filatova@list.ru; n.yevlampieva@spbu.ru; d.gorin@skoltech.ru; krzh@mail.ru; anastasia@malek.com</t>
  </si>
  <si>
    <t>Yevlampieva, Natalia/H-5853-2013; Gorin, Dmitry A./D-8324-2013; Malek, Anastasia/R-8804-2016</t>
  </si>
  <si>
    <t>Yevlampieva, Natalia/0000-0003-0277-2904; Gorin, Dmitry A./0000-0001-8760-615X; Nazarova, Inga/0000-0002-6812-3088; Malek, Anastasia/0000-0001-5334-7292; Rudakovskaya, Polina/0000-0003-2495-4194; Zabegina, Lidia/0000-0003-0827-1641; Slyusarenko, Maria/0000-0002-3677-1558; Nikiforova, Nadezhda/0000-0001-7464-4237</t>
  </si>
  <si>
    <t>2079-6374</t>
  </si>
  <si>
    <t>10.3390/bios12010023</t>
  </si>
  <si>
    <t>Chemistry, Analytical; Nanoscience &amp; Nanotechnology; Instruments &amp; Instrumentation</t>
  </si>
  <si>
    <t>Chemistry; Science &amp; Technology - Other Topics; Instruments &amp; Instrumentation</t>
  </si>
  <si>
    <t>WOS:000747127900001</t>
  </si>
  <si>
    <t>Nozaki, T; Sasaki, Y; Fukuda, I; Isumi, M; Nakamoto, K; Onodera, T; Masutani, M</t>
  </si>
  <si>
    <t>Nozaki, Tadashige; Sasaki, Yuka; Fukuda, Itsuko; Isumi, Mayu; Nakamoto, Keitaro; Onodera, Takae; Masutani, Mitsuko</t>
  </si>
  <si>
    <t>Next-generation sequencing-based miRNA expression analysis in Parp1-deficient embryonic stem cell-derived exosomes</t>
  </si>
  <si>
    <t>Parp1; Exosome; miRNA; Next-generation sequencing; Embryonic stem cell</t>
  </si>
  <si>
    <t>POLY(ADP-RIBOSE) POLYMERASE; PARP INHIBITORS; ES CELLS; REPAIR; PLURIPOTENCY; THERAPY; CANCER; TUMORS</t>
  </si>
  <si>
    <t>Poly (ADP-ribose) polymerase family, member 1 (Parp1) has pleiotropic and disparate functions in multiple cellular signaling pathways through post-translational protein modification. It contributes to the regulation of various cellular processes, including DNA damage repair, cell death, and cell differentiation, genetically or epigenetically. Meanwhile, the functions of Parp1 in intercellular signaling remain to be established. To examine the functions of Parp1 in intercellular signaling, we examined microRNA (miRNA) regulation in exosomes derived from Parp1-deficient (Parp1) embryonic stem (ES) cells. The percentages of miRNAs among total RNAs, including small RNAs such as miRNAs, snRNAs, snoRNAs, tRNAs, exonic RNAs, and intronic RNAs, in Parp1(+/+) and Parp1 ES cell-derived exosomes were 8.2% and 3.5%, respectively. Overall, 329 distinct miRNAs exhibited &gt;= 2-fold changes (118 upregulated; 211 downregulated). The upregulated miRNAs targeted 810 candidate genes, and the downregulated miRNAs targeted 716 candidate genes. Pathway analyses revealed that the upregulated miRNAs were significantly associated with five pathways including MAPK signaling cascades (p &lt;0.05), indicating that the target genes in these pathways were suppressed in Parp1(-/-) ES cells. In quantitative analyses of miRNA expression, miR365-3p, let-7a-5p, miR1966-5p, miR203-3p, miR98-5p, and miR146a-5p were increased by &gt;= 2-fold in Parp1(-/-) ES cell-derived exosomes. Gene ontology enrichment analyses revealed that the upregulated miRNAs were significantly annotated for growth and stress-related cell signaling and cell communication (p &lt; 0.05). Parp1 deficiency in ES cells led to inhibition of cell cell communication, possibly by intercellular signal transduction, suggesting that Parp1 functions extracellularly by regulating exosomal miRNAs. (C) 2018 Elsevier Inc. All rights reserved.</t>
  </si>
  <si>
    <t>[Nozaki, Tadashige] Osaka Dent Univ, Dept Pharmacol, Fac Dent, Hirakata, Osaka, Japan; [Sasaki, Yuka; Isumi, Mayu; Nakamoto, Keitaro; Onodera, Takae; Masutani, Mitsuko] Nagasaki Univ, Grad Sch Biomed Sci, Dept Frontier Life Sci, Nagasaki, Japan; [Sasaki, Yuka; Onodera, Takae; Masutani, Mitsuko] Natl Canc Ctr, Div Cellular Signaling, Lab Collaborat Res, Res Inst, Tokyo, Japan; [Fukuda, Itsuko] Kobe Univ, Grad Sch Agr Sci, Res Ctr Food Safety &amp; Secur, Kobe, Hyogo, Japan</t>
  </si>
  <si>
    <t>Nagasaki University; National Cancer Center - Japan; Kobe University</t>
  </si>
  <si>
    <t>Nozaki, T (corresponding author), Osaka Dent Univ, Dept Pharmacol, Fac Dent, Hirakata, Osaka, Japan.</t>
  </si>
  <si>
    <t>nozaki@cc.osaka-dent.ac.jp</t>
  </si>
  <si>
    <t>10.1016/j.bbrc.2018.03.073</t>
  </si>
  <si>
    <t>WOS:000431287700003</t>
  </si>
  <si>
    <t>Autophagy and Exosomes in the Aged Retinal Pigment Epithelium: Possible Relevance to Drusen Formation and Age-Related Macular Degeneration</t>
  </si>
  <si>
    <t>Age-related macular degeneration (AMD) is a major cause of loss of central vision in the elderly. The formation of drusen, an extracellular, amorphous deposit of material on Bruch's membrane in the macula of the retina, occurs early in the course of the disease. Although some of the molecular components of drusen are known, there is no understanding of the cell biology that leads to the formation of drusen. We have previously demonstrated increased mitochondrial DNA (mtDNA) damage and decreased DNA repair enzyme capabilities in the rodent RPE/choroid with age. In this study, we found that drusen in AMD donor eyes contain markers for autophagy and exosomes. Furthermore, these markers are also found in the region of Bruch's membrane in old mice. By in vitro modeling increased mtDNA damage induced by rotenone, an inhibitor of mitochondrial complex I, in the RPE, we found that the phagocytic activity was not altered but that there were: 1) increased autophagic markers, 2) decreased lysosomal activity, 3) increased exocytotic activity and 4) release of chemoattractants. Exosomes released by the stressed RPE are coated with complement and can bind complement factor H, mutations of which are associated with AMD. We speculate that increased autophagy and the release of intracellular proteins via exosomes by the aged RPE may contribute to the formation of drusen. Molecular and cellular changes in the old RPE may underlie susceptibility to genetic mutations that are found in AMD patients and may be associated with the pathogenesis of AMD in the elderly.</t>
  </si>
  <si>
    <t>[Wang, Ai Ling; Lukas, Thomas J.; Yuan, Ming; Du, Nga; Tso, Mark O.; Neufeld, Arthur H.] Northwestern Univ, Sch Med, Dept Ophthalmol, Forsythe Lab Invest Aging Retina, Chicago, IL 60611 USA</t>
  </si>
  <si>
    <t>Northwestern University</t>
  </si>
  <si>
    <t>Wang, AL (corresponding author), Northwestern Univ, Sch Med, Dept Ophthalmol, Forsythe Lab Invest Aging Retina, Chicago, IL 60611 USA.</t>
  </si>
  <si>
    <t>e4160</t>
  </si>
  <si>
    <t>10.1371/journal.pone.0004160</t>
  </si>
  <si>
    <t>WOS:000265473500007</t>
  </si>
  <si>
    <t>Cooke, AC; Nello, AV; Ernst, RK; Schertzer, JW</t>
  </si>
  <si>
    <t>Cooke, Adam C.; Nello, Alexander V.; Ernst, Robert K.; Schertzer, Jeffrey W.</t>
  </si>
  <si>
    <t>Analysis of Pseudomonas aeruginosa biofilm membrane vesicles supports multiple mechanisms of biogenesis</t>
  </si>
  <si>
    <t>GRAM-NEGATIVE BACTERIA; OUTER-MEMBRANE; PROTEOMIC ANALYSIS; DNA; RELEASE; PA14; COLONIZATION; ACTIVATION; STRAINS; SIGNALS</t>
  </si>
  <si>
    <t>Outer Membrane Vesicles (OMVs) are ubiquitous in bacterial environments and enable interactions within and between species. OMVs are observed in lab-grown and environmental biofilms, but our understanding of their function comes primarily from planktonic studies. Planktonic OMVs assist in toxin delivery, cell-cell communication, horizontal gene transfer, small RNA trafficking, and immune system evasion. Previous studies reported differences in size and proteomic cargo between planktonic and agar plate biofilm OMVs, suggesting possible differences in function between OMV types. In Pseudomonas aeruginosa interstitial biofilms, extracellular vesicles were reported to arise through cell lysis, in contrast to planktonic OMV biogenesis that involves the Pseudomonas Quinolone Signal (PQS) without appreciable autolysis. Differences in biogenesis mechanism could provide a rationale for observed differences in OMV characteristics between systems. Using nanoparticle tracking, we found that P. aeruginosa PAO1 planktonic and biofilm OMVs had similar characteristics. However, P. aeruginosa PA14 OMVs were smaller, with planktonic OMVs also being smaller than their biofilm counterparts. Large differences in Staphylococcus killing ability were measured between OMVs from different strains, and a smaller within-strain difference was recorded between PA14 planktonic and biofilm OMVs. Across all conditions, the predatory ability of OMVs negatively correlated with their size. To address biogenesis mechanism, we analyzed vesicles from wild type and pqsA mutant biofilms. This showed that PQS is required for physiological-scale production of biofilm OMVs, and time-course analysis confirmed that PQS production precedes OMV production as it does in planktonic cultures. However, a small sub-population of vesicles was detected in pqsA mutant biofilms whose size distribution more resembled sonicated cell debris than wild type OMVs. These results support the idea that, while a small and unique population of vesicles in P. aeruginosa biofilms may result from cell lysis, the PQS-induced mechanism is required to generate the majority of OMVs produced by wild type communities.</t>
  </si>
  <si>
    <t>[Cooke, Adam C.; Nello, Alexander V.; Schertzer, Jeffrey W.] SUNY Binghamton, Dept Biol Sci, Binghamton, NY 13902 USA; [Cooke, Adam C.; Nello, Alexander V.; Schertzer, Jeffrey W.] SUNY Binghamton, Binghamton Biofilm Res Ctr, Binghamton, NY 13902 USA; [Ernst, Robert K.] Univ Maryland, Sch Dent, Dept Microbial Pathogenesis, Baltimore, MD 21201 USA</t>
  </si>
  <si>
    <t>State University of New York (SUNY) System; State University of New York (SUNY) Binghamton; State University of New York (SUNY) System; State University of New York (SUNY) Binghamton; University System of Maryland; University of Maryland Baltimore</t>
  </si>
  <si>
    <t>Schertzer, JW (corresponding author), SUNY Binghamton, Dept Biol Sci, Binghamton, NY 13902 USA.;Schertzer, JW (corresponding author), SUNY Binghamton, Binghamton Biofilm Res Ctr, Binghamton, NY 13902 USA.</t>
  </si>
  <si>
    <t>Cooke, Adam/0000-0002-1458-7178; Ernst, Robert/0000-0001-5016-8694</t>
  </si>
  <si>
    <t>e0212275</t>
  </si>
  <si>
    <t>10.1371/journal.pone.0212275</t>
  </si>
  <si>
    <t>WOS:000458763900058</t>
  </si>
  <si>
    <t>Vaidya, M; Sugaya, K</t>
  </si>
  <si>
    <t>Vaidya, Manjusha; Sugaya, Kiminobu</t>
  </si>
  <si>
    <t>Differential sequences and single nucleotide polymorphism of exosomal SOX2 DNA in cancer</t>
  </si>
  <si>
    <t>TUMOR-INITIATING CELLS; STRANDED GENOMIC DNA; GLIOBLASTOMA; TRANSCRIPTION; NEUROBLASTOMA; GENE; SUSCEPTIBILITY; IDENTIFICATION; ASSOCIATION; EXPRESSION</t>
  </si>
  <si>
    <t>Glioblastoma multiforme (GBM) is the most common form of brain cancer, with an average life expectancy of fewer than two years post-diagnosis. We have previously reported that cancer cell originated exosomes, including GBM, have NANOG and NANOGP8 DNA associated with them. The exosomal NANOG DNA has certain differences as compared to its normal counterpart that are of immense importance as a potential cancer biomarker. NANOG has been demonstrated to play an essential role in the maintenance of embryonic stem cells, and its pseudogene, NANOGP8, is suggested to promote the cancer stem cell phenotype. Similarly, SOX2 is another stemness gene highly expressed in cancer stem cells with an intimate involvement in GBM progression and metastasis as well as promotion of tumorigenicity in Neuroblastoma (NB). Since exosomes are critical in intercellular communication with a role in dissipating hallmark biomolecules responsible for cancer, we conducted a detailed analysis of the association of the SOX2 gene with exosomes whose sequence modulations with further research and appropriate sample size can help to identify diagnostic markers for cancer. We have detected SOX2 DNA associated with exosomes and have identified some of the SNPs and nucleotide variations in the sequences from a GBM and SH-SY5Y sample. Although a further systematic investigation of exosomal DNA from GBM and NB patient's blood is needed, finding of SOX2 DNA in exosomes in the current study may have value in clinical research. SOX2 is known to be misregulated in cancer cells by changes in miRNA function, such as SNPs in the binding sites. Our finding of cancer-specific SNPs in exosomal SOX2 DNA sequence may reflect those changes in the cancer stem cells as well as cancer cells. A series of our study on embryonic stem cell gene analysis in exosomal DNA may lead to a minimally invasive exosome-based diagnosis, and give us a key in understanding the mechanisms of cancer formation, progression, and metastasis.</t>
  </si>
  <si>
    <t>[Vaidya, Manjusha; Sugaya, Kiminobu] Univ Cent Florida, Burnett Sch Biomed Sci, Coll Med, Orlando, FL 32816 USA</t>
  </si>
  <si>
    <t>Sugaya, K (corresponding author), Univ Cent Florida, Burnett Sch Biomed Sci, Coll Med, Orlando, FL 32816 USA.</t>
  </si>
  <si>
    <t>ksugaya@ucf.edu</t>
  </si>
  <si>
    <t>FEB 24</t>
  </si>
  <si>
    <t>e0229309</t>
  </si>
  <si>
    <t>10.1371/journal.pone.0229309</t>
  </si>
  <si>
    <t>WOS:000535229300044</t>
  </si>
  <si>
    <t>Vaidya, M; Bacchus, M; Sugaya, K</t>
  </si>
  <si>
    <t>Vaidya, Manjusha; Bacchus, Michael; Sugaya, Kiminobu</t>
  </si>
  <si>
    <t>Differential sequences of exosomal NANOG DNA as a potential diagnostic cancer marker</t>
  </si>
  <si>
    <t>STEM-CELLS; LUNG</t>
  </si>
  <si>
    <t>NANOG has been demonstrated to play an essential role in the maintenance of embryonic stem cells, and its pseudogene, NANOGP8, is suggested to promote the cancer stem cell phenotype. As the roles of these genes are intimately involved with glioblastoma multiforme progression and exosomes are critical in intercellular communication, we conducted a detailed analysis of the association of the NANOG gene family with exosomes to identify diagnostic markers for cancer. Exosomes were precipitated from conditioned culture media from various cell lines, and NANOG gene fragments were directly amplified without DNA isolation using multiple primer sets. The use of the enzymes AIwNI and Smal with restriction fragment length polymorphism analysis functioned to distinguish NANOGP8 from other NANOG family members. Collectively, results suggest that the NANOG DNA associated with exosomes is not full length and that mixed populations of the NANOG gene family exist. Furthermore, sequence analysis of exosomal DNA amplified with a NANOGP8 specific primer set frequently showed an insertion of a 22 bp sequence into the 3' UTR. The occurrence rate of this insertion was significantly higher in exosomal DNA clones from cancer cells as compared to normal cells. We have detected mixed populations of NANOG DNA associated with exosomes and have identified preferential modulations in the sequences from cancer samples. Our findings, coupled with the properties of exosomes, may allow for the detection of traditionally inaccessible cancers (i.e. GBM) through minimally invasive techniques. Further analysis of exosomal DNA sequences of NANOG and other embryonic stemness genes (OCT3/4, SOX2, etc.) may establish a robust collection of exosome based diagnostic markers, and further elucidate the mechanisms of cancer formation, progression, and metastasis.</t>
  </si>
  <si>
    <t>[Vaidya, Manjusha; Bacchus, Michael; Sugaya, Kiminobu] Univ Cent Florida, Coll Med, Burnett Sch Biomed Sci, Orlando, FL 32816 USA</t>
  </si>
  <si>
    <t>Sugaya, K (corresponding author), Univ Cent Florida, Coll Med, Burnett Sch Biomed Sci, Orlando, FL 32816 USA.</t>
  </si>
  <si>
    <t>kaugaya@ucf.edu</t>
  </si>
  <si>
    <t>e0197782</t>
  </si>
  <si>
    <t>10.1371/journal.pone.0197782</t>
  </si>
  <si>
    <t>WOS:000432785700046</t>
  </si>
  <si>
    <t>Gao, ML; He, F; Yin, BC; Ye, BC</t>
  </si>
  <si>
    <t>Gao, Mei-Ling; He, Fang; Yin, Bin-Cheng; Ye, Bang-Ce</t>
  </si>
  <si>
    <t>A dual signal amplification method for exosome detection based on DNA dendrimer self-assembly</t>
  </si>
  <si>
    <t>ELECTROCHEMICAL DETECTION; APTASENSOR; VESICLES</t>
  </si>
  <si>
    <t>An increasing number of studies have found that circulating exosomes play a vital role in the occurrence and metastasis of cancer. Therefore, a direct, sensitive and specific method for detection of tumor exosomes will contribute to the diagnosis and prognosis of cancer. In this work, we take advantage of the facile adaptability of aptamers to design an exosome quantitative method, which converts an exosome capture event to nucleic acid detection. With the help of a hairpin DNA cascade reaction (HDCR) and easy accessibility of DNA dendrimer self-assembly, dual signal amplification was achieved. A CD63 aptamer linked via a DNA probe to magnetic beads acts as the capture component. In the presence of target exosomes, aptamers identify and combine with exosomes, releasing the DNA probe as a trigger to initiate the HDCR (the first signal amplification process) by opening hairpin DNA (HP1) bound to gold nanoparticles (AuNPs). Fluorescently-labeled DNA dendrimers concatenate with HP1 as the second signal amplification stage to increase the signal-to-noise ratio. Under the optimal conditions, our method achieved a good linear response for HepG2 cell-derived exosomes in a concentration range from 1.75 x 10(3) to 7.0 x 10(6) particles per mu L with a detection limit of 1.16 x 10(3) particles per mu L. It also shows a good performance for detection of exosomes in biological samples.</t>
  </si>
  <si>
    <t>[Gao, Mei-Ling; He, Fang; Yin, Bin-Cheng; Ye, Bang-Ce] East China Univ Sci &amp; Technol, State Key Lab Bioreactor Engn, Lab Biosyst &amp; Microanal, Shanghai 200237, Peoples R China; [Ye, Bang-Ce] Zhejiang Univ Technol, Coll Pharmaceut Sci, Collaborat Innovat Ctr Yangtze River Delta Reg Gr, Hangzhou 310014, Zhejiang, Peoples R China; [Ye, Bang-Ce] Shihezi Univ, Sch Chem &amp; Chem Engn, Xinjiang 832000, Peoples R China</t>
  </si>
  <si>
    <t>10.1039/c8an02383b</t>
  </si>
  <si>
    <t>WOS:000460765600013</t>
  </si>
  <si>
    <t>Qiu, B; Xu, XF; Yi, P; Hao, YR</t>
  </si>
  <si>
    <t>Qiu, Bo; Xu, Xiongfeng; Yi, Peng; Hao, Yarong</t>
  </si>
  <si>
    <t>Curcumin reinforces MSC-derived exosomes in attenuating osteoarthritis via modulating the miR-124/NF-kB and miR-143/ROCK1/TLR9 signalling pathways</t>
  </si>
  <si>
    <t>curcumin; exosome; miR-124; miR-143; NF-kB; osteoarthritis; ROCK1; TLR9</t>
  </si>
  <si>
    <t>NF-KAPPA-B; MESENCHYMAL STEM-CELL; DISEASE; CANCER; EXPRESSION; APOPTOSIS; DELIVERY; TARGET; ALPHA; GENE</t>
  </si>
  <si>
    <t>Curcumin treatment was reported to delay the progression of OA, but its underlying mechanism remains unclear. In this study, we aimed to investigate the molecular mechanism underlying the role of curcumin in OA treatment. Accordingly, by conducting MTT and flow cytometry assays, we found that the exosomes derived from curcumin-treated MSCs helped to maintain the viability while inhibiting the apoptosis of model OA cells. Additionally, quantitative real-time PCR and Western blot assays showed that the exosomes derived from curcumin-treated MSCs significantly restored the down-regulated miR-143 and miR-124 expression as well as up-regulated NF-kB and ROCK1 expression in OA cells. Mechanistically, curcumin treatment decreased the DNA methylation of miR-143 and miR-124 promoters. In addition, the 3' UTRs of NF-kB and ROCK1 were proven to contain the binding sites for miR-143 and miR-124, respectively. Therefore, the up-regulation of miR-143 and miR-124 in cellular and mouse OA models treated with exosomes remarkably restored the normal expression of NF-kB and ROCK1. Consequently, the progression of OA was attenuated by the exosomes. Our results clarified the molecular mechanism underlying the therapeutic role of MSC-derived exosomes in OA treatment.</t>
  </si>
  <si>
    <t>[Qiu, Bo; Xu, Xiongfeng; Yi, Peng] Wuhan Univ, Renmin Hosp, Dept Orthoped, 238 Jiefang Rd, Wuhan 430060, Hubei, Peoples R China; [Hao, Yarong] Wuhan Univ, Renmin Hosp, Dept Geriatr, 238 Jiefang Rd, Wuhan 430060, Hubei, Peoples R China</t>
  </si>
  <si>
    <t>Wuhan University; Wuhan University</t>
  </si>
  <si>
    <t>Qiu, B (corresponding author), Wuhan Univ, Renmin Hosp, Dept Orthoped, 238 Jiefang Rd, Wuhan 430060, Hubei, Peoples R China.;Hao, YR (corresponding author), Wuhan Univ, Renmin Hosp, Dept Geriatr, 238 Jiefang Rd, Wuhan 430060, Hubei, Peoples R China.</t>
  </si>
  <si>
    <t>orthocol1a@yeah.net; qian26692292@163.com</t>
  </si>
  <si>
    <t>10.1111/jcmm.15714</t>
  </si>
  <si>
    <t>WOS:000557660500001</t>
  </si>
  <si>
    <t>Xi, L; Peng, MX; Liu, SQ; Liu, YC; Wan, XY; Hou, YX; Qin, YL; Yang, LP; Chen, SC; Zeng, H; Teng, Y; Cui, XJ; Liu, MR</t>
  </si>
  <si>
    <t>Xi, Lei; Peng, Meixi; Liu, Shuiqing; Liu, Yongcan; Wan, Xueying; Hou, Yixuan; Qin, Yilu; Yang, Liping; Chen, Shanchun; Zeng, Huan; Teng, Yong; Cui, Xiaojiang; Liu, Manran</t>
  </si>
  <si>
    <t>Hypoxia-stimulated ATM activation regulates autophagy-associated exosome release from cancer-associated fibroblasts to promote cancer cell invasion</t>
  </si>
  <si>
    <t>autophagy; cancer-associated fibroblasts; exosomes; invasion; oxidized ATM</t>
  </si>
  <si>
    <t>KINASE; PHOSPHORYLATION; PROLIFERATION; TRANSLOCATION; BNIP3</t>
  </si>
  <si>
    <t>Cancer-associated fibroblasts (CAFs) as a predominant cell component in the tumour microenvironment (TME) play an essential role in tumour progression. Our earlier studies revealed oxidized ATM activation in breast CAFs, which is independent of DNA double-strand breaks (DSBs). Oxidized ATM has been found to serve as a redox sensor to maintain cellular redox homeostasis. However, whether and how oxidized ATM in breast CAFs regulates breast cancer progression remains poorly understood. In this study, we found that oxidized ATM phosphorylates BNIP3 to induce autophagosome accumulation and exosome release from hypoxic breast CAFs. Inhibition of oxidized ATM kinase by KU60019 (a small-molecule inhibitor of activated ATM) or shRNA-mediated knockdown of endogenous ATM or BNIP3 blocks autophagy and exosome release from hypoxic CAFs. We also show that oxidized ATM phosphorylates ATP6V1G1, a core proton pump in maintaining lysosomal acidification, leading to lysosomal dysfunction and autophagosome fusion with multi-vesicular bodies (MVB) but not lysosomes to facilitate exosome release. Furthermore, autophagy-associated GPR64 is enriched in hypoxic CAFs-derived exosomes, which stimulates the non-canonical NF-kappa B signalling to upregulate MMP9 and IL-8 in recipient breast cancer cells, enabling cancer cells to acquire enhanced invasive abilities. Collectively, these results provide novel insights into the role of stromal CAFs in promoting tumour progression and reveal a new function of oxidized ATM in regulating autophagy and exosome release.</t>
  </si>
  <si>
    <t>[Xi, Lei; Peng, Meixi; Liu, Shuiqing; Liu, Yongcan; Wan, Xueying; Qin, Yilu; Yang, Liping; Chen, Shanchun; Zeng, Huan; Liu, Manran] Chongqing Med Univ, Key Lab Lab Med Diagnost, Chinese Minist Educ, 1 Yi Xue Yuan Rd, Chongqing 400016, Peoples R China; [Hou, Yixuan] Chongqing Med Univ, Expt Teaching &amp; Lab Management Ctr, Chongqing, Peoples R China; [Teng, Yong] Emory Univ, Sch Med, Dept Hematol &amp; Med Oncol, Winship Canc Inst, Atlanta, GA USA; [Cui, Xiaojiang] Cedars Sinai Med Ctr, Dept Surg, Dept Obstet &amp; Gynecol, Samuel Oschin Comprehens Canc Inst, Los Angeles, CA 90048 USA</t>
  </si>
  <si>
    <t>Chongqing Medical University; Chongqing Medical University; Emory University; Cedars Sinai Medical Center</t>
  </si>
  <si>
    <t>Liu, MR (corresponding author), Chongqing Med Univ, Key Lab Lab Med Diagnost, Chinese Minist Educ, 1 Yi Xue Yuan Rd, Chongqing 400016, Peoples R China.</t>
  </si>
  <si>
    <t>manranliu@cqmu.edu.cn</t>
  </si>
  <si>
    <t>10.1002/jev2.12146</t>
  </si>
  <si>
    <t>WOS:000697319700002</t>
  </si>
  <si>
    <t>Tavanasefat, H; Li, F; Koyano, K; Gourtani, BK; Marty, V; Mulpuri, Y; Lee, SH; Shin, KH; Wong, DTW; Xiao, XS; Spigelman, I; Kim, Y</t>
  </si>
  <si>
    <t>Tavanasefat, Honey; Li, Feng; Koyano, Kikuye; Gourtani, Bahar Khalilian; Marty, Vincent; Mulpuri, Yatendra; Lee, Sung Hee; Shin, Ki-Hyuk; Wong, David T. W.; Xiao, Xinshu; Spigelman, Igor; Kim, Yong</t>
  </si>
  <si>
    <t>Molecular consequences of fetal alcohol exposure on amniotic exosomal miRNAs with functional implications for stem cell potency and differentiation</t>
  </si>
  <si>
    <t>ETHANOL EXPOSURE; OSTEOGENIC DIFFERENTIATION; CIRCULATING MICRORNAS; SPECTRUM DISORDERS; NUCLEIC-ACIDS; EXPRESSION; DNA; NEUROGENESIS; DIAGNOSIS; BLOOD</t>
  </si>
  <si>
    <t>Alcohol (ethanol, EtOH) consumption during pregnancy can result in fetal alcohol spectrum disorders (FASDs), which are characterized by prenatal and postnatal growth restriction and craniofacial dysmorphology. Recently, cell-derived extracellular vesicles, including exosomes and microvesicles containing several species of RNAs (exRNAs), have emerged as a mechanism of cell-to-cell communication. However, EtOH's effects on the biogenesis and function of non-coding exRNAs during fetal development have not been explored. Therefore, we studied the effects of maternal EtOH exposure on the composition of exosomal RNAs in the amniotic fluid (AF) using rat fetal alcohol exposure (FAE) model. Through RNA-Seq analysis we identified and verified AF exosomal miRNAs with differential expression levels specifically associated with maternal EtOH exposure. Uptake of purified FAE AF exosomes by rBMSCs resulted in significant alteration of molecular markers associated with osteogenic differentiation of rBMSCs. We also determined putative functional roles for AF exosomal miRNAs (miR-199a-3p, miR-214-3p and let-7g) that are dysregulated by FAE in osteogenic differentiation of rBMSCs. Our results demonstrate that FAE alters AF exosomal miRNAs and that exosomal transfer of dysregulated miRNAs has significant molecular effects on stem cell regulation and differentiation. Our results further suggest the usefulness of assessing molecular alterations in AF exRNAs to study the mechanisms of FAE teratogenesis that should be further investigated by using an in vivo model.</t>
  </si>
  <si>
    <t>[Tavanasefat, Honey; Gourtani, Bahar Khalilian; Kim, Yong] Univ Calif Los Angeles, Sch Dent, Lab Stem Cell &amp; Canc Epigenet Res, Los Angeles, CA 90024 USA; [Tavanasefat, Honey] Calif State Univ Northridge, Dept Biol, CSUN UCLA Stem Cell Res Bridge Program, Northridge, CA 91330 USA; [Li, Feng; Marty, Vincent; Mulpuri, Yatendra; Wong, David T. W.; Spigelman, Igor; Kim, Yong] Univ Calif Los Angeles, Sch Dent, Div Oral Biol &amp; Med, Los Angeles, CA 90024 USA; [Koyano, Kikuye; Xiao, Xinshu] Univ Calif Los Angeles, Inst Mol Biol, Dept Integrat Biol &amp; Physiol, Los Angeles, CA 90024 USA; [Lee, Sung Hee; Shin, Ki-Hyuk] Univ Calif Los Angeles, Sch Dent, Shapiro Family Lab Viral Oncol &amp; Aging Res, Los Angeles, CA 90024 USA; [Kim, Yong] Univ Calif Los Angeles, Broad Stem Cell Res Ctr, Los Angeles, CA 90032 USA</t>
  </si>
  <si>
    <t>University of California System; University of California Los Angeles; California State University System; California State University Northridge; University of California System; University of California Los Angeles; University of California System; University of California Los Angeles; University of California System; University of California Los Angeles; University of California System; University of California Los Angeles</t>
  </si>
  <si>
    <t>Kim, Y (corresponding author), Univ Calif Los Angeles, Sch Dent, Lab Stem Cell &amp; Canc Epigenet Res, Los Angeles, CA 90024 USA.;Kim, Y (corresponding author), Univ Calif Los Angeles, Sch Dent, Div Oral Biol &amp; Med, Los Angeles, CA 90024 USA.;Kim, Y (corresponding author), Univ Calif Los Angeles, Broad Stem Cell Res Ctr, Los Angeles, CA 90032 USA.</t>
  </si>
  <si>
    <t>thadyk@ucla.edu</t>
  </si>
  <si>
    <t>Mulpuri, Yatendra/V-5481-2019</t>
  </si>
  <si>
    <t>Mulpuri, Yatendra/0000-0003-1764-119X</t>
  </si>
  <si>
    <t>e0242276</t>
  </si>
  <si>
    <t>10.1371/journal.pone.0242276</t>
  </si>
  <si>
    <t>WOS:000595266800001</t>
  </si>
  <si>
    <t>Marre, J; Traver, EC; Jose, AM</t>
  </si>
  <si>
    <t>Marre, Julia; Traver, Edward C.; Jose, Antony M.</t>
  </si>
  <si>
    <t>Extracellular RNA is transported from one generation to the next in Caenorhabditis elegans</t>
  </si>
  <si>
    <t>circulating RNA; parental RNAi; epigenetics; transgenerational inheritance; endocytosis</t>
  </si>
  <si>
    <t>DOUBLE-STRANDED-RNA; TRANSMEMBRANE PROTEIN SID-1; C-ELEGANS; TRANSGENERATIONAL INHERITANCE; EPIGENETIC INHERITANCE; CIRCULATING MICRORNAS; PATERNAL STRESS; SYSTEMIC RNAI; INTERFERENCE; GENE</t>
  </si>
  <si>
    <t>Experiences during the lifetime of an animal have been proposed to have consequences for subsequent generations. Although it is unclear how such intergenerational transfer of information occurs, RNAs found extracellularly in animals are candidate molecules that can transfer gene-specific regulatory information from one generation to the next because they can enter cells and regulate gene expression. In support of this idea, when double-stranded RNA (dsRNA) is introduced into some animals, the dsRNA can silence genes of matching sequence and the silencing can persist in progeny. Such persistent gene silencing is thought to result from sequence-specific interaction of the RNA within parents to generate chromatin modifications, DNA methylation, and/ or secondary RNAs, which are then inherited by progeny. Here, we show that dsRNA can be directly transferred between generations in the worm Caenorhabditis elegans. Intergenerational transfer of dsRNA occurs even in animals that lack any DNA of matching sequence, and dsRNA that reaches progeny can spread between cells to cause gene silencing. Surprisingly, extracellular dsRNA can also reach progeny without entry into the cytosol, presumably within intracellular vesicles. Fluorescently labeled dsRNA is imported from extracellular space into oocytes along with yolk and accumulates in punctate structures within embryos. Subsequent entry into the cytosol of early embryos causes gene silencing in progeny. These results demonstrate the transport of extracellular RNA from one generation to the next to regulate gene expression in an animal and thus suggest a mechanism for the transmission of experience-dependent effects between generations.</t>
  </si>
  <si>
    <t>[Marre, Julia; Traver, Edward C.; Jose, Antony M.] Univ Maryland, Dept Cell Biol &amp; Mol Genet, College Pk, MD 20742 USA; [Traver, Edward C.] Hofstra Univ, Hofstra Northwell Sch Med, Hempstead, NY 11549 USA</t>
  </si>
  <si>
    <t>University System of Maryland; University of Maryland College Park; Hofstra University; Northwell Health</t>
  </si>
  <si>
    <t>Jose, AM (corresponding author), Univ Maryland, Dept Cell Biol &amp; Mol Genet, College Pk, MD 20742 USA.</t>
  </si>
  <si>
    <t>amjose@umd.edu</t>
  </si>
  <si>
    <t>Traver, Edward/AAL-9196-2021</t>
  </si>
  <si>
    <t>Traver, Edward/0000-0001-7127-3872; Jose, Antony/0000-0003-1405-0618</t>
  </si>
  <si>
    <t>10.1073/pnas.1608959113</t>
  </si>
  <si>
    <t>WOS:000386608200056</t>
  </si>
  <si>
    <t>Liu, ZJ; Gan, L; Zhang, TT; Ren, Q; Sun, C</t>
  </si>
  <si>
    <t>Liu, Zhenjiang; Gan, Lu; Zhang, Tiantian; Ren, Qian; Sun, Chao</t>
  </si>
  <si>
    <t>Melatonin alleviates adipose inflammation through elevating -ketoglutarate and diverting adipose-derived exosomes to macrophages in mice</t>
  </si>
  <si>
    <t>JOURNAL OF PINEAL RESEARCH</t>
  </si>
  <si>
    <t>-ketoglutarate; adipose inflammation; exosome; macrophage; melatonin</t>
  </si>
  <si>
    <t>MITOCHONDRIAL DYSFUNCTION; EXTRACELLULAR VESICLES; OXIDATIVE STRESS; INNATE IMMUNITY; ACTIVATION; APOPTOSIS; SUCCINATE; OBESITY; DNA; METABOLISM</t>
  </si>
  <si>
    <t>Obesity is associated with macrophage infiltration and metabolic inflammation, both of which promote metabolic disease progression. Melatonin is reported to possess anti-inflammatory properties by inhibiting inflammatory response of adipocytes and macrophages activation. However, the effects of melatonin on the communication between adipocytes and macrophages during adipose inflammation remain elusive. Here, we demonstrated melatonin alleviated inflammation and elevated -ketoglutarate (KG) level in adipose tissue of obese mice. Mitochondrial isocitrate dehydrogenase 2 (Idh2) mRNA level was also elevated by melatonin in adipocytes leading to increase KG level. Further analysis revealed KG was the target for melatonin inhibition of adipose inflammation. Moreover, sirtuin 1 (Sirt1) physically interacted with IDH2 and formed a complex to increase the circadian amplitude of Idh2 and KG content in melatonin-inhibited adipose inflammation. Notably, melatonin promoted exosomes secretion from adipocyte and increased adipose-derived exosomal KG level. Our results also confirmed that melatonin alleviated adipocyte inflammation and increased ratio of M2 to M1 macrophages by transporting of exosomal KG to macrophages and promoting TET-mediated DNA demethylation. Furthermore, exosomal KG attenuated signal transducers and activators of transduction-3 (STAT3)/NF-B signal by its receptor oxoglutarate receptor 1 (OXGR1) in adipocytes. Melatonin also attenuated adipose inflammation and deceased macrophage number in chronic jet-lag mice. In summary, our results demonstrate melatonin alleviates metabolic inflammation by increasing cellular and exosomal KG level in adipose tissue. Our data reveal a novel function of melatonin on adipocytes and macrophages communication, suggesting a new potential therapy for melatonin to prevent and treat obesity caused systemic inflammatory disease.</t>
  </si>
  <si>
    <t>[Liu, Zhenjiang; Gan, Lu; Zhang, Tiantian; Ren, Qian; Sun, Chao] Northwest A&amp;F Univ, Coll Anim Sci &amp; Technol, Yangling, Shaanxi, Peoples R China</t>
  </si>
  <si>
    <t>Sun, C (corresponding author), Northwest A&amp;F Univ, Coll Anim Sci &amp; Technol, Yangling, Shaanxi, Peoples R China.</t>
  </si>
  <si>
    <t>sunchao2775@163.com</t>
  </si>
  <si>
    <t>Liu, Zhenjiang/AAL-3343-2021</t>
  </si>
  <si>
    <t>0742-3098</t>
  </si>
  <si>
    <t>1600-079X</t>
  </si>
  <si>
    <t>e12455</t>
  </si>
  <si>
    <t>10.1111/jpi.12455</t>
  </si>
  <si>
    <t>Endocrinology &amp; Metabolism; Neurosciences; Physiology</t>
  </si>
  <si>
    <t>Endocrinology &amp; Metabolism; Neurosciences &amp; Neurology; Physiology</t>
  </si>
  <si>
    <t>WOS:000417884900006</t>
  </si>
  <si>
    <t>Suutari, T; Silen, T; Sen Karaman, D; Saari, H; Desai, D; Kerkela, E; Laitinen, S; Hanzlikova, M; Rosenholm, JM; Yliperttula, M; Viitala, T</t>
  </si>
  <si>
    <t>Suutari, Teemu; Silen, Tiina; Sen Karaman, Didem; Saari, Heikki; Desai, Diti; Kerkela, Erja; Laitinen, Saara; Hanzlikova, Martina; Rosenholm, Jessica M.; Yliperttula, Marjo; Viitala, Tapani</t>
  </si>
  <si>
    <t>Real-Time Label-Free Monitoring of Nanoparticle Cell Uptake</t>
  </si>
  <si>
    <t>INTRACELLULAR TRAFFICKING; EXTRACELLULAR VESICLES; IN-VITRO; SURFACE; GENE; DELIVERY; CYTOTOXICITY; ENDOCYTOSIS; DESIGN; SIZE</t>
  </si>
  <si>
    <t>The surface plasmon resonance technique in combination with whole cell sensing is used for the first time for real-time label-free monitoring of nanoparticle cell uptake. The uptake kinetics of several types of nanoparticles relevant to drug delivery applications into HeLa cells is determined. The cell uptake of the nanoparticles is confirmed by confocal microscopy. The cell uptake of silica nanoparticles and polyethylenimine-plasmid DNA polyplexes is studied as a function of temperature, and the uptake energies are determined by Arrhenius plots. The phase transition temperature of the HeLa cell membrane is detected when monitoring cell uptake of silica nanoparticles at different temperatures. The HeLa cell uptake of the mesoporous silica nanoparticles is energy-independent at temperatures slightly higher than the phase transition temperature of the HeLa cell membrane, while the uptake of polyethylenimine-DNA polyplexes is energy-dependent and linear as a function of temperature with an activation energy of Ea = 62 +/- 7 kJ mol(-1) = 15 +/- 2 kcal mol(-1). The HeLa cell uptake of red blood cell derived extracellular vesicles is also studied as a function of the extracellular vesicle concentration. The results show a concentration dependent behavior reaching a saturation level of the extracellular vesicle uptake by HeLa cells.</t>
  </si>
  <si>
    <t>[Suutari, Teemu; Silen, Tiina; Saari, Heikki; Hanzlikova, Martina; Yliperttula, Marjo; Viitala, Tapani] Univ Helsinki, Fac Pharm, Ctr Drug Res, Div Pharmaceut Biosci, POB 56, FIN-00014 Helsinki, Finland; [Sen Karaman, Didem; Desai, Diti; Rosenholm, Jessica M.] Abo Akad Univ, Fac Sci &amp; Engn, Pharmaceut Sci Lab, BioCity 3rd Floor,Artillerigatan 6A, FIN-20520 Turku, Finland; [Sen Karaman, Didem] Abo Akad Univ, Fac Sci &amp; Engn, Phys Chem Lab, Ctr Funct Mat, Porthansgatan 3-5, SF-20500 Turku, Finland; [Kerkela, Erja; Laitinen, Saara] Finnish Red Cross Blood Serv, Kivihaantie 7, Helsinki 00310, Finland; [Yliperttula, Marjo] Univ Padua, Dept Pharmaceut &amp; Pharmacol Sci, Via F Marzolo 5, Padua, Italy</t>
  </si>
  <si>
    <t>University of Helsinki; Abo Akademi University; Abo Akademi University; University of Padua</t>
  </si>
  <si>
    <t>Viitala, T (corresponding author), Univ Helsinki, Fac Pharm, Ctr Drug Res, Div Pharmaceut Biosci, POB 56, FIN-00014 Helsinki, Finland.</t>
  </si>
  <si>
    <t>tapani.viitala@helsinki.fi</t>
  </si>
  <si>
    <t>Rosenholm, Jessica/H-2542-2012; Karaman, Didem Sen/AAA-4738-2020; Viitala, Tapani/N-1434-2014; Kerkela, Erja/P-9459-2016</t>
  </si>
  <si>
    <t>Rosenholm, Jessica/0000-0001-6085-1112; Karaman, Didem Sen/0000-0002-2368-9598; Viitala, Tapani/0000-0001-9074-9450; Suutari, Teemu/0000-0002-7375-8678; Kerkela, Erja/0000-0002-2923-5300; Hanzlikova, Martina/0000-0002-5022-0103; Saari, Heikki Olavi/0000-0002-6678-0439</t>
  </si>
  <si>
    <t>10.1002/smll.201601815</t>
  </si>
  <si>
    <t>WOS:000389408000011</t>
  </si>
  <si>
    <t>Simhadri, VR; Reiners, KS; Hansen, HP; Topolar, D; Simhadri, VL; Nohroudi, K; Kufer, TA; Engert, A; von Strandmann, EP</t>
  </si>
  <si>
    <t>Simhadri, Venkateswara Rao; Reiners, Katrin S.; Hansen, Hinrich P.; Topolar, Daniela; Simhadri, Vijaya Lakshmi; Nohroudi, Klaus; Kufer, Thomas A.; Engert, Andreas; von Strandmann, Elke Pogge</t>
  </si>
  <si>
    <t>Dendritic Cells Release HLA-B-Associated Transcript-3 Positive Exosomes to Regulate Natural Killer Function</t>
  </si>
  <si>
    <t>NKp30, a natural cytotoxicity receptor expressed on NK cells is critically involved in direct cytotoxicity against various tumor cells and directs both maturation and selective killing of dendritic cells. Recently the intracellular protein BAT3, which is involved in DNA damage induced apoptosis, was identified as a ligand for NKp30. However, the mechanisms underlying the exposure of the intracellular ligand BAT3 to surface NKp30 and its role in NK-DC cross talk remained elusive. Electron microscopy and flow cytometry demonstrate that exosomes released from 293T cells and iDCs express BAT3 on the surface and are recognized by NKp30-Ig. Overexpression and depletion of BAT3 in 293T cells directly correlates with the exosomal expression level and the activation of NK cell-mediated cytokine release. Furthermore, the NKp30-mediated NK/DC cross talk resulting either in iDC killing or maturation was BAT3-dependent. Taken together this puts forward a new model for the activation of NK cells through intracellular signals that are released via exosomes from accessory cells. The manipulation of the exosomal regulation may offer a novel strategy to induce tumor immunity or inhibit autoimmune diseases caused by NK cell-activation.</t>
  </si>
  <si>
    <t>[Simhadri, Venkateswara Rao; Reiners, Katrin S.; Hansen, Hinrich P.; Topolar, Daniela; Simhadri, Vijaya Lakshmi; Engert, Andreas; von Strandmann, Elke Pogge] Univ Cologne, Dept Internal Med 1, Lab Immune Therapy, Ctr Integrated Oncol Koeln Bonn, Cologne, Germany; [Nohroudi, Klaus] Univ Hosp Cologne, Inst Anat I, Cologne, Germany; [Kufer, Thomas A.] Univ Cologne, Inst Med Microbiol, Immunol &amp; Hyg, D-5000 Cologne, Germany</t>
  </si>
  <si>
    <t>University of Cologne; University of Cologne; University of Cologne</t>
  </si>
  <si>
    <t>Simhadri, VR (corresponding author), Univ Cologne, Dept Internal Med 1, Lab Immune Therapy, Ctr Integrated Oncol Koeln Bonn, Cologne, Germany.</t>
  </si>
  <si>
    <t>venkatsimhadri@googlemail.com; elke.pogge@uk-koeln.de</t>
  </si>
  <si>
    <t>Kufer, Thomas A/I-5146-2015</t>
  </si>
  <si>
    <t>Kufer, Thomas A/0000-0003-4563-0412; Reiners, Katrin/0000-0002-5908-8823</t>
  </si>
  <si>
    <t>OCT 13</t>
  </si>
  <si>
    <t>e3377</t>
  </si>
  <si>
    <t>10.1371/journal.pone.0003377</t>
  </si>
  <si>
    <t>WOS:000265121600003</t>
  </si>
  <si>
    <t>Guo, YJ; Fu, SH; Li, LL</t>
  </si>
  <si>
    <t>Guo, Ya-Jun; Fu, Shi-Hui; Li, Lu-Lin</t>
  </si>
  <si>
    <t>Autographa californica multiple nucleopoly-hedrovirus ac75 is required for egress of nucleocapsids from the nucleus and formation of de novo intranuclear membrane microvesicles</t>
  </si>
  <si>
    <t>OCCLUSION-DERIVED VIRUS; POLYHEDROSIS-VIRUS; BUDDED-VIRUS; CELLULAR-LOCALIZATION; STRUCTURAL PROTEINS; ESCHERICHIA-COLI; EFFICIENT EGRESS; BODY FORMATION; CORE GENE; BACULOVIRUS</t>
  </si>
  <si>
    <t>In this study, Autographa californica multiple nucleopolyhedrovirus ac75 was functionally characterized. Ac75 has homologs in all sequenced genomes of alphabaculoviruses, betabaculoviruses, and gammabaculoviruses. It was determined to encode a protein that is associated with the nucleocapsid of budded virus and with both envelope and nucleocapsids of occlusion-derived virus. Sf9 cells transfected by an ac75-knockout bacmid resulted in the infection being restricted to single cells. No budded virus were detected although viral DNA replication and late gene expression were unaffected. Electron microscopy revealed that the virogenic stroma, nucleocapsids and occlusion bodies appeared normal in the cells transfected by an ac75-knockout bacmid. However, the nucleocapsids were unenveloped, the occlusion bodies did not contain any virions or nucleocapsids, and no nucleocapsids were found outside the nucleus or spanning the nuclear membrane. In addition, de novo intranuclear membrane microvesicles that are the precursor of occlusion-derived virus envelopes were absent in the nuclei of transfected cells. Confocal microscopy showed that AC75 protein appeared in the cytoplasm as early as 6 hours post infection. It localized to the ring zone at the periphery of the nucleus from 15 to 24 hours post infection and demonstrated light blocky cloud-like distribution in the center of the nucleus. AC75 was found to co-immunoprecipitate with BV and ODV associated envelope protein ODV-E25. The data from this study suggest that ac75 is essential for induction of the intranuclear membrane microvesicles, it appears to be required for the intranuclear envelopment of nucleocapsids, and is also essential for egress of nucleocapsids from the nuclei, in infected cells.</t>
  </si>
  <si>
    <t>[Guo, Ya-Jun; Fu, Shi-Hui; Li, Lu-Lin] Cent China Normal Univ, Coll Life Sci, Hubei Key Lab Genet Regulat &amp; Integrat Biol, Wuhan, Hubei, Peoples R China</t>
  </si>
  <si>
    <t>Central China Normal University</t>
  </si>
  <si>
    <t>Li, LL (corresponding author), Cent China Normal Univ, Coll Life Sci, Hubei Key Lab Genet Regulat &amp; Integrat Biol, Wuhan, Hubei, Peoples R China.</t>
  </si>
  <si>
    <t>lilulin@mail.ccnu.edu.cn</t>
  </si>
  <si>
    <t>LULIN, LI/W-3785-2019</t>
  </si>
  <si>
    <t>e0185630</t>
  </si>
  <si>
    <t>10.1371/journal.pone.0185630</t>
  </si>
  <si>
    <t>WOS:000412029600032</t>
  </si>
  <si>
    <t>Nikitina, IG; Sabirova, EY; Solopova, ON; Surzhikov, SA; Grineva, EN; Karpov, VL; Lisitsyn, NA; Beresten, SF</t>
  </si>
  <si>
    <t>Nikitina, I. G.; Sabirova, E. Yu.; Solopova, O. N.; Surzhikov, S. A.; Grineva, E. N.; Karpov, V. L.; Lisitsyn, N. A.; Beresten, S. F.</t>
  </si>
  <si>
    <t>A new immuno-PCR format for serological diagnosis of colon cancer</t>
  </si>
  <si>
    <t>MOLECULAR BIOLOGY</t>
  </si>
  <si>
    <t>tumor exosomes; immuno-PCR; DNA reporter; homoprimer; colon cancer</t>
  </si>
  <si>
    <t>ANTIGEN-DETECTION; EXOSOMES</t>
  </si>
  <si>
    <t>A new immuno-PCR format based on the detection of CDH17 membrane protein in serum exosomes is proposed. Using the technique described, it was possible to distinguish between serum specimens obtained from healthy donors and colon cancer patients. The results suggest that the new technique may enable the serological diagnosis of colon cancer in high-risk groups.</t>
  </si>
  <si>
    <t>[Nikitina, I. G.; Sabirova, E. Yu.; Surzhikov, S. A.; Grineva, E. N.; Karpov, V. L.; Lisitsyn, N. A.; Beresten, S. F.] Russian Acad Sci, Engelhardt Inst Mol Biol, Moscow 119991, Russia; [Solopova, O. N.] All Russia Sci Ctr Mol Diagnost &amp; Treatment, Moscow 117638, Russia</t>
  </si>
  <si>
    <t>Russian Academy of Sciences; Engelhardt Institute of Molecular Biology, RAS</t>
  </si>
  <si>
    <t>Nikitina, IG (corresponding author), Russian Acad Sci, Engelhardt Inst Mol Biol, Moscow 119991, Russia.</t>
  </si>
  <si>
    <t>sberesten@gmail.com</t>
  </si>
  <si>
    <t>Karpov, Vadim/G-7932-2014; Lisitsyn, Nikolai/AAO-7011-2021; Solopova, Olga/H-9982-2018</t>
  </si>
  <si>
    <t>Grineva, Evgeniya/0000-0002-3099-3029; Surzhikov, Sergey/0000-0002-6043-1182; Solopova, Olga/0000-0002-5465-6094</t>
  </si>
  <si>
    <t>0026-8933</t>
  </si>
  <si>
    <t>1608-3245</t>
  </si>
  <si>
    <t>10.1134/S0026893313060095</t>
  </si>
  <si>
    <t>WOS:000332024300012</t>
  </si>
  <si>
    <t>Konecna, B; Kovalcikova, AG; Pancikova, A; Novak, B; Kovalova, E; Celec, P; Tothova, L</t>
  </si>
  <si>
    <t>Konecna, Barbora; Kovalcikova, Alexandra Gaal; Pancikova, Alexandra; Novak, Bohuslav; Kovalova, Eva; Celec, Peter; Tothova, Lubomira</t>
  </si>
  <si>
    <t>Salivary Extracellular DNA and DNase Activity in Periodontitis</t>
  </si>
  <si>
    <t>APPLIED SCIENCES-BASEL</t>
  </si>
  <si>
    <t>cell free DNA; salivary biomarkers; gingivitis; oral diseases; apoptotic bodies; deoxyribonucleases</t>
  </si>
  <si>
    <t>PLASMA DNA; BIOMARKERS; EXOSOMES</t>
  </si>
  <si>
    <t>Extracellular DNA (ecDNA) is a potential marker and predictor in several inflammatory diseases. Periodontitis, a chronic inflammatory disease, is associated with epithelial cell death and could lead to release of DNA. Our aim was to analyze salivary DNA concentration and deoxyribonuclease (DNase) activity in periodontitis patients. We hypothesized that salivary ecDNA will be higher than in controls and could serve as a marker of periodontitis severity. Samples of saliva were collected from 25 patients with chronic periodontitis and 29 age-matched controls. DNA was quantified fluorometrically in whole saliva, as well as in supernatants after centrifugation (depletion of cells at 1600x g) and in double-centrifuged supernatants (depletion of cell debris at 1600x g and 16,000x g). The subcellular origin of ecDNA was assessed using real-time PCR. In comparison to controls, patients with periodontitis had twofold higher salivary DNA (p &lt; 0.01), higher mitochondrial DNA in centrifuged supernatants (p &lt; 0.05) and lower nuclear ecDNA in double-centrifuged samples (p &lt; 0.05). No correlations were found between salivary DNA and oral health status, but mitochondrial DNA positively correlated with papillary bleeding index in centrifuged samples. Salivary DNase activity was comparable between the groups. In conclusion, we proved that salivary DNA is higher in periodontitis. The source of the higher mitochondrial DNA in cell-free saliva and the causes of lower nuclear ecDNA remain to be elucidated. Further studies should focus on the role of mitochondrial DNA as a potential driver of inflammation in periodontitis.</t>
  </si>
  <si>
    <t>[Konecna, Barbora; Celec, Peter; Tothova, Lubomira] Comenius Univ, Fac Med, Inst Mol Biomed, Bratislava 81108, Slovakia; [Kovalcikova, Alexandra Gaal] Comenius Univ, Natl Inst Childrens Dis &amp; Fac Med, Dept Pediat, Bratislava 83101, Slovakia; [Pancikova, Alexandra] Univ Edinburgh, Sch Biol Sci, Edinburgh EH9 3FF, Midlothian, Scotland; [Novak, Bohuslav] Comenius Univ, Fac Med, Dept Stomatol &amp; Maxillofacial Surg, Bratislava 81108, Slovakia; [Kovalova, Eva] JA Reiman Hosp Presov, Dept Maxillofacial Surg &amp; Dent Hyg, Presov 08001, Slovakia; [Celec, Peter] Comenius Univ, Fac Med, Inst Pathophysiol, Bratislava 81108, Slovakia; [Celec, Peter] Comenius Univ, Fac Nat Sci, Dept Mol Biol, Bratislava 84104, Slovakia</t>
  </si>
  <si>
    <t>Comenius University Bratislava; Comenius University Bratislava; University of Edinburgh; Comenius University Bratislava; Comenius University Bratislava; Comenius University Bratislava</t>
  </si>
  <si>
    <t>Tothova, L (corresponding author), Comenius Univ, Fac Med, Inst Mol Biomed, Bratislava 81108, Slovakia.</t>
  </si>
  <si>
    <t>basa.konecna@gmail.com; alexandra.kovalcikova114@gmail.com; apancikova@gmail.com; bohuslay.novak@fmed.uniba.sk; kovalova@nextra.sk; petercelec@gmail.com; lubomira.tothova@imbm.sk</t>
  </si>
  <si>
    <t>Celec, Peter/I-7103-2012; Kovalčíková, Alexandra Gaál/O-7043-2019; Konecna, Barbora/Q-4617-2017; Gaál Kovalčíková, Alexandra/AAB-8083-2022; Tothova, Lubomira/AAO-7204-2020</t>
  </si>
  <si>
    <t>Celec, Peter/0000-0001-5883-3580; Konecna, Barbora/0000-0002-5544-1482; Gaál Kovalčíková, Alexandra/0000-0002-6914-7751; Tothova, Lubomira/0000-0001-9162-4916</t>
  </si>
  <si>
    <t>2076-3417</t>
  </si>
  <si>
    <t>10.3390/app10217490</t>
  </si>
  <si>
    <t>Chemistry, Multidisciplinary; Engineering, Multidisciplinary; Materials Science, Multidisciplinary; Physics, Applied</t>
  </si>
  <si>
    <t>Chemistry; Engineering; Materials Science; Physics</t>
  </si>
  <si>
    <t>WOS:000589008800001</t>
  </si>
  <si>
    <t>Kim, S; Han, J; Park, JS; Kim, JH; Lee, ES; Cha, BS; Park, KS</t>
  </si>
  <si>
    <t>Kim, Seokjoon; Han, Jinjoo; Park, Jung Soo; Kim, Jung Ho; Lee, Eun Sung; Cha, Byung Seok; Park, Ki Soo</t>
  </si>
  <si>
    <t>DNA barcode-based detection of exosomal microRNAs using nucleic acid lateral flow assays for the diagnosis of colorectal cancer</t>
  </si>
  <si>
    <t>Colorectal cancer; Exosome; DNA barcode; Nucleic acid lateral flow assay; microRNA</t>
  </si>
  <si>
    <t>Colorectal cancer (CRC) is the third most common cancer and the second leading cause of cancer-related deaths worldwide. The standard methods for diagnosing CRC, endoscopy and tissue biopsy, are invasive and timeconsuming. Herein, we propose a novel method for the accurate and non-invasive diagnosis of CRC based on the analysis of exosomes that are circulating in biological fluids using a DNA barcode-based nucleic acid lateral flow assay (NALFA). Our technology combines reverse transcription using a stem-loop primer with DNA barcodebased NALFA. A colorimetric signal is generated only in the presence of the target exosomal miRNA, which can be determined even with the naked eye. The proposed system successfully detected miR-92a and miR-141, which are overexpressed in CRC exosomes. Moreover, when applied to plasma samples from CRC patients, our system simultaneously detected multiple markers in one strip. By combining these markers, we achieved high analytical performance with a sensitivity and a specificity of 95.24% and 100.0%, respectively, demonstrating that the proposed assay can be a simple diagnostic platform for the detection of exosomal miRNA.</t>
  </si>
  <si>
    <t>[Kim, Seokjoon; Han, Jinjoo; Park, Jung Soo; Kim, Jung Ho; Lee, Eun Sung; Cha, Byung Seok; Park, Ki Soo] Konkuk Univ, Dept Biol Engn, Coll Engn, Seoul 05029, South Korea</t>
  </si>
  <si>
    <t>Park, KS (corresponding author), Konkuk Univ, Dept Biol Engn, Coll Engn, Seoul 05029, South Korea.</t>
  </si>
  <si>
    <t>akdong486@konkuk.ac.kr</t>
  </si>
  <si>
    <t>10.1016/j.talanta.2022.123306</t>
  </si>
  <si>
    <t>WOS:000759331100007</t>
  </si>
  <si>
    <t>Li, ZW; Meng, XQ; Wu, PF; Zha, CJ; Han, B; Li, LL; Sun, N; Qi, TF; Qin, J; Zhang, YG; Tian, KF; Li, SP; Yang, CX; Ren, LJ; Ming, JG; Wang, PD; Song, YF; Jiang, CL; Cai, JQ</t>
  </si>
  <si>
    <t>Li, Ziwei; Meng, Xiangqi; Wu, Pengfei; Zha, Caijun; Han, Bo; Li, Lulu; Sun, Nan; Qi, Tengfei; Qin, Jie; Zhang, Yangong; Tian, Kaifu; Li, Shupeng; Yang, Changxiao; Ren, Lejia; Ming, Jianguang; Wang, Pandeng; Song, Yifei; Jiang, Chuanlu; Cai, Jinquan</t>
  </si>
  <si>
    <t>Glioblastoma Cell-Derived lncRNA-Containing Exosomes Induce Microglia to Produce Complement C5, Promoting Chemotherapy Resistance</t>
  </si>
  <si>
    <t>KINASE P38; TUMOR; GLIOMA; PROGRESSION</t>
  </si>
  <si>
    <t>Glioblastoma (GBM), the most common malignant primary brain cancer in adults, nearly always becomes resistant to current treatments, including the chemotherapeutic temozolomide (TMZ). The long noncoding RNA (lncRNA) TMZ-associated lncRNA in GBM recurrence (lnc-TALC) promotes GBM resistance to TMZ. Exosomes can release biochemical cargo into the tumor microenvironment (TME) or transfer their contents, induding lncRNAs, to other cells as a form of intercellular communication. In this study, we found that lnc-TALC could be incorporated into exosomes and transmitted to tumor-associated macrophages (TAM) and could promote M2 polarization of the microglia. This M2 polarization correlated with secretion of the complement components C5/C5a, which occurred downstream of lnc-TALC binding to ENO1 to promote the phosphorylation of p38 MAPK. In addition, C5 promoted the repair of TMZ-induced DNA damage, leading to chemotherapy resistance, and C5a-targeted immunotherapy showed improved efficacy that limited lnc-TALC-mediated TMZ resistance. Our results reveal that exosome-transmitted lnc-TALC could remodel the GBM microenvironment and reduce tumor sensitivity to TMZ chemotherapy, indicating that the lnc-TALC-mediated cross-talk between GBM cells and microglia could attenuate chemotherapy efficacy and pointing to potential combination therapy strategies to overcome TMZ resistance in GBM.</t>
  </si>
  <si>
    <t>[Li, Ziwei; Meng, Xiangqi; Wu, Pengfei; Han, Bo; Li, Lulu; Sun, Nan; Qi, Tengfei; Qin, Jie; Zhang, Yangong; Tian, Kaifu; Li, Shupeng; Yang, Changxiao; Ren, Lejia; Ming, Jianguang; Wang, Pandeng; Song, Yifei; Jiang, Chuanlu; Cai, Jinquan] Harbin Med Univ, Dept Neurosurg, Affiliated Hosp 2, 246 Xuefu Rd, Harbin 150086, Peoples R China; [Zha, Caijun] Harbin Med Univ, Dept Lab Diag, Affiliated Hosp 2, Harbin, Peoples R China; [Han, Bo] Capital Med Univ, Dept Neurosurg, Beijing Tiantan Hosp, Beijing, Peoples R China; [Cai, Jinquan] Karolinska Inst, Biomedicum, Dept Microbiol Tumor &amp; Cell Biol MTC, Stockholm, Sweden</t>
  </si>
  <si>
    <t>Harbin Medical University; Harbin Medical University; Capital Medical University; Karolinska Institutet</t>
  </si>
  <si>
    <t>Jiang, CL; Cai, JQ (corresponding author), Harbin Med Univ, Dept Neurosurg, Affiliated Hosp 2, 246 Xuefu Rd, Harbin 150086, Peoples R China.</t>
  </si>
  <si>
    <t>jcl6688@163.com; caijinquan@hrbmu.edu.cn</t>
  </si>
  <si>
    <t>10.1158/2326-6066.CIR-21-0258</t>
  </si>
  <si>
    <t>WOS:000727271400001</t>
  </si>
  <si>
    <t>Wang, S; Wang, Y; Wang, Y; Duan, ZH; Ling, ZX; Wu, WZ; Tong, SM; Wang, HM; Deng, SL</t>
  </si>
  <si>
    <t>Wang, Sa; Wang, Yuan; Wang, Ying; Duan, Zhuhui; Ling, Zongxin; Wu, Wenzhi; Tong, Suman; Wang, Huiming; Deng, Shuli</t>
  </si>
  <si>
    <t>Theaflavin-3,3 '-Digallate Suppresses Biofilm Formation, Acid Production, and Acid Tolerance in Streptococcus mutans by Targeting Virulence Factors</t>
  </si>
  <si>
    <t>Streptococcus mutans; theaflavin-3,3 '-digallate; biofilms; extracellular polymeric substances; extracellular DNA; glucans</t>
  </si>
  <si>
    <t>TRANSCRIPTIONAL ANALYSIS; GENETIC COMPETENCE; EXTRACELLULAR DNA; DENTAL-CARIES; TEA EXTRACT; BLACK TEA; SYSTEM; GLUCOSYLTRANSFERASES; POLYPHENOLS; DIGALLATE</t>
  </si>
  <si>
    <t>As one of the most important cariogenic pathogens, Streptococcus mutans has strong abilities to form biofilms, produce acid and tolerate acid. In present study, we found that theaflavin-3,3'-digallate (TF3) had an inhibitory effect on S. mutans UA159 in vitro. Visualized by field emission-scanning electron microscopy, the suppressed formation of S. mutans biofilms grown with TF3 at sub-inhibitory concentrations could be attributed to the reduced biofilm matrix, which was proven to contain glucans and extracellular DNA (eDNA). Glucan-reduced effect of TF3 was achieved by down-regulating expression levels of gtfB, gtfC, and gtfD encoding glucosyltransferases. Besides, TF3 reduced eDNA formation of S. mutans by negatively regulating IrgA, IrgB, and srtA, which govern cell autolysis and membrane vesicle components. Furthermore, TF3 also played vital roles in antagonizing preformed biofilms of S. mutans. Bactericidal effects of TF3 became significant when its concentrations increased more than twofold of minimum inhibitory concentration (MIC). Moreover, the capacities of S. mutans biofilms to produce acid and tolerate acid were significantly weakened by TF3 at MIC. Based on real-time PCR (RT-PCR) analysis, the mechanistic effects of TF3 were speculated to comprise the inhibition of enolase, lactate dehydrogenase, F-type ATPase and the agmatine deiminase system. Moreover, TF3 has been found to downregulate LytST, VicRK, and ComDE two component systems in S. mutans, which play critical roles in the regulatory network of virulence factors. Our present study found that TF3 could suppress the formation and cariogenic capacities of S. mutans biofilms, which will provide new strategies for anti-caries in the future.</t>
  </si>
  <si>
    <t>[Wang, Sa; Wang, Yuan; Wang, Ying; Duan, Zhuhui; Wu, Wenzhi; Tong, Suman; Wang, Huiming; Deng, Shuli] Zhejiang Univ, Coll Med, Affiliated Hosp Stomatol, Hangzhou, Zhejiang, Peoples R China; [Ling, Zongxin] Zhejiang Univ, Coll Med, Affiliated Hosp 1, State Key Lab Diag &amp; Treatment Infect Dis,Collabo, Hangzhou, Zhejiang, Peoples R China</t>
  </si>
  <si>
    <t>Wang, HM; Deng, SL (corresponding author), Zhejiang Univ, Coll Med, Affiliated Hosp Stomatol, Hangzhou, Zhejiang, Peoples R China.</t>
  </si>
  <si>
    <t>whmwhm@zju.edu.cn; dengshuli@zju.edu.cn</t>
  </si>
  <si>
    <t>Ling, Zongxin/M-1657-2018; Ling, Zongxin/AAM-4059-2021</t>
  </si>
  <si>
    <t xml:space="preserve">Ling, Zongxin/0000-0001-9662-099X; </t>
  </si>
  <si>
    <t>JUL 26</t>
  </si>
  <si>
    <t>10.3389/fmicb.2019.01705</t>
  </si>
  <si>
    <t>WOS:000477778300001</t>
  </si>
  <si>
    <t>Thome, PE; Rivera-Ortega, J</t>
  </si>
  <si>
    <t>Thome, Patricia E.; Rivera-Ortega, Jacqueline</t>
  </si>
  <si>
    <t>Specific antibacterial activity against potential pathogens and re-straining of larvae settlement from a pigmented Pseudoalteromonas strain isolated from the jellyfish Cassiopea xamachana</t>
  </si>
  <si>
    <t>INTERNATIONAL AQUATIC RESEARCH</t>
  </si>
  <si>
    <t>Commensal bacteria; Larval settlement; Extracellular vesicles; Antimicrobial; Epibionts</t>
  </si>
  <si>
    <t>OCULINA-PATAGONICA; SYMBIOTIC ALGAE; SP-NOV.; CORAL; MUCUS; BACTERIA; DISEASE; SURFACE; METAMORPHOSIS; COLONIZATION</t>
  </si>
  <si>
    <t>The bacterial genus Pseudoalteromonas is commonly found in the ocean and frequently associated with marine invertebrates. This bacterial group produces metabolites with antibacterial, algicidal, antifouling, and biofilm promoting activities that have interested the scientific community for years. Unlike corals, reports on diseased symbiotic, soft-body cnidarians are scarce, suggesting their surface mucus layer may be efficient in fighting potential bacterial pathogens. With the aim to study attributes of cnidaria-associated bacteria, we isolated a Pseudoalteromonas pigmented strain from the surface mucus layer of a bleached jellyfish Cassiopea xamachana with a 99,66% similarity to P. piscicida, as identified through 16S rRNA sequencing. This Pseudoalteromonas sp. yellow isolate specifically inhibited the growth of the potential bacterial pathogen Serratia marcescens, and an Aurantimonas sp. strain. This isolated Pseudoalteromonas strain also showed activity against epibionts, reducing the settlement of medusa larvae by 50% compared to controls. A 40% inhibition in the settlement of medusa larvae was scored for an organic extract prepared from a filtrate of the cultured isolate as well as positive protease activity. Overall, our results suggest Pseudoalteromonas sp. yellow isolate can fight potential pathogens and produce extracellular vesicles with metabolites that can influence the settlement and survival of larvae, presenting positive attributes for this animal host.</t>
  </si>
  <si>
    <t>[Thome, Patricia E.; Rivera-Ortega, Jacqueline] Univ Nacl Autonoma Mexico, Inst Ciencias Mar &amp; Limnol, Unidad Acad Sistemas Arrecifales Puerto Morelos, Puerto Morelos 77500, Quintana Roo, Mexico</t>
  </si>
  <si>
    <t>Universidad Nacional Autonoma de Mexico</t>
  </si>
  <si>
    <t>Thome, PE (corresponding author), Univ Nacl Autonoma Mexico, Inst Ciencias Mar &amp; Limnol, Unidad Acad Sistemas Arrecifales Puerto Morelos, Puerto Morelos 77500, Quintana Roo, Mexico.</t>
  </si>
  <si>
    <t>thome@cmarl.unam.mx</t>
  </si>
  <si>
    <t>2008-4935</t>
  </si>
  <si>
    <t>2008-6970</t>
  </si>
  <si>
    <t>10.22034/IAR.2022.1946683.1218</t>
  </si>
  <si>
    <t>Marine &amp; Freshwater Biology</t>
  </si>
  <si>
    <t>WOS:000785993400001</t>
  </si>
  <si>
    <t>Luo, LP; Wang, LL; Zeng, LP; Wang, YR; Weng, YP; Liao, YJ; Chen, TT; Xia, YK; Zhang, J; Chen, JH</t>
  </si>
  <si>
    <t>Luo, Lipei; Wang, Liangliang; Zeng, Lupeng; Wang, Yuru; Weng, Yunping; Liao, Yijuan; Chen, Tingting; Xia, Yaokun; Zhang, Jing; Chen, Jinghua</t>
  </si>
  <si>
    <t>A ratiometric electrochemical DNA biosensor for detection of exosomal MicroRNA</t>
  </si>
  <si>
    <t>Exosomal microRNA; Ratiometric electrochemical DNA biosensor; Locked nucleic acid; Strand displacement reaction</t>
  </si>
  <si>
    <t>CANCER EXOSOMES; AMPLIFICATION; BIOGENESIS; EXPRESSION; APTASENSOR; ASSAY</t>
  </si>
  <si>
    <t>The detection of exosomal microRNAs (miRNAs) derived from cancer cells with sensitive and selective methods has stimulated increasing interest due to its potential utility in the application of tumor diagnosis. Here, we developed a ratiometric electrochemical DNA biosensor based on a locked nucleic acid (LNA)-modifled Y shape-like structure for the detection of exosomal miRNA-21 (miR-21). When miR-21 is present, the LNA-assisted strand displacement reaction on the Y shape-like structure is activated, leading to a structure change and augmentation of the signal ratio, which reflects the different distances between the electrode surface and two electroactive molecules labeled on the Y shape-like structure. With this dual signal ratiometric method, the biosensor shows high accuracy and sensitivity with a limit of detection as low as 2.3 fM. Moreover, because of the logarithm of the signal ratio displays a linear relationship with the logarithm of the miR-21 concentration, the biosensor is stable enough to be used in the detection of miR-21 in MCF-7 cell-derived exosomes. In addition, the biosensor shows good selectivity even in the detection of even a single base-mismatched target due to the LNA-assisted strand displacement reaction. Notably, the sensor is both regenerative and robust. In brief, the high sensitivity and selectivity, combined with the low cost of the glassy carbon electrode, make this biosensor a promising tool for the development of point-of-care testing in cancer.</t>
  </si>
  <si>
    <t>[Luo, Lipei] Fujian Med Univ, Affiliated Hosp 2, Dept Pharm, Quanzhou 362000, Fujian, Peoples R China; [Wang, Liangliang; Zeng, Lupeng; Wang, Yuru; Weng, Yunping; Chen, Tingting; Xia, Yaokun; Chen, Jinghua] Fujian Med Univ, Sch Pharm, Dept Pharmaceut Anal, Fuzhou 350122, Fujian, Peoples R China; [Liao, Yijuan; Zhang, Jing] Fujian Agr &amp; Forestry Univ, Coll Life Sci, Fuzhou 350002, Fujian, Peoples R China</t>
  </si>
  <si>
    <t>1601225385@qq.com; cjh_huaxue@126.com</t>
  </si>
  <si>
    <t>10.1016/j.talanta.2019.120298</t>
  </si>
  <si>
    <t>WOS:000491635300026</t>
  </si>
  <si>
    <t>Binenbaum, Y; Fridman, E; Yaari, Z; Milman, N; Schroeder, A; Ben David, G; Shlomi, T; Gil, Z</t>
  </si>
  <si>
    <t>Binenbaum, Yoav; Fridman, Eran; Yaari, Zvi; Milman, Neta; Schroeder, Avi; Ben David, Gil; Shlomi, Tomer; Gil, Ziv</t>
  </si>
  <si>
    <t>Transfer of miRNA in Macrophage-Derived Exosomes Induces Drug Resistance in Pancreatic Adenocarcinoma</t>
  </si>
  <si>
    <t>TUMOR-ASSOCIATED MACROPHAGES; HUMAN CYTIDINE DEAMINASE; DUCTAL ADENOCARCINOMA; CANCER-CELLS; GEMCITABINE RESISTANCE; STROMAL INTERACTIONS; M2 MACROPHAGES; MOUSE MODEL; EXPRESSION; CARCINOMA</t>
  </si>
  <si>
    <t>Pancreatic ductal adenocarcinoma (PDAC) is known for its resistance to gemcitabine, which acts to inhibit cell growth by termination of DNA replication. Tumor-associated macrophages (TAM) were recently shown to contribute to gemcitabine resistance; however, the exact mechanism of this process is still unclear. Using a genetic mouse model of PDAC and electron microscopy analysis, we show that TAM communicate with the tumor microenvironment via secretion of approximately 90 nm vesicles, which are selectively internalized by cancer cells. Transfection of artificial dsDNA (barcode fragment) to murine peritoneal macrophages and injection to mice bearing PDAC tumors revealed a 4-log higher concentration of the barcode fragment in primary tumors and in liver metastasis than in normal tissue. These macrophage-derived exosomes (MDE) significantly decreased the sensitivity of PDAC cells to gemcitabine, in vitro and in vivo. This effect was mediated by the transfer of miR-365 in MDE. miR-365 impaired activation of gemcitabine by upregulation of the triphospho-nucleotide pool in cancer cells and the induction of the enzyme cytidine deaminase; the latter inactivates gemcitabine. Adoptive transfer of miR-365 in TAM induced gemcitabine resistance in PDAC-bearing mice, whereas immune transfer of the miR-365 antagonist recovered the sensitivity to gemcitabine. Mice deficient of Rab27 a/b genes, which lack exosomal secretion, responded significantly better to gemcitabine than did wildtype. These results identify MDE as key regulators of gemcitabine resistance in PDAC and demonstrate that blocking miR-365 can potentiate gemcitabine response. Significance: Harnessing macrophage-derived exosomes as conveyers of antagomiRs augments the effect of chemotherapy against cancer, opening new therapeutic options against malignancies where resistance to nucleotide analogs remains an obstacle to overcome. (C) 2018 AACR.</t>
  </si>
  <si>
    <t>[Binenbaum, Yoav; Fridman, Eran; Milman, Neta; Ben David, Gil] Rambam Healthcare Campus, Dept Otolaryngol Head &amp; Neck Surg, Clin Res Inst, Lab Appl Canc Res, Haifa, Israel; [Yaari, Zvi; Schroeder, Avi] Technion Israel Inst Technol, Lab Targeted Drug Delivery &amp; Personalized Med Tec, Techn, Haifa, Israel; [Shlomi, Tomer] Technion Israel Inst Technol, Dept Comp Sci, Haifa, Israel; [Shlomi, Tomer] Technion Israel Inst Technol, Dept Biol, Haifa, Israel; [Gil, Ziv] Technion Israel Inst Technol, Rappaport Inst Med &amp; Res, Technion Integrated Canc Ctr, Haifa, Israel</t>
  </si>
  <si>
    <t>Rambam Health Care Campus; Technion Israel Institute of Technology; Technion Israel Institute of Technology; Rappaport Faculty of Medicine; Technion Israel Institute of Technology; Technion Israel Institute of Technology; Rappaport Faculty of Medicine</t>
  </si>
  <si>
    <t>Gil, Z (corresponding author), Rambam Med Ctr, IL-3525408 Haifa, Israel.</t>
  </si>
  <si>
    <t>G_Ziv@rambam.health.gov.il</t>
  </si>
  <si>
    <t>10.1158/0008-5472.CAN-18-0124</t>
  </si>
  <si>
    <t>WOS:000444803700009</t>
  </si>
  <si>
    <t>Szczesny, B; Marcatti, M; Ahmad, A; Montalbano, M; Brunyanszki, A; Bibli, SI; Papapetropoulos, A; Szabo, C</t>
  </si>
  <si>
    <t>Szczesny, Bartosz; Marcatti, Michela; Ahmad, Akbar; Montalbano, Mauro; Brunyanszki, Attila; Bibli, Sofia-Iris; Papapetropoulos, Andreas; Szabo, Csaba</t>
  </si>
  <si>
    <t>Mitochondrial DNA damage and subsequent activation of Z-DNA binding protein 1 links oxidative stress to inflammation in epithelial cells</t>
  </si>
  <si>
    <t>INNATE IMMUNE-RESPONSES; DAI DLM-1/ZBP1; ROLES; MTDNA; REPAIR</t>
  </si>
  <si>
    <t>This report identifies mitochondrial DNA (mtDNA) as a target and active mediator that links low-level oxidative stress to inflammatory response in pulmonary epithelial cells. Extrusion of mtDNA into the bronchoalveolar lavage fluid occurs as an early event in mice subjected to cigarette smoke injury, concomitantly with the depletion of mtDNA in the lung tissue. In cultured lung epithelial cells, prolonged, low-level oxidative stress damages the mtDNA, without any detectable damage to the nuclear DNA. In turn, cellular depletion of the mtDNA occurs, together with a transient remodeling of cellular bioenergetics and morphology - all without any detectable impairment in overall cell viability. Damaged mtDNA first enters the cytoplasm, where it binds to Z-DNA binding protein 1 (ZBP1) and triggers inflammation via the TANK-binding kinase 1 /interferon regulatory factor 3 signaling pathway. Fragments of the mtDNA are subsequently released into the extracellular space via exosomes. MtDNA-containing exosomes are capable of inducing an inflammatory response in naive (non-oxidatively stressed) epithelial cells. In vivo, administration of isolated mtDNA into the in lungs of naive mice induces the production of pro-inflammatory mediators, without histopathologic evidence of tissue injury. We propose that mtDNA-specific damage, and subsequent activation of the ZBP1 pathway, is a mechanism that links prolonged, low-level oxidative stress to autocrine and paracrine inflammation during the early stages of inflammatory lung disease.</t>
  </si>
  <si>
    <t>[Szczesny, Bartosz; Marcatti, Michela; Ahmad, Akbar; Brunyanszki, Attila; Szabo, Csaba] Univ Texas Med Branch, Dept Anesthesiol, Galveston, TX 77555 USA; [Montalbano, Mauro] Univ Texas Med Branch, Ctr Biomed Engn, Galveston, TX 77555 USA; [Bibli, Sofia-Iris; Papapetropoulos, Andreas] Univ Athens, Fac Pharm, Athens, Greece; [Papapetropoulos, Andreas] Biomed Res Fdn Acad Athens, Ctr Clin Expt Surg &amp; Translat Res, Athens, Greece</t>
  </si>
  <si>
    <t>University of Texas System; University of Texas Medical Branch Galveston; University of Texas System; University of Texas Medical Branch Galveston; National &amp; Kapodistrian University of Athens; Academy of Athens</t>
  </si>
  <si>
    <t>Szczesny, B; Szabo, C (corresponding author), Univ Texas Med Branch, Dept Anesthesiol, Galveston, TX 77555 USA.</t>
  </si>
  <si>
    <t>baszczes@utmb.edu; szabocsaba@aol.com</t>
  </si>
  <si>
    <t>Montalbano, Mauro/AAA-6833-2021; Szabo, Csaba/ABG-2644-2021; Andreas, Papapetropoulos/AAJ-3089-2020; Bibli, Sofia Iris/AAK-4439-2021</t>
  </si>
  <si>
    <t>Montalbano, Mauro/0000-0002-0456-452X; Ahmad, Akbar/0000-0003-1841-9670</t>
  </si>
  <si>
    <t>JAN 17</t>
  </si>
  <si>
    <t>10.1038/s41598-018-19216-1</t>
  </si>
  <si>
    <t>WOS:000422716900048</t>
  </si>
  <si>
    <t>Sun, HY; McNally, MT; Jackson, VE; Grossberg, SE</t>
  </si>
  <si>
    <t>Sun, Hai-Yuan; McNally, Mark T.; Jackson, Vaughn E.; Grossberg, Sidney E.</t>
  </si>
  <si>
    <t>Urea-nuclease treatment of concentrated retrovirions preserves viral RNA and removes polymerase chain reaction-amplifiable cellular RNA and DNA</t>
  </si>
  <si>
    <t>JOURNAL OF VIROLOGICAL METHODS</t>
  </si>
  <si>
    <t>retroviruses; ribonuclease; urea; micrococcal nuclease</t>
  </si>
  <si>
    <t>SEQUENCES; LINE; MICROVESICLES; CHROMATIN; CELLS; DG-75</t>
  </si>
  <si>
    <t>Cellular nucleic acids can interfere with the molecular cloning of retroviruses, a problem that is particularly serious with viruses propagated in lymphoblastoid cells that release large amounts of microvesicles and other cellular components. The approach taken to circumvent such problems involved first suspending viral pellets in water to allow any residual microvesicles to swell and perhaps lyse during overnight or longer incubation periods. Urea was then added to a concentration of 1.5-2.0M to uncoil proteins that may protect nucleic acids from hydrolysis on the further addition of Micrococcal nuclease and ribonuclease A, both of which remain enzymatically active in molar urea solutions. The viral RNA was extracted and residual DNA removed by deoxyribonuclease I treatments. The utility of the method was demonstrated with two different retroviruses, a Moloney murine leukemia virus variant and Rous sarcoma virus, such that viral RNA thus purified was shown to be free of contamination by PCR-amplifiable cellular GAPDH mRNA and ribosomal RNA. This general approach should be applicable to viruses of any type in circumstances where contamination by cellular RNA and DNA poses a problem. (c) 2006 Elsevier B.V. All rights reserved.</t>
  </si>
  <si>
    <t>Med Coll Wisconsin, Dept Microbiol &amp; Mol Genet, Milwaukee, WI 53226 USA; Med Coll Wisconsin, Dept Biochem, Milwaukee, WI 53226 USA</t>
  </si>
  <si>
    <t>Grossberg, SE (corresponding author), Med Coll Wisconsin, Dept Microbiol &amp; Mol Genet, 8701 Watertown Plank Rd, Milwaukee, WI 53226 USA.</t>
  </si>
  <si>
    <t>segrossb@mcw.edu</t>
  </si>
  <si>
    <t>0166-0934</t>
  </si>
  <si>
    <t>1879-0984</t>
  </si>
  <si>
    <t>10.1016/j.jviromet.2006.07.003</t>
  </si>
  <si>
    <t>Biochemical Research Methods; Biotechnology &amp; Applied Microbiology; Virology</t>
  </si>
  <si>
    <t>Biochemistry &amp; Molecular Biology; Biotechnology &amp; Applied Microbiology; Virology</t>
  </si>
  <si>
    <t>WOS:000241432400019</t>
  </si>
  <si>
    <t>Zhou, YG; Kermansha, L; Zhang, LB; Mohamadi, RM</t>
  </si>
  <si>
    <t>Tokeshi, M</t>
  </si>
  <si>
    <t>Zhou, Yi-Ge; Kermansha, Leyla; Zhang, Libing; Mohamadi, Reza M.</t>
  </si>
  <si>
    <t>Miniaturized Electrochemical Sensors to Facilitate Liquid Biopsy for Detection of Circulating Tumor Markers</t>
  </si>
  <si>
    <t>APPLICATIONS OF MICROFLUIDIC SYSTEMS IN BIOLOGY AND MEDICINE</t>
  </si>
  <si>
    <t>Bioanalysis-Advanced Materials Methods and Devices</t>
  </si>
  <si>
    <t>Electrochemical sensors; Liquid biopsy; Circulating tumor cell; Circulating tumor DNA; Exosomes</t>
  </si>
  <si>
    <t>CANCER BIOMARKER DETECTION; HIGHLY EFFICIENT CAPTURE; LABEL-FREE DETECTION; FREE NUCLEIC-ACIDS; IN-VIVO CAPTURE; PROSTATE-CANCER; ULTRASENSITIVE DETECTION; SIGNAL AMPLIFICATION; CELLS; EXOSOMES</t>
  </si>
  <si>
    <t>Miniaturized sensors to facilitate liquid biopsy for early cancer detection and monitoring the disease progression have been unprecedentedly advanced in the recent years, among which electrochemical sensors, offer advantages with their features such as simplicity, fast response, low cost and capability for miniaturization. In this chapter, we will provide an overview of recent advances in using miniaturized electrochemical sensors for detection of circulating tumor markers, including circulating tumor cells (CTCs), circulating nucleic acids (cNAs), and extracellular vesicles (EVs). Representative examples will be given for each marker based on different electrochemical approaches, and combination of electrochemistry with other technologies and strategies will be shown.</t>
  </si>
  <si>
    <t>[Zhou, Yi-Ge] Hunan Univ, Inst Chem Biol &amp; Nanomed, Changsha, Hunan, Peoples R China; [Zhou, Yi-Ge] Hunan Univ, Coll Chem &amp; Chem Engn, State Key Lab Chemo Biosensing &amp; Chemometr, Changsha, Hunan, Peoples R China; [Kermansha, Leyla] Univ Toronto, Inst Biomat &amp; Biomed Engn, Toronto, ON, Canada; [Zhang, Libing; Mohamadi, Reza M.] Univ Toronto, Dept Pharmaceut Sci, Toronto, ON, Canada</t>
  </si>
  <si>
    <t>Hunan University; Hunan University; University of Toronto; University of Toronto</t>
  </si>
  <si>
    <t>Zhou, YG (corresponding author), Hunan Univ, Inst Chem Biol &amp; Nanomed, Changsha, Hunan, Peoples R China.;Zhou, YG (corresponding author), Hunan Univ, Coll Chem &amp; Chem Engn, State Key Lab Chemo Biosensing &amp; Chemometr, Changsha, Hunan, Peoples R China.;Mohamadi, RM (corresponding author), Univ Toronto, Dept Pharmaceut Sci, Toronto, ON, Canada.</t>
  </si>
  <si>
    <t>yigezhou@hnu.edu.cn; reza.mohamadi@utoronto.ca</t>
  </si>
  <si>
    <t>2364-1118</t>
  </si>
  <si>
    <t>2364-1126</t>
  </si>
  <si>
    <t>978-981-13-6229-3; 978-981-13-6228-6</t>
  </si>
  <si>
    <t>10.1007/978-981-13-6229-3_4</t>
  </si>
  <si>
    <t>10.1007/978-981-13-6229-3</t>
  </si>
  <si>
    <t>Chemistry, Applied; Engineering, Biomedical; Medical Laboratory Technology</t>
  </si>
  <si>
    <t>Chemistry; Engineering; Medical Laboratory Technology</t>
  </si>
  <si>
    <t>WOS:000489292100005</t>
  </si>
  <si>
    <t>Allesen-Holm, M; Barken, KB; Yang, L; Klausen, M; Webb, JS; Kjelleberg, S; Molin, S; Givskov, M; Tolker-Nielsen, T</t>
  </si>
  <si>
    <t>A characterization of DNA release in Pseudomonas aeruginosa cultures and biofilms</t>
  </si>
  <si>
    <t>NATURAL GENETIC-TRANSFORMATION; MEMBRANE-VESICLES; SLIME PRODUCTION; STREPTOCOCCUS-PNEUMONIAE; NEISSERIA-GONORRHOEAE; STATIONARY-PHASE; CHROMOSOMAL DNA; EXPRESSION; COMPETENCE; INVOLVEMENT</t>
  </si>
  <si>
    <t>Pseudomonas aeruginosa produces extracellular DNA which functions as a cell-to-cell interconnecting matrix component in biofilms. Comparison of extracellular DNA and chromosomal DNA by the use of polymerase chain reaction and Southern analysis suggested that the extracellular DNA is similar to whole-genome DNA. Evidence that the extracellular DNA in P. aeruginosa biofilms and cultures is generated via lysis of a subpopulation of the bacteria was obtained through experiments where extracellular beta-galactosidase released from lacZ-containing P. aeruginosa strains was assessed. Experiments with the wild type and laslrhll, pqsA, pqsL and fliMpilA mutants indicated that the extracellular DNA is generated via a mechanism which is dependent on acyl homoserine lactone and Pseudomonas quinolone signalling, as well as on flagella and type IV pili. Microscopic investigation of flow chamber-grown wild-type P. aeruginosa biofilms stained with different DNA stains suggested that the extracellular DNA is located primarily in the stalks of mushroom-shaped multicellular structures, with a high concentration especially in the outer part of the stalks forming a border between the stalk-forming bacteria and the cap-forming bacteria. Biofilms formed by laslrhll, pqsA and fliMpilA mutants contained less extracellular DNA than biofilms formed by the wild type, and the mutant biofilms were more susceptible to treatment with sodium dodecyl sulphate than the wild-type biofilm.</t>
  </si>
  <si>
    <t>Tech Univ Denmark, Bioctr, Ctr Biomed Microbiol, DK-2800 Lyngby, Denmark; Univ New S Wales, Sydney, NSW 2052, Australia</t>
  </si>
  <si>
    <t>Technical University of Denmark; University of New South Wales Sydney</t>
  </si>
  <si>
    <t>Tolker-Nielsen, T (corresponding author), Tech Univ Denmark, Bioctr, Ctr Biomed Microbiol, DK-2800 Lyngby, Denmark.</t>
  </si>
  <si>
    <t>ttn@biocentrum.dtu.dk</t>
  </si>
  <si>
    <t>Klausen, Mikkel/C-6254-2008; Yang, Liang/C-8487-2011; Kjelleberg, Staffan/C-9229-2015; Kjelleberg, Staffan/AAB-4641-2020</t>
  </si>
  <si>
    <t>Klausen, Mikkel/0000-0002-5741-0794; Yang, Liang/0000-0002-2362-0128; Kjelleberg, Staffan/0000-0003-4271-6413; Kjelleberg, Staffan/0000-0003-4271-6413; Tolker-Nielsen, Tim/0000-0002-9751-474X; Givskov, Michael/0000-0001-5004-8609; Molin, Soren/0000-0002-7973-2639; Webb, Jeremy/0000-0003-2068-8589</t>
  </si>
  <si>
    <t>10.1111/j.1365-2958.2005.05008.x</t>
  </si>
  <si>
    <t>WOS:000234800600004</t>
  </si>
  <si>
    <t>Sharpe, SW; Kuehn, MJ; Mason, KM</t>
  </si>
  <si>
    <t>Sharpe, Samantha W.; Kuehn, Meta J.; Mason, Kevin M.</t>
  </si>
  <si>
    <t>Elicitation of Epithelial Cell-Derived Immune Effectors by Outer Membrane Vesicles of Nontypeable Haemophilus influenzae</t>
  </si>
  <si>
    <t>INFECTION AND IMMUNITY</t>
  </si>
  <si>
    <t>ESCHERICHIA-COLI; PSEUDOMONAS-AERUGINOSA; OTITIS-MEDIA; BIOFILM COMMUNITIES; EXTRACELLULAR DNA; RESPIRATORY-TRACT; RELEASE; LIPOPOLYSACCHARIDE; POLYPEPTIDES; BIOGENESIS</t>
  </si>
  <si>
    <t>Outer membrane vesicles (OMVs) are produced by all Gram-negative microorganisms studied to date. The contributions of OMVs to biological processes are diverse and include mediation of bacterial stress responses, selective packaging and secretion of virulence determinants, modulation of the host immune response, and contributions to biofilm formation and stability. First characterized as transformasomes in Haemophilus, these membranous blebs facilitate transfer of DNA among bacteria. Nontypeable Haemophilus influenzae (NTHI), an opportunistic pathogen of the upper and lower respiratory tracts, produces OMVs in vivo, but there is a paucity of information regarding both the composition and role of OMVs during NTHI colonization and pathogenesis. We demonstrated that purified NTHI vesicles are 20 to 200 nm in diameter and contain DNA, adhesin P5, IgA endopeptidase, serine protease, and heme utilization protein, suggesting a multifaceted role in virulence. NTHI OMVs can bind to human pharyngeal epithelial cells, resulting in a time-and temperature-dependent aggregation on the host cell surface, with subsequent internalization. OMVs colocalize with the endocytosis protein caveolin, indicating that internalization is mediated by caveolae, which are cholesterol-rich lipid raft domains. Upon interaction with epithelial cells, NTHI OMVs stimulate significant release of the immunomodulatory cytokine interleukin-8 (IL-8) as well as the antimicrobial peptide LL-37. Thus, we demonstrated that NTHI OMVs contain virulence-associated proteins that dynamically interact with and invade host epithelial cells. Beyond their ability to mediate DNA transfer in Haemophilus, OMV stimulation of host immunomodulatory cytokine and antimicrobial peptide release supports a dynamic role for vesiculation in NTHI pathogenesis and clinically relevant disease progression.</t>
  </si>
  <si>
    <t>[Sharpe, Samantha W.; Mason, Kevin M.] Nationwide Childrens Hosp, Res Inst, Ctr Microbial Pathogenesis, Columbus, OH 43205 USA; [Mason, Kevin M.] Ohio State Univ, Coll Med, Columbus, OH 43210 USA; [Kuehn, Meta J.] Duke Univ, Med Ctr, Dept Biochem, Durham, NC 27710 USA</t>
  </si>
  <si>
    <t>Ohio State University; Research Institute at Nationwide Children's Hospital; Ohio State University; Duke University</t>
  </si>
  <si>
    <t>Mason, KM (corresponding author), Nationwide Childrens Hosp, Res Inst, Ctr Microbial Pathogenesis, Columbus, OH 43205 USA.</t>
  </si>
  <si>
    <t>Kevin.Mason@nationwidechildrens.org</t>
  </si>
  <si>
    <t>Kuehn, Meta/AAL-2950-2021; Mason, Kevin/E-3607-2011</t>
  </si>
  <si>
    <t>Kuehn, Meta/0000-0003-0519-3019; Sharpe, Samantha/0000-0001-6877-9864</t>
  </si>
  <si>
    <t>0019-9567</t>
  </si>
  <si>
    <t>1098-5522</t>
  </si>
  <si>
    <t>10.1128/IAI.05332-11</t>
  </si>
  <si>
    <t>Immunology; Infectious Diseases</t>
  </si>
  <si>
    <t>WOS:000296352400008</t>
  </si>
  <si>
    <t>Zhang, H; Zhou, YJ; Luo, D; Liu, JJ; Yang, E; Yang, GY; Feng, GJ; Chen, QH; Wu, L</t>
  </si>
  <si>
    <t>Zhang, Hua; Zhou, Yajuan; Luo, Dan; Liu, Jingjian; Yang, E.; Yang, Guangyi; Feng, Guangjun; Chen, Qinhua; Wu, Lun</t>
  </si>
  <si>
    <t>Immunoassay-aptasensor for the determination of tumor-derived exosomes based on the combination of magnetic nanoparticles and hybridization chain reaction</t>
  </si>
  <si>
    <t>LABEL-FREE; BIOSENSOR; DNA</t>
  </si>
  <si>
    <t>The detection of tumor-related exosomes is of great significance. In this work, a fluorescence aptasensor was designed for the determination of tumor-related exosomes based on the capture of magnetic nanoparticles (MNPs) and specific recognition of an aptamer. MNPs were used as substrates to capture the exosomes by modifying the CD63 antibody on the MNP surface. Probe 1 consists of PDL-1 aptamer sequence and a section of other sequences. PDL-1 expression was observed on the surface of exosomes; the aptamer of PDL-1 could combine with PDL-1 with high affinity. Thus, the immunoassay-type compounds of MNPs-exosomes-probe 1 were formed. The other section of probe 1 triggered the HCR with probe 2 and probe 3 and formed the super-long dsDNA. The addition of GelRed resulted in the generation of an amplified fluorescence signal. The proposed design demonstrated a good linearity with the exosome concentration ranging from 300 to 10(7) particles per mL and with a low detection limit of 100 particles per mL. This aptasensor also exhibited high specificity for tumor-related exosomes, and was successfully applied in biological samples.</t>
  </si>
  <si>
    <t>[Zhang, Hua; Luo, Dan; Liu, Jingjian; Wu, Lun] Hubei Univ Med, Affiliated Dongfeng Hosp, Shiyan 442008, Hubei, Peoples R China; [Zhou, Yajuan] Huazhong Univ Sci &amp; Technol, Hubei Canc Hosp, Tongji Med Coll, Dept Radiotherapy, Wuhan 430074, Peoples R China; [Yang, E.; Yang, Guangyi; Feng, Guangjun; Chen, Qinhua] Shenzhen Baoan Authent TCM Therapy Hosp, Shenzhen 518101, Guangdong, Peoples R China</t>
  </si>
  <si>
    <t>Hubei University of Medicine; Huazhong University of Science &amp; Technology</t>
  </si>
  <si>
    <t>Wu, L (corresponding author), Hubei Univ Med, Affiliated Dongfeng Hosp, Shiyan 442008, Hubei, Peoples R China.;Chen, QH (corresponding author), Shenzhen Baoan Authent TCM Therapy Hosp, Shenzhen 518101, Guangdong, Peoples R China.</t>
  </si>
  <si>
    <t>cqh77@163.com; wulun0909@163.com</t>
  </si>
  <si>
    <t>FEB 4</t>
  </si>
  <si>
    <t>10.1039/d0ra10159a</t>
  </si>
  <si>
    <t>WOS:000612838700014</t>
  </si>
  <si>
    <t>Haque, S; Vaiselbuh, SR</t>
  </si>
  <si>
    <t>Haque, Shabirul; Vaiselbuh, Sarah R.</t>
  </si>
  <si>
    <t>Silencing of Exosomal miR-181a Reverses Pediatric Acute Lymphocytic Leukemia Cell Proliferation</t>
  </si>
  <si>
    <t>exosomes; leukemia; miRNA silencing</t>
  </si>
  <si>
    <t>POOR-PROGNOSIS; GASTRIC-CANCER; MICRORNAS; PROGRESSION; BIOGENESIS; SIGNATURES; MIGRATION; INVASION</t>
  </si>
  <si>
    <t>Exosomes are cell-generated nano-vesicles found in most biological fluids. Major components of their cargo are lipids, proteins, RNA, DNA, and non-coding RNAs. The miRNAs carried within exosomes reveal real-time information regarding disease status in leukemia and other cancers, and therefore exosomes have been studied as novel biomarkers for cancer. We investigated the impact of exosomes on cell proliferation in pediatric acute lymphocytic leukemia (PALL) and its reversal by silencing of exo-miR-181a. We isolated exosomes from the serum of PALL patients (Exo-PALL) and conditioned medium of leukemic cell lines (Exo-CM). We found that Exo-PALL promotes cell proliferation in leukemic B cell lines by gene regulation. This exosome-induced cell proliferation is a precise event with the up-regulation of proliferative (PCNA, Ki-67) and pro-survival genes (MCL-1, and BCL2) and suppression of pro-apoptotic genes (BAD, BAX). Exo-PALL and Exo-CM both show over expression of miR-181a compared to healthy donor control exosomes (Exo-HD). Specific silencing of exosomal miR-181a using a miR-181a inhibitor confirms that miR-181a inhibitor treatment reverses Exo-PALL/Exo-CM-induced leukemic cell proliferation in vitro. Altogether, this study suggests that exosomal miR-181a inhibition can be a novel target for growth suppression in pediatric lymphatic leukemia.</t>
  </si>
  <si>
    <t>[Haque, Shabirul; Vaiselbuh, Sarah R.] Northwell Hlth, Feinstein Inst Med Res, 350 Commun Dr, Manhasset, NY 11030 USA; [Vaiselbuh, Sarah R.] Northwell Hlth, Staten Isl Univ Hosp, Dept Pediat, 475 Seaview Ave, Staten Isl, NY 10305 USA</t>
  </si>
  <si>
    <t>Northwell Health; Northwell Health</t>
  </si>
  <si>
    <t>Haque, S (corresponding author), Northwell Hlth, Feinstein Inst Med Res, 350 Commun Dr, Manhasset, NY 11030 USA.</t>
  </si>
  <si>
    <t>shaque@northwell.edu; svaiselbuh1@pride.hofstra.edu</t>
  </si>
  <si>
    <t>haque, shabirul/AAB-9136-2022</t>
  </si>
  <si>
    <t>haque, shabirul/0000-0002-6721-0630</t>
  </si>
  <si>
    <t>10.3390/ph13090241</t>
  </si>
  <si>
    <t>WOS:000581678400001</t>
  </si>
  <si>
    <t>Gallo, A; Vella, S; Miele, M; Timoneri, F; Di Bella, M; Bosi, S; Sciveres, M; Conaldi, PG</t>
  </si>
  <si>
    <t>Gallo, Alessia; Vella, Serena; Miele, Monica; Timoneri, Francesca; Di Bella, Mariangela; Bosi, Silvia; Sciveres, Marco; Conaldi, Pier Giulio</t>
  </si>
  <si>
    <t>Global profiling of viral and cellular non-coding RNAs in Epstein Barr virus-induced lymphoblastoid cell lines and released exosome cargos</t>
  </si>
  <si>
    <t>Epstein Barr virus; Lymphoblastoid cell lines; miRNA; IncRNA; Exosomes</t>
  </si>
  <si>
    <t>EXTRACELLULAR VESICLES; B-CELLS; PHARMACOGENOMIC DISCOVERY; IN-VITRO; EXPRESSION; DNA; P53; GROWTH; MICROVESICLES; PATHOGENESIS</t>
  </si>
  <si>
    <t>The human EBV-transformed lymphoblastoid cell line (LCL), obtained by infecting peripheral blood monocular cells with Epstein Barr Virus, has been extensively used for human genetic, pharmacogenomic, and immunologic studies. Recently, the role of exosomes has also been indicated as crucial in the crosstalk between EBV and the host microenvironment. Because the role that the LCL and LCL exosomal cargo might play in maintaining persistent infection, and since little is known regarding the non-coding RNAs of LCL, the aim of our work was the comprehensive characterization of this class of RNA, cellular and viral miRNAs, and cellular lncRNAs, in LCL compared with PBMC derived from the same donors. In this study, we have demonstrated, for the first time, that all the viral miRNAs expressed by LCL are also packaged in the exosomes, and we found that two miRNAs, ebv-miR-BART3 and ebv-miR-BHRF1-1, are more abundant in the exosomes, suggesting a microvescicular viral microRNA transfer. In addition, IncRNA profiling revealed that LCLs were enriched in IncRNA H19 and H19 antisense, and released these through exosomes, suggesting a leading role in the regulation of the tumor microenvironment. (C) 2016 The Authors. Published by Elsevier Ireland Ltd. This is an open access article under the CC BY-NC-ND license (http://creativecommons.org/licenses/by-nc-nd/4.0/).</t>
  </si>
  <si>
    <t>[Gallo, Alessia; Vella, Serena; Conaldi, Pier Giulio] IRCCS ISMETT, Dept Lab Med &amp; Adv Biotechnol, Rome, Italy; [Miele, Monica; Timoneri, Francesca; Di Bella, Mariangela; Bosi, Silvia; Conaldi, Pier Giulio] Fondazione Ri MED, Palermo, Italy; [Sciveres, Marco] Univ Pittsburgh, Med Ctr, IRCCS ISMETI, Pediatr Hepatol &amp; Liver Transplantat, Palermo, Italy</t>
  </si>
  <si>
    <t>IRCCS Istituto Mediterraneo per i Trapianti e Terapie ad Alta Specializzazione (ISMETT)</t>
  </si>
  <si>
    <t>Gallo, A (corresponding author), ISMEIT, Dept Lab Med &amp; Adv Biotechnol, Via Tricomi 5, I-90127 Palermo, Italy.</t>
  </si>
  <si>
    <t>agallo@ismett.edu</t>
  </si>
  <si>
    <t>Conaldi, Pier Giulio/AAC-1573-2019; Vella, Serena/N-7179-2019</t>
  </si>
  <si>
    <t>Vella, Serena/0000-0001-9477-9294; Conaldi, Pier Giulio/0000-0003-1994-8005; Miele, Monica/0000-0002-1606-651X; Timoneri, Francesca/0000-0002-1634-1809; Gallo, Alessia/0000-0001-6737-9770; Sciveres, Marco/0000-0002-4092-9071; di bella, mariangela/0000-0001-5502-4841</t>
  </si>
  <si>
    <t>10.1016/j.canlet.2016.12.003</t>
  </si>
  <si>
    <t>WOS:000395959800034</t>
  </si>
  <si>
    <t>Steppert, P; Burgstaller, D; Klausberger, M; Berger, E; Aguilar, PP; Schneider, TA; Kramberger, P; Tover, A; Nobauer, K; Razzazi-Fazeli, E; Jungbauer, A</t>
  </si>
  <si>
    <t>Steppert, Petra; Burgstaller, Daniel; Klausberger, Miriam; Berger, Eva; Aguilar, Patricia Pereira; Schneider, Tobias A.; Kramberger, Petra; Tover, Andres; Nobauer, Katharina; Razzazi-Fazeli, Ebrahim; Jungbauer, Alois</t>
  </si>
  <si>
    <t>Purification of HIV-1 gag virus-like particles and separation of other extracellular particles</t>
  </si>
  <si>
    <t>Vaccines; Chromatography; Extracellular particles; Host cell DNA; Host cell protein; Density gradient centrifugation</t>
  </si>
  <si>
    <t>VIRAL VACCINES; PLASMID DNA; PROTEINS; CHROMATOGRAPHY; MICROVESICLES; GENERATION; ANTIBODIES; MONOLITHS; VECTOR</t>
  </si>
  <si>
    <t>Enveloped virus-like particles (VLPs) are increasingly used as vaccines and immunotherapeutics. Frequently, very time consuming density gradient centrifugation techniques are used for purification of VLPs. However, the progress towards optimized large-scale VLP production increased the demand for fast, cost efficient and scale able purification processes. We developed a chromatographic procedure for purification of HIV-1 gag VLPs produced in CHO cells. The clarified and filtered cell culture supernatant was directly processed on an anion-exchange monolith. The majority of host cell impurities passed through the column, whereas the VLPs were eluted by a linear or step salt gradient; the major fraction of DNA was eluted prior to VLPs and particles in the range of 100-200 nm in diameter could be separated into two fractions. The earlier eluted fraction was enriched with extracellular particles associated to exosomes or microvesicles, whereas the late eluting fractions contained the majority of most pure HIV-1 gag VLPs. DNA content in the exosome-containing fraction could not be reduced by Benzonase treatment which indicated that the DNA was encapsulated. Many exosome markers were identified by proteomic analysis in this fraction. We present a laboratory method that could serve as a basis for rapid downstream processing of enveloped VLPs. Up to 2000 doses, each containing 1 x 10(9) particles, could be processed with a 1 mL monolith within 47 min. The method compared to density gradient centrifugation has a 220-fold improvement in productivity. (C) 2016 The Author(s). Published by Elsevier B.V.</t>
  </si>
  <si>
    <t>[Steppert, Petra; Burgstaller, Daniel; Klausberger, Miriam; Aguilar, Patricia Pereira; Jungbauer, Alois] Univ Nat Resources &amp; Life Sci Vienna, Dept Biotechnol, Vienna, Austria; [Berger, Eva; Schneider, Tobias A.; Jungbauer, Alois] ACIB GmbH, Vienna, Austria; [Kramberger, Petra] BIA Separat Doo, Ajdovscina, Slovenia; [Tover, Andres] Icosagen AS, Tartumaa, Estonia; [Nobauer, Katharina; Razzazi-Fazeli, Ebrahim] Univ Vet Med Vienna, VetCore Facil Res, Vienna, Austria</t>
  </si>
  <si>
    <t>University of Natural Resources &amp; Life Sciences, Vienna; Austrian Centre of Industrial Biotechnology; University of Veterinary Medicine Vienna</t>
  </si>
  <si>
    <t>Jungbauer, A (corresponding author), Muthgasse 18, A-1190 Vienna, Austria.</t>
  </si>
  <si>
    <t>alois.jungbauer@boku.ac.at</t>
  </si>
  <si>
    <t>Klausberger, Miriam/C-7885-2017</t>
  </si>
  <si>
    <t>Klausberger, Miriam/0000-0001-8409-454X; Jungbauer, Alois/0000-0001-8182-7728; Pereira Aguilar, Patricia/0000-0003-3346-4832; Steppert, Petra/0000-0002-0165-8045; Razzazi-Fazeli, Ebrahim/0000-0002-3343-0301</t>
  </si>
  <si>
    <t>10.1016/j.chroma.2016.05.053</t>
  </si>
  <si>
    <t>WOS:000378954900011</t>
  </si>
  <si>
    <t>Grande, R; Nistico, L; Sambanthamoorthy, K; Longwell, M; Iannitelli, A; Cellini, L; Di Stefano, A; Stoodley, LH; Stoodley, P</t>
  </si>
  <si>
    <t>Grande, Rossella; Nistico, Laura; Sambanthamoorthy, Karthik; Longwell, Mark; Iannitelli, Antonio; Cellini, Luigina; Di Stefano, Antonio; Stoodley, Luanne Hall; Stoodley, Paul</t>
  </si>
  <si>
    <t>Temporal expression of agrB, cidA, and alsS in the early development of Staphylococcus aureus UAMS-1 biofilm formation and the structural role of extracellular DNA and carbohydrates</t>
  </si>
  <si>
    <t>PATHOGENS AND DISEASE</t>
  </si>
  <si>
    <t>biofilm; Staphylococcus aureus; agrB; alsS; cidA; eDNA; carbohydrate</t>
  </si>
  <si>
    <t>GENE REGULATOR AGR; STREPTOCOCCUS-PNEUMONIAE; MEMBRANE-VESICLES; VIRULENCE FACTORS; ACETOIN; RELEASE; SURFACE; ACID; PH; POLYSACCHARIDE</t>
  </si>
  <si>
    <t>Extracellular DNA (eDNA) is an important component of the extracellular polymeric substance matrix and is important in the establishment and persistence of Staphylococcus aureus UAMS-1 biofilms. The aim of the study was to determine the temporal expression of genes involved in early biofilm formation and eDNA production. We used qPCR to investigate expression of agrB, which is associated with secreted virulence factors and biofilm dispersal, cidA, which is associated with biofilm adherence and genomic DNA release, and alsS, which is associated with cell lysis, eDNA release and acid tolerance. The contribution of eDNA to the stability of the biofilm matrix was assessed by digesting with DNase I (Pulmozyme) and quantifying structure by confocal microscopy and comstat image analysis. AgrB expression initially increased at 24h but then dramatically decreased at 72h in an inverse relationship to biomass, supporting its role in regulating biofilm dispersal. cidA and alsS expression steadily increased over 72h, suggesting that eDNA was an important component of early biofilm development. DNase I had no effect on biomass, but did cause the biofilms to become more heterogeneous. Carbohydrates in the matrix appeared to play an important role in structural stability.</t>
  </si>
  <si>
    <t>[Grande, Rossella; Nistico, Laura; Longwell, Mark; Stoodley, Luanne Hall; Stoodley, Paul] Allegheny Singer Res Inst, Ctr Genom Sci, Pittsburgh, PA 15212 USA; [Grande, Rossella; Iannitelli, Antonio; Cellini, Luigina; Di Stefano, Antonio] Univ G DAnnunzio, Dept Pharm, Chieti, Italy; [Sambanthamoorthy, Karthik] Walter Reed Army Inst Res, Div Bacterial &amp; Rickettsial Dis, Silver Spring, MD USA; [Stoodley, Luanne Hall] Southampton Gen Hosp, WTCRF, Southampton SO9 4XY, Hants, England; [Stoodley, Luanne Hall; Stoodley, Paul] Univ Southampton, Sch Engn, nCATS, Southampton, Hants, England; [Stoodley, Paul] Ohio State Univ, Ctr Microbial Interface Biol, Dept Microbial Infect &amp; Immun, Columbus, OH 43210 USA; [Stoodley, Paul] Ohio State Univ, Dept Orthoped, Columbus, OH 43210 USA</t>
  </si>
  <si>
    <t>G d'Annunzio University of Chieti-Pescara; United States Department of Defense; United States Army; Walter Reed Army Institute of Research (WRAIR); University of Southampton; University of Southampton; Ohio State University; Ohio State University</t>
  </si>
  <si>
    <t>Stoodley, P (corresponding author), Ohio State Univ, Ctr Microbial Interface Biol, 716 Biomed Res Tower,460 W 12th Ave, Columbus, OH 43210 USA.</t>
  </si>
  <si>
    <t>pstoodley@gmail.com</t>
  </si>
  <si>
    <t>Stoodley, Paul/E-5079-2013</t>
  </si>
  <si>
    <t>Stoodley, Paul/0000-0001-6069-273X; DI STEFANO, Antonio/0000-0002-3042-2234; Cellini, Luigina/0000-0003-4068-9124</t>
  </si>
  <si>
    <t>2049-632X</t>
  </si>
  <si>
    <t>10.1111/2049-632X.12158</t>
  </si>
  <si>
    <t>WOS:000334124300024</t>
  </si>
  <si>
    <t>Diefenbach, RJ; Lee, JH; Rizos, H</t>
  </si>
  <si>
    <t>Diefenbach, Russell J.; Lee, Jenny H.; Rizos, Helen</t>
  </si>
  <si>
    <t>Monitoring Melanoma Using Circulating Free DNA</t>
  </si>
  <si>
    <t>AMERICAN JOURNAL OF CLINICAL DERMATOLOGY</t>
  </si>
  <si>
    <t>CELL-FREE-DNA; BLOOD COLLECTION TUBES; DROPLET DIGITAL PCR; TUMOR DNA; LIQUID BIOPSIES; CANCER-PATIENTS; METASTATIC MELANOMA; ACQUIRED-RESISTANCE; GENOMIC ALTERATIONS; MALIGNANT-MELANOMA</t>
  </si>
  <si>
    <t>Genetic material derived from tumours is constantly shed into the circulation of cancer patients both in the form of circulating free nucleic acids and within circulating cells or extracellular vesicles. Monitoring cancer-specific genomic alterations, particularly mutant allele frequencies, in circulating nucleic acids allows for a non-invasive liquid biopsy for detecting residual disease and response to therapy. The advent of molecular targeted treatments and immunotherapies with increasing effectiveness requires corresponding effective molecular biology methods for the detection of biomarkers such as circulating nucleic acid to monitor and ultimately personalise therapy. The use of polymerase chain reaction (PCR)-based methods, such as droplet digital PCR, allows for a very sensitive analysis of circulating tumour DNA, but typically only a limited number of gene mutations can be detected in parallel. In contrast, next-generation sequencing allows for parallel analysis of multiple mutations in many genes. The development of targeted next-generation sequencing cancer gene panels optimised for the detection of circulating free DNA now provides both the flexibility of multiple mutation analysis coupled with a sensitivity that approaches or even matches droplet digital PCR. In this review, we discuss the advantages and disadvantages of these current molecular technologies in conjunction with how this field is evolving in the context of melanoma diagnosis, prognosis, and monitoring of response to therapy.</t>
  </si>
  <si>
    <t>[Diefenbach, Russell J.; Lee, Jenny H.; Rizos, Helen] Macquarie Univ, Dept Biomed Sci, Fac Med &amp; Hlth Sci, Sydney, NSW 2109, Australia; [Diefenbach, Russell J.; Lee, Jenny H.; Rizos, Helen] Melanoma Inst Australia, Sydney, NSW 2065, Australia</t>
  </si>
  <si>
    <t>Macquarie University; Melanoma Institute Australia</t>
  </si>
  <si>
    <t>Diefenbach, RJ (corresponding author), Macquarie Univ, Dept Biomed Sci, Fac Med &amp; Hlth Sci, Sydney, NSW 2109, Australia.;Diefenbach, RJ (corresponding author), Melanoma Inst Australia, Sydney, NSW 2065, Australia.</t>
  </si>
  <si>
    <t>russell.diefenbach@mq.edu.au</t>
  </si>
  <si>
    <t>Diefenbach, Russell J./E-9602-2015; Rizos, Helen/AAE-5010-2020</t>
  </si>
  <si>
    <t>Diefenbach, Russell J./0000-0002-8433-4336; Rizos, Helen/0000-0002-2094-9198; Lee, Jenny/0000-0001-8844-3444</t>
  </si>
  <si>
    <t>1175-0561</t>
  </si>
  <si>
    <t>1179-1888</t>
  </si>
  <si>
    <t>10.1007/s40257-018-0398-x</t>
  </si>
  <si>
    <t>WOS:000457539000001</t>
  </si>
  <si>
    <t>Estebanez, B; Visavadiya, NP; de Paz, JA; Whitehurst, M; Cuevas, MJ; Gonzalez-Gallego, J; Huang, CJ</t>
  </si>
  <si>
    <t>Estebanez, Brisamar; Visavadiya, Nishant P.; de Paz, Jose A.; Whitehurst, Michael; Cuevas, Maria J.; Gonzalez-Gallego, Javier; Huang, Chun-Jung</t>
  </si>
  <si>
    <t>Resistance Training Diminishes the Expression of Exosome CD63 Protein without Modification of Plasma miR-146a-5p and cfDNA in the Elderly</t>
  </si>
  <si>
    <t>aging; cell-free DNA; exercise-promoted exosomes; extracellular vesicles; inflammaging; microRNAs; physical activity; strength training</t>
  </si>
  <si>
    <t>Aging-associated inflammation is characterized by senescent cell-mediated secretion of high levels of inflammatory mediators, such as microRNA (miR)-146a. Moreover, a rise of circulating cell-free DNA (cfDNA) is also related to systemic inflammation and frailty in the elderly. Exosome-mediated cell-to-cell communication is fundamental in cellular senescence and aging. The plasma changes in exercise-promoted miR-146a-5p, cfDNA, and exosome release could be the key to facilitate intercellular communication and systemic adaptations to exercise in aging. Thirty-eight elderly subjects (28 trained and 10 controls) volunteered in an 8-week resistance training protocol. The levels of plasma miR-146a-5p, cfDNA, and exosome markers (CD9, CD14, CD63, CD81, Flotillin [Flot]-1, and VDAC1) were measured prior to and following training. Results showed no changes in plasma miR-146a-5p and cfDNA levels with training. The levels of exosome markers (Flot-1, CD9, and CD81) as well as exosome-carried proteins (CD14 and VDAC1) remained unchanged, whereas an attenuated CD63 response was found in the trained group compared to the controls. These findings might partially support the anti-inflammatory effect of resistance training in the elderly as evidenced by the diminishment of exosome CD63 protein expression, without modification of plasma miR-146a-5p and cfDNA.</t>
  </si>
  <si>
    <t>[Estebanez, Brisamar; de Paz, Jose A.; Cuevas, Maria J.; Gonzalez-Gallego, Javier] Univ Leon, Inst Biomed IBIOMED, Leon 24007, Spain; [Visavadiya, Nishant P.; Whitehurst, Michael; Huang, Chun-Jung] Florida Atlantic Univ, Dept Exercise Sci &amp; Hlth Promot, Exercise Biochem Lab, Boca Raton, FL 33431 USA</t>
  </si>
  <si>
    <t>Universidad de Leon; State University System of Florida; Florida Atlantic University</t>
  </si>
  <si>
    <t>Estebanez, B (corresponding author), Univ Leon, Inst Biomed IBIOMED, Leon 24007, Spain.;Huang, CJ (corresponding author), Florida Atlantic Univ, Dept Exercise Sci &amp; Hlth Promot, Exercise Biochem Lab, Boca Raton, FL 33431 USA.</t>
  </si>
  <si>
    <t>b.estebanez@unileon.es; nvisavadiya@fau.edu; japazf@unileon.es; whitehur@fau.edu; mj.cuevas@unileon.es; jgonga@unileon.es; chuang5@fau.edu</t>
  </si>
  <si>
    <t>Estébanez, Brisamar/G-3863-2017; de Paz, José Antonio/M-4930-2015; Gonzalez-Gallego, Javier/D-8219-2012</t>
  </si>
  <si>
    <t>Estébanez, Brisamar/0000-0001-5034-9508; de Paz, José Antonio/0000-0002-4389-1777; Gonzalez-Gallego, Javier/0000-0002-4386-9342; Huang, Chun-Jung/0000-0002-0425-8311</t>
  </si>
  <si>
    <t>10.3390/nu13020665</t>
  </si>
  <si>
    <t>WOS:000622917600001</t>
  </si>
  <si>
    <t>Gao, ML; Yin, BC; Ye, BC</t>
  </si>
  <si>
    <t>Gao, Mei-Ling; Yin, Bin-Cheng; Ye, Bang-Ce</t>
  </si>
  <si>
    <t>Construction of a DNA-AuNP-based satellite network for exosome analysis</t>
  </si>
  <si>
    <t>As exosomes have been playing an increasingly important role in the diagnosis, treatment and prognosis of diseases, the analysis of exosome contents becomes more crucial. Therefore, the development of a cost-effective and simple exosome separation method that achieves high purity is urgently needed, and it is vital for further research in cancer. In this work, we constructed a DNA-AuNP-based satellite network which integrates low-speed centrifugal exosome isolation, detection and protein analysis. The rolling circle amplification (RCA) reaction is used to produce a long-chain DNA hairpin structure comprising a plurality of functional domains, such as CD63 aptamer sequences, linker sequences, and spacer sequences with complementary base pairs to form a hairpin structure. When the CD63 aptamers bind to exosomes, the hairpin structure changes its conformation, exposing the linker sequences (AuNP binding sequence). Then the probe on the surface of AuNPs combines with the long-chain DNA by the toehold-mediated strand displacement reaction, releasing the fluorescent labeled complementary probe as the detection signal and simultaneously forming the DNA-AuNP-based satellite network. Thus, exosomes can be isolated by low-speed centrifugation. The formation of the DNA-AuNP-based satellite network was confirmed by transmission electron microscopy and confocal fluorescence microscopy. In addition, we established a standard curve for exosome detection which showed good linearity of the fluorescence ratio vs. log(exosome concentration). LC/MS for protein profiling of the captured exosomes demonstrated that our method has potential application in the field of exosome research.</t>
  </si>
  <si>
    <t>[Gao, Mei-Ling; Yin, Bin-Cheng; Ye, Bang-Ce] Zhejiang Univ Technol, Coll Pharmaceut Sci, Collaborat Innovat Ctr Yangtze River Delta Reg Gr, Hangzhou 310014, Zhejiang, Peoples R China; [Yin, Bin-Cheng; Ye, Bang-Ce] East China Univ Sci &amp; Technol, State Key Lab Bioreactor Engn, Lab Biosyst &amp; Microanal, Shanghai 200237, Peoples R China; [Ye, Bang-Ce] Shihezi Univ, Sch Chem &amp; Chem Engn, Xinjiang 832000, Peoples R China</t>
  </si>
  <si>
    <t>Yin, BC; Ye, BC (corresponding author), Zhejiang Univ Technol, Coll Pharmaceut Sci, Collaborat Innovat Ctr Yangtze River Delta Reg Gr, Hangzhou 310014, Zhejiang, Peoples R China.;Yin, BC; Ye, BC (corresponding author), East China Univ Sci &amp; Technol, State Key Lab Bioreactor Engn, Lab Biosyst &amp; Microanal, Shanghai 200237, Peoples R China.;Ye, BC (corresponding author), Shihezi Univ, Sch Chem &amp; Chem Engn, Xinjiang 832000, Peoples R China.</t>
  </si>
  <si>
    <t>10.1039/c9an01328h</t>
  </si>
  <si>
    <t>WOS:000489050900008</t>
  </si>
  <si>
    <t>Liu, ML; Reilly, MP; Casasanto, P; McKenzie, SE; Williams, KJ</t>
  </si>
  <si>
    <t>Liu, Ming-Lin; Reilly, Michael P.; Casasanto, Peter; McKenzie, Steven E.; Williams, Kevin Jon</t>
  </si>
  <si>
    <t>Cholesterol enrichment of human monocyte/macrophages induces surface exposure of phosphatidylserine and the release of biologically-active tissue factor - Positive microvesicles</t>
  </si>
  <si>
    <t>ARTERIOSCLEROSIS THROMBOSIS AND VASCULAR BIOLOGY</t>
  </si>
  <si>
    <t>6th Annual Conference on Arteriosclerosis, Thrombosis and Vascular Biology</t>
  </si>
  <si>
    <t>APR 28-30, 2005</t>
  </si>
  <si>
    <t>Washington, DC</t>
  </si>
  <si>
    <t>macrophages; microparticles; tissue factor; apoptosis; atherosclerosis</t>
  </si>
  <si>
    <t>SHED MEMBRANE MICROPARTICLES; MONOCYTE-DERIVED MACROPHAGES; FACTOR PROCOAGULANT ACTIVITY; SMOOTH-MUSCLE-CELLS; ENDOTHELIAL-CELLS; FACTOR EXPRESSION; APOPTOTIC CELLS; HYPERLIPIDEMIC PATIENTS; BEARING MICROVESICLES; ADHESION MOLECULES</t>
  </si>
  <si>
    <t>Objective - Biologically significant amounts of two procoagulant molecules, phosphatidylserine ( PS) and tissue factor (TF), are transported by monocyte/macrophage-derived microvesicles (MVs). Because cellular cholesterol accumulation is an important feature of atherosclerotic vascular disease, we now examined effects of cholesterol enrichment on MV release from human monocytes and macrophages. Methods and Results - Cholesterol enrichment of human THP-1 monocytes, alone or in combination with lipopolysaccharide (LPS), tripled their total MV generation, as quantified by flow cytometry based on particle size and PS exposure. The subset of these MVs that were also TF-positive was likewise increased by cellular cholesterol enrichment, and these TF-positive MVs exhibited a striking 10-fold increase in procoagulant activity. Moreover, cholesterol enrichment of primary human monocyte-derived macrophages also increased their total as well as TF-positive MV release, and these TF-positive MVs exhibited a similar 10-fold increase in procoagulant activity. To explore the mechanisms of enhanced MV release, we found that cholesterol enrichment of monocytes caused PS exposure on the cell surface by as early as 2 hours and genomic DNA fragmentation in a minority of cells by 20 hours. Addition of a caspase inhibitor at the beginning of these incubations blunted both cholesterol-induced apoptosis and MV release. Conclusions - Cholesterol enrichment of human monocyte/macrophages induces the generation of highly biologically active, PS-positive MVs, at least in part through induction of apoptosis. Cholesterol-induced monocyte/macrophage MVs, both TF-positive and TF-negative, may be novel contributors to atherothrombosis.</t>
  </si>
  <si>
    <t>Thomas Jefferson Univ, Div Endocrinol, Philadelphia, PA 19107 USA; Thomas Jefferson Univ, Jefferson Med Coll, Dorrance H Hamilton Res Labs, Philadelphia, PA 19107 USA; Thomas Jefferson Univ, Jefferson Med Coll, Div Endocrinol Diabet &amp; Metab Dis, Philadelphia, PA 19107 USA; Thomas Jefferson Univ, Jefferson Med Coll, Cardeza Fdn Hematol Res, Philadelphia, PA 19107 USA; Thomas Jefferson Univ, Jefferson Med Coll, Dept Med, Div Hematol, Philadelphia, PA 19107 USA</t>
  </si>
  <si>
    <t>Jefferson University; Jefferson University; Jefferson University; Jefferson University; Jefferson University</t>
  </si>
  <si>
    <t>Williams, KJ (corresponding author), Thomas Jefferson Univ, Div Endocrinol, 1020 Locust St,Suite 348, Philadelphia, PA 19107 USA.</t>
  </si>
  <si>
    <t>Ming-lin.Liu@jefferson.edu; K_Williams@mail.jci.tju.edu</t>
  </si>
  <si>
    <t>McKenzie, Steven/0000-0003-2654-8560; Liu, Minglin/0000-0001-8827-2024; Williams, Kevin Jon/0000-0002-0000-2159</t>
  </si>
  <si>
    <t>1079-5642</t>
  </si>
  <si>
    <t>10.1161/01.ATV.0000254674.47693.e8</t>
  </si>
  <si>
    <t>Conference Proceedings Citation Index - Science (CPCI-S); Science Citation Index Expanded (SCI-EXPANDED)</t>
  </si>
  <si>
    <t>WOS:000243593500028</t>
  </si>
  <si>
    <t>Vidakovics, MLAP; Jendholm, J; Morgelin, M; Mansson, A; Larsson, C; Cardell, LO; Riesbeck, K</t>
  </si>
  <si>
    <t>Vidakovics, Maria Laura A. Perez; Jendholm, Johan; Morgelin, Matthias; Mansson, Anne; Larsson, Christer; Cardell, Lars-Olaf; Riesbeck, Kristian</t>
  </si>
  <si>
    <t>B Cell Activation by Outer Membrane Vesicles-A Novel Virulence Mechanism</t>
  </si>
  <si>
    <t>IGD-BINDING PROTEIN; TOLL-LIKE RECEPTOR-9; MORAXELLA-CATARRHALIS; EPITHELIAL-CELLS; HAEMOPHILUS-INFLUENZAE; EXTRACELLULAR VESICLES; ACQUIRED-IMMUNITY; BIOFILM FORMATION; MAMMALIAN-CELLS; LIPID RAFTS</t>
  </si>
  <si>
    <t>Secretion of outer membrane vesicles (OMV) is an intriguing phenomenon of Gram-negative bacteria and has been suggested to play a role as virulence factors. The respiratory pathogens Moraxella catarrhalis reside in tonsils adjacent to B cells, and we have previously shown that M. catarrhalis induce a T cell independent B cell response by the immunoglobulin (Ig) D-binding superantigen MID. Here we demonstrate that Moraxella are endocytosed and killed by human tonsillar B cells, whereas OMV have the potential to interact and activate B cells leading to bacterial rescue. The B cell response induced by OMV begins with IgD B cell receptor (BCR) clustering and Ca2+ mobilization followed by BCR internalization. In addition to IgD BCR, TLR9 and TLR2 were found to colocalize in lipid raft motifs after exposure to OMV. Two components of the OMV, i.e., MID and unmethylated CpG-DNA motifs, were found to be critical for B cell activation. OMV containing MID bound to and activated tonsillar CD19(+) IgD(+) lymphocytes resulting in IL-6 and IgM production in addition to increased surface marker density (HLA-DR, CD45, CD64, and CD86), whereas MID-deficient OMV failed to induce B cell activation. DNA associated with OMV induced full B cell activation by signaling through TLR9. Importantly, this concept was verified in vivo, as OMV equipped with MID and DNA were found in a 9-year old patient suffering from Moraxella sinusitis. In conclusion, Moraxella avoid direct interaction with host B cells by redirecting the adaptive humoral immune response using its superantigen-bearing OMV as decoys.</t>
  </si>
  <si>
    <t>[Vidakovics, Maria Laura A. Perez; Jendholm, Johan; Riesbeck, Kristian] Lund Univ, Dept Lab Med, Malmo Univ Hosp, Malmo, Sweden; [Morgelin, Matthias] Lund Univ, Sect Clin &amp; Expt Infect Med, Dept Clin Sci, Lund, Sweden; [Mansson, Anne; Cardell, Lars-Olaf] Karolinska Inst, Div ENT Dis, Dept Clin Sci Intervent &amp; Technol, Huddinge, Sweden; [Larsson, Christer] Lund Univ, Dept Lab Med, Malmo Univ Hosp, Ctr Mol Pathol, Malmo, Sweden</t>
  </si>
  <si>
    <t>Lund University; Skane University Hospital; Lund University; Karolinska Institutet; Lund University; Skane University Hospital</t>
  </si>
  <si>
    <t>Vidakovics, MLAP (corresponding author), Lund Univ, Dept Lab Med, Malmo Univ Hosp, Malmo, Sweden.</t>
  </si>
  <si>
    <t>kristian.riesbeck@med.lu.se</t>
  </si>
  <si>
    <t>Perez Vidakovics, Maria Laura Anabella/0000-0003-4283-812X; Riesbeck, Kristian/0000-0001-6274-6965</t>
  </si>
  <si>
    <t>e1000724</t>
  </si>
  <si>
    <t>10.1371/journal.ppat.1000724</t>
  </si>
  <si>
    <t>WOS:000274227100015</t>
  </si>
  <si>
    <t>Han, ZY; Liu, JT; Liu, ZN; Pan, WW; Yang, Y; Chen, XJ; Gao, YH; Duan, XX</t>
  </si>
  <si>
    <t>Han, Ziyu; Liu, Jiantao; Liu, Zhanning; Pan, Wenwei; Yang, Yang; Chen, Xuejiao; Gao, Yunhua; Duan, Xuexin</t>
  </si>
  <si>
    <t>Resistive pulse sensing device with embedded nanochannel (nanochannel-RPS) for label-free biomolecule and bionanoparticle analysis</t>
  </si>
  <si>
    <t>NANOTECHNOLOGY</t>
  </si>
  <si>
    <t>resistive pulse sensing; nanochannel; nanoparticle; plasmid DNA; exosome</t>
  </si>
  <si>
    <t>This paper reports an IC-compatible method for fabricating a PDMS-based resistive pulse sensing (RPS) device with embedded nanochannel (nanochannel-RPS) for label-free analysis of biomolecules and bionanoparticles, such as plasmid DNAs and exosomes. Here, a multilayer lithography process was proposed to fabricate the PDMS mold for the microfluidic device, comprising a bridging nanochannel, as the sensing gate. RPS was performed by placing the sensing and excitation electrodes symmetrically upstream and downstream of the sensing gate. In order to reduce the noise level, a reference electrode was designed and placed beside the excitation electrode. To demonstrate the feasibility of the proposed nanochannel-RPS device and sensing system, polystyrene micro- and nanoparticles with diameters of 1 mu m and 300 nm were tested by the proposed device with signal-to-noise ratios (SNR) ranging from 9.1-30.5 and 2.2-5.9, respectively. Furthermore, a nanochannel with height of 300 nm was applied for 4 kb plasmid DNA detection, implying the potential of the proposed method for label-free quantification of nanoscale biomolecules. Moreover, HeLa cell exosomes, known as a well-studied subtype of extracellular vesicles, were measured and analyzed by their size distribution. The result of the resistive pulse amplitude corresponded well to that of nanoparticle tracking analysis (NTA). The proposed nanochannel-RPS device and the sensing strategy are not only capable of label-free analysis for nanoscale biomolecules and bionanoparticles, but are also cost-effective for large-scale manufacturing.</t>
  </si>
  <si>
    <t>[Han, Ziyu; Liu, Jiantao; Liu, Zhanning; Pan, Wenwei; Yang, Yang; Chen, Xuejiao; Duan, Xuexin] Tianjin Univ, Coll Precis Instrument &amp; Optoelect Engn, State Key Lab Precis Measuring Technol &amp; Instrume, Tianjin 300072, Peoples R China; [Liu, Jiantao; Liu, Zhanning; Gao, Yunhua] Natl Inst Metrol, Ctr Adv Measurement Sci, Beijing 100029, Peoples R China</t>
  </si>
  <si>
    <t>Tianjin University; National Institute of Metrology China</t>
  </si>
  <si>
    <t>Duan, XX (corresponding author), Tianjin Univ, Coll Precis Instrument &amp; Optoelect Engn, State Key Lab Precis Measuring Technol &amp; Instrume, Tianjin 300072, Peoples R China.;Gao, YH (corresponding author), Natl Inst Metrol, Ctr Adv Measurement Sci, Beijing 100029, Peoples R China.</t>
  </si>
  <si>
    <t>gaoyh@nim.ac.cn; xduan@tju.edu.cn</t>
  </si>
  <si>
    <t>Duan, Xuexin/0000-0002-7550-3951</t>
  </si>
  <si>
    <t>0957-4484</t>
  </si>
  <si>
    <t>1361-6528</t>
  </si>
  <si>
    <t>10.1088/1361-6528/abf510</t>
  </si>
  <si>
    <t>WOS:000646037000001</t>
  </si>
  <si>
    <t>Pan, HY; Yu, Y; Cao, T; Liu, Y; Zhou, YL; Zhang, XX</t>
  </si>
  <si>
    <t>Pan, Hui-Yu; Yu, Yue; Cao, Ting; Liu, Ying; Zhou, Ying-Lin; Zhang, Xin-Xiang</t>
  </si>
  <si>
    <t>Systematic Profiling of Exosomal Small RNA Epigenetic Modifications by High-Performance Liquid Chromatography-Mass Spectrometry</t>
  </si>
  <si>
    <t>5-METHYLCYTOSINE; DNA; MICRORNAS; OXIDATION; PROTEINS; VESICLES</t>
  </si>
  <si>
    <t>Exosomes are nanosized extracellular vesicles that have a critical role in intercellular communication and tumor microenvironment regulation. Extensive research has shown that exosomal small RNAs contribute to metastasis in multiple tumor types and that abnormal epigenetic modifications in nucleic acids also have an association with diverse diseases. However, the content of modified nucleosides on exosomal small RNAs has not been quantitatively reported. Because of the trace amounts of exosomes and matrix complexity, we used liquid chromatography-tandem mass spectrometry (LC-MS/MS) as a powerful tool for label-free sensitive and simultaneous determinations of six important modified nucleosides on small RNAs inside exosomes. This system performed well using only approximately 10(7)-10(8) particles of exosomes to obtain modified nucleoside levels between 0.001 and 0.03, and the most striking result was that the content of m(6)A in exosomal small RNAs was continuously higher than that in the cells being analyzed. We hope that this conclusion helps establish a greater degree of deciphering accuracy on exosomes, which has considerable application potential in the diagnosis and prognosis of diseases.</t>
  </si>
  <si>
    <t>[Pan, Hui-Yu; Yu, Yue; Liu, Ying; Zhou, Ying-Lin; Zhang, Xin-Xiang] Peking Univ, Beijing Natl Lab Mol Sci BNLMS, MOE Key Lab Bioorgan Chem &amp; Mol Engn, Coll Chem &amp; Mol Engn, Beijing 100871, Peoples R China; [Cao, Ting] Univ Chinese Acad Sci, Wenzhou Inst, Wenzhou 325001, Zhejiang, Peoples R China; [Cao, Ting] Chinese Acad Sci, Inst Phys, Lab Soft Matter Phys, Beijing 100190, Peoples R China</t>
  </si>
  <si>
    <t>Peking University; Chinese Academy of Sciences; University of Chinese Academy of Sciences, CAS; Chinese Academy of Sciences; Institute of Physics, CAS</t>
  </si>
  <si>
    <t>Zhou, YL (corresponding author), Peking Univ, Beijing Natl Lab Mol Sci BNLMS, MOE Key Lab Bioorgan Chem &amp; Mol Engn, Coll Chem &amp; Mol Engn, Beijing 100871, Peoples R China.</t>
  </si>
  <si>
    <t>zhouyl@pku.edu.cn</t>
  </si>
  <si>
    <t>Zhang, Xin-Xiang/0000-0002-9715-4561</t>
  </si>
  <si>
    <t>10.1021/acs.analchem.1c03869</t>
  </si>
  <si>
    <t>WOS:000721110000001</t>
  </si>
  <si>
    <t>Selnihhin, D; Mortensen, KI; Larsen, JB; Simonsen, JB; Pedersen, FS</t>
  </si>
  <si>
    <t>Selnihhin, Denis; Mortensen, Kim, I; Larsen, Jannik B.; Simonsen, Jens B.; Pedersen, Finn Skou</t>
  </si>
  <si>
    <t>DNA Origami Calibrators for Counting Fluorophores on Single Particles by Flow Cytometry</t>
  </si>
  <si>
    <t>DNA nanotechnology; DNA origami; self-assembly; quantitative flow cytometry; virology</t>
  </si>
  <si>
    <t>EXTRACELLULAR VESICLES; NANOSCALE SHAPES; MICROSCOPY; REVEALS; CELLS</t>
  </si>
  <si>
    <t>Flow cytometry (FCM) is a high-throughput fluorescence-based technique for multiparameter analysis of individual particles, including cells and nanoparticles. Currently, however, FCM does in many cases not permit proper counting of fluorophore-tagged markers on individual particles, due to a lack of tools for translating FCM output intensities into accurate numbers of fluorophores. This lack hinders derivation of detailed biologic information and comparison of data between experiments with FCM. To address this technological void, the authors here use DNA nanotechnology to design and construct barrel-shaped DNA-origami nanobeads for fluorescence/antigen quantification in FCM. Each bead contains a specific number of calibrator fluorophores and a fluorescent trigger domain with an alternative fluorophore for proper detection in FCM. Using electron microscopy, single-particle fluorescence microscopy, and FCM, the design of each particle is verified. To validate that the DNA bead-based FCM calibration enabled the authors to determine the number of antigens on a biological particle, the uniform and well-characterized murine leukemia virus (MLV) is studied. 48 +/- 11 envelope surface protein (Env) trimers per MLV is obtained, which is consistent with reported numbers that relied on low-throughput imaging. Thus, the authors' DNA-beads should accelerate quantitative studies of the biology of individual particles with FCM.</t>
  </si>
  <si>
    <t>[Selnihhin, Denis; Pedersen, Finn Skou] Aarhus Univ, Interdisciplinary Nanosci Ctr, Dept Mol Biol &amp; Genet, DK-8000 Aarhus, Denmark; [Selnihhin, Denis; Mortensen, Kim, I; Larsen, Jannik B.; Simonsen, Jens B.] Tech Univ Denmark, Dept Hlth Technol, DK-2800 Lyngby, Denmark</t>
  </si>
  <si>
    <t>Aarhus University; Technical University of Denmark</t>
  </si>
  <si>
    <t>Selnihhin, D (corresponding author), Aarhus Univ, Interdisciplinary Nanosci Ctr, Dept Mol Biol &amp; Genet, DK-8000 Aarhus, Denmark.;Selnihhin, D (corresponding author), Tech Univ Denmark, Dept Hlth Technol, DK-2800 Lyngby, Denmark.</t>
  </si>
  <si>
    <t>denis@inano.au.dk</t>
  </si>
  <si>
    <t>Mortensen, Kim I/F-1936-2010; Larsen, Jannik Bruun/M-7950-2015</t>
  </si>
  <si>
    <t>Mortensen, Kim I/0000-0002-2903-8999; Selnihhin, Denis/0000-0002-8964-9257; Simonsen, Jens B./0000-0002-4797-8570; Larsen, Jannik Bruun/0000-0003-4754-2803</t>
  </si>
  <si>
    <t>10.1002/smtd.202101364</t>
  </si>
  <si>
    <t>WOS:000739797900001</t>
  </si>
  <si>
    <t>Morrison, R; Gardiner, C; Evidente, A; Kiss, R; Townley, H</t>
  </si>
  <si>
    <t>Morrison, Rachel; Gardiner, Chris; Evidente, Antonio; Kiss, Robert; Townley, Helen</t>
  </si>
  <si>
    <t>Incorporation of Ophiobolin A into Novel Chemoembolization Particles for Cancer Cell Treatment</t>
  </si>
  <si>
    <t>cancer; chemoembolization; mesoporous silica; microvesicles; Ophiobolin A</t>
  </si>
  <si>
    <t>MESOPOROUS SILICA NANOPARTICLES; ARTERIAL EMBOLIZATION; ACTIN POLYMERIZATION; CYTOCHALASIN-D; APOPTOSIS; RHABDOMYOSARCOMA; MICROSPHERES; INFECTION; DELIVERY; FACILE</t>
  </si>
  <si>
    <t>Purpose To design and synthesize chemoembolization particles for the delivery of Ophiobolin A (OphA), a promising fungal-derived chemotherapeutic, directly at the tumour location. To investigate cell death mechanism of OphA on a Rhabdomyosarcoma cancer (RD) cell line. Rhabdomyosarcoma is the most common soft tissue sarcoma in children; with a 5-year survival rate of between 30 and 65%. Methods Multimodal chemoembolization particles were prepared by sintering mesoporous silica nanoparticles, prepared by the sol-gel method, onto the surface of polystyrene microspheres, prepared by suspension copolymerisation. The chemoembolization particles were subsequently loaded with OphA. The effects of OphA in vitro were characterised by flow cytometry and nanoparticle tracking analysis (NanoSight). Results High loading of OphA onto the chemoembolization particles was achieved. The subsequent release of OphA onto RD cells in culture showed a 70% reduction in cell viability. OphA caused RD cells to round up and their membrane to bleb and caused cell death via apoptosis. OphA caused both an increase in the number of microvesicles produced and an increase in DNA content within these microvesicles. Conclusions The prepared chemoembolization particles showed good efficacy against RD cells in culture.</t>
  </si>
  <si>
    <t>[Morrison, Rachel; Townley, Helen] Univ Oxford, Dept Engn Sci, Oxford OX1 3PJ, England; [Gardiner, Chris; Townley, Helen] Univ Oxford, John Radcliffe Hosp, Oxford OX3 9DU, England; [Evidente, Antonio] Univ Naples Federico II, Dipartimento Sci Chim, I-80126 Naples, Italy; [Kiss, Robert] Univ Libre Bruxelles, Fac Pharm, Lab Cancerol &amp; Toxicol Expt, Brussels, Belgium</t>
  </si>
  <si>
    <t>University of Oxford; University of Oxford; University of Naples Federico II; Universite Libre de Bruxelles</t>
  </si>
  <si>
    <t>Townley, H (corresponding author), Univ Oxford, Dept Engn Sci, Parks Rd, Oxford OX1 3PJ, England.</t>
  </si>
  <si>
    <t>helen.townley@eng.ox.ac.uk</t>
  </si>
  <si>
    <t>Evidente, Antonio/N-9357-2013; Gardiner, Chris/F-1178-2011</t>
  </si>
  <si>
    <t>Evidente, Antonio/0000-0001-9110-1656; Gardiner, Chris/0000-0002-2318-0062</t>
  </si>
  <si>
    <t>10.1007/s11095-014-1386-3</t>
  </si>
  <si>
    <t>WOS:000343889300030</t>
  </si>
  <si>
    <t>Keseru, JS; Soltesz, B; Lukacs, J; Marton, E; Szilagyi-Boniz, M; Penyige, A; Poka, R; Nagy, B</t>
  </si>
  <si>
    <t>Keseru, Judit Szilvia; Soltesz, Beata; Lukacs, Janos; Marton, Eva; Szilagyi-Boniz, Melinda; Penyige, Andras; Poka, Robert; Nagy, Balint</t>
  </si>
  <si>
    <t>Detection of cell-free, exosomal and whole blood mitochondrial DNA copy number in plasma or whole blood of patients with serous epithelial ovarian cancer</t>
  </si>
  <si>
    <t>Mitochondrial DNA; Serous ovarian cancer; Cell-free mtDNA; Exosomal mtDNA</t>
  </si>
  <si>
    <t>CIRCULATING DNA; TUMOR; MICROENVIRONMENT; BIOMARKERS</t>
  </si>
  <si>
    <t>Ovarian tumor is one of the leading causes of cancer among women. Patients are diagnosed at an advanced stage, usually. There is a need for new specific and sensitive biomarkers. Mitochondrial DNA copy number change was observed in various cancers. Our aim was to detect mitochondrial DNA copy number in whole blood (wb-mtDNA) and in plasma (cell-free and exosome encapsulated mtDNA) in patients with serous epithelial ovarian tumor. DNA was isolated from EDTA blood and plasma obtained from 24 patients and 24 healthy controls. Exosomes were isolated from cell-free plasma, and exosome encapsulated DNA (exoDNA) was extracted. Quantitative-real-time PCR was performed with Human Mitochondrial DNA (mtDNA) Monitoring Primer Set. Kruskall-Wallis and Mann-Whitney U test were used for data analysis. Wb-mtDNA copy number was significantly different among healthy controls and patients in multiple comparison (p = 0.0090 considering FIGO stage independently, and p = 0.0048 considering early- and late-stage cancers). There was a significant decrease among early-stage, all advanced stage and all cancer patients (FIGO I: 32.5 +/- 8.3, p = 0.0061; FIGO III + IV: 37.2 +/- 13.7 p = 0.0139; FIGO I + III + IV: 35.6 +/- 12.2, p = 0.0017) or FIGO III patients alone (32.8 +/- 5.6, p = 0.00089) compared to healthy controls. We found significant increase in copy number in exosomal mtDNA in cancer patients (236.0 +/- 499.0, p = 0.0155), advanced-stage cancer patients (333.0 +/- 575.0, p = 0.0095), of FIGO III (362.0 +/- 609.2, p = 0.0494), and FIGO IV (304.0 +/- 585.0, p = 0.0393) patients alone but not in samples of FIGO I patients (10.0 +/- 3.5, p = 0.3907). In multiple comparison the increase was significant considering early- and late-stage cancers (p = 0.0253). Cell-free mtDNA copy numbers were not increased significantly. We found the highest copy number of mtDNA in exosomes, followed by plasma and peripheral blood in late-stage cancer patients. We observed significant difference in wb-mtDNA copy number between healthy controls and both early- and late-stage cancer patients.</t>
  </si>
  <si>
    <t>[Keseru, Judit Szilvia; Soltesz, Beata; Marton, Eva; Szilagyi-Boniz, Melinda; Penyige, Andras; Nagy, Balint] Univ Debrecen, Fac Med, Dept Human Genet, Egyet Ter 1, H-4032 Debrecen, Hungary; [Lukacs, Janos; Poka, Robert] Univ Debrecen, Fac Med, Dept Obstet &amp; Gynecol, Debrecen, Hungary</t>
  </si>
  <si>
    <t>University of Debrecen; University of Debrecen</t>
  </si>
  <si>
    <t>Keseru, JS (corresponding author), Univ Debrecen, Fac Med, Dept Human Genet, Egyet Ter 1, H-4032 Debrecen, Hungary.</t>
  </si>
  <si>
    <t>keseru.judit@med.unideb.hu</t>
  </si>
  <si>
    <t>Poka, Robert/ABD-1344-2020</t>
  </si>
  <si>
    <t>Poka, Robert/0000-0003-1836-1579; Nagy, Balint/0000-0002-0295-185X; Szilagyi, Melinda/0000-0002-0316-2553</t>
  </si>
  <si>
    <t>JUN 10</t>
  </si>
  <si>
    <t>10.1016/j.jbiotec.2019.04.015</t>
  </si>
  <si>
    <t>WOS:000466942100010</t>
  </si>
  <si>
    <t>Ryu, C; Walia, A; Ortiz, V; Perry, C; Woo, S; Reeves, BC; Sun, HX; Winkler, J; Kanyo, JE; Wang, WW; Vukmirovic, M; Ristic, N; Stratton, EA; Meena, SR; Minasyan, M; Kurbanov, D; Liu, XR; Lam, TT; Farina, G; Gomez, JL; Gulati, M; Herzog, EL</t>
  </si>
  <si>
    <t>Ryu, Changwan; Walia, Anjali; Ortiz, Vivian; Perry, Carrighan; Woo, Sam; Reeves, Benjamin C.; Sun, Huanxing; Winkler, Julia; Kanyo, Jean E.; Wang, Weiwei; Vukmirovic, Milica; Ristic, Nicholas; Stratton, Eric A.; Meena, Sita Ram; Minasyan, Maksym; Kurbanov, Daniel; Liu, Xinran; Lam, TuKiet T.; Farina, Giuseppina; Gomez, Jose L.; Gulati, Mridu; Herzog, Erica L.</t>
  </si>
  <si>
    <t>Bioactive Plasma Mitochondrial DNA is Associated With Disease Progression in Scleroderma-Associated Interstitial Lung Disease</t>
  </si>
  <si>
    <t>ARTHRITIS &amp; RHEUMATOLOGY</t>
  </si>
  <si>
    <t>IDIOPATHIC PULMONARY-FIBROSIS; SYSTEMIC-SCLEROSIS; MYOFIBROBLAST DIFFERENTIATION; EXTRACELLULAR VESICLES; ACTIVATION; INNATE; INTERFERON; EXPRESSION; RESPONSES; MIR-155</t>
  </si>
  <si>
    <t>Objective Systemic sclerosis-associated interstitial lung disease (SSc-ILD) is characterized by variable clinical outcomes, activation of innate immune pattern-recognition receptors (PRRs), and accumulation of alpha-smooth muscle actin (alpha-SMA)-expressing myofibroblasts. The aim of this study was to identify an association between these entities and mitochondrial DNA (mtDNA), an endogenous ligand for the intracellular DNA-sensing PRRs Toll-like receptor 9 (TLR-9) and cyclic GMP-AMP synthase/stimulator of interferon genes (cGAS/STING), which has yet to be determined. Methods Human lung fibroblasts (HLFs) from normal donors and SSc-ILD explants were treated with synthetic CpG DNA and assayed for alpha-SMA expression and extracellular mtDNA using quantitative polymerase chain reaction for the human MT-ATP6 gene. Plasma MT-ATP6 concentrations were evaluated in 2 independent SSc-ILD cohorts and demographically matched controls. The ability of SSc-ILD and control plasma to induce TLR-9 and cGAS/STING activation was evaluated with commercially available HEK 293 reporter cells. Plasma concentrations of type I interferons (IFNs), interleukin-6 (IL-6), and oxidized DNA were measured using electrochemiluminescence and enzyme-linked immunosorbent assay-based methods. Extracellular vesicles (EVs) precipitated from plasma were evaluated for MT-ATP6 concentrations and proteomics via liquid chromatography mass spectrometry. Results Normal HLFs and SSc-ILD fibroblasts developed increased alpha-SMA expression and MT-ATP6 release following CpG stimulation. Plasma mtDNA concentrations were increased in the 2 SSc-ILD cohorts, reflective of ventilatory decline, and were positively associated with both TLR-9 and cGAS/STING activation as well as type I IFN and IL-6 expression. Plasma mtDNA was not oxidized and was conveyed by EVs displaying a proteomics profile consistent with a multicellular origin. Conclusion These findings demonstrate a previously unrecognized connection between EV-encapsulated mtDNA, clinical outcomes, and intracellular DNA-sensing PRR activation in SSc-ILD. Further study of these interactions could catalyze novel mechanistic and therapeutic insights into SSc-ILD and related disorders.</t>
  </si>
  <si>
    <t>[Ryu, Changwan; Walia, Anjali; Ortiz, Vivian; Perry, Carrighan; Woo, Sam; Reeves, Benjamin C.; Sun, Huanxing; Winkler, Julia; Kanyo, Jean E.; Wang, Weiwei; Vukmirovic, Milica; Ristic, Nicholas; Meena, Sita Ram; Minasyan, Maksym; Kurbanov, Daniel; Liu, Xinran; Lam, TuKiet T.; Gomez, Jose L.; Gulati, Mridu; Herzog, Erica L.] Yale Univ, Sch Med, 300 Cedar St,TACS 441, New Haven, CT 06520 USA; [Stratton, Eric A.; Farina, Giuseppina] Boston Univ, Sch Med, Boston, MA 02118 USA</t>
  </si>
  <si>
    <t>Yale University; Boston University</t>
  </si>
  <si>
    <t>Herzog, EL (corresponding author), Yale Univ, Sch Med, 300 Cedar St,TACS 441, New Haven, CT 06520 USA.</t>
  </si>
  <si>
    <t>erica.herzog@yale.edu</t>
  </si>
  <si>
    <t>Farina, Giuseppina/B-1800-2019</t>
  </si>
  <si>
    <t>Farina, Giuseppina/0000-0002-3948-6920; Ortiz, Vivian/0000-0003-2622-6510; Walia, Anjali/0000-0003-1669-5532; ryu, changwan/0000-0001-6211-4327; Reeves, Benjamin/0000-0002-5924-6991</t>
  </si>
  <si>
    <t>2326-5191</t>
  </si>
  <si>
    <t>2326-5205</t>
  </si>
  <si>
    <t>10.1002/art.41418</t>
  </si>
  <si>
    <t>Rheumatology</t>
  </si>
  <si>
    <t>WOS:000577775500001</t>
  </si>
  <si>
    <t>Wang, L; Chen, XQ; Zhou, XS; Roizman, B; Zhou, GG</t>
  </si>
  <si>
    <t>Wang, Lei; Chen, Xiaoqing; Zhou, Xusha; Roizman, Bernard; Zhou, Grace Guoying</t>
  </si>
  <si>
    <t>miRNAs Targeting ICP4 and Delivered to Susceptible Cells in Exosomes Block HSV-1 Replication in a Dose-Dependent Manner</t>
  </si>
  <si>
    <t>HERPES-SIMPLEX-VIRUS; MAJOR REGULATORY PROTEIN; DNA-BINDING SITE; PRODUCTIVE INFECTION; MESSENGER-RNAS; ALPHA-GENES; MICRORNAS; DOMAINS; TYPE-1; RECOGNITION</t>
  </si>
  <si>
    <t>miRNAs are potent tools that in principle can be used to control the replication of infectious agents. The objectives of the studies reported here were to design miRNAs that can block the replication of herpes simplex virus 1 and which could be delivered to infected cells via exosomes. We report the following: (1) We designed three miRNAs targeting the mRNA encoding ICP4, an essential viral regulatory protein. Of the three miRNAs, one miRNA401 effectively blocked ICP4 accumulation and viral replication on transfection into susceptible cells. (2) To facilitate packaging of the miRNA into exosomes, we incorporated into the sequence of miRNA401 an exosome-packaging motif. miRNA401 was shown to be packaged into exosomes and successfully delivered by exosomes to susceptible cells, where it remained stable for at least 72 hr. Finally, the results show that miRNA401 delivered to cells via exosomes effectively reduced virus yields in a miRNA401 dose-dependent fashion. The protocol described in this report can be applied to study viral gene functions without actually deleting or mutagenizing the gene.</t>
  </si>
  <si>
    <t>[Wang, Lei; Zhou, Xusha; Zhou, Grace Guoying] Guangzhou Med Univ, Sch Basic Med Sci, Guangzhou 511436, Guangdong, Peoples R China; [Chen, Xiaoqing; Roizman, Bernard; Zhou, Grace Guoying] Shenzhen Int Inst Biomed Res, 140 Jinye Ave,Bldg A10, Shenzhen 518116, Guangdong, Peoples R China; [Roizman, Bernard] Univ Chicago, Cummings Life Sci Ctr, 920 East 58th St, Chicago, IL 60637 USA</t>
  </si>
  <si>
    <t>Guangzhou Medical University; University of Chicago</t>
  </si>
  <si>
    <t>Zhou, GG (corresponding author), Shenzhen Int Inst Biomed Res, 140 Jinye Ave,Bldg A10, Shenzhen 518116, Guangdong, Peoples R China.;Roizman, B (corresponding author), Univ Chicago, Cummings Life Sci Ctr, 920 East 58th St, Chicago, IL 60637 USA.</t>
  </si>
  <si>
    <t>bernard.roizman@bsd.uchicago.edu; zhoug@siitm.org.cn</t>
  </si>
  <si>
    <t>10.1016/j.ymthe.2018.02.016</t>
  </si>
  <si>
    <t>WOS:000431483400012</t>
  </si>
  <si>
    <t>GERSTENFELD, LC; LANDIS, WJ</t>
  </si>
  <si>
    <t>GENE-EXPRESSION AND EXTRACELLULAR-MATRIX ULTRASTRUCTURE OF A MINERALIZING CHONDROCYTE CELL-CULTURE SYSTEM</t>
  </si>
  <si>
    <t>MOLECULAR WEIGHT COLLAGEN; CHICK-EMBRYO CHONDROCYTES; X COLLAGEN; CARTILAGE MATRIX; GROWTH-PLATE; ENDOCHONDRAL OSSIFICATION; EPIPHYSEAL CARTILAGE; ALKALINE-PHOSPHATASE; POLYACRYLAMIDE GELS; FILM DETECTION</t>
  </si>
  <si>
    <t>Conditions were defined for promoting cell growth, hypertrophy, and extracellular matrix mineralization of a culture system derived from embryonic chick vertebral chondrocytes. Ascorbic acid supplementation by itself led to the hypertrophic phenotype as assessed by respective 10- and 15-fold increases in alkaline phosphatase enzyme activity and type X synthesis. Maximal extracellular matrix mineralization was obtained, however, when cultures were grown in a nutrient-enriched medium supplemented with both ascorbic acid and 20 mM beta-glycerophosphate. Temporal studies over a 3-wk period showed a 3-4-fold increase in DNA accompanied by a nearly constant DNA to protein ratio. In this period, total collagen increased from 3 to 20% of the cell layer protein; total calcium and phosphorus contents increased 15-20-fold. Proteoglycan synthesis was maximal until day 12 but thereafter showed a fourfold decrease. In contrast, total collagen synthesis showed a &gt; 10-fold increase until day 18, a result suggesting that collagen synthesis was replacing proteoglycan synthesis during cellular hypertrophy. Separate analysis of individual collagen types demonstrated a low level of type I collagen synthesis throughout the 21-d time course. Collagen types II and X synthesis increased during the first 2 wk of culture; thereafter, collagen type II synthesis decreased while collagen type X synthesis continued to rise. Type IX synthesis remained at undetectable levels throughout the time course. The levels of collagen types I, II, IX, and X mRNA and the large proteoglycan core protein mRNA paralleled their levels of synthesis, data indicating pretranslational control of synthesis. Ultrastructural examination revealed cellular and extracellular morphology similar to that for a developing hypertrophic phenotype in vivo. Chondrocytes in lacunae were surrounded by a well-formed extracellular matrix of randomly distributed collagen type II fibrils (approximately 20-nm diam) and extensive proteoglycan. Numerous vesicular structures could be detected. Cultures mineralized reproducibly and crystals were located in extracellular matrices, principally associated with collagen fibrils. There was no clear evidence of mineral association with extracellular vesicles. The mineral was composed of calcium and phosphorus on electron probe microanalysis and was identified as a very poorly crystalline hydroxyapatite on electron diffraction. In summary, these data suggest that this culture system consists of chondrocytes which undergo differentiation in vitro as assessed by their elevated levels of alkaline phosphatase and type X collagen and their ultrastructural appearance. During the development of a progressively mineralizing extracellular matrix, gene expression and synthesis shift from high levels of proteoglycans to high levels of collagen type II and subsequently to high levels of type X. The chondrocytes in vitro assemble and mineralize their matrix in an analogous fashion to that seen in vivo.</t>
  </si>
  <si>
    <t>CHILDRENS HOSP MED CTR, BOSTON, MA 02115 USA</t>
  </si>
  <si>
    <t>Harvard University; Boston Children's Hospital</t>
  </si>
  <si>
    <t>GERSTENFELD, LC (corresponding author), HARVARD UNIV, SCH MED, DEPT ORTHOPAED SURG, STUDY SKELETAL DISORDERS &amp; REHABIL LAB, BOSTON, MA 02115 USA.</t>
  </si>
  <si>
    <t>/0000-0002-0477-1211</t>
  </si>
  <si>
    <t>10.1083/jcb.112.3.501</t>
  </si>
  <si>
    <t>WOS:A1991EV17700013</t>
  </si>
  <si>
    <t>Hannafon, BN; Trigoso, YD; Calloway, CL; Zhao, YD; Lum, DH; Welm, AL; Zhao, ZZJ; Blick, KE; Dooley, WC; Ding, WQ</t>
  </si>
  <si>
    <t>Hannafon, Bethany N.; Trigoso, Yvonne D.; Calloway, Cameron L.; Zhao, Y. Daniel; Lum, David H.; Welm, Alana L.; Zhao, Zhizhuang J.; Blick, Kenneth E.; Dooley, William C.; Ding, W. Q.</t>
  </si>
  <si>
    <t>Plasma exosome microRNAs are indicative of breast cancer</t>
  </si>
  <si>
    <t>BREAST CANCER RESEARCH</t>
  </si>
  <si>
    <t>Exosomes; Breast cancer; microRNA; Biomarker; Patient-derived xenograft</t>
  </si>
  <si>
    <t>CIRCULATING MICRORNAS; SERUM MICRORNA; EXPRESSION; SIGNATURES; IDENTIFICATION; BIOMARKERS; MICROVESICLES; RECURRENCE; CARCINOMA; DIAGNOSIS</t>
  </si>
  <si>
    <t>Background: microRNAs are promising candidate breast cancer biomarkers due to their cancer-specific expression profiles. However, efforts to develop circulating breast cancer biomarkers are challenged by the heterogeneity of microRNAs in the blood. To overcome this challenge, we aimed to develop a molecular profile of microRNAs specifically secreted from breast cancer cells. Our first step towards this direction relates to capturing and analyzing the contents of exosomes, which are small secretory vesicles that selectively encapsulate microRNAs indicative of their cell of origin. To our knowledge, circulating exosome microRNAs have not been well-evaluated as biomarkers for breast cancer diagnosis or monitoring. Methods: Exosomes were collected from the conditioned media of human breast cancer cell lines, mouse plasma of patient-derived orthotopic xenograft models (PDX), and human plasma samples. Exosomes were verified by electron microscopy, nanoparticle tracking analysis, and western blot. Cellular and exosome microRNAs from breast cancer cell lines were profiled by next-generation small RNA sequencing. Plasma exosome microRNA expression was analyzed by qRT-PCR analysis. Results: Small RNA sequencing and qRT-PCR analysis showed that several microRNAs are selectively encapsulated or highly enriched in breast cancer exosomes. Importantly, the selectively enriched exosome microRNA, human miR-1246, was detected at significantly higher levels in exosomes isolated from PDX mouse plasma, indicating that tumor exosome microRNAs are released into the circulation and can serve as plasma biomarkers for breast cancer. This observation was extended to human plasma samples where miR-1246 and miR-21 were detected at significantly higher levels in the plasma exosomes of 16 patients with breast cancer as compared to the plasma exosomes of healthy control subjects. Receiver operating characteristic curve analysis indicated that the combination of plasma exosome miR-1246 and miR-21 is a better indicator of breast cancer than their individual levels. Conclusions: Our results demonstrate that certain microRNA species, such as miR-21 and miR-1246, are selectively enriched in human breast cancer exosomes and significantly elevated in the plasma of patients with breast cancer. These findings indicate a potential new strategy to selectively analyze plasma breast cancer microRNAs indicative of the presence of breast cancer.</t>
  </si>
  <si>
    <t>[Hannafon, Bethany N.; Trigoso, Yvonne D.; Calloway, Cameron L.; Zhao, Zhizhuang J.; Blick, Kenneth E.; Ding, W. Q.] Univ Oklahoma, Hlth Sci Ctr, Dept Pathol, Oklahoma City, OK 73104 USA; [Zhao, Y. Daniel] Univ Oklahoma, Hlth Sci Ctr, Dept Biostat &amp; Epidemiol, Oklahoma City, OK 73104 USA; [Lum, David H.] Oklahoma Med Res Fdn, Oklahoma City, OK 73104 USA; [Welm, Alana L.] Univ Utah, Huntsman Canc Inst, Salt Lake City, UT 84112 USA; [Dooley, William C.] Univ Oklahoma, Dept Surg, Hlth Sci Ctr, Oklahoma City, OK 73104 USA; [Hannafon, Bethany N.; Zhao, Y. Daniel; Zhao, Zhizhuang J.; Dooley, William C.; Ding, W. Q.] Peggy &amp; Charles Stephenson Canc Ctr, Oklahoma City, OK 73104 USA</t>
  </si>
  <si>
    <t>University of Oklahoma System; University of Oklahoma Health Sciences Center; University of Oklahoma System; University of Oklahoma Health Sciences Center; Oklahoma Medical Research Foundation; Huntsman Cancer Institute; Utah System of Higher Education; University of Utah; University of Oklahoma System; University of Oklahoma Health Sciences Center; University of Oklahoma System; University of Oklahoma Health Sciences Center</t>
  </si>
  <si>
    <t>Ding, WQ (corresponding author), Univ Oklahoma, Hlth Sci Ctr, Dept Pathol, Oklahoma City, OK 73104 USA.;Ding, WQ (corresponding author), Peggy &amp; Charles Stephenson Canc Ctr, Oklahoma City, OK 73104 USA.</t>
  </si>
  <si>
    <t>weiqun-ding@ouhsc.edu</t>
  </si>
  <si>
    <t>Hannafon, Bethany N./R-1233-2019</t>
  </si>
  <si>
    <t>Hannafon, Bethany N./0000-0003-0596-9171</t>
  </si>
  <si>
    <t>1465-542X</t>
  </si>
  <si>
    <t>1465-5411</t>
  </si>
  <si>
    <t>SEP 8</t>
  </si>
  <si>
    <t>10.1186/s13058-016-0753-x</t>
  </si>
  <si>
    <t>WOS:000383431300001</t>
  </si>
  <si>
    <t>In 't Veld, SGJG; Wurdinger, T</t>
  </si>
  <si>
    <t>In 't Veld, Sjors G. J. G.; Wurdinger, Thomas</t>
  </si>
  <si>
    <t>Tumor-educated platelets</t>
  </si>
  <si>
    <t>BLOOD</t>
  </si>
  <si>
    <t>MESSENGER-RNA; FUNCTIONAL IMPLICATIONS; CELL-INTERACTIONS; BLOOD-PLATELETS; LIQUID BIOPSIES; CANCER; PROTEIN; LUNG; METASTASIS; BIOMARKERS</t>
  </si>
  <si>
    <t>Liquid biopsies have been considered the holy grail in achieving effective cancer management, with blood tests offering a minimally invasive, safe, and sensitive alternative or complementary approach for tissue biopsies. Currently, blood-based liquid biopsy measurements focus on the evaluation of biomarker types, including circulating tumor DNA, circulating tumor cells, extracellular vesicles (exosomes and oncosomes), and tumor-educated platelets (TEPs). Despite the potential of individual techniques, each has its own advantages and disadvantages. Here, we provide further insight into TEPs.</t>
  </si>
  <si>
    <t>[In 't Veld, Sjors G. J. G.; Wurdinger, Thomas] Vrije Univ Amsterdam, Med Ctr, Brain Tumor Ctr Amsterdam, Dept Neurosurg,Canc Ctr Amsterdam,Amsterdam UMC, Amsterdam, Netherlands</t>
  </si>
  <si>
    <t>University of Amsterdam; Vrije Universiteit Amsterdam</t>
  </si>
  <si>
    <t>Wurdinger, T (corresponding author), Vrije Univ Amsterdam, Med Ctr, Amsterdam UMC, Boelelaan 1118, NL-1081 HV Amsterdam, Netherlands.</t>
  </si>
  <si>
    <t>t.wurdinger@vumc.nl</t>
  </si>
  <si>
    <t>Wurdinger, Thomas/AAA-5645-2022; In 't Veld, Sjors G.J.G./ABA-4763-2021</t>
  </si>
  <si>
    <t>0006-4971</t>
  </si>
  <si>
    <t>1528-0020</t>
  </si>
  <si>
    <t>MAY 30</t>
  </si>
  <si>
    <t>10.1182/blood-2018-12-852830</t>
  </si>
  <si>
    <t>WOS:000469450700003</t>
  </si>
  <si>
    <t>Zhang, L; Zhao, SQ; Zhang, J; Sun, Y; Xie, YL; Liu, YB; Ma, CC; Jiang, BG; Liao, XY; Li, WF; Cheng, XJ; Wang, ZL</t>
  </si>
  <si>
    <t>Zhang, Li; Zhao, Shi-qiao; Zhang, Jie; Sun, Ying; Xie, Ya-liu; Liu, Yan-bin; Ma, Cui-cui; Jiang, Bo-guang; Liao, Xue-yuan; Li, Wen-fang; Cheng, Xing-jun; Wang, Zhen-ling</t>
  </si>
  <si>
    <t>Proteomic Analysis of Vesicle-Producing Pseudomonas aeruginosa PAO1 Exposed to X-Ray Irradiation</t>
  </si>
  <si>
    <t>X-ray irradiation; Pseudomonas aeruginosa PAO1; Nucleic acid; OMVs; Proteomics; RecA; Lys</t>
  </si>
  <si>
    <t>OUTER-MEMBRANE VESICLES; GAMMA-IRRADIATION; DNA RELEASE; IMMUNIZATION; BACTERIA; INFECTION; VACCINES; STRESS</t>
  </si>
  <si>
    <t>Ionizing irradiation kills pathogens by destroying nucleic acids without protein structure destruction. However, how pathogens respond to irradiation stress has not yet been fully elucidated. Here, we observed that Pseudomonas aeruginosa PAO1 could release nucleic acids into the extracellular environment under X-ray irradiation. Using scanning electron microscopy (SEM) and transmission electron microscopy (TEM), X-ray irradiation was observed to induce outer membrane vesicle (OMV) formation in P. aeruginosa PAO1. The size distribution of the OMVs of the irradiated PAO1 was similar to that of the OMVs of the non-irradiated PAO1 according to nanoparticle tracking analysis (NTA). The pyocin-related proteins are involved in OMV production in P. aeruginosa PAO1 under X-ray irradiation conditions, and that this is regulated by the key SOS gene recA. The OMV production was significantly impaired in the irradiated PAO1 Delta lys mutant, suggesting that Lys endolysin is associated with OMV production in P. aeruginosa PAO1 upon irradiation stress. Meanwhile, no significant difference in OMV production was observed between PAO1 lacking the pqsR, lasR, or rhlR genes and the parent strain, demonstrating that the irradiation-induced OMV biosynthesis of P. aeruginosa was independent of the Pseudomonas quinolone signal (PQS).</t>
  </si>
  <si>
    <t>[Zhang, Li; Sun, Ying; Ma, Cui-cui; Jiang, Bo-guang; Liao, Xue-yuan; Li, Wen-fang; Cheng, Xing-jun; Wang, Zhen-ling] Sichuan Univ, West China Hosp, Collaborat Innovat Ctr Biotherapy, State Key Lab Biotherapy &amp; Canc Ctr, Chengdu, Peoples R China; [Zhao, Shi-qiao] Chongqing Tradit Chinese Med Hosp, Dept Clin Lab, Chongqing, Peoples R China; [Zhang, Jie] Univ Elect Sci &amp; Technol China, Sichuan Prov Peoples Hosp, Dept Lab Med, Chengdu, Peoples R China; [Xie, Ya-liu] Seventh Peoples Hosp Chengdu, Dept Otolaryngol, Chengdu, Peoples R China; [Liu, Yan-bin] Sichuan Univ, West China Hosp, Infect Dis Ctr, Chengdu, Peoples R China</t>
  </si>
  <si>
    <t>Sichuan University; Sichuan Provincial People's Hospital; University of Electronic Science &amp; Technology of China; Sichuan University</t>
  </si>
  <si>
    <t>Wang, ZL (corresponding author), Sichuan Univ, West China Hosp, Collaborat Innovat Ctr Biotherapy, State Key Lab Biotherapy &amp; Canc Ctr, Chengdu, Peoples R China.</t>
  </si>
  <si>
    <t>wangzhenling@scu.edu.cn</t>
  </si>
  <si>
    <t>10.3389/fmicb.2020.558233</t>
  </si>
  <si>
    <t>WOS:000603015900001</t>
  </si>
  <si>
    <t>Guo, YN; Tao, J; Li, YR; Feng, YM; Ju, HX; Wang, ZF; Ding, L</t>
  </si>
  <si>
    <t>Guo, Yuna; Tao, Jing; Li, Yiran; Feng, Yimei; Ju, Huangxian; Wang, Zhongfu; Ding, Lin</t>
  </si>
  <si>
    <t>Quantitative Localized Analysis Reveals Distinct Exosomal Protein-Specific Glycosignatures: Implications in Cancer Cell Subtyping, Exosome Biogenesis, and Function</t>
  </si>
  <si>
    <t>EXTRACELLULAR VESICLES; SURFACE; CLASSIFICATION; DNA; MICRORNA; COPPER; MUC1</t>
  </si>
  <si>
    <t>Protein-specific glycoform analysis is essential for the thorough understanding of cellular chemistry and signaling but presents a significant assay challenge for small-sized, free-floating exosomes, ubiquitous regulators of cellular physiological functions and mediators of intercellular communication. We report herein a quantitative localized analysis (QLA) method for the first-time achievement of a protein-specific glycosignature assay on these important extracellular vesicles. The integration of localized chemical remodeling and quantitative electrochemistry allows the proof-of-concept QLA examination of exosomal mucin 1 (MUC1)-specific terminal galactose/N-acetylgalactosamine (Gal/GalNAc). In combination with sialic acid (Sia) cleavage manipulation for the exposure of originally capped Gal/GalNAc, QLA has revealed distinct MUC1-specific sialylation capping ratios for MCF-7 and MDA-MB-231 exosomes, as well as when compared to parent cells. These findings suggest a useful noninvasive indicator for subtyping cancer cells and exosome secretion as a likely venue for the preservation of cellular compositional and functional integrity. The QLA method also permits dynamic monitoring of changes in the exosomal MUC1-specific sialylation capping ratio, enabling the distinction of biogenesis pathways of exosomes.</t>
  </si>
  <si>
    <t>[Guo, Yuna; Tao, Jing; Li, Yiran; Feng, Yimei; Ju, Huangxian; Ding, Lin] Nanjing Univ, Sch Chem &amp; Chem Engn, State Key Lab Analyt Chem Life Sci, Nanjing 210023, Peoples R China; [Ding, Lin] Nanjing Univ, Chem &amp; Biomed Innovat Ctr ChemBIC, Nanjing 210023, Peoples R China; [Wang, Zhongfu] Northwest Univ, Key Lab Resource Biol &amp; Biotechnol Western China, Minist Educ, Coll Life Sci, Xian 710069, Peoples R China; [Wang, Zhongfu] Northwest Univ, Prov Key Lab Biotechnol, Coll Life Sci, Xian 710069, Peoples R China</t>
  </si>
  <si>
    <t>Nanjing University; Nanjing University; Northwest University Xi'an; Northwest University Xi'an</t>
  </si>
  <si>
    <t>Ding, L (corresponding author), Nanjing Univ, Sch Chem &amp; Chem Engn, State Key Lab Analyt Chem Life Sci, Nanjing 210023, Peoples R China.;Ding, L (corresponding author), Nanjing Univ, Chem &amp; Biomed Innovat Ctr ChemBIC, Nanjing 210023, Peoples R China.</t>
  </si>
  <si>
    <t>dinglin@nju.edu.cn</t>
  </si>
  <si>
    <t>Ju, Huangxian/0000-0002-6741-5302; Ding, Lin/0000-0001-5381-3484; Li, Yiran/0000-0001-8236-792X</t>
  </si>
  <si>
    <t>10.1021/jacs.9b12182</t>
  </si>
  <si>
    <t>WOS:000529156100028</t>
  </si>
  <si>
    <t>Wang, M; Nie, Y; Wu, XL</t>
  </si>
  <si>
    <t>Wang, Meng; Nie, Yong; Wu, Xiao-Lei</t>
  </si>
  <si>
    <t>Membrane vesicles from aDietziabacterium containing multiple cargoes and their roles in iron delivery</t>
  </si>
  <si>
    <t>GRAM-POSITIVE BACTERIA; HORIZONTAL GENE-TRANSFER; SP-NOV.; CAROTENOIDS; DEGRADATION; MECHANISM; STRESS</t>
  </si>
  <si>
    <t>Membrane vesicles (MVs) released from bacteria act as extracellular vehicles carrying various functional cargoes between cells. MVs with different cargoes play multiple roles in stress adaptation, nutrient acquisition and microbial interactions. However, previous studies have primarily focused on MVs from Gram-negative bacteria, while the characteristics of cargoes in MVs from Gram-positive bacteria and their involvement in microbial interactions remain to be elucidated. Here, we used a Gram-positive strain,Dietziasp. DQ12-45-1b fromCorynebacteriales, to analyse the characteristics and functions of MVs. We identified the 'antioxidant' canthaxanthin is stored within MVs by LC-MS/MS. In addition, nearly the entire genomic content of strain DQ12-45-1b are evenly distributed in MVs, suggesting that MVs from DQ12-45-1b might involve in horizontal gene transfer. Finally, the mycobactin-type siderophores were detected in MVs. The iron-loaded MVs effectively mediate iron binding and delivery to homologous bacteria from the orderCorynebacteriales, but not to more distantly related species from the ordersPseudomonadales,BacillalesandEnterobacterales. These results revealed that the iron-loaded MVs are shared between homologous species. Together, we report the Gram-positive bacteriumDietziasp. DQ12-45-1b released MVs that contain canthaxanthin, DNA and siderophores and prove that MVs act as public goods between closely related species.</t>
  </si>
  <si>
    <t>[Wang, Meng; Nie, Yong; Wu, Xiao-Lei] Peking Univ, Coll Engn, Beijing, Peoples R China; [Wu, Xiao-Lei] Peking Univ, Ocean Res Inst, Beijing, Peoples R China; [Wu, Xiao-Lei] Peking Univ, Inst Ecol, Beijing, Peoples R China</t>
  </si>
  <si>
    <t>Peking University; Peking University; Peking University</t>
  </si>
  <si>
    <t>Nie, Y; Wu, XL (corresponding author), Peking Univ, Coll Engn, Beijing, Peoples R China.;Wu, XL (corresponding author), Peking Univ, Ocean Res Inst, Beijing, Peoples R China.;Wu, XL (corresponding author), Peking Univ, Inst Ecol, Beijing, Peoples R China.</t>
  </si>
  <si>
    <t>nieyong@pku.edu.cn; xiaolei_wu@pku.edu.cn</t>
  </si>
  <si>
    <t>Wang, Meng/0000-0002-3610-5934</t>
  </si>
  <si>
    <t>10.1111/1462-2920.15278</t>
  </si>
  <si>
    <t>WOS:000580754800001</t>
  </si>
  <si>
    <t>Godefroid, M; Svensson, MV; Cambier, P; Uzureau, S; Mirabella, A; De Bolle, X; Van Cutsem, P; Widmalm, G; Letesson, JJ</t>
  </si>
  <si>
    <t>Godefroid, Marie; Svensson, Mona V.; Cambier, Pierre; Uzureau, Sophie; Mirabella, Aurelie; De Bolle, Xavier; Van Cutsem, Pierre; Widmalm, Goran; Letesson, Jean-Jacques</t>
  </si>
  <si>
    <t>Brucella melitensis 16M produces a mannan and other extracellular matrix components typical of a biofilm</t>
  </si>
  <si>
    <t>FEMS IMMUNOLOGY AND MEDICAL MICROBIOLOGY</t>
  </si>
  <si>
    <t>Brucella; exopolysaccharide; biofilm</t>
  </si>
  <si>
    <t>MEMBRANE-VESICLES; NMR-SPECTROSCOPY; STRUCTURAL-CHARACTERIZATION; NEISSERIA-GONORRHOEAE; BACTERIAL BIOFILMS; RHIZOBIUM-MELILOTI; ABORTUS; DNA; LIPOARABINOMANNAN; POLYSACCHARIDES</t>
  </si>
  <si>
    <t>Mutations in the Brucella melitensis quorum-sensing (QS) system are involved in the formation of clumps containing an exopolysaccharide. Here, we show that the overexpression of a gene called aiiD in B. melitensis gives rise to a similar clumping phenotype. The AiiD enzyme degrades AHL molecules and leads therefore to a QS-deficient strain. We demonstrated the presence of exopolysaccharide and DNA, two classical components of extracellular matrices, in clumps produced by this strain. We also observed that the production of outer membrane vesicles is strongly increased in the aiiD-overexpressing strain. Moreover, this strain allowed us to purify the exopolysaccharide and to obtain its composition and the first structural information on the complex exopolysaccharide produced by B. melitensis 16M, which was found to have a molecular weight of about 16 kDa and to be composed of glucosamine, glucose and mostly mannose. In addition, we found the presence of 2- and/or 6-substituted mannosyl residues, which provide the first insights into the linkages involved in this polymer. We used a classical biofilm attachment assay and an HeLa cell infection model to demonstrate that the clumping strain is more adherent to polystyrene plates and to HeLa cell surfaces than the wild-type one. Taken together, these data reinforce the evidence that B. melitensis could form biofilms in its lifecycle.</t>
  </si>
  <si>
    <t>[Godefroid, Marie; Uzureau, Sophie; Mirabella, Aurelie; De Bolle, Xavier; Letesson, Jean-Jacques] Fac Univ Notre Dame Paix, Unite Rech Biol Mol, B-5000 Namur, Belgium; [Svensson, Mona V.; Widmalm, Goran] Stockholm Univ, Arrhenius Lab, Dept Organ Chem, S-10691 Stockholm, Sweden; [Cambier, Pierre; Van Cutsem, Pierre] Fac Univ Notre Dame Paix, Unite Rech Biol Vegetale, B-5000 Namur, Belgium</t>
  </si>
  <si>
    <t>University of Namur; Stockholm University; University of Namur</t>
  </si>
  <si>
    <t>Letesson, JJ (corresponding author), Fac Univ Notre Dame Paix, Unite Rech Biol Mol, 61 Rue Bruxelles, B-5000 Namur, Belgium.</t>
  </si>
  <si>
    <t>jean-jacques.letesson@fundp.ac.be</t>
  </si>
  <si>
    <t>Jean-Jacques, LETESSON/AHB-6921-2022</t>
  </si>
  <si>
    <t>Widmalm, Goran/0000-0001-8303-4481; LETESSON, Jean-Jacques/0000-0002-5838-0224; De Bolle, Xavier/0000-0002-3845-3043; Van Cutsem, Pierre/0000-0001-9456-2802; Uzureau, sophie/0000-0002-6444-2815</t>
  </si>
  <si>
    <t>0928-8244</t>
  </si>
  <si>
    <t>10.1111/j.1574-695X.2010.00689.x</t>
  </si>
  <si>
    <t>WOS:000279900400014</t>
  </si>
  <si>
    <t>Goulielmaki, E; Ioannidou, A; Tsekrekou, M; Stratigi, K; Poutakidou, IK; Gkirtzimanaki, K; Aivaliotis, M; Evangelou, K; Topalis, P; Altmuller, J; Gorgoulis, VG; Chatzinikolaou, G; Garinis, GA</t>
  </si>
  <si>
    <t>Goulielmaki, Evi; Ioannidou, Anna; Tsekrekou, Maria; Stratigi, Kalliopi; Poutakidou, Ioanna K.; Gkirtzimanaki, Katerina; Aivaliotis, Michalis; Evangelou, Konstantinos; Topalis, Pantelis; Altmueller, Janine; Gorgoulis, Vassilis G.; Chatzinikolaou, Georgia; Garinis, George A.</t>
  </si>
  <si>
    <t>Tissue-infiltrating macrophages mediate an exosome-based metabolic reprogramming upon DNA damage</t>
  </si>
  <si>
    <t>NUCLEOTIDE EXCISION-REPAIR; NF-KAPPA-B; GLUCOSE-TRANSPORT; STATISTICAL-MODEL; IN-VIVO; PROTEINS; OBESITY; MICE; ERCC1-XPF; LONGEVITY</t>
  </si>
  <si>
    <t>DNA damage and metabolic disorders are intimately linked with premature disease onset but the underlying mechanisms remain poorly understood. Here, we show that persistent DNA damage accumulation in tissue-infiltrating macrophages carrying an ERCC1-XPF DNA repair defect (Er1(F/-)) triggers Golgi dispersal, dilation of endoplasmic reticulum, autophagy and exosome biogenesis leading to the secretion of extracellular vesicles (EVs) in vivo and ex vivo. Macrophage-derived EVs accumulate in Er1(F/-) animal sera and are secreted in macrophage media after DNA damage. The Er1(F/-) EV cargo is taken up by recipient cells leading to an increase in insulin-independent glucose transporter levels, enhanced cellular glucose uptake, higher cellular oxygen consumption rate and greater tolerance to glucose challenge in mice. We find that high glucose in EV-targeted cells triggers pro-inflammatory stimuli via mTOR activation. This, in turn, establishes chronic inflammation and tissue pathology in mice with important ramifications for DNA repair-deficient, progeroid syndromes and aging.</t>
  </si>
  <si>
    <t>[Goulielmaki, Evi; Ioannidou, Anna; Tsekrekou, Maria; Stratigi, Kalliopi; Poutakidou, Ioanna K.; Gkirtzimanaki, Katerina; Aivaliotis, Michalis; Topalis, Pantelis; Chatzinikolaou, Georgia; Garinis, George A.] Fdn Res &amp; Technol Hellas, Inst Mol Biol &amp; Biotechnol, GR-70013 Iraklion, Crete, Greece; [Ioannidou, Anna; Tsekrekou, Maria; Garinis, George A.] Univ Crete, Dept Biol, Iraklion, Crete, Greece; [Evangelou, Konstantinos; Gorgoulis, Vassilis G.] Athens Med Sch, Dept Histol &amp; Embryol, GR-11527 Athens, Greece; [Altmueller, Janine] Univ Cologne, Cologne Ctr Genom CCG, Inst Genet, D-50931 Cologne, Germany; [Gorgoulis, Vassilis G.] Acad Athens, Biomed Res Fdn, 4 Soranou Ephessiou St, GR-11527 Athens, Greece; [Gorgoulis, Vassilis G.] Univ Manchester, Manchester Acad Hlth Sci Ctr, Fac Biol Med &amp; Hlth, Wilmslow Rd, Manchester M20 4QL, Lancs, England</t>
  </si>
  <si>
    <t>Foundation for Research &amp; Technology - Hellas (FORTH); University of Crete; National &amp; Kapodistrian University of Athens; German Sport University Cologne; University of Cologne; Academy of Athens; University of Manchester</t>
  </si>
  <si>
    <t>Garinis, GA (corresponding author), Fdn Res &amp; Technol Hellas, Inst Mol Biol &amp; Biotechnol, GR-70013 Iraklion, Crete, Greece.;Garinis, GA (corresponding author), Univ Crete, Dept Biol, Iraklion, Crete, Greece.</t>
  </si>
  <si>
    <t>garinis@imbb.forth.gr</t>
  </si>
  <si>
    <t>Tsekrekou, Maria/ABE-1277-2021; Garinis, George A./B-2943-2012; Gorgoulis, Vassilis/AAD-3630-2019; Aivaliotis, Michalis/D-4841-2011</t>
  </si>
  <si>
    <t>Garinis, George A./0000-0002-3200-5004; Tsekrekou, Maria/0000-0002-0635-1499; Altmuller, Janine/0000-0003-4372-1521; Gorgoulis, Vassilis/0000-0001-9001-4112; Aivaliotis, Michalis/0000-0003-1173-7705</t>
  </si>
  <si>
    <t>JAN 2</t>
  </si>
  <si>
    <t>10.1038/s41467-019-13894-9</t>
  </si>
  <si>
    <t>WOS:000551395800001</t>
  </si>
  <si>
    <t>Gerloff, D; Lutzkendorf, J; Moritz, RKC; Wersig, T; Mader, K; Muller, LP; Sunderkotter, C</t>
  </si>
  <si>
    <t>Gerloff, Dennis; Luetzkendorf, Jana; Moritz, Rose K. C.; Wersig, Tom; Maeder, Karsten; Mueller, Lutz P.; Sunderkoetter, Cord</t>
  </si>
  <si>
    <t>Melanoma-Derived Exosomal miR-125b-5p Educates Tumor Associated Macrophages (TAMs) by Targeting Lysosomal Acid Lipase A (LIPA)</t>
  </si>
  <si>
    <t>exosomes; miRNAs; tumor-associated macrophages; melanoma</t>
  </si>
  <si>
    <t>SUPPRESSOR-CELLS; DOWN-REGULATION; MTOR PATHWAY; EXPRESSION; MICRORNAS; INFLAMMATION; ACTIVATION; CANCER; INVOLVEMENT; METASTASIS</t>
  </si>
  <si>
    <t>Tumor-associated macrophages (TAMs) are the most abundant immune cells in the tumor microenvironment, promoting tumor initiation, growth, progression, metastasis, and immune evasion. Recently it was shown that cancer cell-derived exosomes induce a tumor-promoting phenotype in TAMs. Exosome-loaded proteins, DNA, and RNAs may contribute to the macrophage reprogramming. However, the exact mediators and mechanisms, particularly in melanoma, are not known. In this study we examined the effects of cutaneous melanoma-derived exosomes on macrophage function and the underlying mechanisms. First, we showed that exposure to melanoma exosomes induces a tumor-promoting TAM phenotype in macrophages. Sequencing revealed enrichment for several miRNAs including miR-125b-5p in cutaneous melanoma exosomes. We showed that miR-125b-5p is delivered to macrophages by melanoma exosomes and partially induces the observed tumor-promoting TAM phenotype. Finally, we showed that miR-125b-5p targets the lysosomal acid lipase A (LIPA) in macrophages, which in turn contributes to their phenotype switch and promotes macrophage survival. Thus, our data show for the first time that miR-125b-5p transferred by cutaneous melanoma-derived exosomes induces a tumor-promoting TAM phenotype in macrophages.</t>
  </si>
  <si>
    <t>[Gerloff, Dennis; Moritz, Rose K. C.; Sunderkoetter, Cord] Martin Luther Univ Halle Wittenberg, Dept Dermatol &amp; Venereol, D-06120 Halle, Saale, Germany; [Luetzkendorf, Jana; Mueller, Lutz P.] Martin Luther Univ Halle Wittenberg, Dept Internal Med Hematol &amp; Oncol 4, D-06120 Halle, Saale, Germany; [Wersig, Tom; Maeder, Karsten] Martin Luther Univ Halle Wittenberg, Fac Biosci, Inst Pharm, D-06120 Halle, Saale, Germany</t>
  </si>
  <si>
    <t>Martin Luther University Halle Wittenberg; Martin Luther University Halle Wittenberg; Martin Luther University Halle Wittenberg</t>
  </si>
  <si>
    <t>Gerloff, D (corresponding author), Martin Luther Univ Halle Wittenberg, Dept Dermatol &amp; Venereol, D-06120 Halle, Saale, Germany.</t>
  </si>
  <si>
    <t>dennis.gerloff@uk-halle.de; jana.luetzkendorf@uk-halle.de; rose.moritz@uk-halle.de; tom.wersig@pharmazie.uni-halle.de; karsten.maeder@pharmazie.uni-halle.de; lutz.mueller@uk-halle.de; cord.sunderkoetter@uk-halle.de</t>
  </si>
  <si>
    <t>Müller, Lutz/ABE-2941-2020</t>
  </si>
  <si>
    <t>/0000-0003-1613-6976; Lutzkendorf, Jana/0000-0002-5781-9266</t>
  </si>
  <si>
    <t>10.3390/cancers12020464</t>
  </si>
  <si>
    <t>WOS:000522477300210</t>
  </si>
  <si>
    <t>Chahar, HS; Corsello, T; Kudlicki, AS; Komaravelli, N; Casola, A</t>
  </si>
  <si>
    <t>Chahar, Harendra Singh; Corsello, Tiziana; Kudlicki, Andrzej S.; Komaravelli, Narayana; Casola, Antonella</t>
  </si>
  <si>
    <t>Respiratory Syncytial Virus Infection Changes Cargo Composition of Exosome Released from Airway Epithelial Cells</t>
  </si>
  <si>
    <t>POTENTIAL REGULATORY FUNCTIONS; ASCITES-DERIVED EXOSOMES; DENDRITIC CELLS; NONCODING RNAS; RAT RETICULOCYTES; VIRAL-INFECTION; PLASMA-MEMBRANE; YOUNG-CHILDREN; MESSENGER-RNA; IN-VITRO</t>
  </si>
  <si>
    <t>Exosomes are microvesicles known to carry biologically active molecules, including RNA, DNA and proteins. Viral infections can induce profound changes in exosome composition, and exosomes have been implicated in viral transmission and pathogenesis. No information is current available regarding exosome composition and function during infection with Respiratory Syncytial Virus (RSV), the most important cause of lower respiratory tract infections in children. In this study, we characterized exosomes released from RSV-infected lung carcinoma-derived A549 cells. RNA deep sequencing revealed that RSV exosomes contain a diverse range of RNA species like messenger and ribosomal RNA fragments, as well as small noncoding RNAs, in a proportion different from exosomes isolated from mock-infected cells. We observed that both RNA and protein signatures of RSV were present in exosomes, however, they were not able to establish productive infection in uninfected cells. Exosomes isolated from RSV-infected cells were able to activate innate immune response by inducing cytokine and chemokine release from human monocytes and airway epithelial cells. These data suggest that exosomes may play an important role in pathogenesis or protection against disease, therefore understating their role in RSV infection may open new avenues for target identification and development of novel therapeutics.</t>
  </si>
  <si>
    <t>[Chahar, Harendra Singh; Corsello, Tiziana; Komaravelli, Narayana; Casola, Antonella] Univ Texas Med Branch, Dept Pediat, Galveston, TX 77555 USA; [Kudlicki, Andrzej S.] Univ Texas Med Branch, Dept Biochem &amp; Mol Biol, Galveston, TX 77555 USA; [Casola, Antonella] Univ Texas Med Branch, Sealy Ctr Vaccine Dev, Galveston, TX 77555 USA; [Casola, Antonella] Univ Texas Med Branch, Sealy Ctr Mol Med, Galveston, TX 77555 USA</t>
  </si>
  <si>
    <t>University of Texas System; University of Texas Medical Branch Galveston; University of Texas System; University of Texas Medical Branch Galveston; University of Texas System; University of Texas Medical Branch Galveston; University of Texas System; University of Texas Medical Branch Galveston</t>
  </si>
  <si>
    <t>Casola, A (corresponding author), Univ Texas Med Branch, Dept Pediat, Galveston, TX 77555 USA.;Casola, A (corresponding author), Univ Texas Med Branch, Sealy Ctr Vaccine Dev, Galveston, TX 77555 USA.;Casola, A (corresponding author), Univ Texas Med Branch, Sealy Ctr Mol Med, Galveston, TX 77555 USA.</t>
  </si>
  <si>
    <t>ancasola@utmb.edu</t>
  </si>
  <si>
    <t>Kudlicki, Andrzej/AAG-8537-2019</t>
  </si>
  <si>
    <t>Kudlicki, Andrzej/0000-0001-8158-9600</t>
  </si>
  <si>
    <t>10.1038/s41598-017-18672-5</t>
  </si>
  <si>
    <t>WOS:000419673100023</t>
  </si>
  <si>
    <t>Miranda, KC; Bond, DT; Levin, JZ; Adiconis, X; Sivachenko, A; Russ, C; Brown, D; Nusbaum, C; Russo, LM</t>
  </si>
  <si>
    <t>Miranda, Kevin C.; Bond, Daniel T.; Levin, Joshua Z.; Adiconis, Xian; Sivachenko, Andrey; Russ, Carsten; Brown, Dennis; Nusbaum, Chad; Russo, Leileata M.</t>
  </si>
  <si>
    <t>Massively Parallel Sequencing of Human Urinary Exosome/Microvesicle RNA Reveals a Predominance of Non-Coding RNA</t>
  </si>
  <si>
    <t>PROSTATE-CANCER; GENE; EXOSOMES; ASSIGNMENT; CLONING; CELLS; TRANSCRIPTOMES; EXPRESSION; BIOMARKERS; MICRORNAS</t>
  </si>
  <si>
    <t>Intact RNA from exosomes/microvesicles (collectively referred to as microvesicles) has sparked much interest as potential biomarkers for the non-invasive analysis of disease. Here we use the Illumina Genome Analyzer to determine the comprehensive array of nucleic acid reads present in urinary microvesicles. Extraneous nucleic acids were digested using RNase and DNase treatment and the microvesicle inner nucleic acid cargo was analyzed with and without DNase digestion to examine both DNA and RNA sequences contained in microvesicles. Results revealed that a substantial proportion (similar to 87%) of reads aligned to ribosomal RNA. Of the non-ribosomal RNA sequences, similar to 60% aligned to non-coding RNA and repeat sequences including LINE, SINE, satellite repeats, and RNA repeats (tRNA, snRNA, scRNA and srpRNA). The remaining similar to 40% of non-ribosomal RNA reads aligned to protein coding genes and splice sites encompassing approximately 13,500 of the known 21,892 protein coding genes of the human genome. Analysis of protein coding genes specific to the renal and genitourinary tract revealed that complete segments of the renal nephron and collecting duct as well as genes indicative of the bladder and prostate could be identified. This study reveals that the entire genitourinary system may be mapped using microvesicle transcript analysis and that the majority of non-ribosomal RNA sequences contained in microvesicles is potentially functional non-coding RNA, which play an emerging role in cell regulation.</t>
  </si>
  <si>
    <t>[Miranda, Kevin C.; Bond, Daniel T.; Brown, Dennis; Russo, Leileata M.] Massachusetts Gen Hosp, Div Nephrol, Program Membrane Biol, Boston, MA 02114 USA; [Miranda, Kevin C.; Bond, Daniel T.; Brown, Dennis; Russo, Leileata M.] Massachusetts Gen Hosp, Ctr Syst Biol, Boston, MA 02114 USA; [Miranda, Kevin C.; Bond, Daniel T.; Brown, Dennis; Russo, Leileata M.] Harvard Univ, Sch Med, Boston, MA USA; [Levin, Joshua Z.; Adiconis, Xian; Sivachenko, Andrey; Russ, Carsten; Nusbaum, Chad] MIT, Broad Inst, Cambridge, MA 02139 USA; [Levin, Joshua Z.; Adiconis, Xian; Sivachenko, Andrey; Russ, Carsten; Nusbaum, Chad] Harvard Univ, Cambridge, MA 02138 USA</t>
  </si>
  <si>
    <t>Harvard University; Massachusetts General Hospital; Harvard University; Massachusetts General Hospital; Harvard University; Harvard University; Massachusetts Institute of Technology (MIT); Broad Institute; Harvard University</t>
  </si>
  <si>
    <t>Russo, LM (corresponding author), Massachusetts Gen Hosp, Div Nephrol, Program Membrane Biol, Boston, MA 02114 USA.</t>
  </si>
  <si>
    <t>Levin, Joshua/0000-0002-0170-3598</t>
  </si>
  <si>
    <t>MAY 9</t>
  </si>
  <si>
    <t>e96094</t>
  </si>
  <si>
    <t>10.1371/journal.pone.0096094</t>
  </si>
  <si>
    <t>WOS:000336838000023</t>
  </si>
  <si>
    <t>Sun, YJ; Jin, H; Jiang, XW; Gui, RJ</t>
  </si>
  <si>
    <t>Sun, Yujiao; Jin, Hui; Jiang, Xiaowen; Gui, Rijun</t>
  </si>
  <si>
    <t>Assembly of Black Phosphorus Nanosheets and MOF to Form Functional Hybrid Thin-Film for Precise Protein Capture, Dual-Signal and Intrinsic Self-Calibration Sensing of Specific Cancer-Derived Exosomes</t>
  </si>
  <si>
    <t>RATIOMETRIC FLUORESCENCE; APTASENSOR; ZIF-67; BIOSENSOR; MEMBRANES; PLATFORM</t>
  </si>
  <si>
    <t>As the emerging and noninvasive biomarkers, exosomes play an important role in cancer screening, cancer-related immune response, and the physiological process. The sensitive, specific, and efficient detection of cancer cell-derived exosomes is of significance for early cancer diagnosis of patients. This work developed a novel dual-signal and intrinsic self-calibration aptasensor of exosomes based on a functional hybrid thin-film platform. This platform was constructed via facile assembly of black phosphorus nanosheets (BPNSs) and ferrocene (Fc)-doped metal-organic frameworks (ZIF-67) on indium tin oxide (ITO) slice, followed by combining methylene blue (MB)-labeled single- strand DNA aptamer on ITO slice. The resultant aptamer-BPNSs/Fc/ZIF-67/ITO platform had dual redox-signal responses of MB (labeled on aptamer) and Fc (doped into ZIF-67). In the presence of specific cancer cell-derived exosomes, the redox current of MB regularly reduced and that of Fc (as reference) hardly changed. An intrinsic self-calibration aptasensor was achieved and enabled sensitive detection of exosomes, showing a limit of detection down to 100 particles mL(-1). The aptasensor with a capability of precise protein capture can efficiently determine specific cancer cell-derived exosomes in practical human serum and plasma samples from healthy individuals and breast cancer patients. In light of excellent performances, this aptasensor can be expanded to multiple biomarkers from cell line exosomes and is beneficial for exploring advanced techniques for high-performance detection of exosomes derived from different types of cancer cells. This work promotes the development of current techniques for early cancer screening and clinical diagnosis.</t>
  </si>
  <si>
    <t>[Sun, Yujiao; Jin, Hui; Jiang, Xiaowen; Gui, Rijun] Qingdao Univ, Qingdao, Shandong, Peoples R China</t>
  </si>
  <si>
    <t>Qingdao University</t>
  </si>
  <si>
    <t>Gui, RJ (corresponding author), Qingdao Univ, Qingdao, Shandong, Peoples R China.</t>
  </si>
  <si>
    <t>guirijun@163.com</t>
  </si>
  <si>
    <t>Gui, Rijun/N-2494-2014</t>
  </si>
  <si>
    <t>Gui, Rijun/0000-0003-4500-4016</t>
  </si>
  <si>
    <t>10.1021/acs.analchem.9b05583</t>
  </si>
  <si>
    <t>WOS:000511509400069</t>
  </si>
  <si>
    <t>Edhayan, G; Ohara, RA; Stinson, WA; Amin, MA; Isozaki, T; Ha, CM; Haines, GK; Morgan, R; Campbell, PL; Arbab, AS; Friday, SC; Fox, DA; Ruth, JH</t>
  </si>
  <si>
    <t>Edhayan, Gautam; Ohara, Ray A.; Stinson, W. Alex; Amin, M. Asif; Isozaki, Takeo; Ha, Christine M.; Haines, G. Kenneth, III; Morgan, Rachel; Campbell, Phillip L.; Arbab, Ali S.; Friday, Sean C.; Fox, David A.; Ruth, Jeffrey H.</t>
  </si>
  <si>
    <t>Inflammatory properties of inhibitor of DNA binding 1 secreted by synovial fibroblasts in rheumatoid arthritis</t>
  </si>
  <si>
    <t>ARTHRITIS RESEARCH &amp; THERAPY</t>
  </si>
  <si>
    <t>Inhibitor of DNA binding-1 protein (Id1); Inflammation; Rheumatoid arthritis; Fibroblasts; Angiogenesis</t>
  </si>
  <si>
    <t>TRANSCRIPTIONAL REPRESSOR; EPITHELIAL-CELLS; ID PROTEINS; EXPRESSION; ANGIOGENESIS; THROMBOSPONDIN-1; GENE; VASCULARIZATION; PROGRESSION; INDUCTION</t>
  </si>
  <si>
    <t>Background: Inhibitor of DNA binding 1 (Id1) is a nuclear protein containing a basic helix-loop-helix (bHLH) domain that regulates cell growth by selective binding and prevention of gene transcription. Sources of Id1 production in rheumatoid arthritis synovial tissue (RA ST) and its range of functional effects in RA remain to be clarified. Methods: We analyzed Id1 produced from synovial fibroblasts and endothelial cells (ECs) with histology and real-time polymerase chain reaction (RT-PCR). Fibroblast supernatants subjected to differential centrifugation to isolate and purify exosomes were measured for Id1 by enzyme-linked immunosorbent assay (ELISA). Western blotting of Id1-stimulated ECs was performed to determine the kinetics of intracellular protein phosphorylation. EC intracellular signaling pathways induced by Id1 were subsequently targeted with silencing RNA (siRNA) for angiogenesis inhibition. Results: By PCR and histologic analysis, we found that the primary source of Id1 in STs is from activated fibroblasts that correlate with inflammatory scores in human RA ST and in joints from K/BxN serum-induced mice. Normal (NL) and RA synovial fibroblasts increase Id1 production with stimulation by transforming growth factor beta (TGF-beta). Most of the Id1 released by RA synovial fibroblasts is contained within exosomes. Endothelial progenitor cells (EPCs) and human dermal microvascular ECs (HMVECs) activate the Jnk signaling pathway in response to Id1, and Jnk siRNA reverses Id1-induced HMVEC vessel formation in Matrigel plugs in vivo. Conclusions: Id1 is a pleotropic molecule affecting angiogenesis, vasculogenesis, and fibrosis. Our data shows that Id1 is not only an important nuclear protein, but also can be released from fibroblasts via exosomes. The ability of extracellular Id1 to activate signaling pathways expands the role of Id1 in the orchestration of tissue inflammation.</t>
  </si>
  <si>
    <t>[Edhayan, Gautam; Ohara, Ray A.; Stinson, W. Alex; Amin, M. Asif; Isozaki, Takeo; Ha, Christine M.; Morgan, Rachel; Campbell, Phillip L.; Friday, Sean C.; Fox, David A.; Ruth, Jeffrey H.] Univ Michigan, Dept Internal Med, Sch Med, Div Rheumatol, 109 Zina Pitcher Dr,4023 BSRB, Ann Arbor, MI 48109 USA; [Edhayan, Gautam; Ohara, Ray A.; Stinson, W. Alex; Amin, M. Asif; Isozaki, Takeo; Ha, Christine M.; Morgan, Rachel; Campbell, Phillip L.; Friday, Sean C.; Fox, David A.; Ruth, Jeffrey H.] Univ Michigan, Clin Autoimmun Ctr Excellence, Sch Med, 109 Zina Pitcher Dr,4023 BSRB, Ann Arbor, MI 48109 USA; [Haines, G. Kenneth, III] Mt Sinai Hlth Syst, New York, NY 10019 USA; [Arbab, Ali S.] Henry Ford Hosp, Detroit, MI 48202 USA</t>
  </si>
  <si>
    <t>University of Michigan System; University of Michigan; University of Michigan System; University of Michigan; Icahn School of Medicine at Mount Sinai; Henry Ford Hospital</t>
  </si>
  <si>
    <t>Ruth, JH (corresponding author), Univ Michigan, Dept Internal Med, Sch Med, Div Rheumatol, 109 Zina Pitcher Dr,4023 BSRB, Ann Arbor, MI 48109 USA.;Ruth, JH (corresponding author), Univ Michigan, Clin Autoimmun Ctr Excellence, Sch Med, 109 Zina Pitcher Dr,4023 BSRB, Ann Arbor, MI 48109 USA.</t>
  </si>
  <si>
    <t>jhruth@umich.edu</t>
  </si>
  <si>
    <t>Arbab, Ali/AAS-1933-2020</t>
  </si>
  <si>
    <t>Ohara, Ray/0000-0001-7897-3169</t>
  </si>
  <si>
    <t>1478-6354</t>
  </si>
  <si>
    <t>1478-6362</t>
  </si>
  <si>
    <t>10.1186/s13075-016-0984-3</t>
  </si>
  <si>
    <t>WOS:000374731800002</t>
  </si>
  <si>
    <t>Bandara, SR; Molley, TG; Kim, H; Bharath, PA; Kilian, KA; Leal, C</t>
  </si>
  <si>
    <t>Bandara, Sarith R.; Molley, Thomas G.; Kim, Hojun; Bharath, Priyalini A.; Kilian, Kristopher A.; Leal, Cecilia</t>
  </si>
  <si>
    <t>The structural fate of lipid nanoparticles in the extracellular matrix</t>
  </si>
  <si>
    <t>GOLD NANOPARTICLES; RENAL CLEARANCE; PROTEINS; DNA; LIPOSOMES; MECHANISM; HYDROGELS; SYSTEMS; CELL</t>
  </si>
  <si>
    <t>Drug-loaded liposomes are the most successful nanomedicine to date, with multiple FDA-approved systems for a myriad of diseases. While liposome circulation time in blood and retention in tissues have been studied in detail, the structural fate of liposomes-and nanoparticles in general-in the body has not been extensively investigated. Here, we explore the interactions of liposomes with synthetic and natural hydrogel materials to understand how the natural extracellular matrix influences liposome structural characteristics. Small angle X-ray scattering, confocal microscopy, and cryogenic transmission electron microscopy data demonstrate that poly(ethylene glycol) (PEG), gelatin, alginate, and Matrigel (R) hydrogels cause 200 nmliposomes of 1,2-dioleoyl-sn-glycero-3-phosphocholine (DOPC) to transform into micrometer-sized aggregates. These aggregates are composed of multilamellar vesicles around 100 nm in diameter with a mean interlamellar separation of 5.5 nm. Protecting the liposomes with a corona of PEG damps this restructuring effect, making the multilamellar vesicles less stable. We attribute this unilamellar to multilamellar transition to an osmotic driving force from the hydrogel environment. This lipid restructuring has broad ramifications in the design and use of nanomedicines, and in understanding the fate and function of natural lipid-based materials within the tissue microenvironment.</t>
  </si>
  <si>
    <t>[Bandara, Sarith R.; Bharath, Priyalini A.; Leal, Cecilia] Univ Illinois, Dept Mat Sci &amp; Engn, Urbana, IL 61801 USA; [Molley, Thomas G.; Kilian, Kristopher A.] Univ New South Wales, Sch Chem, Sch Mat Sci &amp; Engn, Australian Ctr Nanomed, Sydney, NSW 2052, Australia; [Kim, Hojun] KIST, Ctr Biomat, Biomed Res Inst, Seoul 02792, South Korea</t>
  </si>
  <si>
    <t>University of Illinois System; University of Illinois Urbana-Champaign; University of New South Wales Sydney; Korea Institute of Science &amp; Technology (KIST)</t>
  </si>
  <si>
    <t>Leal, C (corresponding author), Univ Illinois, Dept Mat Sci &amp; Engn, Urbana, IL 61801 USA.;Kilian, KA (corresponding author), Univ New South Wales, Sch Chem, Sch Mat Sci &amp; Engn, Australian Ctr Nanomed, Sydney, NSW 2052, Australia.</t>
  </si>
  <si>
    <t>k.kilian@unsw.edu.au; cecilial@illinois.edu</t>
  </si>
  <si>
    <t>molley, thomas/0000-0001-8583-5397; Bandara, Sarith/0000-0003-2108-0997; Kim, Hojun/0000-0001-7974-1044; Kilian, Kristopher/0000-0002-8963-9796</t>
  </si>
  <si>
    <t>10.1039/c9mh00835g</t>
  </si>
  <si>
    <t>WOS:000518381300011</t>
  </si>
  <si>
    <t>Tanja, J; Cvetka, GK; Maja, C</t>
  </si>
  <si>
    <t>Tanja, Jesenko; Cvetka, Grasic Kuhar; Maja, Cemazar</t>
  </si>
  <si>
    <t>Liquid biopsy in cancer</t>
  </si>
  <si>
    <t>ONKOLOGIJA</t>
  </si>
  <si>
    <t>liquid biopsy; cfDNA; ctDNA; circulating tumor cells; exosomes</t>
  </si>
  <si>
    <t>CIRCULATING TUMOR DNA; ACQUIRED-RESISTANCE; DIAGNOSTIC MARKER; STRANDED-DNA; CELLS; MUTATIONS; PLASMA; EGFR; EXOSOMES; EVOLUTION</t>
  </si>
  <si>
    <t>Recently, new exciting developments in oncology have been made in the field of liquid biopsies. In liquid biopsy, samples of blood or other body fluids are analyzed for tumor-derived material. Tumor-derived material comprises cell-free circulating tumor DNA (cf/ctDNA), exosomes released by tumor cells, or circulating tumor cells themselves (CTC). In this review, we highlight the studies that summarize the state of the art in the field of liquid biopsy, and also represent the current challenges which should be addressed in the future to successfully implement liquid biopsy in a clinical setting.</t>
  </si>
  <si>
    <t>[Tanja, Jesenko; Cvetka, Grasic Kuhar; Maja, Cemazar] Onkoloski Inst Ljubljana, Zaloska Cesta 2, Ljubljana 1000, Slovenia; [Maja, Cemazar] Univ Primorskem, Fak Vede Zdravju, Polje 42, Izola 6310, Slovenia</t>
  </si>
  <si>
    <t>Institute of Oncology - Slovenia; University of Primorska</t>
  </si>
  <si>
    <t>Maja, C (corresponding author), Onkoloski Inst Ljubljana, Zaloska Cesta 2, Ljubljana 1000, Slovenia.</t>
  </si>
  <si>
    <t>mcemazar@onko-i.si</t>
  </si>
  <si>
    <t>1408-1741</t>
  </si>
  <si>
    <t>1581-3215</t>
  </si>
  <si>
    <t>10.25670/oi2018-019on</t>
  </si>
  <si>
    <t>WOS:000488855300004</t>
  </si>
  <si>
    <t>Walczak, M; Brady, RA; Mancini, L; Contini, C; Rubio-Sanchez, R; Kaufhold, WT; Cicuta, P; Di Michele, L</t>
  </si>
  <si>
    <t>Walczak, Michal; Brady, Ryan A.; Mancini, Leonardo; Contini, Claudia; Rubio-Sanchez, Roger; Kaufhold, William T.; Cicuta, Pietro; Di Michele, Lorenzo</t>
  </si>
  <si>
    <t>Responsive core-shell DNA particles trigger lipid-membrane disruption and bacteria entrapment</t>
  </si>
  <si>
    <t>NEUTROPHIL EXTRACELLULAR TRAPS; ANTIMICROBIAL PEPTIDES; ESCHERICHIA-COLI; MECHANISMS; NANOSTRUCTURES; IMMUNITY</t>
  </si>
  <si>
    <t>Biology has evolved a variety of agents capable of permeabilizing and disrupting lipid membranes, from amyloid aggregates, to antimicrobial peptides, to venom compounds. While often associated with disease or toxicity, these agents are also central to many biosensing and therapeutic technologies. Here, we introduce a class of synthetic, DNA-based particles capable of disrupting lipid membranes. The particles have finely programmable size, and self-assemble from all-DNA and cholesterol-DNA nanostructures, the latter forming a membrane-adhesive core and the former a protective hydrophilic corona. We show that the corona can be selectively displaced with a molecular cue, exposing the 'sticky' core. Unprotected particles adhere to synthetic lipid vesicles, which in turn enhances membrane permeability and leads to vesicle collapse. Furthermore, particle-particle coalescence leads to the formation of gel-like DNA aggregates that envelop surviving vesicles. This response is reminiscent of pathogen immobilisation through immune cells secretion of DNA networks, as we demonstrate by trapping E. coli bacteria. Lipid membrane disruption is often associated with disease but is also essential to a range of biosensing and therapeutic techniques. Here, the authors report on the development of DNA-based particles that, upon exposure to an external cue, can aggregate, disrupt lipid membranes, and arrest the motion of bacteria.</t>
  </si>
  <si>
    <t>[Walczak, Michal; Mancini, Leonardo; Rubio-Sanchez, Roger; Kaufhold, William T.; Cicuta, Pietro; Di Michele, Lorenzo] Univ Cambridge, Cavendish Lab, Biol &amp; Soft Syst, JJ Thomson Ave, Cambridge, England; [Brady, Ryan A.] Kings Coll London, Fac Nat &amp; Math Sci, Dept Chem, London, England; [Contini, Claudia; Kaufhold, William T.; Di Michele, Lorenzo] Imperial Coll London, Dept Chem, Mol Sci Res Hub, London, England; [Contini, Claudia; Di Michele, Lorenzo] Imperial Coll London, FabriCELL, Mol Sci Res Hub, London, England</t>
  </si>
  <si>
    <t>University of Cambridge; University of London; King's College London; Imperial College London; Imperial College London</t>
  </si>
  <si>
    <t>Di Michele, L (corresponding author), Univ Cambridge, Cavendish Lab, Biol &amp; Soft Syst, JJ Thomson Ave, Cambridge, England.;Di Michele, L (corresponding author), Imperial Coll London, Dept Chem, Mol Sci Res Hub, London, England.;Di Michele, L (corresponding author), Imperial Coll London, FabriCELL, Mol Sci Res Hub, London, England.</t>
  </si>
  <si>
    <t>l.di-michele@imperial.ac.uk</t>
  </si>
  <si>
    <t>Contini, Claudia/AAJ-1878-2021; Rubio Sanchez, Roger/AAD-7509-2022; Di Michele, Lorenzo/K-2878-2015</t>
  </si>
  <si>
    <t>Contini, Claudia/0000-0002-5282-2458; Rubio Sanchez, Roger/0000-0001-5574-5809; Brady, Ryan/0000-0002-0408-3224; Di Michele, Lorenzo/0000-0002-1458-9747; Mancini, Leonardo/0000-0001-8906-1667; Walczak, Michal/0000-0002-4701-9476; Cicuta, Pietro/0000-0002-9193-8496</t>
  </si>
  <si>
    <t>10.1038/s41467-021-24989-7</t>
  </si>
  <si>
    <t>WOS:000684547900007</t>
  </si>
  <si>
    <t>Warsi, O; Knopp, M; Surkov, S; Hultqvist, JJ; Andersson, DI</t>
  </si>
  <si>
    <t>Warsi, Omar; Knopp, Michael; Surkov, Serhiy; Hultqvist, Jon Jerlstrom; Andersson, Dan I.</t>
  </si>
  <si>
    <t>Evolution of a New Function by Fusion between Phage DNA and a Bacterial Gene</t>
  </si>
  <si>
    <t>MOLECULAR BIOLOGY AND EVOLUTION</t>
  </si>
  <si>
    <t>gene fusion; phage; evolution of new function; bacteria; lacI</t>
  </si>
  <si>
    <t>OUTER-MEMBRANE VESICLES; ESCHERICHIA-COLI K-12; HORIZONTALLY TRANSFERRED GENES; ENVELOPE STRESS-RESPONSE; ADAPTIVE EVOLUTION; ORIGIN; LIPOPOLYSACCHARIDE; AMPLIFICATION; CHROMOSOME; INNOVATION</t>
  </si>
  <si>
    <t>Mobile genetic elements, such as plasmids, phages, and transposons, are important sources for evolution of novel functions. In this study, we performed a large-scale screening of metagenomic phage libraries for their ability to suppress temperature-sensitivity in Salmonella enterica serovar Typhimurium strain LT2 mutants to examine how phage DNA could confer evolutionary novelty to bacteria. We identified an insert encoding 23 amino acids from a phage that when fused with a bacterial DNA-binding repressor protein (LacI) resulted in the formation of a chimeric protein that localized to the outer membrane. This relocalization of the chimeric protein resulted in increased membrane vesicle formation and an associated suppression of the temperature sensitivity of the bacterium. Both the host LacI protein and the extracellular 23-amino acid stretch are necessary for the generation of the novel phenotype. Furthermore, mutational analysis of the chimeric protein showed that although the native repressor function of the LacI protein is maintained in this chimeric structure, it is not necessary for the new function. Thus, our study demonstrates how a gene fusion between foreign DNA and bacterial DNA can generate novelty without compromising the native function of a given gene.</t>
  </si>
  <si>
    <t>[Warsi, Omar; Knopp, Michael; Surkov, Serhiy; Andersson, Dan I.] Uppsala Univ, Dept Med Biochem &amp; Microbiol, Uppsala, Sweden; [Hultqvist, Jon Jerlstrom] Dalhousie Univ, Dept Biochem &amp; Mol Biol, Halifax, NS, Canada</t>
  </si>
  <si>
    <t>Uppsala University; Dalhousie University</t>
  </si>
  <si>
    <t>Warsi, O; Andersson, DI (corresponding author), Uppsala Univ, Dept Med Biochem &amp; Microbiol, Uppsala, Sweden.</t>
  </si>
  <si>
    <t>omar.warsi@imbim.uu.se; dan.andersson@imbim.uu.se</t>
  </si>
  <si>
    <t>Knopp, Michael/0000-0002-8218-3263; Warsi, Omar/0000-0003-3175-1184; Andersson, Dan/0000-0001-6640-2174; Jerlstrom-Hultqvist, Jon/0000-0002-7992-7970</t>
  </si>
  <si>
    <t>0737-4038</t>
  </si>
  <si>
    <t>1537-1719</t>
  </si>
  <si>
    <t>10.1093/molbev/msaa007</t>
  </si>
  <si>
    <t>Biochemistry &amp; Molecular Biology; Evolutionary Biology; Genetics &amp; Heredity</t>
  </si>
  <si>
    <t>WOS:000537426600007</t>
  </si>
  <si>
    <t>Rainey, K; Michalek, SM; Wen, ZZT; Wu, H</t>
  </si>
  <si>
    <t>Rainey, Katherine; Michalek, Suzanne M.; Wen, Zezhang T.; Wu, Hui</t>
  </si>
  <si>
    <t>Glycosyltransferase-Mediated Biofilm Matrix Dynamics and Virulence of Streptococcus mutans</t>
  </si>
  <si>
    <t>Streptococcus mutans; biofilms; eDNA; extracellular matrix; glucans; glycosyltransferases</t>
  </si>
  <si>
    <t>RHAMNOSE-GLUCOSE POLYSACCHARIDE; INTEGRATION HOST FACTOR; SIDE-CHAIN FORMATION; EXTRACELLULAR-DNA; FUNCTIONAL AMYLOIDS; MEMBRANE-VESICLES; EXOPOLYSACCHARIDE; PROTEIN; SYSTEM; GLUCOSYLTRANSFERASES</t>
  </si>
  <si>
    <t>Streptococcus mutans is a key cariogenic bacterium responsible for the initiation of tooth decay. Biofilm formation is a crucial virulence property. We discovered a putative glycosyltransferase, SMU_833, in S. mutans capable of modulating dynamic interactions between two key biofilm matrix components, glucan and extracellular DNA (eDNA). The deletion of smu_833 decreases glucan and increases eDNA but maintains the overall biofilm biomass. The decrease in glucan is caused by a reduction in GtfB and GtfC, two key enzymes responsible for the synthesis of glucan. The increase in eDNA was accompanied by an elevated production of membrane vesicles, suggesting that SMU_833 modulates the release of eDNA via the membrane vesicles, thereby altering biofilm matrix constituents. Furthermore, glucan and eDNA were colocalized. The complete deletion of gtfBC from the srnu_833 mutant significantly reduced the biofilm biomass despite the elevated eDNA, suggesting the requirement of minimal glucans as a binding substrate for eDNA within the biofilm. Despite no changes in overall biofilm biomass, the mutant biofilm was altered in biofilm architecture and was less acidic in vitro. Concurrently, the mutant was less virulent in an in vivo rat model of dental caries, demonstrating that SMU_833 is a new virulence factor. Taken together, we conclude that SMU_833 is required for optimal biofilm development and virulence of S. mutans by modulating extracellular matrix components. Our study of SMU_833-modulated biofilm matrix dynamics uncovered a new target that can be used to develop potential therapeutics that prevent and treat dental caries. IMPORTANCE Tooth decay, a costly and painful disease affecting the vast majority of people worldwide, is caused by the bacterium Streptococcus mutans. The bacteria utilize dietary sugars to build and strengthen biofilms, trapping acids onto the tooth's surface and causing demineralization and decay of teeth. As knowledge of our body's micro-biomes increases, the need for developing therapeutics targeted to disease-causing bacteria has arisen. The significance of our research is in studying and identifying a novel therapeutic target, a dynamic biofilm matrix that is mediated by a new virulence factor and membrane vesicles. The study increases our understanding of S. mutans virulence and also offers a new opportunity to develop effective therapeutics targeting S. mutans. In addition, the mechanisms of membrane vesicle-mediated biofilm matrix dynamics are also applicable to other biofilm-driven infectious diseases.</t>
  </si>
  <si>
    <t>[Rainey, Katherine; Michalek, Suzanne M.; Wu, Hui] Univ Alabama Birmingham, Sch Med, Dept Microbiol, Birmingham, AL 35294 USA; [Rainey, Katherine; Wu, Hui] Univ Alabama Birmingham, Sch Dent, Pediat Dent, Birmingham, AL 35294 USA; [Wen, Zezhang T.] Louisiana State Univ, Hlth Sci Ctr, Dept Comprehens Dent &amp; Biomat, New Orleans, LA USA; [Wen, Zezhang T.] Louisiana State Univ, Hlth Sci Ctr, Dept Microbiol Immunol &amp; Parasitol, New Orleans, LA USA</t>
  </si>
  <si>
    <t>University of Alabama System; University of Alabama Birmingham; University of Alabama System; University of Alabama Birmingham; Louisiana State University System; Louisiana State University Health Sciences Center New Orleans; Louisiana State University System; Louisiana State University Health Sciences Center New Orleans</t>
  </si>
  <si>
    <t>Wu, H (corresponding author), Univ Alabama Birmingham, Sch Med, Dept Microbiol, Birmingham, AL 35294 USA.;Wu, H (corresponding author), Univ Alabama Birmingham, Sch Dent, Pediat Dent, Birmingham, AL 35294 USA.</t>
  </si>
  <si>
    <t>hwu@uab.edu</t>
  </si>
  <si>
    <t>e02247-18</t>
  </si>
  <si>
    <t>10.1128/AEM.02247-18</t>
  </si>
  <si>
    <t>WOS:000459327600005</t>
  </si>
  <si>
    <t>Zhao, CZ; Zhang, GR; Liu, JL; Zhang, CH; Yao, Y; Liao, W</t>
  </si>
  <si>
    <t>Zhao, Chengzhi; Zhang, Geru; Liu, Jialing; Zhang, Chenghao; Yao, Yang; Liao, Wen</t>
  </si>
  <si>
    <t>Exosomal cargoes in OSCC: current findings and potential functions</t>
  </si>
  <si>
    <t>Exosomes; Exosomal cargoes; OSCC; Head and neck squamous carcinoma</t>
  </si>
  <si>
    <t>SQUAMOUS-CELL CARCINOMA; STRANDED GENOMIC DNA; EXTRACELLULAR VESICLES; NONCODING RNA; COLORECTAL-CANCER; DENDRITIC CELLS; SERUM EXOSOMES; TUMOR-GROWTH; PROMOTE; EXPRESSION</t>
  </si>
  <si>
    <t>Oral squamous cell carcinoma (OSCC) is the most prevalent malignancy in head and neck cancer, with high recurrence and mortality. Early diagnosis and efficient therapeutic strategies are vital for the treatment of OSCC patients. Exosomes can be isolated from a broad range of different cell types, implicating them as important factors in the regulation of human physiological and pathological processes. Due to their abundant cargo including proteins, lipids, and nucleic acids, exosomes have played a valuable diagnostic and therapeutic role across multiple diseases, including cancer. In this review, we summarize recent findings concerning the content within and participation of exosomes relating to OSCC and their roles in tumorigenesis, proliferation, migration, invasion, metastasis, and chemoresistance. We conclude this review by looking ahead to their potential utility in providing new methods for treating OSCC to inspire further research in this field.</t>
  </si>
  <si>
    <t>[Zhao, Chengzhi; Zhang, Geru; Liu, Jialing; Zhang, Chenghao; Yao, Yang; Liao, Wen] Sichuan Univ, State Key Lab Oral Dis, Chengdu, Sichuan, Peoples R China; [Zhao, Chengzhi; Zhang, Geru] Sichuan Univ, Natl Clin Res Ctr Oral Dis, West China Sch Stomatol, Chengdu, Peoples R China; [Liu, Jialing; Zhang, Chenghao] Sichuan Univ, Natl Clin Res Ctr Oral Dis, West China Sch Stomatol, Dept Orthodont, Chengdu, Sichuan, Peoples R China; [Yao, Yang] Sichuan Univ, West China Hosp Stomatol, Natl Clin Res Ctr Oral Dis, Dept Oral Implantol, Chengdu, Sichuan, Peoples R China; [Liao, Wen] Sichuan Univ, West China Hosp Stomatol, Natl Clin Res Ctr Oral Dis, Dept Orthodont, Chengdu, Sichuan, Peoples R China</t>
  </si>
  <si>
    <t>Sichuan University; Sichuan University; Sichuan University; Sichuan University; Sichuan University</t>
  </si>
  <si>
    <t>Liao, W (corresponding author), Sichuan Univ, State Key Lab Oral Dis, Chengdu, Sichuan, Peoples R China.;Liao, W (corresponding author), Sichuan Univ, West China Hosp Stomatol, Natl Clin Res Ctr Oral Dis, Dept Orthodont, Chengdu, Sichuan, Peoples R China.</t>
  </si>
  <si>
    <t>liaowenssw@126.com</t>
  </si>
  <si>
    <t>Liu, Jialing/0000-0001-5554-0870; Liao, Wen/0000-0002-6861-0054</t>
  </si>
  <si>
    <t>NOV 3</t>
  </si>
  <si>
    <t>e10062</t>
  </si>
  <si>
    <t>10.7717/peerj.10062</t>
  </si>
  <si>
    <t>WOS:000584330700001</t>
  </si>
  <si>
    <t>Lappann, M; Danhof, S; Guenther, F; Olivares-Florez, S; Mordhorst, IL; Vogel, U</t>
  </si>
  <si>
    <t>Lappann, Martin; Danhof, Sophia; Guenther, Frank; Olivares-Florez, Silvana; Mordhorst, Ines Louise; Vogel, Ulrich</t>
  </si>
  <si>
    <t>In vitro resistance mechanisms of Neisseria meningitidis against neutrophil extracellular traps</t>
  </si>
  <si>
    <t>OUTER-MEMBRANE VESICLES; MENINGOCOCCAL-LIPOPOLYSACCHARIDE; PATHOGENIC NEISSERIAE; NETTING NEUTROPHILS; CATHEPSIN-G; BACTERIAL; PROTEIN; EXPRESSION; ENDOTOXIN; DISEASE</t>
  </si>
  <si>
    <t>Neisseria meningitidis (Nm) is a leading cause of septicemia in childhood. Nm septicemia is unique with respect to very quick disease progression, high in vivo bacterial replication rate and its considerable mortality. Nm circumvents major mechanisms of innate immunity such as complement system and phagocytosis. Neutrophil extracellular traps (NETs) are formed from neutrophils during systemic infection and are suggested to contain invading microorganisms. Here, we investigated the interaction of Nm with NETs. Both, meningococci and spontaneously released outer membrane vesicles (SOMVs) were potent NET inducers. NETs were unable to kill NET bound meningococci, but slowed down their proliferation rate. Using Nm as model organism we identified three novel mechanisms how bacteria can evade NET-mediated killing: (i) modification of lipid A of meningococcal LPS with phosphoethanolamine protected Nm from NET-bound cathepsin G; (ii) expression of the high-affinity zinc uptake receptor ZnuD allowed Nm to escape NET-mediated nutritional immunity; (iii) binding of SOMVs to NETs saved Nm from NET binding and the consequent bacteriostatic effect. Escape from NETs may contribute to the most rapid progression of meningococcal disease. The induction of NET formation by Nm in vivo might aggravate thrombosis in vessels ultimately directing to disseminated intravascular coagulation (DIC).</t>
  </si>
  <si>
    <t>[Lappann, Martin; Danhof, Sophia; Guenther, Frank; Olivares-Florez, Silvana; Mordhorst, Ines Louise; Vogel, Ulrich] Univ Wurzburg, Inst Hyg &amp; Microbiol, D-97070 Wurzburg, Germany</t>
  </si>
  <si>
    <t>University of Wurzburg</t>
  </si>
  <si>
    <t>Lappann, M (corresponding author), Univ Wurzburg, Inst Hyg &amp; Microbiol, D-97070 Wurzburg, Germany.</t>
  </si>
  <si>
    <t>mlappann@hygiene.uni-wuerzburg.de</t>
  </si>
  <si>
    <t>Danhof, Sophia/AAS-7268-2021</t>
  </si>
  <si>
    <t>10.1111/mmi.12288</t>
  </si>
  <si>
    <t>WOS:000322332800003</t>
  </si>
  <si>
    <t>Fan, WJ; Han, PH; Feng, QY; Sun, YY; Ren, W; Lawson, T; Liu, CH</t>
  </si>
  <si>
    <t>Fan, Wenjiao; Han, Pihua; Feng, Qinya; Sun, Yuanyuan; Ren, Wei; Lawson, Thomas; Liu, Chenghui</t>
  </si>
  <si>
    <t>Nucleic Acid Substrate-Independent DNA Polymerization on the Exosome Membrane: A Mechanism Study and Application in Exosome Analysis</t>
  </si>
  <si>
    <t>EXTRACELLULAR VESICLES; LABEL-FREE; CLASSIFICATION</t>
  </si>
  <si>
    <t>As generally acknowledged, terminal deoxynucleotidyl transferase (TdT) can only elongate DNA substrates from their 3'-OH ends. Herein, for the first time, we report that TdT-catalyzed DNA polymerization can directly proceed on the exosome membrane without the mediation of any nucleic acids. We prove that both the glycosyl and phenolic hydroxyl groups on the membrane proteins can initiate the DNA polymerization. Accordingly, we have developed powerful strategies for high-sensitive exosome profiling based on a conventional flow cytometer and an emerging CRISPR/Cas system. By using our strategy, the featured membrane protein distributions of different cancer cell-derived exosomes can be figured out, which can clearly distinguish plasma samples of breast cancer patients from those of healthy people. This work paves new ways for exosome profiling and liquid biopsy and expands the understanding of TdT, holding great significance in developing TdT-based sensing systems as well as establishing protein/nucleic acid hybrid biomaterials.</t>
  </si>
  <si>
    <t>[Fan, Wenjiao; Feng, Qinya; Ren, Wei; Liu, Chenghui] Minist Educ, Key Lab Appl Surface &amp; Colloid Chem, Xian 710119, Shaanxi, Peoples R China; [Fan, Wenjiao; Feng, Qinya; Ren, Wei; Liu, Chenghui] Key Lab Analyt Chem Life Sci Shaanxi Prov, Xian 710119, Shaanxi, Peoples R China; [Fan, Wenjiao; Feng, Qinya; Ren, Wei; Liu, Chenghui] Shaanxi Normal Univ, Sch Chem &amp; Chem Engn, Xian 710119, Shaanxi, Peoples R China; [Han, Pihua] Shaanxi Prov Canc Hosp, Xian 710061, Shaanxi, Peoples R China; [Sun, Yuanyuan] Zhengzhou Univ, Dept Translat Med Ctr, Affiliated Hosp 1, Zhengzhou 450052, Henan, Peoples R China; [Lawson, Thomas] Macquarie Univ, ARC Ctr Excellence Nanoscale BioPhoton, Sydney, NSW 2109, Australia</t>
  </si>
  <si>
    <t>Shaanxi Normal University; Zhengzhou University; Macquarie University</t>
  </si>
  <si>
    <t>Liu, CH (corresponding author), Minist Educ, Key Lab Appl Surface &amp; Colloid Chem, Xian 710119, Shaanxi, Peoples R China.;Liu, CH (corresponding author), Key Lab Analyt Chem Life Sci Shaanxi Prov, Xian 710119, Shaanxi, Peoples R China.;Liu, CH (corresponding author), Shaanxi Normal Univ, Sch Chem &amp; Chem Engn, Xian 710119, Shaanxi, Peoples R China.</t>
  </si>
  <si>
    <t>liuch@snnu.edu.cn</t>
  </si>
  <si>
    <t>; Liu, Chenghui/N-2703-2014</t>
  </si>
  <si>
    <t>Sun, Yuanyuan/0000-0002-2843-739X; Liu, Chenghui/0000-0001-8375-0242; Ren, Wei/0000-0002-6537-6039</t>
  </si>
  <si>
    <t>10.1021/acs.analchem.1c04636</t>
  </si>
  <si>
    <t>WOS:000763579800031</t>
  </si>
  <si>
    <t>KADURUGAMUWA, JL; BEVERIDGE, TJ</t>
  </si>
  <si>
    <t>VIRULENCE FACTORS ARE RELEASED FROM PSEUDOMONAS-AERUGINOSA IN ASSOCIATION WITH MEMBRANE-VESICLES DURING NORMAL GROWTH AND EXPOSURE TO GENTAMICIN - A NOVEL MECHANISM OF ENZYME-SECRETION</t>
  </si>
  <si>
    <t>GRAM-NEGATIVE BACTERIA; EXTRACELLULAR PROTEIN SECRETION; OUTER-MEMBRANE; ALKALINE PROTEASE; PHOSPHOLIPASE-C; CYSTIC-FIBROSIS; CEREBROSPINAL-FLUID; DEFICIENT MUTANTS; CELL-ENVELOPE; A-BAND</t>
  </si>
  <si>
    <t>Pseudomonas aeruginosa blebs-off membrane vesicles (MVs) into culture medium during normal growth. Release of these vesicles increased approximately threefold after exposure of the organism to four times the MIC of gentamicin, Natural and gentamicin-induced membrane vesicles (n-MVs and g-MVs, respectively) were isolated by filtration and differential centrifugation, and several of their biological activities mere characterized. Electron microscopy of both n-MVs and g-MVs revealed that they were spherical bilayer MVs with a diameter of 50 to 150 mn. Immunoelectron microscopy and Western blot (immunoblot) analysis of the vesicles demonstrated the presence of B-band lipopolysaccharide (LPS), with a slightly higher proportion of B-band LPS in g-MVs than in n-MVs. A-band LPS was occasionally detected in g-MVs but not in n-MVs. In addition to LPS, several enzymes, such as phospholipase C, protease, hemolysin, and alkaline phosphatase, which are known to contribute to the pathogenicity of Pseudomonas infections were found to be present in both vesicle types. Both types of vesicles contained DNA, with a significantly higher content in g-MVs. These vesicles could thus play an important role in genetic transformation and disease by serving as a transport vehicle for DNA and virulence factors and are presumably involved in septic shock.</t>
  </si>
  <si>
    <t>KADURUGAMUWA, JL (corresponding author), UNIV GUELPH,COLL BIOL SCI,DEPT MICROBIOL,CTR CANADIAN BACTERIAL DIS NETWORK,GUELPH,ON N1G 2W1,CANADA.</t>
  </si>
  <si>
    <t>10.1128/jb.177.14.3998-4008.1995</t>
  </si>
  <si>
    <t>WOS:A1995RH81000016</t>
  </si>
  <si>
    <t>Kim, YJ; Lee, U; Choi, CO; Chang, SOE</t>
  </si>
  <si>
    <t>Kim, Yujin; Lee, Unghwi; Choi, Chunghon; Chang, Sunghoe</t>
  </si>
  <si>
    <t>Release Mode Dynamically Regulates the RRP Refilling Mechanism at Individual Hippocampal Synapses</t>
  </si>
  <si>
    <t>hippocampal synapse homeostatic mechanism; multivesicular release; RRP replenishment; synaptic vesicle reuse</t>
  </si>
  <si>
    <t>KISS-AND-RUN; MULTIVESICULAR RELEASE; EXCITATORY SYNAPSES; SYNAPTIC DEPRESSION; ENDOCYTOSIS; SINGLE; VESICLES; POOL; FACILITATION; PROBABILITY</t>
  </si>
  <si>
    <t>Synaptic strength and reliability are determined by the number of vesicles released per action potential and the availability of release-competent vesicles in the readily releasable pool (RRP). Compared with release of a single vesicle (univesicular release), multivesicular release (MVR) would speed up RRP depletion, yet whether the RRP is refilled differently during the two different release modes has not been investigated. Here, we address this question by quantitative optical imaging with an axon-targeting glutamate sensor, iGluSnFRpre. We found that hippocampal synapses preferentially release multiple vesicles per action potential at high extracellular calcium or by paired-pulse stimulation. When MVR prevails, the RRP is recovered very rapidly with a time constant of 430 ms. This rapid recovery is mediated by dynamin-dependent endocytosis followed by direct reuse of retrieved vesicles. Furthermore, our simulation proved that the portion of retrieved vesicles that directly refill the RRP increases dramatically (&gt;70%) in MVR compared with that in univesicular release (&lt;10%). These results suggest that the contribution of rapid and direct recruitment of retrieved vesicle to the RRP changes dynamically with release mode at the level of individual synapses, which suggests a form of presynaptic homeostatic plasticity for reliable synaptic transmission during various synaptic activity.</t>
  </si>
  <si>
    <t>[Kim, Yujin; Lee, Unghwi; Choi, Chunghon; Chang, Sunghoe] Seoul Natl Univ, Dept Physiol &amp; Biomed Sci, Coll Med, Seoul 03080, South Korea; [Kim, Yujin; Lee, Unghwi; Choi, Chunghon; Chang, Sunghoe] Seoul Natl Univ, Med Res Ctr, Neurosci Res Inst, Coll Med, Seoul 03080, South Korea</t>
  </si>
  <si>
    <t>Seoul National University (SNU); Seoul National University (SNU)</t>
  </si>
  <si>
    <t>Chang, SOE (corresponding author), Seoul Natl Univ, Dept Physiol &amp; Biomed Sci, Coll Med, Seoul 03080, South Korea.</t>
  </si>
  <si>
    <t>sunghoe@isnu.ac.kr</t>
  </si>
  <si>
    <t>CHOI, CHUNGHON/0000-0002-9250-2651; Lee, Unghwi/0000-0002-9956-7570</t>
  </si>
  <si>
    <t>10.1523/JNEUROSCI.3029-19.2020</t>
  </si>
  <si>
    <t>WOS:000582798900003</t>
  </si>
  <si>
    <t>Goranson, SP; Thalin, C; Lundstrom, A; Hallstrom, L; Lasselin, J; Wallen, H; Soop, A; Mobarrez, F</t>
  </si>
  <si>
    <t>Goranson, Sofie Paues; Thalin, Charlotte; Lundstrom, Annika; Hallstrom, Lars; Lasselin, Julie; Wallen, Hakan; Soop, Anne; Mobarrez, Fariborz</t>
  </si>
  <si>
    <t>Circulating H3Cit is elevated in a human model of endotoxemia and can be detected bound to microvesicles</t>
  </si>
  <si>
    <t>NEUTROPHIL EXTRACELLULAR TRAPS; CITRULLINATED HISTONE H3; CELL-FREE DNA; SEVERE SEPSIS; SEPTIC SHOCK; MICROPARTICLES; NUCLEOSOMES; DYSFUNCTION; EXPRESSION; BIOMARKERS</t>
  </si>
  <si>
    <t>Early diagnosis of sepsis is crucial since prompt interventions decrease mortality. Citrullinated histone H3 (H3Cit), released from neutrophil extracellular traps (NETs) upon binding of platelets to neutrophils following endotoxin stimulation, has recently been proposed a promising blood biomarker in sepsis. Moreover, microvesicles (MVs), which are released during cell activation and apoptosis and carry a variety of proteins from their parental cells, have also been shown to be elevated in sepsis. In a randomized and placebo-controlled human model of endotoxemia (lipopolysaccharide injection; LPS), we now report significant LPS-induced elevations of circulating H3Cit in 22 healthy individuals. We detected elevations of circulating H3Cit by enzyme-linked immunosorbent assay (ELISA), as well as bound to MVs quantified by flow cytometry. H3Cit-bearing MVs expressed neutrophil and/or platelet surface markers, indicating platelet-neutrophil interactions. In addition, in vitro experiments revealed that H3Cit can bind to phosphatidylserine exposed on platelet derived MVs. Taken together; our results demonstrate that NETs can be detected in peripheral blood during endotoxemia by two distinct H3Cit-specific methods. Furthermore, we propose a previously unrecognized mechanism by which H3Cit may be disseminated throughout the vasculature by the binding to MVs.</t>
  </si>
  <si>
    <t>[Goranson, Sofie Paues; Soop, Anne] Karolinska Inst, Danderyd Hosp, Div Anaesthesia &amp; Intens Care, Dept Clin Sci, S-18288 Stockholm, Sweden; [Thalin, Charlotte; Lundstrom, Annika] Karolinska Inst, Danderyd Hosp, Div Internal Med, Dept Clin Sci, S-18288 Stockholm, Sweden; [Hallstrom, Lars] Karolinska Univ Hosp, Dept Clin Sci Intervent &amp; Technol, Huddinge, Sweden; [Lasselin, Julie] Stockholm Univ, Stress Res Inst, Frescati Hagvag 16A, S-10691 Stockholm, Sweden; [Lasselin, Julie] Karolinska Inst, Div Psychol, Dept Clin Neurosci, Nobels Vag 9, S-17165 Solna, Sweden; [Wallen, Hakan] Karolinska Inst, Danderyds Hosp, Div Cardiovasc Med, Dept Clin Sci, S-18288 Stockholm, Sweden; [Mobarrez, Fariborz] Karolinska Univ Hosp, Karolinska Inst, Dept Med, Unit Rheumatol, SE-17176 Stockholm, Sweden; [Soop, Anne] Sophiahemmet Univ, Praktikertjanst Anestesi, Box 5286, S-10246 Stockholm, Sweden</t>
  </si>
  <si>
    <t>Danderyds Hospital; Karolinska Institutet; Danderyds Hospital; Karolinska Institutet; Karolinska Institutet; Karolinska University Hospital; Stockholm University; Karolinska Institutet; Danderyds Hospital; Karolinska Institutet; Karolinska Institutet; Karolinska University Hospital; Sophiahemmet University</t>
  </si>
  <si>
    <t>Goranson, SP (corresponding author), Karolinska Inst, Danderyd Hosp, Div Anaesthesia &amp; Intens Care, Dept Clin Sci, S-18288 Stockholm, Sweden.</t>
  </si>
  <si>
    <t>sofie.paues-goranson@sll.se</t>
  </si>
  <si>
    <t>Mobarrez, Fariborz/AAK-8929-2020; Lasselin, Julie/I-4316-2019</t>
  </si>
  <si>
    <t>Mobarrez, Fariborz/0000-0002-7106-6248; Lasselin, Julie/0000-0001-8323-0714</t>
  </si>
  <si>
    <t>10.1038/s41598-018-31013-4</t>
  </si>
  <si>
    <t>WOS:000442530000005</t>
  </si>
  <si>
    <t>Xiao, WW; Ma, WJ; Wei, SX; Li, QP; Liu, RW; Carney, RP; Yang, K; Lee, J; Nyugen, A; Yoneda, KY; Lam, KS; Li, TH</t>
  </si>
  <si>
    <t>Xiao, Wenwu; Ma, Weijie; Wei, Sixi; Li, Qianping; Liu, Ruiwu; Carney, Randy P.; Yang, Kevin; Lee, Joyce; Nyugen, Alan; Yoneda, Ken Y.; Lam, Kit S.; Li, Tianhong</t>
  </si>
  <si>
    <t>High-affinity peptide ligand LXY30 for targeting 31 integrin in non-small cell lung cancer</t>
  </si>
  <si>
    <t>JOURNAL OF HEMATOLOGY &amp; ONCOLOGY</t>
  </si>
  <si>
    <t>Cancer-targeting peptide; 31 integrin; Non-small cell lung cancer; Exosomes; In vivo imaging; Patient-derived xenograft</t>
  </si>
  <si>
    <t>ALPHA-3-BETA-1; EXPRESSION; IDENTIFICATION; STATISTICS; GEFITINIB; RECEPTOR</t>
  </si>
  <si>
    <t>Background31 integrin is a promising cancer biomarker and drug target. We previously identified a 9-amino-acid cyclic peptide LXY30 for detecting 31 integrin on the surface of live tumor cells. This study was undertaken to characterize LXY30 in the detection, cellular function, imaging, and targeted delivery of in vitro and in vivo non-small cell lung cancer (NSCLC) models.MethodsThe whole-cell binding assay was performed by incubating NSCLC cells, extracellular vesicles (EVs), and peripheral blood mononuclear cells (PBMCs) with TentaGel resin beads coated with LXY30. In this study, we defined the nanosize EVs as exosomes, which were characterized by flow cytometry, transmission electron microscopy, dynamic light scattering, and Western blots. The function of LXY30 was determined by modulating the epidermal growth factor receptor (EGFR) signaling pathway by growth inhibition and Western blots. For in vivo biodistribution, mice bearing subcutaneous and intracranial NSCLC xenograft tumors were administrated intraveneously with LXY30-biotin/streptavidin-Cy5.5 complex and then analyzed for in vivo and ex vivo optical imaging and histopathology.ResultsWe showed that LXY30 specifically and sensitively detected 31 integrin-expressing NSCLC cells and tumor-derived exosomes. Tumor DNA isolated from LXY30-enriched plasma exosomes might be used to detect driver oncogenic mutations in patients with metastatic NSCLC. LXY30 only enriches tumor cells but not neutrophils, macrophages, or monocytes in the malignant pleural effusion of NSCLC patients for detecting genomic alterations by next-generation sequencing. LXY30 detected increased 31 integrin expression on the EGFR-mutant NSCLC cells with acquired resistance to erlotinib compared to parental erlotinib-sensitive EGFR-mutant NSCLC cells. We further showed that LXY30 modulated the EGFR signaling pathway independently from another peptide ligand LXW64 targeting v3 integrin in erlotinib-resistant, EGFR-mutant H1975 cells. Analysis of The Cancer Genome Atlas (TCGA) revealed high 3 integrin expression was associated with poor prognosis in lung squamous cell carcinoma. LXY30-biotin/streptavidin-Cy5.5 complex had higher uptakes in the subcutaneous and intracranial xenografts of various 31 integrin-expressing lung adenocarcinoma and patient-derived lung squamous cell carcinoma xenografts while sparing the surrounding normal tissues.ConclusionLXY30 is a promising peptide for the cancer diagnosis and in vivo targeted delivery of imaging agents and cancer drugs in NSCLC, independent of histology and tumor genotype.</t>
  </si>
  <si>
    <t>[Xiao, Wenwu; Liu, Ruiwu; Nyugen, Alan; Lam, Kit S.] Univ Calif Davis, Dept Biochem &amp; Mol Med, Sacramento, CA 95817 USA; [Ma, Weijie; Wei, Sixi; Li, Qianping; Yang, Kevin; Lam, Kit S.; Li, Tianhong] Univ Calif Davis, Sch Med, Comprehens Canc Ctr, Div Hematol Oncol,Dept Internal Med, 4501 X St,Suite 3016, Sacramento, CA 95817 USA; [Wei, Sixi] Guizhou Med Univ, Dept Biochem, Guiyang, Guizhou, Peoples R China; [Li, Qianping] Shanghai Jiao Tong Univ, Affiliated Peoples Hosp 6, Dept Cardiothorac Surg, 600 Yi Shan Rd, Shanghai 200233, Peoples R China; [Carney, Randy P.] Univ Calif Davis, Dept Biomed Engn, Davis, CA USA; [Yang, Kevin] Univ Penn, Perelman Sch Med, Philadelphia, PA 19104 USA; [Lee, Joyce] Univ Calif Davis Hlth Syst, Dept Pharm, Sacramento, CA 95817 USA; [Yoneda, Ken Y.] Univ Calif Davis, Sch Med, Div Pulm Crit Care &amp; Sleep Med, Sacramento, CA 95817 USA; [Yoneda, Ken Y.; Li, Tianhong] Vet Affairs Northern Calif Hlth Care Syst, Dept Internal Med, Mather, CA USA</t>
  </si>
  <si>
    <t>University of California System; University of California Davis; University of California System; University of California Davis; Guizhou Medical University; Shanghai Jiao Tong University; University of California System; University of California Davis; University of Pennsylvania; University of California System; University of California Davis; University of California System; University of California Davis</t>
  </si>
  <si>
    <t>Lam, KS (corresponding author), Univ Calif Davis, Dept Biochem &amp; Mol Med, Sacramento, CA 95817 USA.;Lam, KS; Li, TH (corresponding author), Univ Calif Davis, Sch Med, Comprehens Canc Ctr, Div Hematol Oncol,Dept Internal Med, 4501 X St,Suite 3016, Sacramento, CA 95817 USA.</t>
  </si>
  <si>
    <t>kslam@ucdavis.edu; thli@ucdavis.edu</t>
  </si>
  <si>
    <t>Carney, Randy/ABB-8530-2020; Ma, Weijie/AAF-1959-2021</t>
  </si>
  <si>
    <t>Carney, Randy/0000-0001-8193-1664; Ma, Weijie/0000-0002-4434-1371</t>
  </si>
  <si>
    <t>1756-8722</t>
  </si>
  <si>
    <t>10.1186/s13045-019-0740-7</t>
  </si>
  <si>
    <t>WOS:000471276700003</t>
  </si>
  <si>
    <t>Ramayanti, O; Verkuijlen, SAWM; Novianti, P; Scheepbouwer, C; Misovic, B; Koppers-Lalic, D; van Weering, J; Beckers, L; Adham, M; Martorelli, D; Middeldorp, JM; Pegtel, DM</t>
  </si>
  <si>
    <t>Ramayanti, Octavia; Verkuijlen, Sandra A. W. M.; Novianti, Putri; Scheepbouwer, Chantal; Misovic, Branislav; Koppers-Lalic, Danijela; van Weering, Jan; Beckers, Lisa; Adham, Marlinda; Martorelli, Debora; Middeldorp, Jaap M.; Pegtel, Dirk Michiel</t>
  </si>
  <si>
    <t>Vesicle-bound EBV-BART13-3p miRNA in circulation distinguishes nasopharyngeal from other head and neck cancer and asymptomatic EBV-infections</t>
  </si>
  <si>
    <t>nasopharyngeal carcinoma; Epstein-Barr virus; noninvasive diagnosis; tumor markers; BART-microRNAs</t>
  </si>
  <si>
    <t>EPSTEIN-BARR-VIRUS; DNA LOAD; CARCINOMA; PLASMA; MICRORNAS; BIOMARKERS; BRUSHINGS; GENES</t>
  </si>
  <si>
    <t>Cell-free microRNA (miRNA) in biofluids released by tumors in either protein or vesicle-bound form, represent promising minimally-invasive cancer biomarkers. However, a highly abundant non-tumor background in human plasma and serum complicates the discovery and detection of tumor-selective circulating miRNAs. We performed small RNA sequencing on serum and plasma RNA from Nasopharyngeal Carcinoma (NPC) patients. Collectively, Epstein Barr virus-encoded miRNAs, more so than endogenous miRNAs, signify presence of NPC. However, RNAseq-based EBV miRNA profiles differ between NPC patients, suggesting inter-tumor heterogeneity or divergent secretory characteristics. We determined with sensitive qRT-PCR assays that EBV miRNAs BART7-3p, BART9-3p and BART13-3p are actively secreted by C666.1 NPC cells bound to extracellular vesicles (EVs) and soluble ribonucleoprotein complexes. Importantly, these miRNAs are expressed in all primary NPC tumor biopsies and readily detected in nasopharyngeal brushings from both early and late-stage NPC patients. Increased levels of BART7-3p, BART9-3p and particularly BART13-3p, distinguish NPC patient sera from healthy controls. Receiver operating characteristic curve analysis using sera from endemic NPC patients, other head and neck cancers and individuals with asymptomatic EBV-infections reveals a superior diagnostic performance of EBV miRNAs over anti-EBNA1 IgA serology and EBV-DNA load (AUC 0.87-0.96 vs 0.86 and 0.66 respectively). The high specificity of circulating EBV-BART13-3p (97%) for NPC detection is in agreement with active secretion from NPC tumor cells. We conclude EV-bound BART13-3p in circulation is a promising, NPC-selective, biomarker that should be considered as part of a screening strategy to identify NPC in endemic regions.</t>
  </si>
  <si>
    <t>[Ramayanti, Octavia; Verkuijlen, Sandra A. W. M.; Novianti, Putri; Beckers, Lisa; Middeldorp, Jaap M.; Pegtel, Dirk Michiel] Vrije Univ Amsterdam, Amsterdam UMC, Canc Ctr Amsterdam, Dept Pathol, De Boelelaan 1117, NL-1081 HV Amsterdam, Netherlands; [Novianti, Putri] Vrije Univ Amsterdam, Amsterdam UMC, Dept Epidemiol &amp; Biostat, Amsterdam, Netherlands; [Scheepbouwer, Chantal; Misovic, Branislav; Koppers-Lalic, Danijela] Vrije Univ Amsterdam, Amsterdam UMC, Dept Neurosurg, Amsterdam, Netherlands; [van Weering, Jan] Vrije Univ Amsterdam, Amsterdam UMC, Ctr Neurogen &amp; Cognit Res, Clin Genet,Neurosci Campus Amsterdam, Amsterdam, Netherlands; [Adham, Marlinda] Univ Indonesia, Dr Cipto Mangunkusumo Hosp, Dept Ear Nose &amp; Throat Surg, Jakarta, Indonesia; [Martorelli, Debora] NCI, Ctr Riferimento Oncol, Aviano, Italy</t>
  </si>
  <si>
    <t>Vrije Universiteit Amsterdam; University of Amsterdam; Vrije Universiteit Amsterdam; University of Amsterdam; Vrije Universiteit Amsterdam; University of Amsterdam; Vrije Universiteit Amsterdam; University of Indonesia; IRCCS Aviano (CRO)</t>
  </si>
  <si>
    <t>Pegtel, DM (corresponding author), Vrije Univ Amsterdam, Amsterdam UMC, Canc Ctr Amsterdam, Dept Pathol, De Boelelaan 1117, NL-1081 HV Amsterdam, Netherlands.</t>
  </si>
  <si>
    <t>Pegtel, Dirk Michiel/ABD-5481-2021</t>
  </si>
  <si>
    <t>Pegtel, Dirk Michiel/0000-0002-7357-4406; Koppers-Lalic, Danijela/0000-0002-1050-7521; Scheepbouwer, Chantal/0000-0003-4243-0095; van Weering, Jan/0000-0001-5259-4945; Adham, Marlinda/0000-0003-2461-9628; Middeldorp, Jaap Michiel/0000-0002-0765-4125</t>
  </si>
  <si>
    <t>10.1002/ijc.31967</t>
  </si>
  <si>
    <t>WOS:000462131100020</t>
  </si>
  <si>
    <t>Krug, AK; Enderle, D; Karlovich, C; Priewasser, T; Bentink, S; Spiel, A; Brinkmann, K; Emenegger, J; Grimm, DG; Castellanos-Rizaldos, E; Goldman, JW; Sequist, LV; Soria, JC; Camidge, DR; Gadgeel, SM; Wakelee, HA; Raponi, M; Noerholm, M; Skog, J</t>
  </si>
  <si>
    <t>Krug, A. K.; Enderle, D.; Karlovich, C.; Priewasser, T.; Bentink, S.; Spiel, A.; Brinkmann, K.; Emenegger, J.; Grimm, D. G.; Castellanos-Rizaldos, E.; Goldman, J. W.; Sequist, L. V.; Soria, J-C; Camidge, D. R.; Gadgeel, S. M.; Wakelee, H. A.; Raponi, M.; Noerholm, M.; Skog, J.</t>
  </si>
  <si>
    <t>Improved EGFR mutation detection using combined exosomal RNA and circulating tumor DNA in NSCLC patient plasma</t>
  </si>
  <si>
    <t>liquid biopsy; exosomes; ctDNA; exoRNA; NSCLC; EGFR</t>
  </si>
  <si>
    <t>LUNG-CANCER PATIENTS; MICROVESICLES; GEFITINIB; BIOPSIES; GROWTH</t>
  </si>
  <si>
    <t>A major limitation of circulating tumor DNA (ctDNA) for somatic mutation detection has been the low level of ctDNA found in a subset of cancer patients. We investigated whether using a combined isolation of exosomal RNA (exoRNA) and cell-free DNA (cfDNA) could improve blood-based liquid biopsy for EGFR mutation detection in non-small-cell lung cancer (NSCLC) patients. Matched pretreatment tumor and plasma were collected from 84 patients enrolled in TIGER-X (NCT01526928), a phase 1/2 study of rociletinib in mutant EGFR NSCLC patients. The combined isolated exoRNA and cfDNA (exoNA) was analyzed blinded for mutations using a targeted next-generation sequencing panel (EXO1000) and compared with existing data from the same samples using analysis of ctDNA by BEAMing. For exoNA, the sensitivity was 98% for detection of activating EGFR mutations and 90% for EGFR T790M. The corresponding sensitivities for ctDNA by BEAMing were 82% for activating mutations and 84% for T790M. In a subgroup of patients with intrathoracic metastatic disease (M0/M1a; n = 21), the sensitivity increased from 26% to 74% for activating mutations (P = 0.003) and from 19% to 31% for T790M (P = 0.5) when using exoNA for detection. Combining exoRNA and ctDNA increased the sensitivity for EGFR mutation detection in plasma, with the largest improvement seen in the subgroup of M0/M1a disease patients known to have low levels of ctDNA and poses challenges for mutation detection on ctDNA alone. NCT01526928.</t>
  </si>
  <si>
    <t>[Krug, A. K.; Enderle, D.; Priewasser, T.; Bentink, S.; Spiel, A.; Brinkmann, K.; Emenegger, J.; Grimm, D. G.; Noerholm, M.] Exosome Diagnost GmbH, Martinsried, Germany; [Karlovich, C.; Raponi, M.] Clovis Oncol Inc, San Francisco, CA USA; [Castellanos-Rizaldos, E.; Skog, J.] Exosome Diagnost Inc, Waltham, MA USA; [Goldman, J. W.] Univ Calif Los Angeles, Los Angeles, CA USA; [Sequist, L. V.] Massachusetts Gen Hosp, Boston, MA 02114 USA; [Soria, J-C] Inst Gustave Roussy, Villejuif, France; [Soria, J-C] Univ Paris Sud, Paris, France; [Camidge, D. R.] Univ Colorado, Denver, CO 80202 USA; [Gadgeel, S. M.] Karmanos Canc Inst, Detroit, MI USA; [Gadgeel, S. M.] Wayne State Univ, Detroit, MI USA; [Wakelee, H. A.] Stanford Univ, Stanford, CA 94305 USA</t>
  </si>
  <si>
    <t>University of California System; University of California Los Angeles; Harvard University; Massachusetts General Hospital; UNICANCER; Gustave Roussy; UDICE-French Research Universities; Universite Paris Saclay; University of Colorado System; University of Colorado Denver; Barbara Ann Karmanos Cancer Institute; Wayne State University; Stanford University</t>
  </si>
  <si>
    <t>johan@exosomedx.com</t>
  </si>
  <si>
    <t>Camidge, David Ross/AAG-9144-2019; Wakelee, Heather/P-2623-2019; Soria, Jean-Charles/F-3619-2014; Grimm, Dominik/L-9088-2019</t>
  </si>
  <si>
    <t>Grimm, Dominik/0000-0003-2085-4591; Skog, Johan/0000-0002-0926-1691</t>
  </si>
  <si>
    <t>10.1093/annonc/mdx765</t>
  </si>
  <si>
    <t>WOS:000429455000027</t>
  </si>
  <si>
    <t>Kim, Y; Shin, S; Lee, KA</t>
  </si>
  <si>
    <t>Kim, Yoonjung; Shin, Saeam; Lee, Kyung-A</t>
  </si>
  <si>
    <t>Exosome-based detection of EGFR T790M in plasma and pleural fluid of prospectively enrolled non-small cell lung cancer patients after first-line tyrosine kinase inhibitor therapy</t>
  </si>
  <si>
    <t>Liquid biopsy; Extracellular vesicles; Circulating tumor DNA; Non-small cell lung cancer; Epidermal growth factor receptor; Tyrosine kinase inhibitors</t>
  </si>
  <si>
    <t>Background: The exosomal nucleic acid (exoNA) from the plasma and pleural fluid can potentially provide means to identify genomic changes in non-small cell lung cancer (NSCLC) patients who develop resistance to targeted epidermal growth factor receptor (EGFR) inhibitor therapy. Methods: We compared the performance of the following tools to detect EGFR mutations in 54 plasma samples and 13 pleural fluid using cfDNA, combined TNA (exoTNA + cfTNA), or total cellular DNA: droplet digital PCR (ddPCR), the Cobas (R) EGFR Mutation Test v2 (Cobas) and NGS with Oncomine Pan-Cancer Cell-Free Assay. Results: All three of these platforms demonstrated 100% specificity in the detection of EGFR mutations in the plasma. In the detection of an activating mutation (exon 19 deletion and L858R), Cobas using cfDNA, ddPCR using combined TNA, and NGS using combined TNA showed a sensitivity of 93, 95.3, and 93.8%, respectively. For T790M mutation detection, the Cobas, ddPCR, and NGS showed a sensitivity of 64.7, 88.2, and 93.3%, respectively. Pleural fluid analysis revealed enrichment of the T790M mutant copies in the exosomes. ddPCR using exoTNA showed higher sensitivity than did total cellular DNA from the pleural fluid. Conclusion: These results demonstrated that combined TNA in the plasma and exoTNA in the pleural fluid can be used to evaluate low-abundant EGFR mutant copies in NSCLC.</t>
  </si>
  <si>
    <t>[Kim, Yoonjung; Shin, Saeam; Lee, Kyung-A] Yonsei Univ, Dept Lab Med, Coll Med, Seoul, South Korea</t>
  </si>
  <si>
    <t>Lee, KA (corresponding author), Yonsei Univ, Dept Lab Med, Coll Med, Seoul, South Korea.</t>
  </si>
  <si>
    <t>Lee, Kyung-A/0000-0001-5320-6705; Kim, Yoonjung/0000-0002-4370-4265; Shin, Saeam/0000-0003-1501-3923</t>
  </si>
  <si>
    <t>10.1186/s12935-021-01761-x</t>
  </si>
  <si>
    <t>WOS:000609505200003</t>
  </si>
  <si>
    <t>Cheng, N; Song, Y; Shi, QR; Du, D; Liu, D; Lu, YB; Xu, WT; Lin, YH</t>
  </si>
  <si>
    <t>Cheng, Nan; Song, Yang; Shi, Qiurong; Du, Dan; Liu, Dong; Lu, Yunbo; Xu, Wentao; Lin, Yuehe</t>
  </si>
  <si>
    <t>Au@Pd Nanopopcorn and Aptamer Nanoflower Assisted Lateral Flow Strip for Thermal Detection of Exosomes</t>
  </si>
  <si>
    <t>DNA NANOFLOWERS; BIOSENSOR; AMPLIFICATION; IMMUNOASSAYS; SMARTPHONE; MICRORNA; DEVICE; ASSAY</t>
  </si>
  <si>
    <t>Conventional lateral flow biosensing technologies face the dual formidable challenges of poor sensitivity and cumbersome quantitative devices. Here, we developed a Au@Pd nanopopcorn and aptamer nanoflower assisted lateral flow strip (ANAN-LFS) with a thermal signal output to improve detection sensitivity. Moreover, a smartphone-based thermal reader was designed and meticulously optimized to hand-held style, realizing the essential portability of this quantitative device. Experimental studies revealed that the synthesized Au@Pd nanopopcorns clearly red-shifted into the near-infrared region, thus resulting in a higher photothermal response than the standard gold nanoparticles. Aptamer nanoflowers enhanced the system's biorecognition ability significantly compared with single-stranded aptamers due to their functional spatial structure, thus resulting in an even greater improvement in the sensitivity of the ANAN-LFS. With exosomes as model targets, the limit of detection (LOD) was calculated to be 1.4 x 10(4) exosomes/mu L, which exhibited a 71-fold improved analytical performance. The feasibility of this system for detecting spiked biological samples at clinical concentrations was also confirmed. These results suggest that the proposed strategy of integrating a ANAN-LFS with a smartphone-based thermal reader has great potential as a powerful tool for bioanalytical applications, offering the combined unique advantages of high sensitivity and expedient portability.</t>
  </si>
  <si>
    <t>[Cheng, Nan; Lu, Yunbo; Xu, Wentao] China Agr Univ, Beijing Adv Innovat Ctr Food Nutr &amp; Human Hlth, Coll Food Sci &amp; Nutr Engn, Beijing 100083, Peoples R China; [Cheng, Nan; Song, Yang; Shi, Qiurong; Du, Dan; Liu, Dong; Lin, Yuehe] Washington State Univ, Sch Mech &amp; Mat Engn, Pullman, WA 99164 USA</t>
  </si>
  <si>
    <t>China Agricultural University; Washington State University</t>
  </si>
  <si>
    <t>Xu, WT (corresponding author), China Agr Univ, Beijing Adv Innovat Ctr Food Nutr &amp; Human Hlth, Coll Food Sci &amp; Nutr Engn, Beijing 100083, Peoples R China.;Lin, YH (corresponding author), Washington State Univ, Sch Mech &amp; Mat Engn, Pullman, WA 99164 USA.</t>
  </si>
  <si>
    <t>xuwentao@cau.edu.cn; yuehe.lin@wsu.edu</t>
  </si>
  <si>
    <t>Lin, Yuehe/D-9762-2011; Xu, Wentao/AAF-3955-2020; song, yang/AAQ-9329-2020; Du, Dan/G-3821-2012</t>
  </si>
  <si>
    <t>Lin, Yuehe/0000-0003-3791-7587; Du, Dan/0000-0003-1952-4042</t>
  </si>
  <si>
    <t>10.1021/acs.analchem.9b03562</t>
  </si>
  <si>
    <t>WOS:000495469100087</t>
  </si>
  <si>
    <t>Chatzidoukaki, O; Stratigi, K; Goulielmaki, E; Niotis, G; Akalestou-Clocher, A; Gkirtzimanaki, K; Zafeiropoulos, A; Altmuller, J; Topalis, P; Garinis, GA</t>
  </si>
  <si>
    <t>Chatzidoukaki, Ourania; Stratigi, Kalliopi; Goulielmaki, Evi; Niotis, George; Akalestou-Clocher, Alexia; Gkirtzimanaki, Katerina; Zafeiropoulos, Alexandros; Altmueller, Janine; Topalis, Pantelis; Garinis, George A.</t>
  </si>
  <si>
    <t>R-loops trigger the release of cytoplasmic ssDNAs leading to chronic inflammation upon DNA damage</t>
  </si>
  <si>
    <t>NUCLEOTIDE EXCISION-REPAIR; REPLICATION; SENESCENCE; HYBRIDS; SUPPRESSES; ERCC1-XPF; MEDIATOR; REVEALS; INDUCE; ERCC4</t>
  </si>
  <si>
    <t>How DNA damage leads to chronic inflammation and tissue degeneration with aging remains to be fully resolved. Here, we show that DNA damage leads to cellular senescence, fibrosis, loss-of-tissue architecture, and chronic pancreatitis in mice with an inborn defect in the excision repair cross complementation group 1 (Ercc1) gene. We find that DNA damage-driven R-loops causally contribute to the active release and buildup of single-stranded DNAs (ssDNAs) in the cytoplasm of cells triggering a viral-like immune response in progeroid and naturally aged pancreata. To reduce the proinflammatory load, we developed an extracellular vesicle (EV)-based strategy to deliver recombinant S1 or ribonuclease H nucleases in inflamed Ercc1(-/-) pancreatic cells. Treatment of Ercc1(-/-) animals with the EV-delivered nuclease cargo eliminates DNA damage-induced R-loops and cytoplasmic ssDNAs alleviating chronic inflammation. Thus, DNA damage-driven ssDNAs causally contribute to tissue degeneration, Ercc1(-/-) paving the way for novel rationalized intervention strategies against age-related chronic inflammation.</t>
  </si>
  <si>
    <t>[Chatzidoukaki, Ourania; Stratigi, Kalliopi; Goulielmaki, Evi; Niotis, George; Akalestou-Clocher, Alexia; Gkirtzimanaki, Katerina; Topalis, Pantelis; Garinis, George A.] Fdn Res &amp; Technol Hellas, Inst Mol Biol &amp; Biotechnol, GR-70013 Iraklion, Greece; [Chatzidoukaki, Ourania; Zafeiropoulos, Alexandros] Univ Crete, Med Sch, Iraklion, Greece; [Niotis, George; Akalestou-Clocher, Alexia; Garinis, George A.] Univ Crete, Dept Biol, Iraklion, Greece; [Altmueller, Janine] Univ Cologne, Cologne Ctr Genom CCG, Inst Genet, D-50931 Cologne, Germany</t>
  </si>
  <si>
    <t>Foundation for Research &amp; Technology - Hellas (FORTH); University of Crete; University of Crete; German Sport University Cologne; University of Cologne</t>
  </si>
  <si>
    <t>Garinis, GA (corresponding author), Fdn Res &amp; Technol Hellas, Inst Mol Biol &amp; Biotechnol, GR-70013 Iraklion, Greece.;Garinis, GA (corresponding author), Univ Crete, Dept Biol, Iraklion, Greece.</t>
  </si>
  <si>
    <t>Garinis, George/B-2943-2012</t>
  </si>
  <si>
    <t>Garinis, George/0000-0002-3200-5004; Gkirtzimanaki, Katerina/0000-0002-6489-0351; Niotis, George/0000-0002-4874-7336; Chatzidoukaki, Ourania/0000-0002-8746-2405; Altmuller, Janine/0000-0003-4372-1521; Topalis, Pantelis/0000-0002-1635-4810</t>
  </si>
  <si>
    <t>eabj5769</t>
  </si>
  <si>
    <t>10.1126/sciadv.abj5769</t>
  </si>
  <si>
    <t>WOS:000722925000013</t>
  </si>
  <si>
    <t>Stickeler, E</t>
  </si>
  <si>
    <t>Stickeler, Elmar</t>
  </si>
  <si>
    <t>Urinalysis: the new liquid biopsy</t>
  </si>
  <si>
    <t>GYNAKOLOGE</t>
  </si>
  <si>
    <t>Exosomes; Nucleic acids; Cholestasis; intrahepatic; Diabetes; gestational; Circulating tumor DNA</t>
  </si>
  <si>
    <t>Background In oncology, liquid biopsy focusses, in addition to the detection of tumour cells, mainly on the blood-based analysis of nucleic acids to identify tumour cells as well as tumour DNA. Potential indications include screening for cancer, monitoring of treatment, use as a prognostic biomarker and detection of newly acquired mutations for targeted treatment. Objectives Urine-based liquid biopsy offers potential advantages over blood-based analyses. Urine is available in large quantities and can be collected by non-invasive methods. Is urinary liquid biopsy able to measure miRNA, exosomes, ctDNA and the proteomic pattern of tumors with a sensitivity and specificity comparable to blood-based analyses, thereby providing clinical utility? Methods A systematic review of the literature in Pubmed was performed using the search term urinary liquid biopsy and taking into account single studies, reviews and meta-analyses. Results The small, and mostly retrospective, studies showed that urinary liquid biopsy is technically feasible and that specific patterns (miRNA, exosomes, proteom, ctDNA) as diagnostic biomarkers identify patients with precancerous lesions of the cervix, as well as with invasive breast, ovarian and endometrial cancer. Monitoring of oncological treatments, as well as detection of specific mutations as potential therapeutic targets, is possible. In addition, promising indications for the technology were identified in obstetrics, such as the verification of gestational diabetes or intrahepatic cholestasis of pregnancy. Conclusions With further indications, the increasing standardization of sample processing and growing numbers of prospective studies, urinary liquid biopsy offers great potential for its clinically useful deployment in practice.</t>
  </si>
  <si>
    <t>[Stickeler, Elmar] Univ Klinikum Aachen, Klin Gynakol &amp; Geburtsmed, Pauwelsstr 30, D-52074 Aachen, Germany</t>
  </si>
  <si>
    <t>RWTH Aachen University; RWTH Aachen University Hospital</t>
  </si>
  <si>
    <t>Stickeler, E (corresponding author), Univ Klinikum Aachen, Klin Gynakol &amp; Geburtsmed, Pauwelsstr 30, D-52074 Aachen, Germany.</t>
  </si>
  <si>
    <t>estickeler@ukaachen.de</t>
  </si>
  <si>
    <t>Stickeler, Elmar/AHE-9022-2022</t>
  </si>
  <si>
    <t>0017-5994</t>
  </si>
  <si>
    <t>1433-0393</t>
  </si>
  <si>
    <t>10.1007/s00129-021-04749-w</t>
  </si>
  <si>
    <t>WOS:000614684800001</t>
  </si>
  <si>
    <t>Zhong, FD; Zhou, N; Wu, K; Guo, YB; Tan, WP; Zhang, H; Zhang, X; Geng, GN; Pan, T; Luo, HH; Zhang, YJ; Xu, ZB; Liu, J; Liu, BF; Gao, WC; Liu, C; Ren, LL; Li, J; Zhou, J; Zhang, H</t>
  </si>
  <si>
    <t>Zhong, Fudi; Zhou, Nan; Wu, Kang; Guo, Yubiao; Tan, Weiping; Zhang, Hong; Zhang, Xue; Geng, Guannan; Pan, Ting; Luo, Haihua; Zhang, Yijun; Xu, Zhibin; Liu, Jun; Liu, Bingfeng; Gao, Wenchao; Liu, Chao; Ren, Liangliang; Li, Jun; Zhou, Jie; Zhang, Hui</t>
  </si>
  <si>
    <t>A SnoRNA-derived piRNA interacts with human interleukin-4 pre-mRNA and induces its decay in nuclear exosomes</t>
  </si>
  <si>
    <t>NOVO DNA METHYLATION; PIWI PROTEINS; DROSOPHILA-MELANOGASTER; CHROMATIN STATE; GENE-EXPRESSION; MOUSE GERMLINE; NONCODING RNA; CANCER-CELLS; 3' TERMINI; IDENTIFICATION</t>
  </si>
  <si>
    <t>PIWI interacting RNAs (piRNAs) are highly expressed in germline cells and are involved in maintaining genome integrity by silencing transposons. These are also involved in DNA/histone methylation and gene expression regulation in somatic cells of invertebrates. The functions of piRNAs in somatic cells of vertebrates, however, remain elusive. We found that snoRNA-derived and C (C')/D' (D)-box conserved piRNAs are abundant in human CD4 primary T-lymphocytes. piRNA (piR30840) significantly downregulated interleukin-4 (IL-4) via sequence complementarity binding to pre-mRNA intron, which subsequently inhibited the development of Th2 T-lymphocytes. Piwil4 and Ago4 are associated with this piRNA, and this complex further interacts with Trf4-Air2-Mtr4 Polyadenylation (TRAMP) complex, which leads to the decay of targeted pre-mRNA through nuclear exosomes. Taken together, we demonstrate a novel piRNA mechanism in regulating gene expression in highly differentiated somatic cells and a possible novel target for allergy therapeutics.</t>
  </si>
  <si>
    <t>[Zhong, Fudi; Zhou, Nan; Wu, Kang; Zhang, Hong; Zhang, Xue; Geng, Guannan; Pan, Ting; Luo, Haihua; Zhang, Yijun; Xu, Zhibin; Liu, Jun; Liu, Bingfeng; Gao, Wenchao; Liu, Chao; Ren, Liangliang; Li, Jun; Zhou, Jie; Zhang, Hui] Sun Yat Sen Univ, Zhongshan Sch Med, Inst Human Virol, Guangzhou 510080, Guangdong, Peoples R China; [Zhong, Fudi; Zhou, Nan; Wu, Kang; Zhang, Hong; Zhang, Xue; Geng, Guannan; Pan, Ting; Luo, Haihua; Zhang, Yijun; Xu, Zhibin; Liu, Jun; Liu, Bingfeng; Gao, Wenchao; Liu, Chao; Ren, Liangliang; Li, Jun; Zhou, Jie; Zhang, Hui] Sun Yat Sen Univ, Zhongshan Sch Med, Key Lab Trop Dis Control, Minist Educ China, Guangzhou 510080, Guangdong, Peoples R China; [Zhong, Fudi; Zhou, Nan; Wu, Kang; Zhang, Hong; Zhang, Xue; Geng, Guannan; Pan, Ting; Luo, Haihua; Zhang, Yijun; Xu, Zhibin; Liu, Jun; Liu, Bingfeng; Gao, Wenchao; Liu, Chao; Ren, Liangliang; Li, Jun; Zhou, Jie; Zhang, Hui] Sun Yat Sen Univ, Zhongshan Sch Med, Guangdong Engn Res Ctr Antimicrobial Agent &amp; Immu, Guangzhou 510080, Guangdong, Peoples R China; [Guo, Yubiao] Sun Yat Sen Univ, Affiliated Hosp 1, Div Resp, Guangzhou 510080, Guangdong, Peoples R China; [Guo, Yubiao] Sun Yat Sen Univ, Affiliated Hosp 1, Med Intens Care Unit, Guangzhou 510080, Guangdong, Peoples R China; [Tan, Weiping] Sun Yat Sen Univ, Sun Yat Sen Mem Hosp, Dept Pediat, Guangzhou 510080, Guangdong, Peoples R China</t>
  </si>
  <si>
    <t>Sun Yat Sen University; Ministry of Education, China; Sun Yat Sen University; Sun Yat Sen University; Sun Yat Sen University; Sun Yat Sen University; Sun Yat Sen University</t>
  </si>
  <si>
    <t>Zhang, H (corresponding author), Sun Yat Sen Univ, Zhongshan Sch Med, Inst Human Virol, Guangzhou 510080, Guangdong, Peoples R China.</t>
  </si>
  <si>
    <t>zhangh92@mail.sysu.edu.cn; zhangh92@mail.sysu.edu.cn</t>
  </si>
  <si>
    <t>Zhang, Yijun/J-5485-2017; Ren, Liangliang/AAR-6436-2020; Pan, Ting/AAX-1933-2021</t>
  </si>
  <si>
    <t>Zhang, Yijun/0000-0001-7971-2200; Li, Jun/0000-0002-2611-8918; Ren, Liangliang/0000-0001-6219-4304</t>
  </si>
  <si>
    <t>DEC 2</t>
  </si>
  <si>
    <t>10.1093/nar/gkv954</t>
  </si>
  <si>
    <t>WOS:000366410900042</t>
  </si>
  <si>
    <t>Zhang, ZR; Yin, JX; Lu, CF; Wei, YT; Zeng, AL; You, YP</t>
  </si>
  <si>
    <t>Zhang, Zhuoran; Yin, Jianxing; Lu, Chenfei; Wei, Yutian; Zeng, Ailiang; You, Yongping</t>
  </si>
  <si>
    <t>Exosomal transfer of long non-coding RNA SBF2-AS1 enhances chemoresistance to temozolomide in glioblastoma</t>
  </si>
  <si>
    <t>Exosomes; LncRNA-SBF2-AS1; Temozolomide-resistance; Glioblastoma</t>
  </si>
  <si>
    <t>STRAND BREAK REPAIR; PROMOTES PROLIFERATION; SIGNALING PATHWAY; CANCER EXOSOMES; SERUM EXOSOMES; EXPRESSION; ANGIOGENESIS; IDENTIFICATION; RESISTANCE; SURVIVAL</t>
  </si>
  <si>
    <t>BackgroundAcquired drug resistance is a constraining factor in clinical treatment of glioblastoma (GBM). However, the mechanisms of chemoresponsive tumors acquire therapeutic resistance remain poorly understood. Here, we aim to investigate whether temozolomide (TMZ) resistance of chemoresponsive GBM was enhanced by long non-coding RNA SBF2 antisense RNA 1 (lncRNA SBF2-AS1) enriched exosomes.MethodLncSBF2-AS1 level in TMZ-resistance or TMZ-sensitive GBM tissues and cells were analyzed by qRT-PCR and FISH assays. A series of in vitro assay and xenograft tumor models were performed to observe the effect of lncSBF2-AS1 on TMZ-resistance in GBM. CHIP assay were used to investigate the correlation of SBF2-AS1 and transcription factor zinc finger E-box binding homeobox1 (ZEB1). Dual-luciferase reporter, RNA immunoprecipitation (RIP), immunofluorescence and western blotting were performed to verify the relation between lncSBF2-AS1, miR-151a-3p and XRCC4. Comet assay and immunoblotting were performed to expound the effect of lncSBF2-AS1 on DNA double-stand break (DSB) repair. A series of in vitro assay and intracranial xenografts tumor model were used to determined the function of exosomal lncSBF2-AS1.ResultIt was found that SBF2-AS1 was upregulated in TMZ-resistant GBM cells and tissues, and overexpression of SBF2-AS1 led to the promotion of TMZ resistance, whereas its inhibition sensitized resistant GBM cells to TMZ. Transcription factor ZEB1 was found to directly bind to the SBF2-AS1 promoter region to regulate SBF2-AS1 level and affected TMZ resistance in GBM cells. SBF2-AS1 functions as a ceRNA for miR-151a-3p, leading to the disinhibition of its endogenous target, X-ray repair cross complementing 4 (XRCC4), which enhances DSB repair in GBM cells. Exosomes selected from temozolomide-resistant GBM cells had high levels of SBF2-AS1 and spread TMZ resistance to chemoresponsive GBM cells. Clinically, high levels of lncSBF2-AS1 in serum exosomes were associated with poor response to TMZ treatment in GBM patients.ConclusionWe can conclude that GBM cells remodel the tumor microenvironment to promote tumor chemotherapy-resistance by secreting the oncogenic lncSBF2-AS1-enriched exosomes. Thus, exosomal lncSBF2-AS1 in human serum may serve as a possible diagnostic marker for therapy-refractory GBM.</t>
  </si>
  <si>
    <t>[Zhang, Zhuoran; Yin, Jianxing; Lu, Chenfei; Wei, Yutian; Zeng, Ailiang; You, Yongping] Nanjing Med Univ, Affiliated Hosp 1, Dept Neurosurg, Nanjing 210029, Jiangsu, Peoples R China; [You, Yongping] Nanjing Med Univ, Jiangsu Key Lab Canc Biomarkers Prevent &amp; Treatme, Jiangsu Collaborat Innovat Ctr Canc Personalized, Nanjing 211166, Jiangsu, Peoples R China</t>
  </si>
  <si>
    <t>Nanjing Medical University; Nanjing Medical University</t>
  </si>
  <si>
    <t>You, YP (corresponding author), Nanjing Med Univ, Affiliated Hosp 1, Dept Neurosurg, Nanjing 210029, Jiangsu, Peoples R China.;You, YP (corresponding author), Nanjing Med Univ, Jiangsu Key Lab Canc Biomarkers Prevent &amp; Treatme, Jiangsu Collaborat Innovat Ctr Canc Personalized, Nanjing 211166, Jiangsu, Peoples R China.</t>
  </si>
  <si>
    <t>yypl9@njmu.edu.cn</t>
  </si>
  <si>
    <t>zeng, ailiang/AAF-4498-2020</t>
  </si>
  <si>
    <t>Zeng, Ailiang/0000-0003-2869-9899</t>
  </si>
  <si>
    <t>APR 16</t>
  </si>
  <si>
    <t>10.1186/s13046-019-1139-6</t>
  </si>
  <si>
    <t>WOS:000464893900001</t>
  </si>
  <si>
    <t>Cai, F; Fang, NY</t>
  </si>
  <si>
    <t>Cai, Fan; Fang, Ningyuan</t>
  </si>
  <si>
    <t>Rolling circle amplification assisted commercial personal glucose meter based exosome detection for potentially more accurate atherosclerosis report</t>
  </si>
  <si>
    <t>Exosomes; Personal glucose meter; Rolling circle amplification; POCT</t>
  </si>
  <si>
    <t>Exosomes, function as an important mediator of inter-cellular communication in the release of inflammatory cytokines and over-activation of inflammatory responses, are closely related to the occurrence and development of Atherosclerosis (AS). However, It remains a huge challenge to develop a cost-effective method for early identification of exosomes. Herein, we proposed a simple, portable and sensitive biosensor for exosomes quantification using commercial personal glucose meter (PGM) for signal readout. Highlights of the proposed method can be concluded as: i) the signals of exosomes were translated to signals of nucleic acids through an elegantly designed capture probe, coupling with signal amplification strategies to improve sensitivity; ii) with the assistance of DNA-invertase, the amplified nucleic acids signals are converted into glucose signals that can be detected by PGM; iii) apart from the portability, the proposed method also exhibits an exosomes detection range from 103 to 106 particles/mu l. We believe that the established method can be potentially applied in clinical diagnosis as a point-of-care testing (POCT) tool and thus contribute to the early-diagnosis of atherosclerosis.</t>
  </si>
  <si>
    <t>[Cai, Fan] Shanghai Jiao Tong Univ, Ruijin Hosp, Sch Med, Geriatr Dept, Shanghai 200025, Peoples R China; [Fang, Ningyuan] Shanghai Jiao Tong Univ, Renji Hosp, Sch Med, Gen Practice Dept, 160 Pujian Rd, Shanghai 200025, Peoples R China</t>
  </si>
  <si>
    <t>Fang, NY (corresponding author), Shanghai Jiao Tong Univ, Renji Hosp, Sch Med, Gen Practice Dept, 160 Pujian Rd, Shanghai 200025, Peoples R China.</t>
  </si>
  <si>
    <t>fnymed@126.com</t>
  </si>
  <si>
    <t>10.1016/j.microc.2021.106846</t>
  </si>
  <si>
    <t>WOS:000708126700008</t>
  </si>
  <si>
    <t>Jurcisek, JA; Brockman, KL; Novotny, LA; Goodman, SD; Bakaletz, LO</t>
  </si>
  <si>
    <t>Jurcisek, Joseph A.; Brockman, Kenneth L.; Novotny, Laura A.; Goodman, Steven D.; Bakaletz, Lauren O.</t>
  </si>
  <si>
    <t>Nontypeable Haemophilus influenzae releases DNA and DNABII proteins via a T4SS-like complex and ComE of the type IV pilus machinery</t>
  </si>
  <si>
    <t>eDNA; Tra; secretin; IHF; HU</t>
  </si>
  <si>
    <t>INTEGRATION HOST FACTOR; NATURAL GENETIC-TRANSFORMATION; BACTERIAL BIOFILMS; EXTRACELLULAR DNA; STREPTOCOCCUS-PNEUMONIAE; NEISSERIA-GONORRHOEAE; ESCHERICHIA-COLI; SECRETION SYSTEM; GENOMIC ISLANDS; STAPHYLOCOCCUS-EPIDERMIDIS</t>
  </si>
  <si>
    <t>Biofilms formed by nontypeable Haemophilus influenzae (NTHI) are central to the chronicity, recurrence, and resistance to treatment of multiple human respiratory tract diseases including otitis media, chronic rhinosinusitis, and exacerbations of both cystic fibrosis and chronic obstructive pulmonary disease. Extracellular DNA (eDNA) and associated DNABII proteins are essential to the overall architecture and structural integrity of biofilms formed by NTHI and all other bacterial pathogens tested to date. Although cell lysis and outermembrane vesicle extrusion are possible means by which these canonically intracellular components might be released into the extracellular environment for incorporation into the biofilm matrix, we hypothesized that NTHI additionally used a mechanism of active DNA release. Herein, we describe a mechanism whereby DNA and associated DNABII proteins transit from the bacterial cytoplasm to the periplasm via an inner-membrane pore complex (TraC and TraG) with homology to type IV secretion-like systems. These components exit the bacterial cell through the ComE pore through which the NTHI type IV pilus is expressed. The described mechanism is independent of explosive cell lysis or cell death, and the release of DNA is confined to a discrete subpolar location, which suggests a novel form of DNA release from viable NTHI. Identification of the mechanisms and determination of the kinetics by which critical biofilm matrix-stabilizing components are released will aid in the design of novel biofilm-targeted therapeutic and preventative strategies for diseases caused by NTHI and many other human pathogens known to integrate eDNA and DNABII proteins into their biofilm matrix.</t>
  </si>
  <si>
    <t>[Jurcisek, Joseph A.; Brockman, Kenneth L.; Novotny, Laura A.; Goodman, Steven D.; Bakaletz, Lauren O.] Nationwide Childrens Hosp, Res Inst, Ctr Microbial Pathogenesis, Columbus, OH 43205 USA; [Brockman, Kenneth L.; Goodman, Steven D.; Bakaletz, Lauren O.] Ohio State Univ, Coll Med, Dept Pediat, Columbus, OH 43210 USA</t>
  </si>
  <si>
    <t>Ohio State University; Research Institute at Nationwide Children's Hospital; Ohio State University</t>
  </si>
  <si>
    <t>Bakaletz, LO (corresponding author), Nationwide Childrens Hosp, Res Inst, Ctr Microbial Pathogenesis, Columbus, OH 43205 USA.;Bakaletz, LO (corresponding author), Ohio State Univ, Coll Med, Dept Pediat, Columbus, OH 43210 USA.</t>
  </si>
  <si>
    <t>lauren.bakaletz@nationwidechildrens.org</t>
  </si>
  <si>
    <t>Bakaletz, Lauren/GMW-8490-2022</t>
  </si>
  <si>
    <t>E6632</t>
  </si>
  <si>
    <t>E6641</t>
  </si>
  <si>
    <t>10.1073/pnas.1705508114</t>
  </si>
  <si>
    <t>WOS:000407129000019</t>
  </si>
  <si>
    <t>Sha, JF; Arbesman, J; Harter, ML</t>
  </si>
  <si>
    <t>Sha, Jingfeng; Arbesman, Joshua; Harter, Marian L.</t>
  </si>
  <si>
    <t>Premature senescence in human melanocytes after exposure to solar UVR: An exosome and UV-miRNA connection</t>
  </si>
  <si>
    <t>PIGMENT CELL &amp; MELANOMA RESEARCH</t>
  </si>
  <si>
    <t>exosomes; melanocytes; microRNAs; senescence; solar UVR</t>
  </si>
  <si>
    <t>ULTRAVIOLET-RADIATION; CELLULAR SENESCENCE; DNA-DAMAGE; MICRORNAS; STRESS; GENES</t>
  </si>
  <si>
    <t>Ultraviolet radiation (UVR) can play two roles: induce cellular senescence and convert skin melanocytes into melanoma. To assess whether this conversion might rely on melanocytes having to first acquire a senescent phenotype, we studied the effects of physiological doses of UVR (UVA + UVB) on quiescent melanocytes in vitro. Repeated doses of UVR induced these melanocytes into a senescent-like state. Additionally, these cells secrete exosomes with specific miRNAs that differ in quantity from those of the un-irradiated melanocytes. Many of the exosomal miRNAs that were differentially enriched regulated genes comprising a senescence core signature and encoding factors of the senescence-messaging secretome (SASP), while a subset of the differentially reduced miRNAs targeted DNA repair genes that have been experimentally shown to be repressed in senescent melanocytes. Thus, the selection of specific miRNAs by exosomes and their release from melanocytes after exposure to UVR have activities in inducing these cells into premature senescence.</t>
  </si>
  <si>
    <t>[Sha, Jingfeng; Harter, Marian L.] Case Western Reserve Univ, Sch Med, Dept Biochem, 10900 Euclid Ave, Cleveland, OH 44106 USA; [Arbesman, Joshua] Cleveland Clin, Dermatol &amp; Plast Surg Inst, Cleveland, OH 44106 USA; [Arbesman, Joshua] Cleveland Clin, Canc Biol, Cleveland, OH 44106 USA</t>
  </si>
  <si>
    <t>Case Western Reserve University; Cleveland Clinic Foundation; Cleveland Clinic Foundation</t>
  </si>
  <si>
    <t>Harter, ML (corresponding author), Case Western Reserve Univ, Sch Med, Dept Biochem, 10900 Euclid Ave, Cleveland, OH 44106 USA.</t>
  </si>
  <si>
    <t>mnh5@case.edu</t>
  </si>
  <si>
    <t>Harter, Marian Nikki/0000-0002-3391-2570</t>
  </si>
  <si>
    <t>1755-1471</t>
  </si>
  <si>
    <t>1755-148X</t>
  </si>
  <si>
    <t>10.1111/pcmr.12888</t>
  </si>
  <si>
    <t>Oncology; Cell Biology; Dermatology</t>
  </si>
  <si>
    <t>WOS:000538526200001</t>
  </si>
  <si>
    <t>Li, Q; Wang, ZH; Xing, H; Wang, Y; Guo, Y</t>
  </si>
  <si>
    <t>Li, Qiang; Wang, Zihao; Xing, Hao; Wang, Yu; Guo, Yi</t>
  </si>
  <si>
    <t>Exosomes derived from miR-188-3p-modified adipose-derived mesenchymal stem cells protect Parkinson's disease</t>
  </si>
  <si>
    <t>AUTOPHAGY; PATHWAY; NEUROINFLAMMATION; NEURODEGENERATION; MECHANISMS; DAMAGE; MODEL; RNA; DNA</t>
  </si>
  <si>
    <t>Parkinson's disease (PD) is the second-most common neuro-degenerative disease after Alzheimer's disease. The most important pathological feature of PD is the irreversible damage of dopamine neurons, which is related to autophagy and neuroinflammation in the substantia nigra. Previous studies found that the activation of NAcht Leucine-rich repeat Protein 3 (NLRP3) inflammasome/pyroptosis and cell division protein kinase 5 (CDK5)-mediated autophagy played an important role in PD. Bioinformatics analyses further predicted that microRNA (miR)-188-3p potentially targets NLRP3 and CDK5. Adipose-derived stem cell (ADSC)-derived exosomes were found to be excellent vectors for genetic therapy. We assessed the levels of injury, autophagy, and inflammasomes in 1-methyl-4-phenyl-1,2,4,5-tetrahydropyridine (MPTP)-induced PD mice models and neurotoxin 1-methyl-4-phenylpyridinium (MPP+)-induced cell models after treating them with miR-188- 3p-enriched exosomes. miR-188-3p-enriched exosome treatment suppressed autophagy and pyroptosis, whereas increased proliferation via targeting CDK5 and NLRP3 in mice and MN9D cells. It was revealed that mir-188-3p could be a new therapeutic target for curing PD patients.</t>
  </si>
  <si>
    <t>[Wang, Zihao; Xing, Hao; Wang, Yu; Guo, Yi] Chinese Acad Med Sci &amp; Peking Union Med Coll, Peking Union Med Coll Hosp, Dept Neurosurg, Beijing, Peoples R China; [Li, Qiang] Bengbu Med Coll, Affiliated Hosp 1, Bengbu, Anhui, Peoples R China</t>
  </si>
  <si>
    <t>Chinese Academy of Medical Sciences - Peking Union Medical College; Peking Union Medical College; Peking Union Medical College Hospital; Bengbu Medical College</t>
  </si>
  <si>
    <t>Guo, Y (corresponding author), Chinese Acad Med Sci &amp; Peking Union Med Coll, Peking Union Med Coll Hosp, Dept Neurosurg, Beijing, Peoples R China.</t>
  </si>
  <si>
    <t>guoyi@pumch.cn</t>
  </si>
  <si>
    <t>Wang, Zihao/I-9307-2018</t>
  </si>
  <si>
    <t>10.1016/j.omtn.2021.01.022</t>
  </si>
  <si>
    <t>WOS:000631861800009</t>
  </si>
  <si>
    <t>Schindler, C; Collinson, A; Matthews, C; Pointon, A; Jenkinson, L; Minter, RR; Vaughan, TJ; Tigue, NJ</t>
  </si>
  <si>
    <t>Schindler, Christina; Collinson, Andie; Matthews, Carl; Pointon, Amy; Jenkinson, Lesley; Minter, Ralph R.; Vaughan, Tristan J.; Tigue, Natalie J.</t>
  </si>
  <si>
    <t>Exosomal delivery of doxorubicin enables rapid cell entry and enhanced in vitro potency</t>
  </si>
  <si>
    <t>THERAPEUTIC INDEX; DRUG-DELIVERY; EXTRACELLULAR VESICLES; LIPOSOMAL FORMULATION; BREAST; DNA; BIODISTRIBUTION; CARDIOTOXICITY; MECHANISMS; TOXICITY</t>
  </si>
  <si>
    <t>Doxorubicin is a chemotherapeutic agent that is commonly used to treat a broad range of cancers. However, significant cardiotoxicity, associated with prolonged exposure to doxorubicin, limits its continued therapeutic use. One strategy to prevent the uptake of doxorubicin into cardiac cells is the encapsulation of the drug to prevent non-specific uptake and also to improve the drugs' pharmacokinetic properties. Although encapsulated forms of doxorubicin limit the cardiotoxicity observed, they are not without their own liabilities as an increased amount of drug is deposited in the skin where liposomal doxorubicin can cause palmar-plantar erythrodysesthesia. Exosomes are small endogenous extracellular vesicles, that transfer bioactive material from one cell to another, and are considered attractive drug delivery vehicles due to their natural origin. In this study, we generated doxorubicin-loaded exosomes and demonstrate their rapid cellular uptake and re-distribution of doxorubicin from endosomes to the cytoplasm and nucleus resulting in enhanced potency in a number of cultured and primary cell lines when compared to free doxorubicin and liposomal formulations of doxorubicin. In contrast to other delivery methods for doxorubicin, exosomes do not accumulate in the heart, thereby providing potential for limiting the cardiac side effects and improved therapeutic index.</t>
  </si>
  <si>
    <t>[Schindler, Christina; Collinson, Andie; Matthews, Carl; Jenkinson, Lesley; Minter, Ralph R.; Vaughan, Tristan J.; Tigue, Natalie J.] MedImmune Ltd, Dept Antibody Discovery &amp; Prot Engn, Cambridge, England; [Pointon, Amy] AstraZeneca, IMED Biotech Unit, Mech Safety &amp; ADME Sci, Drug Safety &amp; Metab, Cambridge, England</t>
  </si>
  <si>
    <t>AstraZeneca; Medimmune; AstraZeneca</t>
  </si>
  <si>
    <t>Tigue, NJ (corresponding author), MedImmune Ltd, Dept Antibody Discovery &amp; Prot Engn, Cambridge, England.</t>
  </si>
  <si>
    <t>Tigue, Natalie/0000-0001-9916-0255</t>
  </si>
  <si>
    <t>e0214545</t>
  </si>
  <si>
    <t>10.1371/journal.pone.0214545</t>
  </si>
  <si>
    <t>WOS:000462732300018</t>
  </si>
  <si>
    <t>Tiku, V; Kofoed, EM; Yan, DH; Kang, J; Xu, M; Reichelt, M; Dikic, I; Tan, MW</t>
  </si>
  <si>
    <t>Tiku, Varnesh; Kofoed, Eric M.; Yan, Donghong; Kang, Jing; Xu, Min; Reichelt, Mike; Dikic, Ivan; Tan, Man-Wah</t>
  </si>
  <si>
    <t>Outer membrane vesicles containing OmpA induce mitochondrial fragmentation to promote pathogenesis of Acinetobacter baumannii</t>
  </si>
  <si>
    <t>Acinetobacter baumannii is a highly antibiotic resistant Gram-negative bacterium that causes life-threatening infections in humans with a very high mortality rate. A. baumannii is an extracellular pathogen with poorly understood virulence mechanisms. Here we report that A. baumannii employs the release of outer membrane vesicles (OMVs) containing the outer membrane protein A (OmpA(Ab)) to promote bacterial pathogenesis and dissemination. OMVs containing OmpA(Ab) are taken up by mammalian cells where they activate the host GTPase dynamin-related protein 1 (DRP1). OmpA(Ab) mediated activation of DRP1 enhances its accumulation on mitochondria that causes mitochondrial fragmentation, elevation in reactive oxygen species (ROS) production and cell death. Loss of DRP1 rescues these phenotypes. Our data show that OmpA(Ab) is sufficient to induce mitochondrial fragmentation and cytotoxicity since its expression in E. coli transfers its pathogenic properties to E. coli. A. baumannii infection in mice also induces mitochondrial damage in alveolar macrophages in an OmpA(Ab) dependent manner. We finally show that OmpA(Ab) is also required for systemic dissemination in the mouse lung infection model. In this study we uncover the mechanism of OmpA(Ab) as a virulence factor in A. baumannii infections and further establish the host cell factor required for its pathogenic effects.</t>
  </si>
  <si>
    <t>[Tiku, Varnesh; Kofoed, Eric M.; Dikic, Ivan; Tan, Man-Wah] Genentech Inc, Dept Infect Dis, 1 DNA Way, San Francisco, CA 94080 USA; [Yan, Donghong; Kang, Jing; Xu, Min] Genentech Inc, Dept Translat Immunol, 1 DNA Way, San Francisco, CA 94080 USA; [Reichelt, Mike] Genentech Inc, Dept Pathol, 1 DNA Way, San Francisco, CA 94080 USA; [Dikic, Ivan] Goethe Univ Frankfurt, Inst Biochem 2, Fac Med, Theodor Stern Kai 7, D-60590 Frankfurt, Germany; [Dikic, Ivan] Goethe Univ Frankfurt, Buchmann Inst Mol Life Sci, Max von Laue Str 15, D-60438 Frankfurt, Germany; [Dikic, Ivan] Max Planck Inst Biophys, Max von Laue Str 3, D-60438 Frankfurt, Germany</t>
  </si>
  <si>
    <t>Roche Holding; Genentech; Roche Holding; Genentech; Roche Holding; Genentech; Goethe University Frankfurt; Goethe University Frankfurt; Max Planck Society</t>
  </si>
  <si>
    <t>Dikic, I; Tan, MW (corresponding author), Genentech Inc, Dept Infect Dis, 1 DNA Way, San Francisco, CA 94080 USA.;Dikic, I (corresponding author), Goethe Univ Frankfurt, Inst Biochem 2, Fac Med, Theodor Stern Kai 7, D-60590 Frankfurt, Germany.;Dikic, I (corresponding author), Goethe Univ Frankfurt, Buchmann Inst Mol Life Sci, Max von Laue Str 15, D-60438 Frankfurt, Germany.;Dikic, I (corresponding author), Max Planck Inst Biophys, Max von Laue Str 3, D-60438 Frankfurt, Germany.</t>
  </si>
  <si>
    <t>dikic@biochem2.uni-frankfurt.de; tan.man-wah@gene.com</t>
  </si>
  <si>
    <t>Dikic, Ivan/O-4650-2015</t>
  </si>
  <si>
    <t>Dikic, Ivan/0000-0001-8156-9511</t>
  </si>
  <si>
    <t>10.1038/s41598-020-79966-9</t>
  </si>
  <si>
    <t>WOS:000621919500081</t>
  </si>
  <si>
    <t>Li, B; Pan, WL; Liu, CC; Guo, JY; Shen, JL; Feng, JJ; Luo, TT; Situ, B; Zhang, Y; An, TX; Xu, CZ; Zheng, WC; Zheng, L</t>
  </si>
  <si>
    <t>Li, Bo; Pan, Weilun; Liu, Chunchen; Guo, Jingyun; Shen, Jianlei; Feng, Junjie; Luo, Tingting; Situ, Bo; Zhang, Ye; An, Taixue; Xu, Chunzuan; Zheng, Wancheng; Zheng, Lei</t>
  </si>
  <si>
    <t>Homogenous Magneto-Fluorescent Nanosensor for Tumor-Derived Exosome Isolation and Analysis</t>
  </si>
  <si>
    <t>point-of-care nanosensor; tumor-derived exosomes; AIEgens; cancer diagnostics</t>
  </si>
  <si>
    <t>AGGREGATION-INDUCED EMISSION; CELL-CULTURE MEDIUM; LABEL-FREE; BIOGENESIS; BIOSENSORS; SECRETION</t>
  </si>
  <si>
    <t>Tumor-derived exosomes carrying unique surface proteins have shown great promise as novel biomarkers for liquid biopsies. However, point-of-care analysis for tumor-derived exosomes in the blood with low-cost and easy processing is still challenging. Herein, we develop an integrated approach, homogenous magneto-fluorescent exosome (hMFEX) nanosensor, for rapid and on-site tumor-derived exosomes analysis. Tumor-derived exosomes are captured immunomagnetically, which further initiates the aptamer-triggered assembly of DNA three-way junctions in homogenous solution containing aggregation-induced emission luminogens and graphene oxide, resulting in an amplified fluorescence signal. By integrating magnetic isolation and enhanced fluorescence measurement, the hMFEX nanosensor detects tumor-derived exosomes in the dynamic range spanning 5 orders of magnitude with high specificity, and the limit of detection is 6.56 x 10(4) particles/mu L. Analyzing tumor-derived exosomes in limited volume plasma from breast cancer patients demonstrates the excellent clinical diagnostic efficacy of the hMFEX nanosensor. This study provides new insights into the point-of-care testing of tumor-derived exosomes for cancer diagnostics.</t>
  </si>
  <si>
    <t>[Li, Bo; Pan, Weilun; Liu, Chunchen; Feng, Junjie; Luo, Tingting; Situ, Bo; Zhang, Ye; An, Taixue; Zheng, Lei] Southern Med Univ, Nanfang Hosp, Dept Lab Med, Guangzhou 510515, Peoples R China; [Li, Bo; Pan, Weilun; Liu, Chunchen; Feng, Junjie; Luo, Tingting; Situ, Bo; Zhang, Ye; An, Taixue; Zheng, Lei] Southern Med Univ, Nanfang Hosp, Guangdong Engn &amp; Technol Res Ctr Rapid Diagnost B, Guangzhou 510515, Peoples R China; [Guo, Jingyun] Southern Med Univ, Nanfang Hosp, Breast Ctr, Dept Gen Surg, Guangzhou 510515, Guangdong, Peoples R China; [Shen, Jianlei] Shanghai Jiao Tong Univ, Sch Chem &amp; Chem Engn, Shanghai 200240, Peoples R China; [Xu, Chunzuan; Zheng, Wancheng] Southern Med Univ, Sch Clin Med 1, Guangzhou 510515, Peoples R China</t>
  </si>
  <si>
    <t>Southern Medical University - China; Southern Medical University - China; Southern Medical University - China; Shanghai Jiao Tong University; Southern Medical University - China</t>
  </si>
  <si>
    <t>Zheng, L (corresponding author), Southern Med Univ, Nanfang Hosp, Dept Lab Med, Guangzhou 510515, Peoples R China.;Zheng, L (corresponding author), Southern Med Univ, Nanfang Hosp, Guangdong Engn &amp; Technol Res Ctr Rapid Diagnost B, Guangzhou 510515, Peoples R China.</t>
  </si>
  <si>
    <t>nfyyzhenglei@sinu.edu.cn</t>
  </si>
  <si>
    <t>JUL 24</t>
  </si>
  <si>
    <t>10.1021/acssensors.0c00513</t>
  </si>
  <si>
    <t>WOS:000573554900026</t>
  </si>
  <si>
    <t>Cuevas, EP; Rodriguez-Fernandez, A; Palomo, V; Martinez, A; Martin-Requero, A</t>
  </si>
  <si>
    <t>Cuevas, Eva P.; Rodriguez-Fernandez, Alberto; Palomo, Valle; Martinez, Ana; Martin-Requero, Angeles</t>
  </si>
  <si>
    <t>TDP-43 Pathology and Prionic Behavior in Human Cellular Models of Alzheimer's Disease Patients</t>
  </si>
  <si>
    <t>Alzheimer's disease; extracellular vesicles; immortalized lymphocytes; vesicles; prionic behavior; TDP-43</t>
  </si>
  <si>
    <t>BINDING PROTEIN 43; TAR-DNA-BINDING; FRONTOTEMPORAL DEMENTIA; IMMUNOREACTIVITY; DEGENERATION; LYMPHOCYTES; EXPRESSION; SCLEROSIS; DIAGNOSIS</t>
  </si>
  <si>
    <t>Alzheimer's disease (AD) is a neurodegenerative disorder for which there is currently no effective treatment. Despite advances in the molecular pathology of the characteristic histopathological markers of the disease (tau protein and beta-amyloid), their translation to the clinic has not provided the expected results. Increasing evidences have demonstrated the presence of aggregates of TDP-43 (TAR DNA binding protein 43) in the postmortem brains of patients diagnosed with AD. The present research is focused on of the study of the pathological role of TDP-43 in AD. For this purpose, immortalized lymphocytes samples from patients diagnosed with different severity of sporadic AD were used and the TDP-43 pathology was analyzed against controls, looking for differences in their fragmentation, phosphorylation and cellular location using Western blot and immunocytochemical techniques. The results revealed an increase in TDP-43 fragmentation, as well as increased phosphorylation and aberrant localization of TDP-43 in the cytosolic compartment of lymphocytes of patients diagnosed with severe AD. Moreover, a fragment of approximately 25 KD was found in the extracellular medium of cells derived from severe AD individuals that seem to have prion-like characteristics. We conclude that TDP-43 plays a key role in AD pathogenesis and its cell to cell propagation.</t>
  </si>
  <si>
    <t>[Cuevas, Eva P.; Rodriguez-Fernandez, Alberto; Palomo, Valle; Martinez, Ana] Margarita Salas CSIC, Ctr Invest Biol, Dept Struct &amp; Chem Biol, Ramiro de Maeztu 9, Madrid 28040, Spain; [Cuevas, Eva P.; Palomo, Valle; Martinez, Ana; Martin-Requero, Angeles] Inst Salud Carlos III, Ctr Invest Biomed Red Enfermedades Neurodegerat C, Madrid 28031, Spain; [Martin-Requero, Angeles] Margarita Salas CSIC, Ctr Invest Biol, Dept Mol Biomed, Ramiro de Maeztu 9, Madrid 28040, Spain</t>
  </si>
  <si>
    <t>Consejo Superior de Investigaciones Cientificas (CSIC); CSIC - Centro de Investigaciones Biologicas (CIB); CIBERNED; Instituto de Salud Carlos III; Consejo Superior de Investigaciones Cientificas (CSIC); CSIC - Centro de Investigaciones Biologicas (CIB)</t>
  </si>
  <si>
    <t>Martinez, A (corresponding author), Margarita Salas CSIC, Ctr Invest Biol, Dept Struct &amp; Chem Biol, Ramiro de Maeztu 9, Madrid 28040, Spain.;Martinez, A; Martin-Requero, A (corresponding author), Inst Salud Carlos III, Ctr Invest Biomed Red Enfermedades Neurodegerat C, Madrid 28031, Spain.;Martin-Requero, A (corresponding author), Margarita Salas CSIC, Ctr Invest Biol, Dept Mol Biomed, Ramiro de Maeztu 9, Madrid 28040, Spain.</t>
  </si>
  <si>
    <t>e.p.cuevas@csic.es; alberto.rodriguezf@edu.uah.es; vpalomo@cib.csic.es; ana.martinez@csic.es; amrequero@cib.csic.es</t>
  </si>
  <si>
    <t>Martinez, Ana/AFS-8107-2022; Palomo Ruiz, Maria del Valle/N-2932-2016; Martin-Requero, Angeles/K-3901-2014</t>
  </si>
  <si>
    <t>Martinez, Ana/0000-0002-2707-8110; Palomo Ruiz, Maria del Valle/0000-0002-1473-4086; P. Cuevas, Eva/0000-0001-6477-1283; Rodriguez Fernandez, Alberto/0000-0003-2893-7455; Martin-Requero, Angeles/0000-0002-3416-9440</t>
  </si>
  <si>
    <t>10.3390/biomedicines10020385</t>
  </si>
  <si>
    <t>WOS:000764092800001</t>
  </si>
  <si>
    <t>Soda, N; Gonzaga, ZJ; Chen, SX; Koo, KM; Nguyen, NT; Shiddiky, MJA; Rehm, BHA</t>
  </si>
  <si>
    <t>Soda, Narshone; Gonzaga, Zennia Jean; Chen, Shuxiong; Koo, Kevin M.; Nam-Trung Nguyen; Shiddiky, Muhammad J. A.; Rehm, Bernd H. A.</t>
  </si>
  <si>
    <t>Bioengineered Polymer Nanobeads for Isolation and Electrochemical Detection of Cancer Biomarkers</t>
  </si>
  <si>
    <t>poly-3-hydroxybutyrate; self-assembly; superparamagnetism; nanobeads; DNA methylation; exosomes; electrochemical biosensor</t>
  </si>
  <si>
    <t>DNA METHYLATION; POLYHYDROXYALKANOATE GRANULES; BIOGENESIS; POLYESTER; BEADS; QUANTIFICATION; BACTERIA; CELLS</t>
  </si>
  <si>
    <t>Early sensitive diagnosis of cancer is critical for enhancing treatment success. We previously bioengineered multi-functional core-shell structures composed of a poly-3-hydroxybutyrate (PHB) core densely coated with protein functions for uses in bioseparation and immunodiagnostic applications. Here, we report bioengineering of Escherichia coli to self-assemble PHB inclusions that codisplay a ferritin-derived iron-binding peptide and the protein A-derived antibody-binding Z domain. The iron-binding peptide mediated surface coating with a ferrofluid imparting superparamagnetic properties, while the Z domain remained accessible for binding of cancer biomarker-specific antibodies. We demonstrated that these nanobeads can specifically bind biomarkers in complex mixtures, enabling efficient magnetic separation toward enhanced electrochemical detection of cancer biomarkers such as methylated DNA and exosomes from cancer cells. Our study revealed that superparamagnetic core-shell structures can be derived from biological self-assembly systems for uses in sensitive and specific electrochemical detection of cancer biomarkers, laying the foundation for engineering advanced nanomaterials for diverse diagnostic approaches.</t>
  </si>
  <si>
    <t>[Soda, Narshone; Gonzaga, Zennia Jean; Shiddiky, Muhammad J. A.] Griffith Univ, Sch Environm &amp; Sci, Nathan, Qld 4111, Australia; [Soda, Narshone; Nam-Trung Nguyen; Shiddiky, Muhammad J. A.] Griffith Univ, Queensland Micro &amp; Nanotechnol Ctr QMNC, Nathan, Qld 4111, Australia; [Gonzaga, Zennia Jean; Chen, Shuxiong; Rehm, Bernd H. A.] Griffith Univ, Ctr Cell Factories &amp; Biopolymers CCFB, Griffith Inst Drug Discovery, Nathan, Qld 4111, Australia; [Koo, Kevin M.] Univ Queensland, Ctr Clin Res UQCCR, Herston, Qld 4029, Australia; [Rehm, Bernd H. A.] Griffith Univ, Menzies Hlth Inst Queensland MHIQ, Gold Coast, Qld 4222, Australia</t>
  </si>
  <si>
    <t>Griffith University; Griffith University; Griffith University; University of Queensland; Griffith University</t>
  </si>
  <si>
    <t>Shiddiky, MJA (corresponding author), Griffith Univ, Sch Environm &amp; Sci, Nathan, Qld 4111, Australia.;Shiddiky, MJA (corresponding author), Griffith Univ, Queensland Micro &amp; Nanotechnol Ctr QMNC, Nathan, Qld 4111, Australia.;Rehm, BHA (corresponding author), Griffith Univ, Ctr Cell Factories &amp; Biopolymers CCFB, Griffith Inst Drug Discovery, Nathan, Qld 4111, Australia.;Rehm, BHA (corresponding author), Griffith Univ, Menzies Hlth Inst Queensland MHIQ, Gold Coast, Qld 4222, Australia.</t>
  </si>
  <si>
    <t>m.shiddiky@griffith.edu.au; b.rehm@griffith.edu.au</t>
  </si>
  <si>
    <t>Soda, Narshone/CAH-0737-2022; Soda, Narshone/ADH-3686-2022; Shiddiky, Muhammad J. A./L-7165-2015; Nguyen, Nam-Trung/A-4180-2008</t>
  </si>
  <si>
    <t>Shiddiky, Muhammad J. A./0000-0003-4526-4109; Nguyen, Nam-Trung/0000-0003-3626-5361; Rehm, Bernd/0000-0003-3908-8903; Soda, Narshone/0000-0002-1921-7176</t>
  </si>
  <si>
    <t>10.1021/acsami.1c05355</t>
  </si>
  <si>
    <t>WOS:000674333400009</t>
  </si>
  <si>
    <t>Mehaffy, C; Dobos, KM; Nahid, P; Kruh-Garcia, NA</t>
  </si>
  <si>
    <t>Mehaffy, Carolina; Dobos, Karen M.; Nahid, Payam; Kruh-Garcia, Nicole A.</t>
  </si>
  <si>
    <t>Second generation multiple reaction monitoring assays for enhanced detection of ultra-low abundance Mycobacterium tuberculosis peptides in human serum</t>
  </si>
  <si>
    <t>CLINICAL PROTEOMICS</t>
  </si>
  <si>
    <t>MRM (Multiple Reaction Monitoring); Mass Spectrometry; Tuberculosis; Exosomes; Mycobacterium tuberculosis; Biomarker</t>
  </si>
  <si>
    <t>ACTIVE ANTIRETROVIRAL THERAPY; PROTEOMIC ANALYSIS; URINARY BIOMARKERS; EXOSOMES; MACROPHAGES</t>
  </si>
  <si>
    <t>Background: Mycobacterium tuberculosis (Mtb) is the causative agent of Tuberculosis (TB), the number one cause of death due to an infectious disease. TB diagnosis is performed by microscopy, culture or PCR amplification of bacterial DNA, all of which require patient sputum or the biopsy of infected tissue. Detection of mycobacterial products in serum, as biomarkers of diagnosis or disease status would provide an improvement over current methods. Due to the low-abundance of mycobacterial products in serum, we have explored exosome enrichment to improve sensitivity. Mtb resides intracellularly where its secreted proteins have been shown to be packaged into host exosomes and released into the bloodstream. Exosomes can be readily purified assuring an enrichment of mycobacterial analytes from the complex mix of host serum proteins. Methods: Multiple reaction monitoring assays were optimized for the enhanced detection of 41 Mtb peptides in exosomes purified from the serum of individuals with TB. Exosomes isolated from the serum of healthy individuals was used to create and validate a unique data analysis algorithm and identify filters to reduce the rate of false positives, attributed to host m/ z interference. The final optimized method was tested in 40 exosome samples from TB positive patients. Results: Our enhanced methods provide limit of detection and quantification averaging in the low femtomolar range for detection of mycobacterial products in serum. At least one mycobacterial peptide was identified in 92.5% of the TB positive patients. Four peptides from the Mtb proteins, Cfp2, Mpt32, Mpt64 and BfrB, show normalized total peak areas significantly higher in individuals with active TB as compared to healthy controls; three of the peptides from these proteins have not previously been associated with serum exosomes from individuals with active TB disease. Some of the detected peptides were significantly associated with specific geographical locations, highlighting potential markers that can be linked to the Mtb strains circulating within each given region. Conclusions: An enhanced MRM method to detect ultra-low abundance Mtb peptides in human serum exosomes is demonstrated, highlighting the potential of this methodology for TB diagnostic biomarker development.</t>
  </si>
  <si>
    <t>[Mehaffy, Carolina; Dobos, Karen M.; Kruh-Garcia, Nicole A.] Colorado State Univ, Dept Microbiol Immunol &amp; Pathol, 1682 Campus Delivery, Ft Collins, CO 80524 USA; [Mehaffy, Carolina] Colorado State Univ, Prote &amp; Metabol Facil, 2021 Campus Delivery, Ft Collins, CO 80523 USA; [Nahid, Payam] Univ Calif San Francisco, Div Pulm &amp; Crit Care Med, San Francisco, CA 94143 USA</t>
  </si>
  <si>
    <t>Colorado State University; Colorado State University; University of California System; University of California San Francisco</t>
  </si>
  <si>
    <t>Kruh-Garcia, NA (corresponding author), Colorado State Univ, Dept Microbiol Immunol &amp; Pathol, 1682 Campus Delivery, Ft Collins, CO 80524 USA.</t>
  </si>
  <si>
    <t>Nicole.Kruh@Colostate.edu</t>
  </si>
  <si>
    <t>Kruh-Garcia, Nicole/D-5853-2017</t>
  </si>
  <si>
    <t>Kruh-Garcia, Nicole/0000-0002-9896-8380; Nahid, Payam/0000-0003-2811-1311</t>
  </si>
  <si>
    <t>1542-6416</t>
  </si>
  <si>
    <t>1559-0275</t>
  </si>
  <si>
    <t>10.1186/s12014-017-9156-y</t>
  </si>
  <si>
    <t>WOS:000403046200001</t>
  </si>
  <si>
    <t>Smolina, N; Khudiakov, A; Knyazeva, A; Zlotina, A; Sukhareva, K; Kondratov, K; Gogvadze, V; Zhivotovsky, B; Sejersen, T; Kostareva, A</t>
  </si>
  <si>
    <t>Smolina, Natalia; Khudiakov, Aleksandr; Knyazeva, Anastasiya; Zlotina, Anna; Sukhareva, Kseniya; Kondratov, Kirill; Gogvadze, Vladimir; Zhivotovsky, Boris; Sejersen, Thomas; Kostareva, Anna</t>
  </si>
  <si>
    <t>Desmin mutations result in mitochondrial dysfunction regardless of their aggregation properties</t>
  </si>
  <si>
    <t>BIOCHIMICA ET BIOPHYSICA ACTA-MOLECULAR BASIS OF DISEASE</t>
  </si>
  <si>
    <t>Desmin; Extracellular vesicles; Mitochondria; mtDNA; Satellite cells; Skeletal myopathy</t>
  </si>
  <si>
    <t>INTERMEDIATE-FILAMENTS; ENERGY-METABOLISM; SKELETAL-MUSCLE; CYTOSKELETON; RESPIRATION; MYOPATHY; DESMINOPATHIES; RELEASE; PLECTIN; CELLS</t>
  </si>
  <si>
    <t>Desmin, being a major intermediate filament of muscle cells, contributes to stabilization and positioning of mitochondria. Desmin mutations have been reported in conjunction with skeletal myopathies accompanied by mitochondrial dysfunction. Depending on the ability to promote intracellular aggregates formation, mutations can be considered aggregate-prone or non-aggregate-prone. The aim of the present study was to describe how expression of different desmin mutant isoforms effects mitochondria and contributes to the development of myocyte dysfunction. To achieve this goal, two non-aggregate-prone (Des S12F and Des A213V) and four aggregate-prone (Des L345P, Des A357P, Des L370P, Des D399Y) desmin mutations were expressed in skeletal muscle cells. We showed that all evaluated mutations affected the morphology of mitochondrial network, suppressed parameters of mitochondrial respiration, diminished mitochondrial membrane potential, increased ADP/ATP ratio, and enhanced mitochondrial DNA (mtDNA) release. mtDNA was partially secreted through exosomes as demonstrated by GW4869 treatment. Dysfunction of mitochondria was observed regardless the type of mutation: aggregate-prone or non-aggregate-prone. However, expression of aggregate-prone mutations resulted in more prominent phenotype. Thus, in this comparative study of six pathogenic desmin mutations that cause skeletal myopathy development, we confirmed a role of mitochondrial dysfunction and mtDNA release in the pathogenesis of desmin myopathies, regardless of the aggregation capacity of the mutated desmin.</t>
  </si>
  <si>
    <t>[Smolina, Natalia; Khudiakov, Aleksandr; Knyazeva, Anastasiya; Zlotina, Anna; Sukhareva, Kseniya; Kondratov, Kirill; Kostareva, Anna] Almazov Natl Med Res Ctr, St Petersburg, Russia; [Smolina, Natalia; Sejersen, Thomas; Kostareva, Anna] Karolinska Inst, Dept Womens &amp; Childrens Hlth, Stockholm, Sweden; [Sukhareva, Kseniya] Univ Verona, Verona, Italy; [Gogvadze, Vladimir; Zhivotovsky, Boris] Lomonosov Moscow State Univ, Fac Med, Moscow, Russia; [Gogvadze, Vladimir; Zhivotovsky, Boris] Karolinska Inst, Inst Environm Med, Stockholm, Sweden</t>
  </si>
  <si>
    <t>Almazov National Medical Research Centre; Karolinska Institutet; University of Verona; Lomonosov Moscow State University; Karolinska Institutet</t>
  </si>
  <si>
    <t>Smolina, N (corresponding author), Almazov Natl Med Res Ctr, St Petersburg, Russia.</t>
  </si>
  <si>
    <t>natalia.smolina@ki.se</t>
  </si>
  <si>
    <t>Khudiakov, Aleksandr A/H-1408-2016; Zlotina, Anna/J-2531-2013; Kostareva, Anna/AAO-5429-2020; Zlotina, Anna/ABF-2836-2020; Smolina, Natalia/D-5840-2014</t>
  </si>
  <si>
    <t>Khudiakov, Aleksandr A/0000-0001-9214-0868; Zlotina, Anna/0000-0002-2029-1197; Zlotina, Anna/0000-0002-2029-1197; Smolina, Natalia/0000-0002-3339-0688; Sukhareva, Kseniia/0000-0002-8194-2002</t>
  </si>
  <si>
    <t>0925-4439</t>
  </si>
  <si>
    <t>1879-260X</t>
  </si>
  <si>
    <t>10.1016/j.bbadis.2020.165745</t>
  </si>
  <si>
    <t>WOS:000527950000009</t>
  </si>
  <si>
    <t>Haag, ES; Sly, BJ; Andrews, ME; Raff, RA</t>
  </si>
  <si>
    <t>Apextrin, a novel extracellular protein associated with larval ectoderm evolution in Heliocidaris erythrogramma</t>
  </si>
  <si>
    <t>DEVELOPMENTAL BIOLOGY</t>
  </si>
  <si>
    <t>DEVELOPING SEA-URCHINS; HYALINE LAYER; GENE-EXPRESSION; APICAL LAMINA; CELL-ADHESION; EMBRYOS; ARYLSULFATASE; FIBROPELLINS; CONSTRUCTION; TUBERCULATA</t>
  </si>
  <si>
    <t>During the evolution of direct development in the sea urchin Heliocidaris erythrogramma major modifications occurred, which allowed the precocious formation of adult-specific structures and led to a novel larval body that surrounds these structures. The HeET-1 gene was isolated in a differential screen for transcripts enriched in the early embryos of a erythrogramma relative to those of its indirect-developing congener, a tuberculata. HeET-1 was unique among the three genes found in that no homologous transcript was detected in a tuberculata total embryonic RNA blots. To verify this apparently extreme differential expression of the HeET-1 genes in Heliocidaris, we isolated the HeET-1 homologue from a tuberculata genomic DNA and used it to probe blots of poly(A)(+) RNA prepared from a tuberculata embryos. It is expressed in a tuberculata embryos at levels undetectable by this technique. The predicted amino acid sequence of HeET-1 suggested that it encodes a novel secreted protein. To assess the function of HeET-1, we raised polyclonal antisera to the HeET-1-encoded protein. We find that it is present in eggs in a type of secretory vesicle and that this maternal pool is gradually secreted after fertilization. As cells acquire apical-basal polarity in the blastula the protein becomes localized to the apical extracellular matrix, leading us to name the protein apextrin. The apical extracellular localization of apextrin is maintained in the columnar cells of the larval ectoderm until their internalization at metamorphosis. Ingressing mesenchyme cells rapidly endocytose apextrin upon leaving the vegetal plate. Comparison with fibropellin III, an apical lamina component, suggests that apextrin is an extracellular protein that is in tighter association with the plasma membrane than is the hyalin layer or apical lamina. We propose that apextrin is involved in apical cell adhesion and that its high level of expression may represent an adaptive cooption necessary for strengthening the large a erythrogramma embryo. (C) 1999 Academic Press.</t>
  </si>
  <si>
    <t>Indiana Univ, Dept Biol, Bloomington, IN 47405 USA; Indiana Univ, Indiana Mol Biol Inst, Bloomington, IN 47405 USA</t>
  </si>
  <si>
    <t>Indiana University System; Indiana University Bloomington; Indiana University System; Indiana University Bloomington</t>
  </si>
  <si>
    <t>Haag, ES (corresponding author), Indiana Univ, Dept Biol, Bloomington, IN 47405 USA.</t>
  </si>
  <si>
    <t>0012-1606</t>
  </si>
  <si>
    <t>10.1006/dbio.1999.9283</t>
  </si>
  <si>
    <t>WOS:000081269200007</t>
  </si>
  <si>
    <t>Baeza, N; Delgado, L; Comas, J; Mercade, E</t>
  </si>
  <si>
    <t>Baeza, Nicolas; Delgado, Lidia; Comas, Jaume; Mercade, Elena</t>
  </si>
  <si>
    <t>Phage-Mediated Explosive Cell Lysis Induces the Formation of a Different Type of O-IMV in Shewanella vesiculosa M7(T)</t>
  </si>
  <si>
    <t>membrane vesicles; gram-negative bacteria; explosive cell lysis; OMV; O-IMV; DNA; flow cytometry; electron microscopy</t>
  </si>
  <si>
    <t>OUTER-MEMBRANE VESICLES; SPONTANEOUS PROPHAGE INDUCTION; GRAM-NEGATIVE BACTERIA; PSEUDOMONAS-AERUGINOSA; EXTRACELLULAR DNA; DEATH; BIOGENESIS; GENES; QUANTIFICATION; DISSEMINATION</t>
  </si>
  <si>
    <t>Shewanella vesiculosa M7(T) is a cold-adapted Antarctic bacterium that has a great capacity to secrete membrane vesicles (MVs), making it a potentially excellent model for studying the vesiculation process. S. vesiculosa M7(T) undergoes a blebbing mechanism to produce different types of MVs, including outer membrane vesicles and outer-inner membrane vesicles (O-IMVs). More recently, other mechanisms have been considered that could lead to the formation of O-IMVs derived from prophage-mediated explosive cell lysis in other bacteria, but it is not clear if they are of the same type. The bacterial growth phase could also have a great impact on the type of MVs, although there are few studies on the subject. In this study, we used high-resolution flow cytometry, transmission electron microscopy, and cryo-electron microscopy (Cryo-EM) analysis to determine the amount and types of MVs S. vesiculosa M7(T) secreted during different growth phases. We show that MV secretion increases during the transition from the late exponential to the stationary phase. Moreover, prophage-mediated explosive cell lysis is activated in S. vesiculosa M7(T), increasing the heterogeneity of both single- and double-layer MVs. The sequenced DNA fragments from the MVs covered the entire genome, confirming this explosive cell lysis mechanism. A different structure and biogenesis mechanisms for the explosive cell lysis-derived double-layered MVs was observed, and we propose to name them explosive O-IMVs, distinguishing them from the blebbing O-IMVs; their separation is a first step to elucidate their different functions. In our study, we used for the first time sorting by flow cytometry and Cryo-EM analyses to isolate bacterial MVs based on their nucleic acid content. Further improvements and implementation of bacterial MV separation techniques is essential to develop more in-depth knowledge of MVs.</t>
  </si>
  <si>
    <t>[Baeza, Nicolas; Mercade, Elena] Univ Barcelona, Dept Biol Sanitat &amp; Medi Ambient, Seccio Microbiol, Barcelona, Spain; [Delgado, Lidia] Univ Barcelona CCiTUB, Ctr Cient &amp; Tecnol, Crio Microscopia Elect, Barcelona, Spain; [Comas, Jaume] Univ Barcelona CCiTUB, Citometria, Ctr Cient &amp; Tecnol, Barcelona, Spain</t>
  </si>
  <si>
    <t>University of Barcelona; University of Barcelona; University of Barcelona</t>
  </si>
  <si>
    <t>Mercade, E (corresponding author), Univ Barcelona, Dept Biol Sanitat &amp; Medi Ambient, Seccio Microbiol, Barcelona, Spain.</t>
  </si>
  <si>
    <t>mmercade@ub.edu</t>
  </si>
  <si>
    <t>DELGADO, LIDIA/H-7939-2015; Mercade, Elena/L-5218-2014</t>
  </si>
  <si>
    <t>DELGADO, LIDIA/0000-0001-7351-6188; Mercade, Elena/0000-0001-7828-2210</t>
  </si>
  <si>
    <t>10.3389/fmicb.2021.713669</t>
  </si>
  <si>
    <t>WOS:000710797600001</t>
  </si>
  <si>
    <t>Sidhu, VK; Vorholter, FJ; Niehaus, K; Watt, SA</t>
  </si>
  <si>
    <t>Sidhu, Vishaldeep K.; Vorhoelter, Frank-Joerg; Niehaus, Karsten; Watt, Steven A.</t>
  </si>
  <si>
    <t>Analysis of outer membrane vesicle associated proteins isolated from the plant pathogenic bacterium Xanthomonas campestris pv. campestris</t>
  </si>
  <si>
    <t>BMC MICROBIOLOGY</t>
  </si>
  <si>
    <t>III SECRETION; PSEUDOMONAS-AERUGINOSA; VIRULENCE FACTORS; DNA REGION; RELEASE; CELLS; LIPOPOLYSACCHARIDE; IDENTIFICATION; TRANSLOCATION; INSIGHTS</t>
  </si>
  <si>
    <t>Background: Outer membrane vesicles (OMVs) are released from the outer membrane of many Gram-negative bacteria. These extracellular compartments are known to transport compounds involved in cell-cell signalling as well as virulence associated proteins, e. g. the cytolysine from enterotoxic E. coli. Results: We have demonstrated that Xanthomonas campestris pv. campestris (Xcc) releases OMVs into the culture supernatant during growth. A proteome study identified 31 different proteins that associate with the OMV fraction of which half are virulence-associated. A comparison with the most abundant outer membrane ( OM) proteins revealed that some proteins are enriched in the OMV fraction. This may be connected to differences in the LPS composition between the OMVs and the OM. Furthermore, a comparison of the OMV proteomes from two different culture media indicated that the culture conditions have an impact on the protein composition. Interestingly, the proteins that are common to both culture conditions are mainly involved in virulence. Conclusion: Outer membrane vesicles released from the OM of Xcc contain membrane- and virulence-associated proteins. Future experiments will prove whether these structures can serve as vehicles for the transport of virulence factors into the host membrane.</t>
  </si>
  <si>
    <t>[Sidhu, Vishaldeep K.; Niehaus, Karsten; Watt, Steven A.] Univ Bielefeld, Fac Biol, Dep Proteome &amp; Metab Res, D-33501 Bielefeld, Germany; [Vorhoelter, Frank-Joerg] Univ Bielefeld, Ctr Biotechnol, D-33615 Bielefeld, Germany</t>
  </si>
  <si>
    <t>University of Bielefeld; University of Bielefeld</t>
  </si>
  <si>
    <t>Watt, SA (corresponding author), Univ Bielefeld, Fac Biol, Dep Proteome &amp; Metab Res, POB 10 01 31, D-33501 Bielefeld, Germany.</t>
  </si>
  <si>
    <t>Vishaldeep.Kaur.Sidhu@Genetik.Uni-Bielefeld.DE; Frank-Joerg.Vorhoelter@Genetik.Uni-Bielefeld.DE; Karsten.niehaus@cebitec.de; Steven.Watt@Genetik.UNI-Bielefeld.DE</t>
  </si>
  <si>
    <t>Niehaus, Karsten/A-3966-2010</t>
  </si>
  <si>
    <t>1471-2180</t>
  </si>
  <si>
    <t>JUN 2</t>
  </si>
  <si>
    <t>10.1186/1471-2180-8-87</t>
  </si>
  <si>
    <t>WOS:000257076500001</t>
  </si>
  <si>
    <t>Qin, WY; Zhang, K; Sauter, ER</t>
  </si>
  <si>
    <t>Qin, Wenyi; Zhang, Kurt; Sauter, Edward R.</t>
  </si>
  <si>
    <t>Exosomal miRNAs in nipple aspirate fluid and breast cancer</t>
  </si>
  <si>
    <t>Breast cancer; microRNA; exosomes</t>
  </si>
  <si>
    <t>MESENCHYMAL TRANSITION; CLINICAL-SIGNIFICANCE; DNA METHYLATION; MICRORNAS; CELLS; SERUM; EXPRESSION; RISK; IDENTIFICATION; TUMORIGENESIS</t>
  </si>
  <si>
    <t>Background: Exosomal vesicles transport genetic information between cells and thereby influence the cells they interact with. Exosomes have been detected in multiple body fluids, including blood, milk, urine, pleural fluid, cerebrospinal fluid and the aqueous humor of the eye. We performed a proof of principle study to determine: (I) if exosomes are detectable in breast nipple aspirate fluid (NAF); (II) if exosomes are present, do they contain micro (mi) RNAs; (III) if present and if they contain miRNAs, the ability of the miRNAs to predict: (i) breast cancer; and (ii) response to treatment with the anti-inflammatory/anti-cancer agents vitamin (vit) D and celecoxib. Methods: NAF was collected from 12 healthy women and 20 women with newly diagnosed breast cancer. NAF and matched blood were collected from 5 women before and after daily treatment for one menstrual cycle/one month with low (400 IU) or high dose (2,000 IU) vitD, or high dose vitD plus 400 mg celecoxib. Ten miRs (16, 21, 100, 129, 145, 155, 181, 199, 205, and 212) were measured in NAF and serum samples. Results: We were routinely able to detect exosomes in NAF and serum samples, and in the exosomes to measure multiple miRNAs. Although there was no significant difference in expression based on the presence or absence of breast cancer, miR16 and -155 expressions were higher (P=0.030 for each) in women with node positive compared to those with node negative breast cancer. Delta Ct expression was at higher (defined at Delta Ct difference &gt;= 1) in serum than matched NAF in healthy women. Conclusions: Exosomes are detectable in NAF. The exosomes contain intracellular information that may be useful for evaluation of the breast.</t>
  </si>
  <si>
    <t>[Qin, Wenyi] Univ Texas Hlth Sci Ctr Tyler, Dept Mol Biol, Tyler, TX USA; [Zhang, Kurt] Univ North Dakota, Dept Pathol, Sch Med, Grand Forks, ND USA; [Sauter, Edward R.] Hartford Hosp, Dept Surg, Hartford, CT 06115 USA; [Sauter, Edward R.] Univ Connecticut, Sch Med, Hartford, CT 06112 USA</t>
  </si>
  <si>
    <t>University of Texas System; University of Texas-Health Sciences Center at Tyler (UTHSCT); University of North Dakota Grand Forks; Hartford Hospital; University of Connecticut</t>
  </si>
  <si>
    <t>S1304</t>
  </si>
  <si>
    <t>S1310</t>
  </si>
  <si>
    <t>10.21037/tcr.2017.08.14</t>
  </si>
  <si>
    <t>WOS:000413979800002</t>
  </si>
  <si>
    <t>Dolci, M; Favero, C; Tarantini, L; Villani, S; Bregni, M; Signorini, L; Della Valle, A; Crivelli, F; D'Alessandro, S; Ferrante, P; Bollati, V; Delbue, S</t>
  </si>
  <si>
    <t>Dolci, Maria; Favero, Chiara; Tarantini, Letizia; Villani, Sonia; Bregni, Marco; Signorini, Lucia; Della Valle, Alberto; Crivelli, Filippo; D'Alessandro, Sarah; Ferrante, Pasquale; Bollati, Valentina; Delbue, Serena</t>
  </si>
  <si>
    <t>Human endogenous retroviruses env gene expression and long terminal repeat methylation in colorectal cancer patients</t>
  </si>
  <si>
    <t>MEDICAL MICROBIOLOGY AND IMMUNOLOGY</t>
  </si>
  <si>
    <t>Human endogenous retrovirus; Colon cancer; Methylation; Gene expression; Microvesicles</t>
  </si>
  <si>
    <t>HERV-K; MICROSATELLITE INSTABILITY; QUANTITATIVE EXPRESSION; DNA METHYLATION; RNA EXPRESSION; PHENOTYPE; IDENTIFICATION; SEQUENCES; LINE-1; FAMILY</t>
  </si>
  <si>
    <t>Human endogenous retroviruses (HERV) are remnants of exogenous retroviral infections, representing 8% of the human genome. Their regulation is based on the DNA methylation of promoters, the long terminal repeats (LTRs). Transcripts from HERV have been associated with cancers, but reports concerning HERV expression in colorectal cancer remain sporadic. Sixty-three patients with advanced stages of colorectal cancer were enrolled in this study. The expressions of HERV env gene, and HERV-H, -K, -R and -P LTRs and Alu, LINE-1 methylation levels, were investigated in the tumor, normal adjacent tissues, and, where possible, blood and plasmatic extracellular vesicles (EVs). Associations among HERV env expression, methylation status and clinical characteristics were evaluated. No differences were observed in HERV env gene expression levels among the clinical specimens, while Alu, LINE-1, HERV-H and -K LTRs were demethylated in the tumor compared to the normal adjacent tissues (p &lt; 0.05).The HERV env gene was expressed in the EVs at of 54% (-H), 38% (-K), 31% (-R) patients. Association was not found between HERV env expression and LTR methylation, but significant higher expression of HERV-P and -R env was found in tumor tissues arising from the right colon. Our findings do not demonstrate significant overexpression of the studied HERV in colorectal cancer, but their association with tumor localization and specificity of the changes in DNA methylation of retroelements are shown. HERV sequences were packaged in the EVs and might be transferred from one cell to another.</t>
  </si>
  <si>
    <t>[Dolci, Maria; Villani, Sonia; Signorini, Lucia; D'Alessandro, Sarah; Ferrante, Pasquale; Delbue, Serena] Univ Milan, Dept Biomed Surg &amp; Dent Sci, Via Carlo Pascal 36, I-20133 Milan, Italy; [Favero, Chiara; Bollati, Valentina] Univ Milan, Dept Clin Sci &amp; Community Hlth, EPIGET Epidemiol Epigenet &amp; Toxicol Lab, Via San Barnaba 8, Milan, Italy; [Tarantini, Letizia; Bollati, Valentina] Fdn IRCSS Ca Granda, Osped Maggiore Policlin, Dept Prevent Med, Via San Barnaba 8, Milan, Italy; [Bregni, Marco] ASST Valle Olona, Osped Circolo di Busto Arsizio, Hematol Unit, Via Arnaldo Brescia 3, Busto Arsizio, Italy; [Della Valle, Alberto] Ist Clin Citta Studi, Gen Surg Unit, Via Jommelli 19, Milan, Italy; [Crivelli, Filippo] ASST Valle Olona, Osped Circolo di Busto Arsizio, Pathol Unit, Via Arnaldo Brescia 3, Busto Arsizio, Italy</t>
  </si>
  <si>
    <t>University of Milan; University of Milan; IRCCS Ca Granda Ospedale Maggiore Policlinico</t>
  </si>
  <si>
    <t>Delbue, S (corresponding author), Univ Milan, Dept Biomed Surg &amp; Dent Sci, Via Carlo Pascal 36, I-20133 Milan, Italy.</t>
  </si>
  <si>
    <t>serena.delbue@unimi.it</t>
  </si>
  <si>
    <t>Dolci, Maria/ABC-5015-2020; D'Alessandro, Sarah/A-6080-2012</t>
  </si>
  <si>
    <t>D'Alessandro, Sarah/0000-0001-9241-9762</t>
  </si>
  <si>
    <t>0300-8584</t>
  </si>
  <si>
    <t>1432-1831</t>
  </si>
  <si>
    <t>10.1007/s00430-020-00662-6</t>
  </si>
  <si>
    <t>FEB 2020</t>
  </si>
  <si>
    <t>WOS:000516007200001</t>
  </si>
  <si>
    <t>Hellum, M; Troseid, AMS; Berg, JP; Brandtzaeg, P; Ovstebo, R; Henriksson, CE</t>
  </si>
  <si>
    <t>Hellum, Marit; Troseid, Anne-Marie S.; Berg, Jens P.; Brandtzaeg, Petter; Ovstebo, Reidun; Henriksson, Carola E.</t>
  </si>
  <si>
    <t>The Neisseria meningitidis lpxL1 mutant induces less tissue factor expression and activity in primary human monocytes and monocyte-derived microvesicles than the wild type meningococcus</t>
  </si>
  <si>
    <t>INNATE IMMUNITY</t>
  </si>
  <si>
    <t>Microvesicles; monocytes; Neisseria meningitidis; lpxL1 mutant; sepsis; tissue factor</t>
  </si>
  <si>
    <t>GENE-EXPRESSION; LIPID-A; PLASMA; LPS; LIPOPOLYSACCHARIDES; TOXICITY; BLOOD; DNA</t>
  </si>
  <si>
    <t>Neisseria meningitidis (N. meningitidis) may cause sepsis and meningitis. N. meningitidis with a mutated lpxL1 gene has five, instead of six, acyl chains in the lipid A moiety. Compared with patients infected with the wild type (wt) meningococcus, patients infected with the lpxL1 mutant have a mild meningococcal disease with less systemic inflammation and less coagulopathy. Circulating tissue factor (TF), the main initiator of coagulation, has a central role in the development of coagulation disturbances during sepsis. To study how TF was influenced by the lpxL1 mutant, human primary monocytes and whole blood were incubated with the lpxL1 mutant or the wt meningococcus (H44/76). Monocyte and microvesicle (MV)-associated TF expression and TF-dependent thrombin generation were measured. In both purified monocytes and whole blood, our data show that the lpxL1 mutant is a weaker inducer of monocyte and MV-associated TF compared with the wt. Our data indicate that low levels of circulating TF may contribute to the reduced coagulopathy reported in patients infected with lpxL1 mutants.</t>
  </si>
  <si>
    <t>[Hellum, Marit; Berg, Jens P.; Brandtzaeg, Petter; Henriksson, Carola E.] Univ Oslo, Inst Clin Med, Oslo, Norway; [Hellum, Marit; Troseid, Anne-Marie S.; Berg, Jens P.; Brandtzaeg, Petter; Ovstebo, Reidun; Henriksson, Carola E.] Oslo Univ Hosp, Dept Med Biochem, Kirkeveien 166, N-0407 Oslo, Norway</t>
  </si>
  <si>
    <t>University of Oslo; University of Oslo</t>
  </si>
  <si>
    <t>Hellum, M (corresponding author), Oslo Univ Hosp, Dept Med Biochem, Kirkeveien 166, N-0407 Oslo, Norway.</t>
  </si>
  <si>
    <t>m.s.hellum@medisin.uio.no</t>
  </si>
  <si>
    <t>Berg, Jens P/G-1455-2012</t>
  </si>
  <si>
    <t>Berg, Jens P/0000-0003-0157-5888</t>
  </si>
  <si>
    <t>1753-4259</t>
  </si>
  <si>
    <t>1753-4267</t>
  </si>
  <si>
    <t>10.1177/1753425916684201</t>
  </si>
  <si>
    <t>Biochemistry &amp; Molecular Biology; Immunology; Medicine, Research &amp; Experimental; Microbiology</t>
  </si>
  <si>
    <t>Biochemistry &amp; Molecular Biology; Immunology; Research &amp; Experimental Medicine; Microbiology</t>
  </si>
  <si>
    <t>WOS:000398223400009</t>
  </si>
  <si>
    <t>Baglio, SR; van Eijndhoven, MAJ; Koppers-Lalic, D; Berenguer, J; Lougheed, SM; Gibbs, S; Leveille, N; Rinkel, RNPM; Hopmans, ES; Swaminathan, S; Verkuijlen, SAWM; Scheffer, GL; van Kuppeveld, FJM; de Gruijl, TD; Bultink, IEM; Jordanova, ES; Hackenberg, M; Piersma, SR; Knol, JC; Voskuyl, AE; Wurdinger, T; Jimenez, CR; Middeldorp, JM; Pegtel, DM</t>
  </si>
  <si>
    <t>Baglio, S. Rubina; van Eijndhoven, Monique A. J.; Koppers-Lalic, Danijela; Berenguer, Jordi; Lougheed, Sinead M.; Gibbs, Susan; Leveille, Nicolas; Rinkel, Rico N. P. M.; Hopmans, Erik S.; Swaminathan, Sankar; Verkuijlen, Sandra A. W. M.; Scheffer, George L.; van Kuppeveld, Frank J. M.; de Gruijl, Tanja D.; Bultink, Irene E. M.; Jordanova, Ekaterina S.; Hackenberg, Michael; Piersma, Sander R.; Knol, Jaco C.; Voskuyl, Alexandre E.; Wurdinger, Thomas; Jimenez, Connie R.; Middeldorp, Jaap M.; Pegtel, D. Michiel</t>
  </si>
  <si>
    <t>Sensing of latent EBV infection through exosomal transfer of 5 ' pppRNA</t>
  </si>
  <si>
    <t>exosomes; EBV-EBER1; innate sensing; dendritic cells; skin inflammation</t>
  </si>
  <si>
    <t>EPSTEIN-BARR-VIRUS; PLASMACYTOID DENDRITIC CELLS; RIG-I; SMALL RNA; INTERFERON-ALPHA; INNATE IMMUNITY; LUPUS-ERYTHEMATOSUS; INDUCED APOPTOSIS; NONCODING RNAS; VIRAL MIRNAS</t>
  </si>
  <si>
    <t>Complex interactions between DNA herpesviruses and host factors determine the establishment of a life-long asymptomatic latent infection. The lymphotropic Epstein-Barr virus (EBV) seems to avoid recognition by innate sensors despite massive transcription of immunostimulatory small RNAs (EBV-EBERs). Here we demonstrate that in latently infected B cells, EBER1 transcripts interact with the lupus antigen (La) ribonucleoprotein, avoiding cytoplasmic RNA sensors. However, in coculture experiments we observed that latent-infected cells trigger antiviral immunity in dendritic cells (DCs) through selective release and transfer of RNA via exosomes. In ex vivo tonsillar cultures, we observed that EBER1-loaded exosomes are preferentially captured and internalized by human plasmacytoid DCs (pDCs) that express the TIM1 phosphatidylserine receptor, a known viral- and exosomal target. Using an EBER-deficient EBV strain, enzymatic removal of 5'ppp, in vitro transcripts, and coculture experiments, we established that 5'pppEBER1 transfer via exosomes drives antiviral immunity in nonpermissive DCs. Lupus erythematosus patients suffer from elevated EBV load and activated antiviral immunity, in particular in skin lesions that are infiltrated with pDCs. We detected high levels of EBER1 RNA in such skin lesions, as well as EBV-microRNAs, but no intact EBV-DNA, linking non-cell-autonomous EBER1 presence with skin inflammation in predisposed individuals. Collectively, our studies indicate that virus-modified exosomes have a physiological role in the host-pathogen stand-off and may promote inflammatory disease.</t>
  </si>
  <si>
    <t>[Baglio, S. Rubina; van Eijndhoven, Monique A. J.; Koppers-Lalic, Danijela; Hopmans, Erik S.; Verkuijlen, Sandra A. W. M.; Scheffer, George L.; Middeldorp, Jaap M.; Pegtel, D. Michiel] Vrije Univ Amsterdam, Univ Med Ctr, Canc Ctr Amsterdam, Dept Pathol, NL-1081 HV Amsterdam, Netherlands; [Koppers-Lalic, Danijela; Berenguer, Jordi; Wurdinger, Thomas] Vrije Univ Amsterdam, Univ Med Ctr, Canc Ctr Amsterdam, Dept Neurosurg, NL-1081 HV Amsterdam, Netherlands; [Lougheed, Sinead M.; de Gruijl, Tanja D.] Vrije Univ Amsterdam, Univ Med Ctr, Dept Med Oncol, NL-1081 HV Amsterdam, Netherlands; [Gibbs, Susan] Vrije Univ Amsterdam, Univ Med Ctr, Canc Ctr Amsterdam, Dept Dermatol, NL-1081 HV Amsterdam, Netherlands; [Gibbs, Susan] Univ Amsterdam, Acad Ctr Dent Amsterdam, Dept Oral Cell Biol, NL-1081 HZ Amsterdam, Netherlands; [Gibbs, Susan] Vrije Univ Amsterdam, NL-1081 HZ Amsterdam, Netherlands; [Leveille, Nicolas] Univ Amsterdam, Acad Med Ctr, Lab Expt Oncol &amp; Radiobiol, CEMM, Meibergdreef 9, NL-1105 AZ Amsterdam, Netherlands; [Rinkel, Rico N. P. M.] Vrije Univ Amsterdam, Univ Med Ctr, Canc Ctr Amsterdam, Dept Otolaryngol, NL-1081 HV Amsterdam, Netherlands; [Swaminathan, Sankar] Univ Utah, Dept Med, Salt Lake City, UT 84132 USA; [Swaminathan, Sankar] George E Wahlen VA Med Ctr, Salt Lake City, UT 84132 USA; [van Kuppeveld, Frank J. M.] Univ Utrecht Hosp, Fac Vet Med, Dept Infect Dis &amp; Immunol, NL-3584 CL Utrecht, Netherlands; [Bultink, Irene E. M.; Voskuyl, Alexandre E.] Vrije Univ Amsterdam, Univ Med Ctr, Amsterdam Rheumatol &amp; Immunol Ctr, Dept Rheumatol, NL-1081 HV Amsterdam, Netherlands; [Jordanova, Ekaterina S.] Vrije Univ Amsterdam, Univ Med Ctr, Ctr Gynaecol Oncol Amsterdam, Dept Obstet &amp; Gynecol, NL-1081 HV Amsterdam, Netherlands; [Hackenberg, Michael] Univ Granada, Dept Genet, E-18071 Granada, Spain; [Piersma, Sander R.; Knol, Jaco C.; Jimenez, Connie R.] Vrije Univ Amsterdam, Univ Med Ctr, Canc Ctr Amsterdam, Dept Med Oncol, NL-1081 HV Amsterdam, Netherlands</t>
  </si>
  <si>
    <t>University of Amsterdam; Vrije Universiteit Amsterdam; University of Amsterdam; Vrije Universiteit Amsterdam; Vrije Universiteit Amsterdam; University of Amsterdam; Vrije Universiteit Amsterdam; Academic Center for Dentistry Amsterdam; University of Amsterdam; Vrije Universiteit Amsterdam; Vrije Universiteit Amsterdam; University of Amsterdam; Academic Medical Center Amsterdam; University of Amsterdam; Vrije Universiteit Amsterdam; Utah System of Higher Education; University of Utah; Utrecht University; Utrecht University Medical Center; Vrije Universiteit Amsterdam; Vrije Universiteit Amsterdam; University of Granada; University of Amsterdam; Vrije Universiteit Amsterdam</t>
  </si>
  <si>
    <t>Pegtel, DM (corresponding author), Vrije Univ Amsterdam, Univ Med Ctr, Canc Ctr Amsterdam, Dept Pathol, NL-1081 HV Amsterdam, Netherlands.</t>
  </si>
  <si>
    <t>Pegtel, Dirk Michiel/ABD-5481-2021; Pegtel, Dirk m/M-8393-2015; Jimenez, Connie/AAI-3763-2020; Hackenberg, Michael/X-9662-2018; Berenguer, Jordi/AAK-5540-2020; Swaminathan, Sankar/AAD-4993-2021; Wurdinger, Thomas/AAA-5645-2022; Bultink, Irene/AAG-3356-2020; Hackenberg, Michael/A-2503-2009</t>
  </si>
  <si>
    <t>Pegtel, Dirk Michiel/0000-0002-7357-4406; Pegtel, Dirk m/0000-0002-7357-4406; Hackenberg, Michael/0000-0003-2248-3114; Swaminathan, Sankar/0000-0002-9773-1277; Hackenberg, Michael/0000-0003-2248-3114; van Kuppeveld, Frank/0000-0001-5800-749X; Jimenez, Connie R/0000-0002-3103-4508; Koppers-Lalic, Danijela/0000-0002-1050-7521; Baglio, Serena Rubina/0000-0003-0503-8908; Berenguer de Felipe, Jordi/0000-0003-4007-1631; Jordanova, Ekaterina S./0000-0002-8121-1322; Middeldorp, Jaap Michiel/0000-0002-0765-4125; Leveille, Nicolas/0000-0002-6086-5984; Voskuyl, Alexandre/0000-0002-9699-1827</t>
  </si>
  <si>
    <t>FEB 2</t>
  </si>
  <si>
    <t>E587</t>
  </si>
  <si>
    <t>E596</t>
  </si>
  <si>
    <t>10.1073/pnas.1518130113</t>
  </si>
  <si>
    <t>WOS:000369085100015</t>
  </si>
  <si>
    <t>Kimura, N; Maeki, M; Ishida, A; Tani, H; Tokeshi, M</t>
  </si>
  <si>
    <t>Kimura, Niko; Maeki, Masatoshi; Ishida, Akihiko; Tani, Hirofumi; Tokeshi, Manabu</t>
  </si>
  <si>
    <t>One-Step Production Using a Microfluidic Device of Highly Biocompatible Size-Controlled Noncationic Exosome-like Nanoparticles for RNA Delivery</t>
  </si>
  <si>
    <t>microfluidics; lipid nanoparticles; noncationic lipids; siRNA delivery; nanomedicines; exosomes-like nanoparticles</t>
  </si>
  <si>
    <t>LIPID NANOPARTICLES; CATIONIC LIPIDS; LIPOSOMES; DESIGN; TOXICITY; SYSTEMS; CHARGE; NM</t>
  </si>
  <si>
    <t>Size-controlled lipid nanoparticle (LNP)-based DNA/RNA delivery is a leading technology for gene therapies. For DNA/RNA delivery, typically, a cationic lipid is used to encapsulate DNA/RNA into LNPs. However, the use of the cationic lipid leads to cytotoxicity. In contrast, noncationic NPs, such as exosomes, are ideal nanocarriers for DNA/RNA delivery. However, the development of a simple one-step method for the production of size-controlled noncationic NPs encapsulating DNA/RNA is still challenging because of the lack of electrostatic interactions between the cationic lipid and negatively charged DNA/RNA. Herein, we report a microfluidic-based one-step method for the production of size-controlled noncationic NPs encapsulating small interfering RNA (siRNA). Our microfluidic device, named iLiNP, enables the efficient encapsulation of siRNA, as well as control over the NP size, by varying the flow conditions. We applied this method to produce size-controlled exosome-like NPs. The siRNA-loaded exosome-like NPs did not show in vitro cytotoxicity at a high siRNA dosage. In addition, we investigated the effect of the size of the exosome-like NPs on the target gene silencing and found that the 40-50 nm-sized NPs suppressed target protein expression at a dose of 20 nM siRNA. The iLiNP-based one-step production method for size-controlled noncationic-NP-encapsulated RNA is a promising method for the production of artificial exosomes and functionally modified exosomes for gene and cell therapies.</t>
  </si>
  <si>
    <t>[Kimura, Niko] Hokkaido Univ, Grad Sch Chem Sci &amp; Engn, Sapporo, Hokkaido 0608628, Japan; [Maeki, Masatoshi; Ishida, Akihiko; Tani, Hirofumi; Tokeshi, Manabu] Hokkaido Univ, Fac Engn, Div Appl Chem, Sapporo, Hokkaido 0608628, Japan; [Maeki, Masatoshi] JST PRESTO, Kawaguchi, Saitama 3320012, Japan; [Tokeshi, Manabu] Nagoya Univ, Inst Innovat Future Soc, Innovat Res Ctr Prevent Med Engn, Nagoya, Aichi 4648601, Japan; [Tokeshi, Manabu] Nagoya Univ, Inst Innovat Future Soc, Inst Nanolife Syst, Nagoya, Aichi 4648601, Japan</t>
  </si>
  <si>
    <t>Hokkaido University; Hokkaido University; Japan Science &amp; Technology Agency (JST); Nagoya University; Nagoya University</t>
  </si>
  <si>
    <t>Maeki, M; Tokeshi, M (corresponding author), Hokkaido Univ, Fac Engn, Div Appl Chem, Sapporo, Hokkaido 0608628, Japan.;Maeki, M (corresponding author), JST PRESTO, Kawaguchi, Saitama 3320012, Japan.;Tokeshi, M (corresponding author), Nagoya Univ, Inst Innovat Future Soc, Innovat Res Ctr Prevent Med Engn, Nagoya, Aichi 4648601, Japan.;Tokeshi, M (corresponding author), Nagoya Univ, Inst Innovat Future Soc, Inst Nanolife Syst, Nagoya, Aichi 4648601, Japan.</t>
  </si>
  <si>
    <t>m.maeki@eng.hokudai.ac.jp; tokeshi@eng.hokudai.ac.jp</t>
  </si>
  <si>
    <t>Tokeshi, Manabu/B-6257-2012; Maeki, Masatoshi/T-4051-2019</t>
  </si>
  <si>
    <t>Tokeshi, Manabu/0000-0002-4412-2144; Maeki, Masatoshi/0000-0001-7500-4231; Kimura, Niko/0000-0002-6313-604X; Tani, Hirofumi/0000-0002-5935-0756; Ishida, Akihiko/0000-0003-4100-9426</t>
  </si>
  <si>
    <t>10.1021/acsabm.0c01519</t>
  </si>
  <si>
    <t>WOS:000620346200062</t>
  </si>
  <si>
    <t>Guru, KTP; Sreeja, JS; Dharmapal, D; Sengupta, S; Basu, PK</t>
  </si>
  <si>
    <t>Guru, Krishna Thej Pammi; Sreeja, Jamuna Surendran; Dharmapal, Dhrishya; Sengupta, Suparna; Basu, Palash Kumar</t>
  </si>
  <si>
    <t>Novel Gold Nanoparticle-Based Quick Small-Exosome Isolation Technique from Serum Sample at a Low Centrifugal Force</t>
  </si>
  <si>
    <t>NANOMATERIALS</t>
  </si>
  <si>
    <t>Au nanoparticle synthesis; small exosome isolation; PEG; EDC-SNHS chemistry; CD63</t>
  </si>
  <si>
    <t>EXTRACELLULAR VESICLES; SIZE</t>
  </si>
  <si>
    <t>Exosomes are cell-secreted vesicles secreted by a majority of cells and, hence, populating most of the biological fluids, namely blood, tears, sweat, swab, urine, breast milk, etc. They vary vastly in size and density and are influenced by age, gender and diseases. The composition of exosomes includes lipids, DNA, proteins, and coding and noncoding RNA. There is a significant interest in selectively isolating small exosomes (&lt;= 50 nm) from human serum to investigate their role in different diseases and regeneration. However, current techniques for small exosome isolation/purification are time-consuming and highly instrument-dependent, with limited specificity and recovery. Thus, rapid and efficient methods to isolate them from bio fluids are strongly needed for both basic research and clinical applications. In the present work, we explored the application of a bench-top centrifuge for isolating mostly the small exosomes (&lt;= 50 nm). This can be achieved at low g-force by adding additional weight to the exosomes by conjugating them with citrate-capped gold nanoparticles (CGNP). CGNPs were functionalized with polyethylene glycol (PEG) to form PEGylated GNP (PGNP). EDC/SNHS chemistry is used to activate the -COOH group of the PEG to make it suitable for conjugation with antibodies corresponding to exosomal surface proteins. These antibody-conjugated PGNPs were incubated with the serum to form PGNP-exosome complexes which were separated directly by centrifugation at a low g-force of 7000x g. This makes this technique efficient compared to that of standard ultracentrifugation exosome isolation (which uses approximately 100,000x g). Using the technique, the exosome isolation from serum was achieved successfully in less than two hours. The purification of small exosomes, characterized by the presence of CD63, CD9 and CD81, and sized between 20 nm to 50 nm, was confirmed by western blot, dynamic light scattering (DLS), transmission electron microscopy (TEM) and nanoparticle tracking analyser (NTA).</t>
  </si>
  <si>
    <t>[Guru, Krishna Thej Pammi; Basu, Palash Kumar] Indian Inst Space Sci &amp; Technol, Dept Av, Thiruvananthapuram 695547, India; [Sreeja, Jamuna Surendran; Dharmapal, Dhrishya; Sengupta, Suparna] Rajiv Gandhi Ctr Biotechnol, Thiruvananthapuram 695014, Kerala, India</t>
  </si>
  <si>
    <t>Department of Space (DoS), Government of India; Indian Institute of Space Science &amp; Technology; Department of Biotechnology (DBT) India; Rajiv Gandhi Centre for Biotechnology (RGCB)</t>
  </si>
  <si>
    <t>Basu, PK (corresponding author), Indian Inst Space Sci &amp; Technol, Dept Av, Thiruvananthapuram 695547, India.;Sengupta, S (corresponding author), Rajiv Gandhi Ctr Biotechnol, Thiruvananthapuram 695014, Kerala, India.</t>
  </si>
  <si>
    <t>krishnathej@gmail.com; jssreeja@rgcb.res.in; dhrishya@rgcb.res.in; ssengupta@rgcb.res.in; palashkumarbasu@iist.ac.in</t>
  </si>
  <si>
    <t>2079-4991</t>
  </si>
  <si>
    <t>10.3390/nano12101660</t>
  </si>
  <si>
    <t>WOS:000801412100001</t>
  </si>
  <si>
    <t>Giovannelli, I; Clausi, V; Nukuzuma, S; Della Malva, N; Nosi, D; Giannecchini, S</t>
  </si>
  <si>
    <t>Giovannelli, Irene; Clausi, Valeria; Nukuzuma, Souichi; Della Malva, Nunzia; Nosi, Daniele; Giannecchini, Simone</t>
  </si>
  <si>
    <t>Polyomavirus JC microRNA expression after infection in vitro</t>
  </si>
  <si>
    <t>VIRUS RESEARCH</t>
  </si>
  <si>
    <t>JCPyV; Viral replication; MicroRNA expression; Exosomes; KG-1 cells</t>
  </si>
  <si>
    <t>PROGRESSIVE MULTIFOCAL LEUKOENCEPHALOPATHY; HEMATOPOIETIC PROGENITOR CELLS; VIRAL MICRORNA; VIRUS; NATALIZUMAB; MIRNAS; RISK; DNA</t>
  </si>
  <si>
    <t>The in vitro expression of the Polyomavirus JC (JCPyV) microRNAs, JC-miRNA-3p and -5p, at early time points post-infection was investigated. The expression of the JCPyV microRNAs was monitored in hematopoietic progenitor KG-1 cells and in kidney fibroblast-like COS-7 cells transformed with SV40 after infection with a JCPyV CY archetype viral clone. The JCPyV DNA viral load was low in KG-1 cells compared with that in COS-7 cells, which showed productive viral replication. The expression of the JCPyV microRNAs was observed from 12 h after the viral infection of both cell types and in the exosomes present in their cell supernatant. Additionally, this study verified that the JCPyV microRNAs in the exosomes present in the supernatants produced by the infected cells might be carried into uninfected cells. These findings suggest that additional investigations of the expression of JCPyV microRNAs and their presence in exosomes are necessary to shed light on their regulatory role during viral reactivation. (C) 2015 Elsevier B.V. All rights reserved.</t>
  </si>
  <si>
    <t>[Giovannelli, Irene; Clausi, Valeria; Della Malva, Nunzia; Nosi, Daniele; Giannecchini, Simone] Univ Florence, Dept Expt &amp; Clin Med, Viale Morgagni 48, I-50134 Florence, Italy; [Nukuzuma, Souichi] Kobe Inst Hlth, Dept Infect Dis, Chuo Ku, 4-6-5 Minatojima Nakamachi, Kobe, Hyogo, Japan</t>
  </si>
  <si>
    <t>Giannecchini, S (corresponding author), Univ Florence, Dept Expt &amp; Clin Med, Viale Morgagni 48, I-50134 Florence, Italy.</t>
  </si>
  <si>
    <t>Giannecchini, Simone/K-2136-2016</t>
  </si>
  <si>
    <t>Giannecchini, Simone/0000-0003-3374-7621</t>
  </si>
  <si>
    <t>0168-1702</t>
  </si>
  <si>
    <t>1872-7492</t>
  </si>
  <si>
    <t>10.1016/j.virusres.2015.11.026</t>
  </si>
  <si>
    <t>WOS:000371840600032</t>
  </si>
  <si>
    <t>Bernard, V; Kim, DU; San Lucas, FA; Castillo, J; Allenson, K; Mulu, FC; Stephens, BM; Huang, J; Semaan, A; Guerrero, PA; Kamyabi, N; Zhao, J; Hurd, MW; Koay, EJ; Taniguchi, CM; Herman, JM; Javle, M; Wolff, R; Katz, M; Varadhachary, G; Maitra, A; Alvarez, HA</t>
  </si>
  <si>
    <t>Bernard, Vincent; Kim, Dong U.; San Lucas, F. Anthony; Castillo, Jonathan; Allenson, Kelvin; Mulu, Feven C.; Stephens, Bret M.; Huang, Jonathan; Semaan, Alexander; Guerrero, Paola A.; Kamyabi, Nabiollah; Zhao, Jun; Hurd, Mark W.; Koay, Eugene J.; Taniguchi, Cullen M.; Herman, Joseph M.; Javle, Milind; Wolff, Robert; Katz, Matthew; Varadhachary, Gauri; Maitra, Anirban; Alvarez, Hector A.</t>
  </si>
  <si>
    <t>Circulating Nucleic Acids Are Associated With Outcomes of Patients With Pancreatic Cancer</t>
  </si>
  <si>
    <t>PDAC; Extracellular Vesicles; Biomarkers; Tumor Monitoring</t>
  </si>
  <si>
    <t>TUMOR DNA; GENOMIC ALTERATIONS; LIQUID BIOPSIES; KRAS; MUTATIONS; PLASMA; BIOMARKER; EXOSOMES; TISSUE; CTDNA</t>
  </si>
  <si>
    <t>BACKGROUND &amp; AIMS: We aimed to investigate the clinical utility of circulating tumor cell DNA (ctDNA) and exosome DNA (exoDNA) in pancreatic cancer. METHODS: We collected liquid biopsy samples from 194 patients undergoing treatment for localized or metastatic pancreatic adenocarcinoma from April 7, 2015, through October 13, 2017 (425 blood samples collected before [baseline] and during therapy). Additional liquid biopsy samples were collected from 37 disease control individuals. Droplet digital polymerase chain reaction was used to determine KRAS mutant allele fraction (MAF) from ctDNA and exoDNA purified from plasma. For the longitudinal analysis, we analyzed exoDNA and ctDNA in 123 serial blood samples from 34 patients. We performed analysis including Cox regression, Fisher exact test, and Bayesian inference to associate KRAS MAFs in exoDNA and ctDNA with prognostic and predictive outcomes. RESULTS: In the 34 patients with potentially resectable tumors, an increase in exoDNA level after neoadjuvant therapy was significantly associated with disease progression (P=.003), whereas ctDNA did not show correlations with outcomes. Concordance rates of KRAS mutations present in surgically resected tissue and detected in liquid biopsy samples were greater than 95%. On univariate analysis, patients with metastases and detectable ctDNA at baseline status had significantly shorter times of progression-free survival (PFS) (hazard ratio [HR] for death, 1.8; 95% CI, 1.1-3.0; P=.019), and overall survival (OS) (HR, 2.8; 95% CI, 1.4-5.7; P=.0045) compared with patients without detectable ctDNA. On multivariate analysis, MAFs -5% in exoDNA were a significant predictor of PFS (HR, 2.28; 95% CI, 1.18-4.40; P=.014) and OS (HR, 3.46; 95% CI, 1.408.50; P=.007). A multianalyte approach showed detection of both ctDNA and exoDNA MAFs -5% at baseline status to be a significant predictor of OS (HR, 7.73, 95% CI, 2.61-22.91, P=.00002) on multivariate analysis. In the longitudinal analysis, an MAF peak above 1% in exoDNA was significantly associated with radiologic progression (P=.0003).</t>
  </si>
  <si>
    <t>[Bernard, Vincent; Kim, Dong U.; Castillo, Jonathan; Allenson, Kelvin; Mulu, Feven C.; Stephens, Bret M.; Huang, Jonathan; Semaan, Alexander; Guerrero, Paola A.; Kamyabi, Nabiollah; Zhao, Jun; Maitra, Anirban] Univ Texas MD Anderson Canc Ctr, Dept Pathol, Houston, TX 77030 USA; [Bernard, Vincent] Univ Texas MD Anderson Canc Ctr, UTHlth Grad Sch Biomed Sci, Houston, TX 77030 USA; [Kim, Dong U.] Pusan Natl Univ, Pusan Natl Univ Hosp, Sch Med, Dept Internal Med,Biomed Res Inst, Busan, South Korea; [San Lucas, F. Anthony] Univ Texas MD Anderson Canc Ctr, Dept Epidemiol, Houston, TX 77030 USA; [Allenson, Kelvin; Katz, Matthew] Univ Texas MD Anderson Canc Ctr, Dept Surg Oncol, Houston, TX 77030 USA; [Hurd, Mark W.; Maitra, Anirban] Univ Texas MD Anderson Canc Ctr, Sheikh Ahmed Pancreat Canc Res Ctr, Houston, TX 77030 USA; [Koay, Eugene J.; Taniguchi, Cullen M.; Herman, Joseph M.] Univ Texas MD Anderson Canc Ctr, Dept Radiat Oncol, Houston, TX 77030 USA; [Javle, Milind; Wolff, Robert; Varadhachary, Gauri] Univ Texas MD Anderson Canc Ctr, Dept Gastrointestinal Med Oncol, Houston, TX 77030 USA; [Alvarez, Hector A.] Univ Texas MD Anderson Canc Ctr, Dept Hematopathol, Houston, TX 77030 USA</t>
  </si>
  <si>
    <t>University of Texas System; UTMD Anderson Cancer Center; University of Texas System; UTMD Anderson Cancer Center; Pusan National University; Pusan National University Hospital; University of Texas System; UTMD Anderson Cancer Center; University of Texas System; UTMD Anderson Cancer Center; University of Texas System; UTMD Anderson Cancer Center; University of Texas System; UTMD Anderson Cancer Center; University of Texas System; UTMD Anderson Cancer Center; University of Texas System; UTMD Anderson Cancer Center</t>
  </si>
  <si>
    <t>Alvarez, HA (corresponding author), 6565 MD Anderson Blvd Z3-3012, Houston, TX 77030 USA.</t>
  </si>
  <si>
    <t>Haalvarez@mdanderson.org</t>
  </si>
  <si>
    <t>Taniguchi, Cullen/0000-0002-8052-3316; Semaan, Alexander/0000-0001-5424-3217; Bernard, Vincent/0000-0003-1555-608X; Huang, Jonathan/0000-0002-2867-3384</t>
  </si>
  <si>
    <t>10.1053/j.gastro.2018.09.022</t>
  </si>
  <si>
    <t>WOS:000453401000027</t>
  </si>
  <si>
    <t>Yan, YC; Qiao, ZJ; Hai, X; Song, WL; Bi, S</t>
  </si>
  <si>
    <t>Yan, Yongcun; Qiao, Zhenjie; Hai, Xin; Song, Weiling; Bi, Sai</t>
  </si>
  <si>
    <t>Versatile electrochemical biosensor based on bi-enzyme cascade biocatalysis spatially regulated by DNA architecture</t>
  </si>
  <si>
    <t>Biocatalytic cascades; Microenvironment regulation; Rolling circle amplification; DNA flowers; Electrochemical biosensor</t>
  </si>
  <si>
    <t>EN-ROUTE; NANOFLOWER; APTASENSOR; THROMBIN; ENZYMES</t>
  </si>
  <si>
    <t>The regulation of biocatalytic cascades in microenvironments for high performance and extended applications is still challenging. Herein, we develop a rolling circle amplification (RCA)-based one-pot method to prepare the micron-sized DNA flowers (DFs), which achieve the co-encapsulation and spatial regulation of bi-enzyme molecules, glucose oxidase (GOx) and horseradish peroxidase (HRP). In this system, GOx and HRP are integrated into the DFs simultaneously during RCA with the bridging of magnesium between enzyme residues and phosphate backbones on DFs. The cascade of GOx/HRP is regulated with the formation of highly ordered and hydrogenbonded water environment in the cavity of DFs, resulting in an enhanced cascade catalytic efficiency compared with that in homogeneous solution. Moreover, the high density of DNA scaffold ensures the encapsulation of GOx/HRP with high efficiency. Accordingly, a glucose electrochemical biosensor with amplified signal response is fabricated using the as-prepared GOx/HRP DFs as biosensing interface, realizing sensitive detection of glucose. Further, through designing the complementary sequence of aptamer into the programmable circular template of RCA, the bi-enzyme co-encapsulated DFs are versatilely applied to sensitive and selective detection of cancerous exosomes and thrombin in signal-on and signal-off' modes, respectively, which are further applied to the analysis of complex biological samples successfully. Overall, the encapsulation of multienzyme with DFs proposes a promising strategy to regulate the microenvironment of biocatalytic cascades, which hold great potential in biotechnology, bioanalysis and disease diagnosis.</t>
  </si>
  <si>
    <t>[Yan, Yongcun; Qiao, Zhenjie; Hai, Xin; Bi, Sai] Qingdao Univ, Res Ctr Intelligent &amp; Wearable Technol, Coll Chem &amp; Chem Engn, Qingdao 266071, Peoples R China; [Song, Weiling] Qingdao Univ Sci &amp; Technol, Key Lab Analyt Chem Life Sci Univ Shandong, Coll Chem &amp; Mol Engn, MOE,Shandong Key Lab Biochem Anal, Qingdao 266042, Peoples R China</t>
  </si>
  <si>
    <t>Qingdao University; Qingdao University of Science &amp; Technology</t>
  </si>
  <si>
    <t>Bi, S (corresponding author), Qingdao Univ, Res Ctr Intelligent &amp; Wearable Technol, Coll Chem &amp; Chem Engn, Qingdao 266071, Peoples R China.</t>
  </si>
  <si>
    <t>bisai11@126.com</t>
  </si>
  <si>
    <t>10.1016/j.bios.2020.112827</t>
  </si>
  <si>
    <t>WOS:000605490200005</t>
  </si>
  <si>
    <t>Wang, DL; Zhao, CS; Xu, F; Zhang, AM; Jin, MM; Zhang, KC; Liu, L; Hua, Q; Zhao, J; Liu, JJ; Yang, H; Huang, G</t>
  </si>
  <si>
    <t>Wang, Dongliang; Zhao, Chaoshuai; Xu, Fei; Zhang, Aimi; Jin, Mingming; Zhang, Kunchi; Liu, Liu; Hua, Qian; Zhao, Jian; Liu, Jianjun; Yang, Hao; Huang, Gang</t>
  </si>
  <si>
    <t>Cisplatin-resistant NSCLC cells induced by hypoxia transmit resistance to sensitive cells through exosomal PKM2</t>
  </si>
  <si>
    <t>Exosomes; NSCLC; Drug-resistance; PKM2; CAFs</t>
  </si>
  <si>
    <t>COLORECTAL-CANCER; CHEMORESISTANCE; FIBROBLASTS; METABOLISM; PROMOTE</t>
  </si>
  <si>
    <t>Hypoxia is commonly observed in solid tumors and contributes to the resistance of DNA damage drugs. However, the mechanisms behind this resistance are still unclear. In this study, we aimed to explore the effects of hypoxia-induced exosomes on non-small cell lung cancer (NSCLC). Methods: NSCLC cells were subjected to either normoxic or hypoxic conditions to assess cell survival and changes in the expression levels of key proteins. Comparative proteomics were performed to identify exosomal PKM2 in normoxic or hypoxic cisplatin-resistant NSCLC cells-derived exosomes. Functions of hypoxia induced-exosomal PKM2 in promoting cisplatin resistance to NSCLC cells were evaluated both in vitro and in vivo experiments and the molecular mechanisms of hypoxia induced-exosomal PKM2 were demonstrated using flow cytometry, immunoblotting, oxidative stress detection and histological examination. A series of in vitro experiments were performed to evaluate the function of hypoxia-induced exosomes on cancer-associated fibroblasts (CAFs). Results: Hypoxia exacerbated the cisplatin resistance in lung cancer cells due to the increased expression of PKM2 that was observed in the exosomes secreted by hypoxic cisplatin-resistance cells. We identified that hypoxia-induced exosomal PKM2 transmitted cisplatin-resistance to sensitive NSCLC cells in vitro and in vivo. Mechanistically, hypoxia-induced exosomal PKM2 promoted glycolysis in NSCLC cells to produce reductive metabolites, which may neutralize reactive oxygen species (ROS) induced by cisplatin. Additionally, hypoxia-induced exosomal PKM2 inhibited apoptosis in a PKM2-BCL2-dependent manner. Moreover, hypoxia-induced exosomal PKM2 reprogrammed CAFs to create an acidic microenvironment promoting NSCLC cells proliferation and cisplatin resistance. Conclusions: Our findings revealed that hypoxia-induced exosomes transmit cisplatin resistance to sensitive NSCLC cells by delivering PKM2. Exosomal PKM2 may serve as a promising biomarker and therapeutic target for cisplatin resistance in NSCLC.</t>
  </si>
  <si>
    <t>[Wang, Dongliang; Xu, Fei; Zhang, Aimi; Hua, Qian; Liu, Jianjun; Huang, Gang] Shanghai Jiao Tong Univ, Ren Ji Hosp, Sch Med, Dept Nucl Med, Shanghai 200127, Peoples R China; [Wang, Dongliang; Jin, Mingming; Zhang, Kunchi; Zhao, Jian; Yang, Hao; Huang, Gang] Shanghai Univ Med &amp; Hlth Sci, Shanghai Key Lab Mol Imaging, Shanghai 201318, Peoples R China; [Zhao, Chaoshuai] Shanghai Jiao Tong Univ, Shanghai Gen Hosp, Sch Med, Dept Dermatol, Shanghai 200080, Peoples R China; [Liu, Liu] Shanghai Jiao Tong Univ, Shanghai Chest Hosp, Dept Nucl Med, Shanghai 200030, Peoples R China</t>
  </si>
  <si>
    <t>Shanghai Jiao Tong University; Shanghai Jiao Tong University; Shanghai Jiao Tong University</t>
  </si>
  <si>
    <t>Huang, G (corresponding author), Shanghai Jiao Tong Univ, Ren Ji Hosp, Sch Med, Dept Nucl Med, Shanghai 200127, Peoples R China.;Yang, H; Huang, G (corresponding author), Shanghai Univ Med &amp; Hlth Sci, Shanghai Key Lab Mol Imaging, Shanghai 201318, Peoples R China.</t>
  </si>
  <si>
    <t>yangh@sumhs.edu.cn; huanggang@sumhs.edu.cn</t>
  </si>
  <si>
    <t>Yang, Hao/0000-0002-3781-7271</t>
  </si>
  <si>
    <t>10.7150/thno.51797</t>
  </si>
  <si>
    <t>WOS:000604981700023</t>
  </si>
  <si>
    <t>Tran, TM; MacIntyre, A; Khokhani, D; Hawes, M; Allen, C</t>
  </si>
  <si>
    <t>Tuan Minh Tran; MacIntyre, April; Khokhani, Devanshi; Hawes, Martha; Allen, Caitilyn</t>
  </si>
  <si>
    <t>Extracellular DNases of Ralstonia solanacearum modulate biofilms and facilitate bacterial wilt virulence</t>
  </si>
  <si>
    <t>OUTER-MEMBRANE VESICLES; PSEUDOMONAS-SOLANACEARUM; NATURAL TRANSFORMATION; XYLEM SAP; COLONIZATION; GENES; TOMATO; CONTRIBUTES; ATTACHMENT; EXPRESSION</t>
  </si>
  <si>
    <t>Ralstonia solanacearum is a soil-borne vascular pathogen that colonizes plant xylem vessels, a flowing, low-nutrient habitat where biofilms could be adaptive. Ralstonia solanacearum forms biofilm in vitro, but it was not known if the pathogen benefits from biofilms during infection. Scanning electron microscopy revealed that during tomato infection, R. solanacearum forms biofilm-like masses in xylem vessels. These aggregates contain bacteria embedded in a matrix including chromatin-like fibres commonly observed in other bacterial biofilms. Chemical and enzymatic assays demonstrated that the bacterium releases extracellular DNA in culture and that DNA is an integral component of the biofilm matrix. An R. solanacearum mutant lacking the pathogen's two extracellular nucleases (exDNases) formed non-spreading colonies and abnormally thick biofilms in vitro. The biofilms formed by the exDNase mutant in planta contained more and thicker fibres. This mutant was also reduced in virulence on tomato plants and did not spread in tomato stems as well as the wild-type strain, suggesting that these exDNases facilitate biofilm maturation and bacterial dispersal. To our knowledge, this is the first demonstration that R. solanacearum forms biofilms in plant xylem vessels, and the first documentation that plant pathogens use DNases to modulate their biofilm structure for systemic spread and virulence.</t>
  </si>
  <si>
    <t>[Tuan Minh Tran; MacIntyre, April; Khokhani, Devanshi; Allen, Caitilyn] Univ Wisconsin, Dept Plant Pathol, Madison, WI 53706 USA; [MacIntyre, April] Univ Wisconsin, Microbiol Doctoral Training Program, Madison, WI 53706 USA; [Hawes, Martha] Univ Arizona, Dept Soil Water &amp; Environm Sci, Tucson, AZ 85721 USA</t>
  </si>
  <si>
    <t>University of Wisconsin System; University of Wisconsin Madison; University of Wisconsin System; University of Wisconsin Madison; University of Arizona</t>
  </si>
  <si>
    <t>Allen, C (corresponding author), Univ Wisconsin, Dept Plant Pathol, Madison, WI 53706 USA.</t>
  </si>
  <si>
    <t>callen@wisc.edu</t>
  </si>
  <si>
    <t>Tran, Tuan Minh/AAF-6091-2019; Khokhani, Devanshi/ABF-6168-2020; MacIntyre, April/AAX-7574-2020</t>
  </si>
  <si>
    <t>Tran, Tuan Minh/0000-0003-1533-6044; MacIntyre, April/0000-0002-1867-6661; Khokhani, Devanshi/0000-0002-2856-7493</t>
  </si>
  <si>
    <t>10.1111/1462-2920.13446</t>
  </si>
  <si>
    <t>WOS:000388614800036</t>
  </si>
  <si>
    <t>Jin, D; Peng, XX; Qin, Y; Wu, P; Lu, H; Wang, LC; Huang, J; Li, YT; Zhang, YL; Zhang, GJ; Yang, F</t>
  </si>
  <si>
    <t>Jin, Dan; Peng, Xin-Xin; Qin, You; Wu, Peng; Lu, Hao; Wang, Liangchao; Huang, Jing; Li, Yuting; Zhang, Yulin; Zhang, Guo-Jun; Yang, Fan</t>
  </si>
  <si>
    <t>Multivalence-Actuated DNA Nanomachines Enable Bicolor Exosomal Phenotyping and PD-L1-Guided Therapy Monitoring</t>
  </si>
  <si>
    <t>ELECTROCHEMICAL DETECTION; APTASENSOR</t>
  </si>
  <si>
    <t>Exosome-associated liquid biopsies are hampered by challenges in the exosomal quantification and phenotyping. Here, we present a bioinspired exosome-activated DNA molecular machine (ExoADM) with multivalent cyclic amplification that enables highly sensitive detection and phenotyping of circulating exosomes. ExoADM harbors two (an exposed and a hidden) DNA toehold domains that actuate sequential branch migration and multivalent recycling in response to exosomal surface markers. Importantly, this self-powered ExoADM achieves a high sensitivity (33 particles/mu L) and is compatible with another DNA nanomachine targeting different exosomal surface markers for dual-color phenotyping. Using this strategy, we can simultaneously track the dynamic changes of ExoPD-L1 and ExoCD63 expression induced by signaling molecules. Further, we found that their expression levels on circulating exosomes could well differentiate cancer patients from the normal individuals. More importantly, ExoPD-L1 levels could reflect the efficacy of different treatments and guide anti-PD-1 immunotherapy, suggesting the potential of ExoPD-L1 in clinical diagnosis and targeted therapy monitoring.</t>
  </si>
  <si>
    <t>[Jin, Dan; Peng, Xin-Xin; Lu, Hao; Zhang, Yulin; Zhang, Guo-Jun] Hubei Univ Chinese Med, Sch Lab Med, Wuhan 430065, Peoples R China; [Yang, Fan] Guangxi Med Univ, Sch Pharm, Nanning 530021, Peoples R China; [Qin, You; Huang, Jing; Li, Yuting] Huazhong Univ Sci &amp; Technol, Union Hosp, Tongji Med Coll, Canc Ctr, Wuhan 430022, Peoples R China; [Wu, Peng] Wuhan Univ, Dept Clin Lab, Renmin Hosp, Wuhan 430060, Peoples R China; [Wang, Liangchao] Huazhong Univ Sci &amp; Technol, Cent Hosp Wuhan, Tongji Med Coll, Resp Med, Wuhan 430014, Peoples R China</t>
  </si>
  <si>
    <t>Hubei University of Chinese Medicine; Guangxi Medical University; Huazhong University of Science &amp; Technology; Wuhan University; Huazhong University of Science &amp; Technology</t>
  </si>
  <si>
    <t>Zhang, GJ (corresponding author), Hubei Univ Chinese Med, Sch Lab Med, Wuhan 430065, Peoples R China.;Yang, F (corresponding author), Guangxi Med Univ, Sch Pharm, Nanning 530021, Peoples R China.</t>
  </si>
  <si>
    <t>zhanggj@hbtcm.edu.cn; yangfan@gxmu.edu.cn</t>
  </si>
  <si>
    <t>Qin, You/AAZ-9172-2020; Yang, Fan/AFH-9876-2022</t>
  </si>
  <si>
    <t>10.1021/acs.analchem.0c01387</t>
  </si>
  <si>
    <t>WOS:000554986200055</t>
  </si>
  <si>
    <t>Gourzones, C; Ferrand, FR; Amiel, C; Verillaud, B; Barat, A; Guerin, M; Gattolliat, CH; Gelin, A; Klibi, J; Ben Chaaben, A; Schneider, V; Guemira, F; Guigay, J; Lang, P; Jimenez-Pailhes, AS; Busson, P</t>
  </si>
  <si>
    <t>Gourzones, Claire; Ferrand, Francois-Regis; Amiel, Corinne; Verillaud, Benjamin; Barat, Ana; Guerin, Maryse; Gattolliat, Charles-Henry; Gelin, Aurore; Klibi, Jihene; Ben Chaaben, Arij; Schneider, Veronique; Guemira, Fethi; Guigay, Joel; Lang, Philippe; Jimenez-Pailhes, Anne-Sophie; Busson, Pierre</t>
  </si>
  <si>
    <t>Consistent high concentration of the viral microRNA BART17 in plasma samples from nasopharyngeal carcinoma patients - evidence of non-exosomal transport</t>
  </si>
  <si>
    <t>Biomarker; DNA load; Epstein-Barr virus; Exosomes; Head and Neck carcinomas; Lipoproteins; miR-BART; microRNA; Nasopharyngeal carcinoma; Plasma</t>
  </si>
  <si>
    <t>EPSTEIN-BARR-VIRUS; REVEALS POTENTIAL BIOMARKERS; CIRCULATING MICRORNAS; ENCODED MICRORNAS; BLOOD; IDENTIFICATION</t>
  </si>
  <si>
    <t>Background: Because latent Epstein Barr (EBV)-infection is a specific characteristic of malignant nasopharyngeal carcinoma (NPC), various molecules of viral origin are obvious candidate biomarkers in this disease. In a previous study, we could show in a few clinical samples that it was possible to detect a category of EBV microRNAs called miR-BARTs in the plasma of at least a fraction of NPC patients. The first aim of the present study was to investigate the status of circulating miR-BART17-5p (one of the miR-BARTs hereafter called miR-BART17) and EBV DNA in a larger series of NPC plasma samples. The second aim was to determine whether or not circulating miR-BART17 was carried by plasma exosomes. Patients and methods: Plasma samples were collected from 26 NPC patients and 10 control donors, including 9 patients with non-NPC Head and Neck squamous cell carcinoma and one healthy EBV carrier. Concentrations of miR-BART17 and two cellular microRNAs (hsa-miR-16 and -146a) were assessed by real-time quantitative PCR with spike-in normalization and absolute quantification. In addition, for 2 patients, exosome distributions of miR-BART17 and miR-16 were investigated following plasma lipoprotein fractionation by isopycnic density gradient ultrcentrifugation. Results: The miR-BART17 was significantly more abundant in plasma samples from NPC patients compared to non-NPC donors. Above a threshold of 506 copies/mL, detection of miR-BART17 was highly specific for NPC patients (ROC curve analysis: AUC=0.87 with true positive rate = 0.77, false positive rate = 0.10). In this relatively small series, the concentration of plasma miR-BART17 and the plasma EBV DNA load were not correlated. When plasma samples were fractionated, miR-BART17 co-purified with a protein-rich fraction but not with exosomes. Conclusions: Detection of high concentrations of plasma miR-BART17 is consistent in NPC patients. This parameter is, at least in part, independent of the viral DNA load. Circulating miR-BART17 does not co-purify with exosomes.</t>
  </si>
  <si>
    <t>[Gourzones, Claire; Ferrand, Francois-Regis; Verillaud, Benjamin; Barat, Ana; Gattolliat, Charles-Henry; Gelin, Aurore; Klibi, Jihene; Jimenez-Pailhes, Anne-Sophie; Busson, Pierre] Univ Paris 11, CNRS UMR 8126, F-94805 Villejuif, France; [Gourzones, Claire; Ferrand, Francois-Regis; Verillaud, Benjamin; Barat, Ana; Gattolliat, Charles-Henry; Gelin, Aurore; Klibi, Jihene; Jimenez-Pailhes, Anne-Sophie; Busson, Pierre] Inst Cancerol Gustave Roussy, F-94805 Villejuif, France; [Ferrand, Francois-Regis] Ecole Val de Grace, F-75005 Paris, France; [Amiel, Corinne; Schneider, Veronique] Hop Tenon, Dept Virol, F-75020 Paris, France; [Verillaud, Benjamin] Hop Lariboisiere, Head &amp; Neck Dept, F-75010 Paris, France; [Guerin, Maryse] Univ Paris 06, Hop Pitie, INSERM UMRS 939, F-75013 Paris, France; [Ben Chaaben, Arij; Guemira, Fethi] Inst Salah Azaiz, Dept Biol Clin, Tunis, Tunisia; [Guigay, Joel] Inst Cancerol Gustave Roussy, Head &amp; Neck Tumors Dept, F-94805 Villejuif, France; [Lang, Philippe] Hop La Pitie Salpetriere, Dept Radiotherapy, F-75013 Paris, France</t>
  </si>
  <si>
    <t>Centre National de la Recherche Scientifique (CNRS); CNRS - National Institute for Biology (INSB); UDICE-French Research Universities; Universite Paris Saclay; UNICANCER; Gustave Roussy; Assistance Publique Hopitaux Paris (APHP); Hopital Universitaire Tenon - APHP; UDICE-French Research Universities; Sorbonne Universite; Assistance Publique Hopitaux Paris (APHP); Hopital Universitaire Lariboisiere-Fernand-Widal - APHP; UDICE-French Research Universities; Universite de Paris; Assistance Publique Hopitaux Paris (APHP); Hopital Universitaire Pitie-Salpetriere - APHP; Institut National de la Sante et de la Recherche Medicale (Inserm); UDICE-French Research Universities; Sorbonne Universite; Universite de Tunis-El-Manar; Institut Salah Azaiez; UNICANCER; Gustave Roussy; Assistance Publique Hopitaux Paris (APHP); Hopital Universitaire Pitie-Salpetriere - APHP; UDICE-French Research Universities; Sorbonne Universite</t>
  </si>
  <si>
    <t>Busson, P (corresponding author), Univ Paris 11, CNRS UMR 8126, 39 Rue Camille Desmoulins, F-94805 Villejuif, France.</t>
  </si>
  <si>
    <t>pierre.busson@igr.fr</t>
  </si>
  <si>
    <t>Guerin, Maryse/N-5794-2017; Verillaud, Benjamin/AAM-5105-2020; AMIEL, Corinne/B-7854-2012</t>
  </si>
  <si>
    <t>AMIEL, Corinne/0000-0002-1144-4868; GUERIN, Maryse/0000-0003-0150-1360; Verillaud, Benjamin/0000-0003-0611-4570; Busson, Pierre/0000-0003-1027-3400</t>
  </si>
  <si>
    <t>10.1186/1743-422X-10-119</t>
  </si>
  <si>
    <t>WOS:000320517400001</t>
  </si>
  <si>
    <t>Chang, CL; Chen, CH; Chiang, JY; Sun, CK; Chen, YL; Chen, KH; Sung, PH; Huang, TH; Li, YC; Chen, HH; Yip, HK</t>
  </si>
  <si>
    <t>Chang, Chia-Lo; Chen, Chih-Hung; Chiang, John Y.; Sun, Cheuk-Kwan; Chen, Yi-Ling; Chen, Kuan-Hung; Sung, Pei-Hsun; Huang, Tien-Hung; Li, Yi-Chen; Chen, Hong-Hwa; Yip, Hon-Kan</t>
  </si>
  <si>
    <t>Synergistic effect of combined melatonin and adipose-derived mesenchymal stem cell (ADMSC)-derived exosomes on amelioration of dextran sulfate sodium (DSS)-induced acute colitis</t>
  </si>
  <si>
    <t>Dextran sulfate sodium; acute colitis; inflammation; oxidative stress; melatonin; exosome</t>
  </si>
  <si>
    <t>INFLAMMATORY BOWEL DISEASES; ISCHEMIA-REPERFUSION INJURY; ULCERATIVE-COLITIS; THERAPY; KIDNEY; DAMAGE</t>
  </si>
  <si>
    <t>This study tested the hypothesis that melatonin (Mel) and adipose-derived mesenchymal stem cell-derived exosomes effectively suppress dextran sulfate sodium (DSS)-induced acute inflammatory colitis (AIC) in rats. To determine whether Mel-exosome treatment could ameliorate the severity of AIC, we treated Sprague Dawley rats with DSS-induced AIC with Mel, exosomes, or combined Mel-exosome therapy and evaluated the effects on AIC. First, to induce an inflammatory response in vitro, we treated HT-29 cells with lipopolysaccharide (LPS) and evaluated the response to Mel and/or exosome treatment. We found that expression of NOX-1, NOX-2, MMP-9, NF-kappa B, INOS, ICAM-1, and COX-2 was significantly higher in HT-29 cells treated with LPS than in control cells, and was significantly reduced by either exosome or Mel treatment (P&lt;0.001 for all). In vivo, flow cytometric analysis showed that, compared to untreated rats with AIC, the number of circulating inflammatory cells was lowest in rats treated with combined Mel-exosome treatment than in rats treated with either Mel or exosomes alone (P&lt;0.0001). Compared with controls, as well as Mel or exosome treatment alone, combined Mel-exosome treatment ameliorated the effects of DSS-induced AIC as evidenced by changes in the expression of markers for inflammation, oxidative stress, apoptosis, and fibrosis (P&lt;0.0001 for all). Additionally, histopathological findings showed that colon injury score, expression of inflammatory and DNA-damage markers, and bloody stool were all improved following combined Melexosome treatment (P&lt;0.0001 for all). In conclusion, combined Mel-exosome treatment significantly protected the rat colon against DSS-induced AIC injury.</t>
  </si>
  <si>
    <t>[Chang, Chia-Lo; Chen, Hong-Hwa] Kaohsiung Chang Gung Mem Hosp, Dept Surg, Div Colorectal Surg, 123 Dapi Rd, Kaohsiung 83301, Taiwan; [Chang, Chia-Lo; Chen, Chih-Hung; Chen, Yi-Ling; Chen, Kuan-Hung; Sung, Pei-Hsun; Huang, Tien-Hung; Li, Yi-Chen; Chen, Hong-Hwa; Yip, Hon-Kan] Chang Gung Univ, Coll Med, Kaohsiung 83301, Taiwan; [Chen, Chih-Hung] Kaohsiung Chang Gung Mem Hosp, Dept Internal Med, Div Gen Med, Kaohsiung 83301, Taiwan; [Chiang, John Y.] Natl Sun Yat Sen Univ, Dept Comp Sci &amp; Engn, Kaohsiung, Taiwan; [Sun, Cheuk-Kwan] I Shou Univ, Sch Med Int Students, E Da Hosp, Dept Emergency Med, Kaohsiung 82445, Taiwan; [Chen, Yi-Ling; Sung, Pei-Hsun; Huang, Tien-Hung; Li, Yi-Chen; Yip, Hon-Kan] Kaohsiung Chang Gung Mem Hosp, Dept Internal Med, Div Cardiol, 123 Dapi Rd, Kaohsiung 83301, Taiwan; [Chen, Kuan-Hung] Kaohsiung Chang Gung Mem Hosp, Dept Anesthesiol, Kaohsiung 83301, Taiwan; [Chen, Yi-Ling; Huang, Tien-Hung; Yip, Hon-Kan] Kaohsiung Chang Gung Mem Hosp, Inst Translat Res Biomed, Kaohsiung 83301, Taiwan; [Yip, Hon-Kan] Kaohsiung Chang Gung Mem Hosp, Ctr Shockwave Med &amp; Tissue Engn, Kaohsiung 83301, Taiwan; [Yip, Hon-Kan] China Med Univ, China Med Univ Hosp, Dept Med Res, Taichung 40402, Taiwan; [Yip, Hon-Kan] Asia Univ, Dept Nursing, Taichung 41354, Taiwan</t>
  </si>
  <si>
    <t>Chang Gung Memorial Hospital; Chang Gung University; Chang Gung Memorial Hospital; National Sun Yat Sen University; E-Da Hospital; I Shou University; Chang Gung Memorial Hospital; Chang Gung Memorial Hospital; Chang Gung Memorial Hospital; Chang Gung Memorial Hospital; China Medical University Taiwan; China Medical University Hospital - Taiwan; Asia University Taiwan</t>
  </si>
  <si>
    <t>Chen, HH (corresponding author), Kaohsiung Chang Gung Mem Hosp, Dept Surg, Div Colorectal Surg, 123 Dapi Rd, Kaohsiung 83301, Taiwan.;Yip, HK (corresponding author), Kaohsiung Chang Gung Mem Hosp, Dept Internal Med, Div Cardiol, 123 Dapi Rd, Kaohsiung 83301, Taiwan.</t>
  </si>
  <si>
    <t>ma2561@adm.cgmh.org.tw; han.gung@msa.hinet.net</t>
  </si>
  <si>
    <t>Li, Yi-Chen/0000-0002-5103-7642; Sung, Pei-Hsun/0000-0002-1989-9752</t>
  </si>
  <si>
    <t>WOS:000469965000007</t>
  </si>
  <si>
    <t>Jabbari, N; Nawaz, M; Rezaie, J</t>
  </si>
  <si>
    <t>Jabbari, Nasrollah; Nawaz, Muhammad; Rezaie, Jafar</t>
  </si>
  <si>
    <t>Ionizing Radiation Increases the Activity of Exosomal Secretory Pathway in MCF-7 Human Breast Cancer Cells: A Possible Way to Communicate Resistance against Radiotherapy</t>
  </si>
  <si>
    <t>exosomes; ionizing radiation; X-ray; MCF-7 cells; breast cancer</t>
  </si>
  <si>
    <t>EXTRACELLULAR VESICLES; TUMOR BIOLOGY; IN-VITRO; MECHANISMS; STRESS; DEATH; DNA</t>
  </si>
  <si>
    <t>Radiation therapy, which applies high-energy rays, to eradicate tumor cells, is considered an essential therapy for the patients with breast cancer. Most tumor cells secrete exosomes, which are involved in cell-to-cell communication in tumor tissue and contribute therapeutic resistance and promote tumor aggressiveness. Here, we investigated the effect of clinically applicable doses of X-ray irradiation (2, 4, 6, 8, 10 Gy) on the dynamics of the exosomes' activity in MCF-7 breast cancer cells. Survival and apoptosis rate of cells against X-ray doses was examined using MTT and flow cytometry assays, respectively. Whereas, the levels of reactive oxygen species (ROS) in the X-ray-treated cells were detected by fluorometric method. The mRNA levels of vital genes involved in exosome biogenesis and secretion including Alix, Rab11, Rab27a, Rab27b, TSPA8, and CD63 were measured by real-time PCR. The protein level of CD63 was examined by Western blotting. Additionally, exosomes were characterized by monitoring acetylcholinesterase activity, transmission electron microscopy, size determination, and zeta potential. The result showed that in comparison with control group cell survival and the percentage of apoptotic cells as well as amount of ROS dose-dependently decreased and increased in irradiated cells respectively (p &lt; 0.05). The expression level of genes including Alix, Rab27a, Rab27b, TSPA8, and CD63 as well as the protein level of CD63 upraised according to an increase in X-ray dose (p &lt; 0.05). We found that concurrent with an increasing dose of X-ray, the acetylcholinesterase activity, size, and zeta-potential values of exosomes from irradiated cells increased (p &lt; 0.05). Data suggest X-ray could activate exosome biogenesis and secretion in MCF-7 cells in a dose-dependent way, suggesting the therapeutic response of cells via ROS and exosome activity.</t>
  </si>
  <si>
    <t>[Jabbari, Nasrollah; Rezaie, Jafar] Urmia Univ Med Sci, Solid Tumor Res Ctr, Cellular &amp; Mol Med Inst, Orumiyeh 57591, Iran; [Nawaz, Muhammad] Univ Gothenburg, Inst Med, Dept Rheumatol &amp; Inflammat Res, Sahlgrenska Acad, S-41346 Gothenburg, Sweden</t>
  </si>
  <si>
    <t>Urmia University of Medical Sciences; University of Gothenburg</t>
  </si>
  <si>
    <t>Rezaie, J (corresponding author), Urmia Univ Med Sci, Solid Tumor Res Ctr, Cellular &amp; Mol Med Inst, Orumiyeh 57591, Iran.</t>
  </si>
  <si>
    <t>Rezaie.j@umsu.ac.ir</t>
  </si>
  <si>
    <t>Rezaie, Jafar/U-2932-2019; rezaie, jafar/Q-9249-2018; Nawaz, Muhammad/B-6596-2014</t>
  </si>
  <si>
    <t>Rezaie, Jafar/0000-0001-8175-3730; rezaie, jafar/0000-0001-8175-3730; Nawaz, Muhammad/0000-0002-0792-8296</t>
  </si>
  <si>
    <t>10.3390/ijms20153649</t>
  </si>
  <si>
    <t>WOS:000482383000042</t>
  </si>
  <si>
    <t>Ji, X; Ma, YD; Liu, W; Liu, LM; Yang, HY; Wu, JP; Zong, XQ; Dai, J; Xue, W</t>
  </si>
  <si>
    <t>Ji, Xin; Ma, Yandong; Liu, Wen; Liu, Lamei; Yang, Haiyuan; Wu, Jinpei; Zong, Xiaoqing; Dai, Jian; Xue, Wei</t>
  </si>
  <si>
    <t>In Situ Cell Membrane Fusion for Engineered Tumor Cells by Worm-like Nanocell Mimics</t>
  </si>
  <si>
    <t>engineered cells; worm-like nanocell mimics; in situ cell membrane fusion; extracellular vesicles; circulating tumor cells</t>
  </si>
  <si>
    <t>DRUG-DELIVERY; DNA METHYLATION; CANCER-CELLS; NANOPARTICLES; METASTASIS; THERAPY; PEPTIDES; VESICLES; RELEASE; LESSONS</t>
  </si>
  <si>
    <t>Cell-based therapy is a promising clinic strategy to address many unmet medical needs. However, engineering cells faces some inevitable challenges, such as limited sources of cells, cell epigenetic alterations, and short shelf life during in vitro culture. Here, the worm-like nanocell mimics are fabricated to engineer effectively the tumor cells in vivo through the synergistic combination of nongenetic membrane surface engineering and inside encapsulation using in situ cell membrane fusion. The specific targeting and deformability of nanocell mimics play a vital role in membrane fusion mechanisms. The engineered primary tumor cells improved the tumor penetration of therapeutic cargoes via extracellular vesicles, while the engineered circulating tumor cells (CTCs) can capture the homologous cells to form the CTC clusters in the bloodstream and eliminate the CTC clusters in the lung, thus achieving excellent antitumor and antimetastasis efficacy. Above all, we find an intriguing phenomenon, in situ cell membrane fusion by the worm-like nanocell mimics, and our finding of in situ cell membrane fusion inspired us to engineer tumor cells in vivo. The present study would be a particularly meaningful strategy to directly engineer cells in vivo for cell-based therapy.</t>
  </si>
  <si>
    <t>[Ji, Xin; Ma, Yandong; Liu, Wen; Liu, Lamei; Yang, Haiyuan; Wu, Jinpei; Zong, Xiaoqing; Dai, Jian; Xue, Wei] Jinan Univ, Key Lab Biomat Guangdong Higher Educ Inst, Engn Technol Res Ctr Drug Carrier Guangdong, Dept Biomed Engn, Guangzhou 510632, Peoples R China</t>
  </si>
  <si>
    <t>Jinan University</t>
  </si>
  <si>
    <t>Dai, J; Xue, W (corresponding author), Jinan Univ, Key Lab Biomat Guangdong Higher Educ Inst, Engn Technol Res Ctr Drug Carrier Guangdong, Dept Biomed Engn, Guangzhou 510632, Peoples R China.</t>
  </si>
  <si>
    <t>daijian@jnu.edu.cn; weixue_jnu@aliyun.com</t>
  </si>
  <si>
    <t>Ma, Yandong/J-9854-2014</t>
  </si>
  <si>
    <t>Ma, Yandong/0000-0003-1572-7766</t>
  </si>
  <si>
    <t>JUN 23</t>
  </si>
  <si>
    <t>10.1021/acsnano.0c03131</t>
  </si>
  <si>
    <t>WOS:000543744100104</t>
  </si>
  <si>
    <t>Lim, J; Choi, M; Lee, H; Han, JY; Cho, Y</t>
  </si>
  <si>
    <t>Lim, Jiyun; Choi, Mihye; Lee, HyungJae; Han, Ji-Youn; Cho, Youngnam</t>
  </si>
  <si>
    <t>A Novel Multifunctional Nanowire Platform for Highly Efficient Isolation and Analysis of Circulating Tumor-Specific Markers</t>
  </si>
  <si>
    <t>FRONTIERS IN CHEMISTRY</t>
  </si>
  <si>
    <t>plasma; exosome; circulating tumor cells; lung cancer; nanowire</t>
  </si>
  <si>
    <t>EXOSOMES; RELEASE; CELLS; DNA</t>
  </si>
  <si>
    <t>Circulating tumor-specific markers are crucial to understand the molecular and cellular processes underlying cancer, and to develop therapeutic strategies for the treatment of the disease in clinical applications. Many approaches to isolate and analyze these markers have been reported. Here, we propose a straightforward method for highly efficient capture and release of exosomes and circulating tumor cells (CTCs) in a single platform with well-ordered three-dimensional (3D) architecture that is constructed using a simple electrochemical method. Conductive polypyrrole nanowires (Ppy NWs) are conjugated with monoclonal antibodies that specifically recognize marker proteins on the surface of exosomes or CTCs. In response to electrical- or glutathione (GSH)-mediated stimulation, the captured exosomes or cells can be finely controlled for retrieval from the NW platform. A surface having nano-topographic structures allows the specific recognition and capture of small-sized exosome-like vesicles (30-100 nm) by promoting topographical interactions, while physically blocking larger vesicles (i.e., microvesicles, 100-1,000 nm). In addition, vertically aligned features greatly improve cell capture efficiency after modification with desired high-binding affinity biomolecules. Notably, exosomes and CTCs can be sequentially isolated from cancer patients' blood samples using a single NW platform via modulating electrochemical and chemical cues, which clearly exhibits great potential for the diagnosis of various cancer types and for downstream analysis due to its facile, effective, and low-cost performance.</t>
  </si>
  <si>
    <t>[Lim, Jiyun; Choi, Mihye; Lee, HyungJae; Cho, Youngnam] Natl Canc Ctr, Biomarker Branch, Goyang, South Korea; [Lim, Jiyun; Cho, Youngnam] Grad Sch Canc Sci &amp; Policy, Dept Canc Biomed Sci, Goyang, South Korea; [Lee, HyungJae] Yonsei Univ, Dept Med Sci, Coll Med, Seoul, South Korea; [Han, Ji-Youn] Natl Canc Ctr, Ctr Lung Canc, Goyang, South Korea; [Cho, Youngnam] Genopsy Inc, Seoul, South Korea</t>
  </si>
  <si>
    <t>National Cancer Center - Korea (NCC); Yonsei University; Yonsei University Health System; National Cancer Center - Korea (NCC)</t>
  </si>
  <si>
    <t>Cho, Y (corresponding author), Natl Canc Ctr, Biomarker Branch, Goyang, South Korea.;Cho, Y (corresponding author), Grad Sch Canc Sci &amp; Policy, Dept Canc Biomed Sci, Goyang, South Korea.;Cho, Y (corresponding author), Genopsy Inc, Seoul, South Korea.</t>
  </si>
  <si>
    <t>yncho@ncc.re.kr</t>
  </si>
  <si>
    <t>2296-2646</t>
  </si>
  <si>
    <t>10.3389/fchem.2018.00664</t>
  </si>
  <si>
    <t>WOS:000455702400001</t>
  </si>
  <si>
    <t>Haney, MJ; Zhao, YL; Harrison, EB; Mahajan, V; Ahmed, S; He, ZJ; Suresh, P; Hingtgen, SD; Klyachko, NL; Mosley, RL; Gendelman, HE; Kabanov, AV; Batrakova, EV</t>
  </si>
  <si>
    <t>Haney, Matthew J.; Zhao, Yuling; Harrison, Emily B.; Mahajan, Vivek; Ahmed, Shaheen; He, Zhijian; Suresh, Poornima; Hingtgen, Shawn D.; Klyachko, Natalia L.; Mosley, R. Lee; Gendelman, Howard E.; Kabanov, Alexander V.; Batrakova, Elena V.</t>
  </si>
  <si>
    <t>Specific Transfection of Inflamed Brain by Macrophages: A New Therapeutic Strategy for Neurodegenerative Diseases</t>
  </si>
  <si>
    <t>ATOMIC-FORCE MICROSCOPY; CELL-BASED DELIVERY; NEURAL STEM-CELLS; PARKINSONS-DISEASE; NEUROTROPHIC FACTOR; GENE-TRANSFER; IN-VIVO; ALZHEIMERS-DISEASE; MEDIATED TRANSFER; OXIDATIVE STRESS</t>
  </si>
  <si>
    <t>The ability to precisely upregulate genes in inflamed brain holds great therapeutic promise. Here we report a novel class of vectors, genetically modified macrophages that carry reporter and therapeutic genes to neural cells. Systemic administration of macrophages transfected ex vivo with a plasmid DNA (pDNA) encoding a potent antioxidant enzyme, catalase, produced month-long expression levels of catalase in the brain resulting in three-fold reductions in inflammation and complete neuroprotection in mouse models of Parkinson's disease (PD). This resulted in significant improvements in motor functions in PD mice. Mechanistic studies revealed that transfected macrophages secreted extracellular vesicles, exosomes, packed with catalase genetic material, pDNA and mRNA, active catalase, and NF-kappa b, a transcription factor involved in the encoded gene expression. Exosomes efficiently transfer their contents to contiguous neurons resulting in de novo protein synthesis in target cells. Thus, genetically modified macrophages serve as a highly efficient system for reproduction, packaging, and targeted gene and drug delivery to treat inflammatory and neurodegenerative disorders.</t>
  </si>
  <si>
    <t>[Haney, Matthew J.; Zhao, Yuling; Harrison, Emily B.; Mahajan, Vivek; Ahmed, Shaheen; He, Zhijian; Suresh, Poornima; Klyachko, Natalia L.; Kabanov, Alexander V.; Batrakova, Elena V.] Univ Nebraska Med Ctr, Ctr Drug Delivery &amp; Nanomed, Dept Pharmaceut Sci, Omaha, NE USA; [Mahajan, Vivek] Univ Nebraska Med Ctr, Dept Pathol &amp; Microbiol, Omaha, NE USA; [Suresh, Poornima; Mosley, R. Lee; Gendelman, Howard E.] Univ Nebraska Med Ctr, Ctr Neurodegenerat Disorders, Dept Pharmacol &amp; Expt Neurosci, Omaha, NE USA; [Hingtgen, Shawn D.] Univ N Carolina, Eshelman Sch Pharm, Chapel Hill, NC USA; [Klyachko, Natalia L.; Kabanov, Alexander V.] Moscow MV Lomonosov State Univ, Fac Chem, Dept Chem Enzymol, Moscow 117234, Russia</t>
  </si>
  <si>
    <t>University of Nebraska System; University of Nebraska Medical Center; University of Nebraska System; University of Nebraska Medical Center; University of Nebraska System; University of Nebraska Medical Center; University of North Carolina; University of North Carolina Chapel Hill; Lomonosov Moscow State University</t>
  </si>
  <si>
    <t>Batrakova, EV (corresponding author), Univ Nebraska Med Ctr, Ctr Drug Delivery &amp; Nanomed, Dept Pharmaceut Sci, Omaha, NE USA.</t>
  </si>
  <si>
    <t>batrakov@email.unc.edu</t>
  </si>
  <si>
    <t>Kabanov, Alexander V/N-3356-2013; Klyachko, Natalia L./AAU-8856-2021; Kabanov, Alexander/AAY-5751-2020; Klyachko, Natalia L/J-9512-2013; Harrison, Emily B./AAW-1826-2021</t>
  </si>
  <si>
    <t>Kabanov, Alexander V/0000-0002-3665-946X; Klyachko, Natalia L./0000-0002-9357-8236; Kabanov, Alexander/0000-0002-3665-946X; Harrison, Emily B./0000-0002-6934-3875</t>
  </si>
  <si>
    <t>e61852</t>
  </si>
  <si>
    <t>10.1371/journal.pone.0061852</t>
  </si>
  <si>
    <t>WOS:000317909500074</t>
  </si>
  <si>
    <t>Brevini, TAL; Manzoni, EFM; Gandolfi, F</t>
  </si>
  <si>
    <t>Brevini, Tiziana A. L.; Manzoni, Elena F. M.; Gandolfi, Fulvio</t>
  </si>
  <si>
    <t>Methylation mechanisms and biomechanical effectors controlling cell fate</t>
  </si>
  <si>
    <t>REPRODUCTION FERTILITY AND DEVELOPMENT</t>
  </si>
  <si>
    <t>Annual Conference of the International-Embryo-Technology-Society (IETS)</t>
  </si>
  <si>
    <t>JAN 13-16, 2018</t>
  </si>
  <si>
    <t>Bangkok, THAILAND</t>
  </si>
  <si>
    <t>epigenetic modifier; extracellular vesicles; mechanosensing; methyltransferase; ten-eleven translocation (TET) enzyme</t>
  </si>
  <si>
    <t>INSULIN-SECRETING CELLS; EMBRYONIC STEM-CELLS; DNA METHYLATION; SKELETAL-MUSCLE; EPIGENETIC CONVERSION; LINEAGE COMMITMENT; NAIVE PLURIPOTENCY; HUMAN FIBROBLASTS; SKIN FIBROBLASTS; LIQUID MARBLES</t>
  </si>
  <si>
    <t>Mammalian development and cell fate specification are controlled by multiple regulatory mechanisms that interact in a coordinated way to ensure proper regulation of gene expression and spatial restriction, allowing cells to adopt distinct differentiation traits and a terminal phenotype. For example, cell potency is modulated by changes in methylation that are under the control of methyltransferases and ten-eleven translocation (TET) enzymes, which establish or erase a phenotype-specific methylation pattern during embryo development and mesenchymal to epithelial transition (MET). Cell plasticity is also responsive to extracellular factors, such as small molecules that interact with cell fate definition and induce a transient pluripotent state that allows the direct conversion of an adult mature cell into another differentiated cell type. In addition, cell-secreted vesicles emerge as powerful effectors, capable of modifying cell function and phenotype and delivering different signals, such as octamer-binding transcription factor-4 (Oct4) and SRY (sex determining region Y)-box 2 (Sox2) mRNAs (implicated in the preservation of pluripotency), thus triggering epigenetic changes in the recipient cells. In parallel, mechanical properties of the cellular microenvironment and three-dimensional rearrangement can affect both cell potency and differentiation through marked effects on cytoskeletal remodelling and with the involvement of specific mechanosensing-related pathways.</t>
  </si>
  <si>
    <t>[Brevini, Tiziana A. L.; Manzoni, Elena F. M.; Gandolfi, Fulvio] Univ Milan, Lab Biomed Embryol, Ctr Stem Cell Res, Via Celoria 10, I-20133 Milan, Italy</t>
  </si>
  <si>
    <t>University of Milan</t>
  </si>
  <si>
    <t>Brevini, TAL (corresponding author), Univ Milan, Lab Biomed Embryol, Ctr Stem Cell Res, Via Celoria 10, I-20133 Milan, Italy.</t>
  </si>
  <si>
    <t>tiziana.brevini@unimi.it</t>
  </si>
  <si>
    <t>Gandolfi, Fulvio/G-6781-2017</t>
  </si>
  <si>
    <t>Gandolfi, Fulvio/0000-0002-3246-2985</t>
  </si>
  <si>
    <t>1031-3613</t>
  </si>
  <si>
    <t>1448-5990</t>
  </si>
  <si>
    <t>10.1071/RD17348</t>
  </si>
  <si>
    <t>Developmental Biology; Reproductive Biology; Zoology</t>
  </si>
  <si>
    <t>WOS:000416975900007</t>
  </si>
  <si>
    <t>Helms, J; Clere-Jehl, R; Bianchini, E; Le Borgne, P; Burban, M; Zobairi, F; Diehl, JL; Grunebaum, L; Toti, F; Meziani, F; Borgel, D</t>
  </si>
  <si>
    <t>Helms, Julie; Clere-Jehl, Raphael; Bianchini, Elsa; Le Borgne, Pierrick; Burban, Melanie; Zobairi, Fatiha; Diehl, Jean-Luc; Grunebaum, Lelia; Toti, Florence; Meziani, Ferhat; Borgel, Delphine</t>
  </si>
  <si>
    <t>Thrombomodulin favors leukocyte microvesicle fibrinolytic activity, reduces NETosis and prevents septic shock-induced coagulopathy in rats</t>
  </si>
  <si>
    <t>ANNALS OF INTENSIVE CARE</t>
  </si>
  <si>
    <t>DIC; Immunothrombosis; Microvesicles; NETosis; Septic shock</t>
  </si>
  <si>
    <t>NEUTROPHIL EXTRACELLULAR TRAPS; INTRAVASCULAR COAGULATION; SEVERE SEPSIS; THROMBOSIS; DNA; ANTITHROMBIN; INFLAMMATION; DYSFUNCTION; ACTIVATION; PLATELETS</t>
  </si>
  <si>
    <t>Background: Septic shock-induced disseminated intravascular coagulation is responsible for increased occurrence of multiple organ dysfunction and mortality. Immunothrombosis-induced coagulopathy may contribute to hypercoagulability. We aimed at determining whether recombinant human thrombomodulin (rhTM) could control exaggerated immunothrombosis by studying procoagulant responses, fibrinolysis activity borne by microvesicles (MVs) and NETosis in septic shock. Methods: In a septic shock model after a cecal ligation and puncture-induced peritonitis (H0), rats were treated with rhTM or a placebo at H18, resuscitated and monitored during 4 h. At H22, blood was sampled to perform coagulation tests, to characterize MVs and to detect neutrophils extracellular traps (NETs). Lungs were stained with hematoxylin-eosin for inflammatory injury assessment. Results: Coagulopathy was attenuated in rhTM-treated septic rats compared to placebo-treated rats, as attested by a significant decrease in procoagulant annexin A5(+)-MVs and plasma procoagulant activity of phospholipids and by a significant increase in antithrombin levels (84 +/- 8 vs. 64 +/- 6%, p &lt; 0.05), platelet count (582 +/- 157 vs. 319 +/- 91 x 10(9)/L, p &lt; 0.05) and fibrinolysis activity borne by MVs (2.9 +/- 0.26 vs. 0.48 +/- 0.29 U/mL urokinase, p &lt; 0.05). Lung histological injury score showed significantly less leukocyte infiltration. Decreased procoagulant activity and lung injury were concomitant with decreased leukocyte activation as attested by plasma leukocyte-derived MVs and NETosis reduction after rhTM treatment (neutrophil elastase/DNA: 93 +/- 33 vs. 227 +/- 48 and citrullinated histones H3/DNA: 96 +/- 16 vs. 242 +/- 180, mOD for 10(9) neutrophils/L, p &lt; 0.05). Conclusion: Thrombomodulin limits procoagulant responses and NETosis and at least partly restores hemostasis control during immunothrombosis. Neutrophils might thus stand as a promising therapeutic target in septic shock-induced coagulopathy.</t>
  </si>
  <si>
    <t>[Helms, Julie; Bianchini, Elsa; Borgel, Delphine] Univ Paris Sud, Hop Bicetre, UMR INSERM 1176, 78 Rue Gen Leclerc, F-94270 Le Kremlin Bicetre, France; [Helms, Julie; Diehl, Jean-Luc] Hop Europeen Georges Pompidou, AP HP, Reanimat Med, 20 Rue Leblanc, F-75015 Paris, France; [Clere-Jehl, Raphael; Meziani, Ferhat] Univ Strasbourg UNISTRA, Hop Univ Strasbourg, Fac Med, Serv Reanimat,Nouvel Hop Civil, Strasbourg, France; [Clere-Jehl, Raphael; Burban, Melanie; Zobairi, Fatiha; Toti, Florence; Meziani, Ferhat] French Natl Inst Hlth &amp; Med Res, INSERM, Regenerat Nanomed RNM, FMTS,UMR 1260, Strasbourg, France; [Le Borgne, Pierrick] CHU Strasbourg, Hop Hautepierre, Serv Accueil Urgences, 1 Ave Moliere, F-67200 Strasbourg, France; [Grunebaum, Lelia] CHU Strasbourg, Hop Hautepierre, Lab Hematol &amp; Hemostase, 1 Ave Moliere, F-67200 Strasbourg, France</t>
  </si>
  <si>
    <t>Assistance Publique Hopitaux Paris (APHP); Hopital Universitaire Bicetre - APHP; UDICE-French Research Universities; Universite Paris Saclay; Assistance Publique Hopitaux Paris (APHP); Hopital Universitaire Europeen Georges-Pompidou - APHP; UDICE-French Research Universities; Universite de Paris; CHU Strasbourg; UDICE-French Research Universities; Universites de Strasbourg Etablissements Associes; Universite de Strasbourg; Institut National de la Sante et de la Recherche Medicale (Inserm); UDICE-French Research Universities; Universites de Strasbourg Etablissements Associes; Universite de Strasbourg; CHU Strasbourg; UDICE-French Research Universities; Universites de Strasbourg Etablissements Associes; Universite de Strasbourg; CHU Strasbourg; UDICE-French Research Universities; Universites de Strasbourg Etablissements Associes; Universite de Strasbourg</t>
  </si>
  <si>
    <t>Borgel, D (corresponding author), Univ Paris Sud, Hop Bicetre, UMR INSERM 1176, 78 Rue Gen Leclerc, F-94270 Le Kremlin Bicetre, France.</t>
  </si>
  <si>
    <t>delphine.borgel@inserm.fr</t>
  </si>
  <si>
    <t>BIANCHINI, Elsa/0000-0002-1370-5312; Borgel, Delphine/0000-0002-8847-8935; Helms, Julie/0000-0003-0895-6800</t>
  </si>
  <si>
    <t>2110-5820</t>
  </si>
  <si>
    <t>10.1186/s13613-017-0340-z</t>
  </si>
  <si>
    <t>WOS:000417814900001</t>
  </si>
  <si>
    <t>Melnik, BC; Schmitz, G</t>
  </si>
  <si>
    <t>Melnik, Bodo C.; Schmitz, Gerd</t>
  </si>
  <si>
    <t>DNA methyltransferase 1-targeting miRNA-148a of dairy milk: a potential bioactive modifier of the human epigenome</t>
  </si>
  <si>
    <t>FUNCTIONAL FOODS IN HEALTH AND DISEASE</t>
  </si>
  <si>
    <t>adipogenesis; dairy; DNA methyltransferase 1; epigenetics; exosome; miRNA-148a; miRNA-125b; milk; obesity; p53; Parkinson disease; prostate cancer</t>
  </si>
  <si>
    <t>COWS MILK; PARKINSONS-DISEASE; BREAST-MILK; EXTRACELLULAR VESICLES; LACTOSE-INTOLERANCE; STEM-CELLS; MICRORNAS; EXOSOMES; EXPRESSION; RISK</t>
  </si>
  <si>
    <t>Background: The perception of milk has changed from a simple food to a more sophisticated bioactive functional signaling system that promotes mTORC1-driven postnatal anabolism, growth, and development of the newborn infant. Accumulating evidence supports the view that milk ' s miRNAs significantly contribute to these processes. The most abundant miRNA of milk found in milk fat and milk exosomes is miRNA-148a, which targets DNA methyltransferase 1 (DNMT1), a pivotal epigenetic regulator that suppresses transcription. Furthermore, milk-derived miRNA125b, miRNA-30d, and miRNA-25 target TP53, the guardian of the genome that interacts with DNMT1 and regulates metabolism, cell kinetics, and apoptosis. Thus, the question arose whether cow's milk-derived miRNAs may modify epigenetic regulation of the human milk consumer. Methods: To understand the potential impact of dairy milk consumption on human epigenetics, we have analyzed all relevant research-based bioinformatics data related to milk, milk miRNAs, epigenetic regulation, and lactation performance with special attention to bovine miRNAs that modify gene expression of DNA methyltransferase 1 (DNMT1) and p53 (TP53), the two guardians of the mammalian genome. By means of translational research and comparative functional genomics, we investigated the potential impact of cow ' s milk miRNAs on epigenetic regulation of human DNMT1, TP53, FOXP3, and FTO, which are critically involved in immunologic and metabolic programming respectively. miRNA sequences have been obtained from mirbase. org. miRNA-target site prediction has been performed using TargetScan release 7.0. Results: The most abundant miRNA of cow's milk is miRNA-148a, which represents more than 10% of all miRNAs of cow's milk, survives pasteurization and refrigerated storage. The seed sequence of human and bovine miRNA-148a-3p is identical. Furthermore, human and bovine DNMT1 mRNA share 88% identity. The miRNA-148a 7mer seed is conserved in human and bovine DNMT1 mRNA respectively, which may allow for the strong binding of bovine miRNA148a to human DNMT1 mRNA. Consequently, we hypothesize that bovine milk miRNA-148a protected by highly resistant milk exosome membranes-may reach the systemic circulation of the milk consumer targeting and suppressing human DNMT1 mRNA. Attenuated DNMT1 expression associated with reduced CpG promoter methylation upregulates gene expression of developmental genes such as FOXP3 and FTO. Milk-derived miRNA-125b, miRNA-30d, and miRNA-25 via targeting TP53 may downregulate p53, which physically interacts with and stabilizes DNMT1. Enhancement of dairy lactation performance is associated with increased expression of bovine milk miRNA-148a, a modification that may further increase the miRNA-148a load of dairy milk. Conclusions: Translational evidence and comparative functional genomics support our hypothesis that bovine milk miRNA signaling may suppress human DNMT1-mediated epigenetic regulation and p53 signaling, which closely interacts with the epigenetic and transcriptional regulation of growth, metabolism, cell cycle progression, and apoptosis. Human and bovine milk miRNAs are able to target DNMT1 and TP53 mRNAs, share identical seed sequences, and resist pasteurization. Pasteurization and refrigeration of dairy milk conserves the gene regulatory software of milk and allows its unrestricted entry into the human food chain. The continued exposure of modern humans to milk's epigenetic machinery since the widespread distribution of refrigerators is a novel change of human nutrition which may promote diseases of Western civilization.</t>
  </si>
  <si>
    <t>[Melnik, Bodo C.] Univ Osnabruck, Dept Dermatol Environm Med &amp; Hlth Theory, D-49076 Osnabruck, Germany; [Schmitz, Gerd] Univ Regensburg, Inst Clin Chem &amp; Lab Med, Univ Hosp Regensburg, D-93053 Regensburg, Germany</t>
  </si>
  <si>
    <t>University Osnabruck; University of Regensburg</t>
  </si>
  <si>
    <t>Melnik, BC (corresponding author), Univ Osnabruck, Dept Dermatol Environm Med &amp; Hlth Theory, D-49076 Osnabruck, Germany.</t>
  </si>
  <si>
    <t>2160-3855</t>
  </si>
  <si>
    <t>10.31989/ffhd.v7i9.379</t>
  </si>
  <si>
    <t>WOS:000412430900001</t>
  </si>
  <si>
    <t>Aldeguer-Riquelme, B; Ramos-Barbero, MD; Santos, F; Anton, J</t>
  </si>
  <si>
    <t>Aldeguer-Riquelme, Borja; Dolores Ramos-Barbero, Maria; Santos, Fernando; Anton, Josefa</t>
  </si>
  <si>
    <t>Environmental dissolved DNA harbours meaningful biological information on microbial community structure</t>
  </si>
  <si>
    <t>VESICLE GENE-CLUSTER; EXTRACELLULAR DNA; HYPERSALINE ENVIRONMENTS; HALOQUADRATUM-WALSBYI; SALINITY GRADIENT; MARINE-SEDIMENTS; DIVERSITY; SALTERN; PLASMID; RNA</t>
  </si>
  <si>
    <t>Extracellular DNA (eDNA) comprises all the DNA molecules outside cells. This component of microbial ecosystems may serve as a source of nutrients and genetic information. Hypersaline environments harbour one of the highest concentrations of eDNA reported for natural systems, which has been attributed to the physicochemical preservative effect of salts and to high viral abundance. Here, we compared centrifugation and filtration protocols for the extraction of dissolved DNA (dDNA, as opposed to eDNA that also includes DNA from free viral particles) from a solar saltern crystallizer pond (CR30) water sample. The crystallizer dDNA fraction has been characterized, for the first time, and compared with cellular and viral metagenomes from the same location. High-speed centrifugation affected CR30 dDNA concentration and composition due to cell lysis, highlighting that protocol optimization should be the first step in dDNA studies. Crystallizer dDNA, which accounted for lower concentrations than those previously reported for hypersaline anoxic sediments, had a mixed viral and cellular origin, was enriched in archaeal DNA and had a distinctive taxonomic composition compared to that from the cellular assemblage of the same sample. Bioinformatic analyses indicated that nanohaloarchaeal viruses could be a cause for these differences.</t>
  </si>
  <si>
    <t>[Aldeguer-Riquelme, Borja; Dolores Ramos-Barbero, Maria; Santos, Fernando; Anton, Josefa] Univ Alicante, Dept Physiol Genet &amp; Microbiol, Alicante 03080, Spain; [Anton, Josefa] Univ Alicante, Multidisciplinary Inst Environm Studies Ramon Mar, Alicante 03080, Spain</t>
  </si>
  <si>
    <t>Universitat d'Alacant; Universitat d'Alacant</t>
  </si>
  <si>
    <t>Santos, F (corresponding author), Univ Alicante, Dept Physiol Genet &amp; Microbiol, Alicante 03080, Spain.</t>
  </si>
  <si>
    <t>fernando.santos@ua.es</t>
  </si>
  <si>
    <t>Ramos-Barbero, María Dolores/AAT-6638-2021; Anton, Josefa/L-5283-2014</t>
  </si>
  <si>
    <t>Ramos-Barbero, María Dolores/0000-0001-7893-8320; Anton, Josefa/0000-0002-5823-493X; Santos, Fernando/0000-0002-6281-7310; Aldeguer-Riquelme, Borja/0000-0003-4266-0712</t>
  </si>
  <si>
    <t>10.1111/1462-2920.15510</t>
  </si>
  <si>
    <t>WOS:000639325900001</t>
  </si>
  <si>
    <t>Ye, W; Tang, XJ; Liu, C; Wen, CW; Li, W; Lyu, JX</t>
  </si>
  <si>
    <t>Ye, Wei; Tang, Xiaojun; Liu, Chu; Wen, Chaowei; Li, Wei; Lyu, Jianxin</t>
  </si>
  <si>
    <t>Accurate quantitation of circulating cell-free mitochondrial DNA in plasma by droplet digital PCR</t>
  </si>
  <si>
    <t>Circulating cell-free DNA; Mitochondrial DNA; Droplet digital PCR</t>
  </si>
  <si>
    <t>CANCER-PATIENTS; EXOSOMES; BIOMARKER; RELEASE; BIOGENESIS; AGE</t>
  </si>
  <si>
    <t>To establish a method for accurate quantitation of circulating cell-free mitochondrial DNA (ccf-mtDNA) in plasma by droplet digital PCR (ddPCR), we designed a ddPCR method to determine the copy number of ccf-mtDNA by amplifying mitochondrial ND1 (MT-ND1). To evaluate the sensitivity and specificity of the method, a recombinant pMD18-T plasmid containing MT-ND1 sequences and mtDNA-deleted (rho(0)) HeLa cells were used, respectively. Subsequently, different plasma samples were prepared for ddPCR to evaluate the feasibility of detecting plasma ccf-mtDNA. In the results, the ddPCR method showed high sensitivity and specificity. When the DNA was extracted from plasma prior to ddPCR, the ccf-mtDNA copy number was higher than that measured without extraction. This difference was not due to a PCR inhibitor, such as EDTA-Na-2, an anti-coagulant in plasma, because standard EDTA-Na-2 concentration (5 mM) did not significantly inhibit ddPCR reactions. The difference might be attributable to plasma exosomal mtDNA, which was 4.21 +/- 0.38 copies/mu L of plasma, accounting for similar to 19% of plasma ccf-mtDNA. Therefore, ddPCR can quickly and reliably detect ccf-mtDNA from plasma with a prior DNA extraction step, providing for a more accurate detection of ccf-mtDNA. The direct use of plasma as a template in ddPCR is suitable for the detection of exogenous cell-free nucleic acids within plasma, but not of nucleic acids that have a vesicle-associated form, such as exosomal mtDNA.</t>
  </si>
  <si>
    <t>[Ye, Wei; Tang, Xiaojun; Liu, Chu; Wen, Chaowei; Li, Wei; Lyu, Jianxin] Wenzhou Med Univ, Key Lab Lab Med, Minist Educ China, Sch Lab Med &amp; Life Sci, Wenzhou 325035, Zhejiang, Peoples R China</t>
  </si>
  <si>
    <t>Ministry of Education, China; Wenzhou Medical University</t>
  </si>
  <si>
    <t>Lyu, JX (corresponding author), Wenzhou Med Univ, Key Lab Lab Med, Minist Educ China, Sch Lab Med &amp; Life Sci, Wenzhou 325035, Zhejiang, Peoples R China.</t>
  </si>
  <si>
    <t>10.1007/s00216-017-0217-x</t>
  </si>
  <si>
    <t>WOS:000396783000023</t>
  </si>
  <si>
    <t>Analysis of human blood plasma cell-free DNA fragment size distribution using EvaGreen chemistry based droplet digital PCR assays</t>
  </si>
  <si>
    <t>Cell-free DNA; Exosome DNA; Fragment size distribution; Digital PCR; EvaGreen chemistry</t>
  </si>
  <si>
    <t>NONINVASIVE PRENATAL-DIAGNOSIS; MATERNAL PLASMA; FETAL DNA; MOLECULAR DIAGNOSTICS; QUANTITATION; ANEUPLOIDY; BIOMARKER; EXOSOMES; CANCER</t>
  </si>
  <si>
    <t>Background: Plasma cell-free DNA (cfDNA) fragment size distribution provides important information required for diagnostic assay development. We have developed and optimized droplet digital PCR (ddPCR) assays that quantify short and long DNA fragments. These assays were used to analyze plasma cfDNA fragment size distribution in human blood. Methods: Assays were designed to amplify 76,135, 490 and 905 base pair fragments of human beta-actin gene. These assays were used for fragment size analysis of plasma cell-free, exosome and apoptotic body DNA obtained from normal and pregnant donors. Results: The relative percentages for 76, 135, 490 and 905 bp fragments from non-pregnant plasma and exosome DNA were 100%, 39%, 18%, 5.6% and 100%, 40%, 18%,3.3%, respectively. The relative percentages for pregnant plasma and exosome DNA were 100%, 34%, 14%, 23%, and 100%, 30%, 12%, 18%, respectively. The relative percentages for non-pregnant plasma pellet (obtained after 2nd centrifugation step) were 100%, 100%, 87% and 83%, respectively. Conclusion: Non-pregnant Plasma cell-free and exosome DNA share a unique fragment distribution pattern which is different from pregnant donor plasma and exosome DNA fragment distribution indicating the effect of physiological status on cfDNA fragment size distribution. Fragment distribution pattern for plasma pellet that includes apoptotic bodies and nuclear DNA was greatly different from plasma cell-free and exosome DNA.</t>
  </si>
  <si>
    <t>[Fernando, M. Rohan; Jiang, Chao; Krzyzanowski, Gary D.] Univ Nebraska Med Ctr, Dept Obstet &amp; Gynecol, Omaha, NE 68198 USA; [Fernando, M. Rohan; Krzyzanowski, Gary D.; Ryan, Wayne L.] CFGenome, Dept Res &amp; Dev, Omaha, NE USA</t>
  </si>
  <si>
    <t>Fernando, MR (corresponding author), Univ Nebraska Med Ctr, Dept Obstet &amp; Gynecol, Omaha, NE 68198 USA.</t>
  </si>
  <si>
    <t>10.1016/j.cca.2018.04.017</t>
  </si>
  <si>
    <t>WOS:000438180600007</t>
  </si>
  <si>
    <t>Wang, Y; Zhao, L; Yuan, WW; Liang, LY; Li, M; Yu, XS; Wang, Y</t>
  </si>
  <si>
    <t>Wang, Ying; Zhao, Ling; Yuan, Wanwen; Liang, Leyi; Li, Ming; Yu, Xuesong; Wang, Yan</t>
  </si>
  <si>
    <t>A Natural Membrane Vesicle Exosome-based Sinomenine Delivery Plat-form for Hepatic Carcinoma Therapy</t>
  </si>
  <si>
    <t>CURRENT TOPICS IN MEDICINAL CHEMISTRY</t>
  </si>
  <si>
    <t>Exosomes; Natural nanoparticle; Sinomenine; Anticancer; Targeted drug delivery; Nanocarrier; Mechanism of ac-tion</t>
  </si>
  <si>
    <t>MILK-DERIVED EXOSOMES; DRUG-DELIVERY; MAGNETIC NANOPARTICLES; IN-VITRO; 5-FLUOROURACIL; ENHANCEMENT; PACLITAXEL; PRODUCTS; CELLS; GENE</t>
  </si>
  <si>
    <t>Background: Recent evidence has been demonstrated that Sinomenine (SIN) exerts antitumor activity in vitro. However, the clinical utility of SIN remains limited mainly because of its poor bioavailability. Exosomes are nanoscale vesicles that play crucial roles in intracellular communications through functionally active substances such as DNA and RNA. Exosomes have been utilized as nanocarriers for targeted drug delivery of different anticancer drugs. Methods: The present study aimed to evaluate the effectiveness of combined Exosomes-SIN for the treatment of hepatocellular carcinoma (HCC) in a rat model. To do so, we prepared a mixture of SIN and exosomes (Exo-SIN) to improve the bioavailability of SIN to treat liver cancer. The in vitro releasing profile of the Exo-SIN was examined. Results: We observed a continuous, slow release of SIN from Exo-SIN in simulated body fluid as well as tumor microenvironment. In the cytotoxicity test, Exo-SIN exhibited a significantly stronger inhibition in HepG2 cells compared to free SIN. The flow cytometry assessments showed that Exo-SIN could suppress HepG2 cell migration in a Transwell assay and induce cell cycle arrest and cellular apoptosis. Western blotting showed that survivin, a crucial protein for the survival of living cells, was significantly downregulated after treatment with Exo-SIN. Conclusion: In conclusion, our data suggested that Exo-SIN could serve as a potential, effective delivery platform for hepatic carcinoma therapy.</t>
  </si>
  <si>
    <t>[Wang, Ying] Guangdong Pharmaceut Univ, Sch Chem &amp; Chem Engn, Guangzhou 510006, Peoples R China; [Zhao, Ling; Yuan, Wanwen; Liang, Leyi; Wang, Yan] Guangdong Pharmaceut Univ, Sch Tradit Chinese Med, Guangzhou 510006, Peoples R China; [Li, Ming; Yu, Xuesong] Guangdong Pharmaceut Univ, Sch Biosci &amp; Biopharmaceut, Guangzhou 510006, Peoples R China</t>
  </si>
  <si>
    <t>Guangdong Pharmaceutical University; Guangdong Pharmaceutical University; Guangdong Pharmaceutical University</t>
  </si>
  <si>
    <t>Wang, Y (corresponding author), Guangdong Pharmaceut Univ, Sch Tradit Chinese Med, Guangzhou 510006, Peoples R China.;Yu, XS (corresponding author), Guangdong Pharmaceut Univ, Sch Biosci &amp; Biopharmaceut, Guangzhou 510006, Peoples R China.</t>
  </si>
  <si>
    <t>gdpuwy@126.com; axuesong@163.com</t>
  </si>
  <si>
    <t>1568-0266</t>
  </si>
  <si>
    <t>1873-5294</t>
  </si>
  <si>
    <t>10.2174/1568026621666210612032004</t>
  </si>
  <si>
    <t>WOS:000697020400003</t>
  </si>
  <si>
    <t>Rajan, N; Agarwal, P; Patel, K; Sanadhya, P; Khedia, J; Agarwal, PK</t>
  </si>
  <si>
    <t>Rajan, Navya; Agarwal, Parinita; Patel, Khantika; Sanadhya, Payal; Khedia, Jackson; Agarwal, Pradeep Kumar</t>
  </si>
  <si>
    <t>Molecular Characterization and Identification of Target Protein of an Important Vesicle Trafficking Gene AlRab7 from a Salt Excreting Halophyte Aeluropus lagopoides</t>
  </si>
  <si>
    <t>GTP-BINDING PROTEIN; INDUCED OXIDATIVE BURST; STRESS TOLERANCE; VESICULAR TRANSPORT; ESCHERICHIA-COLI; RAB GTPASES; ARABIDOPSIS; EXPRESSION; PLANTS; FAMILY</t>
  </si>
  <si>
    <t>The endomembrane system plays an important role during cellular adaptation of the plants with the extracellular environment. The small GTP-binding protein Rab7 located at the vacuolar membrane regulates the vesicle fusion with the vacuole and thereby helps in recycling of the molecules. This is the first report on isolation and characterization of AlRab7 gene from the halophyte plant, Aeluropus that extrudes NaCl through salt glands and grows luxuriantly throughout the year at the Gujarat coast, India. The AlRab7 encodes a protein with 206 amino acids, and a highly conserved effector-binding domain and four nucleotide-binding domains. The in silico analysis predicts the presence of the prenylation site for Rab geranylgeranyltransferase 2 and the Rab escort protein site. The C-terminal two cysteine residues in -XCC sequence are present for membrane attachment. Transcript expression of the AlRab7 gene was differentially regulated by different environmental stimuli such as dehydration, salinity, and hormone abscisic acid (ABA). The recombinant Escherichia coli cells showed improved growth in Luria Bertani medium supplemented with NaCl, KCl, mannitol, ABA, and indole-3-acetic acid. A novel Rab7 interacting partner AlRabring7 was identified by yeast two-hybrid screening.</t>
  </si>
  <si>
    <t>[Rajan, Navya; Agarwal, Parinita; Patel, Khantika; Sanadhya, Payal; Khedia, Jackson; Agarwal, Pradeep Kumar] Cent Salt &amp; Marine Chem Res Inst, CSIR, Discipline Wasteland Res, Bhavnagar 364002, Gujarat, India; [Sanadhya, Payal; Khedia, Jackson; Agarwal, Pradeep Kumar] Cent Salt &amp; Marine Chem Res Inst, CSIR, AcSIR, Bhavnagar 364002, Gujarat, India</t>
  </si>
  <si>
    <t>Council of Scientific &amp; Industrial Research (CSIR) - India; CSIR - Central Salt &amp; Marine Chemical Research Institute (CSMCRI); Academy of Scientific &amp; Innovative Research (AcSIR); Council of Scientific &amp; Industrial Research (CSIR) - India; CSIR - Central Salt &amp; Marine Chemical Research Institute (CSMCRI)</t>
  </si>
  <si>
    <t>Agarwal, P (corresponding author), Cent Salt &amp; Marine Chem Res Inst, CSIR, Discipline Wasteland Res, GB Marg, Bhavnagar 364002, Gujarat, India.</t>
  </si>
  <si>
    <t>parinitaa@csmcri.org; pagarwal@csmcri.org</t>
  </si>
  <si>
    <t>Agarwal, Parinita/AAA-2302-2020; Sanadhya, Payal/F-4750-2011</t>
  </si>
  <si>
    <t>Sanadhya, Payal/0000-0003-3550-7541</t>
  </si>
  <si>
    <t>10.1089/dna.2014.2592</t>
  </si>
  <si>
    <t>WOS:000348539000001</t>
  </si>
  <si>
    <t>Cho, SM; Shin, S; Kim, Y; Song, W; Hong, SG; Jeong, SH; Kang, MS; Lee, KA</t>
  </si>
  <si>
    <t>Cho, S. M.; Shin, S.; Kim, Y.; Song, W.; Hong, S. G.; Jeong, S. H.; Kang, M. S.; Lee, K. A.</t>
  </si>
  <si>
    <t>A novel approach for tuberculosis diagnosis using exosomal DNA and droplet digital PCR</t>
  </si>
  <si>
    <t>CLINICAL MICROBIOLOGY AND INFECTION</t>
  </si>
  <si>
    <t>Droplet digital PCR; Exosomes; Molecular diagnosis; Mycobacterium tuberculosis; Tuberculosis</t>
  </si>
  <si>
    <t>MYCOBACTERIUM-TUBERCULOSIS; PULMONARY TUBERCULOSIS; KRAS; INFECTION; ASSAY; TIME</t>
  </si>
  <si>
    <t>Objectives: The rapid diagnosis of tuberculosis (TB) is important for patient treatment and infection control. Current molecular diagnostic techniques for TB have insufficient sensitivity to detect samples with low bacterial loads. The sensitivity of molecular testing depends on not only the performance of the assay technique but also the nucleic acid extraction method. Here, we present a novel approach using exosomal DNA (exoDNA) and droplet digital PCR (ddPCR) platforms to detect Mycobacterium tuberculosis DNA in clinical samples. Methods: The ddPCR platform targeting IS6110 was evaluated in parallel using total DNA and exoDNA. The clinical performance of ddPCR method was assessed with 190 respiratory samples from patients with suspected pulmonary TB. Results: Compared with mycobacterial culture, sensitivity and specificity of ddPCR were 61.5% (95% CI 44.6-76.6%) and 98.0% (95% CI 94.3-99.6%) using total DNA, and 76.9% (95% CI 60.7-88.9%) and 98.0% (95% CI 94.3-99.6%) using exoDNA, respectively. Among 15 culture -positive specimens with low con- centrations of target molecules (2 similar to 99 positive droplets with exoDNA), only 53.3% (8/15), 46.7% (7/15), and 26.7% (4/15) of cases were detected using ddPCR with total DNA, real-time PCR with exoDNA, and real-time PCR with total DNA, respectively. Discussion: Our platform using ddPCR and exoDNA has the potential to provide sensitive and accurate methodology for TB diagnosis. S.M. Cho, Clin Microbiol Infect 2020;26:942.e1 - 942.e5</t>
  </si>
  <si>
    <t>[Cho, S. M.; Hong, S. G.; Kang, M. S.] CHA Univ, CHA Bundang Med Ctr, Dept Lab Med, 59 Yatap Ro, Seongnam 13496, South Korea; [Shin, S.; Kim, Y.; Jeong, S. H.; Lee, K. A.] Yonsei Univ, Dept Lab Med, Coll Med, 211 Eonju Ro, Seoul 06273, South Korea; [Song, W.] Hallym Univ, Dept Lab Med, Coll Med, Seoul, South Korea</t>
  </si>
  <si>
    <t>Pochon Cha University; Yonsei University; Yonsei University Health System; Hallym University</t>
  </si>
  <si>
    <t>Kang, MS (corresponding author), CHA Univ, CHA Bundang Med Ctr, Dept Lab Med, 59 Yatap Ro, Seongnam 13496, South Korea.;Lee, KA (corresponding author), Yonsei Univ, Dept Lab Med, Coll Med, 211 Eonju Ro, Seoul 06273, South Korea.</t>
  </si>
  <si>
    <t>olive@chamc.co.kr; KAL1119@yuhs.ac</t>
  </si>
  <si>
    <t>Seok Hoon, Jeong/0000-0001-9290-897X; Shin, Saeam/0000-0003-1501-3923; Lee, Kyung-A/0000-0001-5320-6705; Kim, Yoonjung/0000-0002-4370-4265</t>
  </si>
  <si>
    <t>1198-743X</t>
  </si>
  <si>
    <t>1469-0691</t>
  </si>
  <si>
    <t>942.e1</t>
  </si>
  <si>
    <t>10.1016/j.cmi.2019.11.012</t>
  </si>
  <si>
    <t>WOS:000544273300026</t>
  </si>
  <si>
    <t>Rhee, SJ; Kim, H; Lee, Y; Lee, HJ; Park, CHK; Yang, J; Kim, YK; Ahn, YM</t>
  </si>
  <si>
    <t>Rhee, Sang Jin; Kim, Hyeyoung; Lee, Yunna; Lee, Hyun Jeong; Park, C. Hyung Keun; Yang, Jinho; Kim, Yoon-Keun; Ahn, Yong Min</t>
  </si>
  <si>
    <t>The association between serum microbial DNA composition and symptoms of depression and anxiety in mood disorders</t>
  </si>
  <si>
    <t>GUT MICROBIOTA; MEMBRANE-VESICLES; BIPOLAR DISORDER; RATING-SCALE; BACTERIA; SCHIZOPHRENIA; PROFILES</t>
  </si>
  <si>
    <t>There is increasing evidence supporting the association between gut microbiome composition and mood disorders; however, studies on the circulating microbiome are scarce. This study aimed to analyze the association of the serum microbial DNA composition with depressive and anxiety symptoms in patients with mood disorders. The sera of 69 patients with mood disorders, aged from 19 to 60, were analyzed. Bacterial DNA was isolated from extracellular membrane vesicles and, subsequently, amplified and quantified with specific primers for the V3-V4 hypervariable region of the 16S rDNA gene. Sequence reads were clustered into Operational Taxonomic Units and classified using the SILVA database. There were no significant associations between alpha diversity measures and the total Hamilton depression rating scale (HAM-D) or Beck anxiety inventory (BAI) scores. Only the weighted UniFrac distance was associated with the total HAM-D score (F=1.57, p=0.045). The Bacteroidaceae family and Bacteroides genus were negatively associated with the total HAM-D score (beta=-0.016, p &lt; 0.001, q=0.08 and beta=-0.016, p &lt; 0.001, q=0.15, respectively). The Desulfovibrionaceae family and Clostridiales Family XIII were positively associated with the total BAI score (beta=1.8x10(-3), p &lt; 0.001, q=0.04 and beta=1.3x10(-3), p &lt; 0.001, q=0.24, respectively). Further studies with larger sample sizes and longitudinal designs are warranted.</t>
  </si>
  <si>
    <t>[Rhee, Sang Jin; Lee, Yunna; Park, C. Hyung Keun; Ahn, Yong Min] Seoul Natl Univ Hosp, Dept Neuropsychiat, Seoul, South Korea; [Rhee, Sang Jin; Kim, Hyeyoung; Park, C. Hyung Keun; Ahn, Yong Min] Seoul Natl Univ, Dept Psychiat, Coll Med, Seoul, South Korea; [Lee, Hyun Jeong] Natl Canc Ctr, Div Canc Management Policy, Dept Psychiat, Goyang, South Korea; [Yang, Jinho; Kim, Yoon-Keun] MD Healthcare Inc, Seoul, South Korea; [Ahn, Yong Min] Seoul Natl Univ, Inst Human Behav Med, Med Res Ctr, Seoul, South Korea; [Kim, Hyeyoung] Inha Univ Hosp, Dept Psychiat, Incheon, South Korea; [Lee, Yunna] Kosin Univ, Dept Psychiat, Gospel Hosp, Busan, South Korea; [Park, C. Hyung Keun] Asan Med Ctr, Dept Psychiat, Seoul, South Korea</t>
  </si>
  <si>
    <t>Seoul National University (SNU); Seoul National University Hospital; Seoul National University (SNU); National Cancer Center - Korea (NCC); Seoul National University (SNU); Inha University; Inha University Hospital; University of Ulsan; Asan Medical Center</t>
  </si>
  <si>
    <t>Ahn, YM (corresponding author), Seoul Natl Univ Hosp, Dept Neuropsychiat, Seoul, South Korea.;Ahn, YM (corresponding author), Seoul Natl Univ, Dept Psychiat, Coll Med, Seoul, South Korea.;Ahn, YM (corresponding author), Seoul Natl Univ, Inst Human Behav Med, Med Res Ctr, Seoul, South Korea.</t>
  </si>
  <si>
    <t>aym@snu.ac.kr</t>
  </si>
  <si>
    <t>Park, Christopher/L-6074-2017</t>
  </si>
  <si>
    <t>Park, Christopher/0000-0002-2568-1426</t>
  </si>
  <si>
    <t>10.1038/s41598-021-93112-z</t>
  </si>
  <si>
    <t>WOS:000674543000002</t>
  </si>
  <si>
    <t>Liu, J; Sun, H; Wang, XL; Yu, Q; Li, SH; Yu, XY; Gong, WW</t>
  </si>
  <si>
    <t>Liu, Jie; Sun, Hong; Wang, Xiaoli; Yu, Qun; Li, Shuhong; Yu, Xiaoyan; Gong, Wenwen</t>
  </si>
  <si>
    <t>Increased Exosomal MicroRNA-21 and MicroRNA-146a Levels in the Cervicovaginal Lavage Specimens of Patients with Cervical Cancer</t>
  </si>
  <si>
    <t>exosomes; microRNA-21; microRNA-146a; cervical cancer</t>
  </si>
  <si>
    <t>HUMAN-PAPILLOMAVIRUS DNA; CELL-PROLIFERATION; CARCINOMA; MORTALITY; SUPPRESSES; EXPRESSION; INVASION; PATTERNS; GROWTH; BIOGENESIS</t>
  </si>
  <si>
    <t>Well-run screening programs for cervical cancer in the population at risk have been shown to result in a sharp decrease in the incidence and mortality of cervical cancer in a number of large populations. Expression patterns of a recently identified biomarker family, microRNA, appear to be characteristic of tumor type and developmental origin. Several tumors have been reported to actively release exosomes carrying microRNAs. The present study has determined the association of microRNAs with cervical cancer-derived exosomes. The cervical cancer-derived exosomes were enriched in the cervicovaginal lavages specimens and the abundance of exosomes and exosomal microRNAs was detected by electron microscopy, western blot analysis, RT-qPCR and microRNA target reporter vector. The microRNA-21 and microRNA-146a, which were up-regulated in cervical cancer patients, were associated with the high levels of cervical cancer-derived exosomes. In conclusion, we demonstrated the abundance of exosomes in the cervicovaginal lavage specimens of women with cervical cancer. Furthermore, our results indicated that abnormally high levels of microRNA-21 and microRNA-146a existed in the cervical cancer-derived exosomes and the two microRNAs were functional in 293T cells.</t>
  </si>
  <si>
    <t>[Liu, Jie; Sun, Hong; Wang, Xiaoli; Yu, Qun; Li, Shuhong; Yu, Xiaoyan; Gong, Wenwen] Qingdao Univ, Dept Obstet &amp; Gynecol, Yantai Yuhuangding Hosp, Yantai 264000, Shandong, Peoples R China</t>
  </si>
  <si>
    <t>Wang, XL (corresponding author), Qingdao Univ, Dept Obstet &amp; Gynecol, Yantai Yuhuangding Hosp, Yantai 264000, Shandong, Peoples R China.</t>
  </si>
  <si>
    <t>jliuyt2009@163.com; hsunyt2013@163.com; xlwangyt2008@163.com; qyuyt2006@163.com; shuhongli2005@163.com; yuxyyt2013@163.com; wenweng2000@163.com</t>
  </si>
  <si>
    <t>10.3390/ijms15010758</t>
  </si>
  <si>
    <t>WOS:000335776100043</t>
  </si>
  <si>
    <t>Zareitaher, T; Ahmadi, TS; Gargari, SLM</t>
  </si>
  <si>
    <t>Zareitaher, Tahereh; Ahmadi, Tooba Sadat; Gargari, Seyed Latif Mousavi</t>
  </si>
  <si>
    <t>Immunogenic efficacy of DNA and protein-based vaccine from a chimeric gene consisting OmpW, TcpA and CtxB, of Vibrio cholerae</t>
  </si>
  <si>
    <t>IMMUNOBIOLOGY</t>
  </si>
  <si>
    <t>Vibrio cholerae; Vaccine; DNA; CtxB; OmpW; TcpA</t>
  </si>
  <si>
    <t>OUTER-MEMBRANE VESICLES; WHOLE CELL VACCINE; B-SUBUNIT; TOXIN; IMMUNIZATION; EXPRESSION; PROTECTION; SAFETY; ANTIBODIES; CHALLENGE</t>
  </si>
  <si>
    <t>Vibrio cholerae is one of the major causes of morbidity and mortality in developing countries. CtxB, responsible for toxin binding to eukaryotic cells, TcpA, involved in bacterial colonization, and OmpW, the highly conserved extracellular protein, are the three of the significant essential virulence factors in V. cholerae with enhanced immunogenic properties. Increasing emergence of antimicrobial-resistant strains (AMR) highlights the urgent need for new therapeutic agents. Uncomplicated high yield production, simple design, inducing either or both humoral and cellular immunity, and long-term immune responsiveness are some of the advantages of IgG an-tibodies over other immunotherapy agents. Chimeric proteins have the potential of presenting multiple antigens to immune system, simultaneously. Thus, the current study was aimed to evaluate the stability and protective efficacy of DNA and protein-based vaccine candidates of a chimeric gene harboring OTC (OmpW, TcpA and CtxB) against V. cholerae. The immunogenicity and specificity of induced IgGs were confirmed through indirect ELISA and western blot analysis, respectively. The DNA and protein immunized mice sera were able to neutralize the cytotoxicity effects of the cholera toxin (CT) at 5% and 10% dilutions in Y1 cell line, and inhibited 60% and 68% of the bacterial adhesion to HT-29 cells, respectively. The DNA and protein immunized sera provided 99% and 95% viability percent in spleen cell viability assays, and inhibited the bacteria-induced fluid accumulation in ileal loop assay at 1/80 and 1/160 dilutions, respectively. Different groups of passively immunized infant mice and actively immunized adult mice were challenged with V. cholerae. The OTC construct provided high survival rates against lethal infection, and significantly reduced the bacterial loads. Our results highlight the potential therapeutic effect of the recombinant OTC chimeric construct, either as a DNA or protein vaccine, due to its remarkable immunogenicity and protectivity against V. cholerae.</t>
  </si>
  <si>
    <t>[Zareitaher, Tahereh; Ahmadi, Tooba Sadat; Gargari, Seyed Latif Mousavi] Shahed Univ, Fac Basic Sci, Dept Biol, Tehran, Iran</t>
  </si>
  <si>
    <t>Shahed University</t>
  </si>
  <si>
    <t>Gargari, SLM (corresponding author), Shahed Univ, Fac Basic Sci, Dept Biol, Tehran, Iran.</t>
  </si>
  <si>
    <t>slmousavi@shahed.ac.ir</t>
  </si>
  <si>
    <t>0171-2985</t>
  </si>
  <si>
    <t>1878-3279</t>
  </si>
  <si>
    <t>10.1016/j.imbio.2022.152190</t>
  </si>
  <si>
    <t>WOS:000777933200005</t>
  </si>
  <si>
    <t>Nakatsukasa, K; Kanada, A; Matsuzaki, M; Byrne, SD; Okumura, F; Kamura, T</t>
  </si>
  <si>
    <t>Nakatsukasa, Kunio; Kanada, Akira; Matsuzaki, Mariko; Byrne, Stuart D.; Okumura, Fumihiko; Kamura, Takumi</t>
  </si>
  <si>
    <t>The Nutrient Stress-induced Small GTPase Rab5 Contributes to the Activation of Vesicle Trafficking and Vacuolar Activity</t>
  </si>
  <si>
    <t>SACCHAROMYCES-CEREVISIAE; MITOCHONDRIAL-DNA; YEAST; AUTOPHAGY; PROTEINS; REVEALS; PATHWAY; FUSION; VPS21; LOCALIZATION</t>
  </si>
  <si>
    <t>Rab family small GTPases regulate membrane trafficking by spatiotemporal recruitment of various effectors. However, it remains largely unclear how the expression and functions of Rab proteins are regulated in response to extracellular or intracellular stimuli. Here we show that Ypt53, one isoform of Rab5 in Saccharomyces cerevisiae, is up-regulated significantly under nutrient stress. Under non-stress conditions, Vps21, a constitutively expressed Rab5 isoform, is crucial to Golgi-vacuole trafficking and to vacuolar hydrolase activity. However, when cells are exposed to nutrient stress for an extended period of time, the up-regulated Ypt53 and the constitutive Vps21 function redundantly to maintain these activities, which, in turn, prevent the accumulation of reactive oxygen species and maintain mitochondrial respiration. Together, our results clarify the relative roles of these constitutive and nutrient stress-inducible Rab5 proteins that ensure adaptable vesicle trafficking and vacuolar hydrolase activity, thereby allowing cells to adapt to environmental changes.</t>
  </si>
  <si>
    <t>[Nakatsukasa, Kunio; Kanada, Akira; Matsuzaki, Mariko; Byrne, Stuart D.; Okumura, Fumihiko; Kamura, Takumi] Nagoya Univ, Div Biol Sci, Grad Sch Sci, Chikusa Ku, Nagoya, Aichi 4648602, Japan</t>
  </si>
  <si>
    <t>Nagoya University</t>
  </si>
  <si>
    <t>Nakatsukasa, K (corresponding author), Nagoya Univ, Div Biol Sci, Grad Sch Sci, Chikusa Ku, Furo Cho, Nagoya, Aichi 4648602, Japan.</t>
  </si>
  <si>
    <t>z47875a@cc.nagoya-u.ac.jp; z47617a@nucc.cc.nagoya-u.ac.jp</t>
  </si>
  <si>
    <t>10.1074/jbc.M114.548297</t>
  </si>
  <si>
    <t>WOS:000339396600050</t>
  </si>
  <si>
    <t>Waterhouse, M; Themeli, M; Bertz, H; Zoumbos, N; Finke, J; Spyridonidis, A</t>
  </si>
  <si>
    <t>Waterhouse, Miguel; Themeli, Maria; Bertz, Hartmut; Zoumbos, Nicholas; Finke, Juergen; Spyridonidis, Alexandros</t>
  </si>
  <si>
    <t>Horizontal DNA Transfer from Donor to Host Cells as an Alternative Mechanism of Epithelial Chimerism after Allogeneic Hematopoietic Cell Transplantation</t>
  </si>
  <si>
    <t>BIOLOGY OF BLOOD AND MARROW TRANSPLANTATION</t>
  </si>
  <si>
    <t>Allogeneic hematopoietic cell transplantation; DNA chimerism; Horizontal DNA transfer; Apoptotic bodies</t>
  </si>
  <si>
    <t>STEM-CELL; APOPTOTIC BODIES; GENE-TRANSFER; TUMOR DNA; IN-VIVO; MARROW; FUSION; MICROVESICLES; HEPATOCYTES; ENGRAFTMENT</t>
  </si>
  <si>
    <t>Animal and human studies have shown that after allogeneic hematopoietic cell transplantation, epithelial cells containing donor-derived genome emerge. The mechanisms underlying this phenomenon are still unclear. We hypothesized that horizontal transfer of the hematopoietic donor-DNA to the host epithelium confers a possible operating mechanism. In an in vitro model mimicking the lymphocyte epithelial interaction, we cocultivated keratinocyte HaCaT cells (Y-chromosome negative) with nonapoptotic or apoptotic, CMFDA, or BrdU-labeled hematopoietic Jurkat cells (Y+) and looked for the emergence of HaCaT cells bearing Jurkat genome. We found that DNA can be horizontally transferred from hematopoietic to epithelial cell lines through phagocytosis of apoptotic bodies. The ingested genomic material was also found within the nuclear compartment and in isolated chromosomes obtained from HaCaT metaphases. Both lysosomal inhibition in HaCaT cells and repetitive load of HaCaT cells with apoptotic bodies increased the intercellular and intranuclear DNA delivery. Although recipient cells remained viable and showed to express the foreign DNA, this expression was transient. Taking into consideration these findings of horizontal DNA transfer between hematopoietic and epithelial cells, we evaluated by quantitative microsatellite analysis the amount of donor DNA in 176 buccal swabs obtained from 71 patients after allogeneic transplantation. We found a high amount of donor-DNA (mean 26.6%) in the majority (89.7%) of them, although no donor hematopoietic cells were evident in the samples by immunofluorescence. We propose that the incessant charge of the transplant recipient with donor-DNA and its inappropriate intranuclear delivery in host epithelium may explain the emergence of epithelial cells with donor-derived genome. Biol Blood Marrow Transplant 17: 319-329 (2011) (C) 2011 American Society for Blood and Marrow Transplantation</t>
  </si>
  <si>
    <t>[Waterhouse, Miguel; Bertz, Hartmut; Finke, Juergen; Spyridonidis, Alexandros] Univ Freiburg, Dept Hematol Oncol, Freiburg, Germany; [Themeli, Maria; Zoumbos, Nicholas; Spyridonidis, Alexandros] Univ Patras, Sch Med, Div Hematol, Dept Internal Med, GR-26110 Patras, Greece</t>
  </si>
  <si>
    <t>University of Freiburg; University of Patras</t>
  </si>
  <si>
    <t>Spyridonidis, A (corresponding author), Univ Hosp Patras, Div Hematol, BMT Unit, Rion 26500, Greece.</t>
  </si>
  <si>
    <t>finke@mm11.ukl.uni-freiburg.de; spyridonidis@upatras.gr</t>
  </si>
  <si>
    <t>Themeli, Maria/0000-0003-0585-7786</t>
  </si>
  <si>
    <t>1083-8791</t>
  </si>
  <si>
    <t>1523-6536</t>
  </si>
  <si>
    <t>10.1016/j.bbmt.2010.09.001</t>
  </si>
  <si>
    <t>Hematology; Immunology; Transplantation</t>
  </si>
  <si>
    <t>WOS:000287633200005</t>
  </si>
  <si>
    <t>Alyamkina, EA; Nikolin, VP; Popova, NA; Minkevich, AM; Kozel, AV; Dolgova, EV; Efremov, YR; Bayborodin, SI; Andrushkevich, OM; Taranov, OS; Omigov, VV; Rogachev, VA; Proskurina, AS; Vereschagin, EI; Kiseleva, EV; Zhukova, MV; Ostanin, AA; Chernykh, ER; Bogachev, SS; Shurdov, MA</t>
  </si>
  <si>
    <t>Alyamkina, Ekaterina A.; Nikolin, Valeriy P.; Popova, Nelly A.; Minkevich, Alexandra M.; Kozel, Artem V.; Dolgova, Evgenia V.; Efremov, Yaroslav R.; Bayborodin, Sergey I.; Andrushkevich, Oleg M.; Taranov, Oleg S.; Omigov, Vladimir V.; Rogachev, Vladimir A.; Proskurina, Anastasia S.; Vereschagin, Evgeniy I.; Kiseleva, Elena V.; Zhukova, Maria V.; Ostanin, Alexandr A.; Chernykh, Elena R.; Bogachev, Sergey S.; Shurdov, Mikhail A.</t>
  </si>
  <si>
    <t>Combination of cyclophosphamide and double-stranded DNA demonstrates synergistic toxicity against established xenografts</t>
  </si>
  <si>
    <t>Ascites Krebs-2; Cyclophosphamide; Double-stranded DNA; Apoptosis; Necrosis; Sepsis; MCF-7</t>
  </si>
  <si>
    <t>FREE PLASMA DNA; DENDRITIC CELLS; NUCLEIC-ACIDS; TUMOR; SEPSIS; MICROVESICLES; RECOGNITION; MORTALITY; PATHOGENESIS; ASSOCIATION</t>
  </si>
  <si>
    <t>Background: Extracellular double-stranded DNA participates in various processes in an organism. Here we report the suppressive effects of fragmented human double-stranded DNA along or in combination with cyclophosphamide on solid and ascites grafts of mouse Krebs-2 tumor cells and DNA preparation on human breast adenocarcinoma cell line MCF-7. Methods: Apoptosis and necrosis were assayed by electrophoretic analysis (DNA nucleosomal fragmentation) and by measurements of LDH levels in ascitic fluid, respectively. DNA internalization into MCF-7 was analyzed by flow cytometry and fluorescence microscopy. Results: Direct cytotoxic activity of double-stranded DNA (along or in combination with cyclophosphamide) on a solid transplant was demonstrated. This resulted in delayed solid tumor proliferation and partial tumor lysis due to necrosis of the tumor and adjacent tissues. In the case of ascites form of tumor, extensive apoptosis and secondary necrosis were observed. Similarly, MCF-7 cells showed induction of massive apoptosis (up to 45%) as a result of treatments with double-stranded DNA preparation. Conclusions: Double-stranded DNA (along or in combination with cyclophosphamide) induces massive apoptosis of Krebs-2 ascite cells and MCF-7 cell line (DNA only). In treated mice it reduces the integrity of gut wall cells and contributes to the development of systemic inflammatory reaction.</t>
  </si>
  <si>
    <t>[Alyamkina, Ekaterina A.; Nikolin, Valeriy P.; Popova, Nelly A.; Minkevich, Alexandra M.; Dolgova, Evgenia V.; Efremov, Yaroslav R.; Bayborodin, Sergey I.; Andrushkevich, Oleg M.; Omigov, Vladimir V.; Rogachev, Vladimir A.; Kiseleva, Elena V.; Zhukova, Maria V.; Bogachev, Sergey S.] Russian Acad Sci, Inst Cytol &amp; Genet, Siberian Branch, Novosibirsk 630090, Russia; [Popova, Nelly A.; Kozel, Artem V.; Efremov, Yaroslav R.; Bayborodin, Sergey I.; Andrushkevich, Oleg M.] Novosibirsk State Univ, Novosibirsk 630090, Russia; [Taranov, Oleg S.; Omigov, Vladimir V.] State Res Ctr Virol &amp; Biotechnol VECTOR, Koltsov 630559, Novosibirsk Reg, Russia; [Vereschagin, Evgeniy I.] Novosibirsk State Med Acad, Novosibirsk 630091, Russia; [Ostanin, Alexandr A.; Chernykh, Elena R.] Russian Acad Sci, Inst Clin Immunol, Siberian Branch, Novosibirsk 630090, Russia; [Shurdov, Mikhail A.] LLC Panagen, Gorno Altaisk, Russia</t>
  </si>
  <si>
    <t>Russian Academy of Sciences; Institute of Cytology &amp; Genetics ICG SB RAS; Novosibirsk State University; State Research Center of Virology &amp; Biotechnology VECTOR; Russian Academy of Medical Sciences; Russian Academy of Sciences</t>
  </si>
  <si>
    <t>Bogachev, SS (corresponding author), Russian Acad Sci, Inst Cytol &amp; Genet, Siberian Branch, 10 Lavrentieva Ave, Novosibirsk 630090, Russia.</t>
  </si>
  <si>
    <t>labmolbiol@mail.ru</t>
  </si>
  <si>
    <t>Zhukova, Mariya/D-1038-2018; Taranov, Oleg/AAG-9798-2021; Chernykh, Elena/AAB-1301-2022; Dolgova, Evgeniya V/T-6788-2017; Potter, Ekaterina/AAP-4868-2020; Taranov, Oleg S/A-5657-2014; Omigov, Vladimir V/ABC-8325-2021; Proskurina, Anastasia/H-3639-2015; Bogachev, Sergey/T-3313-2017</t>
  </si>
  <si>
    <t>Zhukova, Mariya/0000-0002-4996-4500; Chernykh, Elena/0000-0003-2346-6279; Dolgova, Evgeniya V/0000-0002-5543-248X; Potter, Ekaterina/0000-0003-1558-8655; Taranov, Oleg S/0000-0002-6746-8092; Efremov, Yaroslav R./0000-0002-0649-7543; Proskurina, Anastasia/0000-0002-7650-4331; Kiseleva, Elena/0000-0001-6949-182X; Bogachev, Sergey/0000-0002-2019-9382</t>
  </si>
  <si>
    <t>MAR 19</t>
  </si>
  <si>
    <t>10.1186/s12935-015-0180-6</t>
  </si>
  <si>
    <t>WOS:000351267600001</t>
  </si>
  <si>
    <t>Mycko, MP; Baranzini, SE</t>
  </si>
  <si>
    <t>Mycko, Marcin P.; Baranzini, Sergio E.</t>
  </si>
  <si>
    <t>microRNA and exosome profiling in multiple sclerosis</t>
  </si>
  <si>
    <t>MULTIPLE SCLEROSIS JOURNAL</t>
  </si>
  <si>
    <t>microRNA; exosome; multiple sclerosis; EAE; biomarker; immune response</t>
  </si>
  <si>
    <t>REGULATORY T-CELLS; EXTRACELLULAR VESICLES; BIOMARKERS; COMMUNICATION; EXPRESSION; PLASMA; LIGHT; RNAS</t>
  </si>
  <si>
    <t>New DNA sequencing technologies have uncovered non-coding RNA (ncRNA) as a major player in regulating cellular processes and can no longer be dismissed as junk or dark RNA. Among the ncRNA, microRNA (miRNA) is arguably the most extensively characterized category and a number of studies have implicated them in regulating critical functions that can influence autoimmune demyelination. Of specific interest to multiple sclerosis (MS), miRNA have been implicated in both regulating immune responses and myelination, thus making them an attractive candidate for both pharmacological intervention and as disease biomarkers. In addition, exosomes, small vesicles secreted by most cell types and present in all body fluids, have been also shown to play roles in immune signaling, inflammation and angiogenesis. Therefore, exosomes are also being explored as tools for therapeutic delivery and as biomarkers. This article reviews the recent advances in miRNA and exosome profiling in MS and experimental models.</t>
  </si>
  <si>
    <t>[Mycko, Marcin P.] Univ Warmia &amp; Mazury, Fac Med, Dept Neurol, Lab Neuroimmunol, Warszawska 30, PL-10082 Olsztyn, Poland; [Baranzini, Sergio E.] Univ Calif San Francisco, Weill Inst Neurosci, Dept Neurol, 675 Nelson Rising Lane, San Francisco, CA 94158 USA</t>
  </si>
  <si>
    <t>University of Warmia &amp; Mazury; University of California System; University of California San Francisco</t>
  </si>
  <si>
    <t>Mycko, MP (corresponding author), Univ Warmia &amp; Mazury, Fac Med, Dept Neurol, Lab Neuroimmunol, Warszawska 30, PL-10082 Olsztyn, Poland.;Baranzini, SE (corresponding author), Univ Calif San Francisco, Weill Inst Neurosci, Dept Neurol, 675 Nelson Rising Lane, San Francisco, CA 94158 USA.</t>
  </si>
  <si>
    <t>Marcin.Mycko@uwm.edu.pl; Sergio.Baranzini@ucsf.edu</t>
  </si>
  <si>
    <t>Mycko, Marcin/0000-0002-2226-1784; Baranzini, Sergio/0000-0003-0067-194X</t>
  </si>
  <si>
    <t>1352-4585</t>
  </si>
  <si>
    <t>1477-0970</t>
  </si>
  <si>
    <t>10.1177/1352458519879303</t>
  </si>
  <si>
    <t>WOS:000509049900001</t>
  </si>
  <si>
    <t>Lehmann, BD; Paine, MS; Brooks, AM; McCubrey, JA; Renegar, RH; Wang, R; Terrian, DM</t>
  </si>
  <si>
    <t>Lehmann, Brian D.; Paine, Matthew S.; Brooks, Adam M.; McCubrey, James A.; Renegar, Randall H.; Wang, Rong; Terrian, David M.</t>
  </si>
  <si>
    <t>Senescence-associated exosome release from human prostate cancer cells</t>
  </si>
  <si>
    <t>P53-DEPENDENT CELLULAR SENESCENCE; GENE-EXPRESSION; B7 FAMILY; B7-H3; CARCINOGENESIS; PATHWAY; TSG101; MEMBER</t>
  </si>
  <si>
    <t>Males of advanced age represent a rapidly growing population at risk for prostate cancer. In the contemporary setting of earlier detection, a majority of prostate carcinomas are still clinically localized and often treated using radiation therapy. Our recent studies have shown that premature cellular senescence, rather than apoptosis, accounts for most of the clonogenic death induced by clinically relevant doses of irradiation in prostate cancer cells. We show here that this treatment-induced senescence was associated with a significantly increased release of exosome-like microvesicles. In premature senescence, this novel secretory phenotype was dependent on the activation of p53. In addition, the release of exosome-like microvesicles also increased during proliferative senescence in normal human diploid fibroblasts. These data support the hypothesis that senescence, initiated either by telomere attrition (e.g., aging) or DNA damage (e.g., radiotherapy), may induce a p53-dependent increase in the biogenesis of exosome-like vesicles. Ultrastructural analysis and RNA interference-mediated knockdown of Tsg101 provided significant evidence that the additional exosomes released by prematurely senescent prostate cancer cells were principally derived from multivesicular endosomes. Moreover, these exosomes were enriched in B7-H3 protein, a recently identified diagnostic marker for prostate cancer, and an abundance of what has recently been termed exosomal shuttle RNA. Our findings are consistent with the proposal that exosomes can transfer cargos, with both immunoregulatory potential and genetic information, between cells through a novel mechanism that may be recruited to increase exosome release during accelerated and replicative cellular senescence.</t>
  </si>
  <si>
    <t>[Lehmann, Brian D.; Paine, Matthew S.; Brooks, Adam M.; Renegar, Randall H.; Wang, Rong; Terrian, David M.] E Carolina Univ, Brody Sch Med, Dept Anat &amp; Cell Biol, Greenville, NC 27834 USA; [McCubrey, James A.] E Carolina Univ, Brody Sch Med, Dept Microbiol &amp; Immunol, Greenville, NC 27834 USA; [McCubrey, James A.; Terrian, David M.] E Carolina Univ, Brody Sch Med, Leo W Jenkins Canc Ctr, Greenville, NC 27834 USA</t>
  </si>
  <si>
    <t>University of North Carolina; East Carolina University; University of North Carolina; East Carolina University; University of North Carolina; East Carolina University</t>
  </si>
  <si>
    <t>Terrian, DM (corresponding author), E Carolina Univ, Brody Sch Med, Dept Anat &amp; Cell Biol, 600 Moye Blvd, Greenville, NC 27834 USA.</t>
  </si>
  <si>
    <t>terriand@ecu.edu</t>
  </si>
  <si>
    <t>Lehmann, Brian D./H-8464-2019</t>
  </si>
  <si>
    <t>Lehmann, Brian D./0000-0003-0407-5248; McCubrey, James/0000-0001-6027-3156</t>
  </si>
  <si>
    <t>10.1158/0008-5472.CAN-07-6538</t>
  </si>
  <si>
    <t>WOS:000260029900022</t>
  </si>
  <si>
    <t>Xie, MY; Hou, LJ; Sun, JJ; Zeng, B; Xi, QY; Luo, JY; Chen, T; Zhang, YL</t>
  </si>
  <si>
    <t>Xie, Mei-Ying; Hou, Lian-Jie; Sun, Jia-Jie; Zeng, Bin; Xi, Qian-Yun; Luo, Jun-Yi; Chen, Ting; Zhang, Yong-Liang</t>
  </si>
  <si>
    <t>Porcine Milk Exosome MiRNAs Attenuate LPS-Induced Apoptosis through Inhibiting TLR4/NF-kappa B and p53 Pathways in Intestinal Epithelial Cells</t>
  </si>
  <si>
    <t>JOURNAL OF AGRICULTURAL AND FOOD CHEMISTRY</t>
  </si>
  <si>
    <t>porcine milk exosomes; miRNA; lipopolysaccharide; inflammation; apoptosis</t>
  </si>
  <si>
    <t>MESSENGER-RNAS; DNA-DAMAGE; MICRORNAS; MIR-219; GROWTH</t>
  </si>
  <si>
    <t>Lipopolysaccharide (LPS) is a bacterial endotoxin that induces intestine inflammation. Milk exosomes improve the intestine and immune system development of newborns. This study aims to establish the protective mechanisms of porcine milk exosomes on the attenuation of LPS-induced intestinal inflammation and apoptosis. In vivo, exosomes prevented LPS-induced intestine damage and inhibited (p &lt; 0.05) LPS-induced inflammation. In vitro, exosomes inhibited (p &lt; 0.05) LPS-induced intestinal epithelial cells apoptosis (23% +/- 0.4% to 12% +/- 0.2%). Porcine milk exosomes also decreased (p &lt; 0.05) the LPS-induced TLR4/NF-kappa B signaling pathway activation. Furthermore, exosome miR-4334 and miR-219 reduced (p &lt; 0.05) LPS-induced inflammation through the NF-kappa B pathway and miR-338 inhibited (p &lt; 0.05) the LPS-induced apoptosis via the p53 pathway. Cotransfection with these three miRNAs more effectively prevented (p &lt; 0.05) LPS-induced cell apoptosis than these miRNAs individual transfection. The apoptosis percentage in the group cotransfected with the three miRNAs (14% +/- 0.4%) was lower (p &lt; 0.05) than that in the NC miRNA group (28% +/- 0.5%), and also lower than that in each individual miRNA group. In conclusion, porcine milk exosomes protect the intestine epithelial cells against LPS-induced injury by inhibiting cell inflammation and protecting against apoptosis through the action of exosome miRNAs. The presented results suggest that the physiological amounts of miRNAs-enriched exosomes addition to infant formula could be used as a novel preventative measure for necrotizing enterocolitis.</t>
  </si>
  <si>
    <t>[Xie, Mei-Ying; Sun, Jia-Jie; Zeng, Bin; Xi, Qian-Yun; Luo, Jun-Yi; Chen, Ting; Zhang, Yong-Liang] Guangdong Prov Key Lab Anim Nutr Control, 483 Wushan Rd, Guangzhou 510642, Guangdong, Peoples R China; [Xie, Mei-Ying; Hou, Lian-Jie; Sun, Jia-Jie; Zeng, Bin; Xi, Qian-Yun; Luo, Jun-Yi; Chen, Ting; Zhang, Yong-Liang] South China Agr Univ, Coll Anim Sci, 483 Wushan Rd, Guangzhou 510642, Guangdong, Peoples R China; [Hou, Lian-Jie; Sun, Jia-Jie; Zhang, Yong-Liang] Natl Engn Res Ctr Breeding Swine Ind, 483 Wushan Rd, Guangzhou 510642, Guangdong, Peoples R China; [Sun, Jia-Jie; Xi, Qian-Yun; Chen, Ting; Zhang, Yong-Liang] Guangdong Engn &amp; Res Ctr Woody Fodder Plants, 483 Wushan Rd, Guangzhou 510642, Guangdong, Peoples R China</t>
  </si>
  <si>
    <t>Chen, T; Zhang, YL (corresponding author), Guangdong Prov Key Lab Anim Nutr Control, 483 Wushan Rd, Guangzhou 510642, Guangdong, Peoples R China.;Chen, T; Zhang, YL (corresponding author), South China Agr Univ, Coll Anim Sci, 483 Wushan Rd, Guangzhou 510642, Guangdong, Peoples R China.;Zhang, YL (corresponding author), Natl Engn Res Ctr Breeding Swine Ind, 483 Wushan Rd, Guangzhou 510642, Guangdong, Peoples R China.;Chen, T; Zhang, YL (corresponding author), Guangdong Engn &amp; Res Ctr Woody Fodder Plants, 483 Wushan Rd, Guangzhou 510642, Guangdong, Peoples R China.</t>
  </si>
  <si>
    <t>36391538@qq.com; zhangyl@scau.edu.cn</t>
  </si>
  <si>
    <t>0021-8561</t>
  </si>
  <si>
    <t>1520-5118</t>
  </si>
  <si>
    <t>10.1021/acs.jafc.9b02925</t>
  </si>
  <si>
    <t>Agriculture, Multidisciplinary; Chemistry, Applied; Food Science &amp; Technology</t>
  </si>
  <si>
    <t>Agriculture; Chemistry; Food Science &amp; Technology</t>
  </si>
  <si>
    <t>WOS:000484060800005</t>
  </si>
  <si>
    <t>Hashkavayi, AB; Cha, BS; Lee, ES; Kim, S; Park, KS</t>
  </si>
  <si>
    <t>Hashkavayi, Ayemeh Bagheri; Cha, Byung Seok; Lee, Eun Sung; Kim, Seokjoon; Park, Ki Soo</t>
  </si>
  <si>
    <t>Advances in Exosome Analysis Methods with an Emphasis on Electrochemistry</t>
  </si>
  <si>
    <t>LABEL-FREE DETECTION; SELECTIVE DETECTION; LUNG-CANCER; APTASENSOR; DNA; APTAMER; QUANTIFICATION; HYBRIDIZATION; TECHNOLOGIES; SPECTROSCOPY</t>
  </si>
  <si>
    <t>Exosomes, small extracellular vesicles, are released by various cell types. They are found in bodily fluids, including blood, urine, serum, and saliva, and play essential roles in intercellular communication. Exosomes contain various biomarkers, such as nucleic acids and proteins, that reflect the status of their parent cells. Since they influence tumorigenesis and metastasis in cancer patients, exosomes are excellent noninvasive potential indicators for early cancer detection. Aptamers with specific binding properties have distinct advantages over antibodies, making them effective versatile bioreceptors for the detection of exosome biomarkers. Here, we review various aptamer-based exosome detection approaches based on signaling methods, such as fluorescence, colorimetry, and chemiluminescence, focusing on electrochemical strategies that are easier, cost-effective, and more sensitive than others. Further, we discuss the clinical applications of electrochemical exosome analysis strategies as well as future research directions in this field.</t>
  </si>
  <si>
    <t>[Hashkavayi, Ayemeh Bagheri; Cha, Byung Seok; Lee, Eun Sung; Kim, Seokjoon; Park, Ki Soo] Konkuk Univ, Coll Engn, Dept Biol Engn, Seoul 05029, South Korea</t>
  </si>
  <si>
    <t>Park, KS (corresponding author), Konkuk Univ, Coll Engn, Dept Biol Engn, Seoul 05029, South Korea.</t>
  </si>
  <si>
    <t>Park, Ki Soo/AAR-2461-2021</t>
  </si>
  <si>
    <t>Park, Ki Soo/0000-0002-0545-0970</t>
  </si>
  <si>
    <t>10.1021/acs.analchem.0c02745</t>
  </si>
  <si>
    <t>WOS:000580426800001</t>
  </si>
  <si>
    <t>Vignolini, T; Macera, L; Antonelli, G; Pistello, M; Maggi, F; Giannecchini, S</t>
  </si>
  <si>
    <t>Vignolini, Tiziano; Macera, Lisa; Antonelli, Guido; Pistello, Mauro; Maggi, Fabrizio; Giannecchini, Simone</t>
  </si>
  <si>
    <t>Investigation on torquetenovirus (TTV) microRNA transcriptome in vivo</t>
  </si>
  <si>
    <t>Anelloviridae; Torquetenevirus; MicroRNA expression; Exosomes; Immunosuppressive status</t>
  </si>
  <si>
    <t>TORQUE TENO VIRUS; HUMAN-IMMUNODEFICIENCY-VIRUS; VIRAL MIRNAS; IMMUNOSUPPRESSION; TRANSPLANTATION; VIREMIA; HEPATITIS; PATHOGEN; EXOSOMES; KINETICS</t>
  </si>
  <si>
    <t>Torquetenovirus (TTV) is a widespread anellovirus that establishes persistent infections in human showing an increased viremia in immunosuppressed patients. TTV possesses microRNA (miRNA)-coding sequences that might be involved in viral immune evasion. Here, the presence of TTV DNA and miRNAs expression was investigated in plasma samples of 77 diseased (20 infected with human immunodeficiency virus (HIV), 18 infected with hepatitis B (HBV) virus, 18 infected with hepatitis C (HCV) virus, 21 solid organ transplanted) patients, and 25 healthy controls. ITV prevalence was significantly different in healthy controls (60%, 15/25) versus diseased patients (80%, 62/77), showing the highest TTV loads in transplant recipients. Genetic TTV analysis showed the highest prevalence of group 1, followed by groups 3, 4 and 5, and a lack of isolates of group 2. The expression of at least one ITV miRNAs of group 1, 3 and 5 was found in exosomes of plasma of the great majority of individuals (96%, 98/102 subjects) showing the higher prevalence of miRNAs of TTV group 3 (90%, 92/102), followed by miRNAs of group 1 (66%, 67/102), and miRNA of group 5 (49%, 50/102). TTV miRNAs expression and TTV viremia were not always directly correlated, and significant differences appeared in production of some ITV miRNAs between healthy controls and diseased patients. The reported ITV miRNAs status in exosomes encourages further investigation to understand their potential role in the expansion of anelloviruses upon immunosuppression. (C) 2016 Elsevier B.V. All rights reserved.</t>
  </si>
  <si>
    <t>[Vignolini, Tiziano; Giannecchini, Simone] Univ Florence, Dept Expt &amp; Clin Med, Florence, Italy; [Macera, Lisa; Pistello, Mauro; Maggi, Fabrizio] Pisa Univ Hosp, Virol Unit, Pisa, Italy; [Antonelli, Guido] Univ Roma La Sapienza, Inst Pasteur, Dept Mol Med, Virol Lab,Cenci Bolognetti Fdn, Rome, Italy</t>
  </si>
  <si>
    <t>University of Florence; University of Pisa; Azienda Ospedaliero Universitaria Pisana; Fondazione Cenci Bolognetti; Sapienza University Rome</t>
  </si>
  <si>
    <t>Antonelli, Guido/K-7915-2016; Giannecchini, Simone/K-2136-2016; Maggi, Fabrizio/AAU-5965-2021; Maggi, Fabrizio/L-2974-2013; Pistello, Mauro/AAD-4214-2022</t>
  </si>
  <si>
    <t>Giannecchini, Simone/0000-0003-3374-7621; Maggi, Fabrizio/0000-0001-7489-5271; Maggi, Fabrizio/0000-0001-7489-5271; ANTONELLI, Guido/0000-0002-2533-2939</t>
  </si>
  <si>
    <t>10.1016/j.virusres.2016.03.003</t>
  </si>
  <si>
    <t>WOS:000375498900003</t>
  </si>
  <si>
    <t>Hayashi, T; Lombaert, IMA; Hauser, BR; Patel, VN; Hoffman, MP</t>
  </si>
  <si>
    <t>Hayashi, Toru; Lombaert, Isabelle M. A.; Hauser, Belinda R.; Patel, Vaishali N.; Hoffman, Matthew P.</t>
  </si>
  <si>
    <t>Exosomal MicroRNA Transport from Salivary Mesenchyme Regulates Epithelial Progenitor Expansion during Organogenesis</t>
  </si>
  <si>
    <t>EXTRACELLULAR VESICLES; CANCER; CELLS; MORPHOGENESIS; MECHANISMS; MEMBRANE; RELEASE; MIRNAS</t>
  </si>
  <si>
    <t>Epithelial-mesenchymal interactions involve fundamental communication between tissues during organogenesis and are primarily regulated by growth factors and extracellular matrix. It is unclear whether RNA-containing exosomes are mobile genetic signals regulating epithelial-mesenchymal interactions. Here we identify that exosomes loaded with mesenchyme-specific mature microRNA contribute mobile genetic signals from mesenchyme to epithelium. The mature mesenchymal miR-133b-3p, loaded into exosomes, was transported from mesenchyme to the salivary epithelium, which did not express primary miR-133b-3p. Knockdown of miR-133b-3p in culture decreased endbud morphogenesis, reduced proliferation of epithelial KIT+ progenitors, and increased expression of a target gene, Disco-interacting protein 2 homolog B (Dip2b). DIP2B, which is involved in DNA methylation, was localized with 5-methylcytosine in the prophase nucleus of a subset of KIT+ progenitors during mitosis. In summary, exosomal transport of miR-133b-3p from mesenchyme to epithelium decreases DIP2B, which may function as an epigenetic regulator of genes responsible for KIT+ progenitor expansion during organogenesis.</t>
  </si>
  <si>
    <t>[Hayashi, Toru; Lombaert, Isabelle M. A.; Hauser, Belinda R.; Patel, Vaishali N.; Hoffman, Matthew P.] Natl Inst Dent &amp; Craniofacial Res, Matrix &amp; Morphogenesis Sect, NIH, Bethesda, MD 20892 USA; [Hayashi, Toru] Asahi Univ, Sch Dent, Dept Pharmacol, 1851 Hozumi, Mizuho, Gifu 5010296, Japan; [Lombaert, Isabelle M. A.] Univ Michigan, Sch Dent, Biol &amp; Mat Sci, Ann Arbor, MI 48109 USA; [Lombaert, Isabelle M. A.] Univ Michigan, Biointerfaces Inst, Ann Arbor, MI 48109 USA</t>
  </si>
  <si>
    <t>National Institutes of Health (NIH) - USA; NIH National Institute of Dental &amp; Craniofacial Research (NIDCR); Asahi University; University of Michigan System; University of Michigan; University of Michigan System; University of Michigan</t>
  </si>
  <si>
    <t>Hoffman, MP (corresponding author), Natl Inst Dent &amp; Craniofacial Res, Matrix &amp; Morphogenesis Sect, NIH, Bethesda, MD 20892 USA.</t>
  </si>
  <si>
    <t>mhoffman@mail.nih.gov</t>
  </si>
  <si>
    <t>JAN 9</t>
  </si>
  <si>
    <t>10.1016/j.devcel.2016.12.001</t>
  </si>
  <si>
    <t>WOS:000391900400011</t>
  </si>
  <si>
    <t>Chen, J; Xie, MY; Shi, MQ; Yuan, K; Wu, YN; Meng, HM; Qu, LB; Li, ZH</t>
  </si>
  <si>
    <t>Chen, Juan; Xie, Mingyue; Shi, Mingqing; Yuan, Kun; Wu, Yanan; Meng, Hong-Min; Qu, Lingbo; Li, Zhaohui</t>
  </si>
  <si>
    <t>Spatial Confinement-Derived Double-Accelerated DNA Cascade Reaction for Ultrafast and Highly Sensitive In Situ Monitoring of Exosomal miRNA and Exosome Tracing</t>
  </si>
  <si>
    <t>HYBRIDIZATION CHAIN-REACTION; ELECTROCHEMICAL BIOSENSOR; MESSENGER-RNA; MICRORNA; LIGHT</t>
  </si>
  <si>
    <t>Exosomal microRNAs (miRNAs) are reliable biomarkers of disease progression, allowing for non-invasive detection. However, detection of exosomal miRNAs in situ remains a challenge due to low abundance, poor permeability of the lipid bilayers, and slow kinetics of previous methods. Herein, an accelerated DNA nanoprobe was implemented for fast, in situ monitoring of miRNA in exosomes by employing a spatial confinement strategy. This nanoprobe not only detects miRNA in exosomes but also distinguishes tumor exosomes from those derived from normal cells with high accuracy, paving the way toward exosomal miRNA bioimaging and disease diagnosis. Furthermore, the fast response allows for this nanoprobe to be successfully utilized to monitor the process of exosomes endocytosis, making it also a tool to explore exosome biological functions.</t>
  </si>
  <si>
    <t>[Chen, Juan; Xie, Mingyue; Shi, Mingqing; Yuan, Kun; Wu, Yanan; Meng, Hong-Min; Qu, Lingbo; Li, Zhaohui] Inst Analyt Chem Life Sci, Coll Chem, Henan Joint Int Res Lab Green Construct Funct Mol, Zhengzhou 450001, Peoples R China</t>
  </si>
  <si>
    <t>Meng, HM; Li, ZH (corresponding author), Inst Analyt Chem Life Sci, Coll Chem, Henan Joint Int Res Lab Green Construct Funct Mol, Zhengzhou 450001, Peoples R China.</t>
  </si>
  <si>
    <t>li, zhaohui/0000-0003-3946-0656</t>
  </si>
  <si>
    <t>10.1021/acs.analchem.1c04916</t>
  </si>
  <si>
    <t>WOS:000768213600001</t>
  </si>
  <si>
    <t>Benesh, EC; Miller, PM; Pfaltzgraff, ER; Grega-Larson, NE; Hager, HA; Sung, BH; Qu, XH; Baldwin, HS; Weaver, AM; Bader, DM</t>
  </si>
  <si>
    <t>Benesh, Emily C.; Miller, Paul M.; Pfaltzgraff, Elise R.; Grega-Larson, Nathan E.; Hager, Hillary A.; Sung, Bong Hwan; Qu, Xianghu; Baldwin, H. Scott; Weaver, Alissa M.; Bader, David M.</t>
  </si>
  <si>
    <t>Bves and NDRG4 regulate directional epicardial cell migration through autocrine extracellular matrix deposition</t>
  </si>
  <si>
    <t>EMBRYONIC-DEVELOPMENT; MICE EXHIBIT; GENE FAMILY; EXPRESSION; IDENTIFICATION; MUSCLE; ALPHA-5-BETA-1; METHYLATION; INTEGRINS; INTERACTS</t>
  </si>
  <si>
    <t>Directional cell movement is universally required for tissue morphogenesis. Although it is known that cell/matrix interactions are essential for directional movement in heart development, the mechanisms governing these interactions require elucidation. Here we demonstrate that a novel protein/protein interaction between blood vessel epicardial substance (Bves) and N-myc downstream regulated gene 4 (NDRG4) is critical for regulation of epicardial cell directional movement, as disruption of this interaction randomizes migratory patterns. Our studies show that Bves/NDRG4 interaction is required for trafficking of internalized fibronectin through the autocrine extracellular matrix (ECM) deposition fibronectin recycling pathway. Of importance, we demonstrate that Bves/NDRG4-mediated fibronectin recycling is indeed essential for epicardial cell directional movement, thus linking these two cell processes. Finally, total internal reflectance fluorescence microscopy shows that Bves/NDRG4 interaction is required for fusion of recycling endosomes with the basal cell surface, providing a molecular mechanism of motility substrate delivery that regulates cell directional movement. This is the first evidence of a molecular function for Bves and NDRG4 proteins within broader subcellular trafficking paradigms. These data identify novel regulators of a critical vesicle-docking step required for autocrine ECM deposition and explain how Bves facilitates cell-microenvironment interactions in the regulation of epicardial cell-directed movement.</t>
  </si>
  <si>
    <t>[Benesh, Emily C.; Miller, Paul M.; Pfaltzgraff, Elise R.; Grega-Larson, Nathan E.; Hager, Hillary A.] Vanderbilt Univ, Sch Med, Dept Cell &amp; Dev Biol, Nashville, TN 37232 USA; [Sung, Bong Hwan; Weaver, Alissa M.] Vanderbilt Univ, Sch Med, Dept Canc Biol, Nashville, TN 37232 USA; [Qu, Xianghu; Baldwin, H. Scott] Vanderbilt Univ, Sch Med, Dept Pediat Cardiol, Nashville, TN 37232 USA; [Weaver, Alissa M.] Vanderbilt Univ, Sch Med, Dept Pathol, Nashville, TN 37232 USA; [Bader, David M.] Vanderbilt Univ, Sch Med, Dept Med, Div Cardiovasc Med, Nashville, TN 37232 USA; [Benesh, Emily C.] Washington Univ, Dept Obstet &amp; Gynecol, St Louis, MO 63110 USA</t>
  </si>
  <si>
    <t>Vanderbilt University; Vanderbilt University; Vanderbilt University; Vanderbilt University; Vanderbilt University; Washington University (WUSTL)</t>
  </si>
  <si>
    <t>Weaver, AM (corresponding author), Vanderbilt Univ, Sch Med, Dept Canc Biol, Nashville, TN 37232 USA.</t>
  </si>
  <si>
    <t>alissa.weaver@vanderbilt.edu; david.bader@vanderbilt.edu</t>
  </si>
  <si>
    <t>Benesh, Emily/0000-0002-1050-913X</t>
  </si>
  <si>
    <t>10.1091/mbc.E12-07-0539</t>
  </si>
  <si>
    <t>WOS:000328124600002</t>
  </si>
  <si>
    <t>O, WS; Chen, H; Chow, PH</t>
  </si>
  <si>
    <t>O, Wai-sum; Chen, H.; Chow, P. H.</t>
  </si>
  <si>
    <t>Male genital tract antioxidant enzymes - Their ability to preserve sperm DNA integrity</t>
  </si>
  <si>
    <t>MOLECULAR AND CELLULAR ENDOCRINOLOGY</t>
  </si>
  <si>
    <t>sperm; antioxidant enzymes; male accessory sex gland</t>
  </si>
  <si>
    <t>ACCESSORY SEX GLANDS; HUMAN-SPERMATOZOA; ESTROUS-CYCLE; OXYGEN; FERTILIZATION; FERTILITY; MOTILITY; UTERUS; DAMAGE; GLUCOSE-6-PHOSPHATE-DEHYDROGENASE</t>
  </si>
  <si>
    <t>Male germ cells are unique because they lose a bulk of their cytoplasm as cytoplasmic droplets when they develop, leading to a decrease in endogenous antioxidant and hence a dependence on extracellular antioxidant system to overcome oxidative stress. Spermatozoa are particularly vulnerable to oxidative stress because their plasma membrane is rich in polyunsaturated fatty acids and membrane-bound NADPH oxidase. To protect spermatozoa from oxidative attack, an optimal amount of reactive oxygen species is maintained by balancing the reactive oxygen species generated during sperm maturation in the epididymidis and antioxidants in secretions of the male reproductive tract. The male accessory sex glands secretions have been shown to be the major source of antioxidant enzymes in the ejaculate and have the important function of preserving sperm DNA integrity from oxidative stress experienced in the uterine environment. In our in vivo golden hamster model, ablation of the five major male accessory sex glands, namely the ampullary glands, coagulating glands, dorsolateral prostate, ventral prostate and seminal vesicle, was found to cause higher incidence and greater degree of DNA damage in spermatozoa. These damaged sperm are able to undergo fertilization at the same rate as intact ones; however, the outcome of embryos sired is seriously affected. (c) 2005 Elsevier Ireland Ltd. All rights reserved.</t>
  </si>
  <si>
    <t>Univ Hong Kong, Dept Anat, Hong Kong, Hong Kong, Peoples R China; Chinese Univ Hong Kong, Hong Kong, Hong Kong, Peoples R China</t>
  </si>
  <si>
    <t>University of Hong Kong; Chinese University of Hong Kong</t>
  </si>
  <si>
    <t>O, WS (corresponding author), Univ Hong Kong, Dept Anat, 21 Sassoon Rd, Hong Kong, Hong Kong, Peoples R China.</t>
  </si>
  <si>
    <t>owaisum@hkucc.hku.hk</t>
  </si>
  <si>
    <t>O, Wai Sum/C-4376-2009</t>
  </si>
  <si>
    <t>CHEN, HONG/0000-0002-0516-216X</t>
  </si>
  <si>
    <t>0303-7207</t>
  </si>
  <si>
    <t>1872-8057</t>
  </si>
  <si>
    <t>10.1016/j.mce.2005.12.029</t>
  </si>
  <si>
    <t>WOS:000238020900012</t>
  </si>
  <si>
    <t>Guescini, M; Guidolin, D; Vallorani, L; Casadei, L; Gioacchini, AM; Tibollo, P; Battistelli, M; Falcieri, E; Battistin, L; Agnati, LF; Stocchi, V</t>
  </si>
  <si>
    <t>Guescini, M.; Guidolin, D.; Vallorani, L.; Casadei, L.; Gioacchini, A. M.; Tibollo, P.; Battistelli, M.; Falcieri, E.; Battistin, L.; Agnati, L. F.; Stocchi, V.</t>
  </si>
  <si>
    <t>C2C12 myoblasts release micro-vesicles containing mtDNA and proteins involved in signal transduction</t>
  </si>
  <si>
    <t>Myoblasts; Exosomes; Mitochondrial DNA; Inter-cellular communication; Bioinformatics analysis</t>
  </si>
  <si>
    <t>HUMAN SKELETAL-MUSCLE; MITOCHONDRIAL-DNA; ENDOCRINE ORGAN; HOT-SPOTS; EXOSOMES; EXPRESSION; EXERCISE; IL-6; AGGREGATION; PREDICTION</t>
  </si>
  <si>
    <t>Micro-vesicles can be released by different cell types and operate as 'safe containers' mediating inter-cellular communication In this work we investigated whether cultured myoblasts could release exosomes. The reported data demonstrate, for the first time, that C2C12 myoblasts release micro-vesicles as shown by the presence of two exosome markers (Tsg101 and Alix proteins) Using real-time PCR analysis it was shown that these micro-vesicles, like other cell types, carry mtDNA. Proteomic characterization of the released micro-vesicle contents showed the presence of many proteins involved in signal transduction The bioinformatics assessment of the Disorder Index and Aggregation Index of these proteins suggested that C2C12 micro-vesicles mainly deliver the machinery for signal transduction to target cells rather than key proteins involved in hub functions in molecular networks The presence of IGFBP-5 in the purified micro-vesicles represents an exception, since this binding protein can play a key role in the modulation of the IGF-1 signalling pathway. In conclusion, the present findings demonstrate that skeletal muscle cells release micro-vesicles, which probably have an important role in the communication processes within skeletal muscles and between skeletal muscles and other organs In particular, the present findings suggest possible new diagnostic approaches to skeletal muscle diseases. (C) 2010 Elsevier Inc All rights reserved</t>
  </si>
  <si>
    <t>[Guescini, M.; Vallorani, L.; Casadei, L.; Gioacchini, A. M.; Tibollo, P.; Stocchi, V.] Univ Urbino Carlo Bo, Dept Biomol Sci, I-61029 Urbino, Italy; [Guidolin, D.] Univ Padua, Dept Anat &amp; Physiol, I-35100 Padua, Italy; [Battistelli, M.; Falcieri, E.] Univ Urbino Carlo Bo, Dept Human Environm &amp; Nat Sci, I-61029 Urbino, Italy; [Falcieri, E.] Ist Ortoped Rizzoli, CNR, Inst Mol Genet, I-40136 Bologna, Italy; [Battistin, L.; Agnati, L. F.] IRCCS San Camillo Lido, I-30100 Venice, Italy</t>
  </si>
  <si>
    <t>University of Urbino; University of Padua; University of Urbino; Consiglio Nazionale delle Ricerche (CNR); Istituto di Genetica Molecolare (IGM-CNR); IRCCS Istituto Ortopedico Rizzoli; IRCCS Ospedale San Camillo</t>
  </si>
  <si>
    <t>Guescini, M (corresponding author), Univ Urbino Carlo Bo, Dept Biomol Sci, I-61029 Urbino, Italy.</t>
  </si>
  <si>
    <t>Guescini, Michele/L-1297-2019; Battistelli, Michela/AAN-1138-2021</t>
  </si>
  <si>
    <t>Guescini, Michele/0000-0001-9372-7038; Guidolin, Diego/0000-0003-2133-3552; Falcieri, Elisabetta/0000-0002-0006-9871; CASADEI, Lucia/0000-0002-5731-8197; vallorani, luciana/0000-0002-0858-6275</t>
  </si>
  <si>
    <t>10.1016/j.yexcr.2010.04.006</t>
  </si>
  <si>
    <t>WOS:000278731000008</t>
  </si>
  <si>
    <t>Qi, MY; Xia, Y; Wu, YJ; Zhang, Z; Wang, XY; Lu, LY; Dai, C; Song, YA; Xu, KY; Ji, WW; Zhan, LX</t>
  </si>
  <si>
    <t>Qi, Meiyan; Xia, Yun; Wu, Yanjun; Zhang, Zhuo; Wang, Xinyu; Lu, Liying; Dai, Cheng; Song, Yanan; Xu, Keying; Ji, Weiwei; Zhan, Lixing</t>
  </si>
  <si>
    <t>Lin28B-high breast cancer cells promote immune suppression in the lung pre-metastatic niche via exosomes and support cancer progression</t>
  </si>
  <si>
    <t>T-CELLS; NEUTROPHILS; LIN28; EXPRESSION; INHIBITOR; STAT3; DNA</t>
  </si>
  <si>
    <t>The formation of pre-metastatic niche is a key step in the metastatic burden. The pluripotent factor Lin28B is frequently expressed in breast tumors and is particularly upregulated in the triple negative breast cancer subtype. Here, we demonstrate that Lin28B promotes lung metastasis of breast cancer by building an immune-suppressive pre-metastatic niche. Lin28B enables neutrophil recruitment and N2 conversion. The N2 neutrophils are then essential for immune suppression in pre-metastatic lung by PD-L2 up-regulation and a dysregulated cytokine milieu. We also identify that breast cancer-released exosomes with low let-7s are a prerequisite for Lin28B-induced immune suppression. Moreover, Lin28B-induced breast cancer stem cells are the main sources of low-let-7s exosomes. Clinical data further verify that high Lin28B and low let-7s in tumors are both indicators for poor prognosis and lung metastasis in breast cancer patients. Together, these data reveal a mechanism by which Lin28B directs the formation of an immune-suppressive pre-metastatic niche. The establishment of a pre-metastatic niche is a key step preceding metastasis formation. Here the authors show that tumor-intrinsic Lin28B, a RNA-binding protein, has an essential role in the formation of an immune-suppressive pre-metastatic niche, promoting lung metastasis of breast cancer.</t>
  </si>
  <si>
    <t>[Qi, Meiyan; Wu, Yanjun; Wang, Xinyu; Lu, Liying; Dai, Cheng; Song, Yanan; Xu, Keying; Ji, Weiwei; Zhan, Lixing] Chinese Acad Sci, Univ Chinese Acad Sci, CAS Key Lab Nutr Metab &amp; Food Safety, Shanghai Inst Nutr &amp; Hlth,Shanghai Inst Biol Sci, 320 Yueyang Rd, Shanghai 200031, Peoples R China; [Xia, Yun] Huazhong Univ Sci &amp; Technol, Tongji Hosp, Tongji Med Coll, Dept Thyroid &amp; Breast Surg, 1095 Jiefang Ave, Wuhan 430030, Peoples R China; [Zhang, Zhuo] East China Univ Sci &amp; Technol, Optogenet &amp; Synthet Biol Interdisciplinary Res Ct, State Key Lab Bioreactor Engn, 130 Mei Long Rd, Shanghai 200237, Peoples R China</t>
  </si>
  <si>
    <t>Chinese Academy of Sciences; Shanghai Institutes for Biological Sciences, CAS; University of Chinese Academy of Sciences, CAS; Huazhong University of Science &amp; Technology; East China University of Science &amp; Technology</t>
  </si>
  <si>
    <t>Zhan, LX (corresponding author), Chinese Acad Sci, Univ Chinese Acad Sci, CAS Key Lab Nutr Metab &amp; Food Safety, Shanghai Inst Nutr &amp; Hlth,Shanghai Inst Biol Sci, 320 Yueyang Rd, Shanghai 200031, Peoples R China.</t>
  </si>
  <si>
    <t>lxzhan@sibs.ac.cn</t>
  </si>
  <si>
    <t>10.1038/s41467-022-28438-x</t>
  </si>
  <si>
    <t>WOS:000757370100016</t>
  </si>
  <si>
    <t>Li, S; Zhu, AJ; Ren, K; Li, SL; Chen, LM</t>
  </si>
  <si>
    <t>Li, Shuang; Zhu, Anjing; Ren, Kai; Li, Shilin; Chen, Limin</t>
  </si>
  <si>
    <t>DEFA1B inhibits ZIKV replication and retards cell cycle progression through interaction with ORC1</t>
  </si>
  <si>
    <t>Zika virus (ZIKV); Exosomes; Defensins; Defensin alpha 1B (DEFA1B); Cell cycle</t>
  </si>
  <si>
    <t>Aims: Zika virus (ZIKV) infection causes a public health concern because of its potential association with the development of microcephaly. During viral infections, the host innate immune response is mounted quickly to produce some endogenous functional molecules to limit virus replication and spread. Exosomes contain molecules from their cell of origin following virus infection and can enter recipient cells for intercellular communication. Here, we aim to clarify whether ZIKV-induced exosomes can regulate viral pathogenicity by transferring specific RNAs. Main methods: In this study, exosomes were isolated from the supernatants of A549 cells with or without ZIKV infection. Human transcriptome array (HTA) was performed to analyze the profiling of RNAs wrapped in exosomes. Then qPCR, western blotting and ELISA were used to determine ZIKV replication. CCK-8 and flow cytometry were used to test the cell proliferation and cell cycles. Co-culture assay was used to analyze the effect of exosomes on the cell cycles of recipient cells. Key findings: Through human transcriptome array (HTA) we found the defensin alpha 1B (DEFA1B) expression was significantly increased within exosomes isolated from ZIKV infected A549 cells. Additionally, we found that the extracellular DEFA1B exerts significant anti-ZIKV activity, mainly before ZIKV entering host cells. Interestingly, up-regulated DEFA1B retards the cell cycle of host cells. Further studies demonstrated that DEFA1B interacted with the origin recognition complex 1 (ORC1) which is required to initiate DNA replication during the cell cycle and increased DEFA1B expression decreased the ORC1 level in the cell nuclei. Accordingly, DEFA1B-containing exosomes can be internalized by the recipient cells to retard their cell cycles. Significance: Together, our results demonstrated that the anti-ZIKV activity of DEFA1B can be mediated by exosomes, and DEFA1B interacts with ORC1 to retard cell cycles. Our study provides a novel concept that DEFA1B not only acts as an antiviral molecule during ZIKV infection but also may correlate with cell proliferation by retarding the progression of cell cycles.</t>
  </si>
  <si>
    <t>[Li, Shuang; Zhu, Anjing; Ren, Kai; Li, Shilin; Chen, Limin] Chinese Acad Med Sci, Inst Blood Transfus, Prov Key Lab Transfus Transmitted Infect Dis, Chengdu 610052, Sichuan, Peoples R China; [Li, Shuang; Zhu, Anjing; Ren, Kai; Li, Shilin; Chen, Limin] Peking Union Med Coll, Chengdu 610052, Sichuan, Peoples R China; [Chen, Limin] Univ Toronto, Toronto Gen Res Inst, Toronto, ON M5G 1L6, Canada</t>
  </si>
  <si>
    <t>Chinese Academy of Medical Sciences - Peking Union Medical College; Institute of Blood Transfusion - CAMS; Chinese Academy of Medical Sciences - Peking Union Medical College; Peking Union Medical College; University of Toronto; University Health Network Toronto; Toronto General Hospital</t>
  </si>
  <si>
    <t>Chen, LM (corresponding author), Chinese Acad Med Sci, Inst Blood Transfus, Prov Key Lab Transfus Transmitted Infect Dis, Chengdu 610052, Sichuan, Peoples R China.;Chen, LM (corresponding author), Peking Union Med Coll, Chengdu 610052, Sichuan, Peoples R China.</t>
  </si>
  <si>
    <t>alyssa@bjmu.edu.cn; limin_chen_99@yahoo.com</t>
  </si>
  <si>
    <t>10.1016/j.lfs.2020.118564</t>
  </si>
  <si>
    <t>WOS:000598134000008</t>
  </si>
  <si>
    <t>Jeong, H; Choi, BH; Park, J; Jung, JH; Shin, H; Kang, KW; Quan, YH; Yu, J; Park, JH; Park, Y; Choi, Y; Kim, HK; Hong, S</t>
  </si>
  <si>
    <t>Jeong, Hyesun; Choi, Byeong Hyeon; Park, JinA; Jung, Jik-Han; Shin, Hyunku; Kang, Ka-Won; Quan, Yu Hua; Yu, Jewon; Park, Ji-Ho; Park, Yong; Choi, Yeonho; Kim, Hyun Koo; Hong, Sunghoi</t>
  </si>
  <si>
    <t>GCC2 as a New Early Diagnostic Biomarker for Non-Small Cell Lung Cancer</t>
  </si>
  <si>
    <t>exosomes; non-small cell lung cancer; GCC2; biomarkers; early detection; liquid biopsy; cancer</t>
  </si>
  <si>
    <t>LIQUID BIOPSY; GCC185; EXOSOMES; MAINTENANCE; GUIDELINES; PROTEINS; RECEPTOR; GOLGIN; DNA</t>
  </si>
  <si>
    <t>Simple Summary Lung cancer, including non-small cell lung cancer, is the leading cause of cancer-related death worldwide. A better prognosis is associated with early diagnosis of lung cancer patients. Although annual screening guidelines for lung cancer are recommended, using various tools such as chest X-ray, low-dose computed tomography, and positron emission tomography, these screening procedures are expensive and difficult to repeat. They are also invasive and have a high risk of radiation exposure. Therefore, a low-risk, convenient diagnostic method using liquid biopsy and biomarkers is required for the early diagnosis of lung cancer. The newly proposed biomarker GCC2 was identified through proteomic analysis of exosomes secreted from lung cancer cell lines. GCC2 expression levels in peripheral blood of the patients showed high specificity and sensitivity in early lung cancer, demonstrating that our novel exosomal biomarker GCC2 can greatly contribute to improving the diagnosis of lung cancer patients, even though it has been tested in only a few pilot studies. No specific markers have been identified to detect non-small cell lung cancer (NSCLC) cell-derived exosomes circulating in the blood. Here, we report a new biomarker that distinguishes between cancer and non-cancer cell-derived exosomes. Exosomes isolated from patient plasmas at various pathological stages of NSCLC, NSCLC cell lines, and human pulmonary alveolar epithelial cells isolated using size exclusion chromatography were characterized. The GRIP and coiled-coil domain-containing 2 (GCC2) protein, involved in endosome-to-Golgi transport, was identified by proteomics analysis of NSCLC cell line-derived exosomes. GCC2 protein levels in the exosomes derived from early-stage NSCLC patients were higher than those from healthy controls. Receiver operating characteristic curve analysis revealed the diagnostic sensitivity and specificity of exosomal GCC2 to be 90% and 75%, respectively. A high area under the curve, 0.844, confirmed that GCC2 levels could effectively distinguish between the exosomes. These results demonstrate GCC2 as a promising early diagnostic biomarker for NSCLC.</t>
  </si>
  <si>
    <t>[Jeong, Hyesun; Park, JinA; Hong, Sunghoi] Korea Univ, Sch Biosyst &amp; Biomed Sci, Seoul 02841, South Korea; [Jeong, Hyesun; Park, JinA; Choi, Yeonho; Hong, Sunghoi] Korea Univ, BK21 FOUR R&amp;E Ctr Precis Publ Hlth, Grad Sch, Seoul 02855, South Korea; [Choi, Byeong Hyeon] Korea Univ, Korea Artificial Organ Ctr, Seoul 02841, South Korea; [Choi, Byeong Hyeon; Quan, Yu Hua; Kim, Hyun Koo] Korea Univ, Guro Hosp, Coll Med, Dept Thorac &amp; Cardiovasc Surg, Seoul 08308, South Korea; [Jung, Jik-Han; Park, Ji-Ho] Korea Adv Inst Sci &amp; Technol KAIST, Dept Bio &amp; Brain Engn, Daejeon 34141, South Korea; [Shin, Hyunku; Choi, Yeonho] Korea Univ, Dept Bioconvergence Engn, Seoul 02841, South Korea; [Kang, Ka-Won; Park, Yong] Korea Univ, Dept Internal Med, Div Hematol Oncol, Coll Med, Seoul 02841, South Korea; [Quan, Yu Hua; Kim, Hyun Koo] Korea Univ, Coll Med, Dept Biomed Sci, Seoul 02841, South Korea; [Yu, Jewon] Exopert Corp, 4th Floor, Seoul 02580, South Korea</t>
  </si>
  <si>
    <t>Korea University; Korea University; Korea University; Korea University; Korea University Medicine (KU Medicine); Korea Advanced Institute of Science &amp; Technology (KAIST); Korea University; Korea University; Korea University Medicine (KU Medicine); Korea University; Korea University Medicine (KU Medicine)</t>
  </si>
  <si>
    <t>Hong, S (corresponding author), Korea Univ, Sch Biosyst &amp; Biomed Sci, Seoul 02841, South Korea.;Hong, S (corresponding author), Korea Univ, BK21 FOUR R&amp;E Ctr Precis Publ Hlth, Grad Sch, Seoul 02855, South Korea.;Kim, HK (corresponding author), Korea Univ, Guro Hosp, Coll Med, Dept Thorac &amp; Cardiovasc Surg, Seoul 08308, South Korea.;Kim, HK (corresponding author), Korea Univ, Coll Med, Dept Biomed Sci, Seoul 02841, South Korea.</t>
  </si>
  <si>
    <t>lullaby0810@gmail.com; baby2music@gmail.com; 2020020815@korea.ac.kr; jjhan@kaist.ac.kr; ramgee91@gmail.com; ggm1018@gmail.com; hwa1983418@gmail.com; jewon@exopert.com; jihopark@kaist.ac.kr; paark76@korea.ac.kr; yeonhochoi@korea.ac.kr; kimhyunkoo@korea.ac.kr; shong21@korea.ac.kr</t>
  </si>
  <si>
    <t>Shin, Hyunku/0000-0001-8590-3468; Park, Ji Ho/0000-0002-0721-0428; Kim, Hyun Koo/0000-0001-7604-4729; Kang, Ka-Won/0000-0003-1462-0502; Hong, Sunghoi/0000-0003-4926-1044; Jeong, Hyesun/0000-0001-6600-8548; Jeon, Ok Hwa/0000-0002-6620-1388</t>
  </si>
  <si>
    <t>10.3390/cancers13215482</t>
  </si>
  <si>
    <t>WOS:000718347400001</t>
  </si>
  <si>
    <t>Srivastava, A; Amreddy, N; Babu, A; Panneerselvam, J; Mehta, M; Muralidharan, R; Chen, A; Zhao, YD; Razaq, M; Riedinger, N; Kim, H; Liu, SR; Wu, S; Abdel-Mageed, AB; Munshi, A; Ramesh, R</t>
  </si>
  <si>
    <t>Srivastava, Akhil; Amreddy, Narsireddy; Babu, Anish; Panneerselvam, Janani; Mehta, Meghna; Muralidharan, Ranganayaki; Chen, Allshine; Zhao, Yan Daniel; Razaq, Mohammad; Riedinger, Natascha; Kim, Hogyoung; Liu, Shaorong; Wu, Si; Abdel-Mageed, Asim B.; Munshi, Anupama; Ramesh, Rajagopal</t>
  </si>
  <si>
    <t>Nanosomes carrying doxorubicin exhibit potent anticancer activity against human lung cancer cells</t>
  </si>
  <si>
    <t>EXTRACELLULAR VESICLES; DELIVERY-SYSTEMS; EXOSOMES; BIOGENESIS; PACLITAXEL; DIAGNOSIS; THERAPY; GROWTH; AGENTS</t>
  </si>
  <si>
    <t>Successful chemotherapeutic intervention for management of lung cancer requires an efficient drug delivery system. Gold nanoparticles (GNPs) can incorporate various therapeutics; however, GNPs have limitations as drug carriers. Nano-sized cellular vesicles like exosomes (Exo) can ferry GNPtherapeutic complexes without causing any particle aggregation or immune response. In the present study, we describe the development and testing of a novel Exo-GNP-based therapeutic delivery system -'nanosomes'-for lung cancer therapy. This system consists of GNPs conjugated to anticancer drug doxorubicin (Dox) by a pH-cleavable bond that is physically loaded onto the exosomes (Exo-GNP-Dox). The therapeutic efficacy of Dox in nanosomes was assessed in H1299 and A549 non-small cell lung cancer cells, normal MRC9 lung fibroblasts, and Dox-sensitive human coronary artery smooth muscle cells (HCASM). The enhanced rate of drug release under acidic conditions, successful uptake of the nanosomes by the recipient cells and the cell viability assays demonstrated that nanosomes exhibit preferential cytotoxicity towards cancer cells and have minimal activity on non-cancerous cells. Finally, the underlying mechanism of cytotoxicity involved ROS-mediated DNA damage. Results from this study mark the establishment of an amenable drug delivery vehicle and highlight the advantages of a natural drug carrier that demonstrates reduced cellular toxicity and efficient delivery of therapeutics to cancer cells.</t>
  </si>
  <si>
    <t>[Srivastava, Akhil; Amreddy, Narsireddy; Babu, Anish; Panneerselvam, Janani; Muralidharan, Ranganayaki; Ramesh, Rajagopal] Univ Oklahoma, Hlth Sci Ctr, Dept Pathol, Oklahoma City, OK 73104 USA; [Srivastava, Akhil; Amreddy, Narsireddy; Babu, Anish; Panneerselvam, Janani; Mehta, Meghna; Muralidharan, Ranganayaki; Zhao, Yan Daniel; Razaq, Mohammad; Liu, Shaorong; Wu, Si; Munshi, Anupama; Ramesh, Rajagopal] Univ Oklahoma, Hlth Sci Ctr, Stephenson Canc Ctr, Oklahoma City, OK 73104 USA; [Mehta, Meghna; Munshi, Anupama] Univ Oklahoma, Hlth Sci Ctr, Dept Radiat Oncol, Oklahoma City, OK USA; [Chen, Allshine; Zhao, Yan Daniel] Univ Oklahoma, Hlth Sci Ctr, Dept Epidemiol &amp; Stat, Oklahoma City, OK USA; [Razaq, Mohammad] Univ Oklahoma, Hlth Sci Ctr, Dept Med, Oklahoma City, OK USA; [Riedinger, Natascha] Oklahoma State Univ, Boone Pickens Sch Geol, Stillwater, OK 74078 USA; [Kim, Hogyoung; Abdel-Mageed, Asim B.] Tulane Univ, Sch Med, Dept Urol, New Orleans, LA 70112 USA; [Liu, Shaorong; Wu, Si] Univ Oklahoma, Dept Biol &amp; Chem, Norman, OK 73019 USA; [Ramesh, Rajagopal] Univ Oklahoma, Hlth Sci Ctr, Grad Program Biomed Sci, Oklahoma City, OK 73104 USA</t>
  </si>
  <si>
    <t>University of Oklahoma System; University of Oklahoma Health Sciences Center; University of Oklahoma System; University of Oklahoma Health Sciences Center; University of Oklahoma System; University of Oklahoma Health Sciences Center; University of Oklahoma System; University of Oklahoma Health Sciences Center; University of Oklahoma System; University of Oklahoma Health Sciences Center; Oklahoma State University System; Oklahoma State University - Stillwater; Tulane University; University of Oklahoma System; University of Oklahoma - Norman; University of Oklahoma System; University of Oklahoma Health Sciences Center</t>
  </si>
  <si>
    <t>Ramesh, R (corresponding author), Univ Oklahoma, Hlth Sci Ctr, Dept Pathol, Oklahoma City, OK 73104 USA.;Ramesh, R (corresponding author), Univ Oklahoma, Hlth Sci Ctr, Stephenson Canc Ctr, Oklahoma City, OK 73104 USA.;Ramesh, R (corresponding author), Univ Oklahoma, Hlth Sci Ctr, Grad Program Biomed Sci, Oklahoma City, OK 73104 USA.</t>
  </si>
  <si>
    <t>Abdel-Mageed, Asim/0000-0001-8590-783X</t>
  </si>
  <si>
    <t>DEC 12</t>
  </si>
  <si>
    <t>10.1038/srep38541</t>
  </si>
  <si>
    <t>WOS:000389644900001</t>
  </si>
  <si>
    <t>Lobb, RJ; Hastie, ML; Norris, EL; van Amerongen, R; Gorman, JJ; Moller, A</t>
  </si>
  <si>
    <t>Lobb, Richard J.; Hastie, Marcus L.; Norris, Emma L.; van Amerongen, Rosa; Gorman, Jeffrey J.; Moeller, Andreas</t>
  </si>
  <si>
    <t>Oncogenic transformation of lung cells results in distinct exosome protein profile similar to the cell of origin</t>
  </si>
  <si>
    <t>diagnostic; EGFR; exosomes; non-small cell lung cancer</t>
  </si>
  <si>
    <t>CANCER; EGFR; MUTATION; METASTASIS; PHENOTYPE; DIAGNOSIS; TARGETS; PLASMA; DNA</t>
  </si>
  <si>
    <t>Lung cancer is responsible for the highest rate of cancer mortality worldwide. Lung cancer patients are often ineligible for tumor biopsies due to comorbidities. As a result, patients may not have the most effective treatment regimens administered. Patients with mutations in the epidermal growth factor receptor (EGFR) have improved survival in response to EGFR tyrosine kinase inhibitors. A noninvasive method of determining EGFR mutations in patients would have promising clinical applications. Exosomes have the potential to be noninvasive novel diagnostic markers in cancer. Using MS analysis, we identify differentially abundant cell and exosome proteins induced by mutations in p53 and EGFR in lung cells. Importantly, mutations in p53 and EGFR alter cell and exosome protein content compared to an isogenic normal lung epithelial cell. For some proteins, mutation had similar effects in the cell of origin and exosomes. Differences between the cells of origin and exosomes were also apparent, which may reflect specific packaging of proteins into exosomes. These findings that mutations alter protein abundance in exosomes suggest that analysis of exosomes may be beneficial in the diagnosis of oncogenic mutations.</t>
  </si>
  <si>
    <t>[Lobb, Richard J.; van Amerongen, Rosa; Moeller, Andreas] QIMR Berghofer Med Res Inst, Tumour Microenvironm Lab, Herston, Qld, Australia; [Hastie, Marcus L.; Norris, Emma L.; Gorman, Jeffrey J.] QIMR Berghofer Med Res Inst, Prot Discovery Ctr, Herston, Qld, Australia; [Gorman, Jeffrey J.] Univ Queensland, Inst Mol Biosci, Brisbane, Qld, Australia; [Moeller, Andreas] Univ Queensland, Sch Med, Brisbane, Qld, Australia</t>
  </si>
  <si>
    <t>QIMR Berghofer Medical Research Institute; QIMR Berghofer Medical Research Institute; University of Queensland; University of Queensland</t>
  </si>
  <si>
    <t>Moller, A (corresponding author), QIMR Berghofer Med Res Inst, Tumour Microenvironm Lab, Herston, Qld, Australia.</t>
  </si>
  <si>
    <t>Hastie, Marcus L/L-4366-2016; Möller, Andreas/O-1063-2015</t>
  </si>
  <si>
    <t>Hastie, Marcus L/0000-0002-8386-5549; Möller, Andreas/0000-0002-8618-6998; van Amerongen, Rosa/0000-0002-5560-0957; Lobb, Richard/0000-0001-9548-8843</t>
  </si>
  <si>
    <t>10.1002/pmic.201600432</t>
  </si>
  <si>
    <t>WOS:000418420500003</t>
  </si>
  <si>
    <t>Ren, XX; Zhao, Y; Xue, FQ; Zheng, Y; Huang, HX; Wang, W; Chang, YC; Yang, H; Zhang, JL</t>
  </si>
  <si>
    <t>Ren, Xiaoxi; Zhao, Yun; Xue, Fenqin; Zheng, Yan; Huang, Haixia; Wang, Wei; Chang, Yongchang; Yang, Hui; Zhang, Jianliang</t>
  </si>
  <si>
    <t>Exosomal DNA Aptamer Targeting alpha-Synuclein Aggregates Reduced Neuropathological Deficits in a Mouse Parkinson's Disease Model</t>
  </si>
  <si>
    <t>MEDIATED DELIVERY; SIRNA DELIVERY; AMYLOID-BETA; TAU; PATHOLOGY; ANTIBODY; PROTEIN; IMMUNIZATION; SUPPRESSION; FIBRILS</t>
  </si>
  <si>
    <t>The alpha-synuclein aggregates are the main component of Lewy bodies in Parkinson's disease (PD) brain, and they showed immunotherapy could be employed to alleviate alpha-synuclein aggregate pathology in PD. Recently we have generated DNA aptamers that specifically recognize alpha-synuclein. In this study, we further investigated the in vivo effect of these aptamers on the neuropathological deficits associated with PD. For efficient delivery of the aptamers into the mouse brain, we employed modified exosomes with the neuron-specific rabies viral glycoprotein (RVG) peptide on the membrane surface. We demonstrated that the aptamers were efficiently packaged into the RVG-exosomes and delivered into neurons in vitro and in vivo. Functionally, the aptamer-loaded RVG-exosomes significantly reduced the alpha-synuclein preformed fibril (PFF)-induced pathological aggregates, and rescued synaptic protein loss and neuronal death. Moreover, intraperitoneal administration of these exosomes into the mice with intra-striatally injected a-synuclein PFF reduced the pathological alpha-synuclein aggregates and improved motor impairments. In conclusion, we demonstrated that the aptamers targeting alpha-synuclein aggregates could be effectively delivered into the mouse brain by the RVG-exosomes and reduce the neuropathological and behavioral deficits in the mouse PD model. This study highlights the therapeutic potential of the RVG-exosome delivery of aptamer to alleviate the brain alpha-synuclein pathology.</t>
  </si>
  <si>
    <t>[Ren, Xiaoxi; Zhao, Yun; Yang, Hui; Zhang, Jianliang] Capital Med Univ, Beijing Key Lab Neural Regenerat &amp; Repair, Beijing Inst Brain Disorders, Minist Educ,Dept Neurobiol,Key Lab Neurodegenerat, 10 Xitoutiao, Beijing 100069, Peoples R China; [Xue, Fenqin] Capital Med Univ, Core Facil Ctr, Beijing 100069, Peoples R China; [Zheng, Yan; Huang, Haixia; Wang, Wei] Capital Med Univ, Dept Physiol, Beijing 100069, Peoples R China; [Chang, Yongchang] St Josephs Hosp, Barrow Neurol Inst, Div Neurobiol, Phoenix, AZ 85013 USA</t>
  </si>
  <si>
    <t>Capital Medical University; Capital Medical University; Capital Medical University; Barrow Neurological Institute; St. Joseph's Hospital and Medical Center</t>
  </si>
  <si>
    <t>Zhang, JL (corresponding author), Capital Med Univ, Beijing Key Lab Neural Regenerat &amp; Repair, Beijing Inst Brain Disorders, Minist Educ,Dept Neurobiol,Key Lab Neurodegenerat, 10 Xitoutiao, Beijing 100069, Peoples R China.</t>
  </si>
  <si>
    <t>jlzhang@ccmu.edu.cn</t>
  </si>
  <si>
    <t>10.1016/j.omtn.2019.07.008</t>
  </si>
  <si>
    <t>WOS:000487984400064</t>
  </si>
  <si>
    <t>Vogel, R; Pal, AK; Jambhrunkar, S; Patel, P; Thakur, SS; Reategui, E; Parekh, HS; Saa, P; Stassinopoulos, A; Broom, MF</t>
  </si>
  <si>
    <t>Vogel, Robert; Pal, Anoop K.; Jambhrunkar, Siddharth; Patel, Pragnesh; Thakur, Sachin S.; Reategui, Eduardo; Parekh, Harendra S.; Saa, Paula; Stassinopoulos, Adonis; Broom, Murray F.</t>
  </si>
  <si>
    <t>High-Resolution Single Particle Zeta Potential Characterisation of Biological Nanoparticles using Tunable Resistive Pulse Sensing</t>
  </si>
  <si>
    <t>EXTRACELLULAR VESICLES; INDIVIDUAL NANOPARTICLES; MAGNETIC BEADS; SURFACE-CHARGE; DNA; EXOSOMES; SIZE; MEMBRANE; PROTEIN; MICROVESICLES</t>
  </si>
  <si>
    <t>Physicochemical properties of nanoparticles, such as size, shape, surface charge, density, and porosity play a central role in biological interactions and hence accurate determination of these characteristics is of utmost importance. Here we propose tunable resistive pulse sensing for simultaneous size and surface charge measurements on a particle-by-particle basis, enabling the analysis of a wide spectrum of nanoparticles and their mixtures. Existing methodologies for measuring zeta potential of nanoparticles using resistive pulse sensing are significantly improved by including convection into the theoretical model. The efficacy of this methodology is demonstrated for a range of biological case studies, including measurements of mixed anionic, cationic liposomes, extracellular vesicles in plasma, and in situ time study of DNA immobilisation on the surface of magnetic nanoparticles. The high-resolution single particle size and zeta potential characterisation will provide a better understanding of nano-bio interactions, positively impacting nanomedicine development and their regulatory approval.</t>
  </si>
  <si>
    <t>[Vogel, Robert] Univ Queensland, Sch Math &amp; Phys, St Lucia, Qld 4072, Australia; [Pal, Anoop K.; Patel, Pragnesh] Izon Sci US Ltd, 85 Bolton St,STE 108, Cambridge, MA 02140 USA; [Jambhrunkar, Siddharth] Univ Queensland, Translat Res Inst, Mucosal Dis Grp, 37 Kent St, Woolloongabba, Qld 4102, Australia; [Thakur, Sachin S.; Parekh, Harendra S.] Univ Queensland, Sch Pharm, 20 Cornwall St, Woolloongabba, Qld 4102, Australia; [Reategui, Eduardo] Ohio State Univ, William G Lowrie Dept Chem &amp; Biomol Engn, Columbus, OH 43210 USA; [Reategui, Eduardo] Ohio State Univ, Comprehens Canc Ctr, Columbus, OH 43210 USA; [Saa, Paula] Amer Red Cross, Sci Affairs, Rockville, MD 20877 USA; [Stassinopoulos, Adonis] Cerus Corp, Concord, CA 94520 USA; [Broom, Murray F.] Izon Sci Ltd, 8C Homersham Pl,POB 39168, Christchurch 8053, New Zealand</t>
  </si>
  <si>
    <t>University of Queensland; University of Queensland; University of Queensland; Ohio State University; James Cancer Hospital &amp; Solove Research Institute; Ohio State University; American Red Cross; Cerus Corporation</t>
  </si>
  <si>
    <t>Vogel, R (corresponding author), Univ Queensland, Sch Math &amp; Phys, St Lucia, Qld 4072, Australia.</t>
  </si>
  <si>
    <t>robert@izon.com</t>
  </si>
  <si>
    <t>Parekh, Harendra/P-3964-2019; Saa, Paula/AAB-6607-2019; Parekh, Harendra S/D-6846-2011; Thakur, Sachin Sunil/AAC-4256-2019</t>
  </si>
  <si>
    <t>Parekh, Harendra/0000-0001-8792-4318; Saa, Paula/0000-0001-6077-4532; Parekh, Harendra S/0000-0001-8792-4318; Thakur, Sachin Sunil/0000-0003-4910-0005; Reategui, Eduardo/0000-0002-8271-8205</t>
  </si>
  <si>
    <t>10.1038/s41598-017-14981-x</t>
  </si>
  <si>
    <t>WOS:000417689400103</t>
  </si>
  <si>
    <t>Chen, L; Yang, R; Hu, XL; Xiang, XW; Yu, SF; Wu, XF</t>
  </si>
  <si>
    <t>Chen, Lin; Yang, Rui; Hu, Xiaolong; Xiang, Xingwei; Yu, Shaofang; Wu, Xiaofeng</t>
  </si>
  <si>
    <t>The formation of occlusion-derived virus is affected by the expression level of ODV-E25</t>
  </si>
  <si>
    <t>Odv-e25; Promoter of ie-1; Polyhedrin promoter; Intranuclear microvesicles; Occlusion-derived virus</t>
  </si>
  <si>
    <t>NUCLEAR POLYHEDROSIS-VIRUS; INTRANUCLEAR MICROVESICLE FORMATION; DELAYED-EARLY GENE; STRUCTURAL PROTEIN; CORE GENE; BACULOVIRUS; ENVELOPE; TRANSCRIPTION; INFECTIVITY; IDENTIFICATION</t>
  </si>
  <si>
    <t>Odv-e25 is a core gene of baculoviruses and encodes a 25.5 kDa protein located on both budded virus (BV) and occlusion-derived virus (ODV). Our previous study demonstrated that ODV-E25 was required for the formation of intranuclear microvesicles and ODV, and an odv-e25 deletion mutant could be rescued by re-expression of odv-e25 under its native promoter. To investigate the functions of ODV-E25 expression level on ODV formation, the promoter of ie-1 (pIE1), the odv-e25 native promoter, and the polyhedrin promoter (pPH) were used to direct ody-e25 expression. Our results showed that the production of ODV-E25 under its native promoter was higher than that under pIE1 but lower than that under pPH. Viral DNA replication and budded viruses (BVs) production showed that expression of odv-e25 under pIE1 and pPH could not completely repair the defects caused by the deletion of ODV-E25, while expression under its native promoter did. Electron microscopy showed that intranuclear microvesicles were found in all the constructs transfected cells except the odv-e25-null virus. However, mature ODVs only were detected in cells transfected with virus in which odv-e25 was expressed under its native or polyhedrin promoter. These results indicated that the formation occlusion-derived virus was affected by the expression level of ODV-E25. (C) 2013 Elsevier B.V. All rights reserved.</t>
  </si>
  <si>
    <t>[Chen, Lin; Yang, Rui; Hu, Xiaolong; Xiang, Xingwei; Yu, Shaofang; Wu, Xiaofeng] Zhejiang Univ, Coll Anim Sci, Hangzhou 310029, Zhejiang, Peoples R China</t>
  </si>
  <si>
    <t>Wu, XF (corresponding author), Zhejiang Univ, Coll Anim Sci, Hangzhou 310029, Zhejiang, Peoples R China.</t>
  </si>
  <si>
    <t>wuxiaofeng@zju.edu.cn</t>
  </si>
  <si>
    <t>10.1016/j.virusres.2012.12.016</t>
  </si>
  <si>
    <t>WOS:000319242700021</t>
  </si>
  <si>
    <t>MicroRNAs: Milk's epigenetic regulators</t>
  </si>
  <si>
    <t>BEST PRACTICE &amp; RESEARCH CLINICAL ENDOCRINOLOGY &amp; METABOLISM</t>
  </si>
  <si>
    <t>epigenetic regulation; DNA methyltransferase 1; formula; milk; miRNA-148a; p53</t>
  </si>
  <si>
    <t>IMMUNE-RELATED MICRORNAS; GENE-EXPRESSION; BREAST-MILK; DNA METHYLATION; MESSENGER-RNA; INTERCELLULAR COMMUNICATION; EXTRACELLULAR VESICLES; BIRTH-WEIGHT; FOOD-INTAKE; COWS MILK</t>
  </si>
  <si>
    <t>Our perception of milk has changed from a simple food to a highly sophisticated maternal neonatal nutrient and communication system orchestrating early programming of the infant. Milk miRNAs delivered by exosomes and milk fat globules derived from mammary gland epithelial cells play a key role in this process. Exosomes resist the harsh intestinal environment, are taken up by intestinal cells via endocytosis, and reach the systemic circulation of the milk recipient. The most abundant miRNA found in exosomes and milk fat globules of human and cow's milk, miRNA-148a, attenuates the expression of DNA methyltransferase 1, which is critically involved in epigenetic regulation. Another important miRNA of milk, miRNA-125b, targets p53, the guardian of the genome, and its diverse transcriptional network. The deficiency of exosomal miRNAs in infant formula and the persistent uptake of milk miRNAs after the nursing period via consumption of cow's milk are two epigenetic aberrations that may induce adverse long-term effects on human health. (C) 2017 Elsevier Ltd. All rights reserved.</t>
  </si>
  <si>
    <t>[Melnik, Bodo C.] Univ Osnabruck, Dept Dermatol Environm Med &amp; Hlth Theory, Finkenhugel 7A, D-49076 Osnabruck, Germany; [Schmitz, Gerd] Univ Hosp Regensburg, Inst Clin Chem &amp; Lab Med, Regensburg, Germany</t>
  </si>
  <si>
    <t>Melnik, BC (corresponding author), Univ Osnabruck, Dept Dermatol Environm Med &amp; Hlth Theory, Finkenhugel 7A, D-49076 Osnabruck, Germany.</t>
  </si>
  <si>
    <t>melnik@t-online.de</t>
  </si>
  <si>
    <t>1521-690X</t>
  </si>
  <si>
    <t>1532-1908</t>
  </si>
  <si>
    <t>10.1016/j.beem.2017.10.003</t>
  </si>
  <si>
    <t>WOS:000419408200007</t>
  </si>
  <si>
    <t>Chen, WQ; Li, ZY; Cheng, WQ; Wu, T; Li, J; Li, XY; Liu, L; Bai, HJ; Ding, SJ; Li, XM; Yu, XL</t>
  </si>
  <si>
    <t>Chen, Wenqin; Li, Zhiyang; Cheng, Wenqian; Wu, Tao; Li, Jia; Li, Xinyu; Liu, Lin; Bai, Huijie; Ding, Shijia; Li, Xinmin; Yu, Xiaolin</t>
  </si>
  <si>
    <t>Surface plasmon resonance biosensor for exosome detection based on reformative tyramine signal amplification activated by molecular aptamer beacon</t>
  </si>
  <si>
    <t>HER2-positive exosomes; Surface plasmon resonance; Tyramine signal amplification; G4-hemin; Breast cancer diagnosis</t>
  </si>
  <si>
    <t>CANCER; GOLD; NANOPARTICLES; SPECTROSCOPY; CELLS</t>
  </si>
  <si>
    <t>Human epidermal growth factor receptor 2 (HER2)-positive exosomes play an extremely important role in the diagnosis and treatment options of breast cancers. Herein, based on the reformative tyramine signal amplification (TSA) enabled by molecular aptamer beacon (MAB) conversion, a label-free surface plasmon resonance (SPR) biosensor was proposed for highly sensitive and specific detection of HER2-positive exosomes. The exosomes were captured by the HER2 aptamer region of MAB immobilized on the chip surface, which enabled the exposure of the G-quadruplex DNA (G4 DNA) that could form peroxidase-like G4-hemin. In turn, the formed G4-hemin catalyzed the deposition of plentiful tyramine-coated gold nanoparticles (AuNPs-Ty) on the exosome membrane with the help of H2O2, generating a significantly enhanced SPR signal. In the reformative TSA system, the horseradish peroxidase (HRP) as a major component was replaced with nonenzymic G4-hemin, bypassing the defects of natural enzymes. Moreover, the dual-recognition of the surface proteins and lipid membrane of the desired exosomes endowed the sensing strategy with high specificity without the interruption of free proteins. As a result, this developed SPR biosensor exhibited a wide linear range from 1.0 x 10(4) to 1.0 x 10(7) particles/mL. Importantly, this strategy was able to accurately distinguish HER2-positive breast cancer patients from healthy individuals, exhibiting great potential clinical application.</t>
  </si>
  <si>
    <t>[Chen, Wenqin; Cheng, Wenqian; Li, Jia; Li, Xinyu; Bai, Huijie; Ding, Shijia; Li, Xinmin] Chongqing Med Univ, Coll Lab Med, Key Lab Clin Lab Diagnost, Minist Educ, Chongqing 400016, Peoples R China; [Chen, Wenqin; Li, Zhiyang] Nanjing Univ, Affiliated Drum Tower Hosp, Dept Clin Lab, Med Sch, Nanjing 210008, Peoples R China; [Wu, Tao; Liu, Lin; Yu, Xiaolin] Zigong Fourth Peoples Hosp, Dept Lab Med, Zigong 643000, Sichuan, Peoples R China</t>
  </si>
  <si>
    <t>Chongqing Medical University; Nanjing University</t>
  </si>
  <si>
    <t>Li, XM (corresponding author), Chongqing Med Univ, Coll Lab Med, Key Lab Clin Lab Diagnost, Minist Educ, Chongqing 400016, Peoples R China.;Yu, XL (corresponding author), Zigong Fourth Peoples Hosp, Dept Lab Med, Zigong 643000, Sichuan, Peoples R China.</t>
  </si>
  <si>
    <t>xinmnli@163.com; yuxiaolincq@hotmail.com</t>
  </si>
  <si>
    <t>Li, Zhiyang/0000-0002-4970-8494</t>
  </si>
  <si>
    <t>10.1186/s12951-021-01210-x</t>
  </si>
  <si>
    <t>WOS:000734031900003</t>
  </si>
  <si>
    <t>Wang, S; Li, L; Hu, XT; Liu, T; Jiang, WY; Wu, RB; Ren, YC; Wang, M</t>
  </si>
  <si>
    <t>Wang, Shuo; Li, Liu; Hu, Xitian; Liu, Tao; Jiang, Wenyan; Wu, Rubing; Ren, Yanchun; Wang, Mei</t>
  </si>
  <si>
    <t>Effects of Atrial Fibrillation-Derived Exosome Delivery of miR-107 to Human Umbilical Vein Endothelial Cells</t>
  </si>
  <si>
    <t>atrial fibrillation; exosomes; miR-107; ubiquitin specific peptidase 14 (USP14); human umbilical vein endothelial cells</t>
  </si>
  <si>
    <t>HEART-FAILURE PATIENTS</t>
  </si>
  <si>
    <t>The aim of this study was to explore the effects of atrial fibrillation (AF)-derived exosome delivery of miR-107 to human umbilical vein endothelial cells (HUVECs) and its related mechanisms. Exosomes were isolated from the plasma of patients with AF and healthy controls, followed by characterization. The expression levels of miR-320d, miR-103a-3p, and miR-107 were measured using real-time quantitative PCR (RT-qPCR). The dual-luciferase reporter gene was used to verify the downstream target of miR-107. Afterward, HUVECs were treated with AF-derived exosomes or transfected with miR-107 mimics. After cell culture, Cell Counting Kit-8, Transwell, and flow cytometry were used to determine cell viability, migration, and apoptosis and cell cycle phase. Finally, RT-qPCR was performed to examine the expression of related genes. NanoSight, transmission electron microscopy, and western blotting showed that exosomes were successfully isolated, and that AF-derived exosomes could be taken up by HUVECs. The expression of miR-107 was significantly higher in AF-derived exosomes than in normal exosomes (p &lt; 0.05). USP14 was shown to be the direct target of miR-107. In addition, miR-107 mimics and AF-derived exosomes significantly suppressed cell viability and migration (p &lt; 0.05) and enhanced cell apoptosis; they also increased G0/G1-phase cells and reduced S-phase cells. RT-qPCR showed that exosomal miR-107 overexpression significantly downregulated the expression of USP14 and Bcl2 (p &lt; 0.05), whereas it markedly upregulated the expression of ERK2, FAK, and Bax (p &lt; 0.05). AF-derived exosomes can deliver miR-107 to HUVECs, and exosomal miR-107 may regulate cell viability, migration, and apoptosis and cell cycle progression by mediating the miR-107/USP14 pathway.</t>
  </si>
  <si>
    <t>[Wang, Shuo; Liu, Tao; Jiang, Wenyan] Hebei Med Univ, Dept Cardiol, Shijiazhuang, Hebei, Peoples R China; [Wang, Shuo; Hu, Xitian; Wu, Rubing; Ren, Yanchun] Shijiazhuang Peoples Hosp, Dept Cardiol, Shijiazhuang, Hebei, Peoples R China; [Li, Liu] Hebei Med Univ, Dept Cardiol, Hosp 1, Shijiazhuang, Hebei, Peoples R China; [Wang, Mei] Hebei Med Univ, Dept Cardiol, Hosp 2, 361 Zhongshan East Rd, Shijiazhuang 050000, Hebei, Peoples R China</t>
  </si>
  <si>
    <t>Hebei Medical University; Hebei Medical University; Hebei Medical University</t>
  </si>
  <si>
    <t>Wang, M (corresponding author), Hebei Med Univ, Dept Cardiol, Hosp 2, 361 Zhongshan East Rd, Shijiazhuang 050000, Hebei, Peoples R China.</t>
  </si>
  <si>
    <t>wangmei7341@163.com</t>
  </si>
  <si>
    <t>10.1089/dna.2020.6356</t>
  </si>
  <si>
    <t>WOS:000625292900001</t>
  </si>
  <si>
    <t>Thankam, FG; Huynh, J; Fang, W; Chen, Y; Agrawal, DK</t>
  </si>
  <si>
    <t>Thankam, Finosh G.; Huynh, James; Fang, William; Chen, Yu; Agrawal, Devendra K.</t>
  </si>
  <si>
    <t>Exosomal-ribosomal proteins-driven heterogeneity of epicardial adipose tissue derived stem cells under ischemia for cardiac regeneration</t>
  </si>
  <si>
    <t>JOURNAL OF TISSUE ENGINEERING AND REGENERATIVE MEDICINE</t>
  </si>
  <si>
    <t>cardiac regeneration; epicardial adipose tissue derived stem cells; exosomes; ribosomal proteins; stem cell heterogeneity</t>
  </si>
  <si>
    <t>L13A</t>
  </si>
  <si>
    <t>Extracellular ribosomal proteins secreted in exosomes elicit biological/regenerative responses; however, ribosomal proteins contained in the exosomes of ischemia-challenged epicardial adipose tissue-derived stem cells (EATDS) remain unexplored. This study focuses on the identification of ribosomal proteins in the exosomes of ischemia-challenged EATDS and their sub-populations based on the key ribosomal proteins using single-cell genomics. Exosomes were isolated from control, ischemic (ISC), and reperfused (ISC/R) EATDS harvested from hyperlipidemic microswine, and the proteins were detected using Liquid chromatography with tandem mass spectrometry (LC-MS/MS). One hundred ninety-nine proteins and 177 proteins were detected in ISC and ISC/R groups, respectively with significant fold-change compared to controls. Five ribosomal proteins, RPL10A, 40SRPS18, 40SRPS30, 60SRPL14, and 40SRPSA, were significant owing to their abundance based on LC-MS/MS data. Expression of these proteins, except RPL10A, at transcript and protein levels were lower in ISC group compared to the control. scRNAseq analysis revealed EATDS heterogeneity based on the upregulation of 40SRPSA, 40SRPL18, and 40SRPS18. Pro-inflammatory sub-populations upregulated CCL5, anti-inflammatory sub-population upregulated IL-11, proliferative sub-population upregulated cell cycle and DNA replication mediators, and non-proliferative population downregulated the cell cycle and DNA replication mediators. Overall, the functional role of extracellular ribosomal proteins in driving unique phenotypes of EATDS population offers promise for designing effective translational approaches for myocardial regeneration.</t>
  </si>
  <si>
    <t>[Thankam, Finosh G.; Huynh, James; Fang, William; Agrawal, Devendra K.] Western Univ Hlth Sci, Dept Translat Res, 309 E Second St, Pomona, CA 91766 USA; [Chen, Yu] Univ Calif Los Angeles, Mol Instrumentat Ctr, Los Angeles, CA USA</t>
  </si>
  <si>
    <t>Western University of Health Sciences; University of California System; University of California Los Angeles</t>
  </si>
  <si>
    <t>Thankam, FG (corresponding author), Western Univ Hlth Sci, Dept Translat Res, 309 E Second St, Pomona, CA 91766 USA.</t>
  </si>
  <si>
    <t>FThankam@westernu.edu</t>
  </si>
  <si>
    <t>Agrawal, Devendra/GLR-3925-2022</t>
  </si>
  <si>
    <t>Agrawal, Devendra/0000-0001-5445-0013; Thankam, Finosh/0000-0001-7285-9808</t>
  </si>
  <si>
    <t>1932-6254</t>
  </si>
  <si>
    <t>1932-7005</t>
  </si>
  <si>
    <t>10.1002/term.3289</t>
  </si>
  <si>
    <t>Cell &amp; Tissue Engineering; Biotechnology &amp; Applied Microbiology; Cell Biology; Engineering, Biomedical</t>
  </si>
  <si>
    <t>Cell Biology; Biotechnology &amp; Applied Microbiology; Engineering</t>
  </si>
  <si>
    <t>WOS:000753461100001</t>
  </si>
  <si>
    <t>de Bruyn, DP; Beasley, AB; Verdijk, RM; van Poppelen, NM; Paridaens, D; de Keizer, ROB; Naus, NC; Gray, ES; de Klein, A; Brosens, E; Kilic, E</t>
  </si>
  <si>
    <t>de Bruyn, Daniel P.; Beasley, Aaron B.; Verdijk, Robert M.; van Poppelen, Natasha M.; Paridaens, Dion; de Keizer, Ronald O. B.; Naus, Nicole C.; Gray, Elin S.; de Klein, Annelies; Brosens, Erwin; Kilic, Emine</t>
  </si>
  <si>
    <t>Is Tissue Still the Issue? The Promise of Liquid Biopsy in Uveal Melanoma</t>
  </si>
  <si>
    <t>PET/CT; CT; US; OCT; exosomes; non-invasive; survival</t>
  </si>
  <si>
    <t>OPTICAL COHERENCE TOMOGRAPHY; CIRCULATING TUMOR-CELLS; FINE-NEEDLE-ASPIRATION; FREE NUCLEIC-ACIDS; PERIPHERAL-BLOOD; CHOROIDAL MELANOMA; POTENTIAL BIOMARKER; LIVER METASTASES; OCULAR MELANOMA; BREAST-CANCER</t>
  </si>
  <si>
    <t>Uveal melanoma (UM) is the second most frequent type of melanoma. Therapeutic options for UM favor minimally invasive techniques such as irradiation for vision preservation. As a consequence, no tumor material is obtained. Without available tissue, molecular analyses for gene expression, mutation or copy number analysis cannot be performed. Thus, proper patient stratification is impossible and patients' uncertainty about their prognosis rises. Minimally invasive techniques have been studied for prognostication in UM. Blood-based biomarker analysis has become more common in recent years; however, no clinically standardized protocol exists. This review summarizes insights in biomarker analysis, addressing new insights in circulating tumor cells, circulating tumor DNA, extracellular vesicles, proteomics, and metabolomics. Additionally, medical imaging can play a significant role in staging, surveillance, and prognostication of UM and is addressed in this review. We propose that combining multiple minimally invasive modalities using tumor biomarkers should be the way forward and warrant more attention in the coming years.</t>
  </si>
  <si>
    <t>[de Bruyn, Daniel P.; van Poppelen, Natasha M.; Paridaens, Dion; Naus, Nicole C.; Kilic, Emine] Erasmus MC, Dept Ophthalmol, NL-3000 CA Rotterdam, Netherlands; [de Bruyn, Daniel P.; van Poppelen, Natasha M.; de Klein, Annelies; Brosens, Erwin] Erasmus MC, Dept Clin Genet, NL-3000 CA Rotterdam, Netherlands; [de Bruyn, Daniel P.; van Poppelen, Natasha M.; Naus, Nicole C.; de Klein, Annelies; Brosens, Erwin; Kilic, Emine] Erasmus MC Canc Inst, NL-3000 CA Rotterdam, Netherlands; [Beasley, Aaron B.; Gray, Elin S.] Edith Cowan Univ, Sch Med &amp; Hlth Sci, Ctr Precis Hlth, Joondalup, WA 6027, Australia; [Verdijk, Robert M.; Paridaens, Dion; de Keizer, Ronald O. B.] Rotterdam Eye Hosp, NL-3011 BH Rotterdam, Netherlands; [Verdijk, Robert M.] Erasmus MC, Dept Pathol, Sect Ophthalm Pathol, NL-3000 CA Rotterdam, Netherlands; [Verdijk, Robert M.] Leiden Univ Med Ctr, Dept Pathol, NL-2333 ZA Leiden, Netherlands; [Kilic, Emine] Erasmus MC, Rotterdam Eye Hosp, Dept Ophthalmol, Rotterdam Ocular Melanoma Study Grp ROMS, Rotterdam, Netherlands; [Kilic, Emine] Erasmus MC, Rotterdam Eye Hosp, Dept Pathol, Rotterdam Ocular Melanoma Study Grp ROMS, Rotterdam, Netherlands; [Kilic, Emine] Erasmus MC, Rotterdam Eye Hosp, Dept Clin Genet, Rotterdam Ocular Melanoma Study Grp ROMS, Rotterdam, Netherlands</t>
  </si>
  <si>
    <t>Erasmus University Rotterdam; Erasmus MC; Erasmus University Rotterdam; Erasmus MC; Erasmus University Rotterdam; Erasmus MC; Erasmus MC Cancer Institute; Edith Cowan University; Rotterdam Eye Hospital; Erasmus University Rotterdam; Erasmus MC; Leiden University; Leiden University Medical Center (LUMC); Erasmus University Rotterdam; Erasmus MC; Rotterdam Eye Hospital; Erasmus University Rotterdam; Erasmus MC; Rotterdam Eye Hospital; Erasmus University Rotterdam; Erasmus MC; Rotterdam Eye Hospital</t>
  </si>
  <si>
    <t>Kilic, E (corresponding author), Erasmus MC, Dept Ophthalmol, NL-3000 CA Rotterdam, Netherlands.;Kilic, E (corresponding author), Erasmus MC Canc Inst, NL-3000 CA Rotterdam, Netherlands.;Kilic, E (corresponding author), Erasmus MC, Rotterdam Eye Hosp, Dept Ophthalmol, Rotterdam Ocular Melanoma Study Grp ROMS, Rotterdam, Netherlands.;Kilic, E (corresponding author), Erasmus MC, Rotterdam Eye Hosp, Dept Pathol, Rotterdam Ocular Melanoma Study Grp ROMS, Rotterdam, Netherlands.;Kilic, E (corresponding author), Erasmus MC, Rotterdam Eye Hosp, Dept Clin Genet, Rotterdam Ocular Melanoma Study Grp ROMS, Rotterdam, Netherlands.</t>
  </si>
  <si>
    <t>d.p.debruyn@erasmusmc.nl; a.beasley@ecu.edu.au; r.verdijk@erasmusmc.nl; n.vanpoppelen@erasmusmc.nl; d.paridaens@oogziekenhuis.nl; r.dekeizer@oogziekenhuis.nl; n.naus@erasmusmc.nl; e.gray@ecu.edu.au; a.deklein@erasmusmc.nl; e.brosens@erasmusmc.nl; e.kilic@erasmusmc.nl</t>
  </si>
  <si>
    <t>Brosens, Erwin/AAP-1913-2020</t>
  </si>
  <si>
    <t>Brosens, Erwin/0000-0001-8235-4010; de Bruyn, Daniel/0000-0002-4865-4172; Verdijk, Robert M/0000-0003-1437-214X; Gray, Elin/0000-0002-8613-3570; Beasley, Aaron B/0000-0001-5727-7463; van Poppelen, Natasha/0000-0001-6387-9997</t>
  </si>
  <si>
    <t>10.3390/biomedicines10020506</t>
  </si>
  <si>
    <t>WOS:000762485000001</t>
  </si>
  <si>
    <t>Gibbard, RJ; Morley, PJ; Gay, NJ</t>
  </si>
  <si>
    <t>Gibbard, Rebecca J.; Morley, Peter J.; Gay, Nicholas J.</t>
  </si>
  <si>
    <t>Conserved features in the extracellular domain of human toll-like receptor 8 are essential for pH-dependent signaling</t>
  </si>
  <si>
    <t>TOLL-LIKE RECEPTOR-3; BACTERIAL-DNA; CPG-DNA; RECOGNITION; BINDING; CELLS; TLR9; RESPONSIVENESS; ACTIVATION; IMIQUIMOD</t>
  </si>
  <si>
    <t>Toll-like receptor (TLR) 8 has an important role in initiating immune responses to viral single-stranded RNA and the antiviral compound resiquimod. Together with TLR3, -7, and -9, it forms a subgroup of the TLRs that are localized intracellularly and signal in response to pathogen-derived nucleic acids. In this work, we have used site-directed mutagenesis to identify regions of the TLR8 extracellular domain that are required for stimulus-induced signal transduction. We have shown that a cysteine-rich sequence predicted to form a loop projecting from the sole-noidal ectodomain structure at leucine-rich repeat 8 is essential for signaling in response to both single-stranded RNA and resiquimod. A second region, centered on an aspartic acid residue in leucine-rich repeat 17, is also required for TLR8 function. The corresponding residue in TLR9 is known to be important for pH-dependent binding and signaling in response to unmethylated CpG DNA, suggesting that the TLR7/8/9 subgroups share a common signaling mechanism. We have also shown that TLR8 is localized predominantly in the endoplasmic reticulum but that signaling is completely abolished by an inhibitor of vesicle-type H+ ATPases. This indicates that TLR8 is present at low levels in an acidified compartment and that a lowered pH is required for receptor function. We propose that pH-dependent changes in the ligand facilitate activation of the receptor. The protonated form of resiquimod, a cell-permeable weak base, is likely to concentrate significantly (similar to 100x) in acidified compartments, and this may potentiate low affinity interactions with either the receptor or a specific binding protein.</t>
  </si>
  <si>
    <t>Univ Cambridge, Dept Biochem, Cambridge CB2 1GA, England; GlaxoSmithKline Med Res Ctr, Stevenage SG1 2NY, Herts, England</t>
  </si>
  <si>
    <t>University of Cambridge; GlaxoSmithKline</t>
  </si>
  <si>
    <t>Gay, NJ (corresponding author), Univ Cambridge, Dept Biochem, 80 Tennis Court Rd, Cambridge CB2 1GA, England.</t>
  </si>
  <si>
    <t>njg11@mole.bio.cam.ac.uk</t>
  </si>
  <si>
    <t>10.1074/jbc.M605003200</t>
  </si>
  <si>
    <t>WOS:000240397700077</t>
  </si>
  <si>
    <t>Hannafon, BN; Carpenter, KJ; Berry, WL; Janknecht, R; Dooley, WC; Ding, WQ</t>
  </si>
  <si>
    <t>Hannafon, Bethany N.; Carpenter, Karla J.; Berry, William L.; Janknecht, Ralf; Dooley, William C.; Ding, Wei-Qun</t>
  </si>
  <si>
    <t>Exosome-mediated microRNA signaling from breast cancer cells is altered by the anti-angiogenesis agent docosahexaenoic acid (DHA)</t>
  </si>
  <si>
    <t>POLYUNSATURATED FATTY-ACIDS; TUMOR-DERIVED EXOSOMES; IN-VITRO; GROWTH; N-3; METASTASIS; ACTIVATION; MECHANISMS; EXPRESSION; SIGNATURES</t>
  </si>
  <si>
    <t>Background: Docosahexaenoic acid (DHA) is a natural compound with anticancer and anti-angiogenesis activity that is currently under investigation as both a preventative agent and an adjuvant to breast cancer therapy. However, the precise mechanisms of DHA's anticancer activities are unclear. It is understood that the intercommunication between cancer cells and their microenvironment is essential to tumor angiogenesis. Exosomes are extracellular vesicles that are important mediators of intercellular communication and play a role in promoting angiogenesis. However, very little is known about the contribution of breast cancer exosomes to tumor angiogenesis or whether exosomes can mediate DHA's anticancer action. Results: Exosomes were collected from MCF7 and MDA-MB-231 breast cancer cells after treatment with DHA. We observed an increase in exosome secretion and exosome microRNA contents from the DHA-treated cells. The expression of 83 microRNAs in the MCF7 exosomes was altered by DHA (&gt;2-fold). The most abundant exosome microRNAs (let-7a, miR-23b, miR-27a/b, miR-21, let-7, and miR-320b) are known to have anti-cancer and/or anti-angiogenic activity. These microRNAs were also increased by DHA treatment in the exosomes from other breast cancer lines (MDA-MB-231, ZR751 and BT20), but not in exosomes from normal breast cells (MCF10A). When DHA-treated MCF7 cells were co-cultured with or their exosomes were directly applied to endothelial cell cultures, we observed an increase in the expression of these microRNAs in the endothelial cells. Furthermore, overexpression of miR-23b and miR-320b in endothelial cells decreased the expression of their pro-angiogenic target genes (PLAU, AMOTL1, NRP1 and ETS2) and significantly inhibited tube formation by endothelial cells, suggesting that the microRNAs transferred by exosomes mediate DHA's anti-angiogenic action. These effects could be reversed by knockdown of the Rab GTPase, Rab27A, which controls exosome release. Conclusions: We conclude that DHA alters breast cancer exosome secretion and microRNA contents, which leads to the inhibition of angiogenesis. Our data demonstrate that breast cancer exosome signaling can be targeted to inhibit tumor angiogenesis and provide new insight into DHA's anticancer action, further supporting its use in cancer therapy.</t>
  </si>
  <si>
    <t>[Hannafon, Bethany N.; Carpenter, Karla J.; Ding, Wei-Qun] Univ Oklahoma, Hlth Sci Ctr, Dept Pathol, Oklahoma City, OK 73104 USA; [Berry, William L.; Janknecht, Ralf] Univ Oklahoma, Hlth Sci Ctr, Dept Cell Biol, Oklahoma City, OK 73104 USA; [Dooley, William C.] Univ Oklahoma, Hlth Sci Ctr, Dept Surg, Oklahoma City, OK 73104 USA; [Janknecht, Ralf; Dooley, William C.; Ding, Wei-Qun] Peggy &amp; Charles Stephenson Canc Ctr, Oklahoma City, OK 73104 USA</t>
  </si>
  <si>
    <t>University of Oklahoma System; University of Oklahoma Health Sciences Center; University of Oklahoma System; University of Oklahoma Health Sciences Center; University of Oklahoma System; University of Oklahoma Health Sciences Center; University of Oklahoma System; University of Oklahoma Health Sciences Center</t>
  </si>
  <si>
    <t>Ding, WQ (corresponding author), Univ Oklahoma, Hlth Sci Ctr, Dept Pathol, Oklahoma City, OK 73104 USA.</t>
  </si>
  <si>
    <t>Hannafon, Bethany N./0000-0003-0596-9171; Janknecht, Ralf/0000-0003-1741-1562; Berry, William/0000-0002-1661-5443</t>
  </si>
  <si>
    <t>10.1186/s12943-015-0400-7</t>
  </si>
  <si>
    <t>WOS:000357926400002</t>
  </si>
  <si>
    <t>Abe, T; Nakashima, C; Sato, A; Harada, Y; Sueoka, E; Kimura, S; Kawaguchi, A; Sueoka-Aragane, N</t>
  </si>
  <si>
    <t>Abe, Tomonori; Nakashima, Chiho; Sato, Akemi; Harada, Yohei; Sueoka, Eisaburo; Kimura, Shinya; Kawaguchi, Atsushi; Sueoka-Aragane, Naoko</t>
  </si>
  <si>
    <t>Origin of circulating free DNA in patients with lung cancer</t>
  </si>
  <si>
    <t>T790M; BLOOD</t>
  </si>
  <si>
    <t>Liquid biopsy has become widely applied in clinical medicine along with the progress in innovative technologies, such as next generation sequencing, but the origin of circulating tumor DNA (ctDNA) has not yet been precisely established. We reported bimodal peaks of long fragment circulating free DNA (cfDNA) of 5 kb and short fragment cfDNA of 170 bp in patients with advanced lung cancer, and both contained ctDNA. In this paper, we demonstrate that the total amount of cfDNA is higher when patients with lung cancer have extrathoracic metastases, and the amount of long fragment cfDNA is significantly higher in those patients. To investigate the origin of long fragment cfDNA, conditioned media isolated from lung cancer cell lines was fractionated. Long fragment cfDNA was found concomitant with extracellular vesicles (EVs), but short fragment cfDNA was not observed in any fractions. However, in peripheral blood from a metastatic animal model both fragments were detected even with those same lung cancer cell lines. In human plasma samples, long fragment cfDNA was observed in the same fraction as that from conditioned media, and short fragment cfDNA existed in the supernatant after centrifugation at 100,000g. Concentration of ctDNA in the supernatant was two times higher than that in plasma isolated by the conventional procedure. Long fragment cfDNA associated with tumor progression might therefore be released into peripheral blood, and it is possible that the long fragment cfDNA escapes degradation by co-existing with EVs. Examination of the biological characteristics of long fragment cfDNA is a logical subject of further investigation.</t>
  </si>
  <si>
    <t>[Abe, Tomonori; Nakashima, Chiho; Harada, Yohei; Kimura, Shinya; Sueoka-Aragane, Naoko] Saga Univ, Fac Med, Dept Internal Med, Div Hematol Resp Med &amp; Oncol, Saga, Japan; [Sato, Akemi; Sueoka, Eisaburo] Saga Univ, Fac Med, Dept Clin Lab Med, Saga, Japan; [Kawaguchi, Atsushi] Saga Univ, Fac Med, Educ &amp; Res Ctr Community Med, Saga, Japan</t>
  </si>
  <si>
    <t>Saga University; Saga University; Saga University</t>
  </si>
  <si>
    <t>Sueoka-Aragane, N (corresponding author), Saga Univ, Fac Med, Dept Internal Med, Div Hematol Resp Med &amp; Oncol, Saga, Japan.</t>
  </si>
  <si>
    <t>sueokan@cc.saga-u.ac.jp</t>
  </si>
  <si>
    <t>e0235611</t>
  </si>
  <si>
    <t>10.1371/journal.pone.0235611; 10.1371/journal.pone.0235611.r001; 10.1371/journal.pone.0235611.r002; 10.1371/journal.pone.0235611.r003; 10.1371/journal.pone.0235611.r004</t>
  </si>
  <si>
    <t>WOS:000550645600029</t>
  </si>
  <si>
    <t>Spadafora, C</t>
  </si>
  <si>
    <t>Spadafora, Corrado</t>
  </si>
  <si>
    <t>Sperm-Mediated Transgenerational Inheritance</t>
  </si>
  <si>
    <t>spermatozoa; LINE-1 retrotransposons; reverse transcriptase; exosomes; transgenerational inheritance; evolution</t>
  </si>
  <si>
    <t>EMBRYONIC STEM-CELLS; ENDOGENOUS REVERSE-TRANSCRIPTASE; DIET-INDUCED OBESITY; EPIGENETIC INHERITANCE; GENETIC INFORMATION; HUMAN SPERMATOZOA; MICRORNA CONTENT; DNA METHYLATION; PATERNAL STRESS; RNA</t>
  </si>
  <si>
    <t>Spermatozoa of virtually all species can spontaneously take up exogenous DNA or RNA molecules and internalize them into nuclei. In this article I review evidence for a key role of a reverse transcriptase (RT) activity, encoded by LINE-1 retrotransposons, in the fate of the internalized nucleic acid molecules and their implication in transgenerational inheritance. LINE-1-derived RT, present in sperm heads, can reverse-transcribe the internalized molecules in cDNA copies: exogenous RNA is reverse-transcribed in a one-step reaction, whereas DNA is first transcribed into RNA and subsequently reverse-transcribed. Both RNA and cDNA molecules can be delivered from sperm cells to oocytes at fertilization, further propagated throughout embryogenesis and inherited in a non-Mendelian fashion in tissues of adult animals. The reverse-transcribed sequences are extrachromosomal, low-abundance, and mosaic distributed in tissues of adult individuals, where they are variably expressed. These retrogenes are transcriptionally competent and induce novel phenotypic traits in animals. Growing evidence indicate that cancer tissues produce DNA- and RNA-containing exosomes. We recently found that these exosomes are released in the bloodstream and eventually taken up into epididymal spermatozoa, consistent with the emerging view that a transgenerational flow of extrachromosomal RNA connects soma to germline and, further, to next generation embryos. Spermatozoa play a crucial bridging role in this process: they act as collectors of somatic information and as delivering vectors to the next generation. On the whole, this phenomenon is compatible with a Lamarckian-type view and closely resembles Darwinian pangenesis.</t>
  </si>
  <si>
    <t>[Spadafora, Corrado] Natl Res Council Italy, Inst Translat Pharmacol, Rome, Italy</t>
  </si>
  <si>
    <t>Consiglio Nazionale delle Ricerche (CNR); Istituto di Farmacologia Traslazionale (IFT-CNR)</t>
  </si>
  <si>
    <t>Spadafora, C (corresponding author), Natl Res Council Italy, Inst Translat Pharmacol, Rome, Italy.</t>
  </si>
  <si>
    <t>corrado.spadafora@gmail.com</t>
  </si>
  <si>
    <t>10.3389/fmicb.2017.02401</t>
  </si>
  <si>
    <t>WOS:000416902600002</t>
  </si>
  <si>
    <t>Ibrahim, P; Almeida, D; Nagy, C; Turecki, G</t>
  </si>
  <si>
    <t>Ibrahim, Pascal; Almeida, Daniel; Nagy, Corina; Turecki, Gustavo</t>
  </si>
  <si>
    <t>Molecular impacts of childhood abuse on the human brain</t>
  </si>
  <si>
    <t>NEUROBIOLOGY OF STRESS</t>
  </si>
  <si>
    <t>Childhood abuse; Critical periods; Epigenetics; Depression; Suicide; HPA axis; Human brain; Extracellular vesicles</t>
  </si>
  <si>
    <t>BORDERLINE PERSONALITY-DISORDER; BDNF VAL66MET POLYMORPHISM; ANTERIOR CINGULATE CORTEX; EARLY-LIFE ADVERSITY; DNA METHYLATION; EPIGENETIC REGULATION; HPA-AXIS; MAJOR DEPRESSION; MATERNAL-CARE; GLUCOCORTICOID-RECEPTOR</t>
  </si>
  <si>
    <t>Childhood abuse (CA) is a prevalent global health concern, increasing the risk of negative mental health outcomes later in life. In the literature, CA is commonly defined as physical, sexual, and emotional abuse, as well as neglect. Several mental disorders have been associated with CA, including depression, bipolar disorder, schizophrenia, and post-traumatic stress disorder, along with an increased risk of suicide. It is thought that traumatic life events occurring during childhood and adolescence may have a significant impact on essential brain functions, which may persist throughout adulthood. The interaction between the brain and the external environment can be mediated by epigenetic alterations in gene expression, and there is a growing body of evidence to show that such changes occur as a function of CA. Disruptions in the HPA axis, myelination, plasticity, and signaling have been identified in individuals with a history of CA. Understanding the molecular impact of CA on the brain is essential for the development of treatment and prevention measures. In this review, we will summarize studies that highlight the molecular changes associated with CA in the human brain, along with supporting evidence from peripheral studies and animal models. We will also discuss some of the limitations surrounding the study of CA and propose extracellular vesicles as a promising future approach in the field.</t>
  </si>
  <si>
    <t>[Ibrahim, Pascal; Almeida, Daniel] McGill Univ, Integrated Program Neurosci, Montreal, PQ, Canada; [Ibrahim, Pascal; Almeida, Daniel; Nagy, Corina; Turecki, Gustavo] Douglas Mental Hlth Univ Inst, McGill Grp Suicide Studies, Verdun, PQ, Canada; [Nagy, Corina; Turecki, Gustavo] McGill Univ, Dept Psychiat, Montreal, PQ, Canada</t>
  </si>
  <si>
    <t>Turecki, G (corresponding author), McGill Univ, Dept Psychiat, Montreal, PQ, Canada.</t>
  </si>
  <si>
    <t>gustavo.turecki@mcgill.ca</t>
  </si>
  <si>
    <t>2352-2895</t>
  </si>
  <si>
    <t>10.1016/j.ynstr.2021.100343</t>
  </si>
  <si>
    <t>WOS:000702921700006</t>
  </si>
  <si>
    <t>Veitch, S; Njock, MS; Chandy, M; Siraj, MA; Chi, LJ; Mak, H; Yu, K; Rathnakumar, K; Perez-Romero, CA; Chen, ZQ; Alibhai, FJ; Gustafson, D; Raju, S; Wu, RL; Khat, DZ; Wang, YX; Caballero, A; Meagher, P; Lau, E; Pepic, L; Cheng, HS; Galant, NJ; Howe, KL; Li, RK; Connelly, KA; Husain, M; Delgado-Olguin, P; Fish, JE</t>
  </si>
  <si>
    <t>Veitch, Shawn; Njock, Makon-Sebastien; Chandy, Mark; Siraj, M. Ahsan; Chi, Lijun; Mak, HaoQi; Yu, Kai; Rathnakumar, Kumaragurubaran; Perez-Romero, Carmina Anjelica; Chen, Zhiqi; Alibhai, Faisal J.; Gustafson, Dakota; Raju, Sneha; Wu, Ruilin; Khat, Dorrin Zarrin; Wang, Yaxu; Caballero, Amalia; Meagher, Patrick; Lau, Edward; Pepic, Lejla; Cheng, Henry S.; Galant, Natalie J.; Howe, Kathryn L.; Li, Ren-Ke; Connelly, Kim A.; Husain, Mansoor; Delgado-Olguin, Paul; Fish, Jason E.</t>
  </si>
  <si>
    <t>MiR-30 promotes fatty acid beta-oxidation and endothelial cell dysfunction and is a circulating biomarker of coronary microvascular dysfunction in pre-clinical models of diabetes</t>
  </si>
  <si>
    <t>CARDIOVASCULAR DIABETOLOGY</t>
  </si>
  <si>
    <t>Endothelial cell; Microvasculature; Diabetes; Extracellular vesicle; microRNA; Biomarker; Diastolic dysfunction; Heart failure with preserved ejection fraction</t>
  </si>
  <si>
    <t>HEART-FAILURE; BIOGENESIS; METABOLISM; EXPRESSION; SECRETION; STRESS; RISK</t>
  </si>
  <si>
    <t>Background Type 2 diabetes (T2D) is associated with coronary microvascular dysfunction, which is thought to contribute to compromised diastolic function, ultimately culminating in heart failure with preserved ejection fraction (HFpEF). The molecular mechanisms remain incompletely understood, and no early diagnostics are available. We sought to gain insight into biomarkers and potential mechanisms of microvascular dysfunction in obese mouse (db/db) and lean rat (Goto-Kakizaki) pre-clinical models of T2D-associated diastolic dysfunction. Methods The microRNA (miRNA) content of circulating extracellular vesicles (EVs) was assessed in T2D models to identify biomarkers of coronary microvascular dysfunction/rarefaction. The potential source of circulating EV-encapsulated miRNAs was determined, and the mechanisms of induction and the function of candidate miRNAs were assessed in endothelial cells (ECs). Results We found an increase in miR-30d-5p and miR-30e-5p in circulating EVs that coincided with indices of coronary microvascular EC dysfunction (i.e., markers of oxidative stress, DNA damage/senescence) and rarefaction, and preceded echocardiographic evidence of diastolic dysfunction. These miRNAs may serve as biomarkers of coronary microvascular dysfunction as they are upregulated in ECs of the left ventricle of the heart, but not other organs, in db/db mice. Furthermore, the miR-30 family is secreted in EVs from senescent ECs in culture, and ECs with senescent-like characteristics are present in the db/db heart. Assessment of miR-30 target pathways revealed a network of genes involved in fatty acid biosynthesis and metabolism. Over-expression of miR-30e in cultured ECs increased fatty acid beta-oxidation and the production of reactive oxygen species and lipid peroxidation, while inhibiting the miR-30 family decreased fatty acid beta-oxidation. Additionally, miR-30e over-expression synergized with fatty acid exposure to down-regulate the expression of eNOS, a key regulator of microvascular and cardiomyocyte function. Finally, knock-down of the miR-30 family in db/db mice decreased markers of oxidative stress and DNA damage/senescence in the microvascular endothelium. Conclusions MiR-30d/e represent early biomarkers and potential therapeutic targets that are indicative of the development of diastolic dysfunction and may reflect altered EC fatty acid metabolism and microvascular dysfunction in the diabetic heart.</t>
  </si>
  <si>
    <t>[Veitch, Shawn; Mak, HaoQi; Gustafson, Dakota; Wu, Ruilin; Khat, Dorrin Zarrin; Cheng, Henry S.; Fish, Jason E.] Univ Toronto, Dept Lab Med &amp; Pathobiol, Toronto, ON, Canada; [Veitch, Shawn; Njock, Makon-Sebastien; Chandy, Mark; Siraj, M. Ahsan; Mak, HaoQi; Yu, Kai; Rathnakumar, Kumaragurubaran; Chen, Zhiqi; Alibhai, Faisal J.; Gustafson, Dakota; Raju, Sneha; Wu, Ruilin; Khat, Dorrin Zarrin; Cheng, Henry S.; Howe, Kathryn L.; Li, Ren-Ke; Husain, Mansoor; Fish, Jason E.] Univ Hlth Network, Toronto Gen Hosp, Res Inst, Toronto, ON, Canada; [Chandy, Mark; Pepic, Lejla; Delgado-Olguin, Paul] Stanford Univ, Sch Med, Stanford Cardiovasc Inst, Stanford, CA 94305 USA; [Chi, Lijun; Perez-Romero, Carmina Anjelica; Wang, Yaxu; Caballero, Amalia; Connelly, Kim A.] Hosp Sick Children, Translat Med, Toronto, ON, Canada; [Meagher, Patrick] Univ Toronto, St Michaels Hosp, Keenan Biomed Res Ctr, Li Ka Shing Knowledge Inst, Toronto, ON, Canada; [Lau, Edward] Univ Colorado, Sch Med, Dept Med, Div Cardiol, Aurora, CO USA; [Galant, Natalie J.] Univ Hlth Network, Princess Margaret Canc Ctr, Toronto, ON, Canada; [Howe, Kathryn L.; Fish, Jason E.] Univ Hlth Network, Peter Munk Cardiac Ctr, Toronto, ON, Canada; [Delgado-Olguin, Paul] Univ Toronto, Dept Mol Genet, Toronto, ON, Canada</t>
  </si>
  <si>
    <t>University of Toronto; University of Toronto; University Health Network Toronto; Toronto General Hospital; Stanford University; University of Toronto; Hospital for Sick Children (SickKids); University of Toronto; Li Ka Shing Knowledge Institute; Saint Michaels Hospital Toronto; University of Colorado System; University of Colorado Anschutz Medical Campus; University of Toronto; University Health Network Toronto; Princess Margaret Cancer Centre; University of Toronto; Peter Munk Cardiac Centre; University Health Network Toronto; University of Toronto</t>
  </si>
  <si>
    <t>Fish, JE (corresponding author), Univ Toronto, Dept Lab Med &amp; Pathobiol, Toronto, ON, Canada.;Fish, JE (corresponding author), Univ Hlth Network, Toronto Gen Hosp, Res Inst, Toronto, ON, Canada.;Fish, JE (corresponding author), Univ Hlth Network, Peter Munk Cardiac Ctr, Toronto, ON, Canada.</t>
  </si>
  <si>
    <t>jason.fish@utoronto.ca</t>
  </si>
  <si>
    <t>Chandy, Mark Joseph Koonthanam/GLT-9682-2022; Njock, Makon-Sébastien/AFI-6587-2022</t>
  </si>
  <si>
    <t>Chandy, Mark Joseph Koonthanam/0000-0002-6741-2822; Njock, Makon-Sébastien/0000-0001-8137-1978; Howe, Kathryn/0000-0002-6519-2280; Siraj, M. Ahsan/0000-0002-2769-7261</t>
  </si>
  <si>
    <t>1475-2840</t>
  </si>
  <si>
    <t>10.1186/s12933-022-01458-z</t>
  </si>
  <si>
    <t>Cardiac &amp; Cardiovascular Systems; Endocrinology &amp; Metabolism</t>
  </si>
  <si>
    <t>Cardiovascular System &amp; Cardiology; Endocrinology &amp; Metabolism</t>
  </si>
  <si>
    <t>WOS:000761286400002</t>
  </si>
  <si>
    <t>Palomares, KT; Parobchak, N; Ithier, MC; Aleksunes, LM; Castano, PM; So, M; Faro, R; Heller, D; Wang, BB; Rosen, T</t>
  </si>
  <si>
    <t>Palomares, Kristy T.; Parobchak, Nataliya; Ithier, Mayra Cruz; Aleksunes, Lauren M.; Castano, Paula M.; So, Melody; Faro, Revital; Heller, Debra; Wang, Bingbing; Rosen, Todd</t>
  </si>
  <si>
    <t>Fetal Exosomal Platelet-activating Factor Triggers Functional Progesterone Withdrawal in Human Placenta</t>
  </si>
  <si>
    <t>Fetal cord blood; Exosomes; Platelet-activating factor; Progesterone receptor-A; NF-kappaB; methylation; placenta; pro-labor genes</t>
  </si>
  <si>
    <t>DNA METHYLATION; ANIMAL-MODELS; RECEPTOR; COREPRESSOR; RECRUITMENT; EXPRESSION; MECHANISM; DOMAIN</t>
  </si>
  <si>
    <t>In most mammals, labor is heralded by the withdrawal of progesterone. In humans, circulating progesterone levels increase as gestation advances while placental expression of progesterone receptor A (PR-A) declines. As a result of PR-A downregulation, the non-canonical NF-kappa B pathway is activated, an event implicated in triggering labor. Here, we sought to identify fetal-derived mediator(s) that represses placental PR-A in human placenta leading to activation of pro-labor signaling. Lipidomic profiling demonstrated enrichment of platelet-activating factor (PAF) in exosomes originating from the human fetus. Exposure of primary cytotrophoblasts to fetal exosomes from term pregnancies reduced PR-A expression by &gt; 50%, and PAF also reduced PR-A message levels in a dose-dependent manner. Notably, fetal exosomes from preterm pregnancies had lower PAF levels and no effect on PR-A expression. Synthetic PAF-induced DNA methylation increases by 20% at the PR-A promoter, leading to recruitment of corepressors and downregulation of PR-A in cytotrophoblast. Furthermore, suppression of PR-A by PAF-stimulated expression of the pro-labor genes, corticotropin-releasing hormone (CRH) and cyclooxygenase-2 (COX-2), which was reversed by disruption of the DNA methyltransferases 3B and 3L. Taken together, PAF represents a novel fetal-derived candidate for initiation of labor by stimulating methylation and repression of PR-A and activating pro-labor signaling in trophoblast.</t>
  </si>
  <si>
    <t>[Palomares, Kristy T.; Parobchak, Nataliya; Ithier, Mayra Cruz; So, Melody; Faro, Revital; Wang, Bingbing; Rosen, Todd] Rutgers Robert Wood Johnson Med Sch, Dept Obstet Gynecol &amp; Reprod Sci, Div Maternal Fetal Med, New Brunswick, NJ 08901 USA; [Palomares, Kristy T.; Faro, Revital] St Peters Univ Hosp, Dept Obstet &amp; Gynecol, New Brunswick, NJ 08901 USA; [Aleksunes, Lauren M.] Rutgers State Univ, Ernest Mario Sch Pharm, Dept Pharmacol &amp; Toxicol, Piscataway, NJ 08854 USA; [Castano, Paula M.] Columbia Univ, Dept Obstet &amp; Gynecol, Med Ctr, New York, NY 10032 USA; [Heller, Debra] Rutgers New Jersey Med Sch, Dept Pathol &amp; Lab Med, Newark, NJ 07103 USA</t>
  </si>
  <si>
    <t>Rutgers State University New Brunswick; Rutgers State University Medical Center; Saint Peter's University Hospital; Rutgers State University New Brunswick; Columbia University; Rutgers State University New Brunswick; Rutgers State University Medical Center</t>
  </si>
  <si>
    <t>Wang, BB; Rosen, T (corresponding author), Rutgers Robert Wood Johnson Med Sch, Dept Obstet Gynecol &amp; Reprod Sci, Div Maternal Fetal Med, New Brunswick, NJ 08901 USA.</t>
  </si>
  <si>
    <t>wangbi@rwjms.rutgers.edu; rosentj@rwjms.rutgers.edu</t>
  </si>
  <si>
    <t>10.1007/s43032-020-00283-7</t>
  </si>
  <si>
    <t>WOS:000558617700005</t>
  </si>
  <si>
    <t>Piazza, A; Rosa, P; Ricciardi, L; Mangraviti, A; Pacini, L; Calogero, A; Raco, A; Miscusi, M</t>
  </si>
  <si>
    <t>Piazza, Amedeo; Rosa, Paolo; Ricciardi, Luca; Mangraviti, Antonella; Pacini, Luca; Calogero, Antonella; Raco, Antonino; Miscusi, Massimo</t>
  </si>
  <si>
    <t>Circulating Exosomal-DNA in Glioma Patients: A Quantitative Study and Histopathological Correlations-A Preliminary Study</t>
  </si>
  <si>
    <t>BRAIN SCIENCES</t>
  </si>
  <si>
    <t>glioma; exosome; liquid biopsy; EVs</t>
  </si>
  <si>
    <t>CELL-FREE DNA; BIOGENESIS; EGFRVIII</t>
  </si>
  <si>
    <t>Glial neoplasms are a group of diseases with poor prognoses. Not all risk factors are known, and no screening tests are available. Only histology provides certain diagnosis. As already reported, DNA transported by exosomes can be an excellent source of information shared by cells locally or systemically. These vesicles seem to be one of the main mechanisms of tumor remote intercellular signaling used to induce immune deregulation, apoptosis, and both phenotypic and genotypic modifications. In this study, we evaluated the exosomal DNA (exoDNA) concentration in blood samples of patients affected by cerebral glioma and correlated it with histological and radiological characteristics of tumors. From 14 patients with diagnosed primary or recurrent glioma, we obtained MRI imaging data, histological data, and preoperative blood samples that were used to extract circulating exosomal DNA, which we then quantified. Our results demonstrate a relationship between the amount of circulating exosomal DNA and tumor volume, and mitotic activity. In particular, a high concentration of exoDNA was noted in low-grade gliomas. Our results suggest a possible role of exoDNAs in the diagnosis of brain glioma. They could be particularly useful in detecting early recurrent high-grade gliomas and asymptomatic low-grade gliomas.</t>
  </si>
  <si>
    <t>[Piazza, Amedeo; Ricciardi, Luca; Mangraviti, Antonella; Raco, Antonino; Miscusi, Massimo] Sapienza Univ Rome, Dept NESMOS, Operat Unit Neurosurg, I-00185 Rome, Italy; [Rosa, Paolo; Calogero, Antonella] Sapienza Univ Rome, Dept Med Surg Sci &amp; Biotechnol, I-04100 Latina, Italy; [Pacini, Luca] ICOT Hosp, Pathol Unit, I-04100 Latina, Italy</t>
  </si>
  <si>
    <t>Sapienza University Rome; Sapienza University Rome</t>
  </si>
  <si>
    <t>Piazza, A (corresponding author), Sapienza Univ Rome, Dept NESMOS, Operat Unit Neurosurg, I-00185 Rome, Italy.</t>
  </si>
  <si>
    <t>amedeo.piazza@uniroma1.it; p.rosa@uniroma1.it; luca.ricciardi@uniroma1.it; antomangraviti@gmail.com; pacini.luca@gmail.com; antonella.calogero@uniroma1.it; antonino.raco@uniroma1.it; massimo.miscusi@uniroma1.it</t>
  </si>
  <si>
    <t>Rosa, Paolo/AAB-3320-2022; Ricciardi, Luca/L-5405-2019</t>
  </si>
  <si>
    <t>Rosa, Paolo/0000-0002-8468-0677; Ricciardi, Luca/0000-0001-5110-8386; PIAZZA, AMEDEO/0000-0001-5360-5810</t>
  </si>
  <si>
    <t>2076-3425</t>
  </si>
  <si>
    <t>10.3390/brainsci12040500</t>
  </si>
  <si>
    <t>WOS:000785346500001</t>
  </si>
  <si>
    <t>Mao, J; Whitworth, KM; Spate, LD; Walters, EM; Zhao, J; Prather, RS</t>
  </si>
  <si>
    <t>Mao, J.; Whitworth, K. M.; Spate, L. D.; Walters, E. M.; Zhao, J.; Prather, R. S.</t>
  </si>
  <si>
    <t>Regulation of oocyte mitochondrial DNA copy number by follicular fluid, EGF, and neuregulin 1 during in vitro maturation affects embryo development in pigs</t>
  </si>
  <si>
    <t>Oocyte; Mitochondrial DNA; Follicular fluid; EGF; Neuregulin 1</t>
  </si>
  <si>
    <t>EPIDERMAL-GROWTH-FACTOR; PORCINE OOCYTES; ADENOSINE-TRIPHOSPHATE; TRANSCRIPTION-FACTOR; MEIOTIC MATURATION; CUMULUS EXPANSION; GRANULOSA-CELLS; BOVINE OOCYTES; MOUSE OOCYTE; FERTILIZATION</t>
  </si>
  <si>
    <t>Little is known about mitochondrial DNA (mtDNA) replication during oocyte maturation and its regulation by extracellular factors. The present study determined the effects of supplementation of maturation medium with porcine follicular fluid (pFF; 0, 10%, 20%, and 30%) on mtDNA copy number and oocyte maturation in experiment 1; the effects on epidermal growth factor (EGF; 10 ng/mL), neuregulin 1 (NRG1; 20 ng/mL), and NRG1 + insulin-like growth factor 1 (IGF1; 100 ng/mL + NRG1 20 ng/mL), on mtDNA copy number, oocyte maturation, and embryo development after parthenogenic activation in experiment 2; and effects on embryo development after in vitro fertilization in experiment 3. Overall, mtDNA copy number increased from germinal vesicle (GV) to metaphase II (MII) stage oocytes after in vitro maturation (GV: 167 634.6 +/- 20 740.4 vs. MII: 275 131.9 +/- 9 758.4 in experiment 1; P &lt; 0.05; GV: 185 004.7 +/- 20 089.3 vs. MII: 239 392.8 +/- 10 345.3 in experiment 2; P &lt; 0.05; Least Squares Means +/- SEM). Supplementation of IVM medium with pFF inhibited mtDNA replication (266 789.9 +/- 11 790.4 vs. 318 510.1 +/- 20 377.4; P &lt; 0.05) and oocyte meiotic maturation (67.3 +/- 0.7% vs. 73.2 +/- 1.2%, for the pFF supplemented and zero pFF control, respectively; P &lt; 0.01). Compared with the control, addition of growth factors enhanced oocyte maturation. Furthermore, supplementation of NRG1 stimulated mitochondrial replication, increased mtDNA copies in MII oocytes than in GV oocytes, and increased percentage of blastocysts in both parthenogenetic and in vitro fertilized embryos. In this study, mitochondrial biogenesis in oocytes was stimulated during in vitro maturation. Oocyte mtDNA copy number was associated with developmental competence. Supplementation of maturation medium with NRG1 increased mtDNA copy number, and thus provides a means to improve oocyte quality and developmental competence in pigs. (C) 2012 Elsevier Inc. All rights reserved.</t>
  </si>
  <si>
    <t>[Mao, J.; Whitworth, K. M.; Spate, L. D.; Walters, E. M.; Zhao, J.; Prather, R. S.] Univ Missouri, Div Anim Sci, Columbia, MO 65211 USA; [Mao, J.; Walters, E. M.; Zhao, J.; Prather, R. S.] Univ Missouri, Natl Swine Resource &amp; Res Ctr, Columbia, MO USA; [Zhao, J.] Chinese Acad Sci, Inst Zool, State Key Lab Reprod Biol, Beijing, Peoples R China</t>
  </si>
  <si>
    <t>University of Missouri System; University of Missouri Columbia; University of Missouri System; University of Missouri Columbia; Chinese Academy of Sciences; Institute of Zoology, CAS</t>
  </si>
  <si>
    <t>Prather, RS (corresponding author), Univ Missouri, Div Anim Sci, Columbia, MO 65211 USA.</t>
  </si>
  <si>
    <t>pratherr@missouri.edu</t>
  </si>
  <si>
    <t>Prather, Randall/0000-0002-6012-4035; Walters, Eric/0000-0002-7888-8666</t>
  </si>
  <si>
    <t>10.1016/j.theriogenology.2012.04.002</t>
  </si>
  <si>
    <t>WOS:000307622200023</t>
  </si>
  <si>
    <t>Zhang, J; Wang, LL; Hou, MF; Xia, YK; He, WH; Yan, A; Weng, YP; Zeng, LP; Chen, JH</t>
  </si>
  <si>
    <t>Zhang, Jing; Wang, Liang-Liang; Hou, Mei-Feng; Xia, Yao-Kun; He, Wen-Hui; Yan, An; Weng, Yun-Ping; Zeng, Lu-Peng; Chen, Jing-Hua</t>
  </si>
  <si>
    <t>A ratiometric electrochemical biosensor for the exosomal microRNAs detection based on bipedal DNA walkers propelled by locked nucleic acid modified toehold mediate strand displacement reaction</t>
  </si>
  <si>
    <t>Ratiometric electrochemical biosensor; Exosomal miRNAs; Bipedal DNA walker; Locked nucleic acid; Toehold mediate strand displacement reaction</t>
  </si>
  <si>
    <t>DIAGNOSTIC BIOMARKERS; SIGNAL AMPLIFICATION; BREAST-CANCER; PROBE; RNA; PERFORMANCE; KINETICS; SENSORS; SURFACE; MARKER</t>
  </si>
  <si>
    <t>Sensitive and selective detection of microRNAs (miRNAs) in cancer cells derived exosomes have attracted rapidly growing interest owing to their potential in diagnostic and prognostic applications. Here, we design a ratiometric electrochemical biosensor based on bipedal DNA walkers for the attomolar detection of exosomal miR-21. In the presence of miR-21, DNA walkers are activated to walk continuously along DNA tracks, resulting in conformational changes as well as considerable increases of the signal ratio produced by target-respond and target-independent reporters. With the signal cascade amplification of DNA walkers, the biosensor exhibits ultrahigh sensitivity with the limit of detection (LOD) down to 67 aM. Furthermore, owing to the background correcting function of target-independent reporters termed as reference reporters, the biosensor is robust and stable enough to be applied in the detection of exosomal miR-21 extracted from breast cancer cell lines and serums. In addition, because locked nucleic acid (LNA) modified toehold mediate strand displacement reaction (TMSDR) has extraordinary discriminative ability, the biosensor displays excellent selectivity even against the single-base-mismatched target. It is worth mentioning that our sensor is regenerative and stable for at least 5 cycles without diminution in sensitivity. In brief, the high sensitivity, selectivity and reproducibility, together with cheap, make the proposed biosensor a promising approach for exosomal miRNAs detection, in conjunction with early point-of-care testing (POCT) of cancer.</t>
  </si>
  <si>
    <t>[Zhang, Jing; Hou, Mei-Feng] Fujian Agr &amp; Forestry Univ, Coll Life Sci, Fuzhou 350002, Fujian, Peoples R China; [Wang, Liang-Liang; Xia, Yao-Kun; He, Wen-Hui; Yan, An; Weng, Yun-Ping; Zeng, Lu-Peng; Chen, Jing-Hua] Fujian Med Univ, Sch Pharm, Dept Pharmaceut Anal, Fuzhou 350108, Fujian, Peoples R China</t>
  </si>
  <si>
    <t>Fujian Agriculture &amp; Forestry University; Fujian Medical University</t>
  </si>
  <si>
    <t>Chen, JH (corresponding author), Fujian Med Univ, Sch Pharm, Dept Pharmaceut Anal, Fuzhou 350108, Fujian, Peoples R China.</t>
  </si>
  <si>
    <t>cjh_huaxue@126.com</t>
  </si>
  <si>
    <t>10.1016/j.bios.2017.10.050</t>
  </si>
  <si>
    <t>WOS:000424176600005</t>
  </si>
  <si>
    <t>Huang, CC; Kuo, YH; Chen, YS; Huang, PC; Lee, GB</t>
  </si>
  <si>
    <t>Huang, Chi-Chien; Kuo, Yu-Hsuan; Chen, Yi-Sin; Huang, Po-Chiun; Lee, Gwo-Bin</t>
  </si>
  <si>
    <t>A miniaturized, DNA-FET biosensor-based microfluidic system for quantification of two breast cancer biomarkers</t>
  </si>
  <si>
    <t>MICROFLUIDICS AND NANOFLUIDICS</t>
  </si>
  <si>
    <t>Biosensor; Breast cancer; Field-effect transistor; Microfluidics; MicroRNAs</t>
  </si>
  <si>
    <t>CIRCULATING MICRORNA BIOMARKERS; LIQUID BIOPSY; LAYER; TRANSISTOR</t>
  </si>
  <si>
    <t>Breast cancer is among the frequently diagnosed cancers worldwide and is associated with a high mortality rate, especially when diagnosed late. Minimally invasive screening approaches based on an assessment of extracellular vesicle (EV)-encapsulating microRNA biomarkers have enabled earlier diagnosis and improved survival rates. Since field-effective transistors (FET) featuring complementary metal oxide semiconductor technology have been previously converted into highly sensitive biosensors, an integrated microfluidic system (IMS) was developed herein for quantifying concentrations of breast cancer biomarkers including microRNA-195 and microRNA-126. Following a (1) 4-h process in which 84% of the EVs were captured, (2) 20-min hybridization step in which 85 and 94% of the microRNA-195 and microRNA-126 were isolated, respectively, and (3) the DNA-FET biosensors could detect down to 84 and 75 aM concentrations of microRNA-195 and microRNA-126, respectively. The IMS automated the entire biomarker quantification process within 5 h, highlighting its potential as a sensitive platform for early-stage breast cancer diagnosis.</t>
  </si>
  <si>
    <t>[Huang, Chi-Chien; Chen, Yi-Sin; Lee, Gwo-Bin] Natl Tsing Hua Univ, Dept Power Mech Engn, Hsinchu, Taiwan; [Kuo, Yu-Hsuan; Lee, Gwo-Bin] Natl Tsing Hua Univ, Inst Nanoengn &amp; Microsyst, Hsinchu, Taiwan; [Huang, Po-Chiun] Natl Tsing Hua Univ, Dept Elect Engn, Hsinchu, Taiwan; [Lee, Gwo-Bin] Natl Tsing Hua Univ, Inst Biomed Engn, Hsinchu, Taiwan</t>
  </si>
  <si>
    <t>National Tsing Hua University; National Tsing Hua University; National Tsing Hua University; National Tsing Hua University</t>
  </si>
  <si>
    <t>Lee, GB (corresponding author), Natl Tsing Hua Univ, Dept Power Mech Engn, Hsinchu, Taiwan.;Lee, GB (corresponding author), Natl Tsing Hua Univ, Inst Nanoengn &amp; Microsyst, Hsinchu, Taiwan.;Huang, PC (corresponding author), Natl Tsing Hua Univ, Dept Elect Engn, Hsinchu, Taiwan.;Lee, GB (corresponding author), Natl Tsing Hua Univ, Inst Biomed Engn, Hsinchu, Taiwan.</t>
  </si>
  <si>
    <t>pchuang@ee.nthu.edu.tw; gwobin@pme.nthu.edu.tw</t>
  </si>
  <si>
    <t>1613-4982</t>
  </si>
  <si>
    <t>1613-4990</t>
  </si>
  <si>
    <t>10.1007/s10404-021-02437-8</t>
  </si>
  <si>
    <t>Nanoscience &amp; Nanotechnology; Instruments &amp; Instrumentation; Physics, Fluids &amp; Plasmas</t>
  </si>
  <si>
    <t>Science &amp; Technology - Other Topics; Instruments &amp; Instrumentation; Physics</t>
  </si>
  <si>
    <t>WOS:000631156300003</t>
  </si>
  <si>
    <t>Li, ST; Zhu, LY; Zhu, LJ; Mei, XH; Xu, WT</t>
  </si>
  <si>
    <t>Li, Shuting; Zhu, Liye; Zhu, Longjiao; Mei, Xiaohong; Xu, Wentao</t>
  </si>
  <si>
    <t>A sandwich-based evanescent wave fluorescent biosensor for simple, real-time exosome detection</t>
  </si>
  <si>
    <t>Evanescent wave fluorescent biosensor; Exosomes; Real-time; Simple; Precise quantification</t>
  </si>
  <si>
    <t>ELECTROCHEMICAL DETECTION; APTASENSOR; DNA; QUANTIFICATION</t>
  </si>
  <si>
    <t>Exosomes are regarded as a promising biomarker for the noninvasive diagnosis and treatment of diseases. The value of exosomes for medical research has promoted the search for a fast, efficient, and sensitive detection method. This study reported a sandwich-based evanescent wave fluorescent biosensor (S-EWFB) for exosome detection. A two-step strategy was implemented to take advantages of the simple binding of fluorescent probes with exosomes via the hydrophobic interaction between the cholesteryl and phospholipid bilayer membrane, as well as real-time detection on an evanescent wave liquid-solid interface based on CD63 aptamer-specific capture to form an exosome@fluorescence probe/aptamer sandwich structure. The one-to-many connection between exosomes and signal molecules and the aptamer-modified evanescent wave optical fiber detection platform reduced the detection limit of exosomes to 7.66 particles/mL, with a linear range of 47.5-4.75 x 10(6) particles/mL. The entire detection process was simple, rapid, and real-time and lasted about 1 h while requiring no separation and purification. Additionally, this platform showed excellent surface regeneration capability and exhibited good performance during the analysis of tumor and non-tumor-derived exosomes.</t>
  </si>
  <si>
    <t>[Li, Shuting; Zhu, Liye; Mei, Xiaohong; Xu, Wentao] China Agr Univ, Coll Food Sci &amp; Nutr Engn, Beijing Lab Food Qual &amp; Safety, Key Lab Safety Assessment Genetically Modified Or, Beijing 100083, Peoples R China; [Li, Shuting; Zhu, Liye; Zhu, Longjiao; Xu, Wentao] China Agr Univ, Dept Nutr &amp; Hlth, Key Lab Precis Nutr &amp; Food Qual, Beijing 100083, Peoples R China</t>
  </si>
  <si>
    <t>China Agricultural University; China Agricultural University</t>
  </si>
  <si>
    <t>Mei, XH; Xu, WT (corresponding author), China Agr Univ, Coll Food Sci &amp; Nutr Engn, Beijing Lab Food Qual &amp; Safety, Key Lab Safety Assessment Genetically Modified Or, Beijing 100083, Peoples R China.</t>
  </si>
  <si>
    <t>mxh@cau.edu.cn; xuwentao@cau.edu.cn</t>
  </si>
  <si>
    <t>Zhu, Liye/GLT-7872-2022</t>
  </si>
  <si>
    <t>10.1016/j.bios.2021.113902</t>
  </si>
  <si>
    <t>WOS:000772286100006</t>
  </si>
  <si>
    <t>Sahu, PK; Iyer, PS; Oak, AM; Pardesi, KR; Chopade, BA</t>
  </si>
  <si>
    <t>Sahu, Praveen K.; Iyer, Pavithra S.; Oak, Amrita M.; Pardesi, Karishma R.; Chopade, Balu A.</t>
  </si>
  <si>
    <t>Characterization of eDNA from the Clinical Strain Acinetobacter baumannii AIIMS 7 and Its Role in Biofilm Formation</t>
  </si>
  <si>
    <t>EXTRACELLULAR DNA; PSEUDOMONAS-AERUGINOSA; MEMBRANE-VESICLES; BACTERIA; RELEASE; TRANSFORMATION; CALCOACETICUS; INFECTIONS; MECHANISM; SURFACES</t>
  </si>
  <si>
    <t>Release of extracellular DNA (eDNA) was observed during in vitro growth of a clinical strain of Acinetobacter baumannii. Membrane vesicles (MV) of varying diameter (20-200 nm) containing DNA were found to be released by transmission electron microscopy (TEM) and atomic force microscopy (AFM). An assessment of the characteristics of the eDNA with respect to size, digestion pattern by DNase I/restriction enzymes, and PCR-sequencing, indicates a high similarity with genomic DNA. Role of eDNA in static biofilm formed on polystyrene surface was evaluated by biofilm augmentation assay using eDNA available in different preparations, for example, whole cell lysate, cell-free supernatant, MV suspension, and purified eDNA. Biofilm augmentation was seen up to 224.64%, whereas biofilm inhibition was 59.41% after DNase I treatment: confirming that eDNA facilitates biofilm formation in A. baumannii. This is the first paper elucidating the characteristics and role of eDNA in A. baumannii biofilm, which may provide new insights into its pathogenesis.</t>
  </si>
  <si>
    <t>[Sahu, Praveen K.; Iyer, Pavithra S.; Oak, Amrita M.; Chopade, Balu A.] Univ Pune, Inst Bioinformat &amp; Biotechnol, Pune 411007, Maharashtra, India; [Pardesi, Karishma R.; Chopade, Balu A.] Univ Pune, Dept Microbiol, Pune 411007, Maharashtra, India</t>
  </si>
  <si>
    <t>Savitribai Phule Pune University; Savitribai Phule Pune University</t>
  </si>
  <si>
    <t>Chopade, BA (corresponding author), Univ Pune, Inst Bioinformat &amp; Biotechnol, Pune 411007, Maharashtra, India.</t>
  </si>
  <si>
    <t>directoribb@unipune.ac.in</t>
  </si>
  <si>
    <t>Pardesi, Karishma/D-5827-2012; Sahu, Praveen Kishore/N-8324-2019</t>
  </si>
  <si>
    <t>Pardesi, Karishma/0000-0001-7535-6317; Sahu, Praveen Kishore/0000-0001-7855-7501</t>
  </si>
  <si>
    <t>10.1100/2012/973436</t>
  </si>
  <si>
    <t>WOS:000303506000001</t>
  </si>
  <si>
    <t>Yan, SF; Guo, HH; Su, JQ; Chen, JC; Song, XR; Huang, MD; Zhang, JC; Chen, Z</t>
  </si>
  <si>
    <t>Yan, Shufeng; Guo, Hanhan; Su, Jianqiang; Chen, Jincan; Song, Xiaorong; Huang, Mingdong; Zhang, Juncheng; Chen, Zhuo</t>
  </si>
  <si>
    <t>Effects of hydroxyl radicals produced by a zinc phthalocyanine photosensitizer on tumor DNA</t>
  </si>
  <si>
    <t>DYES AND PIGMENTS</t>
  </si>
  <si>
    <t>Photodynamic therapy; Photosensitizer; Phthalocyanine; Photocleavage; Cell DNA</t>
  </si>
  <si>
    <t>FREE NUCLEIC-ACIDS; PHOTODYNAMIC THERAPY; IN-VITRO; CANCER; NANOPARTICLES; CHEMOTHERAPY; CARCINOMA; EXOSOMES; CELLS; P53</t>
  </si>
  <si>
    <t>Photodynamic therapy (PDT) is a new therapeutic approach for cancer treatment. Its mechanism relies on three elements: photosensitizer, light and oxygen. Under aerobic conditions, a suitable wavelength of light activates the photosensitizer that results in the formation of reactive oxygen species (ROS). We herein report that PDT with a zinc phthalocyanine (ZnPc) photosensitizer coupled with 2,4,6-tris (N, N-dimethylaminomethyl) phenoxy (TAP), termed as ZnPc(TAP)(4), has the ability to photodegrade DNA in tumor cells via hydroxyl radicals produced under the red light irradiation, resulting in effective elimination of tumor cells. Furthermore, the high-efficient anti-tumor effect of ZnPc(TAP)(4) was verified in a human breast adenocarcinoma cell line MCF-7 tumor-bearing animal model. To the best of our knowledge, this is the first time that destructive effects of hydroxyl radicals produced by PDT on DNA of tumor cells has been documented, which may open up new avenues of antitumor therapy on eliminating the DNA of tumor cells.</t>
  </si>
  <si>
    <t>[Yan, Shufeng; Guo, Hanhan; Chen, Jincan; Song, Xiaorong; Chen, Zhuo] Chinese Acad Sci, Fujian Inst Res Struct Matter, State Key Lab Struct Chem, Fuzhou 350002, Fujian, Peoples R China; [Yan, Shufeng; Zhang, Juncheng] Sanming Univ, Med Plant Exploitat &amp; Utilizat Engn Res Ctr, Sanming 365004, Fujian, Peoples R China; [Su, Jianqiang] Chinese Acad Sci, Inst Urban Environm, Key Lab Urban Environm &amp; Hlth, Xiamen 361021, Fujian, Peoples R China; [Huang, Mingdong] Fuzhou Univ, Coll Chem, Fuzhou 350116, Fujian, Peoples R China; [Guo, Hanhan; Chen, Jincan; Chen, Zhuo] Univ Chinese Acad Sci, Beijing 100049, Peoples R China</t>
  </si>
  <si>
    <t>Chinese Academy of Sciences; Fujian Institute of Research on the Structure of Matter, CAS; Sanming University; Chinese Academy of Sciences; Institute of Urban Environment, CAS; Fuzhou University; Chinese Academy of Sciences; University of Chinese Academy of Sciences, CAS</t>
  </si>
  <si>
    <t>Chen, Z (corresponding author), Chinese Acad Sci, Fujian Inst Res Struct Matter, State Key Lab Struct Chem, Fuzhou 350002, Fujian, Peoples R China.;Zhang, JC (corresponding author), Sanming Univ, Med Plant Exploitat &amp; Utilizat Engn Res Ctr, Sanming 365004, Fujian, Peoples R China.</t>
  </si>
  <si>
    <t>19900204@fjsmu.edu.cn; zchen@fjirsm.ac.cn</t>
  </si>
  <si>
    <t>CAS, KLUEH/T-5743-2019; Huang, Mingdong/J-4278-2017; Song, Xiaorong/AAH-9263-2020; Su, Jian-Qiang/C-2388-2009</t>
  </si>
  <si>
    <t>Huang, Mingdong/0000-0003-0085-9141; Su, Jian-Qiang/0000-0003-1875-249X; Yan, Shufeng/0000-0002-2517-7342</t>
  </si>
  <si>
    <t>0143-7208</t>
  </si>
  <si>
    <t>1873-3743</t>
  </si>
  <si>
    <t>10.1016/j.dyepig.2019.107894</t>
  </si>
  <si>
    <t>Chemistry, Applied; Engineering, Chemical; Materials Science, Textiles</t>
  </si>
  <si>
    <t>Chemistry; Engineering; Materials Science</t>
  </si>
  <si>
    <t>WOS:000503312700030</t>
  </si>
  <si>
    <t>Sasaki, K; Chiba, K</t>
  </si>
  <si>
    <t>Induction of apoptosis in starfish eggs requires spontaneous inactivation of MAPK (extracellular signal-regulated kinase) followed by activation of p38MAPK</t>
  </si>
  <si>
    <t>PROTEIN-KINASE; CELL-SURVIVAL; CYTOCHROME-C; OOCYTE MATURATION; MEIOSIS-II; PATHWAY; DEATH; FERTILIZATION; P38; JNK</t>
  </si>
  <si>
    <t>Mitogen-activated protein kinase (MAPK) (extracellular signal-regulated kinase) prevents DNA replication and parthenogenesis in maturing oocytes. After the meiotic cell cycle in starfish eggs, MAPK activity is maintained until fertilization. When eggs are fertilized, inactivation of MAPK occurs, allowing development to proceed. Without fertilization, highly synchronous apoptosis of starfish eggs starts 10 h after germinal vesicle breakdown, which varies according to season and individual animals. For induction of the apoptosis, MAPK should be activated for a definite period, called the MAPK-dependent period, during which eggs develop competence to die, although the exact duration of the period was unclear. In this study, we show that the duration of the MAPK-dependent period was similar to8 h. Membrane blebbing occurred similar to2 It after the MAPK-dependent period. Surprisingly, when MAPK was inhibited by U0126 after the MAPK-dependent period, activation of caspase-3 occurred earlier than in the control eggs. Thus, inactivation of MAPK is a prerequisite for apoptosis. Also, even in the absence of the inhibitor, MAPK was inactivated spontaneously when eggs began to bleb, indicating that inactivation of MAPK after the MAPK-dependent period acts upstream of caspase-3. Inactivation of MAPK also resulted in the activation of p38MAPK, which may contribute to apoptotic body formation.</t>
  </si>
  <si>
    <t>Ochanomizu Univ, Dept Biol, Tokyo 1128610, Japan</t>
  </si>
  <si>
    <t>Ochanomizu University</t>
  </si>
  <si>
    <t>Chiba, K (corresponding author), Ochanomizu Univ, Dept Biol, Tokyo 1128610, Japan.</t>
  </si>
  <si>
    <t>kchiba@cc.ocha.ac.jp</t>
  </si>
  <si>
    <t>10.1091/mbc.E03-06-0367</t>
  </si>
  <si>
    <t>WOS:000220051900041</t>
  </si>
  <si>
    <t>Wang, XK; Shang, HZ; Ma, CP; Chen, LX</t>
  </si>
  <si>
    <t>Wang, Xiaokun; Shang, Hezhen; Ma, Cuiping; Chen, Lingxin</t>
  </si>
  <si>
    <t>A Fluorescence Assay for Exosome Detection Based on Bivalent Cholesterol Anchor Triggered Target Conversion and Enzyme-Free Signal Amplification</t>
  </si>
  <si>
    <t>EXTRACELLULAR VESICLES; CANCER EXOSOMES; CELL; SECRETION; PROTEINS; BIOGENESIS; PROGRESS</t>
  </si>
  <si>
    <t>Exosomes are emerging as one of the most promising biomarkers for early disease diagnosis and prognosis. The significant challenges facing the available methods include improving the detection specificity and sensitivity in complex biological samples. Herein, a fluorescence assay was established based on a combination of immunomagnetic separation and a two-step signal amplification strategy for direct isolation and subsequent detection of exosomes. First, immunomagnetic beads capture and enrich the exosomes via antibody-antigen reactions. Second, bivalent cholesterol (BC) anchors spontaneously insert into the lipid bilayer of bead-captured exosomes, forming a one to many amplification effect. The simultaneous recognition of the surface protein and the lipid bilayer structure of the exosome significantly eliminates the interference risk from free proteins. The detection of exosomes converts to the detection of BC-anchors. Finally, the sticky end of the BC-anchor acts as the initiator to trigger the enzyme-free DNA circuits for secondary signal amplification. Under the optimal conditions, highly sensitive and selective detection of exosomes was achieved ranging from 5.5 x 10(3) to 1.1 x 10(7) particles/mu L with a limit of detection of 1.29 x 10(3) particles/mu L. Moreover, this method allows the isolation and quantitative analysis of exosomes in several biological fluids with satisfactory recovery rates (92.25-106.8%). Thus, this approach provides a sensitive, anti-interference platform for isolating and detecting exosomes.</t>
  </si>
  <si>
    <t>[Wang, Xiaokun; Ma, Cuiping] Qingdao Univ Sci &amp; Technol, Shandong Prov Key Lab Biochem Engn, Coll Marine Sci &amp; Biol Engn, Qingdao 266042, Peoples R China; [Shang, Hezhen] Qingdao Chengyang Dist Peoples Hosp, Dept Hepatobiliary Surg, Qingdao 266109, Peoples R China; [Chen, Lingxin] Chinese Acad Sci, Yantai Inst Coastal Zone Res, CAS Key Lab Coastal Environm Proc &amp; Ecol Remediat, Shandong Key Lab Coastal Environm Proc, Yantai 264003, Peoples R China; [Chen, Lingxin] Qufu Normal Univ, Key Lab Life Organ Anal, Key Lab Pharmaceut Intermediates &amp; Anal Nat Med, Coll Chem &amp; Chem Engn, Qufu 273165, Shandong, Peoples R China; [Chen, Lingxin] Binzhou Med Univ, Sch Pharm, Yantai 264003, Peoples R China</t>
  </si>
  <si>
    <t>Qingdao University of Science &amp; Technology; Chinese Academy of Sciences; Yantai Institute of Coastal Zone Research, CAS; Qufu Normal University; Binzhou Medical University</t>
  </si>
  <si>
    <t>Ma, CP (corresponding author), Qingdao Univ Sci &amp; Technol, Shandong Prov Key Lab Biochem Engn, Coll Marine Sci &amp; Biol Engn, Qingdao 266042, Peoples R China.;Chen, LX (corresponding author), Chinese Acad Sci, Yantai Inst Coastal Zone Res, CAS Key Lab Coastal Environm Proc &amp; Ecol Remediat, Shandong Key Lab Coastal Environm Proc, Yantai 264003, Peoples R China.;Chen, LX (corresponding author), Qufu Normal Univ, Key Lab Life Organ Anal, Key Lab Pharmaceut Intermediates &amp; Anal Nat Med, Coll Chem &amp; Chem Engn, Qufu 273165, Shandong, Peoples R China.;Chen, LX (corresponding author), Binzhou Med Univ, Sch Pharm, Yantai 264003, Peoples R China.</t>
  </si>
  <si>
    <t>mcp169@163.com; lxchen@yic.ac.cn</t>
  </si>
  <si>
    <t>Chen, Lingxin/H-5761-2019</t>
  </si>
  <si>
    <t>Chen, Lingxin/0000-0002-3764-3515</t>
  </si>
  <si>
    <t>10.1021/acs.analchem.1c00796</t>
  </si>
  <si>
    <t>WOS:000665642500016</t>
  </si>
  <si>
    <t>Frye, BC; Halfter, S; Djudjaj, S; Muehlenberg, P; Weber, S; Raffetseder, U; En-Nia, A; Knott, H; Baron, JM; Dooley, S; Bernhagen, J; Mertens, PR</t>
  </si>
  <si>
    <t>Frye, Bjoern C.; Halfter, Sarah; Djudjaj, Sonja; Muehlenberg, Philipp; Weber, Susanne; Raffetseder, Ute; En-Nia, Abdelaziz; Knott, Hanna; Baron, Jens M.; Dooley, Steven; Bernhagen, Juergen; Mertens, Peter R.</t>
  </si>
  <si>
    <t>Y-box protein-1 is actively secreted through a non-classical pathway and acts as an extracellular mitogen</t>
  </si>
  <si>
    <t>cold shock protein; YB-1; non-classical secretion; inflammation; microvesicles</t>
  </si>
  <si>
    <t>GENE-EXPRESSION; YB-1; HMGB1; CELL; INTERLEUKIN-1-BETA</t>
  </si>
  <si>
    <t>Y-box protein (YB)-1 of the cold-shock protein family functions in gene transcription and RNA processing. Extracellular functions have not been reported, but the YB-1 staining pattern in inflammatory glomerular diseases, without adherence to cell boundaries, suggests an extracellular occurrence. Here, we show the secretion of YB-1 by mesangial and monocytic cells after inflammatory challenges. It should be noted that YB-1 was secreted through a non-classical mode resembling that of the macrophage migration inhibitory factor. YB-1 release requires ATP-binding cassette transporters, and microvesicles protect YB-1 from protease degradation. Two lysine residues in the YB-1 carboxy-terminal domain are crucial for its release, probably because of post-translational modifications. The addition of purified recombinant YB-1 protein to different cell types results in increased DNA synthesis, cell proliferation and migration. Thus, the non-classically secreted YB-1 has extracellular functions and exerts mitogenic as well as promigratory effects in inflammation.</t>
  </si>
  <si>
    <t>[Frye, Bjoern C.; Halfter, Sarah; Djudjaj, Sonja; Muehlenberg, Philipp; Weber, Susanne; Raffetseder, Ute; En-Nia, Abdelaziz; Knott, Hanna; Mertens, Peter R.] Univ Hosp, Rhein Westfal TH Aachen, Dept Nephrol &amp; Immunol, D-52057 Aachen, Germany; [Frye, Bjoern C.; Bernhagen, Juergen] Univ Hosp, Rhein Westfal TH Aachen, Dept Biochem &amp; Mol Cell Biol, Inst Biochem, D-52057 Aachen, Germany; [Baron, Jens M.] Univ Hosp, Rhein Westfal TH Aachen, Dept Dermatol, D-52057 Aachen, Germany; [Dooley, Steven] Univ Hosp Mannheim, Dept Med Gastroenterol &amp; Hepatol 2, D-68135 Mannheim, Germany; [Mertens, Peter R.] Otto von Guericke Univ, Dept Hypertens &amp; Nephrol, D-39120 Magdeburg, Germany</t>
  </si>
  <si>
    <t>RWTH Aachen University; RWTH Aachen University Hospital; RWTH Aachen University; RWTH Aachen University Hospital; RWTH Aachen University; RWTH Aachen University Hospital; Ruprecht Karls University Heidelberg; Otto von Guericke University</t>
  </si>
  <si>
    <t>Mertens, PR (corresponding author), Univ Hosp, Rhein Westfal TH Aachen, Dept Nephrol &amp; Immunol, Pauwelsstr 30, D-52057 Aachen, Germany.</t>
  </si>
  <si>
    <t>peter.mertens@med.ovgu.de</t>
  </si>
  <si>
    <t>Baron, Jens M/N-2934-2016; Dooley, Steven/T-6491-2018; Mertens, Peter/AAI-7310-2020; Djudjaj, Sonja/ABH-4777-2020</t>
  </si>
  <si>
    <t>Baron, Jens M/0000-0002-1174-6946; Dooley, Steven/0000-0002-4840-6240; Djudjaj, Sonja/0000-0003-2352-7537; Raffetseder, Ute/0000-0002-7236-9793</t>
  </si>
  <si>
    <t>10.1038/embor.2009.81</t>
  </si>
  <si>
    <t>WOS:000267599700023</t>
  </si>
  <si>
    <t>Poliseno, L</t>
  </si>
  <si>
    <t>Methods for the Detection of Circulating Pseudogenes and Their Use as Cancer Biomarkers</t>
  </si>
  <si>
    <t>PSEUDOGENES, 2 EDITION: Functions and Protocols</t>
  </si>
  <si>
    <t>Pseudogene; Cell-free DNA; Exosome; Cancer biomarker; NANOGP8</t>
  </si>
  <si>
    <t>SINGLE-NUCLEOTIDE POLYMORPHISMS; EXOSOMES; TOOLS; SNPS</t>
  </si>
  <si>
    <t>Pseudogenes, once considered the junk remnants of genes, are found to significantly affect the regulatory network of healthy and cancer cells, as well as to be highly specific markers of cancer cell identity. Qualitative and quantitative analysis of pseudogenes has a diagnostic and prognostic value in cancer research via the detection of cell-free pseudogenic DNA circulating throughout the body. Exosomes, nanoparticles with a lipid membrane secreted by almost all types of cells, carry cellular-blueprint molecules, including pseudogenic DNA, as cancer-specific cargo. Therefore, it is vital to develop better laboratory techniques and protocols to identify exosome-associated pseudogenes.</t>
  </si>
  <si>
    <t>[Vaidya, Manjusha; Sugaya, Kiminobu] Univ Cent Florida, Coll Med, Burnett Sch Biomed Sci, Orlando, FL 32816 USA</t>
  </si>
  <si>
    <t>Vaidya, M (corresponding author), Univ Cent Florida, Coll Med, Burnett Sch Biomed Sci, Orlando, FL 32816 USA.</t>
  </si>
  <si>
    <t>978-1-0716-1503-4; 978-1-0716-1502-7</t>
  </si>
  <si>
    <t>10.1007/978-1-0716-1503-4_21</t>
  </si>
  <si>
    <t>10.1007/978-1-0716-1503-4</t>
  </si>
  <si>
    <t>WOS:000707161100022</t>
  </si>
  <si>
    <t>Giovannelli, I; Martelli, F; Repice, A; Massacesi, L; Azzi, A; Giannecchini, S</t>
  </si>
  <si>
    <t>Giovannelli, Irene; Martelli, Francesco; Repice, Anna; Massacesi, Luca; Azzi, Alberta; Giannecchini, Simone</t>
  </si>
  <si>
    <t>Detection of JCPyV microRNA in blood and urine samples of multiple sclerosis patients under natalizumab therapy</t>
  </si>
  <si>
    <t>JOURNAL OF NEUROVIROLOGY</t>
  </si>
  <si>
    <t>Multiple sclerosis; JCPyV; MicroRNA expression; Exosomes; Natalizumab; PML</t>
  </si>
  <si>
    <t>PROGRESSIVE MULTIFOCAL LEUKOENCEPHALOPATHY; VIRAL MIRNAS; JC VIRUS; POLYOMAVIRUS; INFECTION; MECHANISM</t>
  </si>
  <si>
    <t>Polyomavirus JC (JCPyV) reactivation and development of progressive multifocal leukoencephalopathy is a health concern in multiple sclerosis patients under natalizumab therapy. Here, the JCPyV microRNA-J1-3p and microRNA-J1-5p expressions and genomic variability were investigated in blood and urine samples of multiple sclerosis patients before and under natalizumab therapy and in healthy controls. The two JCPyV microRNAs were detected in the JCPyV-DNA-positive peripheral blood mononuclear cell samples and in the exosomes derived from plasma and urine obtained from JCPyV-DNA-positive and JCPyV-DNA-negative patients. In particular, the increased JCPyV microRNA expression in samples of multiple sclerosis patients under natalizumab therapy was consistent with the high JCPyV-DNA positivity observed in these samples. Moreover, JCPyV microRNA genomic region showed few nucleotide differences in samples obtained from blood and urine of multiple sclerosis patients and healthy controls. Overall, these data suggest a potential role of the JCPyV microRNA expression in counteracting the viral reactivation to maintain JCPyV asymptomatic persistence in the host.</t>
  </si>
  <si>
    <t>[Giovannelli, Irene; Martelli, Francesco; Azzi, Alberta; Giannecchini, Simone] Univ Florence, Dept Expt &amp; Clin Med, I-50134 Florence, Italy; [Repice, Anna; Massacesi, Luca] Univ Florence, Careggi Univ Hosp, Div Neurol 2, I-50134 Florence, Italy; [Massacesi, Luca] Univ Florence, Dept Neurosci, I-50134 Florence, Italy</t>
  </si>
  <si>
    <t>University of Florence; University of Florence; Azienda Ospedaliero Universitaria Careggi; University of Florence</t>
  </si>
  <si>
    <t>Giannecchini, S (corresponding author), Univ Florence, Dept Expt &amp; Clin Med, Via Morgagni 48, I-50134 Florence, Italy.</t>
  </si>
  <si>
    <t>Giannecchini, Simone/K-2136-2016; Repice, Anna/AAX-6008-2020; Massacesi, Luca/ABA-9431-2020</t>
  </si>
  <si>
    <t>Giannecchini, Simone/0000-0003-3374-7621; Massacesi, Luca/0000-0001-5083-372X</t>
  </si>
  <si>
    <t>1355-0284</t>
  </si>
  <si>
    <t>1538-2443</t>
  </si>
  <si>
    <t>10.1007/s13365-015-0325-3</t>
  </si>
  <si>
    <t>Neurosciences; Virology</t>
  </si>
  <si>
    <t>Neurosciences &amp; Neurology; Virology</t>
  </si>
  <si>
    <t>WOS:000364021500009</t>
  </si>
  <si>
    <t>Tonello, S; Rizzi, M; Migliario, M; Rocchetti, V; Reno, F</t>
  </si>
  <si>
    <t>Tonello, Stelvio; Rizzi, Manuela; Migliario, Mario; Rocchetti, Vincenzo; Reno, Filippo</t>
  </si>
  <si>
    <t>Low concentrations of neutrophil extracellular traps induce proliferation in human keratinocytes via NF-kB activation</t>
  </si>
  <si>
    <t>JOURNAL OF DERMATOLOGICAL SCIENCE</t>
  </si>
  <si>
    <t>Keratinocytes; Neutrophils; NETs; Inflammation</t>
  </si>
  <si>
    <t>KAPPA-B ACTIVATION; CELLULAR REDUCTION; INFLAMMATION; INHIBITION; PATHWAY; EXPRESSION; INSIGHTS; IMMUNITY; GLUCOSE; NETOSIS</t>
  </si>
  <si>
    <t>Introduction: Granulocytes play a pivotal role in innate immune response, as pathogen invasion activates neutrophils, a subclass of granulocytes, inducing the production of neutrophil extracellular traps (NETs). In this study, it has been evaluated how NETs could affect human keratinocytes (HaCaT cells) behaviour. Materials and methods: HaCaT cells were treated with increasing NETs concentrations (0.01-200 ng/ml) and the effect on cell proliferation was evaluated by KIT assay. Inhibition studies were performed by pretreating cells with dexamethasone, chloropromazine or amiloride. NF-kB pathway activation was evaluated by western blot. Results: HaCaT cells stimulation with increasing concentrations of NETs (0.01-50 ng/ml) for 48 h resulted in a modulation of cell proliferation with a maximum increase corresponding to 0.5-1 ng/ml stimulation. NETs low concentrations not only increased cell proliferation, but were also able to induce a faster wound closure in an in vitro scratch assay. NETs scaffold, composed by histone proteins and DNA, is recognized by Toll Like Receptor 9 (TLR 9) that, in turn, activates the NF-kB pathway. In fact, NETs induced proliferation was inhibited by chloropromazine (1 nM), that blocks chlatrin vesicles formation, and by amiloride (50 nM) that inhibits macropinocytosis. Moreover, dexamethasone, an inhibitor of NF-kB, was able to abolish the NETs effect. Discussion: This study thus demonstrates that low NETs concentrations undergo internalization finally resulting in a quick NF-kB pathway activation and HaCaT cells proliferation increase, suggesting a close relationship between first immune response and wound healing onset. (C) 2017 Japanese Society for Investigative Dermatology. Published by Elsevier Ireland Ltd. All rights reserved.</t>
  </si>
  <si>
    <t>[Tonello, Stelvio; Rizzi, Manuela; Reno, Filippo] Univ Piemonte Orientale, Hlth Sci Dept, Innovat Res Lab Wound Healing, Via Solaroli 17, I-28100 Novara, Italy; [Migliario, Mario; Rocchetti, Vincenzo] Univ Piemonte Orientale, Hlth Sci Dept, Dent Clin, Via Solaroli 17, I-28100 Novara, Italy</t>
  </si>
  <si>
    <t>University of Eastern Piedmont Amedeo Avogadro; University of Eastern Piedmont Amedeo Avogadro</t>
  </si>
  <si>
    <t>Reno, F (corresponding author), Univ Piemonte Orientale, Hlth Sci Dept, Innovat Res Lab Wound Healing, Via Solaroli 17, I-28100 Novara, Italy.</t>
  </si>
  <si>
    <t>stelvio.tonello@med.uniupo.it; manuela.rizzi@med.uniupo.it; mario.migliario@med.uniupo.it; vincenzo.rocchetti@med.uniupo.it; filippo.reno@med.uniupo.it</t>
  </si>
  <si>
    <t>/AAB-3945-2019; Rizzi, Manuela/AAE-9202-2021; Renò, Filippo/AAA-5591-2019</t>
  </si>
  <si>
    <t>Rizzi, Manuela/0000-0002-6174-7111; TONELLO, STELVIO/0000-0002-0836-0890; ROCCHETTI, Vincenzo/0000-0002-3186-7008</t>
  </si>
  <si>
    <t>0923-1811</t>
  </si>
  <si>
    <t>1873-569X</t>
  </si>
  <si>
    <t>10.1016/j.jdermsci.2017.05.010</t>
  </si>
  <si>
    <t>WOS:000414382000013</t>
  </si>
  <si>
    <t>Wang, XW; Berkowicz, A; King, K; Menta, B; Gabrielli, AP; Novikova, L; Troutwine, B; Pleen, J; Wilkins, HM; Swerdlow, RH</t>
  </si>
  <si>
    <t>Wang, Xiaowan; Berkowicz, Alexandra; King, Kirsten; Menta, Blaise; Gabrielli, Alexander P.; Novikova, Lesya; Troutwine, Benjamin; Pleen, Joseph; Wilkins, Heather M.; Swerdlow, Russell H.</t>
  </si>
  <si>
    <t>Pharmacologic enrichment of exosome yields and mitochondrial cargo</t>
  </si>
  <si>
    <t>Biomarker; Exosome; Mitochondria; Mitochondrial DNA; Mitophagy</t>
  </si>
  <si>
    <t>AMYLOID PRECURSOR PROTEIN; ALZHEIMERS-DISEASE; EXTRACELLULAR VESICLES; CYTOCHROME-OXIDASE; CELL; DYSFUNCTION; COMPONENTS; PATHWAY</t>
  </si>
  <si>
    <t>In studies with human participants, exosome-based biospecimens can facilitate unique biomarker assessments. As exosome cargos can include mitochondrial components, there is interest in using exosomes to inform the status of an individual's mitochondria. Here, we evaluated whether targeted pharmacologic manipulations could influence the quantity of exosomes shed by cells, and whether these manipulations could impact their mitochondrial cargos. We treated human SH-SY5Y cells with bafilomycin A1, which interferes with general autophagy and mitophagy by inhibiting lysosome acidification and lysosome-autophagosome fusion; deferiprone (DFP), which enhances receptor-mediated mitophagy; or both. Exosome fractions from treated cells were harvested from the cell medium and analyzed for content including mitochondria-derived components. We found bafilomycin increased particle yields, and a combination of bafilomycin plus DFP consistently increased particle yields and mitochondria-associated content. Specifically, the exosome fractions from the bafilomycin plus DFP-treated cells contained more mitochondrial DNA (mtDNA), mtDNA-derived mRNA transcripts, and citrate synthase protein. Our data suggest pharmacologic manipulations that enhance mitophagy initiation, while inhibiting the lysosomal digestion of autophagosomes and multivesicular bodies, could potentially enhance the sensitivity of exosome-based biomarker assays intended to inform the status of an individual's mitochondria.</t>
  </si>
  <si>
    <t>[Wang, Xiaowan; Berkowicz, Alexandra; King, Kirsten; Menta, Blaise; Gabrielli, Alexander P.; Novikova, Lesya; Troutwine, Benjamin; Pleen, Joseph; Wilkins, Heather M.; Swerdlow, Russell H.] Univ Kansas, Med Ctr, Dept Neurol, Kansas City, KS 66160 USA; [Wang, Xiaowan; Berkowicz, Alexandra; King, Kirsten; Menta, Blaise; Gabrielli, Alexander P.; Novikova, Lesya; Troutwine, Benjamin; Pleen, Joseph; Wilkins, Heather M.; Swerdlow, Russell H.] Univ Kansas, Alzheimers Dis Ctr, Kansas City, KS 66160 USA; [Wilkins, Heather M.; Swerdlow, Russell H.] Univ Kansas, Med Ctr, Dept Biochem &amp; Mol Biol, Kansas City, KS 66160 USA; [Swerdlow, Russell H.] Univ Kansas, Med Ctr, Dept Mol &amp; Integrat Physiol, Kansas City, KS 66160 USA</t>
  </si>
  <si>
    <t>10.1016/j.mito.2022.04.001</t>
  </si>
  <si>
    <t>WOS:000807750800001</t>
  </si>
  <si>
    <t>Konishi, H; Hayashi, M; Taniguchi, K; Nakamura, M; Kuranaga, Y; Ito, Y; Kondo, Y; Sasaki, H; Terai, Y; Akao, Y; Ohmichi, M</t>
  </si>
  <si>
    <t>Konishi, Hiromi; Hayashi, Masami; Taniguchi, Kohei; Nakamura, Mayumi; Kuranaga, Yuki; Ito, Yuko; Kondo, Yoichi; Sasaki, Hiroshi; Terai, Yoshito; Akao, Yukihiro; Ohmichi, Masahide</t>
  </si>
  <si>
    <t>The therapeutic potential of exosomal miR-22 for cervical cancer radiotherapy</t>
  </si>
  <si>
    <t>cervical cancer; exosome; miR-22; radiotherapy; drug delivery system</t>
  </si>
  <si>
    <t>EXTRACELLULAR VESICLES; C-MYC; CELLS; MICRORNA-22; EXPRESSION; GENE; STATISTICS; CARCINOMA; APOPTOSIS</t>
  </si>
  <si>
    <t>Cervical cancer is the fourth-most prevalent malignancy in women. For advanced cervical cancer, radiotherapy is a major treatment. Micro RNAs (miRNAs) are small, noncoding RNAs that negatively regulate the target gene expression posttranscriptionally. miR-22 is frequently downregulated in various cancers including cervical cancer, and is associated with a poor prognosis in cervical cancer. Exosomes are small endosomally secreted vesicles that carry components such as proteins, messenger RNA (mRNA), DNA and miRNA. We investigated whether or not exosomes can efficiently deliver miR-22 to recipient cervical cancer cells and affect the gene expression in the cells, as well as assessed the role of exosomal miR-22 in radiosensitivity. Exosomes containing high levels of miR-22 were extracted by ultracentrifugation and then characterized by Western blotting, a nanoparticle tracking analysis and electron microscopy. The high presence of miR-22 in the exosome was confirmed by real-time polymerase chain reaction. After the administration of the collected exosomal miR-22 to SKG-II and C4-I cervical cancer cells, the level of miR-22 in the cells was significantly increased, indicating the absorption of the exosomal miR-22. When miR-22 encapsulated in exosomes was administered to the SKG-II cells, the level of c-Myc binding protein (MYCBP) and human telomerase reverse transcriptase (hTERT) was significantly decreased in correlation with increased radiosensitivity determined by a clonogenic assay. Taken together, these results suggest that the administration of exosomal miR-22 may be a novel drug delivery system for cervical cancer radiotherapy.</t>
  </si>
  <si>
    <t>[Konishi, Hiromi; Hayashi, Masami; Nakamura, Mayumi; Sasaki, Hiroshi; Ohmichi, Masahide] Osaka Med Coll, Dept Obstet &amp; Gynecol, Takatsuki, Osaka 5698686, Japan; [Taniguchi, Kohei] Osaka Med Coll, Dept Gen &amp; Gastroenterol Surg, Takatsuki, Osaka, Japan; [Taniguchi, Kohei] Osaka Med Coll, Translat Res Program, Takatsuki, Osaka, Japan; [Kuranaga, Yuki; Akao, Yukihiro] Gifu Univ, United Grad Sch Drug Discovery &amp; Med Informat Sci, Gifu, Japan; [Kuranaga, Yuki] Univ Alabama Birmingham, Dept Neurosurg, Birmingham, AL USA; [Ito, Yuko; Kondo, Yoichi] Osaka Med Coll, Dept Anat &amp; Cell Biol, Div Life Sci, Takatsuki, Osaka, Japan; [Terai, Yoshito] Kobe Univ, Dept Obstet &amp; Gynecol, Grad Sch Med, Chuo Ku, Kobe, Hyogo, Japan</t>
  </si>
  <si>
    <t>Osaka Medical College; Osaka Medical College; Osaka Medical College; Gifu University; University of Alabama System; University of Alabama Birmingham; Osaka Medical College; Kobe University</t>
  </si>
  <si>
    <t>Hayashi, M (corresponding author), Osaka Med Coll, Dept Obstet &amp; Gynecol, Takatsuki, Osaka 5698686, Japan.</t>
  </si>
  <si>
    <t>gyn122@osaka-med.ac.jp</t>
  </si>
  <si>
    <t>10.1080/15384047.2020.1838031</t>
  </si>
  <si>
    <t>WOS:000589578800001</t>
  </si>
  <si>
    <t>Nerlich, A; Mieth, M; Letsiou, E; Fatykhova, D; Zscheppang, K; Imai-Matsushima, A; Meyer, TF; Paasch, L; Mitchell, TJ; Tonnies, M; Bauer, TT; Schneider, P; Neudecker, J; Ruckert, JC; Eggeling, S; Schimek, M; Witzenrath, M; Suttorp, N; Hippenstiel, S; Hocke, AC</t>
  </si>
  <si>
    <t>Nerlich, Andreas; Mieth, Maren; Letsiou, Eleftheria; Fatykhova, Diana; Zscheppang, Katja; Imai-Matsushima, Aki; Meyer, Thomas F.; Paasch, Lisa; Mitchell, Timothy J.; Toennies, Mario; Bauer, Torsten T.; Schneider, Paul; Neudecker, Jens; Rueckert, Jens C.; Eggeling, Stephan; Schimek, Maria; Witzenrath, Martin; Suttorp, Norbert; Hippenstiel, Stefan; Hocke, Andreas C.</t>
  </si>
  <si>
    <t>Pneumolysin induced mitochondrial dysfunction leads to release of mitochondrial DNA</t>
  </si>
  <si>
    <t>PERMEABILITY TRANSITION PORE; INNATE IMMUNE-RESPONSES; STREPTOCOCCUS-PNEUMONIAE; CELL-DEATH; PNEUMOCOCCAL PNEUMOLYSIN; ENDOPLASMIC-RETICULUM; MOLECULAR-PATTERNS; HOST-DEFENSE; APOPTOSIS; CALCIUM</t>
  </si>
  <si>
    <t>Streptococcus pneumoniae (S.pn.) is the most common bacterial pathogen causing community acquired pneumonia. The pore-forming toxin pneumolysin (PLY) is the major virulence factor of S.pn. and supposed to affect alveolar epithelial cells thereby activating the immune system by liberation of danger-associated molecular patterns (DAMP). To test this hypothesis, we established a novel live-cell imaging based assay to analyse mitochondrial function and associated release of mitochondrial DNA (mtDNA) as DAMP in real-time. We first revealed that bacterially released PLY caused significant changes of the cellular ATP homeostasis and led to morphologic alterations of mitochondria in human alveolar epithelial cells in vitro and, by use of spectral live-tissue imaging, in human alveoli. This was accompanied by strong mitochondrial calcium influx and loss of mitochondrial membrane potential resulting in opening of the mitochondrial permeability transition pore and mtDNA release without activation of intrinsic apoptosis. Moreover, our data indicate cellular mtDNA liberation via microvesicles, which may contribute to S.pn. related pro-inflammatory immune activation in the human alveolar compartment.</t>
  </si>
  <si>
    <t>[Nerlich, Andreas; Mieth, Maren; Letsiou, Eleftheria; Fatykhova, Diana; Zscheppang, Katja; Paasch, Lisa; Suttorp, Norbert; Hippenstiel, Stefan; Hocke, Andreas C.] Charite Univ Med Berlin, Dept Internal Med Infect Dis &amp; Resp Med, Charitepl 1, D-10117 Berlin, Germany; [Imai-Matsushima, Aki; Meyer, Thomas F.] Max Planck Inst Infekt Biol, Dept Mol Biol, Charitepl 1, D-10117 Berlin, Germany; [Mitchell, Timothy J.] Univ Birmingham, Inst Microbiol &amp; Infect, Birmingham B15 2TT, W Midlands, England; [Toennies, Mario; Bauer, Torsten T.] HELIOS Clin Emil Behring, Dept Pneumol, Walterhoferstr 11, D-14165 Berlin, Germany; [Toennies, Mario; Bauer, Torsten T.] HELIOS Clin Emil Behring, Dept Thorac Surg, Walterhoferstr 11, D-14165 Berlin, Germany; [Schneider, Paul] DRK Clin, Dept Gen &amp; Thorac Surg, Drontheimer Str 39-40, D-13359 Berlin, Germany; [Rueckert, Jens C.; Eggeling, Stephan] Charite Univ Med Berlin, Dept Gen Visceral Vasc &amp; Thorac Surg, Charitepl 1, D-10117 Berlin, Germany; [Eggeling, Stephan; Schimek, Maria] Vivantes Clin Neukolln, Dept Thorac Surg, Rudower Str 48, D-12351 Berlin, Germany</t>
  </si>
  <si>
    <t>Free University of Berlin; Humboldt University of Berlin; Charite Universitatsmedizin Berlin; Free University of Berlin; Humboldt University of Berlin; Charite Universitatsmedizin Berlin; Max Planck Society; University of Birmingham; Free University of Berlin; Humboldt University of Berlin; Charite Universitatsmedizin Berlin; VIivantes Klinikum Neukolln</t>
  </si>
  <si>
    <t>Hocke, AC (corresponding author), Charite Univ Med Berlin, Dept Internal Med Infect Dis &amp; Resp Med, Charitepl 1, D-10117 Berlin, Germany.</t>
  </si>
  <si>
    <t>andreas.hocke@charite.de</t>
  </si>
  <si>
    <t>Nerlich, Andreas/F-9336-2012; Meyer, Thomas F./J-2485-2013</t>
  </si>
  <si>
    <t>Nerlich, Andreas/0000-0001-8577-2744; Suttorp, Norbert/0000-0002-3958-1151; Hippenstiel, Stefan/0000-0002-5146-1064; Fatykhova, Diana/0000-0003-4474-2025; Honzke, Katja/0000-0003-0826-2825; Meyer, Thomas F./0000-0002-6120-8679</t>
  </si>
  <si>
    <t>10.1038/s41598-017-18468-7</t>
  </si>
  <si>
    <t>WOS:000419659800017</t>
  </si>
  <si>
    <t>Tang, ML; Chen, Y; Xian, HY; Tan, SQ; Lian, ZW; Peng, XW; Hu, DL</t>
  </si>
  <si>
    <t>Tang, Meilin; Chen, Ying; Xian, Hongyi; Tan, Suqin; Lian, Zhenwei; Peng, Xiaowu; Hu, Dalin</t>
  </si>
  <si>
    <t>Circulating exosome level of indigenous fish may be a novel biomarker for the integrated ecotoxicity effect of water environment</t>
  </si>
  <si>
    <t>ECOTOXICOLOGY AND ENVIRONMENTAL SAFETY</t>
  </si>
  <si>
    <t>Indigenous fish; Circulating exosomes; Ecotoxicity effect; Biomarker; Water environment</t>
  </si>
  <si>
    <t>AQUATIC ORGANISMS; OXIDATIVE STRESS; TOXICITY; CARGO; RIVER; RISK</t>
  </si>
  <si>
    <t>The deficiency of effective biomarker for the toxic effects of water pollutants greatly limits the application of biological monitoring. This study aimed to investigate the possibility of circulating exosomes of indigenous fish acting as biomarker for the ecotoxicity effect of water environment. The Helong Reservoir in Guangzhou, China, was chosen as the investigating field, of which the water quality belongs to Class V (2013) (GB 3838-2002, China). The clean drinking water source of the upper reaches of the Liuxihe Reservoir was selected as the control. Indigenous fishes including Oreochromis niloticus (Nile tilapia), Labeo rohita (Rohu), Carassius auratus (Crucian carp) were sampled during the period from July 2020 to April 2021. Circulating exosomes of fish samples were isolated by using ultracentrifugation, characterized with transmission electron microscopy (TEM) and quantified by using bicinchoninic acid (BCA) assay. Oxidative stress, DNA and chromosome damage in liver, kidney, brain, gill and blood of fish samples were measured. The results showed that there were significant differences in superoxide dismutase (SOD) activity, glutathione (GSH) and malondialdehyde (MDA) contents, DNA and chromosome damage in fish samples between the Helong Reservoir and the control. Interestingly, there were also significant differences in circulating exosome levels of fish samples between them. Our data suggested that circulating exosome level of indigenous fish may be a novel biomarker for the ecotoxicity effects of water environment.</t>
  </si>
  <si>
    <t>[Tang, Meilin; Chen, Ying; Xian, Hongyi; Lian, Zhenwei; Hu, Dalin] Southern Med Univ, Sch Publ Hlth, Dept Environm Hlth, Guangdong Prov Key Lab Trop Dis Res, Guangzhou 510515, Peoples R China; [Tan, Suqin] Southern Med Univ, Sch Publ Hlth, Grade Undergrad Student Majoring Hyg Quarantine 2, Guangzhou 510515, Peoples R China; [Peng, Xiaowu] South China Inst Environm Sci, State Environm Protect Key Lab Environm Pollut Hl, Minist Ecol &amp; Environm, Guangzhou 510655, Peoples R China</t>
  </si>
  <si>
    <t>Southern Medical University - China; Southern Medical University - China</t>
  </si>
  <si>
    <t>Hu, DL (corresponding author), Southern Med Univ, Sch Publ Hlth, Dept Environm Hlth, Guangdong Prov Key Lab Trop Dis Res, Guangzhou 510515, Peoples R China.</t>
  </si>
  <si>
    <t>smuhdl@126.com</t>
  </si>
  <si>
    <t>0147-6513</t>
  </si>
  <si>
    <t>1090-2414</t>
  </si>
  <si>
    <t>10.1016/j.ecoenv.2021.113084</t>
  </si>
  <si>
    <t>Environmental Sciences; Toxicology</t>
  </si>
  <si>
    <t>Environmental Sciences &amp; Ecology; Toxicology</t>
  </si>
  <si>
    <t>WOS:000740087200006</t>
  </si>
  <si>
    <t>Lee, T; Rawding, PA; Bu, J; Hyun, S; Rou, W; Jeon, H; Kim, S; Lee, B; Kubiatowicz, LJ; Kim, D; Hong, S; Eun, H</t>
  </si>
  <si>
    <t>Lee, Taehee; Rawding, Piper A.; Bu, Jiyoon; Hyun, Sunghee; Rou, Woosun; Jeon, Hongjae; Kim, Seokhyun; Lee, Byungseok; Kubiatowicz, Luke J.; Kim, Dawon; Hong, Seungpyo; Eun, Hyuksoo</t>
  </si>
  <si>
    <t>Machine-Learning-Based Clinical Biomarker Using Cell-Free DNA for Hepatocellular Carcinoma (HCC)</t>
  </si>
  <si>
    <t>cell-free DNA (cfDNA); circulating tumor DNA (ctDNA); hepatocellular carcinoma (HCC); liquid biopsy; principal component analysis (PCA)</t>
  </si>
  <si>
    <t>CIRCULATING TUMOR-CELLS; LIQUID BIOPSY; VALIDATION; DIAGNOSIS; EXOSOMES; CANCER</t>
  </si>
  <si>
    <t>Simple Summary Circulating cell-free DNA (cfDNA) has attracted a great deal of scientific interest as a predictive biomarker for the diagnosis and prognosis of hepatocellular carcinoma (HCC). HCC result in high mortality due to the absence of blood biomarkers for early diagnosis and prognosis. We established cfD(HCC) as a new scoring system by applying a machine learning algorithm that integrates the expression profiles of cfDNA. Based on this, it was possible to accurately predict the clinico-pathological characteristics of patients with HCC as well as improve their survival. (1) Background: Hepatocellular carcinoma (HCC) is one of the leading causes of cancer-related death worldwide. Although various serum enzymes have been utilized for the diagnosis and prognosis of HCC, the currently available biomarkers lack the sensitivity needed to detect HCC at early stages and accurately predict treatment responses. (2) Methods: We utilized our highly sensitive cell-free DNA (cfDNA) detection system, in combination with a machine learning algorithm, to provide a platform for improved diagnosis and prognosis of HCC. (3) Results: cfDNA, specifically alpha-fetoprotein (AFP) expression in captured cfDNA, demonstrated the highest accuracy for diagnosing malignancies among the serum/plasma biomarkers used in this study, including AFP, aspartate aminotransferase, alanine aminotransferase, albumin, alkaline phosphatase, and bilirubin. The diagnostic/prognostic capability of cfDNA was further improved by establishing a cfDNA score (cfD(HCC)), which integrated the total plasma cfDNA levels and cfAFP-DNA expression into a single score using machine learning algorithms. (4) Conclusion: The cfD(HCC) score demonstrated significantly improved accuracy in determining the pathological features of HCC and predicting patients' survival outcomes compared to the other biomarkers. The results presented herein reveal that our cfDNA capture/analysis platform is a promising approach to effectively utilize cfDNA as a biomarker for the diagnosis and prognosis of HCC.</t>
  </si>
  <si>
    <t>[Lee, Taehee] Daegu Hlth Coll, Dept Biomed Lab Sci, Daegu 41453, South Korea; [Lee, Taehee; Hyun, Sunghee] Eulji Univ, Grad Sch, Dept Senior Healthcare, Uijeongbu Si 11759, South Korea; [Rawding, Piper A.; Bu, Jiyoon; Kubiatowicz, Luke J.; Kim, Dawon; Hong, Seungpyo] Univ Wisconsin, Sch Pharm, Pharmaceut Sci Div, Madison, WI 53705 USA; [Rawding, Piper A.; Bu, Jiyoon; Kim, Dawon; Hong, Seungpyo] Univ Wisconsin, Wisconsin Ctr NanoBioSyst WisCNano, Madison, WI 53705 USA; [Bu, Jiyoon] Inha Univ, Dept Biol Sci &amp; Bioengn, Incheon 22212, South Korea; [Bu, Jiyoon] Inha Univ, Ind Acad Interact R&amp;E Ctr Bioproc Innovat, Incheon 22212, South Korea; [Rou, Woosun; Jeon, Hongjae] Chungnam Natl Univ Sejong Hosp CNUSH, Dept Internal Med, Sejong 30099, South Korea; [Kim, Seokhyun; Lee, Byungseok; Eun, Hyuksoo] Chungnam Natl Univ Hosp, Dept Internal Med, Daejeon 35015, South Korea; [Hong, Seungpyo] Yonsei Univ, Dept Pharm, Yonsei Frontier Lab, Seoul 03722, South Korea; [Eun, Hyuksoo] Chungnam Natl Univ, Coll Med, Dept Internal Med, Daejeon 35015, South Korea</t>
  </si>
  <si>
    <t>Eulji University; University of Wisconsin System; University of Wisconsin Madison; University of Wisconsin System; University of Wisconsin Madison; Inha University; Inha University; Chungnam National University; Chungnam National University Hospital; Yonsei University; Chungnam National University</t>
  </si>
  <si>
    <t>Hong, S (corresponding author), Univ Wisconsin, Sch Pharm, Pharmaceut Sci Div, Madison, WI 53705 USA.;Hong, S (corresponding author), Univ Wisconsin, Wisconsin Ctr NanoBioSyst WisCNano, Madison, WI 53705 USA.;Eun, H (corresponding author), Chungnam Natl Univ Hosp, Dept Internal Med, Daejeon 35015, South Korea.;Hong, S (corresponding author), Yonsei Univ, Dept Pharm, Yonsei Frontier Lab, Seoul 03722, South Korea.;Eun, H (corresponding author), Chungnam Natl Univ, Coll Med, Dept Internal Med, Daejeon 35015, South Korea.</t>
  </si>
  <si>
    <t>taehee1155@gmail.com; rawding@wisc.edu; jbu@inha.ac.kr; hyunsh@eulji.ac.kr; rws00@cnuh.co.kr; kyniker@naver.com; midoctor@cnu.ac.kr; gie001@cnuh.co.kr; kubiatowicz@wisc.edu; dkim634@wisc.edu; seungpyo.hong@wisc.edu; hyuksoo@cnuh.co.kr</t>
  </si>
  <si>
    <t>EUN, HYUK SOO/0000-0003-0485-0072; Hong, Seungpyo/0000-0001-9870-031X; Kubiatowicz, Luke/0000-0002-1847-0129; lee, taehee/0000-0002-1975-2961; Hyun, Sung Hee/0000-0002-8980-1036</t>
  </si>
  <si>
    <t>10.3390/cancers14092061</t>
  </si>
  <si>
    <t>WOS:000794787700001</t>
  </si>
  <si>
    <t>Ning, QY; Liu, N; Wu, JZ; Hu, DF; Wei, Q; Zhou, JA; Zou, J; Zang, N; Li, GJ</t>
  </si>
  <si>
    <t>Ning, Qiu-Yue; Liu, Na; Wu, Ji-Zhou; Hu, Die-Fei; Wei, Qi; Zhou, Jin-Ai; Zou, Jun; Zang, Ning; Li, Guo-Jian</t>
  </si>
  <si>
    <t>Serum Exosomal microRNA Profiling in AIDS Complicated with Talaromyces marneffei Infection</t>
  </si>
  <si>
    <t>INFECTION AND DRUG RESISTANCE</t>
  </si>
  <si>
    <t>exosomes; AIDS; Talaromyces marneffei; microRNA; biomarkers</t>
  </si>
  <si>
    <t>PLASMA; MIRNAS; RNAS</t>
  </si>
  <si>
    <t>Introduction: In order to find the early diagnostic markers of AIDS combined with TM infection, we detected and analyzed the serum exosomal miRNAs of AIDS patients with or without TM infection. Materials and Methods: We profiled the expression levels of miRNAs via RNA sequen-cing in serum exosomes from the pooled samples of 17 AIDS patients combined without TM infection and 15 AIDS combined with TM infection patients. For external validation, we validated these results using real-time quantification polymerase chain reaction (qRT-PCR) in an independent cohort of 35 AIDS patients combined without TM infection and 33 AIDS combined with TM infection patients. Finally, bioinformatics was used to predict the target genes and pathways of meaningful miRNAs. Results: A total of 131 serum exosomal miRNAs including 73 up-regulated and 59 down-regulated miRNAs were found to be differentially expressed (log2FC &gt;= 1 and FDR &lt;0.01) in the two groups. A validation analysis revealed that three miRNAs (miR-192-5p, miR-194-5p and miR-1246) were upregulated in exosomes from AIDS combined with TM infection patients. ROC analyses showed that the AUC in combined diagnosis of the three miRNAs was 0.742, and the diagnostic sensitivity and specificity were 0.568 and 0.861, respectively. In the biological process analysis, all the 3 miRNAs were involved in transcription, DNA-templated and positive regulation of transcription from RNA polymerase II promoter. At the same time, the related pathways were involved in TGF-I3 signaling pathway, AMPK signaling pathway, Wnt signaling pathway, MAPK signaling pathway, cGMP-PKG and cAMP signaling pathway, etc. Conclusion: miR-192-5p, miR-194-5p and miR-1246 in serum exosomes might be a potential biomarker for AIDS combined with TM infection patients, which may be involved in TGF-I3 signaling pathway, AMPK signaling pathway, Wnt signaling pathway, MAPK signaling pathway, cGMP-PKG and cAMP signaling pathway, etc. Further research is needed on the biological functions and mechanisms of these miRNAs.</t>
  </si>
  <si>
    <t>[Ning, Qiu-Yue; Wu, Ji-Zhou; Hu, Die-Fei; Wei, Qi; Li, Guo-Jian] Guangxi Med Univ, Affiliated Hosp 1, Dept Infect Dis, Nanning, Guangxi, Peoples R China; [Liu, Na] Guangxi Med Univ, Life Sci Inst, Nanning, Guangxi, Peoples R China; [Zhou, Jin-Ai] Youjiang Med Univ Nationalities, Baise, Guangxi, Peoples R China; [Zou, Jun] Fourth Peoples Hosp Nanning, Nanning, Guangxi, Peoples R China; [Zang, Ning] Guangxi Med Univ, Sch Basic Med, Nanning, Guangxi, Peoples R China; [Zang, Ning] Guangxi Med Univ, Key Lab AIDS Prevent &amp; Treatment, Nanning, Guangxi, Peoples R China</t>
  </si>
  <si>
    <t>Guangxi Medical University; Guangxi Medical University; Youjiang Medical University for Nationalities; Guangxi Medical University; Guangxi Medical University</t>
  </si>
  <si>
    <t>Li, GJ (corresponding author), Guangxi Med Univ, Affiliated Hosp 1, Dept Infect Dis, Nanning, Guangxi, Peoples R China.;Zang, N (corresponding author), Guangxi Med Univ, Sch Basic Med, Nanning, Guangxi, Peoples R China.;Zang, N (corresponding author), Guangxi Med Univ, Key Lab AIDS Prevent &amp; Treatment, Nanning, Guangxi, Peoples R China.</t>
  </si>
  <si>
    <t>zangning@gxmu.edu.cn; liguojian2016@yeah.net</t>
  </si>
  <si>
    <t>1178-6973</t>
  </si>
  <si>
    <t>10.2147/IDR.S338321</t>
  </si>
  <si>
    <t>Infectious Diseases; Pharmacology &amp; Pharmacy</t>
  </si>
  <si>
    <t>WOS:000723247800001</t>
  </si>
  <si>
    <t>Zhang, T; Yin, MG; Wang, LZ; Cao, WZ; Zhong, S</t>
  </si>
  <si>
    <t>Zhang, Ting; Yin, Minggang; Wang, Lizhen; Cao, Wenzhai; Zhong, Sen</t>
  </si>
  <si>
    <t>Diagnostic performance of blood-based liquid biopsies in hepatocellular carcinoma A protocol for systematic review and meta-analysis</t>
  </si>
  <si>
    <t>MEDICINE</t>
  </si>
  <si>
    <t>circulating tumor DNA; circulating tumor cells; diagnosis; exosomes; Hepatocellular carcinoma; liquid biopsy</t>
  </si>
  <si>
    <t>Background: Hepatocellular carcinoma (HCC) is an aggressive cancer associated with poor prognosis. Early diagnosis is crucial to improve its prognosis. Blood-based liquid biopsies are promising methods in detecting HCC. However, their accuracies have not been systematically assessed, so it is essential to conduct a meta-analysis to evaluate the diagnostic performance of blood-based liquid biopsies in detecting HCC. Methods: We will search PubMed, EMBASE, Cochrane Library, Web of Science, Medline, China National Knowledge Infrastructure(CNKI) for the relevant studies that assessed the diagnostic performance of blood-based liquid biopsies including circulating tumor cells(CTCs), circulating tumor DNA(ctDNA), and exosomes(EVs) in HCC patients from inception to September 2020. Two researchers will independently extract the data and use Quality Assessment of Diagnostic Accuracy Studies-2 (QUADAS-2) to evaluate the quality of included literature. We will also conduct the pool diagnostic value, heterogeneity across studies and reporting bias. All the statistical analysis will be conducted by Stata V.15.0 and Meta-disc V.1.4. Results: This review will evaluate the pooled diagnostic value of blood-based liquid biopsies in HCC. Conclusion: This review will summarize the current published evidence of blood-based liquid biopsies in diagnosing HCC, which may provide a great opportunity for promotion and application of them. Open Science Framework(OSF) registration number: September 3, 2020. https://osf.io/9n4yz.</t>
  </si>
  <si>
    <t>[Zhang, Ting] Zigong First Peoples Hosp, Dept Med, Sichuan Vocat Coll Hlth &amp; Rehabil, Zigong, Peoples R China; [Yin, Minggang; Cao, Wenzhai] Zigong First Peoples Hosp, Dept Cardiol, Zigong, Peoples R China; [Wang, Lizhen; Zhong, Sen] Chengdu Univ Tradit Chinese Med, Sch Clin Med, Chengdu, Sichuan, Peoples R China</t>
  </si>
  <si>
    <t>Chengdu University of Traditional Chinese Medicine</t>
  </si>
  <si>
    <t>Cao, WZ (corresponding author), Zigong First Peoples Hosp, Shangyi Rd, Zigong 610000, Sichuan, Peoples R China.;Zhong, S (corresponding author), Chengdu Univ Tradit Chinese Med, Shier Qiao Rd, Chengdu 610000, Sichuan, Peoples R China.</t>
  </si>
  <si>
    <t>caowenzhai@163.com; 15617148@qq.com</t>
  </si>
  <si>
    <t>0025-7974</t>
  </si>
  <si>
    <t>1536-5964</t>
  </si>
  <si>
    <t>e22594</t>
  </si>
  <si>
    <t>10.1097/MD.0000000000022594</t>
  </si>
  <si>
    <t>WOS:000579245800059</t>
  </si>
  <si>
    <t>Da, M; Jiang, H; Xie, YY; Jin, WL; Han, SW</t>
  </si>
  <si>
    <t>Da, Miao; Jiang, Hao; Xie, Yangyang; Jin, Weili; Han, Shuwen</t>
  </si>
  <si>
    <t>The Biological Roles of Exosomal Long Non-Coding RNAs in Cancers</t>
  </si>
  <si>
    <t>ONCOTARGETS AND THERAPY</t>
  </si>
  <si>
    <t>exosome; long non-coding RNAs; cancer</t>
  </si>
  <si>
    <t>HEPATOCELLULAR-CARCINOMA; NONINVASIVE BIOMARKER; PROMOTES ANGIOGENESIS; COLORECTAL-CANCER; POOR-PROGNOSIS; SERUM; PROGRESSION; METASTASIS; CELLS; TRANSCRIPT</t>
  </si>
  <si>
    <t>Although it has many treatment strategies, cancer is still one of the most common causes of morbidity and mortality in the world. Exosomes are small extracellular vesicles (EVs) that can be secreted by almost all cells. Exosomes can encapsulate various types of molecules, including lipids, proteins, DNA, messenger RNAs, and non-coding RNAs [microRNAs (miRNAs) and long non-coding RNAs (IncRNAs)]. Exosome release is a way of communication between cells. They act as powerful signaling molecules between cancer cells and the surrounding cells that make up the cancer microenvironment. lncRNAs are a class of non-coding P, with a length of more than 200 bp, which are differentially expressed in many cancers. lncRNAs have been widely regarded as a new medium for cancer behavior. The presence of lncRNAs in circulation can be acellular or encapsulated in exosomal bodies released by cancer cells. Exosomal lncRNAs are functional and can transmit different phenotypic patterns to neighboring cells. Here, we reviewed the molecular mechanism of exosomal lncRNAs in regulating cancer progression, angiogenesis, and chemotherapy resistance, as well as the prospective applications of exosomal lncRNAs in cancer diagnosis, treatment and prognosis. These findings potentially promote the current understanding of exosomal lncRNAs and provide a new research direction for exosomal lncRNAs in cancer prevention, diagnosis, and treatment.</t>
  </si>
  <si>
    <t>[Da, Miao; Jiang, Hao] Huzhou Third Municipal Hosp, Dept Nursing, Huzhou, Zhejiang, Peoples R China; [Xie, Yangyang] Key Lab Diag &amp; Treatment Digest Syst Canc Zhejian, Ningbo 315000, Zhejiang, Peoples R China; [Jin, Weili] Nanxun Dist Peoples Hosp, Dept Gastroenterol, Huzhou 313009, Zhejiang, Peoples R China; [Han, Shuwen] HuZhou Univ, Huzhou Cent Hosp, Dept Oncol, Affiliated Cent Hosp, 1558 Sanhuan North Rd, Huzhou, Zhejiang, Peoples R China</t>
  </si>
  <si>
    <t>Huzhou University</t>
  </si>
  <si>
    <t>Han, SW (corresponding author), HuZhou Univ, Huzhou Cent Hosp, Dept Oncol, Affiliated Cent Hosp, 1558 Sanhuan North Rd, Huzhou, Zhejiang, Peoples R China.</t>
  </si>
  <si>
    <t>shuwenhan985@163.com</t>
  </si>
  <si>
    <t>Han, Shuwen/0000-0001-6180-9565</t>
  </si>
  <si>
    <t>1178-6930</t>
  </si>
  <si>
    <t>10.2147/OTT.S281175</t>
  </si>
  <si>
    <t>Biotechnology &amp; Applied Microbiology; Oncology</t>
  </si>
  <si>
    <t>WOS:000607627300001</t>
  </si>
  <si>
    <t>Reich, CF; Pisetsky, DS</t>
  </si>
  <si>
    <t>Reich, Charles F., III; Pisetsky, David S.</t>
  </si>
  <si>
    <t>The content of DNA and RNA in microparticles released by Jurkat and HL-60 cells undergoing in vitro apoptosis</t>
  </si>
  <si>
    <t>Microparticles; Apoptosis; Necrosis; DNA; RNA</t>
  </si>
  <si>
    <t>28S RIBOSOMAL-RNA; MESSENGER-RNA; CANCER-PATIENTS; MALIGNANT-MELANOMA; IMMUNE-COMPLEXES; PLASMA; CLEAVAGE; MICROVESICLES; DEGRADATION; BODIES</t>
  </si>
  <si>
    <t>Microparticles are small membrane-bound vesicles that are released from apoptotic cells during blebbing. These particles contain DNA and RNA and display important functional activities, including immune system activation. Furthermore, nucleic acids inside the particle can be analyzed as biomarkers in a variety of disease states. To elucidate the nature of microparticle nucleic acids, DNA and RNA released in microparticles from the Jurkat T and HL-60 promyelocytic cell lilies undergoing apoptosis in vitro were studied. Microparticles were isolated from Culture media by differential centrifugation and characterized by now cytometry and molecular approaches. In these particles, DNA showed laddering by gel electrophoresis and was present in a form that allowed direct binding by a monoclonal anti-DNA antibody, Suggesting antigen accessibility even without fixation. Analysis of RNA by gel electrophoresis showed intact 18s and 28s ribosomal RNA bands, although lower molecular bands consistent with 28s ribosomal RNA degradation products were also present. Particles also contained messenger RNA as shown by RT-PCR amplification of sequences for beta-actin and GAPDH. In addition, gel electrophoresis showed the presence of low molecular weight RNA in the size range of microRNA. Together, these results indicate that microparticles from apoptotic Jurkat and HL-60 cells contain diverse nucleic acid species, indicating translocation of both nuclear and cytoplasmic DNA and RNA as particle release Occurs during death. (C) 2008 Elsevier Inc. All rights reserved.</t>
  </si>
  <si>
    <t>[Pisetsky, David S.] Med Res Serv, Durham, NC 27705 USA; Duke Univ, Med Ctr, Div Rheumatol &amp; Immunol, Durham, NC 27705 USA</t>
  </si>
  <si>
    <t>Pisetsky, DS (corresponding author), Med Res Serv, 151G Durham VAMC,508 Fulton St, Durham, NC 27705 USA.</t>
  </si>
  <si>
    <t>10.1016/j.yexcr.2008.12.014</t>
  </si>
  <si>
    <t>WOS:000263859200004</t>
  </si>
  <si>
    <t>Zhou, Y; Li, HX; Hou, M; He, JJ; Jiang, JH</t>
  </si>
  <si>
    <t>Zhou, Yan; Li, Haoxiang; Hou, Min; He, Jianjun; Jiang, Jian-Hui</t>
  </si>
  <si>
    <t>Dual Rolling Circle Amplification-Assisted Single-Particle Fluorescence Profiling of Exosome Heterogeneity for Discriminating Lung Adenocarcinoma from Pulmonary Nodules</t>
  </si>
  <si>
    <t>rolling circle amplification; exosomes; single-particle; fluorescence analysis; cancer diagnosis</t>
  </si>
  <si>
    <t>CELL ADHESION MOLECULE; LIQUID BIOPSIES; CANCER</t>
  </si>
  <si>
    <t>Exosomes secreted by tumor cells carry abundant molecular biomarkers that reflect the status of their originating cells. These tumor-derived exosomes (TDEs) have emerged as attractive diagnostic targets. However, the identification and characterization of highly heterogeneous TDEs remain practically challenging. Here, we report a dual rolling circle amplification (DRCA)-assisted approach for the selective encapsulation of single TDEs for fluorescence microscopic and flow cytometric analysis. TDEs have been targeted by aptamers that recognized their surface tumor marker and exosomal marker CD63, following DRCA that produced entangling polymeric DNA chains, resulting in facile particle enlargement that allows single-particle fluorescence profiling of exosome heterogeneity. We have demonstrated the use of a dual-marker positive ratio for exosome differentiation and applied division and multiplication operations for normalized and magnified marker heterogeneity analysis. We further applied this assay to distinguish lung adenocarcinoma and pulmonary nodule patients and found an accuracy of 90%. We anticipate promising transformations of this straightforward assay into clinically implantable diagnostic methods. [GRAPHICS]</t>
  </si>
  <si>
    <t>[Zhou, Yan] Cent South Univ, Xiangya Hosp 3, Dept Pulm &amp; Crit Care Med, Hunan Key Lab Organ Fibrosis, Changsha 410013, Peoples R China; [Li, Haoxiang; Hou, Min; He, Jianjun; Jiang, Jian-Hui] Hunan Univ, Coll Chem &amp; Chem Engn, Coll Biomed Sci, State Key Lab Chemo BioSensing &amp; Chemometr, Changsha 410082, Peoples R China</t>
  </si>
  <si>
    <t>Central South University; Hunan University</t>
  </si>
  <si>
    <t>He, JJ; Jiang, JH (corresponding author), Hunan Univ, Coll Chem &amp; Chem Engn, Coll Biomed Sci, State Key Lab Chemo BioSensing &amp; Chemometr, Changsha 410082, Peoples R China.</t>
  </si>
  <si>
    <t>jianjunh@hnu.edu.cn; jianhuijiang@hnu.edu.cn</t>
  </si>
  <si>
    <t>10.31635/ccschem.022.202202028</t>
  </si>
  <si>
    <t>WOS:000835199100001</t>
  </si>
  <si>
    <t>Soh, EYC; Smith, F; Gimenez, MR; Yang, L; Vejborg, RM; Fletcher, MR; Halliday, N; Bleves, S; Heeb, S; Camara, MR; Givskov, M; Hardie, KRR; Tolker-Nielsen, T; Ize, BR; Williams, P</t>
  </si>
  <si>
    <t>Soh, Eliza Ye-Chen; Smith, Frances; Gimenez, Maxime Remi; Yang, Liang; Vejborg, Rebecca Munk; Fletcher, Matthew R.; Halliday, Nigel; Bleves, Sophie; Heeb, Stephan; Camara, Miguel R.; Givskov, Michael; Hardie, Kim R. R.; Tolker-Nielsen, Tim; Ize, Berengere R.; Williams, Paul</t>
  </si>
  <si>
    <t>Disruption of the Pseudomonas aeruginosa Tat system perturbs PQS-dependent quorum sensing and biofilm maturation through lack of the Rieske cytochrome bc(1) sub-unit</t>
  </si>
  <si>
    <t>TWIN-ARGININE TRANSLOCASE; EXTRACELLULAR DNA; QUINOLONE SIGNAL; RHAMNOLIPID PRODUCTION; BACTERIAL BIOFILMS; MEMBRANE-VESICLES; ROLES; RELEASE; IDENTIFICATION; BIOSYNTHESIS</t>
  </si>
  <si>
    <t>Extracellular DNA (eDNA) is a major constituent of the extracellular matrix of Pseudomonas aeruginosa biofilms and its release is regulated via pseudomonas quinolone signal (PQS) dependent quorum sensing (QS). By screening a P. aeruginosa transposon library to identify factors required for DNA release, mutants with insertions in the twin-arginine translocation (Tat) pathway were identified as exhibiting reduced eDNA release, and defective biofilm architecture with enhanced susceptibility to tobramycin. P. aeruginosa tat mutants showed substantial reductions in pyocyanin, rhamnolipid and membrane vesicle (MV) production consistent with perturbation of PQS-dependent QS as demonstrated by changes in pqsA expression and 2-alkyl-4-quinolone (AQ) production. Provision of exogenous PQS to the tat mutants did not return pqsA, rhlA or phzA1 expression or pyocyanin production to wild type levels. However, transformation of the tat mutants with the AQ-independent pqs effector pqsE restored phzA1 expression and pyocyanin production. Since mutation or inhibition of Tat prevented PQS-driven auto-induction, we sought to identify the Tat substrate(s) responsible. A pqsA::lux fusion was introduced into each of 34 validated P. aeruginosa Tat substrate deletion mutants. Analysis of each mutant for reduced bioluminescence revealed that the primary signalling defect was associated with the Rieske iron-sulfur subunit of the cytochrome bc(1) complex. In common with the parent strain, a Rieske mutant exhibited defective PQS signalling, AQ production, rhlA expression and eDNA release that could be restored by genetic complementation. This defect was also phenocopied by deletion of cytB or cytC(1). Thus, either lack of the Rieske sub-unit or mutation of cytochrome bc(1) genes results in the perturbation of PQS-dependent autoinduction resulting in eDNA deficient biofilms, reduced antibiotic tolerance and compromised virulence factor production. Author summary Pseudomonas aeruginosa is a highly adaptable human pathogen responsible for causing chronic biofilm-associated infections. Biofilms are highly refractory to host defences and antibiotics and thus difficult to eradicate. The biofilm extracellular matrix incorporates extracellular DNA (eDNA). This stabilizes biofilm architecture and helps confer tolerance to antibiotics. Since mechanisms that control eDNA release are not well understood, we screened a P. aeruginosa mutant bank for strains with defects in eDNA release and discovered a role for the twin-arginine translocation (Tat) pathway that exports folded proteins across the cytoplasmic membrane. Perturbation of the Tat pathway resulted in defective biofilms susceptible to antibiotic treatment as a consequence of perturbed pseudomonas quinolone (PQS) signalling. This resulted in the failure to produce or release biofilm components including eDNA, phenazines and rhamnolipids as well as microvesicles. Furthermore, we discovered that perturbation of PQS signalling was a consequence of the inability of tat mutants to translocate the Rieske subunit of the cytochrome bc(1) complex involved in electron transfer and energy transduction. Given the importance of PQS signalling and the Tat system to virulence and biofilm maturation in P. aeruginosa, our findings underline the potential of the Tat system as a drug target for novel antimicrobial agents.</t>
  </si>
  <si>
    <t>[Soh, Eliza Ye-Chen; Smith, Frances; Fletcher, Matthew R.; Halliday, Nigel; Heeb, Stephan; Camara, Miguel R.; Hardie, Kim R. R.; Williams, Paul] Univ Nottingham, Natl Biofilms Innovat Ctr, Biodiscovery Inst, Nottingham, England; [Soh, Eliza Ye-Chen; Smith, Frances; Fletcher, Matthew R.; Halliday, Nigel; Heeb, Stephan; Camara, Miguel R.; Hardie, Kim R. R.; Williams, Paul] Univ Nottingham, Sch Life Sci, Nottingham, England; [Gimenez, Maxime Remi; Bleves, Sophie; Ize, Berengere R.] CNRS, Inst Microbiol Mediterrane, UMR7255, Lab Ingn Syst Macromol LISM, Marseille, France; [Gimenez, Maxime Remi; Ize, Berengere R.] Aix Marseille Univ, Marseille, France; [Yang, Liang; Givskov, Michael] Nanyang Technol Univ, Singapore Ctr Environm Life Sci Engn, Singapore, Singapore; [Vejborg, Rebecca Munk; Givskov, Michael; Tolker-Nielsen, Tim] Univ Copenhagen, Dept Immunol &amp; Microbiol, Costerton Biofilm Ctr, Fac Hlth Sci, Copenhagen, Denmark; [Yang, Liang] Southern Univ Sci &amp; Technol, Sch Med, Shenzhen, Guangdong, Peoples R China</t>
  </si>
  <si>
    <t>University of Nottingham; University of Nottingham; Centre National de la Recherche Scientifique (CNRS); CNRS - National Institute for Biology (INSB); UDICE-French Research Universities; Aix-Marseille Universite; UDICE-French Research Universities; Aix-Marseille Universite; Nanyang Technological University &amp; National Institute of Education (NIE) Singapore; Nanyang Technological University; University of Copenhagen; Southern University of Science &amp; Technology</t>
  </si>
  <si>
    <t>Williams, P (corresponding author), Univ Nottingham, Natl Biofilms Innovat Ctr, Biodiscovery Inst, Nottingham, England.;Williams, P (corresponding author), Univ Nottingham, Sch Life Sci, Nottingham, England.;Ize, BR (corresponding author), CNRS, Inst Microbiol Mediterrane, UMR7255, Lab Ingn Syst Macromol LISM, Marseille, France.;Ize, BR (corresponding author), Aix Marseille Univ, Marseille, France.;Tolker-Nielsen, T (corresponding author), Univ Copenhagen, Dept Immunol &amp; Microbiol, Costerton Biofilm Ctr, Fac Hlth Sci, Copenhagen, Denmark.</t>
  </si>
  <si>
    <t>ttn@sund.ku.dk; bize@imm.cnrs.fr; paul.williams@nottingham.ac.uk</t>
  </si>
  <si>
    <t>Heeb, Stephan/AGD-5189-2022; IZE, Bérengère/GLQ-7207-2022</t>
  </si>
  <si>
    <t>IZE, Bérengère/0000-0001-9106-9254; Vejborg, Rebecca Munk/0000-0003-0365-1100; Tolker-Nielsen, Tim/0000-0002-9751-474X; Givskov, Michael/0000-0001-5004-8609</t>
  </si>
  <si>
    <t>10.1371/journal.ppat.1009425</t>
  </si>
  <si>
    <t>WOS:000724026700004</t>
  </si>
  <si>
    <t>Perfumo, A; Elsaesser, A; Littmann, S; Foster, RA; Kuypers, MMM; Cockell, CS; Kminek, G</t>
  </si>
  <si>
    <t>Perfumo, Amedea; Elsaesser, Andreas; Littmann, Sten; Foster, Rachel A.; Kuypers, Marcel M. M.; Cockell, Charles S.; Kminek, Gerhard</t>
  </si>
  <si>
    <t>Epifluorescence, SEM, TEM and nanoSIMS image analysis of the cold phenotype of Clostridium psychrophilum at subzero temperatures</t>
  </si>
  <si>
    <t>FEMS MICROBIOLOGY ECOLOGY</t>
  </si>
  <si>
    <t>cryo-adaptation; cell elongation; exopolysaccharide matrix; membrane vesicles; carbon storage granules</t>
  </si>
  <si>
    <t>PSYCHROBACTER-ARCTICUS 273-4; GENOME SEQUENCE; SP-NOV.; PERMAFROST BACTERIUM; BIOFILM; MICROSCOPY; GROWTH; POLYSACCHARIDE; ADAPTATIONS; MECHANISMS</t>
  </si>
  <si>
    <t>We have applied an image-based approach combining epifluorescence microscopy, electron microscopy and nanoscale secondary ion mass spectrometry (nanoSIMS) with stable isotope probing to examine directly the characteristic cellular features involved in the expression of the cold phenotype in the Antarctic bacterium Clostridium psychrophilum exposed to a temperature range from +5 to -15 degrees C under anoxic conditions. We observed dramatic morphological changes depending on temperature. At temperatures below -10 degrees C, cell division was inhibited and consequently filamentous growth predominated. Bacterial cells appeared surrounded by a remarkably thick cell wall and a capsule formed of long exopolysaccharide fibres. Moreover, bacteria were entirely embedded within a dense extracellular matrix, suggesting a role both in cryoprotection and in the cycling of nutrients and genetic material. Strings of extracellular DNA, transient cell membrane permeability and release of membrane vesicles were observed that suggest that evolution via transfer of genetic material may be especially active under frozen conditions. While at -5 degrees C, the bacterial population was metabolically healthy, at temperatures below -10 degrees C, most cells showed no sign of active metabolism or the metabolic flux was extremely slowed down; instead of being consumed, carbon was accumulated and stored in intracellular granules as in preparation for a long-term survival.</t>
  </si>
  <si>
    <t>[Perfumo, Amedea; Kminek, Gerhard] European Space Agcy, TEC QI, NL-2200 AG Noordwijk, Netherlands; [Elsaesser, Andreas] Leiden Univ, Leiden Inst Chem, Leiden, Netherlands; [Littmann, Sten; Foster, Rachel A.; Kuypers, Marcel M. M.] Max Planck Inst Marine Microbiol, Bremen, Germany; [Cockell, Charles S.] Univ Edinburgh, Sch Phys &amp; Astron, UK Ctr Astrobiol, Edinburgh, Midlothian, Scotland</t>
  </si>
  <si>
    <t>European Space Agency; Leiden University; Leiden University - Excl LUMC; Max Planck Society; University of Edinburgh</t>
  </si>
  <si>
    <t>Perfumo, A (corresponding author), GFZ German Res Ctr Geosci, Helmholtz Ctr Potsdam, D-14473 Potsdam, Germany.</t>
  </si>
  <si>
    <t>amedea.perfumo@gfz-potsdam.de</t>
  </si>
  <si>
    <t>Elsaesser, Andreas/K-2264-2014; Perfumo, Amedea/AAC-5739-2019</t>
  </si>
  <si>
    <t>Elsaesser, Andreas/0000-0002-3781-8290; Foster, Rachel/0000-0002-8696-1835; Littmann, Sten/0000-0001-8685-5357; Perfumo, Amedea/0000-0002-7503-4868</t>
  </si>
  <si>
    <t>0168-6496</t>
  </si>
  <si>
    <t>1574-6941</t>
  </si>
  <si>
    <t>10.1111/1574-6941.12443</t>
  </si>
  <si>
    <t>WOS:000346057900028</t>
  </si>
  <si>
    <t>Aiso, T; Takigami, S; Yamaki, A; Ohnishi, H</t>
  </si>
  <si>
    <t>Aiso, Toshiko; Takigami, Shu; Yamaki, Akiko; Ohnishi, Hiroaki</t>
  </si>
  <si>
    <t>Degradation of serum microRNAs during transient storage of serum samples at 4 degrees C</t>
  </si>
  <si>
    <t>ANNALS OF CLINICAL BIOCHEMISTRY</t>
  </si>
  <si>
    <t>DNA and RNA techniques; tumour markers</t>
  </si>
  <si>
    <t>BIOMARKER</t>
  </si>
  <si>
    <t>Background Numerous studies demonstrate the potential of circulating microRNAs as non-invasive biomarkers for several diseases. Circulating microRNAs are much more stable than mRNAs and remain largely intact even after prolonged incubation at room temperature. However, recent reports show that microRNAs in serum or plasma samples have diverse stabilities. The aim of this pilot study is to evaluate the stabilities of miR-92a, miR-122 and miR-145 in serum during transient storage at 4? before freezing. Methods Serum samples were stored for 24h at 4?, and then RNA was extracted from whole serum or extracellular vesicles in serum. Total Exosome Isolation Reagent (from serum) was used for the fractionation of extracellular vesicles. Reverse transcription and real-time PCR of microRNAs were performed using the TaqMan MicroRNA Assays for miR-92a, miR-122 and miR-145. Results MiR-122 and miR-145 were degraded rapidly in serum; the concentrations dropped to 35.9% (P&lt;0.001) and 29.3% (P&lt;0.0001), respectively. These microRNAs in extracellular vesicles exhibited similar instability; the concentrations were 52.2% (P&lt;0.05) and 56.5% (P&lt;0.01), respectively. On the other hand, no significant degradation of miR-92a was observed (whole serum: P=0.052, extracellular vesicles: P=0.196). Conclusions MiR-122 and miR-145 in serum are extremely unstable and could be degraded during transient storage of serum at 4? prior to freezing.</t>
  </si>
  <si>
    <t>[Aiso, Toshiko; Takigami, Shu; Yamaki, Akiko] Kyorin Univ, Dept Med Technol, Fac Hlth Sci, 5-4-1 Shimorenjaku, Mitaka, Tokyo 1818612, Japan; [Ohnishi, Hiroaki] Kyorin Univ, Dept Lab Med, Sch Med, Mitaka, Tokyo, Japan</t>
  </si>
  <si>
    <t>Kyorin University; Kyorin University</t>
  </si>
  <si>
    <t>Aiso, T (corresponding author), Kyorin Univ, Dept Med Technol, Fac Hlth Sci, 5-4-1 Shimorenjaku, Mitaka, Tokyo 1818612, Japan.</t>
  </si>
  <si>
    <t>taiso@ks.kyorin-u.ac.jp</t>
  </si>
  <si>
    <t>0004-5632</t>
  </si>
  <si>
    <t>1758-1001</t>
  </si>
  <si>
    <t>10.1177/0004563217704233</t>
  </si>
  <si>
    <t>WOS:000419458400022</t>
  </si>
  <si>
    <t>Kirikovich, SS; Taranov, OS; Omigov, VV; Potter, EA; Dolgova, EV; Proskurina, AS; Efremov, YR; Bogachev, SS</t>
  </si>
  <si>
    <t>Kirikovich, Svetlana S.; Taranov, Oleg S.; Omigov, Vladimir V.; Potter, Ekaterina A.; Dolgova, Evgenia V.; Proskurina, Anastasia S.; Efremov, Yaroslav R.; Bogachev, Sergey S.</t>
  </si>
  <si>
    <t>Ultrastructural analysis of the Krebs-2 ascites cancer cells treated with extracellular double-stranded DNA preparation</t>
  </si>
  <si>
    <t>ULTRASTRUCTURAL PATHOLOGY</t>
  </si>
  <si>
    <t>Ascites Krebs-2; double-stranded DNA; apoptosis; necrosis; electron microscopy</t>
  </si>
  <si>
    <t>APOPTOSIS; DEATH; CYCLOPHOSPHAMIDE; MICROVESICLES; MORPHOLOGY; RESPONSES; NECROSIS</t>
  </si>
  <si>
    <t>Electron-microscopic analysis of the ultrastructure of the Krebs-2 carcinoma ascites cells in the first 90 min immediately after their exposure to fragmented double-stranded DNA has been performed. Morphological attributes of the treated cancer cells indicate the induction in these cells of destructive processes of presumably apoptotic type. The predominance of dystrophic-destructive changes in cells after the addition of DNA is supposed to be a consequence of the disturbance in metabolic processes caused by the experimental action.</t>
  </si>
  <si>
    <t>[Kirikovich, Svetlana S.; Potter, Ekaterina A.; Dolgova, Evgenia V.; Proskurina, Anastasia S.; Efremov, Yaroslav R.; Bogachev, Sergey S.] Russian Acad Sci, Siberian Branch, Inst Cytol &amp; Genet, Novosibirsk, Russia; [Taranov, Oleg S.; Omigov, Vladimir V.] State Res Ctr Virol &amp; Biotechnol VECTOR, Rospotrebnadzor, Novosibirsk Reg, Russia; [Efremov, Yaroslav R.] Novosibirsk State Univ, Dept Nat Sci, Novosibirsk, Russia</t>
  </si>
  <si>
    <t>Russian Academy of Sciences; Institute of Cytology &amp; Genetics ICG SB RAS; State Research Center of Virology &amp; Biotechnology VECTOR; Novosibirsk State University</t>
  </si>
  <si>
    <t>Kirikovich, SS (corresponding author), 10 Lavrentiev Ave, Novosibirsk 630090, Russia.</t>
  </si>
  <si>
    <t>Potter, Ekaterina/AAP-4868-2020; Taranov, Oleg S/A-5657-2014; Omigov, Vladimir V/ABC-8325-2021; Taranov, Oleg/AAG-9798-2021; Dolgova, Evgeniya V/T-6788-2017; Bogachev, Sergey/T-3313-2017; Proskurina, Anastasia/H-3639-2015</t>
  </si>
  <si>
    <t>Potter, Ekaterina/0000-0003-1558-8655; Taranov, Oleg S/0000-0002-6746-8092; Dolgova, Evgeniya V/0000-0002-5543-248X; Proskurina, Anastasia/0000-0002-7650-4331; Efremov, Yaroslav R./0000-0002-0649-7543</t>
  </si>
  <si>
    <t>0191-3123</t>
  </si>
  <si>
    <t>1521-0758</t>
  </si>
  <si>
    <t>10.1080/01913123.2019.1575499</t>
  </si>
  <si>
    <t>Microscopy; Pathology</t>
  </si>
  <si>
    <t>WOS:000468408400005</t>
  </si>
  <si>
    <t>Saada, J; McAuley, RJ; Marcatti, M; Tang, TZ; Motamedi, M; Szczesny, B</t>
  </si>
  <si>
    <t>Saada, Jamal; McAuley, Ryan J.; Marcatti, Michela; Tang, Tony Zifeng; Motamedi, Massoud; Szczesny, Bartosz</t>
  </si>
  <si>
    <t>Oxidative stress induces Z-DNA-binding protein 1-dependent activation of microglia via mtDNA released from retinal pigment epithelial cells</t>
  </si>
  <si>
    <t>MITOCHONDRIAL-DNA; INFLAMMASOME ACTIVATION; RETINITIS-PIGMENTOSA; NLRP3 INFLAMMASOME; GLUCOSE-OXIDASE; LIGASE III; DAMAGE; REPAIR; EXPRESSION; MECHANISM</t>
  </si>
  <si>
    <t>Oxidative stress, inflammation, and aberrant activation of microglia in the retina are commonly observed in ocular pathologies. In glaucoma or age-related macular degeneration, the chronic activation of microglia affects retinal ganglion cells and photoreceptors, respectively, contributing to gradual vision loss. However, the molecular mechanisms that cause activation of microglia in the retina are not fully understood. Here we show that exposure of retinal pigment epithelial (RPE) cells to (mtDNA)-specific damage, and the subsequent translocation of damaged mtDNA to the cytoplasm results in the binding and activation of intracellular DNA receptor Z-DNA-binding protein 1 (ZBP1). Activation of the mtDNA/ZBP1 pathway triggers the expression of proinflammatory markers in RPE cells. In addition, we show that the enhanced release of extracellular vesicles (EVs) containing fragments of mtDNA derived from the apical site of RPE cells induces a proinflammatory phenotype of microglia via activation of ZBP1 signaling. Collectively, our report establishes oxidatively damaged mtDNA as an important signaling molecule with ZBP1 as its intracellular receptor in the development of an inflammatory response in the retina. We propose that this novel mtDNA-mediated autocrine and paracrine mechanism for triggering and maintaining inflammation in the retina may play an important role in ocular pathologies. Therefore, the molecular mechanisms identified in this report are potentially suitable therapeutic targets to ameliorate development of ocular pathologies.</t>
  </si>
  <si>
    <t>[Saada, Jamal; Motamedi, Massoud; Szczesny, Bartosz] Univ Texas Med Branch, Dept Ophthalmol &amp; Visual Sci, Galveston, TX 77555 USA; [Saada, Jamal; Marcatti, Michela; Szczesny, Bartosz] Univ Texas Med Branch, Dept Anesthesiol, Galveston, TX 77555 USA; [McAuley, Ryan J.; Tang, Tony Zifeng] Univ Texas Med Branch, Dept Neurosci Cell Biol &amp; Anat, Galveston, TX 77555 USA; [Marcatti, Michela] Univ Texas Med Branch, Dept Neurol, Galveston, TX 77555 USA</t>
  </si>
  <si>
    <t>Szczesny, B (corresponding author), Univ Texas Med Branch, Dept Ophthalmol &amp; Visual Sci, Galveston, TX 77555 USA.;Szczesny, B (corresponding author), Univ Texas Med Branch, Dept Anesthesiol, Galveston, TX 77555 USA.</t>
  </si>
  <si>
    <t>baszczes@utmb.edu</t>
  </si>
  <si>
    <t>McAuley, Ryan/0000-0001-9857-4050; MARCATTI, MICHELA/0000-0003-1921-4626</t>
  </si>
  <si>
    <t>10.1016/j.jbc.2021.101523</t>
  </si>
  <si>
    <t>WOS:000748274300003</t>
  </si>
  <si>
    <t>Haas, T; Schmitz, F; Heit, A; Wagner, H</t>
  </si>
  <si>
    <t>Haas, Tobias; Schmitz, Frank; Heit, Antje; Wagner, Hermann</t>
  </si>
  <si>
    <t>Sequence independent interferon-alpha induction by multimerized phosphodiester DNA depends on spatial regulation of Toll-like receptor-9 activation in plasmacytoid dendritic cells</t>
  </si>
  <si>
    <t>IMMUNOLOGY</t>
  </si>
  <si>
    <t>interferon-alpha production; plasmacytoid dendritic cells; phosphodiester DNA; sequence independence; Toll-like receptor-9</t>
  </si>
  <si>
    <t>ENDOSOMAL TRANSLOCATION; MACROPHAGE ACTIVATION; BACTERIAL-DNA; STRANDED-RNA; CPG-DNA; RECOGNITION; RESPONSES; MOTIFS; TLR9</t>
  </si>
  <si>
    <t>Single-stranded versus multimeric phosphorothioate-modified CpG oligodeoxynucleotides (ODNs) undergo differential endosomal trafficking upon uptake into plasmacytoid dendritic cells (pDCs), correlating with Toll-like receptor-9-dependent pDC maturation/activation (single-stranded B-type CpG ODN) or interferon-alpha (IFN-alpha) induction (multimeric A-type CpG ODN), respectively. As was recently shown, IFN-alpha production, other than by CpG ODNs, can also be induced in a sequence-independent manner by phosphodiester (PD) ODNs multimerized by 3' poly-guanosine (poly-G) tails. We investigate here the type of endosomal trafficking responsible for IFN-alpha induction by natural PD ODN ligands. We show that 3' extension with poly-G tails leads to multimerization of single-stranded PD ODNs and to enhanced cellular uptake into pDCs. While monomeric PD ODNs, which induce CpG-dependent Toll-like receptor-9 stimulation and pDC maturation/activation, localized to late endosomal/lysosomal compartments, the poly-G multimerized PD ODNs, which induce CpG-independent IFN-alpha production, located to vesicles with a distinct, 'early' endosomal phenotype. We conclude that poly-G-mediated multimerization of natural PD ODNs allows for sequence-independent, Toll-like receptor-9-dependent IFN-alpha induction in pDCs by combining three distinct effects: relative protection of sensitive PD ODNs from extracellular and intracellular DNase degradation, enhanced cellular uptake and preferential early endosomal compartmentation.</t>
  </si>
  <si>
    <t>[Haas, Tobias; Schmitz, Frank; Heit, Antje; Wagner, Hermann] Tech Univ Munich, Inst Med Mikrobiol Immunol &amp; Hyg, D-81675 Munich, Germany</t>
  </si>
  <si>
    <t>Technical University of Munich</t>
  </si>
  <si>
    <t>Wagner, H (corresponding author), Tech Univ Munich, Inst Med Mikrobiol Immunol &amp; Hyg, Trogerstr 30, D-81675 Munich, Germany.</t>
  </si>
  <si>
    <t>h.wagner@lrz.tum.de</t>
  </si>
  <si>
    <t>0019-2805</t>
  </si>
  <si>
    <t>1365-2567</t>
  </si>
  <si>
    <t>10.1111/j.1365-2567.2008.02897.x</t>
  </si>
  <si>
    <t>WOS:000262227200012</t>
  </si>
  <si>
    <t>Hung, C; Zhou, YZ; Pinkner, JS; Dodson, KW; Crowley, JR; Heuser, J; Chapman, MR; Hadjifrangiskou, M; Henderson, JP; Hultgren, SJ</t>
  </si>
  <si>
    <t>Hung, Chia; Zhou, Yizhou; Pinkner, Jerome S.; Dodson, Karen W.; Crowley, Jan R.; Heuser, John; Chapman, Matthew R.; Hadjifrangiskou, Maria; Henderson, Jeffrey P.; Hultgren, Scott J.</t>
  </si>
  <si>
    <t>Escherichia coli Biofilms Have an Organized and Complex Extracellular Matrix Structure</t>
  </si>
  <si>
    <t>PSEUDOMONAS-AERUGINOSA BIOFILMS; OUTER-MEMBRANE VESICLES; URINARY-TRACT-INFECTION; STAPHYLOCOCCUS-EPIDERMIDIS; POSITIVE SELECTION; MYXOCOCCUS-XANTHUS; PERSISTER CELLS; DNA; MOTILITY; GENES</t>
  </si>
  <si>
    <t>Bacterial biofilms are ubiquitous in nature, and their resilience is derived in part from a complex extracellular matrix that can be tailored to meet environmental demands. Although common developmental stages leading to biofilm formation have been described, how the extracellular components are organized to allow three-dimensional biofilm development is not well understood. Here we show that uropathogenic Escherichia coli (UPEC) strains produce a biofilm with a highly ordered and complex extracellular matrix (ECM). We used electron microscopy (EM) techniques to image floating biofilms (pellicles) formed by UPEC. EM revealed intricately constructed substructures within the ECM that encase individual, spatially segregated bacteria with a distinctive morphology. Mutational and biochemical analyses of these biofilms confirmed curli as a major matrix component and revealed important roles for cellulose, flagella, and type 1 pili in pellicle integrity and ECM infrastructure. Collectively, the findings of this study elucidated that UPEC pellicles have a highly organized ultrastructure that varies spatially across the multicellular community. IMPORTANCE Bacteria can form biofilms in diverse niches, including abiotic surfaces, living cells, and at the air-liquid interface of liquid media. Encasing these cellular communities is a self-produced extracellular matrix (ECM) that can be composed of proteins, polysaccharides, and nucleic acids. The ECM protects biofilm bacteria from environmental insults and also makes the dissolution of biofilms very challenging. As a result, formation of biofilms within humans (during infection) or on industrial material (such as water pipes) has detrimental and costly effects. In order to combat bacterial biofilms, a better understanding of components required for biofilm formation and the ECM is required. This study defined the ECM composition and architecture of floating pellicle biofilms formed by Escherichia coli.</t>
  </si>
  <si>
    <t>[Hung, Chia; Pinkner, Jerome S.; Dodson, Karen W.; Henderson, Jeffrey P.; Hultgren, Scott J.] Washington Univ, Sch Med, Ctr Womens Infect Dis Res, St Louis, MO 63130 USA; [Hung, Chia; Henderson, Jeffrey P.] Washington Univ, Sch Med, Div Infect Dis, St Louis, MO 63110 USA; [Hung, Chia; Crowley, Jan R.; Henderson, Jeffrey P.] Washington Univ, Sch Med, Dept Internal Med, St Louis, MO 63110 USA; [Pinkner, Jerome S.; Dodson, Karen W.; Henderson, Jeffrey P.; Hultgren, Scott J.] Washington Univ, Sch Med, Dept Mol Microbiol, St Louis, MO 63110 USA; [Heuser, John] Washington Univ, Sch Med, Dept Cell Biol &amp; Physiol, St Louis, MO 63110 USA; [Zhou, Yizhou; Chapman, Matthew R.] Univ Michigan, Dept Mol Cellular &amp; Dev Biol, Ann Arbor, MI 48109 USA; [Hadjifrangiskou, Maria] Vanderbilt Univ, Dept Pathol Microbiol &amp; Immunol, Nashville, TN 37235 USA</t>
  </si>
  <si>
    <t>Washington University (WUSTL); Washington University (WUSTL); Washington University (WUSTL); Washington University (WUSTL); Washington University (WUSTL); University of Michigan System; University of Michigan; Vanderbilt University</t>
  </si>
  <si>
    <t>Hultgren, SJ (corresponding author), Washington Univ, Sch Med, Ctr Womens Infect Dis Res, St Louis, MO 63130 USA.</t>
  </si>
  <si>
    <t>hultgren@borcim.wustl.edu</t>
  </si>
  <si>
    <t>Henderson, Jeffrey P/D-3337-2015; Zhou, Yizhou/G-3680-2014; Hung, Chia-Suei/G-6167-2010</t>
  </si>
  <si>
    <t>Pinkner, Jerome/0000-0002-7389-7440; Hung, Chia-Suei/0000-0001-9844-9954; Chapman, Matthew/0000-0002-2645-1294</t>
  </si>
  <si>
    <t>e00645-13</t>
  </si>
  <si>
    <t>10.1128/mBio.00645-13</t>
  </si>
  <si>
    <t>WOS:000326881800026</t>
  </si>
  <si>
    <t>Lin, MJ; Chen, YY; Zhao, SS; Tang, R; Nie, Z; Xing, H</t>
  </si>
  <si>
    <t>Lin, Minjie; Chen, Yuanyuan; Zhao, Sisi; Tang, Rui; Nie, Zhou; Xing, Hang</t>
  </si>
  <si>
    <t>A Biomimetic Approach for Spatially Controlled Cell Membrane Engineering Using Fusogenic Spherical Nucleic Acid</t>
  </si>
  <si>
    <t>cell assembly; cell membrane engineering; functional DNA; spatially controlled modification; spherical nucleic acid</t>
  </si>
  <si>
    <t>Engineering of the cell plasma membrane using functional DNA is important for studying and controlling cellular behaviors. However, most efforts to apply artificial DNA interactions on cells are limited to external membrane surface due to the lack of suitable synthetic tools to engineer the intracellular side, which impedes many applications in cell biology. Inspired by the natural extracellular vesicle-cell fusion process, we have developed a fusogenic spherical nucleic acid construct to realize robust DNA functionalization on both external and internal cell surfaces via liposome fusion-based transport (LiFT) strategy, which enables applications including the construction of heterotypic cell assembly for programmed signaling pathway and detection of intracellular metabolites. This approach can engineer cell membranes in a highly efficient and spatially controlled manner, allowing one to build anisotropic membrane structures with two orthogonal DNA functionalities.</t>
  </si>
  <si>
    <t>[Lin, Minjie; Chen, Yuanyuan; Tang, Rui; Nie, Zhou; Xing, Hang] Hunan Univ, Hunan Prov Key Lab Biomacromol Chem Biol, State Key Lab Chemo Biosensing &amp; Chemometr, Inst Chem Biol &amp; Nanomed,Coll Chem &amp; Chem Engn, Changsha 410082, Peoples R China; [Zhao, Sisi] Hunan Univ, Inst Chem Biol &amp; Nanomed, Coll Biol, Changsha 410082, Peoples R China</t>
  </si>
  <si>
    <t>Hunan University; Hunan University</t>
  </si>
  <si>
    <t>Xing, H (corresponding author), Hunan Univ, Hunan Prov Key Lab Biomacromol Chem Biol, State Key Lab Chemo Biosensing &amp; Chemometr, Inst Chem Biol &amp; Nanomed,Coll Chem &amp; Chem Engn, Changsha 410082, Peoples R China.</t>
  </si>
  <si>
    <t>hangxing@hnu.edu.cn</t>
  </si>
  <si>
    <t>10.1002/anie.202111647</t>
  </si>
  <si>
    <t>WOS:000722294200001</t>
  </si>
  <si>
    <t>Zheng, B; Ding, JZ; Lou, D; Tong, QB; Zhuo, XH; Ding, HJ; Kong, QM; Lu, SH</t>
  </si>
  <si>
    <t>Zheng, Bin; Ding, Jianzu; Lou, Di; Tong, Qunbo; Zhuo, Xunhui; Ding, Haojie; Kong, Qingming; Lu, Shaohong</t>
  </si>
  <si>
    <t>The Virulence-Related MYR1 Protein of Toxoplasma gondii as a Novel DNA Vaccine Against Toxoplasmosis in Mice</t>
  </si>
  <si>
    <t>Toxoplasma gondii; immunization; DNA vaccine; MYR1; Th1/Th2 cytokines</t>
  </si>
  <si>
    <t>CONGENITAL TOXOPLASMOSIS; INNATE IMMUNITY; EXOSOMES</t>
  </si>
  <si>
    <t>Toxoplasma gondii causes serious public health problems, but there is no effective treatment strategy against it currently. DNA vaccines have shown promising findings in this regard. MYR1 is a new virulence factor identified in T gondii that may have potential as a DNA vaccine candidate. We constructed a recombinant eukaryotic plasmid, pVAX1-MYR1, as a DNA vaccine, injected it intramuscularly into BALB/c mice, and evaluated its immunoprotective effects. pVAX1-MYR1 immunization induced a sequential Th1 and Th2 T-cell response, as indicated by high levels of Th1 and mixed Th1/Th2 cytokines at 2 and 6 weeks after immunization, respectively. These findings were corroborated by the antibody assays too. In addition, increased levels of antigen-specific lymphocyte proliferation, CD4(+) and CD8(+) T lymphocytes, cytotoxic T lymphocyte activity and cytokine (IFN-gamma, IL-12, and IL-10) production were also observed in the immunized mice. These findings showed that pVAX1-MYR1 stimulated humoral and cellular immune responses in the immunized mice. The increased production of IFN-gamma and IL-12 was correlated with increased expression of the T-bet and p65 genes of the NF-kappa B pathway. However, no significant increase was observed in the level of IL-4. The survival of mice immunized with pVAX1-MYR1 was also significantly prolonged compared with the control group mice. Based on all the above findings, the current study proposes that pVAX1-MYR1 can induce a T. gondii-specific immune response and should therefore be considered as a promising vaccine candidate against toxoplasmosis. To the best of our knowledge, this is the first report to evaluate the immunoprotective value of an MYR1-based DNA vaccine against T. gondii.</t>
  </si>
  <si>
    <t>[Zheng, Bin; Ding, Jianzu; Lou, Di; Tong, Qunbo; Zhuo, Xunhui; Ding, Haojie; Kong, Qingming; Lu, Shaohong] Zhejiang Acad Med Sci, Inst Parasit Dis, Hangzhou, Zhejiang, Peoples R China; [Zheng, Bin; Ding, Jianzu; Lou, Di; Tong, Qunbo; Zhuo, Xunhui; Ding, Haojie; Kong, Qingming; Lu, Shaohong] Zhejiang Prov Inst Parasit Dis, Hangzhou, Zhejiang, Peoples R China</t>
  </si>
  <si>
    <t>Zhejiang Academy of Medical Sciences</t>
  </si>
  <si>
    <t>Lu, SH (corresponding author), Zhejiang Acad Med Sci, Inst Parasit Dis, Hangzhou, Zhejiang, Peoples R China.;Lu, SH (corresponding author), Zhejiang Prov Inst Parasit Dis, Hangzhou, Zhejiang, Peoples R China.</t>
  </si>
  <si>
    <t>lsh@zjams.com.cn</t>
  </si>
  <si>
    <t>zheng, bin/AAP-9324-2021</t>
  </si>
  <si>
    <t>zheng, bin/0000-0003-3898-2946</t>
  </si>
  <si>
    <t>10.3389/fmicb.2019.00734</t>
  </si>
  <si>
    <t>WOS:000463828100001</t>
  </si>
  <si>
    <t>Allen, RM; Zhao, SL; Solano, MAR; Zhu, WY; Michell, DL; Wang, YH; Shyr, Y; Sethupathy, P; Linton, MF; Graf, GA; Sheng, QH; Vickers, KC</t>
  </si>
  <si>
    <t>Allen, Ryan M.; Zhao, Shilin; Solano, Marisol A. Ramirez; Zhu, Wanying; Michell, Danielle L.; Wang, Yuhuan; Shyr, Yu; Sethupathy, Praveen; Linton, MacRae F.; Graf, Gregory A.; Sheng, Quanhu; Vickers, Kasey C.</t>
  </si>
  <si>
    <t>Bioinformatic analysis of endogenous and exogenous small RNAs on lipoproteins</t>
  </si>
  <si>
    <t>MicroRNA; high-throughput sequencing; small RNA; lipoprotein; HDL; bile; urine; APOB; extracellular RNA; exogenous RNA</t>
  </si>
  <si>
    <t>SCAVENGER RECEPTOR; SEQUENCING DATA; SR-BI; DNA-SEQUENCES; CHOLESTEROL; MICRORNAS; IDENTIFICATION; BIOGENESIS; EXPRESSION; TRANSPORT</t>
  </si>
  <si>
    <t>To comprehensively study extracellular small RNAs (sRNA) by sequencing (sRNA-seq), we developed a novel pipeline to overcome current limitations in analysis entitled, Tools for Integrative Genome analysis of Extracellular sRNAs (TIGER). To demonstrate the power of this tool, sRNA-seq was performed on mouse lipoproteins, bile, urine and livers. A key advance for the TIGER pipeline is the ability to analyse both host and non-host sRNAs at genomic, parent RNA and individual fragment levels. TIGER was able to identify approximately 60% of sRNAs on lipoproteins and &gt;85% of sRNAs in liver, bile and urine, a significant advance compared to existing software. Moreover, TIGER facilitated the comparison of lipoprotein sRNA signatures to disparate sample types at each level using hierarchical clustering, correlations, beta-dispersions, principal coordinate analysis and permutational multivariate analysis of variance. TIGER analysis was also used to quantify distinct features of exRNAs, including 5' miRNA variants, 3' miRNA non-templated additions and parent RNA positional coverage. Results suggest that the majority of sRNAs on lipoproteins are non-host sRNAs derived from bacterial sources in the microbiome and environment, specifically rRNA-derived sRNAs from Proteobacteria. Collectively, TIGER facilitated novel discoveries of lipoprotein and biofluid sRNAs and has tremendous applicability for the field of extracellular RNA.</t>
  </si>
  <si>
    <t>[Allen, Ryan M.; Zhu, Wanying; Michell, Danielle L.; Linton, MacRae F.; Vickers, Kasey C.] Vanderbilt Univ, Med Ctr, Dept Med, Nashville, TN 37232 USA; [Zhao, Shilin; Solano, Marisol A. Ramirez; Shyr, Yu; Sheng, Quanhu] Vanderbilt Univ, Med Ctr, Dept Biostat, Nashville, TN USA; [Wang, Yuhuan; Graf, Gregory A.] Univ Kentucky, Dept Pharmaceut Sci, Lexington, KY USA; [Sethupathy, Praveen] Cornell Univ, Coll Vet Med, Dept Biomed Sci, Ithaca, NY 14853 USA</t>
  </si>
  <si>
    <t>Vanderbilt University; Vanderbilt University; University of Kentucky; Cornell University</t>
  </si>
  <si>
    <t>Vickers, KC (corresponding author), Vanderbilt Univ, Med Ctr, Dept Med, Nashville, TN 37232 USA.</t>
  </si>
  <si>
    <t>kasey.c.vickers@Vanderbilt.edu</t>
  </si>
  <si>
    <t>Sheng, Quanhu/B-9543-2009</t>
  </si>
  <si>
    <t>Sheng, Quanhu/0000-0001-8951-9295; Michell, Danielle/0000-0002-2048-4191; allen, ryan/0000-0002-8057-3436</t>
  </si>
  <si>
    <t>10.1080/20013078.2018.1506198</t>
  </si>
  <si>
    <t>WOS:000441656000001</t>
  </si>
  <si>
    <t>Mobarrez, F; Fuzzi, E; Gunnarsson, I; Larsson, A; Eketjall, S; Pisetsky, DS; Svenungsson, E</t>
  </si>
  <si>
    <t>Mobarrez, Fariborz; Fuzzi, Enrico; Gunnarsson, Iva; Larsson, Anders; Eketjall, Susanna; Pisetsky, David S.; Svenungsson, Elisabet</t>
  </si>
  <si>
    <t>Microparticles in the blood of patients with SLE: Size, content of mitochondria and role in circulating immune complexes</t>
  </si>
  <si>
    <t>JOURNAL OF AUTOIMMUNITY</t>
  </si>
  <si>
    <t>Systemic lupus erythematosus; Microparticles; Microvesicles; Mitochondria</t>
  </si>
  <si>
    <t>SYSTEMIC-LUPUS-ERYTHEMATOSUS; DISEASE-ACTIVITY; DNA; CLEARANCE; BINDING; PROTEIN; MANIFESTATIONS; PATHOGENESIS; NEUTROPHILS; COMPONENTS</t>
  </si>
  <si>
    <t>Objective: Microparticles (MPs) are small extracellular vesicles released from apoptotic or activated cells through a blebbing process. MPs express surface molecules from their parental cells and they bind IgG to form circulating immune complexes (MP-ICs) in patients with systemic lupus erythematosus (SLE). Through investigation of MP size, IgG expression, content of nucleic acids and mitochondria] molecules, we hypothesized that unrecognized particle populations can be identified in SLE. Methods: We investigated 327 well-characterized SLE patients and 304 controls divided into two sets (280/280 and 47/24). We measured MPs by flow cytometry using a gating strategy to encompass small (0.2-0.7 mu m) and large (0.7-3.0 mu m) MPs. Nucleic acids were labeled with SYTO 13 and mitochondria with MitoTracker. Expression of mitochondria markers TOM-20 and Hexokinase 1 and the presence of IgG was investigated. Results: MPs staining with SYTO 13 were more frequent in 280 SLE patients compared to 280 controls. In 47 SLE patients, levels of large MPs were elevated compared to 24 controls. The majority of large MPs contained mitochondria (mitoMPs). The number of mitoMPs associated positively with high disease activity, anti-dsDNA antibodies and pro-inflammatory cytokines. Patients with active lupus nephritis had higher levels of mitoMPs and IgG-positive mitoMPs. Conclusion: Blood of patients with SLE contain a previously unrecognized population of circulating large MPs with bound IgG and mitochondrial proteins. Levels of these particles are related to several measures of active SLE, suggesting that these structures may have a role in disease pathogenesis.</t>
  </si>
  <si>
    <t>[Mobarrez, Fariborz; Fuzzi, Enrico; Gunnarsson, Iva; Svenungsson, Elisabet] Karolinska Inst, Karolinska Univ Hosp, Dept Med, Unit Rheumatol, SE-17176 Stockholm, Sweden; [Mobarrez, Fariborz; Larsson, Anders] Uppsala Univ, Akad Hosp, Dept Med Sci, SE-75185 Uppsala, Sweden; [Eketjall, Susanna] Karolinska Inst, Integrated Cardio Metab Ctr, AstraZeneca, Cardiovasc Renal &amp; Metab,IMED Biotech Unit, Huddinge, Sweden; [Pisetsky, David S.] Duke Univ, Med Ctr, Dept Med, Durham, NC 27706 USA; [Pisetsky, David S.] Durham VA Hosp Sweden, Med Res Serv, Durham, NC USA</t>
  </si>
  <si>
    <t>Karolinska Institutet; Karolinska University Hospital; Uppsala University; Uppsala University Hospital; AstraZeneca; Karolinska Institutet; Duke University</t>
  </si>
  <si>
    <t>Mobarrez, F (corresponding author), Uppsala Univ, Dept Med Sci, Uppsala, Sweden.</t>
  </si>
  <si>
    <t>fariborz.mobarrez@medsci.uu.se</t>
  </si>
  <si>
    <t>Mobarrez, Fariborz/AAK-8929-2020</t>
  </si>
  <si>
    <t>Mobarrez, Fariborz/0000-0002-7106-6248; Svenungsson, Elisabet/0000-0003-3396-3244</t>
  </si>
  <si>
    <t>0896-8411</t>
  </si>
  <si>
    <t>1095-9157</t>
  </si>
  <si>
    <t>10.1016/j.jaut.2019.05.003</t>
  </si>
  <si>
    <t>WOS:000479024700012</t>
  </si>
  <si>
    <t>Kopreski, MS; Gocke, CD</t>
  </si>
  <si>
    <t>Anker, P; Stroun, M</t>
  </si>
  <si>
    <t>Cellular- versus extracellular-based assays - Comparing utility in DNA and RNA molecular marker assessment</t>
  </si>
  <si>
    <t>CIRCULATING NUCLEIC ACIDS IN PLASMA OR SERUM</t>
  </si>
  <si>
    <t>ANNALS OF THE NEW YORK ACADEMY OF SCIENCES</t>
  </si>
  <si>
    <t>1st International Symposium on Circulating Nucleic Acids in Plasma/Serum</t>
  </si>
  <si>
    <t>AUG 18-20, 1999</t>
  </si>
  <si>
    <t>MENTHON ST BERNARD, FRANCE</t>
  </si>
  <si>
    <t>POLYMERASE CHAIN-REACTION; PERIPHERAL-BLOOD; MELANOMA PATIENTS; MESSENGER-RNA; REVERSE-TRANSCRIPTASE; SENSITIVE DETECTION; MEMBRANE-VESICLES; BONE-MARROW; TUMOR-CELLS; RT-PCR</t>
  </si>
  <si>
    <t>Pharmacia &amp; Upjohn Inc, Kalamazoo, MI 49001 USA; Penn State Geisinger, Milton S Hershey Med Ctr, Hershey, PA USA</t>
  </si>
  <si>
    <t>Pfizer; Pennsylvania Commonwealth System of Higher Education (PCSHE); Pennsylvania State University; Penn State Health</t>
  </si>
  <si>
    <t>Kopreski, MS (corresponding author), Pharmacia &amp; Upjohn Inc, 1015-298-163,7000 Portage Rd, Kalamazoo, MI 49001 USA.</t>
  </si>
  <si>
    <t>0077-8923</t>
  </si>
  <si>
    <t>1-57331-269-X</t>
  </si>
  <si>
    <t>Oncology; Medical Laboratory Technology; Multidisciplinary Sciences</t>
  </si>
  <si>
    <t>Oncology; Medical Laboratory Technology; Science &amp; Technology - Other Topics</t>
  </si>
  <si>
    <t>WOS:000087759700023</t>
  </si>
  <si>
    <t>Bruno, DCF; Donatti, A; Martin, M; Almeida, VS; Geraldis, JC; Oliveira, FS; Dogini, DB; Lopes-Cendes, I</t>
  </si>
  <si>
    <t>Bruno, D. C. F.; Donatti, A.; Martin, M.; Almeida, V. S.; Geraldis, J. C.; Oliveira, F. S.; Dogini, D. B.; Lopes-Cendes, I</t>
  </si>
  <si>
    <t>Circulating nucleic acids in the plasma and serum as potential biomarkers in neurological disorders</t>
  </si>
  <si>
    <t>BRAZILIAN JOURNAL OF MEDICAL AND BIOLOGICAL RESEARCH</t>
  </si>
  <si>
    <t>Circulating nucleic acids; Neurological disorders; Cell-free DNA; Cell-free RNA; Biomarker; CNAs</t>
  </si>
  <si>
    <t>CELL-FREE DNA; AMYOTROPHIC-LATERAL-SCLEROSIS; LONG NONCODING RNAS; MITOCHONDRIAL-DNA; EXTRACELLULAR VESICLES; MOLECULAR BIOMARKERS; FREE MICRORNAS; BLOOD; DIAGNOSIS; DISEASE</t>
  </si>
  <si>
    <t>Neurological diseases are responsible for approximately 6.8 million deaths every year. They affect up to 1 billion people worldwide and cause significant disability and reduced quality of life. In most neurological disorders, the diagnosis can be challenging; it frequently requires long-term investigation. Thus, the discovery of better diagnostic methods to help in the accurate and fast diagnosis of neurological disorders is crucial. Circulating nucleic acids (CNAs) are defined as any type of DNA or RNA that is present in body biofluids. They can be found within extracellular vesicles or as cell-free DNA and RNA. Currently, CNAs are being explored as potential biomarkers for diseases because they can be obtained using non-invasive methods and may reflect unique characteristics of the biological processes involved in several diseases. CNAs can be especially useful as biomarkers for conditions that involve organs or structures that are difficult to assess, such as the central nervous system. This review presents a critical assessment of the most current literature about the use of plasma and serum CNAs as biomarkers for several aspects of neurological disorders: defining a diagnosis, establishing a prognosis, and monitoring the disease progression and response to therapy. We explored the biological origin, types, and general mechanisms involved in the generation of CNAs in physiological and pathological processes, with specific attention to neurological disorders. In addition, we present some of the future applications of CNAs as non-invasive biomarkers for these diseases.</t>
  </si>
  <si>
    <t>[Bruno, D. C. F.; Donatti, A.; Martin, M.; Almeida, V. S.; Geraldis, J. C.; Oliveira, F. S.; Dogini, D. B.; Lopes-Cendes, I] Univ Estadual Campinas, Fac Ciencias Med, Dept Genet Med &amp; Med Genom, Campinas, SP, Brazil; [Bruno, D. C. F.; Donatti, A.; Martin, M.; Almeida, V. S.; Geraldis, J. C.; Oliveira, F. S.; Dogini, D. B.; Lopes-Cendes, I] Inst Brasileiro Neurociencia &amp; Neurotecnol, Campinas, SP, Brazil</t>
  </si>
  <si>
    <t>Universidade Estadual de Campinas</t>
  </si>
  <si>
    <t>Lopes-Cendes, I (corresponding author), Univ Estadual Campinas, Fac Ciencias Med, Dept Genet Med &amp; Med Genom, Campinas, SP, Brazil.;Lopes-Cendes, I (corresponding author), Inst Brasileiro Neurociencia &amp; Neurotecnol, Campinas, SP, Brazil.</t>
  </si>
  <si>
    <t>icendes@unicamp.br</t>
  </si>
  <si>
    <t>Dogini, Danyella B/A-4520-2013; Dogini, Danyella/AAC-4900-2021; Bruno, Danielle C.F./V-3934-2017; Donatti, Amanda/F-4117-2018</t>
  </si>
  <si>
    <t>Dogini, Danyella B/0000-0002-0757-3982; Dogini, Danyella/0000-0002-0757-3982; Donatti, Amanda/0000-0002-0535-3724; Cruz Geraldis, Jaqueline/0000-0003-2188-6624; Almeida, Vanessa/0000-0003-4869-8332; Martin, Mariana/0000-0002-3160-4515; dos Santos Oliveira, Fabiana/0000-0003-2154-6523; Lopes-Cendes, Iscia/0000-0002-6221-6822; Bruno, Danielle do Carmo Ferreira/0000-0003-1153-334X</t>
  </si>
  <si>
    <t>0100-879X</t>
  </si>
  <si>
    <t>1414-431X</t>
  </si>
  <si>
    <t>e9881</t>
  </si>
  <si>
    <t>10.1590/1414-431X20209881</t>
  </si>
  <si>
    <t>WOS:000563049700001</t>
  </si>
  <si>
    <t>Casarotto, E; Sproviero, D; Corridori, E; Gagliani, MC; Cozzi, M; Chierichetti, M; Cristofani, R; Ferrari, V; Galbiati, M; Mina, F; Piccolella, M; Rusmini, P; Tedesco, B; Gagliardi, S; Cortese, K; Cereda, C; Poletti, A; Crippa, V</t>
  </si>
  <si>
    <t>Casarotto, Elena; Sproviero, Daisy; Corridori, Eleonora; Gagliani, Maria Cristina; Cozzi, Marta; Chierichetti, Marta; Cristofani, Riccardo; Ferrari, Veronica; Galbiati, Mariarita; Mina, Francesco; Piccolella, Margherita; Rusmini, Paola; Tedesco, Barbara; Gagliardi, Stella; Cortese, Katia; Cereda, Cristina; Poletti, Angelo; Crippa, Valeria</t>
  </si>
  <si>
    <t>Neurodegenerative Disease-Associated TDP-43 Fragments Are Extracellularly Secreted with CASA Complex Proteins</t>
  </si>
  <si>
    <t>amyotrophic lateral sclerosis (ALS); frontotemporal lobar degeneration (FTLD); transactive response DNA-binding protein 43 (TDP-43); extracellular vesicles (EVs); chaperone-assisted selective autophagy (CASA); heat shock protein 70 (HSP70); small heat shock protein B8 (HSPB8); Bcl-2 associated athanogene 3 (BAG3)</t>
  </si>
  <si>
    <t>FRONTOTEMPORAL LOBAR DEGENERATION; MISFOLDED PROTEINS; AUTOPHAGIC REMOVAL; B8 HSPB8; VESICLES; EXOSOMES; CLEARANCE; SYSTEM; CELLS; BAG3</t>
  </si>
  <si>
    <t>Extracellular vesicles (EVs) play a central role in neurodegenerative diseases (NDs) since they may either spread the pathology or contribute to the intracellular protein quality control (PQC) system for the cellular clearance of NDs-associated proteins. Here, we investigated the crosstalk between large (LVs) and small (SVs) EVs and PQC in the disposal of TDP-43 and its FTLD and ALS-associated C-terminal fragments (TDP-35 and TDP-25). By taking advantage of neuronal cells (NSC-34 cells), we demonstrated that both EVs types, but particularly LVs, contained TDP-43, TDP-35 and TDP-25. When the PQC system was inhibited, as it occurs in NDs, we found that TDP-35 and TDP-25 secretion via EVs increased. In line with this observation, we specifically detected TDP-35 in EVs derived from plasma of FTLD patients. Moreover, we demonstrated that both neuronal and plasma-derived EVs transported components of the chaperone-assisted selective autophagy (CASA) complex (HSP70, BAG3 and HSPB8). Neuronal EVs also contained the autophagy-related MAP1LC3B-II protein. Notably, we found that, under PQC inhibition, HSPB8, BAG3 and MAP1LC3B-II secretion paralleled that of TDP-43 species. Taken together, our data highlight the role of EVs, particularly of LVs, in the disposal of disease-associated TDP-43 species, and suggest a possible new role for the CASA complex in NDs.</t>
  </si>
  <si>
    <t>[Casarotto, Elena; Corridori, Eleonora; Cozzi, Marta; Chierichetti, Marta; Cristofani, Riccardo; Ferrari, Veronica; Galbiati, Mariarita; Mina, Francesco; Piccolella, Margherita; Rusmini, Paola; Tedesco, Barbara; Poletti, Angelo; Crippa, Valeria] Univ Studi Milano, Dept Excellence 2018 2022, Dipartimento Scienze Farmacologiche &amp; Biomolecol, Via Balzaretti 9, I-20133 Milan, Italy; [Sproviero, Daisy; Gagliardi, Stella; Cereda, Cristina] IRCCS Mondino Fdn, Genom &amp; PostGen Ctr, Via Mondino 2, I-27100 Pavia, Italy; [Gagliani, Maria Cristina; Cortese, Katia] Univ Genoa, Dept Expt Med DIMES, Cellular Elect Microscopy Lab, Via Antonio Toni 14, I-16132 Genoa, Italy; [Tedesco, Barbara] Fdn IRCCS Ist Neurol Carlo Besta, Unit Med Genet &amp; Neurogenet, Via Celoria 11, I-20133 Milan, Italy</t>
  </si>
  <si>
    <t>University of Milan; IRCCS Fondazione Casimiro Mondino; University of Genoa; IRCCS Istituto Neurologico Besta</t>
  </si>
  <si>
    <t>Crippa, V (corresponding author), Univ Studi Milano, Dept Excellence 2018 2022, Dipartimento Scienze Farmacologiche &amp; Biomolecol, Via Balzaretti 9, I-20133 Milan, Italy.</t>
  </si>
  <si>
    <t>elena.casarotto@unimi.it; daisy.sproviero@mondino.it; eleonora.corridori@unimi.it; gagliani@unige.it; marta.cozzi@unimi.it; marta.chierichetti@unimi.it; riccardo.cristofani@unimi.it; veronica.ferrari@unimi.it; rita.galbiati@unimi.it; francesco.mina@unimi.it; margherita.piccolella@unimi.it; paola.rusmini@unimi.it; barbara.tedesco@unimi.it; stella.gagliardi@mondino.it; katia.cortese@unige.it; cristina.cereda@asst-fbf-sacco.it; angelo.poletti@unimi.it; valeria.crippa@unimi.it</t>
  </si>
  <si>
    <t>CEREDA, CRISTINA/G-8208-2011; Galbiati, Mariarita/C-1033-2016; Poletti, Angelo/A-9016-2011; Cristofani, Riccardo/P-1245-2014</t>
  </si>
  <si>
    <t>CEREDA, CRISTINA/0000-0001-9571-0862; Cortese, Katia/0000-0001-9218-8933; RUSMINI, PAOLA/0000-0001-9989-0733; Galbiati, Mariarita/0000-0003-3250-5591; Sproviero, Daisy/0000-0001-5061-683X; Casarotto, Elena/0000-0002-3842-8243; Chierichetti, Marta/0000-0003-0549-0742; Poletti, Angelo/0000-0002-8883-0468; Gagliardi, Stella/0000-0002-6589-6907; Cristofani, Riccardo/0000-0003-2719-846X; Piccolella, Margherita/0000-0002-5130-1116; Cozzi, Marta/0000-0001-9428-7054; CRIPPA, VALERIA/0000-0002-3058-5711</t>
  </si>
  <si>
    <t>10.3390/cells11030516</t>
  </si>
  <si>
    <t>WOS:000759572400001</t>
  </si>
  <si>
    <t>Hong, Y; Truong, AD; Lee, J; Vu, TH; Lee, S; Song, KD; Lillehoj, HS; Hong, YH</t>
  </si>
  <si>
    <t>Hong, Yeojin; Truong, Anh Duc; Lee, Jiae; Vu, Thi Hao; Lee, Sooyeon; Song, Ki-Duk; Lillehoj, Hyun S.; Hong, Yeong Ho</t>
  </si>
  <si>
    <t>Exosomal miRNA profiling from H5N1 avian influenza virus-infected chickens</t>
  </si>
  <si>
    <t>VETERINARY RESEARCH</t>
  </si>
  <si>
    <t>HPAIV; Exosomes; Small RNA sequencing; miRNA</t>
  </si>
  <si>
    <t>Exosomes are membrane vesicles containing proteins, lipids, DNA, mRNA, and micro RNA (miRNA). Exosomal miRNA from donor cells can regulate the gene expression of recipient cells. Here, Ri chickens were divided into resistant (Mx/A; BF2/B21) and susceptible (Mx/G; BF2/B13) trait by genotyping of Mx and BF2 genes. Then, Ri chickens were infected with H5N1, a highly pathogenic avian influenza virus (HPAIV). Exosomes were purified from blood serum of resistant chickens for small RNA sequencing. Sequencing data were analysed using FastQCv0.11.7, Cutadapt 1.16, miRBase v21, non-coding RNA database, RNAcentral 10.0, and miRDeep2. Differentially expressed miRNAs were determined using statistical methods, including fold-change, exactTest using edgeR, and hierarchical clustering. Target genes were predicted using miRDB. Gene ontology analysis was performed using gProfiler. Twenty miRNAs showed significantly different expression patterns between resistant control and infected chickens. Nine miRNAs were up-regulated and 11 miRNAs were down-regulated in the infected chickens compared with that in the control chickens. In target gene analysis, various immune-related genes, such as cytokines, chemokines, and signalling molecules, were detected. In particular, mitogen-activated protein kinase (MAPK) pathway molecules were highly controlled by differentially expressed miRNAs. The result of qRT-PCR for miRNAs was identical with sequencing data and miRNA expression level was higher in resistant than susceptible chickens. This study will help to better understand the host immune response, particularly exosomal miRNA expression against HPAIV H5N1 and could help to determine biomarkers for disease resistance.</t>
  </si>
  <si>
    <t>[Hong, Yeojin; Lee, Jiae; Vu, Thi Hao; Lee, Sooyeon; Hong, Yeong Ho] Chung Ang Univ, Dept Anim Sci &amp; Technol, Anseong 17546, South Korea; [Truong, Anh Duc] Natl Inst Vet Res, Dept Biochem &amp; Immunol, 86 Truong Chinh, Hanoi 100000, Vietnam; [Song, Ki-Duk] Jeonbuk Natl Univ, Dept Anim Biotechnol, Coll Agr &amp; Life Sci, Jeonju 54896, South Korea; [Lillehoj, Hyun S.] ARS, Anim Biosci &amp; Biotechnol Lab, USDA, Beltsville, MD 20705 USA</t>
  </si>
  <si>
    <t>Chung Ang University; Jeonbuk National University; United States Department of Agriculture (USDA)</t>
  </si>
  <si>
    <t>Duc, Truong Anh/0000-0002-2472-8165; Hong, Yeong Ho/0000-0002-4510-7851; Vu, Thi Hao/0000-0001-9098-6990</t>
  </si>
  <si>
    <t>0928-4249</t>
  </si>
  <si>
    <t>1297-9716</t>
  </si>
  <si>
    <t>MAR 3</t>
  </si>
  <si>
    <t>10.1186/s13567-021-00892-3</t>
  </si>
  <si>
    <t>WOS:000625118300001</t>
  </si>
  <si>
    <t>Jiang, MJ; Chen, YY; Dai, JJ; Gu, DN; Mei, Z; Liu, FR; Huang, Q; Tian, L</t>
  </si>
  <si>
    <t>Jiang, Ming-jie; Chen, Yi-yun; Dai, Juan-juan; Gu, Dian-na; Mei, Zhu; Liu, Fu-rao; Huang, Qian; Tian, Ling</t>
  </si>
  <si>
    <t>Dying tumor cell-derived exosomal miR-194-5p potentiates survival and repopulation of tumor repopulating cells upon radiotherapy in pancreatic cancer</t>
  </si>
  <si>
    <t>Tumor repopulation; Tumor repopulating cell; Exosome; microRNA; DNA damage response; Aspirin; Radiotherapy; Pancreatic cancer</t>
  </si>
  <si>
    <t>EXTRACELLULAR VESICLES; MICRORNAS 192; UP-REGULATION; GROWTH; DEATH; OVEREXPRESSION; PROLIFERATION; RESISTANCE; THERAPY; DAMAGE</t>
  </si>
  <si>
    <t>Background Tumor repopulation is a major cause of radiotherapy failure. Previous investigations highlighted that dying tumor cells played vital roles in tumor repopulation through promoting proliferation of the residual tumor repopulating cells (TRCs). However, TRCs also suffer DNA damage after radiotherapy, and might undergo mitotic catastrophe under the stimulation of proliferative factors released by dying cells. Hence, we intend to find out how these paradoxical biological processes coordinated to potentiate tumor repopulation after radiotherapy. Methods Tumor repopulation models in vitro and in vivo were used for evaluating the therapy response and dissecting underlying mechanisms. RNA-seq was performed to find out the signaling changes and identify the significantly changed miRNAs. qPCR, western blot, IHC, FACS, colony formation assay, etc. were carried out to analyze the molecules and cells. Results Exosomes derived from dying tumor cells induced G1/S arrest and promoted DNA damage response to potentiate survival of TRCs through delivering miR-194-5p, which further modulated E2F3 expression. Moreover, exosomal miR-194-5p alleviated the harmful effects of oncogenic HMGA2 under radiotherapy. After a latent time, dying tumor cells further released a large amount of PGE2 to boost proliferation of the recovered TRCs, and orchestrated the repopulation cascades. Of note, low-dose aspirin was found to suppress pancreatic cancer repopulation upon radiation via inhibiting secretion of exosomes and PGE2. Conclusion Exosomal miR-194-5p enhanced DNA damage response in TRCs to potentiate tumor repopulation. Combined use of aspirin and radiotherapy might benefit pancreatic cancer patients.</t>
  </si>
  <si>
    <t>[Jiang, Ming-jie; Chen, Yi-yun; Liu, Fu-rao; Tian, Ling] Shanghai Jiao Tong Univ, Sch Med, Shanghai Gen Hosp, Inst Translat Med, Shanghai 201620, Peoples R China; [Jiang, Ming-jie; Dai, Juan-juan; Mei, Zhu; Liu, Fu-rao; Huang, Qian; Tian, Ling] Shanghai Jiao Tong Univ, Sch Med, Shanghai Gen Hosp, Shanghai Key Lab Pancreat Dis, Shanghai 201620, Peoples R China; [Gu, Dian-na] Wenzhou Med Univ, Affiliated Hosp 1, Dept Chemoradiotherapy, Wenzhou 325000, Zhejiang, Peoples R China; [Huang, Qian] Shanghai Jiao Tong Univ, Sch Med, Shanghai Gen Hosp, Canc Ctr, Shanghai 201620, Peoples R China; [Tian, Ling] Shanghai Jiao Tong Univ, Sch Med, Shanghai Gen Hosp, Dept Cent Lab, Shanghai 200030, Peoples R China</t>
  </si>
  <si>
    <t>Shanghai Jiao Tong University; Shanghai Jiao Tong University; Wenzhou Medical University; Shanghai Jiao Tong University; Shanghai Jiao Tong University</t>
  </si>
  <si>
    <t>Tian, L (corresponding author), Shanghai Jiao Tong Univ, Sch Med, Shanghai Gen Hosp, Inst Translat Med, Shanghai 201620, Peoples R China.;Tian, L (corresponding author), Shanghai Jiao Tong Univ, Sch Med, Shanghai Gen Hosp, Shanghai Key Lab Pancreat Dis, Shanghai 201620, Peoples R China.</t>
  </si>
  <si>
    <t>TL09168@hotmail.com</t>
  </si>
  <si>
    <t>Jiang, Mingjie/0000-0001-8798-9904</t>
  </si>
  <si>
    <t>10.1186/s12943-020-01178-6</t>
  </si>
  <si>
    <t>WOS:000523496500001</t>
  </si>
  <si>
    <t>Rohrer, S; Holsten, L; Weiss, E; Benghezal, M; Fischer, W; Haas, R</t>
  </si>
  <si>
    <t>Rohrer, Stefanie; Holsten, Lea; Weiss, Evelyn; Benghezal, Mohammed; Fischer, Wolfgang; Haas, Rainer</t>
  </si>
  <si>
    <t>Multiple Pathways of Plasmid DNA Transfer in Helicobacter pylori</t>
  </si>
  <si>
    <t>FUNCTIONAL-CHARACTERIZATION; TRANSFORMATION COMPETENCE; GENETIC-TRANSFORMATION; NATURAL COMPETENCE; MEMBRANE VESICLES; SYSTEM; RECOMBINATION; RELAXASE; COMPONENTS; EVOLUTION</t>
  </si>
  <si>
    <t>Many Helicobacter pylori (Hp) strains carry cryptic plasmids of different size and gene content, the function of which is not well understood. A subgroup of these plasmids (e.g. pHel4, pHel12), contain a mobilisation region, but no cognate type IV secretion system (T4SS) for conjugative transfer. Instead, certain H. pylori strains (e. g. strain P12 carrying plasmid pHel12) can harbour up to four T4SSs in their genome (cag-T4SS, comB, tfs3, tfs4). Here, we show that such indigenous plasmids can be efficiently transferred between H. pylori strains, even in the presence of extracellular DNaseI eliminating natural transformation. Knockout of a plasmid-encoded mobA relaxase gene significantly reduced plasmid DNA transfer in the presence of DNaseI, suggesting a DNA conjugation or mobilisation process. To identify the T4SS involved in this conjugative DNA transfer, each individual T4SS was consecutively deleted from the bacterial chromosome. Using a marker-free counterselectable gene deletion procedure (rpsL counterselection method), a P12 mutant strain was finally obtained with no single T4SS (P12 Delta T4SS). Mating experiments using these mutants identified the comB T4SS in the recipient strain as the major mediator of plasmid DNA transfer between H. pylori strains, both in a DNaseI-sensitive (natural transformation) as well as a DNaseI-resistant manner (conjugative transfer). However, transfer of a pHel12::cat plasmid from a P12 Delta T4SS donor strain into a P12 Delta T4SS recipient strain provided evidence for the existence of a third, T4SS-independent mechanism of DNA transfer. This novel type of plasmid DNA transfer, designated as alternate DNaseI-Resistant (ADR) mechanism, is observed at a rather low frequency under in vitro conditions. Taken together, our study describes for the first time the existence of three distinct pathways of plasmid DNA transfer between H. pylori underscoring the importance of horizontal gene transfer for this species.</t>
  </si>
  <si>
    <t>[Rohrer, Stefanie; Holsten, Lea; Weiss, Evelyn; Fischer, Wolfgang; Haas, Rainer] Univ Munich, Max von Pettenkofer Inst Hyg &amp; Med Mikrobiol, Munich, Germany; [Benghezal, Mohammed] Univ Western Australia, H Pylori Res Lab, Nedlands, WA 6009, Australia; [Benghezal, Mohammed] Ondek Pty Ltd, Nedlands, WA, Australia</t>
  </si>
  <si>
    <t>University of Munich; University of Western Australia</t>
  </si>
  <si>
    <t>Haas, R (corresponding author), Univ Munich, Max von Pettenkofer Inst Hyg &amp; Med Mikrobiol, Munich, Germany.</t>
  </si>
  <si>
    <t>haas@mvp.uni-muenchen.de</t>
  </si>
  <si>
    <t>Benghezal, Mohammed/0000-0002-4207-0192</t>
  </si>
  <si>
    <t>e45623</t>
  </si>
  <si>
    <t>10.1371/journal.pone.0045623</t>
  </si>
  <si>
    <t>WOS:000309388900083</t>
  </si>
  <si>
    <t>Yu, DW; Yang, JF; Wang, LJ; Chen, MJ; Yang, RH; Zheng, J</t>
  </si>
  <si>
    <t>Yu, Dingwen; Yang, Jinfeng; Wang, Lijuan; Chen, Mingjian; Yang, Ronghua; Zheng, Jing</t>
  </si>
  <si>
    <t>Engineering a dual-responsive, exosome-surface anchored DNA nanosensor for microenvironment monitoring in vivo</t>
  </si>
  <si>
    <t>CANCER; PH</t>
  </si>
  <si>
    <t>We propose an azoreductase and pH dual-responsive amphiphilic pyramidal tetrahedral DNA probe to construct a circulating exosome-surface anchored nanosensor for microenvironment monitoring in vivo. Based on the shuttle behavior, biocompatibility of the exosomes, and easy synthesis and modification of nucleic acids, both in vitro and in vivo results demonstrate that this nanosensor has excellent performance for activatable O-2 and pH imaging, and thus can distinguish disease areas from normal tissue areas. We expect it to be a useful tool for obtaining early abnormal fluctuations in the microenvironment, which is of great significance for the early detection of diseases.</t>
  </si>
  <si>
    <t>[Yu, Dingwen; Yang, Ronghua; Zheng, Jing] Hunan Univ, Coll Chem &amp; Chem Engn, Inst Chem Biol &amp; Nanomed ICBN, State Key Lab Chemo Biosensing &amp; Chemometr, Changsha 410082, Hunan, Peoples R China; [Yang, Jinfeng; Wang, Lijuan] Cent South Univ, Hunan Canc Hosp, Affiliated Canc Hosp, Dept Anesthesiol,Xiangya Sch Med, Changsha 410013, Hunan, Peoples R China; [Chen, Mingjian] Cent South Univ, Canc Res Inst, Carcinogenesis &amp; Canc Invas, Chinese Minist Educ, Changsha 410083, Peoples R China; [Chen, Mingjian] Cent South Univ, Sch Basic Med Sci, Changsha 410083, Peoples R China</t>
  </si>
  <si>
    <t>Hunan University; Central South University; Central South University; Central South University</t>
  </si>
  <si>
    <t>Zheng, J (corresponding author), Hunan Univ, Coll Chem &amp; Chem Engn, Inst Chem Biol &amp; Nanomed ICBN, State Key Lab Chemo Biosensing &amp; Chemometr, Changsha 410082, Hunan, Peoples R China.</t>
  </si>
  <si>
    <t>zhengiing2013@hnu.edu.cn</t>
  </si>
  <si>
    <t>10.1039/d1cc07070c</t>
  </si>
  <si>
    <t>WOS:000761636200001</t>
  </si>
  <si>
    <t>Prattichizzo, F; Micolucci, L; Cricca, M; De Carolis, S; Mensa, E; Ceriello, A; Procopio, AD; Bonafe, M; Olivieri, F</t>
  </si>
  <si>
    <t>Prattichizzo, Francesco; Micolucci, Luigina; Cricca, Monica; De Carolis, Sabrina; Mensa, Emanuela; Ceriello, Antonio; Procopio, Antonio Domenico; Bonafe, Massimiliano; Olivieri, Fabiola</t>
  </si>
  <si>
    <t>Exosome-based immunomodulation during aging: A nano-perspective on inflamm-aging</t>
  </si>
  <si>
    <t>MECHANISMS OF AGEING AND DEVELOPMENT</t>
  </si>
  <si>
    <t>MATURE DENDRITIC CELLS; DOUBLE-STRANDED DNA; EXTRACELLULAR VESICLES; BREAST-CANCER; CELLULAR SENESCENCE; SECRETORY PHENOTYPE; MEMBRANE-VESICLES; MESSENGER-RNAS; EXPRESSION; RELEASE</t>
  </si>
  <si>
    <t>Exosomes are nanovesicles formed by inward budding of endosomal membranes. They exert complex immunomodulatory effects on target cells, acting both as antigen-presenting vesicles and as shuttles for packets of information such as proteins, coding and non-coding RNA, and nuclear and mitochondrial DNA fragments. Albeit different, all such functions seem to be encompassed in the adaptive mechanism mediating the complex interactions of the organism with a variety of stressors, providing both for defense and for the evolution of symbiotic relationships with others organisms (gut microbiota, bacteria, and viruses). Intriguingly, the newly deciphered human virome and exosome biogenesis seem to share some physical-chemical characteristics and molecular mechanisms. Exosomes are involved in immune system recognition of self from non-self throughout life: they are therefore ideal candidate to modulate inflamm-aging, the chronic, systemic, age-related pro-inflammatory status, which influence the development/progression of the most common age-related diseases (ARDs). Not surprisingly, recent evidence has documented exosomal alteration during aging and in association with ARDs, even though data in this field are still limited. Here, we review current knowledge on exosome-based trafficking between immune cells and self/non-self cells (i.e. the virome), sketching a nano-perspective on inflamm-aging and on the mechanisms involved in health maintenance throughout life. (C) 2017 Elsevier B.V. All rights reserved.</t>
  </si>
  <si>
    <t>[Prattichizzo, Francesco; Ceriello, Antonio; Olivieri, Fabiola] August Pi &amp; Sunyer Biomed Res Inst IDIBAPS, Barcelona 08036, Spain; [Prattichizzo, Francesco; Ceriello, Antonio; Olivieri, Fabiola] Ctr Biomed Invest Diabet &amp; Associated Metab Disor, Barcelona 08036, Spain; [Prattichizzo, Francesco; Micolucci, Luigina; Mensa, Emanuela; Procopio, Antonio Domenico] Univ Politecn Marche, DISCLIMO, Dept Clin &amp; Mol Sci, Ancona, Italy; [Cricca, Monica; De Carolis, Sabrina; Bonafe, Massimiliano] Univ Bologna, DIMES, Dept Expt Diagnost &amp; Specialty Med, Bologna, Italy; [Ceriello, Antonio] IRCCS Multimed, Dept Cardiovasc &amp; Metab Dis, Milan, Italy; [Procopio, Antonio Domenico; Olivieri, Fabiola] Natl Inst INRCA IRCCS, Ctr Clin Pathol &amp; Innovat Therapy, Ancona, Italy</t>
  </si>
  <si>
    <t>University of Barcelona; Hospital Clinic de Barcelona; IDIBAPS; Marche Polytechnic University; University of Bologna; IRCCS Multimedica</t>
  </si>
  <si>
    <t>Olivieri, F (corresponding author), Univ Politecn Marche, Dept Clin &amp; Mol Sci DISCLIMO, Ancona Via Tronto 10-A, I-60020 Ancona, Italy.</t>
  </si>
  <si>
    <t>f.olivieri@univpm.it</t>
  </si>
  <si>
    <t>Prattichizzo, Francesco/J-3046-2018; Procopio, Antonio Domenico/AAB-2451-2021; Olivieri, Fabiola/K-6465-2016</t>
  </si>
  <si>
    <t>Prattichizzo, Francesco/0000-0002-2959-2658; Procopio, Antonio Domenico/0000-0001-6897-8724; Olivieri, Fabiola/0000-0002-9606-1144</t>
  </si>
  <si>
    <t>0047-6374</t>
  </si>
  <si>
    <t>1872-6216</t>
  </si>
  <si>
    <t>10.1016/j.mad.2017.02.008</t>
  </si>
  <si>
    <t>WOS:000423006300007</t>
  </si>
  <si>
    <t>Reis, DRA; Medeiros-Fonseca, B; Costa, JM; Neto, CPD; da Costa, RMG; Oliveira, PA; Medeiros, R; Bastos, MMSM; Brito, HO; Brito, LMO</t>
  </si>
  <si>
    <t>Reis, D. R. A.; Medeiros-Fonseca, B.; Costa, J. M.; de Oliveira Neto, C. P.; Gil da Costa, R. M.; Oliveira, P. A.; Medeiros, R.; Bastos, M. M. S. M.; Brito, H. O.; Brito, L. M. O.</t>
  </si>
  <si>
    <t>HPV infection as a risk factor for atherosclerosis: A connecting hypothesis</t>
  </si>
  <si>
    <t>NF-KAPPA-B; HUMAN-PAPILLOMAVIRUS; CARDIOVASCULAR-DISEASE; CHRONIC INFLAMMATION; CANCER; E6; EXPRESSION; CELLS; ACTIVATION; CYTOKINES</t>
  </si>
  <si>
    <t>Atheromatous plaques occurring in large arteries are common and life-threatening lesions. Multiple factors are involved in the pathogenesis of atheromatous plaques, such as hyperlipidaemia and hypercholesterolaemia, high blood pressure and chronic systemic inflammation. Recent findings have suggested that infection with high-risk human papillomavirus (HPV) may increase the risk of developing atheromatous plaques. However, HPV is considered a tissue-specific virus with a strong tropism towards squamous epithelial cells, and the mechanisms whereby it may promote the development of atheromas remain unclear. Here, we propose a connecting hypothesis to explain the possible causative role of HPV on atheroma development. We hypothesize that HPV infection may promote atheroma formation in infected patients by enhancing systemic inflammation or by directly targeting blood vessels via nucleic acids carried by extracellular vesicles such as exosomes. The pro-inflammatory effects of HPV and the release of extracellular vesicles by HPV-transformed cells are well documented in scientific literature. Possible experimental approaches to test this hypothesis are also discussed, especially experiments employing transgenic mice bearing HPV16 transgenes. If correct, this hypothesis would have major implications for the prevention of cardiovascular diseases, especially due to the preventable nature of HPV infection through vaccination.</t>
  </si>
  <si>
    <t>[Reis, D. R. A.; Costa, J. M.; de Oliveira Neto, C. P.; Gil da Costa, R. M.; Brito, H. O.; Brito, L. M. O.] Univ Fed Maranhao, Postgrad Program Adult Hlth, Tumor &amp; DNA Biobank, Sao Luis, Maranhao, Brazil; [Medeiros-Fonseca, B.; Gil da Costa, R. M.; Oliveira, P. A.] Univ Tras Os Montes &amp; Alto Douro, Ctr Res &amp; Technol Agroenvironm &amp; Biol Sci CITAB, Vila Real, Portugal; [Gil da Costa, R. M.; Medeiros, R.] Portuguese Oncol Inst Porto IPO Porto, IPO Porto Res Ctr CI IPOP, Mol Oncol &amp; Viral Pathol Grp, Porto, Portugal; [Gil da Costa, R. M.; Bastos, M. M. S. M.] Univ Porto, Fac Engn, LEPABE Lab Proc Engn Environm Biotechnol &amp; Energy, Porto, Portugal; [Medeiros, R.] Univ Porto FMUP, Fac Med, Porto, Portugal; [Medeiros, R.] Portuguese League Canc Reg Nucleus North, Res Dept, Porto, Portugal; [Medeiros, R.] Portuguese Oncol Inst Porto IPO Porto, Virol Serv, Porto, Portugal; [Medeiros, R.] Fernando Pessoa Univ, Fac Hlth Sci, Biomed Res Ctr CEBIMED, Porto, Portugal</t>
  </si>
  <si>
    <t>Universidade Federal do Maranhao; University of Tras-os-Montes &amp; Alto Douro; Portuguese Institute of Oncology; Universidade do Porto; Universidade do Porto; Portuguese Institute of Oncology; Universidade Fernando Pessoa</t>
  </si>
  <si>
    <t>da Costa, RMG (corresponding author), Univ Fed Maranhao, Postgrad Program Adult Hlth, Ave Portugueses 1966, BR-65080805 Sao Luis, Maranhao, Brazil.</t>
  </si>
  <si>
    <t>rmcosta@fe.up.pt</t>
  </si>
  <si>
    <t>Oliveira, Paula Alexandra/F-2510-2013; Fonseca, Beatriz Medeiros/K-1446-2019; Gil da Costa, Rui/O-5029-2018; Alvares-Ribeiro, Luis Miguel/D-8235-2013; Bastos, Margarida/O-4945-2018</t>
  </si>
  <si>
    <t>Oliveira, Paula Alexandra/0000-0001-9519-4044; Fonseca, Beatriz Medeiros/0000-0002-3909-5903; Gil da Costa, Rui/0000-0002-2151-2449; Reis, Daniel/0000-0002-8640-502X; Alvares-Ribeiro, Luis Miguel/0000-0001-7246-9551; Bastos, Margarida/0000-0002-8605-0054</t>
  </si>
  <si>
    <t>10.1016/j.mehy.2020.109979</t>
  </si>
  <si>
    <t>WOS:000669488400026</t>
  </si>
  <si>
    <t>Zhang, HX; Wang, B; Jin, KL</t>
  </si>
  <si>
    <t>Moskalev, A</t>
  </si>
  <si>
    <t>Zhang, Hongxia; Wang, Brian; Jin, Kunlin</t>
  </si>
  <si>
    <t>Circulating Biomarkers of Aging</t>
  </si>
  <si>
    <t>BIOMARKERS OF HUMAN AGING</t>
  </si>
  <si>
    <t>Healthy Ageing and Longevity</t>
  </si>
  <si>
    <t>Aging; Biomarkers; Blood; Lifespan; Circulation; MiRNA; Protein; Extracellular vesicles</t>
  </si>
  <si>
    <t>TRANSIENT FOCAL ISCHEMIA; RELATIVE TELOMERE LENGTH; MEMBRANE REDOX SYSTEM; DISEASE RISK-FACTORS; AGE-RELATED DISEASE; GROWTH-FACTOR-I; EXTRACELLULAR VESICLES; CARDIOVASCULAR-DISEASE; LIFE-SPAN; MOLECULAR-MECHANISMS</t>
  </si>
  <si>
    <t>A major goal of geroscience is to achieve the ability to predict the rate of aging using biomarkers for the purpose of extending lifespan and healthspan. Chronological aging is not a suitable marker as it does not capture the true status of age-related changes. So far, there is no biomarker or combination of biomarkers that has emerged even though some have shown promise. In this chapter, we summarize novel cellular, protein, and DNA-related biomarkers for biological aging that can be found specifically in the circulation for the life of every living thing is in the blood.</t>
  </si>
  <si>
    <t>[Zhang, Hongxia] Univ North Texas, Hlth Sci Ctr, Dept Pharmacol &amp; Neurosci, Ft Worth, TX 76107 USA; [Wang, Brian] Natl Neurosci Inst, Dept Neurol, Singapore, Singapore; [Jin, Kunlin] Univ North Texas, Hlth Sci Ctr Ft Worth, Dept Pharmacol &amp; Neurosci, 3400 Camp Bowie Blvd, Ft Worth, TX 76107 USA</t>
  </si>
  <si>
    <t>University of North Texas System; University of North Texas Denton; National Neuroscience Institute (NNI); University of North Texas System; University of North Texas Denton</t>
  </si>
  <si>
    <t>Jin, KL (corresponding author), Univ North Texas, Hlth Sci Ctr Ft Worth, Dept Pharmacol &amp; Neurosci, 3400 Camp Bowie Blvd, Ft Worth, TX 76107 USA.</t>
  </si>
  <si>
    <t>kunlin.jin@unthsc.edu</t>
  </si>
  <si>
    <t>Zhang, Hongxia/AAB-8995-2022</t>
  </si>
  <si>
    <t>zhang, Hongxia/0000-0003-1594-6707</t>
  </si>
  <si>
    <t>2199-9007</t>
  </si>
  <si>
    <t>2199-9015</t>
  </si>
  <si>
    <t>978-3-030-24970-0; 978-3-030-24969-4</t>
  </si>
  <si>
    <t>10.1007/978-3-030-24970-0_21</t>
  </si>
  <si>
    <t>10.1007/978-3-030-24970-0</t>
  </si>
  <si>
    <t>Biochemistry &amp; Molecular Biology; Geriatrics &amp; Gerontology</t>
  </si>
  <si>
    <t>WOS:000543920700021</t>
  </si>
  <si>
    <t>Ma, JH; Zhu, JS; Li, JY; Yang, YC</t>
  </si>
  <si>
    <t>Ma, Jiehua; Zhu, JianSheng; Li, Jingyun; Yang, Yucai</t>
  </si>
  <si>
    <t>Design of a cost-effective inverted tetrahedral DNA nanostructure-Based interfacial probe for electrochemical biosensing with enhanced performance</t>
  </si>
  <si>
    <t>Biomarker detection; inverted tetrahedral DNA nanostructure; Electrochemical sensor</t>
  </si>
  <si>
    <t>NUCLEIC-ACIDS; ULTRASENSITIVE DETECTION; PLATFORM; SURFACE; SENSOR; REAGENTLESS; PROTEINS; EXOSOMES; BINDING; MIRNAS</t>
  </si>
  <si>
    <t>DNA nanostructure-based interfacial probes have been an emerging candidate for constructing next-generation biosensors. However, one major limitation of these sensors is the high cost for preparing DNA nanostructure probes caused by the requirement of multiple modification groups (e.g., several thiol groups and other functional tags), which greatly increase synthesis difficulty and hinder their large-scale application. Herein, we demonstrate that an inverted tetrahedral DNA nanostructure (iTDN) can be a cost-effective interfacial probe for electrochemical sensing. Thanks to the symmetric and rigid structure of iTDNs, only one thiol group is needed in the probe, greatly reducing the cost in each assay. The relative freedom of iTDNs makes them consistently keep appropriate orientation for molecular recognition and the involved sensors can tightly capture target molecules, because iTDN has multiple recognition elements, thus resulting in improved performance compared to traditional E-DNA sensors. Moreover, by simply adjusting the recognition elements in the iTDN, different analytes such as microRNA and exosome are detected with high sensitivity and specificity in the complex media, indicating its potential application in the future.</t>
  </si>
  <si>
    <t>[Ma, Jiehua; Zhu, JianSheng; Li, Jingyun] Womens Hosp Nanjing Med Univ, Nanjing Matern &amp; Child Hlth Care Hosp, Nanjing Matern &amp; Child Hlth Care Inst, Nanjing 210004, Jiangsu, Peoples R China; [Yang, Yucai] Anhui Med Univ, Dept Oncol, Affiliated Hosp 2, Hefei 230601, Anhui, Peoples R China</t>
  </si>
  <si>
    <t>Anhui Medical University</t>
  </si>
  <si>
    <t>Yang, YC (corresponding author), Anhui Med Univ, Dept Oncol, Affiliated Hosp 2, Hefei 230601, Anhui, Peoples R China.</t>
  </si>
  <si>
    <t>yucaiyang@ahmu.edu.cn</t>
  </si>
  <si>
    <t>10.1016/j.microc.2021.106455</t>
  </si>
  <si>
    <t>WOS:000672853600015</t>
  </si>
  <si>
    <t>Shi, LL; Rana, A; Esfandiari, L</t>
  </si>
  <si>
    <t>Shi, Leilei; Rana, Ankit; Esfandiari, Leyla</t>
  </si>
  <si>
    <t>A low voltage nanopipette dielectrophoretic device for rapid entrapment of nanoparticles and exosomes extracted from plasma of healthy donors</t>
  </si>
  <si>
    <t>BIOLOGICAL CELLS; SEPARATION; MANIPULATION; DNA; BIOPARTICLES; ELECTRODES; GLASS; FLOW; MICRORNAS; LIPOSOMES</t>
  </si>
  <si>
    <t>An insulator-based dielectrophoresis (iDEP) is a label-free method that has been extensively utilized for manipulation of nanoparticles, cells, and biomolecules. Here, we present a new iDEP approach that can rapidly trap nanoparticles at the close proximity of a glass nanopipette's tip by applying 10 V/cm direct current (DC) across the pipette's length. The trapping mechanism was systemically studied using both numerical modeling and experimental observations. The results showed that the particle trapping was determined to be controlled by three dominant electrokinetic forces including dielectrophoretic, electrophoretic and electroosmotic force. Furthermore, the effect of the ionic strength, the pipette's geometry, and the applied electric field on the entrapment efficiency was investigated. To show the application of our device in biomedical sciences, we demonstrated the successful entrapment of fluorescently tagged liposomes and unlabeled plasma-driven exosomes from the PBS solution. Also, to illustrate the selective entrapment capability of our device, 100 nm liposomes were extracted from the PBS solution containing 500 nm polystyrene particles at the tip of the pipette as the voltage polarity was reversed.</t>
  </si>
  <si>
    <t>[Shi, Leilei; Rana, Ankit; Esfandiari, Leyla] Univ Cincinnati, Coll Engn &amp; Appl Sci, Dept Elect Engn &amp; Comp Sci, Cincinnati, OH 45221 USA; [Esfandiari, Leyla] Univ Cincinnati, Coll Engn &amp; Appl Sci, Dept Biomed Engn, Cincinnati, OH 45221 USA</t>
  </si>
  <si>
    <t>University of Cincinnati; University of Cincinnati</t>
  </si>
  <si>
    <t>Esfandiari, L (corresponding author), Univ Cincinnati, Coll Engn &amp; Appl Sci, Dept Elect Engn &amp; Comp Sci, Cincinnati, OH 45221 USA.;Esfandiari, L (corresponding author), Univ Cincinnati, Coll Engn &amp; Appl Sci, Dept Biomed Engn, Cincinnati, OH 45221 USA.</t>
  </si>
  <si>
    <t>esfandla@ucmail.uc.edu</t>
  </si>
  <si>
    <t>10.1038/s41598-018-25026-2</t>
  </si>
  <si>
    <t>WOS:000431107100010</t>
  </si>
  <si>
    <t>Gwak, H; Kim, J; Cha, S; Cheon, YP; Kim, SI; Kwak, B; Hyun, KA; Jung, HI</t>
  </si>
  <si>
    <t>Gwak, Hogyeong; Kim, Junmoo; Cha, Sunyeong; Cheon, Yong-Pil; Kim, Seung-Il; Kwak, Bonoseop; Hyun, Kyung-A; Jung, Hyo-Il</t>
  </si>
  <si>
    <t>On-chip isolation and enrichment of circulating cell-free DNA using microfluidic device</t>
  </si>
  <si>
    <t>BIOMICROFLUIDICS</t>
  </si>
  <si>
    <t>LIQUID BIOPSIES</t>
  </si>
  <si>
    <t>Circulating cell-free DNA (cfDNA), containing cancer-specific DNAs derived from tumor cells, plays an important role in real-time monitoring of disease progression. Due to the abnormal growth of cancer and the promotion of cancer cell apoptosis by chemotherapy, the higher cfDNA concentration than healthy individuals is closely correlated with the diagnosis and treatment of cancer. Also, the mutation detection in tumor cell-derived cfDNA can be used to predict tumor progression. Human blood contains many blood cells (red blood cells, white blood cells, and platelets), proteins, extracellular vesicles, and so on. These blood components act as the inhibitors when the cfDNA is analyzed using polymerase chain reaction. So, analysis of cfDNA using whole blood directly may affect the sensitivity of the analysis or result in false-negative. The conventional methods of cfDNA isolation, such as silica absorption and polymer-mediated enrichment, are labor-intensive and time-consuming processes that can also lead to the loss of cfDNA in cumbersome procedures. Here, we designed an integrated microfluidic chip capable of on-chip cfDNA extracting to reduce sample loss and processing time. Our proposed device minimizes the number of experimental steps from 5 to 1, the total processing time from 42 to 19 min, and the required volume of washing reagents from 2 to 0.4 ml for cfDNA enrichment compared to the conventional method.</t>
  </si>
  <si>
    <t>[Gwak, Hogyeong; Kim, Junmoo; Hyun, Kyung-A; Jung, Hyo-Il] Yonsei Univ, Sch Mech Engn, Seoul 03722, South Korea; [Cha, Sunyeong; Cheon, Yong-Pil] Sungshin Womens Univ, Sch Biol Sci &amp; Chem, Seoul 01133, South Korea; [Kim, Seung-Il] Yonsei Univ, Coll Med, Seoul 03722, South Korea; [Kwak, Bonoseop] Dongguk Univ, Coll Med, Goyangsi 10326, Gyeonggi Do, South Korea</t>
  </si>
  <si>
    <t>Yonsei University; Sungshin Women's University; Yonsei University; Yonsei University Health System; Dongguk University</t>
  </si>
  <si>
    <t>Hyun, KA; Jung, HI (corresponding author), Yonsei Univ, Sch Mech Engn, Seoul 03722, South Korea.</t>
  </si>
  <si>
    <t>hyunkkuplus@gmail.com; uridle7@yonsei.ac.kr</t>
  </si>
  <si>
    <t>Gwak, Hogyeong/0000-0002-3147-671X</t>
  </si>
  <si>
    <t>1932-1058</t>
  </si>
  <si>
    <t>10.1063/1.5100009</t>
  </si>
  <si>
    <t>Biochemical Research Methods; Biophysics; Nanoscience &amp; Nanotechnology; Physics, Fluids &amp; Plasmas</t>
  </si>
  <si>
    <t>Biochemistry &amp; Molecular Biology; Biophysics; Science &amp; Technology - Other Topics; Physics</t>
  </si>
  <si>
    <t>WOS:000466616200013</t>
  </si>
  <si>
    <t>Huang, RR; He, L; Li, S; Liu, HN; Jin, L; Chen, Z; Zhao, YX; Li, ZY; Deng, Y; He, NY</t>
  </si>
  <si>
    <t>Huang, Rongrong; He, Lei; Li, Song; Liu, Hongna; Jin, Lian; Chen, Zhu; Zhao, Yongxiang; Li, Zhiyang; Deng, Yan; He, Nongyue</t>
  </si>
  <si>
    <t>A simple fluorescence aptasensor for gastric cancer exosome detection based on branched rolling circle amplification</t>
  </si>
  <si>
    <t>ELECTROCHEMICAL DETECTION; EXTRACELLULAR VESICLES</t>
  </si>
  <si>
    <t>Exosomes are membrane nanovesicles carrying molecular information that may reflect the biological and genetic characteristics of their parent cells. Numerous studies have demonstrated the potential of exo-somes as noninvasive cancer biomarkers. Hence, specific detection of cancer cell-derived exosomes is of significant importance. Here, we developed a fluorescence assay for the determination of gastric cancer exosomes based on branched rolling circle amplification (BRCA) and an aptamer to target specific exosomes. The designed padlock probe was cyclized after incubation with an aptamer binding with the target exosome. BRCA was triggered by adding a second primer and the resulting long tandem double-stranded DNA product was detected using SYBR Green I as the fluorescent dye. This method demonstrated a high specificity for target exosomes with a detection limit of 4.27 x 10(4) exosomes per mL. Moreover, plasma from gastric cancer patients was tested to verify the clinical applicability of this assay. Our results demonstrated that this aptamer-based biosensor may show potential for the early diagnosis of gastric cancer.</t>
  </si>
  <si>
    <t>[Huang, Rongrong; He, Lei; He, Nongyue] Southeast Univ, Natl Demonstrat Ctr Expt Biomed Engn Educ, Sch Biol Sci &amp; Med Engn, State Key Lab Bioelect, Nanjing 210096, Peoples R China; [Li, Song; Liu, Hongna; Jin, Lian; Chen, Zhu; Deng, Yan; He, Nongyue] Hunan Univ Technol, Hunan Key Lab Biomed Nanomat &amp; Devices, Collaborat Innovat Ctr Hunan Prov, Econ Forest Cultivat &amp; Utilizat 2011, Zhuzhou 412007, Peoples R China; [Zhao, Yongxiang; He, Nongyue] Guangxi Med Univ, Collaborat Innovat Ctr Targeting Tumor Theranost, Guangxi Key Lab Biotargeting Theranost, Natl Ctr Int Biotargeting Theranost, Guangxi 530021, Peoples R China; [Li, Zhiyang] Nanjing Univ, Affiliated Drum Tower Hosp, Med Sch, Dept Clin Lab, Nanjing 210008, Peoples R China</t>
  </si>
  <si>
    <t>Southeast University - China; Hunan University of Technology; Guangxi Medical University; Nanjing University</t>
  </si>
  <si>
    <t>He, NY (corresponding author), Southeast Univ, Natl Demonstrat Ctr Expt Biomed Engn Educ, Sch Biol Sci &amp; Med Engn, State Key Lab Bioelect, Nanjing 210096, Peoples R China.;Deng, Y; He, NY (corresponding author), Hunan Univ Technol, Hunan Key Lab Biomed Nanomat &amp; Devices, Collaborat Innovat Ctr Hunan Prov, Econ Forest Cultivat &amp; Utilizat 2011, Zhuzhou 412007, Peoples R China.;He, NY (corresponding author), Guangxi Med Univ, Collaborat Innovat Ctr Targeting Tumor Theranost, Guangxi Key Lab Biotargeting Theranost, Natl Ctr Int Biotargeting Theranost, Guangxi 530021, Peoples R China.;Li, ZY (corresponding author), Nanjing Univ, Affiliated Drum Tower Hosp, Med Sch, Dept Clin Lab, Nanjing 210008, Peoples R China.</t>
  </si>
  <si>
    <t>lizhiyangcn@qq.com; hndengyan@126.com; nyhe@seu.edu.cn</t>
  </si>
  <si>
    <t>李, 智洋/AAH-3884-2021; LI, SONG/O-2663-2013</t>
  </si>
  <si>
    <t>10.1039/c9nr08747h</t>
  </si>
  <si>
    <t>WOS:000517839900022</t>
  </si>
  <si>
    <t>Golan-Gerstl, R; Shiff, YE; Moshayoff, V; Schecter, D; Leshkowitz, D; Reif, S</t>
  </si>
  <si>
    <t>Golan-Gerstl, Regina; Shiff, Yaffa Elbaum; Moshayoff, Vardit; Schecter, Daniel; Leshkowitz, Dena; Reif, Shimon</t>
  </si>
  <si>
    <t>Characterization and biological function of milk-derived miRNAs</t>
  </si>
  <si>
    <t>MOLECULAR NUTRITION &amp; FOOD RESEARCH</t>
  </si>
  <si>
    <t>Exosomes; Fat layer; Infant nutrition; Micro RNA; Milk</t>
  </si>
  <si>
    <t>BREAST-MILK; MESSENGER-RNA; COWS MILK; MICRORNAS; EXOSOMES; CELLS; BOVINE; INFANT; CANCER; METAANALYSIS</t>
  </si>
  <si>
    <t>Scope: Breastfeeding is associated with reduced risk of infection, immune-mediated disorders, obesity, and even cancer. Recently it was found that breast milk contains a variety of microRNAs (miRNAs) in the skim and fat layer that can be transferred to infants, and appear to play important roles in those biological functions. Methods and results: This study applied next generation sequencing and quantitative real-time PCR analysis to determine the miRNA expression profile of the skim and fat fraction of human, goat, and bovine milk as well as infant formulas. Human and mammalian milk were found to contain known advantageous miRNAs in exosomes and also in the fat layer. These miRNAs are highly conserved in human, bovine and goat milk. However, they were not detected in several infant formulas. Further, miRNAs present in milk were able to enter normal and tumor cells and affect their biological functions. Following incubation of milk derived human miRNA with normal and cancer cells, the expression of miRNA-148a was upregulated and the expression of the DNA methyltransferase1 target gene of miRNA-148a was down regulated. Conclusion: These results reinforce previous findings on the importance of miRNA in breast milk. Future studies should concentrate on the addition of miRNA to infant formulas.</t>
  </si>
  <si>
    <t>[Golan-Gerstl, Regina; Moshayoff, Vardit; Schecter, Daniel; Reif, Shimon] Hadassah Med Ctr, Dept Pediat, Jerusalem, Israel; [Shiff, Yaffa Elbaum] Hebrew Univ Jerusalem, Sch Nutr Sci, Jerusalem, Israel; [Leshkowitz, Dena] Nancy &amp; Stephen Grand Israel Natl Ctr Personalize, Weizmann Inst Sci, Rehovot, Israel; [Leshkowitz, Dena] Weizmann Inst Sci, Bioinformat Unit, Rehovot, Israel</t>
  </si>
  <si>
    <t>Hebrew University of Jerusalem; Hadassah University Medical Center; Hebrew University of Jerusalem; Weizmann Institute of Science; Weizmann Institute of Science</t>
  </si>
  <si>
    <t>Reif, S (corresponding author), Hadassah Med Ctr, Dept Pediat, Jerusalem, Israel.</t>
  </si>
  <si>
    <t>shimon@hadassah.org.il</t>
  </si>
  <si>
    <t>Schecter, Daniel/0000-0002-8662-912X</t>
  </si>
  <si>
    <t>1613-4125</t>
  </si>
  <si>
    <t>1613-4133</t>
  </si>
  <si>
    <t>10.1002/mnfr.201700009</t>
  </si>
  <si>
    <t>WOS:000412325200033</t>
  </si>
  <si>
    <t>Gao, H; Luo, ZL; Ji, YD; Tang, KC; Jin, ZM; Ly, C; Sears, DD; Mahata, S; Ying, W</t>
  </si>
  <si>
    <t>Gao, Hong; Luo, Zhenlong; Ji, Yudong; Tang, Kechun; Jin, Zhongmou; Ly, Crystal; Sears, Dorothy D.; Mahata, Sushil; Ying, Wei</t>
  </si>
  <si>
    <t>Accumulation of microbial DNAs promotes to islet inflammation and beta cell abnormalities in obesity in mice</t>
  </si>
  <si>
    <t>INSULIN-RESISTANCE; RECEPTOR; MACROPHAGES; CRIG; DYSFUNCTION; VESICLES</t>
  </si>
  <si>
    <t>Obesity is associated with increased gut permeability, and microbial products that are leaked from the gut may contribute towards obesity-associated inflammation. Here the authors show that the leakage of gut extracellular vesicles containing microbial DNA leads to bacterial DNA accumulation in pancreatic beta-cells, promoting obesity-associated islet inflammation. Various microbial products leaked from gut lumen exacerbate tissue inflammation and metabolic disorders in obesity. Vsig4+ macrophages are key players preventing infiltration of bacteria and their products into host tissues. However, roles of islet Vsig4+ macrophages in the communication between microbiota and beta cells in pathogenesis of obesity-associated islet abnormalities are unknown. Here, we find that bacterial DNAs are enriched in beta cells of individuals with obesity. Intestinal microbial DNA-containing extracellular vesicles (mEVs) readily pass through obese gut barrier and deliver microbial DNAs into beta cells, resulting in elevated inflammation and impaired insulin secretion by triggering cGAS/STING activation. Vsig4+ macrophages prevent mEV infiltration into beta cells through a C3-dependent opsonization, whereas loss of Vsig4 leads to microbial DNA enrichment in beta cells after mEV treatment. Removal of microbial DNAs blunts mEV effects. Loss of Vsig4+ macrophages leads to microbial DNA accumulation in beta cells and subsequently obesity-associated islet abnormalities.</t>
  </si>
  <si>
    <t>[Gao, Hong; Luo, Zhenlong; Ji, Yudong; Mahata, Sushil; Ying, Wei] Univ Calif San Diego, Div Endocrinol &amp; Metab, La Jolla, CA 92093 USA; [Luo, Zhenlong] Huazhong Univ Sci &amp; Technol, Tongji Hosp, Tongji Med Coll, Dept Gastroenterol, Wuhan 430030, Peoples R China; [Ji, Yudong] Huazhong Univ Sci &amp; Technol, Union Hosp, Tongji Med Coll, Inst Anesthesiol &amp; Crit Care,Dept Anesthesiol, Wuhan 430022, Peoples R China; [Tang, Kechun; Mahata, Sushil] VA San Diego Healthcare Syst, La Jolla, CA 92093 USA; [Jin, Zhongmou; Ly, Crystal] Univ Calif San Diego, Div Biol Sci, La Jolla, CA 92093 USA; [Sears, Dorothy D.] Arizona State Univ, Coll Hlth Solut, Phoenix, AZ 85004 USA; [Sears, Dorothy D.] Univ Calif San Diego, Dept Med, La Jolla, CA 92093 USA; [Sears, Dorothy D.] Univ Calif San Diego, Dept Family Med, La Jolla, CA 92093 USA; [Sears, Dorothy D.] Univ Calif San Diego, Moores Canc Ctr, La Jolla, CA 92093 USA</t>
  </si>
  <si>
    <t>University of California System; University of California San Diego; Huazhong University of Science &amp; Technology; Huazhong University of Science &amp; Technology; US Department of Veterans Affairs; Veterans Health Administration (VHA); VA San Diego Healthcare System; University of California System; University of California San Diego; Arizona State University; Arizona State University-Downtown Phoenix; University of California System; University of California San Diego; University of California System; University of California San Diego; University of California System; University of California San Diego</t>
  </si>
  <si>
    <t>Ying, W (corresponding author), Univ Calif San Diego, Div Endocrinol &amp; Metab, La Jolla, CA 92093 USA.</t>
  </si>
  <si>
    <t>Sears, Dorothy D/AHE-5524-2022</t>
  </si>
  <si>
    <t>Sears, Dorothy D/0000-0002-9260-3540; Luo, Zhenlong/0000-0003-4323-2787</t>
  </si>
  <si>
    <t>10.1038/s41467-022-28239-2</t>
  </si>
  <si>
    <t>WOS:000749314100008</t>
  </si>
  <si>
    <t>Heineck, DP; Lewis, JM; Heller, MJ</t>
  </si>
  <si>
    <t>Heineck, D. P.; Lewis, J. M.; Heller, M. J.</t>
  </si>
  <si>
    <t>Electrokinetic device design and constraints for use in high conductance solutions</t>
  </si>
  <si>
    <t>Blood; Cell-free DNA; Dielectrophoresis; Exosomes; Plasma</t>
  </si>
  <si>
    <t>DIELECTROPHORETIC ISOLATION; BIOMARKERS; NANOPARTICLES; SEPARATION; BLOOD; DNA; DIFFERENTIATION; IMMUNOASSAYS; PERMITTIVITY; WATER</t>
  </si>
  <si>
    <t>The quest for new cell-free DNA and exosome biomarker-based molecular diagnostics require fast and efficient sample preparation techniques. Conventional methods for isolating these biomarkers from blood are both time-consuming and laborious. New electrokinetic microarray devices using dielectrophoresis (DEP) to isolate cell-free DNA and exosome biomarkers have now greatly improved the sample preparation process. Nevertheless, these devices still have some limitations when used with high conductance biological fluids, e.g. blood, plasma, and serum. This study demonstrates that electrochemical damage may occur on the platinum electrodes of DEP microarray devices. It further examines two model device designs that include a parallel wire arrangement and a planar array. Effective isolation of fluorescent beads with parallel wires is shown under low-conductance conditions (10(-4)S/m), but electrothermal flow overcomes DEP forces under high conductance conditions (&gt;0.1S/m). Planar devices are shown to be effective under high conductance conditions (approximate to 1S/m) without the deleterious effects of electrothermal flow. This study provides new insights into design compromises and limitations for producing future electrokinetic devices for better performance with high conductance solutions.</t>
  </si>
  <si>
    <t>[Heineck, D. P.] Univ Calif San Diego, Dept Elect &amp; Comp Engn, La Jolla, CA 92093 USA; [Lewis, J. M.; Heller, M. J.] Univ Calif San Diego, Dept Nanoengn, SME Bldg,Rm 243J,9500 Gilman Dr, La Jolla, CA 92093 USA</t>
  </si>
  <si>
    <t>Heller, MJ (corresponding author), Univ Calif San Diego, Dept Nanoengn, SME Bldg,Rm 243J,9500 Gilman Dr, La Jolla, CA 92093 USA.</t>
  </si>
  <si>
    <t>Heineck, Daniel/0000-0002-9336-1256; Lewis, Jean/0000-0001-6978-5166</t>
  </si>
  <si>
    <t>10.1002/elps.201600563</t>
  </si>
  <si>
    <t>WOS:000402622400010</t>
  </si>
  <si>
    <t>Du, C; Liu, XL; Li, MW; Zhao, Y; Li, J; Wen, ZK; Liu, M; Yang, MN; Fu, BS; Wei, MJ</t>
  </si>
  <si>
    <t>Du, Cheng; Liu, XinLi; Li, Mingwei; Zhao, Yi; Li, Jie; Wen, Zhikang; Liu, Min; Yang, Meina; Fu, Boshi; Wei, Minjie</t>
  </si>
  <si>
    <t>Analysis of 5-Methylcytosine Regulators and DNA Methylation-Driven Genes in Colon Cancer</t>
  </si>
  <si>
    <t>5mC regulators; methylation-driven gene; colon cancer; diagnosis; biomarker</t>
  </si>
  <si>
    <t>R PACKAGE; PREDICTION; CELLS; PROGNOSIS; MARKERS</t>
  </si>
  <si>
    <t>Background: Epigenetic-driven events are important molecular mechanisms of carcinogenesis. The 5-methylcytosine (5mC) regulators play important roles in the methylation-driven gene expression. However, the effect of the 5mC regulators on the oncogenic pathways in colon cancer (CC) remains unclear. Also, the clinical value of such epigenetic-driven events needs further research.Methods: The transcriptome and matching epigenetic data were obtained from The Cancer Genome Atlas dataset. The gene set variation analysis identified the oncogenic pathways adjusted by 5mC regulators. The edgeR and methylmix package identified the differential expression genes of DNA methylation-driven genes. The correlation between 5mC regulators or transcription factors and shortlisted genes was investigated by calculating the Spearman's rank correlation coefficient. Among them, the genes related to diagnosis were screened out based on differential gene expression in extracellular vesicles (EVs) by the limma package and histology by immunohistochemistry. Then, a risk signature was constructed by fitting the generalized linear model and validated by the receiver operating characteristic curve.Results: MYC targets pathway and phosphatidylinositol-3-kinase-AKT-mammalian target of rapamycin signaling pathway were identified as the hallmark-related pathways associated with 5mC regulators. Also, the P53 pathway was subject to the influence of regulators' expression. A five methylation-driven gene signature (FIRRE, MYBL2, TGFBI, AXIN2, and SLC35D3) was developed as the biomarker for CC diagnosis. Meanwhile, those genes positively related to 5mC regulators and interacted with their relevant or transcription factors.Conclusion: In general, 5mC regulators are positively related to each other and DNA methylation-driven genes, with the relationship of multiple active and inhibitory pathways related to cancer. Meanwhile, the signature (FIRRE, MYBL2, TGFBI, AXIN2, and SLC35D3) can prefigure prospective diagnosis in CC.</t>
  </si>
  <si>
    <t>[Du, Cheng; Li, Mingwei; Zhao, Yi; Li, Jie; Wen, Zhikang; Liu, Min; Yang, Meina; Fu, Boshi; Wei, Minjie] China Med Univ, Sch Pharm, Dept Pharmacol, Shenyang, Peoples R China; [Du, Cheng; Li, Mingwei; Zhao, Yi; Li, Jie; Wen, Zhikang; Liu, Min; Yang, Meina; Fu, Boshi; Wei, Minjie] Liaoning Canc Immune Peptide Drug Engn Technol Re, Liaoning Key Lab Mol Targeted AntiTumor Drug Dev, Shenyang, Peoples R China; [Du, Cheng; Li, Mingwei; Zhao, Yi; Li, Jie; Wen, Zhikang; Liu, Min; Yang, Meina; Fu, Boshi; Wei, Minjie] China Med Univ, Key Lab Precis Diag &amp; Treatment Gastrointestinal, Minist Educ, Shenyang, Peoples R China; [Liu, XinLi] China Med Univ, Dept Digest Oncol, Canc Hosp, Shenyang, Peoples R China</t>
  </si>
  <si>
    <t>China Medical University; China Medical University; China Medical University</t>
  </si>
  <si>
    <t>Fu, BS; Wei, MJ (corresponding author), China Med Univ, Sch Pharm, Dept Pharmacol, Shenyang, Peoples R China.;Fu, BS; Wei, MJ (corresponding author), Liaoning Canc Immune Peptide Drug Engn Technol Re, Liaoning Key Lab Mol Targeted AntiTumor Drug Dev, Shenyang, Peoples R China.;Fu, BS; Wei, MJ (corresponding author), China Med Univ, Key Lab Precis Diag &amp; Treatment Gastrointestinal, Minist Educ, Shenyang, Peoples R China.</t>
  </si>
  <si>
    <t>fuboshi@whu.edu.cn; mjwei@cmu.edu.cn</t>
  </si>
  <si>
    <t>10.3389/fcell.2021.657092</t>
  </si>
  <si>
    <t>WOS:000758753700001</t>
  </si>
  <si>
    <t>Pan, RR; Hu, KK; Jia, R; Rotenberg, SA; Jiang, DC; Mirkin, MV</t>
  </si>
  <si>
    <t>Pan, Rongrong; Hu, Keke; Jia, Rui; Rotenberg, Susan A.; Jiang, Dechen; Mirkin, Michael, V</t>
  </si>
  <si>
    <t>Resistive-Pulse Sensing Inside Single Living Cells</t>
  </si>
  <si>
    <t>NANOPIPETTES DETECTION; NANOPARTICLES; MACROPHAGE; VESICLES; EXOSOMES; RELEASE</t>
  </si>
  <si>
    <t>Resistive-pulse sensing is a technique widely used to detect single nanoscopic entities such as nanoparticles and large molecules that can block the ion current flow through a nanopore or a nanopipette. Although the species of interest, e.g., antibodies, DNA, and biological vesicles, are typically produced by living cells, so far, they have only been detected in the bulk solution since no localized resistive-pulse sensing in biological systems has yet been reported. In this report, we used a nanopipette as a scanning ion conductance microscopy (SICM) tip to carry out resistive-pulse experiments both inside immobilized living cells and near their surfaces. The characteristic changes in the ion current that occur when the pipet punctures the cell membrane are used to monitor its insertion into the cell cytoplasm. Following the penetration, cellular vesicles (phagosomes, lysosomes, and/or phagolysosomes) were detected inside a RAW 264.7 macrophage. Much smaller pipettes were used to selectively detect 10 nm Au nanoparticles in the macrophage cytoplasm. The in situ resistive-pulse detection of extracellular vesicles released by metastatic human breast cells (MDAMB-231) is also demonstrated. Electrochemical resistive-pulse experiments were carried out by inserting a conductive carbon nanopipette into a macrophage cell to sample single vesicles and measure reactive oxygen and nitrogen species (ROS/RNS) contained inside them.</t>
  </si>
  <si>
    <t>[Pan, Rongrong; Hu, Keke; Jia, Rui; Rotenberg, Susan A.; Mirkin, Michael, V] CUNY Queens Coll, Dept Chem &amp; Biochem, Flushing, NY 11367 USA; [Hu, Keke; Jia, Rui; Rotenberg, Susan A.; Mirkin, Michael, V] CUNY, Grad Ctr, New York, NY 10016 USA; [Pan, Rongrong; Jiang, Dechen] Nanjing Univ, State Key Lab Analyt Chem Life, Nanjing 210023, Peoples R China; [Pan, Rongrong; Jiang, Dechen] Nanjing Univ, Sch Chem &amp; Chem Engn, Nanjing 210023, Peoples R China</t>
  </si>
  <si>
    <t>City University of New York (CUNY) System; Queens College NY (CUNY); City University of New York (CUNY) System; Nanjing University; Nanjing University</t>
  </si>
  <si>
    <t>Mirkin, MV (corresponding author), CUNY Queens Coll, Dept Chem &amp; Biochem, Flushing, NY 11367 USA.;Mirkin, MV (corresponding author), CUNY, Grad Ctr, New York, NY 10016 USA.;Jiang, DC (corresponding author), Nanjing Univ, State Key Lab Analyt Chem Life, Nanjing 210023, Peoples R China.;Jiang, DC (corresponding author), Nanjing Univ, Sch Chem &amp; Chem Engn, Nanjing 210023, Peoples R China.</t>
  </si>
  <si>
    <t>dechenjiang@nju.edu.cn; mmirkin@qc.cuny.edu</t>
  </si>
  <si>
    <t>Mirkin, Michael/AAA-3684-2021</t>
  </si>
  <si>
    <t>Mirkin, Michael/0000-0002-3424-5810; Rotenberg, Susan/0000-0002-6618-686X</t>
  </si>
  <si>
    <t>MAR 25</t>
  </si>
  <si>
    <t>10.1021/jacs.9b13796</t>
  </si>
  <si>
    <t>WOS:000526393100040</t>
  </si>
  <si>
    <t>Suzuki, K; Ikeda, T; Nakamura, H; Yoshimura, F</t>
  </si>
  <si>
    <t>Isolation and characterization of a nonpigmented variant of Porphyromonas endodontalis</t>
  </si>
  <si>
    <t>ORAL MICROBIOLOGY AND IMMUNOLOGY</t>
  </si>
  <si>
    <t>Porphyromonas endodontalis; nonpigmented variant; DNA-DNA hybridization; vancomycin resistance; outer membrane</t>
  </si>
  <si>
    <t>BLACK-PIGMENTED BACTEROIDES; TRYPSIN-LIKE-ENZYME; GINGIVALIS W50; EXTRACELLULAR VESICLES; DNA; INFECTIONS; BACTEROIDES-GINGIVALIS-W50; PERIODONTITIS; PREVALENCE; VIRULENCE</t>
  </si>
  <si>
    <t>Porphyromonas endodontalis forms dark colonies on media containing blood. We isolated, from an infected root canal, a non-black-pigmented P. endodontalis variant, KSEW01, which forms beige colonies on blood agar media. To characterize this variant, we compared its properties with those of two black-pigmented P. endodontalis strains, ATCC35406 and KSE105. Strain KSEW01 had a gelatinase activity comparable to that of the pigmented strains. Cell lysates of these three strains resolved by SDS-PAGE electrophoresis showed similar protein patterns. Quantitative DNA-DNA hybridization experiments indicated high homology be tween the nonpigmented strain KSEW01 and the two dark-pigmented strains. From these results, we identified strain KSEW01 as a P. endodontalis nonpigmented variant. DNA restriction endonuclease analysis indicated that the variant was closely related to a pigmented strain, KSE105. In constrast to the pigmented strains, strain KSEW01 did not degrade hemoglobin and formed no vesicles when cultured in the presence of blood. The susceptibilities of these three strains to 22 antibiotics were similar except for vancomycin. The nonpigmented variant was the most resistant to vancomycin (MIC: ATCC35406, 6.25 mu g/ml; KSE105, 12.5 mu g/ml; KSEW01, 100 mu g/ml). Overall, a relationship may exist between the presence of black-pigmentation and outer membrane systems of P. endodontalis.</t>
  </si>
  <si>
    <t>AICHI GAKUIN UNIV,SCH DENT,DEPT MICROBIOL,CHIKUSA KU,NAGOYA,AICHI 464,JAPAN; AICHI GAKUIN UNIV,SCH DENT,DEPT ENDODONT,NAGOYA,AICHI 464,JAPAN</t>
  </si>
  <si>
    <t>Aichi Gakuin University; Aichi Gakuin University</t>
  </si>
  <si>
    <t>0902-0055</t>
  </si>
  <si>
    <t>10.1111/j.1399-302X.1997.tb00372.x</t>
  </si>
  <si>
    <t>Dentistry, Oral Surgery &amp; Medicine; Immunology; Microbiology</t>
  </si>
  <si>
    <t>WOS:A1997XC44900005</t>
  </si>
  <si>
    <t>Lianidou, E; Hoon, D</t>
  </si>
  <si>
    <t>Rifai, N; Horvath, AR; Wittwer, CT</t>
  </si>
  <si>
    <t>Lianidou, Evi; Hoon, Dave</t>
  </si>
  <si>
    <t>Circulating Tumor Cells and Circulating Tumor DNA</t>
  </si>
  <si>
    <t>PRINCIPLES AND APPLICATIONS OF MOLECULAR DIAGNOSTICS</t>
  </si>
  <si>
    <t>METASTATIC BREAST-CANCER; RNA-POSITIVE CELLS; RESISTANT PROSTATE-CANCER; EPITHELIAL-MESENCHYMAL TRANSITION; PROGRESSION-FREE SURVIVAL; POLYMERASE-CHAIN-REACTION; IN-SITU HYBRIDIZATION; FREE PLASMA DNA; PROVIDES PROGNOSTIC INFORMATION; FACTOR RECEPTOR MUTATIONS</t>
  </si>
  <si>
    <t>Background Classic tissue biopsies or surgical resections are invasive procedures that capture only a single snapshot in the evolution of cancer. In contrast, a blood-based test or liquid biopsy has the potential to characterize the evolution of a solid tumor in real time by extracting molecular information from circulating tumor cells (CTCs), circulating tumor DNA (ctDNA), circulating miRNAs, or exosomes. Molecular characterization of CTCs and ctDNA holds considerable promise for the identification of therapeutic targets and resistance mechanisms and for real-time monitoring of the efficacy of systemic therapies. The major potential advantage of CTC and ctDNA analysis is that they are minimally invasive and can be serially repeated. Content This overview is focused on the diagnostic, prognostic, and predictive value of CTCs and ctDNA in cancer patients. It includes key studies in different cancers and incorporates the latest advances in genome-wide analysis of ctDNA. Focus includes (1) CTC isolation, enumeration, and detection systems; (2) clinical applications of CTC; (3) different forms of ctDNA; (4) ctDNA isolation and detection systems; (5) clinical applications of ctDNA; (6) quality control and standardization of liquid biopsy assays; (7) the potential of liquid biopsy in the clinical laboratory; and (8) the potential of the molecular characterization of CTCs and ctDNA analysis as a liquid biopsy for individualized therapy. With respect to the clinical laboratory, the development of targeted molecular assays as companion diagnostics, for disease monitoring, and even for early cancer detection are all potential possibilities at various stages of development.</t>
  </si>
  <si>
    <t>[Lianidou, Evi] Natl &amp; Kapodistrian Univ Athens, Analyt Chem Clin Chem, Athens, Greece; [Hoon, Dave] Providence Hlth Syst, John Wayne Canc Inst, Div Mol Oncol, Translat Mol Med, Santa Monica, CA USA</t>
  </si>
  <si>
    <t>National &amp; Kapodistrian University of Athens; John Wayne Cancer Institute</t>
  </si>
  <si>
    <t>Hoon, D (corresponding author), Providence Hlth Syst, John Wayne Canc Inst, Div Mol Oncol, Translat Mol Med, Santa Monica, CA USA.</t>
  </si>
  <si>
    <t>Lianidou, Evi/0000-0002-7796-5914</t>
  </si>
  <si>
    <t>978-0-12-816062-6; 978-0-12-816061-9</t>
  </si>
  <si>
    <t>10.1016/B978-0-12-816061-9.00009-6</t>
  </si>
  <si>
    <t>Biochemistry &amp; Molecular Biology; Medical Laboratory Technology; Pathology</t>
  </si>
  <si>
    <t>WOS:000540371000010</t>
  </si>
  <si>
    <t>Lathwal, S; Yerneni, SS; Boye, S; Muza, UL; Takahashi, S; Sugimoto, N; Lederer, A; Das, SR; Campbell, PG; Matyjaszewski, K</t>
  </si>
  <si>
    <t>Lathwal, Sushil; Yerneni, Saigopalakrishna S.; Boye, Susanne; Muza, Upenyu L.; Takahashi, Shuntaro; Sugimoto, Naoki; Lederer, Albena; Das, Subha R.; Campbell, Phil G.; Matyjaszewski, Krzysztof</t>
  </si>
  <si>
    <t>Engineering exosome polymer hybrids by atom transfer radical polymerization</t>
  </si>
  <si>
    <t>polymer; ATRP; exosome; polymer biohybrid</t>
  </si>
  <si>
    <t>DRUG-DELIVERY VEHICLES; EXTRACELLULAR VESICLES; NANOPARTICLES; CELLS</t>
  </si>
  <si>
    <t>Exosomes are emerging as ideal drug delivery vehicles due to their biological origin and ability to transfer cargo between cells. However, rapid clearance of exogenous exosomes from the circulation as well as aggregation of exosomes and shedding of surface proteins during storage limit their clinical translation. Here, we demonstrate highly controlled and reversible functionalization of exosome surfaces with well-defined polymers that modulate the exosome's physiochemical and pharmacokinetic properties. Using cholesterol-modified DNA tethers and complementary DNA block copolymers, exosome surfaces were engineered with different biocompatible polymers. Additionally, polymers were directly grafted from the exosome surface using biocompatible photo-mediated atom transfer radical polymerization (ATRP). These exosome polymer hybrids (EPHs) exhibited enhanced stability under various storage conditions and in the presence of proteolytic enzymes. Tuning of the polymer length and surface loading allowed precise control over exosome surface interactions, cellular uptake, and preserved bioactivity. EPHs show fourfold higher blood circulation time without altering tissue distribution profiles. Our results highlight the potential of precise nanoengineering of exosomes toward developing advanced drug and therapeutic delivery systems using modern ATRP methods.</t>
  </si>
  <si>
    <t>[Lathwal, Sushil; Das, Subha R.; Matyjaszewski, Krzysztof] Carnegie Mellon Univ, Dept Chem, Pittsburgh, PA 15213 USA; [Lathwal, Sushil; Das, Subha R.] Carnegie Mellon Univ, Ctr Nucle Acids Sci &amp; Technol, Pittsburgh, PA 15213 USA; [Yerneni, Saigopalakrishna S.; Campbell, Phil G.] Carnegie Mellon Univ, Dept Biomed Engn, Pittsburgh, PA 15213 USA; [Boye, Susanne; Lederer, Albena] Polymer Separat Grp, Leibniz Inst Polymerforsch Dresden eV, D-01069 Dresden, Germany; [Muza, Upenyu L.; Lederer, Albena] Stellenbosch Univ Matieland, Dept Chem &amp; Polymer Sci, ZA-7602 Stellenbosch, South Africa; [Takahashi, Shuntaro; Sugimoto, Naoki] Konan Univ, Frontier Inst Biomol Engn Res, Kobe, Hyogo 6500047, Japan; [Sugimoto, Naoki] Konan Univ, gGrad Sch Frontiers Innovat Res Sci &amp; Technol, Kobe, Hyogo 6500047, Japan; [Lederer, Albena] Tech Univ Dresden, Fac Chem &amp; Food Chem, D-01062 Dresden, Germany; [Campbell, Phil G.] Carnegie Mellon Univ, Engn Res Accelerator, Pittsburgh, PA 15213 USA</t>
  </si>
  <si>
    <t>Carnegie Mellon University; Carnegie Mellon University; Carnegie Mellon University; Leibniz Institut fur Polymerforschung Dresden; Konan University; Konan University; Technische Universitat Dresden; Carnegie Mellon University</t>
  </si>
  <si>
    <t>Das, SR; Matyjaszewski, K (corresponding author), Carnegie Mellon Univ, Dept Chem, Pittsburgh, PA 15213 USA.;Das, SR (corresponding author), Carnegie Mellon Univ, Ctr Nucle Acids Sci &amp; Technol, Pittsburgh, PA 15213 USA.;Campbell, PG (corresponding author), Carnegie Mellon Univ, Dept Biomed Engn, Pittsburgh, PA 15213 USA.;Campbell, PG (corresponding author), Carnegie Mellon Univ, Engn Res Accelerator, Pittsburgh, PA 15213 USA.</t>
  </si>
  <si>
    <t>srdas@andrew.cmu.edu; pcampbel@cs.cmu.edu; matyjaszewski@cmu.edu</t>
  </si>
  <si>
    <t>Lederer, Albena/A-6426-2011; Takahashi, Shuntaro/AFM-6339-2022; Matyjaszewski, Krzysztof/A-2508-2008; Boye, Susanne/X-6567-2019; Das, Subha/H-4733-2014</t>
  </si>
  <si>
    <t>Takahashi, Shuntaro/0000-0002-7569-1761; Matyjaszewski, Krzysztof/0000-0003-1960-3402; Boye, Susanne/0000-0003-1223-2434; Lederer, Albena/0000-0002-1760-6426; Das, Subha/0000-0002-5353-0422; Lathwal, Sushil/0000-0002-3131-4550; Campbell, Phil/0000-0003-4309-250X</t>
  </si>
  <si>
    <t>e2020241118</t>
  </si>
  <si>
    <t>10.1073/pnas.2020241118</t>
  </si>
  <si>
    <t>WOS:000607277100080</t>
  </si>
  <si>
    <t>Katano, H</t>
  </si>
  <si>
    <t>Katano, Harutaka</t>
  </si>
  <si>
    <t>Expression and Function of Kaposi's Sarcoma-Associated Herpesvirus Non-coding RNAs</t>
  </si>
  <si>
    <t>CURRENT CLINICAL MICROBIOLOGY REPORTS</t>
  </si>
  <si>
    <t>microRNA; miRNA; Kaposi's sarcoma-associated herpesvirus; KSHV; Non-coding RNA; lncRNA</t>
  </si>
  <si>
    <t>POLYADENYLATED NUCLEAR-RNA; ENCODED MICRORNAS; MIRNA-TARGETOME; KSHV; IDENTIFICATION; LATENCY; RTA; RECOGNITION; BIOGENESIS; INHIBITOR</t>
  </si>
  <si>
    <t>Purpose of Review Herpesviruses are large DNA viruses whose genomes contain a number of genes producing non-coding RNAs, such as small RNA and long non-coding RNA. In this review, the expression and function of Kaposi's sarcoma-associated herpesvirus (KSHV) non-coding RNAs are discussed. Recent Findings The KSHV genome contains at least 12 genes from which pre-microRNAs (miRNAs) are transcribed, and several genes producing long non-coding RNAs (lncRNAs). Polyadenylated nuclear RNA is a highly expressed viral lncRNA molecule in KSHV-infected cells and is necessary for KSHV replication. KSHV miRNAs are expressed predominantly during the latent phase of KSHV infection not only in cells but also in extracellular vesicles such as exosomes and virions. Identification of viral miRNA targets has revealed that KSHV miRNAs have various functions relating to oncogenesis, anti-apoptosis, angiogenesis, and migration of KSHV-infected cells. Some KSHV miRNAs regulate KSHV replication to maintain viral latency. Summary KSHV non-coding RNAs play significant roles in the pathogenesis of KSHV-associated diseases.</t>
  </si>
  <si>
    <t>[Katano, Harutaka] Natl Inst Infect Dis, Dept Pathol, Shinjuku Ku, 1-23-1 Toyama, Tokyo 1628640, Japan</t>
  </si>
  <si>
    <t>Katano, H (corresponding author), Natl Inst Infect Dis, Dept Pathol, Shinjuku Ku, 1-23-1 Toyama, Tokyo 1628640, Japan.</t>
  </si>
  <si>
    <t>katano@nih.go.jp</t>
  </si>
  <si>
    <t>2196-5471</t>
  </si>
  <si>
    <t>10.1007/s40588-018-0101-2</t>
  </si>
  <si>
    <t>WOS:000459899500001</t>
  </si>
  <si>
    <t>You, MR; Ai, ZS; Zeng, JH; Fu, Y; Zhang, L; Wu, X</t>
  </si>
  <si>
    <t>You, Murong; Ai, Zisheng; Zeng, Jihuan; Fu, Yang; Zhang, Liang; Wu, Xin</t>
  </si>
  <si>
    <t>Bone mesenchymal stem cells (BMSCs)-derived exosomal microRNA-21-5p regulates Kruppel-like factor 3 (KLF3) to promote osteoblast proliferation in vitro</t>
  </si>
  <si>
    <t>BIOENGINEERED</t>
  </si>
  <si>
    <t>Bone mesenchymal stem cells (BMSCs); exosomes; Kruppel-like factor 3 (KLF3); miR-21-5p; osteoporosis</t>
  </si>
  <si>
    <t>GENE-EXPRESSION; DNA-BINDING; MIR-21-5P; ANGIOGENESIS; OSTEOPOROSIS; REVEALS</t>
  </si>
  <si>
    <t>Bone mesenchymal stem cells (BMSCs)-derived exosomes (Exos) play important roles in osteoporosis, while the regulation of microRNA (miR)-21-5p remains unclear. The BMSCs-derived exosomes were isolated from femoral bone marrow of trauma patients, which were then used to stimulate human osteoblasts (hFOB1.19 cells). The miR-21-5p mimic or inhibitor was transfected into BMSCs to overexpress or knockdown miR-21-5p. The functions of miR-21-5p in osteoporosis were assessed by cell counting kit-8 (CCK-8) assay, alkaline phosphatase (ALP) staining and alizarin red staining assays. We found that BMSCs-derived exosomes could enhance proliferation, osteoblastic differentiation and ALP activity of hFOB1.19 cells. BMSCs-derived exosomes with upregulated miR-21-5p could further enhance these protective impacts compared with that in BMSCs-derived exosomes, while BMSCs-derived exosomes with downregulated miR-21-5p reduced these cell phenotypes. MiR-21-5p could directly bind to the 3'-untranslated region (UTR) of Kruppel-like factor 3 (KLF3), and knockdown of KLF3 obviously attenuated these inhibitory effects of BMSCs-derived exosomes with downregulated miR-21-5p on osteoblastic differentiation and ALP activity of hFOB1.19 cells. In summary, BMSCs-derived exosomal miR-21-5p improved osteoporosis through regulating KLF3, providing a potential therapeutic strategy for osteoporosis.</t>
  </si>
  <si>
    <t>[You, Murong; Zeng, Jihuan; Fu, Yang; Zhang, Liang; Wu, Xin] JiangXi Prov Peoples Hosp, Dept Orthoped, 92 Aiguo Rd, Nanchang 330006, Jiangxi, Peoples R China; [Ai, Zisheng] Tongji Univ, Dept Med Stat, Sch Med, Shanghai, Peoples R China</t>
  </si>
  <si>
    <t>Tongji University</t>
  </si>
  <si>
    <t>You, MR (corresponding author), JiangXi Prov Peoples Hosp, Dept Orthoped, 92 Aiguo Rd, Nanchang 330006, Jiangxi, Peoples R China.</t>
  </si>
  <si>
    <t>mr1058@163.com</t>
  </si>
  <si>
    <t>2165-5979</t>
  </si>
  <si>
    <t>2165-5987</t>
  </si>
  <si>
    <t>10.1080/21655979.2022.2067286</t>
  </si>
  <si>
    <t>WOS:000794989600001</t>
  </si>
  <si>
    <t>Mattioli, M; Barboni, B; Luisa, G; Loi, P</t>
  </si>
  <si>
    <t>Cold-induced calcium elevation triggers DNA fragmentation in immature pig oocytes</t>
  </si>
  <si>
    <t>low temperature; chilling injuries; ion imbalance</t>
  </si>
  <si>
    <t>GERMINAL VESICLE-STAGE; IN-VITRO MATURATION; 2ND MEIOTIC SPINDLE; BOVINE OOCYTES; MOUSE OOCYTES; DEVELOPMENTAL COMPETENCE; ANTIFREEZE GLYCOPEPTIDES; MAMMALIAN OOCYTES; CRYOPRESERVATION; TEMPERATURE</t>
  </si>
  <si>
    <t>Fluo-4 loaded immature oocytes were cooled from 30degreesC to various lower temperatures between 20 and 10degreesC and changes in intracellular calcium (Ca2+) levels were measured. Pig oocytes cooled to 14degreesC exhibited a clear biphasic Ca2+ rise. Lower temperatures produced similar responses, while higher temperatures did not exert any effect. The Ca2+ response appeared to rely on ryanodine dependent stores as removal of extracellular Ca2+ and intracytoplasmic injection of heparin did not modify cold. induced Ca2+ elevation, while procaine or ruthenium red virtually eliminated the response. Confocal analysis of subcellular Ca2+ distribution during cooling revealed that the ion rises sharply within the nucleus. As Ca2+ imbalance may activate nuclear endonucleases, DNA integrity of cooled pig oocytes was evaluated by TUNEL and comet assays. Most cooled oocytes showed clear signs of DNA fragmentation. Oocytes injected with 1,2-bis(2-aminophenoxy)ethane-N,N,N',N'-tetracetic acid tetrapotassium salt (BAPTA), a Ca2+ chelator, maintained their DNA integrity thus confirming that intracellular Ca2+ is involved in triggering DNA fragmentation. The protective effect exerted by ruthenium red and/or procaine further confirmed this hypothesis. These data show that a moderate and transient cooling is sufficient to cause an intracellular Ca2+ rise that leads to DNA damage. The addition of inhibitors of ryanodine dependent Ca2+ stores may represent a valuable protective treatment to reduce chilling injuries. (C) 2003 Wiley-Liss, Inc.</t>
  </si>
  <si>
    <t>Univ Teramo, Dipartimento Strutture Funzioni &amp; Patol Anim &amp; Bi, Sez Fisiol Vet, I-64100 Teramo, Italy</t>
  </si>
  <si>
    <t>University of Teramo</t>
  </si>
  <si>
    <t>Mattioli, M (corresponding author), Univ Teramo, Dipartimento Strutture Funzioni &amp; Patol Anim &amp; Bi, Sez Fisiol Vet, Piazza Aldo Moro 45, I-64100 Teramo, Italy.</t>
  </si>
  <si>
    <t>mattioli@ifv.vet.unite.it</t>
  </si>
  <si>
    <t>GIOIA, Luisa/0000-0002-7647-2384</t>
  </si>
  <si>
    <t>10.1002/mrd.10275</t>
  </si>
  <si>
    <t>WOS:000183246000008</t>
  </si>
  <si>
    <t>Turunen, J; Tejesvi, MV; Paalanne, N; Hekkala, J; Lindgren, O; Kaakinen, M; Pokka, T; Kaisanlahti, A; Reunanen, J; Tapiainen, T</t>
  </si>
  <si>
    <t>Turunen, Jenni; Tejesvi, Mysore, V; Paalanne, Niko; Hekkala, Jenni; Lindgren, Outi; Kaakinen, Mika; Pokka, Tytti; Kaisanlahti, Anna; Reunanen, Justus; Tapiainen, Terhi</t>
  </si>
  <si>
    <t>Presence of distinctive microbiome in the first-pass meconium of newborn infants</t>
  </si>
  <si>
    <t>GRAM-POSITIVE BACTERIA; MEMBRANE-VESICLES; MODE</t>
  </si>
  <si>
    <t>We critically evaluated the fetal microbiome concept in 44 neonates with placenta, amniotic fluid, and first-pass meconium samples. Placental histology showed no signs of inflammation. Meconium samples were more often bacterial culture positive after vaginal delivery. In next-generation sequencing of the bacterial 16S gene, before and after removal of extracellular and PCR contaminant DNA, the median number of reads was low in placenta (48) and amniotic fluid (46) and high in meconium samples (14,556 C-section, 24,860 vaginal). In electron microscopy, meconium samples showed extracellular vesicles. Utilizing the analysis of composition of microbiomes (ANCOM) against water, meconium samples had a higher relative abundance of Firmicutes, Lactobacillus, Streptococcus, and Escherichia-Shigella. Our results did not support the existence of the placenta and amniotic fluid microbiota in healthy pregnancies. The first-pass meconium samples, formed in utero, appeared to harbor a microbiome that may be explained by perinatal colonization or intrauterine colonization via bacterial extracellular vesicles.</t>
  </si>
  <si>
    <t>[Turunen, Jenni; Paalanne, Niko; Pokka, Tytti; Tapiainen, Terhi] Univ Oulu, Med Res Ctr, Oulu, Finland; [Turunen, Jenni; Paalanne, Niko; Pokka, Tytti; Tapiainen, Terhi] Univ Oulu, PEDEGO Res Unit, Oulu, Finland; [Turunen, Jenni; Tejesvi, Mysore, V; Hekkala, Jenni; Kaakinen, Mika; Kaisanlahti, Anna; Reunanen, Justus; Tapiainen, Terhi] Univ Oulu, Bioctr Oulu, Oulu, Finland; [Tejesvi, Mysore, V] Univ Oulu, Fac Sci, Ecol &amp; Genet, Oulu, Finland; [Paalanne, Niko; Pokka, Tytti; Tapiainen, Terhi] Oulu Univ Hosp, Dept Pediat &amp; Adolescent Med, Oulu, Finland; [Hekkala, Jenni; Lindgren, Outi; Kaisanlahti, Anna; Reunanen, Justus] Univ Oulu, Canc &amp; Translat Med Res Unit, Oulu, Finland; [Lindgren, Outi] Univ Oulu, Med Res Ctr Oulu, Oulu, Finland; [Lindgren, Outi] Oulu Univ Hosp, Dept Pathol, Oulu, Finland</t>
  </si>
  <si>
    <t>University of Oulu; University of Oulu; University of Oulu; University of Oulu; University of Oulu; University of Oulu; University of Oulu; University of Oulu</t>
  </si>
  <si>
    <t>Turunen, J (corresponding author), Univ Oulu, Med Res Ctr, Oulu, Finland.;Turunen, J (corresponding author), Univ Oulu, PEDEGO Res Unit, Oulu, Finland.;Turunen, J (corresponding author), Univ Oulu, Bioctr Oulu, Oulu, Finland.</t>
  </si>
  <si>
    <t>jenni.turunen@oulu.fi</t>
  </si>
  <si>
    <t>Sorjamaa, Anna/0000-0003-2778-5621; Turunen, Jenni/0000-0002-4158-7026</t>
  </si>
  <si>
    <t>10.1038/s41598-021-98951-4</t>
  </si>
  <si>
    <t>WOS:000702737500008</t>
  </si>
  <si>
    <t>Zhang, XW; Liu, MX; He, MQ; Chen, S; Yu, YL; Wang, JH</t>
  </si>
  <si>
    <t>Zhang, Xue-Wei; Liu, Meng-Xian; He, Meng-Qi; Chen, Shuai; Yu, Yong-Liang; Wang, Jian-Hua</t>
  </si>
  <si>
    <t>Integral Multielement Signals by DNA-Programmed UCNP-AuNP Nanosatellite Assemblies for Ultrasensitive ICP-MS Detection of Exosomal Proteins and Cancer Identification</t>
  </si>
  <si>
    <t>CIRCULATING EXOSOMES; MARKERS; ASSAY; QUANTIFICATION; BIOMARKERS; MICRORNAS; CELLS</t>
  </si>
  <si>
    <t>Exosomes are expected to be used as cancer biomarkers because they carry a variety of cancer-related proteins inherited from parental cells. However, it is still challenging to develop a sensitive, robust, and high-throughput technique for simultaneous detection of exosomal proteins. Herein, three aptamers specific to cancer-associated proteins (CD63, EpCAM, and HER2) are selected to connect gold nanoparticles (AuNPs) as core with three different elements (Y, Eu, and Tb) doped up-conversion nanoparticles (UCNPs) as satellites, thereby forming three nanosatellite assemblies. The presence of exosomes causes specific aptamers to recognize surface proteins and release the corresponding UCNPs, which can be simultaneously detected by inductively coupled plasma-mass spectrometry (ICP-MS). It is worth noting that rare earth elements are scarcely present in living systems, which minimize the background for ICP-MS detection and exclude potential interferences from the coexisting species. Using this method, we are able to simultaneously detect three exosomal proteins within 40 min, and the limit of detection for exosome is 4.7 x 103 particles/mL. The exosomes from seven different cell lines (L-02, HepG2, GES-1, MGC803, AGS, HeLa, and MCF-7) can be distinguished with 100% accuracy by linear discriminant analysis. In addition, this analytical strategy is successfully used to detect exosomes in clinical samples to distinguish stomach cancer patients from healthy individuals. These results suggest that this sensitive and high-throughput analytical strategy based on ICP-MS has the potential to play an important role in the detection of multiple exosomal proteins and the identification of early cancer.</t>
  </si>
  <si>
    <t>[Zhang, Xue-Wei; Liu, Meng-Xian; He, Meng-Qi; Yu, Yong-Liang; Wang, Jian-Hua] Northeastern Univ, Coll Sci, Res Ctr Analyt Sci, Dept Chem, Shenyang 110819, Peoples R China; [Chen, Shuai] Northeastern Univ, Coll Life &amp; Hlth Sci, Shenyang 110169, Peoples R China</t>
  </si>
  <si>
    <t>Northeastern University - China; Northeastern University - China</t>
  </si>
  <si>
    <t>Yu, YL (corresponding author), Northeastern Univ, Coll Sci, Res Ctr Analyt Sci, Dept Chem, Shenyang 110819, Peoples R China.;Chen, S (corresponding author), Northeastern Univ, Coll Life &amp; Hlth Sci, Shenyang 110169, Peoples R China.</t>
  </si>
  <si>
    <t>chenshuai@mail.neu.edu.cn; yuyl@mail.neu.edu.cn</t>
  </si>
  <si>
    <t>Chen, Shuai/0000-0002-9950-6049</t>
  </si>
  <si>
    <t>APR 27</t>
  </si>
  <si>
    <t>10.1021/acs.analchem.1c00152</t>
  </si>
  <si>
    <t>WOS:000645428400019</t>
  </si>
  <si>
    <t>Del Re, M; Conteduca, V; Crucitta, S; Gurioli, G; Casadei, C; Restante, G; Schepisi, G; Lolli, C; Cucchiara, F; Danesi, R; De Giorgi, U</t>
  </si>
  <si>
    <t>Del Re, M.; Conteduca, V.; Crucitta, S.; Gurioli, G.; Casadei, C.; Restante, G.; Schepisi, G.; Lolli, C.; Cucchiara, F.; Danesi, R.; De Giorgi, U.</t>
  </si>
  <si>
    <t>Androgen receptor gain in circulating free DNA and splicing variant 7 in exosomes predict clinical outcome in CRPC patients treated with abiraterone and enzalutamide</t>
  </si>
  <si>
    <t>PROSTATE CANCER AND PROSTATIC DISEASES</t>
  </si>
  <si>
    <t>RESISTANT PROSTATE-CANCER; INCREASED SURVIVAL; TUMOR-CELLS</t>
  </si>
  <si>
    <t>Background Androgen receptor (AR) signaling inhibitors represent the standard treatment in metastatic castration resistance prostate cancer (mCRPC) patients. However, some patients display a primary resistance, and several studies investigated the role of the AR as a predictive biomarker of response to treatment. This study is aimed to evaluate the role of AR in liquid biopsy to predict clinical outcome to AR signaling inhibitors in mCRPC patients. Methods Six milliliters of plasma samples were collected before first-line treatment with abiraterone or enzalutamide. Circulating free DNA (cfDNA) and exosome-RNA were isolated for analysis of AR gain and AR splice variant 7 (AR-V7), respectively, by digital droplet PCR. Results Eighty-four mCRPC patients received abiraterone (n = 40) or enzalutamide (n = 44) as first-line therapy. Twelve patients (14.3%) presented AR gain and 30 (35.7%) AR-V7+ at baseline. Median progression-free survival (PFS) and overall survival (OS) were significantly longer in AR-V7- vs AR-V7+ patients (24.3 vs 5.4 months, p &lt; 0.0001; not reached vs 16.2 months, p = 0.0001, respectively). Patients carrying the AR gain had a median PFS of 4.8 vs 24.3 months for AR normal patients (p &lt; 0.0001). Median OS was significantly longer in AR normal vs patients with AR gain (not reached vs 8.17 months, p &lt; 0.0001). A significant correlation between AR-V7 and AR gain was observed (r = 0.28; p = 0.01). The AR gain/AR-V7 combined analysis confirmed a strong predictive effect for biomarkers combination vs patients without any AR aberration (PFS 3.8 vs 28 month, respectively; OS 6.1 vs not reached, respectively; p &lt; 0.0001). Conclusions The present study demonstrates that cfDNA and exosome-RNA are both a reliable source of AR variants and their combined detection in liquid biopsy predicts resistance to AR signaling inhibitors.</t>
  </si>
  <si>
    <t>[Del Re, M.; Crucitta, S.; Restante, G.; Cucchiara, F.; Danesi, R.] Univ Hosp Pisa, Dept Clin &amp; Expt Med, Unit Clin Pharmacol &amp; Pharmacogenet, Pisa, Italy; [Conteduca, V.; Gurioli, G.; Casadei, C.; Schepisi, G.; Lolli, C.; De Giorgi, U.] Ist Sci Romagnolo Studio &amp; Cura Tumori IRST IRCCS, Dept Med Oncol, Meldola, Italy</t>
  </si>
  <si>
    <t>University of Pisa; Azienda Ospedaliero Universitaria Pisana; IRCCS Meldola (IRST)</t>
  </si>
  <si>
    <t>Danesi, R (corresponding author), Univ Hosp Pisa, Dept Clin &amp; Expt Med, Unit Clin Pharmacol &amp; Pharmacogenet, Pisa, Italy.</t>
  </si>
  <si>
    <t>romano.danesi@unipi.it</t>
  </si>
  <si>
    <t>Lolli, Cristian/AAC-4116-2022; Danesi, Romano/J-7239-2018; Cucchiara, Federico/AAV-1872-2020; Danesi, Romano/AAC-9410-2019; Del Re, Marzia/J-6468-2018; Conteduca, Vincenza/E-8640-2019</t>
  </si>
  <si>
    <t>Danesi, Romano/0000-0002-4414-8934; Cucchiara, Federico/0000-0002-0946-750X; Danesi, Romano/0000-0002-4414-8934; Del Re, Marzia/0000-0001-7343-6161; Conteduca, Vincenza/0000-0002-6921-714X</t>
  </si>
  <si>
    <t>1365-7852</t>
  </si>
  <si>
    <t>1476-5608</t>
  </si>
  <si>
    <t>10.1038/s41391-020-00309-w</t>
  </si>
  <si>
    <t>Oncology; Urology &amp; Nephrology</t>
  </si>
  <si>
    <t>WOS:000611930300001</t>
  </si>
  <si>
    <t>Yamamoto, H; Watanabe, Y; Oikawa, R; Morita, R; Yoshida, Y; Maehata, T; Yasuda, H; Itoh, F</t>
  </si>
  <si>
    <t>Yamamoto, Hiroyuki; Watanabe, Yoshiyuki; Oikawa, Ritsuko; Morita, Ryo; Yoshida, Yoshihito; Maehata, Tadateru; Yasuda, Hiroshi; Itoh, Fumio</t>
  </si>
  <si>
    <t>BARHL2 Methylation Using Gastric Wash DNA or Gastric Juice Exosomal DNA is a Useful Marker For Early Detection of Gastric Cancer in an H-pylori-Independent Manner</t>
  </si>
  <si>
    <t>CLINICAL AND TRANSLATIONAL GASTROENTEROLOGY</t>
  </si>
  <si>
    <t>HELICOBACTER-PYLORI; MUCOSAE</t>
  </si>
  <si>
    <t>OBJECTIVES: The main purpose of this study was to develop a methylation analysis pipeline by using gastric wash-derived DNA and/or gastric juice-derived exosomal DNA (exoDNA), and to evaluate its suitability for the early detection of gastric cancer (GC) in clinical settings. METHODS: We analyzed alterations of BarH-like 2 homeobox protein (BARHL2) in GC cell lines and tissues, as well as in DNA obtained from 128 gastric washes and 30 gastric juice-derived exosomes. GC cell lines were transfected with plasmids encoding BARHL2 and subjected to proliferation, colony formation, and gene expression analyses. RESULTS: High levels of BARHL2 methylation were detected in three of seven GC cell lines; consistent with this, these cell lines expressed low levels of BARHL2. Treatment of these cell lines with 5-aza-2'-deoxycytidine restored BARHL2 expression. Levels of BARHL2 methylation in 18 normal and 14 atrophic gastritis samples were low irrespective of Helicobacter pylori infection. High levels of BARHL2 methylation were observed in gastric wash-derived DNA obtained from early GC patients before endoscopic resection (ER), but methylation was significantly lower after curative ER. Analysis using gastric juice-derived exoDNA samples revealed that BARHL2 methylation yielded an area under the curve of 0.923 with 90% sensitivity and 100% specificity with respect to discriminating GC patients from non-GC controls. BARHL2 nuclear immunoreactivity was found in all normal gastric epithelial cells and in cells from patients with gastritis and adenoma. In contrast, loss of BARHL2 expression was observed in the vast majority of the GC tissues. Finally, transfection of BARHL2 into MKN7 and MKN45 cell lines significantly inhibited their proliferation and ability to form colonies. CONCLUSIONS: Methylation analysis of BARHL2 using gastric wash-derived DNA and/or gastric juice-derived exoDNA could be useful for early detection of GC in clinical settings.</t>
  </si>
  <si>
    <t>[Yamamoto, Hiroyuki; Watanabe, Yoshiyuki; Oikawa, Ritsuko; Morita, Ryo; Yoshida, Yoshihito; Yasuda, Hiroshi; Itoh, Fumio] St Marianna Univ, Sch Med, Dept Internal Med, Div Gastroenterol &amp; Hepatol, Kawasaki, Kanagawa, Japan; [Watanabe, Yoshiyuki] Kawasaki Rinko Gen Hosp, Dept Internal Med, Kawasaki, Kanagawa, Japan; [Maehata, Tadateru] Keio Univ, Sch Med, Div Res &amp; Dev Minimally Invas Treatment, Ctr Canc, Tokyo, Japan</t>
  </si>
  <si>
    <t>Saint Marianna University; Keio University</t>
  </si>
  <si>
    <t>Yamamoto, H (corresponding author), St Marianna Univ, Sch Med, Dept Internal Med, Div Gastroenterol &amp; Hepatol,Miyamae Ku, 2-16-1 Sugao, Kawasaki, Kanagawa 2168511, Japan.</t>
  </si>
  <si>
    <t>h-yama@marianna-u.ac.jp</t>
  </si>
  <si>
    <t>2155-384X</t>
  </si>
  <si>
    <t>e184</t>
  </si>
  <si>
    <t>10.1038/ctg.2016.40</t>
  </si>
  <si>
    <t>WOS:000382087500007</t>
  </si>
  <si>
    <t>Bjorn, E; Nygren, Y; Nguyen, TTTN; Ericson, C; Nojd, M; Naredi, P</t>
  </si>
  <si>
    <t>Bjorn, Erik; Nygren, Yvonne; Nguyen, Tam Trinh Thi Nhu; Ericson, Christer; Nojd, Mikael; Naredi, Peter</t>
  </si>
  <si>
    <t>Determination of platinum in human subcellular microsamples by inductively coupled plasma mass spectrometry</t>
  </si>
  <si>
    <t>ANALYTICAL BIOCHEMISTRY</t>
  </si>
  <si>
    <t>platinum; cisplatin; ICPMS; human subcellular microsamples; DNA; exosomes</t>
  </si>
  <si>
    <t>COPPER TRANSPORTER CTR1; ICP-MS; CELLULAR PHARMACOLOGY; DNA ADDUCTS; CISPLATIN; RESISTANCE; CELLS; MECHANISMS; PERSPECTIVES; CARBOPLATIN</t>
  </si>
  <si>
    <t>A fast and robust method for the determination of platinum in human subcellular microsamples by inductively coupled plasma mass spectrometry was developed, characterized, and validated. Samples of isolated DNA and exosome fractions from human ovarian (2008) and melanoma (T289) cancer cell lines were used. To keep the sample consumption to approximately 10 mu l and obtain a high robustness of the system, a flow injection sample introduction system with a 4.6-mu l sample loop was used in combination with a conventional pneumatic nebulizer and a spray chamber. The system was optimized with respect to signal/noise ratio using a multivariate experimental design. The system proved to be well suited for routine analysis of large sample series, and several hundreds of samples could be analyzed without maintenance or downtime. The detection limit of the method was 0.12 pg (26 pg/g) platinum. To avoid systematic errors from nonspectral interferences, it was necessary to use reagent matched calibration standards or isotope dilution analysis. An uncertainty budget was constructed to estimate the total expanded uncertainty of the method, giving a quantification limit of 2.3 pg (0.5 ng/g) platinum in DNA samples. The uncertainty was sufficiently low to study quantitative differences in the formation of Pt-DNA adducts after treatment with cisplatin using different exposure times and concentrations. (c) 2007 Elsevier Inc. All rights reserved.</t>
  </si>
  <si>
    <t>Umea Univ, Dept Chem, S-90187 Umea, Sweden; Umea Univ Hosp, Dept Surg, S-90185 Umea, Sweden</t>
  </si>
  <si>
    <t>Umea University; Umea University</t>
  </si>
  <si>
    <t>Bjorn, E (corresponding author), Umea Univ, Dept Chem, S-90187 Umea, Sweden.</t>
  </si>
  <si>
    <t>erik.bjorn@chem.umu.se</t>
  </si>
  <si>
    <t>Naredi, Peter/AAG-1504-2019</t>
  </si>
  <si>
    <t>Naredi, Peter/0000-0002-5652-0422</t>
  </si>
  <si>
    <t>0003-2697</t>
  </si>
  <si>
    <t>10.1016/j.ab.2007.01.006</t>
  </si>
  <si>
    <t>Biochemical Research Methods; Biochemistry &amp; Molecular Biology; Chemistry, Analytical</t>
  </si>
  <si>
    <t>WOS:000245155500015</t>
  </si>
  <si>
    <t>Majewski, M; Nestler, T; Kagler, S; Richardsen, I; Ruf, CG; Matthies, C; Willms, A; Schmelz, HU; Wagner, W; Schwab, R; Abend, M</t>
  </si>
  <si>
    <t>Majewski, Matthaeus; Nestler, Tim; Kaegler, Sebastian; Richardsen, Ines; Ruf, Christian G.; Matthies, Cord; Willms, Arnulf; Schmelz, Hans-Ulrich; Wagner, Walter; Schwab, Robert; Abend, Michael</t>
  </si>
  <si>
    <t>Liquid Biopsy Using Whole Blood from Testis Tumor and Colon Cancer PatientsA New and Simple Way?</t>
  </si>
  <si>
    <t>HEALTH PHYSICS</t>
  </si>
  <si>
    <t>Conrad-Global Conference on Radiation Topics - Preparedness, Response, Protection, and Research</t>
  </si>
  <si>
    <t>MAY 08-11, 2017</t>
  </si>
  <si>
    <t>Univ Ulm, Bundeswehr Inst Radiobiol, Munich, GERMANY</t>
  </si>
  <si>
    <t>Univ Ulm, Bundeswehr Inst Radiobiol</t>
  </si>
  <si>
    <t>blood; cancer; DNA; tumors</t>
  </si>
  <si>
    <t>RNA; MICROVESICLES; EXPRESSION; VESICLES; INHIBITION; BIOMARKERS; PROTEINS</t>
  </si>
  <si>
    <t>Tumor cells shed exosomes, which are released to the blood. Detecting tumor-derived exosomes containing RNA in plasma (liquid biopsy) is currently being investigated for early identification of occult metastases or relapses. Isolation of exosomes is laborious, resulting in low RNA yields. As a more robust (but less sensitive) alternative, the authors examined whether whole blood can be used as well. Tumor samples from nonmetastasized seminoma (n = 5) and colon cancer patients (n = 6) were taken during surgery. Whole-blood samples were taken before and 5-7 d after surgery. A whole genome mRNA microarray screening was performed. Candidate genes were selected based on two criteria: (1) gene expression in the presurgical whole-blood sample/tumor biopsy; and (2) a two-fold decrease in the copy number of candidate genes was expected in the postsurgical whole-blood sample 5-7 d after intervention, relative to the presurgical blood sample. The rationale behind this is the loss of tumor material in the body and the decline in the release of tumor-derived RNA in exosomes. For both tumor entities and for each patient, several hundred candidate genes could be identified. In a group-wise comparison, 20 candidate genes could be identified in the seminoma and 32 in the colon cancer group. These findings indicate that whole blood might be suitable for a liquid biopsy. However, this study identified the short period after surgery (5-7 d) as a possible confounder. The authors plan to add an additional time point several weeks after the operation to discriminate tumor candidate genes from genes induced by the surgery.</t>
  </si>
  <si>
    <t>[Majewski, Matthaeus; Abend, Michael] Univ Ulm, Bundeswehr Inst Radiobiol, Neuherbergstr 11, D-80804 Munich, Germany; [Nestler, Tim; Ruf, Christian G.; Schmelz, Hans-Ulrich] Bundeswehr Cent Hosp, Dept Urol, Rubenacher Str 170, D-56072 Koblenz, Germany; [Kaegler, Sebastian; Matthies, Cord; Wagner, Walter] Bundeswehr Hosp Hamburg, Dept Urol, Lesserstr 180, D-22049 Hamburg, Germany; [Richardsen, Ines; Willms, Arnulf; Schwab, Robert] Bundeswehr Cent Hosp, Dept Gen Visceral &amp; Thorac Surg, Rubenacher Str 170, D-56072 Koblenz, Germany</t>
  </si>
  <si>
    <t>Ulm University</t>
  </si>
  <si>
    <t>Majewski, M (corresponding author), Univ Ulm, Bundeswehr Inst Radiobiol, Neuherbergstr 11, D-80804 Munich, Germany.</t>
  </si>
  <si>
    <t>matthaeusmajewski@bundeswehr.org</t>
  </si>
  <si>
    <t>Willms, A./AFN-0812-2022</t>
  </si>
  <si>
    <t>Willms, A./0000-0001-9998-6735</t>
  </si>
  <si>
    <t>0017-9078</t>
  </si>
  <si>
    <t>1538-5159</t>
  </si>
  <si>
    <t>10.1097/HP.0000000000000867</t>
  </si>
  <si>
    <t>Environmental Sciences; Public, Environmental &amp; Occupational Health; Nuclear Science &amp; Technology; Radiology, Nuclear Medicine &amp; Medical Imaging</t>
  </si>
  <si>
    <t>Environmental Sciences &amp; Ecology; Public, Environmental &amp; Occupational Health; Nuclear Science &amp; Technology; Radiology, Nuclear Medicine &amp; Medical Imaging</t>
  </si>
  <si>
    <t>WOS:000434256100014</t>
  </si>
  <si>
    <t>Schaar, V; de Vries, SPW; Vidakovics, MLAP; Bootsma, HJ; Larsson, L; Hermans, PWM; Bjartell, A; Morgelin, M; Riesbeck, K</t>
  </si>
  <si>
    <t>Schaar, Viveka; de Vries, Stefan P. W.; Vidakovics, Maria Laura A. Perez; Bootsma, Hester J.; Larsson, Lennart; Hermans, Peter W. M.; Bjartell, Anders; Morgelin, Matthias; Riesbeck, Kristian</t>
  </si>
  <si>
    <t>Multicomponent Moraxella catarrhalis outer membrane vesicles induce an inflammatory response and are internalized by human epithelial cells</t>
  </si>
  <si>
    <t>SURFACE-PROTEINS A1; BINDING-PROTEIN; ESCHERICHIA-COLI; EXTRACELLULAR VESICLES; POLYACRYLAMIDE GELS; PROTEOMIC ANALYSIS; MAMMALIAN-CELLS; PATHOGEN; DNA; A2</t>
  </si>
  <si>
    <t>P&gt;Moraxella catarrhalis is an emerging human respiratory pathogen in patients with chronic obstructive pulmonary disease (COPD) and in children with acute otitis media. The specific secretion machinery known as outer membrane vesicles (OMVs) is a mechanism by which Gram-negative pathogens interact with host cells during infection. We identified 57 proteins in M. catarrhalis OMVs using a proteomics approach combining two-dimensional SDS-PAGE and MALDI-TOF mass spectrometry analysis. The OMVs contained known surface proteins such as ubiquitous surface proteins (Usp) A1/A2, and Moraxella IgD-binding protein (MID). Most of the proteins are adhesins/virulence factors triggering the immune response, but also aid bacteria to evade the host defence. FITC-stained OMVs bound to lipid raft domains in alveolar epithelial cells and were internalized after interaction with Toll-like receptor 2 (TLR2), suggesting a delivery to the host tissue of a large and complex group of OMV-attributed proteins. Interestingly, OMVs modulated the pro-inflammatory response in epithelial cells, and UspA1-bearing OMVs were found to specifically downregulate the reaction. When mice were exposed to OMVs, a pulmonary inflammation was clearly seen. Our findings indicate that Moraxella OMVs are highly biologically active, transport main bacterial virulence factors and may modulate the epithelial pro-inflammatory response.</t>
  </si>
  <si>
    <t>[Schaar, Viveka; Vidakovics, Maria Laura A. Perez; Riesbeck, Kristian] Lund Univ, Skane Univ Hosp, Dept Lab Med Malmo, Malmo, Sweden; [de Vries, Stefan P. W.; Bootsma, Hester J.; Hermans, Peter W. M.] Radboud Univ Nijmegen, Med Ctr, Lab Pediat Infect Dis, NL-6525 ED Nijmegen, Netherlands; [Larsson, Lennart] Lund Univ, Skane Univ Hosp, Dept Lab Med, Div Med Microbiol, Lund, Sweden; [Bjartell, Anders] Lund Univ, Skane Univ Hosp, Dept Clin Sci, Div Urol Canc, Malmo, Sweden; [Morgelin, Matthias] Lund Univ, Dept Clin Sci, Sect Clin &amp; Expt Infect Med, Lund, Sweden</t>
  </si>
  <si>
    <t>Lund University; Skane University Hospital; Radboud University Nijmegen; Lund University; Skane University Hospital; Lund University; Skane University Hospital; Lund University</t>
  </si>
  <si>
    <t>Riesbeck, K (corresponding author), Lund Univ, Skane Univ Hosp, Dept Lab Med Malmo, Malmo, Sweden.</t>
  </si>
  <si>
    <t>Hermans, Peter W.M./H-8042-2014</t>
  </si>
  <si>
    <t>Riesbeck, Kristian/0000-0001-6274-6965; Perez Vidakovics, Maria Laura Anabella/0000-0003-4283-812X</t>
  </si>
  <si>
    <t>10.1111/j.1462-5822.2010.01546.x</t>
  </si>
  <si>
    <t>WOS:000287317100010</t>
  </si>
  <si>
    <t>da Silveira, JC; Winger, QA; Bouma, GJ; Carnevale, EM</t>
  </si>
  <si>
    <t>da Silveira, Juliano C.; Winger, Quinton A.; Bouma, Gerrit J.; Carnevale, Elaine M.</t>
  </si>
  <si>
    <t>Effects of age on follicular fluid exosomal microRNAs and granulosa cell transforming growth factor-beta signalling during follicle development in the mare</t>
  </si>
  <si>
    <t>equine ovarian follicle; exosomes</t>
  </si>
  <si>
    <t>OVARIAN-FOLLICLE; IDENTIFICATION; PROGESTERONE; APOPTOSIS; VESICLES; MIRNAS; OOCYTE; FSH; LH</t>
  </si>
  <si>
    <t>Age-related decline in fertility is a consequence of low oocyte number and/or low oocyte competence resulting in pregnancy failure. Transforming growth factor (TGF)-beta signalling is a well-studied pathway involved in follicular development and ovulation. Recently, small non-coding RNAs, namely microRNAs (miRNAs), have been demonstrated to regulate several members of this pathway; miRNAs are secreted inside small cell-secreted vesicles called exosomes. The overall goal of the present study was to determine whether altered exosome miRNA content in follicular fluid from old mares is associated with changes in TGF-beta signalling in granulosa cells during follicle development. Follicular fluid was collected at deviation (n = 6), mid-oestrus (n = 6) and preovulation (n = 6) for identification of exosomal miRNAs from young (3-12 years) and old (20-26 years) mares. Analysis of selected TGF-beta signalling members revealed significantly increased levels of interleukin 6 (IL6) in granulosa cells from mid-oestrus compared with preovulatory follicles, and collagen alpha-2(I) chain (COL1A2) in granulosa cells from deviation compared with preovulatory follicles in young mares. In addition, granulosa cells from old mares had significantly altered levels of DNA-binding protein inhibitor ID-2 (ID2), signal transducer and activator of transcription 1 (STAT1) and cell division cycle 25A (CDC25A). Finally, changes in exosomal miRNA predicted to target selected TGF-beta members were identified.</t>
  </si>
  <si>
    <t>[da Silveira, Juliano C.; Winger, Quinton A.; Bouma, Gerrit J.; Carnevale, Elaine M.] Colorado State Univ, Anim Reprod &amp; Biotechnol Lab, Dept Biomed Sci, Ft Collins, CO 80521 USA</t>
  </si>
  <si>
    <t>Colorado State University</t>
  </si>
  <si>
    <t>Bouma, GJ (corresponding author), Colorado State Univ, Anim Reprod &amp; Biotechnol Lab, Dept Biomed Sci, Ft Collins, CO 80521 USA.</t>
  </si>
  <si>
    <t>gerrit.bouma@colostate.edu</t>
  </si>
  <si>
    <t>Da Silveira, Juliano/AAH-9784-2020; Silveira, Juliano C/B-3086-2013; Bouma, Gerrit/AAT-4644-2020</t>
  </si>
  <si>
    <t>Da Silveira, Juliano/0000-0002-4796-6393; Silveira, Juliano C/0000-0002-4796-6393; Bouma, Gerrit/0000-0003-2433-5086</t>
  </si>
  <si>
    <t>10.1071/RD14452</t>
  </si>
  <si>
    <t>WOS:000357876800004</t>
  </si>
  <si>
    <t>Dache, ZA; Otandault, A; Tanos, R; Pastor, B; Meddeb, R; Sanchez, C; Arena, G; Lasorsa, L; Bennett, A; Grange, T; El Messaoudi, S; Mazard, T; Prevostel, C; Thierry, AR</t>
  </si>
  <si>
    <t>Dache, Zahra Al Amir; Otandault, Amaelle; Tanos, Rita; Pastor, Brice; Meddeb, Romain; Sanchez, Cynthia; Arena, Giuseppe; Lasorsa, Laurence; Bennett, Andrew; Grange, Thierry; El Messaoudi, Safia; Mazard, Thibault; Prevostel, Corinne; Thierry, Alain R.</t>
  </si>
  <si>
    <t>Blood contains circulating cell-free respiratory competent mitochondria</t>
  </si>
  <si>
    <t>blood; circulating DNA; mitochondria; mitochondrial genome; respiratory competent</t>
  </si>
  <si>
    <t>MESENCHYMAL STEM-CELLS; SINGLE-STRAND; DNA; BIOMARKER; DISEASE; SENSORS</t>
  </si>
  <si>
    <t>Mitochondria are considered as the power-generating units of the cell due to their key role in energy metabolism and cell signaling. However, mitochondrial components could be found in the extracellular space, as fragments or encapsulated in vesicles. In addition, this intact organelle has been recently reported to be released by platelets exclusively in specific conditions. Here, we demonstrate for the first time, that blood preparation with resting platelets, contains whole functional mitochondria in normal physiological state. Likewise, we show, that normal and tumor cultured cells are able to secrete their mitochondria. Using serial centrifugation or filtration followed by polymerase chain reaction-based methods, and Whole Genome Sequencing, we detect extracellular full-length mitochondrial DNA in particles over 0.22 mu m holding specific mitochondrial membrane proteins. We identify these particles as intact cell-free mitochondria using fluorescence-activated cell sorting analysis, fluorescence microscopy, and transmission electron microscopy. Oxygen consumption analysis revealed that these mitochondria are respiratory competent. In view of previously described mitochondrial potential in intercellular transfer, this discovery could greatly widen the scope of cell-cell communication biology. Further steps should be developed to investigate the potential role of mitochondria as a signaling organelle outside the cell and to determine whether these circulating units could be relevant for early detection and prognosis of various diseases.</t>
  </si>
  <si>
    <t>[Dache, Zahra Al Amir; Otandault, Amaelle; Tanos, Rita; Pastor, Brice; Meddeb, Romain; Sanchez, Cynthia; Lasorsa, Laurence; El Messaoudi, Safia; Mazard, Thibault; Prevostel, Corinne; Thierry, Alain R.] Univ Montpellier, Inst Reg Canc Montpellier, INSERM U1194, IRCM, Montpellier, France; [Arena, Giuseppe] INSERM U1030, Gustave Roussy Canc Campus, F-94805 Villejuif, France; [Bennett, Andrew; Grange, Thierry] Univ Paris Diderot, Inst Jacques Monod, Paris, France</t>
  </si>
  <si>
    <t>Institut National de la Sante et de la Recherche Medicale (Inserm); Universite de Montpellier; UNICANCER; Institut Regional du Cancer Montpellier / Val d'Aurelle (ICM); Institut National de la Sante et de la Recherche Medicale (Inserm); UDICE-French Research Universities; Universite Paris Saclay; UNICANCER; Gustave Roussy; UDICE-French Research Universities; Universite de Paris</t>
  </si>
  <si>
    <t>Thierry, AR (corresponding author), INSERM, IRCM, U1194, 208 Rue Apothicaires, F-34298 Montpellier 5, France.</t>
  </si>
  <si>
    <t>alain.thierry@inserm.fr</t>
  </si>
  <si>
    <t>Prevostel, Corinne/AAO-1433-2020; MAZARD, Thibault/ABH-6334-2020; Arena, Giuseppe/ABE-8093-2021</t>
  </si>
  <si>
    <t>MAZARD, Thibault/0000-0002-5644-9603; Arena, Giuseppe/0000-0003-2398-5503; PREVOSTEL, Corinne/0000-0002-7553-087X; pastor, brice/0000-0001-9096-3537; Grange, Thierry/0000-0001-8700-3092; Al Amir Dache, Zahra/0000-0001-7415-4940</t>
  </si>
  <si>
    <t>10.1096/fj.201901917RR</t>
  </si>
  <si>
    <t>WOS:000508135400001</t>
  </si>
  <si>
    <t>Kim, JW; Wieckowski, E; Taylor, DD; Reichert, TE; Watkins, S; Whiteside, TL</t>
  </si>
  <si>
    <t>Fas ligand-positive membranous vesicles isolated from sera of patients with oral cancer induce apoptosis of activated T lymphocytes</t>
  </si>
  <si>
    <t>SQUAMOUS-CELL CARCINOMA; CHAIN EXPRESSION; DOWN-REGULATION; HEAD; NECK; MICROVESICLES; SUPPRESSION; MECHANISMS; MOLECULES; SELECTION</t>
  </si>
  <si>
    <t>Objective: In patients with oral squamous cell carcinoma, a high proportion of T cells in the tumor undergo apoptosis, which correlates with Fas ligand (FasL) expression on tumor cells. The present study was done to identify mechanisms responsible for apoptosis of T cells seen in the peripheral circulation of these patients. Methods: Sera of 27 patients, normal donor sera, and supernatants of cultured normal or tumor cells were fractionated by size exclusion chromatography and ultracentrifugation to isolate microvesicles. The presence of microvesicle-associated FasL was studied by Western blots, blocking with anti-Fas reagents, and immunoelectron microscopy. Biological activities of microvesicles were tested including the ability to induce apoptosis of Jurkat and T-cell blasts. Semiquantitative analysis of FasL in microvesicles was correlated with caspase-3 activity, DNA fragmentation, cytochrome c release, loss of mitochondrial membrane potential, and TCR-zeta chain expression in lymphocytes. Results: FasL-positive (FasL+) microvesicles were detected in sera of 21 of 27 patients. Microvesicles contained 42 kDa FasL. These microvesicles induced caspase-3 cleavage, cytochrome c release, loss of mitochondrial membrane potential, and reduced TCR-zeta chain expression in target lymphocytes. Biological activity of the FasL+ microvesicles was partially blocked by ZB4 anti-Fas monoclonal antibody. Microvesicle-associated FasL levels correlated with the patients' tumor burden and nodal involvement. Conclusion: Sera of patients with active oral squamous cell carcinoma contain FasL+ microvesicles, which induce the receptor and mitochondrial apoptotic pathways in Jurkat and activated T cells.</t>
  </si>
  <si>
    <t>Univ Pittsburgh, Inst Canc, Res Pavil Hillman Canc Ctr, Pittsburgh, PA 15213 USA; Univ Louisville, Sch Med, Louisville, KY 40292 USA; Johannes Gutenberg Univ Mainz, D-6500 Mainz, Germany</t>
  </si>
  <si>
    <t>Pennsylvania Commonwealth System of Higher Education (PCSHE); University of Pittsburgh; University of Louisville; Johannes Gutenberg University of Mainz</t>
  </si>
  <si>
    <t>Whiteside, TL (corresponding author), Univ Pittsburgh, Inst Canc, Res Pavil Hillman Canc Ctr, 5117 Ctr Ave,Suite 1-27, Pittsburgh, PA 15213 USA.</t>
  </si>
  <si>
    <t>Watkins, Simon/ABG-2590-2021</t>
  </si>
  <si>
    <t>Watkins, Simon/0000-0003-4092-1552</t>
  </si>
  <si>
    <t>WOS:000226740400008</t>
  </si>
  <si>
    <t>Sarra, A; Stanchieri, GD; De Marcellis, A; Bordi, F; Postorino, P; Palange, E</t>
  </si>
  <si>
    <t>Sarra, Angelo; Stanchieri, Guido Di Patrizio; De Marcellis, Andrea; Bordi, Federico; Postorino, Paolo; Palange, Elia</t>
  </si>
  <si>
    <t>Laser Transmission Spectroscopy Based on Tunable-Gain Dual-Channel Dual-Phase LIA for Biological Nanoparticles Characterization</t>
  </si>
  <si>
    <t>IEEE TRANSACTIONS ON BIOMEDICAL CIRCUITS AND SYSTEMS</t>
  </si>
  <si>
    <t>Measurement by laser beam; Laser beams; Biomedical measurement; Optical variables measurement; Nanoparticles; Optical scattering; Particle measurements; Bacteria detection; biological nanoparticles characterization; extracellular vesicle size and concentration measurement; laser transmission spectroscopy; lock-in amplifier</t>
  </si>
  <si>
    <t>MU-W; EXOSOMES; RELEASE; DNA</t>
  </si>
  <si>
    <t>Size and absolute concentration of suspensions of nanoparticles are important information for the study and development of new materials and products in different industrial applications spanning from biotechnology and pharmaceutics to food preparation and conservation. Laser Transmission Spectroscopy (LTS) is the only methodology able to measure nanoparticle size and concentration by performing a single measurement. In this paper we report on a new variable gain calibration procedure for LTS-based instruments allowing to decrease of an order of magnitude the experimental indetermination of the particle size respect to the conventional LTS based on the double ratio technique. The variable gain calibration procedure makes use of a specifically designed tunable-gain, dual-channel, dual-phase Lock-In Amplifier (LIA) whose input voltage signals are those ones generated by two Si photodiodes that measure the laser beam intensities passing through the sample containing the nanoparticles and a reference optical path. The LTS variable gain calibration procedure has been validated by firstly using a suspension of NIST standard polystyrene nanoparticles even 36 hours after the calibration procedure was accomplished. The paper reports in detail the LIA implementation describing the design methodologies and the electronic circuits. As a case example of the characterization of biological nanostructures, we demonstrate that a single LTS measurement allowed to determine size density distribution of a population of extracellular vesicles extracted from orange juice (25 nm in size) with the presence of their aggregates having a size of 340 nm and a concentration smaller than 3 orders of magnitude.</t>
  </si>
  <si>
    <t>[Sarra, Angelo] Univ Roma Tre, Dept Sci, Liquid Grp, I-00146 Rome, Italy; [Sarra, Angelo; Postorino, Paolo] Sapienza Univ, Dept Phys, High Pressure Spect HPS Grp, I-00185 Rome, Italy; [Stanchieri, Guido Di Patrizio; De Marcellis, Andrea; Palange, Elia] Univ Aquila, Dept Ind &amp; Informat Engn &amp; Econ, Elect &amp; Photon Integrated Circuits &amp; Syst EPICS L, I-67100 Laquila, Italy; [Bordi, Federico] Sapienza Univ, Phys Bioassemblies PhoBiA Grp, Dept Phys, I-00185 Rome, Italy</t>
  </si>
  <si>
    <t>Italfarmaco; Roma Tre University; Sapienza University Rome; University of L'Aquila; Sapienza University Rome</t>
  </si>
  <si>
    <t>De Marcellis, A (corresponding author), Univ Aquila, Dept Ind &amp; Informat Engn &amp; Econ, Elect &amp; Photon Integrated Circuits &amp; Syst EPICS L, I-67100 Laquila, Italy.</t>
  </si>
  <si>
    <t>angelo.sarra@uniroma3.it; guido.dipatriziostanchieri@graduate.univaq.it; andrea.demarcellis@univaq.it; federico.bordi@roma1.infn.it; paolo.postorino@roma1.infn.it; elia.palange@univaq.it</t>
  </si>
  <si>
    <t>; De Marcellis, Andrea/F-4961-2011</t>
  </si>
  <si>
    <t>PALANGE, Elia/0000-0002-2173-9985; Di Patrizio Stanchieri, Guido/0000-0001-5279-6627; De Marcellis, Andrea/0000-0003-2490-7486; POSTORINO, Paolo/0000-0002-3809-0676</t>
  </si>
  <si>
    <t>1932-4545</t>
  </si>
  <si>
    <t>1940-9990</t>
  </si>
  <si>
    <t>10.1109/TBCAS.2021.3060569</t>
  </si>
  <si>
    <t>Engineering, Biomedical; Engineering, Electrical &amp; Electronic</t>
  </si>
  <si>
    <t>WOS:000637190200015</t>
  </si>
  <si>
    <t>Marki, A; Buscher, K; Lorenzini, C; Meyer, M; Saigusa, R; Fan, ZC; Yeh, YT; Hartmann, N; Dan, JM; Kiosses, WB; Golden, GJ; Ganesan, R; Winkels, H; Orecchioni, M; McArdle, S; Mikulski, Z; Altman, Y; Bui, J; Kronenberg, M; Chien, S; Esko, JD; Nizet, V; Smalley, D; Roth, J; Ley, K</t>
  </si>
  <si>
    <t>Marki, Alex; Buscher, Konrad; Lorenzini, Cristina; Meyer, Matthew; Saigusa, Ryosuke; Fan, Zhichao; Yeh, Yi-Ting; Hartmann, Nadine; Dan, Jennifer M.; Kiosses, William B.; Golden, Gregory J.; Ganesan, Rajee; Winkels, Holger; Orecchioni, Marco; McArdle, Sara; Mikulski, Zbigniew; Altman, Yoav; Bui, Jack; Kronenberg, Mitchell; Chien, Shu; Esko, Jeffrey D.; Nizet, Victor; Smalley, David; Roth, Johannes; Ley, Klaus</t>
  </si>
  <si>
    <t>Elongated neutrophil-derived structures are blood-borne microparticles formed by rolling neutrophils during sepsis</t>
  </si>
  <si>
    <t>EXTRACELLULAR VESICLES; CELL; PROTEOME; MOUSE; CALPROTECTIN; EXOSOMES; SHOCK; SIDE</t>
  </si>
  <si>
    <t>Rolling neutrophils form tethers with submicron diameters. Here, we report that these tethers detach, forming elongated neutrophil-derived structures (ENDS) in the vessel lumen. We studied ENDS formation in mice and humans in vitro and in vivo. ENDS do not contain mitochondria, endoplasmic reticulum, or DNA, but are enriched for S100A8, S100A9, and 57 other proteins. Within hours of formation, ENDS round up, and some of them begin to present phosphatidylserine on their surface (detected by annexin-5 binding) and release S100A8-S100A9 complex, a damage-associated molecular pattern protein that is a known biomarker of neutrophilic inflammation. ENDS appear in blood plasma of mice upon induction of septic shock. Compared with healthy donors, ENDS are 10-100-fold elevated in blood plasma of septic patients. Unlike neutrophil-derived extracellular vesicles, most ENDS are negative for the tetraspanins CD9, CD63, and CD81. We conclude that ENDS are a new class of bloodborne submicron particles with a formation mechanism linked to neutrophil rolling on the vessel wall.</t>
  </si>
  <si>
    <t>[Marki, Alex; Buscher, Konrad; Lorenzini, Cristina; Meyer, Matthew; Saigusa, Ryosuke; Fan, Zhichao; Hartmann, Nadine; Dan, Jennifer M.; Kiosses, William B.; Winkels, Holger; Orecchioni, Marco; McArdle, Sara; Mikulski, Zbigniew; Kronenberg, Mitchell; Ley, Klaus] La Jolla Inst Immunol, La Jolla, CA 92037 USA; [Buscher, Konrad] Univ Hosp Muenster, Dept Med D, Div Gen Internal Med Nephrol &amp; Rheumatol, Munster, Germany; [Lorenzini, Cristina] Univ Fed Santa Catarina, Lab Immunobiol, Florianopolis, SC, Brazil; [Fan, Zhichao] Univ Connecticut, Ctr Hlth, Dept Immunol, Farmington, CT USA; [Yeh, Yi-Ting] Univ Calif San Diego, Mech &amp; Aerosp Engn, La Jolla, CA 92093 USA; [Dan, Jennifer M.] Univ Calif San Diego, Div Infect Dis &amp; Global Publ Hlth, La Jolla, CA 92093 USA; [Golden, Gregory J.; Esko, Jeffrey D.] Univ Calif San Diego, Dept Cellular &amp; Mol Med, La Jolla, CA 92093 USA; [Golden, Gregory J.; Esko, Jeffrey D.] Univ Calif San Diego, Glycobiol Res &amp; Training Ctr, La Jolla, CA 92093 USA; [Ganesan, Rajee] Univ North Carolina Chapel Hill, Dept Biol, Chapel Hill, NC USA; [Altman, Yoav] Sanford Burnham Prebys Med Discovery Inst, La Jolla, CA USA; [Bui, Jack] Univ Calif San Diego, Dept Pathol, La Jolla, CA 92093 USA; [Nizet, Victor] Univ Calif San Diego, Dept Pediat, La Jolla, CA 92093 USA; [Nizet, Victor] Univ Calif San Diego, Skaggs Sch Pharm &amp; Pharmaceut Sci, La Jolla, CA 92093 USA; [Smalley, David] Georgia Inst Technol, Parker H Petit Inst Bioengn &amp; Biosci, Syst Mass Spectrometry Core, Atlanta, GA 30332 USA; [Chien, Shu; Roth, Johannes] Univ Munster, Inst Immunol, Munster, Germany; [Ley, Klaus] Univ Calif San Diego, Dept Bioengn, La Jolla, CA 92093 USA; [Ley, Klaus] Univ Calif San Diego, Inst Engn Med, La Jolla, CA 92093 USA</t>
  </si>
  <si>
    <t>University of Munster; Universidade Federal de Santa Catarina (UFSC); University of Connecticut; University of California System; University of California San Diego; University of California System; University of California San Diego; University of California System; University of California San Diego; University of California System; University of California San Diego; University of North Carolina; University of North Carolina Chapel Hill; University of North Carolina School of Medicine; Sanford Burnham Prebys Medical Discovery Institute; University of California System; University of California San Diego; University of California System; University of California San Diego; University of California System; University of California San Diego; University System of Georgia; Georgia Institute of Technology; University of Munster; University of California System; University of California San Diego; University of California System; University of California San Diego</t>
  </si>
  <si>
    <t>Ley, K (corresponding author), La Jolla Inst Immunol, La Jolla, CA 92037 USA.;Ley, K (corresponding author), Univ Calif San Diego, Dept Bioengn, La Jolla, CA 92093 USA.;Ley, K (corresponding author), Univ Calif San Diego, Inst Engn Med, La Jolla, CA 92093 USA.</t>
  </si>
  <si>
    <t>klaus@lji.org</t>
  </si>
  <si>
    <t>Fan, Zhichao/A-9835-2014; Winkels, Holger/ADQ-0339-2022; Kronenberg, Mitchell/AAT-6078-2021</t>
  </si>
  <si>
    <t>Fan, Zhichao/0000-0001-5385-9626; Winkels, Holger/0000-0003-1333-2031; Saigusa, Ryosuke/0000-0002-1640-6182; Meyer, Matthew/0000-0002-7900-2062; Marki, Alex/0000-0001-8786-3711; Dan, Jennifer/0000-0002-1672-0657; Bartelle Lorenzini, Cristina/0000-0003-0651-7599; Altman, Yoav/0000-0001-6075-1111; Mikulski, Zbigniew/0000-0002-1918-9216</t>
  </si>
  <si>
    <t>e20200551</t>
  </si>
  <si>
    <t>10.1084/jem.20200551</t>
  </si>
  <si>
    <t>WOS:000625357900001</t>
  </si>
  <si>
    <t>Chen, VY; Posada, MM; Blazer, LL; Zhao, T; Rosania, GR</t>
  </si>
  <si>
    <t>Chen, Vivien Y.; Posada, Maria M.; Blazer, Levi L.; Zhao, Tong; Rosania, Gus R.</t>
  </si>
  <si>
    <t>The role of the VPS4a-exosome pathway in the intrinsic egress route of a DNA-binding anticancer drug</t>
  </si>
  <si>
    <t>cancer; doxorubicin; exosome; multivesicular body; nuclear efflux; subcellular transport; VPS4</t>
  </si>
  <si>
    <t>MULTIDRUG-RESISTANCE; CELL-LINE; P-GLYCOPROTEIN; K562 CELLS; MYELOID-LEUKEMIA; EXOSOME RELEASE; SEQUESTRATION; DAUNORUBICIN; TRAFFICKING; MECHANISMS</t>
  </si>
  <si>
    <t>Purpose. This study investigates the subcellular pharmacokinetics of drug efflux in cancer cells and explores the role of the multivesicular body (MVB) in facilitating efflux of doxorubicin, a widely used DNA-targeting anticancer agent, from the nucleus. Methods. Human erythroleukemic K562 cells were pulsed with doxorubicin and then chased in drug-free media to allow for efflux. Microscopy and biochemical techniques were used to visualize the subcellular localization of the drug and measure drug content and distribution during the efflux period. To explore the role of the MVB in doxorubicin efflux, K562 cells were transfected with dominant negative mutant forms of VPS4a-GFP chimeras. Results. Although the intracellular concentration of drug exceeds the extracellular concentration, nuclear efflux of doxorubicin occurs in living cells at a faster rate than doxorubicin unbinding from isolated nuclei into drug-free buffer. In cells expressing dominant negative VPS4a, doxorubicin accumulates in VPS4a-positive vesicles and drug sequestration is inhibited, directly implicating the MVB pathway in the egress route of doxorubicin in this cell type. Conclusions. Cellular membranes are a component of the doxorubicin efflux mechanism in K562 cells. Dominant-negative GFP chimeric mutants can be used to elucidate the role of specific membrane trafficking pathways in subcellular drug transport routes.</t>
  </si>
  <si>
    <t>Univ Michigan, Coll Pharm, Dept Pharmaceut Sci, Ann Arbor, MI 48109 USA</t>
  </si>
  <si>
    <t>University of Michigan System; University of Michigan</t>
  </si>
  <si>
    <t>Rosania, GR (corresponding author), Univ Michigan, Coll Pharm, Dept Pharmaceut Sci, 428 Church St, Ann Arbor, MI 48109 USA.</t>
  </si>
  <si>
    <t>grosania@umich.edu</t>
  </si>
  <si>
    <t>Blazer, Levi/T-6267-2019</t>
  </si>
  <si>
    <t>Blazer, Levi/0000-0001-9594-4642</t>
  </si>
  <si>
    <t>10.1007/s11095-006-9043-0</t>
  </si>
  <si>
    <t>WOS:000239666100006</t>
  </si>
  <si>
    <t>Sethuraman, A; Brown, M; Krutilina, R; Wu, ZH; Seagroves, TN; Pfeffer, LM; Fan, M</t>
  </si>
  <si>
    <t>Sethuraman, Aarti; Brown, Martin; Krutilina, Raya; Wu, Zhao-Hui; Seagroves, Tiffany N.; Pfeffer, Lawrence M.; Fan, Meiyun</t>
  </si>
  <si>
    <t>BHLHE40 confers a pro-survival and pro-metastatic phenotype to breast cancer cells by modulating HBEGF secretion</t>
  </si>
  <si>
    <t>BHLHE40; Hypoxia; Breast cancer; Metastasis; Exosomes; HBEGF</t>
  </si>
  <si>
    <t>COMPREHENSIVE MOLECULAR PORTRAITS; HEPATOCELLULAR-CARCINOMA; HYPOXIA; DEC1; TRANSCRIPTION; EXOSOMES; GROWTH; EGF; ANGIOGENESIS; ACTIVATION</t>
  </si>
  <si>
    <t>Background: Metastasis is responsible for a significant number of breast cancer-related deaths. Hypoxia, a primary driving force of cancer metastasis, induces the expression of BHLHE40, a transcription regulator. This study aimed to elucidate the function of BHLHE40 in the metastatic process of breast cancer cells. Methods: To define the role of BHLHE40 in breast cancer, BHLHE40 expression was knocked down by a lentiviral construct expressing a short hairpin RNA against BHLHE40 or knocked out by the CRISPR/Cas9 editing system. Orthotopic xenograft and experimental metastasis (tail vein injection) mouse models were used to analyze the role of BHLHE40 in lung metastasis of breast cancer. Global gene expression analysis and public database mining were performed to identify signaling pathways regulated by BHLHE40 in breast cancer. The action mechanism of BHLHE40 was examined by chromatin immunoprecipitation (ChIP), co-immunoprecipitation (CoIP), exosome analysis, and cell-based assays for metastatic potential. Results: BHLHE40 knockdown significantly reduced primary tumor growth and lung metastasis in orthotopic xenograft and experimental metastasis models of breast cancer. Gene expression analysis implicated a role of BHLHE40 in transcriptional activation of heparin-binding epidermal growth factor (HBEGF). ChIP and CoIP assays revealed that BHLHE40 induces HBEGF transcription by blocking DNA binding of histone deacetylases (HDAC)1 and HDAC2. Cell-based assays showed that HBEGF is secreted through exosomes and acts to promote cell survival and migration. Public databases provided evidence linking high expression of BHLHE40 and HBEGF to poor prognosis of triple-negative breast cancer. Conclusion: This study reveals a novel role of BHLHE40 in promoting tumor cell survival and migration by regulating HBEGF secretion.</t>
  </si>
  <si>
    <t>[Fan, Meiyun] Univ Tennessee, Hlth Sci Ctr, Dept Pathol &amp; Lab Med, 19 South Manassas St, Memphis, TN 38163 USA; Univ Tennessee, Hlth Sci Ctr, Ctr Canc Res, 19 South Manassas St, Memphis, TN 38163 USA</t>
  </si>
  <si>
    <t>University of Tennessee System; University of Tennessee Health Science Center; University of Tennessee System; University of Tennessee Health Science Center</t>
  </si>
  <si>
    <t>Fan, M (corresponding author), Univ Tennessee, Hlth Sci Ctr, Dept Pathol &amp; Lab Med, 19 South Manassas St, Memphis, TN 38163 USA.</t>
  </si>
  <si>
    <t>mfan2@uthsc.edu</t>
  </si>
  <si>
    <t>Seagroves, Tiffany/AAE-3278-2019</t>
  </si>
  <si>
    <t>Seagroves, Tiffany/0000-0002-6937-943X</t>
  </si>
  <si>
    <t>10.1186/s13058-018-1046-3</t>
  </si>
  <si>
    <t>WOS:000446494700003</t>
  </si>
  <si>
    <t>Zhao, HC; Martinis, SA</t>
  </si>
  <si>
    <t>Zhao, Hanchao; Martinis, Susan A.</t>
  </si>
  <si>
    <t>Isolation of bacterial compartments to track movement of protein synthesis factors</t>
  </si>
  <si>
    <t>Aminoacyl-tRNA synthetases; E. coli; Sub-fractionation; Outer membrane vesicle; Periplasmic space; tRNA</t>
  </si>
  <si>
    <t>TRANSFER-RNA-SYNTHETASE; OUTER-MEMBRANE VESICLES; ESCHERICHIA-COLI; CYTOPLASMIC MEMBRANE; MESSENGER-RNA; DNA; AMINOACYLATION; SOLUBILIZATION; EXPRESSION; COMPLEXES</t>
  </si>
  <si>
    <t>Aminoacyl-tRNA synthetases (AARSs) comprise an enzyme family that generates and maintains pools of aminoacylated tRNAs, which serve as essential substrates for protein synthesis. Many protein synthesis factors, including tRNA and AARSs also have non-canonical functions. Particularly in mammalian cells, alternate functions of AARSs have been associated with re-distribution in the cell to sites that are removed from translation. Sub-fractionation methods for E. coli were designed and optimized to carefully investigate re-localization of bacterial AARSs and tRNA that might aid in conferring alternate activities. Cell fractionation included isolation of the cytoplasm, periplasm, membrane, outer membrane vesicles, and extracellular media. Specific endogenous proteins and RNAs were probed respectively within each fraction via Western blots using antibodies and by Northern blots with primers to unique regions of the nucleic acid. (C) 2016 Published by Elsevier Inc.</t>
  </si>
  <si>
    <t>[Zhao, Hanchao; Martinis, Susan A.] Univ Illinois, Dept Biochem, 600 S Mathews Ave, Urbana, IL 61801 USA; [Zhao, Hanchao] Scripps Res Inst, 10550 North Torrey Pines Rd,BCC379, La Jolla, CA 92037 USA</t>
  </si>
  <si>
    <t>University of Illinois System; University of Illinois Urbana-Champaign; Scripps Research Institute</t>
  </si>
  <si>
    <t>Martinis, SA (corresponding author), Univ Illinois, Dept Biochem, 600 S Mathews Ave, Urbana, IL 61801 USA.</t>
  </si>
  <si>
    <t>martinis@illinois.edu</t>
  </si>
  <si>
    <t>Martinis, Susan/0000-0001-5730-8346; Zhao, Hanchao/0000-0002-4121-2435</t>
  </si>
  <si>
    <t>10.1016/j.ymeth.2016.11.015</t>
  </si>
  <si>
    <t>WOS:000393014400014</t>
  </si>
  <si>
    <t>Xiong, YL; Xiong, YL; Zhang, HC; Zhao, YX; Han, KY; Zhang, JS; Zhao, DM; Yu, ZH; Geng, ZR; Wang, LF; Wang, YM; Luan, XY</t>
  </si>
  <si>
    <t>Xiong, Yanlian; Xiong, Yanlei; Zhang, Hengchao; Zhao, Yaxuan; Han, Kaiyue; Zhang, Jiashen; Zhao, Dongmei; Yu, Zhenhai; Geng, Ziran; Wang, Longfei; Wang, Yueming; Luan, Xiying</t>
  </si>
  <si>
    <t>hPMSCs-Derived Exosomal miRNA-21 Protects Against Aging-Related Oxidative Damage of CD4(+) T Cells by Targeting the PTEN/PI3K-Nrf2 Axis</t>
  </si>
  <si>
    <t>aging; miR-21; Nrf2; CD4+T cells; hPMSC; exosomes</t>
  </si>
  <si>
    <t>EXPRESSION; SENESCENCE; DELIVERY; CANCER; INJURY; NRF2</t>
  </si>
  <si>
    <t>Mesenchymal stem cells (MSCs)-derived exosomes were considered a novel therapeutic approach in many aging-related diseases. This study aimed to clarify the protective effects of human placenta MSCs-derived exosomes (hPMSC-Exo) in aging-related CD4(+) T cell senescence and identified the underlying mechanisms using a D-gal induced mouse aging model. Senescent T cells were detected SA-beta-gal stain. The degree of DNA damage was evaluated by detecting the level of 8-OH-dG. The superoxide dismutase (SOD) and total antioxidant capacity (T-AOC) activities were measured. The expression of aging-related proteins and senescence-associated secretory phenotype (SASP) were detected by Western blot and RT-PCR. We found that hPMSC-Exo treatment markedly decreased oxidative stress damage (ROS and 8-OH-dG), SA-beta-gal positive cell number, aging-related protein expression (p53 and gamma-H2AX), and SASP expression (IL-6 and OPN) in senescent CD4(+) T cells. Additionally, hPMSC-Exo containing miR-21 effectively downregulated the expression of PTEN, increased p-PI3K and p-AKT expression, and Nrf2 nuclear translocation and the expression of downstream target genes (NQO1 and HO-1) in senescent CD4(+) T cells. Furthermore, in vitro studies uncovered that hPMSC-Exo attenuated CD4(+) T cell senescence by improving the PTEN/PI3K-Nrf2 axis by using the PTEN inhibitor bpV (HOpic). We also validated that PTEN was a target of miR-21 by using a luciferase reporter assay. Collectively, the obtained results suggested that hPMSC-Exo attenuates CD4(+) T cells senescence via carrying miRNA-21 and activating PTEN/PI3K-Nrf2 axis mediated exogenous antioxidant defenses.</t>
  </si>
  <si>
    <t>[Xiong, Yanlian; Yu, Zhenhai; Geng, Ziran; Wang, Longfei] Binzhou Med Univ, Sch Basic Med, Dept Anat, Yantai, Peoples R China; [Xiong, Yanlei] Capital Med Univ, Xuanwu Hosp, Dept Pathol, Beijing, Peoples R China; [Zhang, Hengchao; Zhao, Yaxuan; Han, Kaiyue; Zhang, Jiashen; Zhao, Dongmei; Wang, Yueming; Luan, Xiying] Binzhou Med Univ, Sch Basic Med, Dept Immunol, Yantai, Peoples R China</t>
  </si>
  <si>
    <t>Binzhou Medical University; Capital Medical University; Binzhou Medical University</t>
  </si>
  <si>
    <t>Xiong, YL (corresponding author), Binzhou Med Univ, Sch Basic Med, Dept Anat, Yantai, Peoples R China.;Wang, YM; Luan, XY (corresponding author), Binzhou Med Univ, Sch Basic Med, Dept Immunol, Yantai, Peoples R China.</t>
  </si>
  <si>
    <t>Xiong, Yanlian/0000-0001-5178-8932</t>
  </si>
  <si>
    <t>10.3389/fimmu.2021.780897</t>
  </si>
  <si>
    <t>WOS:000727636600001</t>
  </si>
  <si>
    <t>Solakoglu, O; Steinbach, B; Gotz, W; Heydecke, G; Schwarzenbach, H</t>
  </si>
  <si>
    <t>Solakoglu, Onder; Steinbach, Bettina; Goetz, Werner; Heydecke, Guido; Schwarzenbach, Heidi</t>
  </si>
  <si>
    <t>Characterization of circulating molecules and activities in plasma of patients after allogeneic and autologous intraoral bone grafting procedures: a prospective randomized controlled clinical trial in humans</t>
  </si>
  <si>
    <t>BMC ORAL HEALTH</t>
  </si>
  <si>
    <t>Allogeneic bone grafts; Autologous bone grafts; Cf DNA; microRNAs; Exosome; Caspase; Plasma</t>
  </si>
  <si>
    <t>EXTRACELLULAR VESICLES; TOOTH EXTRACTION; NUCLEIC-ACIDS; DNA; REGENERATION; APOPTOSIS; EXOSOMES; REVEALS</t>
  </si>
  <si>
    <t>Background: The objective was to assess whether intraoral bone augmentation procedures have an impact on the patient's plasma levels of circulating nucleic acids, exosomes, miRNA levels and caspase activities. The null hypothesis was tested, that no significant differences between the two groups will be found. Methods: In this prospective randomized controlled clinical trial 35 systemically healthy non-smoking participants were randomly allocated using sealed envelopes by a blinded clinician not involved in the clinical setting. Plasma samples were collected preoperatively and 3 times postoperatively (immediately, 5 weeks and 4 months postoperatively). The test group consisted of twenty-five patients who received allogeneic bone grafting material and the control group of ten patients who received autologous bone grafts. Levels of cell-free DNA (cfDNA) and microRNAs (miR-21, miR-27a, miR-218) were quantified by real-time PCR, caspase activities and exosome concentrations were determined by ELISA. Results: Statistical evaluation reveled a significantly higher exosome level before surgery (p= 0.013) and the first postsurgical sample (p= 0.017) in the control group compared to the test group. The levels of miR-27a and miR-218 significantly differed between the plasma samples before surgery and after surgery in both groups. The levels of miR-21 only significantly differed between the pre- and postsurgical plasma samples in the test group, but not in the control group. All patients completed the study, no adverse events were recorded. Conclusions: Our data show the diagnostic potential of the plasma levels of miR-27a, miR-218 and miR-21 in detecting changes in bone metabolism after alveolar bone augmentation. Our very promising results indicate that there might be a high diagnostic potential in evaluating the plasma levels of the before mentioned miRNAs in order to detect bone resorption activities before they become clinically relevant.</t>
  </si>
  <si>
    <t>[Solakoglu, Onder; Heydecke, Guido] Univ Med Ctr Hamburg Eppendorf, Ctr Dent &amp; Oral Med, Dent Dept, Martinistr 52, D-20246 Hamburg, Germany; [Solakoglu, Onder] Practice Ltd Periodontol &amp; Implant Dent, Hamburg, Germany; [Steinbach, Bettina; Schwarzenbach, Heidi] Univ Med Ctr Hamburg Eppendorf, Dept Tumor Biol, Hamburg, Germany; [Goetz, Werner] Univ Bonn, Dept Orthodont, Lab Oral Biol Basic Sci, Bonn, Germany</t>
  </si>
  <si>
    <t>University of Hamburg; University Medical Center Hamburg-Eppendorf; University of Hamburg; University Medical Center Hamburg-Eppendorf; University of Bonn</t>
  </si>
  <si>
    <t>Solakoglu, O (corresponding author), Univ Med Ctr Hamburg Eppendorf, Ctr Dent &amp; Oral Med, Dent Dept, Martinistr 52, D-20246 Hamburg, Germany.;Solakoglu, O (corresponding author), Practice Ltd Periodontol &amp; Implant Dent, Hamburg, Germany.</t>
  </si>
  <si>
    <t>o.solakoglu@uke.de</t>
  </si>
  <si>
    <t>1472-6831</t>
  </si>
  <si>
    <t>JAN 30</t>
  </si>
  <si>
    <t>10.1186/s12903-021-02036-7</t>
  </si>
  <si>
    <t>WOS:000748416000001</t>
  </si>
  <si>
    <t>Manzenreiter, R; Kienberger, F; Marcos, V; Schilcher, K; Krautgartner, WD; Obermayer, A; Huml, M; Stoiber, W; Hector, A; Griese, M; Hannig, M; Studnicka, M; Vitkov, L; Hart, D</t>
  </si>
  <si>
    <t>Manzenreiter, Reinhard; Kienberger, Ferry; Marcos, Veronica; Schilcher, Kurt; Krautgartner, Wolf D.; Obermayer, Astrid; Huml, Marlene; Stoiber, Walter; Hector, Andreas; Griese, Matthias; Hannig, Matthias; Studnicka, Michael; Vitkov, Ljubomir; Hart, Dominik</t>
  </si>
  <si>
    <t>Ultrastructural characterization of cystic fibrosis sputum using atomic force and scanning electron microscopy</t>
  </si>
  <si>
    <t>JOURNAL OF CYSTIC FIBROSIS</t>
  </si>
  <si>
    <t>NETs; DNA; DNase; Cystic fibrosis; Sputum; Liquefaction; Neutrophil ectosomes</t>
  </si>
  <si>
    <t>NEUTROPHIL EXTRACELLULAR TRAPS; AIRWAY INFLAMMATION; DORNASE-ALPHA; VESICLES; NETS; DNA; VISCOELASTICITY; PREECLAMPSIA; SURFACE; FLUID</t>
  </si>
  <si>
    <t>Background: Cystic fibrosis (CF) lung disease is characterized by perpetuated neutrophilic inflammation with progressive tissue destruction. Neutrophils represent the major cellular fraction in CF airway fluids and are known to form neutrophil extracellular traps (NETs) upon stimulation. Large amounts of extracellular DNA-NETs are present in CF airway fluids. However, the structural contribution of NETs to the matrix composition of CF airway fluid remains poorly understood. We hypothesized that CF airway fluids consist of distinct DNA-NETs that are associated to subcellular structures. Methodology/principal findings: We employed atomic force microcopy (AFM) and scanning electron microcopy to ultrastructurally characterize the nature of CF sputum and the role of NETs within the extracellular CF sputum matrix. These studies demonstrate that CF sputum is predominantly composed of a high-density meshwork of NETs and NETosis-derived material. Treatment of CF sputum with different DNases degraded CF NETs and efficiently liquefied the mucous-like structure of CF sputum. Quantitative analysis of AFM results showed the presence of three globular fractions within CF sputum and the larger two ones featured characteristics of neutrophil ectosomes. Conclusions/significance: These studies suggest that excessive NET formation represents the major factor underlying the gel-like structure of CF sputum and provide evidence that CF-NETs contain ectosome-like structures that could represent targets for future therapeutic approaches. (C) 2011 European Cystic Fibrosis Society. Published by Elsevier B.V. All rights reserved.</t>
  </si>
  <si>
    <t>[Krautgartner, Wolf D.; Obermayer, Astrid; Stoiber, Walter; Vitkov, Ljubomir] Salzburg Univ, Dept Light &amp; Electron Microscopy, A-5020 Salzburg, Austria; [Manzenreiter, Reinhard; Schilcher, Kurt; Huml, Marlene] Upper Austria Univ Appl Sci, Sch Appl Hlth &amp; Social Sci, Linz, Austria; [Kienberger, Ferry] Agilent Technol Osterreich GmbH, Linz, Austria; [Hannig, Matthias; Vitkov, Ljubomir] Univ Saarland, Clin Operat Dent Periodontol &amp; Prevent Dent, D-6650 Homburg, Germany; [Marcos, Veronica; Hector, Andreas; Griese, Matthias] Univ Munich, Childrens Hosp, D-8000 Munich, Germany; [Studnicka, Michael] Paracelsus Med Univ, Dept Pulm Med, Salzburg, Austria; [Hart, Dominik] Univ Tubingen, Childrens Hosp, Tubingen, Germany</t>
  </si>
  <si>
    <t>Salzburg University; Agilent Technologies; Saarland University; University of Hamburg; University Medical Center Hamburg-Eppendorf; University of Munich; Paracelsus Private Medical University; Eberhard Karls University of Tubingen; TUBINGEN UNIVERSITY CHILDRENS HOSPITAL; University of Hamburg; University Medical Center Hamburg-Eppendorf</t>
  </si>
  <si>
    <t>Vitkov, L (corresponding author), Salzburg Univ, Dept Light &amp; Electron Microscopy, A-5020 Salzburg, Austria.</t>
  </si>
  <si>
    <t>lvitkov@yahoo.com</t>
  </si>
  <si>
    <t>Vitkov, Ljubomir/H-5873-2019</t>
  </si>
  <si>
    <t>Vitkov, Ljubomir/0000-0002-1249-0161; Hector, Andreas/0000-0002-5745-4746; Kienberger, Ferry/0000-0003-4943-1672</t>
  </si>
  <si>
    <t>1569-1993</t>
  </si>
  <si>
    <t>10.1016/j.jcf.2011.09.008</t>
  </si>
  <si>
    <t>WOS:000302423300003</t>
  </si>
  <si>
    <t>Bendinelli, P; Maroni, P; Matteucci, E; Desiderio, MA</t>
  </si>
  <si>
    <t>Bendinelli, Paola; Maroni, Paola; Matteucci, Emanuela; Desiderio, Maria Alfonsina</t>
  </si>
  <si>
    <t>Epigenetic regulation of HGF/Met receptor axis is critical for the outgrowth of bone metastasis from breast carcinoma</t>
  </si>
  <si>
    <t>HEPATOCYTE GROWTH-FACTOR; MESENCHYMAL-EPITHELIAL TRANSITION; DNA METHYLATION; CANCER METASTASIS; M-CSF; MET; EXPRESSION; PLASTICITY; EXOSOMES; CELLS</t>
  </si>
  <si>
    <t>Our translational research deals with the influence of microenvironment on the phenotype and colonization of bone metastases from breast carcinoma, and on pre-metastatic niche formation. The aim of the present study was to clarify the origin of hepatocyte growth factor (HGF), ligand of Met receptor, the control of the axis HGF/Met by DNA methylation, and its importance for the nexus supportive cells-metastatic cells and for metastasis outgrowth. In bone metastasis of the 1833-xenograft model, DNA methyltransferase blockade using the chemotherapic drug 5-aza-2'-deoxycytidine (decitabine) strongly reduced the expression of HGF/Met receptor axis and of E-cadherin, with decrease of metastasis wideness and osteolysis, prolonging mice survival. Thus, DNA methylation events acted as commanders of breast carcinoma cells metastatizing to bone influencing the epithelial phenotype. HGF emerged as a bone-marrow stimulus, and the exosomes seemed to furnish HGF to metastatic cells. In fact, decitabine treatment similarly affected some markers of these microvesicles and HGF, indicating that its supply to recipient cells was prevented. Notably, in bone metastasis the hypomethylation of HGF, Met and E-cadherin promoters did not appear responsible for their elevated expression, but we suggest the involvement of hypermethylated regulators and of Wwox oncosuppressor, the latter being affected by decitabine. Wwox expression increased under decitabine strongly localizing in nuclei of bone metastases. We hypothesize a role of Wwox in Met activity since in vitro Wwox overexpression downregulated the level of nuclear-Met protein fragment and Met stability, also under long exposure of 1833 cells to decitabine. HGF enhanced phosphoMet and the activity in nuclei, an effect partially prevented by decitabine. Altogether, the data indicated the importance to target the tumor microenvironment by blocking epigenetic mechanisms, which control critical events for colonization such as HGF/Met axis and Wwox, as therapy of bone metastasis.</t>
  </si>
  <si>
    <t>[Bendinelli, Paola; Matteucci, Emanuela; Desiderio, Maria Alfonsina] Univ Milan, Dipartimento Sci Biomed Salute, Mol Pathol Lab, Via L Mangiagalli 31, I-20133 Milan, Italy; [Maroni, Paola] Ist Ortoped Galeazzi IRCCS, Via R Galeazzi 4, I-20161 Milan, Italy</t>
  </si>
  <si>
    <t>University of Milan; IRCCS Istituto Ortopedico Galeazzi</t>
  </si>
  <si>
    <t>Desiderio, MA (corresponding author), Univ Milan, Dipartimento Sci Biomed Salute, Mol Pathol Lab, Via L Mangiagalli 31, I-20133 Milan, Italy.</t>
  </si>
  <si>
    <t>a.desiderio@unimi.it</t>
  </si>
  <si>
    <t>Maroni, Paola/B-1366-2017</t>
  </si>
  <si>
    <t>Maroni, Paola/0000-0002-3444-9338</t>
  </si>
  <si>
    <t>e2578</t>
  </si>
  <si>
    <t>10.1038/cddis.2016.403</t>
  </si>
  <si>
    <t>WOS:000393680700028</t>
  </si>
  <si>
    <t>Palomino, MM; Martin, JF; Allievi, MC; Dieterle, ME; Sanchez-Rivas, C; Ruzal, SM</t>
  </si>
  <si>
    <t>Ruzal, SM</t>
  </si>
  <si>
    <t>Mercedes Palomino, Maria; Fina Martin, Joaquina; Allievi, Mariana C.; Eugenia Dieterle, Maria; Sanchez-Rivas, Carmen; Ruzal, Sandra M.</t>
  </si>
  <si>
    <t>DNA Transfer in Lactobacillus: An Overview</t>
  </si>
  <si>
    <t>LACTOBACILLUS GENOMICS AND METABOLIC ENGINEERING</t>
  </si>
  <si>
    <t>HORIZONTAL GENE-TRANSFER; LACTIC-ACID PRODUCTION; PROTOPLAST FUSION; BACILLUS-SUBTILIS; CONJUGAL TRANSFER; EXTRACELLULAR VESICLES; BACTERIAL COMPETENCE; COMPARATIVE GENOMICS; HIGH-FREQUENCY; PLASMID</t>
  </si>
  <si>
    <t>An overview of the fundamental basis for the introduction of DNA into Lactobacillus species is given in this chapter. Natural ways for introducing DNA such as transformation, transduction or conjugation are reported in few strains. No evidence for natural competence is available in particular in probiotic Lactobacillus strains, although various components of natural gene transfer systems are present in various genomes. Protoplast fusion and transfection are also described. The most popular method used for introducing foreign DNA is electroporation, mostly based on cell wall weakening prior to electroshock. The composition of the envelope, in particular the presence or not of an S-layer, and the content of endogenous plasmids in the different Lactobacillus species result in different transformation efficiencies. The use of ssRNA as donor and CRISPR-Cas as the recombineering factor open the way for obtaining recombinants with the need of high efficiency DNA transfer systems to succeed in the genetic modifications.</t>
  </si>
  <si>
    <t>[Mercedes Palomino, Maria; Fina Martin, Joaquina; Allievi, Mariana C.; Eugenia Dieterle, Maria; Sanchez-Rivas, Carmen; Ruzal, Sandra M.] Univ Buenos Aires, Fac Ciencias Exactas &amp; Nat, Dept Quim Biol, Buenos Aires, DF, Argentina; [Mercedes Palomino, Maria; Fina Martin, Joaquina; Allievi, Mariana C.; Eugenia Dieterle, Maria; Sanchez-Rivas, Carmen; Ruzal, Sandra M.] Univ Buenos Aires, Fac Ciencias Exactas &amp; Nat IQUIBICEN, Inst Quim Biol, CONICET, Buenos Aires, DF, Argentina</t>
  </si>
  <si>
    <t>Ruzal, SM (corresponding author), Univ Buenos Aires, Fac Ciencias Exactas &amp; Nat, Dept Quim Biol, Buenos Aires, DF, Argentina.;Ruzal, SM (corresponding author), Univ Buenos Aires, Fac Ciencias Exactas &amp; Nat IQUIBICEN, Inst Quim Biol, CONICET, Buenos Aires, DF, Argentina.</t>
  </si>
  <si>
    <t>sandra@qb.fcen.uba.ar</t>
  </si>
  <si>
    <t>978-1-910190-89-0; 978-1-910190-90-6</t>
  </si>
  <si>
    <t>10.21775/9781910190890.08</t>
  </si>
  <si>
    <t>10.21775/9781910190890</t>
  </si>
  <si>
    <t>WOS:000447822800009</t>
  </si>
  <si>
    <t>Worner, PM; Schachtele, DJ; Barabadi, Z; Srivastav, S; Chandrasekar, B; Izadpanah, R; Alt, EU</t>
  </si>
  <si>
    <t>Worner, Philipp M.; Schachtele, Deborah J.; Barabadi, Zahra; Srivastav, Sudesh; Chandrasekar, Bysani; Izadpanah, Reza; Alt, Eckhard U.</t>
  </si>
  <si>
    <t>Breast Tumor Microenvironment Can Transform Naive Mesenchymal Stem Cells into Tumor-Forming Cells in Nude Mice</t>
  </si>
  <si>
    <t>breast cancer; mesenchymal stem cells; tumor microenvironment; exosomes; cellular communication; proinflammatory cytokines</t>
  </si>
  <si>
    <t>BONE-MARROW; CANCER STATISTICS; GROWTH-FACTOR; SUPPRESSOR; EXOSOMES; GENE; DIFFERENTIATION; EXPRESSION; SECRETION; PHENOTYPE</t>
  </si>
  <si>
    <t>How mesenchymal stem cells (MSCs) interact with tumor cells and promote tumor growth is not well understood. In this study, we demonstrate that when naive MSCs and malignant breast cancer cells (MDA-MB231) were injected into opposing mammary glands of an immunodeficient nude mouse, both cell types formed tumor-like masses within 8 weeks at the injected site. Surprisingly, MDA-MB231 cells were detected in the opposing mammary gland injected with the naive MSCs, indicating migration and crosstalk between naive MSCs and MDA-MB231 cells. Furthermore, when naive MSCs preexposed to MDA-MB231-derived conditioned medium (CM; MSCCM) or purified exosomes (Exo; MSCExo) were injected into mammary glands of nude mice, they too formed a tumor-like mass with stromal tissue within 14 weeks. Interestingly, cells dissociated from these primary explants also formed tumor-like masses. Finally, injecting MSCCM or MSCExo and naive MSCs into opposing mammary glands formed tumor-like masses on the naive MSC-injected side, suggesting migration and crosstalk between MSCCM or MSCExo with naive MSCs, similar to that observed between malignant MDA-MB231 cells and naive MSCs. Importantly, molecular analysis of MSCCM and MSCExo revealed DNA hypermethylation. These data demonstrate that MSCs and breast cancer cells communicate, resulting in the transformation of naive MSCs into cells capable of forming explants in nude mice. Our data also suggest that DNA hypermethylation might have contribute to their migration. Understanding the crosstalk between MSCs and tumor cells, and identifying the players involved in their interaction, will help us develop novel therapeutics for breast cancer regression and elimination.</t>
  </si>
  <si>
    <t>[Worner, Philipp M.; Schachtele, Deborah J.; Barabadi, Zahra; Izadpanah, Reza; Alt, Eckhard U.] Tulane Univ, Hlth Sci Ctr, Dept Med, Appl Stem Cell Lab,Heart &amp; Vasc Inst, 1430 Tulane Ave, New Orleans, LA 70112 USA; [Srivastav, Sudesh] Tulane Univ, Dept Global Biostat &amp; Data Sci, New Orleans, LA 70118 USA; [Chandrasekar, Bysani] Harry S Truman Vet Mem Hosp, Columbia, MO USA; [Chandrasekar, Bysani] Univ Missouri, Sch Med, Dept Med, Columbia, MO 65212 USA; [Izadpanah, Reza] Tulane Univ, Hlth Sci Ctr, Dept Surg, New Orleans, LA 70118 USA</t>
  </si>
  <si>
    <t>Tulane University; Tulane University; US Department of Veterans Affairs; Veterans Health Administration (VHA); Harry S. Truman Memorial Veterans' Hospital; University of Missouri System; University of Missouri Columbia; Tulane University</t>
  </si>
  <si>
    <t>Izadpanah, R; Alt, EU (corresponding author), Tulane Univ, Hlth Sci Ctr, Dept Med, Appl Stem Cell Lab,Heart &amp; Vasc Inst, 1430 Tulane Ave, New Orleans, LA 70112 USA.</t>
  </si>
  <si>
    <t>rizadpan@tulane.edu; ealt@tulane.edu</t>
  </si>
  <si>
    <t>Barabadi, Zahra/T-4370-2017</t>
  </si>
  <si>
    <t>Barabadi, Zahra/0000-0002-3932-3734; Izadpanah, Reza/0000-0002-4520-8150</t>
  </si>
  <si>
    <t>10.1089/scd.2018.0110</t>
  </si>
  <si>
    <t>WOS:000463918100005</t>
  </si>
  <si>
    <t>Bao, J; Qiu, XP; Wang, DQ; Yang, HS; Zhao, JY; Qi, YL; Zhang, LL; Chen, XH; Yang, M; Gu, W; Huo, DQ; Luo, Y; Hou, CJ</t>
  </si>
  <si>
    <t>Bao, Jing; Qiu, Xiaopei; Wang, Deqiang; Yang, Huisi; Zhao, Jiaying; Qi, Yanli; Zhang, Liangliang; Chen, Xiaohui; Yang, Mei; Gu, Wei; Huo, Danqun; Luo, Yang; Hou, Changjun</t>
  </si>
  <si>
    <t>Carbon Nanomaze for Biomolecular Detection with Zeptomolar Sensitivity</t>
  </si>
  <si>
    <t>ADVANCED FUNCTIONAL MATERIALS</t>
  </si>
  <si>
    <t>carbon nanomaze; DNA tetrahedron; electrochemical sensing; trace biomolecules</t>
  </si>
  <si>
    <t>ELECTROCHEMICAL DETECTION; GOLD NANOPARTICLES; GENE-EXPRESSION; NUCLEIC-ACIDS; GRAPHENE; DNA; BIOSENSORS; CANCER; MICRORNA; GROWTH</t>
  </si>
  <si>
    <t>Despite numerous efforts, the accurate determination of trace biomolecules with zeptomolar sensitivity remains elusive. Here, a 3D carbon nanomaze (CAM) electrode for the ultrasensitive detection of trace biomolecules such as nucleic acids, proteins, and extracellular vesicles is reported. The CAM electrode consists of an interlaced carbon fiber array on which intercrossed graphene sheets are vertically tethered in situ, permitting local confinement of trace molecules to increase molecular hybridization efficiency. Furthermore, a self-assembled DNA tetrahedron array adopts a rigid spatial conformation to guarantee the controllable arrangement of immobilized biological probes, facilitating analytical sensitivity and reproducibility. In a proof-of-concept experiment on detecting microRNA-155, a linearity of 0.1 aM to 100 nM and a sensitivity of 0.023 aM (23 zM) are achieved. With the optimal parameters, the proposed nanoelectrode demonstrates encouraging consistency with quantitative real-time polymerase chain reaction during clinical sample detection. Through simple functionalization by appending various biomolecular probes of interest, the developed CAM platform with ultrahigh sensitivity can be exploited as a versatile tool in environmental, chemistry, biology, and healthcare fields.</t>
  </si>
  <si>
    <t>[Bao, Jing; Yang, Huisi; Zhao, Jiaying; Qi, Yanli; Zhang, Liangliang; Chen, Xiaohui; Yang, Mei; Gu, Wei; Huo, Danqun; Hou, Changjun] Chongqing Univ, Key Lab Biorheol Sci &amp; Technol, State &amp; Local Joint Engn Lab Vasc Implants, Bioengn Coll,Minist Educ, Chongqing 400044, Peoples R China; [Bao, Jing; Qiu, Xiaopei] Third Mil Med Univ, Southwest Hosp, Dept Clin Lab Med, Army Med Univ, Chongqing 400038, Peoples R China; [Wang, Deqiang] Chinese Acad Sci, Chongqing Inst Green &amp; Intelligent Technol, Beijing 400714, Peoples R China; [Zhang, Liangliang; Chen, Xiaohui; Gu, Wei; Luo, Yang] Chongqing Univ, Ctr Smart Lab &amp; Mol Med, Med Sch, Chongqing 400044, Peoples R China; [Hou, Changjun] Chongqing Univ, Sch Microelect &amp; Commun Engn, Chongqing Key Lab Biopercept &amp; Intelligent Inform, Chongqing 400044, Peoples R China</t>
  </si>
  <si>
    <t>Chongqing University; Army Medical University; Chinese Academy of Sciences; Chongqing Institute of Green &amp; Intelligent Technology, CAS; Chongqing University; Chongqing University</t>
  </si>
  <si>
    <t>Huo, DQ; Hou, CJ (corresponding author), Chongqing Univ, Key Lab Biorheol Sci &amp; Technol, State &amp; Local Joint Engn Lab Vasc Implants, Bioengn Coll,Minist Educ, Chongqing 400044, Peoples R China.;Luo, Y (corresponding author), Chongqing Univ, Ctr Smart Lab &amp; Mol Med, Med Sch, Chongqing 400044, Peoples R China.;Hou, CJ (corresponding author), Chongqing Univ, Sch Microelect &amp; Commun Engn, Chongqing Key Lab Biopercept &amp; Intelligent Inform, Chongqing 400044, Peoples R China.</t>
  </si>
  <si>
    <t>huodq@cqu.edu.cn; luoy@cqu.edu.cn; houcj@cqu.edu.cn</t>
  </si>
  <si>
    <t>LUO, Yang/C-2406-2011</t>
  </si>
  <si>
    <t>LUO, Yang/0000-0002-0166-9027; Bao, Jing/0000-0003-3347-1426</t>
  </si>
  <si>
    <t>1616-301X</t>
  </si>
  <si>
    <t>1616-3028</t>
  </si>
  <si>
    <t>10.1002/adfm.202006521</t>
  </si>
  <si>
    <t>WOS:000594820000001</t>
  </si>
  <si>
    <t>Pinto, DO; DeMarino, C; Vo, TT; Cowen, M; Kim, Y; Pleet, ML; Barclay, RA; Noren Hooten, N; Evans, MK; Heredia, A; Batrakova, EV; Iordanskiy, S; Kashanchi, F</t>
  </si>
  <si>
    <t>Pinto, Daniel O.; DeMarino, Catherine; Vo, Thy T.; Cowen, Maria; Kim, Yuriy; Pleet, Michelle L.; Barclay, Robert A.; Noren Hooten, Nicole; Evans, Michele K.; Heredia, Alonso; Batrakova, Elena, V; Iordanskiy, Sergey; Kashanchi, Fatah</t>
  </si>
  <si>
    <t>Low-Level Ionizing Radiation Induces Selective Killing of HIV-1-Infected Cells with Reversal of Cytokine Induction Using mTOR Inhibitors</t>
  </si>
  <si>
    <t>HIV-1; autophagy; extracellular vesicles; latency reversal; Ionizing radiation; cell death; shock and kill; mTOR inhibition; HIV-1 therapy; inflammation</t>
  </si>
  <si>
    <t>HIV-INFECTED PATIENTS; LONG TERMINAL REPEAT; REACTIVE OXYGEN; TRANSCRIPTIONAL REGULATION; ELONGATION-FACTORS; VIRAL PERSISTENCE; IMMUNE-ACTIVATION; LATENCY REVERSAL; DNA-DAMAGE; LIFE-SPAN</t>
  </si>
  <si>
    <t>HIV-1 infects 39.5 million people worldwide, and cART is effective in preventing viral spread by reducing HIV-1 plasma viral loads to undetectable levels. However, viral reservoirs persist by mechanisms, including the inhibition of autophagy by HIV-1 proteins (i.e., Nef and Tat). HIV-1 reservoirs can be targeted by the shock and kill strategy, which utilizes latency-reversing agents (LRAs) to activate latent proviruses and immunotarget the virus-producing cells. Yet, limitations include reduced LRA permeability across anatomical barriers and immune hyper-activation. Ionizing radiation (IR) induces effective viral activation across anatomical barriers. Like other LRAs, IR may cause inflammation and modulate the secretion of extracellular vesicles (EVs). We and others have shown that cells may secrete cytokines and viral proteins in EVs and, therefore, LRAs may contribute to inflammatory EVs. In the present study, we mitigated the effects of IR-induced inflammatory EVs (i.e., TNF-alpha), through the use of mTOR inhibitors (mTORi; Rapamycin and INK128). Further, mTORi were found to enhance the selective killing of HIV-1-infected myeloid and T-cell reservoirs at the exclusion of uninfected cells, potentially via inhibition of viral transcription/translation and induction of autophagy. Collectively, the proposed regimen using cART, IR, and mTORi presents a novel approach allowing for the targeting of viral reservoirs, prevention of immune hyper-activation, and selectively killing latently infected HIV-1 cells.</t>
  </si>
  <si>
    <t>[Pinto, Daniel O.; DeMarino, Catherine; Vo, Thy T.; Cowen, Maria; Kim, Yuriy; Pleet, Michelle L.; Barclay, Robert A.; Kashanchi, Fatah] George Mason Univ, Sch Syst Biol, Lab Mol Virol, Manassas, VA 20110 USA; [Noren Hooten, Nicole; Evans, Michele K.] NIA, Lab Epidemiol &amp; Populat Sci, NIH, Baltimore, MD 21224 USA; [Heredia, Alonso] Univ Maryland, Sch Med, Inst Human Virol, Baltimore, MD 21201 USA; [Batrakova, Elena, V] Univ N Carolina, Dept Med, HIV Cure Ctr, Chapel Hill, NC 27599 USA; [Batrakova, Elena, V] Univ N Carolina, Sch Med, Chapel Hill, NC 27599 USA; [Iordanskiy, Sergey] Uniformed Serv Univ Hlth Sci, Dept Pharmacol &amp; Mol Therapeut, Bethesda, MD 20814 USA</t>
  </si>
  <si>
    <t>George Mason University; National Institutes of Health (NIH) - USA; NIH National Institute on Aging (NIA); University System of Maryland; University of Maryland Baltimore; University of North Carolina; University of North Carolina Chapel Hill; University of North Carolina; University of North Carolina Chapel Hill; University of North Carolina School of Medicine; Uniformed Services University of the Health Sciences - USA</t>
  </si>
  <si>
    <t>dpintol@gmu.edu; cdemarin@gmu.edu; tthyvo@gmail.com; mcowen4@gmu.edu; ykim78@gmu.edu; mpleet@gmu.edu; rbarclay@gmu.edu; norenhootenn@mail.nih.gov; me42v@nih.gov; aheredia@ihv.umaryland.edu; batrakova@unc.edu; sergey.iordanskiy@usuhs.edu; fkashanc@gmu.edu</t>
  </si>
  <si>
    <t>10.3390/v12080885</t>
  </si>
  <si>
    <t>WOS:000578980600001</t>
  </si>
  <si>
    <t>Feneberg, E; Steinacker, P; Lehnert, S; Schneider, A; Walther, P; Thal, DR; Linsenmeier, M; Ludolph, AC; Otto, M</t>
  </si>
  <si>
    <t>Feneberg, Emily; Steinacker, Petra; Lehnert, Stefan; Schneider, Anja; Walther, Paul; Thal, Dietmar R.; Linsenmeier, Miriam; Ludolph, Albert C.; Otto, Markus</t>
  </si>
  <si>
    <t>Limited role of free TDP-43 as a diagnostic tool in neurodegenerative diseases</t>
  </si>
  <si>
    <t>AMYOTROPHIC LATERAL SCLEROSIS AND FRONTOTEMPORAL DEGENERATION</t>
  </si>
  <si>
    <t>TDP-43; frontotemporal lobar degeneration; amyotrophic lateral sclerosis; exosomes; cerebrospinal fluid; biomarker</t>
  </si>
  <si>
    <t>FRONTOTEMPORAL LOBAR DEGENERATION; CEREBROSPINAL-FLUID; MEMBRANE-VESICLES; EXOSOMES; PROTEIN; PLASMA</t>
  </si>
  <si>
    <t>TAR DNA-binding protein 43 (TDP-43) is one of the neuropathological hallmarks in amyotrophic lateral sclerosis (ALS) and frontotemporal lobar degeneration (FTLD). It is present in patients' blood and cerebrospinal fluid (CSF); however, the source and clinical relevance of TDP-43 measurements in body fluids is uncertain. We investigated paired CSF and serum samples, blood lymphocytes, brain urea fractions and purified exosomes from CSF for TDP-43 by one-(1D), and two-dimensional (2D) Western immunoblotting (WB) and quantitative mass spectrometry (MRM) in patients with ALS, FTLD and non-neurodegenerative diseases. By means of 2D-WB we were able to demonstrate a similar isoform pattern of TDP-43 in lymphocytes, serum and CSF in contrast to that of brain urea fractions with TDP-43 pathology. We found that the TDP-43 CSF to blood concentration ratio is about 1:200. As a possible brain specific fraction we found TDP-43 in exosome preparations from CSF by immunoblot and MRM. We conclude that TDP-43 in CSF originates mainly from blood. Measurements of TDP-43 in CSF and blood are of minor importance as a diagnostic tool, but may be important for monitoring therapy effects of TDP-43 modifying drugs.</t>
  </si>
  <si>
    <t>[Feneberg, Emily; Steinacker, Petra; Lehnert, Stefan; Ludolph, Albert C.; Otto, Markus] Univ Ulm, Dept Neurol, D-89081 Ulm, Germany; [Schneider, Anja] Univ Med Ctr, DZNE &amp; CNMPB, German Ctr Neurodegenerat Disorders, Dept Psychiat &amp; Psychotherapy, Gottingen, Germany; [Walther, Paul] Univ Ulm, Cent Facil Elect Microscopy, D-89081 Ulm, Germany; [Thal, Dietmar R.; Linsenmeier, Miriam] Univ Ulm, Inst Pathol, Neuropathol Lab, D-89081 Ulm, Germany</t>
  </si>
  <si>
    <t>Ulm University; Helmholtz Association; German Center for Neurodegenerative Diseases (DZNE); University of Gottingen; University of Hamburg; University Medical Center Hamburg-Eppendorf; Ulm University; Ulm University</t>
  </si>
  <si>
    <t>Otto, M (corresponding author), Univ Ulm, Dept Neurol, Oberer Eselsberg 45, D-89081 Ulm, Germany.</t>
  </si>
  <si>
    <t>markus.otto@uni-ulm.de</t>
  </si>
  <si>
    <t>Otto, Markus/F-4304-2015; Feneberg, Emily/GLR-0300-2022; Thal, Dietmar R/O-7483-2018</t>
  </si>
  <si>
    <t>Otto, Markus/0000-0003-4273-4267; Thal, Dietmar R/0000-0002-1036-1075; Feneberg, Emily/0000-0001-5905-3826; Schneider, Anja/0000-0001-9540-8700</t>
  </si>
  <si>
    <t>2167-8421</t>
  </si>
  <si>
    <t>2167-9223</t>
  </si>
  <si>
    <t>10.3109/21678421.2014.905606</t>
  </si>
  <si>
    <t>Clinical Neurology</t>
  </si>
  <si>
    <t>WOS:000340827800004</t>
  </si>
  <si>
    <t>Hisada, Y; Mackman, N</t>
  </si>
  <si>
    <t>Hisada, Yohei; Mackman, Nigel</t>
  </si>
  <si>
    <t>Update from the laboratory: mechanistic studies of pathways of cancer-associated venous thrombosis using mouse models</t>
  </si>
  <si>
    <t>HEMATOLOGY-AMERICAN SOCIETY OF HEMATOLOGY EDUCATION PROGRAM</t>
  </si>
  <si>
    <t>62nd Annual Meeting and Exposition of the American-Society-of-Hematology (ASH)</t>
  </si>
  <si>
    <t>DEC 07-10, 2019</t>
  </si>
  <si>
    <t>Orlando, FL</t>
  </si>
  <si>
    <t>DEEP-VEIN THROMBOSIS; TISSUE FACTOR; EXTRACELLULAR VESICLES; FILAMIN-A; THROMBOEMBOLISM; MICROVESICLES; CHEMOTHERAPY; COAGULATION; PREDICTION; GUIDELINES</t>
  </si>
  <si>
    <t>Cancer patients have an increased risk of venous thromboembolism (VTE). The rate of VTE varies with cancer type, with pancreatic cancer having one of the highest rates, suggesting that there are cancer type-specific mechanisms of VTE. Risk assessment scores, such as the Khorana score, have been developed to identify ambulatory cancer patients at high risk of VTE. However, the Khorana score performed poorly in discriminating pancreatic cancer patients at risk of VTE. Currently, thromboprophylaxis is not recommended for cancer outpatients. Recent clinical trials showed that factor Xa (FXa) inhibitors reduced VTE in high-risk cancer patients but also increased major bleeding. Understanding the mechanisms of cancer-associated thrombosis should lead to the development of safer antithrombotic drugs. Mouse models can be used to study the role of different prothrombotic pathways in cancer-associated thrombosis. Human and mouse studies support the notion that 2 prothrombotic pathways contribute to VTE in pancreatic cancer patients: tumor-derived, tissue factor-positive (TF+) extracellular vesicles (EVs), and neutrophils and neutrophil extracellular traps (NETs). In pancreatic cancer patients, elevated levels of plasma EVTF activity and citrullinated histone H3 (H3Cit), a NET biomarker, are independently associated with VTE. We observed increased levels of circulating tumor-derived TF+ EVs, neutrophils, cell-free DNA, and H3Cit in nude mice bearing human pancreatic tumors. Importantly, inhibition of tumorderived human TF, depletion of neutrophils, or administration of DNAse I to degrade cell-free DNA (including NETs) reduced venous thrombosis in tumor-bearing mice. These studies demonstrate that tumor-derived TF+ EVs, neutrophils, and cell-free DNA contribute to venous thrombosis in a mouse model of pancreatic cancer.</t>
  </si>
  <si>
    <t>[Hisada, Yohei; Mackman, Nigel] Univ N Carolina, Dept Med, Div Hematol Oncol, Chapel Hill, NC 27515 USA</t>
  </si>
  <si>
    <t>University of North Carolina; University of North Carolina Chapel Hill</t>
  </si>
  <si>
    <t>Mackman, N (corresponding author), Univ N Carolina, Dept Med, 98 Manning Dr,8004B Mary Ellen Jones Bldg,CB 7126, Chapel Hill, NC 27599 USA.</t>
  </si>
  <si>
    <t>nmackman@med.unc.edu</t>
  </si>
  <si>
    <t>HISADA, YOHEI/I-1237-2019</t>
  </si>
  <si>
    <t>HISADA, YOHEI/0000-0001-9157-0524</t>
  </si>
  <si>
    <t>1520-4391</t>
  </si>
  <si>
    <t>1520-4383</t>
  </si>
  <si>
    <t>Education, Scientific Disciplines; Hematology</t>
  </si>
  <si>
    <t>Education &amp; Educational Research; Hematology</t>
  </si>
  <si>
    <t>WOS:000538564000026</t>
  </si>
  <si>
    <t>Bartolome-Nebreda, J; Vargas-Baquero, E; Lopez-Fernandez, C; Fernandez, JL; Johnston, S; Gosalvez, J</t>
  </si>
  <si>
    <t>Bartolome-Nebreda, Javier; Vargas-Baquero, Eduardo; Lopez-Fernandez, Carmen; Luis Fernandez, Jose; Johnston, Stephen; Gosalvez, Jaime</t>
  </si>
  <si>
    <t>Free circulating DNA and DNase activity in the ejaculates of men with spinal cord injury</t>
  </si>
  <si>
    <t>SPINAL CORD</t>
  </si>
  <si>
    <t>CELL-FREE DNA; SEMEN CHARACTERISTICS; EXOSOMES; CANCER; PLASMA</t>
  </si>
  <si>
    <t>Study design Retrospective descriptive study. Objectives To study the presence of cell-free DNA (cfDNA) and DNase activity in males with spinal cord injury (SCI) with elevated sperm DNA fragmentation. Setting Hospital in Toledo, Spain; University-based Genetics laboratory in Madrid, Spain. Methods Semen was collected from 15 males with spinal cord injury and elevated sperm DNA fragmentation (SDF). The presence and concentration of cfDNA was assessed using standard gel electrophoresis and microfluidic electrophoresis. DNase activity was evaluated in seminal plasma and under the presence of EDTA and EGTA to control the response of enzyme activity. cfDNA fragments were mapped on the sperm genome using FISH. All results were compared to 15 normozoospermic fertile donors. Results Standard gel electrophoresis revealed a cfDNA band of similar to 150 bp in all samples from males with SCI; this band was ocasionally accompanied by another band of -90 bp. These bands were not observed in normozoospermic donors. Microfluidid electrophoresis only identified the equivalent band of 150 bp. No correlation was observed between the intensity of the two bands and the level of SDF in males with SCI. Although DNase activity was present in the seminal plasma of both normozoospermic donors and men with SCI it did not digest cfDNA. cfDNA fragments were found to be hybridized all over the sperm genome. Conclusions SCI patients with elevated sperm DNA fragmentation showed a 150 bp DNA band of cfDNA in the seminal plasma, which appeared resistant to DNase activity.</t>
  </si>
  <si>
    <t>[Bartolome-Nebreda, Javier; Lopez-Fernandez, Carmen; Gosalvez, Jaime] Univ Autonoma Madrid, Dept Biol, Unit Genet, Madrid, Spain; [Bartolome-Nebreda, Javier; Lopez-Fernandez, Carmen; Gosalvez, Jaime] Halotech DNA, Madrid 28049, Spain; [Vargas-Baquero, Eduardo] Hosp Nacl Paraplej Toledo, Sexual &amp; Fertil Unit, Toledo, Spain; [Luis Fernandez, Jose] Complexo Hosp Univ A Corona CHUAC, INIBIC, Genet Unit, As Xubias 84, A Corona 15006, Spain; [Johnston, Stephen] Univ Queensland, Sch Agr &amp; Food Sci, Gatton, Qld, Australia</t>
  </si>
  <si>
    <t>Autonomous University of Madrid; Hospital Nacional de Paraplejicos; Universidade da Coruna; Instituto de Investigacion Biomedica de A Coruna (INIBIC); University of Queensland</t>
  </si>
  <si>
    <t>Johnston, S (corresponding author), Univ Queensland, Sch Agr &amp; Food Sci, Gatton, Qld, Australia.</t>
  </si>
  <si>
    <t>s.johnston1@uq.edu.au</t>
  </si>
  <si>
    <t>Johnston, Stephen/0000-0002-0290-5458; Vargas-Baquero, Eduardo/0000-0003-2831-5779</t>
  </si>
  <si>
    <t>1362-4393</t>
  </si>
  <si>
    <t>1476-5624</t>
  </si>
  <si>
    <t>10.1038/s41393-020-0518-3</t>
  </si>
  <si>
    <t>Clinical Neurology; Rehabilitation</t>
  </si>
  <si>
    <t>Neurosciences &amp; Neurology; Rehabilitation</t>
  </si>
  <si>
    <t>WOS:000547240600001</t>
  </si>
  <si>
    <t>Avetisova, KG; Kostyuk, SV; Kostyuk, EV; Ershova, ES; Shmarina, GV; Veiko, NN; Spiridonov, DS; Klimenko, PA; Kurtser, MA</t>
  </si>
  <si>
    <t>Avetisova, K. G.; Kostyuk, S., V; Kostyuk, E., V; Ershova, E. S.; Shmarina, G., V; Veiko, N. N.; Spiridonov, D. S.; Klimenko, P. A.; Kurtser, M. A.</t>
  </si>
  <si>
    <t>LEVELS OF CELL-FREE DNA AND DNASE I ACTIVITY IN COMPLICATED AND NORMAL PREGNANCIES</t>
  </si>
  <si>
    <t>BULLETIN OF RUSSIAN STATE MEDICAL UNIVERSITY</t>
  </si>
  <si>
    <t>cfDNA; DNase I; pregnancy; preeclampsia; IUGR</t>
  </si>
  <si>
    <t>FREE NUCLEIC-ACIDS; MATERNAL PLASMA; FETAL; BLOOD; MARKERS</t>
  </si>
  <si>
    <t>Placental pathology is accompanied by the activation of apoptosis in the trophoblast and the subsequent increase in the concentrations of microvesicles containing placental (or fetal) DNA accumulating in the maternal blood. Fragments of fetal DNA stimulate the release of nuclear and/or mitochondria) DNA fragments by neutrophils. Therefore, one can expect that complicated pregnancies will be characterized by the dramatic elevation of total cell-free DNA (cfDNA) levels in maternal plasma. The aim of this work was to study the dynamics of plasma cfDNA concentrations and the activity of DNase I, an enzyme involved in the elimination of cfDNA from the bloodstream, in nonpregnant and pregnant women. Our study recruited 40 healthy nonpregnant women, 40 women with uncomplicated pregnancies and 35 women with the intrauterine growth restriction (IUGR) of the fetus. We did not observe the elevation of the total cfDNA concentrations in the patients with complicated pregnancies. Moreover, cfDNA concentrations in their plasma were even lower (though this difference was statistically insignificant) than in healthy pregnant and nonpregnant women. The median values of cfDNA concentrations in the group of healthy nonpregnant women were 75.5 ng/ml; in the group of healthy pregnant women, 78.0 ng/ml; and in the patients with IUGR, 42.1 ng/ml. At the same time, we observed a significant increase in DNase I activity in the plasma of women with IUGR. The median DNase I activity in the groups of healthy pregnant and nonpregnant women was 3.0 and 3.4 IU/ml, respectively. In patients with different grades IUGR of the fetus this parameter was as high as 6.3 IU/m1 (p &lt; 0.001). Increased DNase I activity in the plasma of women with complicated pregnancies indirectly suggests a transient elevation of circulating cfDNA levels. Our study shows that the high level of activity exhibited by the cfDNA elimination system impedes the analysis of cfDNA concentrations in complicated pregnancies and skews its results. However, if cfDNA, DNase I activity and the cfDNA/DNase I ratio were all taken into account, it could be possible to develop a tool for the monitoring of cell death in the mother throughout the entire pregnancy.</t>
  </si>
  <si>
    <t>[Avetisova, K. G.; Spiridonov, D. S.; Klimenko, P. A.; Kurtser, M. A.] Pirogov Russian Natl Res Med Univ, Fac Pediat, Dept Obstet &amp; Gynecol, Moscow, Russia; [Kostyuk, S., V; Kostyuk, E., V; Ershova, E. S.; Shmarina, G., V; Veiko, N. N.] Res Ctr Med Genet, Lab Mol Biol, Moscow, Russia</t>
  </si>
  <si>
    <t>Pirogov Russian National Research Medical University; Research Centre for Medical Genetics</t>
  </si>
  <si>
    <t>Avetisova, KG (corresponding author), Sevastopolsky Prospect 24a, Moscow 117209, Russia.</t>
  </si>
  <si>
    <t>c.avetisova2016@yandex.ru</t>
  </si>
  <si>
    <t>Kurtser, Mark/AAD-9432-2021; Spiridonov, Dmitrii/AAG-2008-2021; Ershova, Elizaveta/E-3220-2015; Shmarina, Galina/B-3251-2016</t>
  </si>
  <si>
    <t>Spiridonov, Dmitrii/0000-0001-8391-7436; Ershova, Elizaveta/0000-0003-1206-5832; Shmarina, Galina/0000-0003-4851-8987</t>
  </si>
  <si>
    <t>2500-1094</t>
  </si>
  <si>
    <t>2542-1204</t>
  </si>
  <si>
    <t>10.24075/brsmu.2018.041</t>
  </si>
  <si>
    <t>WOS:000453450400011</t>
  </si>
  <si>
    <t>Huang, XY; Yuan, TZ; Tschannen, M; Sun, ZF; Jacob, H; Du, MJ; Liang, MH; Dittmar, RL; Liu, Y; Liang, MY; Kohli, M; Thibodeau, SN; Boardman, L; Wang, L</t>
  </si>
  <si>
    <t>Huang, Xiaoyi; Yuan, Tiezheng; Tschannen, Michael; Sun, Zhifu; Jacob, Howard; Du, Meijun; Liang, Meihua; Dittmar, Rachel L.; Liu, Yong; Liang, Mingyu; Kohli, Manish; Thibodeau, Stephen N.; Boardman, Lisa; Wang, Liang</t>
  </si>
  <si>
    <t>Characterization of human plasma-derived exosomal RNAs by deep sequencing</t>
  </si>
  <si>
    <t>Exosome; microRNA; Next generation sequencing; Plasma; Biomarker</t>
  </si>
  <si>
    <t>DIAGNOSTIC BIOMARKERS; CELL-DIFFERENTIATION; CEREBROSPINAL-FLUID; PROTEOMIC ANALYSIS; PROSTATE-CANCER; DENDRITIC CELLS; MESSENGER-RNAS; GASTRIC-CANCER; OVARIAN-CANCER; HUMAN SALIVA</t>
  </si>
  <si>
    <t>Background: Exosomes, endosome-derived membrane microvesicles, contain specific RNA transcripts that are thought to be involved in cell-cell communication. These RNA transcripts have great potential as disease biomarkers. To characterize exosomal RNA profiles systemically, we performed RNA sequencing analysis using three human plasma samples and evaluated the efficacies of small RNA library preparation protocols from three manufacturers. In all we evaluated 14 libraries (7 replicates). Results: From the 14 size-selected sequencing libraries, we obtained a total of 101.8 million raw single-end reads, an average of about 7.27 million reads per library. Sequence analysis showed that there was a diverse collection of the exosomal RNA species among which microRNAs (miRNAs) were the most abundant, making up over 42.32% of all raw reads and 76.20% of all mappable reads. At the current read depth, 593 miRNAs were detectable. The five most common miRNAs (miR-99a-5p, miR-128, miR-124-3p, miR-22-3p, and miR-99b-5p) collectively accounted for 48.99% of all mappable miRNA sequences. MiRNA target gene enrichment analysis suggested that the highly abundant miRNAs may play an important role in biological functions such as protein phosphorylation, RNA splicing, chromosomal abnormality, and angiogenesis. From the unknown RNA sequences, we predicted 185 potential miRNA candidates. Furthermore, we detected significant fractions of other RNA species including ribosomal RNA (9.16% of all mappable counts), long non-coding RNA (3.36%), piwi-interacting RNA (1.31%), transfer RNA (1.24%), small nuclear RNA (0.18%), and small nucleolar RNA (0.01%); fragments of coding sequence (1.36%), 5' untranslated region (0.21%), and 3' untranslated region (0.54%) were also present. In addition to the RNA composition of the libraries, we found that the three tested commercial kits generated a sufficient number of DNA fragments for sequencing but each had significant bias toward capturing specific RNAs. Conclusions: This study demonstrated that a wide variety of RNA species are embedded in the circulating vesicles. To our knowledge, this is the first report that applied deep sequencing to discover and characterize profiles of plasma-derived exosomal RNAs. Further characterization of these extracellular RNAs in diverse human populations will provide reference profiles and open new doors for the development of blood-based biomarkers for human diseases.</t>
  </si>
  <si>
    <t>[Huang, Xiaoyi; Yuan, Tiezheng; Du, Meijun; Dittmar, Rachel L.; Wang, Liang] Med Coll Wisconsin, Dept Pathol, Milwaukee, WI 53226 USA; [Huang, Xiaoyi; Yuan, Tiezheng; Du, Meijun; Dittmar, Rachel L.; Wang, Liang] Med Coll Wisconsin, Ctr Canc, Milwaukee, WI 53226 USA; [Tschannen, Michael; Jacob, Howard] Med Coll Wisconsin, Human Mol Genet Ctr, Milwaukee, WI 53226 USA; [Sun, Zhifu] Mayo Clin, Div Biomed Stat &amp; Informat, Rochester, MN 55905 USA; [Liang, Meihua] Harbin Med Univ, Affiliated Hosp 2, Dept Endocrinol, Harbin 150086, Peoples R China; [Liu, Yong; Liang, Mingyu] Med Coll Wisconsin, Dept Physiol, Milwaukee, WI 53226 USA; [Kohli, Manish; Boardman, Lisa] Mayo Clin, Dept Oncol, Rochester, MN 55905 USA; [Thibodeau, Stephen N.] Mayo Clin, Dept Lab Med &amp; Pathol, Rochester, MN 55905 USA</t>
  </si>
  <si>
    <t>Medical College of Wisconsin; Medical College of Wisconsin; Medical College of Wisconsin; Mayo Clinic; Harbin Medical University; Medical College of Wisconsin; Mayo Clinic; Mayo Clinic</t>
  </si>
  <si>
    <t>Wang, L (corresponding author), Med Coll Wisconsin, Dept Pathol, Milwaukee, WI 53226 USA.</t>
  </si>
  <si>
    <t>liwang@mcw.edu</t>
  </si>
  <si>
    <t>Kohli, Manish/AAN-8862-2021; Liang, Mingyu/A-2331-2008</t>
  </si>
  <si>
    <t>Dittmar, Rachel/0000-0002-0567-2450; Sun, Zhifu/0000-0001-8461-7523; Huang, Xiaoyi/0000-0002-2355-5688</t>
  </si>
  <si>
    <t>10.1186/1471-2164-14-319</t>
  </si>
  <si>
    <t>WOS:000318944200001</t>
  </si>
  <si>
    <t>Kim, JH; Kim, HR; Lee, BR; Choi, ES; In, SI; Kim, E</t>
  </si>
  <si>
    <t>Kim, Jung-Hee; Kim, Hye-Rim; Lee, Bo-Ram; Choi, Eun-Sook; In, Su-Il; Kim, Eunjoo</t>
  </si>
  <si>
    <t>Carcinogenic activity of PbS quantum dots screened using exosomal biomarkers secreted from HEK293 cells</t>
  </si>
  <si>
    <t>comet assay; DNA damage; exosome; high-throughput screening; lead sulfide quantum dots (PbS QDs); nanoparticle toxicity</t>
  </si>
  <si>
    <t>COMET ASSAY; DNA-DAMAGE; CANCER-CELLS; MULTIVESICULAR BODIES; EXPRESSION PROFILES; MICRORNA EXPRESSION; TUMOR-CELLS; PROTEINS; MIRNA; VESICLES</t>
  </si>
  <si>
    <t>Lead sulfide (PbS) quantum dots (QDs) have been applied in the biomedical area because they offer an excellent platform for theragnostic applications. In order to comprehensively evaluate the biocompatibility of PbS QDs in human cells, we analyzed the exosomes secreted from cells because exosomes are released during cellular stress to convey signals to other cells and serve as a reservoir of enriched biomarkers. PbS QDs were synthesized and coated with 3-mercaptopropionic acid (MPA) to allow the particles to disperse in water. Exosomes were isolated from HEK293 cells treated with PbS-MPA at concentrations of 0 mu g/mL, 5 mu g/mL, and 50 mu g/mL, and the exosomal expression levels of miRNAs and proteins were analyzed. As a result, five miRNAs and two proteins were proposed as specific exosomal biomarkers for the exposure of HEK293 cells to PbS-MPA. Based on the pathway analysis, the molecular signature of the exosomes suggested that PbS-MPA QDs had carcinogenic activity. The comet assay and expression of molecular markers, such as p53, interleukin (IL)-8, and C-X-C motif chemokine 5, indicated that DNA damage occurred in HEK293 cells following PbS-MPA exposure, which supported the carcinogenic activity of the particles. In addition, there was obvious intensification of miRNA expression signals in the exosomes compared with that of the parent cells, which suggested that exosomal biomarkers could be detected more sensitively than those of whole cellular extracts.</t>
  </si>
  <si>
    <t>[Kim, Jung-Hee; Lee, Bo-Ram; Choi, Eun-Sook; Kim, Eunjoo] DGIST, Div Nano &amp; Energy Convergence Res, Daegu 711873, South Korea; [Kim, Hye-Rim; In, Su-Il] DGIST, Dept Energy Syst Engn, Daegu 711873, South Korea</t>
  </si>
  <si>
    <t>Daegu Gyeongbuk Institute of Science &amp; Technology (DGIST); Daegu Gyeongbuk Institute of Science &amp; Technology (DGIST)</t>
  </si>
  <si>
    <t>Kim, E (corresponding author), DGIST, Div Nano &amp; Energy Convergence Res, 50-1 Sang Ri, Daegu 711873, South Korea.</t>
  </si>
  <si>
    <t>insuil@dgist.ac.kr; ejkim@dgist.ac.kr</t>
  </si>
  <si>
    <t>10.2147/IJN.S89593</t>
  </si>
  <si>
    <t>WOS:000360396700002</t>
  </si>
  <si>
    <t>Lespagnol, A; Duflaut, D; Beekman, C; Blanc, L; Fiucci, G; Marine, JC; Vidal, M; Amson, R; Telerman, A</t>
  </si>
  <si>
    <t>Lespagnol, A.; Duflaut, D.; Beekman, C.; Blanc, L.; Fiucci, G.; Marine, J-C; Vidal, M.; Amson, R.; Telerman, A.</t>
  </si>
  <si>
    <t>Exosome secretion, including the DNA damage-induced p53-dependent secretory pathway, is severely compromised in TSAP6/Steap3-null mice</t>
  </si>
  <si>
    <t>exosome; p53; TCTP; tumor reversion</t>
  </si>
  <si>
    <t>CELL-DERIVED EXOSOMES; TRANS-GOLGI NETWORK; TRANSFERRIN RECEPTOR-1; P53; PROTEINS; APOPTOSIS; GENE; INHIBITOR; BINDING; TRAFFICKING</t>
  </si>
  <si>
    <t>TSAP6 (tumor suppressor-activated pathway 6), also known as Steap3, is a direct p53 transcriptional target gene. It regulates protein secretion, for example translationally controlled tumor protein (TCTP), which is implicated in tumor reversion. In keeping with the latter, we show herein that TSAP6 is a glycosylated protein present in the trans-Golgi network, endosomal-vesicular compartment and cytoplasmic membrane. To further investigate the physiological function of TSAP6, we have generated TSAP6-deficient mice. These mice exhibit microcytic anemia with abnormal reticulocyte maturation and deficient transferrin receptor downregulation, a process known to be dependent on exosomal secretion. Moreover, we provide direct evidence that exosome production is severely compromised in TSAP6-null cells. Finally, we show that the DNA damage-induced p53-dependent nonclassical exosomal secretory pathway is abrogated in TSAP6-null cells. Given the fact that exosomes are used as cell-free vaccines against cancer and that they could be involved in the biogenesis and spread of human immunodeficiency virus, it is important to understand their regulation. The results presented here provide the first genetic demonstration that exosome formation is a tightly controlled biological process dependent of TSAP6.</t>
  </si>
  <si>
    <t>[Lespagnol, A.; Amson, R.; Telerman, A.] Ecole Normale Super, UMR 8113, LBPA, F-94235 Cachan, France; [Duflaut, D.; Fiucci, G.] Mol Engines Labs, Paris, France; [Beekman, C.; Marine, J-C] Univ Ghent VIB, Lab Mol Canc Biol, B-9052 Ghent, Belgium; [Blanc, L.; Vidal, M.] Univ Montpellier 2, CNRS, UMR 5235, Montpellier, France; [Lespagnol, A.] Ecole Doctorale Paris 7 Diderot, Paris, France; [Duflaut, D.] Ecole Doctorale Cancerol Paris 11, Paris, France</t>
  </si>
  <si>
    <t>Centre National de la Recherche Scientifique (CNRS); CNRS - National Institute for Biology (INSB); UDICE-French Research Universities; Universite Paris Saclay; Flanders Institute for Biotechnology (VIB); Ghent University; Centre National de la Recherche Scientifique (CNRS); CNRS - National Institute for Biology (INSB); Universite de Montpellier; UDICE-French Research Universities; Universite de Paris</t>
  </si>
  <si>
    <t>Telerman, A (corresponding author), Ecole Normale Super, UMR 8113, LBPA, 61 Ave President Wilson, F-94235 Cachan, France.</t>
  </si>
  <si>
    <t>adam.telerman@lbpa.ens-cachan.fr</t>
  </si>
  <si>
    <t>Marine, Jean Christophe/J-2237-2015; Marine, Jean-Christophe/K-3292-2016</t>
  </si>
  <si>
    <t>Marine, Jean-Christophe/0000-0003-2433-9837; Blanc, Lionel/0000-0002-0185-6260</t>
  </si>
  <si>
    <t>10.1038/cdd.2008.104</t>
  </si>
  <si>
    <t>WOS:000259970500006</t>
  </si>
  <si>
    <t>Herrero, A; Palenzuela, O; Rodger, H; Matthews, C; Marcos-Lopez, M; Bron, JE; Dagleish, MP; Thompson, KD</t>
  </si>
  <si>
    <t>Herrero, Ana; Palenzuela, Oswaldo; Rodger, Hamish; Matthews, Chris; Marcos-Lopez, Mar; Bron, James E.; Dagleish, Mark P.; Thompson, Kim D.</t>
  </si>
  <si>
    <t>Novel DNA-based in situ hybridization method to detect Desmozoon lepeophtherii in Atlantic salmon tissues</t>
  </si>
  <si>
    <t>JOURNAL OF FISH DISEASES</t>
  </si>
  <si>
    <t>Desmozoon lepeophtherii; gill disease; ISH; microsporidian; Paranucleospora theridion</t>
  </si>
  <si>
    <t>NUCLEOSPORA-SALMONIS; GILL DISEASE; N. SP; SALAR; MICROSPORIDIA</t>
  </si>
  <si>
    <t>The microsporidian Desmozoon lepeophtherii Freeman and Sommerville, 2009 is considered significant in the pathogenesis of gill disease in Atlantic salmon (Salmo salar Linnaeus, 1758). Due to the difficulty in detecting D. lepeophtherii in tissue sections, infections are normally diagnosed by molecular methods, routine haematoxylin and eosin (H&amp;E) stained gill tissue sections and the use of other histochemical stains and labels to confirm the presence of spores. An in situ hybridization (ISH) protocol specific for D. lepeophtherii was developed using DIG-labelled oligonucleotide probes. Diseased Atlantic salmon gills were analysed by ISH, calcofluor white (CW) and H&amp;E. All methods showed high levels of specificity (100%) in their ability to detect D. lepeophtherii, but the sensitivity was higher with ISH (92%), compared with CW (64%) and the presence of microvesicles on H&amp;E stained sections (52%). High levels of D. lepeophtherii spores were significantly associated (p &lt; .05) with the development of D. lepeophtherii-associated pathology in the gills, with Ct values below 19 and over 100 microsporidia/10 mm(2) of gill tissue (from the ISH counts) seemingly necessary for the development of microvesicles. The ISH method has the advantage over other histological techniques in that it allows all life stages of the microsporidian to be detected in infected salmon gill tissue sections.</t>
  </si>
  <si>
    <t>[Herrero, Ana; Dagleish, Mark P.; Thompson, Kim D.] Moredun Res Inst, Pentlands Sci Pk, Penicuik, Midlothian, Scotland; [Palenzuela, Oswaldo] Inst Aquaculture Torre Sal IATS CSIC, Castellon de La Plana, Spain; [Rodger, Hamish] VAI Consulting, Kinvara, Co Galway, Ireland; [Matthews, Chris; Marcos-Lopez, Mar] PHARMAQ Analyt, Inverness, Scotland; [Bron, James E.] Univ Stirling, Inst Aquaculture, Stirling, Scotland</t>
  </si>
  <si>
    <t>Moredun Research Institute; Consejo Superior de Investigaciones Cientificas (CSIC); CSIC - Instituto de Acuicultura de Torre de la Sal (IATS); University of Stirling</t>
  </si>
  <si>
    <t>Herrero, A (corresponding author), VAI Consulting, Kinvara, Co Galway, Ireland.</t>
  </si>
  <si>
    <t>anaherrerofern@gmail.com</t>
  </si>
  <si>
    <t>Thompson, Kim/GLU-8547-2022; Kim, Thompson/O-7707-2015; Palenzuela, Oswaldo/K-4368-2014; Bron, James/B-6231-2018</t>
  </si>
  <si>
    <t>Kim, Thompson/0000-0003-3550-4842; Dagleish, Mark/0000-0001-6909-6467; Rodger, Hamish/0000-0002-5336-8912; Palenzuela, Oswaldo/0000-0001-7702-6098; Bron, James/0000-0003-3544-0519</t>
  </si>
  <si>
    <t>0140-7775</t>
  </si>
  <si>
    <t>1365-2761</t>
  </si>
  <si>
    <t>10.1111/jfd.13612</t>
  </si>
  <si>
    <t>Fisheries; Marine &amp; Freshwater Biology; Veterinary Sciences</t>
  </si>
  <si>
    <t>WOS:000774746800001</t>
  </si>
  <si>
    <t>Khier, S; Gahan, PB</t>
  </si>
  <si>
    <t>Khier, Sonia; Gahan, Peter B.</t>
  </si>
  <si>
    <t>Hepatic Clearance of Cell-Free DNA: Possible Impact on Early Metastasis Diagnosis</t>
  </si>
  <si>
    <t>NUCLEIC-ACIDS; CIRCULATING DNA; STRANDED-DNA; EXOSOMES; PERSISTENCE; MECHANISMS; KINETICS; LIVER</t>
  </si>
  <si>
    <t>Circulating DNA in the bloodstream has been studied since the 1940s, leading to its identification as a possible early marker for the presence of a primary tumor. Recently, it has been more successfully employed in liquid biopsies to determine the early presence of a metastatic tumor arising after chemotherapy, radiotherapy, and surgery. The appearance of such circulating tumor DNA permits the identification of the metastatic tumor before it is detected by either palpation or radiological analysis. Nevertheless, the liquid biopsy may possibly be affected by the removal of circulating tumor DNA via the kidneys and spleen as it is released. Furthermore, the liver removal of cell-free DNA has not yet been considered to be involved in this process. Here, we review the literature on the removal of free single- and double-stranded DNA and nucleosomal, vesicular, and exosomal DNA via the liver and examine its possible impact on circulating DNA levels. The removal of all forms of DNA by the liver, together with that removed by the kidneys and spleen, may delay the timing of positive results from liquid biopsies.</t>
  </si>
  <si>
    <t>[Khier, Sonia] Montpellier Univ, Sch Pharm, Pharmacokinet Modeling Dept, 15 Ave Charles Flahault, F-34000 Montpellier, France; [Khier, Sonia] Montpellier Univ, Inst Montpellierain Alexander Grothendieck IMAG, Dept Probabil &amp; Stat, UMR 5149,CNRS, Montpellier, France; [Gahan, Peter B.] Fdn Enrico Puccinelli Onlus, I-06126 Perugia, Italy</t>
  </si>
  <si>
    <t>Universite de Montpellier; Centre National de la Recherche Scientifique (CNRS); CNRS - National Institute for Mathematical Sciences (INSMI); Universite de Montpellier</t>
  </si>
  <si>
    <t>Khier, S (corresponding author), Montpellier Univ, Sch Pharm, Pharmacokinet Modeling Dept, 15 Ave Charles Flahault, F-34000 Montpellier, France.;Khier, S (corresponding author), Montpellier Univ, Inst Montpellierain Alexander Grothendieck IMAG, Dept Probabil &amp; Stat, UMR 5149,CNRS, Montpellier, France.</t>
  </si>
  <si>
    <t>sonia.khier@umontpellier.fr</t>
  </si>
  <si>
    <t>khier, sonia/A-7317-2012</t>
  </si>
  <si>
    <t>khier, sonia/0000-0001-6712-8461</t>
  </si>
  <si>
    <t>10.1007/s40291-021-00554-2</t>
  </si>
  <si>
    <t>WOS:000687936700001</t>
  </si>
  <si>
    <t>Folkmanis, K; Junk, E; Merdane, E; Folkmane, I; Folkmanis, V; Ivanovs, I; Eglitis, J; Jakubovskis, M; Laabs, S; Isajevs, S; Lietuvietis, V</t>
  </si>
  <si>
    <t>Folkmanis, Kristofs; Junk, Elizabete; Merdane, Evelina; Folkmane, Inese; Folkmanis, Valdis; Ivanovs, Igors; Eglitis, Janis; Jakubovskis, Maris; Laabs, Sven; Isajevs, Sergejs; Lietuvietis, Vilnis</t>
  </si>
  <si>
    <t>Clinicopathological Significance of Exosomal Proteins CD9 and CD63 and DNA Mismatch Repair Proteins in Prostate Adenocarcinoma and Benign Hyperplasia</t>
  </si>
  <si>
    <t>exosomal biomarkers; DNA mismatch repair proteins; prostate acinar adenocarcinoma; benign prostate hyperplasia</t>
  </si>
  <si>
    <t>EXTRACELLULAR VESICLES; EXPRESSION; RECURRENCE; PMS2</t>
  </si>
  <si>
    <t>Introduction. Recently, it has been shown that exosomal biomarkers and DNA mismatch repair proteins (MMR) could play an important role in cancer risk stratification and prognosis assessment. The gold standard for prostate carcinoma (PCa) diagnosis is biopsy and histopathological examination. Thus, the complex evaluation of exosomal and MMR proteins could be beneficial for prostate cancer risk stratification and diagnostics. The aim of the current study was to evaluate and compare the expression of exosomal proteins CD9 and CD63 and MMR proteins in the tissue of patients with prostate benign hyperplasia (BPH) and PCa. Methods. The study was retrospective. Altogether, 92 patients with PCa and 20 patients with BPH (control group) were enrolled in the study. Exosomal and MMR protein expression was analyzed by immunohistochemistry (IHC). The follow-up for each PCa patient in our study lasted till disease progression and/or a maximum of 5 years. Results. Low-grade PCa was observed in 56 patients and high-grade PCa in 36 patients. CD63 expression was significantly higher in patients with high-grade PCa compared to those with low-grade PCa. CD9 expression was significantly downregulated in PCa patients compared to the control group. MMR protein expression deficiency was observed in 10 PCa patients. MMR proteins were maintained in all cases of BPH. The study found a negative correlation between MMR protein loss and PCa ISUP grade groups. Progression-free survival (PFS) in patients with MMR deficiency was significantly shorter than in patients with maintained MMR expression. Conclusions. CD9 protein expression was downregulated in PCa, compared to BPH, while CD63 protein expression was upregulated in high-grade PCa but downregulated in low-grade PCa. CD63 protein upregulation, CD9 downregulation, and loss of MMR protein characterized the shorter PFS of high-grade PCa patients. CD9, CD63, and MMR could be the routine immunohistochemical biomarkers for the diagnosis and risk stratification of PCa.</t>
  </si>
  <si>
    <t>[Folkmanis, Kristofs; Junk, Elizabete; Merdane, Evelina; Folkmane, Inese; Folkmanis, Valdis; Ivanovs, Igors; Eglitis, Janis; Isajevs, Sergejs] Univ Latvia, Fac Med, LV-1004 Riga, Latvia; [Folkmanis, Kristofs; Laabs, Sven] Hamburg Eppendorf Univ Hosp, Teaching Hosp, Elbe Hosp Stade, Dept Urol, D-20246 Stade, Germany; [Ivanovs, Igors; Eglitis, Janis; Jakubovskis, Maris; Isajevs, Sergejs; Lietuvietis, Vilnis] East Clin Univ, Dept Urol, LV-1007 Riga, Latvia; [Jakubovskis, Maris; Lietuvietis, Vilnis] Riga Stradins Univ, Fac Med, Dept Urol, LV-1007 Riga, Latvia</t>
  </si>
  <si>
    <t>University of Latvia; University of Hamburg; University Medical Center Hamburg-Eppendorf; Riga Stradins University</t>
  </si>
  <si>
    <t>Folkmanis, K (corresponding author), Univ Latvia, Fac Med, LV-1004 Riga, Latvia.;Folkmanis, K (corresponding author), Hamburg Eppendorf Univ Hosp, Teaching Hosp, Elbe Hosp Stade, Dept Urol, D-20246 Stade, Germany.</t>
  </si>
  <si>
    <t>kristofs87@icloud.com; evelina.merdane@inbox.lv; evelina.merdane@inbox.lv; folkmane.inese@inbox.lv; valdis.folkmanis@lu.lv; igors.ivanovs@lu.lv; janis.eglitis@lu.lv; maris.jakubovskis@aslimnica.lv; sven.laabs@elbekliniken.de; sergejs.isajevs@lu.lv; vilnis.lietuvietis@aslimnica.lv</t>
  </si>
  <si>
    <t>Isajevs, Sergejs/0000-0001-7159-0464</t>
  </si>
  <si>
    <t>10.3390/diagnostics12020287</t>
  </si>
  <si>
    <t>WOS:000764471500001</t>
  </si>
  <si>
    <t>Rubio-Sanchez, R; Fabrini, G; Cicuta, P; Di Michele, L</t>
  </si>
  <si>
    <t>Rubio-Sanchez, Roger; Fabrini, Giacomo; Cicuta, Pietro; Di Michele, Lorenzo</t>
  </si>
  <si>
    <t>Amphiphilic DNA nanostructures for bottom-up synthetic biology</t>
  </si>
  <si>
    <t>NEUTROPHIL EXTRACELLULAR TRAPS; NUCLEIC-ACID JUNCTIONS; LIPID-MEMBRANES; SELF-ORGANIZATION; ARTIFICIAL CELLS; GIANT VESICLES; ORIGAMI; ADHESION; KINETICS; DYNAMICS</t>
  </si>
  <si>
    <t>DNA nanotechnology enables the construction of sophisticated biomimetic nanomachines that are increasingly central to the growing efforts of creating complex cell-like entities from the bottom-up. DNA nanostructures have been proposed as both structural and functional elements of these artificial cells, and in many instances are decorated with hydrophobic moieties to enable interfacing with synthetic lipid bilayers or regulating bulk self-organisation. In this feature article we review recent efforts to design biomimetic membrane-anchored DNA nanostructures capable of imparting complex functionalities to cell-like objects, such as regulated adhesion, tissue formation, communication and transport. We then discuss the ability of hydrophobic modifications to enable the self-assembly of DNA-based nanostructured frameworks with prescribed morphology and functionality, and explore the relevance of these novel materials for artificial cell science and beyond. Finally, we comment on the yet mostly unexpressed potential of amphiphilic DNA-nanotechnology as a complete toolbox for bottom-up synthetic biology - a figurative and literal scaffold upon which the next generation of synthetic cells could be built.</t>
  </si>
  <si>
    <t>[Rubio-Sanchez, Roger; Cicuta, Pietro; Di Michele, Lorenzo] Univ Cambridge, Cavendish Lab, Biol &amp; Soft Syst, JJ Thomson Ave, Cambridge CB3 0HE, England; [Rubio-Sanchez, Roger; Fabrini, Giacomo; Di Michele, Lorenzo] Imperial Coll London, FabriCELL, Mol Sci Res Hub, London W12 0BZ, England; [Fabrini, Giacomo; Di Michele, Lorenzo] Imperial Coll London, Dept Chem, Mol Sci Res Hub, London W12 0BZ, England</t>
  </si>
  <si>
    <t>University of Cambridge; Imperial College London; Imperial College London</t>
  </si>
  <si>
    <t>Di Michele, L (corresponding author), Univ Cambridge, Cavendish Lab, Biol &amp; Soft Syst, JJ Thomson Ave, Cambridge CB3 0HE, England.;Di Michele, L (corresponding author), Imperial Coll London, FabriCELL, Mol Sci Res Hub, London W12 0BZ, England.;Di Michele, L (corresponding author), Imperial Coll London, Dept Chem, Mol Sci Res Hub, London W12 0BZ, England.</t>
  </si>
  <si>
    <t>Rubio Sanchez, Roger/AAD-7509-2022; Di Michele, Lorenzo/K-2878-2015</t>
  </si>
  <si>
    <t>Rubio Sanchez, Roger/0000-0001-5574-5809; Di Michele, Lorenzo/0000-0002-1458-9747; Fabrini, Giacomo/0000-0001-8601-1680; Cicuta, Pietro/0000-0002-9193-8496</t>
  </si>
  <si>
    <t>NOV 30</t>
  </si>
  <si>
    <t>10.1039/d1cc04311k</t>
  </si>
  <si>
    <t>WOS:000715929300001</t>
  </si>
  <si>
    <t>Siva, S; Lobachevsky, P; MacManus, MP; Kron, T; Moller, A; Lobb, RJ; Ventura, J; Best, N; Smith, J; Ball, D; Martin, OA</t>
  </si>
  <si>
    <t>Siva, Shankar; Lobachevsky, Pavel; MacManus, Michael P.; Kron, Tomas; Moller, Andreas; Lobb, Richard J.; Ventura, Jessica; Best, Nickala; Smith, Jai; Ball, David; Martin, Olga A.</t>
  </si>
  <si>
    <t>Radiotherapy for Non-Small Cell Lung Cancer Induces DNA Damage Response in Both Irradiated and Out-of-field Normal Tissues</t>
  </si>
  <si>
    <t>DOUBLE-STRAND BREAKS; PERIPHERAL-BLOOD LYMPHOCYTES; PRIMARY HUMAN FIBROBLASTS; IONIZING-RADIATION; DOSE-DISTRIBUTION; GAMMA-H2AX ASSAY; IN-VIVO; THERAPY; REPAIR; EXOSOMES</t>
  </si>
  <si>
    <t>Purpose: To study the response of irradiated and out-of-field normal tissues during localized curative intent radiotherapy. Experimental Design: Sixteen patients with non-small cell lung carcinoma (NSCLC) received 60 Gy in 30 fractions of definitive thoracic radiotherapy with or without concurrent chemotherapy. Peripheral blood lymphocytes (PBL) and eyebrow hairs were sampled prior, during, and after radiotherapy. Clinical variables of radiotherapy dose/volume, patient age, and use of chemoradiotherapy were tested for association with gamma-H2AX foci, a biomarker of DNA damage that underlies cellular response to irradiation. Results: Radiotherapy induced an elevation of gamma-112AX foci in PBL, representing normal tissues in the irradiated volume, 1 hour after fraction one. The changes correlated directly with mean lung dose and inversely with age. gamma-H2AX foci numbers returned to near baseline values in 24 hours and were not significantly different from controls at 4 weeks during radiotherapy or 12 weeks after treatment completion. In contrast, unirradiated hair follicles, a surrogate model for out-of-field normal tissues, exhibited delayed abscopal DNA damage response. gamma-H2AX foci significantly increased at 24 hours post-fraction one and remained elevated during treatment, in a dose-independent manner. This observed abscopal effect was associated with changes in plasma levels of MDC/CCL22 and MIP-1 alpha/CCL3 cytokines. No concordant changes in size and concentration of circulating plasma exosomes were observed. Conclusions: Both localized thoracic radiotherapy and chemoradiotherapy induce pronounced systemic DNA damage in normal tissues. Individual assessment of biologic response to dose delivered during radiotherapy may allow for therapeutic personalization for patients with NSCLC. (C) 2016 AACR.</t>
  </si>
  <si>
    <t>[Siva, Shankar; Lobachevsky, Pavel; MacManus, Michael P.; Kron, Tomas; Ball, David; Martin, Olga A.] Univ Melbourne, Sir Peter MacCallum Dept Oncol, Melbourne, Vic, Australia; [Siva, Shankar; MacManus, Michael P.; Ball, David; Martin, Olga A.] Peter MacCallum Canc Ctr, Div Radiat Oncol &amp; Canc Imaging, East Melbourne, Vic, Australia; [Lobachevsky, Pavel; Ventura, Jessica; Best, Nickala; Smith, Jai; Martin, Olga A.] Peter MacCallum Canc Ctr, Canc Cell Biol Program, Mol Radiat Biol Lab, East Melbourne, Vic, Australia; [Kron, Tomas] Peter MacCallum Canc Ctr, Dept Phys Sci, East Melbourne, Vic, Australia; [Moller, Andreas; Lobb, Richard J.] QIMR Berghofer Med Res Inst, Tumour Microenvironm Lab, Herston, Qld, Australia</t>
  </si>
  <si>
    <t>Peter Maccallum Cancer Center; University of Melbourne; Peter Maccallum Cancer Center; Peter Maccallum Cancer Center; Peter Maccallum Cancer Center; QIMR Berghofer Medical Research Institute</t>
  </si>
  <si>
    <t>Siva, S (corresponding author), Peter MacCallum Canc Ctr, St Andrews Pl, East Melbourne, Vic 3002, Australia.</t>
  </si>
  <si>
    <t>shankar.siva@petermac.org</t>
  </si>
  <si>
    <t>Kron, Tomas/A-7217-2010; Lobachevsky, Pavel/AAG-9157-2021; Möller, Andreas/O-1063-2015</t>
  </si>
  <si>
    <t>Kron, Tomas/0000-0002-5189-4046; Möller, Andreas/0000-0002-8618-6998; Lobb, Richard/0000-0001-9548-8843; Smith, Jai/0000-0003-4997-6189; MacManus, Michael/0000-0002-0900-5815; Martin (nee Sedelnikova), Olga/0000-0003-3470-2935</t>
  </si>
  <si>
    <t>10.1158/1078-0432.CCR-16-0138</t>
  </si>
  <si>
    <t>WOS:000385630500009</t>
  </si>
  <si>
    <t>Olivieri, F; Albertini, MC; Orciani, M; Ceka, A; Cricca, M; Procopio, AD; Bonafe, M</t>
  </si>
  <si>
    <t>Olivieri, Fabiola; Albertini, Maria Cristina; Orciani, Monia; Ceka, Artan; Cricca, Monica; Procopio, Antonio Domenico; Bonafe, Massimiliano</t>
  </si>
  <si>
    <t>DNA damage response (DDR) and senescence: shuttled inflamma-miRNAs on the stage of inflamm-aging</t>
  </si>
  <si>
    <t>microRNA; senescence-associated secretory phenotype; senescence; inflamm-aging; Gerotarget</t>
  </si>
  <si>
    <t>NF-KAPPA-B; CELLULAR SENESCENCE; SECRETORY PHENOTYPE; DENDRITIC CELLS; BREAST-CANCER; INTERCELLULAR COMMUNICATION; CIRCULATING MICRORNA; RADIATION RESPONSE; SIGNALING PATHWAY; TARGETING TRAF6</t>
  </si>
  <si>
    <t>A major issue in aging research is how cellular phenomena affect aging at the systemic level. Emerging evidence suggests that DNA damage response (DDR) signaling is a key mechanism linking DNA damage accumulation, cell senescence, and organism aging. DDR activation in senescent cells promotes acquisition of a proinflammatory secretory phenotype (SASP), which in turn elicits DDR and SASP activation in neighboring cells, thereby creating a proinflammatory environment extending at the local and eventually the systemic level. DDR activation is triggered by genomic lesions as well as emerging bacterial and viral metagenomes. Therefore, the buildup of cells with an activated DDR probably fuels inflamm-aging and predisposes to the development of the major age-related diseases (ARDs). Micro (mi)-RNAs non-coding RNAs involved in gene expression modulation - are released locally and systemically by a variety of shuttles (exosomes, lipoproteins, proteins) that likely affect the efficiency of their biological effects. Here we suggest that some miRNAs, previously found to be associated with inflammation and senescence - miR-146, miR-155, and miR-21 - play a central role in the interplay among DDR, cell senescence and inflamm-aging. The identification of the functions of shuttled senescence-associated miRNAs is expected to shed light on the aging process and on how to delay ARD development.</t>
  </si>
  <si>
    <t>[Olivieri, Fabiola; Orciani, Monia; Ceka, Artan; Procopio, Antonio Domenico] Univ Politecn Marche, Dept Clin &amp; Mol Sci DISCLIMO, Ancona, Italy; [Olivieri, Fabiola; Procopio, Antonio Domenico] INRCA IRCCS, Italian Natl Res Ctr Aging, Ctr Clin Pathol &amp; Innovat Therapy, Ancona, Italy; [Albertini, Maria Cristina] Univ Urbino Carlo Bo, Dept Biomol Sci Biochem &amp; Mol Biol, Urbino, Italy; [Cricca, Monica; Bonafe, Massimiliano] Univ Bologna, DIMES, Dept Expt Diagnost &amp; Specialty Med, Bologna, Italy</t>
  </si>
  <si>
    <t>Marche Polytechnic University; IRCCS INRCA; University of Urbino; University of Bologna</t>
  </si>
  <si>
    <t>Olivieri, F (corresponding author), Univ Politecn Marche, Dept Clin &amp; Mol Sci DISCLIMO, Ancona, Italy.</t>
  </si>
  <si>
    <t>Albertini, Maria Cristina/AAG-6980-2019; Olivieri, Fabiola/K-6465-2016; Procopio, Antonio Domenico/AAB-2451-2021</t>
  </si>
  <si>
    <t>Albertini, Maria Cristina/0000-0003-4549-1475; Olivieri, Fabiola/0000-0002-9606-1144; Procopio, Antonio Domenico/0000-0001-6897-8724</t>
  </si>
  <si>
    <t>10.18632/oncotarget.5899</t>
  </si>
  <si>
    <t>WOS:000366111900040</t>
  </si>
  <si>
    <t>Iovanna, J</t>
  </si>
  <si>
    <t>Iovanna, Juan</t>
  </si>
  <si>
    <t>Implementing biological markers as a tool to guide clinical care of patients with pancreatic cancer</t>
  </si>
  <si>
    <t>TRANSLATIONAL ONCOLOGY</t>
  </si>
  <si>
    <t>Pancreatic cancer; Personalized medicine; Patients stratification; Biomarkers; Immunotherapy</t>
  </si>
  <si>
    <t>CIRCULATING TUMOR-CELLS; DOUBLE-STRANDED DNA; PHASE-III TRIAL; DUCTAL ADENOCARCINOMA; PROMOTER HYPERMETHYLATION; PROGNOSTIC-FACTOR; LYMPHOCYTE RATIO; GASTRIC-CANCER; GEMCITABINE; METHYLATION</t>
  </si>
  <si>
    <t>A major obstacle for the effective treatment of pancreatic ductal adenocarcinoma (PDAC) is its molecular heterogeneity, reflected by the diverse clinical outcomes and responses to therapies that occur. The tumors of patients with PDAC must therefore be closely examined and classified before treatment initiation in order to predict the natural evolution of the disease and the response to therapy. To stratify patients, it is absolutely necessary to identify biological markers that are highly specific and reproducible, and easily measurable by inexpensive sensitive techniques. Several promising strategies to find biomarkers are already available or under development, such as the use of liquid biopsies to detect circulating tumor cells, circulating free DNA, methylated DNA, circulating RNA, and exosomes and extracellular vesicles, as well as immunological markers and molecular markers. Such biomarkers are capable of classifying patients with PDAC and predicting their therapeutic sensitivity. Interestingly, developing chemograms using primary cell lines or organoids and analyzing the resulting high-throughput data via artificial intelligence would be highly beneficial to patients. How can exploiting these biomarkers benefit patients with resectable, borderline resectable, locally advanced, and metastatic PDAC? In fact, the utility of these biomarkers depends on the patient's clinical situation. At the early stages of the disease, the clinician's priority lies in rapid diagnosis, so that the patient receives surgery without delay; at advanced disease stages, where therapeutic possibilities are severely limited, the priority is to determine the PDAC tumor subtype so as to estimate the clinical outcome and select a suitable effective treatment.</t>
  </si>
  <si>
    <t>[Iovanna, Juan] Aix Marseille Univ, CNRS, INSERM, Ctr Rech Cancerol Marseille CRCM,U1068,UMR 7258, Parc Sci &amp; Technol Luminy,163 Ave Luminy, F-13288 Marseille, France; [Iovanna, Juan] Inst Paoli Calmettes, Parc Sci &amp; Technol Luminy,163 Ave Luminy, F-13288 Marseille, France</t>
  </si>
  <si>
    <t>Centre National de la Recherche Scientifique (CNRS); CNRS - National Institute for Biology (INSB); Institut National de la Sante et de la Recherche Medicale (Inserm); UDICE-French Research Universities; Aix-Marseille Universite; UNICANCER; Institut Paoli-Calmette (IPC); UDICE-French Research Universities; Aix-Marseille Universite; UNICANCER; Institut Paoli-Calmette (IPC)</t>
  </si>
  <si>
    <t>Iovanna, J (corresponding author), Aix Marseille Univ, CNRS, INSERM, Ctr Rech Cancerol Marseille CRCM,U1068,UMR 7258, Parc Sci &amp; Technol Luminy,163 Ave Luminy, F-13288 Marseille, France.;Iovanna, J (corresponding author), Inst Paoli Calmettes, Parc Sci &amp; Technol Luminy,163 Ave Luminy, F-13288 Marseille, France.</t>
  </si>
  <si>
    <t>juan.iovanna@inserm.fr</t>
  </si>
  <si>
    <t>Iovanna, Juan/M-9805-2017</t>
  </si>
  <si>
    <t>Iovanna, Juan/0000-0003-1822-2237</t>
  </si>
  <si>
    <t>1936-5233</t>
  </si>
  <si>
    <t>10.1016/j.tranon.2020.100965</t>
  </si>
  <si>
    <t>WOS:000604582300002</t>
  </si>
  <si>
    <t>Lin, YY; Zhou, XS; Peng, W; Wu, J; Wu, XF; Chen, Y; Cui, ZL</t>
  </si>
  <si>
    <t>Lin, Yingying; Zhou, Xusheng; Peng, Wei; Wu, Jing; Wu, Xiufeng; Chen, Yan; Cui, Zhaolei</t>
  </si>
  <si>
    <t>Expression and clinical implications of basic leucine zipper ATF-like transcription factor 2 in breast cancer</t>
  </si>
  <si>
    <t>BATF2; Breast cancer; Bioinformatics; Serum; Exosomes; Biomarker</t>
  </si>
  <si>
    <t>GENE-EXPRESSION; SARI SUPPRESSOR; POOR-PROGNOSIS; AP-1; BIOINFORMATICS; EPIDEMIOLOGY; STATISTICS; BATF2</t>
  </si>
  <si>
    <t>Background Basic leucine zipper ATF-like transcription factor 2 (BATF2) has been reported to participate in the occurrence and development of some malignancies. Herein, we aimed to explore the expression pattern and clinical implications of BATF2 in breast cancer (BC). Methods We assessed the differences in BATF2 mRNA expression between cancerous and noncancerous tissues in BC using GEPIA and UALCAN data and in BATF2 protein expression pattern using Human Protein Atlas (HPA) data. BATF2 co-expression networks were analyzed in Coexpedia. The association between the differentially expressed BATF2 mRNA and BC prognosis was assessed using UALCAN, OSbrca, and GEPIA databases. In external validations, BATF2 protein expression in BC tissues was quantitated using a tissue microarray and immunohistochemistry (IHC) analysis, and BATF2 mRNA expression in serum and serum-derived exosomes of BC patients using real-time quantitative reverse transcription polymerase chain reaction (qRT-PCR). Results No difference in the BATF2 mRNA expression level was found between cancerous and noncancerous tissues in BC based on databases. There were low-to-moderate levels of increases in BATF2 protein expressions in BC cases from the HPA cohort. BATF2 mRNA expression was negatively correlated with androgen receptor (AR) and positively correlated with BRCA2 DNA repair associated (BRCA2), marker of proliferation Ki-67 (Mki67), and tumor protein p53 (TP53) expressions. Generally, BATF2 mRNA exhibited a non-significant association with BC prognosis; yet the subgroup analyses showed that triple-negative breast cancer (TNBC) patients with high BATF2 mRNA expressions had a longer overall survival (OS). Our IHC analysis revealed a positive rate of BATF2 protein expression of 46.90%, mainly located in the nucleus of cancer cells in BC, and the OS of BC patients with high BATF2 protein expressions was prolonged. The positive rates of BATF2 mRNA expressions in the serum and exosomes were 45.00 and 41.67%, respectively. Besides, the AUCs of serum and exosomal BATF2 mRNA for BC diagnosis were 0.8929 and 0.8869, respectively. Conclusions BC patients exhibit low-to-moderate expressions in BATF2 mRNA expression levels in cancerous tissues. The high BATF2 protein expression can be a potential indicator of a better BC prognosis. Serum and exosomal BATF2 mRNA levels also serve as promising noninvasive biomarkers for BC diagnosis.</t>
  </si>
  <si>
    <t>[Wu, Xiufeng] Fujian Med Univ, Dept Breast Surg Oncol, Canc Hosp, Fuzhou, Fujian, Peoples R China; [Lin, Yingying; Zhou, Xusheng; Peng, Wei; Wu, Jing; Chen, Yan; Cui, Zhaolei] Fujian Med Univ, Dept Clin Lab, Lab Biochem &amp; Mol Biol Res, Canc Hosp, 420 Fuma Rd, Fuzhou 350014, Fujian, Peoples R China</t>
  </si>
  <si>
    <t>Wu, XF (corresponding author), Fujian Med Univ, Dept Breast Surg Oncol, Canc Hosp, Fuzhou, Fujian, Peoples R China.;Chen, Y; Cui, ZL (corresponding author), Fujian Med Univ, Dept Clin Lab, Lab Biochem &amp; Mol Biol Res, Canc Hosp, 420 Fuma Rd, Fuzhou 350014, Fujian, Peoples R China.</t>
  </si>
  <si>
    <t>wxf200104@hotmail.com; chenyan220422@fjmu.edu.cn; cuileidizi@fjmu.edu.cn</t>
  </si>
  <si>
    <t>Cui, Zhaolei/0000-0002-5543-4952</t>
  </si>
  <si>
    <t>SEP 26</t>
  </si>
  <si>
    <t>10.1186/s12885-021-08785-6</t>
  </si>
  <si>
    <t>WOS:000701269500002</t>
  </si>
  <si>
    <t>Sanchez, II; Nguyen, TB; England, WE; Lim, RG; Vu, AQ; Miramontes, R; Byrne, LM; Markmiller, S; Lau, AL; Orellana, I; Curtis, MA; Faull, RLM; Yeo, GW; Fowler, CD; Reidling, JC; Wild, EJ; Spitale, RC; Thompson, LM</t>
  </si>
  <si>
    <t>Sanchez, Isabella I.; Nguyen, Thai B.; England, Whitney E.; Lim, Ryan G.; Vu, Anthony Q.; Miramontes, Ricardo; Byrne, Lauren M.; Markmiller, Sebastian; Lau, Alice L.; Orellana, Iliana; Curtis, Maurice A.; Faull, Richard Lewis Maxwell; Yeo, Gene W.; Fowler, Christie D.; Reidling, Jack C.; Wild, Edward J.; Spitale, Robert C.; Thompson, Leslie M.</t>
  </si>
  <si>
    <t>Huntington's disease mice and human brain tissue exhibit increased G3BP1 granules and TDP43 mislocalization</t>
  </si>
  <si>
    <t>JOURNAL OF CLINICAL INVESTIGATION</t>
  </si>
  <si>
    <t>STRESS GRANULES; EXTRACELLULAR VESICLES; PROTEIN INTERACTIONS; PHASE-SEPARATION; CEREBRAL-CORTEX; EXOSOMES; TDP-43; DYSFUNCTION; AUTOPHAGY; BINDING</t>
  </si>
  <si>
    <t>Chronic cellular stress associated with neurodegenerative disease can result in the persistence of stress granule (SG) structures, membraneless organelles that form in response to cellular stress. In Huntington's disease (HD), chronic expression of mutant huntingtin generates various forms of cellular stress, including activation of the unfolded protein response and oxidative stress. However, it has yet to be determined whether SGs are a feature of HD neuropathology. We examined the miRNA composition of extracellular vesicles (EVs) present in the cerebrospinal fluid (CSF) of patients with HD and show that a subset of their target mRNAs were differentially expressed in the prefrontal cortex. Of these targets, SG components were enriched, including the SG-nucleating Ras GTPase-activating protein-binding protein 1 (G3BP1). We investigated localization and levels of G3BP1 and found a significant increase in the density of G3BP1-positive granules in the cortex and hippocampus of R6/2 transgenic mice and in the superior frontal cortex of the brains of patients with HD. Intriguingly, we also observed that the SG-associated TAR DNA-binding protein 43 (TDP43), a nuclear RNA/DNA binding protein, was mislocalized to the cytoplasm of G3BP1 granule-positive HD cortical neurons. These findings suggest that G3BP1 SG dynamics may play a role in the pathophysiology of HD. Chronic cellular stress associated with neurodegenerative disease can result in the persistence of stress granule (SG) structures, membraneless organelles that form in response to cellular stress. In Huntington's disease (HD), chronic expression of mutant huntingtin generates various forms of cellular stress, including activation of the unfolded protein response and oxidative stress. However, it has yet to be determined whether SGs are a feature of HD neuropathology. We examined the miRNA composition of extracellular vesicles (EVs) present in the cerebrospinal fluid (CSF) of patients with HD and show that a subset of their target mRNAs were differentially expressed in the prefrontal cortex. Of these targets, SG components were enriched, including the SG-nucleating Ras GTPase-activating protein-binding protein 1 (G3BP1). We investigated localization and levels of G3BP1 and found a significant increase in the density of G3BP1-positive granules in the cortex and hippocampus of R6/2 transgenic mice and in the superior frontal cortex of the brains of patients with HD. Intriguingly, we also observed that the SG-associated TAR DNA-binding protein 43 (TDP43), a nuclear RNA/DNA binding protein, was mislocalized to the cytoplasm of G3BP1 granule-positive HD cortical neurons. These findings suggest that G3BP1 SG dynamics may play a role in</t>
  </si>
  <si>
    <t>[Sanchez, Isabella I.; Nguyen, Thai B.; Fowler, Christie D.; Thompson, Leslie M.] Univ Calif Irvine, Dept Neurobiol &amp; Behav, Irvine, CA 92697 USA; [England, Whitney E.; Spitale, Robert C.] Univ Calif Irvine, Dept Pharmaceut Sci, Irvine, CA 92697 USA; [Lim, Ryan G.; Miramontes, Ricardo; Reidling, Jack C.; Thompson, Leslie M.] Univ Calif Irvine, Inst Memory Impairment &amp; Neurol Disorders, Irvine, CA 92697 USA; [Vu, Anthony Q.; Markmiller, Sebastian; Yeo, Gene W.] Univ Calif San Diego, Dept Cellular &amp; Mol Med, La Jolla, CA 92093 USA; [Vu, Anthony Q.; Markmiller, Sebastian; Yeo, Gene W.] Univ Calif San Diego, Inst Genom Med, La Jolla, CA 92093 USA; [Vu, Anthony Q.; Markmiller, Sebastian; Yeo, Gene W.] Univ Calif San Diego, UCSD Stem Cell Program, La Jolla, CA 92093 USA; [Byrne, Lauren M.; Wild, Edward J.] UCL, UCL Huntingtons Dis Ctr, UCL Queen Sq Inst Neurol, London, England; [Lau, Alice L.; Thompson, Leslie M.] Univ Calif Irvine, Dept Psychiat &amp; Human Behav, Irvine, CA 92697 USA; [Orellana, Iliana; Thompson, Leslie M.] Univ Calif Irvine, Sue &amp; Bill Gross Stem Cell Ctr, Irvine, CA 92697 USA; [Curtis, Maurice A.; Faull, Richard Lewis Maxwell] Univ Auckland, Dept Anat &amp; Med Imaging, Fac Med &amp; Hlth Sci, Auckland, New Zealand; [Curtis, Maurice A.; Faull, Richard Lewis Maxwell] Univ Auckland, Ctr Brain Res, Fac Med &amp; Hlth Sci, Auckland, New Zealand; [Spitale, Robert C.] Univ Calif Irvine, Dept Chem, Irvine, CA 92697 USA</t>
  </si>
  <si>
    <t>University of California System; University of California Irvine; University of California System; University of California Irvine; University of California System; University of California Irvine; University of California System; University of California San Diego; University of California System; University of California San Diego; University of California System; University of California San Diego; University of London; University College London; University of California System; University of California Irvine; University of California System; University of California Irvine; University of Auckland; University of Auckland; University of California System; University of California Irvine</t>
  </si>
  <si>
    <t>Thompson, LM (corresponding author), Univ Calif Irvine, 4060 Gross Hall,845 Hlth Sci Rd, Irvine, CA 92697 USA.</t>
  </si>
  <si>
    <t>lmthomps@uci.edu</t>
  </si>
  <si>
    <t>England, Whitney/AAA-5016-2019; Yeo, Gene/AAE-7676-2019; Byrne, Lauren/C-4572-2017</t>
  </si>
  <si>
    <t>England, Whitney/0000-0001-6712-0101; Yeo, Gene/0000-0002-0799-6037; Markmiller, Sebastian/0000-0002-5399-047X; Wild, Edward/0000-0002-6921-7887; vu, anthony/0000-0001-8922-6409; Nguyen, Thai Bao/0000-0001-8450-2988; Sanchez, Isabella/0000-0003-3755-1909; Fowler, Christie/0000-0003-2864-2163; Lim, Ryan/0000-0001-6388-5158; Byrne, Lauren/0000-0003-1650-4273</t>
  </si>
  <si>
    <t>0021-9738</t>
  </si>
  <si>
    <t>1558-8238</t>
  </si>
  <si>
    <t>e140723</t>
  </si>
  <si>
    <t>10.1172/JCI140723</t>
  </si>
  <si>
    <t>WOS:000661970000002</t>
  </si>
  <si>
    <t>Exosomal DNMT1 mRNA transcript is elevated in acute lymphoblastic leukemia which might reprograms leukemia progression</t>
  </si>
  <si>
    <t>CANCER GENETICS</t>
  </si>
  <si>
    <t>Acute lymphocytic leukemia; Exosomes; Epigenetics; DNMT1</t>
  </si>
  <si>
    <t>DNA METHYLATION; NEUROPATHY; SIGNATURE; MUTATION</t>
  </si>
  <si>
    <t>DNMT1 (DNA-methyltransferase 1) is an enzyme which contributes to the process of normal embryonic development, and aberrant expression of DNMT1 leads to tumor/leukemia progression by inducing significant changes in DNA methylation and epigenetics. We found that DNMT1 mRNA transcript is elevated in Exo-PALL compared to Exo-HD. We also confirmed and showed heightened levels of DNMT1 mRNA transcript in Exo-CM of leukemia cell lines. Co-culture of Exo-PALL with target cells (leukemia B cells) showed transfer of exosomal DNMT1 mRNA transcript into the target cells, which may reprogram the biological nature of normal healthy cells and leukemia cells. (c) 2021 Elsevier Inc. All rights reserved.</t>
  </si>
  <si>
    <t>[Haque, Shabirul; Vaiselbuh, Sarah R.] Feinstein Inst Med Res, Northwell Hlth, 350 Community Dr, Manhasset, NY 11030 USA; [Vaiselbuh, Sarah R.] Staten Isl Univ Hosp, Dept Pediat, Northwell Hlth, 475 Seaview Ave, Staten Isl, NY 10305 USA; [Vaiselbuh, Sarah R.] Monsey Hlth Ctr, 40 Robert Pitt Dr, Monsey, NY 10952 USA; [Haque, Shabirul] Feinstein Inst Med Res, Ctr Autoimmune Musculoskeletal &amp; Hematopoiet Dis, 350 Community Dr, Manhasset, NY 11030 USA</t>
  </si>
  <si>
    <t>Northwell Health; Northwell Health; Northwell Health</t>
  </si>
  <si>
    <t>Haque, S (corresponding author), Feinstein Inst Med Res, Ctr Autoimmune Musculoskeletal &amp; Hematopoiet Dis, 350 Community Dr, Manhasset, NY 11030 USA.</t>
  </si>
  <si>
    <t>shaque@northwell.edu</t>
  </si>
  <si>
    <t>2210-7762</t>
  </si>
  <si>
    <t>2210-7770</t>
  </si>
  <si>
    <t>10.1016/j.cancergen.2021.07.004</t>
  </si>
  <si>
    <t>WOS:000802206800005</t>
  </si>
  <si>
    <t>Liu, XL; Kang, XY; Lei, C; Ren, W; Liu, CH</t>
  </si>
  <si>
    <t>Liu, Xiaoling; Kang, Xinyue; Lei, Chao; Ren, Wei; Liu, Chenghui</t>
  </si>
  <si>
    <t>Programming the trans-cleavage Activity of CRISPR-Cas13a by Single-Strand DNA Blocker and Its Biosensing Application</t>
  </si>
  <si>
    <t>PROSTATE-SPECIFIC ANTIGEN; NUCLEIC-ACID DETECTION; PROTEIN FUNCTION; GENOME; CHEMISTRY; CRISPR; SYSTEM</t>
  </si>
  <si>
    <t>The precise and controllable programming of the trans-cleavage activity of the CRISPR-Cas13a systems is significant but challenging for fabricating high-performance biosensing systems toward various kinds of biomolecule targets. In this work, we have demonstrated that under a critical low Mg2+ concentration, a simple and short single-stranded DNA (ssDNA) probe free of any modification can efficiently prevent the assembly of crRNA and LwaCas13a only by partially binding with the crRNA repeat region, thereby blocking the trans-cleavage activity of the LwaCas13a system. Furthermore, we have demonstrated that the blocked trans-cleavage activity of the LwaCas13a system can be recovered by various kinds of biologically important substances as long as they could specifically release the blocker DNA from the crRNA in a target-responsive manner, providing a facile route for the quantification of diverse biomarkers such as enzymes, antigens/proteins, and exosomes. To the best of our knowledge, this is reported for the first time that a simple ssDNA can be employed as the switch element to control the crRNA structure and regulate the trans-cleavage activity of Cas13a, which has enriched the CRISPR-Cas13a sensing toolbox and will greatly expand its application scope.</t>
  </si>
  <si>
    <t>[Liu, Xiaoling; Kang, Xinyue; Lei, Chao; Ren, Wei; Liu, Chenghui] Shaanxi Normal Univ, Minist Educ, Key Lab Appl Surface &amp; Colloid Chem, Xian 710119, Shaanxi, Peoples R China; [Liu, Xiaoling; Kang, Xinyue; Lei, Chao; Ren, Wei; Liu, Chenghui] Shaanxi Normal Univ, Key Lab Analyt Chem Life Sci Shaanxi Prov, Xian 710119, Shaanxi, Peoples R China; [Liu, Xiaoling; Kang, Xinyue; Lei, Chao; Ren, Wei; Liu, Chenghui] Shaanxi Normal Univ, Sch Chem &amp; Chem Engn, Xian 710119, Shaanxi, Peoples R China</t>
  </si>
  <si>
    <t>Shaanxi Normal University; Shaanxi Normal University; Shaanxi Normal University</t>
  </si>
  <si>
    <t>Liu, XL; Liu, CH (corresponding author), Shaanxi Normal Univ, Minist Educ, Key Lab Appl Surface &amp; Colloid Chem, Xian 710119, Shaanxi, Peoples R China.;Liu, XL; Liu, CH (corresponding author), Shaanxi Normal Univ, Key Lab Analyt Chem Life Sci Shaanxi Prov, Xian 710119, Shaanxi, Peoples R China.;Liu, XL; Liu, CH (corresponding author), Shaanxi Normal Univ, Sch Chem &amp; Chem Engn, Xian 710119, Shaanxi, Peoples R China.</t>
  </si>
  <si>
    <t>liuxl2018@snnu.edu.cn; liuch@snnu.edu.cn</t>
  </si>
  <si>
    <t>Ren, Wei/0000-0002-6537-6039; Liu, Chenghui/0000-0001-8375-0242</t>
  </si>
  <si>
    <t>10.1021/acs.analchem.1c05124</t>
  </si>
  <si>
    <t>WOS:000819810300029</t>
  </si>
  <si>
    <t>Bognar, Z; Csabai, TJ; Pallinger, E; Balassa, T; Farkas, N; Schmidt, J; Gorgey, E; Berta, G; Szekeres-Bartho, J; Bodis, J</t>
  </si>
  <si>
    <t>Bognar, Zoltan; Csabai, Timea Judit; Pallinger, Eva; Balassa, Timea; Farkas, Nelli; Schmidt, Janos; Gorgey, Eva; Berta, Gergely; Szekeres-Bartho, Julia; Bodis, Jozsef</t>
  </si>
  <si>
    <t>The effect of light exposure on the cleavage rate and implantation capacity of preimplantation murine embryos</t>
  </si>
  <si>
    <t>Murine embryos; Light stress; Implantation rate; DNA fragmentation</t>
  </si>
  <si>
    <t>BECKWITH-WIEDEMANN-SYNDROME; MOUSE EMBRYOS; DNA-DAMAGE; EXPRESSION; CULTURE</t>
  </si>
  <si>
    <t>During assisted reproduction the embryos are subjected to light. We investigated the relationship between light exposure and the developmental- and implantation capacity of mouse embryos. In vitro cultured embryos were exposed to white or red filtered light, then transferred to the uteri of pseudo-pregnant females. The mice were sacrificed on day 8.5 and implantation sites were counted. The number of nucleic acid containing (PI +) extracellular vesicles (EVs) in culture media of light-exposed and control embryos, as well as, the effect of the EVs on IL-10 production of CD8 + spleen cells was determined by flow cytometry. DNA fragmentation in control and light exposed embryos was detected in a TUNEL assay. The effect of light on the expression of apoptosis-related molecules was assessed in an apoptosis array. Light exposure significantly reduced the implantation capacity of the embryos. The harmful effect was related to the wavelength, rather than to the brightness of the light. Culture media of light exposed groups contained significantly higher number of PI + EVs than those of the control embryos, and failed to induce IL-10 production of spleen cells. The number of nuclei with fragmented DNA, was significantly higher in embryos treated with white light, than in the other two groups. In conclusion exposure to white light impairs the implantation potential of in vitro cultured mouse embryos. These effects are partly corrected by using a red filter. Since there is no information on the light sensitivity of human embryos, embryo manipulation during IVF and ICSI should be performed with caution.</t>
  </si>
  <si>
    <t>[Bognar, Zoltan; Csabai, Timea Judit; Balassa, Timea; Gorgey, Eva; Berta, Gergely; Szekeres-Bartho, Julia] Pecs Univ, Sch Med, Dept Med Biol, 12 Szigeti St, Pecs, Hungary; [Bognar, Zoltan; Csabai, Timea Judit; Balassa, Timea; Gorgey, Eva; Berta, Gergely; Szekeres-Bartho, Julia] Pecs Univ, Sch Med, Cent Electron Microscope Lab, Pecs, Hungary; [Bognar, Zoltan; Csabai, Timea Judit; Balassa, Timea; Szekeres-Bartho, Julia; Bodis, Jozsef] Pecs Univ, Janos Szentagothai Res Ctr, Pecs, Hungary; [Bognar, Zoltan; Csabai, Timea Judit; Balassa, Timea; Szekeres-Bartho, Julia; Bodis, Jozsef] Pecs Univ, Endocrine Studies, Ctr Excellence, Pecs, Hungary; [Szekeres-Bartho, Julia; Bodis, Jozsef] Pecs Univ, Sch Med, Dept Obstet &amp; Gynaecol, Pecs, Hungary; [Pallinger, Eva] Semmelweis Univ, Dept Genet Cell &amp; Immunobiol, Budapest, Hungary; [Farkas, Nelli] Pecs Univ, Dept Bioanal, Sch Med, Pecs, Hungary; [Schmidt, Janos] Pecs Univ, Dept Biochem &amp; Med Chem, Sch Med, Pecs, Hungary; [Szekeres-Bartho, Julia; Bodis, Jozsef] MTA PTE Human Reprod Res Grp, Pecs, Hungary</t>
  </si>
  <si>
    <t>University of Pecs; University of Pecs; University of Pecs; University of Pecs; University of Pecs; Semmelweis University; University of Pecs; University of Pecs; University of Pecs</t>
  </si>
  <si>
    <t>Szekeres-Bartho, J (corresponding author), Pecs Univ, Sch Med, Dept Med Biol, 12 Szigeti St, Pecs, Hungary.</t>
  </si>
  <si>
    <t>Szekeres.julia@pte.hu</t>
  </si>
  <si>
    <t>Farkas, Nelli/0000-0002-5349-6527</t>
  </si>
  <si>
    <t>10.1016/j.jri.2019.02.003</t>
  </si>
  <si>
    <t>WOS:000466622600004</t>
  </si>
  <si>
    <t>Buszka, K; Kaminska, P; Budna-Tukan, J</t>
  </si>
  <si>
    <t>Buszka, Karolina; Kaminska, Paula; Budna-Tukan, Joanna</t>
  </si>
  <si>
    <t>LIQUID BIOPSY AS AN NON-INVASIVE METHOD OF SELECTED GENE MUTATION ASSESSMENT IN NON-SMALL CELL LUNG CANCER</t>
  </si>
  <si>
    <t>non-small cell lung cancer; EGFR mutations; ALK fusions; tyrosine kinase inhibitors; targeted treatment; liquid biopsy; circulating tumor cells (CTC); circulating free DNA (cfDNA); exosomes</t>
  </si>
  <si>
    <t>Lung cancer is a highly lethal cancer among patients of both sexes worldwide. Among its numerous histological types, non-small cell lung cancer (NSCLC) dominates. Targeted therapy with tyrosine kinase inhibitors (TKI) is a treatment that, compared to chemotherapy based on platinum derivatives, provides a better quality of life and prolongs overall survival. Its use is justified only in the case of genetic changes in genes such as EGFR or ALK in the tumor tissue. An alternative to classical tissue biopsy can be the use of a liquid biopsy involving genetic analyzes of its elements, i.e., circulating tumor cells (CTC), circulating free DNA (cfDNA), and exosomes. Accurate methods of assessing activating and resistance mutations in the genes of the liquid biopsy components will contribute to the appropriate selection and monitoring of targeted therapy in patients with NSCLC without the need for invasive tissue biopsy.</t>
  </si>
  <si>
    <t>[Buszka, Karolina; Kaminska, Paula; Budna-Tukan, Joanna] Uniwersytet Med Poznaniu, Katedra &amp; Zaklad Histol &amp; Embriol, Poznan, Poland; [Buszka, Karolina] Uniwersytet Przyrodniczy Poznaniu, Wydzial Rolnictwa Ogrodnictwa &amp; Bioinzynierii, Poznan, Poland</t>
  </si>
  <si>
    <t>Poznan University of Medical Sciences; Poznan University of Life Sciences</t>
  </si>
  <si>
    <t>Budna-Tukan, J (corresponding author), Uniwersytet Med Poznaniu, Katedra &amp; Zaklad Histol &amp; Embriol, Poznan, Poland.</t>
  </si>
  <si>
    <t>jbudna@ump.edu.pl</t>
  </si>
  <si>
    <t>WOS:000640892600005</t>
  </si>
  <si>
    <t>Yuan, ZY; Wang, XF; Geng, X; Li, Y; Tan, FW; Xue, Q; Gao, SG; He, J</t>
  </si>
  <si>
    <t>Yuan, Zuyang; Wang, Xinfeng; Geng, Xiao; Li, Yin; Tan, Fengwei; Xue, Qi; Gao, Shugeng; He, Jie</t>
  </si>
  <si>
    <t>Multi-region sequencing reveals genetic correlation between esophageal squamous cell carcinoma and matched cell-free DNA</t>
  </si>
  <si>
    <t>Cell-free DNA; Esophageal squamous cell carcinoma; Intratumoral heterogeneity; Multi-region sequencing; Somatic mutation</t>
  </si>
  <si>
    <t>CANCER-PATIENTS; HETEROGENEITY; IDENTIFICATION; MUTATIONS; LANDSCAPE; EXOSOMES; ORIGIN; PLASMA; SERUM</t>
  </si>
  <si>
    <t>Purpose: This study aimed to determine if both ubiquitous and heterogeneous somatic mutations could be detected in circulating cell-free DNA (cfDNA) in patients with esophageal squamous cell carcinoma (ESCC). Methods: Paired multi-regional tumor tissues, cfDNA, and white blood cells (WBCs) were collected from five ESCC patients before treatment, as part of an ongoing prospective study (NCT02395705). Samples from Cohort 1 were sequenced by whole-exome sequencing and samples from Cohort 2 were sequenced by targeted capture sequencing. Somatic single-nucleotide variations (SNVs) were detected by comparing solid tumor or cfDNA with matched WBCs, with a minimum variant allele frequency (VAF) of 0.1% and P value &lt; 0.05. Results: Genomic DNA (gDNA) and plasma-derived cfDNA from 26 samples were sequenced successfully. In Cohort 1, a significant linear relationship between the tumor and cfDNA VAFs ( R 2 = 0.78, P &lt; 0.0 0 01) was found. In Cohort 2, cfDNA could recover an average of 60.7% (31/51; range, 35.7-76.2%) of somatic mutations present in matched solid tumors. There was a significant positive correlation in VAFs between cfDNA and matched solid tumor tissues ( R 2 = 0.92, P &lt; 0.0 0 01). Conclusions: Both sequencing approaches revealed high intratumoral heterogeneity in ESCC, and enabled the detection of both ubiquitous and heterogeneous mutations in cfDNA. (c) 2021 Published by Elsevier Inc.</t>
  </si>
  <si>
    <t>[Yuan, Zuyang; Wang, Xinfeng; Geng, Xiao; Li, Yin; Tan, Fengwei; Xue, Qi; Gao, Shugeng; He, Jie] Chinese Acad Med Sci &amp; Peking Union Med Coll, Dept Thorac Surg, Natl Canc Ctr, Natl Clin Res Ctr Canc,Canc Hosp, Beijing 100021, Peoples R China</t>
  </si>
  <si>
    <t>Chinese Academy of Medical Sciences - Peking Union Medical College; Cancer Institute &amp; Hospital - CAMS; Peking Union Medical College</t>
  </si>
  <si>
    <t>He, J (corresponding author), Chinese Acad Med Sci &amp; Peking Union Med Coll, Dept Thorac Surg, Natl Canc Ctr, Natl Clin Res Ctr Canc,Canc Hosp, Beijing 100021, Peoples R China.</t>
  </si>
  <si>
    <t>hejie@cicams.ac.cn</t>
  </si>
  <si>
    <t>Geng, Xiao/0000-0002-4998-6769</t>
  </si>
  <si>
    <t>10.1016/j.cancergen.2021.08.005</t>
  </si>
  <si>
    <t>WOS:000712461400001</t>
  </si>
  <si>
    <t>Rial, MJ; Canas, JA; Rodrigo-Munoz, JM; Valverde-Monge, M; Sastre, B; Sastre, J; del Pozo, V</t>
  </si>
  <si>
    <t>Rial, Manuel J.; Canas, Jose A.; Rodrigo-Munoz, Jose M.; Valverde-Monge, Marcela; Sastre, Beatriz; Sastre, Joaquin; del Pozo, Victoria</t>
  </si>
  <si>
    <t>Changes in Serum MicroRNAs after Anti-IL-5 Biological Treatment of Severe Asthma</t>
  </si>
  <si>
    <t>severe asthma; biomarkers; microRNAs; anti-IL5 biologics; mepolizumab; reslizumab</t>
  </si>
  <si>
    <t>There is currently enough evidence to think that miRNAs play a role in several key points in asthma, including diagnosis, severity of the disease, and response to treatment. Cells release different types of lipid double-membrane vesicles into the extracellular microenvironment, including exosomes, which function as very important elements in intercellular communication. They are capable of distributing genetic material, mRNA, mitochondrial DNA, and microRNAs (miRNAs). Serum miRNA screening was performed in order to analyze possible changes in serum miRNAs in 10 patients treated with reslizumab and 6 patients with mepolizumab after 8 weeks of treatment. The expression of miR-338-3p was altered after treatment (p &lt; 0.05), although no significant differences between reslizumab and mepolizumab were found. Bioinformatic analysis showed that miR-338-3p regulates important pathways in asthma, such as the MAPK and TGF-beta signaling pathways and the biosynthesis/degradation of glucans (p &lt; 0.05). However, it did not correlate with an improvement in lung function. MiRNA-338-3p could be used as a biomarker of early response to reslizumab and mepolizumab in severe eosinophilic asthmatic patients. In fact, this miRNA could be involved in airway remodeling, targeting genes related to MAPK and TGF-beta signaling pathways.</t>
  </si>
  <si>
    <t>[Rial, Manuel J.; Valverde-Monge, Marcela; Sastre, Joaquin] Hosp Univ Fdn Jimenez Diaz, Allergy Unit, Madrid 28040, Spain; [Rial, Manuel J.; Canas, Jose A.; Rodrigo-Munoz, Jose M.; Sastre, Beatriz; Sastre, Joaquin; del Pozo, Victoria] IIS Fdn Jimenez Diaz, Dept Immunol, Madrid 28040, Spain; [Canas, Jose A.; Rodrigo-Munoz, Jose M.; Sastre, Beatriz; Sastre, Joaquin; del Pozo, Victoria] Inst Salud Carlos III, CIBER Enfermedades Resp CIBERES, Madrid 28029, Spain</t>
  </si>
  <si>
    <t>Fundacion Jimenez Diaz; CIBER - Centro de Investigacion Biomedica en Red; CIBERES; Instituto de Salud Carlos III</t>
  </si>
  <si>
    <t>del Pozo, V (corresponding author), IIS Fdn Jimenez Diaz, Dept Immunol, Madrid 28040, Spain.;del Pozo, V (corresponding author), Inst Salud Carlos III, CIBER Enfermedades Resp CIBERES, Madrid 28029, Spain.</t>
  </si>
  <si>
    <t>manuterial@gmail.com; toniosego@msn.com; jose.rodrigom@quironsalud.es; marcela.valverde@quironsalud.es; bssastre@fjd.es; JSastre@fjd.es; vpozo@fjd.es</t>
  </si>
  <si>
    <t>Rial, Manuel/GMX-0468-2022; Rodrigo-Muñoz, José Manuel/AAA-8033-2020</t>
  </si>
  <si>
    <t>Rial, Manuel/0000-0003-4706-6608; Rodrigo-Muñoz, José Manuel/0000-0003-3873-4563; DEL POZO, VICTORIA/0000-0001-6228-1969; Valverde-Monge, Marcela/0000-0002-0172-3951; Canas, Jose Antonio/0000-0002-0460-2813</t>
  </si>
  <si>
    <t>10.3390/ijms22073558</t>
  </si>
  <si>
    <t>WOS:000638676900001</t>
  </si>
  <si>
    <t>Nagelhus, EA; Amiry-Moghaddam, M; Bergersen, LH; Bjaalie, JG; Eriksson, J; Gundersen, V; Leergaard, TB; Morth, JP; Storm-Mathisen, J; Torp, R; Walhovd, KB; Tonjum, T</t>
  </si>
  <si>
    <t>Nagelhus, Erlend A.; Amiry-Moghaddam, Mahmood; Bergersen, Linda H.; Bjaalie, Jan G.; Eriksson, Jens; Gundersen, Vidar; Leergaard, Trygve B.; Morth, J. Preben; Storm-Mathisen, Jon; Torp, Reidun; Walhovd, Kristine B.; Tonjum, Tone</t>
  </si>
  <si>
    <t>The glia doctrine: Addressing the role of glial cells in healthy brain ageing</t>
  </si>
  <si>
    <t>Glial cells; Astrocytes; Exosomes; Ageing; Alzheimer's disease; Brain imaging</t>
  </si>
  <si>
    <t>MILD COGNITIVE IMPAIRMENT; TEMPORAL-LOBE EPILEPSY; LONG-TERM POTENTIATION; DNA-DAMAGE RESPONSE; ALZHEIMERS-DISEASE; SYNAPTIC-TRANSMISSION; NEUROTROPHIC FACTOR; WATER TRANSPORT; WHITE-MATTER; RAT-BRAIN</t>
  </si>
  <si>
    <t>Glial cells in their plurality pervade the human brain and impact on brain structure and function. A principal component of the emerging glial doctrine is the hypothesis that astrocytes, the most abundant type of glial cells, trigger major molecular processes leading to brain ageing. Astrocyte biology has been examined using molecular, biochemical and structural methods, as well as 3D brain imaging in live animals and humans. Exosomes are extracelluar membrane vesicles that facilitate communication between glia, and have significant potential for biomarker discovery and drug delivery. Polymorphisms in DNA repair genes may indirectly influence the structure and function of membrane proteins expressed in glial cells and predispose specific cell subgroups to degeneration. Physical exercise may reduce or retard age-related brain deterioration by a mechanism involving neuro-glial processes. It is most likely that additional information about the distribution, structure and function of glial cells will yield novel insight into human brain ageing. Systematic studies of glia and their functions are expected to eventually lead to earlier detection of ageing-related brain dysfunction and to interventions that could delay, reduce or prevent brain dysfunction. (C) 2013 The Authors. Published by Elsevier Ireland Ltd. All rights reserved.</t>
  </si>
  <si>
    <t>[Nagelhus, Erlend A.] Univ Oslo, Inst Basic Med Sci, Dept Physiol, N-0316 Oslo, Norway; [Nagelhus, Erlend A.; Amiry-Moghaddam, Mahmood; Morth, J. Preben] Univ Oslo, Nord EMBL Partnership, NCMM, N-0316 Oslo, Norway; [Nagelhus, Erlend A.; Gundersen, Vidar] Oslo Univ Hosp, Dept Neurol, Oslo, Norway; [Amiry-Moghaddam, Mahmood; Bergersen, Linda H.; Bjaalie, Jan G.; Gundersen, Vidar; Leergaard, Trygve B.; Storm-Mathisen, Jon; Torp, Reidun] Univ Oslo, Inst Basic Med Sci, Dept Anat, N-0316 Oslo, Norway; [Bergersen, Linda H.] Univ Oslo, Inst Oral Biol, Brain &amp; Muscle Energy Grp, N-0316 Oslo, Norway; [Eriksson, Jens; Tonjum, Tone] Oslo Univ Hosp, SERTA Hlth Brain Ageing, Ctr Mol Biol &amp; Neurosci, Dept Microbiol, Oslo, Norway; [Walhovd, Kristine B.] Univ Oslo, Dept Psychol, LCBC, N-0316 Oslo, Norway; [Tonjum, Tone] Univ Oslo, SERTA Hlth Brain Ageing, Ctr Mol Biol &amp; Neurosci, Dept Microbiol, N-0316 Oslo, Norway</t>
  </si>
  <si>
    <t>University of Oslo; University of Oslo; University of Oslo; University of Oslo; University of Oslo; University of Oslo; University of Oslo; University of Oslo</t>
  </si>
  <si>
    <t>Tonjum, T (corresponding author), Univ Oslo, Oslo Univ Hosp, Dept Microbiol, N-0316 Oslo, Norway.</t>
  </si>
  <si>
    <t>tone.tonjum@medisin.uio.no</t>
  </si>
  <si>
    <t>Morth, Jens Preben/AAP-7834-2021; Tønjum, Tone/J-4581-2014; Bjaalie, Jan G. G./AAW-6445-2021; Morth, Jens Preben/G-4450-2013</t>
  </si>
  <si>
    <t>Morth, Jens Preben/0000-0003-4077-0192; Bjaalie, Jan G. G./0000-0001-7899-906X; Morth, Jens Preben/0000-0003-4077-0192; Leergaard, Trygve B./0000-0001-5965-8470; Amiry-Moghaddam, Mahmood/0000-0003-1071-1247; Tonjum, Tone/0000-0002-1709-6921; Eriksson, Jens/0000-0002-8945-2665; Storm-Mathisen, Jon/0000-0002-2930-3262; Bergersen, Linda Hildegard/0000-0002-9964-9744</t>
  </si>
  <si>
    <t>10.1016/j.mad.2013.10.001</t>
  </si>
  <si>
    <t>WOS:000329148400004</t>
  </si>
  <si>
    <t>Re, RN; Cook, JL</t>
  </si>
  <si>
    <t>Re, Richard N.; Cook, Julia L.</t>
  </si>
  <si>
    <t>Senescence, apoptosis, and stem cell biology: the rationale for an expanded view of intracrine action</t>
  </si>
  <si>
    <t>AMERICAN JOURNAL OF PHYSIOLOGY-HEART AND CIRCULATORY PHYSIOLOGY</t>
  </si>
  <si>
    <t>atherosclerosis; laterality</t>
  </si>
  <si>
    <t>PROTEIN-RELATED PROTEIN-1; ENDOTHELIAL PROGENITOR CELLS; FACTOR-BINDING PROTEIN-3; HUMAN PROSTATE-CANCER; GROWTH-FACTOR; HORIZONTAL TRANSFER; EXOSOME SECRETION; SHORT TELOMERES; TUMOR-CELLS; EXPRESSION</t>
  </si>
  <si>
    <t>Re RN, Cook JL. Senescence, apoptosis, and stem cell biology: the rationale for an expanded view of intracrine action. Am J Physiol Heart Circ Physiol 297: H893-H901, 2009. First published July 10, 2009; doi: 10.1152/ajpheart.00414.2009.-Some extracellular-signaling peptides also at times function within the intracellular space. We have termed these peptides intracrines and have argued that intracrine function is associated with a wide variety of peptides/proteins including hormones, growth factors, cytokines, enzymes, and DNA-binding proteins among others. Here we consider the possibility that intracrines participate in the related phenomena of senescence, apoptosis, and stem cell regulation of tissue biology. Based on this analysis, we also suggest that the concept of intracrine action be expanded to include possible regulatory peptide transfer via exosomes/microvesicles and possibly by nanotubes. Moreover, the process of microvesicular and nanotube transfer of peptides and other biologically relevant molecules, which we inclusively term laterality, is explored. These notions have potentially important therapeutic implications, including implications for the therapy of cardiovascular disease.</t>
  </si>
  <si>
    <t>[Re, Richard N.] Ochsner Clin Fdn, Div Res, New Orleans, LA 70121 USA</t>
  </si>
  <si>
    <t>Ochsner Health System</t>
  </si>
  <si>
    <t>Re, RN (corresponding author), Ochsner Clin Fdn, Div Res, 1514 Jefferson Hwy, New Orleans, LA 70121 USA.</t>
  </si>
  <si>
    <t>rre@ochsner.org</t>
  </si>
  <si>
    <t>0363-6135</t>
  </si>
  <si>
    <t>1522-1539</t>
  </si>
  <si>
    <t>H893</t>
  </si>
  <si>
    <t>H901</t>
  </si>
  <si>
    <t>10.1152/ajpheart.00414.2009</t>
  </si>
  <si>
    <t>Cardiac &amp; Cardiovascular Systems; Physiology; Peripheral Vascular Disease</t>
  </si>
  <si>
    <t>Cardiovascular System &amp; Cardiology; Physiology</t>
  </si>
  <si>
    <t>WOS:000269308900001</t>
  </si>
  <si>
    <t>Antoury, L; Hu, NY; Balaj, L; Das, S; Georghiou, S; Darras, B; Clark, T; Breakefield, XO; Wheeler, TM</t>
  </si>
  <si>
    <t>Antoury, Layal; Hu, Ningyan; Balaj, Leonora; Das, Sudeshna; Georghiou, Sofia; Darras, Basil; Clark, Tim; Breakefield, Xandra O.; Wheeler, Thurman M.</t>
  </si>
  <si>
    <t>Analysis of extracellular mRNA in human urine reveals splice variant biomarkers of muscular dystrophies</t>
  </si>
  <si>
    <t>MYOTONIC-DYSTROPHY; PRINCIPAL COMPONENT; PROSTATE-CANCER; MOUSE MODELS; VESICLES; REPEAT; CELLS; IDENTIFICATION; TRANSCRIPTS; EXPANSION</t>
  </si>
  <si>
    <t>Urine contains extracellular RNA (exRNA) markers of urogenital cancers. However, the capacity of genetic material in urine to identify systemic diseases is unknown. Here we describe exRNA splice products in human urine as a source of biomarkers for the two most common forms of muscular dystrophies, myotonic dystrophy (DM) and Duchenne muscular dystrophy (DMD). Using a training set, RT-PCR, droplet digital PCR, and principal component regression, we identify ten transcripts that are spliced differently in urine exRNA from patients with DM type 1 (DM1) as compared to unaffected or disease controls, form a composite biomarker, and develop a predictive model that is 100% accurate in our independent validation set. Urine also contains mutation-specific DMD mRNAs that confirm exon-skipping activity of the antisense oligonucleotide drug eteplirsen. Our results establish that urine mRNA splice variants can be used to monitor systemic diseases with minimal or no clinical effect on the urinary tract.</t>
  </si>
  <si>
    <t>[Antoury, Layal; Hu, Ningyan; Balaj, Leonora; Das, Sudeshna; Clark, Tim; Breakefield, Xandra O.; Wheeler, Thurman M.] Massachusetts Gen Hosp, Dept Neurol, Boston, MA 02114 USA; [Antoury, Layal; Hu, Ningyan; Balaj, Leonora; Das, Sudeshna; Georghiou, Sofia; Darras, Basil; Clark, Tim; Breakefield, Xandra O.; Wheeler, Thurman M.] Harvard Med Sch, Boston, MA 02115 USA; [Georghiou, Sofia; Darras, Basil] Boston Childrens Hosp, Dept Neurol, Boston, MA USA; [Breakefield, Xandra O.] Massachusetts Gen Hosp, Dept Radiol, Boston, MA USA</t>
  </si>
  <si>
    <t>Harvard University; Massachusetts General Hospital; Harvard University; Harvard Medical School; Harvard University; Boston Children's Hospital; Harvard University; Massachusetts General Hospital</t>
  </si>
  <si>
    <t>Wheeler, TM (corresponding author), Massachusetts Gen Hosp, Dept Neurol, Boston, MA 02114 USA.;Wheeler, TM (corresponding author), Harvard Med Sch, Boston, MA 02115 USA.</t>
  </si>
  <si>
    <t>twheeler1@mgh.harvard.edu</t>
  </si>
  <si>
    <t>Balaj, Leonora/0000-0003-0931-9715; Das, Sudeshna/0000-0002-9486-6811; Clark, Timothy/0000-0003-4060-7360</t>
  </si>
  <si>
    <t>10.1038/s41467-018-06206-0</t>
  </si>
  <si>
    <t>WOS:000445560800014</t>
  </si>
  <si>
    <t>Giraldez, MD; Spengler, RM; Etheridge, A; Goicochea, AJ; Tuck, M; Choi, SW; Galas, DJ; Tewari, M</t>
  </si>
  <si>
    <t>Giraldez, Maria D.; Spengler, Ryan M.; Etheridge, Alton; Goicochea, Annika J.; Tuck, Missy; Choi, Sung Won; Galas, David J.; Tewari, Muneesh</t>
  </si>
  <si>
    <t>Phospho-RNA-seq: a modified small RNA-seq method that reveals circulating mRNA and lncRNA fragments as potential biomarkers in human plasma</t>
  </si>
  <si>
    <t>cell-free RNA; extracellular RNA; liquid biopsy; RNA-seq</t>
  </si>
  <si>
    <t>GENE-EXPRESSION; MICRORNAS; PHOSPHORYLATION; SIGNATURE; VESICLES; ENZYME; ACID</t>
  </si>
  <si>
    <t>Extracellular RNAs (exRNAs) in biofluids have attracted great interest as potential biomarkers. Although extracellular microRNAs in blood plasma are extensively characterized, extracellular messenger RNA (mRNA) and long non-coding RNA (lncRNA) studies are limited. We report that plasma contains fragmented mRNAs and lncRNAs that are missed by standard small RNA-seq protocols due to lack of 5 ' phosphate or presence of 3 ' phosphate. These fragments were revealed using a modified protocol (phospho-RNA-seq) incorporating RNA treatment with T4-polynucleotide kinase, which we compared with standard small RNA-seq for sequencing synthetic RNAs with varied 5 ' and 3 ' ends, as well as human plasma exRNA. Analyzing phospho-RNA-seq data using a custom, high-stringency bioinformatic pipeline, we identified mRNA/lncRNA transcriptome fingerprints in plasma, including tissue-specific gene sets. In a longitudinal study of hematopoietic stem cell transplant patients, bone marrow- and liver-enriched exRNA genes were tracked with bone marrow recovery and liver injury, respectively, providing proof-of-concept validation as a biomarker approach. By enabling access to an unexplored realm of mRNA and lncRNA fragments, phospho-RNA-seq opens up new possibilities for plasma transcriptomic biomarker development.</t>
  </si>
  <si>
    <t>[Giraldez, Maria D.; Spengler, Ryan M.; Goicochea, Annika J.; Tuck, Missy; Tewari, Muneesh] Univ Michigan, Dept Internal Med, Hematol Oncol Div, Ann Arbor, MI 48109 USA; [Giraldez, Maria D.] Inst Biomed Seville IBiS, Seville, Spain; [Giraldez, Maria D.] Virgen del Rocio Univ Hosp, Unit Digest Dis, Seville, Spain; [Etheridge, Alton; Galas, David J.] Pacific Northwest Res Inst, 720 Broadwayess Pkwy, Seattle, WA 98122 USA; [Choi, Sung Won] Univ Michigan, Dept Pediat, Hematol Oncol Div, Ann Arbor, MI 48109 USA; [Tewari, Muneesh] Univ Michigan, Ctr Computat Med &amp; Bioinformat, Ann Arbor, MI 48109 USA; [Tewari, Muneesh] Univ Michigan, Dept Biomed Engn, Ann Arbor, MI 48109 USA; [Tewari, Muneesh] Univ Michigan, Biointerfaces Inst, Ann Arbor, MI 48109 USA</t>
  </si>
  <si>
    <t>University of Michigan System; University of Michigan; Consejo Superior de Investigaciones Cientificas (CSIC); University of Sevilla; CSIC-JA-USE - Instituto de Biomedicina de Sevilla (IBIS); Virgen del Rocio University Hospital; University of Michigan System; University of Michigan; University of Michigan System; University of Michigan; University of Michigan System; University of Michigan; University of Michigan System; University of Michigan</t>
  </si>
  <si>
    <t>Tewari, M (corresponding author), Univ Michigan, Dept Internal Med, Hematol Oncol Div, Ann Arbor, MI 48109 USA.;Tewari, M (corresponding author), Univ Michigan, Ctr Computat Med &amp; Bioinformat, Ann Arbor, MI 48109 USA.;Tewari, M (corresponding author), Univ Michigan, Dept Biomed Engn, Ann Arbor, MI 48109 USA.;Tewari, M (corresponding author), Univ Michigan, Biointerfaces Inst, Ann Arbor, MI 48109 USA.</t>
  </si>
  <si>
    <t>mtewari@med.umich.edu</t>
  </si>
  <si>
    <t>Giraldez, Maria D/E-7395-2018; Spengler, Ryan/J-1412-2018</t>
  </si>
  <si>
    <t>Giraldez, Maria D/0000-0001-6829-7603; Galas, David/0000-0001-8248-8617; Spengler, Ryan/0000-0003-0181-5589</t>
  </si>
  <si>
    <t>JUN 3</t>
  </si>
  <si>
    <t>e101695</t>
  </si>
  <si>
    <t>10.15252/embj.2019101695</t>
  </si>
  <si>
    <t>WOS:000470014200001</t>
  </si>
  <si>
    <t>Cao, YL; Zhuang, T; Xing, BH; Li, N; Li, Q</t>
  </si>
  <si>
    <t>Cao, Ya-Lei; Zhuang, Ting; Xing, Bao-Heng; Li, Na; Li, Qin</t>
  </si>
  <si>
    <t>Exosomal DNMT1 mediates cisplatin resistance in ovarian cancer</t>
  </si>
  <si>
    <t>CELL BIOCHEMISTRY AND FUNCTION</t>
  </si>
  <si>
    <t>cisplatin; DNA methyltransferase 1 (DNMT1); exosome; ovarian cancer; resistance</t>
  </si>
  <si>
    <t>1ST-LINE CHEMOTHERAPY; EPIGENETIC REGULATION; EXPRESSION; SAFETY; RISK</t>
  </si>
  <si>
    <t>Ovarian cancer is the most common malignancy in women. Owing to late syndromic presentation and lack of efficient early detection, most cases are diagnosed at advanced stages. Surgery and platinum-based chemotherapy are still the standard care currently. However, resistance invoked often compromises the clinical value of the latter. Expression of DNA methyltransferase 1 (DNMT1) was analysed by gene array. Protein was determined by immunoblotting. Exosome was isolated with commercial kit. Cell proliferation was measured by CCK8 method. Annexin V-PI double staining was performed for apoptosis evaluation. Xenograft model was established and administrated with exosome. Tumour growth and overall survival were monitored. We demonstrated the upregulation of DNMT1 in both tumour and derived cell line. DNMT1 transcripts were highly enriched in exosomes from conditioned medium of ovarian cells. Co-incubation with exosomes stimulated endogenous expression and rendered host cell the resistance to cytotoxicity of cisplatin. In vivo administration of DNMT1-containing exosomes exacerbated xenograft progression and reduced overall survival significantly. Moreover, treatment with exosome inhibitor GW4869 almost completely restored sensitivity in resistant cells. Our data elucidated an unappreciated mechanism of exosomal DNMT1 in cisplatin resistance in ovarian cancer, also indicating the potential of the combination of exosome inhibitor with cisplatin in resistant patients.</t>
  </si>
  <si>
    <t>[Cao, Ya-Lei; Xing, Bao-Heng; Li, Na; Li, Qin] Cangzhou Ctr Hosp, Dept Obstet &amp; Gynaecol, 16 Xin Hua Rd, Yun He Dist 061001, Cangzhou, Peoples R China; [Zhuang, Ting] Xinxiang Med Univ, Immunol Res Ctr, Sch Lab Med, Henan Collaborat Innovat Ctr Mol Diag &amp; Lab Med, Xinxiang, Henan, Peoples R China</t>
  </si>
  <si>
    <t>Xinxiang Medical University</t>
  </si>
  <si>
    <t>Xing, BH (corresponding author), Cangzhou Ctr Hosp, Dept Obstet &amp; Gynaecol, 16 Xin Hua Rd, Yun He Dist 061001, Cangzhou, Peoples R China.</t>
  </si>
  <si>
    <t>baohengxing44@163.com</t>
  </si>
  <si>
    <t>Zhuang, Ting/0000-0002-6308-1253</t>
  </si>
  <si>
    <t>0263-6484</t>
  </si>
  <si>
    <t>1099-0844</t>
  </si>
  <si>
    <t>10.1002/cbf.3276</t>
  </si>
  <si>
    <t>WOS:000408477400002</t>
  </si>
  <si>
    <t>Zong, L; Huang, P; Song, Q; Kang, Y</t>
  </si>
  <si>
    <t>Zong, Lu; Huang, Pu; Song, Qing; Kang, Yan</t>
  </si>
  <si>
    <t>Bone marrow mesenchymal stem cells-secreted exosomal H19 modulates lipopolysaccharides-stimulated microglial M1/M2 polarization and alleviates inflammation-mediated neurotoxicity</t>
  </si>
  <si>
    <t>Mesenchymal stem cells; exosomes; microglia; long non-coding RNA H19</t>
  </si>
  <si>
    <t>Neuroinflammation is the most common cause of neurological diseases. Exosomes derived from mesenchymal stem cells (MSCs-exos) have been reported to reduce inflammation and neuronal injury. Its underlying mechanism remains poorly unknown. In this study, identification of bone marrow MSCs-derived exosomes (BMSCs-exos) was conducted by nanosight tracking analysis, transmission electron microscope, and western blot assay. Enzyme-linked immunosorbent (ELISA) was used to analyze microglial M1/M2 polarization and detect levels of inflammatory factors. Cell viability was determined by Cell Counting Kit (CCK)-8 assay. Cell apoptosis was assessed by flow cytometry, caspase-3 activity assay, and DNA fragmentation assay. Quantitative real-time polymerase chain reaction was used to detect gene expression. Luciferase reporter and RNA pull-down assays were exploited to validate the interaction between genes. BMSCs-exos promoted M2 polarization while inhibited M1 polarization in LPS-stimulated BV-2 cells. BMSCs-exos inhibited the secretion of interleukin (IL)-1 beta, IL-6, and TNF-alpha, while increased the levels of IL-10. BMSCs-exos resisted the cytotoxicity and apoptosis induced by LPS in HT22 cells. BMSCs-exosomal long noncoding RNA (lncRNA) H19 enhanced the anti-inflammatory ability of BMSCs-exos in BV-2 microglia following LPS stimulation, and strengthened the neuroprotective effect of BMSCs-exos on HT22 cells in the presence of LPS. Moreover, H19 functioned as a sponge for miR-29b-3p. miR-29b-3p mimics abolished the effects of BMSCs-exosomal H19 on M1/M2 polarization and inflammation in LPS-stimulated BV-2 cells. The neuroprotective function of BMSCs-exosomal H19 was attenuated by miR-29b-3p mimics in LPS-stimulated HT22 cells. BMSCs-exosomal H19 modulates LPS-stimulated microglial M1/M2 polarization and alleviates inflammation-mediated neurotoxicity by sponging miR-29b-3p.</t>
  </si>
  <si>
    <t>[Zong, Lu; Huang, Pu; Song, Qing] Xi An Jiao Tong Univ, Dept Obstet, Affiliated Hosp 1, 277 Yanta West Rd, Xian 710061, Shaanxi, Peoples R China; [Kang, Yan] Shandong Univ, Shandong Prov Maternal &amp; Child Hlth Care Hosp, Dept Obstet, Cheeloo Coll Med, Jinan 250014, Shandong, Peoples R China</t>
  </si>
  <si>
    <t>Xi'an Jiaotong University; Shandong University</t>
  </si>
  <si>
    <t>Zong, L (corresponding author), Xi An Jiao Tong Univ, Dept Obstet, Affiliated Hosp 1, 277 Yanta West Rd, Xian 710061, Shaanxi, Peoples R China.;Kang, Y (corresponding author), Shandong Univ, Shandong Prov Maternal &amp; Child Hlth Care Hosp, Dept Obstet, Cheeloo Coll Med, Jinan 250014, Shandong, Peoples R China.</t>
  </si>
  <si>
    <t>catherazong@126.com; kangrecrx269@126.com</t>
  </si>
  <si>
    <t>WOS:000631871900008</t>
  </si>
  <si>
    <t>Bienkowska-Haba, M; Williams, C; Kim, SM; Garcea, RL; Sapp, M</t>
  </si>
  <si>
    <t>Bienkowska-Haba, Malgorzata; Williams, Carlyn; Kim, Seong Man; Garcea, Robert L.; Sapp, Martin</t>
  </si>
  <si>
    <t>Cyclophilins Facilitate Dissociation of the Human Papillomavirus Type 16 Capsid Protein L1 from the L2/DNA Complex following Virus Entry</t>
  </si>
  <si>
    <t>HEPATITIS-C VIRUS; SURFACE HEPARAN-SULFATE; CELL-SURFACE; MONOCLONAL-ANTIBODIES; EXTRACELLULAR-MATRIX; HUMAN KERATINOCYTES; DEPENDENT PATHWAY; INFECTIOUS ENTRY; VIRAL ENTRY; L2</t>
  </si>
  <si>
    <t>Human papillomaviruses (HPV) are composed of the major and minor capsid proteins, L1 and L2, that encapsidate a chromatinized, circular double-stranded DNA genome. At the outset of infection, the interaction of HPV type 16 (HPV16) (pseudo)virions with heparan sulfate proteoglycans triggers a conformational change in L2 that is facilitated by the host cell chaperone cyclophilin B (CyPB). This conformational change results in exposure of the L2 N terminus, which is required for infectious internalization. Following internalization, L2 facilitates egress of the viral genome from acidified endosomes, and the L2/DNA complex accumulates at PML nuclear bodies. We recently described a mutant virus that bypasses the requirement for cell surface CyPB but remains sensitive to cyclosporine for infection, indicating an additional role for CyP following endocytic uptake of virions. We now report that the L1 protein dissociates from the L2/DNA complex following infectious internalization. Inhibition and small interfering RNA (siRNA)-mediated knockdown of CyPs blocked dissociation of L1 from the L2/DNA complex. In vitro, purified CyPs facilitated the dissociation of L1 pentamers from recombinant HPV11 L1/L2 complexes in a pH-dependent manner. Furthermore, CyPs released L1 capsomeres from partially disassembled HPV16 pseudovirions at slightly acidic pH. Taken together, these data suggest that CyPs mediate the dissociation of HPV L1 and L2 capsid proteins following acidification of endocytic vesicles.</t>
  </si>
  <si>
    <t>[Bienkowska-Haba, Malgorzata; Kim, Seong Man; Sapp, Martin] LSU Hlth Shreveport, Dept Microbiol &amp; Immunol, Shreveport, LA USA; [Bienkowska-Haba, Malgorzata; Kim, Seong Man; Sapp, Martin] LSU Hlth Shreveport, Ctr Mol Tumor Virol, Shreveport, LA USA; [Bienkowska-Haba, Malgorzata; Sapp, Martin] LSU Hlth Shreveport, Feist Weiller Canc Ctr, Shreveport, LA USA; [Williams, Carlyn; Garcea, Robert L.] Univ Colorado, Dept Mol Cellular &amp; Dev Biol, Boulder, CO 80309 USA</t>
  </si>
  <si>
    <t>Louisiana State University System; Louisiana State University Health Sciences Center at Shreveport; Louisiana State University System; Louisiana State University Health Sciences Center at Shreveport; Louisiana State University System; Louisiana State University Health Sciences Center at Shreveport; University of Colorado System; University of Colorado Boulder</t>
  </si>
  <si>
    <t>Sapp, M (corresponding author), LSU Hlth Shreveport, Dept Microbiol &amp; Immunol, Shreveport, LA USA.</t>
  </si>
  <si>
    <t>msapp1@lsuhsc.edu</t>
  </si>
  <si>
    <t>10.1128/JVI.00980-12</t>
  </si>
  <si>
    <t>WOS:000308337500030</t>
  </si>
  <si>
    <t>Hahn, S; Giaglis, S; Buser, A; Hoesli, I; Lapaire, O; Hasler, P</t>
  </si>
  <si>
    <t>Hahn, Sinuhe; Giaglis, Stavros; Buser, Andreas; Hoesli, Irene; Lapaire, Olav; Hasler, Paul</t>
  </si>
  <si>
    <t>Cell-free nucleic acids in (maternal) blood: any relevance to (reproductive) immunologists?</t>
  </si>
  <si>
    <t>Cell-free DNA; Placenta; Neutrophil extracellular traps (NETs); miRNA</t>
  </si>
  <si>
    <t>NEUTROPHIL EXTRACELLULAR DNA; FETAL DNA; MESSENGER-RNA; CIRCULATING DNA; ELEVATED LEVELS; PLASMA DNA; TRAPS; PREGNANCY; SERUM; MICROPARTICLES</t>
  </si>
  <si>
    <t>Cell-free foetal DNA recently hit the international headlines by facilitating the non-invasive prenatal testing (NIPT) of foetal chromosomal anomalies directly from maternal blood samples. Being largely of placental origin, cell-free foetal DNA may also, however, provide insight into underlying pathological changes in preeclampsia, or the influences of external stresses, such as hypoxia. This analysis may be enhanced by the simultaneous assessment of placenta-derived, cell-free mRNA species. The source of maternal cell-free DNA is not readily apparent, but may involve neutrophil extracellular traps (NETs). The rapid rise in this material following removal of the placenta, especially in preeclampsia, may indicate a rapid transient maternal inflammatory response to placenta-derived debris. Since NETs have recently been shown to promote coagulation, this may provide a link to pregnancy-associated thrombosis or placental infarction. The presence of cell-free, placenta-derived DNA may not be as innocuous as commonly assumed, as it is largely hypomethylated and could, like bacterial DNA, trigger the activation of maternal immune effector cells via interaction with toll-like receptor 9 (TLR9), thereby contributing to an excessive inflammatory response in preeclampsia or preterm labour. Possibly the most fascinating aspect concerning placenta-derived, cell-free nucleic acids is the recent report that placental exosomes loaded with placenta-specific C19MC miRNA species may modulate the antiviral response of maternal immune cells, thereby ensuring foetal well-being. (C) 2014 Elsevier Ireland Ltd. All rights reserved.</t>
  </si>
  <si>
    <t>[Hahn, Sinuhe; Giaglis, Stavros] Univ Basel Hosp, Dept Biomed, Lab Prenatal Med, CH-4031 Basel, Switzerland; [Giaglis, Stavros; Hasler, Paul] Kantonsspital Aarau, Dept Rheumatol, Aarau, Switzerland; [Buser, Andreas] Univ Basel Hosp, Dept Internal Med, Div Hematol, CH-4031 Basel, Switzerland; [Buser, Andreas] Swiss Red Cross, Ctr Blood Transfus, Basel, Switzerland; [Hoesli, Irene; Lapaire, Olav] Univ Womens Hosp Basel, Dept Obstet, CH-4031 Basel, Switzerland</t>
  </si>
  <si>
    <t>University of Basel; Kantonsspital Aarau AG (KSA); University of Basel</t>
  </si>
  <si>
    <t>Hahn, S (corresponding author), Univ Basel Hosp, Dept Res, Lab Prenatal Med, Hebelstr 20, CH-4031 Basel, Switzerland.</t>
  </si>
  <si>
    <t>sinuhe.hahn@usb.ch</t>
  </si>
  <si>
    <t>Buser, Andreas S/A-2660-2008; Buser, Andreas/AAL-8676-2020</t>
  </si>
  <si>
    <t>Buser, Andreas S/0000-0002-7942-6746; Buser, Andreas/0000-0002-7942-6746; Giaglis, Stavros/0000-0003-2216-9539</t>
  </si>
  <si>
    <t>1872-7603</t>
  </si>
  <si>
    <t>10.1016/j.jri.2014.03.007</t>
  </si>
  <si>
    <t>WOS:000342879000006</t>
  </si>
  <si>
    <t>Lemoine, JL; Farley, R; Huang, L</t>
  </si>
  <si>
    <t>Mechanism of efficient transfection of the nasal airway epithelium by hypotonic shock</t>
  </si>
  <si>
    <t>GENE THERAPY</t>
  </si>
  <si>
    <t>airway; gene transfer; naked DNA; hypotonic shock; mechanism</t>
  </si>
  <si>
    <t>CELL-VOLUME REGULATION; CFTR GENE-TRANSFER; CYSTIC-FIBROSIS; PLASMID DNA; ATP RELEASE; EXTRACELLULAR ATP; EXPRESSION; SECRETION; MOLECULES; INJECTION</t>
  </si>
  <si>
    <t>The main barrier to gene transfer in the airway epithelium is the low rate of apical endocytosis limiting naked DNA uptake. Deionized water is known to stimulate the exocytosis of numerous intracellular vesicles during hypotonic cell swelling, in order to expand plasma membrane and prevent cell lysis. This is followed by the phase of regulatory volume decrease (RVD), during which the excess plasma membrane is retrieved by intensive endocytosis. Here we show that the more hypotonic the DNA solution, the higher the transfection of the nasal tissue. P2 receptors are known to be involved in RVD and we demonstrate that some P2 agonists and a P2 antagonist impair transfection in a time-dependent manner. Our study strongly suggests that the nasal airway epithelial cells take up plasmid DNA in deionized water during RVD, within approximately half an hour. Our simple gene delivery system may constitute a promising method for respiratory tract gene therapy.</t>
  </si>
  <si>
    <t>Univ Pittsburgh, Sch Pharm, Ctr Pharmacogenet, Pittsburgh, PA 15213 USA; Univ London Imperial Coll Sci Technol &amp; Med, Natl Heart &amp; Lung Inst, Dept Gene Therapy, London, England</t>
  </si>
  <si>
    <t>Pennsylvania Commonwealth System of Higher Education (PCSHE); University of Pittsburgh; Imperial College London</t>
  </si>
  <si>
    <t>Huang, L (corresponding author), Univ Pittsburgh, Sch Pharm, Ctr Pharmacogenet, 633 Salk Hall,3501 Terrace St, Pittsburgh, PA 15213 USA.</t>
  </si>
  <si>
    <t>0969-7128</t>
  </si>
  <si>
    <t>1476-5462</t>
  </si>
  <si>
    <t>10.1038/sj.gt.3302548</t>
  </si>
  <si>
    <t>Biochemistry &amp; Molecular Biology; Biotechnology &amp; Applied Microbiology; Genetics &amp; Heredity; Medicine, Research &amp; Experimental</t>
  </si>
  <si>
    <t>Biochemistry &amp; Molecular Biology; Biotechnology &amp; Applied Microbiology; Genetics &amp; Heredity; Research &amp; Experimental Medicine</t>
  </si>
  <si>
    <t>WOS:000231019700006</t>
  </si>
  <si>
    <t>Perets, R; Greenberg, O; Shentzer, T; Semenisty, V; Epelbaum, R; Bick, T; Sarji, S; Ben-Izhak, O; Sabo, E; Hershkovitz, D</t>
  </si>
  <si>
    <t>Perets, Ruth; Greenberg, Orli; Shentzer, Talia; Semenisty, Valeria; Epelbaum, Ron; Bick, Tova; Sarji, Shada; Ben-Izhak, Ofer; Sabo, Edmond; Hershkovitz, Dov</t>
  </si>
  <si>
    <t>Mutant KRAS Circulating Tumor DNA Is an Accurate Tool for Pancreatic Cancer Monitoring</t>
  </si>
  <si>
    <t>ONCOLOGIST</t>
  </si>
  <si>
    <t>Pancreatic cancer; Adenocarcinoma; KRAS; Circulating tumor DNA; Liquid biopsy; Cancer monitoring</t>
  </si>
  <si>
    <t>LUNG-CANCER; COMBINATION THERAPY; EXOSOMES; GEMCITABINE; RESISTANCE; CA19-9; ADENOCARCINOMA; BIOMARKERS; MANAGEMENT; PROGNOSIS</t>
  </si>
  <si>
    <t>Background. Many new pancreatic cancer treatment combinations have been discovered in recent years, yet the prognosis of pancreatic ductal adenocarcinoma (PDAC) remains grim. The advent of new treatments highlights the need for better monitoring tools for treatment response, to allow a timely switch between different therapeutic regimens. Circulating tumor DNA (ctDNA) is a tool for cancer detection and characterization with growing clinical use. However, currently, ctDNA is not used for monitoring treatment response. The high prevalence of KRAS hotspot mutations in PDAC suggests that mutant KRAS can be an efficient ctDNA marker for PDAC monitoring. Subjects, Materials, and Methods. Seventeen metastatic PDAC patients were recruited and serial plasma samples were collected. CtDNA was extracted from the plasma, and KRAS mutation analysis was performed using next-generation sequencing and correlated with serum CA19-9 levels, imaging, and survival. Results. Plasma KRAS mutations were detected in 5/17 (29.4%) patients. KRAS ctDNA detection was associated with shorter survival (8 vs. 37.5 months). Our results show that, in ctDNA positive patients, ctDNA is at least comparable to CA19-9 as a marker for monitoring treatment response. Furthermore, the rate of ctDNA change was inversely correlated with survival. Conclusion. Our results confirm that mutant KRAS ctDNA detection in metastatic PDAC patients is a poor prognostic marker. Additionally, we were able to show that mutant KRAS ctDNA analysis can be used to monitor treatment response in PDAC patients and that ctDNA dynamics is associated with survival. We suggest that ctDNA analysis in metastatic PDAC patients is a readily available tool for disease monitoring.</t>
  </si>
  <si>
    <t>[Perets, Ruth; Shentzer, Talia; Semenisty, Valeria; Epelbaum, Ron] Rambam Hlth Care Campus, Dept Oncol, Haifa, Israel; [Bick, Tova; Sarji, Shada; Ben-Izhak, Ofer; Sabo, Edmond] Rambam Hlth Care Campus, Dept Pathol, Haifa, Israel; [Perets, Ruth; Epelbaum, Ron; Ben-Izhak, Ofer; Sabo, Edmond] Technion Israel Inst Technol, Haifa, Israel; [Greenberg, Orli; Hershkovitz, Dov] Tel Aviv Sourasky Med Ctr, Dept Pathol, Tel Aviv, Israel; [Hershkovitz, Dov] Tel Aviv Univ, Sackler Fac Med, Tel Aviv, Israel</t>
  </si>
  <si>
    <t>Rambam Health Care Campus; Rambam Health Care Campus; Technion Israel Institute of Technology; Rappaport Faculty of Medicine; Tel Aviv University; Sackler Faculty of Medicine; Tel Aviv Sourasky Medical Center; Tel Aviv University; Sackler Faculty of Medicine</t>
  </si>
  <si>
    <t>Hershkovitz, D (corresponding author), Tel Aviv Sourasky Med Ctr, Inst Pathol, 6 Weizmann St, IL-64239 Tel Aviv, Israel.</t>
  </si>
  <si>
    <t>dovh@tlvmc.gov.il</t>
  </si>
  <si>
    <t>1083-7159</t>
  </si>
  <si>
    <t>1549-490X</t>
  </si>
  <si>
    <t>10.1634/theoncologist.2017-0467</t>
  </si>
  <si>
    <t>WOS:000431968200009</t>
  </si>
  <si>
    <t>Lewenza, S; Charron-Mazenod, L; Afroj, S; Bernardes, EV</t>
  </si>
  <si>
    <t>Lewenza, Shawn; Charron-Mazenod, Laetitia; Afroj, Shirin; Bernardes, Erik van Tilburg</t>
  </si>
  <si>
    <t>Hyperbiofilm phenotype of Pseudomonas aeruginosa defective for the PlcB and PlcN secreted phospholipases</t>
  </si>
  <si>
    <t>CANADIAN JOURNAL OF MICROBIOLOGY</t>
  </si>
  <si>
    <t>phospholipase; biofilm formation; hyperbiofilm; matrix; Pseudomonas aeruginosa; PlcB; PlcN</t>
  </si>
  <si>
    <t>BIOFILM FORMATION; MEMBRANE-VESICLES; MUTANT LIBRARY; DNA; MATRIX; ENZYME; PAO1</t>
  </si>
  <si>
    <t>Biofilms are dense communities of bacteria enmeshed in a protective extracellular matrix composed mainly of exopolysaccharides, extracellular DNA, proteins, and outer membrane vesicles (OMVs). Given the role of biofilms in antibiotic-tolerant and chronic infections, novel strategies are needed to block, disperse, or degrade biofilms. Enzymes that degrade the biofilm matrix are a promising new therapy. We screened mutants in many of the enzymes secreted by the type II secretion system (T2SS) and determined that the T2SS, and specifically phospholipases, play a role in biofilm formation. Mutations in the xcp secretion system and in the plcB and plcN phospholipases all resulted in hyperbiofilm phenotypes. PlcB has activity against many phospholipids, including the common bacterial membrane lipid phosphatidylethanolamine, and may degrade cell membrane debris or OMVs in the biofilm matrix. Exogenous phospholipase was shown to reduce aggregation and biofilm formation, suggesting its potential role as a novel enzymatic treatment to dissolve biofilms.</t>
  </si>
  <si>
    <t>[Lewenza, Shawn; Charron-Mazenod, Laetitia; Afroj, Shirin; Bernardes, Erik van Tilburg] Univ Calgary, Dept Microbiol Immunol &amp; Infect Dis, Snyder Inst Chron Dis, Fac Med, Calgary, AB T2N 1N4, Canada; [Lewenza, Shawn] Athabasca Univ, Fac Sci &amp; Technol, Athabasca, AB T9S 3A3, Canada</t>
  </si>
  <si>
    <t>University of Calgary; Athabasca University</t>
  </si>
  <si>
    <t>Lewenza, S (corresponding author), Univ Calgary, Dept Microbiol Immunol &amp; Infect Dis, Snyder Inst Chron Dis, Fac Med, Calgary, AB T2N 1N4, Canada.;Lewenza, S (corresponding author), Athabasca Univ, Fac Sci &amp; Technol, Athabasca, AB T9S 3A3, Canada.</t>
  </si>
  <si>
    <t>slewenza@athabascau.ca</t>
  </si>
  <si>
    <t>0008-4166</t>
  </si>
  <si>
    <t>1480-3275</t>
  </si>
  <si>
    <t>10.1139/cjm-2017-0244</t>
  </si>
  <si>
    <t>Biochemistry &amp; Molecular Biology; Biotechnology &amp; Applied Microbiology; Immunology; Microbiology</t>
  </si>
  <si>
    <t>WOS:000435584900004</t>
  </si>
  <si>
    <t>Haq, SH</t>
  </si>
  <si>
    <t>Haq, Samina Hyder</t>
  </si>
  <si>
    <t>5-Aza-2 '-deoxycytidine acts as a modulator of chondrocyte hypertrophy and maturation in chick caudal region chondrocytes in culture</t>
  </si>
  <si>
    <t>ANATOMY &amp; CELL BIOLOGY</t>
  </si>
  <si>
    <t>Hypomethylation; Endochondral ossification; Extracellular matrix; Scanning electron microscopy; Transmission electron microscopy; Rough endoplasmic reticulum</t>
  </si>
  <si>
    <t>This study was carried out to explore the effect of DNA hypomethylation on chondrocytes phenotype, in particular the effect on chondrocyte hypertrophy, maturation, and apoptosis. Chondrocytes derived from caudal region of day 17 embryonic chick sterna were pretreated with hypomethylating drug 5-aza-2'-deoxycytidine for 48 hours and then maintained in the normal culture medium for up to 14 days. Histological studies showed distinct morphological changes occurred in the pretreated cultures when compared to the control cultures. The pretreated chondrocytes after 7 days in culture became bigger in size and acquired more flattened fibroblastic phenotype as well as a loss of cartilage specific extracellular matrix. Scanning electron microscopy at day 7 showed chondrocytes to have increased in cell volume and at day 14 in culture the extracellular matrix of the pretreated cultures showed regular fibrillar structure heavily embedded with matrix vesicles, which is the characteristic feature of chondrocyte hypertrophy. Transmission electron microscopic studies indicated the terminal fate of the hypertrophic cells in culture. The pretreated chondrocytes grown for 14 days in culture showed two types of cells: dark cells which had condense chromatin in dark patches and dark cytoplasm. The other light chondrocytes appeared to be heavily loaded with endoplasmic reticulum indicative of very active protein and secretory activity; their cytoplasm had large vacuoles and disintegrating cytoplasm. The biosynthetic profile showed that the pretreated cultures were actively synthesizing and secreting type X collagen and alkaline phosphatase as a major biosynthetic product.</t>
  </si>
  <si>
    <t>[Haq, Samina Hyder] King Saud Univ, Coll Sci, Dept Biochem, POB 22452, Riyadh 11495, Saudi Arabia</t>
  </si>
  <si>
    <t>King Saud University</t>
  </si>
  <si>
    <t>Haq, SH (corresponding author), King Saud Univ, Coll Sci, Dept Biochem, POB 22452, Riyadh 11495, Saudi Arabia.</t>
  </si>
  <si>
    <t>shaq@ksu.edu.sa</t>
  </si>
  <si>
    <t>Haq, Samina hyder H/J-7543-2019</t>
  </si>
  <si>
    <t>Haq, Samina hyder H/0000-0002-8617-3767</t>
  </si>
  <si>
    <t>2093-3665</t>
  </si>
  <si>
    <t>2093-3673</t>
  </si>
  <si>
    <t>10.5115/acb.2016.49.2.107</t>
  </si>
  <si>
    <t>WOS:000448070100004</t>
  </si>
  <si>
    <t>Martinelli, C; Gabriele, F; Manai, F; Ciccone, R; Novara, F; Sauta, E; Bellazzi, R; Patane, M; Moroni, I; Paterra, R; Comincini, S</t>
  </si>
  <si>
    <t>Martinelli, Carolina; Gabriele, Fabio; Manai, Federico; Ciccone, Roberto; Novara, Francesca; Sauta, Elisabetta; Bellazzi, Riccardo; Patane, Monica; Moroni, Isabella; Paterra, Rosina; Comincini, Sergio</t>
  </si>
  <si>
    <t>The Search for Molecular Markers in a Gene-Orphan Case Study of a Pediatric Spinal Cord Pilocytic Astrocytoma</t>
  </si>
  <si>
    <t>Pediatric astrocytic tumors; exome analysis; DNA mutations; chromosomal abnormalities; bioinformatics</t>
  </si>
  <si>
    <t>DLX6-AS1 PROMOTES; CANCER CELLS; FUSION GENES; TUMOR; RNA; SURVIVAL; PROLIFERATION; MIGRATION; INVASION; ZDHHC14</t>
  </si>
  <si>
    <t>Background/Aim: We herein presented a case of pediatric spinal cord pilocytic astrocytoma diagnosed on the basis of histopathological and clinical findings. Materials and Methods: Given the paucity of data on genetic features for this tumor, we performed exome, array CGH and RNA sequencing analysis from nucleic acids isolated from a unique and not repeatable very small amount of a formalin-fixed, paraffin-embedded (FFPE) specimen. Results: DNA mutation analysis, comparing tumor and normal lymphocyte peripheral DNA, evidenced few tumor-specific single nucleotide variants in DEFB119, MUC5B, NUDT1, LTBP3 and CPSF3L genes. Differently, tumor DNA was not characterized by for the main pilocytic astrocytoma gene variations, including BRAFV600E. An inflame trinucleotides insertion involving DLX6 or lnc DLX6-AS1 genes was scored in 44.9% of sequenced reads; the temporal profile of this variation on the expression of DLX-AS1 was investigated in patient's urine-derived exosomes, reporting no significant variation in the one-year molecular follow-up. Array CGH identified a tumor microdeletion at the 6q25.3 chromosomal region, spanning 1,01 Mb and comprising ZDHHC14, SNX9, TULP4 and SYTL3 genes. The expression of these genes did not change in urine-derived exosomes during the one-year investigation period. Finally, RNAseq did not reveal any of the common pilocytic BRAF-KIAA1549 genes fusion events. Conclusion: To our knowledge, the present report is one of the first described gene-orphan case studies of a pediatric spinal cord pilocytic astrocytoma.</t>
  </si>
  <si>
    <t>[Martinelli, Carolina; Gabriele, Fabio; Manai, Federico; Comincini, Sergio] Univ Pavia, Dept Biol &amp; Biotechnol, I-27100 Pavia, Italy; [Ciccone, Roberto] Univ Pavia, Dept Mol Med, Pavia, Italy; [Ciccone, Roberto; Novara, Francesca] Microgen Lab, Pavia, Italy; [Sauta, Elisabetta; Bellazzi, Riccardo] Univ Pavia, Dept Elect Comp &amp; Biomed Engn, Pavia, Italy; [Patane, Monica; Moroni, Isabella; Paterra, Rosina] Fdn IRCCS Ist Neurol Carlo Besta, Neuropathol Unit, Milan, Italy</t>
  </si>
  <si>
    <t>University of Pavia; University of Pavia; University of Pavia; IRCCS Istituto Neurologico Besta</t>
  </si>
  <si>
    <t>Comincini, S (corresponding author), Univ Pavia, Dept Biol &amp; Biotechnol, I-27100 Pavia, Italy.</t>
  </si>
  <si>
    <t>sergio.comincini@unipv.it</t>
  </si>
  <si>
    <t>Patanè, Monica/J-3615-2018; Moroni, Isabella/AAL-1336-2021; Manai, Federico/ABF-5272-2021; Bellazzi, Riccardo/J-6432-2018; Paterra, Rosina RP/K-7664-2016; COMINCINI, SERGIO/AAC-9164-2019</t>
  </si>
  <si>
    <t>Patanè, Monica/0000-0003-3567-9263; Moroni, Isabella/0000-0002-3322-1681; Bellazzi, Riccardo/0000-0002-6974-9808; Paterra, Rosina RP/0000-0001-9690-3500; COMINCINI, SERGIO/0000-0001-7568-1144; SAUTA, ELISABETTA/0000-0002-7830-988X</t>
  </si>
  <si>
    <t>10.21873/cgp.20172</t>
  </si>
  <si>
    <t>WOS:000517985400002</t>
  </si>
  <si>
    <t>Hou, M; He, DG; Wang, HZ; Huang, J; Cheng, H; Wan, KJ; Li, HW; Tang, ZF; He, XX; Wang, KM</t>
  </si>
  <si>
    <t>Hou, Min; He, Dinggeng; Wang, Huizhen; Huang, Jin; Cheng, Hong; Wan, Kejin; Li, Hung-Wing; Tang, Zifeng; He, Xiaoxiao; Wang, Kemin</t>
  </si>
  <si>
    <t>Simultaneous and multiplex detection of exosomal microRNAs based on the asymmetric Au@Au@Ag probes with enhanced Raman signal</t>
  </si>
  <si>
    <t>SERS; Au@Au@Ag probes; Exosomes; miR-21; miR-126; miR-1246</t>
  </si>
  <si>
    <t>ARRAYS</t>
  </si>
  <si>
    <t>Simultaneous and quantitative detection of multiple exosomal microRNAs (miRNAs) was successfully performed by a surface-enhanced Raman scattering (SERS) assay consisting of Raman probes and capture probes. In this design, the asymmetric core-shell structured Au@Au@Ag nanoparticles were first synthesized by layer-by-layer self-assembly method and modified with different Raman molecules and recognition sequences (polyA-DNA) to prepare the surface-enhanced Raman probes. Then, the streptavidin-modified magnetic beads were used to immobilize the biotinylated DNA capture sequences (biotin-DNA) to obtain capture probes. In the presence of target exosomal miRNAs, the Raman probes and capture probes could bind to the target exosomal miRNAs in the partial hybridization manner. Thus, the developed SERS sensor could indicate the target miRNAs levels in the buffer solution. Using breast cancer-related miRNAs as model targets, the limits of detection of this sensor were determined to be 1.076 fmol/L for synthetic miR-21, 0.068 fmol/L for synthetic miR-126, and 4.57 fmol/L for synthetic miR-1246, respectively. Such SERS sensors were further employed to detect the miR-21 in 20% human serum and the extraction solution of exosomes, respectively. Therefore, simultaneous and multiplex detection of cancer-related exosomal miRNAs by this assay could provide new opportunities for further biomedical applications. (C) 2022 Published by Elsevier B.V. on behalf of Chinese Chemical Society and Institute of Materia Medica, Chinese Academy of Medical Sciences.</t>
  </si>
  <si>
    <t>[Hou, Min; He, Dinggeng; Wang, Huizhen; Huang, Jin; Cheng, Hong; Wan, Kejin; He, Xiaoxiao; Wang, Kemin] Hunan Univ, Coll Biol, Coll Chem &amp; Chem Engn, State Key Lab Chemo Biosensing &amp; Chemometr,Key La, Changsha 410082, Peoples R China; [He, Dinggeng; Li, Hung-Wing] Chinese Univ Hong Kong, Dept Chem, Shatin, Hong Kong, Peoples R China; [Tang, Zifeng] NYU, Coll Art &amp; Sci, New York, NY 10012 USA</t>
  </si>
  <si>
    <t>Hunan University; Chinese University of Hong Kong; New York University</t>
  </si>
  <si>
    <t>He, DG; He, XX; Wang, KM (corresponding author), Hunan Univ, Coll Biol, Coll Chem &amp; Chem Engn, State Key Lab Chemo Biosensing &amp; Chemometr,Key La, Changsha 410082, Peoples R China.</t>
  </si>
  <si>
    <t>hedinggeng@hnu.edu.cn; xiaoxiaohe@hnu.edu.cn; kmwang@hnu.edu.cn</t>
  </si>
  <si>
    <t>Li, Hung Wing/0000-0003-4840-1965</t>
  </si>
  <si>
    <t>10.1016/j.cclet.2021.11.092</t>
  </si>
  <si>
    <t>WOS:000800344000069</t>
  </si>
  <si>
    <t>Hauguel-de Mouzon, S; Desoye, G</t>
  </si>
  <si>
    <t>Lapolla, A; Metzger, BE</t>
  </si>
  <si>
    <t>Hauguel-de Mouzon, Sylvie; Desoye, Gernot</t>
  </si>
  <si>
    <t>The Placenta in Diabetic Pregnancy: New Methodological Approaches</t>
  </si>
  <si>
    <t>GESTATIONAL DIABETES: A DECADE AFTER THE HAPO STUDY</t>
  </si>
  <si>
    <t>Frontiers in Diabetes</t>
  </si>
  <si>
    <t>DNA METHYLATION; EXTRACELLULAR VESICLES; EXPRESSION PROFILE; C19MC MICRORNAS; CORD BLOOD; MELLITUS; EXOSOMES; PREECLAMPSIA; LIPOPROTEIN; MIRNAS</t>
  </si>
  <si>
    <t>Early studies to understand the contribution of the placenta to the fetal phenotype have uncovered important information in normal and diabetic pregnancies. These are often untargeted using methods for discovery, that is, general OMIC methodologies on total placental tissue, mostly from the end of gestation. The advantage is that bioinformatic tools help identify novel processes and pathways affected by the diabetic environment. However, the complexities and broad range of placental functions have called for higher resolution approaches. Here we discuss published results of studies on placental tissue from normal and GDM pregnancies using OMICS technologies. We also summarize the most recent developments in the field of liquid biopsies to recover placental derived molecules from maternal blood. A primary focus is on placental exosomes, which are special vesicles released from cells and tissue and which may play a role in tissue-to-tissue communication at the maternal-fetal interface. This overview will help inform future studies and demonstrate the potential, but also the limitations, of these new methodologies. (c) 2020 S. Karger AG, Basel</t>
  </si>
  <si>
    <t>[Hauguel-de Mouzon, Sylvie] Case Western Reserve Univ, Dept Reprod Biol, Cleveland, OH 44106 USA; [Desoye, Gernot] Med Univ Graz, Dept Obstet &amp; Gynaecol, Graz, Austria</t>
  </si>
  <si>
    <t>Case Western Reserve University; Medical University of Graz</t>
  </si>
  <si>
    <t>Hauguel-de Mouzon, S (corresponding author), Case Western Reserve Univ, MacDonald Womens Hosp R 8103, Dept Reprod Biol, 11100 Euclid Ave, Cleveland, OH 44106 USA.</t>
  </si>
  <si>
    <t>shdemouzon@metrohealth.org</t>
  </si>
  <si>
    <t>Desoye, Gernot/0000-0002-5715-3230</t>
  </si>
  <si>
    <t>0251-5342</t>
  </si>
  <si>
    <t>1662-2995</t>
  </si>
  <si>
    <t>978-3-318-06612-8; 978-3-318-06611-1</t>
  </si>
  <si>
    <t>10.1159/000480171</t>
  </si>
  <si>
    <t>10.1159/isbn.978-3-318-06612-8</t>
  </si>
  <si>
    <t>Endocrinology &amp; Metabolism; Obstetrics &amp; Gynecology</t>
  </si>
  <si>
    <t>WOS:000626775500013</t>
  </si>
  <si>
    <t>Miao, AW; Lu, J; Wang, YS; Mao, SD; Cui, YM; Pan, JY; Li, LS; Luo, Y</t>
  </si>
  <si>
    <t>Miao, Aiwen; Lu, Jing; Wang, Yishen; Mao, Shudi; Cui, Yamei; Pan, Jianying; Li, Lisha; Luo, Yan</t>
  </si>
  <si>
    <t>Identification of the aberrantly methylated differentially expressed genes in proliferative diabetic retinopathy</t>
  </si>
  <si>
    <t>EXPERIMENTAL EYE RESEARCH</t>
  </si>
  <si>
    <t>Proliferative diabetic retinopathy; Fibrovascular membrane; DNA methylation; Bioinformatics; Correlation analysis</t>
  </si>
  <si>
    <t>RETINAL VASCULAR-LESIONS; DNA METHYLATION; EPIGENETIC MODIFICATIONS; EXTRACELLULAR-MATRIX; GROWTH-FACTOR; MEMBRANES; PROTEINS; PROMOTES; NEPHROPATHY; INHIBITION</t>
  </si>
  <si>
    <t>Diabetic retinopathy (DR) is the most common complication of diabetes. Proliferative DR (PDR) is a more advanced stage of DR, which can cause severe impaired vision and even blindness. However, the precise pathological mechanisms of PDR remain unknown. DNA methylation serves an important role in the initiation and progression of numerous types of disease including PDR. The purpose of this study was to identify the aberrantly methylated differentially expressed genes (DEGs) as potential therapeutic targets of PDR. The gene expression microarray dataset GSE60436 and the methylation profiling microarray dataset GSE57362 were used to determine the aberrantly methylated DEGs in PDR, utilizing normal retinas as controls and fibrovascular membranes (FVMs) in patients with PDR as PDR samples. The functional term and signaling pathway enrichment analysis of the selected genes were subsequently performed. In addition, protein-protein interaction (PPI) networks were constructed to determine the hub genes, and the network of transcriptional factor (TF) and target hub genes was also analyzed. In total, 132 hypomethylated genes were found to be upregulated, whereas 172 hypermethylated genes were discovered to be downregulated in PDR. The hypomethylated upregulated genes were found to be enriched in the pathways, such as cell-substrate adhesion, adherens junction, cell adhesion molecule binding and extracellular matrix receptor interactions. Meanwhile, the hypermethylated downregulated genes were enriched in the pathways, such as visual perception, presynapse and the synaptic vesicle cycle. Based on the PPI analysis, a total of eight hub genes were identified: CTGF, SERPINHI, LOX, RBP3, OTX2, RPE65, OPNISW and NRL. It was hypothesized that the aberrant methylation of these genes might be related to the possible pathophysiology of PDR. An important transcriptional factor, TEDP1, was discovered to share the closest interactions with the hub genes from the gene-TF network. In conclusion, the present study identified an association among DNA methylation and gene expression in PDR using bioinformatics analysis, and identified the hub genes which might be potential methylation-based diagnosis and treatment targets for PDR in the near future.</t>
  </si>
  <si>
    <t>[Miao, Aiwen; Lu, Jing; Wang, Yishen; Mao, Shudi; Cui, Yamei; Pan, Jianying; Li, Lisha; Luo, Yan] Sun Yat Sen Univ, Image Reading Ctr, Zhongshan Ophthalm Ctr, State Key Lab Ophthalmol, 54 Xianlie South Rd, Guangzhou 510060, Peoples R China</t>
  </si>
  <si>
    <t>Luo, Y (corresponding author), Sun Yat Sen Univ, Image Reading Ctr, Zhongshan Ophthalm Ctr, State Key Lab Ophthalmol, 54 Xianlie South Rd, Guangzhou 510060, Peoples R China.</t>
  </si>
  <si>
    <t>luoyan2@mail.sysu.edu.cn</t>
  </si>
  <si>
    <t>miao, aiwen/AAD-6788-2021</t>
  </si>
  <si>
    <t>0014-4835</t>
  </si>
  <si>
    <t>1096-0007</t>
  </si>
  <si>
    <t>10.1016/j.exer.2020.108141</t>
  </si>
  <si>
    <t>WOS:000582245300001</t>
  </si>
  <si>
    <t>Eslami-S, Z; Cortes-Hernandez, LE; Cayrefourcq, L; Alix-Panabieres, C</t>
  </si>
  <si>
    <t>Eslami-S, Zahra; Enrique Cortes-Hernandez, Luis; Cayrefourcq, Laure; Alix-Panabieres, Catherine</t>
  </si>
  <si>
    <t>The Different Facets of Liquid Biopsy: A Kaleidoscopic View</t>
  </si>
  <si>
    <t>CIRCULATING TUMOR-CELLS; DENSITY-GRADIENT SEPARATION; CANCER-CELLS; EXOSOME ISOLATION; PERIPHERAL-BLOOD; EXTRACELLULAR VESICLES; EDUCATED PLATELETS; CLINICAL-RELEVANCE; PROSTATE-CANCER; FREE-DNA</t>
  </si>
  <si>
    <t>The current limitations of cancer diagnosis and molecular profiling based on invasive tissue biopsies or clinical imaging have led to the development of the liquid biopsy field. Liquid biopsy includes the isolation of circulating tumor cells (CTCs), circulating free or tumor DNA (cfDNA or ctDNA), extracellular vesicles (EVs), and tumor-educated platelets (TEPs) from body fluid samples and their molecular characterization to identify biomarkers for early cancer diagnosis, prognosis, therapeutic prediction, and follow-up. These innovative biosources show similar features as the primary tumor from where they originated or interacted. This review describes the different technologies and methods used for processing these biosources as well as their main clinical applications with their advantages and limitations.</t>
  </si>
  <si>
    <t>[Eslami-S, Zahra; Enrique Cortes-Hernandez, Luis; Cayrefourcq, Laure; Alix-Panabieres, Catherine] Univ Med Ctr Montpellier, Lab Rare Human Circulating Cells LCCRH, F-34093 Montpellier, France</t>
  </si>
  <si>
    <t>Universite de Montpellier; CHU de Montpellier</t>
  </si>
  <si>
    <t>Alix-Panabieres, C (corresponding author), Univ Med Ctr Montpellier, Lab Rare Human Circulating Cells LCCRH, F-34093 Montpellier, France.</t>
  </si>
  <si>
    <t>c-panabieres@chu-montpellier.fr</t>
  </si>
  <si>
    <t>Cortes Hernandez, Luis Enrique/0000-0003-2743-1524; Eslami Samarin, Zahra/0000-0002-3489-2479; Cayrefourcq, Laure/0000-0002-6124-7029</t>
  </si>
  <si>
    <t>a037333</t>
  </si>
  <si>
    <t>10.1101/cshperspect.a037333</t>
  </si>
  <si>
    <t>WOS:000538167900008</t>
  </si>
  <si>
    <t>Raji, GR; Sruthi, TV; Edatt, L; Haritha, K; Shankar, SS; Kumar, VBS</t>
  </si>
  <si>
    <t>Raji, Grace R.; Sruthi, T. V.; Edatt, Lincy; Haritha, K.; Shankar, S. Sharath; Kumar, V. B. Sameer</t>
  </si>
  <si>
    <t>Horizontal transfer of miR-106a/b from cisplatin resistant hepatocarcinoma cells can alter the sensitivity of cervical cancer cells to cisplatin</t>
  </si>
  <si>
    <t>Cisplatin resistance; Exosomes; miR-106a/b; SIRT1</t>
  </si>
  <si>
    <t>LUNG-CANCER; DRUG-RESISTANCE; DOWN-REGULATION; CELLULAR ACCUMULATION; COLORECTAL-CANCER; MESSENGER-RNAS; DNA-DAMAGE; MICRORNAS; MECHANISMS; EXOSOMES</t>
  </si>
  <si>
    <t>Recent studies indicate that horizontal transfer of genetic material can act as a communication tool between heterogenous populations of tumour cells, thus altering the chemosensitivity of tumour cells. The present study was designed to check whether the horizontal transfer of miRNAs. released by cisplatin resistant (Cp-r) Hepatocarcinoma cells can alter the sensitivity of cervical cancer cells. For this exosomes secreted by cisplatin resistant and cisplatin sensitive HepG2 cells (EXres and EXsen) were isolated and characterised. Cytotoxicity analysis showed that EXres can make Hela cells resistant to cisplatin. Analysis of miR-106a/b levels in EXres and EXsen showed that their levels vary. Mechanistic studies showed that miR-106a/b play an important role in EXsen and EXres mediated change in chemosensitivity of Hela cells to cisplatin. Further SIRT1 was identified as a major target of miR-106a/b using in silico tools and this was proved by experimentation. Also the effect of miR-106a/b in chemosensitivity was seen to be dependent on regulation of SIRT1 by miR-106a/b. In brief, this study brings into light, the SIRT1 dependent mechanism of miR-106a/b mediated regulation of chemosensitivity upon the horizontal transfer from one cell type to another.</t>
  </si>
  <si>
    <t>[Raji, Grace R.; Sruthi, T. V.; Edatt, Lincy; Haritha, K.; Kumar, V. B. Sameer] Cent Univ Kerala, Dept Biochem &amp; Mol Biol, Kasargod, Kerala, India; [Shankar, S. Sharath] CSIR, CSTD, Natl Inst Interdisciplinary Sci &amp; Technol, Trivandrum 695019, Kerala, India</t>
  </si>
  <si>
    <t>Central University of Kerala; Council of Scientific &amp; Industrial Research (CSIR) - India; CSIR - National Institute Interdisciplinary Science &amp; Technology (NIIST)</t>
  </si>
  <si>
    <t>Kumar, VBS (corresponding author), Cent Univ Kerala, Sch Biol Sci, Dept Biochem &amp; Mol Biol, Kasaragod 671314, India.</t>
  </si>
  <si>
    <t>skumarvb@cukerala.ac.in</t>
  </si>
  <si>
    <t>shankar sarojini, sharath/O-2156-2015; KUMAR, SAMEER/AAF-1064-2020</t>
  </si>
  <si>
    <t>shankar sarojini, sharath/0000-0003-0405-2126; KUMAR, SAMEER/0000-0002-0895-0241; T.V, SRUTHI/0000-0002-7434-3925</t>
  </si>
  <si>
    <t>10.1016/j.cellsig.2017.07.005</t>
  </si>
  <si>
    <t>WOS:000408788800015</t>
  </si>
  <si>
    <t>Lee, M; Park, SJ; Kim, G; Park, C; Lee, MH; Ahn, JH; Lee, T</t>
  </si>
  <si>
    <t>Lee, Myoungro; Park, Seong Jun; Kim, Gahyeon; Park, Chulhwan; Lee, Min-Ho; Ahn, Jae-Hyuk; Lee, Taek</t>
  </si>
  <si>
    <t>A pretreatment-free electrical capacitance biosensor for exosome detection in undiluted serum</t>
  </si>
  <si>
    <t>Exosome sensing; Capacitance sensor; Interdigitated micro-gap electrode; Aptamer; CD63 protein</t>
  </si>
  <si>
    <t>ELECTROCHEMICAL DETECTION; INTERDIGITATED ELECTRODE; NEXT-GENERATION; APTASENSOR; MICROVESICLES</t>
  </si>
  <si>
    <t>The exosome is considered a useful biomarker for the early diagnosis of cancer. However, pretreatment of samples used in diagnosis is time-consuming. Herein, we fabricated a capacitance-based electrical biosensor that requires no pretreatment of the sample; it is composed of a DNA aptamer/molybdenum disulfide (MoS2) heterolayer on an interdigitated micro-gap electrode (IDMGE)/printed circuit board (PCB) system for detecting exosomes in an undiluted serum sample. The DNA aptamer detects the CD63 protein on the exosome as the biomarker, while the MoS2 nanoparticle enhances electrical sensitivity. In this study, for the first time, the IDMGE system was used to amplify the electrical signal efficiently for exosome detection. The IDMGE amplifies the capacitance signal as the gap between electrodes decreases, making it easy to detect the target by utilizing the heightened sensitivity. Moreover, it is possible to immobilize a bio-probe more efficiently than with an electrical sensitivity-enhancing electrode with the same area. The thiol-modified (SH-) CD63 DNA aptamer was introduced as the bio-probe that selectively binds to the CD63 protein on the exosome surface. The capacitance signal from the IDMGE electrical sensor increased linearly with the increase in the concentration of exosomes in human serum expressed on a logarithmic scale, the detection limit being 2192.6 exosomes/mL. The proposed biosensor can detect exosomes in undiluted human serum with high selectivity and sensitivity. A blind test was also carried out to test the reliability of the biosensor. The capacitance-based electrical biosensor thus offers a new platform for cancer diagnosis in the future.</t>
  </si>
  <si>
    <t>[Lee, Myoungro; Park, Chulhwan; Lee, Taek] Kwangwoon Univ, Dept Chem Engn, 20 Kwangwoon Ro, Seoul 01897, South Korea; [Park, Seong Jun; Lee, Min-Ho] Kwangwoon Univ, Dept Elect Engn, 20 Kwangwoon Ro, Seoul 01897, South Korea; [Park, Chulhwan; Lee, Min-Ho] Chung Ang Univ, Sch Integrat Engn, Seoul 06974, South Korea; [Lee, Min-Ho; Ahn, Jae-Hyuk] Chungnam Natl Univ, Dept Elect Engn, Daejeon 9, South Korea</t>
  </si>
  <si>
    <t>Kwangwoon University; Kwangwoon University; Chung Ang University; Chungnam National University</t>
  </si>
  <si>
    <t>Lee, T (corresponding author), Kwangwoon Univ, Dept Chem Engn, 20 Kwangwoon Ro, Seoul 01897, South Korea.;Lee, MH (corresponding author), Chung Ang Univ, Sch Integrat Engn, Seoul 06974, South Korea.;Ahn, JH (corresponding author), Chungnam Natl Univ, Dept Elect Engn, Daejeon 9, South Korea.</t>
  </si>
  <si>
    <t>mhlee7@cau.ac.kr; jaehyuk@cnu.ac.kr; tlee@kw.ac.kr</t>
  </si>
  <si>
    <t>Lee, Min-Ho/ACW-7378-2022</t>
  </si>
  <si>
    <t>Lee, Min-Ho/0000-0002-7028-4745</t>
  </si>
  <si>
    <t>10.1016/j.bios.2021.113872</t>
  </si>
  <si>
    <t>WOS:000782663000003</t>
  </si>
  <si>
    <t>Gentili, M; Kowal, J; Tkach, M; Satoh, T; Lahaye, X; Conrad, C; Boyron, M; Lombard, B; Durand, S; Kroemer, G; Loew, D; Dalod, M; Thery, C; Manel, N</t>
  </si>
  <si>
    <t>Gentili, Matteo; Kowal, Joanna; Tkach, Mercedes; Satoh, Takeshi; Lahaye, Xavier; Conrad, Cecile; Boyron, Marilyn; Lombard, Berangere; Durand, Sylvere; Kroemer, Guido; Loew, Damarys; Dalod, Marc; Thery, Clotilde; Manel, Nicolas</t>
  </si>
  <si>
    <t>Transmission of innate immune signaling by packaging of cGAMP in viral particles</t>
  </si>
  <si>
    <t>CYCLIC GMP-AMP; DENDRITIC CELLS; HIV-1; SENSOR; INTERFERON; 2ND-MESSENGER; DNA; VESICLES; APOBEC3G; SYNTHASE</t>
  </si>
  <si>
    <t>Infected cells detect viruses through a variety of receptors that initiate cell-intrinsic innate defense responses. Cyclic guanosine monophosphate (GMP)-adenosine monophosphate (AMP) synthase (cGAS) is a cytosolic sensor for many DNA viruses and HIV-1. In response to cytosolic viral DNA, cGAS synthesizes the second messenger 2'3'-cyclic GMP-AMP (cGAMP), which activates antiviral signaling pathways. We show that in cells producing virus, cGAS-synthesized cGAMP can be packaged in viral particles and extracellular vesicles. Viral particles efficiently delivered cGAMP to target cells. cGAMP transfer by viral particles to dendritic cells activated innate immunity and antiviral defenses. Finally, we show that cell-free murine cytomegalovirus and Modified Vaccinia Ankara virus contained cGAMP. Thus, transfer of cGAMP by viruses may represent a defense mechanism to propagate immune responses to uninfected target cells.</t>
  </si>
  <si>
    <t>[Gentili, Matteo; Kowal, Joanna; Tkach, Mercedes; Satoh, Takeshi; Lahaye, Xavier; Conrad, Cecile; Thery, Clotilde; Manel, Nicolas] Inst Curie, INSERM, Immun &amp; Canc Unit, U932, Paris, France; [Boyron, Marilyn; Dalod, Marc] Aix Marseille Univ UM2, INSERM, Ctr Immunol Marseille Luminy, U1104,CNRS,UMR7280, F-13288 Marseille, France; [Lombard, Berangere; Loew, Damarys] Inst Curie, Lab Spectrometrie Masse Prote, Paris, France; [Lombard, Berangere; Kroemer, Guido] Gustave Roussy Comprehens Canc Inst, Metabol &amp; Cell Biol Platforms, F-94805 Villejuif, France; [Thery, Clotilde; Manel, Nicolas] Labex Dendrit Cell Biol DCBIOL, Paris, France; [Manel, Nicolas] Labex Vaccine Res Inst VRI, Paris, France</t>
  </si>
  <si>
    <t>UDICE-French Research Universities; PSL Research University Paris; UNICANCER; Institut Curie; Institut National de la Sante et de la Recherche Medicale (Inserm); Universite de Paris; Centre National de la Recherche Scientifique (CNRS); CNRS - National Institute for Biology (INSB); Institut National de la Sante et de la Recherche Medicale (Inserm); UDICE-French Research Universities; Aix-Marseille Universite; UDICE-French Research Universities; PSL Research University Paris; UNICANCER; Institut Curie</t>
  </si>
  <si>
    <t>Manel, N (corresponding author), Inst Curie, INSERM, Immun &amp; Canc Unit, U932, Paris, France.</t>
  </si>
  <si>
    <t>nicolas.manel@curie.fr</t>
  </si>
  <si>
    <t>KROEMER, Guido/B-4263-2013; Manel, Nicolas/E-2128-2011; thery, clotilde/F-6373-2013; Kroemer, Guido/AAY-9859-2020; LAHAYE, Xavier/AAH-7407-2020; Dalod, Marc/AAK-6163-2020</t>
  </si>
  <si>
    <t>KROEMER, Guido/0000-0002-9334-4405; Manel, Nicolas/0000-0002-1481-4430; thery, clotilde/0000-0001-8294-6884; Dalod, Marc/0000-0002-6436-7966; Kowal, Joanna/0000-0001-7849-6040; LAHAYE, Xavier/0000-0001-7124-1707; Gentili, Matteo/0000-0002-6970-8133; Damarys, Loew/0000-0002-9111-8842</t>
  </si>
  <si>
    <t>10.1126/science.aab3628</t>
  </si>
  <si>
    <t>WOS:000360968400045</t>
  </si>
  <si>
    <t>Edwards, HM; Kam, CM; Powers, JC; Trapani, JA</t>
  </si>
  <si>
    <t>The human cytotoxic T cell granule serine protease granzyme H has chymotrypsin-like (chymase) activity and is taken up into cytoplasmic vesicles reminiscent of granzyme B-containing endosomes</t>
  </si>
  <si>
    <t>TARGET-CELLS; MEDIATED APOPTOSIS; DNA FRAGMENTATION; LYMPHOCYTES; PURIFICATION; SUBSTRATE; PERFORIN; SPECIFICITY; ACTIVATION; RECEPTOR</t>
  </si>
  <si>
    <t>Serine proteases (granzymes) contained within the cytoplasmic granules of cytotoxic T cells and natural killer cells play a variety of roles including the induction of target cell apoptosis, breakdown of extracellular matrix proteins and induction of cytokine secretion by bystander leukocytes, Different granzymes display proteolytic specificities that mimic the activities of trypsin or chymotrypsin, or may cleave substrates at acidic (Asp-ase) or at long unbranched amino acids such as Met (Met-ase). Here, we report that recombinant granzyme H has chymotrypsin-like (chymase) activity, the first report of a human granzyme with this proteolytic specificity. Recombinant 32-kDa granzyme H expressed in the baculovirus vector pBacPAK8 was secreted from Sf21 cells and recovered by Ni-affinity chromatography, using a poly-His tag encoded at the predicted carboxyl terminus of fall-length granzyme H cDNA. The granzyme H efficiently cleaved Suc-Phe-Leu-Phe-SBzI (v = 185 nM/s at [S] = 0.217 mM) and also hydrolyzed Boc-Ala-Ala-X-SBzI (X = Phe, Tyr, Met, Me, or Nva) with slower rates but had little tryptase or Asp-ase activity. Enzymatic activity was inhibited completely by 0.1 mM 3,4-dichloroisocoumarin and 84% by 1.0 mM phenylmethylsulfonyl fluoride. Fluoresceinated granzyme H was internalized in a temperature-dependent manner by Jurkat cells into endosome-like vesicles, suggesting that it can bind to cell surface receptors similar to those that bind granzyme B. This suggests a hitherto unsuspected intracellular function for granzyme H.</t>
  </si>
  <si>
    <t>Austin Res Inst, John Connell Lab, Heidelberg, Vic 3084, Australia; Georgia Inst Technol, Sch Chem &amp; Biochem, Atlanta, GA 30332 USA</t>
  </si>
  <si>
    <t>Austin Research Institute; University System of Georgia; Georgia Institute of Technology</t>
  </si>
  <si>
    <t>Trapani, JA (corresponding author), Austin Res Inst, John Connell Lab, Studley Rd, Heidelberg, Vic 3084, Australia.</t>
  </si>
  <si>
    <t>j.trapani@ari.unimelb.edu.au</t>
  </si>
  <si>
    <t>Trapani, Joseph/0000-0003-0983-1532</t>
  </si>
  <si>
    <t>10.1074/jbc.274.43.30468</t>
  </si>
  <si>
    <t>WOS:000083276700022</t>
  </si>
  <si>
    <t>van der Ree, MH; Jansen, L; Kruize, Z; van Nuenen, AC; van Dort, KA; Takkenberg, RB; Reesink, HW; Kootstra, NA</t>
  </si>
  <si>
    <t>van der Ree, Meike H.; Jansen, Louis; Kruize, Zita; van Nuenen, Ad C.; van Dort, Karel A.; Takkenberg, R. Bart; Reesink, Hendrik W.; Kootstra, Neeltje A.</t>
  </si>
  <si>
    <t>Plasma MicroRNA Levels Are Associated With Hepatitis B e Antigen Status and Treatment Response in Chronic Hepatitis B Patients</t>
  </si>
  <si>
    <t>microRNA; hepatitis B virus; chronic hepatitis B patients; treatment outcome</t>
  </si>
  <si>
    <t>LIVER-SPECIFIC MICRORNA; VIRUS-INFECTION; HEPATOCELLULAR-CARCINOMA; SURFACE-ANTIGEN; GENE-EXPRESSION; PCR DATA; REPLICATION; CELLS; PROGRESSION; CANCER</t>
  </si>
  <si>
    <t>Background. Hepatitis B virus (HBV) modulates microRNA (miRNA) expression to support viral replication. The aim of this study was to identify miRNAs associated with hepatitis B e antigen (HBeAg) status and response to antiviral therapy in patients with chronic hepatitis B (CHB), and to assess if these miRNAs are actively secreted by hepatoma cells. Methods. Plasma miRNA levels were measured by reverse-transcription quantitative polymerase chain reaction in healthy controls (n = 10) and pretreatment samples of an identification cohort (n = 24) and a confirmation cohort (n = 64) of CHB patients treated with peginterferon/nucleotide analogue combination therapy. Levels of HBV-associated miRNAs were measured in cells, extracellular vesicles, and hepatitis B surface antigen (HBsAg) particles of hepatoma cell lines. Results. HBeAg-positive patients had higher plasma levels of miR-122-5p, miR-125b-5p, miR-192-5p, miR-193b-3p, and miR194-5p compared to HBeAg-negative patients, and levels of these miRNAs were associated with HBV DNA and HBsAg levels. Pretreatment plasma levels of miR-301a-3p and miR-145-5p were higher in responders (combined response or HBsAg loss) compared to nonresponders. miR-192-5p, miR-193b-3p, and miR-194-5p were present in extracellular vesicles and HBsAg particles derived from hepatoma cells. Conclusions. We identified miRNAs that are associated with HBeAg status, levels of HBV DNA and HBsAg, and treatment response in CHB patients. We demonstrated that several of these miRNAs are present in extracellular vesicles and HBsAg particles secreted by hepatoma cells.</t>
  </si>
  <si>
    <t>[van der Ree, Meike H.; Jansen, Louis; Takkenberg, R. Bart; Reesink, Hendrik W.] Acad Med Ctr, Dept Gastroenterol &amp; Hepatol, Amsterdam, Netherlands; [van der Ree, Meike H.; Jansen, Louis; Kruize, Zita; van Nuenen, Ad C.; van Dort, Karel A.; Reesink, Hendrik W.; Kootstra, Neeltje A.] Acad Med Ctr, Dept Expt Immunol, Amsterdam, Netherlands</t>
  </si>
  <si>
    <t>University of Amsterdam; Academic Medical Center Amsterdam; University of Amsterdam; Academic Medical Center Amsterdam</t>
  </si>
  <si>
    <t>Kootstra, NA (corresponding author), Acad Med Ctr, Dept Expt Immunol, Amsterdam, Netherlands.;Kootstra, NA (corresponding author), Acad Med Ctr, Meibergdreef 9, NL-1105 AZ Amsterdam, Netherlands.</t>
  </si>
  <si>
    <t>n.a.kootstra@amc.uva.nl</t>
  </si>
  <si>
    <t>Takkenberg, Robert Bart/AAN-6702-2020</t>
  </si>
  <si>
    <t>Takkenberg, R.B./0000-0003-2179-1385; Kruize, Zita/0000-0002-9098-9312; Kootstra, Neeltje A./0000-0001-9429-7754</t>
  </si>
  <si>
    <t>10.1093/infdis/jix140</t>
  </si>
  <si>
    <t>WOS:000402614600012</t>
  </si>
  <si>
    <t>Peng, FX; Liu, Y</t>
  </si>
  <si>
    <t>Peng, Fangxing; Liu, Yao</t>
  </si>
  <si>
    <t>Gastrointestinal Stromal Tumors of the Small Intestine: Progress in Diagnosis and Treatment Research</t>
  </si>
  <si>
    <t>gastrointestinal stromal tumors; GISTs; small intestine; novel treatment; preoperative tumor staging; karyokinesis exponent; exosomes</t>
  </si>
  <si>
    <t>LONG-TERM OUTCOMES; SMALL-BOWEL TUMORS; NEOADJUVANT IMATINIB; ADJUVANT IMATINIB; FOLLOW-UP; CLINICOPATHOLOGICAL FEATURES; LAPAROSCOPIC MANAGEMENT; DIFFERENTIAL-DIAGNOSIS; TYROSINE KINASE; CT ENTEROGRAPHY</t>
  </si>
  <si>
    <t>In recent years, the diagnosis and treatment of gastrointestinal stromal tumors (GISTs) of the small intestine have been a hot topic due to their rarity and non-specific clinical manifestations. With the development of gene and imaging technology, surgery, and molecular targeted drugs, the diagnosis and treatment of GISTs have achieved great success. For a long time, radical resection was prioritized to treat GISTs of the small intestine. At present, preoperative tumor staging is a novel treatment for unresectable malignant tumors. In addition, karyokinesis exponent is the sole independent predictor of progression-free survival of GISTs. The DNA, miRNA, and protein of exosomes have also been found to be biomarkers with prognostic implications. The research on the treatment of GISTs has become a focus in the era of precision medicine, ushering in the use of standardized, normalized, and individualized treatment.</t>
  </si>
  <si>
    <t>[Peng, Fangxing; Liu, Yao] North Sichuan Med Coll, Affiliated Hosp 2, Gastrointestinal Surg, Mianyang 621000, Sichuan, Peoples R China; [Peng, Fangxing; Liu, Yao] Sichuan Mianyang 404 Hosp, Gastrointestinal Surg, Mianyang 621000, Sichuan, Peoples R China</t>
  </si>
  <si>
    <t>North Sichuan Medical University</t>
  </si>
  <si>
    <t>Peng, FX (corresponding author), North Sichuan Med Coll, Affiliated Hosp 2, Gastrointestinal Surg, Mianyang 621000, Sichuan, Peoples R China.;Peng, FX (corresponding author), Sichuan Mianyang 404 Hosp, Gastrointestinal Surg, Mianyang 621000, Sichuan, Peoples R China.</t>
  </si>
  <si>
    <t>pfx120@126.com</t>
  </si>
  <si>
    <t>10.2147/CMAR.S238227</t>
  </si>
  <si>
    <t>WOS:000535247700001</t>
  </si>
  <si>
    <t>Sengyoku, H; Tsuchiya, T; Obata, T; Doi, R; Hashimoto, Y; Ishii, M; Sakai, H; Matsuo, N; Taniguchi, D; Suematsu, T; Lawn, M; Matsumoto, K; Miyazaki, T; Nagayasu, T</t>
  </si>
  <si>
    <t>Sengyoku, Hideyori; Tsuchiya, Tomoshi; Obata, Tomohiro; Doi, Ryoichiro; Hashimoto, Yasumasa; Ishii, Mitsutoshi; Sakai, Hiromi; Matsuo, Naoto; Taniguchi, Daisuke; Suematsu, Takashi; Lawn, Murray; Matsumoto, Keitaro; Miyazaki, Takuro; Nagayasu, Takeshi</t>
  </si>
  <si>
    <t>Sodium hydroxide based non-detergent decellularizing solution for rat lung</t>
  </si>
  <si>
    <t>ORGANOGENESIS</t>
  </si>
  <si>
    <t>lung regeneration; extracellular matrix; decellularization; detergent; sodium hydroxide</t>
  </si>
  <si>
    <t>EXTRACELLULAR-MATRIX; TISSUE; SCAFFOLDS</t>
  </si>
  <si>
    <t>Lung transplantation is the last option for the treatment of end stage chronic lung disorders. Because the shortage of donor lung organs represents the main hurdle, lung regeneration has been considered to overcome this hurdle. Recellularization of decellularized organ scaffold is a promising option for organ regeneration. Although detergents are ordinarily used for decellularization, other approaches are possible. Here we used high alkaline (pH12) sodium hydroxide (NaOH)-PBS solution without detergents for lung decellularization and compared the efficacy on DNA elimination and ECM preservation with detergent based decellularization solutions CHAPS and SDS. Immunohistochemical image analysis showed that cell components were removed by NaOH solution as well as other detergents. A Collagen and GAG assay showed that the collagen reduction of the NaOH group was comparable to that of the CHAPS and SDS groups. However, DNA reduction was more significant in the NaOH group than in other groups (p &lt; 0.0001). The recellularization of HUVEC revealed cell attachment was not inferior to that of the SDS group. Ex vivo functional analysis showed 100% oxygen ventilation increased oxygen partial pressure as artificial hemoglobin vesicle-PBS solution passed through regenerated lungs in the SDS or NaOH group. It was concluded that the NaOH-PBS based decellularization solution was comparable to ordinal decellularizaton solutions and competitive in cost effectiveness and residues in the decellularized scaffold negligible, thus providing another potential option to detergent for future clinical usage.</t>
  </si>
  <si>
    <t>[Sengyoku, Hideyori; Tsuchiya, Tomoshi; Obata, Tomohiro; Doi, Ryoichiro; Hashimoto, Yasumasa; Ishii, Mitsutoshi; Matsuo, Naoto; Taniguchi, Daisuke; Matsumoto, Keitaro; Miyazaki, Takuro; Nagayasu, Takeshi] Nagasaki Univ, Grad Sch Biomed Sci, Dept Surg Oncol, 1-7-1 Sakamoto, Nagasaki, Japan; [Tsuchiya, Tomoshi] Tokyo Univ Sci, Translat Res Ctr, Res Inst Sci &amp; Technol, Chiba, Japan; [Obata, Tomohiro; Hashimoto, Yasumasa; Ishii, Mitsutoshi; Matsuo, Naoto; Taniguchi, Daisuke; Lawn, Murray; Matsumoto, Keitaro; Nagayasu, Takeshi] Nagasaki Univ, Grad Sch Biomed Sci, Med Engn Hybrid Profess Dev Ctr, Nagasaki, Japan; [Sakai, Hiromi] Nara Med Univ, Sch Med, Dept Chem, Nara, Japan; [Suematsu, Takashi] Nagasaki Univ, Grad Sch Biomed Sci, Div Electron Microscopy, 1-12-4 Sakamoto, Nagasaki, Japan</t>
  </si>
  <si>
    <t>Nagasaki University; Tokyo University of Science; Nagasaki University; Nara Medical University; Nagasaki University</t>
  </si>
  <si>
    <t>Tsuchiya, T; Nagayasu, T (corresponding author), 1-7-1 Sakamoto, Nagasaki 8528501, Japan.</t>
  </si>
  <si>
    <t>tomoshi@nagasaki-u.ac.jp</t>
  </si>
  <si>
    <t>Tsuchiya, Tomoshi/0000-0002-8419-1478; Sakai, Hiromi/0000-0002-0681-3032</t>
  </si>
  <si>
    <t>1547-6278</t>
  </si>
  <si>
    <t>1555-8592</t>
  </si>
  <si>
    <t>10.1080/15476278.2018.1462432</t>
  </si>
  <si>
    <t>Biochemistry &amp; Molecular Biology; Developmental Biology; Engineering, Biomedical</t>
  </si>
  <si>
    <t>Biochemistry &amp; Molecular Biology; Developmental Biology; Engineering</t>
  </si>
  <si>
    <t>WOS:000443993300003</t>
  </si>
  <si>
    <t>Azinas, S; Bano, F; Torca, I; Bamford, DH; Schwartz, GA; Esnaola, J; Oksanen, HM; Richter, RP; Abrescia, NG</t>
  </si>
  <si>
    <t>Azinas, S.; Bano, F.; Torca, I.; Bamford, D. H.; Schwartz, G. A.; Esnaola, J.; Oksanen, H. M.; Richter, R. P.; Abrescia, N. G.</t>
  </si>
  <si>
    <t>Membrane-containing virus particles exhibit the mechanics of a composite material for genome protection</t>
  </si>
  <si>
    <t>ATOMIC-FORCE MICROSCOPY; BACTERIOPHAGE PRD1; HUMAN ADENOVIRUS; WILD-TYPE; PROTEIN; DNA; REINFORCEMENT; QUANTITATION; ADSORPTION; STABILITY</t>
  </si>
  <si>
    <t>The protection of the viral genome during extracellular transport is an absolute requirement for virus survival and replication. In addition to the almost universal proteinaceous capsids, certain viruses add a membrane layer that encloses their double-stranded (ds) DNA genome within the protein shell. Using the membrane-containing enterobacterial virus PRD1 as a prototype, and a combination of nanoindentation assays by atomic force microscopy and finite element modelling, we show that PRD1 provides a greater stability against mechanical stress than that achieved by the majority of dsDNA icosahedral viruses that lack a membrane. We propose that the combination of a stiff and brittle proteinaceous shell coupled with a soft and compliant membrane vesicle yields a tough composite nanomaterial well-suited to protect the viral DNA during extracellular transport.</t>
  </si>
  <si>
    <t>[Azinas, S.; Abrescia, N. G.] CIBERehd, CIC BioGUNE, Mol Recognit &amp; Host Pathogen Interact Programme, Derio, Spain; [Azinas, S.; Bano, F.; Richter, R. P.] CIC BiomaGUNE, Biosurfaces Lab, San Sebastian, Spain; [Torca, I.; Esnaola, J.] Mondragon Univ, Mech &amp; Ind Prod Dept, Arrasate Mondragon, Spain; [Bamford, D. H.; Oksanen, H. M.] Univ Helsinki, Mol &amp; Integrat Biosci Res Programme, Fac Biol &amp; Environm Sci, Viikki Bioctr, Helsinki, Finland; [Schwartz, G. A.] Univ Basque Country, CSIC, Ctr Fis Mat, San Sebastian, Spain; [Schwartz, G. A.] Donostia Int Phys Ctr, San Sebastian, Spain; [Richter, R. P.] Univ Leeds, Sch Phys &amp; Astron, Fac Math &amp; Phys Sci, Sch Biomed Sci,Fac Biol Sci, Leeds, W Yorkshire, England; [Richter, R. P.] Univ Leeds, Astbury Ctr Struct Mol Biol, Leeds, W Yorkshire, England; [Abrescia, N. G.] Basque Fdn Sci, IKERBASQUE, Bilbao, Spain</t>
  </si>
  <si>
    <t>CIBER - Centro de Investigacion Biomedica en Red; CIBEREHD; CIC bioGUNE; CIC biomaGUNE; Mondragon Unibertsitatea; University of Helsinki; Consejo Superior de Investigaciones Cientificas (CSIC); University of Basque Country; CSIC - UPV EHU - Centro de Fisica de Materiales (CFM); University of Leeds; University of Leeds; Basque Foundation for Science</t>
  </si>
  <si>
    <t>Abrescia, NG (corresponding author), CIBERehd, CIC BioGUNE, Mol Recognit &amp; Host Pathogen Interact Programme, Derio, Spain.;Richter, RP (corresponding author), CIC BiomaGUNE, Biosurfaces Lab, San Sebastian, Spain.;Richter, RP (corresponding author), Univ Leeds, Sch Phys &amp; Astron, Fac Math &amp; Phys Sci, Sch Biomed Sci,Fac Biol Sci, Leeds, W Yorkshire, England.;Richter, RP (corresponding author), Univ Leeds, Astbury Ctr Struct Mol Biol, Leeds, W Yorkshire, England.;Abrescia, NG (corresponding author), Basque Fdn Sci, IKERBASQUE, Bilbao, Spain.</t>
  </si>
  <si>
    <t>R.Richter@leeds.ac.uk; nabrescia@cicbiogune.es</t>
  </si>
  <si>
    <t>Azinas, Stavros/N-5437-2019; Esnaola, Jon Ander/O-1787-2015; Abrescia, Nicola Gerardo/AAY-2323-2020; Richter, Ralf Peter/B-3343-2013; Oksanen, Hanna M/Y-7379-2019; Torca, Ireneo/B-3770-2015; Bano, Fouzia/F-2879-2012</t>
  </si>
  <si>
    <t>Azinas, Stavros/0000-0002-3744-9229; Esnaola, Jon Ander/0000-0002-5750-9372; Abrescia, Nicola Gerardo/0000-0001-5559-1918; Richter, Ralf Peter/0000-0003-3071-2837; Oksanen, Hanna M/0000-0003-3047-8294; Torca, Ireneo/0000-0002-1507-784X; Bano, Fouzia/0000-0003-0634-7091; Bamford, Dennis/0000-0002-6438-8118</t>
  </si>
  <si>
    <t>10.1039/c8nr00196k</t>
  </si>
  <si>
    <t>WOS:000431030000051</t>
  </si>
  <si>
    <t>Neves, VH; Palazzi, C; Bonjour, K; Ueki, S; Weller, PF; Melo, RCN</t>
  </si>
  <si>
    <t>Neves, Vitor H.; Palazzi, Cinthia; Bonjour, Kennedy; Ueki, Shigeharu; Weller, Peter F.; Melo, Rossana C. N.</t>
  </si>
  <si>
    <t>In Vivo ETosis of Human Eosinophils: The Ultrastructural Signature Captured by TEM in Eosinophilic Diseases</t>
  </si>
  <si>
    <t>eosinophil; eosinophil-associated diseases; eosinophil extracellular traps; eosinophilic chronic rhinosinusitis; ulcerative colitis; hypereosinophilic syndrome; transmission electron microscopy; Charcot-Leyden crystals</t>
  </si>
  <si>
    <t>TRAP CELL-DEATH; CYTOKINE EXPRESSION; SECRETION; DEGRANULATION; MECHANISM; REPRESENT; GRANULES; PATTERNS; RELEASE</t>
  </si>
  <si>
    <t>Eosinophilic diseases, also termed eosinophil-associated diseases (EADs), are characterized by eosinophil-rich inflammatory infiltrates and extensive eosinophil degranulation with clinically relevant organ pathology. Recent evidence shows that eosinophil cytolytic degranulation, that is, the release of intact, membrane-delimited granules that arises from the eosinophil cytolysis, occurs mainly through ETosis, meaning death with a cytolytic profile and extrusion of nucleus-originated DNA extracellular traps (ETs). The ultrastructural features of eosinophil ETosis (EETosis) have been studied mostly in vitro after stimulation, but are still poorly understood in vivo. Here, we investigated in detail, by transmission electron microscopy (TEM), the ultrastructure of EETosis in selected human EADs affecting several tissues and organ systems. Biopsies of patients diagnosed with eosinophilic chronic rhinosinusitis/ECRS (frontal sinus), ulcerative colitis/UC (intestine), and hypereosinophilic syndrome/HES (skin) were processed for conventional TEM. First, we found that a large proportion of tissue-infiltrated eosinophils in all diseases (similar to 45-65% of all eosinophils) were undergoing cytolysis with release of free extracellular granules (FEGs). Second, we compared the morphology of tissue inflammatory eosinophils with that shown by in vitro ETosis-stimulated eosinophils. By applying single-cell imaging analysis, we sought typical early and late EETosis events: chromatin decondensation; nuclear delobulation and rounding; expanded nuclear area; nuclear envelope alterations and disruption; and extracellular decondensed chromatin spread as ETs. We detected that 53% (ECRS), 37% (UC), and 82% (HES) of all tissue cytolytic eosinophils had ultrastructural features of ETosis in different degrees. Eosinophils in early ETosis significantly increased their nuclear area compared to non-cytolytic eosinophils due to excessive chromatin decondensation and expansion observed before nuclear envelope disruption. ETosis led not only to the deposition of intact granules, but also to the release of eosinophil sombrero vesicles (EoSVs) and Charcot-Leyden crystals (CLCs). Free intact EoSVs and CLCs were associated with FEGs and extracellular DNA nets. Interestingly, not all cytolytic eosinophils in the same microenvironment exhibited ultrastructure of ETosis, thus indicating that different populations of eosinophils might be selectively activated into this pathway. Altogether, our findings captured an ultrastructural signature of EETosis in vivo in prototypic EADs highlighting the importance of this event as a form of eosinophil degranulation and release of inflammatory markers (EoSVs and CLCs).</t>
  </si>
  <si>
    <t>[Neves, Vitor H.; Palazzi, Cinthia; Bonjour, Kennedy; Melo, Rossana C. N.] Univ Fed Juiz de Fora, Inst Biol Sci, Dept Biol, Lab Cellular Biol, Juiz De Fora, Brazil; [Bonjour, Kennedy] Univ Sao Paulo, Sch Vet Med &amp; Anim Sci, Dept Pathol, Lab Mol &amp; Morphol Pathol, Sao Paulo, Brazil; [Ueki, Shigeharu] Akita Univ, Grad Sch Med, Dept Gen Internal Med &amp; Clin Lab Med, Akita, Japan; [Weller, Peter F.; Melo, Rossana C. N.] Harvard Med Sch, Beth Israel Deaconess Med Ctr, Dept Med, Boston, MA 02115 USA</t>
  </si>
  <si>
    <t>Universidade Federal de Juiz de Fora; Universidade de Sao Paulo; Akita University; Harvard University; Beth Israel Deaconess Medical Center; Harvard Medical School</t>
  </si>
  <si>
    <t>Melo, RCN (corresponding author), Univ Fed Juiz de Fora, Inst Biol Sci, Dept Biol, Lab Cellular Biol, Juiz De Fora, Brazil.;Melo, RCN (corresponding author), Harvard Med Sch, Beth Israel Deaconess Med Ctr, Dept Med, Boston, MA 02115 USA.</t>
  </si>
  <si>
    <t>rossana.melo@ufjf.br</t>
  </si>
  <si>
    <t>Bonjour, Kennedy/J-6407-2015</t>
  </si>
  <si>
    <t>Bonjour, Kennedy/0000-0002-0754-5578</t>
  </si>
  <si>
    <t>10.3389/fimmu.2022.938691</t>
  </si>
  <si>
    <t>WOS:000829895700001</t>
  </si>
  <si>
    <t>Sun, LF; Zhu, M; Feng, W; Lin, YP; Yin, J; Jin, J; Wang, YG</t>
  </si>
  <si>
    <t>Sun, Lifang; Zhu, Min; Feng, Wei; Lin, Yiping; Yin, Jia; Jin, Juan; Wang, Yunguang</t>
  </si>
  <si>
    <t>Exosomal miRNA Let-7 from Menstrual Blood-Derived Endometrial Stem Cells Alleviates Pulmonary Fibrosis through Regulating Mitochondrial DNA Damage</t>
  </si>
  <si>
    <t>EPITHELIAL-MESENCHYMAL TRANSITION; LUNG FIBROSIS; LIVER FIBROSIS; APOPTOSIS; INJURY; MYOFIBROBLAST; AUTOPHAGY; REPAIR; DIFFERENTIATION; ACTIVATION</t>
  </si>
  <si>
    <t>Idiopathic pulmonary fibrosis (IPF) is a prototype of chronic, progressive, and fibrotic lung disease with high morbidity and high mortality. Menstrual blood-derived stem cells (MenSCs) have proven to be an attractive tool for the treatment of acute lung injury and fibrosis-related diseases through immunosuppression and antifibrosis. However, whether MenSC-derived exosomes have the similar function on pulmonary fibrosis remains unclear. In the present study, exosomes secreted from MenSCs (MenSCs-Exo) were verified by transmission electron microscope (TEM), nanoparticle tracking analyzer (NTA), and western blotting. And MenSC-Exo addition significantly improved BLM-induced lung fibrosis and alveolar epithelial cell damage in mice, mainly reflected in BLM-mediated enhancement of the fibrosis score, blue collagen deposition, dry/wet gravity ratio, hydroxyproline and malondialdehyde levels, and downregulation of glutathione peroxidase, which were all robustly reversed by MenSC-Exo management. Additionally, BLM- and TGF-beta 1-evoked cellular reactive oxygen species (ROS), mitochondrial DNA (mtDNA) damage, and cell apoptosis were rescued by MenSCs-Exo in vivo and in vitro. Further study indicated that the MenSCs-Exo could transport miRNA Let-7 into recipient alveolar epithelial cells. Let-7 inhibitor administration significantly blocked the exosome-mediated improvement role on lung fibrosis in mice. Mechanistically, Let-7 was able to regulate the expression of lectin-like oxidized low-density lipoprotein receptor-1 (LOX1) through binding to its 3 '-UTR region. Forced expression of LOX1 promoted the expression of apoptosis-related protein and mtDNA damage markers via regulating NLRP3 which was also confirmed in BLM model mice under the combination therapy of the exosome and Let-7 inhibitor. Collectively, this study demonstrates that exosomal Let-7 from MenSCs remits pulmonary fibrosis through regulating ROS, mtDNA damage, and NLRP3 inflammasome activation. This provides a new approach of exocytosis on the treatment of fibrotic lung disease.</t>
  </si>
  <si>
    <t>[Sun, Lifang; Zhu, Min] Hangzhou Red Cross Hosp, Dept TB, Hangzhou 310003, Zhejiang, Peoples R China; [Feng, Wei] Univ Chinese Acad Sci, Chinese Acad Sci, Inst Canc Res &amp; Basic Med Sci, Dept Radiat Oncol,Zhejiang Canc Hosp,Canc Hosp, Hangzhou 310022, Zhejiang, Peoples R China; [Lin, Yiping] Jinhua Polytech, Jinhua 321007, Zhejiang, Peoples R China; [Yin, Jia] Second Mil Med Univ, Changhai Hosp, Shanghai 200433, Peoples R China; [Jin, Juan] Zhejiang Prov Peoples Hosp, Dept Nephrol, Hangzhou 310014, Zhejiang, Peoples R China; [Jin, Juan] Hangzhou Med Coll, Peoples Hosp, Hangzhou 310014, Zhejiang, Peoples R China; [Wang, Yunguang] Zhejiang Univ, Inst Nucl Agr Sci, Hangzhou 310058, Zhejiang, Peoples R China</t>
  </si>
  <si>
    <t>Chinese Academy of Sciences; University of Chinese Academy of Sciences, CAS; Zhejiang Cancer Hospital; Jinhua Polytechnic; Naval Medical University; Zhejiang Provincial People's Hospital; Hangzhou Medical College; Zhejiang University</t>
  </si>
  <si>
    <t>Jin, J (corresponding author), Zhejiang Prov Peoples Hosp, Dept Nephrol, Hangzhou 310014, Zhejiang, Peoples R China.;Jin, J (corresponding author), Hangzhou Med Coll, Peoples Hosp, Hangzhou 310014, Zhejiang, Peoples R China.;Wang, YG (corresponding author), Zhejiang Univ, Inst Nucl Agr Sci, Hangzhou 310058, Zhejiang, Peoples R China.</t>
  </si>
  <si>
    <t>sunlifang@yeah.net; zhumindoctor@163.com; fengwei@zjcc.org.cn; 20050703@jhc.edu.cn; jyin_2007@126.com; lang_018@163.com; 21416004@zju.edu.cn</t>
  </si>
  <si>
    <t>Feng, Wei/0000-0002-0278-4588</t>
  </si>
  <si>
    <t>10.1155/2019/4506303</t>
  </si>
  <si>
    <t>WOS:000522098100003</t>
  </si>
  <si>
    <t>Wang, RN; Liang, QF; Zhang, XR; Di, ZN; Wang, XH; Di, LQ</t>
  </si>
  <si>
    <t>Wang, Ruoning; Liang, Qifan; Zhang, Xinru; Di, Zhenning; Wang, Xiaohong; Di, Liuqing</t>
  </si>
  <si>
    <t>Tumor-derived exosomes reversing TMZ resistance by synergistic drug delivery for glioma-targeting treatment</t>
  </si>
  <si>
    <t>Exosome; Immunotherapy; Temozolomide; Dihydrotanshinone; Combination therapy</t>
  </si>
  <si>
    <t>CO-MODIFIED PAMAM; TEMOZOLOMIDE RESISTANCE; ARSENIC TRIOXIDE; GLIOBLASTOMA; DIHYDROTANSHINONE; PACLITAXEL</t>
  </si>
  <si>
    <t>Temozolomide (TMZ), as the first-line chemotherapeutic agent, relies on inducing DNA methylation of O6guanine for treating glioma. However, the survival time of patients are hardly exceeded 14.5 months, attributing to inevitable drug resistance and systematic toxicity after long-term administration. Herein, reassemblyexosomes (R-EXO) deriving from homologous glioma cells is proposed to carry TMZ and Dihydrotanshinone (DHT) for reversing drug resistance and enhancing lesions-targeted drug delivery, defined as R-EXO-TMZ/DHT (R-EXO-T/D). It is found that R-EXO-T/D share various advantages, including preferable blood-brain barrier (BBB)-penetrating ability with nanomemter size, tumor-homing accumulation with homologous effects, as well as potentiated antitumor activity with overcoming TMZ resistance and triggering immune response. This work develops a new strategy for site-specific drug delivery, showing a promising application of drug compatibility in glioma treatment.</t>
  </si>
  <si>
    <t>[Wang, Ruoning; Liang, Qifan; Zhang, Xinru; Di, Zhenning; Wang, Xiaohong; Di, Liuqing] Nanjing Univ Chinese Med, Coll Pharm, Jiangsu Prov TCM Engn Technol Res Ctr High Efficie, Nanjing 210023, Peoples R China; [Wang, Ruoning] Nanjing Univ Chinese Med, Sch Pharm, 138 Xianlin Ave, Nanjing 210023, Peoples R China</t>
  </si>
  <si>
    <t>Nanjing University of Chinese Medicine; Nanjing University of Chinese Medicine</t>
  </si>
  <si>
    <t>Wang, RN (corresponding author), Nanjing Univ Chinese Med, Sch Pharm, 138 Xianlin Ave, Nanjing 210023, Peoples R China.</t>
  </si>
  <si>
    <t>ruoningw@njucm.edu.cn</t>
  </si>
  <si>
    <t>10.1016/j.colsurfb.2022.112505</t>
  </si>
  <si>
    <t>WOS:000797572300003</t>
  </si>
  <si>
    <t>Slowey, PD</t>
  </si>
  <si>
    <t>Seymour, GJ; Cullinan, MP; Heng, NCK</t>
  </si>
  <si>
    <t>Slowey, Paul D.</t>
  </si>
  <si>
    <t>Salivary Diagnostics Using Purified Nucleic Acids</t>
  </si>
  <si>
    <t>ORAL BIOLOGY: MOLECULAR TECHNIQUES AND APPLICATIONS, 2ND EDITION</t>
  </si>
  <si>
    <t>Saliva; RNA; DNA; Nucleic acids; Stabilization; Exosomes</t>
  </si>
  <si>
    <t>SOLUBLE C-ERBB-2; PLASMA DNA; CANCER; EXOSOMES; WOMEN; RECEPTOR; PROTEIN; SERUM</t>
  </si>
  <si>
    <t>Saliva is an easily accessible fluid that has led to increasing interest in the development of salivary diagnostics. This chapter describes some of the newer tools and procedures for collection, stabilization, and storage of oral fluid matrices that aid in the successful use of saliva as a test specimen. This chapter focuses particularly on nucleic acid components for downstream molecular diagnostic (MDx) testing, since this is probably the area where saliva is likely to have the greatest impact in improving healthcare for the general population.</t>
  </si>
  <si>
    <t>[Slowey, Paul D.] Oasis Diagnost Corp, Vancouver, WA 98686 USA</t>
  </si>
  <si>
    <t>Slowey, PD (corresponding author), Oasis Diagnost Corp, Vancouver, WA 98686 USA.</t>
  </si>
  <si>
    <t>Slowey, Paul/0000-0002-9151-1011</t>
  </si>
  <si>
    <t>978-1-4939-6685-1; 978-1-4939-6683-7</t>
  </si>
  <si>
    <t>10.1007/978-1-4939-6685-1_1</t>
  </si>
  <si>
    <t>10.1007/978-1-4939-6685-1</t>
  </si>
  <si>
    <t>Biochemistry &amp; Molecular Biology; Dentistry, Oral Surgery &amp; Medicine</t>
  </si>
  <si>
    <t>WOS:000450331200002</t>
  </si>
  <si>
    <t>Boudreau, LH; Duchez, AC; Cloutier, N; Soulet, D; Martin, N; Bollinger, J; Pare, A; Rousseau, M; Naika, GS; Levesque, T; Laflamme, C; Marcoux, G; Lambeau, G; Farndale, RW; Pouliot, M; Hamzeh-Cognasse, H; Cognasse, F; Garraud, O; Nigrovic, PA; Guderley, H; Lacroix, S; Thibault, L; Semple, JW; Gelb, MH; Boilard, E</t>
  </si>
  <si>
    <t>Boudreau, Luc H.; Duchez, Anne-Claire; Cloutier, Nathalie; Soulet, Denis; Martin, Nicolas; Bollinger, James; Pare, Alexandre; Rousseau, Matthieu; Naika, Gajendra S.; Levesque, Tania; Laflamme, Cynthia; Marcoux, Genevieve; Lambeau, Gerard; Farndale, Richard W.; Pouliot, Marc; Hamzeh-Cognasse, Hind; Cognasse, Fabrice; Garraud, Olivier; Nigrovic, Peter A.; Guderley, Helga; Lacroix, Steve; Thibault, Louis; Semple, John W.; Gelb, Michael H.; Boilard, Eric</t>
  </si>
  <si>
    <t>Platelets release mitochondria serving as substrate for bactericidal group IIA-secreted phospholipase A(2) to promote inflammation</t>
  </si>
  <si>
    <t>ACUTE LUNG INJURY; PLASMA; MICROPARTICLES; NEUTROPHIL; MEMBRANE; DNA; COMPONENTS; ARTHRITIS; VESICLES; NUCLEAR</t>
  </si>
  <si>
    <t>Mitochondrial DNA (mtDNA) is a highly potent inflammatory trigger and is reportedly found outside the cells in blood in various pathologies. Platelets are abundant in blood where they promote hemostasis. Although lacking a nucleus, platelets contain functional mitochondria. On activation, platelets produce extracellular vesicles known as microparticles. We hypothesized that activated platelets could also release their mitochondria. We show that activated platelets release respiratory-competent mitochondria, both within membrane-encapsulated microparticles and as free organelles. Extracellular mitochondria are found in platelet concentrates used for transfusion and are present at higher levels in those that induced acute reactions (febrile nonhemolytic reactions, skin manifestations, and cardiovascular events) in transfused patients. We establish that the mitochondrion is an endogenous substrate of secreted phospholipase A(2) IIA (sPLA(2)-IIA), a phospholipase otherwise specific for bacteria, likely reflecting the ancestral proteobacteria origin of mitochondria. The hydrolysis of the mitochondrialmembrane by sPLA(2)-IIA yields inflammatory mediators (ie, lysophospholipids, fatty acids, and mtDNA) that promote leukocyte activation. Two-photon microscopy in live transfused animals revealed that extracellular mitochondria interact with neutrophils in vivo, triggering neutrophil adhesion to the endothelial wall. Our findings identify extracellular mitochondria, produced by platelets, at the midpoint of a potent mechanism leading to inflammatory responses.</t>
  </si>
  <si>
    <t>[Boudreau, Luc H.; Duchez, Anne-Claire; Cloutier, Nathalie; Rousseau, Matthieu; Levesque, Tania; Laflamme, Cynthia; Marcoux, Genevieve; Pouliot, Marc; Boilard, Eric] Univ Laval, Fac Med, Ctr Hosp Univ Quebec, Dept Microbiol &amp; Immunol,Ctr Rech, Quebec City, PQ G1V 4G2, Canada; [Soulet, Denis; Pare, Alexandre; Lacroix, Steve] Univ Laval, Fac Med, Ctr Hosp Univ Quebec, Dept Psychiat &amp; Neurosci,Ctr Rech, Quebec City, PQ G1V 4G2, Canada; [Martin, Nicolas; Guderley, Helga] Univ Laval, Dept Biol, Quebec City, PQ G1V 4G2, Canada; [Bollinger, James; Naika, Gajendra S.; Gelb, Michael H.] Univ Washington, Dept Chem, Seattle, WA 98195 USA; [Lambeau, Gerard] Univ Nice Sophia Antipolis, CNRS, UMR 7275, Inst Pharmacol Mol &amp; Cellulaire, Valbonne, France; [Farndale, Richard W.] Univ Cambridge, Dept Biochem, Cambridge CB2 1QW, England; [Hamzeh-Cognasse, Hind; Cognasse, Fabrice; Garraud, Olivier] Etab Francais Sang Auvergne Loire, St Etienne, France; [Hamzeh-Cognasse, Hind; Cognasse, Fabrice; Garraud, Olivier] Univ Lyon, St Etienne, France; [Nigrovic, Peter A.] Brigham &amp; Womens Hosp, Div Rheumatol Immunol &amp; Allergy, Boston, MA 02115 USA; [Nigrovic, Peter A.] Harvard Univ, Sch Med, Boston Childrens Hosp, Div Immunol, Boston, MA USA; [Thibault, Louis] Hema Quebec, Res &amp; Dev, Quebec City, PQ, Canada; [Semple, John W.] St Michaels Hosp, Li Ka Shing Knowledge Inst, Keenan Res Ctr, Toronto, ON M5B 1W8, Canada</t>
  </si>
  <si>
    <t>Laval University; Laval University; Laval University; University of Washington; University of Washington Seattle; Centre National de la Recherche Scientifique (CNRS); CNRS - National Institute for Biology (INSB); UDICE-French Research Universities; Universite Cote d'Azur; University of Cambridge; Harvard University; Brigham &amp; Women's Hospital; Harvard University; Boston Children's Hospital; Hema-Quebec; University of Toronto; Li Ka Shing Knowledge Institute; Saint Michaels Hospital Toronto</t>
  </si>
  <si>
    <t>Boilard, E (corresponding author), Univ Laval, Fac Med, Ctr Hosp Univ Quebec, Ctr Rech Rhumatol &amp; Immunol,Ctr Rech, 2705 Laurier Blvd,Rm T1-49, Quebec City, PQ G1V 4G2, Canada.</t>
  </si>
  <si>
    <t>eric.boilard@crchuq.ulaval.ca</t>
  </si>
  <si>
    <t>Duchez, anne-claire/AAK-5041-2020; Soulet, Denis/P-4940-2019; Martin, Nicolas/N-9557-2014; Pouliot, Marc/G-4103-2016; Cognasse, Fabrice/Z-4401-2019; Rousseau, Matthieu/AAA-5385-2022; Semple, John W./Q-2513-2019</t>
  </si>
  <si>
    <t>Pouliot, Marc/0000-0002-2466-5424; Rousseau, Matthieu/0000-0002-2895-2957; Semple, John W./0000-0002-1510-0077; Lacroix, Steve/0000-0003-0781-6371; Boudreau, Luc H/0000-0002-3674-5026; Soulet, Denis/0000-0002-0937-7061; Lambeau, Gerard/0000-0002-9239-518X; Marcoux, Genevieve/0000-0003-4161-6234</t>
  </si>
  <si>
    <t>10.1182/blood-2014-05-573543</t>
  </si>
  <si>
    <t>WOS:000342763900009</t>
  </si>
  <si>
    <t>Chen, XK; Xu, YY; Jiang, L; Tan, Q</t>
  </si>
  <si>
    <t>Chen, Xiaoke; Xu, Yuanyuan; Jiang, Long; Tan, Qiang</t>
  </si>
  <si>
    <t>miRNA-218-5p increases cell sensitivity by inhibiting PRKDC activity in radiation-resistant lung carcinoma cells</t>
  </si>
  <si>
    <t>exosomes; lung carcinoma; miRNA&amp;#8208; 218&amp;#8208; 5p; PRKDC; radiation resistance</t>
  </si>
  <si>
    <t>Background Non-small cell lung carcinoma (NSCLC) is a malignancy with the highest mortality rate. Currently, surgery combined with radiotherapy is the first choice in the clinical treatment of lung carcinoma (LC); however, long-term radiotherapy leads to radiation resistance in patients, resulting in treatment failure. Methods In this study, a new microRNA-218-5p (miRNA-218-5p) was identified, and its function in LC was investigated. Results Reverse transcription quantitative polymerase chain reaction (RT-qPCR) results revealed that miRNA-218-5p was downregulated in LC. Overexpression or inhibition of miRNA-218-5p in LC and targeted binding of protein kinase, DNA-activated, catalytic polypeptide (PRKDC) to miRNA-218-5p were confirmed by comprehensive bioinformatic analysis. Exosomes from A549 and H1299 cells were cocultured with miRNA-218-5p and then cotransfected into radiation-resistant A549R and H1299R cells; the proliferation of radiation-resistant LC cells was found to be effectively inhibited and apoptosis was induced. Overexpression of miRNA-218-5p and X-irradiation could enhance the radiosensitivity of LC cells. Exogenous miRNA-218-5p derived from A549 and H1299 cells could be transfected into radiation-resistant LC cells and could inhibit PRKDC expression, thus accelerating DNA damage, apoptosis, and radiation sensitization of LC cells. Conclusions miRNA-218-5p could induce apoptosis and enhance the radiosensitivity of LC cells through regulatory activities, thus suggesting its application as a potential target for LC treatment.</t>
  </si>
  <si>
    <t>[Chen, Xiaoke; Xu, Yuanyuan; Jiang, Long; Tan, Qiang] Shanghai Jiao Tong Univ, Shanghai Chest Hosp, Shanghai Lung Canc Ctr, 241 Huaihai West Rd, Shanghai 200030, Peoples R China</t>
  </si>
  <si>
    <t>Tan, Q (corresponding author), Shanghai Jiao Tong Univ, Shanghai Chest Hosp, Shanghai Lung Canc Ctr, 241 Huaihai West Rd, Shanghai 200030, Peoples R China.</t>
  </si>
  <si>
    <t>tttqiang323@163.com</t>
  </si>
  <si>
    <t>Jiang, Long/0000-0002-6860-755X</t>
  </si>
  <si>
    <t>10.1111/1759-7714.13939</t>
  </si>
  <si>
    <t>WOS:000631632500001</t>
  </si>
  <si>
    <t>Nevalainen, T; Autio, A; Puhka, M; Jylha, M; Hurme, M</t>
  </si>
  <si>
    <t>Nevalainen, Tapio; Autio, Arttu; Puhka, Maija; Jylha, Marja; Hurme, Mikko</t>
  </si>
  <si>
    <t>Composition of the whole transcriptome in the human plasma: Cellular source and modification by aging</t>
  </si>
  <si>
    <t>EXPERIMENTAL GERONTOLOGY</t>
  </si>
  <si>
    <t>RNA sequencing; Plasma transcriptome; Aging</t>
  </si>
  <si>
    <t>EXTRACELLULAR VESICLES; IMMUNE-RESPONSES; MICRORNAS; RNAS; AGE</t>
  </si>
  <si>
    <t>Plasma contains several bioactive molecules (RNA, DNA, proteins, lipids, and metabolites), which are well preserved in extracellular vesicles, that are involved in many types of cell-to-cell interactions, and are capable of modifying biological processes in recipient cells. To obtain information about the source of mRNA molecules present in the plasma, we analyzed the plasma extracellular RNA (exRNA) of healthy individuals using RNA-sequencing and compared it to that of the peripheral blood mononuclear cell (PBMCs) of the same individual. The resultant data indicates that large proportion of the transcripts in plasma are derived from cell types other than PBMCs. To assess aging-associated changes in the plasma exRNA composition, gene ontology enrichment analysis was performed, revealing a functional decline in biological processes as a result of aging. Additionally, plasma RNA levels were analyzed with differential expression analysis, revealing 10 transcripts with significant aging-associated changes. Thus, it seems that the plasma exRNA is not fully derived from the PBMCs. Instead, other cell types supply RNAs to constitute the plasma exRNA compartment. This was true in both the young and elderly individuals that were tested. Furthermore, the RNA content of the plasma showed significant changes due to aging, affecting important biological processes.</t>
  </si>
  <si>
    <t>[Nevalainen, Tapio; Autio, Arttu; Hurme, Mikko] Tampere Univ, Fac Med &amp; Hlth Technol, FI-33014 Tampere, Finland; [Puhka, Maija] Univ Helsinki, Inst Mol Med Finland FIMM, HiPrep &amp; EV Core, Helsinki, Finland; [Jylha, Marja] Tampere Univ, Fac Social Sci, Tampere, Finland; [Nevalainen, Tapio; Autio, Arttu; Jylha, Marja; Hurme, Mikko] Tampere Univ, Gerontol Res Ctr, Tampere, Finland; [Autio, Arttu] Pirkanmaa Hosp Dist, Sci Ctr, Tampere, Finland</t>
  </si>
  <si>
    <t>Tampere University; University of Helsinki; Tampere University; Tampere University; Pirkanmaa Hospital District</t>
  </si>
  <si>
    <t>Nevalainen, T (corresponding author), Tampere Univ, Fac Med &amp; Hlth Technol, FI-33014 Tampere, Finland.</t>
  </si>
  <si>
    <t>tapio.nevalainen@tuni.fi; arttu.autio@tuni.fi; maija.puhka@helsinki.fi; marja.jylha@tuni.fi; mikko.hurme@tuni.fi</t>
  </si>
  <si>
    <t>Puhka, Maija/AEA-7157-2022</t>
  </si>
  <si>
    <t>Nevalainen, Tapio/0000-0003-1141-9854; Autio, Arttu/0000-0003-1601-6528; Hurme, Mikko/0000-0002-8614-1044; Puhka, Maija/0000-0002-6445-1017</t>
  </si>
  <si>
    <t>0531-5565</t>
  </si>
  <si>
    <t>1873-6815</t>
  </si>
  <si>
    <t>10.1016/j.exger.2020.111119</t>
  </si>
  <si>
    <t>Geriatrics &amp; Gerontology</t>
  </si>
  <si>
    <t>WOS:000614809000014</t>
  </si>
  <si>
    <t>Feiler, MS; Strobel, B; Freischmidt, A; Helferich, AM; Kappel, J; Brewer, BM; Li, D; Thal, DR; Walther, P; Ludolph, AC; Danzer, KM; Weishaupt, JH</t>
  </si>
  <si>
    <t>Feiler, Marisa S.; Strobel, Benjamin; Freischmidt, Axel; Helferich, Anika M.; Kappel, Julia; Brewer, Bryson M.; Li, Deyu; Thal, Dietmar R.; Walther, Paul; Ludolph, Albert C.; Danzer, Karin M.; Weishaupt, Jochen H.</t>
  </si>
  <si>
    <t>TDP-43 is intercellularly transmitted across axon terminals</t>
  </si>
  <si>
    <t>AMYOTROPHIC-LATERAL-SCLEROSIS; PATHOLOGICAL ALPHA-SYNUCLEIN; AGGREGATION; EXPRESSION; MUTATIONS; ALS; NEURODEGENERATION; PHOSPHORYLATION; INCLUSIONS; OLIGOMERS</t>
  </si>
  <si>
    <t>Transactive response DNA-binding protein 43 kD (TDP-43) is an aggregation-prone prion-like domain-containing protein and component of pathological intracellular aggregates found in most amyotrophic lateral sclerosis (ALS) patients. TDP-43 oligomers have been postulated to be released and subsequently nucleate TDP-43 oligomerization in recipient cells, which might be the molecular correlate of the systematic symptom spreading observed during ALS progression. We developed a novel protein complementation assay allowing quantification of TDP-43 oligomers in living cells. We demonstrate the exchange of TDP-43 between cell somata and the presence of TDP-43 oligomers in microvesicles/exosomes and show that microvesicular TDP-43 is preferentially taken up by recipient cells where it exerts higher toxicity than free TDP-43. Moreover, studies using microfluidic neuronal cultures suggest both anterograde and retrograde trans-synaptic spreading of TDP-43. Finally, we demonstrate TDP-43 oligomer seeding by TDP-43-containing material derived from both cultured cells and ALS patient brain lysate. Thus, using an innovative detection technique, we provide evidence for preferentially microvesicular uptake as well as both soma-to-soma horizontal and bidirectional vertical synaptic intercellular transmission and prion-like seeding of TDP-43.</t>
  </si>
  <si>
    <t>[Feiler, Marisa S.; Freischmidt, Axel; Helferich, Anika M.; Kappel, Julia; Ludolph, Albert C.; Danzer, Karin M.; Weishaupt, Jochen H.] Univ Ulm, Dept Neurol, D-89081 Ulm, Germany; [Thal, Dietmar R.] Univ Ulm, Inst Pathol, Lab Neuropathol, D-89081 Ulm, Germany; [Walther, Paul] Univ Ulm, Cent Facil Electron Microscopy, D-89081 Ulm, Germany; [Strobel, Benjamin] Boehringer Ingelheim Pharma GmbH &amp; Co KG, Target Discovery Res, D-88397 Biberach, Germany; [Brewer, Bryson M.; Li, Deyu] Vanderbilt Univ, Dept Mech Engn, Nashville, TN 37212 USA</t>
  </si>
  <si>
    <t>Ulm University; Ulm University; Ulm University; Boehringer Ingelheim; Vanderbilt University</t>
  </si>
  <si>
    <t>Weishaupt, JH (corresponding author), Univ Ulm, Dept Neurol, D-89081 Ulm, Germany.</t>
  </si>
  <si>
    <t>Jochen.Weishaupt@uni-ulm.de</t>
  </si>
  <si>
    <t>Li, Deyu/D-2938-2012; Thal, Dietmar R/O-7483-2018</t>
  </si>
  <si>
    <t>Li, Deyu/0000-0001-8364-0924; Thal, Dietmar R/0000-0002-1036-1075; Strobel, Benjamin/0000-0002-8687-3499</t>
  </si>
  <si>
    <t>10.1083/jcb.201504057</t>
  </si>
  <si>
    <t>WOS:000365708100019</t>
  </si>
  <si>
    <t>Montjean, D; Neyroud, AS; Yefimova, MG; Benkhalifa, M; Cabry, R; Ravel, C</t>
  </si>
  <si>
    <t>Montjean, Debbie; Neyroud, Anne-Sophie; Yefimova, Marina G.; Benkhalifa, Moncef; Cabry, Rosalie; Ravel, Celia</t>
  </si>
  <si>
    <t>Impact of Endocrine Disruptors upon Non-Genetic Inheritance</t>
  </si>
  <si>
    <t>endocrine-disrupting chemicals; transgenerational inheritance; non-genetic inheritance; epigenetics; embryo; sperm; oocyte</t>
  </si>
  <si>
    <t>POLYCYSTIC-OVARY-SYNDROME; EPIGENETIC TRANSGENERATIONAL INHERITANCE; TO-PROTAMINE TRANSITION; SPERM DNA METHYLATION; BISPHENOL-A; EXTRACELLULAR VESICLES; NONCODING RNAS; POLYCHLORINATED-BIPHENYLS; DEVELOPMENTAL ORIGINS; PREGNANCY OUTCOMES</t>
  </si>
  <si>
    <t>Similar to environmental factors, EDCs (endocrine-disrupting chemicals) can influence gene expression without modifying the DNA sequence. It is commonly accepted that the transgenerational inheritance of parentally acquired traits is conveyed by epigenetic alterations also known as epimutations. DNA methylation, acetylation, histone modification, RNA-mediated effects and extracellular vesicle effects are the mechanisms that have been described so far to be responsible for these epimutations. They may lead to the transgenerational inheritance of diverse phenotypes in the progeny when they occur in the germ cells of an affected individual. While EDC-induced health effects have dramatically increased over the past decade, limited effects on sperm epigenetics have been described. However, there has been a gain of interest in this issue in recent years. The gametes (sperm and oocyte) represent targets for EDCs and thus a route for environmentally induced changes over several generations. This review aims at providing an overview of the epigenetic mechanisms that might be implicated in this transgenerational inheritance.</t>
  </si>
  <si>
    <t>[Montjean, Debbie; Benkhalifa, Moncef] Fertilys Fertil Ctr, 1950 Rue Maurice Gauvin 103, Laval, PQ H7S 1Z5, Canada; [Neyroud, Anne-Sophie; Ravel, Celia] CHU Rennes, Hop Sud, Dept Gynecol Obstet &amp; Reprod Humaine CECOS, 16 Blvd Bulgarie, F-35000 Rennes, France; [Yefimova, Marina G.] Russian Acad Sci, Sechenov Inst Evolutionary Physiol &amp; Biochem, St Petersburg 194223, Russia; [Benkhalifa, Moncef; Cabry, Rosalie] CHU Amiens, CECOS Picardie, Med &amp; Biol Reprod, F-80054 Amiens, France; [Benkhalifa, Moncef; Cabry, Rosalie] Univ Picardie Jules Verne, UFR Med, F-80054 Amiens, France; [Benkhalifa, Moncef; Cabry, Rosalie] Univ Picardie Jules Verne, Ctr Univ Rech Sante, Peritox, F-80054 Amiens, France; [Ravel, Celia] Univ Rennes, CHU Rennes, Irset Inst Rech Sante Environm &amp; Travail, UMR S 1085,Inserm,EHESP, F-35000 Rennes, France</t>
  </si>
  <si>
    <t>CHU Rennes; Russian Academy of Sciences; Sechenov Institute of Evolutionary Physiology &amp; Biochemistry; Picardie Universites; Universite de Picardie Jules Verne (UPJV); CHU Amiens; Picardie Universites; Universite de Picardie Jules Verne (UPJV); Picardie Universites; Universite de Picardie Jules Verne (UPJV); CHU Rennes; Ecole des Hautes Etudes en Sante Publique (EHESP); Institut National de la Sante et de la Recherche Medicale (Inserm); Universite de Rennes 1</t>
  </si>
  <si>
    <t>Montjean, D (corresponding author), Fertilys Fertil Ctr, 1950 Rue Maurice Gauvin 103, Laval, PQ H7S 1Z5, Canada.;Ravel, C (corresponding author), CHU Rennes, Hop Sud, Dept Gynecol Obstet &amp; Reprod Humaine CECOS, 16 Blvd Bulgarie, F-35000 Rennes, France.;Ravel, C (corresponding author), Univ Rennes, CHU Rennes, Irset Inst Rech Sante Environm &amp; Travail, UMR S 1085,Inserm,EHESP, F-35000 Rennes, France.</t>
  </si>
  <si>
    <t>debbie.montjean@fertilys.org; anne-sophie.neyroud@chu-rennes.net; yefimova3@gmail.com; benkhalifamoncef78@gmail.com; cabry.rosalie@chu-amiens.fr; celia.ravel@chu-rennes.fr</t>
  </si>
  <si>
    <t>RAVEL, Celia/F-2702-2015</t>
  </si>
  <si>
    <t>RAVEL, Celia/0000-0001-5013-6932; Yefimova, Marina/0000-0001-9036-4489</t>
  </si>
  <si>
    <t>10.3390/ijms23063350</t>
  </si>
  <si>
    <t>WOS:000775289400001</t>
  </si>
  <si>
    <t>Guo, QQ; Yu, YQ; Zhang, H; Cai, CX; Shen, QM</t>
  </si>
  <si>
    <t>Guo, Qunqun; Yu, Yongqi; Zhang, Hui; Cai, Chenxin; Shen, Qingming</t>
  </si>
  <si>
    <t>Electrochemical Sensing of Exosomal MicroRNA Based on Hybridization Chain Reaction Signal Amplification with Reduced False-Positive Signals</t>
  </si>
  <si>
    <t>COLI EXONUCLEASE-I; DNA; CANCER; RNA; BIOMARKERS; MIRNAS; MICROVESICLES</t>
  </si>
  <si>
    <t>MicroRNAs (miRNAs) in cancer cell-derived exosomes are important cancer biomarkers. Herein, a sensitive hybridization chain reaction (HCR) electrochemical assay was fabricated for the detection of exosomal microRNA-122 (miR-122). The hairpin DNA (hpDNA) probes were first immobilized on the surface of a gold electrode. In the presence of miR-122, the hairpin structure of the hpDNA could be opened and triggered the HCR through the cross-opening and hybridization of two helper DNA hairpins. Long nicked double helixes generated from HCR are used to capture more RuHex and increase the signal of differential pulse voltammetry (DPV). In this assay, the density of the hpDNA probes on the surface of the gold electrode was precisely controlled by the simultaneous immobilization of hpDNA and short 12 nucleotides single-stranded DNA (S-12), providing a very high amplification efficiency. More importantly, the false positive signal could be reduced or completely eliminated by applying exonuclease I (Exo I) before the introduction of target miR-122. Under optimal conditions, the assay offers very high sensitivity with an attomolar level detection limit, a linear range with 9 orders of magnitude, and specificity in single mismatch discrimination. This sensitive electrochemical assay could successfully evaluate the miR-122 concentration in different cancerderived exosomes, indicating its potential use in cancer diagnostics.</t>
  </si>
  <si>
    <t>[Guo, Qunqun; Yu, Yongqi; Zhang, Hui; Cai, Chenxin] Nanjing Normal Univ, Natl &amp; Local Joint Engn Res Ctr Biomed Funct Mat, Jiangsu Collaborat Innovat Ctr Biomed Funct Mat,C, Jiangsu Key Lab Biomed Mat,Jiangsu Key Lab New Po, Nanjing 210023, Peoples R China; [Zhang, Hui; Shen, Qingming] Nanjing Univ Posts &amp; Telecommun, Inst Adv Mat, Jiangsu Natl Synerget Innovat Ctr Adv Mat SICAM, Key Lab Organ Elect &amp; Informat Displays, Nanjing 210023, Peoples R China; [Zhang, Hui; Shen, Qingming] Nanjing Univ Posts &amp; Telecommun, Inst Adv Mat, Jiangsu Natl Synerget Innovat Ctr Adv Mat SICAM, Jiangsu Key Lab Biosensors, Nanjing 210023, Peoples R China</t>
  </si>
  <si>
    <t>Zhang, H (corresponding author), Nanjing Normal Univ, Natl &amp; Local Joint Engn Res Ctr Biomed Funct Mat, Jiangsu Collaborat Innovat Ctr Biomed Funct Mat,C, Jiangsu Key Lab Biomed Mat,Jiangsu Key Lab New Po, Nanjing 210023, Peoples R China.;Zhang, H (corresponding author), Nanjing Univ Posts &amp; Telecommun, Inst Adv Mat, Jiangsu Natl Synerget Innovat Ctr Adv Mat SICAM, Key Lab Organ Elect &amp; Informat Displays, Nanjing 210023, Peoples R China.;Zhang, H (corresponding author), Nanjing Univ Posts &amp; Telecommun, Inst Adv Mat, Jiangsu Natl Synerget Innovat Ctr Adv Mat SICAM, Jiangsu Key Lab Biosensors, Nanjing 210023, Peoples R China.</t>
  </si>
  <si>
    <t>10.1021/acs.analchem.9b05849</t>
  </si>
  <si>
    <t>WOS:000526569200078</t>
  </si>
  <si>
    <t>Effenberger, T; von der Heyde, J; Bartsch, K; Garbers, C; Schulze-Osthoff, K; Chalaris, A; Murphy, G; Rose-John, S; Rabe, B</t>
  </si>
  <si>
    <t>Effenberger, Timo; von der Heyde, Jan; Bartsch, Kareen; Garbers, Christoph; Schulze-Osthoff, Klaus; Chalaris, Athena; Murphy, Gillian; Rose-John, Stefan; Rabe, Bjoern</t>
  </si>
  <si>
    <t>Senescence-associated release of transmembrane proteins involves proteolytic processing by ADAM17 and microvesicle shedding</t>
  </si>
  <si>
    <t>SASP; p38; exosomes; TNFRI; ICAM-1</t>
  </si>
  <si>
    <t>NECROSIS-FACTOR-ALPHA; PROSTATE-CANCER CELLS; SECRETORY PHENOTYPE; CELLULAR SENESCENCE; DNA-DAMAGE; CONVERTING ENZYME; HUMAN FIBROBLASTS; FACTOR RECEPTOR; GROWTH-FACTOR; TUMOR</t>
  </si>
  <si>
    <t>Cellular senescence, a state of persistent cell cycle arrest, has emerged as a potent tumor suppressor mechanism by restricting proliferation of cells at risk for neoplastic transformation. Senescent cells secrete various growth factors, cytokines, and other proteins that can either elicit the clearance of tumor cells or potentially promote tumor progression. In addition, this senescence-associated secretory phenotype (SASP) includes various factors that are synthesized as transmembrane precursors and subsequently converted into their soluble counterparts. Despite the importance of the SASP to tumor biology, it is virtually unknown how transmembrane proteins are released from senescent cancer cells. Here we show in different models of senescence that the metalloprotease A disintegrin and metalloproteinase 17 (ADAM17) is activated and releases the epidermal growth factor receptor ligand amphiregulin and tumor necrosis factor receptor I (TNFRI) from the surface of senescent cells by ectodomain shedding. ADAM17 activation involves phosphorylation of its cytoplasmic tail by mitogen-activated protein kinase (MAPK) p38. Interestingly, unlike amphiregulin and TNFRI, full-length intercellular adhesion molecule 1 (ICAM1) is released from senescent cells by microvesicles independently of ADAM17. Thus, our results suggest that transmembrane proteins can be released by two distinct mechanisms and point to a crucial role for ADAM17 in shaping the secretory profile of senescent cells.Effenberger, T., von der Heyde, J., Bartsch, K., Garbers, C., Schulze-Osthoff, K., Chalaris, A., Murphy, G., Rose-John, S., Rabe, B. Senescence-associated release of transmembrane proteins involves proteolytic processing by ADAM17 and microvesicle shedding.</t>
  </si>
  <si>
    <t>[Effenberger, Timo; von der Heyde, Jan; Bartsch, Kareen; Garbers, Christoph; Chalaris, Athena; Rose-John, Stefan; Rabe, Bjoern] Univ Kiel, Inst Biochem, D-24118 Kiel, Germany; [Schulze-Osthoff, Klaus] Univ Tubingen, Interfac Inst Biochem, Tubingen, Germany; [Schulze-Osthoff, Klaus] German Canc Consortium DKTK, Heidelberg, Germany; [Schulze-Osthoff, Klaus] German Canc Res Ctr, Heidelberg, Germany; [Murphy, Gillian] Univ Cambridge, Canc Res UK Cambridge Inst, Dept Oncol, Cambridge, England</t>
  </si>
  <si>
    <t>University of Kiel; Eberhard Karls University of Tubingen; Helmholtz Association; German Cancer Research Center (DKFZ); Helmholtz Association; German Cancer Research Center (DKFZ); Cancer Research UK; CRUK Cambridge Institute; University of Cambridge</t>
  </si>
  <si>
    <t>Rabe, B (corresponding author), Univ Kiel, Inst Biochem, Rudolf Hober Str 1, D-24118 Kiel, Germany.</t>
  </si>
  <si>
    <t>brabe@biochem.uni-kiel.de</t>
  </si>
  <si>
    <t>Garbers, Christoph/D-9932-2015; Schulze-Osthoff, Klaus/N-9025-2013; Rose-John, Stefan/A-7998-2010</t>
  </si>
  <si>
    <t>Garbers, Christoph/0000-0003-4939-6950; Schulze-Osthoff, Klaus/0000-0003-1443-2720; Rose-John, Stefan/0000-0002-7519-3279</t>
  </si>
  <si>
    <t>10.1096/fj.14-254565</t>
  </si>
  <si>
    <t>WOS:000344050900022</t>
  </si>
  <si>
    <t>Yu, MH; Wang, H; Zhao, W; Ge, XX; Huang, W; Lin, FJ; Tang, WB; Li, A; Liu, SL; Li, RK; Jiang, SH; Xue, JL</t>
  </si>
  <si>
    <t>Yu, Minhao; Wang, Hao; Zhao, Wei; Ge, Xiaoxiao; Huang, Wei; Lin, Fengjuan; Tang, Wenbo; Li, Ang; Liu, Sailiang; Li, Rong-Kun; Jiang, Shu-Heng; Xue, Junli</t>
  </si>
  <si>
    <t>Targeting type I? phosphatidylinositol phosphate kinase overcomes oxaliplatin resistance in colorectal cancer</t>
  </si>
  <si>
    <t>Chemotherapy resistance; Phosphatidylinositol kinase; Exosome; DNA damage; CD274</t>
  </si>
  <si>
    <t>PD-L1; GAMMA</t>
  </si>
  <si>
    <t>Rationale: Oxaliplatin is a widely used chemotherapy drug for advanced colorectal cancer (CRC) and its resistance is a major challenge for disease treatment. However, the molecular mechanism underlying oxaliplatin resistance remains largely elusive. Methods: An integrative analysis was performed to determine differentially expressed genes involved in oxaliplatin resistance. Loss-and gain-of-function studies were employed to investigate the roles of type I?? phosphatidylinositol phosphate kinase (PIPKI??) on oxaliplatin resistance in CRC cells. Exosomes derived from CRC cell lines were assessed for PD-L1 level and the ability to promote oxaliplatin resistance. Quantitative real-time PCR, immunofluorescence, luciferase reporter assay, Western blotting and other techniques were conducted to decipher the molecular mechanism. Results: PIPKI?? was identified as a critical gene related to oxaliplatin resistance in CRC. Genetic manipulation studies revealed that PIPKI?? profoundly facilitated oxaliplatin resistance and affected the expression of DNA damage repair proteins. Mechanistically, PIPKI?? promoted the expression of the immune checkpoint molecule PD-L1 via activation of NF-KB signaling pathway. Genetic silencing of PD-L1 did not affect CRC cell proliferation but significantly sensitized CRC cells to oxaliplatin. Notably, PD-L1 was revealed to be encapsulated in the exosomes, and the addition of exosomal PD-L1 to sh-PD-L1 CRC cells restored oxaliplatin resistance. Pharmacological hijacking PIPKI??-exosomal PD-L1 axis largely reduced oxaliplatin resistance in CRC cells. In vivo experiments showed that PD-L1 loss significantly blocked oxaliplatin resistance and the addition of PD-L1-enriched exosomes promoted tumor growth and reduced mouse survival time. Conclusion: Our findings reveal a previous unprecedented role of PIPKI?? in oxaliplatin resistance and provide a key mechanism of exosomal PD-L1 in CRC with potential therapeutics.</t>
  </si>
  <si>
    <t>[Yu, Minhao; Li, Ang] Shanghai Jiao Tong Univ, Sch Med, Ren Ji Hosp, Dept Gastrointestinal Surg, Shanghai 200217, Peoples R China; [Wang, Hao; Zhao, Wei; Ge, Xiaoxiao; Huang, Wei; Lin, Fengjuan; Tang, Wenbo; Xue, Junli] Tongji Univ, Shanghai East Hosp, Sch Med, Dept Oncol, Shanghai 200123, Peoples R China; [Liu, Sailiang] Shanghai Jiao Tong Univ, Ren Ji Hosp, Sch Med, Dept Gen Surg, Shanghai 200217, Peoples R China; [Li, Rong-Kun] Jiangsu Univ, Affiliated Hosp, Inst Oncol, Zhenjiang 212001, Jiangsu, Peoples R China; [Jiang, Shu-Heng] Shanghai Jiao Tong Univ, State Key Lab Oncogenes &amp; Related Genes, Shanghai Canc Inst, Ren Ji Hosp,Sch Med, Shanghai 200240, Peoples R China</t>
  </si>
  <si>
    <t>Shanghai Jiao Tong University; Tongji University; Shanghai Jiao Tong University; Jiangsu University; Shanghai Jiao Tong University</t>
  </si>
  <si>
    <t>Xue, JL (corresponding author), Tongji Univ, Shanghai East Hosp, Sch Med, Dept Oncol, Shanghai 200123, Peoples R China.;Li, RK (corresponding author), Jiangsu Univ, Affiliated Hosp, Inst Oncol, Zhenjiang 212001, Jiangsu, Peoples R China.;Jiang, SH (corresponding author), Shanghai Jiao Tong Univ, State Key Lab Oncogenes &amp; Related Genes, Shanghai Canc Inst, Ren Ji Hosp,Sch Med, Shanghai 200240, Peoples R China.</t>
  </si>
  <si>
    <t>jiqimaoakun@163.com; shjiang@shsci.org; 1310666xuejunli@tongji.edu.cn</t>
  </si>
  <si>
    <t>10.7150/thno.69863</t>
  </si>
  <si>
    <t>WOS:000802758700002</t>
  </si>
  <si>
    <t>Shrivastava, S; Ray, RM; Holguin, L; Echavarria, L; Grepo, N; Scott, TA; Burnett, J; Morris, KV</t>
  </si>
  <si>
    <t>Shrivastava, Surya; Ray, Roslyn M.; Holguin, Leo; Echavarria, Lilliana; Grepo, Nicole; Scott, Tristan A.; Burnett, John; Morris, Kevin, V</t>
  </si>
  <si>
    <t>Exosome-mediated stable epigenetic repression of HIV-1</t>
  </si>
  <si>
    <t>CD4(+) T-CELLS; EXTRACELLULAR VESICLES; HISTONE METHYLATION; ACTIVATION; INFECTION; EXPRESSION; PLASMA; MICE</t>
  </si>
  <si>
    <t>Human Immunodeficiency Virus (HIV-1) produces a persistent latent infection. Control of HIV-1 using combination antiretroviral therapy (cART) comes at the cost of life-shortening side effects and development of drug-resistant HIV-1. An ideal and safer therapy should be deliverable in vivo and target the stable epigenetic repression of the virus, inducing a stable block and lock of virus expression. Towards this goal, we developed an HIV-1 promoter-targeting Zinc Finger Protein (ZFP-362) fused to active domains of DNA methyltransferase 3 A to induce long-term stable epigenetic repression of HIV-1. Cells were engineered to produce exosomes packaged with RNAs encoding this HIV-1 repressor protein. We find here that the repressor loaded anti-HIV-1 exosomes suppress virus expression and that this suppression is mechanistically driven by DNA methylation of HIV-1 in humanized NSG mouse models. The observations presented here pave the way for an exosome-mediated systemic delivery platform of therapeutic cargo to epigenetically repress HIV-1 infection. A strategy to control HIV-1 infection is to stably repress HIV-1 and induce deep latency. Here the authors show that a recombinant anti-HIV-1-1 protein can be packaged as mRNA into exosomes and delivered systemically to repress HIV-1-1 within the context of virus infected mice and achieve long term silencing of HIV-1-1 expression.</t>
  </si>
  <si>
    <t>[Shrivastava, Surya; Ray, Roslyn M.; Holguin, Leo; Echavarria, Lilliana; Grepo, Nicole; Scott, Tristan A.; Burnett, John; Morris, Kevin, V] City Hope Natl Med Ctr, Ctr Gene Therapy, Beckman Res Inst, Duarte, CA 91010 USA; [Burnett, John; Morris, Kevin, V] City Hope Natl Med Ctr, Hematol Malignancy &amp; Stem Cell Transplantat Inst, Duarte, CA 91010 USA; [Morris, Kevin, V] Griffith Univ, Menzies Hlth Inst Queensland, Sch Med Sci, Gold Coast Campus, Brisbane, Qld, Australia</t>
  </si>
  <si>
    <t>City of Hope; Beckman Research Institute of City of Hope; City of Hope; Griffith University; Menzies Health Institute Queensland</t>
  </si>
  <si>
    <t>Morris, KV (corresponding author), City Hope Natl Med Ctr, Ctr Gene Therapy, Beckman Res Inst, Duarte, CA 91010 USA.;Morris, KV (corresponding author), City Hope Natl Med Ctr, Hematol Malignancy &amp; Stem Cell Transplantat Inst, Duarte, CA 91010 USA.;Morris, KV (corresponding author), Griffith Univ, Menzies Hlth Inst Queensland, Sch Med Sci, Gold Coast Campus, Brisbane, Qld, Australia.</t>
  </si>
  <si>
    <t>kmorris@coh.org</t>
  </si>
  <si>
    <t>Shrivastava, Surya/AAD-2334-2021</t>
  </si>
  <si>
    <t>Shrivastava, Surya/0000-0003-0021-2751; Burnett, John/0000-0002-8817-6064; Scott, Tristan/0000-0002-7843-9609; Ray, Roslyn/0000-0001-6060-6969; HOLGUIN, LEO/0000-0002-8462-187X</t>
  </si>
  <si>
    <t>10.1038/s41467-021-25839-2</t>
  </si>
  <si>
    <t>WOS:000698606100001</t>
  </si>
  <si>
    <t>Kilic, T</t>
  </si>
  <si>
    <t>Kilic, Tugba</t>
  </si>
  <si>
    <t>Biofilm-Forming Ability and Effect of Sanitation Agents on Biofilm-Control of Thermophile Geobacillus sp. D413 and Geobacillus toebii E134</t>
  </si>
  <si>
    <t>POLISH JOURNAL OF MICROBIOLOGY</t>
  </si>
  <si>
    <t>Geobacillus sp.; abiotic surfaces; biofilm; sanitation agents</t>
  </si>
  <si>
    <t>EXTRACELLULAR DNA; STAINLESS-STEEL; SPORES; BACILLI; NISIN; QUANTIFICATION; ENTERITIDIS; RESISTANCE; ADHERENCE; BACTERIA</t>
  </si>
  <si>
    <t>Geobacillus sp. D413 and Geobacillus toebii E134 are aerobic, non-pathogenic, endospore-forming, obligately thermophilic bacilli Grampositive thermophilic bacilli can produce heat-resistant spores. The bacteria are indicator organisms for assessing the manufacturing process's hygiene and are capable of forming biofilms on surfaces used in industrial sectors. The present study aimed to determine the biofilm-forming properties of Geobacillus isolates and how to eliminate this formation with sanitation agents. According to the results, extracellular DNA (eDNA) was interestingly not affected by the DNase I, RNase A, and proteinase K. However, the genomic DNA (gDNA) was degraded by only DNase I. It seemed that the eDNA had resistance to DNase I when purified. It is considered that the enzymes could not reach the target eDNA. Moreover, the eDNA resistance may result from the conserved folded structure of eDNA after purification. Another assumption is that the eDNA might be protected by other extracellular polymeric substances (EPS) and/or extracellular membrane vesicles (EVs) structures. On the contrary, DNase I reduced unpurified eDNA (mature biofihns). Biofilm formation on surfaces used in industrial areas was investigated in this work: the D413 and E134 isolates adhered to all surfaces. Various sanitation agents could control biofilms of Geobacillus isolates. The best results were provided by nisin for D413 (80%) and a-amylase for E134 (98%). This paper suggests that sanitation agents could be a solution to control biofilm structures of thermophilic bacilli.</t>
  </si>
  <si>
    <t>[Kilic, Tugba] Ankara Univ, Grad Sch Nat &amp; Appl Sci, Ankara, Turkey; [Kilic, Tugba] Gazi Univ, Vocat Sch Hlth Serv, Med Lab Tech Program, Ankara, Turkey</t>
  </si>
  <si>
    <t>Ankara University; Gazi University</t>
  </si>
  <si>
    <t>Kilic, T (corresponding author), Ankara Univ, Grad Sch Nat &amp; Appl Sci, Ankara, Turkey.;Kilic, T (corresponding author), Gazi Univ, Vocat Sch Hlth Serv, Med Lab Tech Program, Ankara, Turkey.</t>
  </si>
  <si>
    <t>tubakilic84@gmail.com</t>
  </si>
  <si>
    <t>Kilic, Tugba/AAD-9404-2020</t>
  </si>
  <si>
    <t>Kilic, Tugba/0000-0002-5474-0288</t>
  </si>
  <si>
    <t>1733-1331</t>
  </si>
  <si>
    <t>2544-4646</t>
  </si>
  <si>
    <t>10.33073/pjm-2020-042</t>
  </si>
  <si>
    <t>WOS:000600409200003</t>
  </si>
  <si>
    <t>Cinque, A; Capasso, A; Vago, R; Lee, MW; Floris, M; Trevisani, F</t>
  </si>
  <si>
    <t>Cinque, Alessandra; Capasso, Anna; Vago, Riccardo; Lee, Michael W.; Floris, Matteo; Trevisani, Francesco</t>
  </si>
  <si>
    <t>The Role of Circulating Biomarkers in the Oncological Management of Metastatic Renal Cell Carcinoma: Where Do We Stand Now?</t>
  </si>
  <si>
    <t>liquid biopsy; renal cell carcinoma; target therapies; biomarkers; circulating tumor cells; circulating tumor DNA; noncoding RNA; circulating proteins; metastatic renal cell carcinoma</t>
  </si>
  <si>
    <t>ENDOTHELIAL GROWTH-FACTOR; KIDNEY INJURY MOLECULE-1; PLUS IFN-ALPHA; TUMOR DNA; ANGIOGENIC FACTORS; CYTOREDUCTIVE NEPHRECTOMY; RETROSPECTIVE ANALYSIS; SYSTEMIC THERAPY; LIQUID BIOPSY; SUNITINIB</t>
  </si>
  <si>
    <t>Renal cell carcinoma (RCC) is an increasingly common malignancy that can progress to metastatic renal cell carcinoma (mRCC) in approximately one-third of RCC patients. The 5-year survival rate for mRCC is abysmally low, and, at the present time, there are sparingly few if any effective treatments. Current surgical and pharmacological treatments can have a long-lasting impact on renal function, as well. Thus, there is a compelling unmet need to discover novel biomarkers and surveillance methods to improve patient outcomes with more targeted therapies earlier in the course of the disease. Circulating biomarkers, such as circulating tumor DNA, noncoding RNA, proteins, extracellular vesicles, or cancer cells themselves potentially represent a minimally invasive tool to fill this gap and accelerate both diagnosis and treatment. Here, we discuss the clinical relevance of different circulating biomarkers in metastatic renal cell carcinoma by clarifying their potential role as novel biomarkers of response or resistance to treatments but also by guiding clinicians in novel therapeutic approaches.</t>
  </si>
  <si>
    <t>[Cinque, Alessandra; Trevisani, Francesco] Ist Sci San Raffaele, Biorek Srl, I-20132 Milan, Italy; [Capasso, Anna] Univ Texas Austin, Dell Med Sch, Dept Med Oncol, Livestrong Canc Inst, Austin, TX 78712 USA; [Vago, Riccardo; Trevisani, Francesco] Ist Sci San Raffaele, Urol Res Inst, I-20132 Milan, Italy; [Vago, Riccardo] Univ Vita Salute San Raffaele, Fac Med &amp; Surg, Salute San Raffaele, I-20132 Milan, Italy; [Lee, Michael W.] Univ Texas Austin, Dell Med Sch, Livestrong Canc Inst, Dept Med Oncol &amp; Med Educ, Austin, TX 78712 USA; [Floris, Matteo] Univ Cagliari, G Brotzu Hosp, Nephrol Dialysis &amp; Transplantat, I-09134 Cagliari, Italy; [Trevisani, Francesco] Ist Sci San Raffaele, Unit Urol, I-20132 Milan, Italy</t>
  </si>
  <si>
    <t>Vita-Salute San Raffaele University; University of Texas System; University of Texas Austin; Vita-Salute San Raffaele University; Vita-Salute San Raffaele University; University of Texas System; University of Texas Austin; University of Cagliari; Vita-Salute San Raffaele University</t>
  </si>
  <si>
    <t>Trevisani, F (corresponding author), Ist Sci San Raffaele, Biorek Srl, I-20132 Milan, Italy.;Trevisani, F (corresponding author), Ist Sci San Raffaele, Urol Res Inst, I-20132 Milan, Italy.;Trevisani, F (corresponding author), Ist Sci San Raffaele, Unit Urol, I-20132 Milan, Italy.</t>
  </si>
  <si>
    <t>alessandra.cinque@biorek.eu; anna.capasso@austin.utexas.edu; vago.riccardo@hsr.it; Lee_Michael@austin.utexas.edu; matt.floris@gmail.com; Trevisani.Francesco@hsr.it</t>
  </si>
  <si>
    <t>Cinque, Alessandra/AAN-3846-2020; Vago, Riccardo/K-3256-2018</t>
  </si>
  <si>
    <t>Cinque, Alessandra/0000-0002-5739-742X; Floris, Matteo/0000-0001-5557-9791; Vago, Riccardo/0000-0002-3781-6770</t>
  </si>
  <si>
    <t>10.3390/biomedicines10010090</t>
  </si>
  <si>
    <t>WOS:000747525700001</t>
  </si>
  <si>
    <t>Zhao, JY; Ma, S; Xu, YD; Si, XH; Yao, HC; Huang, ZC; Zhang, Y; Yu, HY; Tang, ZH; Song, WT; Chen, XS</t>
  </si>
  <si>
    <t>Zhao, Jiayu; Ma, Sheng; Xu, Yudi; Si, Xinghui; Yao, Haochen; Huang, Zichao; Zhang, Yu; Yu, Haiyang; Tang, Zhaohui; Song, Wantong; Chen, Xuesi</t>
  </si>
  <si>
    <t>In situ activation of STING pathway with polymeric SN38 for cancer chemoimmunotherapy</t>
  </si>
  <si>
    <t>DNA-Targeting agents; SN38; Exosome; STING pathway; Chemoimmunotherapy</t>
  </si>
  <si>
    <t>NANOPARTICLES; IMMUNOTHERAPY; CELLS; IMMUNITY; MOUSE</t>
  </si>
  <si>
    <t>STING (stimulator of interferon genes) signaling pathway has attracted considerable attention in cancer immunotherapy due to its capacity to boost vigorous antitumor immunity. However, the shortage of effective STING agonists limits the promotion of STING pathway in cancer treatment. Herein, we present an approach for in situ activation of STING pathway with nanoparticles delivered DNA-targeting chemo agents, based on the understanding that cytosol DNA is a pre-requisite for STING pathway activation. Through in vitro screening among several DNA-targeting chemo agents, we identified 7-ethyl-10-hydroxycamptothecin (SN38) as the most potent drug for stimulating interferon (IFN)-beta secretion and proved that this process is mediated by the passage of DNA-containing exosomes from treated tumor cells to bone marrow-derived dendritic cells (BMDCs) and subsequent activation of the STING pathway. Furthermore, we designed a polymeric-SN38 conjugate that could self assemble into nanoparticles (SN38-NPs) for in vivo application. The SN38-NPs formulation reduced toxicity of free SN38, effectively stimulated the activation of STING pathway in E0771 tumors, and resulted in a tumor suppression rate (TSR%) of 82.6%. Our results revealed a new mechanism of SN38 in cancer treatment and should inspire using more DNA-targeting agents, especially in nanoformulation, for activating STING pathway and cancer chemoimmunotherapy.</t>
  </si>
  <si>
    <t>[Zhao, Jiayu; Ma, Sheng; Xu, Yudi; Si, Xinghui; Yao, Haochen; Huang, Zichao; Zhang, Yu; Yu, Haiyang; Tang, Zhaohui; Song, Wantong; Chen, Xuesi] Chinese Acad Sci, Changchun Inst Appl Chem, Key Lab Polymer Ecomat, Changchun 130022, Peoples R China; [Zhao, Jiayu; Ma, Sheng; Si, Xinghui; Huang, Zichao; Tang, Zhaohui; Chen, Xuesi] Univ Sci &amp; Technol China, Hefei 230026, Peoples R China; [Xu, Yudi] Univ Chinese Acad Sci, Beijing 100039, Peoples R China; [Yao, Haochen] Jilin Univ, Dept Pathogenobiol, Key Lab Zoonosis, Chinese Minist Educ,Coll Basic Med Sci, Changchun 130012, Peoples R China; [Zhang, Yu; Yu, Haiyang; Tang, Zhaohui; Song, Wantong; Chen, Xuesi] Jilin Biomed Polymers Engn Lab, Changchun 130022, Peoples R China</t>
  </si>
  <si>
    <t>Chinese Academy of Sciences; Changchun Institute of Applied Chemistry, CAS; Chinese Academy of Sciences; University of Science &amp; Technology of China, CAS; Chinese Academy of Sciences; University of Chinese Academy of Sciences, CAS; Jilin University</t>
  </si>
  <si>
    <t>Tang, ZH; Song, WT (corresponding author), Chinese Acad Sci, Changchun Inst Appl Chem, Key Lab Polymer Ecomat, Changchun 130022, Peoples R China.</t>
  </si>
  <si>
    <t>ztang@ciac.ac.cn; wtsong@ciac.ac.cn</t>
  </si>
  <si>
    <t>; Tang, Zhaohui/K-4891-2016</t>
  </si>
  <si>
    <t>Song, Wantong/0000-0002-4564-9917; Tang, Zhaohui/0000-0003-4726-4305</t>
  </si>
  <si>
    <t>10.1016/j.biomaterials.2020.120542</t>
  </si>
  <si>
    <t>WOS:000611884700001</t>
  </si>
  <si>
    <t>Yu, ZG; Wang, Y; Henderson, IR; Guo, JH</t>
  </si>
  <si>
    <t>Yu, Zhigang; Wang, Yue; Henderson, Ian R.; Guo, Jianhua</t>
  </si>
  <si>
    <t>Artificial sweeteners stimulate horizontal transfer of extracellular antibiotic resistance genes through natural transformation</t>
  </si>
  <si>
    <t>ACINETOBACTER-BAUMANNII; MEMBRANE-VESICLES; DNA; COMPETENCE; MECHANISMS; PLASMID; STRESS; DISSEMINATION; INDUCTION; VERSATILE</t>
  </si>
  <si>
    <t>Antimicrobial resistance has emerged as a global threat to human health. Natural transformation is an important pathway for horizontal gene transfer, which facilitates the dissemination of antibiotic resistance genes (ARGs) among bacteria. Although it is suspected that artificial sweeteners could exert antimicrobial effects, little is known whether artificial sweeteners would also affect horizontal transfer of ARGs via transformation. Here we demonstrate that four commonly used artificial sweeteners (saccharin, sucralose, aspartame, and acesulfame potassium) promote transfer of ARGs via natural transformation in Acinetobacter baylyi ADP1, a model organism for studying competence and transformation. Such phenomenon was also found in a Gram-positive human pathogen Bacillus subtilis and mice faecal microbiome. We reveal that exposure to these sweeteners increases cell envelope permeability and results in an upregulation of genes encoding DNA uptake and translocation (Com) machinery. In addition, we find that artificial sweeteners induce an increase in plasmid persistence in transformants. We propose a mathematical model established to predict the long-term effects on transformation dynamics under exposure to these sweeteners. Collectively, our findings offer insights into natural transformation promoted by artificial sweeteners and highlight the need to evaluate these environmental contaminants for their antibiotic-like side effects.</t>
  </si>
  <si>
    <t>[Yu, Zhigang; Wang, Yue; Guo, Jianhua] Univ Queensland, Adv Water Management Ctr, Brisbane, Qld 4072, Australia; [Henderson, Ian R.] Univ Queensland, Inst Mol Biosci, Brisbane, Qld 4072, Australia</t>
  </si>
  <si>
    <t>University of Queensland; University of Queensland</t>
  </si>
  <si>
    <t>Guo, JH (corresponding author), Univ Queensland, Adv Water Management Ctr, Brisbane, Qld 4072, Australia.</t>
  </si>
  <si>
    <t>jianhua.guo@uq.edu.au</t>
  </si>
  <si>
    <t>Yu, Zhigang/Y-6075-2019; Guo, Jianhua/B-1114-2012</t>
  </si>
  <si>
    <t>Yu, Zhigang/0000-0001-5352-2126; Guo, Jianhua/0000-0002-4732-9175; Henderson, Ian/0000-0002-9954-4977</t>
  </si>
  <si>
    <t>10.1038/s41396-021-01095-6</t>
  </si>
  <si>
    <t>WOS:000691710200001</t>
  </si>
  <si>
    <t>Albanese, J; Dainiak, N</t>
  </si>
  <si>
    <t>Early plasma membrane events occurring in ultraviolet-B-induced apoptosis</t>
  </si>
  <si>
    <t>STEM CELLS</t>
  </si>
  <si>
    <t>Meeting on the Biological Effects of Radiation Injury</t>
  </si>
  <si>
    <t>MAR 22-25, 1996</t>
  </si>
  <si>
    <t>MINSK, BYELARUS</t>
  </si>
  <si>
    <t>radiation; apoptosis; membrane shedding</t>
  </si>
  <si>
    <t>COLONY-STIMULATING FACTOR; RECEPTOR TYROSINE KINASE; NF-KAPPA-B; CELL-SURFACE; GENE-EXPRESSION; HUMAN KERATINOCYTES; SOLUBLE FORMS; GROWTH-FACTOR; HUMAN CSF-1; STEM-CELLS</t>
  </si>
  <si>
    <t>Whereas nonsolar ultraviolet C radiation primarily affects nuclei (i.e., where it is absorbed by nucleic acids) of eukaryotic cells, ultraviolet radiation of long (320-380 nm) wavelengths (ultraviolet A) and intermediate (290-320 mn) wavelengths (ultraviolet B) primarily affects lipid membranes. We have previously demonstrated that ultraviolet B irradiation alters the surface architecture of human B cells and impairs expression of an erythroid growth factor on their surface and on extracellular vesicles. Here, we examined the effects of ultraviolet B irradiation on the capacity of Chinese hamster ovary cells to undergo the process of exfoliation, and on the capacity of Chinese hamster ovary cells transfected with flt3/flk2 cDNA to express the cytokine flt3/flk2. Our results indicate that the rate of release of shed vesicles from untransfected Chinese hamster ovary cells is decreased after one to two h, at a time when there is electron microscopic evidence for retention of vesicles at the cell surface. These changes at the cell surface precede all other apparent morphological changes (including DNA condensation in the nucleus, swelling of the mitochondria and appearance of apoptotic bodies). Furthermore, plasma membranes and shed extracellular vesicles from ultraviolet B irradiated Chinese hamster ovary cells that have been transfected with flt3/flk2 cDNA fail to express the protein.</t>
  </si>
  <si>
    <t>YALE UNIV, BRIDGEPORT HOSP, DEPT MED, BRIDGEPORT, CT USA</t>
  </si>
  <si>
    <t>Yale University</t>
  </si>
  <si>
    <t>Albanese, J (corresponding author), MCGILL UNIV, ROYAL VICTORIA HOSP, DEPT MED, MONTREAL, PQ H3A 1A1, CANADA.</t>
  </si>
  <si>
    <t>Albanese, Jacques/AAS-7466-2021</t>
  </si>
  <si>
    <t>1066-5099</t>
  </si>
  <si>
    <t>1549-4918</t>
  </si>
  <si>
    <t>Cell &amp; Tissue Engineering; Biotechnology &amp; Applied Microbiology; Oncology; Cell Biology; Hematology</t>
  </si>
  <si>
    <t>Cell Biology; Biotechnology &amp; Applied Microbiology; Oncology; Hematology</t>
  </si>
  <si>
    <t>WOS:A1997YF08200008</t>
  </si>
  <si>
    <t>Ding, CY; Zhu, LP; Shen, H; Lu, JF; Zou, QY; Huang, C; Li, H; Huang, BX</t>
  </si>
  <si>
    <t>Ding, Chenyue; Zhu, Liping; Shen, Han; Lu, Jiafeng; Zou, Qinyan; Huang, Chao; Li, Hong; Huang, Boxian</t>
  </si>
  <si>
    <t>Exosomal miRNA-17-5p derived from human umbilical cord mesenchymal stem cells improves ovarian function in premature ovarian insufficiency by regulating SIRT7</t>
  </si>
  <si>
    <t>exosomes; human umbilical cord mesenchymal stem cells; miR-17-5p; premature ovarian insufficiency; SIRT7</t>
  </si>
  <si>
    <t>DNA-DAMAGE; INDUCED APOPTOSIS; OXIDATIVE STRESS; GAMMA-H2AX; EXPRESSION; FAILURE; TRANSPLANTATION; SIRTUINS</t>
  </si>
  <si>
    <t>Premature ovarian insufficiency (POI) is clinically irreversible in women aged over 40 years. Although numerous studies have demonstrated satisfactory outcomes of mesenchymal stem cell therapy, the underlying therapeutic mechanism remains unclear. Exosomes were collected from the culture medium of human umbilical cord mesenchymal stem cells (hUMSCs) and assessed by electron microscopy and Western blot (WB) analysis. Then, exosomes were added to the culture medium of cyclophosphamide (CTX)-damaged human granulosa cells (hGCs), and the mixture was injected into the ovaries of CTX-induced POI model mice before detection of antiapoptotic and apoptotic gene expression. Next, the microRNA expression profiles of hUMSC-derived exosomes (hUMSC-Exos) were detected by small RNA sequencing. The ameliorative effect of exosomal microRNA-17-5P (miR-17-5P) was demonstrated by miR-17-5P knockdown before assessment of ovarian phenotype and function, reactive oxygen species (ROS) levels and SIRT7 expression. Finally, SIRT7 was inhibited or overexpressed by RNA interference or retrovirus transduction, and the protein expression of PARP1, gamma H2AX, and XRCC6 was analyzed. The ameliorative effect of hUMSC-Exos on POI was validated. Our results illustrated that hUMSC-Exos restored ovarian phenotype and function in a POI mouse model, promoted proliferation of CTX-damaged hGCs and ovarian cells, and alleviated ROS accumulation by delivering exosomal miR-17-5P and inhibiting SIRT7 expression. Moreover, our findings elucidated that miR-17-5P repressed PARP1, gamma H2AX, and XRCC6 by inhibiting SIRT7. Our findings suggest a critical role for exosomal miR-17-5P and its downstream target mRNA SIRT7 in hUMSC transplantation therapy. This study indicates the promise of exosome-based therapy for POI treatment.</t>
  </si>
  <si>
    <t>[Ding, Chenyue; Lu, Jiafeng; Zou, Qinyan; Huang, Chao; Li, Hong; Huang, Boxian] Nanjing Med Univ, Suzhou Municipal Hosp, Ctr Reprod &amp; Genet, Affiliated Suzhou Hosp, Suzhou 215002, Peoples R China; [Zhu, Liping] Nanjing Med Univ, Dept Obstet &amp; Gynecol, Suzhou Hosp, Suzhou, Peoples R China; [Shen, Han; Huang, Boxian] Nanjing Med Univ, State Key Lab Reprod Med, Nanjing, Peoples R China</t>
  </si>
  <si>
    <t>Nanjing Medical University; Nanjing Medical University; Nanjing Medical University</t>
  </si>
  <si>
    <t>Li, H; Huang, BX (corresponding author), Nanjing Med Univ, Suzhou Municipal Hosp, Ctr Reprod &amp; Genet, Affiliated Suzhou Hosp, Suzhou 215002, Peoples R China.</t>
  </si>
  <si>
    <t>hongliszivf@163.com; huangboxiannj@163.com</t>
  </si>
  <si>
    <t>10.1002/stem.3204</t>
  </si>
  <si>
    <t>WOS:000536007900001</t>
  </si>
  <si>
    <t>Al-Mayah, AHJ; Bright, SJ; Bowler, DA; Slijepcevic, P; Goodwin, E; Kadhim, MA</t>
  </si>
  <si>
    <t>Al-Mayah, Ammar H. J.; Bright, Scott J.; Bowler, Debbie A.; Slijepcevic, Predrag; Goodwin, Edwin; Kadhim, Munira A.</t>
  </si>
  <si>
    <t>Exosome-Mediated Telomere Instability in Human Breast Epithelial Cancer Cells after X Irradiation</t>
  </si>
  <si>
    <t>HUMAN PRIMARY FIBROBLASTS; DNA-DAMAGE RESPONSE; IONIZING-RADIATION; DENDRITIC CELLS; CHROMOSOMAL INSTABILITY; GENOMIC INSTABILITY; BYSTANDER; DYSFUNCTION; LENGTH; MICROVESICLES</t>
  </si>
  <si>
    <t>In directly irradiating cells, telomere metabolism is altered and similar effects have been observed in non-targeted cells. Exosomes and their cargo play dominant roles in communicating radiation-induced bystander effects with end points related to DNA damage. Here we report novel evidence that exosomes are also responsible for inducing telomere-related bystander effects. Breast epithelial cancer cells were exposed to either 2 Gy X rays, or exposed to irradiated cell conditioned media ( ICCM), or exosomes purified from ICCM. Compared to control cells, telomerase activity decreased in the 2 Gy irradiated cells and both bystander samples after one population doubling. At the first population doubling, telomere length was shorter in the 2 Gy irradiated sample but not in the bystander samples. By 24 population doublings telomerase activity recovered to control levels in all samples; however, the 2 Gy irradiated sample continued to demonstrate short telomeres and both bystander samples acquired shorter telomeres. RNase treatment of exosomes prevented the bystander effects on telomerase and telomere length that were observed at 1 population doubling and 24 population doublings, respectively. Thermal denaturation by boiling eliminated the reduction of telomere length in bystander samples, suggesting that the protein fraction of exosomes also contributes to the telomeric effect. RNase treatment plus boiling abrogated all telomere-related effects in directly irradiated and bystander cell populations. These findings suggest that both proteins and RNAs of exosomes can induce alterations in telomeric metabolism, which can instigate genomic instability in epithelial cancer cells after X-ray irradiation. (C) 2017 by Radiation Research Society</t>
  </si>
  <si>
    <t>[Al-Mayah, Ammar H. J.; Bright, Scott J.; Bowler, Debbie A.; Kadhim, Munira A.] Oxford Brookes Univ, Genom Instabil Grp, Gipsy Lane Campus, Oxford OX3 0BP, England; [Slijepcevic, Predrag] Brunel Univ, Dept Life Sci, Coll Hlth &amp; Life Sci, London UB8 3PH, England; [Goodwin, Edwin] New Mexico Consortium, Los Alamos, NM 87544 USA</t>
  </si>
  <si>
    <t>Oxford Brookes University; Brunel University</t>
  </si>
  <si>
    <t>Kadhim, MA (corresponding author), Oxford Brookes Univ, Fac Hlth &amp; Life Sci, Dept Biol &amp; Med Sci, Oxford OX3 0BP, England.</t>
  </si>
  <si>
    <t>10.1667/RR14201.1</t>
  </si>
  <si>
    <t>WOS:000395111100011</t>
  </si>
  <si>
    <t>Watanabe, T</t>
  </si>
  <si>
    <t>Apoptosis induced by glufosinate ammonium in the neuroepithelium of developing mouse embryos in culture</t>
  </si>
  <si>
    <t>apoptosis; glufosinate ammonium; glutamine synthetase; neuroepithelial cells; developing mouse embryos</t>
  </si>
  <si>
    <t>CELL-DEATH; PHOSPHINOTHRICIN; ACID</t>
  </si>
  <si>
    <t>Glufosinate ammonium structurally resembles glutamate and blocks glutamine synthetase. Glufosinate was recently found to be dysmorphogenic in mammals in vitro. The present study examined the cell death induced specifically by glufosinate in the neuroepithelium of mouse embryos. Electron micrograph revealed characteristic chromatin condensation and segregation, extracellular apoptotic bodies, and cell fragments phagocytosed in macrophages in the neuroepithelium of the brain vesicle and neural tube. Moreover, neuroepithelial cells undergoing DNA fragmentation were histochemically identified. DNA gel electrophoresis of the neuroepithelial layer revealed a DNA ladder. These observations demonstrate that glufosinate specifically induced apoptosis in the neuroepithelium of embryos. (C) 1997 Elsevier Science Ireland Ltd.</t>
  </si>
  <si>
    <t>Watanabe, T (corresponding author), YAMAGATA UNIV,SCH MED,DEPT HYG &amp; PREVENT MED,2-2-2 IIDA NISHI,YAMAGATA 99023,JAPAN.</t>
  </si>
  <si>
    <t>JAN 24</t>
  </si>
  <si>
    <t>10.1016/S0304-3940(97)13330-4</t>
  </si>
  <si>
    <t>WOS:A1997WF31100005</t>
  </si>
  <si>
    <t>Erttmann, SF; Swacha, P; Aung, KM; Brindefalk, B; Jiang, H; Hartova, A; Uhlin, BE; Wai, SN; Gekara, NO</t>
  </si>
  <si>
    <t>Erttmann, Saskia F.; Swacha, Patrycja; Aung, Kyaw Min; Brindefalk, Bjorn; Jiang, Hui; Hartova, Anetta; Uhlin, Bernt Eric; Wai, Sun N.; Gekara, Nelson O.</t>
  </si>
  <si>
    <t>The gut microbiota prime systemic antiviral immunity via the cGAS-STING-IFN-I axis</t>
  </si>
  <si>
    <t>IMMUNITY</t>
  </si>
  <si>
    <t>CYTOSOLIC DNA SENSOR; TOLL-LIKE RECEPTORS; COMMENSAL MICROBIOTA; INNATE; INFLUENZA; INFECTION; RESPONSES; BACTERIA; GENES; LIPOPOLYSACCHARIDE</t>
  </si>
  <si>
    <t>The microbiota are vital for immune homeostasis and provide a competitive barrier to bacterial and fungal pathogens. Here, we investigated how gut commensals modulate systemic immunity and response to viral infection. Antibiotic suppression of the gut microbiota reduced systemic tonic type I interferon (IFN-I) and antiviral priming. The microbiota-driven tonic IFN-I-response was dependent on cGAS-STING but not on TLR signaling or direct host-bacteria interactions. Instead, membrane vesicles (MVs) from extracellular bacteria activated the cGAS-STING-IFN-I axis by delivering bacterial DNA into distal host cells. DNA-containing MVs from the gut microbiota were found in circulation and promoted the clearance of both DNA (herpes simplex virus type 1) and RNA (vesicular stomatitis virus) viruses in a cGAS-dependent manner. In summary, this study establishes an important role for the microbiota in peripheral cGAS-STING activation, which promotes host resistance to systemic viral infections. Moreover, it uncovers an underappreciated risk of antibiotic use during viral infections.</t>
  </si>
  <si>
    <t>[Erttmann, Saskia F.; Uhlin, Bernt Eric; Wai, Sun N.; Gekara, Nelson O.] Umea Univ, Dept Mol Biol, Umea Ctr Microbial Res UCMR, Lab Mol Infect Med Sweden MIMS, S-90187 Umea, Sweden; [Swacha, Patrycja; Aung, Kyaw Min; Jiang, Hui; Gekara, Nelson O.] Stockholm Univ, Wenner Gren Inst, Dept Mol Biosci, S-10691 Stockholm, Sweden; [Brindefalk, Bjorn] Swedish Def Res Agcy, CBRN Def &amp; Secur, Umea, Sweden; [Hartova, Anetta] Univ Gothenburg, Sahlgrenska Acad Fac Sci, Inst Biomed, Dept Microbiol &amp; Immunol, Gothenburg, Sweden; [Hartova, Anetta] Univ Gothenburg, Wallenberg Ctr Mol &amp; Translat Med, Gothenburg, Sweden</t>
  </si>
  <si>
    <t>Umea University; Stockholm University; Saab Group; University of Gothenburg; University of Gothenburg</t>
  </si>
  <si>
    <t>Gekara, NO (corresponding author), Umea Univ, Dept Mol Biol, Umea Ctr Microbial Res UCMR, Lab Mol Infect Med Sweden MIMS, S-90187 Umea, Sweden.;Gekara, NO (corresponding author), Stockholm Univ, Wenner Gren Inst, Dept Mol Biosci, S-10691 Stockholm, Sweden.</t>
  </si>
  <si>
    <t>nelson.gekara@su.se</t>
  </si>
  <si>
    <t>Uhlin, Bernt Eric/0000-0002-2991-8072</t>
  </si>
  <si>
    <t>1074-7613</t>
  </si>
  <si>
    <t>1097-4180</t>
  </si>
  <si>
    <t>10.1016/j.immuni.2022.04.006</t>
  </si>
  <si>
    <t>WOS:000802171100010</t>
  </si>
  <si>
    <t>Mann, J; Reeves, HL; Feldstein, AE</t>
  </si>
  <si>
    <t>Mann, Jelena; Reeves, Helen L.; Feldstein, Ariel E.</t>
  </si>
  <si>
    <t>Liquid biopsy for liver diseases</t>
  </si>
  <si>
    <t>GUT</t>
  </si>
  <si>
    <t>CIRCULATING TUMOR-CELLS; HEPATOCELLULAR-CARCINOMA; EXTRACELLULAR VESICLES; PROMOTER METHYLATION; EARLY RECURRENCE; DNA METHYLATION; BIOMARKERS; PLASMA; MICRORNAS; MICROPARTICLES</t>
  </si>
  <si>
    <t>With the growing number of novel therapeutic approaches for liver diseases, significant research efforts have been devoted to the development of liquid biopsy tools for precision medicine. This can be defined as non-invasive reliable biomarkers that can supplement and eventually replace the invasive liver biopsy for diagnosis, disease stratification and monitoring of response to therapeutic interventions. Similarly, detection of liver cancer at an earlier stage of the disease, potentially susceptible to curative resection, can be critical to improve patient survival. Circulating extracellular vesicles, nucleic acids (DNA and RNA) and tumour cells have emerged as attractive liquid biopsy candidates because they fulfil many of the key characteristics of an ideal biomarker. In this review, we summarise the currently available information regarding these promising and potential transformative tools, as well as the issues still needed to be addressed for adopting various liquid biopsy approaches into clinical practice. These studies may pave the way to the development of a new generation of reliable, mechanism-based disease biomarkers.</t>
  </si>
  <si>
    <t>[Mann, Jelena] Newcastle Univ, Fac Med Sci, Inst Cellular Med, Newcastle Fibrosis Res Grp, Newcastle Upon Tyne, Tyne &amp; Wear, England; [Reeves, Helen L.] Newcastle Univ, Northern Inst Canc Res, Newcastle Upon Tyne, Tyne &amp; Wear, England; [Feldstein, Ariel E.] Univ Calif San Diego, Dept Pediat, San Diego, CA 92103 USA</t>
  </si>
  <si>
    <t>Newcastle University - UK; Newcastle University - UK; University of California System; University of California San Diego</t>
  </si>
  <si>
    <t>Feldstein, AE (corresponding author), Univ Calif San Diego, Div Pediat Gastroenterol Hepatol &amp; Nutr, San Diego, CA 92103 USA.</t>
  </si>
  <si>
    <t>afeldstein@ucsd.edu</t>
  </si>
  <si>
    <t>Reeves, Helen/0000-0003-0359-9795</t>
  </si>
  <si>
    <t>0017-5749</t>
  </si>
  <si>
    <t>1468-3288</t>
  </si>
  <si>
    <t>10.1136/gutjnl-2017-315846</t>
  </si>
  <si>
    <t>WOS:000451278400018</t>
  </si>
  <si>
    <t>Gravely, M; Roxbury, D</t>
  </si>
  <si>
    <t>Gravely, Mitchell; Roxbury, Daniel</t>
  </si>
  <si>
    <t>Multispectral Fingerprinting Resolves Dynamics of Nanomaterial Trafficking in Primary Endothelial Cells</t>
  </si>
  <si>
    <t>intracellular trafficking; endosomal maturation; confocal Raman microscopy; hyperspectral imaging; near-infrared fluorescence; machine learning; immunofluorescence colocalization</t>
  </si>
  <si>
    <t>WALLED CARBON NANOTUBES; RAMAN-SPECTROSCOPY; INTRACELLULAR TRAFFICKING; CELLULAR UPTAKE; FLUORESCENCE; PHOTOLUMINESCENCE; DYSFUNCTION; BIOGENESIS; DEPENDENCE; TRANSPORT</t>
  </si>
  <si>
    <t>Intracellular vesicle trafficking involves a complex series of biological pathways used to sort, recycle, and degrade extracellular components, including engineered nanomaterials (ENMs) which gain cellular entry via active endocytic processes. A recent emphasis on routes of ENM uptake has established key physicochemical properties which direct certain mechanisms, yet relatively few studies have identified their effect on intracellular trafficking processes past entry and initial subcellular localization. Here, we developed and applied an approach where single-walled carbon nanotubes (SWCNTs) play a dual role.that of an ENM undergoing intracellular processing, in addition to functioning as the signal transduction element reporting these events in individual cells with single organelle resolution. We used the exceptional optical properties exhibited by noncovalent hybrids of single-stranded DNA and SWCNTs (DNA-SWCNTs) to report the progression of intracellular processing events via two orthogonal hyperspectral imaging approaches of near-infrared (NIR) fluorescence and resonance Raman scattering. A positive correlation between fluorescence and G-band intensities was uncovered within single cells, while exciton energy transfer and eventual aggregation of DNA-SWCNTs were observed to scale with increasing time after internalization. An analysis pipeline was developed to colocalize and deconvolute the fluorescence and Raman spectra of subcellular regions of interest (ROIs), allowing for single-chirality component spectra to be obtained with submicron spatial resolution. This approach uncovered correlations between DNA-SWCNT concentration, dielectric modulation, and irreversible aggregation within single intracellular vesicles. An immunofluorescence assay was designed to directly observe the DNA-SWCNTs in labeled endosomal vesicles, revealing a distinct relationship between the physical state of organelle-bound DNA-SWCNTs and the dynamic luminal conditions during endosomal maturation processes. Finally, we trained a machine learning algorithm to predict endosome type using the Raman spectra of the vesicle-bound DNA-SWCNTs, enabling major components in the endocytic pathway to be simultaneously visualized using a single intracellular reporter.</t>
  </si>
  <si>
    <t>[Gravely, Mitchell; Roxbury, Daniel] Univ Rhode Isl, Dept Chem Engn, Kingston, RI 02881 USA</t>
  </si>
  <si>
    <t>University of Rhode Island</t>
  </si>
  <si>
    <t>Roxbury, D (corresponding author), Univ Rhode Isl, Dept Chem Engn, Kingston, RI 02881 USA.</t>
  </si>
  <si>
    <t>roxbury@uri.edu</t>
  </si>
  <si>
    <t>Gravely, Mitchell/0000-0001-7938-6054; Roxbury, Daniel/0000-0003-2812-3523</t>
  </si>
  <si>
    <t>10.1021/acsnano.1c04500</t>
  </si>
  <si>
    <t>WOS:000679406500125</t>
  </si>
  <si>
    <t>Cao, QJ; Zhang, W; Liu, XY; Li, Y</t>
  </si>
  <si>
    <t>Cao, Qijiang; Zhang, Wei; Liu, Xinyan; Li, Yan</t>
  </si>
  <si>
    <t>AtFTCD-L, a trans-Golgi network localized protein, modulates root growth of Arabidopsis in high-concentration agar culture medium</t>
  </si>
  <si>
    <t>PLANTA</t>
  </si>
  <si>
    <t>Arabidopsis; AtFTCD-L; Golgi stacks; Plant cell; Root cap cells; Root growth; trans-Golgi network</t>
  </si>
  <si>
    <t>MAIZE ZEA-MAYS; FORMIMINOTRANSFERASE CYCLODEAMINASE; GRIP DOMAIN; APPARATUS; CAP; DYNAMICS; STACKS; PLANTS; COMPARTMENTS; TRAFFICKING</t>
  </si>
  <si>
    <t>Main conclusion AtFTCD-L protein is localized on the TGN vesicles in Arabidopsis root cap cells. AtFTCD-L mutation resulted in slow root growth of Arabidopsis in high-concentration agar culture medium. Arabidopsis formiminotransferase cyclodeaminase-like protein (AtFTCD-L) in Arabidopsis is homologous to the formiminotransferase cyclodeaminase (FTCD) protein in animal cells. However, the localization and function of AtFTCD-L remain unknown in Arabidopsis. In this study, we generated and analyzed a deletion mutant of AtFTCD-L with a T-DNA insertion. We found that the growth of Arabidopsis roots with the T-DNA insertion mutation in AtFTCD-L was slower than that of wild-type roots when grown in high-concentration 1/2 MS agar culture medium. AtFTCD-L-GFP could restore the ftcd-l mutant phenotype. In addition, the AtFTCD-L protein was localized on the trans-Golgi network (TGN) vesicles in Arabidopsis root cap cells. Fluorescence recovery after photobleaching (FRAP) experiment using Arabidopsis pollen-specific receptor-like kinase-GFP (AtPRK1-GFP) stably transformed plants showed that the deficiency of AtFTCD-L protein in Arabidopsis led to slower secretion in the root cap peripheral cells. The AtFTCD-L protein deficiency also resulted in a significantly reduced monosaccharides content in the culture medium. Based on the above results, we speculate that the AtFTCD-L protein may be involved in sorting and/or transportation of TGN vesicles in root cap peripheral cells, thereby regulating the extracellular secretion of mucilage components in the root cap.</t>
  </si>
  <si>
    <t>[Cao, Qijiang; Zhang, Wei; Liu, Xinyan; Li, Yan] China Agr Univ, Coll Biol Sci, State Key Lab Plant Physiol &amp; Biochem, Beijing 100193, Peoples R China; [Cao, Qijiang] Shenyang Univ, Coll Life Sci &amp; Engn, Shenyang 110044, Liaoning, Peoples R China</t>
  </si>
  <si>
    <t>China Agricultural University; Shenyang University</t>
  </si>
  <si>
    <t>Li, Y (corresponding author), China Agr Univ, Coll Biol Sci, State Key Lab Plant Physiol &amp; Biochem, Beijing 100193, Peoples R China.</t>
  </si>
  <si>
    <t>liyan@cau.edu.cn</t>
  </si>
  <si>
    <t>Li, Yan/0000-0002-5301-767X</t>
  </si>
  <si>
    <t>0032-0935</t>
  </si>
  <si>
    <t>1432-2048</t>
  </si>
  <si>
    <t>10.1007/s00425-022-03911-5</t>
  </si>
  <si>
    <t>Plant Sciences</t>
  </si>
  <si>
    <t>WOS:000805574400001</t>
  </si>
  <si>
    <t>D'Addario, CA; Lanier, GM; Jacob, C; Bauer, N; Hewes, JL; Bhadra, A; Gupte, SA</t>
  </si>
  <si>
    <t>D'Addario, Catherine A.; Lanier, Gregg M.; Jacob, Christina; Bauer, Natalie; Hewes, Jenny L.; Bhadra, Aritra; Gupte, Sachin A.</t>
  </si>
  <si>
    <t>Differences in the expression of DNA methyltransferases and demethylases in leukocytes and the severity of pulmonary arterial hypertension between ethnic groups</t>
  </si>
  <si>
    <t>PHYSIOLOGICAL REPORTS</t>
  </si>
  <si>
    <t>epigenetics; humans; pulmonary hypertension</t>
  </si>
  <si>
    <t>METHYLATION; METABOLISM; CANCER</t>
  </si>
  <si>
    <t>The loss of ten-eleven translocation (TET2) methylcytosine dioxygenase expression contributes to the pathobiology of pulmonary arterial hypertension (PALI). However, whether the expression and activity of other TETs and DNA methyltransferases (DNMTs) are altered in PAH remains enigmatic. Therefore, our objective was to determine the expression of DNMT (1, 3a, and 3b) and TET (1, 2, and 3) and their total activity. We assessed the expression of DNMT and TET enzymes in the leukocytes and their activity in extracellular vesicles (EVs). Expression of DNMT (1, 3a, and 3b.), TET (2 and 3) in leukocytes, and total activity in EVs, from PAH patients was higher than in healthy controls. Additionally, we noticed there were difference in expression of these epigenetic enzyme based on ethnicity and found higher DNMT1 and lower TET2/TET3 expression in Caucasian than Hispanic/African American (combine) patients. Since loss-of-function mutation(s) and down-regulation of TET enzymes are associated with hematological malignancies and cytokine production, we determined the expression of genes that encode cytokines in samples of Caucasian and Hispanic/ African American patients. Expression of IL6, CSF2, and CCL5 genes were higher in the leukocytes of Caucasian than Hispanic/African American patients, and CSF2 and CCL5 negatively correlated with the decreased expression of TET3. Interestingly, the expression of gene encoding CD34, a marker of myeloid and lymphoid precursor cells, and CD163, a monocyte/macrophage protein, was higher in the leukocytes of Caucasian than Hispanic/African American patients. Furthermore, Hispanic/African American patients having higher TET2/TET3 expression had higher pulmonary capillary wedge pressure. In conclusion, our results revealed higher DNMT1 and lower TET2/TET3 in Caucasian than Hispanic/ African American patients together potentially augmented genes encoding inflammation causing cytokines, and CD34(+)-derived immunogenic cells, and the severity of PAH.</t>
  </si>
  <si>
    <t>[D'Addario, Catherine A.; Jacob, Christina; Gupte, Sachin A.] New York Med Coll, Dept Pharmacol, Valhalla, NY 10595 USA; [Lanier, Gregg M.] Westchester Med Ctr, Dept Cardiol, Valhalla, NY USA; [Lanier, Gregg M.] Westchester Med Ctr, Inst Heart &amp; Vasc, Valhalla, NY USA; [Lanier, Gregg M.] New York Med Coll, Valhalla, NY 10595 USA; [Bauer, Natalie; Hewes, Jenny L.; Bhadra, Aritra] Univ S Alabama, Coll Med, Dept Pharmacol, Mobile, AL USA</t>
  </si>
  <si>
    <t>New York Medical College; Westchester Medical Center; Westchester Medical Center; New York Medical College; University of South Alabama</t>
  </si>
  <si>
    <t>Gupte, SA (corresponding author), New York Med Coll, Dept Pharmacol, Valhalla, NY 10595 USA.</t>
  </si>
  <si>
    <t>s_gupte@nymc.edu</t>
  </si>
  <si>
    <t>2051-817X</t>
  </si>
  <si>
    <t>e15282</t>
  </si>
  <si>
    <t>10.14814/phy2.15282</t>
  </si>
  <si>
    <t>WOS:000796739400001</t>
  </si>
  <si>
    <t>Lewis, JM; Dhawan, S; Obirieze, AC; Sarno, B; Akers, J; Heller, MJ; Chen, CC</t>
  </si>
  <si>
    <t>Lewis, Jean M.; Dhawan, Sanjay; Obirieze, Augustine C.; Sarno, Benjamin; Akers, Johnny; Heller, Michael J.; Chen, Clark C.</t>
  </si>
  <si>
    <t>Plasma Biomarker for Post-concussive Syndrome: A Pilot Study Using an Alternating Current Electro-Kinetic Platform</t>
  </si>
  <si>
    <t>FRONTIERS IN NEUROLOGY</t>
  </si>
  <si>
    <t>alternating current electrokinetics; traumatic brain injury; biomarkers; extracellular vesicles; concussion</t>
  </si>
  <si>
    <t>TRAUMATIC BRAIN-INJURY; FIBRILLARY ACIDIC PROTEIN; C-TERMINAL HYDROLASE; CELL-FREE DNA; MARKER; CLASSIFICATION; SYSTEM; DAMAGE; GFAP</t>
  </si>
  <si>
    <t>Background:Technology platforms that afford biomarker discovery in patients suffering from traumatic brain injury (TBI) remain an unmet medical need. Here, we describe an observational pilot study to explore the utility of an alternating current electrokinetic (ACE) microchip device in this context. Methods:Blood samples were collected from participating subjects with and without minor TBI. Plasma levels of glial fibrillary acidic protein (GFAP), Tau, ubiquitin C-terminal hydrolase L1 (UCH-L1), and cell-free DNA (cfDNA) were determined in subjects with and without minor TBI using ACE microchip device followed by on-chip immunofluorescent analysis. Post-concussive symptoms were assessed using the Rivermead Post Concussion Symptoms Questionnaire (RPCSQ) at one-month follow-up. Results:Highest levels of GFAP, UCH-L1, and Tau were seen in two minor TBI subjects with abnormality on head computed tomography (CT). In patients without abnormal head CT, Tau and GFAP levels discriminated between plasma from minor-TBI and non-TBI patients, with sensitivity and specificity of 64-72 and 50%, respectively. Plasma GFAP, UCH-L1, and Tau strongly correlated with the cumulative RPCSQ score. Plasma UCH-L1 and GFAP exhibited highest correlation to sensitivity to noise and light (r= 0.96 and 0.91, respectively,p&lt; 0.001). Plasma UCH-L1 and Tau showed highest correlation with headache (r= 0.74 and 0.78, respectively,p&lt; 0.001), sleep disturbance (r= 0.69 and 0.84, respectively,p&lt; 0.001), and cognitive symptoms, including forgetfulness (r= 0.76 and 0.74, respectively,p&lt; 0.001), poor concentration (r= 0.68 and 0.76, respectively,p&lt; 0.001), and time required for information processing (r= 0.77 and 0.81, respectively,p&lt; 0.001). cfDNA exhibited a strong correlation with depression (r= 0.79,p&lt; 0.01) and dizziness (r= 0.69,p&lt; 0.01). While cfDNA demonstrated positive correlation with dizziness and depression (r= 0.69 and 0.79, respectively,p&lt; 0.001), no significant correlation was observed between cumulative RPCSQ and cfDNA (r= 0.07,p= 0.81). Conclusion:We provide proof-of-principle results supporting the utility of ACE microchip for plasma biomarker analysis in patients with minor TBI.</t>
  </si>
  <si>
    <t>[Lewis, Jean M.; Obirieze, Augustine C.; Sarno, Benjamin; Heller, Michael J.] Univ Calif San Diego, Dept Nanoengn, San Diego, CA 92103 USA; [Dhawan, Sanjay; Chen, Clark C.] Univ Minnesota, Dept Neurosurg, Minneapolis, MN 55455 USA; [Akers, Johnny] VisiCELL Med Inc, San Diego, CA USA; [Heller, Michael J.] Univ Calif San Diego, Dept Bioengn, San Diego, CA 92103 USA</t>
  </si>
  <si>
    <t>University of California System; University of California San Diego; University of Minnesota System; University of Minnesota Twin Cities; University of California System; University of California San Diego</t>
  </si>
  <si>
    <t>1664-2295</t>
  </si>
  <si>
    <t>10.3389/fneur.2020.00685</t>
  </si>
  <si>
    <t>WOS:000556308500001</t>
  </si>
  <si>
    <t>Wang, ZY; Li, F; Rufo, J; Chen, CY; Yang, SJ; Li, L; Zhang, JX; Cheng, J; Kim, Y; Wu, MX; Abemayor, E; Tu, M; Chia, D; Spruce, R; Batis, N; Mehanna, H; Wong, DTW; Huang, TJ</t>
  </si>
  <si>
    <t>Wang, Zeyu; Li, Feng; Rufo, Joseph; Chen, Chuyi; Yang, Shujie; Li, Liang; Zhang, Jinxin; Cheng, Jordan; Kim, Yong; Wu, Mengxi; Abemayor, Elliot; Tu, Michael; Chia, David; Spruce, Rachel; Batis, Nikolaos; Mehanna, Hisham; Wong, David T. W.; Huang, Tony Jun</t>
  </si>
  <si>
    <t>Acoustofluidic Salivary Exosome Isolation A Liquid Biopsy Compatible Approach for Human Papillomavirus-Associated Oropharyngeal Cancer Detection</t>
  </si>
  <si>
    <t>JOURNAL OF MOLECULAR DIAGNOSTICS</t>
  </si>
  <si>
    <t>SQUAMOUS-CELL CARCINOMA; ORAL-CANCER; HEAD; HPV; VISCOSITY; MICRORNA</t>
  </si>
  <si>
    <t>Previous efforts to evaluate the detection of human papilloma viral (HPV) DNA in whole saliva as a diagnostic measure for H PV-associated oropharyngeal cancer (HPV-OPC) have not shown sufficient clinical performance. We hypothesize that salivary exosomes are packaged with HPV-associated biomarkers, and efficient enrichment of salivary exosomes through isolation can enhance diagnostic and prognostic performance for HPV-OPC. In this study, an acoustofluidic (the fusion of acoustics and microfluidics) platform was developed to perform size-based isolation of salivary exosomes. These data showed that this platform is capable of consistently isolating exosomes from saliva samples, regardless of viscosity variation and collection method. Compared with the current gold standard, differential centrifugation, droplet digital RT-PCR analysis showed that the average yield of salivary exosomal small RNA from the acoustofluidic platform is 15 times higher. With this high-yield exosome isolation platform, we show that H PV16 DNA could be detected in isolated exosomes from the saliva of HPV-associated OPC patients at 80% concordance with tissues/biopsies positive for HPV16. Overall, these data demonstrated that the acoustofluidic platform can achieve high-purity and high-yield salivary exosome isolation for downstream salivary exosome based liquid biopsy applications. Additionally, HPV16 DNA sequences in HPV-OPC patients are packaged in salivary exosomes and their isolation will enhance the detection of HPV16 DNA.</t>
  </si>
  <si>
    <t>[Wang, Zeyu; Rufo, Joseph; Chen, Chuyi; Yang, Shujie; Zhang, Jinxin; Wu, Mengxi; Huang, Tony Jun] Duke Univ, Dept Mech Engn &amp; Mat Sci, 144 Hudson Hall,Box 90300, Durham, NC 27708 USA; [Li, Feng; Li, Liang; Cheng, Jordan; Kim, Yong; Tu, Michael; Wong, David T. W.] Univ Calif Los Angeles, David Geffen Sch Med, Ctr Oral Head &amp; Neck Oncol Res, Los Angeles, CA 90095 USA; [Abemayor, Elliot] Univ Calif Los Angeles, David Geffen Sch Med, Sch Dent, Los Angeles, CA 90095 USA; [Abemayor, Elliot] Univ Calif Los Angeles, David Geffen Sch Med, Dept Otolaryngol Head &amp; Neck Surg, Los Angeles, CA 90095 USA; [Chia, David] Univ Calif Los Angeles, David Geffen Sch Med, Dept Pathol, Los Angeles, CA 90095 USA; [Li, Liang] Hunan Univ Chinese Med, Inst Diagnost Chinese Med, Changsha, Huan, Peoples R China; [Spruce, Rachel; Batis, Nikolaos; Mehanna, Hisham] Univ Birmingham, Coll Med &amp; Dent Sci, Inst Canc &amp; Genom Sci, Inst Head &amp; Neck Studies &amp; Educ InHANSE, Birmingham, W Midlands, England</t>
  </si>
  <si>
    <t>Duke University; University of California System; University of California Los Angeles; University of California Los Angeles Medical Center; David Geffen School of Medicine at UCLA; University of California System; University of California Los Angeles; University of California Los Angeles Medical Center; David Geffen School of Medicine at UCLA; University of California System; University of California Los Angeles; University of California Los Angeles Medical Center; David Geffen School of Medicine at UCLA; University of California System; University of California Los Angeles; University of California Los Angeles Medical Center; David Geffen School of Medicine at UCLA; Hunan University of Chinese Medicine; University of Birmingham</t>
  </si>
  <si>
    <t>Huang, TJ (corresponding author), Duke Univ, Dept Mech Engn &amp; Mat Sci, 144 Hudson Hall,Box 90300, Durham, NC 27708 USA.;Wong, DTW (corresponding author), Univ Calif Los Angeles, Ctr Oral Head &amp; Neck Oncol Res, 10833 Le Conte Ave,73-017 CHS, Los Angeles, CA 90095 USA.</t>
  </si>
  <si>
    <t>dtww@ucla.edu; huang@duke.edu</t>
  </si>
  <si>
    <t>Wu, Mengxi/R-1398-2018; Yang, Shujie/AAC-8573-2019; Li, Feng/J-1678-2019; Huang, Tony Jun/A-1546-2009</t>
  </si>
  <si>
    <t>Wu, Mengxi/0000-0003-0086-5349; Yang, Shujie/0000-0003-2626-3397; Li, Feng/0000-0002-5819-734X; Huang, Tony Jun/0000-0003-1205-3313; Tu, Michael/0000-0002-7227-4030; kim, yong/0000-0001-5971-6378; Zhang, Jinxin/0000-0001-6492-8519; Mehanna, Hisham/0000-0002-5544-6224; Batis, Nikolaos/0000-0002-2305-7427</t>
  </si>
  <si>
    <t>1525-1578</t>
  </si>
  <si>
    <t>1943-7811</t>
  </si>
  <si>
    <t>10.1016/j.jmoldx.2019.08.004</t>
  </si>
  <si>
    <t>Pathology</t>
  </si>
  <si>
    <t>WOS:000509818700006</t>
  </si>
  <si>
    <t>Koga, T; Li, B; Figueroa, JM; Ren, B; Chen, CC; Carter, BS; Furnari, FB</t>
  </si>
  <si>
    <t>Koga, Tomoyuki; Li, Bin; Figueroa, Javier M.; Ren, Bing; Chen, Clark C.; Carter, Bob S.; Furnari, Frank B.</t>
  </si>
  <si>
    <t>Mapping of genomic EGFRvIII deletions in glioblastoma: insight into rearrangement mechanisms and biomarker development</t>
  </si>
  <si>
    <t>EGFR; EGFRvIII; genomic rearrangement; glioblastoma; liquid biopsy</t>
  </si>
  <si>
    <t>GROWTH-FACTOR-RECEPTOR; EXTRACELLULAR VESICLES; CEREBROSPINAL-FLUID; LIQUID BIOPSY; HUMAN GLIOMAS; DNA; AMPLIFICATION; GENE; HETEROGENEITY; MICRONUCLEI</t>
  </si>
  <si>
    <t>Background. Epidermal growth factor receptor (EGFR) variant III (vIII) is the most common oncogenic rearrangement in glioblastoma (GBM), generated by deletion of exons 2 to 7 of EGFR. The proximal breakpoints occur in variable positions within the 123-kb intron 1, presenting significant challenges in terms of polymerase chain reaction (PCR)-based mapping. Molecular mechanisms underlying these deletions remain unclear. Methods. We determined the presence of EGFRvIII and its breakpoints for 29 GBM samples using quantitative PCR, arrayed PCR mapping, Sanger sequencing, and whole genome sequencing (WGS). Patient-specific breakpoint PCR was performed on tumors, plasma, and cerebrospinal fluid (CSF) samples. The breakpoint sequences and single nucleotide polymorphisms (SNPs) were analyzed to elucidate the underlying biogenic mechanism. Results. PCR mapping and WGS independently unveiled 8 EGFRvIII breakpoints in 6 tumors. Patient-specific primers yielded EGFRvIII PCR amplicons in matched tumors and in cell-free DNA (cfDNA) from a CSF sample, but not in cfDNA or extracellular-vesicle DNA from plasma. The breakpoint analysis revealed nucleotide insertions in 4 samples, an insertion of a region outside of the EGFR locus in 1, microhomologies in 3, as well as a duplication or an inversion accompanied by microhomologies in 2, suggestive of distinct DNA repair mechanisms. In the GBM samples that harbored distinct breakpoints, the SNP compositions of EGFRvIII and amplified non-vIII EGFR were identical, suggesting that these rearrangements arose from amplified non-vIII EGFR. Conclusion. Our approach efficiently fingerprints each sample's EGFRvIII breakpoints. Breakpoint sequence analyses suggest that independent breakpoints arose from precursor amplified non-vIII EGFR through different DNA repair mechanisms.</t>
  </si>
  <si>
    <t>[Koga, Tomoyuki; Li, Bin; Ren, Bing; Furnari, Frank B.] Univ Calif San Diego, Ludwig Canc Res, La Jolla, CA 92093 USA; [Figueroa, Javier M.; Chen, Clark C.; Carter, Bob S.] Univ Calif San Diego, Dept Neurosurg, La Jolla, CA 92093 USA; [Chen, Clark C.] Univ Minnesota, Dept Neurosurg, Minneapolis, MN 55455 USA; [Carter, Bob S.] Harvard Med Sch, Dept Neurosurg, Boston, MA USA</t>
  </si>
  <si>
    <t>University of California System; University of California San Diego; University of California System; University of California San Diego; University of Minnesota System; University of Minnesota Twin Cities; Harvard University; Harvard Medical School</t>
  </si>
  <si>
    <t>Furnari, FB (corresponding author), Univ Calif San Diego, Sch Med, Ludwig Inst Canc Res, 9500 Gilman Dr CMM East Rm 3055, La Jolla, CA 92093 USA.</t>
  </si>
  <si>
    <t>ffurnari@ucsd.edu</t>
  </si>
  <si>
    <t>Carter, Bob/0000-0002-3586-1324; Koga, Tomoyuki/0000-0002-8330-117X</t>
  </si>
  <si>
    <t>10.1093/neuonc/noy058</t>
  </si>
  <si>
    <t>WOS:000443563000006</t>
  </si>
  <si>
    <t>Nandakumar, R; Tschismarov, R; Meissner, F; Prabakaran, T; Krissanaprasit, A; Farahani, E; Zhang, BC; Assil, S; Martin, A; Bertrams, W; Holm, CK; Ablasser, A; Klause, T; Thomsen, MK; Schmeck, B; Howard, KA; Henry, T; Gothelf, KV; Decker, T; Paludan, SR</t>
  </si>
  <si>
    <t>Nandakumar, Ramya; Tschismarov, Roland; Meissner, Felix; Prabakaran, Thaneas; Krissanaprasit, Abhichart; Farahani, Ensieh; Zhang, Bao-cun; Assil, Sonia; Martin, Amandine; Bertrams, Wilhelm; Holm, Christian K.; Ablasser, Andrea; Klause, Tanja; Thomsen, Martin K.; Schmeck, Bernd; Howard, Kenneth A.; Henry, Thomas; Gothelf, Kurt, V; Decker, Thomas; Paludan, Soren R.</t>
  </si>
  <si>
    <t>Intracellular bacteria engage a STING-TBK1-MVB12b pathway to enable paracrine cGAS-STING signalling</t>
  </si>
  <si>
    <t>NATURE MICROBIOLOGY</t>
  </si>
  <si>
    <t>LISTERIA-MONOCYTOGENES; INTERCELLULAR TRANSFER; INNATE IMMUNITY; MICE LACKING; CELLS; DNA; INFECTION; RESPONSES; SENSOR; RNA</t>
  </si>
  <si>
    <t>The innate immune system is crucial for eventual control of infections, but may also contribute to pathology. Listeria monocytogenes is an intracellular Gram-positive bacteria and a major cause of food-borne disease. However, important knowledge on the interactions between L. monocytogenes and the immune system is still missing. Here, we report that Listeria DNA is sorted into extracellular vesicles (EVs) in infected cells and delivered to bystander cells to stimulate the cyclic guanosine monophosphate-adenosine monophosphate synthase (cGAS)-stimulator of interferon genes (STING) pathway. This was also observed during infections with Francisella tularensis and Legionella pneumophila. We identify the multivesicular body protein MVB12b as a target for TANK-binding kinase 1 phosphorylation, which is essential for the sorting of DNA into EVs and stimulation of bystander cells. EVs from Listeria-infected cells inhibited T-cell proliferation, and primed T cells for apoptosis. Collectively, we describe a pathway for EV-mediated delivery of foreign DNA to bystander cells, and suggest that intracellular bacteria exploit this pathway to impair antibacterial defence.</t>
  </si>
  <si>
    <t>[Nandakumar, Ramya; Prabakaran, Thaneas; Farahani, Ensieh; Zhang, Bao-cun; Assil, Sonia; Holm, Christian K.; Klause, Tanja; Thomsen, Martin K.; Paludan, Soren R.] Aarhus Univ, Dept Biomed, Aarhus, Denmark; [Tschismarov, Roland; Decker, Thomas] Univ Vienna, Dept Microbiol Immunobiol &amp; Genet, Max F Perutz Labs, Vienna, Austria; [Meissner, Felix] Max Planck Inst Biochem, Expt Syst Immunol, Munich, Germany; [Krissanaprasit, Abhichart; Gothelf, Kurt, V] Aarhus Univ, Dept Chem, Aarhus, Denmark; [Krissanaprasit, Abhichart; Gothelf, Kurt, V] Aarhus Univ, Ctr DNA Nanotechnol, Aarhus, Denmark; [Krissanaprasit, Abhichart; Howard, Kenneth A.; Gothelf, Kurt, V] Aarhus Univ, Interdisciplinary Nanosci Ctr, Aarhus, Denmark; [Martin, Amandine; Henry, Thomas] Ecole Normale Super Lyon, CNRS, INSERM, CIRI, Lyon, France; [Martin, Amandine; Henry, Thomas] Univ Claude Bernard Lyon 1, Lyon, France; [Bertrams, Wilhelm; Schmeck, Bernd] Philipps Univ Marburg, Univ Giessen &amp; Marburg Lung Ctr, German Ctr Lung Res, Inst Lung Res, Marburg, Germany; [Ablasser, Andrea] Ecole Polytech Fed Lausanne, Global Hlth Inst, Lausanne, Switzerland; [Howard, Kenneth A.] Aarhus Univ, Dept Mol Biol &amp; Genet, Aarhus, Denmark</t>
  </si>
  <si>
    <t>Aarhus University; Medical University of Vienna; University of Vienna; Vienna Biocenter (VBC); Max F. Perutz Laboratories (MFPL); Max Planck Society; Aarhus University; Aarhus University; Aarhus University; Centre National de la Recherche Scientifique (CNRS); Ecole Normale Superieure de Lyon (ENS de LYON); Institut National de la Sante et de la Recherche Medicale (Inserm); UDICE-French Research Universities; Universite Claude Bernard Lyon 1; Philipps University Marburg; Ecole Polytechnique Federale de Lausanne; Aarhus University</t>
  </si>
  <si>
    <t>Paludan, SR (corresponding author), Aarhus Univ, Dept Biomed, Aarhus, Denmark.</t>
  </si>
  <si>
    <t>srp@biomed.au.dk</t>
  </si>
  <si>
    <t>Thomsen, Martin/AAU-5014-2021; Henry, Thomas/G-3160-2013; Meissner, Felix/C-8767-2015</t>
  </si>
  <si>
    <t>Thomsen, Martin/0000-0002-5055-7531; Henry, Thomas/0000-0002-0687-8565; Howard, Kenneth/0000-0002-9407-278X; Schmeck, Bernd/0000-0002-2767-3606; Krissanaprasit, Abhichart/0000-0001-6914-393X; Nandakumar, Ramya/0000-0003-0074-3499; Zhang, Bao-cun/0000-0001-6104-0848; Meissner, Felix/0000-0003-1000-7989; Prabakaran, Thaneas/0000-0002-4698-7563; Assil, Sonia/0000-0001-7765-2953</t>
  </si>
  <si>
    <t>2058-5276</t>
  </si>
  <si>
    <t>10.1038/s41564-019-0367-z</t>
  </si>
  <si>
    <t>WOS:000461999200023</t>
  </si>
  <si>
    <t>FRANK, S; KRASZNAI, K; DUROVIC, S; LOBENTANZ, EM; DIEPLINGER, H; WAGNER, E; ZATLOUKAL, K; COTTEN, M; UTERMANN, G; KOSTNER, GM; ZECHNER, R</t>
  </si>
  <si>
    <t>HIGH-LEVEL EXPRESSION OF VARIOUS APOLIPOPROTEIN(A) ISOFORMS BY TRANSFERRINFECTION - THE ROLE OF KRINGLE-IV SEQUENCES IN THE EXTRACELLULAR ASSOCIATION WITH LOW-DENSITY-LIPOPROTEIN</t>
  </si>
  <si>
    <t>BIOCHEMISTRY</t>
  </si>
  <si>
    <t>GOLGI VESICLE MEMBRANES; PLASMA-CONCENTRATIONS; SIZE HETEROGENEITY; MUTANT DEFICIENT; GENE CONSTRUCTS; MESSENGER-RNA; CELLS; PLASMINOGEN; PROTEIN; COMPLEX</t>
  </si>
  <si>
    <t>Characterization of the assembly of lipoprotein(a) [Lp(a)] is of fundamental importance to understanding the biosynthesis and metabolism of this atherogenic lipoprotein. Since no established cell lines exist that express Lp(a) or apolipoprotein(a) [apo(a)], a ''transferrinfection'' system for apo(a) was developed utilizing adenovirus receptor- and transferrin receptor-mediated DNA uptake into cells. Using this method, different apo(a) cDNA constructions of variable length, due to the presence of 3, 5, 7, 9, 15, or 18 internal kringle IV sequences, were expressed in cos-7 cells or CHO cells, All constructions contained kringle IV-36, which includes the only unpaired cysteine residue (Cys-4057) in apo(a). r-Apo(a) was synthesized as a precursor and secreted as mature apolipoprotein into the medium. When medium containing r-apo(a) with 9, 15, or 18 kringle IV repeats was mixed with normal human plasma LDL, stable complexes formed that had a bouyant density typical of Lp(a). Association was substantially decreased if Cys-4057 on r-apo(a) was replaced by Arg by site-directed mutagenesis or if Cys-4057 was chemically modified. Lack of association was also observed with r-apo(a) containing only 3, 5, or 7 kringle IV repeats without ''unique kringle IV sequences'', although Cys-4057 was present in al of these constructions. Synthesis and secretion of r-apo(a) was not dependent. on its sialic acid content. r-Apo(a) was expressed even more efficiently in sialylation-defective CHO cells than in wild-type CHO cells. In transfected CHO cells defective in the addition of N-acetylglucosamine, apo(a) secretion was found to be decreased by 50%. Extracellular association with LDL was not affected by the carbohydrate moiety of r-apo(a), indicating a protein-protein interaction between r-apo(a) and apoB. These results show that, besides kringle IV-36, other kringle IV sequences are necessary for the extracellular association of r-apo(a) with LDL. Changes in the carbohydrate moiety of apo(a), however, do not affect complex formation.</t>
  </si>
  <si>
    <t>KARL FRANZENS UNIV GRAZ, INST MED BIOCHEM, A-8010 GRAZ, AUSTRIA; UNIV INNSBRUCK, INST MED BIOL &amp; HUMAN GENET, INNSBRUCK, AUSTRIA; UNIV VIENNA, INST MOLEC PATHOL, VIENNA, AUSTRIA</t>
  </si>
  <si>
    <t>University of Graz; University of Innsbruck; University of Vienna; Vienna Biocenter (VBC); Research Institute of Molecular Pathology (IMP)</t>
  </si>
  <si>
    <t>Wagner, Ernst/A-7435-2012</t>
  </si>
  <si>
    <t>Wagner, Ernst/0000-0001-8413-0934; Cotten, Matthew/0000-0002-3361-3351</t>
  </si>
  <si>
    <t>0006-2960</t>
  </si>
  <si>
    <t>10.1021/bi00206a041</t>
  </si>
  <si>
    <t>WOS:A1994PL35800041</t>
  </si>
  <si>
    <t>Liu, XX; Chen, XX; Zeng, KX; Xu, M; He, BS; Pan, YQ; Sun, HL; Pan, B; Xu, XN; Xu, T; Hu, XX; Wang, SK</t>
  </si>
  <si>
    <t>Liu, Xiangxiang; Chen, Xiaoxiang; Zeng, Kaixuan; Xu, Mu; He, Bangshun; Pan, Yuqin; Sun, Huiling; Pan, Bei; Xu, Xueni; Xu, Tao; Hu, Xiuxiu; Wang, Shukui</t>
  </si>
  <si>
    <t>DNA-methylation-mediated silencing of miR-486-5p promotes colorectal cancer proliferation and migration through activation of PLAGL2/IGF2/beta-catenin signal pathways</t>
  </si>
  <si>
    <t>GENE-LIKE 2; TUMOR-SUPPRESSOR; PLAGL2; EXPRESSION; CARCINOMA; GROWTH; CELLS; ADENOCARCINOMA; PROGRESSION; LEUKEMIA</t>
  </si>
  <si>
    <t>As one of the most common cancers worldwide, colorectal cancer (CRC) causes a large number of mortality annually. Aberrant expression of microRNAs (miRNAs) is significantly associated with the initiation and development of CRC. Further investigations regarding the regulatory mechanism of miRNAs is warranted. In this study, we discovered that miR-486-5p was remarkably downregulated in CRC, which partially results from higher DNA methylation in the promoter region detected by using methylation-specific PCR, bisulfite sequencing PCR, and DNA demethylation treatment. Besides, decreased miR-486-5p was obviously associated with advanced TNM stage, larger tumor size, lymphatic metastasis, and poor prognosis in CRC. Upregulated miR-486-5p inhibited the proliferation and migration of CRC through targeting PLAGL2 expression and subsequent repressing IGF/beta-catenin signal pathways both in vitro and in vivo. Notably, plasma miR-486-5p expression was significantly upregulated in CRC patients and we identified plasma miR-486-5p as a novel diagnostic biomarker of CRC using receiver operating characteristic (ROC) curve analysis. Moreover, exploration in GEO dataset revealed that circulating miR-486-5p is tumor derived through being packaged into secretory exosomes. Taken together, our data demonstrated that miR-486-5p promotes colorectal cancer proliferation and migration through activation of PLAGL2/IGF2/beta-catenin signal pathway, which is a promising therapeutic target of CRC treatment.</t>
  </si>
  <si>
    <t>[Liu, Xiangxiang; Xu, Mu; He, Bangshun; Pan, Yuqin; Sun, Huiling; Pan, Bei; Xu, Tao; Wang, Shukui] Nanjing Med Univ, Nanjing Hosp 1, Gen Clin Res Ctr, Nanjing 210006, Jiangsu, Peoples R China; [Chen, Xiaoxiang; Zeng, Kaixuan; Xu, Xueni; Hu, Xiuxiu; Wang, Shukui] Southeast Univ, Sch Med, Nanjing 210009, Jiangsu, Peoples R China</t>
  </si>
  <si>
    <t>Nanjing Medical University; Southeast University - China</t>
  </si>
  <si>
    <t>Wang, SK (corresponding author), Nanjing Med Univ, Nanjing Hosp 1, Gen Clin Res Ctr, Nanjing 210006, Jiangsu, Peoples R China.;Wang, SK (corresponding author), Southeast Univ, Sch Med, Nanjing 210009, Jiangsu, Peoples R China.</t>
  </si>
  <si>
    <t>sk_wang@njmu.edu.cn</t>
  </si>
  <si>
    <t>10.1038/s41419-018-1105-9</t>
  </si>
  <si>
    <t>WOS:000447236100005</t>
  </si>
  <si>
    <t>Picca, A; Calvani, R; Coelho-Junior, HJ; Marzetti, E</t>
  </si>
  <si>
    <t>Picca, Anna; Calvani, Riccardo; Coelho-Junior, Helio Jose; Marzetti, Emanuele</t>
  </si>
  <si>
    <t>Mitophagy: At the heart of mitochondrial quality control in cardiac aging and frailty</t>
  </si>
  <si>
    <t>Cardioprotection; Autophagy; Extracellular vesicles; Mitochondrial quality control; Mitochondrial derived vesicles; Therapeutics</t>
  </si>
  <si>
    <t>LIFE-SPAN EXTENSION; ALL-CAUSE MORTALITY; MYOCARDIAL-INFARCTION; PHYSICAL-ACTIVITY; SARCOPLASMIC-RETICULUM; CALORIE RESTRICTION; ATRIAL-FIBRILLATION; SEDENTARY BEHAVIOR; CIRCULATING DNA; PROTECTIVE ROLE</t>
  </si>
  <si>
    <t>Cardiovascular disease is highly prevalent among older adults and poses a huge burden on morbidity, disability, and mortality. The age-related increased vulnerability of the cardiovascular system towards stressors is a pathophysiological trait of cardiovascular disease. This has been associated with a progressive deterioration of blood vessels and decline in heart function during aging. Cardiomyocytes rely mostly on oxidative metabolism for deploying their activities and mitochondrial metabolism is crucial to this purpose. Dysmorphic, inefficient, and oxidant-producing mitochondria have been identified in aged cardiomyocytes in association with cardiac structural and functional alterations. These aberrant organelles are thought to arise from inefficient mitochondrial quality control, which has therefore been place in the spotlight as a relevant mechanism of cardiac aging. As a result of alterations in mitochondrial quality control and redox dyshomeostasis, mitochondrial damage accumulates and contributes to cardiac frailty. Herein, we discuss the contribution of defective mitochondrial quality control pathways to cardiac frailty. Emerging findings pointing towards the exploitation of these pathways as therapeutic targets against cardiac aging and cardiovascular disease will also be illustrated.</t>
  </si>
  <si>
    <t>[Picca, Anna; Calvani, Riccardo; Marzetti, Emanuele] Fdn Policlin Univ Agostino Gemelli IRCCS, I-00168 Rome, Italy; [Picca, Anna; Calvani, Riccardo] Karolinska Inst, Dept Neurobiol Care Sci &amp; Soc, Aging Res Ctr, Stockholm, Sweden; [Picca, Anna; Calvani, Riccardo] Stockholm Univ, Stockholm, Sweden; [Coelho-Junior, Helio Jose; Marzetti, Emanuele] Univ Cattolica Sacro Cuore, Dept Geriatr &amp; Orthoped, I-00168 Rome, Italy</t>
  </si>
  <si>
    <t>Catholic University of the Sacred Heart; IRCCS Policlinico Gemelli; Karolinska Institutet; Stockholm University; Catholic University of the Sacred Heart; IRCCS Policlinico Gemelli</t>
  </si>
  <si>
    <t>Calvani, R (corresponding author), Fdn Policlin Univ Agostino Gemelli IRCCS, Ctr Geriatr Med CeMI, Lgo F Vito 1, I-00168 Rome, Italy.</t>
  </si>
  <si>
    <t>riccardo.calvani@guest.policlinicogemelli.it</t>
  </si>
  <si>
    <t>Calvani, Riccardo/K-2011-2018; Marzetti, Emanuele/A-9430-2010; Picca, Anna/K-2305-2018</t>
  </si>
  <si>
    <t>Calvani, Riccardo/0000-0001-5472-2365; Marzetti, Emanuele/0000-0001-9567-6983; Picca, Anna/0000-0001-7032-3487</t>
  </si>
  <si>
    <t>10.1016/j.exger.2021.111508</t>
  </si>
  <si>
    <t>WOS:000688280000002</t>
  </si>
  <si>
    <t>Pisetsky, DS; Lipsky, PE</t>
  </si>
  <si>
    <t>Pisetsky, David S.; Lipsky, Peter E.</t>
  </si>
  <si>
    <t>Microparticles as autoadjuvants in the pathogenesis of SLE</t>
  </si>
  <si>
    <t>NATURE REVIEWS RHEUMATOLOGY</t>
  </si>
  <si>
    <t>SYSTEMIC-LUPUS-ERYTHEMATOSUS; CONTAINING IMMUNE-COMPLEXES; DENDRITIC CELL ACTIVATION; APOPTOTIC BODIES; TOLERANCE CHECKPOINTS; MESSENGER-RNA; MAMMALIAN DNA; BACTERIAL-DNA; MURINE MODEL; DISEASE</t>
  </si>
  <si>
    <t>Nucleic acids represent the main source of autoantigens in systemic lupus erythematosus (SLE). DNA and RNA can exit the cell during cell death and, in the extracellular space, can be immunostimulatory. Also extracellularly, DNA and RNA can be incorporated into microparticles (MPs)-small, membrane-bound vesicles released from dying cells by blebbing. We suggest that MPs display autoantigens, such as RNA and DNA, in a highly immunostimulatory manner, enabling them to function as autoadjuvants. In the bone marrow, nucleic-acid-containing MP autoadjuvants might induce B-cell tolerance, whereas in the periphery, they might stimulate mature B cells that have escaped central tolerance. Indeed, because MP autoadjuvants can trigger several receptors, they could effectively provide apoptotic or activating signals to B cells. We would therefore advance the idea that a model for SLE based on MP autoadjuvants can provide a new paradigm to elucidate the mechanisms by which DNA and RNA affect the immune system and critically influence B-cell fate.</t>
  </si>
  <si>
    <t>[Pisetsky, David S.] Duke Univ, Med Ctr, Med Res Serv, Durham VA Hosp,Dept Med &amp; Immunol, Durham, NC 27705 USA</t>
  </si>
  <si>
    <t>Pisetsky, DS (corresponding author), Duke Univ, Med Ctr, Med Res Serv, Durham VA Hosp,Dept Med &amp; Immunol, 151G Durham VAMC,508 Fulton St, Durham, NC 27705 USA.</t>
  </si>
  <si>
    <t>dpiset@acpub.duke.edu</t>
  </si>
  <si>
    <t>1759-4790</t>
  </si>
  <si>
    <t>10.1038/nrrheum.2010.66</t>
  </si>
  <si>
    <t>WOS:000278354600009</t>
  </si>
  <si>
    <t>Karunaratne, DN; Jafari, M; Ranatunga, RJKU; Siriwardhana, A</t>
  </si>
  <si>
    <t>Karunaratne, D. Nedra; Jafari, Mousa; Ranatunga, R. J. K. Udayana; Siriwardhana, Asitha</t>
  </si>
  <si>
    <t>Natural Carriers for siRNA Delivery</t>
  </si>
  <si>
    <t>CURRENT PHARMACEUTICAL DESIGN</t>
  </si>
  <si>
    <t>siRNA delivery; natural polymeric carriers; polysaccharides; peptides; exosomes</t>
  </si>
  <si>
    <t>CELL-PENETRATING PEPTIDE; SMALL INTERFERING RNA; CHITOSAN-DNA NANOPARTICLES; ENDOTHELIAL GROWTH-FACTOR; NONVIRAL GENE VECTORS; IN-VITRO; HYALURONIC-ACID; TRANSFECTION EFFICIENCY; TARGETED DELIVERY; MOLECULAR-WEIGHT</t>
  </si>
  <si>
    <t>This review is based on carriers of natural origin such as polysaccharides, proteins, and cell derived entities which have been used for delivery of siRNA. To realize the therapeutic potential of a delivery system, the role of the carrier is of utmost importance. Historical aspects of viral vectors, the first carriers of genes are briefly outlined. Chitosan, one of the extensively experimented carriers, alginates and other polysaccharides have shown success in siRNA delivery. Peptides of natural origin and mimics thereof have emerged as another versatile carrier. Exosomes and mini cells of cellular origin are the newest entrants to the area of siRNA delivery and probably the closest one can get to a natural carrier. In many of the carriers, modifications have provided better efficiency in delivery. The salient features of the carriers and their advantages and disadvantages are also reviewed.</t>
  </si>
  <si>
    <t>[Karunaratne, D. Nedra; Ranatunga, R. J. K. Udayana] Univ Peradeniya, Dept Chem, Peradeniya, Sri Lanka; [Jafari, Mousa] MIT, David H Koch Inst Integrat Canc Res, Cambridge, MA 02139 USA; [Siriwardhana, Asitha] Sri Lanka Inst Nanotechnol, Mahenwatte, Homagama, Sri Lanka</t>
  </si>
  <si>
    <t>University of Peradeniya; Massachusetts Institute of Technology (MIT); Sri Lanka Institute of Nanotechnology (SLINTEC)</t>
  </si>
  <si>
    <t>Karunaratne, DN (corresponding author), Univ Peradeniya, Dept Chem, Peradeniya, Sri Lanka.</t>
  </si>
  <si>
    <t>nedrak37@yahoo.com</t>
  </si>
  <si>
    <t>1381-6128</t>
  </si>
  <si>
    <t>1873-4286</t>
  </si>
  <si>
    <t>10.2174/138161282131151013185528</t>
  </si>
  <si>
    <t>WOS:000364515700002</t>
  </si>
  <si>
    <t>Ajiri, T; Yasui, T; Maeki, M; Ishida, A; Tani, H; Nishii, J; Baba, Y; Tokeshi, M</t>
  </si>
  <si>
    <t>Ajiri, Taiga; Yasui, Takao; Maeki, Masatoshi; Ishida, Akihiko; Tani, Hirofumi; Nishii, Junji; Baba, Yoshinobu; Tokeshi, Manabu</t>
  </si>
  <si>
    <t>Silica Nanopillar Arrays for Monitoring Diffraction-Based Label-Free Biomolecule Separation</t>
  </si>
  <si>
    <t>ACS APPLIED NANO MATERIALS</t>
  </si>
  <si>
    <t>nanofluidics; nanopillar array; label-free sensor; biomolecule separation; optical diffraction</t>
  </si>
  <si>
    <t>LONG DNA-MOLECULES; ELECTROPHORETIC BEHAVIOR; NANOFLUIDIC DEVICE; PROTEINS; FLOW</t>
  </si>
  <si>
    <t>Recent studies on nanopillar arrays, one type of nanofluidic device, have demonstrated various tools for bioanalysis. When carrying out nanopillar array-based separation, it is indispensable to observe biomolecules, such as DNA, proteins, and extracellular vesicles, that have fluorescence labeling; however, fluorescence labeling influences the biomolecular characteristics. Here, we have proposed label-free monitoring of biomolecule separation by using diffracted light derived from the nanopillar array that was fabricated inside a microchannel by combining laser interference lithography with general photolithography techniques. Using an electrophoresis approach, we demonstrated that our diffraction-based label-free method possessed high sensor initialization ability, and the nanopillar array device successfully monitored DNA separation without labeling bias. Results obtained using our label-free monitoring of DNA separation confirmed, for the first time, that the molecular dynamics of DNA molecules in the nanopillar array were changed in the presence or absence of fluorescent labeling. The presented concept will provide a useful tool for nonbiased monitoring of label-free biomolecule analysis in nanofluidic channels.</t>
  </si>
  <si>
    <t>[Yasui, Takao; Maeki, Masatoshi] PRESTO, Japan Sci &amp; Technol Agcy JST, Kawaguchi, Saitama 3320012, Japan; [Maeki, Masatoshi; Ishida, Akihiko; Tani, Hirofumi; Tokeshi, Manabu] Hokkaido Univ, Div Appl Chem, Fac Engn, Sapporo, Hokkaido 0608628, Japan; [Nishii, Junji] Hokkaido Univ, Res Inst Elect Sci, Sapporo, Hokkaido 0010020, Japan; [Yasui, Takao; Baba, Yoshinobu] Nagoya Univ, Dept Biomol Engn, Grad Sch Engn, Inst Innovat Future Soc, Nagoya, Aichi 4648603, Japan; [Yasui, Takao; Baba, Yoshinobu; Tokeshi, Manabu] Nagoya Univ, Inst NanoLife Syst, Inst Innovat Future Soc, Nagoya, Aichi 4648603, Japan; [Baba, Yoshinobu] Natl Inst Quantum &amp; Radiol Sci &amp; Technol, Inst Quantum Life Sci, Chiba 2638555, Japan; [Ajiri, Taiga] Hokkaido Univ, Grad Sch Chem Sci &amp; Engn, Sapporo, Hokkaido 0608628, Japan</t>
  </si>
  <si>
    <t>Japan Science &amp; Technology Agency (JST); Hokkaido University; Hokkaido University; Nagoya University; Nagoya University; National Institutes for Quantum Science &amp; Technology; Hokkaido University</t>
  </si>
  <si>
    <t>Yasui, T (corresponding author), PRESTO, Japan Sci &amp; Technol Agcy JST, Kawaguchi, Saitama 3320012, Japan.;Tokeshi, M (corresponding author), Hokkaido Univ, Div Appl Chem, Fac Engn, Sapporo, Hokkaido 0608628, Japan.;Yasui, T (corresponding author), Nagoya Univ, Dept Biomol Engn, Grad Sch Engn, Inst Innovat Future Soc, Nagoya, Aichi 4648603, Japan.;Yasui, T; Tokeshi, M (corresponding author), Nagoya Univ, Inst NanoLife Syst, Inst Innovat Future Soc, Nagoya, Aichi 4648603, Japan.;Ajiri, T (corresponding author), Hokkaido Univ, Grad Sch Chem Sci &amp; Engn, Sapporo, Hokkaido 0608628, Japan.</t>
  </si>
  <si>
    <t>Ajiri.Taiga@sysmex.co.jp; yasui@chembio.nagoya-u.ac.jp; tokeshi@eng.hokudai.ac.jp</t>
  </si>
  <si>
    <t>Maeki, Masatoshi/T-4051-2019; Tokeshi, Manabu/B-6257-2012; Yasui, Takao/AHA-8445-2022</t>
  </si>
  <si>
    <t>Maeki, Masatoshi/0000-0001-7500-4231; Tokeshi, Manabu/0000-0002-4412-2144; Tani, Hirofumi/0000-0002-5935-0756; Ishida, Akihiko/0000-0003-4100-9426; Yasui, Takao/0000-0003-0333-3559</t>
  </si>
  <si>
    <t>2574-0970</t>
  </si>
  <si>
    <t>10.1021/acsanm.0c01600</t>
  </si>
  <si>
    <t>WOS:000575846000029</t>
  </si>
  <si>
    <t>Gao, P; Wei, RY; Chen, YY; Liu, XH; Zhang, J; Pan, W; Li, N; Tang, B</t>
  </si>
  <si>
    <t>Gao, Peng; Wei, Ruyue; Chen, Yuanyuan; Liu, Xiaohan; Zhang, Jie; Pan, Wei; Li, Na; Tang, Bo</t>
  </si>
  <si>
    <t>Multicolor Covalent Organic Framework-DNA Nanoprobe for Fluorescence Imaging of Biomarkers with Different Locations in Living Cells</t>
  </si>
  <si>
    <t>NUCLEIC-ACIDS; NANOPARTICLES; CONSTRUCTION; NANOSHEETS</t>
  </si>
  <si>
    <t>Precisely detecting biomarkers in living systems holds tremendous promise for disease diagnosis and monitoring. Herein, we developed a covalent organic framework (COF)-based tricolor fluorescent nanoprobe for simultaneously imaging biomarkers with different spatial locations in living cells. Briefly, a TAMRA-labeled survivin mRNA antisense nucleotide and a Cy5-labeled transmembrane glycoprotein mucin 1 (MUC1) aptamer were adsorbed on a nanoscale fluorescent COF. To enhance the interactions between COF nanoparticles (NPs) and nucleic acid molecules, a freezing method was employed for improving the nucleic acid loading density and ensuring detection performance. The fluorescence signals of dyes on DNAs were first quenched by the COF NPs. Internalization and distribution of the nanoprobes can be real-time visualized by the autofluorescence of COF NPs. In living cells, recognition between MUC1 with MUC1 aptamers causes fluorescence signal recovery of Cy5, while hybridization between survivin mRNA and its antisense DNA induces the signal recovery of TAMRA. Therefore, this COF-based multicolor nanoprobe could be employed for visualizing MUC1 on the cell membrane and survivin mRNA in the cytoplasm. Cancer cell-specific diagnostic imaging and monitoring of the process of cancer cell exosomes infecting normal cells using the nanoprobe were achieved. This work not only offers a versatile nanoprobe for bioanalysis but also provides new insights for developing novel COF-based nanoprobes.</t>
  </si>
  <si>
    <t>[Gao, Peng; Wei, Ruyue; Chen, Yuanyuan; Liu, Xiaohan; Zhang, Jie; Pan, Wei; Li, Na; Tang, Bo] Shandong Normal Univ, Collaborat Innovat Ctr Functionalized Probes Chem, Coll Chem Chem Engn &amp; Mat Sci, Key Lab Mol &amp; Nano Probes,Minist Educ,Inst Mol &amp;, Jinan 250014, Peoples R China</t>
  </si>
  <si>
    <t>Shandong Normal University</t>
  </si>
  <si>
    <t>Li, N; Tang, B (corresponding author), Shandong Normal Univ, Collaborat Innovat Ctr Functionalized Probes Chem, Coll Chem Chem Engn &amp; Mat Sci, Key Lab Mol &amp; Nano Probes,Minist Educ,Inst Mol &amp;, Jinan 250014, Peoples R China.</t>
  </si>
  <si>
    <t>lina@sdnu.edu.cn; tangb@sdnu.edu.cn</t>
  </si>
  <si>
    <t>Liu, Xiaohan/0000-0001-9987-2260</t>
  </si>
  <si>
    <t>OCT 12</t>
  </si>
  <si>
    <t>10.1021/acs.analchem.1c03545</t>
  </si>
  <si>
    <t>WOS:000708550500041</t>
  </si>
  <si>
    <t>Wang, B; Wang, W; Wang, H; Liu, W</t>
  </si>
  <si>
    <t>Wang, B.; Wang, W.; Wang, H.; Liu, W.</t>
  </si>
  <si>
    <t>Microarray Analysis of Novel Genes Involved in Nasopharyngeal Carcinoma</t>
  </si>
  <si>
    <t>BULLETIN OF EXPERIMENTAL BIOLOGY AND MEDICINE</t>
  </si>
  <si>
    <t>nasopharyngeal carcinoma; Epstein&amp;#8212; Barr virus; bioinformatics; differential gene expression</t>
  </si>
  <si>
    <t>Nasopharyngeal carcinoma (NPC) is an epithelial cancer associated with Epstein-Barr virus. Despite NPC is a widespread malignancy, little is known about association of tumor growth with gene expression. This study is aimed to detect potential genes implicated in the molecular mechanism of NPC. To this end, we downloaded GSE12452, GSE53819 and GSE64634 libraries from GEO database. GEO2R interface was used to search for the differentially expressed genes (DEGs) with R and LIMMA software, which yielded the Venn diagrams of co-expressed genes. The GO and KEGG databases were used to find DEGs with up- and down-regulated expression. Then Cytoscape software constructed and analyzed the protein-protein interaction (PPI) networks corresponding to revealed DEGs, thereupon the hub genes were analyzed in tissues and cell cultures with qRT-PCR. This combined analysis yielded 483 co-expressed DEGs, including 258 DEGs with up-regulated expression and 225 DEGs with down-regulated expression, which are mainly implicated in the cell cycle, DNA replication, as well as in formation and maturation of extracellular vesicles and exosomes. In comparison with normal nasopharyngeal tissues of healthy persons, expression of CDK1 gene was down-regulated in NPC tissue; in contrast, expression of PCNA, MAD2L1, PRC1, CENPF, and ZWINT genes was up-regulated in the tumor. The genes PCNA, MAD2L1, and ZWINT were differently expressed in EBV+ and EBV- nasopharyngeal carcinoma cells. The use of bioinformatic methods to reveal and analyze the differences in gene expression between the normal and NPC tissues opens the vista to further progress in deciphering the molecular mechanisms of NPC formation and development.</t>
  </si>
  <si>
    <t>[Wang, B.] Qingdao Univ, Med Coll, Dept Immunol, Qingdao, Shandong, Peoples R China; [Wang, W.; Wang, H.; Liu, W.] Qingdao Univ, Med Coll, Dept Pathogen Biol, Qingdao, Shandong, Peoples R China</t>
  </si>
  <si>
    <t>Qingdao University; Qingdao University</t>
  </si>
  <si>
    <t>Liu, W (corresponding author), Qingdao Univ, Med Coll, Dept Pathogen Biol, Qingdao, Shandong, Peoples R China.</t>
  </si>
  <si>
    <t>liu.wen@hotmail.com</t>
  </si>
  <si>
    <t>0007-4888</t>
  </si>
  <si>
    <t>1573-8221</t>
  </si>
  <si>
    <t>10.1007/s10517-021-05127-1</t>
  </si>
  <si>
    <t>WOS:000635494300015</t>
  </si>
  <si>
    <t>Zhang, LM; Gao, QX; Chen, J; Li, B; Li, MM; Zheng, L; Chen, JX; Duan, WJ</t>
  </si>
  <si>
    <t>Zhang, Li-Min; Gao, Qing-Xin; Chen, Jun; Li, Bo; Li, Min-Min; Zheng, Lei; Chen, Jin-Xiang; Duan, Wen-Jun</t>
  </si>
  <si>
    <t>A universal catalytic hairpin assembly system for direct plasma biopsy of exosomal PIWI-interacting RNAs and microRNAs</t>
  </si>
  <si>
    <t>Catalytic hybridization assembly; PIWI-Interacting RNA and microRNA detection; Exosomes; Plasma biopsy; Breast cancer diagnosis</t>
  </si>
  <si>
    <t>PIRNA; PROTEIN; AMPLIFICATION; EXPRESSION</t>
  </si>
  <si>
    <t>PIWI-interacting RNAs (piRNAs) are a complex class of small non-coding RNAs which specifically interact with the PIWI protein to play important roles in germline development and somatic tissues. Aberrant expressions of piRNAs have been recently found in a variety of malignant tumors and associated with cancer hallmarks. However, current methods of analyzing piRNAs are limited to reverse transcription quantitative polymerase chain reaction and next generation sequencing. In this study, we have developed a universal catalytic hybridization assembly system (uniCHA) to quantify piRNAs as well as microRNAs. The system simply comprises two universal hairpin DNA strands and one starting hairpin DNA which can be tailored by a simple rule to bind different piRNA and miRNA targets. The uniCHA system was proved to be able to analyze various piRNAs and miRNAs at the same reaction condition with low leakage and high sensitivity of pM level. With this system, we have detected piR-651 and miR-1246 in 10(6) particles mu L-1 MCF-7 cell-secreted exosomes, and successfully performed a direct plasma biopsy to diagnose breast cancer with sensitivity and specificity both at 100% in cohorts of 21 breast cancer patients and 13 healthy controls. This universal biosensing system provides a simple and efficient strategy in analyzing multiple piRNA/miRNA biomarkers in complicated biological samples, indicating its potential of clinical application in cancer diagnostics. (C) 2021 Elsevier B.V. All rights reserved.</t>
  </si>
  <si>
    <t>[Zhang, Li-Min; Gao, Qing-Xin; Chen, Jun; Chen, Jin-Xiang; Duan, Wen-Jun] Southern Med Univ, Sch Pharmaceut Sci, Guangdong Prov Key Lab New Drug Screening, Guangzhou 510515, Peoples R China; [Li, Bo; Zheng, Lei] Southern Med Univ, Nanfang Hosp, Dept Lab Med, Guangzhou 510515, Peoples R China; [Li, Min-Min] Jinan Univ, Ctr Clin Lab, Affiliated Hosp 1, Guangzhou 510630, Peoples R China</t>
  </si>
  <si>
    <t>Southern Medical University - China; Southern Medical University - China; Jinan University</t>
  </si>
  <si>
    <t>Chen, JX; Duan, WJ (corresponding author), Southern Med Univ, Sch Pharmaceut Sci, Guangdong Prov Key Lab New Drug Screening, Guangzhou 510515, Peoples R China.;Zheng, L (corresponding author), Southern Med Univ, Nanfang Hosp, Dept Lab Med, Guangzhou 510515, Peoples R China.</t>
  </si>
  <si>
    <t>nfyyzhenglei@smu.edu.cn; jxchen@smu.edu.cn; wjduan@smu.edu.cn</t>
  </si>
  <si>
    <t>Duan, Wenjun/0000-0002-9117-7447</t>
  </si>
  <si>
    <t>10.1016/j.aca.2021.339382</t>
  </si>
  <si>
    <t>WOS:000735770400005</t>
  </si>
  <si>
    <t>Wang, LP; Lv, JM; Guo, CC; Li, HG; Xiong, CL</t>
  </si>
  <si>
    <t>Wang, Liping; Lv, Jinming; Guo, Cuicui; Li, Honggang; Xiong, Chengliang</t>
  </si>
  <si>
    <t>Recovery of cell-free mRNA and microRNA from human semen based on their physical nature</t>
  </si>
  <si>
    <t>BIOTECHNOLOGY AND APPLIED BIOCHEMISTRY</t>
  </si>
  <si>
    <t>filtration; gene expression; human ejaculate; purification; RNA purity; RNA recovery</t>
  </si>
  <si>
    <t>SEMINAL PLASMA MICRORNAS; EXPRESSION; BIOMARKERS; DIAGNOSIS; MEN; DNA</t>
  </si>
  <si>
    <t>Cell-free seminal mRNA (cfs-mRNA) and microRNA (cfs-miRNA) have been found in human ejaculate and reported as promising noninvasive biomarkers for disorders of male reproductive organs and forensic identification. However, seminal plasma is particularly challenging for RNA extraction due to its complicated composition and high content of protein, DNA, and polysaccharide. Here, we report a novel, simple, and reliable method for the isolation of cfs-mRNA and cfs-miRNA from human semen based on our previous findings of their physical nature. Seminal microvesicles (0.1-0.5 mu m in diameter), which contain the majority of cfs-mRNA, were enriched by a microfilter. Protein complexes, which most cfs-miRNA is bound with, were enriched by an ultrafilter. Harvesting the complexes or microvesicles, in which RNAs exist, avoided the influence of other components in human semen, thus favoring RNA isolation and purification. This new method can efficiently isolate cfs-mRNA and cfs-miRNA separately based on their physical nature, with high RNA purity, and low DNA contamination. It may also be applied or modified to isolate cell-free RNAs in other fluids. (C) 2013 International Union of Biochemistry and Molecular Biology, Inc.</t>
  </si>
  <si>
    <t>[Wang, Liping; Guo, Cuicui; Li, Honggang; Xiong, Chengliang] Huazhong Univ Sci &amp; Technol, Tongji Med Coll, Family Planning Res Inst, Ctr Reprod Med, Wuhan 430030, Peoples R China; [Lv, Jinming] Family Planning Serv Ctr Qichun Cty, Huanggang, Hubei, Peoples R China; [Li, Honggang; Xiong, Chengliang] Wuhan Tongji Reprod Med Hosp, Wuhan, Peoples R China</t>
  </si>
  <si>
    <t>Li, HG (corresponding author), Huazhong Univ Sci &amp; Technol, Tongji Med Coll, Family Planning Res Inst, Hangkong Rd 13, Wuhan 430030, Peoples R China.</t>
  </si>
  <si>
    <t>lhgyx@hotmail.com</t>
  </si>
  <si>
    <t>0885-4513</t>
  </si>
  <si>
    <t>1470-8744</t>
  </si>
  <si>
    <t>10.1002/bab.1172</t>
  </si>
  <si>
    <t>WOS:000338022600012</t>
  </si>
  <si>
    <t>Stegmaier, S; Sparber-Sauer, M; Aakcha-Rudel, E; Munch, P; Reeh, T; Feuchtgruber, S; Hallmen, E; Blattmann, C; Bielack, S; Klingebiel, T; Koscielniak, E</t>
  </si>
  <si>
    <t>Stegmaier, Sabine; Sparber-Sauer, Monika; Aakcha-Rudel, Esther; Muench, Petra; Reeh, Theresa; Feuchtgruber, Simone; Hallmen, Erika; Blattmann, Claudia; Bielack, Stefan; Klingebiel, Thomas; Koscielniak, Ewa</t>
  </si>
  <si>
    <t>Fusion transcripts as liquid biopsy markers in alveolar rhabdomyosarcoma and synovial sarcoma: A report of the Cooperative Weichteilsarkom Studiengruppe (CWS)</t>
  </si>
  <si>
    <t>PEDIATRIC BLOOD &amp; CANCER</t>
  </si>
  <si>
    <t>Blood plasma; CWS; exosomes; liquid biopsy</t>
  </si>
  <si>
    <t>CELL-FREE DNA; MICROSATELLITE ALTERATIONS; BONE-MARROW; PLASMA</t>
  </si>
  <si>
    <t>Background The possible application of gene fusion transcripts as tumor-specific noninvasive liquid biopsy biomarkers was investigated in blood plasma from patients with alveolar rhabdomyosarcoma (ARMS) and synovial sarcoma (SS). Methods Patients entered in the CWS Soft-Tissue Sarcoma Registry (SoTiSaR) with tumors positive for fusion genes and available blood/plasma samples were included in our analysis. Cell-free exosomal RNA was extracted and used to detect PAX-FOXO1 or SYT-SSX fusion transcripts by reverse transcription quantitative PCR (RT-qPCR). Results The analysis included 112 ethylene diamine tetraacetic acid blood samples from 80 patients (65 with ARMS, 15 with SS; 34 with localized, 46 with metastatic disease). For patients with metastatic ARMS, 62% (n = 18) of initial liquid biopsies were positive, and 16 (89%) of them showed initial bone marrow (BM) metastases. For all patients with primary localized ARMS, liquid biopsy was negative at diagnosis. Of the 48 plasma samples collected during therapy and follow-up, five were positive. None of the liquid biopsies from patients with SS were positive. Conclusions This liquid biopsy assay based on the detection of fusion transcripts in cell-free RNA from blood exosomes is suitable for analysis of patients with ARMS. Results showed good correlation with the initial tumor status; liquid biopsy was positive in 94% of patients with metastatic ARMS and initial BM involvement, whereas biopsies from all patients with localized tumors were negative. Prospective validation and optimization of the assay, as well as its application for other markers in diagnostics and monitoring of soft-tissue sarcoma, are ongoing.</t>
  </si>
  <si>
    <t>[Stegmaier, Sabine; Sparber-Sauer, Monika; Aakcha-Rudel, Esther; Muench, Petra; Reeh, Theresa; Feuchtgruber, Simone; Hallmen, Erika; Blattmann, Claudia; Bielack, Stefan; Koscielniak, Ewa] Klinikum Stuttgart, Pediat Oncol Hematol Immunol 5, Olgahosp, Zentrum Kinder Jugend &amp; Frauenmed, Kriegsbergstr 62, D-70174 Stuttgart, Germany; [Sparber-Sauer, Monika; Koscielniak, Ewa] Univ Tubingen, Tubingen, Germany; [Bielack, Stefan] Univ Munster, Dept Pediat Hematol &amp; Oncol, Munster, Germany; [Klingebiel, Thomas] Univ Hosp Frankfurt, Dept Children &amp; Adolescents, Frankfurt, Germany</t>
  </si>
  <si>
    <t>General Hospital of N. Ionia Agia Olga; Klinikum Stuttgart; Eberhard Karls University of Tubingen; University of Munster; Goethe University Frankfurt; Goethe University Frankfurt Hospital</t>
  </si>
  <si>
    <t>Stegmaier, S (corresponding author), Klinikum Stuttgart, Pediat Oncol Hematol Immunol 5, Olgahosp, Zentrum Kinder Jugend &amp; Frauenmed, Kriegsbergstr 62, D-70174 Stuttgart, Germany.</t>
  </si>
  <si>
    <t>stegmaier@klinikum-stuttgart.de</t>
  </si>
  <si>
    <t>Bielack, Stefan/0000-0003-2144-3153</t>
  </si>
  <si>
    <t>1545-5009</t>
  </si>
  <si>
    <t>1545-5017</t>
  </si>
  <si>
    <t>e29652</t>
  </si>
  <si>
    <t>10.1002/pbc.29652</t>
  </si>
  <si>
    <t>Oncology; Hematology; Pediatrics</t>
  </si>
  <si>
    <t>WOS:000773290100001</t>
  </si>
  <si>
    <t>Forterre, P; Krupovic, M; Raymann, K; Soler, N</t>
  </si>
  <si>
    <t>Forterre, Patrick; Krupovic, Mart; Raymann, Kasie; Soler, Nicolas</t>
  </si>
  <si>
    <t>Plasmids from Euryarchaeota</t>
  </si>
  <si>
    <t>ROLLING-CIRCLE REPLICATION; COMPLETE GENOME SEQUENCE; ARCHAEO-EUKARYOTIC PRIMASE; VIRUS-LIKE PARTICLE; HALOBACTERIUM-HALOBIUM; DNA-REPLICATION; HYPERTHERMOPHILIC ARCHAEA; NUCLEOTIDE-SEQUENCE; REVERSE GYRASE; THERMOCOCCUS-KODAKARAENSIS</t>
  </si>
  <si>
    <t>Many plasmids have been described in Euryarchaeota, one of the three major archaeal phyla, most of them in salt-loving haloarchaea and hyperthermophilic Thermococcales. These plasmids resemble bacterial plasmids in terms of size (from small plasmids encoding only one gene up to large megaplasmids) and replication mechanisms (rolling circle or theta). Some of them are related to viral genomes and form a more or less continuous sequence space including many integrated elements. Plasmids from Euryarchaeota have been useful for designing efficient genetic tools for these microorganisms. In addition, they have also been used to probe the topological state of plasmids in species with or without DNA gyrase and/ or reverse gyrase. Plasmids from Euryarchaeota encode both DNA replication proteins recruited from their hosts and novel families of DNA replication proteins. Euryarchaeota form an interesting playground to test evolutionary hypotheses on the origin and evolution of viruses and plasmids, since a robust phylogeny is available for this phylum. Preliminary studies have shown that for different plasmid families, plasmids share a common gene pool and coevolve with their hosts. They are involved in gene transfer, mostly between plasmids and viruses present in closely related species, but rarely between cells from distantly related archaeal lineages. With few exceptions (e.g., plasmids carrying gas vesicle genes), most archaeal plasmids seem to be cryptic. Interestingly, plasmids and viral genomes have been detected in extracellular membrane vesicles produced by Thermococcales, suggesting that these vesicles could be involved in the transfer of viruses and plasmids between cells.</t>
  </si>
  <si>
    <t>[Forterre, Patrick; Krupovic, Mart; Raymann, Kasie] Inst Pasteur, F-75015 Paris, France; [Forterre, Patrick] Univ Paris Sud, UMR CNRS 8621, Inst Genet &amp; Microbiol, F-91405 Orsay, France; [Soler, Nicolas] Univ Lorraine, DynAMic, UMR1128, Vandoeuvre Les Nancy, France; [Soler, Nicolas] INRA, DynAMic, UMR1128, Vandoeuvre Les Nancy, France</t>
  </si>
  <si>
    <t>Le Reseau International des Instituts Pasteur (RIIP); Institut Pasteur Paris; UDICE-French Research Universities; Universite Paris Saclay; Universite de Lorraine; INRAE</t>
  </si>
  <si>
    <t>Forterre, P (corresponding author), Inst Pasteur, F-75015 Paris, France.</t>
  </si>
  <si>
    <t>patrick.forterre@pasteur.fr</t>
  </si>
  <si>
    <t>Soler, Nicolas/B-7720-2016; Krupovic, Mart/ABD-6255-2021; Raymann, Kasie/Y-6070-2019; Krupovic, Mart/I-4209-2012</t>
  </si>
  <si>
    <t>Soler, Nicolas/0000-0002-4292-4020; Krupovic, Mart/0000-0001-5486-0098; Krupovic, Mart/0000-0001-5486-0098; Raymann, Kasie/0000-0001-7008-2783</t>
  </si>
  <si>
    <t>PLAS-0027-2014</t>
  </si>
  <si>
    <t>10.1128/microbiolspec.PLAS-0027-2014</t>
  </si>
  <si>
    <t>WOS:000422205500015</t>
  </si>
  <si>
    <t>Hall, C; Sarli, V; Meas, S; Lucci, A</t>
  </si>
  <si>
    <t>Hall, Carolyn; Sarli, Vanessa; Meas, Salyna; Lucci, Anthony</t>
  </si>
  <si>
    <t>Role of Liquid Biopsy in Clinical Decision-Making for Breast Cancer</t>
  </si>
  <si>
    <t>CURRENT BREAST CANCER REPORTS</t>
  </si>
  <si>
    <t>Breast cancer; Liquid biopsy; Circulating tumor cells; Circulating tumor DNA</t>
  </si>
  <si>
    <t>CIRCULATING TUMOR-CELLS; FREE DNA; HORMONE-RECEPTOR; ESR1 MUTATIONS; NEOADJUVANT CHEMOTHERAPY; PIK3CA MUTATIONS; POOLED ANALYSIS; HER2 STATUS; FOLLOW-UP; PROGNOSTIC VALUE</t>
  </si>
  <si>
    <t>Purpose of ReviewLiquid biopsies are easily obtainable, non-invasive, longitudinal snapshots that can be used to measure micrometastatic disease burden, monitor disease progression, and provide genomic assessments of primary tumor/metastatic lesions. To date, most published studies have focused on circulating tumor cells (CTCs) and cell-free circulating tumor DNA (ctDNA); however, the liquid biopsy field is expanding exponentially and new blood components are currently under investigation.Recent FindingsCTCs and ctDNA remain the most extensively studied liquid biopsy components to date. Several additional blood-based components are the basis of active, ongoing investigations. Some on the horizon include serum/plasma exosomes, platelet-mRNA, miRNA characterization, and global proteomic studies.SummaryIn the era of individualized medicine, liquid biopsy has potential to improve upon current breast cancer management by offering dynamic monitoring possibilities as well as novel targets for therapy.</t>
  </si>
  <si>
    <t>[Hall, Carolyn; Sarli, Vanessa; Meas, Salyna; Lucci, Anthony] Univ Texas MD Anderson Canc Ctr, Dept Breast Surg Oncol, 1400 Pressler St,FCT7-5046, Houston, TX 77030 USA</t>
  </si>
  <si>
    <t>Lucci, A (corresponding author), Univ Texas MD Anderson Canc Ctr, Dept Breast Surg Oncol, 1400 Pressler St,FCT7-5046, Houston, TX 77030 USA.</t>
  </si>
  <si>
    <t>Alucci@mdanderson.org</t>
  </si>
  <si>
    <t>Lucci, Anthony/0000-0003-4039-174X</t>
  </si>
  <si>
    <t>1943-4588</t>
  </si>
  <si>
    <t>1943-4596</t>
  </si>
  <si>
    <t>10.1007/s12609-019-0308-0</t>
  </si>
  <si>
    <t>WOS:000472900500004</t>
  </si>
  <si>
    <t>Nabil, A; Uto, K; Zahran, F; Soliman, R; Hassan, AA; Elshemy, MM; Ali, IS; Ebara, M; Shiha, G</t>
  </si>
  <si>
    <t>Nabil, Ahmed; Uto, Koichiro; Zahran, Faten; Soliman, Reham; Hassan, Ayman A.; Elshemy, Mohamed M.; Ali, Islam S.; Ebara, Mitsuhiro; Shiha, Gamal</t>
  </si>
  <si>
    <t>The Potential Safe Antifibrotic Effect of Stem Cell Conditioned Medium and Nilotinib Combined Therapy by Selective Elimination of Rat Activated HSCs</t>
  </si>
  <si>
    <t>BIOMED RESEARCH INTERNATIONAL</t>
  </si>
  <si>
    <t>Hepatic fibrosis is a progressive disease with serious clinical complications that arise from abnormal propagation and activation of multiple inflammatory pathways. Nilotinib is an oral tyrosine kinase inhibitor with antifibrotic activity. Mesenchymal stem cells (MSCs) are blank cells and can differentiate into specific cell types. They have the potential to repair and regenerate cells. MSCs have a special paracrine fashion where they produce special exosomes, microvesicles, and cytokines like IL-6, transforming growth factor-beta (TGF-beta), and HGF as well as hepatic stellate cell suppressors. This paracrine fashion can decrease collagen deposition, enhance antifibrotic, anti-inflammatory, and angiogenic activity in vitro and in vivo. In our study, the rat's hepatic stellate cells (HSCs) in addition to different normal cell lines were treated with Nilotinib alone and in combination with liver mesenchymal stem cells conditioned medium (LMSCs-CM) for 24 h. Mono and combined therapy antifibrotic and cytotoxicity effects were evaluated using different parameters including alpha-SMA, cytochrome c, P53 expression, collagen deposition, DNA content, oxidative stress parameters, cell viability, and apoptosis by flow cytometry analysis. Our results showed that Nilotinib and LMSCs-CM in combination had a significantly potent antifibrotic and anti-inflammatory effect on activated hepatic stellate cells than Nilotinib alone; otherwise, this combination showed the best safety with minimal cytotoxicity on different normal cell lines.</t>
  </si>
  <si>
    <t>[Nabil, Ahmed; Uto, Koichiro; Ebara, Mitsuhiro] Natl Inst Mat Sci NIMS, Res Ctr Funct Mat, 1-1Namiki, Tsukuba, Ibaraki 3050044, Japan; [Nabil, Ahmed] Beni Suef Univ, Fac Postgrad Studies Adv Sci PSAS, Biotechnol &amp; Life Sci Dept, Bani Suwayf, Egypt; [Nabil, Ahmed; Soliman, Reham; Hassan, Ayman A.; Shiha, Gamal] Egyptian Liver Res Inst &amp; Hosp ELRIAH, Sherbin, El Mansoura, Egypt; [Zahran, Faten] Zagazig Univ, Dept Biochem, Fac Sci, Zagazig, Egypt; [Soliman, Reham] Port Said Univ, Dept Trop Med, Fac Med, Port Fuad, Egypt; [Elshemy, Mohamed M.] Menoufia Univ, Fac Sci, Menoufia, Egypt; [Ali, Islam S.] Delta Univ Sci &amp; Technol, Talkha, Egypt; [Ebara, Mitsuhiro] Univ Tsukuba, Grad Sch Pure &amp; Appl Sci, 1-1-1 Tennodai, Tsukuba, Ibaraki 3058577, Japan; [Ebara, Mitsuhiro] Tokyo Univ Sci, Grad Sch Ind Sci &amp; Technol, Katsushika Ku, 6-3-1 Niijuku, Tokyo 1258585, Japan; [Shiha, Gamal] Mansoura Univ, Dept Internal Med, Hepatol &amp; Gastroenterol Unit, Fac Med, Mansoura, Egypt</t>
  </si>
  <si>
    <t>National Institute for Materials Science; Egyptian Knowledge Bank (EKB); Beni Suef University; Egyptian Knowledge Bank (EKB); Mansoura University; Egyptian Knowledge Bank (EKB); Zagazig University; Egyptian Knowledge Bank (EKB); Port Said University; Egyptian Knowledge Bank (EKB); Menofia University; Delta University for Science &amp; Technology; University of Tsukuba; Tokyo University of Science; Egyptian Knowledge Bank (EKB); Mansoura University</t>
  </si>
  <si>
    <t>Nabil, A; Ebara, M (corresponding author), Natl Inst Mat Sci NIMS, Res Ctr Funct Mat, 1-1Namiki, Tsukuba, Ibaraki 3050044, Japan.;Nabil, A (corresponding author), Beni Suef Univ, Fac Postgrad Studies Adv Sci PSAS, Biotechnol &amp; Life Sci Dept, Bani Suwayf, Egypt.;Nabil, A; Shiha, G (corresponding author), Egyptian Liver Res Inst &amp; Hosp ELRIAH, Sherbin, El Mansoura, Egypt.;Ebara, M (corresponding author), Univ Tsukuba, Grad Sch Pure &amp; Appl Sci, 1-1-1 Tennodai, Tsukuba, Ibaraki 3058577, Japan.;Ebara, M (corresponding author), Tokyo Univ Sci, Grad Sch Ind Sci &amp; Technol, Katsushika Ku, 6-3-1 Niijuku, Tokyo 1258585, Japan.;Shiha, G (corresponding author), Mansoura Univ, Dept Internal Med, Hepatol &amp; Gastroenterol Unit, Fac Med, Mansoura, Egypt.</t>
  </si>
  <si>
    <t>tolba.ahmednabil@nims.go.jp; uto.koichiro@nims.go.jp; dr_fzahran@yahoo.com; rehamelsayed@hotmail.com; ayman.hassan75@yahoo.com; mohamed.alshimy@yahoo.com; islamsameh_89@yahoo.com; ebara.mitsuhiro@nims.go.jp; g_shiha@hotmail.com</t>
  </si>
  <si>
    <t>Shiha, Gamal/AAF-5491-2020</t>
  </si>
  <si>
    <t>elshemy, mohamed/0000-0002-6279-7559; Nabil, Ahmed/0000-0002-5617-4726; Hassan, Ayman/0000-0003-3423-1037; Ali, Islam S./0000-0002-0445-5630; Shiha, Gamal/0000-0002-9338-8854</t>
  </si>
  <si>
    <t>2314-6133</t>
  </si>
  <si>
    <t>2314-6141</t>
  </si>
  <si>
    <t>10.1155/2021/6678913</t>
  </si>
  <si>
    <t>Biotechnology &amp; Applied Microbiology; Medicine, Research &amp; Experimental</t>
  </si>
  <si>
    <t>Biotechnology &amp; Applied Microbiology; Research &amp; Experimental Medicine</t>
  </si>
  <si>
    <t>WOS:000640308600001</t>
  </si>
  <si>
    <t>Cheung, AHK; Chow, C; To, KF</t>
  </si>
  <si>
    <t>Cheung, Alvin Ho-Kwan; Chow, Chit; To, Ka-Fai</t>
  </si>
  <si>
    <t>Latest development of liquid biopsy</t>
  </si>
  <si>
    <t>JOURNAL OF THORACIC DISEASE</t>
  </si>
  <si>
    <t>Asian Thoracic Cancer Care Summit (ATCCS)</t>
  </si>
  <si>
    <t>APR 13-14, 2018</t>
  </si>
  <si>
    <t>Hong Kong, HONG KONG</t>
  </si>
  <si>
    <t>Liquid biopsy; lung cancer; personalized medicine</t>
  </si>
  <si>
    <t>METASTATIC BREAST-CANCER; CIRCULATING TUMOR-CELLS; BARR-VIRUS DNA; LYMPHOEPITHELIOMA-LIKE CARCINOMA; LUNG-CANCER; COLORECTAL-CANCER; PROMOTER HYPERMETHYLATION; EXTRACELLULAR VESICLES; FOLLOW-UP; PLASMA</t>
  </si>
  <si>
    <t>Liquid biopsy provides the opportunity of detecting and analyzing cancer in various body fluids. In peripheral blood, apart from circulating cell free DNA, circulating cancer cells and other tumor-associated compounds such as extracellular vesicles are also emerging candidates for detection. Compared to conventional tissue or cytology samples, liquid biopsy is non-invasive, safe, and easy to repeat. In view of tumor heterogeneity, it is also suggested that circulating cell free DNA may be more representative of the whole tumor cells population than a biopsy or cytology sample. In addition to assisting in the initial diagnosis, liquid biopsy can also be tailored for disease monitoring, detecting resistance mutation, tumor recurrence, and perhaps for screening in the future. The accuracy of this test is greatly facilitated by the advances of molecular techniques, from PCR-based methods, DNA sequencing, Digital PCR, to the more state-of-the-art next generation sequencing technologies. Despite the tremendous potential of liquid biopsy, there are limitations and not all clinical relevant cancer biomarkers can be detected in liquid biopsy at the present moment. The clinical utility of many of the tests derived from liquid biopsy required further investigations and clinical validation. This review provides an overview of the concept of liquid biopsy, its clinical applications, and discuss the multifaceted advances in this field.</t>
  </si>
  <si>
    <t>[Cheung, Alvin Ho-Kwan; Chow, Chit; To, Ka-Fai] Chinese Univ Hong Kong, Prince Wales Hosp, Sir YK Pao Canc Ctr, Dept Anat &amp; Cellular Pathol,State Key Lab Oncol S, Hong Kong, Hong Kong, Peoples R China</t>
  </si>
  <si>
    <t>Chinese University of Hong Kong; Prince of Wales Hospital</t>
  </si>
  <si>
    <t>To, KF (corresponding author), Chinese Univ Hong Kong, Prince Wales Hosp, Dept Anat &amp; Cellular Pathol, Shatin, Hong Kong, Peoples R China.</t>
  </si>
  <si>
    <t>kfto@cuhk.edu.hk</t>
  </si>
  <si>
    <t>2072-1439</t>
  </si>
  <si>
    <t>2077-6624</t>
  </si>
  <si>
    <t>S1645</t>
  </si>
  <si>
    <t>S1651</t>
  </si>
  <si>
    <t>10.21037/jtd.2018.04.68</t>
  </si>
  <si>
    <t>WOS:000435837800006</t>
  </si>
  <si>
    <t>Van der Mude, A</t>
  </si>
  <si>
    <t>Van der Mude, Antony</t>
  </si>
  <si>
    <t>A proposed Information-Based modality for the treatment of cancer</t>
  </si>
  <si>
    <t>BIOSYSTEMS</t>
  </si>
  <si>
    <t>Cancer; Transposons; Long non-coding RNA; Apoptosis; Epigenetics</t>
  </si>
  <si>
    <t>LONG NONCODING RNAS; HUMAN MICRORNA GENES; STEM-CELLS; EXTRACELLULAR VESICLES; TRANSPOSABLE ELEMENTS; MEDIATED TRANSFER; GASTRIC-CANCER; EXOSOMES; APOPTOSIS; DNA</t>
  </si>
  <si>
    <t>Treatment modalities for cancer involve physical manipulations such as surgery, immunology, radiation, chemotherapy or gene editing. This is a proposal for an information-based modality. This modality does not change the internal state of the cancer cell directly - instead, the cancer cell is manipulated by giving it information to instruct the cell to perform an action. This modality is based on a theory of Structure Encoding in DNA, where information about body part structure controls the epigenetic state of cells in the process of development from pluripotent cells to fully differentiated cells. It has been noted that cancer is often due to errors in morphogenetic differentiation accompanied by associated epigenetic processes. This implies a model of cancer called the Epigenetic Differentiation Model. A major feature of the Structure Encoding Theory is that the characteristics of the differentiated cell are affected by inter-cellular information passed in the tissue micro environment, which specifies the exact location of a cell in a body part structure. This is done by exosomes that carry fragments of long non-coding RNA and transposons, which convey structure information. In the normal process of epigenetic differentiation, the information passed may lead to apoptosis due to the constraints of a particular body part structure. The proposed treatment involves determining what structure information is being passed in a particular tumor, then adding artificial exosomes that overwhelm the current information with commands for the cells to go into apoptosis.</t>
  </si>
  <si>
    <t>vandermude@acm.org</t>
  </si>
  <si>
    <t>Van der Mude, Antony/0000-0002-6819-9787</t>
  </si>
  <si>
    <t>0303-2647</t>
  </si>
  <si>
    <t>1872-8324</t>
  </si>
  <si>
    <t>10.1016/j.biosystems.2021.104587</t>
  </si>
  <si>
    <t>Biology; Mathematical &amp; Computational Biology</t>
  </si>
  <si>
    <t>Life Sciences &amp; Biomedicine - Other Topics; Mathematical &amp; Computational Biology</t>
  </si>
  <si>
    <t>WOS:000788096100006</t>
  </si>
  <si>
    <t>Lee, DH; Yoon, H; Park, S; Kim, JS; Ahn, YH; Kwon, K; Lee, D; Kim, KH</t>
  </si>
  <si>
    <t>Lee, Dong Hyeon; Yoon, Hana; Park, Sanghui; Kim, Jeong Seon; Ahn, Young-Ho; Kwon, Kihwan; Lee, Donghwan; Kim, Kwang Hyun</t>
  </si>
  <si>
    <t>Urinary Exosomal and cell-free DNA Detects Somatic Mutation and Copy Number Alteration in Urothelial Carcinoma of Bladder</t>
  </si>
  <si>
    <t>CIRCULATING TUMOR DNA; GENOMIC DNA; EXTRACELLULAR VESICLES; PANCREATIC-CANCER; LIQUID BIOPSY; HETEROGENEITY; IDENTIFICATION; PROGRESSION; DISCOVERY; BIOMARKER</t>
  </si>
  <si>
    <t>Urothelial bladder carcinoma (UBC) is characterized by a large number of genetic alterations. DNA from urine is a promising source for liquid biopsy in urological malignancies. We aimed to assess the availability of cell-free DNA (cfDNA) and exosomal DNA (exoDNA) in urine as a source for liquid biopsy in UBC. We included 9 patients who underwent surgery for UBC and performed genomic profiling of tumor samples and matched urinary cfDNA and exoDNA. For mutation analysis, deep sequencing was performed for 9 gene targets and shallow whole genome sequencing (sWGS) was used for the detection of copy number variation (CNV). We analyzed whether genetic alteration in tumor samples was reflected in urinary cfDNA or exoDNA. To measure the similarity between copy number profiles of tumor tissue and urinary DNA, the Pearson's correlation coefficient was calculated. We found 17 somatic mutations in 6 patients. Of the 17 somatic mutations, 14 and 12 were identified by analysis of cfDNA and exoDNA with AFs of 56.2% and 65.6%, respectively. In CNV analysis using sWGS, although the mean depth was 0.6X, we found amplification of MDM2, ERBB2, CCND1 and CCNE1, and deletion of CDKN2A, PTEN and RB1, all known to be frequently altered in UBC. CNV plots of cfDNA and exoDNA showed a similar pattern with those from the tumor samples. Pearson's correlation coefficients of tumor vs. cfDNA (0.481) and tumor vs. exoDNA (0.412) were higher than that of tumor vs. normal (0.086). We successfully identified somatic mutations and CNV in UBC using urinary cfDNA and exoDNA. Urinary exoDNA could be another source for liquid biopsy. Also, CNV analysis using sWGS is an alternative strategy for liquid biopsy, providing data from the whole genome at a low cost.</t>
  </si>
  <si>
    <t>[Lee, Dong Hyeon; Yoon, Hana; Kim, Kwang Hyun] Ewha Womans Univ, Dept Urol, Coll Med, Seoul, South Korea; [Park, Sanghui] Ewha Womans Univ, Dept Pathol, Coll Med, Seoul, South Korea; [Kim, Jeong Seon; Ahn, Young-Ho] Ewha Womans Univ, Dept Mol Med, Coll Med, Seoul, South Korea; [Kwon, Kihwan] Ewha Womans Univ, Dept Cardiol, Coll Med, Seoul, South Korea; [Lee, Donghwan] Ewha Womans Univ, Dept Stat, Seoul, South Korea</t>
  </si>
  <si>
    <t>Kim, KH (corresponding author), Ewha Womans Univ, Dept Urol, Coll Med, Seoul, South Korea.</t>
  </si>
  <si>
    <t>khkim.uro@gmail.com</t>
  </si>
  <si>
    <t>KIM, JEONGSEON/AAA-4643-2022</t>
  </si>
  <si>
    <t>Kim, Kwang Hyun/0000-0002-6264-5109</t>
  </si>
  <si>
    <t>10.1038/s41598-018-32900-6</t>
  </si>
  <si>
    <t>WOS:000446037100002</t>
  </si>
  <si>
    <t>Cerne, K; Kobal, B</t>
  </si>
  <si>
    <t>Iglic, A</t>
  </si>
  <si>
    <t>Cerne, Katarina; Kobal, Borut</t>
  </si>
  <si>
    <t>Implications of Microvesicle and Cell Surface Protein Shedding for Biomarker Studies, Cancerogenesis, and Therapeutic Target Discovery in Ovarian Cancer</t>
  </si>
  <si>
    <t>ADVANCES IN PLANAR LIPID BILAYERS AND LIPOSOMES, VOL 16</t>
  </si>
  <si>
    <t>Advances in Planar Lipid Bilayers and Liposomes</t>
  </si>
  <si>
    <t>TUMOR-DERIVED EXOSOMES; CARCINOMA CELLS; MATRIX-METALLOPROTEINASE; PROGNOSTIC-SIGNIFICANCE; MEMBRANE-VESICLES; IN-VITRO; MATRIX-METALLOPROTEINASE-9 MMP-9; ADHESION MOLECULE; PANCREATIC-CANCER; RELEASED EXOSOMES</t>
  </si>
  <si>
    <t>Ovarian cancer is one of the most aggressive and lethal cancers in women. There is currently no accurate noninvasive diagnostic test for ovarian cancer; most patients are diagnosed at an advanced stage, presenting with peritoneal metastasis and ascites. Although ovarian cancer patients often respond initially to chemotherapy, recurrence is almost always accompanied by chemoresistance. The identification of proteins that are abundantly and predominantly expressed in ovarian cancer is therefore relevant to diagnosis, tumor imaging, and targeted therapies. Proteins with high secretion rates or proteins that are extensively cleaved from the cell surface, specifically from tumor cells, are a potential source of circulating biomarkers for ovarian cancer. The process of surface protein shedding as observed in ascites-derived tumor cells from ovarian cancer patients is also relevant to tumor invasion and metastasis, as exemplified by the role of cadherin. Additionally, proteins, as well as lipids, DNA, and RNA, can reach the blood in microvesicles that are shed from tumor cells. A roughly fivefold increase in their blood concentration is reported in ovarian cancer patients. Tumor-derived vesicles are fully equipped to facilitate the escape of tumor cells from immune surveillance. At the same time, they are involved in the establishment of an optimal environment for metastatic tumor cells. On the basis of the role of tumor microvesicles in tumor progression, another door has been opened to a new ovarian cancer therapy. This review addresses the relevance of secretion and shedding of microvesicles and membrane surface protein from tumor cells for biomarker discovery, cancerogenesis, and new therapies in ovarian cancer.</t>
  </si>
  <si>
    <t>[Cerne, Katarina] Univ Ljubljana, Fac Med, Dept Pharmacol &amp; Expt Toxicol, Ljubljana, Slovenia; [Kobal, Borut] Univ Med Ctr Ljubljana, Div Gynaecol &amp; Obstet, Dept Gynaecol, Ljubljana, Slovenia</t>
  </si>
  <si>
    <t>University of Ljubljana; University Medical Centre Ljubljana</t>
  </si>
  <si>
    <t>Cerne, K (corresponding author), Univ Ljubljana, Fac Med, Dept Pharmacol &amp; Expt Toxicol, Ljubljana, Slovenia.</t>
  </si>
  <si>
    <t>katarina.cerne@mf.uni-lj.si</t>
  </si>
  <si>
    <t>Cerne, Katarina/GLU-3745-2022</t>
  </si>
  <si>
    <t>1554-4516</t>
  </si>
  <si>
    <t>978-0-12-396516-5; 978-0-12-396534-9</t>
  </si>
  <si>
    <t>10.1016/B978-0-12-396534-9.00008-8</t>
  </si>
  <si>
    <t>WOS:000322771200008</t>
  </si>
  <si>
    <t>Adeola, HA; Bello, IO; Aruleba, RT; Francisco, NM; Adekiya, TA; Adefuye, AO; Ikwegbue, PC; Musaigwa, F</t>
  </si>
  <si>
    <t>Adeola, Henry Ademola; Bello, Ibrahim O.; Aruleba, Raphael Taiwo; Francisco, Ngiambudulu M.; Adekiya, Tayo Alex; Adefuye, Anthonio Oladele; Ikwegbue, Paul Chukwudi; Musaigwa, Fungai</t>
  </si>
  <si>
    <t>The Practicality of the Use of Liquid Biopsy in Early Diagnosis and Treatment Monitoring of Oral Cancer in Resource-Limited Settings</t>
  </si>
  <si>
    <t>Africa; cfDNA; circulating tumour cells; exosomes; liquid biopsy; oral squamous cell carcinoma</t>
  </si>
  <si>
    <t>SQUAMOUS-CELL CARCINOMA; CIRCULATING TUMOR-CELLS; CLINICAL-RELEVANCE; HEAD; DNA; ASSOCIATION; SENSITIVITY; VALIDATION; BIOMARKERS; EXOSOMES</t>
  </si>
  <si>
    <t>Simple Summary Mouth cancer often results in poor outcomes and requires the use of state-of-the-art medical approaches to make its detection easy, individualized, and early. Liquid biopsy is a new and important medical approach to disease detection. This approach has been successfully used for mouth cancer detection and monitoring of treatment progress in many countries. Liquid biopsy is an attractive option for mouth cancer detection because it does not involve any invasive procedure and can be used on easily accessible body fluids, such as saliva and blood. Furthermore, there is evidence that this technology has some advantage over the normal tissue biopsy because it is not invasive, neither does it need any surgical expertise. Hence, we have focused on how easy or practical it would be, to employ the use of liquid biopsy on the African continent, as well as other low- and middle-income countries. We have discussed the different types of this technology in three main areas of focus, viz, what factors are important before, during and after collection of samples for liquid biopsy analysis, and what are the obstacles to routine use of this approach in resource-limited settings. An important driving force for precision and individualized medicine is the provision of tailor-made care for patients on an individual basis, in accordance with best evidence practice. Liquid biopsy(LB) has emerged as a critical tool for the early diagnosis of cancer and for treatment monitoring, but its clinical utility for oral squamous cell carcinoma (OSCC) requires more research and validation. Hence, in this review, we have discussed the current applications of LB and the practicality of its routine use in Africa; the potential advantages of LB over the conventional gold-standard of tissue biopsy; and finally, practical considerations were discussed in three parts: pre-analytic, analytic processing, and the statistical quality and postprocessing phases. Although it is imperative to establish clinically validated and standardized working guidelines for various aspects of LB sample collection, processing, and analysis for optimal and reliable use, manpower and technological infrastructures may also be an important factor to consider for the routine clinical application of LB for OSCC. LB is poised as a non-invasive precision tool for personalized oral cancer medicine, particularly for OSCC in Africa, when fully embraced. The promising application of different LB approaches using various downstream analyses such as released circulating tumor cells (CTCs), cell free DNA (cfDNA), microRNA (miRNA), messenger RNA (mRNA), and salivary exosomes were discussed. A better understanding of the diagnostic and therapeutic biomarkers of OSCC, using LB applications, would significantly reduce the cost, provide an opportunity for prompt detection and early treatment, and a method to adequately monitor the effectiveness of the therapy for OSCC, which typically presents with ominous prognosis.</t>
  </si>
  <si>
    <t>[Adeola, Henry Ademola] Univ Western Cape, Tygerberg Hosp, Fac Dent, Dept Oral &amp; Maxillofacial Pathol, ZA-7505 Cape Town, South Africa; [Adeola, Henry Ademola] Univ Cape Town, Div Dermatol, Dept Med, Fac Hlth Sci, ZA-7925 Cape Town, South Africa; [Adeola, Henry Ademola] Univ Cape Town, Groote Schuur Hosp, ZA-7925 Cape Town, South Africa; [Bello, Ibrahim O.] King Saud Univ, Coll Dent, Dept Oral Med &amp; Diagnost Sci, Riyadh 11545, Saudi Arabia; [Aruleba, Raphael Taiwo] Univ Cape Town, Fac Sci, Dept Mol &amp; Cell Biol, ZA-7700 Cape Town, South Africa; [Francisco, Ngiambudulu M.] Inst Nacl Invest Saude, Grp Invest Microbiana &amp; Imunol, Luanda 3635, Angola; [Adekiya, Tayo Alex] Univ Witwatersrand, Wits Adv Drug Delivery Platform Res Unit, Dept Pharm &amp; Pharmacol, Sch Therapeut Sci,Fac Hlth Sci, 7 York Rd, ZA-2193 Johannesburg, South Africa; [Adefuye, Anthonio Oladele] Univ Free State, Fac Hlth Sci, Div Hlth Sci Educ, Off Dean, POB 339, ZA-9300 Bloemfontein, South Africa; [Ikwegbue, Paul Chukwudi; Musaigwa, Fungai] Univ Cape Town, Fac Hlth Sci, Inst Infect Dis &amp; Mol Med IDM, Div Immunol, ZA-7925 Cape Town, South Africa</t>
  </si>
  <si>
    <t>Tygerberg Hospital; University of Limpopo; University of the Western Cape; University of Cape Town; University of Cape Town; King Saud University; University of Cape Town; University of Witwatersrand; University of the Free State; University of Cape Town</t>
  </si>
  <si>
    <t>Adeola, HA (corresponding author), Univ Western Cape, Tygerberg Hosp, Fac Dent, Dept Oral &amp; Maxillofacial Pathol, ZA-7505 Cape Town, South Africa.;Adeola, HA (corresponding author), Univ Cape Town, Div Dermatol, Dept Med, Fac Hlth Sci, ZA-7925 Cape Town, South Africa.;Adeola, HA (corresponding author), Univ Cape Town, Groote Schuur Hosp, ZA-7925 Cape Town, South Africa.</t>
  </si>
  <si>
    <t>henry.adeola@uct.ac.za; ibello@ksu.edu.sa; arlrap001@myuct.ac.za; franciscongiamb@yahoo.com; adekiyatalex@gmail.com; adefuyeao@ufs.ac.za; ikwpau001@myuct.ac.za; msgfun001@myuct.ac.za</t>
  </si>
  <si>
    <t>Adekiya, Tayo Alex/0000-0002-3382-9080; FRANCISCO, NGIAMBUDULU M./0000-0003-3255-8968; Musaigwa, Fungai/0000-0003-0216-0385; Adefuye, Anthonio/0000-0003-2380-1487; Aruleba, Raphael/0000-0003-0879-344X</t>
  </si>
  <si>
    <t>10.3390/cancers14051139</t>
  </si>
  <si>
    <t>WOS:000775638400001</t>
  </si>
  <si>
    <t>Tan, J; Zhang, J; Wang, MK; Wang, YF; Dong, MZ; Ma, XF; Sun, BK; Liu, SS; Zhao, ZZ; Chen, LZ; Jin, WW; Liu, K; Xin, YN; Zhuang, LK</t>
  </si>
  <si>
    <t>Tan, Jie; Zhang, Jie; Wang, Mengke; Wang, Yifen; Dong, Mengzhen; Ma, Xuefeng; Sun, Baokai; Liu, Shousheng; Zhao, Zhenzhen; Chen, Lizhen; Jin, Wenwen; Liu, Kai; Xin, Yongning; Zhuang, Likun</t>
  </si>
  <si>
    <t>DRAM1 increases the secretion of PKM2-enriched EVs from hepatocytes to promote macrophage activation and disease progression in ALD</t>
  </si>
  <si>
    <t>EXTRACELLULAR VESICLES; P53; APOPTOSIS; PATHWAYS; INJURY; CELLS</t>
  </si>
  <si>
    <t>DNA damage-regulated autophagy modulator 1 (DRAM1) could play important roles in inflammation and hepatic apoptosis, while its roles in alcohol-related liver disease (ALD), which is characterized by hepatic inflammation and apoptosis, are still unclear. In this study, we explored the expression, role, and mechanism of DRAM1 in ALD. Firstly, our results showed that DRAM1 was significantly increased in liver tissues of mice at the early stage of alcohol treatment. In addition, DRAM1 knockout reduced, and liver-specific overexpression of DRAM1 aggravated, alcohol-induced hepatic steatosis, injury, and expressions of M1 macrophage markers in mice. Furthermore, ethanol-induced DRAM1 of hepatic cells increased pyruvate kinase M2 (PKM2)-enriched extracellular vesicles (EVs), and ectosomes derived from hepatic cells with DRAM1 overexpression promoted macrophage activation. with PKM2 and increased the PKM2 level in plasma membrane. At last, DRAM1 was significantly increased in liver tissues of ALD patients, and it was positively correlated with M1 macrophage markers. Taken together, this study revealed that ethanol-induced DRAM1 of hepatic cells could increase the PKM2-enriched EVs, promote macrophage activation, and aggravate the disease progression of ALD. These findings for the therapy of ALD.</t>
  </si>
  <si>
    <t>[Tan, Jie; Zhang, Jie; Wang, Mengke; Wang, Yifen; Dong, Mengzhen; Ma, Xuefeng; Sun, Baokai; Chen, Lizhen; Jin, Wenwen; Xin, Yongning] Qingdao Univ, Qingdao Municipal Hosp, Dept Infect Dis, Qingdao 266011, Peoples R China; [Liu, Shousheng; Zhao, Zhenzhen; Zhuang, Likun] Qingdao Univ, Qingdao Municipal Hosp, Clin Res Ctr, Qingdao 266071, Peoples R China; [Liu, Kai] Capital Med Univ, Beijing Youan Hosp, Beijing Inst Hepatol, Beijing 100069, Peoples R China</t>
  </si>
  <si>
    <t>Qingdao Municipal Hospital; Qingdao University; Qingdao Municipal Hospital; Qingdao University; Capital Medical University</t>
  </si>
  <si>
    <t>Xin, YN; Zhuang, LK (corresponding author), Qingdao Univ, Qingdao Municipal Hosp, Clin Res Ctr, Qingdao 266071, Peoples R China.</t>
  </si>
  <si>
    <t>xinyongning9812@163.com; zlk0823@163.com</t>
  </si>
  <si>
    <t>10.1016/j.omtn.2021.12.017</t>
  </si>
  <si>
    <t>WOS:000766664100008</t>
  </si>
  <si>
    <t>Obuobi, S; Julin, K; Fredheim, EGA; Johannessen, M; Skalko-Basnet, N</t>
  </si>
  <si>
    <t>Obuobi, Sybil; Julin, Kjersti; Fredheim, Elizabeth G. A.; Johannessen, Mona; Skalko-Basnet, Natasa</t>
  </si>
  <si>
    <t>Liposomal delivery of antibiotic loaded nucleic acid nanogels with enhanced drug loading and synergistic anti-inflammatory activity against S. aureus intracellular infections</t>
  </si>
  <si>
    <t>Nucleic acid nanogels; DNA; Staphylococcus aureus; Controlled release; Persistent infections; Liposomes</t>
  </si>
  <si>
    <t>DNA NANOSTRUCTURES; STAPHYLOCOCCUS-AUREUS; VANCOMYCIN; NANOPARTICLES; THERAPY; ORIGAMI; LIPASES</t>
  </si>
  <si>
    <t>The persistence of Staphylococcus aureus has been accredited to its ability to escape immune response via host cell invasion. Despite the efficacy of many antibiotics against S. aureus, the high extracellular concentrations of conventional antibiotics required for bactericidal activity is limited by their low cellular accumulation and poor intracellular retention. While nanocarriers have received tremendous attention for antibiotic delivery against persistent pathogens, they suffer daunting challenges such as low drug loading, poor retention and untimely release of hydrophilic cargos. Here, a hybrid system (Van_DNL) is fabricated wherein nucleic acid nanogels are caged within a liposomal vesicle for antibiotic delivery. The central principle of this approach relies on exploiting non-covalent electrostatic interactions between cationic cargos and polyanionic DNA to immobilize antibiotics and enable precise temporal release against intracellular S. aureus. In vitro characterization of Van_DNL revealed a stable homogenous formulation with circular morphology and enhanced vancomycin loading efficiency. The hybrid system significantly sustained the release of vancomycin over 24 h compared to liposomal or nanogel controls. Under enzymatic conditions relevant to S. aureus infections, lipase triggered release of vancomycin was observed from the hybrid. While using Van_DNL to treat S. aureus infected macrophages, a dose dependent reduction in intracellular bacterial load was observed over 24 h and exposure to Van_DNL for 48 h caused negligible cellular toxicity. Pre-treatment of macrophages with the antimicrobial hybrid resulted in a strong anti-inflammatory activity in synergy with vancomycin following endotoxin stimulation. Conceptually, these findings highlight these hybrids as a unique and universal platform for synergistic antimicrobial and anti-inflammatory therapy against persistent infections.</t>
  </si>
  <si>
    <t>[Obuobi, Sybil; Skalko-Basnet, Natasa] UIT Arctic Univ Norway, Dept Pharm, Drug Transport &amp; Delivery Res Grp, Tromso, Norway; [Julin, Kjersti; Johannessen, Mona] UIT Arctic Univ Norway, Dept Med Biol, Host Microbe Interact Res Grp, Tromso, Norway; [Fredheim, Elizabeth G. A.] UIT Arctic Univ Norway, Dept Pharm, Microbial Pharmacol &amp; Populat Biol, Tromso, Norway</t>
  </si>
  <si>
    <t>UiT The Arctic University of Tromso; UiT The Arctic University of Tromso; UiT The Arctic University of Tromso</t>
  </si>
  <si>
    <t>Obuobi, S (corresponding author), UIT Arctic Univ Norway, Dept Pharm, Drug Transport &amp; Delivery Res Grp, Tromso, Norway.</t>
  </si>
  <si>
    <t>sybil.obuobi@uit.no</t>
  </si>
  <si>
    <t>Škalko-Basnet, Nataša/A-4117-2012</t>
  </si>
  <si>
    <t>Škalko-Basnet, Nataša/0000-0002-4301-2840; Obuobi, Sybil Akua Okyerewa/0000-0002-2905-581X</t>
  </si>
  <si>
    <t>AUG 10</t>
  </si>
  <si>
    <t>10.1016/j.jconrel.2020.06.002</t>
  </si>
  <si>
    <t>WOS:000558614500003</t>
  </si>
  <si>
    <t>Han, FS; Huang, DD; Huang, XH; Wang, W; Yang, SS; Chen, SZ</t>
  </si>
  <si>
    <t>Han, Fushi; Huang, Dongdong; Huang, Xinghong; Wang, Wei; Yang, Shusong; Chen, Shuzhen</t>
  </si>
  <si>
    <t>Exosomal microRNA-26b-5p down-regulates ATF2 to enhance radiosensitivity of lung adenocarcinoma cells</t>
  </si>
  <si>
    <t>activating transcription factor 2; exosomes; lung adenocarcinoma; lung adenocarcinoma cells; microRNA-26b-5p; radiosensitivity</t>
  </si>
  <si>
    <t>HEPATOCELLULAR-CARCINOMA; H2AX PHOSPHORYLATION; BRAIN METASTASES; DNA-DAMAGE; CANCER; APOPTOSIS; PROLIFERATION; GAMMA-H2AX; RESISTANCE; RADIATION</t>
  </si>
  <si>
    <t>Lung adenocarcinoma (LUAD), as the most common subtype of non-small cell lung cancer, is responsible for more than 500 000 deaths worldwide annually. In this study, we identify a novel microRNA-26b-5p (miR-26b-5p) and elucidated its function on LUAD. The survival rate of parent LUAD cells and radiation-resistant LUAD cells were determined using clonogenic survival assay. We overexpressed or inhibited miR-26b-5p in LUAD, and the correlation between activating transcription factor 2 (ATF2) and miR-26b-5p was determined using integrated bioinformatics analysis and dual-luciferase reporter gene assay. Exosomes derived from A549 cell lines were then detected using Western blot assay, followed by co-transfection with radiation-resistant A549R cells. LUAD tissues and serum were collected, followed by miR-26b-5p relative expression quantification using RT-qPCR. miR-26b-5p was identified as the most differentially expressed miRNA and was down-regulated in LUAD. Radiation-resistant cells were more resistant to X-radiation compared with parent cells. miR-26b-5p overexpression and X-irradiation led to enhanced radiosensitivity of LUAD cells. ATF2 was negatively targeted by miR-26b-5p. Exosomal miR-26b-5p derived from A549 cells could be transported to irradiation-resistant LUAD cells and inhibit ATF2 expression to promote DNA damage, apoptosis and radiosensitivity of LUAD cells, which was verified using serum-based miR-26b-5p. Our results show a regulatory network of miR-26b-5p on radiosensitivity of LUAD cells, which may serve as a non-invasive biomarker for LUAD.</t>
  </si>
  <si>
    <t>[Han, Fushi; Chen, Shuzhen] Tongji Univ, Tongji Hosp, Dept Nucl Med, Sch Med, 389 Xincun Rd, Shanghai 200065, Peoples R China; [Huang, Dongdong] Tongji Univ, Shanghai Pulm Hosp, Dept Emergency Med, Sch Med, Shanghai, Peoples R China; [Huang, Xinghong] Tongji Univ, Tongji Hosp, Dept Radiol, Sch Med, Shanghai, Peoples R China; [Wang, Wei] Tongji Univ, Tongji Hosp, Dept Internal Med, Sch Med, Shanghai, Peoples R China; [Yang, Shusong] Tongji Univ, Tongji Hosp, Dept Radiotherapy, Sch Med, Shanghai, Peoples R China</t>
  </si>
  <si>
    <t>Tongji University; Tongji University; Tongji University; Tongji University; Tongji University</t>
  </si>
  <si>
    <t>Chen, SZ (corresponding author), Tongji Univ, Tongji Hosp, Dept Nucl Med, Sch Med, 389 Xincun Rd, Shanghai 200065, Peoples R China.</t>
  </si>
  <si>
    <t>alice3396@126.com</t>
  </si>
  <si>
    <t>Chen, Shuzhen/0000-0002-1414-2128</t>
  </si>
  <si>
    <t>10.1111/jcmm.15402</t>
  </si>
  <si>
    <t>WOS:000536466200001</t>
  </si>
  <si>
    <t>Konecna, B; Park, J; Kwon, WY; Vlkova, B; Zhang, QZ; Huang, W; Kim, HI; Yaffe, MB; Otterbein, LE; Itagaki, K; Hauser, CJ</t>
  </si>
  <si>
    <t>Konecna, Barbora; Park, Jinbong; Kwon, Woon-Yong; Vlkova, Barbora; Zhang, Quanzhi; Huang, Wei; Kim, Hyo In; Yaffe, Michael B.; Otterbein, Leo E.; Itagaki, Kiyoshi; Hauser, Carl J.</t>
  </si>
  <si>
    <t>Monocyte exocytosis of mitochondrial danger-associated molecular patterns in sepsis suppresses neutrophil chemotaxis</t>
  </si>
  <si>
    <t>JOURNAL OF TRAUMA AND ACUTE CARE SURGERY</t>
  </si>
  <si>
    <t>79th Annual Meeting and Clinical Congress of the American-Association-for-the-Surgery-of-Trauma (AAST) / Clinical Congress of Acute Care Surgery</t>
  </si>
  <si>
    <t>SEP 08-18, 2020</t>
  </si>
  <si>
    <t>ELECTR NETWORK</t>
  </si>
  <si>
    <t>Sepsis; monocytes; neutrophils; trauma; danger signals (DAMPs)</t>
  </si>
  <si>
    <t>BACKGROUND Trauma and sepsis both increase the risk for secondary infections. Injury mobilizes mitochondrial (MT) danger-associated molecular patterns (mtDAMPs) directly from cellular necrosis. It is unknown, however, whether sepsis can cause active MT release and whether mtDAMPs released by sepsis might affect innate immunity. METHODS Mitochondrial release from human monocytes (Mo) was studied after LPS stimulation using electron microscopy and using fluorescent video-microscopy of adherent Mo using Mito-Tracker Green (MTG) dye. Release of MTG(+) microparticles was studied using flow cytometry after bacterial stimulation by size exclusion chromatography of supernatants with polymerase chain reaction (PCR) for mitochondrial DNA (mtDNA). Human neutrophil (PMN), chemotaxis, and respiratory burst were studied after PMN incubation with mtDNA. RESULTS LPS caused Mo to release mtDAMPs. Electron microscopy showed microparticles containing MT. mtDNA was present both in microvesicles and exosomes as shown by PCR of the relevant size exclusion chromatography bands. In functional studies, PMN incubation with mtDNA suppressed chemotaxis in a dose-dependent manner, which was reversed by chloroquine, suggesting an endosomal, toll-like receptor-9-dependent mechanism. In contrast, PMN respiratory burst was unaffected by mtDNA. CONCLUSION In addition to passive release of mtDAMPs by traumatic cellular disruption, inflammatory and infectious stimuli cause active mtDAMP release via microparticles. mtDNA thus released can have effects on PMN that may suppress antimicrobial function. mtDAMP-mediated feed-forward mechanisms may modulate immune responses and potentially be generalizable to other forms of inflammation. Where they cause immune dysfunction the effects can be mitigated if the pathways by which the mtDAMPs act are defined. In this case, the endosomal inhibitor chloroquine is benign and well tolerated. Thus, it may warrant study as a prophylactic antiinfective after injury or prior sepsis.</t>
  </si>
  <si>
    <t>[Konecna, Barbora; Vlkova, Barbora] Comenius Univ, Inst Mol Biomed, Bratislava, Slovakia; [Park, Jinbong; Huang, Wei; Kim, Hyo In; Yaffe, Michael B.; Otterbein, Leo E.; Itagaki, Kiyoshi; Hauser, Carl J.] Beth Israel Deaconess Med Ctr, Dept Surg, 110 Francis St, Boston, MA 02215 USA; [Park, Jinbong; Huang, Wei; Kim, Hyo In; Yaffe, Michael B.; Otterbein, Leo E.; Itagaki, Kiyoshi; Hauser, Carl J.] Harvard Med Sch, 110 Francis St, Boston, MA 02115 USA; [Kwon, Woon-Yong] Seoul Natl Univ, Coll Med Seoul, Dept Emergency Med, Seoul, South Korea; [Zhang, Quanzhi] Harbin Med Sch, Coll Nursing, Daqing, Peoples R China; [Yaffe, Michael B.] MIT, Dept Biol, Boston, MA USA; [Yaffe, Michael B.] MIT, Dept Biol Engn, Boston, MA USA</t>
  </si>
  <si>
    <t>Comenius University Bratislava; Harvard University; Beth Israel Deaconess Medical Center; Harvard University; Harvard Medical School; Seoul National University (SNU); Massachusetts Institute of Technology (MIT); Massachusetts Institute of Technology (MIT)</t>
  </si>
  <si>
    <t>Hauser, CJ (corresponding author), Beth Israel Deaconess Med Ctr, Dept Surg, 110 Francis St, Boston, MA 02215 USA.;Hauser, CJ (corresponding author), Harvard Med Sch, 110 Francis St, Boston, MA 02115 USA.</t>
  </si>
  <si>
    <t>basa.konecna@gmail.com; jpark13@bidmc.harvard.edu; kwy711@hanmail.net; barboravlk@gmail.com; zhangquanzhi2007@163.com; whuang1@bidmc.harvard.edu; hkim21@bidmc.harvard.edu; myaffe@mit.edu; lotterbe@bidmc.harvard.edu; kitagaki@bidmc.harvard.edu; cjhauser@BIDMC.harvard.edu</t>
  </si>
  <si>
    <t>Vlkova, Barbora/I-5014-2014; Konecna, Barbora/Q-4617-2017; Park, Jinbong/AAU-5204-2020</t>
  </si>
  <si>
    <t>Vlkova, Barbora/0000-0003-3907-5432; Konecna, Barbora/0000-0002-5544-1482; Park, Jinbong/0000-0002-5984-5855; Itagaki, Kiyoshi/0000-0002-6033-1122</t>
  </si>
  <si>
    <t>2163-0755</t>
  </si>
  <si>
    <t>2163-0763</t>
  </si>
  <si>
    <t>10.1097/TA.0000000000002973</t>
  </si>
  <si>
    <t>Critical Care Medicine; Surgery</t>
  </si>
  <si>
    <t>General &amp; Internal Medicine; Surgery</t>
  </si>
  <si>
    <t>WOS:000616078100010</t>
  </si>
  <si>
    <t>Zhou, MY; Li, C; Wang, BL; Huang, L</t>
  </si>
  <si>
    <t>Zhou, Mengyang; Li, Chao; Wang, Baolong; Huang, Lin</t>
  </si>
  <si>
    <t>Rapid and sensitive leukemia-derived exosome quantification via nicking endonuclease-assisted target recycling</t>
  </si>
  <si>
    <t>APTASENSOR; VESICLES</t>
  </si>
  <si>
    <t>Exosomes as fluid biomarkers hold great promise for noninvasive cancer diagnosis. However, a method for the rapid and convenient detection of exosomes is still a challenge because current analysis processes involve multiple steps and yield low sensitivity. Here, we developed a wash-free fluorescent biosensor for the rapid and sensitive quantification of exosomes by combining aptamer and nicking endonuclease (Nb center dot BbvCI). In this system, an aptamer-trigger complex was used as the recognition element; the trigger probe could be released, and it hybridized with gold nanoparticles (GNPs)-DNA-FAM conjugates, thereby resulting in Nb center dot BbvCI-assisted target recycling. As a result, our method allowed the quantification of exosomes with lower analysis time by using a cocktail containing an aptamer-trigger complex, Nb center dot BbvCI, and GNPs-DNA-FAM. A high sensitivity with a limit of detection (LOD) of 1.0 x 10(4) particles per mu L could be achieved. Besides, this biosensor exhibited potential application for the quantification of exosomes in human plasma, facilitating the development of exosome-based noninvasive cancer diagnosis.</t>
  </si>
  <si>
    <t>[Zhou, Mengyang; Li, Chao; Huang, Lin] Anhui Med Univ, Sch Life Sci, Hefei 230032, Anhui, Peoples R China; [Wang, Baolong] USTC, Anhui Prov Hosp, Affiliated Hosp 1, Hefei 230001, Anhui, Peoples R China</t>
  </si>
  <si>
    <t>Anhui Medical University; Chinese Academy of Sciences; University of Science &amp; Technology of China, CAS</t>
  </si>
  <si>
    <t>Huang, L (corresponding author), Anhui Med Univ, Sch Life Sci, Hefei 230032, Anhui, Peoples R China.</t>
  </si>
  <si>
    <t>huanglin8904@163.com</t>
  </si>
  <si>
    <t>huang, lin/0000-0002-8794-7920</t>
  </si>
  <si>
    <t>10.1039/d1ay00854d</t>
  </si>
  <si>
    <t>WOS:000687760700001</t>
  </si>
  <si>
    <t>Yamada, T; Matsuda, A; Koizumi, M; Shinji, S; Takahashi, G; Iwai, T; Takeda, K; Ueda, K; Yokoyama, Y; Hara, K; Hotta, M; Matsumoto, S; Yoshida, H</t>
  </si>
  <si>
    <t>Yamada, Takeshi; Matsuda, Akihisa; Koizumi, Michihiro; Shinji, Seiichi; Takahashi, Goro; Iwai, Takuma; Takeda, Kohki; Ueda, Kohji; Yokoyama, Yasuyuki; Hara, Keisuke; Hotta, Masahiro; Matsumoto, Satoshi; Yoshida, Hiroshi</t>
  </si>
  <si>
    <t>Liquid Biopsy for the Management of Patients with Colorectal Cancer</t>
  </si>
  <si>
    <t>DIGESTION</t>
  </si>
  <si>
    <t>14th Annual Meeting of the Japanese-Gastroenterological-Association (JGA)</t>
  </si>
  <si>
    <t>FEB 09-10, 2018</t>
  </si>
  <si>
    <t>Tokyo, JAPAN</t>
  </si>
  <si>
    <t>Circulating tumor DNA; Circulating tumor cell; Heterogeneity; Minimal residual disease</t>
  </si>
  <si>
    <t>CIRCULATING TUMOR-CELLS; FREE DNA; PROGNOSTIC-SIGNIFICANCE; ACQUIRED-RESISTANCE; EGFR BLOCKADE; BLOOD; KRAS; BIOMARKER; EVOLUTION; HETEROGENEITY</t>
  </si>
  <si>
    <t>Background: Liquid biopsy is a collective term that refers to the analysis of tumor-derived biomarkers isolated from biological fluids of cancer patients. Recently, many authors reported the usefulness of liquid biopsy for the management of malignancy. Summary and Key Messages: The peripheral blood of cancer patients is a pool of cells and/or cell products derived from the primary or metastatic tumor, including circulating tumor cells (CTCs), circulating free (cf) DNA or RNA, and exosomes containing proteins, nucleic acids, and lipids. CTCs are tumor cells that can be isolated from peripheral blood. Free circulating DNA with a tumor-specific mutation is called circulating tumor DNA (ctDNA). Some patients who undergo curative surgery experience recurrent disease, which can be due to the presence of minimal residual disease (MRD). Thus, MRD indicates a high risk of relapse. Detection of ctDNA or CTC after surgery is a direct proof of MRD. Molecular volume (e.g., the number of CTCs and level of ctDNA) might reflect tumor burden, thus high molecular volume may indicate poor prognosis. The most notable application of liquid biopsy in cancer is to understand spatial and temporal heterogeneities. Heterogeneity is one of the causes of refractoriness and hampers prediction of chemotherapeutic effect. Emerging mutations that are not present in primary tumors but are found in their metastases can be detected in ctDNA. Some colorectal cancer patients with wildtype RAS do not respond to epidermal growth factor receptor blockade. In a subset of these patients, RAS mutation is detected in ctDNA, indicating heterogeneity. (C) 2018 S. Karger AG, Basel</t>
  </si>
  <si>
    <t>[Yamada, Takeshi; Matsuda, Akihisa; Koizumi, Michihiro; Shinji, Seiichi; Takahashi, Goro; Iwai, Takuma; Takeda, Kohki; Ueda, Kohji; Yokoyama, Yasuyuki; Hara, Keisuke; Hotta, Masahiro; Matsumoto, Satoshi; Yoshida, Hiroshi] Nippon Med Sch, Dept Gastrointestinal &amp; Hepatobiliary Pancreat Su, Tokyo, Japan</t>
  </si>
  <si>
    <t>Nippon Medical School</t>
  </si>
  <si>
    <t>Yamada, T (corresponding author), Nippon Med Sch, Dept Digest Surg, Bunkyo Ku, 1-1-5 Sendagi, Tokyo 1138603, Japan.</t>
  </si>
  <si>
    <t>y-tak@nms.ac.jp</t>
  </si>
  <si>
    <t>Takuma, Iwai/AAL-1144-2020</t>
  </si>
  <si>
    <t>Takuma, Iwai/0000-0002-4706-1228; Shinji, Seiichi/0000-0002-9204-6393</t>
  </si>
  <si>
    <t>0012-2823</t>
  </si>
  <si>
    <t>1421-9867</t>
  </si>
  <si>
    <t>10.1159/000494411</t>
  </si>
  <si>
    <t>WOS:000455064400007</t>
  </si>
  <si>
    <t>Storci, G; De Carolis, S; Pape, A; Bacalini, MG; Gensous, N; Marasco, E; Tesei, A; Fabbri, F; Arienti, C; Zanoni, M; Sarnelli, A; Santi, S; Olivieri, F; Mensa, E; Latini, S; Ferracin, M; Salvioli, S; Garagnani, P; Franceschi, C; Bonafe, M</t>
  </si>
  <si>
    <t>Storci, Gianluca; De Carolis, Sabrina; Pape, Alessio; Bacalini, Maria Giulia; Gensous, Noemie; Marasco, Elena; Tesei, Anna; Fabbri, Francesco; Arienti, Chiara; Zanoni, Michele; Sarnelli, Anna; Santi, Spartaco; Olivieri, Fabiola; Mensa, Emanuela; Latini, Silvia; Ferracin, Manuela; Salvioli, Stefano; Garagnani, Paolo; Franceschi, Claudio; Bonafe, Massimiliano</t>
  </si>
  <si>
    <t>Genomic stability, anti-inflammatory phenotype, and up-regulation of the RNAseH2 in cells from centenarians</t>
  </si>
  <si>
    <t>CYTOSOLIC RNADNA HYBRIDS; SENESCENT CELLS; BREAST-CANCER; SUPPRESSIVE OLIGODEOXYNUCLEOTIDES; TELOMERE-LENGTH; DNA HYBRIDS; CGAS; CYTOKINE; ACTIVATE; AGE</t>
  </si>
  <si>
    <t>Current literature agrees on the notion that efficient DNA repair favors longevity across evolution. The DNA damage response machinery activates inflammation and type I interferon signaling. Both pathways play an acknowledged role in the pathogenesis of a variety of age-related diseases and are expected to be detrimental for human longevity. Here, we report on the anti-inflammatory molecular make-up of centenarian's fibroblasts (low levels of IL-6, type 1 interferon beta, and pro-inflammatory microRNAs), which is coupled with low level of DNA damage (measured by comet assay and histone-2AX activation) and preserved telomere length. In the same cells, high levels of the RNAseH2C enzyme subunit and low amounts of RNAseH2 substrates, i.e. cytoplasmic RNA:DNA hybrids are present. Moreover, RNAseH2C locus is hypo-methylated and RNAseH2C knock-down up-regulates IL-6 and type 1 interferon beta in centenarian's fibroblasts. Interestingly, RNAseH2C locus is hyper-methylated in vitro senescent cells and in tissues from atherosclerotic plaques and breast tumors. Finally, extracellular vesicles from centenarian's cells up-regulate RNAseH2C expression and dampen the pro-inflammatory phenotype of fibroblasts, myeloid, and cancer cells. These data suggest that centenarians are endowed with restrained DNA damage-induced inflammatory response, that may facilitate their escape from the deleterious effects of age-related chronic inflammation.</t>
  </si>
  <si>
    <t>[Storci, Gianluca; De Carolis, Sabrina; Gensous, Noemie; Marasco, Elena; Ferracin, Manuela; Salvioli, Stefano; Garagnani, Paolo; Bonafe, Massimiliano] Univ Bologna, Dept Expt Diagnost &amp; Specialty Med, Bologna, Italy; [Storci, Gianluca] Univ Bologna, Interdept Ctr L Galvani CIG, Bologna, Italy; [Storci, Gianluca; De Carolis, Sabrina; Bonafe, Massimiliano] Policlin Univ S Orsola Malpighi, Ctr Appl Biomed Res CRBA, Bologna, Italy; [Pape, Alessio] Univ Bologna, Dept Biol Geol &amp; Environm Sci, Bologna, Italy; [Bacalini, Maria Giulia; Franceschi, Claudio] IRCCS Ist Sci Neurol Bologna, Bologna, Italy; [Tesei, Anna; Fabbri, Francesco; Arienti, Chiara; Zanoni, Michele; Bonafe, Massimiliano] IRCCS, Biosci Lab, Ist Sci Romagnolo Studio &amp; Cura Tumori IRST, Meldola, Forli, Italy; [Sarnelli, Anna] IRCCS, Ist Sci Romagnolo Studio &amp; Cura Tumori IRST, Med Phys Unit, Meldola, Italy; [Santi, Spartaco] Natl Res Council CNR, Inst Mol Genet, Bologna, Italy; [Santi, Spartaco] IRCCS, Rizzoli Orthoped Inst, Bologna, Italy; [Olivieri, Fabiola; Mensa, Emanuela; Latini, Silvia] Univ Politecn Marche, DISCLIMO, Dept Clin &amp; Mol Sci, Ancona, Italy; [Olivieri, Fabiola] IRCCS INRCA, Italian Natl Res Ctr Aging, Ctr Clin Pathol &amp; Innovat Therapy, Ancona, Italy</t>
  </si>
  <si>
    <t>University of Bologna; University of Bologna; IRCCS Azienda Ospedaliero-Universitaria di Bologna; University of Bologna; IRCCS Istituto delle Scienze Neurologiche di Bologna (ISNB); IRCCS Meldola (IRST); IRCCS Meldola (IRST); Consiglio Nazionale delle Ricerche (CNR); Istituto di Genetica Molecolare (IGM-CNR); IRCCS Istituto Ortopedico Rizzoli; Marche Polytechnic University; IRCCS INRCA</t>
  </si>
  <si>
    <t>Storci, G; Bonafe, M (corresponding author), Univ Bologna, Dept Expt Diagnost &amp; Specialty Med, Bologna, Italy.;Storci, G (corresponding author), Univ Bologna, Interdept Ctr L Galvani CIG, Bologna, Italy.;Storci, G; Bonafe, M (corresponding author), Policlin Univ S Orsola Malpighi, Ctr Appl Biomed Res CRBA, Bologna, Italy.;Bonafe, M (corresponding author), IRCCS, Biosci Lab, Ist Sci Romagnolo Studio &amp; Cura Tumori IRST, Meldola, Forli, Italy.</t>
  </si>
  <si>
    <t>gianluca.storci@unibo.it; massimiliano.bonafe@unibo.it</t>
  </si>
  <si>
    <t>Bacalini, Maria Giulia/K-4931-2016; Sarnelli, Anna/V-4284-2018; Zanoni, Michele/AAA-4367-2021; Ferracin, Manuela/K-2097-2016; Olivieri, Fabiola/K-6465-2016; Fabbri, Francesco/K-1751-2018; Tesei, Anna/C-7748-2016; arienti, chiara/AAA-9493-2021; Santi, Spartaco/Q-7587-2016</t>
  </si>
  <si>
    <t>Bacalini, Maria Giulia/0000-0003-1618-2673; Sarnelli, Anna/0000-0001-5986-3845; Zanoni, Michele/0000-0003-1826-9430; Ferracin, Manuela/0000-0002-1595-6887; Olivieri, Fabiola/0000-0002-9606-1144; Fabbri, Francesco/0000-0002-7885-3025; Tesei, Anna/0000-0002-8351-5952; arienti, chiara/0000-0002-2265-828X; STORCI, GIANLUCA/0000-0001-5145-3091; Santi, Spartaco/0000-0001-9856-7053; Gensous, Noemie/0000-0002-8428-616X</t>
  </si>
  <si>
    <t>10.1038/s41418-018-0255-8</t>
  </si>
  <si>
    <t>WOS:000480648400020</t>
  </si>
  <si>
    <t>Liao, Y; Fung, TS; Huang, M; Fang, SG; Zhong, YX; Liu, DX</t>
  </si>
  <si>
    <t>Liao, Ying; Fung, To Sing; Huang, Mei; Fang, Shou Guo; Zhong, Yanxin; Liu, Ding Xiang</t>
  </si>
  <si>
    <t>Upregulation of CHOP/GADD153 during Coronavirus Infectious Bronchitis Virus Infection Modulates Apoptosis by Restricting Activation of the Extracellular Signal-Regulated Kinase Pathway</t>
  </si>
  <si>
    <t>ENDOPLASMIC-RETICULUM STRESS; UNFOLDED-PROTEIN RESPONSE; RESPIRATORY SYNDROME CORONAVIRUS; INDUCED GENE-EXPRESSION; MOUSE HEPATITIS-VIRUS; ER STRESS; SARS-CORONAVIRUS; MAMMALIAN-CELLS; TRANSLATIONAL REPRESSION; MEMBRANE-VESICLES</t>
  </si>
  <si>
    <t>Induction of the unfolded protein response (UPR) is an adaptive cellular response to endoplasmic reticulum (ER) stress that allows a cell to reestablish ER homeostasis. However, under severe and persistent ER stress, prolonged UPR may activate unique pathways that lead to cell death. In this study, we investigated the activation of the protein kinase R-like ER kinase (PERK) pathway of UPR in cells infected with the coronavirus infectious bronchitis virus (IBV) and its relationship with IBV-induced apoptosis. The results showed moderate induction of PERK phosphorylation in IBV-infected cells. Meanwhile, activating transcription factor 4 (ATF4) was upregulated at the protein level in the infected cells, resulting in the induction in trans of the transcription factor ATF3 and the proapoptotic growth arrest and DNA damage-inducible protein GADD153. Knockdown of PERK by small interfering RNA (siRNA) suppressed the activation of GADD153 and the IBV-induced apoptosis. Interestingly, knockdown of protein kinase R (PKR) by siRNA and inhibition of the PKR kinase activity by 2-aminopurine (2-AP) also reduced the IBV-induced upregulation of GADD153 and apoptosis induction. In GADD153-knockdown cells, IBV-induced apoptosis was suppressed and virus replication inhibited, revealing a key role of GADD153 in IBV-induced cell death and virus replication. Analysis of the pathways downstream of GADD153 revealed much more activation of the extracellular signal-related kinase (ERK) pathway in GADD153-knockdown cells during IBV infection, indicating that GADD153 may modulate apoptosis through suppression of the pathway. This study provides solid evidence that induction of GADD153 by PERK and PKR plays an important regulatory role in the apoptotic process triggered by IBV infection.</t>
  </si>
  <si>
    <t>[Liao, Ying; Fung, To Sing; Huang, Mei; Fang, Shou Guo; Zhong, Yanxin; Liu, Ding Xiang] Nanyang Technol Univ, Sch Biol Sci, Singapore 639798, Singapore</t>
  </si>
  <si>
    <t>Nanyang Technological University &amp; National Institute of Education (NIE) Singapore; Nanyang Technological University</t>
  </si>
  <si>
    <t>Liu, DX (corresponding author), Nanyang Technol Univ, Sch Biol Sci, Singapore 639798, Singapore.</t>
  </si>
  <si>
    <t>dxliu@ntu.edu.sg</t>
  </si>
  <si>
    <t>FUNG, TO SING/AAE-7592-2022; Liu, Ding Xiang/A-2226-2011</t>
  </si>
  <si>
    <t>FUNG, To Sing/0000-0003-3776-5763</t>
  </si>
  <si>
    <t>10.1128/JVI.00626-13</t>
  </si>
  <si>
    <t>WOS:000321017700031</t>
  </si>
  <si>
    <t>Yao, C; Wu, WJ; Tang, H; Jia, XM; Tang, JP; Ruan, XH; Li, F; Leong, DT; Luo, D; Yang, DY</t>
  </si>
  <si>
    <t>Yao, Chi; Wu, Weijian; Tang, Han; Jia, Xuemei; Tang, Jianpu; Ruan, Xinhua; Li, Feng; Leong, David Tai; Luo, Dan; Yang, Dayong</t>
  </si>
  <si>
    <t>Self-assembly of stem cell membrane-camouflaged nanocomplex for microRNA-mediated repair of myocardial infarction injury</t>
  </si>
  <si>
    <t>Biomimetic nanomedicine; microRNA delivery; Mesoporous silica nanoparticles; Myocardial infarction injury; Gene therapy</t>
  </si>
  <si>
    <t>NONVIRAL VECTORS; NANOPARTICLES; EXOSOMES; DELIVERY; DNA; MICROVESICLES; SIRNA</t>
  </si>
  <si>
    <t>Mesenchymal stem cells-derived exosomes have shown promising therapeutic effect on myocardial infarction (MI). The major hurdles remain for the use of exosomes primarily due to the low yields from cell cultures coupled with complicated purification processes. Herein we report the self-assembly of stem cell membrane-camouflaged exosome-mimicking nanocomplex that recapitulates exosome functions, achieving efficient microRNA (miRNA) delivery and miRNA-mediated myocardial repair. The nanocomplex is constructed via the self-assembly of mesenchymal stem cell membrane on miRNA loaded mesoporous silica nanoparticle surface, which enables high miRNA loading capacity and protects miRNA from degradation in body fluid. The nanocomplex can escape the clearance of immunologic system, and target to ischemic injured cardiomyocytes. miRNA is triggered to release and binds to target mRNA, which inhibits the translation of apoptosis-related proteins, and consequently promotes the proliferation of cardiomyocytes. In the MI mouse model, the administration of exosome-mimicking nanocomplex effectively leads to preservation of viable myocardium and augmentation of cardiac functions.</t>
  </si>
  <si>
    <t>[Yao, Chi; Wu, Weijian; Tang, Han; Jia, Xuemei; Tang, Jianpu; Li, Feng; Yang, Dayong] Tianjin Univ, Sch Chem Engn &amp; Technol, Key Lab Syst Bioengn MOE, Frontier Sci Ctr Synthet Biol, Tianjin 300350, Peoples R China; [Ruan, Xinhua] Tianjin Union Med Ctr, Dept Cardiac Surg, Tianjin 300121, Peoples R China; [Leong, David Tai] Natl Univ Singapore, Dept Chem &amp; Biomol Engn, Singapore, Singapore; [Luo, Dan] Cornell Univ, Dept Biol &amp; Environm Engn, Ithaca, NY 14853 USA</t>
  </si>
  <si>
    <t>Tianjin University; National University of Singapore; Cornell University</t>
  </si>
  <si>
    <t>Yang, DY (corresponding author), Tianjin Univ, Sch Chem Engn &amp; Technol, Key Lab Syst Bioengn MOE, Frontier Sci Ctr Synthet Biol, Tianjin 300350, Peoples R China.</t>
  </si>
  <si>
    <t>dayong.yang@tju.edu.cn</t>
  </si>
  <si>
    <t>Yao, Chi/AFM-5593-2022; Yang, Dayong/E-2966-2010</t>
  </si>
  <si>
    <t>Yang, Dayong/0000-0002-2634-9281</t>
  </si>
  <si>
    <t>10.1016/j.biomaterials.2020.120256</t>
  </si>
  <si>
    <t>WOS:000563957300003</t>
  </si>
  <si>
    <t>Gallo, A; Jang, SI; Ong, HL; Perez, P; Tandon, M; Ambudkar, I; Illei, G; Alevizos, I</t>
  </si>
  <si>
    <t>Gallo, Alessia; Jang, Shyh-Ing; Ong, Hwei Ling; Perez, Paola; Tandon, Mayank; Ambudkar, Indu; Illei, Gabor; Alevizos, Ilias</t>
  </si>
  <si>
    <t>Targeting the Ca2+ Sensor STIM1 by Exosomal Transfer of Ebv-miR-BART13-3p is Associated with Sjogren's Syndrome</t>
  </si>
  <si>
    <t>Sjoren's syndrome; microRNA; Exosomes; STIM1; Salivary gland dysfunction</t>
  </si>
  <si>
    <t>EPSTEIN-BARR-VIRUS; SALIVARY-GLAND BIOPSIES; POLYMERASE-CHAIN-REACTION; AUTOIMMUNE-DISEASES; MICRORNA EXPRESSION; DNA; LYMPHOCYTES; IDENTIFICATION; HYBRIDIZATION; REPLICATION</t>
  </si>
  <si>
    <t>Primary Sjogren's syndrome (pSS) is a systemic autoimmune disease that is associated with inflammation and dysfunction of salivary and lacrimal glands. The molecular mechanism(s) underlying this exocrinopathy is not known, although the syndrome has been associated with viruses, such as the Epstein Barr Virus (EBV). We report herein that an EBV-specific microRNA (ebv-miR-BART13-3p) is significantly elevated in salivary glands (SGs) of pSS patients and we show that it targets stromal interacting molecule 1 (STIM1), a primary regulator of the store-operated Ca2+ entry (SOCE) pathway that is essential for SG function, leading to loss of SOCE and Ca2+-dependent activation of NFAT. Although EBV typically infects B cells and not salivary epithelial cells, ebv-miR-BART-13-3p is present in both cell types in pSS SGs. Importantly, we further demonstrate that ebv-miRBART13-3p can be transferred from B cells to salivary epithelial cells through exosomes and it recapitulates its functional effects on calcium signaling in a model system. Published by Elsevier B.V.</t>
  </si>
  <si>
    <t>[Gallo, Alessia; Jang, Shyh-Ing; Perez, Paola; Tandon, Mayank; Illei, Gabor; Alevizos, Ilias] Natl Inst Dent &amp; Craniofacial Res, Sjogrens Syndrome &amp; Salivary Gland Dysfunct Unit, Mol Physiol &amp; Therapeut Branch, NIH, Bethesda, MD USA; [Ong, Hwei Ling; Ambudkar, Indu] Natl Inst Dent &amp; Craniofacial Res, Secretory Physiol Sect, Mol Physiol &amp; Therapeut Branch, NIH, Bethesda, MD USA</t>
  </si>
  <si>
    <t>National Institutes of Health (NIH) - USA; NIH National Institute of Dental &amp; Craniofacial Research (NIDCR); National Institutes of Health (NIH) - USA; NIH National Institute of Dental &amp; Craniofacial Research (NIDCR)</t>
  </si>
  <si>
    <t>Alevizos, I (corresponding author), NIDCR, Sjogrens Syndrome &amp; Salivary Gland Dysfunct Unit, NIH, 10 Ctr Dr,Bld 10,Rm 1N110, Bethesda, MD USA.</t>
  </si>
  <si>
    <t>alevizosi@nidcr.nih.gov</t>
  </si>
  <si>
    <t>Gallo, Alessia/0000-0001-6737-9770; Ong, Hwei Ling/0000-0002-7551-6883</t>
  </si>
  <si>
    <t>10.1016/j.ebiom.2016.06.041</t>
  </si>
  <si>
    <t>WOS:000386877700032</t>
  </si>
  <si>
    <t>Tavoosidana, G; Ronquist, G; Darmanis, S; Yan, JH; Carlsson, L; Wu, D; Conze, T; Ek, P; Semjonow, A; Eltze, E; Larsson, A; Landegren, UD; Kamali-Moghaddam, M</t>
  </si>
  <si>
    <t>Tavoosidana, Gholamreza; Ronquist, Gunnar; Darmanis, Spyros; Yan, Junhong; Carlsson, Lena; Wu, Di; Conze, Tim; Ek, Pia; Semjonow, Axel; Eltze, Elke; Larsson, Anders; Landegren, Ulf D.; Kamali-Moghaddam, Masood</t>
  </si>
  <si>
    <t>Multiple recognition assay reveals prostasomes as promising plasma biomarkers for prostate cancer</t>
  </si>
  <si>
    <t>HUMAN SEMINAL PLASMA; CA2&amp;-STIMULATED ADENOSINE-TRIPHOSPHATASE; EXTRACELLULAR ORGANELLES PROSTASOMES; LINKED-IMMUNOSORBENT-ASSAY; PROXIMITY LIGATION; HUMAN SEMEN; PROTEOMIC ANALYSIS; OVARIAN-CANCER; PROTEIN; EXOSOMES</t>
  </si>
  <si>
    <t>Prostasomes are microvesicles (mean diameter, 150 nm) that are produced and secreted by normal and malignant prostate acinar cells. It has been hypothesized that invasive growth of malignant prostate cells may cause these microvesicles, normally released into seminal fluid, to appear in interstitial space and therewith into peripheral circulation. The suitability of prostasomes as blood biomarkers in patients with prostate cancer was tested by using an expanded variant of the proximity ligation assay (PLA). We developed an extremely sensitive and specific assay (4PLA) for detection of complex target structures such as microvesicles in which the target is first captured via an immobilized antibody and subsequently detected by using four other antibodies with attached DNA strands. The requirement for coincident binding by five antibodies to generate an amplifiable reporter results in both increased specificity and sensitivity. The assay successfully detected significantly elevated levels of prostasomes in blood samples from patients with prostate cancer before radical prostatectomy, compared with controls and men with benign biopsy results. The medians for prostasome levels in blood plasma of patients with prostate cancer were 2.5 to sevenfold higher compared with control samples in two independent studies, and the assay also distinguished patients with high and medium prostatectomy Gleason scores (8/9 and 7, respectively) from those with low score (&lt;= 6), thus reflecting disease aggressiveness. This approach that enables detection of prostasomes in peripheral blood may be useful for early diagnosis and assessment of prognosis in organ-confined prostate cancer.</t>
  </si>
  <si>
    <t>[Tavoosidana, Gholamreza; Darmanis, Spyros; Yan, Junhong; Wu, Di; Conze, Tim; Landegren, Ulf D.; Kamali-Moghaddam, Masood] Uppsala Univ, Sci Life Lab, Dept Immunol Genet &amp; Pathol, SE-75124 Uppsala, Sweden; [Ronquist, Gunnar; Carlsson, Lena; Larsson, Anders] Univ Hosp, Dept Med Sci, SE-75185 Uppsala, Sweden; [Ek, Pia] Uppsala Univ, Dept Med Biochem &amp; Microbiol, SE-75123 Uppsala, Sweden; [Semjonow, Axel] Univ Clin, Dept Urol, Prostate Ctr, D-48129 Munster, Germany; [Eltze, Elke] Univ Clin, Gerhard Domagk Inst Pathol, Prostate Ctr, D-48129 Munster, Germany</t>
  </si>
  <si>
    <t>Uppsala University; Uppsala University; Uppsala University Hospital; Uppsala University; University of Munster; University of Munster</t>
  </si>
  <si>
    <t>Kamali-Moghaddam, M (corresponding author), Uppsala Univ, Sci Life Lab, Dept Immunol Genet &amp; Pathol, SE-75124 Uppsala, Sweden.</t>
  </si>
  <si>
    <t>masood.kamali@igp.uu.se</t>
  </si>
  <si>
    <t>Landegren, Ulf D/A-8197-2019; Darmanis, Spyros/ABG-4670-2020; Tavoosidana, Gholamreza/AAV-3893-2020; Larsson, Agneta/AAT-9546-2020</t>
  </si>
  <si>
    <t>Darmanis, Spyros/0000-0003-4002-8158; Tavoosidana, Gholamreza/0000-0002-1079-7434; Larsson, Agneta/0000-0002-8692-249X; Yan, Junhong/0000-0002-2332-2315</t>
  </si>
  <si>
    <t>10.1073/pnas.1019330108</t>
  </si>
  <si>
    <t>WOS:000290908000058</t>
  </si>
  <si>
    <t>Lucchetti, D; Zurlo, IV; Colella, F; Ricciardi-Tenore, C; Di Salvatore, M; Tortora, G; De Maria, R; Giuliante, F; Cassano, A; Basso, M; Crucitti, A; Laurenzana, I; Artemi, G; Sgambato, A</t>
  </si>
  <si>
    <t>Lucchetti, Donatella; Zurlo, Ina Valeria; Colella, Filomena; Ricciardi-Tenore, Claudio; Di Salvatore, Mariantonietta; Tortora, Giampaolo; De Maria, Ruggero; Giuliante, Felice; Cassano, Alessandra; Basso, Michele; Crucitti, Antonio; Laurenzana, Ilaria; Artemi, Giulia; Sgambato, Alessandro</t>
  </si>
  <si>
    <t>Mutational status of plasma exosomal KRAS predicts outcome in patients with metastatic colorectal cancer</t>
  </si>
  <si>
    <t>CIRCULATING TUMOR DNA; ANTI-EGFR THERAPY; RESISTANCE; HETEROGENEITY; BLOOD; CELLS</t>
  </si>
  <si>
    <t>Liquid biopsy has become a useful alternative in metastatic colorectal cancer (mCRC) patients when tissue biopsy of metastatic sites is not feasible. In this study we aimed to investigate the clinical utility of circulating exosomes DNA in the management of mCRC patients. Exosomes level and KRAS mutational status in exosomal DNA was assesed in 70 mCRC patients and 29 CRC primary tumor and were analysed at different disease steps evaluating serial blood samples (240 blood samples). There was a significant correlation between the extension of disease and exosomes level and the resection of primary localized tumor was correlated with a decrease of KRAS G12V/ D copies and fractional abundance in metastatic disease. CEA expression and liver metastasis correlated with a higher number of KRAS G12V/D copies/ml and a higher fractional abundance; in the subgroup of mCRC patients eligible for surgery, the size of tumor and the radiological response were related to exosomes level but only the size was related to the number of KRAS WT copies; both KRAS wild-type and mutated levels were identified as a prognostic factor related to OS. Finally, we found that 91% of mutated mCRC patients became wild type after the first line chemotherapy but this status reverted in mutated one at progression in 80% of cases. In a prospective cohort of mCRC patients, we show how longitudinal monitoring using exosome-based liquid biopsy provides clinical information relevant to therapeutic stratification.</t>
  </si>
  <si>
    <t>[Lucchetti, Donatella; Colella, Filomena; Ricciardi-Tenore, Claudio; Tortora, Giampaolo; De Maria, Ruggero; Giuliante, Felice; Cassano, Alessandra; Crucitti, Antonio; Artemi, Giulia; Sgambato, Alessandro] Univ Cattolica Sacro Cuore, Dept Translat Med &amp; Surg, I-00168 Rome, Italy; [Zurlo, Ina Valeria; Di Salvatore, Mariantonietta; Tortora, Giampaolo; De Maria, Ruggero; Giuliante, Felice; Cassano, Alessandra; Basso, Michele] Fdn Policlin Univ Agostino Gemelli IRCCS, Dept Translat Med &amp; Surg, I-00168 Rome, Italy; [Crucitti, Antonio] Cristo Re Hosp, Div Gen Surg, Rome, Italy; [Laurenzana, Ilaria; Sgambato, Alessandro] Ctr Riferimento Oncol Basilicata IRCCS CROB, Rionero In Vulture, PZ, Italy</t>
  </si>
  <si>
    <t>Catholic University of the Sacred Heart; IRCCS Policlinico Gemelli; Catholic University of the Sacred Heart; IRCCS Policlinico Gemelli; IRCCS CROB</t>
  </si>
  <si>
    <t>Sgambato, A (corresponding author), Univ Cattolica Sacro Cuore, Dept Translat Med &amp; Surg, I-00168 Rome, Italy.;Sgambato, A (corresponding author), Ctr Riferimento Oncol Basilicata IRCCS CROB, Rionero In Vulture, PZ, Italy.</t>
  </si>
  <si>
    <t>alessandro.sgambato@crob.it</t>
  </si>
  <si>
    <t>Lucchetti, Donatella/AAC-7541-2022; LUCCHETTI, Donatella/AAC-5760-2022</t>
  </si>
  <si>
    <t xml:space="preserve">Lucchetti, Donatella/0000-0001-8147-0079; </t>
  </si>
  <si>
    <t>10.1038/s41598-021-01668-7</t>
  </si>
  <si>
    <t>WOS:000722270000056</t>
  </si>
  <si>
    <t>Stegmann, T; Legendre, JY</t>
  </si>
  <si>
    <t>Gene transfer mediated by cationic lipids: Lack of a correlation between lipid mixing and transfection</t>
  </si>
  <si>
    <t>gene transfer; cationic lipid; liposome</t>
  </si>
  <si>
    <t>MAMMALIAN-CELL LINES; MEMBRANE-FUSION; INFLUENZA-VIRUS; PHOSPHOLIPID-VESICLES; DNA-TRANSFECTION; REPORTER GENE; PLASMID DNA; LIPOSOMES; AMPHIPHILES; MECHANISM</t>
  </si>
  <si>
    <t>Complexes of DNA with cationic lipids are used to transfect eukaryotic cells. The mechanism of transfection is unknown, but it has been suggested that the complexes are taken up into the cell by endocytosis, after which fusion of the cationic lipids with the membranes of intracellular vesicles would allow the DNA to escape into the cytoplasm. Here, we have compared transfection of CHO-K1 cells with lipid mixing measured by fluorescence assays, using liposomes or complexes with plasmid DNA of the cationic lipids 1,2 dioleolyl-3-N,N,N,-trimethylammonium-propane (DOTAP), N-[2,3-(dioleoyloxy)propyl]-N, N, N,-trimethylammonium (DOTMA), or combinations of these lipids with dioleoylphosphatidylethanolamine (DOPE), at various lipid/DNA charge ratios. Mixing of the lipids of the complexes or liposomes with cellular membranes occurred readily at 37 degrees C, and was more efficient with liposomes than with complexes. Lipid mixing was inhibited at low temperatures (0-17 degrees C), by the presence of NH,CI in the medium, and by low extracellular pH, indicating the involvement of the endocytic pathway in entry. In the absence of DOPE, there was no correlation between the efficiency of lipid mixing and the efficiency of transfection. Moreover, although DOPE, which is thought to promote membrane fusion, enhanced transfection, it did not always enhance lipid mixing. Neither the size nor the zeta potential of the complexes were clearly associated with transfection efficiency. Therefore, although fusion between the lipids of the complexes and cellular membranes takes place, a step at a later stage in the transfection process determines the efficiency of transfection.</t>
  </si>
  <si>
    <t>UNIV BASEL, BIOZENTRUM, DEPT BIOPHYS CHEM, CH-4056 BASEL, SWITZERLAND; HOFFMANN LA ROCHE AG, PRECLIN RES &amp; DEV, DRUG DELIVERY SYST SECT, CH-4070 BASEL, SWITZERLAND</t>
  </si>
  <si>
    <t>University of Basel; Roche Holding</t>
  </si>
  <si>
    <t>10.1016/S0005-2736(96)00241-6</t>
  </si>
  <si>
    <t>WOS:A1997WR49300008</t>
  </si>
  <si>
    <t>Wang, S; Gao, PY; Li, N; Chen, P; Wang, JH; He, NN; Ji, KH; Du, LQ; Liu, Q</t>
  </si>
  <si>
    <t>Wang, Shuang; Gao, Piaoyang; Li, Na; Chen, Ping; Wang, Jinhan; He, Ningning; Ji, Kaihua; Du, Liqing; Liu, Qiang</t>
  </si>
  <si>
    <t>Autocrine secretions enhance radioresistance in an exosome-independent manner in NSCLC cells</t>
  </si>
  <si>
    <t>autocrine secretions; non-small cell lung cancer; radiation resistance; reactive oxygen species; DNA repair; exosome</t>
  </si>
  <si>
    <t>HOMOLOGY-DIRECTED REPAIR; STRAND BREAK REPAIR; MRN COMPLEX; DNA-DAMAGE; CYCLIN-A; RADIATION; ROS; CARCINOMA; RESPONSES; SURVIVAL</t>
  </si>
  <si>
    <t>Radiotherapy resistance in patient with non-small cell lung cancer (NSCLC) reduces patient survival and remains a significant challenge for the treatment of NSCLC. Radiation resistance has been demonstrated to be affected by secreted factors, yet it remains unclear how autocrine secretions affect the radioresistance of NSCLC cells. In the present study, the NSCLC cell line, NCI-H460, was irradiated with -rays (4 Gy) and then cultured in medium from H460 cells or normal medium to examine the potential influence of cell secretions on the radiation resistance of H460 cells. Cell viability, accumulation of reactive oxygen species and DNA repair capacity were all markedly improved in the irradiated H460 cells that were cultured in conditioned medium (CM), compared with those cells cultured in normal medium. In addition, G2/M cell cycle arrest and upregulation of homologous recombination repair proteins were observed in the CM-treated cells, while exosomes secreted by H460 cells had no influence on the radiation resistance of H460 cells. Taken together, these results indicate that autocrine secretions enhance the radiation resistance of -irradiated H460 cells and that these secretions mainly affect the DNA repair process.</t>
  </si>
  <si>
    <t>[Wang, Shuang; Gao, Piaoyang; Li, Na; Wang, Jinhan; He, Ningning; Ji, Kaihua; Du, Liqing; Liu, Qiang] Chinese Acad Med Sci, Inst Radiat Med, Tianjin Key Lab Radiat Med &amp; Mol Nucl Med, 238 Baidi Rd, Tianjin 300192, Peoples R China; [Wang, Shuang; Gao, Piaoyang; Li, Na; Wang, Jinhan; He, Ningning; Ji, Kaihua; Du, Liqing; Liu, Qiang] Peking Union Med Coll, 238 Baidi Rd, Tianjin 300192, Peoples R China; [Wang, Shuang] Tianjin Med Univ Canc Inst &amp; Hosp, Dept Canc Prevent Ctr, Natl Clin Res Ctr Canc, Key Lab Canc Prevent &amp; Therapy, Tianjin 300060, Peoples R China; [Chen, Ping] Inner Mongolia Peoples Hosp, Dept Neurol, Hohhot 010017, Inner Mongolia, Peoples R China</t>
  </si>
  <si>
    <t>Chinese Academy of Medical Sciences - Peking Union Medical College; Institute of Radiation Medicine - CAMS; Chinese Academy of Medical Sciences - Peking Union Medical College; Peking Union Medical College; Tianjin Medical University</t>
  </si>
  <si>
    <t>Du, LQ; Liu, Q (corresponding author), Chinese Acad Med Sci, Inst Radiat Med, Tianjin Key Lab Radiat Med &amp; Mol Nucl Med, 238 Baidi Rd, Tianjin 300192, Peoples R China.;Du, LQ; Liu, Q (corresponding author), Peking Union Med Coll, 238 Baidi Rd, Tianjin 300192, Peoples R China.</t>
  </si>
  <si>
    <t>duliqing2004@126.com; liuqiang@irm-cams.ac.cn</t>
  </si>
  <si>
    <t>10.3892/ijo.2018.4620</t>
  </si>
  <si>
    <t>WOS:000451845400020</t>
  </si>
  <si>
    <t>Souibgui, E; Bruel, C; Choquer, M; de Vallee, A; Dieryckx, C; Dupuy, JW; Latorse, MP; Rascle, C; Poussereau, N</t>
  </si>
  <si>
    <t>Souibgui, Eytham; Bruel, Christophe; Choquer, Mathias; de Vallee, Amelie; Dieryckx, Cindy; Dupuy, Jean William; Latorse, Marie-Pascale; Rascle, Christine; Poussereau, Nathalie</t>
  </si>
  <si>
    <t>Clathrin Is Important for Virulence Factors Delivery in the Necrotrophic Fungus Botrytis cinerea</t>
  </si>
  <si>
    <t>FRONTIERS IN PLANT SCIENCE</t>
  </si>
  <si>
    <t>Botrytis cinerea; clathrin; virulence; infection cushion; secretomics</t>
  </si>
  <si>
    <t>AGROBACTERIUM-MEDIATED TRANSFORMATION; INSERTIONAL MUTAGENESIS; DEFENSE RESPONSE; GENE-EXPRESSION; ENDOCYTOSIS; IDENTIFICATION; TOOL; BIOGENESIS; PROTEIN; COLONIZATION</t>
  </si>
  <si>
    <t>Fungi are the most prevalent plant pathogens, causing annually important damages. To infect and colonize their hosts, they secrete effectors including hydrolytic enzymes able to kill and macerate plant tissues. These secreted proteins are transported from the Endoplasmic Reticulum and the Golgi apparatus to the extracellular space through intracellular vesicles. In pathogenic fungi, intracellular vesicles were described but their biogenesis and their role in virulence remain unclear. In this study, we report the essential role of clathrin heavy chain (CHC) in the pathogenicity of Botrytis cinerea, the agent of gray mold disease. To investigate the importance of this protein involved in coat vesicles formation in eukaryotic cells, a T-DNA insertional mutant reduced in the expression of the CHC-encoding gene, and a mutant expressing a dominant-negative form of CHC were studied. Both mutants were strongly affected in pathogenicity. Characterization of the mutants revealed altered infection cushions and an important defect in protein secretion. This study demonstrates the essential role of clathrin in the infectious process of a plant pathogenic fungus and more particularly its role in virulence factors delivery.</t>
  </si>
  <si>
    <t>[Souibgui, Eytham; Bruel, Christophe; Choquer, Mathias; de Vallee, Amelie; Dieryckx, Cindy; Rascle, Christine; Poussereau, Nathalie] Univ Lyon, UCBL, Bayer SAS, CNRS,UMR 5240,MAP,INSA Lyon, Lyon, France; [Dupuy, Jean William] Univ Bordeaux, Ctr Genom Fonct, Plateforme Proteome, Bordeaux, France; [Latorse, Marie-Pascale] Ctr Rech Dargoire Bayer SAS, Lyon, France</t>
  </si>
  <si>
    <t>Bayer AG; Centre National de la Recherche Scientifique (CNRS); CNRS - National Institute for Biology (INSB); Institut National des Sciences Appliquees de Lyon - INSA Lyon; UDICE-French Research Universities; Universite Claude Bernard Lyon 1; UDICE-French Research Universities; Universite de Bordeaux</t>
  </si>
  <si>
    <t>Poussereau, N (corresponding author), Univ Lyon, UCBL, Bayer SAS, CNRS,UMR 5240,MAP,INSA Lyon, Lyon, France.</t>
  </si>
  <si>
    <t>nathalie.poussereau@univ-lyon1.fr</t>
  </si>
  <si>
    <t>Dupuy, Jean-William JWD/F-5335-2012</t>
  </si>
  <si>
    <t>Dupuy, Jean-William JWD/0000-0002-2448-4797; CHOQUER, Mathias/0000-0002-3768-160X</t>
  </si>
  <si>
    <t>1664-462X</t>
  </si>
  <si>
    <t>JUN 16</t>
  </si>
  <si>
    <t>10.3389/fpls.2021.668937</t>
  </si>
  <si>
    <t>WOS:000668278600001</t>
  </si>
  <si>
    <t>St Vincent, MR; Colpitts, CC; Ustinov, AV; Muqadas, M; Joyce, MA; Barsby, NL; Epand, RF; Epand, RM; Khramyshev, SA; Valueva, OA; Korshun, VA; Tyrrell, DLJ; Schang, LM</t>
  </si>
  <si>
    <t>St Vincent, Mireille R.; Colpitts, Che C.; Ustinov, Alexey V.; Muqadas, Muhammad; Joyce, Michael A.; Barsby, Nicola L.; Epand, Raquel F.; Epand, Richard M.; Khramyshev, Stanislav A.; Valueva, Olga A.; Korshun, Vladimir A.; Tyrrell, D. Lorne J.; Schang, Luis M.</t>
  </si>
  <si>
    <t>Rigid amphipathic fusion inhibitors, small molecule antiviral compounds against enveloped viruses</t>
  </si>
  <si>
    <t>lipid bilayer fusion; DNA virus; RNA virus; Sindbis virus; nucleosides</t>
  </si>
  <si>
    <t>HERPES-SIMPLEX-VIRUS; MEMBRANE-FUSION; VIRAL FUSION; CURVATURE; MECHANISM; PROTEINS; ENTRY; 5-ALKYNYL-2'-DEOXYURIDINES; EXPRESSION; INFECTION</t>
  </si>
  <si>
    <t>Antiviral drugs targeting viral proteins often result in prompt selection for resistance. Moreover, the number of viral targets is limited. Novel antiviral targets are therefore needed. The unique characteristics of fusion between virion envelopes and cell membranes may provide such targets. Like all fusing bilayers, viral envelopes locally adopt hourglass-shaped stalks during the initial stages of fusion, a process that requires local negative membrane curvature. Unlike cellular vesicles, however, viral envelopes do not redistribute lipids between leaflets, can only use the energy released by virion proteins, and fuse to the extracellular leaflets of cell membranes. Enrichment in phospholipids with hydrophilic heads larger than their hydrophobic tails in the convex outer leaflet of vesicles favors positive curvature, therefore increasing the activation energy barrier for fusion. Such phospholipids can increase the activation barrier beyond the energy provided by virion proteins, thereby inhibiting viral fusion. However, phospholipids are not pharmacologically useful. We show here that a family of synthetic rigid amphiphiles of shape similar to such phospholipids, RAFIs (rigid amphipathic fusion inhibitors), inhibit the infectivity of several otherwise unrelated enveloped viruses, including hepatitis C and HSV-1 and -2 (lowest apparent IC50 48 nM), with no cytotoxic or cytostatic effects (selectivity index &gt; 3,000) by inhibiting the increased negative curvature required for the initial stages of fusion.</t>
  </si>
  <si>
    <t>[Colpitts, Che C.; Joyce, Michael A.; Barsby, Nicola L.; Tyrrell, D. Lorne J.; Schang, Luis M.] Univ Alberta, Dept Med Microbiol &amp; Immunol, Edmonton, AB T6G 2S2, Canada; [Colpitts, Che C.; Joyce, Michael A.; Barsby, Nicola L.; Tyrrell, D. Lorne J.; Schang, Luis M.] Univ Alberta, Li Ka Shing Inst Virol, Edmonton, AB T6G 2S2, Canada; [Ustinov, Alexey V.; Khramyshev, Stanislav A.; Valueva, Olga A.; Korshun, Vladimir A.] Russian Acad Sci, Shemyakin Ovchinnikov Inst Bioorgan Chem, Moscow 117997, Russia; [Epand, Raquel F.; Epand, Richard M.] McMaster Univ Hlth Sci Ctr, Dept Biochem &amp; Biomed Sci, Hamilton, ON L8N 3Z5, Canada; [St Vincent, Mireille R.; Muqadas, Muhammad; Schang, Luis M.] Univ Alberta, Dept Biochem, Edmonton, AB T6G 2S2, Canada</t>
  </si>
  <si>
    <t>University of Alberta; University of Alberta; Russian Academy of Sciences; Institute of Bioorganic Chemistry of the Russian Academy of Sciences; McMaster University; University of Alberta</t>
  </si>
  <si>
    <t>Schang, LM (corresponding author), Univ Alberta, Dept Biochem, Edmonton, AB T6G 2S2, Canada.</t>
  </si>
  <si>
    <t>luis.schang@ualberta.ca</t>
  </si>
  <si>
    <t>, Richard/R-2316-2019; Schang, Luis/F-9576-2012; Korshun, Vladimir/E-7912-2014; Ustinov, Alexey/E-8166-2014; Colpitts, Che C./AAD-2768-2019</t>
  </si>
  <si>
    <t>, Richard/0000-0002-9602-9558; Korshun, Vladimir/0000-0001-9436-6561; Ustinov, Alexey/0000-0002-9893-4498; Colpitts, Che C./0000-0003-2474-1834; Schang, Luis Maria/0000-0002-5789-8590</t>
  </si>
  <si>
    <t>OCT 5</t>
  </si>
  <si>
    <t>10.1073/pnas.1010026107</t>
  </si>
  <si>
    <t>WOS:000282512000053</t>
  </si>
  <si>
    <t>Gong, Y; Kong, TT; Ren, X; Chen, J; Lin, SM; Zhang, YL; Li, SK</t>
  </si>
  <si>
    <t>Gong, Yi; Kong, Tongtong; Ren, Xin; Chen, Jiao; Lin, Shanmeng; Zhang, Yueling; Li, Shengkang</t>
  </si>
  <si>
    <t>Exosome-mediated apoptosis pathway during WSSV infection in crustacean mud crab</t>
  </si>
  <si>
    <t>HEPATITIS-C VIRUS; ANTIVIRAL RESPONSE; FACTOR AIF; CELLS; BIOGENESIS; MICRORNAS; CANCER; COMMUNICATION; TRANSLOCATION; PROTEINS</t>
  </si>
  <si>
    <t>MicroRNAs are regulatory molecules that can be packaged into exosomes to modulate cellular response of recipients. While the role of exosomes during viral infection is beginning to be appreciated, the involvement of exosomal miRNAs in immunoregulation in invertebrates has not been addressed. Here, we observed that exosomes released from WSSV-injected mud crabs could suppress viral replication by inducing apoptosis of hemocytes. Besides, miR-137 and miR-7847 were found to be less packaged in mud crab exosomes during viral infection, with both miR-137 and miR-7847 shown to negatively regulate apoptosis by targeting the apoptosis-inducing factor (AIF). Our data also revealed that AIF translocated to the nucleus to induce DNA fragmentation, and could competitively bind to HSP70 to disintegrate the HSP70-Bax (Bcl-2-associated X protein) complex, thereby activating the mitochondria apoptosis pathway by freeing Bax. The present finding therefore provides a novel mechanism that underlies the crosstalk between exosomal miRNAs and apoptosis pathway in innate immune response in invertebrates. Author summary As a form of intercellular vesicular transport, exosomes are widely involved in the regulation of a variety of pathological processes in mammals, yet, the role of exosomes during virus infection in crustaceans remains unknown. In the present study, we identified the miRNAs packaged by exosomes that were possibly involved in WSSV infection by mediating hemocytes apoptosis in crustacean mud crab Scylla paramamosain. The results revealed that exosomes released from WSSV-injected mud crabs could suppress viral replication by inducing hemocytes apoptosis. Moreover, it was found that miR-137 and miR-7847 were less packaged in exosomes after WSSV challenge, resulting in the activation of AIF, while AIF could translocate to nucleus to induce DNA fragmentation or disintegrate the HSP70-Bax complex and freeing Bax to mitochondria, which eventually caused apoptosis and suppressed viral infection of the recipient hemocytes. Our finding is the first to reveal the involvement of exosomal miRNAs in antiviral immune response in mud crabs, which shows a novel molecular mechanism of invertebrate resistance to pathogenic microbial infection.</t>
  </si>
  <si>
    <t>[Gong, Yi; Kong, Tongtong; Ren, Xin; Chen, Jiao; Lin, Shanmeng; Zhang, Yueling; Li, Shengkang] Shantou Univ, Guangdong Prov Key Lab Marine Biol, Shantou, Peoples R China; [Gong, Yi; Kong, Tongtong; Ren, Xin; Chen, Jiao; Lin, Shanmeng; Zhang, Yueling; Li, Shengkang] Shantou Univ, Inst Marine Sci, Shantou, Peoples R China; [Gong, Yi; Kong, Tongtong; Ren, Xin; Chen, Jiao; Lin, Shanmeng; Zhang, Yueling; Li, Shengkang] Southern Marine Sci &amp; Engn Guangdong Lab, Guangzhou, Peoples R China; [Gong, Yi; Zhang, Yueling; Li, Shengkang] Shantou Univ, STU UMT Joint Shellfish Res Lab, Shantou, Peoples R China</t>
  </si>
  <si>
    <t>Shantou University; Shantou University; Shantou University</t>
  </si>
  <si>
    <t>Li, SK (corresponding author), Shantou Univ, Guangdong Prov Key Lab Marine Biol, Shantou, Peoples R China.;Li, SK (corresponding author), Shantou Univ, Inst Marine Sci, Shantou, Peoples R China.;Li, SK (corresponding author), Southern Marine Sci &amp; Engn Guangdong Lab, Guangzhou, Peoples R China.;Li, SK (corresponding author), Shantou Univ, STU UMT Joint Shellfish Res Lab, Shantou, Peoples R China.</t>
  </si>
  <si>
    <t>lisk@stu.edu.cn</t>
  </si>
  <si>
    <t>e1008366</t>
  </si>
  <si>
    <t>10.1371/journal.ppat.1008366</t>
  </si>
  <si>
    <t>WOS:000538054300048</t>
  </si>
  <si>
    <t>Gold, B; Cankovic, M; Furtado, LV; Meier, F; Gocke, CD</t>
  </si>
  <si>
    <t>Gold, Bert; Cankovic, Milena; Furtado, Larissa V.; Meier, Frederick; Gocke, Christopher D.</t>
  </si>
  <si>
    <t>Do Circulating Tumor Cells, Exosomes, and Circulating Tumor Nucleic Acids Have Clinical Utility? A Report of the Association for Molecular Pathology</t>
  </si>
  <si>
    <t>LUNG-CANCER PATIENTS; METASTATIC BREAST-CANCER; K-RAS MUTATIONS; PRIMARY COLORECTAL CANCERS; SERUM MICRORNA EXPRESSION; RESISTANT PROSTATE-CANCER; PLASMA DNA; PERIPHERAL-BLOOD; MICROSATELLITE ALTERATIONS; PROMOTER HYPERMETHYLATION</t>
  </si>
  <si>
    <t>Diagnosing and screening for tumors through noninvasive means represent an important paradigm shift in precision medicine. In contrast to tissue biopsy, detection of circulating tumor cells (CTCs) and circulating tumor nucleic acids provides a minimally invasive method for predictive and prognostic marker detection. This allows early and serial assessment of metastatic disease, including follow-up during remission, characterization of treatment effects, and clonal evolution. Isolation and characterization of CTCs and circulating tumor DNA (ctDNA) are likely to improve cancer diagnosis, treatment, and minimal residual disease monitoring. However, more trials are required to validate the clinical utility of precise molecular markers for a variety of tumor types. This review focuses on the clinical utility of CTCs and ctDNA testing in patients with solid tumors, including somatic and epigenetic alterations that can be detected. A comparison of methods used to isolate and detect CTCs and some of the intricacies of the characterization of the ctDNA are also provided.</t>
  </si>
  <si>
    <t>[Gold, Bert; Cankovic, Milena; Furtado, Larissa V.; Meier, Frederick; Gocke, Christopher D.] Circulating Tumor Cells Working Grp, Clin Practice Comm, Associat Mol Pathol, Bethesda, MD USA; [Gold, Bert] NIH, Ctr Canc Res, Frederick, MD 21702 USA; [Cankovic, Milena; Meier, Frederick] Henry Ford Hosp, Dept Pathol, Detroit, MI 48202 USA; [Furtado, Larissa V.] Univ Chicago, Med Ctr, Dept Pathol, Chicago, IL 60637 USA; [Gocke, Christopher D.] Johns Hopkins Univ, Sch Med, Dept Pathol, Baltimore, MD 21205 USA</t>
  </si>
  <si>
    <t>National Institutes of Health (NIH) - USA; NIH National Cancer Institute (NCI); Henry Ford Hospital; University of Chicago; University of Chicago Medical Center; Johns Hopkins University</t>
  </si>
  <si>
    <t>Gold, B (corresponding author), NIH, Ctr Canc Res, 1050 Boyles St, Frederick, MD 21702 USA.</t>
  </si>
  <si>
    <t>bert.gold@nih.gov</t>
  </si>
  <si>
    <t>10.1016/j.jmoldx.2015.02.001</t>
  </si>
  <si>
    <t>WOS:000353843900001</t>
  </si>
  <si>
    <t>Kang, KKM; Muralidharan, K; Yekula, A; Small, JL; Rosh, ZS; Jones, PS; Carter, BS; Balaj, L</t>
  </si>
  <si>
    <t>Kang, Keiko M.; Muralidharan, Koushik; Yekula, Anudeep; Small, Julia L.; Rosh, Zachary S.; Jones, Pamela S.; Carter, Bob S.; Balaj, Leonora</t>
  </si>
  <si>
    <t>Blood-Based Detection of BRAF V600E in Gliomas and Brain Tumor Metastasis</t>
  </si>
  <si>
    <t>brain tumor; glioma; brain tumor metastasis; melanoma; liquid biopsy; cfDNA (cell free DNA); extracellular vesicles</t>
  </si>
  <si>
    <t>Simple Summary The BRAF V600E mutation has been identified as a key driver in brain tumors and brain tumor metastasis. The ability to detect this mutation in a minimally invasive plasma assay offers advantages over traditional tissue-based biopsy for the disease diagnosis and monitoring. The aim of this study was to develop an assay for the detection of BRAF V600E in the plasma of patients with brain tumors and brain tumor metastasis. We demonstrate BRAF V600E detection using a novel plasma-based ddPCR assay. We detect the mutation in circulating nucleic acids in 4/5 patients with mutant gliomas and metastatic melanoma. We also show correlation between plasma BRAF V600E and clinical status. This proof of principle study is important in the context of application of liquid biopsy in plasma to the neuro-oncologic field. The assay may be useful as a diagnostic adjunct, prognostication tool, and method for monitoring of disease and treatment response. Liquid biopsy provides a minimally invasive platform for the detection of tumor-derived information, including hotspot mutations, such as BRAF V600E. In this study, we provide evidence of the technical development of a ddPCR assay for the detection of BRAF V600E mutations in the plasma of patients with glioma or brain metastasis. In a small patient cohort (n = 9, n = 5 BRAF V600E, n = 4 BRAF WT, n = 4 healthy control), we were able to detect the BRAF V600E mutation in the plasma of 4/5 patients with BRAF V600E-tissue confirmed mutant tumors, and none of the BRAF WT tumors. We also provide evidence in two metastatic patients with longitudinal monitoring, where the plasma-based BRAF V600E mutation correlated with clinical disease status. This proof of principle study demonstrates the potential of this assay to serve as an adjunctive tool for the detection, monitoring, and molecular characterization of BRAF mutant gliomas and brain metastasis.</t>
  </si>
  <si>
    <t>[Kang, Keiko M.; Muralidharan, Koushik; Yekula, Anudeep; Small, Julia L.; Rosh, Zachary S.; Jones, Pamela S.; Carter, Bob S.; Balaj, Leonora] Massachusetts Gen Hosp, Dept Neurosurg, Boston, MA 02115 USA; [Kang, Keiko M.; Muralidharan, Koushik; Yekula, Anudeep; Small, Julia L.; Rosh, Zachary S.; Jones, Pamela S.; Carter, Bob S.; Balaj, Leonora] Harvard Med Sch, Boston, MA 02115 USA; [Kang, Keiko M.] Univ Calif San Diego, Sch Med, San Diego, CA 92092 USA</t>
  </si>
  <si>
    <t>Harvard University; Massachusetts General Hospital; Harvard University; Harvard Medical School; University of California System; University of California San Diego</t>
  </si>
  <si>
    <t>Carter, BS; Balaj, L (corresponding author), Massachusetts Gen Hosp, Dept Neurosurg, Boston, MA 02115 USA.;Carter, BS; Balaj, L (corresponding author), Harvard Med Sch, Boston, MA 02115 USA.</t>
  </si>
  <si>
    <t>keikok11@gmail.com; kmuralidharan@mgh.harvard.edu; AYEKULA@mgh.harvard.edu; julia.small12@gmail.com; Zrosh@mgh.harvard.edu; psjones@partners.org; bcarter@mgh.harvard.edu; Balaj.Leonora@mgh.harvard.edu</t>
  </si>
  <si>
    <t>Balaj, Leonora/0000-0003-0931-9715; Yekula, Anudeep/0000-0002-0713-0292; Small, Julia L./0000-0001-7135-6299</t>
  </si>
  <si>
    <t>10.3390/cancers13061227</t>
  </si>
  <si>
    <t>WOS:000634356500001</t>
  </si>
  <si>
    <t>Le, TM; Morimoto, N; Ly, NTM; Mitsui, T; Notodihardjo, SC; Ogino, S; Arata, J; Kakudo, N; Kusumoto, K</t>
  </si>
  <si>
    <t>Le, Tien Minh; Morimoto, Naoki; Ly, Nhung Thi My; Mitsui, Toshihito; Notodihardjo, Sharon Claudia; Ogino, Shuichi; Arata, Jun; Kakudo, Natsuko; Kusumoto, Kenji</t>
  </si>
  <si>
    <t>Ex vivo Induction of Apoptotic Mesenchymal Stem Cell by High Hydrostatic Pressure</t>
  </si>
  <si>
    <t>Apoptosis; Extracellular vesicles; Mesenchymal stem cell (MSC); High hydrostatic pressure (HHP); Tissue engineering</t>
  </si>
  <si>
    <t>FRAGMENTATION; PATHWAYS; GROWTH; DEATH</t>
  </si>
  <si>
    <t>Among promising solutions for tissue repair and wound healing, mesenchymal stem (or stromal) cells (MSCs) have been a focus of attention and have become the most clinically studied experimental cell therapy. Recent studies reported the importance of apoptosis in MSC-mediated immunomodulation, in which apoptotic MSCs (apoMSCs) were shown to be superior to living MSCs. Nowadays, high hydrostatic pressure (HHP), a physical technique that uses only fluid pressure, has been developed and applied in various bioscience fields, including biotechnology, biomaterials, and regenerative medicine, as its safe and simply operation. In the current study, we investigated the impact of HHP treatment on human bone marrow-MSC survival and proliferation. Based on the detection of executioner caspase activation, phosphatidylserine exposure, DNA fragmentation (TUNEL) and irrefutable ultrastructural morphological changes on transmission electron microscopy (TEM), our data revealed that HHP treatment induced complete apoptosis in MSCs. Notably, this technique might provide manipulated products for use in cell-based therapies as manufacturing capability expands. We hope that our findings will contribute to the improvement of MSCs or EVs in translational research development. Graphical</t>
  </si>
  <si>
    <t>[Le, Tien Minh; Mitsui, Toshihito; Notodihardjo, Sharon Claudia; Kakudo, Natsuko; Kusumoto, Kenji] Kansai Med Univ, Dept Plast &amp; Reconstruct Surg, 2-5-1 Shin Machi, Hirakata, Osaka 5731010, Japan; [Le, Tien Minh] SAIGON Int Trauma Orthopaed SAIGON ITO Hosp, Dept Orthopaed, 140C Nguyen Trong Tuyen, Ho Chi Minh City 72217, Vietnam; [Morimoto, Naoki; Ogino, Shuichi; Arata, Jun] Kyoto Univ, Grad Sch Med, Dept Plast &amp; Reconstruct Surg, Sakyo Ku, 54 Kawaharacho, Kyoto 6068507, Japan; [Ly, Nhung Thi My] Kansai Med Univ, Dept Dermatol, 2-5-1 Shin Machi, Hirakata, Osaka 5731010, Japan</t>
  </si>
  <si>
    <t>Kansai Medical University; Kyoto University; Kansai Medical University</t>
  </si>
  <si>
    <t>Morimoto, N (corresponding author), Kyoto Univ, Grad Sch Med, Dept Plast &amp; Reconstruct Surg, Sakyo Ku, 54 Kawaharacho, Kyoto 6068507, Japan.</t>
  </si>
  <si>
    <t>mnaoki22@kuhp.kyoto-u.ac.jp</t>
  </si>
  <si>
    <t>Le, Tien Minh/0000-0003-4470-8433; Morimoto, Naoki/0000-0002-0712-3172</t>
  </si>
  <si>
    <t>10.1007/s12015-020-10071-0</t>
  </si>
  <si>
    <t>WOS:000585682200001</t>
  </si>
  <si>
    <t>Yan, W; Wu, XW; Zhou, WY; Fong, MY; Cao, MH; Liu, J; Liu, XJ; Chen, CH; Fadare, O; Pizzo, DP; Wu, JW; Liu, L; Liu, XX; Chin, AR; Ren, XB; Chen, Y; Locasale, JW; Wang, SE</t>
  </si>
  <si>
    <t>Yan, Wei; Wu, Xiwei; Zhou, Weiying; Fong, Miranda Y.; Cao, Minghui; Liu, Juan; Liu, Xiaojing; Chen, Chih-Hong; Fadare, Oluwole; Pizzo, Donald P.; Wu, Jiawen; Liu, Liang; Liu, Xuxiang; Chin, Andrew R.; Ren, Xiubao; Chen, Yuan; Locasale, Jason W.; Wang, Shizhen Emily</t>
  </si>
  <si>
    <t>Cancer-cell-secreted exosomal miR-105 promotes tumour growth through the MYC-dependent metabolic reprogramming of stromal cells</t>
  </si>
  <si>
    <t>EXTRACELLULAR VESICLES; GLUTAMINE-SYNTHETASE; PANCREATIC-CANCER; REPRESSOR SIN3; METASTASIS; FIBROBLASTS; EXPRESSION; NICHE; MXI1; DNA</t>
  </si>
  <si>
    <t>Cancer and other cells residing in the same niche engage various modes of interactions to synchronize and buffer the negative effects of environmental changes. Extracellular microRNAs (miRNAs) have recently been implicated in the intercellular crosstalk. Here we show a mechanistic model involving breast-cancer-secreted, extracellular-vesicle-encapsulated miR-105, which is induced by the oncoprotein MYC in cancer cells and, in turn, activates MYC signalling in cancer-associated fibroblasts (CAFs) to induce a metabolic program. This results in the capacity of CAFs to display different metabolic features in response to changes in the metabolic environment. When nutrients are sufficient, miR-105-reprogrammed CAFs enhance glucose and glutamine metabolism to fuel adjacent cancer cells. When nutrient levels are low and metabolic by-products accumulate, these CAFs detoxify metabolic wastes, including lactic acid and ammonium, by converting them into energy-rich metabolites. Thus, the miR-105-mediated metabolic reprogramming of stromal cells contributes to sustained tumour growth by conditioning the shared metabolic environment.</t>
  </si>
  <si>
    <t>[Yan, Wei; Fong, Miranda Y.; Cao, Minghui; Fadare, Oluwole; Pizzo, Donald P.; Wu, Jiawen; Wang, Shizhen Emily] Univ Calif San Diego, Dept Pathol, La Jolla, CA 92093 USA; [Zhou, Weiying; Fong, Miranda Y.] City Hope Natl Med Ctr, Beckman Res Inst, Dept Mol &amp; Cellular Biol, Duarte, CA USA; [Zhou, Weiying; Fong, Miranda Y.] City Hope Natl Med Ctr, Beckman Res Inst, Dept Canc Biol, Duarte, CA USA; [Zhou, Weiying] Chongqing Med Univ, Sch Pharm, Chongqing, Peoples R China; [Liu, Juan; Liu, Xiaojing; Locasale, Jason W.] Duke Univ, Dept Pharmacol &amp; Canc Biol, Durham, NC USA; [Chen, Chih-Hong; Chen, Yuan] City Hope Natl Med Ctr, Beckman Res Inst, Dept Mol Med, Duarte, CA USA; [Liu, Liang; Ren, Xiubao] Tianjin Med Univ, Canc Inst &amp; Hosp, Dept Immunol &amp; Biotherapy, Tianjin, Peoples R China; [Liu, Xuxiang; Chin, Andrew R.] City Hope Irell, Duarte, CA USA; [Liu, Xuxiang; Chin, Andrew R.] Manella Grad Sch Biol Sci, Duarte, CA USA; [Wang, Shizhen Emily] Univ Calif San Diego, Moores Canc Ctr, La Jolla, CA 92093 USA</t>
  </si>
  <si>
    <t>University of California System; University of California San Diego; City of Hope; Beckman Research Institute of City of Hope; City of Hope; Beckman Research Institute of City of Hope; Chongqing Medical University; Duke University; City of Hope; Beckman Research Institute of City of Hope; Tianjin Medical University; University of California System; University of California San Diego</t>
  </si>
  <si>
    <t>Wang, SE (corresponding author), Univ Calif San Diego, Dept Pathol, La Jolla, CA 92093 USA.;Wang, SE (corresponding author), Univ Calif San Diego, Moores Canc Ctr, La Jolla, CA 92093 USA.</t>
  </si>
  <si>
    <t>emilywang@ucsd.edu</t>
  </si>
  <si>
    <t>Locasale, Jason W/ABE-6505-2020; cao, minghui/AAU-2305-2021</t>
  </si>
  <si>
    <t>Locasale, Jason W/0000-0002-7766-3502; Liu, Xiaojing/0000-0002-4231-6017; Yan, Wei/0000-0003-3978-7675; Zhou, Weiying/0000-0001-8057-8379</t>
  </si>
  <si>
    <t>10.1038/s41556-018-0083-6</t>
  </si>
  <si>
    <t>WOS:000431064700016</t>
  </si>
  <si>
    <t>Braunagel, SC; Parr, R; Belyavskyi, M; Summers, MD</t>
  </si>
  <si>
    <t>Autographa californica nucleopolyhedrovirus infection results in Sf9 cell cycle arrest at G(2)/M phase</t>
  </si>
  <si>
    <t>NUCLEAR POLYHEDROSIS-VIRUS; SPODOPTERA-FRUGIPERDA CELLS; STRUCTURAL PROTEINS; TRICHOPLUSIA-NI; ORGYIA-PSEUDOTSUGATA; TEMPORAL EXPRESSION; ENVELOPE; GENE; CULTURES; MITOSIS</t>
  </si>
  <si>
    <t>Baculovirus infection results in the induction of membrane structures within the nucleoplasm of the host cells. The source of these membranes is unclear; however, using the normal dynamics of cellular membranes and the nuclear envelope as a model, it is possible that the cell cycle might play a role in the regulation of formation of these intranuclear membranes. Therefore, one goal of this study was to investigate the effect of baculovirus infection on the cell cycle of Sf9 host cells. Since few data are available on the cell cycle of insect cells, the first task was to define Sf9 cell cycle kinetics. The cell cycle phase distribution of Sf9 cells grown in suspension culture was determined to be evenly distributed (29% of the cells in G(1), 33% in S, and 36% in G(2)/M phase), with the duration of G(1) and S phases both being about 6 h and the combined duration of G(2)/M phase being about 8 h. When Sf9 cells were infected with AcMNPV (Autographa californica nuclear polyhedrosis virus), approximately 84% of the cells were arrested in G(2)/M phase by 18-24 h p.i. Concomitant with the viral-induced arrest in G(2)/M phase, high levels of both cdc2-associated histone H1 kinase activity and cyclin B protein were detected. By 24 h p.i. cyclin B was no longer detected; however, cdc2-associated histone H1 kinase activity remained throughout the infection. These data suggested that early in infection, cyclin B/cdc2 complex may be used to regulate the transition from G(2) to M phase, but prolonged arrest may be due to a protein(s) encoded by AcMNPV. DNA hybridization analysis showed that the maximal rate of viral DNA replication occurred before G(2)/M arrest. We noted that viral DNA replication still occurred late in infection, when the majority of the cells were arrested in G(2)/M phase. Since cellular DNA replication normally does not occur during G(2) or M phase, experiments were designed to determine if viral DNA replication could occur even when host cell DNA replication was arrested. Sf9 cells were arrested and frozen at the boundary of G(1)/S phase using 5-fluoro-2'deoxyuridine (FdUrd) treatment and then infected with AcMNPV. In the blocked, infected cells, viral DNA replication was detected; however, cellular DNA remained at steady-state levels. These results suggested that cellular DNA replication was not necessary for viral DNA replication and show that viral DNA replication was not significantly inhibited by FdUrd treatment. It was a surprise to detect viral DNA replication when the host cells were frozen at G(1)/S phase. We wanted to determine if the viral infection was progressing to the stage of progeny virus production. Our data showed that progeny budded virus (BV) and virus-induced intranuclear microvesicles were produced in the frozen, infected cells; however, the intranuclear microvesicles had an unusual structure. They were irregular in shape and thickened compared to those observed in a normal infection. Very few enveloped nucleocapsids were visible in the nucleus of the frozen, infected cells and the occluded-derived virus envelope proteins, ODV-E66 and ODV-EC27, were not detected by Western blot analyses, Since the cells were sustained at the boundary of G(1) and S phases for the duration of this experiment, the decreased amount of enveloped ODV in the nucleus could be due to several factors, including decreased levels of proteins expressed from late genes, aberrant microvesicles, or the necessity of G(2)/M phasing of the infected cell for efficient production and maturation of intranuclear microvesicles. These data indicate that AcMNPV infection results in cell cycle arrest in G(2)/M phase and this arrest may be due to a viral-encoded protein(s) that has cdc2-associated kinase activity. We note that progeny BV are produced even when infected cells are arrested at the border of G(1) and S phases by drug treatment (FdUrd), indicating that arrest in G(2)/M may not be required for the maturation of BV. Intranuclear microvesicles are also produced in FDUrd-arrested cells; however, they have an unusual appearance and it may be that the G(2)/M arrest is important for optimal maturation and assembly of ODV. (C) 1998 Academic Press.</t>
  </si>
  <si>
    <t>Texas A&amp;M Univ, Dept Entomol, College Stn, TX 77843 USA; Texas A&amp;M Univ, Texas Agr Expt Stn, College Stn, TX 77843 USA</t>
  </si>
  <si>
    <t>Texas A&amp;M University System; Texas A&amp;M University College Station; Texas A&amp;M University System; Texas A&amp;M University College Station; Texas A&amp;M AgriLife Research</t>
  </si>
  <si>
    <t>Summers, MD (corresponding author), Texas A&amp;M Univ, Dept Entomol, College Stn, TX 77843 USA.</t>
  </si>
  <si>
    <t>APR 25</t>
  </si>
  <si>
    <t>10.1006/viro.1998.9097</t>
  </si>
  <si>
    <t>WOS:000073529300020</t>
  </si>
  <si>
    <t>Adamczyk, P; Zenkert, C; Balasubramanian, PG; Yamada, S; Murakoshi, S; Sugahara, K; Hwang, JS; Gojobori, T; Holstein, TW; Ozbek, S</t>
  </si>
  <si>
    <t>Adamczyk, Patrizia; Zenkert, Claudia; Balasubramanian, Prakash G.; Yamada, Shuhei; Murakoshi, Saori; Sugahara, Kazuyuki; Hwang, Jung Shan; Gojobori, Takashi; Holstein, Thomas W.; Ozbek, Suat</t>
  </si>
  <si>
    <t>A Non-sulfated Chondroitin Stabilizes Membrane Tubulation in Cnidarian Organelles</t>
  </si>
  <si>
    <t>PROTEIN LINKAGE REGION; CENTRAL-NERVOUS-SYSTEM; CAENORHABDITIS-ELEGANS; CELL-DIVISION; HYDRA; PROTEOGLYCANS; NEMATOCYSTS; SULFATE; DIFFERENTIATION; IDENTIFICATION</t>
  </si>
  <si>
    <t>Membrane tubulation is generally associated with rearrangements of the cytoskeleton and other cytoplasmic factors. Little is known about the contribution of extracellular matrix components to this process. Here, we demonstrate an essential role of proteoglycans in the tubulation of the cnidarian nematocyst vesicle. The morphogenesis of this extrusive organelle takes place inside a giant post-Golgi vesicle, which topologically represents extracellular space. This process includes the formation of a complex collagenous capsule structure that elongates into a long tubule, which invaginates after its completion. We show that a non-sulfated chondroitin appears as a scaffold in early morphogenesis of all nematocyst types in Hydra and Nematostella. It accompanies the tubulation of the vesicle membrane forming a provisional tubule structure, which after invagination matures by collagen incorporation. Inhibition of chondroitin synthesis by beta-xylosides arrests nematocyst morphogenesis at different stages of tubule outgrowth resulting in retention of tubule material and a depletion of mature capsules in the tentacles of hydra. Our data suggest a conserved role of proteoglycans in the stabilization of a membrane protrusion as an essential step in organelle morphogenesis.</t>
  </si>
  <si>
    <t>[Yamada, Shuhei; Murakoshi, Saori; Sugahara, Kazuyuki] Hokkaido Univ, Fac Adv Life Sci, Lab Proteoglycan Signaling &amp; Therapeut, Grad Sch Life Sci,Kita Ku, Sapporo, Hokkaido 0010021, Japan; [Holstein, Thomas W.; Ozbek, Suat] Univ Heidelberg, Dept Mol Evolut &amp; Genom, Inst Zool, D-69120 Heidelberg, Germany; [Hwang, Jung Shan; Gojobori, Takashi] Natl Inst Genet, Ctr Informat Biol, Mishima, Shizuoka 4118540, Japan; [Hwang, Jung Shan; Gojobori, Takashi] Natl Inst Genet, DNA Data Bank Japan, Mishima, Shizuoka 4118540, Japan</t>
  </si>
  <si>
    <t>Hokkaido University; Ruprecht Karls University Heidelberg; Research Organization of Information &amp; Systems (ROIS); National Institute of Genetics (NIG) - Japan; Research Organization of Information &amp; Systems (ROIS); National Institute of Genetics (NIG) - Japan</t>
  </si>
  <si>
    <t>Sugahara, K (corresponding author), Hokkaido Univ, Fac Adv Life Sci, Lab Proteoglycan Signaling &amp; Therapeut, Grad Sch Life Sci,Kita Ku, Nishi 11 Choume,Kita 21-Jo, Sapporo, Hokkaido 0010021, Japan.</t>
  </si>
  <si>
    <t>k-sugar@sci.hokudai.ac.jp; soezbek@zoo.uni-heidelberg.de</t>
  </si>
  <si>
    <t>Hwang, Jung Shan/AAJ-3014-2020; Özbek, Suat/D-3701-2014</t>
  </si>
  <si>
    <t>Hwang, Jung Shan/0000-0002-0908-2036; Ozbek, Suat/0000-0003-2569-3942; Holstein, Thomas/0000-0003-0480-4674</t>
  </si>
  <si>
    <t>10.1074/jbc.M110.107904</t>
  </si>
  <si>
    <t>WOS:000280682400055</t>
  </si>
  <si>
    <t>Romanello, M; Codognotto, A; Bicego, M; Pines, A; Tell, G; D'Andrea, P</t>
  </si>
  <si>
    <t>Autocrine/paracrine stimulation of purinergic receptors in osteoblasts: Contribution of vesicular ATP release</t>
  </si>
  <si>
    <t>ATP; calcium; secretion; purinoreceptors</t>
  </si>
  <si>
    <t>SYSTEMIC RESPONSES; EXTRACELLULAR ATP; CELL-LINE; MECHANISM; MONENSIN; ACTIVATION; EXOCYTOSIS; SECRETION; PATHWAY; GAP</t>
  </si>
  <si>
    <t>Extracellular nucleotides such as ATP and UTP are released in response to mechanical stimulation in different cell systems. It is becoming increasingly evident that ATP release plays a role in autocrine and paracrine stimulation of osteoblasts. Mechanical stimulation. as shear stress, membrane stretch or hypo-osmotic swelling. as well as oscillatory fluid flow, stimulates ATP release from different osteoblastic cell lines. Human osteoblast-like initial transfectant (HOBIT) cells release ATP in response to mechanical stimulation. In the present study, we show that HOBIT cells are activated by nanomolar levels of extracellular ATP, concentrations that can be detected under resting conditions and increase following hypotonic shock. Cell activation by hypotonic medium induced intracellular Ca2+ oscillations, and Egr-1 synthesis and DNA-binding activity. Quinacrine staining of living, resting cells revealed a granular fluorescence, typical of ATP-storing vesicles. Monensin prevented quinacrine staining and considerably inhibited hypotonic-induced ATP release. Finally, elevated levels of cytosolic Ca2+ activated massive ATP release and a dose-dependent loss of quinacrine granules. The contribution of a vesicular mechanism for ATP release is proposed to sustain paracrine osteoblast activation. (c) 2005 Elsevier Inc. All rights reserved.</t>
  </si>
  <si>
    <t>Univ Trieste, Dept Biochem, I-34100 Trieste, Italy; Univ Udine, Dept Biomed Sci &amp; Technol, I-33100 Udine, Italy</t>
  </si>
  <si>
    <t>University of Trieste; University of Udine</t>
  </si>
  <si>
    <t>D'Andrea, P (corresponding author), Univ Trieste, Dept Biochem, Via L Giorgeri 1, I-34100 Trieste, Italy.</t>
  </si>
  <si>
    <t>dandrea@bbcm.units.it</t>
  </si>
  <si>
    <t>RAHI, DEEPALI/GMW-8189-2022</t>
  </si>
  <si>
    <t>Tell, Gianluca/0000-0001-8845-6448</t>
  </si>
  <si>
    <t>10.1016/j.bbrc.2005.03.246</t>
  </si>
  <si>
    <t>WOS:000229234500074</t>
  </si>
  <si>
    <t>Le Rhun, E; Seoane, J; Salzet, M; Soffietti, R; Weller, M</t>
  </si>
  <si>
    <t>Le Rhun, Emilie; Seoane, Joan; Salzet, Michel; Soffietti, Riccardo; Weller, Michael</t>
  </si>
  <si>
    <t>Liquid biopsies for diagnosing and monitoring primary tumors of the central nervous system</t>
  </si>
  <si>
    <t>Biopsy; Brain; CSF; Glioma; Liquid; Plasma; Tumor</t>
  </si>
  <si>
    <t>CEREBROSPINAL-FLUID; URINARY 2-HYDROXYGLUTARATE; MICRORNA SIGNATURE; BRAIN-TUMORS; DNA; METHYLATION; BIOMARKER; EXOSOMES; CANCER; GLIOMA</t>
  </si>
  <si>
    <t>Obtaining diagnostic specimens, notably to monitor disease course in cancer patients undergoing therapy, is an emerging area of research, however, with few clinical implications so far in the field of Neuro-oncology. Specifically for patients with primary brain tumors where repeat biosampling from the tumor and clinical decision making based on neuroimaging alone remain challenging, this area may assume a central role. In principle, sampling could focus on blood, cerebrospinal fluid or urine with differential sensitivities and specificities of findings that differ between specific parameters and target molecules. These include protein, mRNA, miRNA, cell-free DNA, either freely circulating or as cargo of extracellular vesicles, as well circulating tumor cells. The most solid biomarkers are those directly reflecting neoplastic disease, e.g., in the case of primary brain tumors isocitrate dehydrogenase mutation or epidermal growth factor receptor variant III. Importantly, the main goals of liquid biopsy marker development are to better understand response to therapy, natural evolution and emergence of resistant clones, rather than obviating the need for surgical interventions which remain to be a mainstay of therapy for the vast majority of primary brain tumors.</t>
  </si>
  <si>
    <t>[Le Rhun, Emilie; Weller, Michael] Univ Hosp, Dept Neurol, Zurich, Switzerland; [Le Rhun, Emilie; Weller, Michael] Univ Hosp, Clin Neurosci Ctr, Zurich, Switzerland; [Le Rhun, Emilie; Weller, Michael] Univ Zurich, Frauenklin Str 26, CH-8091 Zurich, Switzerland; [Le Rhun, Emilie] Univ Lille, U1192, F-59000 Lille, France; [Le Rhun, Emilie] INSERM, U1192, F-59000 Lille, France; [Le Rhun, Emilie] CHU Lille, Neurooncol Gen &amp; Stereotax Neurosurg Serv, F-59000 Lille, France; [Le Rhun, Emilie] Oscar Lambret Ctr, Neurol, F-59000 Lille, France; [Seoane, Joan] Univ Autonoma Barcelona, Vall DHebron Univ Hosp HUVH, Vall DHebron Inst Oncol VHIO, ICREA,CIBERONC, Barcelona, Spain; [Salzet, Michel] Univ Lille, Lab Prote Reponse Inflammatoire &amp; Spectrometrie M, INSERM, U1192, F-59000 Lille, France; [Soffietti, Riccardo] Univ &amp; City Hlth &amp; Sci Hosp, Dept Neurooncol, Turin, Italy</t>
  </si>
  <si>
    <t>University of Zurich; Universite de Lille - ISITE; Universite de Lille; Institut National de la Sante et de la Recherche Medicale (Inserm); Universite de Lille - ISITE; Universite de Lille; Universite de Lille - ISITE; CHU Lille; UNICANCER; Centre Oscar Lambret; Autonomous University of Barcelona; CIBER - Centro de Investigacion Biomedica en Red; CIBERONC; Hospital Universitari Vall d'Hebron; ICREA; Vall d'Hebron Institut d'Oncologia (VHIO); Institut National de la Sante et de la Recherche Medicale (Inserm); Universite de Lille - ISITE; Universite de Lille; A.O.U. Citta della Salute e della Scienza di Torino</t>
  </si>
  <si>
    <t>Weller, M (corresponding author), Univ Zurich, Frauenklin Str 26, CH-8091 Zurich, Switzerland.;Weller, M (corresponding author), Univ Hosp, Dept Neurol, Lab Mol Neurooncol, Frauenklin Str 26, CH-8091 Zurich, Switzerland.</t>
  </si>
  <si>
    <t>michael.weller@usz.ch</t>
  </si>
  <si>
    <t>Salzet, Michel/A-7675-2011; Soffietti, Riccardo/AAA-7965-2022; Seoane, Joan/AAG-9173-2019</t>
  </si>
  <si>
    <t>Salzet, Michel/0000-0003-4318-0817; Soffietti, Riccardo/0000-0002-9204-7038; Seoane, Joan/0000-0002-6541-5974; Weller, Michael/0000-0002-1748-174X</t>
  </si>
  <si>
    <t>10.1016/j.canlet.2020.03.021</t>
  </si>
  <si>
    <t>WOS:000525869200004</t>
  </si>
  <si>
    <t>Silvestro, EM; Nakano, V; Arana-Chavez, VE; Marques, MV; Avila-Campos, MJ</t>
  </si>
  <si>
    <t>Effects of subinhibitory concentrations of clindamycin on the morphological, biochemical and genetic characteristics of Bacteroides fragilis</t>
  </si>
  <si>
    <t>Bacteroides fragilis; clindamycin; bacterial morphology; ultrastructure</t>
  </si>
  <si>
    <t>PROGRAMMED DEATH; BACTERIA; SUSCEPTIBILITY; LIFE</t>
  </si>
  <si>
    <t>The effects of subinhibitory concentrations of clindamycin on the morphological, biochemical and genetic characteristics of species of the Bacteroides fragilis group isolated from children with diarrhea were determined. The minimal inhibitory and subinhibitory concentrations for clindamycin were determined. Minimal inhibitory concentration values ranging from 0.25 to 512 mu g mL(-1) were observed. Cultures grown with clindamycin were used to determine the macroscopic morphological characteristics, cellular viability, ultrastructural characteristics and DNA integrity. Clindamycin did not alter colonial morphology, but after 6 h elongated cells were observed. Also, extracellular vesicles and electron-lucent areas inside the cytoplasm were observed. Bacteria treated with clindamycin also showed fragmentation of DNA as determined by electrophoresis. The alterations produced by clindamycin might be indicative of a possible modification of the structures involved in bacterial pathogenesis.</t>
  </si>
  <si>
    <t>Univ Sao Paulo, Inst Biomed Sci, Dept Microbiol, Anaerobe Lab, BR-05508900 Sao Paulo, Brazil; Univ Sao Paulo, Inst Biomed Sci, Dept Cell &amp; Dev Biol, Sao Paulo, Brazil</t>
  </si>
  <si>
    <t>Avila-Campos, MJ (corresponding author), Univ Sao Paulo, Inst Biomed Sci, Dept Microbiol, Anaerobe Lab, Av Prof Lineu Prestes 1374, BR-05508900 Sao Paulo, Brazil.</t>
  </si>
  <si>
    <t>mariojac@usp.br</t>
  </si>
  <si>
    <t>Marques, Marilis V/C-3085-2013; Arana-Chavez, V/G-4948-2012; Nakano, Viviane/D-7955-2012; Avila-Campos, Mario/D-7727-2012</t>
  </si>
  <si>
    <t>Arana-Chavez, V/0000-0002-6767-7812; Avila-Campos, Mario/0000-0002-2378-7251; Marques, Marilis/0000-0003-1542-8221</t>
  </si>
  <si>
    <t>1574-6968</t>
  </si>
  <si>
    <t>10.1111/j.1574-6968.2006.00162.x</t>
  </si>
  <si>
    <t>WOS:000236175500004</t>
  </si>
  <si>
    <t>Xia, YK; Wang, LL; Li, J; Chen, XQ; Lan, JM; Yan, A; Lei, Y; Yang, S; Yang, HH; Chen, JH</t>
  </si>
  <si>
    <t>Xia, Yaokun; Wang, Liangliang; Li, Juan; Chen, Xiangqi; Lan, Jianming; Yan, An; Lei, Yun; Yang, Sheng; Yang, Huanghao; Chen, Jinghua</t>
  </si>
  <si>
    <t>A Ratiometric Fluorescent Bioprobe Based on Carbon Dots and Acridone Derivate for Signal Amplification Detection Exosomal microRNA</t>
  </si>
  <si>
    <t>ENHANCED RAMAN-SCATTERING; LOCKED NUCLEIC-ACIDS; ELECTROCHEMICAL BIOSENSOR; EXTRACELLULAR VESICLES; PANCREATIC-CANCER; LABEL-FREE; CELL-FREE; DNA; BLOOD; SERUM</t>
  </si>
  <si>
    <t>Recently, sensitive and selective detection of exosomal microRNAs (miRNAs) has been garnering significant attention, because it is related to many complex diseases, including cancer. Herein, we report a ratiometric fluorescent bioprobe based on DNA-labeled carbon dots (DNA-CDs) and 5,7-dinitro-2-sulfo-acridone (DSA) coupling with the target-catalyzing signal amplification for the detection of exosomal miRNA-21. There was high fluorescence resonance energy transfer (FRET) efficiency between carbon dots (CDs) and DSA when the bioprobe was assembled. However, in the presence of the target, with disassembling of the fluorescent bioprobe, the fluorescence intensities of CDs and DSA were changed simultaneously. Because of the ratio of dual fluorescence intensities, this ratiometric fluorescent bioprobe was able to cancel out environmental fluctuations by calculating emission intensity ratio at two different wavelengths, being robust and stable enough for detection of exosomal miRNA-21. In addition, we displayed that a single miRNA-21 can catalyze the disassembly of multiple CDs with DSA theoretically, yielding significant change in the fluorescence ratio for the detection of miRNA-21. With this signal amplification strategy, the limit of detection was as low as 3.0 fM. Furthermore, because of the introduction of lock nucleic acid to mediate the strand displacement reaction, the selectivity of this strategy was improved remarkably, even against single base mismatch sequence. More importantly, our strategy could monitor the dynamic change of exosomal miRNA-21, which maybe becomes a potential tool to distinguish cancer exosomes and nontumorigenic exosomes. In a short, this ratiometric fluorescence bioprobe possessed high stability, sensitivity and selectivity coupling with ease of operation and cost efficiency, leading to great potential for wide application.</t>
  </si>
  <si>
    <t>[Xia, Yaokun; Wang, Liangliang; Lan, Jianming; Yan, An; Lei, Yun; Chen, Jinghua] Fujian Med Univ, Sch Pharm, Dept Pharmaceut Anal, Fuzhou 350108, Fujian, Peoples R China; [Li, Juan; Yang, Huanghao] Fuzhou Univ, MOE Key Lab Analyt Sci Food Safety &amp; Biol, State Key Lab Photocatalysis Energy &amp; Environm, Coll Chem, Fuzhou 350002, Fujian, Peoples R China; [Chen, Xiangqi] Fujian Med Univ Union Hosp, Dept Resp Med, Fuzhou 350001, Fujian, Peoples R China; [Yang, Sheng] Fujian Med Univ Union Hosp, Dept Med Oncol, Fuzhou 350001, Fujian, Peoples R China</t>
  </si>
  <si>
    <t>Fujian Medical University; Fuzhou University</t>
  </si>
  <si>
    <t>Chen, JH (corresponding author), Fujian Med Univ, Sch Pharm, Dept Pharmaceut Anal, Fuzhou 350108, Fujian, Peoples R China.;Yang, HH (corresponding author), Fuzhou Univ, MOE Key Lab Analyt Sci Food Safety &amp; Biol, State Key Lab Photocatalysis Energy &amp; Environm, Coll Chem, Fuzhou 350002, Fujian, Peoples R China.;Yang, S (corresponding author), Fujian Med Univ Union Hosp, Dept Med Oncol, Fuzhou 350001, Fujian, Peoples R China.</t>
  </si>
  <si>
    <t>dryangxh@126.com; hhyang@fzu.edu.cn; cjh_huaxue@126.com</t>
  </si>
  <si>
    <t>Yang, Huang-Hao/L-9905-2019; Chen, Jing-Hua/J-5171-2019</t>
  </si>
  <si>
    <t>10.1021/acs.analchem.8b01143</t>
  </si>
  <si>
    <t>WOS:000441476600035</t>
  </si>
  <si>
    <t>McAndrews, KM; Xiao, F; Chronopoulos, A; LeBleu, VS; Kugeratski, FG; Kalluri, R</t>
  </si>
  <si>
    <t>McAndrews, Kathleen M.; Xiao, Fei; Chronopoulos, Antonios; LeBleu, Valerie S.; Kugeratski, Fernanda G.; Kalluri, Raghu</t>
  </si>
  <si>
    <t>Exosome-mediated delivery of CRISPR/Cas9 for targeting of oncogenic Kras(G12D) in pancreatic cancer</t>
  </si>
  <si>
    <t>LIFE SCIENCE ALLIANCE</t>
  </si>
  <si>
    <t>KRAS; ANTIBODIES; PROTEIN</t>
  </si>
  <si>
    <t>CRISPR/Cas9 is a promising technology for gene editing. To date, intracellular delivery vehicles for CRISPR/Cas9 are limited by issues of immunogenicity, restricted packaging capacity, and low tolerance. Here, we report an alternative, nonviral delivery system for CRISPR/Cas9 based on engineered exosomes. We show that non-autologous exosomes can encapsulate CRISPR/Cas9 plasmid DNA via commonly available transfection reagents and can be delivered to recipient cancer cells to induce targeted gene deletion. As a proof-of-principle, we demonstrate that exosomes loaded with CRISPR/Cas9 can target the mutant Kras(G12D) oncogenic allele in pancreatic cancer cells to suppress proliferation and inhibit tumor growth in syngeneic subcutaneous and orthotopic models of pancreatic cancer. Exosomes may thus be a promising delivery platform for CRISPR/Cas9 gene editing for targeted therapies.</t>
  </si>
  <si>
    <t>[McAndrews, Kathleen M.; Xiao, Fei; Chronopoulos, Antonios; LeBleu, Valerie S.; Kugeratski, Fernanda G.; Kalluri, Raghu] Univ Texas MD Anderson Canc Ctr, Metastasis Res Ctr, Dept Canc Biol, Houston, TX 77030 USA; [Kalluri, Raghu] Rice Univ, Dept Bioengn, Houston, TX 77005 USA; [Kalluri, Raghu] Baylor Coll Med, Dept Mol &amp; Cellular Biol, Houston, TX 77030 USA; [LeBleu, Valerie S.] Northwestern Univ, Feinberg Sch Med, Chicago, IL 60611 USA</t>
  </si>
  <si>
    <t>University of Texas System; UTMD Anderson Cancer Center; Rice University; Baylor College of Medicine; Northwestern University; Feinberg School of Medicine</t>
  </si>
  <si>
    <t>Kalluri, R (corresponding author), Univ Texas MD Anderson Canc Ctr, Metastasis Res Ctr, Dept Canc Biol, Houston, TX 77030 USA.;Kalluri, R (corresponding author), Rice Univ, Dept Bioengn, Houston, TX 77005 USA.;Kalluri, R (corresponding author), Baylor Coll Med, Dept Mol &amp; Cellular Biol, Houston, TX 77030 USA.</t>
  </si>
  <si>
    <t>Kugeratski, Fernanda G/S-5926-2018; Kalluri, Raghu/E-2677-2015</t>
  </si>
  <si>
    <t>Kugeratski, Fernanda G/0000-0001-9731-1275; McAndrews, Kathleen/0000-0002-4092-4991; Kalluri, Raghu/0000-0002-2190-547X</t>
  </si>
  <si>
    <t>2575-1077</t>
  </si>
  <si>
    <t>e202000875</t>
  </si>
  <si>
    <t>10.26508/lsa.202000875</t>
  </si>
  <si>
    <t>WOS:000696994800006</t>
  </si>
  <si>
    <t>Pabinger, I; Posch, F</t>
  </si>
  <si>
    <t>Pabinger, Ingrid; Posch, Florian</t>
  </si>
  <si>
    <t>Flamethrowers: blood cells and cancer thrombosis risk</t>
  </si>
  <si>
    <t>TISSUE FACTOR ACTIVITY; EXTRACELLULAR DNA TRAPS; VENOUS THROMBOEMBOLISM; VIENNA CANCER; PANCREATIC-CANCER; CHEMOTHERAPY; COAGULATION; MICROPARTICLES; ASSOCIATION; NEUTROPHILS</t>
  </si>
  <si>
    <t>Cancer patients are at an increased risk of venous thromboembolism. The clotting system is activated in most cancer patients, which is reflected by specific parameters such as an increased thrombin generation and elevated D-dimer levels. Blood cells, especially WBCs and platelets, play an important role in this activation process. Neutrophils and monocytes are subpopulations of WBCs that increase the thrombotic potential by different mechanisms. Neutrophils are activated by tumor cells and can release DNA, generating highly thrombogenic neutrophil extracellular traps. Monocytes are able to synthesize and express significant quantities of procoagulant tissue factor on their surfaces upon activation. An increased risk of VTE has been found in patients with solid tumors and elevated platelet count and in those with high-grade gliomas and low platelet count. Small circulating membrane vesicles, also called microparticles (MPs), which largely derive from platelets, contribute to the procoagulant potential. Specifically, procoagulant MPs could play a role in tumor-associated thrombosis in pancreatic cancer. Interventional studies are under way that are investigating the benefits of thromboprophylaxis in patients identified to be at high risk of VTE through risk-scoring models that include blood count parameters. The flames thrown by blood cells, such as neutrophil extracellular traps and MPs, although exciting, still have to be investigated for their usefulness in the clinical setting.</t>
  </si>
  <si>
    <t>[Pabinger, Ingrid; Posch, Florian] Med Univ Vienna, Dept Med 1, Clin Div Haematol &amp; Haemostaseol, A-1090 Vienna, Austria</t>
  </si>
  <si>
    <t>Medical University of Vienna</t>
  </si>
  <si>
    <t>Pabinger, I (corresponding author), Med Univ Vienna, Dept Med 1, Clin Div Haematol &amp; Haemostaseol, Waehringer Guertel 18-20, A-1090 Vienna, Austria.</t>
  </si>
  <si>
    <t>ingrid.pabinger@meduniwien.ac.at</t>
  </si>
  <si>
    <t>Posch, Florian/0000-0002-0448-6314</t>
  </si>
  <si>
    <t>10.1182/asheducation-2014.1.410</t>
  </si>
  <si>
    <t>WOS:000350724600060</t>
  </si>
  <si>
    <t>Leja, M; Line, A</t>
  </si>
  <si>
    <t>Leja, Marcis; Line, Aija</t>
  </si>
  <si>
    <t>Early detection of gastric cancer beyond endoscopy- new methods</t>
  </si>
  <si>
    <t>BEST PRACTICE &amp; RESEARCH CLINICAL GASTROENTEROLOGY</t>
  </si>
  <si>
    <t>Biomarkers; Gastric cancer; Methods</t>
  </si>
  <si>
    <t>CIRCULATING TUMOR-CELLS; CLINICAL-SIGNIFICANCE; ATROPHIC GASTRITIS; MESSENGER-RNA; SERUM; BIOMARKER; BLOOD; MICRORNAS; DIAGNOSIS; GHRELIN</t>
  </si>
  <si>
    <t>Early detection of gastric cancer is remaining a challenge. This review summarizes current knowledge on non-invasive methods that could be used for the purpose. The role of traditional cancer markers such as CEA, CA 72-4, CA 19-9, CA 15-3, and CA 12-5 lies mainly in therapy monitoring than early detection. Most extensive studied biomarkers (pepsinogens, ABC method) are aiming at the detection of pre cancerous lesions with modest sensitivity for cancer. Tests based on the detection of cancer-specific methylation patterns (PanSeer), circulating proteins and mutations in circulating tumour DNA (CancerSEEK), as well as miRNA panels have demonstrated promising results bringing those closer to practice. More extensive research is required before tests based on the detection of circulating tumour cells, extracellular vesicles and cell-free RNA could reach the practice. Detection of volatile organic compounds in the human breath is a promising development; sensor technologies for this purpose could be very attractive in screening settings. (c) 2021 Elsevier Ltd. All rights reserved.</t>
  </si>
  <si>
    <t>[Leja, Marcis] Univ Latvia, Inst Clin &amp; Prevent Med, 1 Gailezera Iela Iela, LV-1079 Riga, Latvia; [Line, Aija] Latvian Biomed Res &amp; Study Ctr, Riga, Latvia</t>
  </si>
  <si>
    <t>University of Latvia; Latvian Biomedical Research &amp; Study Centre</t>
  </si>
  <si>
    <t>Leja, M (corresponding author), Univ Latvia, Inst Clin &amp; Prevent Med, 1 Gailezera Iela Iela, LV-1079 Riga, Latvia.</t>
  </si>
  <si>
    <t>marcis.leja@lu.lv; aija@biomed.lu.lv</t>
  </si>
  <si>
    <t>Line, Aija/0000-0002-8492-4758</t>
  </si>
  <si>
    <t>1521-6918</t>
  </si>
  <si>
    <t>1532-1916</t>
  </si>
  <si>
    <t>50-51</t>
  </si>
  <si>
    <t>10.1016/j.bpg.2021.101731</t>
  </si>
  <si>
    <t>WOS:000648871800004</t>
  </si>
  <si>
    <t>Lee, J; Kwon, MH; Kim, JA; Rhee, WJ</t>
  </si>
  <si>
    <t>Lee, Jinhee; Kwon, Min Hee; Kim, Jeong Ah; Rhee, Won Jong</t>
  </si>
  <si>
    <t>Detection of exosome miRNAs using molecular beacons for diagnosing prostate cancer</t>
  </si>
  <si>
    <t>ARTIFICIAL CELLS NANOMEDICINE AND BIOTECHNOLOGY</t>
  </si>
  <si>
    <t>Exosome; prostate cancer; liquid biopsy; miRNA; molecular beacon</t>
  </si>
  <si>
    <t>EXTRACELLULAR VESICLES; MICRORNAS; BIOMARKERS; PROTEIN; FLUORESCENCE; ANTIGEN; DNA</t>
  </si>
  <si>
    <t>Prostate cancer is the fifth leading cause of cancer-related deaths among males worldwide. However, the biomarker for diagnosing prostate cancer that is used currently has limitations that must be overcome. Recently, several studies have demonstrated that the cancer liquid biopsy can be implemented by using exosome miRNAs. However, the current methods for the detection of exosome miRNAs are time-consuming, expensive, and laborious. Thus, we investigated a novel method for diagnosing prostate cancer that involves the use of molecular beacons for the in situ detection of miRNAs in exosomes from prostate cancer cells. We chose miRNA-375 and miRNA-574-3p as the target miRNAs for prostate cancer, and these markers in exosomes produced by prostate cancer cells including DU145 and PC-3 were successfully detected using molecular beacons. High fluorescent signals were obtained from MB and miRNA hybridization in exosomes in a concentration-dependent manner. In addition, exosome miRNAs can be detected even in the presence of human urine, so this method can be applied directly using human urine to perform liquid biopsies for prostate cancer. Overall, the in situ detection of exosome miRNAs using molecular beacons can be developed as a simple, cost effective, and non-invasive liquid biopsy for diagnosing prostate cancer.</t>
  </si>
  <si>
    <t>[Lee, Jinhee; Kwon, Min Hee; Rhee, Won Jong] Incheon Natl Univ, Div Bioengn, Incheon 406772, South Korea; [Kim, Jeong Ah] Kore Basic Sci Inst, Biomed Omics Grp, Cheongju, South Korea</t>
  </si>
  <si>
    <t>Incheon National University</t>
  </si>
  <si>
    <t>Rhee, WJ (corresponding author), Incheon Natl Univ, Div Bioengn, Incheon 406772, South Korea.</t>
  </si>
  <si>
    <t>wjrhee@inu.ac.kr</t>
  </si>
  <si>
    <t>Rhee, Won Jong/0000-0001-7068-2762; Kim, Jeong Ah/0000-0001-6278-6545</t>
  </si>
  <si>
    <t>2169-1401</t>
  </si>
  <si>
    <t>2169-141X</t>
  </si>
  <si>
    <t>S52</t>
  </si>
  <si>
    <t>S63</t>
  </si>
  <si>
    <t>10.1080/21691401.2018.1489263</t>
  </si>
  <si>
    <t>Biotechnology &amp; Applied Microbiology; Engineering, Biomedical; Materials Science, Biomaterials</t>
  </si>
  <si>
    <t>Biotechnology &amp; Applied Microbiology; Engineering; Materials Science</t>
  </si>
  <si>
    <t>WOS:000460141900005</t>
  </si>
  <si>
    <t>Hong, BX; Chapa, V; Saini, U; Modgil, P; Cohn, DE; He, GG; Siddik, ZH; Sood, AK; Yan, YQ; Selvendiran, K; Pei, GS; Zhao, ZM; Yoo, JY; Kaur, B</t>
  </si>
  <si>
    <t>Hong, Bangxing; Chapa, Valerie; Saini, Uksha; Modgil, Puneet; Cohn, David E.; He, Guangan; Siddik, Zahid H.; Sood, Anil K.; Yan, Yuanqing; Selvendiran, Karuppaiyah; Pei, Guangsheng; Zhao, Zhongming; Yoo, Ji Young; Kaur, Balveen</t>
  </si>
  <si>
    <t>Oncolytic HSV Therapy Modulates Vesicular Trafficking Inducing Cisplatin Sensitivity and Antitumor Immunity</t>
  </si>
  <si>
    <t>DENDRITIC CELLS; OVARIAN-CANCER; RESISTANCE; PLATINUM; VIRUS; DNA; GLYCOPROTEIN; CHEMOTHERAPY; EXOSOMES; EFFICACY</t>
  </si>
  <si>
    <t>Purpose: Here we investigated the impact of oncolytic herpes simplex virus (HSV) treatment on cisplatin sensitivity of platinum-resistant ovarian cancer, and the impact of the combination on immunotherapy. Experimental Design: Therapeutic efficacy of the combination was assessed in platinum-resistant human and murine ovarian cancer peritoneal metastatic mouse models (n = 9-10/group). RNA sequencing along with flow cytometry of splenocytes from treated mice was employed to examine the effect of antitumor immune response (n = 3/group). Anti-PD-1 antibody was performed to evaluate impact on checkpoint inhibition in vivo. Results: Gene Ontology pathway analysis uncovered disruption of cellular extracellular vesicle (EV)-related pathways in infected cells (FDR = 2.97E-57). Mechanistically, we identified reduced expression of transporters expressed on EV implicated in cisplatin efflux. The increased cisplatin retention led to increased cisplatin-DNA adducts, which resulted in micronuclei and the subsequent activation of cGAS-STING pathway with a significant activation of innate immune cells and translated to an increase in antitumor immunity and efficacy. In mice bearing platinum-resistant ovarian cancer, we also observed a feedback induction of PD-L1 on tumor cells, which sensitized combination-treated mice to anti-PD-1 immune checkpoint therapy. Conclusions: To our knowledge, this is the first report to show HSV-induced cisplatin retention in infected cells. The consequential increased damaged DNA was then expelled from cells as micronuclei which resulted in induction of inflammatory responses and education of antitumor immunity. The combination therapy also created an environment that sensitized tumors to immune checkpoint therapy.</t>
  </si>
  <si>
    <t>[Hong, Bangxing; Chapa, Valerie; Yan, Yuanqing; Yoo, Ji Young; Kaur, Balveen] Univ Texas Hlth Sci Ctr Houston, McGovern Med Sch, Dept Neurosurg, Houston, TX 77030 USA; [Saini, Uksha; Modgil, Puneet; Cohn, David E.; Selvendiran, Karuppaiyah] Ohio State Univ, Wexner Med Ctr, Comprehens Canc Ctr, Div Gynecol Oncol,Dept Obstet &amp; Gynecol, Columbus, OH 43210 USA; [He, Guangan; Siddik, Zahid H.] Univ Texas MD Anderson Canc Ctr, Dept Expt Therapeut, Houston, TX 77030 USA; [Sood, Anil K.] Univ Texas MD Anderson Canc Ctr, Dept Gynecol Oncol &amp; Reprod Med, Houston, TX 77030 USA; [Pei, Guangsheng; Zhao, Zhongming] Univ Texas Hlth Sci Ctr Houston, Ctr Precis Hlth, Sch Biomed Informat, Houston, TX 77030 USA; [Zhao, Zhongming] Univ Texas Hlth Sci Ctr Houston, Human Genet Ctr, Sch Publ Hlth, Houston, TX 77030 USA</t>
  </si>
  <si>
    <t>University of Texas System; University of Texas Health Science Center Houston; James Cancer Hospital &amp; Solove Research Institute; Ohio State University; University of Texas System; UTMD Anderson Cancer Center; University of Texas System; UTMD Anderson Cancer Center; University of Texas System; University of Texas Health Science Center Houston; University of Texas System; University of Texas Health Science Center Houston; University of Texas School Public Health</t>
  </si>
  <si>
    <t>Hong, BX (corresponding author), Univ Texas Hlth Sci Ctr Houston, McGovern Med Sch, Dept Neurosurg, Houston, TX 77030 USA.;Kaur, B (corresponding author), Univ Texas Hlth Sci Ctr Houston, 6431 Fannin St MSE-R164, Houston, TX 77030 USA.</t>
  </si>
  <si>
    <t>bangxing.hong@uth.tmc.edu; balveen.kaur@uth.tmc.edu</t>
  </si>
  <si>
    <t>Kaur, Balveen/0000-0001-7738-0804; Yoo, Ji Young/0000-0002-6767-1111</t>
  </si>
  <si>
    <t>10.1158/1078-0432.CCR-20-2210</t>
  </si>
  <si>
    <t>WOS:000617323400022</t>
  </si>
  <si>
    <t>Lian, QS; Xu, J; Yan, SS; Huang, M; Ding, HH; Sun, XY; Bi, AW; Ding, J; Sun, B; Geng, MY</t>
  </si>
  <si>
    <t>Lian, Qiaoshi; Xu, Jun; Yan, Shanshan; Huang, Min; Ding, Honghua; Sun, Xiaoyu; Bi, Aiwei; Ding, Jian; Sun, Bing; Geng, Meiyu</t>
  </si>
  <si>
    <t>Chemotherapy-induced intestinal inflammatory responses are mediated by exosome secretion of double-strand DNA via AIM2 inflammasome activation</t>
  </si>
  <si>
    <t>CELL RESEARCH</t>
  </si>
  <si>
    <t>dsDNA; AIM2; exosome; inflammasome; chemotherapy; intestinal toxicity</t>
  </si>
  <si>
    <t>CELL-DEATH; IMMUNE-RESPONSES; SELF-DNA; MUCOSITIS; IRINOTECAN; MICROVESICLES; CARCINOGENESIS; PROLIFERATION; COMMUNICATION; MECHANISMS</t>
  </si>
  <si>
    <t>Chemotherapies are known often to induce severe gastrointestinal tract toxicity but the underlying mechanism remains unclear. This study considers the widely applied cytotoxic agent irinotecan (CPT-11) as a representative agent and demonstrates that treatment induces massive release of double-strand DNA from the intestine that accounts for the dose-limiting intestinal toxicity of the compound. Specifically, self-DNA released through exosome secretion enters the cytosol of innate immune cells and activates the AIM2 (absent in melanoma 2) inflammasome. This leads to mature IL-1 beta and IL-18 secretion and induces intestinal mucositis and late-onset diarrhoea. Interestingly, abrogation of AIM2 signalling, either in AIM2-deficient mice or by a pharmacological inhibitor such as thalidomide, significantly reduces the incidence of drug-induced diarrhoea without affecting the anticancer efficacy of CPT-11. These findings provide mechanistic insights into how chemotherapy triggers innate immune responses causing intestinal toxicity, and reveal new chemotherapy regimens that maintain anti-tumour effects but circumvent the associated adverse inflammatory response.</t>
  </si>
  <si>
    <t>[Lian, Qiaoshi; Yan, Shanshan; Sun, Bing] Chinese Acad Sci, Shanghai Inst Biochem &amp; Cell Biol, CAS Ctr Excellence Mol Cell Sci, State Key Lab Cell Biol, 320 Yueyang Rd, Shanghai 200031, Peoples R China; [Lian, Qiaoshi; Yan, Shanshan; Sun, Bing] Univ Chinese Acad Sci, 320 Yueyang Rd, Shanghai 200031, Peoples R China; [Xu, Jun; Huang, Min; Bi, Aiwei; Ding, Jian; Geng, Meiyu] Chinese Acad Sci, Shanghai Inst Mat Med, State Key Lab Drug Res, Div Antitumor Pharmacol, Shanghai 201203, Peoples R China; [Sun, Xiaoyu; Sun, Bing] Chinese Acad Sci, Inst Pasteur Shanghai, CAS Key Lab Mol Virol &amp; Immunol, 320 Yueyang Rd, Shanghai 200031, Peoples R China; [Lian, Qiaoshi; Xu, Jun] Univ Chinese Acad Sci, Beijing 100049, Peoples R China; [Yan, Shanshan] Univ Sci &amp; Technol China, Sch Life Sci, Hefei 230022, Peoples R China; [Ding, Honghua] Shanghai Jiao Tong Univ, Sch Med, Shanghai Gen Hosp, Dept Oncol, Shanghai 200080, Peoples R China</t>
  </si>
  <si>
    <t>Chinese Academy of Sciences; Shanghai Institutes for Biological Sciences, CAS; Chinese Academy of Sciences; University of Chinese Academy of Sciences, CAS; Chinese Academy of Sciences; Shanghai Institute of Materia Medica, CAS; Chinese Academy of Sciences; Shanghai Institutes for Biological Sciences, CAS; Le Reseau International des Instituts Pasteur (RIIP); Chinese Academy of Sciences; University of Chinese Academy of Sciences, CAS; Chinese Academy of Sciences; University of Science &amp; Technology of China, CAS; Shanghai Jiao Tong University</t>
  </si>
  <si>
    <t>Sun, B (corresponding author), Chinese Acad Sci, Shanghai Inst Biochem &amp; Cell Biol, CAS Ctr Excellence Mol Cell Sci, State Key Lab Cell Biol, 320 Yueyang Rd, Shanghai 200031, Peoples R China.;Sun, B (corresponding author), Univ Chinese Acad Sci, 320 Yueyang Rd, Shanghai 200031, Peoples R China.;Huang, M; Ding, J; Geng, MY (corresponding author), Chinese Acad Sci, Shanghai Inst Mat Med, State Key Lab Drug Res, Div Antitumor Pharmacol, Shanghai 201203, Peoples R China.;Sun, B (corresponding author), Chinese Acad Sci, Inst Pasteur Shanghai, CAS Key Lab Mol Virol &amp; Immunol, 320 Yueyang Rd, Shanghai 200031, Peoples R China.</t>
  </si>
  <si>
    <t>mhuang@simm.ac.cn; jding@simm.ac.cn; bsun@sibs.ac.cn; mygeng@simm.ac.cn</t>
  </si>
  <si>
    <t>huang, min/AAC-6965-2022</t>
  </si>
  <si>
    <t>Lian, Qiaoshi/0000-0002-3628-9390</t>
  </si>
  <si>
    <t>1001-0602</t>
  </si>
  <si>
    <t>1748-7838</t>
  </si>
  <si>
    <t>10.1038/cr.2017.54</t>
  </si>
  <si>
    <t>WOS:000402545200009</t>
  </si>
  <si>
    <t>Conteduca, D; Brunetti, G; Pitruzzello, G; Tragni, F; Dholakia, K; Krauss, TF; Ciminelli, C</t>
  </si>
  <si>
    <t>Conteduca, Donato; Brunetti, Giuseppe; Pitruzzello, Giampaolo; Tragni, Francesco; Dholakia, Kishan; Krauss, Thomas F.; Ciminelli, Caterina</t>
  </si>
  <si>
    <t>Exploring the Limit of Multiplexed Near-Field Optical Trapping</t>
  </si>
  <si>
    <t>ACS PHOTONICS</t>
  </si>
  <si>
    <t>optical nanotweezers; multiple trapping; dielectric metasurface; near-field trapping; nanophotonics; anapole modes</t>
  </si>
  <si>
    <t>SINGLE CELLS; NANOPARTICLES; MANIPULATION; VIRUS</t>
  </si>
  <si>
    <t>Optical trapping has revolutionized our understanding of biology by manipulating cells and single molecules using optical forces. Moving to the near-field creates intense field gradients to trap very smaller particles, such as DNA fragments, viruses, and vesicles. The next frontier for such optical nanotweezers in biomedical applications is to trap multiple particles and to study their heterogeneity. To this end, we have studied dielectric metasurfaces that allow the parallel trapping of multiple particles. We have explored the requirements for such metasurfaces and introduce a structure that allows the trapping of a large number of nanoscale particles (&gt;1000) with a very low total power P &lt; 26 mW. We experimentally demonstrate the near-field enhancement provided by the metasurface and simulate its trapping performance. We have optimized the metasurface for the trapping of 100 nm diameter particles, which will open up opportunities for new biological studies on viruses and extracellular vesicles, such as studying heterogeneity, or to massively parallelize analyses for drug discovery.</t>
  </si>
  <si>
    <t>[Conteduca, Donato; Pitruzzello, Giampaolo; Krauss, Thomas F.] Univ York, Dept Phys, Photon Grp, York YO10 5DD, N Yorkshire, England; [Brunetti, Giuseppe; Tragni, Francesco; Ciminelli, Caterina] Politecn Bari, Optoelect Lab, I-70125 Bari, Italy; [Dholakia, Kishan] Univ St Andrews, SUPA, Sch Phys &amp; Astron, St Andrews KY16 9SS, Fife, Scotland</t>
  </si>
  <si>
    <t>University of York - UK; Politecnico di Bari; University of St Andrews</t>
  </si>
  <si>
    <t>Ciminelli, C (corresponding author), Politecn Bari, Optoelect Lab, I-70125 Bari, Italy.</t>
  </si>
  <si>
    <t>caterina.ciminelli@poliba.it</t>
  </si>
  <si>
    <t>Pitruzzello, Giampaolo/Q-9538-2019; Krauss, Thomas/B-4550-2014</t>
  </si>
  <si>
    <t>Pitruzzello, Giampaolo/0000-0002-8030-7699; Ciminelli, Caterina/0000-0001-8724-016X; Krauss, Thomas/0000-0003-4367-6601</t>
  </si>
  <si>
    <t>2330-4022</t>
  </si>
  <si>
    <t>10.1021/acsphotonics.1c00354</t>
  </si>
  <si>
    <t>Nanoscience &amp; Nanotechnology; Materials Science, Multidisciplinary; Optics; Physics, Applied; Physics, Condensed Matter</t>
  </si>
  <si>
    <t>Science &amp; Technology - Other Topics; Materials Science; Optics; Physics</t>
  </si>
  <si>
    <t>WOS:000677543700025</t>
  </si>
  <si>
    <t>Chen, PC; Wu, DA; Hu, CJ; Chen, HY; Hsieh, YC; Huang, CC</t>
  </si>
  <si>
    <t>Chen, Po-Chih; Wu, Dean; Hu, Chaur-Jong; Chen, Hsin-Yi; Hsieh, Yi-Chen; Huang, Chi-Chen</t>
  </si>
  <si>
    <t>Exosomal TAR DNA-binding protein-43 and neurofilaments in plasma of amyotrophic lateral sclerosis patients: A longitudinal follow-up study</t>
  </si>
  <si>
    <t>JOURNAL OF THE NEUROLOGICAL SCIENCES</t>
  </si>
  <si>
    <t>Amyotrophic lateral sclerosis; Plasma; TDP-43; Exosome</t>
  </si>
  <si>
    <t>FRONTOTEMPORAL LOBAR DEGENERATION; PROGNOSTIC BIOMARKER; CONTROLLED-TRIAL; TDP-43; DIAGNOSIS; SECRETION; EFFICACY; CHAIN; ALS</t>
  </si>
  <si>
    <t>Objective: Amyotrophic lateral sclerosis (ALS) is a fatal motor neuron degenerative disease with characteristic of progressive general muscle weakness and atrophy. ALS is still lack of efficient treatment and laboratory biomarkers. In this study, we longitudinally examined ALS patients' peripheral blood to search potential biomarkers. 18 ALS patients aged between 20 and 65 years were recruited in a clinical trial and longitudinal plasma samples were obtained and analyzed at baseline, 1, 3, 6 and 12 months follow up. Neurofilament light chain (NFL), phosphorylated neurofilament heavy chain (pNFH) by ELISA and exosomal TAR DNA-binding protein-43 (TDP-43) ratio were measured by flow cytometry assay in isolated exosomes Results: Exosomal TDP-43 ratio significantly changed in 3-month (increased 60.8 +/- 18.9%, p = 0.0005) and 6-month (increased 60.2 +/- 32.6%, p = 0.0291) follow-up and close to significance at 12-month follow-up (increased 12.8 +/- 10.8%, p = 0.0524). When subclassifying patients into rapid and slow progression groups, NFL but not pNFH is significantly higher in the rapid progression group at baseline (22.74 +/- 1.66 pg/mL vs. 43.96 +/- 12.87 pg/mL, p = 0.0136) and at 3-month follow-up (28.40 +/- 3.39 pg/mL vs. 40.33 +/- 5.44 pg/mL, p = 0.0356). Conclusion: In this study, we found exosomal TDP-43 ratio was increasing along with follow-up at 3 and 6 months and NFL levels in plasma was associated with rapid progression in ALS patients. In addition to NFL, exosomal TDP-43 ratio might be a potential candidate of biomarkers for ALS long-term follow-up studies.</t>
  </si>
  <si>
    <t>[Chen, Po-Chih; Wu, Dean; Hu, Chaur-Jong] Taipei Med Univ, Shuang Ho Hosp, Neurol Dept, New Taipei, Taiwan; [Chen, Po-Chih; Wu, Dean; Hu, Chaur-Jong] Taipei Med Univ, Taipei Neurosci Inst, New Taipei, Taiwan; [Chen, Po-Chih; Hu, Chaur-Jong; Hsieh, Yi-Chen; Huang, Chi-Chen] Taipei Med Univ, Coll Med Sci &amp; Technol, PhD Program Neural Regenerat Med, 250 Wuxing St, Taipei 110, Taipei, Taiwan; [Chen, Po-Chih; Hu, Chaur-Jong; Hsieh, Yi-Chen; Huang, Chi-Chen] Natl Hlth Res Inst, 250 Wuxing St, Taipei 110, Taipei, Taiwan; [Chen, Po-Chih; Wu, Dean; Hu, Chaur-Jong] Taipei Med Univ, Coll Med, Sch Med, Dept Neurol, Taipei, Taiwan; [Hsieh, Yi-Chen] Taipei Med Univ, Coll Pharm, PhD Program Biotechnol Res &amp; Dev, Taipei, Taiwan; [Huang, Chi-Chen] Taipei Med Univ, Ctr Neurotrauma &amp; Neuroregenerat, Taipei, Taiwan; [Hsieh, Yi-Chen] Taipei Med Univ, Coll Publ Hlth, Master Program Appl Mol Epidemiol, Taipei, Taiwan; [Chen, Hsin-Yi] Taipei Med Univ, Grad Inst Canc Biol &amp; Drug Discovery, Taipei, Taiwan; [Chen, Hsin-Yi] Taipei Med Univ, PhD Program Canc Biol &amp; Drug Discovery, Taipei, Taiwan; [Hsieh, Yi-Chen; Huang, Chi-Chen] 291 Zhongzheng Rd, New Taipei 235, Taiwan</t>
  </si>
  <si>
    <t>Taipei Medical University; Shuang Ho Hospital; Taipei Medical University; National Health Research Institutes - Taiwan; Taipei Medical University; Taipei Medical University; Taipei Medical University; Taipei Medical University; Taipei Medical University; Taipei Medical University</t>
  </si>
  <si>
    <t>Hsieh, YC; Huang, CC (corresponding author), Taipei Med Univ, Coll Med Sci &amp; Technol, PhD Program Neural Regenerat Med, 250 Wuxing St, Taipei 110, Taipei, Taiwan.;Hsieh, YC; Huang, CC (corresponding author), Natl Hlth Res Inst, 250 Wuxing St, Taipei 110, Taipei, Taiwan.;Hsieh, YC; Huang, CC (corresponding author), 291 Zhongzheng Rd, New Taipei 235, Taiwan.</t>
  </si>
  <si>
    <t>ychsieh@tmu.edu.tw; hcc0609@tmu.edu.tw</t>
  </si>
  <si>
    <t>0022-510X</t>
  </si>
  <si>
    <t>1878-5883</t>
  </si>
  <si>
    <t>10.1016/j.jns.2020.117070</t>
  </si>
  <si>
    <t>WOS:000582930900005</t>
  </si>
  <si>
    <t>Kondratova, VN; Botezatu, IV; Shelepov, VP; Lichtenstein, AV</t>
  </si>
  <si>
    <t>Kondratova, V. N.; Botezatu, I. V.; Shelepov, V. P.; Lichtenstein, A. V.</t>
  </si>
  <si>
    <t>Satellite DNA transcripts in blood plasma as potential markers of tumor growth</t>
  </si>
  <si>
    <t>non-coding RNA; satellite repeats; quantitative PCR; blood plasma; tumor growth</t>
  </si>
  <si>
    <t>NUCLEIC-ACIDS; INTRATUMOR HETEROGENEITY; NONCODING RNAS; RT-PCR; EVOLUTION; ISOTACHOPHORESIS; QUANTIFICATION; MICRORNAS; EXOSOMES; REPEATS</t>
  </si>
  <si>
    <t>Recent studies of human and animal tumor tissues revealed a high transcriptional activity of pericentromeric satellite DNA repeats; i.e., they were found to produce up to half of all transcripts in tumor cells, which is many times more than in normal cells. It was also found that the two subtypes of satellite DNA (HSATII and GSATII) are transcribed reciprocally, i.e., HSATII transcripts strongly dominate in tumors, while GSATII transcripts are more abundant in the corresponding normal tissues. Since different RNAs are present in blood plasma, and some of them serve as efficient tumor markers, this study was undertaken to evaluate for the first time satellite HSATII and GSATII RNA levels in the plasma of healthy donors and cancer patients. The RT-PCR protocol designed for this purpose enabled detection of both HSATII and GSATII transcripts. It was shown that HSATII transcripts were more abundant than GSATII RNAs in the plasma of healthy donors, and this relationship was inverse in the plasma of cancer patients; these ratios were exactly opposite to those that exist within normal and tumor cells. Some notions concerning the probable origins of circulating satellite RNAs and their role as potential tumor markers are discussed.</t>
  </si>
  <si>
    <t>[Kondratova, V. N.; Botezatu, I. V.; Shelepov, V. P.; Lichtenstein, A. V.] Russian Acad Med Sci, Inst Carcinogenesis, Blokhin Canc Res Ctr, Moscow 115478, Russia</t>
  </si>
  <si>
    <t>N.N. Blokhin Russian Cancer Research Center; Russian Academy of Medical Sciences</t>
  </si>
  <si>
    <t>Kondratova, VN (corresponding author), Russian Acad Med Sci, Inst Carcinogenesis, Blokhin Canc Res Ctr, Moscow 115478, Russia.</t>
  </si>
  <si>
    <t>alicht@mail.ru</t>
  </si>
  <si>
    <t>Lichtenstein, Anatoly/Q-7721-2019</t>
  </si>
  <si>
    <t>Lichtenstein, Anatoly/0000-0002-0190-5069</t>
  </si>
  <si>
    <t>10.1134/S0026893314060089</t>
  </si>
  <si>
    <t>WOS:000346489400014</t>
  </si>
  <si>
    <t>Jakob, F; Muller-Deubert, S; Ebert, R; Engelke, K; Felsenberg, D; Rudert, M; Herrmann, M</t>
  </si>
  <si>
    <t>Jakob, Franz; Mueller-Deubert, Sigrid; Ebert, Regina; Engelke, Klaus; Felsenberg, Dieter; Rudert, Maximilian; Herrmann, Marietta</t>
  </si>
  <si>
    <t>Interaction between muscle and bone - an interplay between physics and biology</t>
  </si>
  <si>
    <t>OSTEOLOGIE</t>
  </si>
  <si>
    <t>Mechanotransduction; mechanobiology; locomotion; exercise; osteoporosis; sarcopenia</t>
  </si>
  <si>
    <t>GROWTH-FACTOR; MECHANOBIOLOGY; MACROPHAGES; ANGIOGENESIS; INFLAMMATION; DOWNSTREAM; SCLEROSTIN; MYOSTATIN; PATHWAYS; EXERCISE</t>
  </si>
  <si>
    <t>Balanced and reciprocal adaptive interaction between muscle and bone is essential for locomotion and for the maintenance of integrity of the organism in order to avoid ruptures and fractures. Contracting muscles produce physical forces that influence both the musculature itself and the stabilizing skeleton. Gravity and body mass define the power of forces. Escalation of power and repetitions of physical stimuli lead to anabolic effects in both tissues while immobilization, disuse and simulation of micro-gravity produce muscle and bone loss. The impact of physical strain on cells is translated into biochemical signals and generates biological effects. During the last 2-3 decades, the molecular mechanisms of mechanosensing and mechanotransduction have been intensely explored. Stretching, compression and fluid flow respectively set strain on adhesion molecules between cells and the extracellular matrix as well as on cell-cell interactions, thereby causing cell deformations and activation of calcium influx, cAMP and cGMP production and activation of kinases. In consequence, transcription factors acquire nucleotropy, bind to DNA-response elements and modulate transcription. Consecutive changes in the proteome result in enhanced production of structural proteins to fortify the architecture of the cytoskeleton and of cell adhesion. This enhances the stiffness and viscoelasticity of both the cell and the tissue composition in order to adapt to the higher level of power without injury. Besides the mere physical interaction through muscle forces both tissues also exchange information via secretory products of both muscle and bone. These products initiate and regulate interactive adaptation and regeneration with a great deal of functional overlap between tissues. Besides a tonic secretion of polypeptides with secretory domains, both tissues are also capable of secreting vesicles upon exercise that transport pre-synthesized receptors, growth and differentiation factors and miRNAs as a cargo. Since neither of both tissues is capable of producing true endocrine vesicles, they deliver exosomes into the circulation. One adequate stimulus for exosome delivery is calcium influx upon mechanical strain or exercise, respectively. With our steadily increasing knowledge, the evolving picture is an unexpectedly strong influence of mechanical forces on cellular biochemistry and cell biology of tissues. While we just begin to understand the physiology of mechanosensing and mechanotransduction as perfect tools for adaptation to environmental needs, our knowledge about the impact of alterations in this field, e. g. overload and exercise resistance, on chronic diseases like osteoporosis and osteoarthritis is still in its infancy.</t>
  </si>
  <si>
    <t>[Jakob, Franz; Mueller-Deubert, Sigrid; Ebert, Regina; Rudert, Maximilian; Herrmann, Marietta] Orthopad Klin Konig Ludwig Haus, Bernhard Heine Ctr Bewegungsforsch, Brettreichstr 11, D-97074 Wurzburg, Germany; [Engelke, Klaus] Univ Erlangen Nurnberg, Inst Med Phys, Erlangen, Germany</t>
  </si>
  <si>
    <t>Jakob, F (corresponding author), Orthopad Klin Konig Ludwig Haus, Bernhard Heine Ctr Bewegungsforsch, Brettreichstr 11, D-97074 Wurzburg, Germany.</t>
  </si>
  <si>
    <t>f-jakob.klh@uni-wuerzburg.de</t>
  </si>
  <si>
    <t>Herrmann, Marietta/AAS-6253-2020; Ebert, Regina/D-5760-2016</t>
  </si>
  <si>
    <t>Ebert, Regina/0000-0002-8192-869X</t>
  </si>
  <si>
    <t>1019-1291</t>
  </si>
  <si>
    <t>2567-5818</t>
  </si>
  <si>
    <t>10.1055/a-1112-7925</t>
  </si>
  <si>
    <t>WOS:000538143800002</t>
  </si>
  <si>
    <t>Wallesch, M; Wirth, M; Wollenberg, B</t>
  </si>
  <si>
    <t>Wallesch, M.; Wirth, M.; Wollenberg, B.</t>
  </si>
  <si>
    <t>Liquid biopsy-a possible key player in immuno-oncology</t>
  </si>
  <si>
    <t>HNO</t>
  </si>
  <si>
    <t>Cytodiagnosis; Circulating tumor cells; Exosomes; Immunotherapy; Head and neck neoplasms</t>
  </si>
  <si>
    <t>CIRCULATING TUMOR-CELLS; PD-L1 EXPRESSION; NECK-CANCER; FREE DNA; HEAD; CARCINOMA; BIOMARKERS; IDENTIFICATION; SURVEILLANCE; BLOCKADE</t>
  </si>
  <si>
    <t>Background Clinical application of immune checkpoint inhibitors (ICI), whether as monotherapy or in combination with established methods, is revolutionizing treatment of head and neck cancer. However, this change in therapeutic concepts requires reevaluation and further development of predictive and prognostic markers, since the survival rates for advanced and particularly human papillomavirus (HPV)-negative disease remain poor. Materials and methods A selective literature review was performed in PubMed. Literature found with the keywords cytodiagnostics, circulating tumor cells, liquid biopsy, cfDNA, exosomes in combination with head and neck cancer and/or immune checkpoint inhibitor therapy published until March 2020 was included. The articles were selected for their relevance for the current study by the authors. Results This work provides a review of the current literature and indicates possible applications in the field of head and neck cancers. Liquid biopsy refers to the analysis of circulating tumor cells or of tumor genetic material in body fluids. This minimally invasive analysis can support therapeutic decisions and enable a personalized approach to treating head and neck cancer. Discussion Before any of these approaches can be established in clinical routine, long-term data and standardization of the methods for isolating and analyzing the markers are needed.</t>
  </si>
  <si>
    <t>[Wallesch, M.; Wirth, M.; Wollenberg, B.] Tech Univ Munich, Klinikums Rechts Isar, Klin &amp; Poliklin Hals Nasen &amp; Ohren Heilkunde, Ismaninger Str 22, D-81675 Munich, Germany</t>
  </si>
  <si>
    <t>Wollenberg, B (corresponding author), Tech Univ Munich, Klinikums Rechts Isar, Klin &amp; Poliklin Hals Nasen &amp; Ohren Heilkunde, Ismaninger Str 22, D-81675 Munich, Germany.</t>
  </si>
  <si>
    <t>barbara.wollenberg@tum.de</t>
  </si>
  <si>
    <t>0017-6192</t>
  </si>
  <si>
    <t>1433-0458</t>
  </si>
  <si>
    <t>10.1007/s00106-020-00951-9</t>
  </si>
  <si>
    <t>Otorhinolaryngology</t>
  </si>
  <si>
    <t>WOS:000573809300001</t>
  </si>
  <si>
    <t>Chang, Y; Woo, HG; Jeong, JH; Kim, GH; Park, KD; Song, TJ</t>
  </si>
  <si>
    <t>Chang, Yoonkyung; Woo, Ho Geol; Jeong, Jee Hyang; Kim, Geon Ha; Park, Kee Duk; Song, Tae-Jin</t>
  </si>
  <si>
    <t>Microbiota dysbiosis and functional outcome in acute ischemic stroke patients</t>
  </si>
  <si>
    <t>BLOOD-PRESSURE DIFFERENCE; GRAM-POSITIVE BACTERIA; DIETARY GLYCEMIC LOAD; EXTRACELLULAR VESICLES; MEMBRANE-VESICLES; CEREBRAL ATHEROSCLEROSIS; MORTALITY; EXOSOMES; GLUCOSE; BURDEN</t>
  </si>
  <si>
    <t>Currently, few studies are reported on the composition of microbiota in stroke patients and the association with stroke prognosis. This study investigated the differing microbiota composition in stroke patients and confirmed the association of microbiota composition with poor functional outcome. Between January of 2018 and December of 2019, 198 patients with acute cerebral infarction were included in this study. For the case-control study, age and sex-matched normal healthy subjects (n=200) were included when receiving their health screening examinations. We isolated bacterial extracellular membrane vesicles and extracted DNA from blood samples. Taxonomic assignments were performed by using the sequence reads of 16S rRNA genes following blood microbiota analysis. Statistical analysis was conducted appropriately by using Statistical Analysis System software. The mean age of the stroke patients were 63.7 +/- 12.5 years, and the male sex was 58.5%. Of the total enrolled patients, poor functional outcome (modified Rankin Score &gt;= 3) was noted in 19.7%. The principal component analysis of microbiota composition revealed significant differences between healthy control subjects and stroke patients. At the genus level, Aerococcaceae(f), ZB2(c), TM7-1(c), and Flavobacterium were significantly increased in stroke patients compared to the healthy controls, whereas Mucispirillum, rc4-4, Akkermansia, Clostridiales(o), Lactobacillus, and Stenotrophomonas were decreased considerably. For the functional outcome after ischemic stroke, Anaerococcus, Blautia, Dialister, Aerococcaceae(f), Propionibacterium, Microbacteriaceae(f), and Rothia were enriched in the group with good outcomes, whereas Ruminococcaceae(f) and Prevotella were enriched in the group with poor outcome. There was apparent dysbiosis of blood microbiota in patients with acute ischemic stroke compared to healthy people. Ruminococcaceae(f) and Prevotella were elevated in stroke patients with poor functional outcome.</t>
  </si>
  <si>
    <t>[Chang, Yoonkyung; Jeong, Jee Hyang; Kim, Geon Ha; Park, Kee Duk] Ewha Womans Univ, Coll Med, Dept Neurol, Mokdong Hosp, Seoul, South Korea; [Woo, Ho Geol] Kyung Hee Univ, Dept Neurol, Coll Med, Seoul, South Korea; [Song, Tae-Jin] Ewha Womans Univ, Coll Med, Dept Neurol, Seoul Hosp, 260 Gonghang Daero, Seoul 07804, South Korea</t>
  </si>
  <si>
    <t>Ewha Womans University; Kyung Hee University; Ewha Womans University</t>
  </si>
  <si>
    <t>Song, TJ (corresponding author), Ewha Womans Univ, Coll Med, Dept Neurol, Seoul Hosp, 260 Gonghang Daero, Seoul 07804, South Korea.</t>
  </si>
  <si>
    <t>knstar@ewha.ac.kr</t>
  </si>
  <si>
    <t>Woo, Ho Geol/AAX-4094-2021</t>
  </si>
  <si>
    <t>Song, Tae-Jin/0000-0002-9937-762X; Chang, Yoonkyung/0000-0002-0345-2278; Woo, Ho Geol/0000-0001-6489-0100</t>
  </si>
  <si>
    <t>MAY 26</t>
  </si>
  <si>
    <t>10.1038/s41598-021-90463-5</t>
  </si>
  <si>
    <t>WOS:000659147000011</t>
  </si>
  <si>
    <t>Iezzi, I; Pagella, P; Mattioli-Belmonte, M; Mitsiadis, TA</t>
  </si>
  <si>
    <t>Iezzi, I.; Pagella, P.; Mattioli-Belmonte, M.; Mitsiadis, T. A.</t>
  </si>
  <si>
    <t>THE EFFECTS OF AGEING ON DENTAL PULP STEM CELLS, THE TOOTH LONGEVITY ELIXIR</t>
  </si>
  <si>
    <t>EUROPEAN CELLS &amp; MATERIALS</t>
  </si>
  <si>
    <t>Tooth; dental pulp; dental pulp stem cells (DPSCs); senescence; ageing; inflammation; exosomes; miRNAs; stem cells; regeneration</t>
  </si>
  <si>
    <t>CELLULAR SENESCENCE; MATRIX METALLOPROTEINASES; EXPRESSION PROFILES; IMMUNE-RESPONSES; GENE-EXPRESSION; DNA-DAMAGE; IN-VITRO; AGE; EXOSOMES; DIFFERENTIATION</t>
  </si>
  <si>
    <t>Stem cells are essential for tissue homeostasis and regeneration throughout the lifespan of multicellular organisms. The decline in stem cell function during advanced age is associated with a reduced regenerative potential of tissues that leads to an increased frequency of diseases. Age-related changes also occur in the dental pulp that represents a reliable model tissue, with high regenerative capability, for studying senescence mechanisms. However, little information is available concerning the effects of ageing on dental stem-cell function. In this mini-review, recent data on how the molecular and functional alterations that accumulate in stem cell populations during ageing result in modifications of dental pulp physiology arc discussed. Changes that accumulate during ageing such as how reduction of pulp chamber volume, decreased vascular supply and modifications to the stem cell niches affect stem cell functions and, therefore, dental pulp regenerative potential in response to various stressful agents. Dental pulp cells from aged individuals arc still metabolically active and secrete pro-inflammatory and matrix-degrading molecules. Furthermore, miRNAs and exosomes derived from dental pulp stem cells constitute an attractive source of nanovesicles for the treatment of age-related dental pathologies. Further investigation of the epigenetic alterations in dental pulp stem cells, accumulating during ageing, might reveal crucial information for potential stem cell-based therapeutic approaches in the elderly.</t>
  </si>
  <si>
    <t>[Iezzi, I.; Mattioli-Belmonte, M.] Univ Zurich, Orofacial Dev &amp; Regenerat, Inst Oral Biol, Ctr Dent Med, Zurich, Switzerland; [Iezzi, I.; Pagella, P.; Mitsiadis, T. A.] Univ Politecn Marche, Dept Clin &amp; Mol Sci DISCLIMO, Ancona, Italy; [Iezzi, I.; Pagella, P.; Mitsiadis, T. A.] Univ Zurich, Orofacial Dev &amp; Regenerat, Inst Oral Biol, Ctr Dent Med,Fac Med, Plattenstr 11, CH-8032 Zurich, Switzerland</t>
  </si>
  <si>
    <t>University of Zurich; Marche Polytechnic University; University of Geneva; University of Zurich</t>
  </si>
  <si>
    <t>Mitsiadis, TA (corresponding author), Univ Zurich, Orofacial Dev &amp; Regenerat, Inst Oral Biol, Ctr Dent Med,Fac Med, Plattenstr 11, CH-8032 Zurich, Switzerland.</t>
  </si>
  <si>
    <t>thimios.mitsiadis@zzm.uzh.ch</t>
  </si>
  <si>
    <t>Mattioli-Belmonte, Monica/AAF-6197-2020; Mitsiadis, Thimios/B-5564-2016; Mattioli-Belmonte, Monica/J-5861-2012; Pagella, Pierfrancesco/AAD-7554-2019; Pagella, Pierfrancesco/ABA-3648-2020</t>
  </si>
  <si>
    <t>Mattioli-Belmonte, Monica/0000-0002-2087-2776; Mitsiadis, Thimios/0000-0002-9812-9982; Pagella, Pierfrancesco/0000-0001-6912-0957</t>
  </si>
  <si>
    <t>1473-2262</t>
  </si>
  <si>
    <t>10.22203/eCM.v037a11</t>
  </si>
  <si>
    <t>Cell &amp; Tissue Engineering; Engineering, Biomedical; Materials Science, Biomaterials; Orthopedics</t>
  </si>
  <si>
    <t>Cell Biology; Engineering; Materials Science; Orthopedics</t>
  </si>
  <si>
    <t>WOS:000463430000011</t>
  </si>
  <si>
    <t>Aasebo, E; Brenner, AK; Hernandez-Valladares, M; Birkeland, E; Mjaavatten, O; Reikvam, H; Selheim, F; Berven, FS; Bruserud, O</t>
  </si>
  <si>
    <t>Aasebo, Elise; Brenner, Annette K.; Hernandez-Valladares, Maria; Birkeland, Even; Mjaavatten, Olav; Reikvam, Hakon; Selheim, Frode; Berven, Frode S.; Bruserud, Oystein</t>
  </si>
  <si>
    <t>Patient Heterogeneity in Acute Myeloid Leukemia: Leukemic Cell Communication by Release of Soluble Mediators and Its Effects on Mesenchymal Stem Cells</t>
  </si>
  <si>
    <t>acute myeloid leukemia; mesenchymal stem cells; proteomics; conditioned medium; chemokine; vesicle; intracellular transport; cell communication</t>
  </si>
  <si>
    <t>ACUTE MYELOGENOUS LEUKEMIA; CYTOKINE NETWORK; COUNT; CHEMOTHERAPY; INHIBITION; INDUCTION; RELEVANCE; DIAGNOSIS; DISEASE; IMPACT</t>
  </si>
  <si>
    <t>Acute myeloid leukemia (AML) is an aggressive bone marrow malignancy, and non-leukemic stromal cells (including mesenchymal stem cells, MSCs) are involved in leukemogenesis and show AML-supporting effects. We investigated how constitutive extracellular mediator release by primary human AML cells alters proteomic profiles of normal bone marrow MSCs. An average of 6814 proteins (range 6493-6918 proteins) were quantified for 41 MSC cultures supplemented with AML-cell conditioned medium, whereas an average of 6715 proteins (range 6703-6722) were quantified for untreated control MSCs. The AML effect on global MSC proteomic profiles varied between patients. Hierarchical clustering analysis identified 10 patients (5/10 secondary AML) showing more extensive AML-effects on the MSC proteome, whereas the other 31 patients clustered together with the untreated control MSCs and showed less extensive AML-induced effects. These two patient subsets differed especially with regard to MSC levels of extracellular matrix and mitochondrial/metabolic regulatory proteins. Less than 10% of MSC proteins were significantly altered by the exposure to AML-conditioned media; 301 proteins could only be quantified after exposure to conditioned medium and 201 additional proteins were significantly altered compared with the levels in control samples (153 increased, 48 decreased). The AML-modulated MSC proteins formed several interacting networks mainly reflecting intracellular organellar structure/trafficking but also extracellular matrix/cytokine signaling, and a single small network reflecting altered DNA replication. Our results suggest that targeting of intracellular trafficking and/or intercellular communication is a possible therapeutic strategy in AML.</t>
  </si>
  <si>
    <t>[Aasebo, Elise; Brenner, Annette K.; Reikvam, Hakon; Bruserud, Oystein] Univ Bergen, Dept Clin Sci, N-5020 Bergen, Norway; [Aasebo, Elise; Hernandez-Valladares, Maria; Birkeland, Even; Mjaavatten, Olav; Selheim, Frode; Berven, Frode S.] Univ Bergen, Univ Bergen PROBE, Prote Facil, N-5020 Bergen, Norway; [Reikvam, Hakon; Bruserud, Oystein] Haukeland Hosp, Dept Med, N-5021 Bergen, Norway</t>
  </si>
  <si>
    <t>University of Bergen; University of Bergen; University of Bergen; Haukeland University Hospital</t>
  </si>
  <si>
    <t>Bruserud, O (corresponding author), Univ Bergen, Dept Clin Sci, N-5020 Bergen, Norway.;Bruserud, O (corresponding author), Haukeland Hosp, Dept Med, N-5021 Bergen, Norway.</t>
  </si>
  <si>
    <t>even.birkeland@uib.no; olav.mjaavatten@uib.no; Frode.Selheim@uib.no</t>
  </si>
  <si>
    <t>Reikvam, Håkon/AAX-4238-2020</t>
  </si>
  <si>
    <t>Reikvam, Håkon/0000-0001-5439-8411; Aasebo, Elise/0000-0002-6939-8059; Hernandez-Valladares, Maria del Carmen/0000-0001-9347-7841</t>
  </si>
  <si>
    <t>10.3390/diseases9040074</t>
  </si>
  <si>
    <t>WOS:000735493200001</t>
  </si>
  <si>
    <t>Ebrahimkhani, S; Vafaee, F; Young, PE; Hur, SSJ; Hawke, S; Devenney, E; Beadnall, H; Barnett, MH; Suter, CM; Buckland, ME</t>
  </si>
  <si>
    <t>Ebrahimkhani, Saeideh; Vafaee, Fatemeh; Young, Paul E.; Hur, Suzy S. J.; Hawke, Simon; Devenney, Emma; Beadnall, Heidi; Barnett, Michael H.; Suter, Catherine M.; Buckland, Michael E.</t>
  </si>
  <si>
    <t>Exosomal microRNA signatures in multiple sclerosis reflect disease status</t>
  </si>
  <si>
    <t>CIRCULATING EXOSOMES; GENE-EXPRESSION; BIOMARKERS; MIRNA; PROFILES; DATABASE</t>
  </si>
  <si>
    <t>Multiple Sclerosis (MS) is a chronic inflammatory demyelinating disease of the central nervous system (CNS). There is currently no single definitive test for MS. Circulating exosomes represent promising candidate biomarkers for a host of human diseases. Exosomes contain RNA, DNA, and proteins, can cross the blood-brain barrier, and are secreted from almost all cell types including cells of the CNS. We hypothesized that serum exosomal miRNAs could present a useful blood-based assay for MS disease detection and monitoring. Exosome-associated microRNAs in serum samples from MS patients (n = 25) and matched healthy controls (n = 11) were profiled using small RNA next generation sequencing. We identified differentially expressed exosomal miRNAs in both relapsing-remitting MS (RRMS) (miR15b-5p, miR-451a, miR-30b-5p, miR-342-3p) and progressive MS patient sera (miR-127-3p, miR-370-3p, miR-409-3p, miR-432-5p) in relation to controls. Critically, we identified a group of nine miRNAs (miR15b-5p, miR-23a-3p, miR-223-3p, miR-374a-5p, miR-30b-5p, miR-433-3p, miR-485-3p, miR-342-3p, miR-432-5p) that distinguished relapsing-remitting from progressive disease. Eight out of nine miRNAs were validated in an independent group (n = 11) of progressive MS cases. This is the first demonstration that microRNAs associated with circulating exosomes are informative biomarkers not only for the diagnosis of MS, but in predicting disease subtype with a high degree of accuracy.</t>
  </si>
  <si>
    <t>[Ebrahimkhani, Saeideh; Buckland, Michael E.] Royal Prince Alfred Hosp, Dept Neuropathol, Camperdown, NSW, Australia; [Ebrahimkhani, Saeideh; Devenney, Emma; Beadnall, Heidi; Barnett, Michael H.; Buckland, Michael E.] Univ Sydney, Brain &amp; Mind Ctr, Camperdown, NSW, Australia; [Ebrahimkhani, Saeideh; Hawke, Simon; Devenney, Emma; Beadnall, Heidi; Barnett, Michael H.; Buckland, Michael E.] Univ Sydney, Sydney Med Sch, Camperdown, NSW, Australia; [Vafaee, Fatemeh] Univ Sydney, Sch Math &amp; Stat, Camperdown, NSW, Australia; [Vafaee, Fatemeh] Univ Sydney, Charles Perkins Ctr, Camperdown, NSW, Australia; [Young, Paul E.; Hur, Suzy S. J.; Suter, Catherine M.] Victor Chang Cardiac Res Inst, Div Mol Struct &amp; Computat Biol, Darlinghurst, NSW, Australia; [Suter, Catherine M.] Univ New South Wales, Fac Med, Kensington, NSW, Australia; [Beadnall, Heidi; Barnett, Michael H.] Royal Prince Alfred Hosp, Dept Neurol, Camperdown, NSW, Australia; [Vafaee, Fatemeh] Univ New South Wales, Sch Biotechnol &amp; Biomol Sci, Sydney, NSW, Australia</t>
  </si>
  <si>
    <t>University of Sydney; University of Sydney; University of Sydney; University of Sydney; University of Sydney; Victor Chang Cardiac Research Institute; University of New South Wales Sydney; University of Sydney; University of New South Wales Sydney</t>
  </si>
  <si>
    <t>Buckland, ME (corresponding author), Royal Prince Alfred Hosp, Dept Neuropathol, Camperdown, NSW, Australia.;Buckland, ME (corresponding author), Univ Sydney, Brain &amp; Mind Ctr, Camperdown, NSW, Australia.;Buckland, ME (corresponding author), Univ Sydney, Sydney Med Sch, Camperdown, NSW, Australia.</t>
  </si>
  <si>
    <t>michael.buckland@sydney.edu.au</t>
  </si>
  <si>
    <t>Buckland, Michael/0000-0003-4755-6471; Hur, Soo Ji/0000-0003-4035-2484; Vafaee, Fatemeh/0000-0002-7521-2417</t>
  </si>
  <si>
    <t>OCT 30</t>
  </si>
  <si>
    <t>10.1038/s41598-017-14301-3</t>
  </si>
  <si>
    <t>WOS:000414129700005</t>
  </si>
  <si>
    <t>Mihalcea, CE; Morosanu, AM; Murarasu, D; Puiu, L; Cinca, SA; Voinea, SC; Mirancea, N</t>
  </si>
  <si>
    <t>Mihalcea, Corina Elena; Morosanu, Ana-Maria; Murarasu, Daniela; Puiu, Liliana; Cinca, Sabin-Aurel; Voinea, Silviu Cristian; Mirancea, Nicolae</t>
  </si>
  <si>
    <t>Molecular analysis of BRCA1 and BRCA2 genes by next generation sequencing and ultrastructural aspects of breast tumor tissue</t>
  </si>
  <si>
    <t>ROMANIAN JOURNAL OF MORPHOLOGY AND EMBRYOLOGY</t>
  </si>
  <si>
    <t>invasive mammary carcinoma; telocytes; BRCAI and BRCA2; next generation sequencing</t>
  </si>
  <si>
    <t>ELECTRON-MICROSCOPE; INTERSTITIAL-CELLS; CAJAL ICC; CANCER; TELOCYTES; STROMA; SKIN; MICROENVIRONMENT; INFRASTRUCTURE; MICROVESICLES</t>
  </si>
  <si>
    <t>In this paper, we focus our interest on the dynamics alterations of the tumor-stroma interface at the ultrastructural level and to detect BRCA1 and BRCA2 mutations using next generation sequencing (NGS) of breast tumor tissue. Electron microscopic investigation revealed some peculiar infrastructural alterations of the tumor cells per se as well as of the tumor-stroma interface: invadopodia, shedding microvesicles, altered morphology and reduced number of telocytes, different abnormalities of the microvasculature. Tumor suppressor genes BRCA1 and BRCA2 are the genes with most hereditary predisposition to breast and ovarian cancer. An early identification of mutation within these genes is essential for determining classification and therapeutic approach to patients. Genetic tests used to determine mutations in BRCA1 and BRCA2 genes are laborious analysis methods which include, among others, NGS. We analyzed a total of eight samples, in which genomic DNA was amplified using Ion AmpliSeq panel BRCA1 and BRCA2. DNA libraries were created, amplified and sequenced with Ion Torrent Personal Genome Machine. The bio-information data obtained allow us to detect all known pathogenic mutation and uncertain polymorphisms.</t>
  </si>
  <si>
    <t>[Mihalcea, Corina Elena; Murarasu, Daniela; Puiu, Liliana; Cinca, Sabin-Aurel] Prof Dr Alexandru Trestioreanu Inst Oncol, Dept Carcinogenesis &amp; Mol Biol, Bucharest, Romania; [Morosanu, Ana-Maria; Mirancea, Nicolae] Romanian Acad, Inst Biol Bucharest, Dept Plant &amp; Anim Cytobiol, 296 Independentei Ave,POB 56-53, Bucharest 060031, Romania; [Voinea, Silviu Cristian] Prof Dr Alexandru Trestioreanu Inst Oncol, Dept Oncol Surg 2, Bucharest, Romania</t>
  </si>
  <si>
    <t>Institute of Oncology Prof. Dr. Al Trestioreanu; Romanian Academy of Sciences; Institute of Oncology Prof. Dr. Al Trestioreanu</t>
  </si>
  <si>
    <t>Mirancea, N (corresponding author), Romanian Acad, Inst Biol Bucharest, Dept Plant &amp; Anim Cytobiol, 296 Independentei Ave,POB 56-53, Bucharest 060031, Romania.</t>
  </si>
  <si>
    <t>nick_mirancea@yahoo.com</t>
  </si>
  <si>
    <t>Morosanu, Ana-Maria/AAC-4008-2021; Murarasu, Daniela/AAS-3943-2020; Mihalcea, Corina Elena/AAS-3941-2020</t>
  </si>
  <si>
    <t xml:space="preserve">Murarasu, Daniela/0000-0002-8840-600X; </t>
  </si>
  <si>
    <t>1220-0522</t>
  </si>
  <si>
    <t>WOS:000406647000014</t>
  </si>
  <si>
    <t>Ninomiya, M; Inoue, J; Krueger, EW; Chen, J; Cao, H; Masamune, A; McNiven, MA</t>
  </si>
  <si>
    <t>Ninomiya, Masashi; Inoue, Jun; Krueger, Eugene W.; Chen, Jing; Cao, Hong; Masamune, Atsushi; McNiven, Mark A.</t>
  </si>
  <si>
    <t>The Exosome-Associated Tetraspanin CD63 Contributes to the Efficient Assembly and Infectivity of the Hepatitis B Virus</t>
  </si>
  <si>
    <t>HEPATOLOGY COMMUNICATIONS</t>
  </si>
  <si>
    <t>Currently, the hepatocellular trafficking pathways that are used by the hepatitis B virus (HBV) during viral infection and shedding are poorly defined. It is known that the HBV uses late endosomal and multivesicular body (MVB) compartments for assembly and release. The intraluminal vesicles (ILVs) generated within MVBs have also been implicated in the late synthesis stages of a variety of pathogenic viruses. We recently observed that the HBV within infected hepatocytes appears to associate with the tetraspanin protein CD63, known to be a prominent and essential component of ILVs. Immunofluorescence microscopy of HBV-expressing cells showed that CD63 colocalized with HBV proteins (large hepatitis B surface antigens [LHBs] and hepatitis B core) and labeled an exceptionally large number of secreted extracellular vesicles of uniform size. Small interfering RNA (siRNA)-mediated depletion of CD63 induced a substantial accumulation of intracellular LHBs protein but did not alter the levels of either intracellular or extracellular HBV DNA, nor pregenomic RNA. Consistent with these findings, we found that markedly less LHBs protein was associated with the released HBV particles from CD63 siRNA-treated cells. Importantly, the HBV viral particles that were shed from CD63-depleted cells were substantially less infective than those collected from control cells with normal CD63 levels. Conclusion: These findings implicate the tetraspanin protein CD63 as a marker and an important component in the formation and release of infectious HBV particles.</t>
  </si>
  <si>
    <t>[Ninomiya, Masashi; Krueger, Eugene W.; Chen, Jing; Cao, Hong; McNiven, Mark A.] Mayo Clin, Ctr Basic Res Digest Dis, Rochester, MN USA; [Ninomiya, Masashi; Inoue, Jun; Masamune, Atsushi] Tohoku Univ, Div Gastroenterol, Grad Sch Med, Sendai, Miyagi, Japan</t>
  </si>
  <si>
    <t>Mayo Clinic; Tohoku University</t>
  </si>
  <si>
    <t>Inoue, J (corresponding author), Tohoku Univ, Div Gastroenterol, Grad Sch Med, Aoba Ku, 1-1 Seiryo Machi, Sendai, Miyagi 9808574, Japan.;McNiven, MA (corresponding author), Mayo Clin, Dept Biochem &amp; Mol Biol, 200 1st St SW,Guggenheim 1611, Rochester, MN 55905 USA.</t>
  </si>
  <si>
    <t>jinoue-drgn@umin.net; mcniven.mark@mayo.edu</t>
  </si>
  <si>
    <t>Inoue, Jun/S-9282-2019</t>
  </si>
  <si>
    <t>Inoue, Jun/0000-0003-1171-7835</t>
  </si>
  <si>
    <t>2471-254X</t>
  </si>
  <si>
    <t>10.1002/hep4.1709</t>
  </si>
  <si>
    <t>WOS:000635186700001</t>
  </si>
  <si>
    <t>Garnier, Y; Claude, L; Hermand, P; Sachou, E; Claes, A; Desplan, K; Chahim, B; Roger, PM; Martino, F; Colin, Y; Le Van Kim, C; Baccini, V; Romana, M</t>
  </si>
  <si>
    <t>Garnier, Yohann; Claude, Livia; Hermand, Patricia; Sachou, Evely; Claes, Aurelie; Desplan, Kassandra; Chahim, Bassel; Roger, Pierre-Marie; Martino, Frederic; Colin, Yves; Le Van Kim, Caroline; Baccini, Veronique; Romana, Marc</t>
  </si>
  <si>
    <t>Plasma microparticles of intubated COVID-19 patients cause endothelial cell death, neutrophil adhesion and netosis, in a phosphatidylserine-dependent manner</t>
  </si>
  <si>
    <t>BRITISH JOURNAL OF HAEMATOLOGY</t>
  </si>
  <si>
    <t>COVID-19; microparticles; inflammation; vascular damage</t>
  </si>
  <si>
    <t>TISSUE FACTOR; ANNEXIN-V; APOPTOSIS; RECRUITMENT; VESICLES; PREDICT; MICE</t>
  </si>
  <si>
    <t>COVID-19 has compelled scientists to better describe its pathophysiology to find new therapeutic approaches. While risk factors, such as older age, obesity, and diabetes mellitus, suggest a central role of endothelial cells (ECs), autopsies have revealed clots in the pulmonary microvasculature that are rich in neutrophils and DNA traps produced by these cells, called neutrophil extracellular traps (NETs.) Submicron extracellular vesicles, called microparticles (MPs), are described in several diseases as being involved in pro-inflammatory pathways. Therefore, in this study, we analyzed three patient groups: one for which intubation was not necessary, an intubated group, and one group after extubation. In the most severe group, the intubated group, platelet-derived MPs and endothelial cell (EC)-derived MPs exhibited increased concentration and size, when compared to uninfected controls. MPs of intubated COVID-19 patients triggered EC death and overexpression of two adhesion molecules: P-selectin and vascular cell adhesion molecule-1 (VCAM-1). Strikingly, neutrophil adhesion and NET production were increased following incubation with these ECs. Importantly, we also found that preincubation of these COVID-19 MPs with the phosphatidylserine capping endogenous protein, annexin A5, abolished cytotoxicity, P-selectin and VCAM-1 induction, all like increases in neutrophil adhesion and NET release. Taken together, our results reveal that MPs play a key role in COVID-19 pathophysiology and point to a potential therapeutic: annexin A5.</t>
  </si>
  <si>
    <t>[Garnier, Yohann; Claude, Livia; Hermand, Patricia; Sachou, Evely; Desplan, Kassandra; Colin, Yves; Le Van Kim, Caroline; Baccini, Veronique; Romana, Marc] Univ Paris, UMR S1134, BIGR, INSERM, Paris, France; [Garnier, Yohann; Claude, Livia; Sachou, Evely; Desplan, Kassandra; Baccini, Veronique; Romana, Marc] Univ Antilles, UMR S1134, BIGR, Pointe A Pitre, Guadeloupe, France; [Garnier, Yohann; Claude, Livia; Hermand, Patricia; Sachou, Evely; Desplan, Kassandra; Colin, Yves; Le Van Kim, Caroline; Baccini, Veronique; Romana, Marc] Lab Excellence GREx, Paris, France; [Garnier, Yohann; Claude, Livia; Sachou, Evely; Desplan, Kassandra; Baccini, Veronique; Romana, Marc] CHU Pointe a Pitre, Pointe A Pitre, Guadeloupe, France; [Hermand, Patricia; Colin, Yves; Le Van Kim, Caroline] Inst Natl Transfus Sanguine, Paris, France; [Claes, Aurelie] Inst Pasteur, Paris, France; [Claes, Aurelie] CNRS ERL9195, Paris, France; [Claes, Aurelie] INSERM U1201, Paris, France; [Chahim, Bassel] CHU Pointe a Pitre Abymes, Serv Posturgences, Pointe A Pitre, Guadeloupe, France; [Roger, Pierre-Marie] CHU Pointe Pitre Abymes, Serv Infectiol, Pointe A Pitre, Guadeloupe, France; [Martino, Frederic] CHU Pointe Pitre Abymes, Serv Reanimat, Pointe A Pitre, Guadeloupe, France</t>
  </si>
  <si>
    <t>Institut National de la Sante et de la Recherche Medicale (Inserm); UDICE-French Research Universities; Universite de Paris; UDICE-French Research Universities; Universite de Paris; Universite des Antilles; CHU Guadeloupe; Le Reseau International des Instituts Pasteur (RIIP); Institut Pasteur Paris; Centre National de la Recherche Scientifique (CNRS); CNRS - National Institute for Biology (INSB); Institut National de la Sante et de la Recherche Medicale (Inserm); CHU Guadeloupe; CHU Guadeloupe; CHU Guadeloupe</t>
  </si>
  <si>
    <t>Garnier, Y (corresponding author), CHU Guadeloupe, UMR 1134, Inserm UA, F-97110 Pointe A Pitre, Guadeloupe, France.</t>
  </si>
  <si>
    <t>yohann.garnier@inserm.fr</t>
  </si>
  <si>
    <t>Romana, marc/0000-0002-8715-9836; GARNIER, Yohann/0000-0002-2720-5829; HERMAND, Patricia/0000-0003-0628-9733</t>
  </si>
  <si>
    <t>0007-1048</t>
  </si>
  <si>
    <t>1365-2141</t>
  </si>
  <si>
    <t>10.1111/bjh.18019</t>
  </si>
  <si>
    <t>WOS:000739674300001</t>
  </si>
  <si>
    <t>Gong, X; Wang, HZ; Li, RM; Tan, KY; Jie, W; Wang, J; Hong, C; Shang, JH; Liu, XQ; Liu, J; Wang, FA</t>
  </si>
  <si>
    <t>Gong, Xue; Wang, Haizhou; Li, Ruomeng; Tan, Kaiyue; Jie Wei; Wang, Jing; Hong, Chen; Shang, Jinhua; Liu, Xiaoqing; Liu, Jing; Wang, Fuan</t>
  </si>
  <si>
    <t>A smart multiantenna gene theranostic system based on the programmed assembly of hypoxia-related siRNAs</t>
  </si>
  <si>
    <t>HYBRIDIZATION-CHAIN-REACTION; NUCLEIC-ACID; RNA-INTERFERENCE; LIVING CELLS; DNA; EXOSOMES; AMPLIFICATION; MICRORNAS; STABILITY</t>
  </si>
  <si>
    <t>The systemic therapeutic utilisation of RNA interference (RNAi) is limited by the non-specific off-target effects, which can have severe adverse impacts in clinical applications. The accurate use of RNAi requires tumour-specific on-demand conditional activation to eliminate the off-target effects of RNAi, for which conventional RNAi systems cannot be used. Herein, a tumourous biomarker-activated RNAi platform is achieved through the careful design of RNAi prodrugs in extracellular vesicles (EVs) with cancer-specific recognition/activation features. These RNAi prodrugs are assembled by splitting and reconstituting the principal siRNAs into a hybridisation chain reaction (HCR) amplification machine. EVs facilitate the specific and efficient internalisation of RNAi prodrugs into target tumour cells, where endogenous microRNAs (miRNAs) promote immediate and autonomous HCR-amplified RNAi activation to simultaneously silence multiantenna hypoxia-related genes. With multiple guaranteed cancer recognition and synergistic therapy features, the miRNA-initiated HCR-promoted RNAi cascade holds great promise for personalised theranostics that enable reliable diagnosis and programmable on-demand therapy. The therapeutic application of small interfering RNA (siRNA) is challenging due to its non-specific targeting and delivery issues. Here, the authors report an endogenous micro-RNA guided and hybridisation chain reaction-promoted siRNA delivery system encapsulated in tumour-derived extracellular vesicles, with cancer-specific activation, and achieve silencing of hypoxia-related genes.</t>
  </si>
  <si>
    <t>[Gong, Xue; Li, Ruomeng; Tan, Kaiyue; Jie Wei; Wang, Jing; Hong, Chen; Shang, Jinhua; Liu, Xiaoqing; Wang, Fuan] Wuhan Univ, Coll Chem &amp; Mol Sci, Minist Educ, Key Lab Analyt Chem Biol &amp; Med, Wuhan, Peoples R China; [Wang, Haizhou; Liu, Jing] Wuhan Univ, Zhongnan Hosp, Dept Gastroenterol, Wuhan, Peoples R China</t>
  </si>
  <si>
    <t>Liu, XQ; Wang, FA (corresponding author), Wuhan Univ, Coll Chem &amp; Mol Sci, Minist Educ, Key Lab Analyt Chem Biol &amp; Med, Wuhan, Peoples R China.</t>
  </si>
  <si>
    <t>xiaoqingliu@whu.edu.cn; fuanwang@whu.edu.cn</t>
  </si>
  <si>
    <t>JUN 25</t>
  </si>
  <si>
    <t>10.1038/s41467-021-24191-9</t>
  </si>
  <si>
    <t>WOS:000687320200001</t>
  </si>
  <si>
    <t>Gatti, JL; Schmitz, A; Colinet, D; Poirie, M</t>
  </si>
  <si>
    <t>Beckage, NE; Drezen, JM</t>
  </si>
  <si>
    <t>Gatti, Jean-luc; Schmitz, Antonin; Colinet, Dominique; Poirie, Marylene</t>
  </si>
  <si>
    <t>Diversity of Virus-Like Particles in Parasitoids' Venom: Viral or Cellular Origin?</t>
  </si>
  <si>
    <t>PARASITOID VIRUSES: SYMBIONTS AND PATHOGENS</t>
  </si>
  <si>
    <t>AETHIOPOIDES LOAN HYMENOPTERA; DROSOPHILA-MELANOGASTER; LEPTOPILINA-BOULARDI; METEORUS-PULCHRICORNIS; IMMUNE-RESPONSE; MEMBRANE MICRODOMAINS; ENDOPARASITOID WASP; CALYX CELLS; PROTEIN; HOST</t>
  </si>
  <si>
    <t>During oviposition in their insect hosts, most endoparasitic wasps inject venom and/or ovarian products that will either prevent the egg from being recognized by the host immune system or protect it from the immune response. This response, the encapsulation process, involves both hematopoietic cells that form successive layers around the parasitoid egg, and induction of the humoral melanization process, due to activation of the phenoloxidase cascade. Among components injected by the wasp with its eggs, several immune suppressive proteins have been described that suppress either the cellular or the humoral defenses. In species from specific braconid and ichneumonid groups, viral capsids containing multiple DNA circles (polydnaviruses, PDVs) produced in the ovary fluid are injected into the host and enter host cells. Expression of viral genes then leads to the production of specific proteins that interfere with the host response. In other species from a large range of hymenopterans' families, vesicles, named virus-like particles (VLPs), have been observed in the ovarian tissue or in the venom apparatus. These VLPs, demonstrated or assumed to be devoid of DNA or RNA, are injected with the egg and participate in its protection from host immune defenses. Comparison of published electron microscopy pictures of VLPs reveals a large diversity in form and size between wasp species with more or less resemblance to viruses, but also an important heterogeneity within a given species. Besides, the few VLPs-associated proteins characterized to date show no homology with viral proteins, and their function is unknown. In this paper, we review data available on parasitoid wasps' VLPs, mainly on the basis of their structure and composition. This leads us to discuss how to discriminate between virus-resembling VLPs and viruses, and to suggest that some of the VLPs might be cellular secreted vesicles, such as microvesicles and exosomes described in many epithelium and cells, aimed to transfer toxins inside host cells. Finally, we propose to avoid the misleading name of VLPs for vesicles produced in venom and rather use the term of 'venosomes'.</t>
  </si>
  <si>
    <t>[Gatti, Jean-luc; Schmitz, Antonin; Colinet, Dominique; Poirie, Marylene] Univ Nice Sophia Antipolis, UMR Interact Biot &amp; Sante Vegetale, Sophia Agrobiotech, INRA 1301,CNRS 6243, F-06903 Sophia Antipolis, France</t>
  </si>
  <si>
    <t>INRAE; UDICE-French Research Universities; Universite Cote d'Azur</t>
  </si>
  <si>
    <t>Gatti, JL (corresponding author), Univ Nice Sophia Antipolis, UMR Interact Biot &amp; Sante Vegetale, Sophia Agrobiotech, INRA 1301,CNRS 6243, 400 Route Chappes, F-06903 Sophia Antipolis, France.</t>
  </si>
  <si>
    <t>Gatti, jean-luc/ABB-3294-2020; Colinet, Dominique/C-8738-2012</t>
  </si>
  <si>
    <t>Gatti, jean-luc/0000-0001-7683-718X; Colinet, Dominique/0000-0001-5122-5072</t>
  </si>
  <si>
    <t>978-0-12-384859-8</t>
  </si>
  <si>
    <t>10.1016/B978-0-12-384858-1.00015-1</t>
  </si>
  <si>
    <t>Parasitology; Virology</t>
  </si>
  <si>
    <t>WOS:000318069200017</t>
  </si>
  <si>
    <t>Menkhorst, E; Nation, A; Cui, SL; Selwood, L</t>
  </si>
  <si>
    <t>Menkhorst, Ellen; Nation, Angela; Cui, Shuliang; Selwood, Lynne</t>
  </si>
  <si>
    <t>Evolution of the Shell Coat and Yolk in Amniotes: A Marsupial Perspective</t>
  </si>
  <si>
    <t>JOURNAL OF EXPERIMENTAL ZOOLOGY PART B-MOLECULAR AND DEVELOPMENTAL EVOLUTION</t>
  </si>
  <si>
    <t>Symposium on Functional Morphology of the Reptilian Five Chambered Heart held at the 7th International Congress of Vertebrate Morphology</t>
  </si>
  <si>
    <t>JUL, 2007</t>
  </si>
  <si>
    <t>Paris, FRANCE</t>
  </si>
  <si>
    <t>STRIPE-FACED DUNNART; EARLY EMBRYONIC-DEVELOPMENT; SHORT-TAILED OPOSSUM; CELL-ZONA ADHESION; MONODELPHIS-DOMESTICA; EXTRACELLULAR-MATRIX; EARLY CLEAVAGE; OOCYTE ORGANELLES; IN-VITRO; EGG</t>
  </si>
  <si>
    <t>Two characters distinguish oogenesis and early development in marsupials and monotremes: (1) the shell coat that persists from the zygote to somite stages in marsupials or until hatching in monotremes; and (2) the numerous, apparently almost empty vesicles that appear in primary oocytes, increase during oogenesis in marsupials and monotremes before being shed into the cleavage cavity and are preferentially distributed to the trophoblast lineage in marsupials, but comprise the latebra in monotremes. Analysis of these unusual characters used Southern analysis of genomic DNA dot blots and histology and electron microscopy. The evidence suggests that the marsupial shell coat protein, CP4, was probably characteristic of the egg of the mammalian ancestor. Further, the vesicles, present in marsupials during oogensis and cleavage and in eutherian mammals during blastocyst formation are the residual elements of white yolk present in the larger yolky eggs of monotemes and sauropsids. By comparison with the function of the vesicle components in marsupials, it is suggested that one role for the white yolk in monotremes and the sauropsids is to provide extracellular matrix (ECM), especially hyaluronan containing stabilizing proteins, for epithelial construction. Thus, as oviparity was replaced by viviparity, egg size was reduced, the germinal cytoplasm was retained, and yellow yolk was markedly reduced or lost in marsupials and eutherians. The white yolk was retained in monotremes and marsupials where blastocyst epithelial construction requires ECM support, and its appearance is heterochronously shifted to after compaction, when blastocyst formation and expansion occurs, in eutherian mammals. J. Exp. Zool. (Mol. Dev. Evol.) 312B:625-638, 2009. (C) 2008 Wiley-Liss, Inc.</t>
  </si>
  <si>
    <t>[Menkhorst, Ellen; Nation, Angela; Cui, Shuliang; Selwood, Lynne] Univ Melbourne, Dept Zool, Melbourne, Vic 3010, Australia</t>
  </si>
  <si>
    <t>University of Melbourne</t>
  </si>
  <si>
    <t>Selwood, L (corresponding author), Univ Melbourne, Dept Zool, Melbourne, Vic 3010, Australia.</t>
  </si>
  <si>
    <t>l.selwood@zoology.unimelb.edu.au</t>
  </si>
  <si>
    <t>Menkhorst, Ellen/P-5759-2014; Menkhorst, Ellen/AAU-4329-2021</t>
  </si>
  <si>
    <t>Menkhorst, Ellen/0000-0003-2440-6665</t>
  </si>
  <si>
    <t>1552-5007</t>
  </si>
  <si>
    <t>1552-5015</t>
  </si>
  <si>
    <t>312B</t>
  </si>
  <si>
    <t>10.1002/jez.b.21235</t>
  </si>
  <si>
    <t>Evolutionary Biology; Developmental Biology; Zoology</t>
  </si>
  <si>
    <t>WOS:000269227200010</t>
  </si>
  <si>
    <t>Finotti, A; Allegretti, M; Gasparello, J; Giacomini, P; Spandidos, DA; Spoto, G; Gambari, R</t>
  </si>
  <si>
    <t>Finotti, Alessia; Allegretti, Matteo; Gasparello, Jessica; Giacomini, Patrizio; Spandidos, Demetrios A.; Spoto, Giuseppe; Gambari, Roberto</t>
  </si>
  <si>
    <t>Liquid biopsy and PCR-free ultrasensitive detection systems in oncology (Review)</t>
  </si>
  <si>
    <t>liquid biopsy; circulating tumor cells; circulating free DNA; microRNA</t>
  </si>
  <si>
    <t>CIRCULATING TUMOR DNA; CELL-FREE DNA; DROPLET DIGITAL PCR; SERUM MICRORNA; COLORECTAL-CANCER; BREAST-CANCER; HEPATOCELLULAR-CARCINOMA; PROGNOSTIC BIOMARKER; POTENTIAL BIOMARKER; PROSTATE-CANCER</t>
  </si>
  <si>
    <t>In oncology, liquid biopsy is used in the detection of next-generation analytes, such as tumor cells, cell-free nucleic acids and exosomes in peripheral blood and other body fluids from cancer patients. It is considered one of the most advanced non-invasive diagnostic systems to enable clinically relevant actions and implement precision medicine. Medical actions include, but are not limited to, early diagnosis, staging, prognosis, anticipation (lead time) and the prediction of therapy responses, as well as follow-up. Historically, the applications of liquid biopsy in cancer have focused on circulating tumor cells (CTCs). More recently, this analysis has been extended to circulating free DNA (cfDNA) and microRNAs (miRNAs or miRs) associated with cancer, with potential applications for development into multi-marker diagnostic, prognostic and therapeutic signatures. Liquid biopsies avoid some key limitations of conventional tumor tissue biopsies, including invasive tumor sampling, under-representation of tumor heterogeneity and poor description of clonal evolution during metastatic dissemination, strongly reducing the need for multiple sampling. On the other hand, this approach suffers from important drawbacks, i.e., the fragmentation of cfDNA, the instability of RNA, the low concentrations of certain analytes in body fluids and the confounding presence of normal, as well as aberrant DNAs and RNAs. For these reasons, the analysis of cfDNA has been mostly focused on mutations arising in, and pathognomonicity of, tumor DNA, while the analysis of cfRNA has been mostly focused on miRNA patterns strongly associated with neoplastic transformation/progression. This review lists some major applicative areas, briefly addresses how technology is bypassing liquid biopsy limitations, and places a particular emphasis on novel, PCR-free platforms. The ongoing collaborative efforts of major international consortia are reviewed. In addition to basic and applied research, we will consider technological transfer, including patents, patent applications and available information on clinical trials aimed at verifying the potential of liquid biopsy in cancer.</t>
  </si>
  <si>
    <t>[Finotti, Alessia; Gasparello, Jessica; Gambari, Roberto] Ferrara Univ, Dept Life Sci &amp; Biotechnol, I-44121 Ferrara, Italy; [Allegretti, Matteo; Giacomini, Patrizio] IRCCS Regina Elena Natl Canc Inst, Oncogen &amp; Epigenet Unit, I-00144 Rome, Italy; [Spandidos, Demetrios A.] Univ Crete, Sch Med, Lab Clin Virol, Iraklion 71003, Crete, Greece; [Spoto, Giuseppe] Catania Univ, Dept Chem, I-95125 Catania, Italy; [Spoto, Giuseppe] Catania Univ, Dept Chem, INBB Consortium, I-95125 Catania, Italy; [Gambari, Roberto] Interuniv Consortium Biotechnol CIB, I-34012 Trieste, Italy</t>
  </si>
  <si>
    <t>University of Ferrara; Arcispedale Sant'Anna; University of Crete; University of Catania; University of Catania</t>
  </si>
  <si>
    <t>Gambari, R (corresponding author), Ferrara Univ, Dept Life Sci &amp; Biotechnol, Biochem &amp; Mol Biol Sect, Via Fossato di Mortara 74, I-44121 Ferrara, Italy.</t>
  </si>
  <si>
    <t>gam@unife.it</t>
  </si>
  <si>
    <t>Finotti, Alessia/C-6268-2012; Giacomini, Patrizio/K-5217-2016; Allegretti, Matteo/K-3862-2018; Gasparello, Jessica/N-6975-2018</t>
  </si>
  <si>
    <t>Finotti, Alessia/0000-0002-7638-515X; Giacomini, Patrizio/0000-0001-6109-1709; Allegretti, Matteo/0000-0003-3398-8775; Spoto, Giuseppe/0000-0003-3201-8689; Gasparello, Jessica/0000-0001-8557-0739; Spandidos, Demetrios/0000-0002-1146-931X</t>
  </si>
  <si>
    <t>10.3892/ijo.2018.4516</t>
  </si>
  <si>
    <t>WOS:000442971100001</t>
  </si>
  <si>
    <t>Deubzer, HE; Eggert, A; Pajtler, KW</t>
  </si>
  <si>
    <t>Deubzer, H. E.; Eggert, A.; Pajtler, K. W.</t>
  </si>
  <si>
    <t>Liquid biopsies as a new diagnostic platform in pediatric oncology</t>
  </si>
  <si>
    <t>ONKOLOGE</t>
  </si>
  <si>
    <t>Circulating tumor-RNA; Cell-free tumor DNA; Circulating neoplastic cells; Single-cell analysis; Precision medicine</t>
  </si>
  <si>
    <t>Background Detailed characterization of the molecular tumor profile is a prerequisite for personalized oncology approaches. This profile is dynamic in nature and requires sequential analyses to closely monitor the patient during and after therapy. Objectives The goal was to investigate the potential of liquid biopsy analyses for improving diagnostics, therapy and follow-up of patients in pediatric hematology and oncology. Materials and methods The basic literature reflecting technology advances, preclinical and clinical studies is reviewed and expert opinions are presented. Results The analysis of tumor surrogates in liquid biopsies such as blood, saliva, cerebrospinal fluid and urine is less invasive than surgical biopsies and can be sequentially performed. The high temporal resolution achieved allows the likely detection of changes in the genetic fingerprint of a cancer. Initial studies indicated that liquid biopsies are capable of capturing the landscape of intratumoral heterogeneity in the primary tumor and the metastases at the (sub)clonal level, thus, outperforming the profile provided by a local surgical biopsy. In pediatric hematology and oncology, cell-free tumor DNA is currently the most studied molecule in liquid biopsies. Further tumor surrogates in liquid biopsies include RNA molecules, circulating tumor cells, extracellular vesicles, metabolites and proteins. Conclusions The technological advances of the last decade now enable the detection and characterization of the dynamic fingerprint of solid pediatric tumors in liquid biopsies. The potential of these analyses for initial diagnostics, disease monitoring, therapy decision-making and early detection of relapses during follow-up is currently under intense investigation within the framework of clinical studies in pediatric oncology.</t>
  </si>
  <si>
    <t>[Deubzer, H. E.; Eggert, A.] Charite Univ Med Berlin, Berlin, Germany; [Deubzer, H. E.] Charite Univ Med Berlin, Univ Med Berlin, Expt &amp; Clin Res Ctr, Berlin, Germany; [Deubzer, H. E.] Charite Univ Med Berlin, Max Delbruck Ctr Mol Med MDC, Berlin, Germany; [Deubzer, H. E.; Eggert, A.] German Canc Consortium DKTK, Partner Site Berlin, Berlin, Germany; [Deubzer, H. E.; Eggert, A.] Berliner Inst Gesundheitsforsch, Berlin, Germany; [Pajtler, K. W.] Hopp Childrens Canc Ctr Heidelberg KiTZ, Heidelberg, Germany; [Pajtler, K. W.] German Canc Res Ctr, Heidelberg, Germany; [Pajtler, K. W.] German Canc Consortium DKTK, Heidelberg, Germany; [Pajtler, K. W.] Univ Klinikum Heidelberg, Klin Padiat Onkol Hamatol Immunol &amp; Pulmonol, Heidelberg, Germany</t>
  </si>
  <si>
    <t>Free University of Berlin; Humboldt University of Berlin; Charite Universitatsmedizin Berlin; Free University of Berlin; Humboldt University of Berlin; Charite Universitatsmedizin Berlin; Free University of Berlin; Humboldt University of Berlin; Charite Universitatsmedizin Berlin; Helmholtz Association; Max Delbruck Center for Molecular Medicine; Helmholtz Association; German Cancer Research Center (DKFZ); Helmholtz Association; German Cancer Research Center (DKFZ); Helmholtz Association; German Cancer Research Center (DKFZ); Ruprecht Karls University Heidelberg</t>
  </si>
  <si>
    <t>Pajtler, KW (corresponding author), German Canc Res Ctr, Heidelberg, Germany.</t>
  </si>
  <si>
    <t>kristian.pajtler@med.uni-heidelberg.de</t>
  </si>
  <si>
    <t>Deubzer, Hedwig/0000-0002-6115-4893</t>
  </si>
  <si>
    <t>0947-8965</t>
  </si>
  <si>
    <t>1433-0415</t>
  </si>
  <si>
    <t>10.1007/s00761-021-00904-z</t>
  </si>
  <si>
    <t>WOS:000625040700006</t>
  </si>
  <si>
    <t>Feller, SM; Lewitzky, M</t>
  </si>
  <si>
    <t>Feller, Stephan M.; Lewitzky, Marc</t>
  </si>
  <si>
    <t>Hunting for the ultimate liquid cancer biopsy - let the TEP dance begin</t>
  </si>
  <si>
    <t>CIRCULATING TUMOR-CELLS; LONG NONCODING RNAS; METASTATIC PROSTATE-CANCER; EXTRACELLULAR VESICLES; MICRORNA BIOGENESIS; EDUCATED PLATELETS; LARGE ONCOSOMES; LUNG-CANCER; BIOMARKERS; MICROVESICLES</t>
  </si>
  <si>
    <t>Non-protein coding RNAs in different flavors (miRNAs, piRNAs, snoRNAs, lncRNAs, SHOT-RNAs), exosomes, large oncosomes, exoDNA and now tumor-educated platelets (TEPs) have emerged as crucial signal transmitting, transporting and regulating devices of cells in the last two decades. They are also establishing themselves increasingly in the realm of tumor research. We are currently witnessing a mushrooming of candidate entities for diagnostic and prognostic cancer detection and characterization tests that could have a major impact on how this diverse group of diseases is initially spotted and subsequently treated in the near future. But how do the new kids on the block stand up to the more established circulating tumor cells (CTCs) and circulating tumor DNA (ctDNA)? Without question, much earlier disease detection would be expected to save numerous lives. With all these new players around, will we finally win a major battle in the never-ending war against cancer?</t>
  </si>
  <si>
    <t>[Feller, Stephan M.; Lewitzky, Marc] Univ Halle Wittenberg, Inst Mol Med, Halle, Saale, Germany</t>
  </si>
  <si>
    <t>Martin Luther University Halle Wittenberg</t>
  </si>
  <si>
    <t>Feller, SM (corresponding author), Univ Halle Wittenberg, Inst Mol Med, Halle, Saale, Germany.</t>
  </si>
  <si>
    <t>stephan.feller@uk-halle.de</t>
  </si>
  <si>
    <t>SEP 27</t>
  </si>
  <si>
    <t>10.1186/s12964-016-0147-9</t>
  </si>
  <si>
    <t>WOS:000384353200001</t>
  </si>
  <si>
    <t>Philley, JV; Kannan, A; Qin, WY; Sauter, ER; Ikebe, M; Hertweck, KL; Troyer, DA; Semmes, OJ; Dasgupta, S</t>
  </si>
  <si>
    <t>Philley, Julie V.; Kannan, Anbarasu; Qin, Wenyi; Sauter, Edward R.; Ikebe, Mitsuo; Hertweck, Kate L.; Troyer, Dean A.; Semmes, Oliver J.; Dasgupta, Santanu</t>
  </si>
  <si>
    <t>Complex-I Alteration and Enhanced Mitochondrial Fusion Are Associated With Prostate Cancer Progression</t>
  </si>
  <si>
    <t>ACTIVE SURVEILLANCE; DNA MUTATIONS; STEM-CELLS; EXOSOMES; BIOGENESIS; ROLES; PROLIFERATION; APOPTOSIS; DEPLETION; FISSION</t>
  </si>
  <si>
    <t>Mitochondria (mt) encoded respiratory complex-I (RCI) mutations and their pathogenicity remain largely unknown in prostate cancer (PCa). Little is known about the role of mtDNA loss on mt integrity in PCa. We determined mtDNA mutation in human and mice PCa and assessed the impact of mtDNA depletion on mt integrity. We also examined whether the circulating exosomes from PCa patients are transported to mt and carry mtDNA or mt proteins. We have employed next generation sequencing of the whole mt genome in human and Hi-myc PCa. The impact of mtDNA depletion on mt integrity, presence of mtDNA, and protein in sera exosomes was determined. A co-culture of human PCa cells and the circulating exosomes followed by confocal imaging determined co-localization of exosomes and mt. We observed frequent RCI mutations in human and Hi-myc PCa which disrupted corresponding complex protein expression. Depletion of mtDNA in PCa cells influenced mt integrity, increased expression of MFN1, MFN2, PINK1, and decreased expression of MT-TFA. Increased mt fusion and expression of PINK1 and DNM1L were also evident in the Hi-myc tumors. RCI-mtDNA, MFN2, and IMMT proteins were detected in the circulating exosomes of men with benign prostate hyperplasia (BPH) and progressive PCa. Circulating exosomes and mt co-localized in PCa cells. Our study identified new pathogenic RCI mutations in PCa and defined the impact of mtDNA loss on mt integrity. Presence of mtDNA and mt proteins in the circulating exosomes implicated their usefulness for biomarker development. (c) 2015 Wiley Periodicals, Inc</t>
  </si>
  <si>
    <t>[Philley, Julie V.] Univ Texas Tyler, Hlth Sci Ctr, Dept Med, Tyler, TX 75799 USA; [Kannan, Anbarasu; Ikebe, Mitsuo; Dasgupta, Santanu] Univ Texas Tyler, Dept Cellular &amp; Mol Biol, Hlth Sci Ctr, Tyler, TX 75799 USA; [Qin, Wenyi; Sauter, Edward R.] Univ Texas Tyler, Dept Surg, Hlth Sci Ctr, Tyler, TX 75799 USA; [Hertweck, Kate L.] Univ Texas Tyler, Dept Biol, Tyler, TX 75799 USA; [Troyer, Dean A.; Semmes, Oliver J.] Eastern Virginia Med Sch, Dept Microbiol &amp; Mol Cell Biol, Norfolk, VA 23501 USA</t>
  </si>
  <si>
    <t>University of Texas System; University of Texas at Tyler; University of Texas-Health Sciences Center at Tyler (UTHSCT); University of Texas System; University of Texas at Tyler; University of Texas-Health Sciences Center at Tyler (UTHSCT); University of Texas System; University of Texas at Tyler; University of Texas-Health Sciences Center at Tyler (UTHSCT); University of Texas System; University of Texas at Tyler; Eastern Virginia Medical School</t>
  </si>
  <si>
    <t>Dasgupta, S (corresponding author), Univ Texas Tyler, Dept Cellular &amp; Mol Biol, Hlth Sci Ctr, Tyler, TX 75799 USA.</t>
  </si>
  <si>
    <t>santanu.dasgupta@uthct.edu</t>
  </si>
  <si>
    <t>Hertweck, Kate/0000-0002-4026-4612</t>
  </si>
  <si>
    <t>10.1002/jcp.25240</t>
  </si>
  <si>
    <t>WOS:000370736600019</t>
  </si>
  <si>
    <t>Cai, Y; Xu, MJ; Koritzinsky, EH; Zhou, Z; Wang, W; Cao, HX; Yuen, PST; Ross, RA; Star, RA; Liangpunsakul, S; Gao, B</t>
  </si>
  <si>
    <t>Cai, Yan; Xu, Ming-Jiang; Koritzinsky, Erik H.; Zhou, Zhou; Wang, Wei; Cao, Haixia; Yuen, Peter S. T.; Ross, Ruth A.; Star, Robert A.; Liangpunsakul, Suthat; Gao, Bin</t>
  </si>
  <si>
    <t>Mitochondrial DNA-enriched microparticles promote acute-on-chronic alcoholic neutrophilia and hepatotoxicity</t>
  </si>
  <si>
    <t>INFLAMMATORY EXTRACELLULAR VESICLES; LIVER-INJURY; DISEASE PATHOGENESIS; RELEASE; STEATOHEPATITIS; HEPATOCYTES; STRESS; MICE; INFILTRATION; ACTIVATION</t>
  </si>
  <si>
    <t>Over the last several years, one of the major advances in the field of alcoholic liver disease research was the discovery that binge alcohol consumption induced neutrophilia and hepatic neutrophil infiltration in chronically ethanol-fed mice and human subjects with excessive alcohol use (EAU); however, the underlying mechanisms remain obscure. Here, we demonstrated that chronic EAU patients with a history of recent excessive drinking (EAU + RD) had higher serum levels of mitochondrial DNA (mtDNA)-enriched microparticles (MPs) than EAU without recent drinking (EAU -RD) and healthy controls, which correlated positively with circulating neutrophils. Similarly, mice with chronic-plus-binge (E10d + 1B) ethanol feeding also had markedly elevated serum levels of mtDNA-enriched MPs, with activation of hepatic ER stress and inflammatory responses. Inhibition of ER stress by gene KO or inhibitors attenuated ethanol-induced elevation of mtDNA-enriched MPs, neutrophilia, and liver injury. The data from the study of hepatocyte-specific deletion of the protein kinase RNA-like ER kinase (Perk) gene in mice and of cultured hepatocytes demonstrated that hepatocytes were the main source of mtDNA-enriched MPs after ethanol feeding. Finally, administration of mtDNA-enriched MPs isolated from E10d+ 1B-fed mice caused neutrophilia in mice. In conclusion, E10d + 1B ethanol consumption activates hepatic ER stress-dependent mtDNA-enriched MP release, leading to neutrophilia and liver injury.</t>
  </si>
  <si>
    <t>[Cai, Yan; Xu, Ming-Jiang; Zhou, Zhou; Wang, Wei; Cao, Haixia; Gao, Bin] NIAAA, Lab Liver Dis, Bethesda, MD USA; [Koritzinsky, Erik H.; Yuen, Peter S. T.; Star, Robert A.] NIDDK, NIH, Renal Diagnost &amp; Therapeut Unit, Bethesda, MD USA; [Ross, Ruth A.; Liangpunsakul, Suthat] Indiana Univ Sch Med, Dept Med, Div Gastroenterol &amp; Hepatol, Indianapolis, IN 46202 USA; [Liangpunsakul, Suthat] Richard L Roudebush Vet Adm Med Ctr, Indianapolis, IN USA</t>
  </si>
  <si>
    <t>National Institutes of Health (NIH) - USA; NIH National Institute on Alcohol Abuse &amp; Alcoholism (NIAAA); National Institutes of Health (NIH) - USA; NIH National Institute of Diabetes &amp; Digestive &amp; Kidney Diseases (NIDDK); Indiana University System; Indiana University Bloomington; US Department of Veterans Affairs; Veterans Health Administration (VHA); Richard L. Roudebush VA Medical Center</t>
  </si>
  <si>
    <t>Gao, B (corresponding author), NIAAA, NIH, Lab Liver Dis, 5625 Fishers Lane, Bethesda, MD 20892 USA.</t>
  </si>
  <si>
    <t>Wang, Wei/C-4364-2019; ST Yuen, Peter/B-1954-2008</t>
  </si>
  <si>
    <t>ST Yuen, Peter/0000-0001-9557-3909; Cao, Hezhen/0000-0002-1331-2682; Xu, Ming-Jiang/0000-0003-4184-0797</t>
  </si>
  <si>
    <t>e92634</t>
  </si>
  <si>
    <t>10.1172/jci.insight.92634</t>
  </si>
  <si>
    <t>WOS:000405904800005</t>
  </si>
  <si>
    <t>Wei, F; Yang, JP; Wong, DTW</t>
  </si>
  <si>
    <t>Wei, Fang; Yang, Jieping; Wong, David T. W.</t>
  </si>
  <si>
    <t>Detection of exosomal biomarker by electric field-induced release and measurement (EFIRM)</t>
  </si>
  <si>
    <t>Exosome; Electrochemical sensors; Tumor biomarkers; Lung cancer; Salivary diagnostics</t>
  </si>
  <si>
    <t>TUMOR-DERIVED EXOSOMES; MICRORNA SIGNATURES; MULTIVESICULAR BODY; VESICLES; RNA; IDENTIFICATION; PROTEINS; DNA</t>
  </si>
  <si>
    <t>Exosomes biomarkers mediating important biological process, especially in the systemic disease diagnostics and therapeutics, yet the protective exosomal vesicle structure hinders rapid, simple detection of the harbored molecules. We have established a new method, the electric field-induced release and measurement (EFIRM), which can simultaneously disrupt exosomes to release the contents and on-site monitoring the harbored exosomal RNA/proteins biomarkers. When exposed to a non-uniform electrical field, exosomal RNA and proteins are rapidly released. Bio-recognition of these biomolecules is carried out concurrently. We tested the hypothesis that the lung cancer cell line, H460 stably transfected with hCD63-GFP, would shed hCD63-GFP expressing exosomes that could be detected in serum and saliva. We confirmed in vivo that H460-CD63-GFP shed exosomes were transported to blood and saliva. This result demonstrates for the first time tumor-shed exosomes were detected in saliva, in addition to blood, presenting a new translational utility of exosome-based biomarker detection in saliva. (C) 2013 Elsevier B.V. All rights reserved.</t>
  </si>
  <si>
    <t>[Wei, Fang; Yang, Jieping; Wong, David T. W.] Univ Calif Los Angeles, UCLA Sch Dent, UCLA Dent Res Inst, Ctr Hlth Sci 73 017, Los Angeles, CA 90095 USA</t>
  </si>
  <si>
    <t>University of California System; University of California Los Angeles</t>
  </si>
  <si>
    <t>Wong, DTW (corresponding author), Univ Calif Los Angeles, UCLA Sch Dent, UCLA Dent Res Inst, Ctr Hlth Sci 73 017, 10833 Le Conte Ave, Los Angeles, CA 90095 USA.</t>
  </si>
  <si>
    <t>frada@ucla.edu; jiepyang@ucla.edu; dtww@ucla.edu</t>
  </si>
  <si>
    <t>10.1016/j.bios.2012.12.046</t>
  </si>
  <si>
    <t>WOS:000317150700020</t>
  </si>
  <si>
    <t>Shi, MH; Zhang, JL; Wang, Y; Peng, C; Hu, HY; Qiao, MX; Zhao, XL</t>
  </si>
  <si>
    <t>Shi, Menghao; Zhang, Jiulong; Wang, Yu; Peng, Chang; Hu, Haiyang; Qiao, Mingxi; Zhao, Xiuli</t>
  </si>
  <si>
    <t>Tumor-specific nitric oxide generator to amplify peroxynitrite based on highly penetrable nanoparticles for metastasis inhibition and enhanced cancer therapy</t>
  </si>
  <si>
    <t>Nitric oxide; Tumor metastasis; Drug delivery; DNA damage; P(L-arg)</t>
  </si>
  <si>
    <t>CELL LUNG-CANCER; DRUG-DELIVERY; RELEASE; SIZE; THERAPEUTICS; ACCUMULATION</t>
  </si>
  <si>
    <t>Multiple biological barriers and tumor metastasis severely impede the tumor therapy. To address these adversities, an acid-activated poly (ethylene glycol)-poly-L-lysine-2,3-dimethylmaleic anhydride/poly (epsilon-caprolactone)-poly(L-arginine)/beta-lapachone nanoparticles (mPEG-PLL-DMA/PCL-P(L-arg)/beta-Lap, PLM/PPA/beta-Lap NPs) were constructed with charge-reversal and size-reduction for beta-Lap delivery with a cascade reaction of reactive oxygen species (ROS) and nitric oxide (NO) production. The nanosystem exhibited highly penetrable, superior cellular uptake and desirable endo-lysosomal escape thanks to size-reduction, charge-reversal and proton sponge, respectively. The vast bulk of ROS, which rapidly generated from beta-Lap under high concentration quinone oxidoreductase 1 (NQO1), catalyzed guanidine groups to produce NO and generated highly toxic peroxynitrite (ONOO-). ONOO- would activate pro-matrix metalloproteinases (pro-MMPs) to generate MMPs, degrade the dense extracellular matrix (ECM) to augment the penetration capability, and aggravate DNA damage. NO and ONOO- influenced mitochondrial function by decreasing mitochondrial membrane potential and prevented the production of adenosine triphosphate (ATP), which inhibited the ATP-dependent tumor derived microvesicles (TMVs) and restrained tumor metastasis. NO was defined as an epithelial mesenchymal transition (EMT) inhibitor to restrain tumor metastasis. All consequences demonstrated that PLM/PPA/beta-lap NPs exhibited efficient penetration capability, outstanding anti-metastasis activity and favorable antitumor efficacy. Those novel acid-activated NPs are intended to provide further inspiration for multifunctional NO gas therapy.</t>
  </si>
  <si>
    <t>[Shi, Menghao; Zhang, Jiulong; Wang, Yu; Peng, Chang; Hu, Haiyang; Qiao, Mingxi; Zhao, Xiuli] Shenyang Pharmaceut Univ, Sch Pharm, Dept Pharmaceut, Shenyang 110016, Peoples R China</t>
  </si>
  <si>
    <t>Shenyang Pharmaceutical University</t>
  </si>
  <si>
    <t>Zhao, XL (corresponding author), Shenyang Pharmaceut Univ, Sch Pharm, Dept Pharmaceut, Shenyang 110016, Peoples R China.</t>
  </si>
  <si>
    <t>raura3687yd@163.com</t>
  </si>
  <si>
    <t>10.1016/j.biomaterials.2022.121448</t>
  </si>
  <si>
    <t>WOS:000791702100002</t>
  </si>
  <si>
    <t>Weingrill, RB; Paladino, SL; Souza, MLR; Pereira, EM; Marques, ALX; Silva, ECO; Fonseca, EJD; Ursulino, JS; Aquino, TM; Bevilacqua, E; Urschitz, J; Silva, JC; Borbely, AU</t>
  </si>
  <si>
    <t>Weingrill, Rodrigo Barbano; Paladino, Sandra Luft; Souza, Matheus Leite Ramos; Pereira, Eduardo Manoel; Marques, Aldilane Lays Xavier; Silva, Elaine Cristina Oliveira; da Silva Fonseca, Eduardo Jorge; Ursulino, Jeferson Santana; Aquino, Thiago Mendonca; Bevilacqua, Estela; Urschitz, Johann; Silva, Jean Carl; Borbely, Alexandre Urban</t>
  </si>
  <si>
    <t>Exosome-Enriched Plasma Analysis as a Tool for the Early Detection of Hypertensive Gestations</t>
  </si>
  <si>
    <t>Raman spectroscopy; hypertensive gestational disorders; exosome-enriched plasma; H-1 NMR; biomarkers</t>
  </si>
  <si>
    <t>RAMAN-SPECTROSCOPY; BLOOD-PRESSURE; INSULIN-RESISTANCE; PREECLAMPSIA; PREGNANCY; SUPPLEMENTATION; CAROTENOIDS; BIOMARKERS; DATABASE; IMPACT</t>
  </si>
  <si>
    <t>Hypertensive disorders of pregnancy are closely associated with prematurity, stillbirth, and maternal morbidity and mortality. The onset of hypertensive disorders of pregnancy (HDP) is generally noticed after the 20th week of gestation, limiting earlier intervention. The placenta is directly responsible for modulating local and systemic physiology by communicating using mechanisms such as the release of extracellular vesicles, especially exosomes. In this study, we postulated that an analysis of exosome-enriched maternal plasma could provide a more focused and applicable approach for diagnosing HDP earlier in pregnancy. Therefore, the peripheral blood plasma of 24 pregnant women (11 controls, 13 HDP) was collected between 20th and 24th gestational weeks and centrifuged for exosome enrichment. Exosome-enriched plasma samples were analyzed by Raman spectroscopy and by proton nuclear magnetic resonance metabolomics (H-1 NMR). Principal component analysis (PCA) and orthogonal partial least squares discriminant analysis (OPLS-DA) were used to analyze the Raman data, from the spectral region of 600-1,800 cm(-1), to determine its potential to discriminate between groups. Using principal component analysis, we were able to differentiate the two groups, with 89% of all variances found in the first three principal components. In patients with HDP, most significant differences in Raman bands intensity were found for sphingomyelin, acetyl CoA, methionine, DNA, RNA, phenylalanine, tryptophan, carotenoids, tyrosine, arginine, leucine, amide I and III, and phospholipids. The H-1 NMR analysis showed reduced levels of D-glucose, L-proline, L-tyrosine, glycine, and anserine in HDP, while levels of 2-hydroxyvalerate, polyunsaturated fatty acids, and very-low-density lipoprotein (VLDL) were increased. H-1 NMR results were able to assign an unknown sample to either the control or HDP groups at a precision of 88.3% using orthogonal partial least squares discriminant analysis and 87% using logistic regression analysis. Our results suggested that an analysis of exosome-enriched plasma could provide an initial assessment of placental function at the maternal-fetal interface and aid HDP diagnosis, prognosis, and treatment, as well as to detect novel, early biomarkers for HDP.</t>
  </si>
  <si>
    <t>[Weingrill, Rodrigo Barbano; Paladino, Sandra Luft; Souza, Matheus Leite Ramos; Pereira, Eduardo Manoel; Silva, Jean Carl] Univ Regiao Joinville UNIVILLE, Programa Posgrad Saude &amp; Meio Ambiente, Joinville, Brazil; [Weingrill, Rodrigo Barbano; Urschitz, Johann] Univ Hawaii Manoa, Inst Biogenesis Res, John A Burns Sch Med, Honolulu, HI 96822 USA; [Souza, Matheus Leite Ramos] High Risky Gestat Ambulatory, Joinville, Brazil; [Marques, Aldilane Lays Xavier; Borbely, Alexandre Urban] Univ Fed Alagoas, Inst Hlth &amp; Biol Sci, Cell Biol Lab, Maceio, Alagoas, Brazil; [Silva, Elaine Cristina Oliveira; da Silva Fonseca, Eduardo Jorge] Univ Fed Alagoas, Inst Phys, Opt &amp; Nanoscopy Grp, Maceio, Alagoas, Brazil; [Ursulino, Jeferson Santana; Aquino, Thiago Mendonca] Univ Fed Alagoas, Inst Chem &amp; Biotechnol, Nucleus Anal &amp; Res Nucl Magnet Resonance, Maceio, Alagoas, Brazil; [Bevilacqua, Estela] Univ Sao Paulo, Inst Biomed Sci, Dept Cellular &amp; Dev Biol, Lab Maternal Fetal Interact &amp; Placenta Res, Sao Paulo, Brazil</t>
  </si>
  <si>
    <t>Universidade da Regiao de Joinville; University of Hawaii System; University of Hawaii Manoa; Universidade Federal de Alagoas; Universidade Federal de Alagoas; Universidade Federal de Alagoas; Universidade de Sao Paulo</t>
  </si>
  <si>
    <t>Borbely, AU (corresponding author), Univ Fed Alagoas, Inst Hlth &amp; Biol Sci, Cell Biol Lab, Maceio, Alagoas, Brazil.</t>
  </si>
  <si>
    <t>alexandre.borbely@icbs.ufal.br</t>
  </si>
  <si>
    <t>Borbely, Alexandre Urban/Q-2884-2019; Fonseca, Eduardo J S/G-2844-2015; aquino, thiago/B-5443-2017; BEVILACQUA, ESTELA/H-3354-2011; Manoel Pereira, Eduardo/Y-9856-2018</t>
  </si>
  <si>
    <t>Borbely, Alexandre Urban/0000-0001-6737-0901; aquino, thiago/0000-0001-9138-8466; BEVILACQUA, ESTELA/0000-0003-4178-4625; Manoel Pereira, Eduardo/0000-0002-5734-626X; Oliveira da Silva, Elaine Cristina/0000-0003-4373-0049</t>
  </si>
  <si>
    <t>10.3389/fphys.2021.767112</t>
  </si>
  <si>
    <t>WOS:000737251400001</t>
  </si>
  <si>
    <t>Liu, XJ; Gao, X; Yang, LM; Zhao, YC; Li, F</t>
  </si>
  <si>
    <t>Liu, Xiaojuan; Gao, Xin; Yang, Limin; Zhao, Yuecan; Li, Feng</t>
  </si>
  <si>
    <t>Metal-Organic Framework-Functionalized Paper-Based Electrochemical Biosensor for Ultrasensitive Exosome Assay</t>
  </si>
  <si>
    <t>TUMOR-DERIVED EXOSOMES; EXTRACELLULAR VESICLES; CIRCULATING EXOSOMES; DNA WALKER</t>
  </si>
  <si>
    <t>The exosome has emerged as a promising noninvasive biomarker for the early diagnosis of cancer. Therefore, it is highly desirable to develop simple, inexpensive, and user-friendly biosensors for convenient, sensitive, and quantitative exosome assay. Herein, we developed a simple and cost-efficient electrochemical biosensor by combining a metal-organic framework (MOF)-functionalized paper and a screen-printed electrode (SPE) for portable, ultrasensitive, and quantitative determination of cancer-derived exosomes. In principle, the biosensor relied on recognition of the exosome by Zr-MOFs and aptamer to initiate the hybridization chain reaction (HCR) and the formation of DNAzyme for signal amplification. Benefiting from the high signal amplification ability of HCR, the label-free paper-based biosensor is capable of ultrasensitive exosome assay with a detection limit down to 5 x 10(3) particles/mL, which is superior to that of most reported methods. Moreover, the proposed paper-based biosensor possessed the advantages of low cost, simple operation, and high sensitivity, making it affordable and deliverable for point-of-care (POC) diagnosis in resource-limited settings.</t>
  </si>
  <si>
    <t>[Liu, Xiaojuan; Gao, Xin; Yang, Limin; Zhao, Yuecan; Li, Feng] Qingdao Agr Univ, Coll Chem &amp; Pharmaceut Sci, Qingdao 266109, Peoples R China</t>
  </si>
  <si>
    <t>10.1021/acs.analchem.1c02286</t>
  </si>
  <si>
    <t>WOS:000692905900019</t>
  </si>
  <si>
    <t>Li, HX; Warden, AR; Su, WQ; He, J; Zhi, X; Wang, K; Zhu, LK; Shen, GX; Ding, XT</t>
  </si>
  <si>
    <t>Li, Hongxia; Warden, Antony R.; Su, Wenqiong; He, Jie; Zhi, Xiao; Wang, Kan; Zhu, Laikuan; Shen, Guangxia; Ding, Xianting</t>
  </si>
  <si>
    <t>Highly sensitive and portable mRNA detection platform for early cancer detection</t>
  </si>
  <si>
    <t>Early-stage cancer detection; mRNA; Lateral flow assay; Point-of-care testing; Glypican-1</t>
  </si>
  <si>
    <t>ISOTHERMAL AMPLIFICATION; VISUAL DETECTION; BIOMARKERS; BIOSENSOR; MICRORNA; EXOSOMES; APTAMER</t>
  </si>
  <si>
    <t>Pancreatic cancer, at unresectable advanced stages, presents poor prognoses, which could be prevented by early pancreatic cancer diagnosis methods. Recently, a promising early-stage pancreatic cancer biomarker, extracellular vesicles (EVs) related glypican-1 (GPC1) mRNA, is found to overexpress in pancreatic cancer cells. Current mRNA detection methods usually require expensive machinery, strict preservation environments, and time-consuming processes to guarantee detection sensitivity, specificity, and stability. Herein, we propose a novel two-step amplification method (CHAGE) via the target triggered Catalytic Hairpin Assembly strategy combined with Gold-Enhanced point-of-care-testing (POCT) technology for sensitive visual detection of pancreatic cancer biomarker. First, utilizing the catalyzed hairpin DNA circuit, low expression of the GPC1 mRNA was changed into amplification product 1 (AP1, a DNA duplex) as the next detection targets of the paper strips. Second, the AP1 was loaded onto a lateral flow assay and captured with the gold signal nanoparticles to visualize results. Finally, the detected results can be further enhanced by depositing gold to re-enlarge the sizes of gold nanoparticles in detection zones. As a result, the CHAGE methodology lowers the detection limit of mRNA to 100 fM and provides results within 2 h at 37 degrees C. Furthermore, we demonstrate the successful application in discriminating pancreatic cancer cells by analyzing EVs' GPC1 mRNA expression levels. Hence, the CHAGE methodology proposed here provides a rapid and convenient POCT platform for sensitive detection of mRNAs through unique probes designs (COVID, HPV, etc.).</t>
  </si>
  <si>
    <t>[Li, Hongxia; Warden, Antony R.; Su, Wenqiong; He, Jie; Zhi, Xiao; Shen, Guangxia; Ding, Xianting] Shanghai Jiao Tong Univ, Sch Biomed Engn, Inst Personalized Med, State Key Lab Oncogenes &amp; Related Genes, Shanghai 200030, Peoples R China; [Wang, Kan] Shanghai Jiao Tong Univ, Sch Elect Informat &amp; Elect Engn, Dept Instrument Sci &amp; Engn,Inst Nano Biomed &amp; Eng, Shanghai Engn Res Ctr Intelligent Diag &amp; Treatmen, Shanghai 200240, Peoples R China; [Zhu, Laikuan] Shanghai Jiao Tong Univ, Sch Med, Peoples Hosp 9, Dept Endodont &amp; Operat Dent, Shanghai 200011, Peoples R China; [Zhu, Laikuan] Natl Clin Res Ctr Stomatol, Shanghai Key Lab Stomatol, Shanghai 200030, Peoples R China; [Zhu, Laikuan] Natl Clin Res Ctr Stomatol, Shanghai Res Inst Stomatol, Shanghai 200030, Peoples R China</t>
  </si>
  <si>
    <t>Shen, GX; Ding, XT (corresponding author), Shanghai Jiao Tong Univ, Sch Biomed Engn, Inst Personalized Med, State Key Lab Oncogenes &amp; Related Genes, Shanghai 200030, Peoples R China.;Zhu, LK (corresponding author), Shanghai Jiao Tong Univ, Sch Med, Peoples Hosp 9, Dept Endodont &amp; Operat Dent, Shanghai 200011, Peoples R China.;Zhu, LK (corresponding author), Natl Clin Res Ctr Stomatol, Shanghai Key Lab Stomatol, Shanghai 200030, Peoples R China.;Zhu, LK (corresponding author), Natl Clin Res Ctr Stomatol, Shanghai Res Inst Stomatol, Shanghai 200030, Peoples R China.</t>
  </si>
  <si>
    <t>zhulk1997@163.com; gxshen@sjtu.edu.cn; dingxianting@sjtu.edu.cn</t>
  </si>
  <si>
    <t>Ding, Xianting/0000-0002-1549-3499</t>
  </si>
  <si>
    <t>10.1186/s12951-021-01039-4</t>
  </si>
  <si>
    <t>WOS:000700709200001</t>
  </si>
  <si>
    <t>Gonzalez-Dominguez, I; Lorenzo, E; Bernier, A; Cervera, L; Godia, F; Kamen, A</t>
  </si>
  <si>
    <t>Gonzalez-Dominguez, Irene; Lorenzo, Elianet; Bernier, Alice; Cervera, Laura; Godia, Francesc; Kamen, Amine</t>
  </si>
  <si>
    <t>A Four-Step Purification Process for Gag VLPs: From Culture Supernatant to High-Purity Lyophilized Particles</t>
  </si>
  <si>
    <t>Gag VLPs; purification; clarification; chromatography; lyophilization; EVs; nanoparticle quantification</t>
  </si>
  <si>
    <t>VIRUS-LIKE PARTICLES; HIGH-YIELD PRODUCTION; TRANSIENT TRANSFECTION; VACCINES; CLARIFICATION; GENERATION; SEPARATION; VECTORS; ASSAY</t>
  </si>
  <si>
    <t>Gag-based virus-like particles (VLPs) have high potential as scaffolds for the development of chimeric vaccines and delivery strategies. The production of purified preparations that can be preserved independently from cold chains is highly desirable to facilitate distribution and access worldwide. In this work, a nimble purification has been developed, facilitating the production of Gag VLPs. Suspension-adapted HEK 293 cells cultured in chemically defined cell culture media were used to produce the VLPs. A four-step downstream process (DSP) consisting of membrane filtration, ion-exchange chromatography, polishing, and lyophilization was developed. The purification of VLPs from other contaminants such as host cell proteins (HCP), double-stranded DNA, or extracellular vesicles (EVs) was confirmed after their DSP. A concentration of 2.2 &amp; PLUSMN; 0.8 x 10(9) VLPs/mL in the lyophilized samples was obtained after its storage at room temperature for two months. Morphology and structural integrity of purified VLPs was assessed by cryo-TEM and NTA. Likewise, the purification methodologies proposed here could be easily scaled up and applied to purify similar enveloped viruses and vesicles.&lt;/p&gt;</t>
  </si>
  <si>
    <t>[Gonzalez-Dominguez, Irene; Lorenzo, Elianet; Cervera, Laura; Godia, Francesc] Univ Autonoma Barcelona, Dept Engn Quim Biol &amp; Ambiental, Barcelona 08193, Spain; [Bernier, Alice; Kamen, Amine] McGill Univ, Dept Bioengn, Montreal, PQ H3A 0E9, Canada; [Gonzalez-Dominguez, Irene] Icahn Sch Med Mt Sinai, Dept Microbiol, New York, NY 10029 USA</t>
  </si>
  <si>
    <t>Autonomous University of Barcelona; McGill University; Icahn School of Medicine at Mount Sinai</t>
  </si>
  <si>
    <t>Gonzalez-Dominguez, I (corresponding author), Univ Autonoma Barcelona, Dept Engn Quim Biol &amp; Ambiental, Barcelona 08193, Spain.</t>
  </si>
  <si>
    <t>irene.gonzalez.dominguez.phd@gmail.com; Elianet.Lorenzo@uab.cat; bernier.alice@videotron.ca; Laura.Cervera@uab.cat; Francesc.Godia@uab.cat; amine.kamen@mcgill.ca</t>
  </si>
  <si>
    <t>González-Domínguez, Irene/AAD-2344-2021</t>
  </si>
  <si>
    <t>González-Domínguez, Irene/0000-0002-7920-5505; Lorenzo, Elianet/0000-0002-5442-0831; Kamen, Amine/0000-0001-9110-8815</t>
  </si>
  <si>
    <t>10.3390/vaccines9101154</t>
  </si>
  <si>
    <t>WOS:000714568600001</t>
  </si>
  <si>
    <t>Jiang, Y; Shi, ML; Liu, Y; Wan, S; Cui, C; Zhang, LQ; Tan, WH</t>
  </si>
  <si>
    <t>Jiang, Ying; Shi, Muling; Liu, Yuan; Wan, Shuo; Cui, Cheng; Zhang, Liqin; Tan, Weihong</t>
  </si>
  <si>
    <t>Aptamer/AuNP Biosensor for Colorimetric Profiling of Exosomal Proteins</t>
  </si>
  <si>
    <t>aptamers; exosome biomarkers; gold nanoparticles; molecular recognition; protein profiling</t>
  </si>
  <si>
    <t>ELECTROCHEMICAL DETECTION; MEMBRANE-VESICLES; CANCER EXOSOMES; DNA APTAMERS; CELLS; MICROVESICLES; BIOMARKER; APTASENSOR; PATHWAYS; ARRAY</t>
  </si>
  <si>
    <t>Exosomes constitute an emerging biomarker for cancer diagnosis because they carry multiple proteins that reflect the origins of parent cells. Assessing exosome surface proteins provides a powerful means of identifying a combination of biomarkers for cancer diagnosis. We report a sensor platform that profiles exosome surface proteins in minutes by the naked eye. The sensor consists of a gold nanoparticle (AuNP) complexed with a panel of aptamers. The complexation of aptamers with AuNPs protects the nanoparticles from aggregating in a high-salt solution. In the presence of exosomes, the non-specific and weaker binding between aptamers and the AuNP is broken, and the specific and stronger binding between exosome surface protein and the aptamer displaces aptamers from the AuNP surface and results in AuNP aggregation. This aggregation results in a color change and generates patterns for the identification of multiple proteins on the exosome surface.</t>
  </si>
  <si>
    <t>[Jiang, Ying; Shi, Muling; Liu, Yuan; Zhang, Liqin; Tan, Weihong] Hunan Univ, Coll Chem &amp; Chem Engn, Mol Sci &amp; Biomed Lab, State Key Lab Chemo Biosensing &amp; Chemometr, Changsha 410082, Hunan, Peoples R China; [Jiang, Ying; Shi, Muling; Liu, Yuan; Zhang, Liqin; Tan, Weihong] Hunan Univ, Coll Life Sci, Aptamer Engn Ctr Hunan Prov, Changsha 410082, Hunan, Peoples R China; [Jiang, Ying; Shi, Muling; Liu, Yuan; Wan, Shuo; Cui, Cheng; Zhang, Liqin; Tan, Weihong] Univ Florida, UF Hlth Canc Ctr, UF Genet Inst,Dept Chem, Ctr Res Bio Nano Interface,Dept Physiol &amp; Funct G, Gainesville, FL 32611 USA</t>
  </si>
  <si>
    <t>Hunan University; Hunan University; State University System of Florida; University of Florida</t>
  </si>
  <si>
    <t>Tan, WH (corresponding author), Hunan Univ, Coll Chem &amp; Chem Engn, Mol Sci &amp; Biomed Lab, State Key Lab Chemo Biosensing &amp; Chemometr, Changsha 410082, Hunan, Peoples R China.;Tan, WH (corresponding author), Hunan Univ, Coll Life Sci, Aptamer Engn Ctr Hunan Prov, Changsha 410082, Hunan, Peoples R China.;Tan, WH (corresponding author), Univ Florida, UF Hlth Canc Ctr, UF Genet Inst,Dept Chem, Ctr Res Bio Nano Interface,Dept Physiol &amp; Funct G, Gainesville, FL 32611 USA.</t>
  </si>
  <si>
    <t>Tan, Weihong/A-5412-2008; Tan, Weihong/AAA-4536-2020; Liu, Yuan/G-4834-2016</t>
  </si>
  <si>
    <t>Tan, Weihong/0000-0002-8066-1524; Liu, Yuan/0000-0002-0024-9290</t>
  </si>
  <si>
    <t>10.1002/anie.201703807</t>
  </si>
  <si>
    <t>WOS:000410810600044</t>
  </si>
  <si>
    <t>Coco, S; Alama, A; Vanni, I; Fontana, V; Genova, C; Dal Bello, MG; Truini, A; Rijavec, E; Biello, F; Sini, C; Burrafato, G; Maggioni, C; Barletta, G; Grossi, F</t>
  </si>
  <si>
    <t>Coco, Simona; Alama, Angela; Vanni, Irene; Fontana, Vincenzo; Genova, Carlo; Dal Bello, Maria Giovanna; Truini, Anna; Rijavec, Erika; Biello, Federica; Sini, Claudio; Burrafato, Giovanni; Maggioni, Claudia; Barletta, Giulia; Grossi, Francesco</t>
  </si>
  <si>
    <t>Circulating Cell-Free DNA and Circulating Tumor Cells as Prognostic and Predictive Biomarkers in Advanced Non-Small Cell Lung Cancer Patients Treated with First-Line Chemotherapy</t>
  </si>
  <si>
    <t>liquid biopsy; circulating free DNA; circulating tumor cells; non-small cell lung cancer (NSCLC); biomarkers; chemotherapy</t>
  </si>
  <si>
    <t>METASTATIC BREAST-CANCER; ADVANCED NSCLC; NUCLEIC-ACIDS; PLASMA; HETEROGENEITY; SURVIVAL; PROGRESSION; DIAGNOSIS; EXOSOMES; CRITERIA</t>
  </si>
  <si>
    <t>Cell-free DNA (cfDNA) and circulating tumor cells (CTCs) are promising prognostic and predictive biomarkers in non-small cell lung cancer (NSCLC). In this study, we examined the prognostic role of cfDNA and CTCs, in separate and joint analyses, in NSCLC patients receiving first line chemotherapy. Seventy-three patients with advanced NSCLC were enrolled in this study. CfDNA and CTC were analyzed at baseline and after two cycles of chemotherapy. Plasma cfDNA quantification was performed by quantitative PCR (qPCR) whereas CTCs were isolated by the ScreenCell Cyto (ScreenCell, Paris, France) device and enumerated according to malignant features. Patients with baseline cfDNA higher than the median value (96.3 hTERT copy number) had a significantly worse overall survival (OS) and double the risk of death (hazard ratio (HR): 2.14; 95% confidence limits (CL) = 1.24-3.68; p-value = 0.006). Conversely, an inverse relationship between CTC median baseline number (6 CTC/3 mL of blood) and OS was observed. In addition, we found that in patients reporting stable disease (SD), the baseline cfDNA and CTCs were able to discriminate patients at high risk of poor survival. cfDNA demonstrated a more reliable biomarker than CTCs in the overall population. In the subgroup of SD patients, both biomarkers identified patients at high risk of poor prognosis who might deserve additional/alternative therapeutic interventions.</t>
  </si>
  <si>
    <t>[Coco, Simona; Alama, Angela; Vanni, Irene; Genova, Carlo; Dal Bello, Maria Giovanna; Truini, Anna; Rijavec, Erika; Biello, Federica; Sini, Claudio; Burrafato, Giovanni; Maggioni, Claudia; Barletta, Giulia; Grossi, Francesco] Ist Nazl Ric Canc, Lung Canc Unit, IST, IRCCS AOU San Martino, Lgo R Benzi 10, I-16132 Genoa, Italy; [Fontana, Vincenzo] Ist Nazl Ric Canc, Clin Epidemiol Unit, IST, IRCCS AOU San Martino, Lgo R Benzi 10, I-16132 Genoa, Italy; [Genova, Carlo; Truini, Anna] Univ Genoa, Ist Nazl Ric Canc, IRCCS AOU San Martino, Dept Internal Med &amp; Med Specialties DIMI,IST, Lgo R Benzi 10, I-16132 Genoa, Italy</t>
  </si>
  <si>
    <t>University of Genoa; IRCCS AOU San Martino IST; University of Genoa; IRCCS AOU San Martino IST; University of Genoa; IRCCS AOU San Martino IST</t>
  </si>
  <si>
    <t>Vanni, I (corresponding author), Ist Nazl Ric Canc, Lung Canc Unit, IST, IRCCS AOU San Martino, Lgo R Benzi 10, I-16132 Genoa, Italy.</t>
  </si>
  <si>
    <t>simona.coco@hsanmartino.it; angela.alama@hsanmartino.it; irene.vanni@hsanmartino.it; vincenzo.fontana@hsanmartino.it; carlo.genova1985@gmail.com; mariagiovanna.dalbello@hsanmartino.it; anna.truini@yale.edu; erika.rijavec@hsanmartino.it; febiello@gmail.com; audiosini@tiscali.it; g_burrafato@libero.it; claudia_87m@yahoo.it; giulia.barletta@yahoo.it; francesco.grossi@hsanmartino.it</t>
  </si>
  <si>
    <t>Genova, Carlo/J-8931-2016; Vanni, Irene/I-3122-2018; vanni, Irene/J-5792-2016; DAL BELLO, MARIA GIOVANNA/AAB-7901-2020; Coco, Simona/J-6051-2016; Biello, Federica/AAB-3666-2019; Alama, Angela/AAE-7203-2019; Truini, Anna/K-1901-2018; Grossi, Francesco/AAL-5024-2021</t>
  </si>
  <si>
    <t>Genova, Carlo/0000-0003-3690-8582; Vanni, Irene/0000-0001-5900-4880; vanni, Irene/0000-0001-5900-4880; DAL BELLO, MARIA GIOVANNA/0000-0002-4952-1873; Coco, Simona/0000-0002-5296-4325; Alama, Angela/0000-0002-9726-201X; Truini, Anna/0000-0002-4600-6497; Grossi, Francesco/0000-0001-8412-3136; BIELLO, FEDERICA/0000-0002-1360-989X</t>
  </si>
  <si>
    <t>10.3390/ijms18051035</t>
  </si>
  <si>
    <t>WOS:000404113900141</t>
  </si>
  <si>
    <t>Balzano, F; Garroni, G; Cruciani, S; Bellu, E; Dei Giudici, S; Oggiano, A; Capobianco, G; Dessole, S; Ventura, C; Maioli, M</t>
  </si>
  <si>
    <t>Balzano, Francesca; Garroni, Giuseppe; Cruciani, Sara; Bellu, Emanuela; Dei Giudici, Silvia; Oggiano, Annalisa; Capobianco, Giampiero; Dessole, Salvatore; Ventura, Carlo; Maioli, Margherita</t>
  </si>
  <si>
    <t>Behavioral Changes in Stem-Cell Potency by HepG2-Exhausted Medium</t>
  </si>
  <si>
    <t>stem cells; cellular mechanisms; miRNA; exosomes; stemness genes; stem cell differentiation and proliferation</t>
  </si>
  <si>
    <t>GLYCERALDEHYDE-3-PHOSPHATE DEHYDROGENASE; NUCLEAR TRANSLOCATION; DNA HYPOMETHYLATION; SOMATIC-CELLS; CANCER; SIRT1; EXPRESSION; MYC; PLURIPOTENCY; NETWORKS</t>
  </si>
  <si>
    <t>Wharton jelly mesenchymal stem cells (WJ-MSCs) are able to differentiate into different cell lineages upon stimulation. This ability is closely related to the perfect balance between the pluripotency-related genes, which control stem-cell proliferation, and genes able to orchestrate the appearance of a specific phenotype. Here we studied the expression of stemness-related genes, epigenetic regulators (DNMT1, SIRT1), miRNAs (miR-145, miR-148, andmiR-185) related to stemness, exosomes, the cell-cycle regulatorsp21(WAF1/CIP1) andp53, and the senescence-associated genes (p16, p19, andhTERT). Cells were cultured in the presence or absence of the human hepatocarcinoma cell line HepG2-exhausted medium, to evaluate changes in stemness, differentiation capability, and senescence sensibility. Our results showed the overexpression ofSIRT1and reduced levels ofp21mRNA. Moreover, we observed a downregulation ofDNMT1, and a simultaneous overexpression ofOct-4andc-Myc. These findings suggest that WJ-MSCs are more likely to retain a stem phenotype and sometimes to switch to a highly undifferentiable proliferative-like behavior if treated with medium exhausted by human HepG2 cell lines.</t>
  </si>
  <si>
    <t>[Balzano, Francesca; Garroni, Giuseppe; Cruciani, Sara; Bellu, Emanuela; Maioli, Margherita] Univ Sassari, Dept Biomed Sci, Viale San Pietro 43-B, I-07100 Sassari, Italy; [Dei Giudici, Silvia; Oggiano, Annalisa] Ist Zooprofilatt Sperimentale Sardegna, Via Vienna 2, I-07100 Sassari, Italy; [Capobianco, Giampiero; Dessole, Salvatore] Univ Sassari, Gynecol &amp; Obstet Clin, Dept Med Surg &amp; Expt Sci, I-07100 Sassari, Italy; [Ventura, Carlo] CNR, Natl Lab Mol Biol &amp; Stem Cell Bioengn, Natl Inst Biostruct &amp; Biosyst NIBB, Eldor Lab,Innovat Accelerator, Via Piero Gobetti 101, I-40129 Bologna, Italy; [Maioli, Margherita] Consiglio Nazl Ric CNR, Ist Ric Genet &amp; Biomed, I-09042 Cagliari, Italy; [Maioli, Margherita] Univ Sassari, Ctr Dev Biol &amp; Reprogramming CEDEBIOR, Dept Biomed Sci, Viale San Pietro 43-B, I-07100 Sassari, Italy</t>
  </si>
  <si>
    <t>University of Sassari; IZS Della Sardegna; University of Sassari; Consiglio Nazionale delle Ricerche (CNR); Consiglio Nazionale delle Ricerche (CNR); Istituto di Ricerca Genetica e Biomedica (IRGB-CNR); University of Sassari</t>
  </si>
  <si>
    <t>Maioli, M (corresponding author), Univ Sassari, Dept Biomed Sci, Viale San Pietro 43-B, I-07100 Sassari, Italy.</t>
  </si>
  <si>
    <t>mariafrancesca22@virgilio.it; giugarroni21@gmail.com; sara.cruciani@outlook.com; ema.bellu@hotmail.it; silvia.deigiudici@izs-sardegna.it; annalisa.oggiano@izs-sardegna.it; capobia@uniss.it; dessole@uniss.it; ventura.vid@gmail.com; mmaioli@uniss.it</t>
  </si>
  <si>
    <t>Cruciani, Sara/ABI-3491-2020</t>
  </si>
  <si>
    <t>CAPOBIANCO, GIAMPIERO/0000-0002-5523-8943; Balzano, Francesca/0000-0002-9966-2930; MAIOLI, Margherita/0000-0003-0187-4968; , Silvia/0000-0003-1803-4666; Oggiano, Annalisa/0000-0002-3167-0942; Ventura, Carlo/0000-0001-9333-0321</t>
  </si>
  <si>
    <t>10.3390/cells9081890</t>
  </si>
  <si>
    <t>WOS:000565637000001</t>
  </si>
  <si>
    <t>Ambrosetti, E; Paoletti, P; Bosco, A; Parisse, P; Scaini, D; Tagliabue, E; de Marco, A; Casalis, L</t>
  </si>
  <si>
    <t>Ambrosetti, Elena; Paoletti, Pamela; Bosco, Alessandro; Parisse, Pietro; Scaini, Denis; Tagliabue, Elda; de Marco, Ario; Casalis, Loredana</t>
  </si>
  <si>
    <t>Quantification of Circulating Cancer Biomarkers via Sensitive Topographic Measurements on Single Binder Nanoarrays</t>
  </si>
  <si>
    <t>HER2 EXTRACELLULAR DOMAIN; DNA-DIRECTED IMMOBILIZATION; SELF-ASSEMBLED MONOLAYERS; BREAST-CANCER; CLINICAL UTILITY; LABEL-FREE; SERUM; AMPLIFICATION; HYBRIDIZATION; TRASTUZUMAB</t>
  </si>
  <si>
    <t>Early detection of cancer plays a crucial role in disease prognosis. It requires the recognition and quantification of low amounts of specific molecular biomarkers, either free or transported inside nanovesicles, through the development of novel sensitive diagnostic technologies. In this context, we have developed a nanoarray platform for the noninvasive quantification of cancer biomarkers circulating in the bloodstream. The assay is based on molecular manipulation to create functional spots of surface-immobilized binders and differential topography measurements. It is label-free and requires just a single binder per antigen, and when it is implemented with fluorescence labeling/readout, it can be used for epitope mapping. As a benchmark, we focused on the plasma release of Her2 extracellular domain (ECD), a proposed biomarker for the progression of Her2-positive tumors and response to anticancer therapies. By employing robust, easily engineered camelid nanobodies as binders, we measured ECD-Her2 concentrations in the range of the actual clinical cutoff value for Her2-positive breast cancer. The specificity for Her2 detection was preserved when it was measured in parallel with other potential biomarkers, demonstrating a forthcoming implementation of this approach for multiplexing analysis. Prospectively, this nanorarray platform may be customized to allow for the detection of promising new classes of circulating biomarkers, such as exosomes and microvesicles.</t>
  </si>
  <si>
    <t>[Ambrosetti, Elena; Paoletti, Pamela; Parisse, Pietro; Scaini, Denis; Casalis, Loredana] Elettra Sincrotone SCpA, NanoInnovat Lab, Ss 14 Km 163-5 Area Sci Pk, I-34149 Basovizza Trieste, Italy; [Ambrosetti, Elena; Scaini, Denis] Univ Trieste, PhD Sch Nanotechnol, Piazzale Europa 1, I-34127 Trieste, Italy; [Ambrosetti, Elena] INSTM ST Unit, Ss 14 Km 163-5 Area Sci Pk, I-34149 Basovizza Trieste, Italy; [Paoletti, Pamela] Int Sch Adv Studies SISSA, Via Bonomea 265, I-34136 Trieste, Italy; [Bosco, Alessandro] Karolinska Inst, Dept Med Biochem &amp; Biophys, S-17177 Stockholm, Sweden; [Tagliabue, Elda] Fdn IRCCS Ist Nazl Tumori, Dept Expt Oncol &amp; Mol Med, Via Amadeo 42, I-20133 Milan, Italy; [de Marco, Ario] Univ Nova Gorica, Ctr Biomed Sci &amp; Engn, Glavni Trg 8, Vipava 5271, Slovenia</t>
  </si>
  <si>
    <t>Elettra Sincrotrone Trieste; University of Trieste; International School for Advanced Studies (SISSA); Karolinska Institutet; Fondazione IRCCS Istituto Nazionale Tumori Milan; University of Nova Gorica</t>
  </si>
  <si>
    <t>Casalis, L (corresponding author), Elettra Sincrotone SCpA, NanoInnovat Lab, Ss 14 Km 163-5 Area Sci Pk, I-34149 Basovizza Trieste, Italy.</t>
  </si>
  <si>
    <t>loredana.casalis@elettra.eu</t>
  </si>
  <si>
    <t>Ambrosetti, Elena/AAM-7227-2021; Tagliabue, Elda/B-9377-2017; Parisse, P./AAJ-2246-2021</t>
  </si>
  <si>
    <t>Ambrosetti, Elena/0000-0002-4702-032X; Tagliabue, Elda/0000-0001-9877-2903; Parisse, P./0000-0002-7420-2778; Scaini, Denis/0000-0001-8398-8074</t>
  </si>
  <si>
    <t>10.1021/acsomega.7b00284</t>
  </si>
  <si>
    <t>WOS:000406385100029</t>
  </si>
  <si>
    <t>Song, S; Lee, JU; Jeon, MJ; Kim, S; Sim, SJ</t>
  </si>
  <si>
    <t>Song, Sojin; Lee, Jong Uk; Jeon, Myeong Jin; Kim, Soohyun; Sim, Sang Jun</t>
  </si>
  <si>
    <t>Detection of multiplex exosomal miRNAs for clinically accurate diagnosis of Alzheimer's disease using label-free plasmonic biosensor based on DNA-Assembled advanced plasmonic architecture</t>
  </si>
  <si>
    <t>Alzheimer's disease (AD); Exosomal miRNAs (exo-miRs); Gold nanoparticles (AuNPs); Plasmonic biosensors; Rayleigh scattering</t>
  </si>
  <si>
    <t>BIOMARKERS; DISCOVERY; DEVICES</t>
  </si>
  <si>
    <t>Alzheimer's disease (AD), the most common neurologic disorder, is characterized by progressive cognitive impairment. However, the low clinical significance of the currently used core AD biomarkers amyloid-beta and tau proteins remains a challenge. Recently, exosomes, found in human biological fluids, are gaining increasing attention because of their clinical significance in diagnosing of various diseases. In particular, blood-derived exosomal miRNAs are not only stable but also provide information regarding the different characteristics according to AD progression. However, quantitative and qualitative detection is difficult due to their characteristics, such as small size, low abundance, and high homology. Here, we present a DNA-assembled advanced plasmonic architecture (DAPA)-based plasmonic biosensor to accurately detect exosomal miRNAs in human serum. The designed nanoarchitecture possesses two narrow nanogaps that induce plasmon coupling; this significantly enhances its optical energy density, resulting in a 1.66-fold higher refractive-index (RI) sensitivity than nanorods at localized surface plasmon resonance (LSPR). Thus, the proposed biosensor is ultrasensitive and capable of selective single-nucleotide detection of exosomal miRNAs at the attomolar level. Furthermore, it identified AD patients from healthy controls by measuring the levels of exosomal miRNA-125b, miRNA-15a, and miRNA-361 in clinical serum samples. In particular, the combination of exosomal miRNA-125b and miRNA-361 showed the best diagnostic performance with a sensitivity of 91.67%, selectivity of 95.00%, and accuracy of 99.52%. These results demonstrate that our sensor can be clinically applied for AD diagnosis and has great potential to revolutionize the field of dementia research and treatment in the future.</t>
  </si>
  <si>
    <t>[Song, Sojin; Lee, Jong Uk; Jeon, Myeong Jin; Kim, Soohyun; Sim, Sang Jun] Korea Univ, Dept Chem &amp; Biol Engn, Seoul 02841, South Korea; [Lee, Jong Uk] Sunchon Natl Univ, Dept Chem Engn, Suncheon Si 57922, Jeollanam Do, South Korea</t>
  </si>
  <si>
    <t>Korea University; Sunchon National University</t>
  </si>
  <si>
    <t>Sim, SJ (corresponding author), Korea Univ, New Engn Bldg Room 716,Anam Ro 145, Seoul 02841, South Korea.</t>
  </si>
  <si>
    <t>simsj@korea.ac.kr</t>
  </si>
  <si>
    <t>10.1016/j.bios.2021.113864</t>
  </si>
  <si>
    <t>WOS:000729387400001</t>
  </si>
  <si>
    <t>Domenyuk, V; Zhong, ZY; Stark, A; Xiao, NQ; O'Neill, HA; Wei, XX; Wang, JE; Tinder, TT; Tonapi, S; Duncan, J; Hornung, T; Hunter, A; Miglarese, MR; Schorr, J; Halbert, DD; Quackenbush, J; Poste, G; Berry, DA; Mayer, G; Famulok, M; Spetzler, D</t>
  </si>
  <si>
    <t>Domenyuk, Valeriy; Zhong, Zhenyu; Stark, Adam; Xiao, Nianqing; O'Neill, Heather A.; Wei, Xixi; Wang, Jie; Tinder, Teresa T.; Tonapi, Sonal; Duncan, Janet; Hornung, Tassilo; Hunter, Andrew; Miglarese, Mark R.; Schorr, Joachim; Halbert, David D.; Quackenbush, John; Poste, George; Berry, Donald A.; Mayer, Guenter; Famulok, Michael; Spetzler, David</t>
  </si>
  <si>
    <t>Plasma Exosome Profiling of Cancer Patients by a Next Generation Systems Biology Approach</t>
  </si>
  <si>
    <t>STRANDED-DNA MOLECULES; EXTRACELLULAR VESICLES; BREAST-CANCER; CELL-SELEX; IN-VITRO; APTAMERS; SELECTION; MICROPARTICLES; MICROVESICLES; PROTEOMICS</t>
  </si>
  <si>
    <t>Technologies capable of characterizing the full breadth of cellular systems need to be able to measure millions of proteins, isoforms, and complexes simultaneously. We describe an approach that fulfils this criterion: Adaptive Dynamic Artificial Poly-ligand Targeting (ADAPT). ADAPT employs an enriched library of single-stranded oligodeoxynucleotides (ssODNs) to profile complex biological samples, thus achieving an unprecedented coverage of system-wide, native biomolecules. We used ADAPT as a highly specific profiling tool that distinguishes women with or without breast cancer based on circulating exosomes in their blood. To develop ADAPT, we enriched a library of similar to 10(11) ssODNs for those associating with exosomes from breast cancer patients or controls. The resulting 10(6) enriched ssODNs were then profiled against plasma from independent groups of healthy and breast cancer-positive women. ssODN-mediated affinity purification and mass spectrometry identified low-abundance exosome-associated proteins and protein complexes, some with known significance in both normal homeostasis and disease. Sequencing of the recovered ssODNs provided quantitative measures that were used to build highly accurate multi-analyte signatures for patient classification. Probing plasma from 500 subjects with a smaller subset of 2000 resynthesized ssODNs stratified healthy, breast biopsy-negative, and -positive women. An AUC of 0.73 was obtained when comparing healthy donors with biopsy-positive patients.</t>
  </si>
  <si>
    <t>[Domenyuk, Valeriy; Zhong, Zhenyu; Stark, Adam; Xiao, Nianqing; O'Neill, Heather A.; Wei, Xixi; Wang, Jie; Tinder, Teresa T.; Tonapi, Sonal; Duncan, Janet; Hornung, Tassilo; Hunter, Andrew; Miglarese, Mark R.; Schorr, Joachim; Halbert, David D.; Mayer, Guenter; Famulok, Michael; Spetzler, David] Caris Life Sci, 4610 South 44th Pl, Phoenix, AZ 85040 USA; [Quackenbush, John] Dana Farber Canc Inst, Dept Biostat &amp; Computat Biol, 450 Brookline Ave,Smith 822A, Boston, MA 02215 USA; [Quackenbush, John] Harvard Sch Publ Hlth, Dept Biostat, 655 Huntington Ave, Boston, MA USA; [Poste, George] Arizona State Univ, Complex Adapt Syst Initiat, 1475 N Scottsdale Rd,Suite 361, Scottsdale, AZ 85257 USA; [Berry, Donald A.] Univ Texas MD Anderson Canc Ctr, Dept Biostat, Houston, TX 77030 USA; [Mayer, Guenter; Famulok, Michael] Univ Bonn, Kekule Inst Organ Chem &amp; Biochem, LIMES Program Unit Chem Biol &amp; Med Chem, Gerhard Domagk Str 1, D-53121 Bonn, Germany; [Famulok, Michael] CAESAR, Chem Biol Max Planck Fellowship Grp, Ludwig Erhard Allee 2, D-53175 Bonn, Germany</t>
  </si>
  <si>
    <t>Harvard University; Dana-Farber Cancer Institute; Harvard University; Harvard T.H. Chan School of Public Health; Arizona State University; University of Texas System; UTMD Anderson Cancer Center; University of Bonn; Center of Advanced European Studies &amp; Research (CAESAR)</t>
  </si>
  <si>
    <t>Mayer, G; Famulok, M; Spetzler, D (corresponding author), Caris Life Sci, 4610 South 44th Pl, Phoenix, AZ 85040 USA.;Mayer, G; Famulok, M (corresponding author), Univ Bonn, Kekule Inst Organ Chem &amp; Biochem, LIMES Program Unit Chem Biol &amp; Med Chem, Gerhard Domagk Str 1, D-53121 Bonn, Germany.;Famulok, M (corresponding author), CAESAR, Chem Biol Max Planck Fellowship Grp, Ludwig Erhard Allee 2, D-53175 Bonn, Germany.</t>
  </si>
  <si>
    <t>gmayer@uni-bonn.de; m.famulok@uni-bonn.de; dspetzler@carisls.com</t>
  </si>
  <si>
    <t>Wang, Jie/GMX-2164-2022</t>
  </si>
  <si>
    <t>Quackenbush, John/0000-0002-2702-5879</t>
  </si>
  <si>
    <t>FEB 20</t>
  </si>
  <si>
    <t>10.1038/srep42741</t>
  </si>
  <si>
    <t>WOS:000394419800001</t>
  </si>
  <si>
    <t>Zheng, YT; Wang, ZF; Zhu, TM; Ma, FK; Chen, LP; Tang, QS; Zhu, JH</t>
  </si>
  <si>
    <t>Zheng, Yongtao; Wang, Zhifu; Zhu, Tongming; Ma, Fukai; Chen, Luping; Tang, Qisheng; Zhu, Jianhong</t>
  </si>
  <si>
    <t>Cell Labeling with Cy3 through DNA Hybridization for Assessing Neural Stem Cells Survival and Differentiation</t>
  </si>
  <si>
    <t>BIOCONJUGATE CHEMISTRY</t>
  </si>
  <si>
    <t>IRON-OXIDE NANOPARTICLES; FUNCTIONAL RECOVERY; EXOSOMES; TRACKING; MIGRATE; STROKE; BRAIN</t>
  </si>
  <si>
    <t>Neural stem cells (NSCs) have been attractive donor sources for cell therapy in traumatic brain injuries (TBI). Monitoring the fate of transplanted cells, including the survival and differentiation, will provide vital information to assess the outcome during the therapy time course. However, the current labeling methods are based on the principles of cell endocytosis, demanding relatively high fluorescent probes concentration and long incubation time, which may affect the proliferation and differentiation of transplanted cells. In our study, an efficient and relatively fast labeling strategy for NSCs with Cy3 based on DNA hybridization was proposed for monitoring the fate of transplanted cells. The oligo[dA](20) conjugated with Cy3 was anchored on NSCs which had modified with oligo[dT](20) via the oligo[dT](20)-oligo[dA](20) hybridization. This labeling system did not affect the viability of labeled NSCs. After implantation of labeled NSCs into the brain, immunohistology demonstrated implanted cells were able to survive and differentiate into mature neural cells as long as one month. In conclusion, the DNA hybridization system can be used as an efficient cell labeling method in cell therapy.</t>
  </si>
  <si>
    <t>[Tang, Qisheng; Zhu, Jianhong] Fudan Univ, Huashan Hosp, Dept Neurosurg, Natl Key Lab Med Neurobiol,Inst Brain Sci, Shanghai 200040, Peoples R China; Fudan Univ, Shanghai Med Coll, Collaborat Innovat Ctr Brain Sci, Shanghai 200040, Peoples R China</t>
  </si>
  <si>
    <t>Fudan University; Fudan University</t>
  </si>
  <si>
    <t>Tang, QS; Zhu, JH (corresponding author), Fudan Univ, Huashan Hosp, Dept Neurosurg, Natl Key Lab Med Neurobiol,Inst Brain Sci, Shanghai 200040, Peoples R China.</t>
  </si>
  <si>
    <t>tangqisheng@fudan.edu.cn; jzhu@fudan.edu.cn</t>
  </si>
  <si>
    <t>wang, zhifu/P-5888-2019</t>
  </si>
  <si>
    <t>1043-1802</t>
  </si>
  <si>
    <t>10.1021/acs.bioconjchem.8b00533</t>
  </si>
  <si>
    <t>Biochemical Research Methods; Biochemistry &amp; Molecular Biology; Chemistry, Multidisciplinary; Chemistry, Organic</t>
  </si>
  <si>
    <t>WOS:000451496400009</t>
  </si>
  <si>
    <t>Shao, HL; Chung, J; Lee, K; Balaj, L; Min, C; Carter, BS; Hochberg, FH; Breakefield, XO; Lee, H; Weissleder, R</t>
  </si>
  <si>
    <t>Shao, Huilin; Chung, Jaehoon; Lee, Kyungheon; Balaj, Leonora; Min, Changwook; Carter, Bob S.; Hochberg, Fred H.; Breakefield, Xandra O.; Lee, Hakho; Weissleder, Ralph</t>
  </si>
  <si>
    <t>Chip-based analysis of exosomal mRNA mediating drug resistance in glioblastoma</t>
  </si>
  <si>
    <t>MOLECULAR MARKER; MICROVESICLES; EXPRESSION; MULTIFORME; GLIOMA; CELLS; TEMOZOLOMIDE; BIOMARKERS; CISPLATIN; PROTEINS</t>
  </si>
  <si>
    <t>Real-time monitoring of drug efficacy in glioblastoma multiforme (GBM) is a major clinical problem as serial re-biopsy of primary tumours is often not a clinical option. MGMT (O-6-methylguanine DNA methyltransferase) and APNG (alkylpurine-DNA-N-glycosylase) are key enzymes capable of repairing temozolomide-induced DNA damages and their levels in tissue are inversely related to treatment efficacy. Yet, serial clinical analysis remains difficult, and, when done, primarily relies on promoter methylation studies of tumour biopsy material at the time of initial surgery. Here we present a microfluidic chip to analyse mRNA levels of MGMT and APNG in enriched tumour exosomes obtained from blood. We show that exosomal mRNA levels of these enzymes correlate well with levels found in parental cells and that levels change considerably during treatment of seven patients. We propose that if validated on a larger cohort of patients, the method may be used to predict drug response in GBM patients.</t>
  </si>
  <si>
    <t>[Shao, Huilin; Chung, Jaehoon; Lee, Kyungheon; Min, Changwook; Lee, Hakho; Weissleder, Ralph] Massachusetts Gen Hosp, Ctr Syst Biol, Boston, MA 02114 USA; [Balaj, Leonora; Breakefield, Xandra O.] Massachusetts Gen Hosp, Dept Neurol, Boston, MA 02114 USA; [Balaj, Leonora; Breakefield, Xandra O.] Harvard Univ, Sch Med, Program Neurosci, Boston, MA 02115 USA; [Carter, Bob S.; Hochberg, Fred H.] Univ Calif San Diego, Sch Med, Div Neurol Surg, San Diego, CA 92103 USA; [Hochberg, Fred H.; Weissleder, Ralph] Massachusetts Gen Hosp, Ctr Canc, Boston, MA 02114 USA; [Breakefield, Xandra O.; Lee, Hakho; Weissleder, Ralph] Massachusetts Gen Hosp, Dept Radiol, Boston, MA 02114 USA; [Weissleder, Ralph] Harvard Univ, Sch Med, Dept Syst Biol, Boston, MA 02115 USA</t>
  </si>
  <si>
    <t>Harvard University; Massachusetts General Hospital; Harvard University; Massachusetts General Hospital; Harvard University; University of California System; University of California San Diego; Harvard University; Massachusetts General Hospital; Harvard University; Massachusetts General Hospital; Harvard University</t>
  </si>
  <si>
    <t>Shao, HL (corresponding author), Agcy Sci Technol &amp; Res, Inst Mol &amp; Cell Biol, 61 Biopolis Dr, Singapore 138673, Singapore.</t>
  </si>
  <si>
    <t>hlee@mgh.harvard.edu; rweissleder@mgh.harvard.edu</t>
  </si>
  <si>
    <t>Carter, Bob/0000-0002-3586-1324; /0000-0003-0828-4143; Balaj, Leonora/0000-0003-0931-9715</t>
  </si>
  <si>
    <t>10.1038/ncomms7999</t>
  </si>
  <si>
    <t>WOS:000355529100002</t>
  </si>
  <si>
    <t>Zhai, LY; Li, MX; Pan, WL; Chen, Y; Li, MM; Pang, JX; Zheng, L; Chen, JX; Duan, WJ</t>
  </si>
  <si>
    <t>Zhai, Ling-Yan; Li, Min-Xiang; Pan, Wei-Lun; Chen, Yun; Li, Min-Min; Pang, Jian-Xin; Zheng, Lei; Chen, Jin-Xiang; Duan, Wen-Jun</t>
  </si>
  <si>
    <t>In Situ Detection of Plasma Exosomal MicroRNA-1246 for Breast Cancer Diagnostics by a Au Nanoflare Probe</t>
  </si>
  <si>
    <t>exosomal microRNA-1246 detection; Au nanoflare probe; breast cancer diagnostics; human plasma; DNA/RNA sensing</t>
  </si>
  <si>
    <t>SPHERICAL NUCLEIC-ACIDS; GOLD NANOPARTICLES; MESSENGER-RNA; SERUM; BIOMARKERS; VESICLES; APTAMER; MIRNAS; ROLES; CELLS</t>
  </si>
  <si>
    <t>Breast cancer is the second cause of cancer mortality in women globally. Early detection, treatment, and metastasis monitoring are of great importance to favorable prognosis. Although conventional diagnostic methods, such as breast X-ray mammography and image positioning biopsy, are accurate, they could cause radioactive or invasive damage to patients. Liquid biopsy as a noninvasive method is convenient for repeated sampling in clinical cancer prognostic, metastatic evaluation, and relapse monitoring. MicroRNAs encased in exosomes circulating in biofluids are promising candidate cancer biomarkers because of their cancer specific expression profiles. Here, we report an in situ detection of microRNA-1246 (miR-1246) in human plasma exosomes as breast cancer biomarker by a nucleic acid functionalized Au nanoflare probe. Needing neither time-consuming and costly isolation of exosomes from the plasma sample nor transfection means, the Au nanoflare probe can directly enter the plasma exosomes to generate fluorescent signal quantitatively by specifically targeting miR-1246. Only 40 mu L., of plasma is needed to incubate 4 h with the probe, giving signal sensitive enough to distinguish samples of breast cancer to normal control. Using plasma miR-1246 level detected by our assay as a marker, we differentiated 46 breast cancer patients from 28 healthy controls with 100% sensitivity and 92.9% specificity at the best cutoff. This simple, accurate, sensitive, and cost-effective liquid biopsy by the Au nanoflare probe is potent to be developed as a noninvasive breast cancer diagnostic assay for clinical adaption.</t>
  </si>
  <si>
    <t>[Zhai, Ling-Yan; Li, Min-Xiang; Chen, Yun; Pang, Jian-Xin; Chen, Jin-Xiang; Duan, Wen-Jun] Southern Med Univ, Nanfang Hosp, Sch Pharmaceut Sci, Guangdong Prov Key Lab New Drug Screening, Guangzhou 510515, Guangdong, Peoples R China; [Pan, Wei-Lun; Zheng, Lei] Southern Med Univ, Nanfang Hosp, Dept Lab Med, Guangzhou 510515, Guangdong, Peoples R China; [Li, Min-Min] Jinan Univ, Affiliated Hosp 1, Ctr Clin Lab, Guangzhou 510630, Guangdong, Peoples R China</t>
  </si>
  <si>
    <t>Chen, JX; Duan, WJ (corresponding author), Southern Med Univ, Nanfang Hosp, Sch Pharmaceut Sci, Guangdong Prov Key Lab New Drug Screening, Guangzhou 510515, Guangdong, Peoples R China.;Zheng, L (corresponding author), Southern Med Univ, Nanfang Hosp, Dept Lab Med, Guangzhou 510515, Guangdong, Peoples R China.</t>
  </si>
  <si>
    <t>10.1021/acsami.8b12725</t>
  </si>
  <si>
    <t>WOS:000451496000010</t>
  </si>
  <si>
    <t>Mammoto, T; Hunyenyiwa, T; Kyi, P; Hendee, K; Matus, K; Rao, SD; Lee, SH; Tabima, DM; Chesler, NC; Mammoto, A</t>
  </si>
  <si>
    <t>Mammoto, Tadanori; Hunyenyiwa, Tendai; Kyi, Priscilla; Hendee, Kathryn; Matus, Kienna; Rao, Sridhar; Lee, Sang H.; Tabima, Diana M.; Chesler, Naomi C.; Mammoto, Akiko</t>
  </si>
  <si>
    <t>Hydrostatic Pressure Controls Angiogenesis Through Endothelial YAP1 During Lung Regeneration</t>
  </si>
  <si>
    <t>angiogenesis; pressure; lung; Yap1; TEAD; Tie2</t>
  </si>
  <si>
    <t>REGULATE CELL-PROLIFERATION; HIPPO PATHWAY; EXOSOMES MEDIATE; YAP/TAZ; GROWTH; TWIST1; TAZ; DESTRUCTION; BIOGENESIS; ACTIVATION</t>
  </si>
  <si>
    <t>Pulmonary artery (PA) pressure increases during lung growth after unilateral pneumonectomy (PNX). Mechanosensitive transcriptional co-activator, yes-associated protein (YAP1), in endothelial cells (ECs) is necessary for angiogenesis during post-PNX lung growth. We investigate whether increases in PA pressure following PNX control-angiogenesis through YAP1. When hydrostatic pressure is applied to human pulmonary arterial ECs (HPAECs), the expression of YAP1, transcription factor TEAD1, and angiogenic factor receptor Tie2 increases, while these effects are inhibited when HPAECs are treated with YAP1 siRNA or YAP1S94A mutant that fails to bind to TEAD1. Hydrostatic pressure also stimulates DNA synthesis, cell migration, and EC sprouting in HPAECs, while YAP1 knockdown or YAP1S94A mutant inhibits the effects. Gene enrichment analysis reveals that the levels of genes involved in extracellular matrix (ECM), cell adhesion, regeneration, or angiogenesis are altered in post-PNX mouse lung ECs, which interact with YAP1. Exosomes are known to promote tissue regeneration. Proteomics analysis reveals that exosomes isolated from conditioned media of post-PNX mouse lung ECs contain the higher levels of ECM and cell-adhesion proteins compared to those from sham-operated mouse lung ECs. Recruitment of host lung ECs and blood vessel formation are stimulated in the fibrin gel containing exosomes isolated from post-PNX mouse lung ECs or pressurized ECs, while YAP1 knockdown inhibits the effects. These results suggest that increases in PA pressure stimulate angiogenesis through YAP1 during regenerative lung growth.</t>
  </si>
  <si>
    <t>[Mammoto, Tadanori; Hunyenyiwa, Tendai; Kyi, Priscilla; Hendee, Kathryn; Matus, Kienna; Rao, Sridhar; Mammoto, Akiko] Med Coll Wisconsin, Dept Pediat, Milwaukee, WI 53226 USA; [Mammoto, Tadanori; Lee, Sang H.] Med Coll Wisconsin, Dept Pharmacol &amp; Toxicol, Milwaukee, WI 53226 USA; [Hunyenyiwa, Tendai; Kyi, Priscilla; Rao, Sridhar; Mammoto, Akiko] Med Coll Wisconsin, Dept Cell Biol Neurobiol &amp; Anat, Milwaukee, WI 53226 USA; [Rao, Sridhar] Versiti, Blood Res Inst, Milwaukee, WI USA; [Tabima, Diana M.; Chesler, Naomi C.] Univ Wisconsin, Biomed Engn, Madison, WI USA; [Chesler, Naomi C.] Univ Calif Irvine, Edwards Life Sci Fdn, Cardiovasc Innovat &amp; Res Ctr &amp; Biomed Engn, Irvine, CA USA</t>
  </si>
  <si>
    <t>Medical College of Wisconsin; Medical College of Wisconsin; Medical College of Wisconsin; Versiti Blood Center of Wisconsin; University of Wisconsin System; University of Wisconsin Madison; University of California System; University of California Irvine</t>
  </si>
  <si>
    <t>Mammoto, A (corresponding author), Med Coll Wisconsin, Dept Pediat, Milwaukee, WI 53226 USA.;Mammoto, A (corresponding author), Med Coll Wisconsin, Dept Cell Biol Neurobiol &amp; Anat, Milwaukee, WI 53226 USA.</t>
  </si>
  <si>
    <t>amammoto@mcw.edu</t>
  </si>
  <si>
    <t>10.3389/fbioe.2022.823642</t>
  </si>
  <si>
    <t>WOS:000771797500001</t>
  </si>
  <si>
    <t>Salomone, F; Cardarelli, F; Di Luca, M; Boccardi, C; Nifosi, R; Bardi, G; Di Bari, L; Serresi, M; Beltram, F</t>
  </si>
  <si>
    <t>Salomone, Fabrizio; Cardarelli, Francesco; Di Luca, Mariagrazia; Boccardi, Claudia; Nifosi, Riccardo; Bardi, Giuseppe; Di Bari, Lorenzo; Serresi, Michela; Beltram, Fabio</t>
  </si>
  <si>
    <t>A novel chimeric cell-penetrating peptide with membrane-disruptive properties for efficient endosomal escape</t>
  </si>
  <si>
    <t>CPP; AMP; Chimera; Delivery; Escaping; Endocytosis</t>
  </si>
  <si>
    <t>INFLUENZA FUSION PEPTIDES; ARGININE-RICH MOTIF; TAT PEPTIDE; ANTIMICROBIAL PEPTIDES; PROTEIN TRANSDUCTION; DEPENDENT ENDOCYTOSIS; TRANSPORT-PROPERTIES; LIVING CELLS; MACROPINOCYTOSIS; MACROMOLECULES</t>
  </si>
  <si>
    <t>Efficient endocytosis into a wide range of target cells and low toxicity make the arginine-rich Tat peptide (Tat(11): YGRKKRRQRRR, residues 47-57 of HIV-1 Tat protein) an excellent transporter for delivery purposes. Unfortunately, molecules taken up by endocytosis undergo endosomal entrapment and possible metabolic degradation. Escape from the endosome is therefore actively researched. In this context, antimicrobial peptides (AMPs) provide viable templates for the design of new membrane-disruptive motifs. In particular the Cecropin-A and Melittin hybrids (CMs) are among the smallest and most effective peptides with membrane-perturbing abilities. Here we present a novel chimeric peptide in which the Tat(11) motif is fused to the CM18 hybrid (KWKLFKKIGAVLKVLTTG, residues 1-7 of Cecropin-A and 2-12 of Melittin). When administered to cells, CM18-Tat(11) combines the two desired functionalities: efficient uptake and destabilization of endocytotic-vesicle membranes. We show that this chimeric peptide effectively increases cargo-molecule cytoplasm availability and allows the subsequent intracellular localization of diverse membrane-impermeable molecules (i.e. Tat(11)-EGFP fusion protein, calcein, dextrans, and plasmidic DNA) with no detectable cytotoxicity. The present results open the way to the rational engineering of modular cell-penetrating peptides (CPPs) that combine (i) efficient translocation from the extracellular milieu into vesicles and (ii) efficient release of molecules from vesicles into the cytoplasm. (c) 2012 Elsevier B.V. All rights reserved.</t>
  </si>
  <si>
    <t>[Salomone, Fabrizio; Di Luca, Mariagrazia; Nifosi, Riccardo; Beltram, Fabio] Scuola Normale Super Pisa, NEST, I-56127 Pisa, Italy; [Salomone, Fabrizio; Di Luca, Mariagrazia; Nifosi, Riccardo; Beltram, Fabio] CNR, Ist Nanosci, I-56127 Pisa, Italy; [Salomone, Fabrizio; Cardarelli, Francesco; Boccardi, Claudia; Bardi, Giuseppe; Serresi, Michela; Beltram, Fabio] Ist Italiano Tecnol, Ctr Nanotechnol Innovat NEST, I-56127 Pisa, Italy; [Di Bari, Lorenzo] Univ Pisa, Dipartimento Chim &amp; Chim Ind, I-56126 Pisa, Italy</t>
  </si>
  <si>
    <t>Scuola Normale Superiore di Pisa; Consiglio Nazionale delle Ricerche (CNR); Istituto Nanoscienze (NANO-CNR); Istituto Italiano di Tecnologia - IIT; University of Pisa</t>
  </si>
  <si>
    <t>Cardarelli, F (corresponding author), Piazza San Silvestro 12, I-56127 Pisa, Italy.</t>
  </si>
  <si>
    <t>francesco.cardarelli@iit.it</t>
  </si>
  <si>
    <t>Di Bari, Lorenzo/H-4804-2015; Beltram, Fabio/L-9486-2019; Nifosì, Riccardo/B-8387-2015; Bardi, Giuseppe/K-7057-2019; Beltram, Fabio/F-2920-2013; Bardi, Giuseppe/B-6452-2013</t>
  </si>
  <si>
    <t>Di Bari, Lorenzo/0000-0003-2347-2150; Beltram, Fabio/0000-0002-6081-436X; Nifosì, Riccardo/0000-0002-5433-8045; Bardi, Giuseppe/0000-0001-9662-3007; Beltram, Fabio/0000-0002-6081-436X; Bardi, Giuseppe/0000-0001-9662-3007; Di Luca, Mariagrazia/0000-0002-0688-034X; salomone, fabrizio/0000-0002-9083-3932</t>
  </si>
  <si>
    <t>NOV 10</t>
  </si>
  <si>
    <t>10.1016/j.jconrel.2012.09.019</t>
  </si>
  <si>
    <t>WOS:000312266500004</t>
  </si>
  <si>
    <t>Martin, A; Zhou, A; Gordon, RE; Henderson, SC; Schwartz, AE; Friedman, EW; Davies, TF</t>
  </si>
  <si>
    <t>Thyroid organoid formation in simulated microgravity: Influence of keratinocyte growth factor</t>
  </si>
  <si>
    <t>THYROID</t>
  </si>
  <si>
    <t>EPITHELIAL-CELL GROWTH; COLLAGEN GEL; SCID MOUSE; HASHIMOTOS-THYROIDITIS; FOLLICLE FORMATION; GRAVES-DISEASE; IODIDE UPTAKE; PRESERVATION; EXPRESSION; ICAM-1</t>
  </si>
  <si>
    <t>The generation of artificial human thyroid tissues in suspension (low-shear environment, present in simulated microgravity [MG] and generated by a rotary cell culture system [RCCS]), was enhanced by increasing medium kinematic viscosity with a (3% v/v) suspension of extracellular matrix (basement membrane extract [BME]) in serum-free medium to generate artificial human thyroid organoids. Recombinant human keratinocyte growth factor (KGF, 7 ng/mL) facilitated human thyrocyte aggregation and three-dimensional (3-D) differentiation. There was an MG-associated decrease in extractable DNA that was reversed after addition of keratinocyte growth factor (KGF). In simulated MG, the increase in extractable DNA after KGF addition was up to 170% over non-KGF control cultures. In contrast, monolayer cultures in unit gravity showed a maximum DNA increase of 39% after KGF addition. Morphologically, differentiated thyroid neofollicles displayed polarization and were located in close proximity after 2 weeks of culture. Immunogold labeling with antibody to human thyroglobulin (Tg) revealed staining of follicular lumina and secretory vesicles, and a time-dependent increase in human Tg was detected in the culture media. Culture under simulated MG thus allowed direct visualization of KGF-facilitated thyrocyte/extracellular matrix interaction. Such artificial human thyroid organoids-generated in MG and in the presence of KGF-structurally resembled natural thyroid tissue. The above findings may have implications for autoimmune thyroid disease where KGF (if, for example, secreted locally by intraepithelial gamma delta T cells among other cells) may contribute to thyroid cell growth.</t>
  </si>
  <si>
    <t>CUNY Mt Sinai Sch Med, Dept Med, New York, NY 10029 USA; CUNY Mt Sinai Sch Med, Dept Pathol, New York, NY 10029 USA; CUNY Mt Sinai Sch Med, Dept Cell Biol &amp; Anat, New York, NY 10029 USA; CUNY Mt Sinai Sch Med, Dept Surg, New York, NY 10029 USA</t>
  </si>
  <si>
    <t>City University of New York (CUNY) System; Icahn School of Medicine at Mount Sinai; City University of New York (CUNY) System; Icahn School of Medicine at Mount Sinai; City University of New York (CUNY) System; Icahn School of Medicine at Mount Sinai; City University of New York (CUNY) System; Icahn School of Medicine at Mount Sinai</t>
  </si>
  <si>
    <t>Martin, A (corresponding author), CUNY Mt Sinai Sch Med, Dept Med, Box 1065,1 Gustave L Levy Pl, New York, NY 10029 USA.</t>
  </si>
  <si>
    <t>andreas.martin@mssm.edu</t>
  </si>
  <si>
    <t>Henderson, Scott/AAP-2785-2021</t>
  </si>
  <si>
    <t>Henderson, Scott/0000-0002-1076-3867</t>
  </si>
  <si>
    <t>1050-7256</t>
  </si>
  <si>
    <t>1557-9077</t>
  </si>
  <si>
    <t>10.1089/thy.2000.10.481</t>
  </si>
  <si>
    <t>WOS:000087969800006</t>
  </si>
  <si>
    <t>Mahmudunnabi, RG; Umer, M; Seo, KD; Park, DS; Chung, JH; Shiddiky, MJA; Shim, YB</t>
  </si>
  <si>
    <t>Mahmudunnabi, Rabbee G.; Umer, Muhammad; Seo, Kyeong-Deok; Park, Deog-Su; Chung, Jae Heun; Shiddiky, Muhammad. J. A.; Shim, Yoon-Bo</t>
  </si>
  <si>
    <t>Exosomal microRNAs array sensor with a bioconjugate composed of p53 protein and hydrazine for the specific lung cancer detection</t>
  </si>
  <si>
    <t>Exosomal miRNA; Nanoconjugates; Microarray sensor; Conducting polymer; Amperometric detection</t>
  </si>
  <si>
    <t>STRANDED-DNA ENDS; DIAGNOSTIC BIOMARKERS; BIOSENSOR; PLASMA</t>
  </si>
  <si>
    <t>For the early diagnosis of lung cancer, a novel strategy to detect microRNAs encapsulated in exosomes with immunomagnetic isolation was demonstrated for the selective extraction of exo-miRNAs from patient serum. Here, miRNA was captured from lysed exosomes in specially designed capture probe modified magnetic beads, followed by T4 DNA polymerase-mediated in situ formation of chimeric 5'-miRNA-DNA-3' (Target). The poly-(2,2':5',2?-terthiophene-3'-(p-benzoic acid)) (pTBA)-modified electrode harbors Probe-1 DNA that hybridizes to the 5' end of the chimera, followed by hybridization of Probe-2 DNA to the 3' end of the chimera, resulting in the formation of a 20-nucleotide-long dsDNA consensus sequence for p53 protein binding. A bioconjugate composed of p53 and hydrazine assembled on AuNPs (p53-AuNPs-Hyd) recruits the p53 protein to recognize a specific sequence, forming the final sensor probe (pTBA-Probe-1:Target/Probe-2:bioconjugate), where hydrazine functions as an electrocatalyst to generate amperometric signal from the reduction of H2O2. This sensor has double specificity via selective capture of the target in Probe-1 and p53 recognition, which shows excellent analytical performance, revealing a dynamic range between 100 aM and 10 pM with a detection limit of 92 (+/- 0.1) aM. For practical applications, we prepared a multiplexed array sensor to simultaneously detect four exo-miRNAs (miRNA-21, miRNA-155, miRNA-205, and miRNA-let-7b) up to femtomolar levels from 1.0 mL to 125 mu L of cell culture (A549, MCF-7 and BEAS-2B) media and lung cancer patient serum samples, respectively.</t>
  </si>
  <si>
    <t>[Mahmudunnabi, Rabbee G.; Seo, Kyeong-Deok; Park, Deog-Su; Shim, Yoon-Bo] Pusan Natl Univ, Dept Chem, Pusan, South Korea; [Mahmudunnabi, Rabbee G.; Seo, Kyeong-Deok; Park, Deog-Su; Shim, Yoon-Bo] Pusan Natl Univ, Inst BioPhysio Sensor Technol, Busan 46241, South Korea; [Chung, Jae Heun] Pusan Natl Univ, Yangsan Hosp, Dept Internal Med, Yangsan 50612, South Korea; [Umer, Muhammad; Shiddiky, Muhammad. J. A.] Griffith Univ, Queensland Micro &amp; Nanotechnol Ctr QMNC, Nathan, Qld 4111, Australia; [Shiddiky, Muhammad. J. A.] Griffith Univ, Sch Environm &amp; Sci, Nathan, Qld 4111, Australia</t>
  </si>
  <si>
    <t>Pusan National University; Pusan National University; Pusan National University; Pusan National University Hospital; Griffith University; Griffith University</t>
  </si>
  <si>
    <t>Park, DS; Shim, YB (corresponding author), Pusan Natl Univ, Dept Chem, Pusan, South Korea.;Park, DS; Shim, YB (corresponding author), Pusan Natl Univ, Inst BioPhysio Sensor Technol, Busan 46241, South Korea.</t>
  </si>
  <si>
    <t>dsupark@pusan.ac.kr; ybshim@pusan.ac.kr</t>
  </si>
  <si>
    <t>; Umer, Muhammad/D-7072-2011; Shiddiky, Muhammad J. A./L-7165-2015</t>
  </si>
  <si>
    <t>Shim, Yoon-Bo/0000-0002-6295-1480; Umer, Muhammad/0000-0001-9983-0087; Seo, Kyeong-Deok/0000-0002-5393-3432; Shiddiky, Muhammad J. A./0000-0003-4526-4109; Chung, Jae Heun/0000-0003-4519-4219</t>
  </si>
  <si>
    <t>10.1016/j.bios.2022.114149</t>
  </si>
  <si>
    <t>WOS:000782656700005</t>
  </si>
  <si>
    <t>Shahryari, S; Talaee, M; Haghbeen, K; Adrian, L; Vali, H; Zahiri, HS; Noghabi, KA</t>
  </si>
  <si>
    <t>Shahryari, Shahab; Talaee, Mahbubeh; Haghbeen, Kamahldin; Adrian, Lorenz; Vali, Hojatollah; Zahiri, Hossein Shahbani; Noghabi, Kambiz Akbari</t>
  </si>
  <si>
    <t>New Provisional Function of OmpA from Acinetobacter sp. Strain SA01 Based on Environmental Challenges</t>
  </si>
  <si>
    <t>MSYSTEMS</t>
  </si>
  <si>
    <t>Acinetobacter sp.; SA01; phenol; OmpA; emulsifying ability; porin; oxidative stress; outer membrane vesicle (OMV)</t>
  </si>
  <si>
    <t>OXIDATIVE STRESS; ESCHERICHIA-COLI; PSEUDOMONAS-AERUGINOSA; RADIORESISTENS S13; METABOLIC PATHWAYS; MEMBRANE VESICLES; VIRULENCE FACTORS; DNA-DAMAGE; PROTEIN; BAUMANNII</t>
  </si>
  <si>
    <t>An outer membrane protein A (OmpA) from Acinetobacter sp. strain SA01 was identified and characterized in-depth based on the structural and functional characteristics already known of its homologues. In silico structural studies showed that this protein can be a slow porin, binds to peptidoglycan, and exhibits emulsifying properties. Characterization of the recombinant SA01-OmpA, based on its emulsifying properties, represented its promising potentials in biotechnology. Also, the presence of SA01-OmpA in outer membrane vesicles (OMV) and biofilm showed that this protein, like its homologues in Acinetobacter baumannii , can be secreted into the extracellular environment through OMVs and play a role in the formation of biofilm. After ensuring the correct selection of the protein of interest, the role of oxidative stress induced by cell nutritional parameters (utilization of specific carbon sources) on the expression level of OmpA was carefully studied. For this purpose, the oxidative stress level of SA01 cell cultures in the presence of three nonrelevant carbon sources (sodium acetate, ethanol, and phenol) was examined under each condition. High expression of SA01-OmpA in ethanoland phenol-fed cells with higher levels of oxidative stress than acetate suggested that oxidative stress could be a substantial factor in the regulation of SA01-OmpA expression. The significant association of SA01OmpA expression with the levels of oxidative stress induced by cadmium and H2O2, with oxidative stress-inducing properties and lack of nutritional value, confirmed that the cells tend to harness their capacities with a possible increase in OmpA production. Collectively, this study suggests a homeostasis role for OmpA in Acinetobacter sp. SA01 under oxidative stress besides assuming many other roles hitherto attributed to this protein. IMPORTANCE Acinetobacter OmpA is known as a multifaceted protein with multiple functions, including emulsifying properties. Bioemulsifiers are surface-active compounds that can disperse hydrophobic compounds in water and help increase the bioavailability of hydrophobic hydrocarbons to be used by degrading microorganisms. In this study, an OmpA from Acinetobacter sp. SA01 was identified and introduced as an emulsifier with a higher emulsifying capacity than Pseudomonas aeruginosa rhamnolipid. We also showed that the expression of this protein is not dependent on the nutritional requirements but is more influenced by the oxidative stress caused by stressors. This finding, along with the structural role of this protein as a slow porin or its role in OMV biogenesis and biofilm formation, suggests that this protein can play an important role in maintaining cellular homeostasis under oxidative stress conditions. Altogether, the present study provides a new perspective on the functional performance of Acinetobacter OmpA, which can be used both to optimize its production as an emulsifier and a target in the treatment of multidrug-resistant strains.</t>
  </si>
  <si>
    <t>[Shahryari, Shahab; Talaee, Mahbubeh; Haghbeen, Kamahldin; Zahiri, Hossein Shahbani; Noghabi, Kambiz Akbari] Natl Inst Genet Engn &amp; Biotechnol NIGEB, Dept Energy &amp; Environm Biotechnol, Tehran, Iran; [Adrian, Lorenz] UFZ Helmholtz Ctr Environm Res, Dept Environm Biotechnol, Leipzig, Germany; [Adrian, Lorenz] Tech Univ Berlin, Chair Geobiotechnol, Berlin, Germany; [Vali, Hojatollah] McGill Univ, Dept Anat &amp; Cell Biol, Montreal, PQ, Canada</t>
  </si>
  <si>
    <t>Helmholtz Association; Helmholtz Center for Environmental Research (UFZ); Technical University of Berlin; McGill University</t>
  </si>
  <si>
    <t>Noghabi, KA (corresponding author), Natl Inst Genet Engn &amp; Biotechnol NIGEB, Dept Energy &amp; Environm Biotechnol, Tehran, Iran.</t>
  </si>
  <si>
    <t>Akbari@nigeb.ac.ir</t>
  </si>
  <si>
    <t>2379-5077</t>
  </si>
  <si>
    <t>e01175-20</t>
  </si>
  <si>
    <t>10.1128/mSystems.01175-20</t>
  </si>
  <si>
    <t>WOS:000608439400008</t>
  </si>
  <si>
    <t>Nielsen, SB; Otzen, DE</t>
  </si>
  <si>
    <t>Kleinschmidt, JH</t>
  </si>
  <si>
    <t>Nielsen, Soren B.; Otzen, Daniel E.</t>
  </si>
  <si>
    <t>Quartz Crystal Microbalances as Tools for Probing Protein-Membrane Interactions</t>
  </si>
  <si>
    <t>LIPID-PROTEIN INTERACTIONS: METHODS AND PROTOCOLS, 2ND EDITION</t>
  </si>
  <si>
    <t>Supported lipid bilayer; SiO2; Quartz crystal microbalance with dissipation (QCM-D); Interaction</t>
  </si>
  <si>
    <t>SUPPORTED LIPID-BILAYERS; COMBINED QCM-D; VESICLE ADSORPTION; SUBSEQUENT HYBRIDIZATION; VISCOELASTIC PROPERTIES; PHOSPHOLIPID-BILAYERS; DNA IMMOBILIZATION; PEPTIDE; SURFACE; KINETICS</t>
  </si>
  <si>
    <t>Extensive studies on the spontaneous collapse of phospholipid vesicles into supported lipid bilayers (SLBs) have led to procedures which allow SLB formation on a wealth of substrates and lipid compositions. SLBs provide a widely accepted and versatile model system which mimics the natural cell membrane separating the extracellular and intracellular fluids of the living cell. The quartz crystal microbalance with dissipation monitoring (QCM-D) has been central in both the understanding of vesicle collapse into SLBs on various substrates but also in probing the kinetics and mechanisms of biomolecular interactions with SLBs in real time. We describe a robust procedure to form SLBs of zwitterionic and charged lipids on SiO2 sensor crystals which subsequently can be exploited to probe the interaction between proteins and peptides with the SLB.</t>
  </si>
  <si>
    <t>[Nielsen, Soren B.] Arla Foods Ingredients Grp PS, Prot Chem &amp; Funct, Technol &amp; Funct, R&amp;D, Videbaek, Denmark; [Nielsen, Soren B.; Otzen, Daniel E.] Aarhus Univ, Dept Mol Biol &amp; Genet, Interdisciplinary Nanosci Ctr INANO, Aarhus C, Denmark</t>
  </si>
  <si>
    <t>Aarhus University</t>
  </si>
  <si>
    <t>Nielsen, SB (corresponding author), Arla Foods Ingredients Grp PS, Prot Chem &amp; Funct, Technol &amp; Funct, R&amp;D, Videbaek, Denmark.;Nielsen, SB (corresponding author), Aarhus Univ, Dept Mol Biol &amp; Genet, Interdisciplinary Nanosci Ctr INANO, Aarhus C, Denmark.</t>
  </si>
  <si>
    <t>978-1-4939-9512-7; 978-1-4939-9511-0</t>
  </si>
  <si>
    <t>10.1007/978-1-4939-9512-7_2</t>
  </si>
  <si>
    <t>10.1007/978-1-4939-9512-7</t>
  </si>
  <si>
    <t>WOS:000487551000003</t>
  </si>
  <si>
    <t>Tannetta, D; Sargent, I</t>
  </si>
  <si>
    <t>Tannetta, Dionne; Sargent, Ian</t>
  </si>
  <si>
    <t>Placental Disease and the Maternal Syndrome of Preeclampsia: Missing Links?</t>
  </si>
  <si>
    <t>CURRENT HYPERTENSION REPORTS</t>
  </si>
  <si>
    <t>Preeclampsia; Placenta; Inflammation; Endothelium; Coagulation; Syncytiotrophoblast; Microvesicles; Exosomes; Alarmins; Gasotransmitters; sFlt-1; sEng; PlGF; Tissue factor; Hypertension</t>
  </si>
  <si>
    <t>SYNCYTIOTROPHOBLAST MICROVILLOUS MEMBRANES; NITRIC-OXIDE SYNTHASE; LATE-ONSET PREECLAMPSIA; TISSUE FACTOR ACTIVITY; ASYMMETRIC DIMETHYLARGININE; NORMAL-PREGNANCY; ANGIOGENIC FACTORS; ENDOTHELIAL-CELLS; MESSENGER-RNA; FETAL DNA</t>
  </si>
  <si>
    <t>Preeclampsia remains a significant obstetric risk worldwide. The pathophysiology of preeclampsia is complex, with multiple stages involving maladaptations in both placental and maternal physiology. The placenta links the pre-clinical stage of impaired remodeling of the uterine vasculature, occurring in early pregnancy, to the later clinical stages characterised by the maternal syndrome of hypertension and proteinuria. This review focuses on some of the recent candidates for the missing links in this process.</t>
  </si>
  <si>
    <t>[Tannetta, Dionne; Sargent, Ian] Univ Oxford, John Radcliffe Hosp, Nuffield Dept Obstet &amp; Gynaecol, Oxford OX3 9DU, England</t>
  </si>
  <si>
    <t>University of Oxford</t>
  </si>
  <si>
    <t>Tannetta, D (corresponding author), Univ Oxford, John Radcliffe Hosp, Nuffield Dept Obstet &amp; Gynaecol, Womens Ctr Level 3, Oxford OX3 9DU, England.</t>
  </si>
  <si>
    <t>dionne.tannetta@obs-gyn.ox.ac.uk; ian.sargent@obs-gyn.ox.ac.uk</t>
  </si>
  <si>
    <t>1522-6417</t>
  </si>
  <si>
    <t>1534-3111</t>
  </si>
  <si>
    <t>10.1007/s11906-013-0395-7</t>
  </si>
  <si>
    <t>Peripheral Vascular Disease</t>
  </si>
  <si>
    <t>WOS:000327482900007</t>
  </si>
  <si>
    <t>Fan, ZJ; Yu, J; Lin, JY; Liu, Y; Liao, YH</t>
  </si>
  <si>
    <t>Fan, Zhijin; Yu, Jun; Lin, Jingyan; Liu, Ying; Liao, Yuhui</t>
  </si>
  <si>
    <t>Exosome-specific tumor diagnosis via biomedical analysis of exosome-containing microRNA biomarkers</t>
  </si>
  <si>
    <t>ELECTROCHEMICAL DETECTION; EXTRACELLULAR VESICLES; LIQUID BIOPSY; DNA; CELLS; AMPLIFICATION; APTASENSOR; PROTEIN</t>
  </si>
  <si>
    <t>Exosome-containing microRNAs (exomiRs) can be employed as potential biomarkers for tumor diagnosis and have drawn much attention in the past few years. However, the separation of exosomes and the detection of exomiRs are still inconvenient or even difficult to implement. Thus, it is important to develop a simple, accurate, and reliable strategy for the separation of exosomes and the biomedical analysis of exomiRs. Herein, a novel exosome-specific tumor diagnosis strategy was constructed by integrating the rapid magnetic exosome-enrichment platform and the Ru(bpy)(3)(2+)-polymer amplified electrochemiluminescence (ECL) strategy. This strategy realized the rapid and efficient capture of tumor-derived exosomes through a biological-affinity identification platform of the EpCAM antibody. The biomedical analysis of exomiRs achieved a preferable specificity and high sensitivity of 10(3) particles. Furthermore, we investigated the performance index for clinical blood samples from tumor patients; the results indicated that the exosome-specific tumor diagnosis strategy readily and consistently responded to exomiRs. These results indicated that the exosome-specific tumor diagnosis strategy provided new opportunities for the sensitive and efficient analysis of tumor-derived exomiRs. This strategy greatly simplified the biomedical analysis process and established the non-destructive detection mode of fluid biopsy for tumors.</t>
  </si>
  <si>
    <t>[Fan, Zhijin; Yu, Jun; Liu, Ying; Liao, Yuhui] Guiyang Sixth Hosp, Dept Sci &amp; Educ, Guiyang, Guizhou, Peoples R China; [Fan, Zhijin; Liao, Yuhui] Southern Med Univ, Dermatol Hosp, Mol Diag &amp; Treatment Ctr Infect Dis, Guangzhou, Guangdong, Peoples R China; [Lin, Jingyan; Liao, Yuhui] Southern Univ Sci &amp; Technol, Shenzhen Key Lab Pathogen &amp; Immun, State Key Discipline Infect Dis, Shenzhen Peoples Hosp 3,Hosp 2, Shenzhen, Peoples R China</t>
  </si>
  <si>
    <t>Southern Medical University - China; Southern University of Science &amp; Technology</t>
  </si>
  <si>
    <t>Liu, Y; Liao, YH (corresponding author), Guiyang Sixth Hosp, Dept Sci &amp; Educ, Guiyang, Guizhou, Peoples R China.;Liao, YH (corresponding author), Southern Med Univ, Dermatol Hosp, Mol Diag &amp; Treatment Ctr Infect Dis, Guangzhou, Guangdong, Peoples R China.;Liao, YH (corresponding author), Southern Univ Sci &amp; Technol, Shenzhen Key Lab Pathogen &amp; Immun, State Key Discipline Infect Dis, Shenzhen Peoples Hosp 3,Hosp 2, Shenzhen, Peoples R China.</t>
  </si>
  <si>
    <t>liuying1036@foxmail.com; liaoyh8@mail.sysu.edu.cn</t>
  </si>
  <si>
    <t>10.1039/c9an00777f</t>
  </si>
  <si>
    <t>WOS:000487329700018</t>
  </si>
  <si>
    <t>Yu, X; Harris, SL; Levine, AJ</t>
  </si>
  <si>
    <t>Yu, Xin; Harris, Sandra L.; Levine, Arnold J.</t>
  </si>
  <si>
    <t>The regulation of exosome secretion: a novel function of the p53 protein</t>
  </si>
  <si>
    <t>CELL-DERIVED EXOSOMES; WILD-TYPE P53; PROTEOMIC ANALYSIS; MULTIVESICULAR BODY; UNIRRADIATED CELLS; EMBRYO FIBROBLASTS; GENE-EXPRESSION; B-LYMPHOCYTES; CANCER; VESICLES</t>
  </si>
  <si>
    <t>The p53 protein responds to stress signals by regulating the transcription of a variety of genes. Some of these genes encode secreted proteins that may be involved in the communication between adjacent cells. In this study, a proteomics approach was employed to identify proteins secreted by cells in a p53-dependent manner after DNA damage. In addition to the known transcriptional targets of p53, a set of proteins encoded by genes that are not transcriptional targets of p53 were found to increase in the culture medium after p53 activation. These proteins exit the cell via small, secreted vesicles called exosomes and exosome production by cells was found to be regulated by the p53 response. A p53-regulated gene product, TSAP6, was shown to enhance exosome production in cells undergoing a p53 response to stress. Thus, the p53 pathway regulates the production of exosomes into the medium and these vesicles can communicate with adjacent cells and even cells of the immune system.</t>
  </si>
  <si>
    <t>Inst Adv Study, Princeton, NJ 08540 USA; Univ Med &amp; Dent New Jersey, Canc Inst New Jersey, New Brunswick, NJ 07103 USA</t>
  </si>
  <si>
    <t>Institute for Advanced Study - USA; Rutgers State University New Brunswick; Rutgers State University Medical Center; Rutgers Cancer Institute of New Jersey</t>
  </si>
  <si>
    <t>Levine, AJ (corresponding author), Inst Adv Study, Princeton, NJ 08540 USA.</t>
  </si>
  <si>
    <t>alevine@ias.edu</t>
  </si>
  <si>
    <t>Eckhardt, Erik/G-1567-2010</t>
  </si>
  <si>
    <t>10.1158/0008-5472.CAN-05-4579</t>
  </si>
  <si>
    <t>WOS:000237496900033</t>
  </si>
  <si>
    <t>Kang, TL; Zhu, JT; Luo, XJ; Jia, WY; Wu, P; Cai, CX</t>
  </si>
  <si>
    <t>Kang, Tuli; Zhu, Jingtian; Luo, Xiaojun; Jia, Wenyu; Wu, Ping; Cai, Chenxin</t>
  </si>
  <si>
    <t>Controlled Self-Assembly of a Close-Packed Gold Octahedra Array for SERS Sensing Exosomal MicroRNAs</t>
  </si>
  <si>
    <t>MicroRNAs (miRNAs) in exosomes can be transferred from parental cells to recipient cells by trafficking exosomes, and they are effective in regulating the gene expression of the recipient cells. Therefore, exosomal miRNAs play a vital role in cancer biology and could be potential biomarkers for cancer diagnosis and therapeutic responses. However, accurate detection of exosomal miRNAs is still challenging due to the low abundance of any given miRNA in exosomes. Herein, a surface-enhanced Raman scattering (SERS)-based sensor was developed for the quantitative determination of let-7a miRNAs in MCF-7 cell-derived exosomes (MCF-7 exosomes) using a close-packed and ordered Au octahedral array as a sensing platform. Au octahedra in the array uniformly stand on their triangular face. This kind of orientation produces hot surfaces rather than hot spots and greatly improves the detection sensitivity and uniformity. Let-7a detection with single-base specificity was thus achieved from the SERS intensity change induced by the structural switch of the probing DNA from a hairpin to a duplex in the presence of the target. The sensor showed a broad linear range (10 aM to 10 nM) and a low detection limit (5.3 aM) without using any signal amplification strategy. Moreover, this sensor could accurately detect target let-7a in MCF-7 exosomes and further value the impact of drug treatment on exosomal let-7a expression, indicating promising applications of the developed sensor for cancer diagnostics and therapy.</t>
  </si>
  <si>
    <t>[Kang, Tuli; Zhu, Jingtian; Luo, Xiaojun; Jia, Wenyu; Wu, Ping; Cai, Chenxin] Nanjing Normal Univ, Coll Chem &amp; Mat Sci, Jiangsu Collaborat Innovat Ctr Biomed Funct Mat, Jiangsu Key Lab New Power Batteries, Nanjing 210097, Peoples R China</t>
  </si>
  <si>
    <t>Wu, P; Cai, CX (corresponding author), Nanjing Normal Univ, Coll Chem &amp; Mat Sci, Jiangsu Collaborat Innovat Ctr Biomed Funct Mat, Jiangsu Key Lab New Power Batteries, Nanjing 210097, Peoples R China.</t>
  </si>
  <si>
    <t>wuping@njnu.edu.cn; cxcai@njnu.edu.cn</t>
  </si>
  <si>
    <t>Luo, Xiaojun/0000-0002-3899-0105</t>
  </si>
  <si>
    <t>10.1021/acs.analchem.0c04561</t>
  </si>
  <si>
    <t>WOS:000618089100078</t>
  </si>
  <si>
    <t>Albrecht, C; Baker, JC; Blundell, C; Chavez, SL; Carbone, L; Chamley, L; Hannibal, RL; Illsley, N; Kurre, P; Laurent, LC; McKenzie, C; Morales-Prieto, D; Pantham, P; Paquette, A; Powell, K; Price, N; Rao, BM; Sadovsky, Y; Salomon, C; Tuteja, G; Wilson, S; O'Tierney-Ginn, PF</t>
  </si>
  <si>
    <t>Albrecht, Christiane; Baker, Julie C.; Blundell, Cassidy; Chavez, Shawn L.; Carbone, Lucia; Chamley, Larry; Hannibal, Roberta L.; Illsley, Nick; Kurre, Peter; Laurent, Louise C.; McKenzie, Charles; Morales-Prieto, Diana; Pantham, Priyadarshini; Paquette, Alison; Powell, Katie; Price, Nathan; Rao, Balaji M.; Sadovsky, Yoel; Salomon, Carlos; Tuteja, Geetu; Wilson, Samantha; O'Tierney-Ginn, P. F.</t>
  </si>
  <si>
    <t>IFPA meeting 2016 workshop report I: Genomic communication, bioinformatics, trophoblast biology and transport systems</t>
  </si>
  <si>
    <t>Transport; Trophoblast; Bioinformatics; Exosomes; OMICS; DNA methylation</t>
  </si>
  <si>
    <t>Workshops are an important part of the IFPA annual meeting as they allow for discussion of specialized topics. At IFPA meeting 2016 there were twelve themed workshops, four of which are summarized in this report. These workshops covered innovative technologies applied to new and traditional areas of placental research: 1) genomic communication; 2) bioinformatics; 3) trophoblast biology and pathology; 4) placental transport systems. (c) 2017 IFPA and Elsevier Ltd. All rights reserved.</t>
  </si>
  <si>
    <t>[Albrecht, Christiane] Univ Bern, Bern, Switzerland; [Baker, Julie C.; Hannibal, Roberta L.] Stanford Univ, Sch Med, Stanford, CA 94305 USA; [Blundell, Cassidy] Univ Penn, Philadelphia, PA 19104 USA; [Chavez, Shawn L.; Carbone, Lucia; Kurre, Peter] Oregon Hlth &amp; Sci Univ, Portland, OR 97201 USA; [Chamley, Larry] Univ Auckland, Auckland, New Zealand; [Illsley, Nick] Hackensack Univ, Med Ctr, Hackensack, NJ USA; [Laurent, Louise C.] Univ Calif San Diego, San Diego, CA 92103 USA; [McKenzie, Charles] Univ Western Ontario, London, ON, Canada; [Morales-Prieto, Diana] Univ Jena, Jena, Germany; [Pantham, Priyadarshini] Univ Illinois, Urbana, IL USA; [Paquette, Alison; Price, Nathan] Inst Syst Biol, Seattle, WA USA; [Powell, Katie] Univ Sydney, Sydney, NSW, Australia; [Rao, Balaji M.] North Carolina State Univ, Raleigh, NC 27695 USA; [Sadovsky, Yoel] Magee Womens Res Inst, Pittsburgh, PA USA; [Salomon, Carlos] Univ Queensland, Brisbane, Qld, Australia; [Tuteja, Geetu] Iowa State Univ, Ames, IA USA; [Wilson, Samantha] Univ British Columbia, Vancouver, BC, Canada; [O'Tierney-Ginn, P. F.] Case Western Reserve Univ, Ctr Reprod Hlth, Metrohlth Med Ctr, Cleveland, OH 44106 USA</t>
  </si>
  <si>
    <t>University of Bern; Stanford University; University of Pennsylvania; Oregon Health &amp; Science University; University of Auckland; Hackensack University Medical Center; University of California System; University of California San Diego; Western University (University of Western Ontario); Friedrich Schiller University of Jena; University of Illinois System; University of Illinois Urbana-Champaign; Institute for Systems Biology (ISB); University of Sydney; University of North Carolina; North Carolina State University; Pennsylvania Commonwealth System of Higher Education (PCSHE); University of Pittsburgh; Magee-Womens Research Institute; University of Queensland; Iowa State University; University of British Columbia; Case Western Reserve University; MetroHealth System</t>
  </si>
  <si>
    <t>O'Tierney-Ginn, PF (corresponding author), Metrohlth Med Ctr, Ctr Reprod Hlth, 2500 MetroHlth Dr,R358, Cleveland, OH 44109 USA.</t>
  </si>
  <si>
    <t>poginn@metrohealth.org</t>
  </si>
  <si>
    <t>Prieto, Diana Maria Morales/AAU-6418-2020; Chavez, Shawn L./ABF-6125-2021; McKenzie, Charles A/I-6014-2012; Salomon, Carlos F/L-2167-2013</t>
  </si>
  <si>
    <t>Prieto, Diana Maria Morales/0000-0002-7348-059X; Chavez, Shawn L./0000-0002-8285-0222; McKenzie, Charles A/0000-0002-9614-1582; Salomon, Carlos F/0000-0003-4474-0046; Price, Nathan/0000-0002-4157-0267; Illsley, Nicholas/0000-0002-4336-2832; Laurent, Louise/0000-0002-2095-7534; Albrecht, Christiane/0000-0002-7846-6930; Wilson, Samantha/0000-0003-4346-9696</t>
  </si>
  <si>
    <t>S5</t>
  </si>
  <si>
    <t>S9</t>
  </si>
  <si>
    <t>10.1016/j.placenta.2017.01.103</t>
  </si>
  <si>
    <t>WOS:000423540400003</t>
  </si>
  <si>
    <t>Sauter, IP; Madrid, KG; de Assis, JB; Sa-Nunes, A; Torrecilhas, AC; Staquicini, DI; Pasqualini, R; Arap, W; Cortez, M</t>
  </si>
  <si>
    <t>Sauter, Ismael P.; Madrid, Katerine G.; de Assis, Josiane B.; Sa-Nunes, Anderson; Torrecilhas, Ana C.; Staquicini, Daniela, I; Pasqualini, Renata; Arap, Wadih; Cortez, Mauro</t>
  </si>
  <si>
    <t>TLR9/MyD88/TRIF signaling activates host immune inhibitory CD200 in Leishmania infection</t>
  </si>
  <si>
    <t>TOLL-LIKE RECEPTOR-9; CPG-DNA; NITRIC-OXIDE; PARASITOPHOROUS VACUOLES; DENDRITIC CELLS; EXPRESSION; INNATE; TLR9; RESPONSES; EXOSOMES</t>
  </si>
  <si>
    <t>Virulent protozoans named Leishmania in tropical and subtropical areas produce devastating diseases by exploiting host immune responses. Amastigotes of Leishmania amazonensis stimulate macrophages to express CD200, an immunomodulatory ligand, which binds to its cognate receptor (CD200R) and inhibits the inducible nitric oxide synthase and nitric oxide (iNOS/NO) signaling pathways, thereby promoting intracellular survival. However, the mechanisms underlying CD200 induction in macrophages remain largely unknown. Here, we show that phagocytosis-mediated internalization of L. amazonensis amastigotes following activation of endosomal TLR9/MyD88/TRIF signaling is critical for inducing CD200 in infected macrophages. We also demonstrate that Leishmania microvesicles containing DNA fragments activate TLR9-dependent CD200 expression, which inhibits the iNOS/NO pathway and modulates the course of L. amazonensis infection in vivo. These findings demonstrate that Leishmania exploits TLR-signaling pathways not only to inhibit macrophage microbicidal function, but also to evade host systemic immune responses, which has many implications in the severity of the disease.</t>
  </si>
  <si>
    <t>[Sauter, Ismael P.; Madrid, Katerine G.; Cortez, Mauro] Univ Sao Paulo, Dept Parasitol, BR-05508 Sao Paulo, SP, Brazil; [de Assis, Josiane B.; Sa-Nunes, Anderson] Univ Sao Paulo, Dept Immunol, Inst Biomed Sci, Sao Paulo, SP, Brazil; [Torrecilhas, Ana C.] Univ Fed Sao Paulo, Dept Pharmaceut Sci, Sao Paulo, Brazil; [Staquicini, Daniela, I; Pasqualini, Renata] Rutgers New Jersey Med Sch, Dept Radiat Oncol, Rutgers Canc Inst New Jersey, Newark, NJ 07730 USA; [Staquicini, Daniela, I; Pasqualini, Renata] Rutgers New Jersey Med Sch, Dept Radiat Oncol, Div Canc Biol, Newark, NJ 07730 USA; [Arap, Wadih] Rutgers New Jersey Med Sch, Rutgers Canc Inst New Jersey, Dept Med, Newark, NY 07730 USA; [Arap, Wadih] Rutgers New Jersey Med Sch, Div Hematol Oncol, Dept Med, Newark, NY 07730 USA</t>
  </si>
  <si>
    <t>Universidade de Sao Paulo; Universidade de Sao Paulo; Universidade Federal de Sao Paulo (UNIFESP); Rutgers State University New Brunswick; Rutgers State University Medical Center; Rutgers Cancer Institute of New Jersey; Rutgers State University New Brunswick; Rutgers State University Medical Center; Rutgers State University New Brunswick; Rutgers State University Medical Center; Rutgers Cancer Institute of New Jersey; Rutgers State University New Brunswick; Rutgers State University Medical Center</t>
  </si>
  <si>
    <t>Cortez, M (corresponding author), Univ Sao Paulo, Dept Parasitol, BR-05508 Sao Paulo, SP, Brazil.;Arap, W (corresponding author), Rutgers New Jersey Med Sch, Rutgers Canc Inst New Jersey, Dept Med, Newark, NY 07730 USA.;Arap, W (corresponding author), Rutgers New Jersey Med Sch, Div Hematol Oncol, Dept Med, Newark, NY 07730 USA.</t>
  </si>
  <si>
    <t>wadih.arap@rutgers.edu; mcortez@usp.br</t>
  </si>
  <si>
    <t>Sa-Nunes, Anderson/D-8667-2012; Assis, Josiane/O-4455-2019; Torrecilhas, Ana Claudia/AFR-7084-2022; /W-6163-2019; Veliz, Mauro Javier Cortez/Q-8227-2019; Sotomayor, Katerine Grece Madrid/AAM-9286-2020; Sa-Nunes, Anderson/M-5654-2019</t>
  </si>
  <si>
    <t>Sa-Nunes, Anderson/0000-0002-1859-4973; Assis, Josiane/0000-0001-6549-912X; Torrecilhas, Ana Claudia/0000-0001-5724-2199; Veliz, Mauro Javier Cortez/0000-0001-6536-4647; Sotomayor, Katerine Grece Madrid/0000-0002-1816-7402; Sa-Nunes, Anderson/0000-0002-1859-4973</t>
  </si>
  <si>
    <t>e126207</t>
  </si>
  <si>
    <t>10.1172/jci.insight.126207</t>
  </si>
  <si>
    <t>WOS:000468146300012</t>
  </si>
  <si>
    <t>Delcambre, S; Ghelfi, J; Ouzren, N; Grandmougin, L; Delbrouck, C; Seibler, P; Wasner, K; Aasly, JO; Klein, C; Trinh, J; Pereira, SL; Grunewald, A</t>
  </si>
  <si>
    <t>Delcambre, Sylvie; Ghelfi, Jenny; Ouzren, Nassima; Grandmougin, Lea; Delbrouck, Catherine; Seibler, Philip; Wasner, Kobi; Aasly, Jan O.; Klein, Christine; Trinh, Joanne; Pereira, Sandro L.; Gruenewald, Anne</t>
  </si>
  <si>
    <t>Mitochondrial Mechanisms of LRRK2 G2019S Penetrance</t>
  </si>
  <si>
    <t>leucine-rich repeat kinase-2 (LRRK2); G2019S; Parkinson's disease; penetrance; mitochondria; mitochondrial DNA (mtDNA); fibroblasts</t>
  </si>
  <si>
    <t>LRRK2-ASSOCIATED PARKINSONS-DISEASE; DNA DAMAGE; IMPAIRMENT; MUTATIONS; PHENOTYPE; GENOTYPE</t>
  </si>
  <si>
    <t>Several mutations in leucine-rich repeat kinase-2 (LRRK2) have been associated with Parkinson's disease (PD). The most common substitution, G2019S, interferes with LRRK2 kinase activity, which is regulated by autophosphorylation. Yet, the penetrance of this gain-of-function mutation is incomplete, and thus far, few factors have been correlated with disease status in carriers. This includes (i) LRRK2 autophosphorylation in urinary exosomes, (ii) serum levels of the antioxidant urate, and (iii) abundance of mitochondrial DNA (mtDNA) transcription-associated 7S DNA. In light of a mechanistic link between LRRK2 kinase activity and mtDNA lesion formation, we previously investigated mtDNA integrity in fibroblasts from manifesting (LRRK2+/PD+) and non-manifesting carriers (LRRK2+/PD-) of the G2019S mutation as well as from aged-matched controls. In our published study, mtDNA major arc deletions correlated with PD status, with manifesting carriers presenting the highest levels. In keeping with these findings, we now further explored mitochondrial features in fibroblasts derived from LRRK2+/PD+ (n= 10), LRRK2+/PD- (n= 21), and control (n= 10) individuals. In agreement with an accumulation of mtDNA major arc deletions, we also detected reduced NADH dehydrogenase activity in the LRRK2+/PD+ group. Moreover, in affected G2019S carriers, we observed elevated mitochondrial mass and mtDNA copy numbers as well as increased expression of the transcription factornuclear factor erythroid 2-related factor 2(Nrf2), which regulates antioxidant signaling. Taken together, these results implicate mtDNA dyshomeostasis-possibly as a consequence of impaired mitophagy-in the penetrance of LRRK2-associated PD. Our findings are a step forward in the pursuit of unveiling markers that will allow monitoring of disease progression of LRRK2 mutation carriers.</t>
  </si>
  <si>
    <t>[Delcambre, Sylvie; Ghelfi, Jenny; Ouzren, Nassima; Grandmougin, Lea; Delbrouck, Catherine; Wasner, Kobi; Pereira, Sandro L.; Gruenewald, Anne] Univ Luxembourg, Luxembourg Ctr Syst Biomed, Esch Sur Alzette, Luxembourg; [Delbrouck, Catherine; Trinh, Joanne] Luxembourg Inst Hlth, Dept Oncol, Luxembourg, Luxembourg; [Seibler, Philip; Klein, Christine; Gruenewald, Anne] Univ Lubeck, Inst Neurogenet, Lubeck, Germany; [Aasly, Jan O.] Norwegian Univ Sci &amp; Technol, St Olavs Hosp, Dept Neuromed &amp; Movement Sci, Dept Neurol, Trondheim, Norway</t>
  </si>
  <si>
    <t>University of Luxembourg; Luxembourg Institute of Health; University of Lubeck; Norwegian University of Science &amp; Technology (NTNU)</t>
  </si>
  <si>
    <t>Grunewald, A (corresponding author), Univ Luxembourg, Luxembourg Ctr Syst Biomed, Esch Sur Alzette, Luxembourg.;Grunewald, A (corresponding author), Univ Lubeck, Inst Neurogenet, Lubeck, Germany.</t>
  </si>
  <si>
    <t>anne.gruenewald@uni.lu</t>
  </si>
  <si>
    <t>Grünewald, Anne/ABD-1255-2021; Seibler, Philip/AAB-5097-2022; Trinh, Joanne/ABD-5085-2021; Klein, Christine/AGK-8003-2022</t>
  </si>
  <si>
    <t>Grünewald, Anne/0000-0002-4179-2994; Klein, Christine/0000-0003-2102-3431; Seibler, Philip/0000-0002-3496-7194; Delbrouck, Catherine/0000-0002-5699-9082; Cardoso Pereira, Sandro Lino/0000-0001-9498-3965</t>
  </si>
  <si>
    <t>10.3389/fneur.2020.00881</t>
  </si>
  <si>
    <t>WOS:000570377300001</t>
  </si>
  <si>
    <t>Coulter, ME; Walsh, CA</t>
  </si>
  <si>
    <t>Singer, W; Sejnowski, TJ; Rakic, P</t>
  </si>
  <si>
    <t>Coulter, Michael E.; Walsh, Christopher A.</t>
  </si>
  <si>
    <t>What Happens When It Goes Wrong? Using Human Genetics to Understand Human Brain Development and Evolution</t>
  </si>
  <si>
    <t>NEOCORTEX</t>
  </si>
  <si>
    <t>Strungmann Forum Reports</t>
  </si>
  <si>
    <t>This chapter explores what happens when the development of the cerebral cortex goes awry. It presents results on work with CHMP1A mutations, which highlight the importance of specialized cell-to-cell communication via extracellular vesicles in cortical development and function. It reviews genetic causes of microcephaly, with an emphasis on centrosomal proteins, and presents novel insights about cortical evolution shown using a ferret model of microcephaly caused by ASPM loss of function. It reviews recent work to identify noncoding mutations that cause brain malformations, which has expanded understanding of cortical development beyond protein-coding genes. These three examples illustrate general principles of cortical growth and function (cellular communication and synaptic plasticity, evolution, and utilization of large data sets), made possible by recent advances in DNA sequencing technology.</t>
  </si>
  <si>
    <t>[Coulter, Michael E.] Harvard Med Sch, Div Genet &amp; Genom, Boston, MA 02115 USA; [Coulter, Michael E.] Harvard Med Sch, Boston Childrens Hosp, Howard Hughes Med Inst, Dept Pediat, Boston, MA 02115 USA; [Coulter, Michael E.; Walsh, Christopher A.] Harvard Med Sch, Dept Neurol, Boston, MA 02115 USA; [Coulter, Michael E.] Univ Calif San Francisco, Ctr Integrat Neurosci, San Francisco, CA 94122 USA; [Walsh, Christopher A.] Harvard Med Sch, Boston Childrens Hosp, Howard Hughes Med Inst, Div Genet &amp; Genom, Boston, MA 02115 USA; [Walsh, Christopher A.] Harvard Med Sch, Dept Neurol, Boston, MA 02115 USA</t>
  </si>
  <si>
    <t>Harvard University; Harvard Medical School; Harvard University; Boston Children's Hospital; Harvard Medical School; Howard Hughes Medical Institute; Harvard University; Harvard Medical School; University of California System; University of California San Francisco; Harvard University; Boston Children's Hospital; Harvard Medical School; Howard Hughes Medical Institute; Harvard University; Harvard Medical School</t>
  </si>
  <si>
    <t>Coulter, ME (corresponding author), Harvard Med Sch, Div Genet &amp; Genom, Boston, MA 02115 USA.;Coulter, ME (corresponding author), Harvard Med Sch, Boston Childrens Hosp, Howard Hughes Med Inst, Dept Pediat, Boston, MA 02115 USA.;Coulter, ME (corresponding author), Harvard Med Sch, Dept Neurol, Boston, MA 02115 USA.;Coulter, ME (corresponding author), Univ Calif San Francisco, Ctr Integrat Neurosci, San Francisco, CA 94122 USA.</t>
  </si>
  <si>
    <t>978-0-262-04324-3</t>
  </si>
  <si>
    <t>WOS:000546253000005</t>
  </si>
  <si>
    <t>Jann, NJ; Schmaler, M; Kristian, SA; Radek, KA; Gallo, RL; Nizet, V; Peschel, A; Landmann, R</t>
  </si>
  <si>
    <t>Jann, Naja J.; Schmaler, Mathias; Kristian, Sascha A.; Radek, Katherine A.; Gallo, Richard L.; Nizet, Victor; Peschel, Andreas; Landmann, Regine</t>
  </si>
  <si>
    <t>Neutrophil antimicrobial defense against Staphylococcus aureus is mediated by phagolysosomal but not extracellular trap-associated cathelicidin</t>
  </si>
  <si>
    <t>CRAMP; NETs; peptide; NADPH oxidase; infection</t>
  </si>
  <si>
    <t>CHRONIC GRANULOMATOUS-DISEASE; INVASIVE BACTERIAL-INFECTION; TEICHOIC-ACIDS; STREPTOCOCCUS-PNEUMONIAE; ANTIBACTERIAL ACTIVITY; SECRETORY VESICLES; HUMAN-GRANULOCYTES; RESPIRATORY BURST; MOUSE NEUTROPHILS; INNATE IMMUNITY</t>
  </si>
  <si>
    <t>Neutrophils kill invading pathogens by AMPs, including cathelicidins, ROS, and NETs. The human pathogen Staphylococcus aureus exhibits enhanced resistance to neutrophil AMPs, including the murine cathelicidin CRAMP, in part, as a result of alanylation of teichoic acids by the dlt operon. In this study, we took advantage of the hypersusceptible phenotype of S. aureus Delta dltA against cationic AMPs to study the impact of the murine cathelicidin CRAMP on staphylococcal killing and to identify its key site of action in murine neutrophils. We demonstrate that CRAMP remained intracellular during PMN exudation from blood and was secreted upon PMA stimulation. We show first evidence that CRAMP was recruited to phagolysosomes in infected neutrophils and exhibited intracellular activity against S. aureus. Later in infection, neutrophils produced NETs, and immunofluorescence revealed association of CRAMP with S. aureus in NETs, which similarly killed S. aureus wt and Delta dltA, indicating that CRAMP activity was reduced when associated with NETs. Indeed, the presence of DNA reduced the antimicrobial activity of CRAMP, and CRAMP localization in response to S. aureus was independent of the NADPH oxidase, whereas killing was partially dependent on a functional NADPH oxidase. Our study indicates that neutrophils use CRAMP in a timed and locally coordinated manner in defense against S. aureus. J. Leukoc. Biol. 86: 1159-1169; 2009.</t>
  </si>
  <si>
    <t>[Landmann, Regine] Univ Basel Hosp, Div Infect Biol, Dept Biomed, CH-4031 Basel, Switzerland; [Kristian, Sascha A.; Nizet, Victor] Univ Calif San Diego, Dept Pediat, La Jolla, CA 92093 USA; [Kristian, Sascha A.; Radek, Katherine A.; Gallo, Richard L.] Univ Calif San Diego, Dept Med, La Jolla, CA 92093 USA; [Peschel, Andreas] Univ Tubingen, Dept Med Microbiol &amp; Hyg, Tubingen, Germany</t>
  </si>
  <si>
    <t>University of Basel; University of California System; University of California San Diego; University of California System; University of California San Diego; Eberhard Karls University of Tubingen</t>
  </si>
  <si>
    <t>Landmann, R (corresponding author), Univ Basel Hosp, Div Infect Biol, Dept Biomed, Hebelstr 20, CH-4031 Basel, Switzerland.</t>
  </si>
  <si>
    <t>regine.landmann@unibas.ch</t>
  </si>
  <si>
    <t>Gallo, Richard L/A-8931-2009; Nizet, Victor/AAF-3190-2019</t>
  </si>
  <si>
    <t>Gallo, Richard L/0000-0002-1401-7861; Nizet, Victor/0000-0003-3847-0422</t>
  </si>
  <si>
    <t>10.1189/jlb.0209053</t>
  </si>
  <si>
    <t>WOS:000271270600018</t>
  </si>
  <si>
    <t>Guillemyn, B; Nampoothiri, S; Syx, D; Malfait, F; Symoens, S</t>
  </si>
  <si>
    <t>Guillemyn, Brecht; Nampoothiri, Sheela; Syx, Delfien; Malfait, Fransiska; Symoens, Sofie</t>
  </si>
  <si>
    <t>Loss of TANGO1 Leads to Absence of Bone Mineralization</t>
  </si>
  <si>
    <t>JBMR PLUS</t>
  </si>
  <si>
    <t>COLLAGEN SECRETION; COLLAGENOPATHY; COPII VESICLES; OSTEOGENESIS IMPERFECTA; TANGO1</t>
  </si>
  <si>
    <t>COLLAGEN SECRETION; ASSOCIATION; DEFECTS; CTAGE5</t>
  </si>
  <si>
    <t>TANGO1 (transport and Golgi organization-1 homolog) encodes a transmembrane protein, which is located at endoplasmic reticulum (ER) exit sites where it binds bulky cargo, such as collagens, in the lumen and recruits membranes from the ER-Golgi intermediate compartment (ERGIC) to create an export route for cargo secretion. Mice lacking Mia3 (murine TANGO1 orthologue) show defective secretion of numerous procollagens and lead to neonatal lethality due to insufficient bone mineralization. Recently, aberrant expression of truncated TANGO1 in humans has been shown to cause a mild-to-moderate severe collagenopathy associated with dentinogenesis imperfecta, short stature, skeletal abnormalities, diabetes mellitus, and mild intellectual disability. We now show for the first time that complete loss of TANGO1 results in human embryonic lethality with near-total bone loss and phenocopies the situation of Mia3(-/-) mice. Whole-exome sequencing on genomic DNA (gDNA) of an aborted fetus of Indian descent revealed a homozygous 4-base pair (4-bp) deletion in TANGO1 that is heterozygously present in both healthy parents. Parental fibroblast studies showed decreased TANGO1 mRNA expression and protein levels. Type I collagen secretion and extracellular matrix organization were normal, supporting a threshold model for clinical phenotype development. As such, our report broadens the phenotypic and mutational spectrum of TANGO1-related collagenopathies, and underscores the crucial role of TANGO1 for normal bone development, of which deficiency results in a severe-to-lethal form of osteochondrodysplasia. (c) 2021 American Society for Bone and Mineral Research (c) 2020 The Authors. JBMR Plus published by Wiley Periodicals LLC. on behalf of American Society for Bone and Mineral Research.</t>
  </si>
  <si>
    <t>[Guillemyn, Brecht; Syx, Delfien; Malfait, Fransiska; Symoens, Sofie] Ghent Univ Hosp, Ctr Med Genet Ghent, Dept Biomol Med, Ghent, Belgium; [Nampoothiri, Sheela] Amrita Inst Med Sci &amp; Res Ctr, Dept Pediat Genet, Cochin, Kerala, India</t>
  </si>
  <si>
    <t>Ghent University; Ghent University Hospital; Amrita Vishwa Vidyapeetham; Amrita Vishwa Vidyapeetham Kochi</t>
  </si>
  <si>
    <t>Symoens, S (corresponding author), Ghent Univ Hosp, Ctr Med Genet Ghent CMGG, Med Res Bldg MRB,1st Floor,Room 110-050, B-9000 Ghent, Belgium.</t>
  </si>
  <si>
    <t>sofie.symoens@ugent.be</t>
  </si>
  <si>
    <t>Nampoothiri, Sheela/AAQ-4854-2021</t>
  </si>
  <si>
    <t>Nampoothiri, Sheela/0000-0002-9575-0722; Guillemyn, Brecht/0000-0001-7194-6651</t>
  </si>
  <si>
    <t>2473-4039</t>
  </si>
  <si>
    <t>e10451</t>
  </si>
  <si>
    <t>10.1002/jbm4.10451</t>
  </si>
  <si>
    <t>WOS:000705308700011</t>
  </si>
  <si>
    <t>Lin, KC; Yip, HK; Shao, PL; Wu, SC; Chen, KH; Chen, YT; Yang, CC; Sun, CK; Kao, GS; Chen, SY; Chai, HT; Chang, CL; Chen, CH; Lee, MS</t>
  </si>
  <si>
    <t>Lin, Kun-Chen; Yip, Hon-Kan; Shao, Pei-Lin; Wu, Shun-Cheng; Chen, Kuan-Hung; Chen, Yen-Ta; Yang, Chih-Chao; Sun, Cheuk-Kwan; Kao, Gour-Shenq; Chen, Sheng-Yi; Chai, Han-Tan; Chang, Chia-Lo; Chen, Chih-Hung; Lee, Mel S.</t>
  </si>
  <si>
    <t>Combination of adipose-derived mesenchymal stem cells (ADMSC) and ADMSC-derived exosomes for protecting kidney from acute ischemia-reperfusion injury</t>
  </si>
  <si>
    <t>INTERNATIONAL JOURNAL OF CARDIOLOGY</t>
  </si>
  <si>
    <t>Acute kidney ischemia-reperfusion injury; Exosome; Adipose-derived mesenchymal stem cell; Inflammation; Oxidative stress</t>
  </si>
  <si>
    <t>CRITICALLY-ILL PATIENTS; LEFT-VENTRICULAR FUNCTION; ACUTE-RENAL-FAILURE; OXIDATIVE STRESS; RIFLE CRITERIA; THERAPY; SEPSIS; MELATONIN; DISEASE; PROGNOSIS</t>
  </si>
  <si>
    <t>Background: In this study, we tested the hypothesis that a combined adipose-derived mesenchymal stem cell (ADMSC) and ADMSC-derived exosome therapy protected rat kidney from acute ischemia-reperfusion (IR) injury (i.e., ligation of both renal arteries for 1 h and reperfusion for 72 h prior to euthanization). Methods and results: Adult-male SD rats (n = 40) were equally categorized into group 1 (sham control), group 2 (IR), group 3 [IR + exosome (100 mu g)], group 4 [IR + ADMSC (1.2 x 10(6) cells)], and group 5 (IR-exosome-ADMSC). All therapies were performed at 3 h after IR procedure from venous administration. By 72 h, the creatinine level and kidney injury score were the lowest in group 1 and the highest in group 2, significantly higher in group 3 than in groups 4 and 5, and significantly higher in group 4 than in group 5 (all P &lt; 0.0001). The protein expression of inflammatory (TNF-alpha/NF-kappa B/IL-1 beta/MIF/PAI-1/Cox-2), oxidative-stress (NOX-1/NOX-2/oxidized protein), apoptotic (Bax/caspase-3/PARP), and fibrotic (Smad3/TGF-beta) biomarkers showed an identical pattern, whereas the anti-apoptotic (Smad1/5, BMP-2) and angiogenesis (CD31/vWF/angiopoietin) biomarkers and mitochondrial cytochrome-C showed an opposite pattern of creatinine level among the five groups (all P &lt; 0.001). The microscopic findings of glomerular-damage (WT-1), renal tubular-damage (KIM-1), DNA-damage (gamma-H2AX), inflammation (MPO/MIF/CD68) exhibited an identical pattern, whereas the podocyte components (podocin/p-cadherin/synaptopodin) displayed a reversed pattern of creatinine level (all P &lt; 0.0001). Conclusion: Combined exosome-ADMSC therapy was superior to either one for protecting kidney from acute IR injury. (C) 2016 Published by Elsevier Ireland Ltd.</t>
  </si>
  <si>
    <t>[Lin, Kun-Chen; Chen, Kuan-Hung] Kaohsiung Chang Gung Mem Hosp, Dept Anesthesiol, Kaohsiung 83301, Taiwan; [Lin, Kun-Chen; Yip, Hon-Kan; Chen, Kuan-Hung; Chen, Yen-Ta; Yang, Chih-Chao; Kao, Gour-Shenq; Chen, Sheng-Yi; Chai, Han-Tan; Chang, Chia-Lo; Chen, Chih-Hung; Lee, Mel S.] Chang Gung Univ, Coll Med, Kaohsiung 83301, Taiwan; [Yip, Hon-Kan; Kao, Gour-Shenq; Chen, Sheng-Yi; Chai, Han-Tan] Kaohsiung Chang Gung Mem Hosp, Dept Internal Med, Div Cardiol, Kaohsiung 83301, Taiwan; [Yip, Hon-Kan] Kaohsiung Chang Gung Mem Hosp, Inst Translat Res Biomed, Kaohsiung 83301, Taiwan; [Yip, Hon-Kan] Kaohsiung Chang Gung Mem Hosp, Ctr Shockwave Med &amp; Tissue Engn, Kaohsiung 83301, Taiwan; [Yip, Hon-Kan] China Med Univ, China Med Univ Hosp, Dept Med Res, Taichung 40402, Taiwan; [Yip, Hon-Kan; Shao, Pei-Lin] Asia Univ, Dept Nursing, Taichung 41354, Taiwan; [Wu, Shun-Cheng] Kaohsiung Med Univ, Orthopaed Res Ctr, Kaohsiung, Taiwan; [Chen, Yen-Ta] Kaohsiung Chang Gung Mem Hosp, Dept Surg, Div Urol, Kaohsiung 83301, Taiwan; [Yang, Chih-Chao] Kaohsiung Chang Gung Mem Hosp, Dept Internal Med, Div Nephrol, Kaohsiung 83301, Taiwan; [Sun, Cheuk-Kwan] I Shou Univ, Sch Med Int Students, Dept Emergency Med, E Da Hosp, Kaohsiung 82445, Taiwan; [Chang, Chia-Lo] Kaohsiung Chang Gung Mem Hosp, Dept Surg, Div Colorectal Surg, Kaohsiung 83301, Taiwan; [Chen, Chih-Hung] Kaohsiung Chang Gung Mem Hosp, Dept Internal Med, Div Gen Med, Kaohsiung 83301, Taiwan; [Lee, Mel S.] Kaohsiung Chang Gung Mem Hosp, Dept Orthoped, Kaohsiung 83301, Taiwan</t>
  </si>
  <si>
    <t>Chang Gung Memorial Hospital; Chang Gung University; Chang Gung Memorial Hospital; Chang Gung Memorial Hospital; Chang Gung Memorial Hospital; China Medical University Taiwan; China Medical University Hospital - Taiwan; Asia University Taiwan; Kaohsiung Medical University; Chang Gung Memorial Hospital; Chang Gung Memorial Hospital; E-Da Hospital; I Shou University; Chang Gung Memorial Hospital; Chang Gung Memorial Hospital; Chang Gung Memorial Hospital</t>
  </si>
  <si>
    <t>Lee, MS (corresponding author), Chang Gung Univ, Coll Med, Kaohsiung 83301, Taiwan.;Lee, MS (corresponding author), Kaohsiung Chang Gung Mem Hosp, Dept Orthoped, Kaohsiung 83301, Taiwan.</t>
  </si>
  <si>
    <t>mellee@cgmh.org.tw</t>
  </si>
  <si>
    <t>Wu, Shun-Cheng/E-2989-2010; Leu, Steve/D-6807-2011; Sun, Cheuk-Kwan/K-5723-2012</t>
  </si>
  <si>
    <t>Wu, Shun-Cheng/0000-0003-4219-3413; Leu, Steve/0000-0002-1738-1028; Chen, Chih-Hung/0000-0003-3718-2373</t>
  </si>
  <si>
    <t>0167-5273</t>
  </si>
  <si>
    <t>1874-1754</t>
  </si>
  <si>
    <t>10.1016/j.ijcard.2016.04.061</t>
  </si>
  <si>
    <t>WOS:000376820700031</t>
  </si>
  <si>
    <t>Moertl, S; Mutschelknaus, L; Heider, T; Atkinson, MJ</t>
  </si>
  <si>
    <t>Moertl, Simone; Mutschelknaus, Lisa; Heider, Theresa; Atkinson, Michael J.</t>
  </si>
  <si>
    <t>MicroRNAs as novel elements in personalized radiotherapy</t>
  </si>
  <si>
    <t>MicroRNA (miRNA); ionizing radiation (IR); personalized therapy; biomarker; radiosensitizer</t>
  </si>
  <si>
    <t>IONIZING-RADIATION; LUNG-CANCER; DNA-REPAIR; SMALL RNAS; EXOSOMES; CELLS; EXPRESSION; PROTEIN; BIOGENESIS; RADIOSENSITIVITY</t>
  </si>
  <si>
    <t>Radiotherapy (RT) is a widely used and effective non-surgical cancer treatment. However, the mechanism behind several major challenges to efficacy, such as tumor radioresistance, normal tissue toxicity, individual radiation hypersensitivity and promoted metastatic spread, are not fully understood. The involvement of microRNAs (miRNAs) in processes important for tissue radiation responses, including DNA damage repair, activation of signalling cascades or changes to the microenvironment, is being recognized. Most recently, the exchange of miRNAs between irradiated and non-irradiated cells through microvesicles was described as a new component of the cellular radiation response. The therapeutic inhibition or mimicking of miRNAs to overcome radioresistance during therapy, and the usage of miRNAs as predictive biomarkers for therapy response and prognosis, are promising applications of miRNAs in RT. However, due to the lack of in vivo or clinical studies the full potential of miRNAs for RT is difficult to estimate. In summary this contribution gives an overview about new understanding of the miRNA involvement in the radiation response and summarizes first RT-related applications.</t>
  </si>
  <si>
    <t>[Moertl, Simone; Mutschelknaus, Lisa; Heider, Theresa; Atkinson, Michael J.] Helmholtz Zentrum Munich, Inst Radiat Biol, Ingolstaedter Landstr 1, D-85305 Neuherberg, Germany; [Atkinson, Michael J.] Tech Univ Munich, Dept Radiat Biol, Munich, Germany</t>
  </si>
  <si>
    <t>Helmholtz Association; Helmholtz-Center Munich - German Research Center for Environmental Health; Technical University of Munich</t>
  </si>
  <si>
    <t>Moertl, S (corresponding author), Helmholtz Zentrum Munich, Inst Radiat Biol, Ingolstaedter Landstr 1, D-85305 Neuherberg, Germany.</t>
  </si>
  <si>
    <t>Atkinson, Michael/AAU-5127-2020; Atkinson, Michael J/E-5537-2011; Moertl, Simone/M-7353-2014</t>
  </si>
  <si>
    <t>Atkinson, Michael/0000-0003-3358-2089; Atkinson, Michael J/0000-0003-3358-2089; Moertl, Simone/0000-0003-0644-0878</t>
  </si>
  <si>
    <t>S1262</t>
  </si>
  <si>
    <t>S1269</t>
  </si>
  <si>
    <t>10.21037/tcr.2016.11.37</t>
  </si>
  <si>
    <t>WOS:000393328100056</t>
  </si>
  <si>
    <t>MONTESSUIT, C; BONJOUR, JP; CAVERZASIO, J</t>
  </si>
  <si>
    <t>P-I TRANSPORT REGULATION BY CHICKEN GROWTH-PLATE CHONDROCYTES</t>
  </si>
  <si>
    <t>AMERICAN JOURNAL OF PHYSIOLOGY</t>
  </si>
  <si>
    <t>EPIPHYSEAL CARTILAGE; ALANINE TRANSPORT; MATRIX VESICLES</t>
  </si>
  <si>
    <t>ALKALINE-PHOSPHATASE ACTIVITY; RAT EPIPHYSEAL CHONDROCYTES; PARATHYROID-HORMONE; MATRIX VESICLES; IGF-I; PROTEOGLYCAN SYNTHESIS; PRIMARY CULTURES; DNA-SYNTHESIS; CELL-LINE; CARTILAGE</t>
  </si>
  <si>
    <t>Inorganic phosphate (P-i) is a key element for the growth and mineralization of the epiphyseal cartilage. In this study, the characteristics of the transport of P-i in growth plate chondrocytes have been determined using primary cultures of chicken growth plate cartilage cells. The uptake of P-i was significantly increased in the presence of extracellular sodium. The kinetic parameters of the saturable sodium-dependent P-i transport (NaPiT) were determined. The Michaelis constant for P-i was 0.443 +/- 0.095 mM, and the concentration of sodium with which half-maximal P-i transport was observed was 48.0 +/- 8.7 mM. Stoichiometric analysis suggested that more than one sodium ion was cotransported with each P-i molecule. NaPiT was sensitive to inhibition by P-i analogues such as phosphonoformic acid and arsenate. These data strongly suggest that P-i uptake by chicken growth plate chondrocytes is a carrier-mediated process driven by the transmembrane electrochemical gradient of sodium. Two important regulators of biosynthetic activities of growth plate chondrocytes, insulin-like growth factor I (IGF-I) and parathyroid hormone (PTH), selectively regulated P-i transport. With IGF-I, maximal stimulation (117 +/- 7% above control) was observed at doses &gt;5 nM, with an half-maximal effective concentration of 0.46 +/- 0.18 nM. A significant effect was observed after 1 h of exposure and was maintained for up to 24 h. PTH increased P-i transport with a biphasic dose-response curve. The change in NaPiT was transient, being maximally observed after 8 h (58 +/- 8%) and unexpressed after 24 h. In conclusion, P-i transport in growth plate chondrocytes is a carrier-mediated process that is selectively stimulated by IGF-I and PTH, two physiological regulators of growth plate chondrocyte development.</t>
  </si>
  <si>
    <t>UNIV HOSP GENEVA, DEPT MED,WHO, COLLABORATING CTR OSTEOPOROSIS &amp; BONE DIS,DIV CLI, CH-1211 GENEVA 14, SWITZERLAND</t>
  </si>
  <si>
    <t>University of Geneva; World Health Organization</t>
  </si>
  <si>
    <t>Montessuit, Christophe/B-5650-2011</t>
  </si>
  <si>
    <t>Montessuit, Christophe/0000-0002-2580-7711</t>
  </si>
  <si>
    <t>0002-9513</t>
  </si>
  <si>
    <t>E24</t>
  </si>
  <si>
    <t>E31</t>
  </si>
  <si>
    <t>10.1152/ajpendo.1994.267.1.E24</t>
  </si>
  <si>
    <t>WOS:A1994NY98400038</t>
  </si>
  <si>
    <t>Tu, M; Wei, F; Yang, JP; Wong, D</t>
  </si>
  <si>
    <t>Tu, Michael; Wei, Fang; Yang, Jieping; Wong, David</t>
  </si>
  <si>
    <t>Detection of Exosomal Biomarker by Electric Field-induced Release and Measurement (EFIRM)</t>
  </si>
  <si>
    <t>Bioengineering; Issue 95; Exosome; Electrochemical sensors; Tumor biomarkers; Lung cancer; Salivary diagnostics</t>
  </si>
  <si>
    <t>CANCER; SALIVA</t>
  </si>
  <si>
    <t>Exosomes are microvesicular structures that play a mediating role in intercellular communication. It is of interest to study the internal cargo of exosomes to determine if they carry disease discriminatory biomarkers. For performing exosomal analysis, it is necessary to develop a method for extracting and analyzing exosomes from target biofluids without damaging the internal content. Electric field-induced release and measurement (EFIRM) is a method for specifically extracting exosomes from biofluids, unloading their cargo, and testing their internal RNA/protein content. Using an anti-human CD63 specific antibody magnetic microparticle, exosomes are first precipitated from biofluids. Following extraction, low-voltage electric cyclic square waves (CSW) are applied to disrupt the vesicular membrane and cause cargo unloading. The content of the exosome is hybridized to DNA primers or antibodies immobilized on an electrode surface for quantification of molecular content. The EFIRM method is advantageous for extraction of exosomes and unloading cargo for analysis without lysis buffer. This method is capable of performing specific detection of both RNA and protein biomarker targets in the exosome. EFIRM extracts exosomes specifically based on their surface markers as opposed to size-based techniques. Transmission electron microscopy (TEM) and assay demonstrate the functionality of the method for exosome capture and analysis. The EFIRM method was applied to exosomal analysis of 9 mice injected with human lung cancer H640 cells (a cell line transfected to express the exosome marker human CD63-GFP) in order to test their exosome profile against 11 mice receiving saline controls. Elevated levels of exosomal biomarkers (reference gene GAPDH and protein surface marker human CD63-GFP) were found for the H640 injected mice in both serum and saliva samples. Furthermore, saliva and serum samples were demonstrated to have linearity (R = 0.79). These results are suggestive for the viability of salivary exosome biomarkers for detection of distal diseases.</t>
  </si>
  <si>
    <t>[Tu, Michael; Wei, Fang; Wong, David] Univ Calif Los Angeles, Sch Dent, Los Angeles, CA 90024 USA; [Yang, Jieping] Univ Calif Los Angeles, Sch Med, Clin Nutr, Los Angeles, CA USA</t>
  </si>
  <si>
    <t>University of California System; University of California Los Angeles; University of California System; University of California Los Angeles; University of California Los Angeles Medical Center; David Geffen School of Medicine at UCLA</t>
  </si>
  <si>
    <t>Wong, D (corresponding author), Univ Calif Los Angeles, Sch Dent, Los Angeles, CA 90024 USA.</t>
  </si>
  <si>
    <t>dtww@ucla.edu</t>
  </si>
  <si>
    <t>Tu, Michael/0000-0002-7227-4030</t>
  </si>
  <si>
    <t>e52439</t>
  </si>
  <si>
    <t>10.3791/52439</t>
  </si>
  <si>
    <t>WOS:000361532900067</t>
  </si>
  <si>
    <t>De Benedetto, G; Cescutti, P; Giannelli, C; Rizzo, R; Micoli, F</t>
  </si>
  <si>
    <t>De Benedetto, Gianluigi; Cescutti, Paola; Giannelli, Carlo; Rizzo, Roberto; Micoli, Francesca</t>
  </si>
  <si>
    <t>Multiple Techniques for Size Determination of Generalized Modules for Membrane Antigens from Salmonella typhimurium and Salmonella enteritidis</t>
  </si>
  <si>
    <t>LIGHT-SCATTERING; VESICLES; QUANTIFICATION; NANOPARTICLES; PARTICLES; GMMA</t>
  </si>
  <si>
    <t>In the last years, outer membrane vesicles have attracted a lot of attention for the development of vaccines against bacterial pathogens. Extracellular vesicles can be obtained in high yields by genetic mutations, resulting in generalized modules for membrane antigens (GMMA). Methods to check the quality, consistency of production, and stability of GMMA vaccines are of fundamental importance. In this context, analytical methods for size distribution determination and verifying the integrity and possible aggregation of GMMA particles are strongly needed. Herein, GMMA particle size distribution has been evaluated by means of three different techniques. Dynamic light scattering (DLS), multiangle light scattering (MALS) coupled with highperformance liquid chromatography-size exclusion chromatography (SEC), and nanoparticle tracking analysis (NTA) have been compared to characterize GMMA from different mutants of Salmonella typhimurium and Salmonella enteritidis strains. We found that the presence of O-antigen chains on GMMA determined higher Z-average diameters by DLS compared to size estimation by MALS and that the hydrodynamic diameter increased with the number of O-antigen chains per GMMA particle. In the case of SEC-MALS, the size of the whole population better reflects the size of the most abundant particles, whereas DLS diameter is more influenced by the presence of larger particles in the sample. SEC-MALS and NTA are preferable to DLS for the analysis of bimodal samples, as they better distinguish populations of different size. MALS coupled to a size exclusion chromatography module also allows checking the purity of GMMA preparations, allowing determination of generally occurring contaminants such as soluble proteins and DNA. NTA permits real-time visualization with simultaneous tracking and counting of individual particles, but it is deeply dependent on the choice of data analysis parameters. All of the three techniques have provided complementary information leading to a more complete characterization of GMMA particles.</t>
  </si>
  <si>
    <t>[De Benedetto, Gianluigi; Giannelli, Carlo; Micoli, Francesca] GSK Vaccines Inst Global Hlth GVGH Srl, Via Fiorentina 1, I-53100 Siena, Italy; [De Benedetto, Gianluigi; Cescutti, Paola; Rizzo, Roberto] Univ Trieste, Dipartimento Sci Vita, Ed C11,Via L Giorgieri 1, I-34127 Trieste, Italy</t>
  </si>
  <si>
    <t>GlaxoSmithKline; University of Trieste</t>
  </si>
  <si>
    <t>Micoli, F (corresponding author), GSK Vaccines Inst Global Hlth GVGH Srl, Via Fiorentina 1, I-53100 Siena, Italy.</t>
  </si>
  <si>
    <t>francesca.x.micoli@gsk.com</t>
  </si>
  <si>
    <t>Cescutti, Paola/0000-0003-3744-2198</t>
  </si>
  <si>
    <t>10.1021/acsomega.7b01173</t>
  </si>
  <si>
    <t>WOS:000418744100089</t>
  </si>
  <si>
    <t>Hehl, AB; Marti, M; Kohler, P</t>
  </si>
  <si>
    <t>Stage-specific expression and targeting of cyst wall protein-green fluorescent protein chimeras in Giardia</t>
  </si>
  <si>
    <t>LEUCINE-RICH REPEATS; GLUCOSAMINE 6-PHOSPHATE ISOMERASE; TRYPANOSOMA-BRUCEI; MESSENGER-RNA; 3'-UNTRANSLATED REGION; DEVELOPMENTAL REGULATION; PRIMITIVE EUKARYOTE; PHYSICAL-PROPERTIES; FIREFLY LUCIFERASE; TOXOPLASMA-GONDII</t>
  </si>
  <si>
    <t>In preparation for being shed into the environment as infectious cysts, trophozoites of Giardia spp. synthesize and deposit large amounts of extracellular matrix into a resistant extracellular cyst wall. Functional aspects of this developmentally regulated process were investigated by expressing a series of chimeric cyst wall protein 1 (CWP1)-green fluorescent protein (GFP) reporter proteins. It was demonstrated that a short 110 by 5' flanking region of the CWP1 gene harbors all necessary cis-DNA elements for strictly encystation-specific expression of a reporter during in vitro encystation, whereas sequences in the 3' flanking region are involved in modulation of steady-state levels of its mRNA during encystation. Encysting Giardia expressing CWP1-GFP chimeras showed formation and maturation of labeled dense granule-like vesicles and subsequent incorporation of GFP-tagged protein into the cyst wall, dependent on which domains of CWP1 were included. The N-terminal domain of CWP1 was required for targeting GFP to regulated compartments of the secretory apparatus, whereas a central domain containing leucine-rich repeats mediated association of the chimera with the extracellular cyst wall. We show that analysis of protein transport using GFP-tagged molecules is feasible in an anaerobic organism and provides a useful tool for investigating the organization of primitive eukaryotic vesicular transport.</t>
  </si>
  <si>
    <t>Univ Zurich, Inst Parasitol, CH-8057 Zurich, Switzerland</t>
  </si>
  <si>
    <t>University of Zurich</t>
  </si>
  <si>
    <t>Hehl, AB (corresponding author), Univ Zurich, Inst Parasitol, Winterthurerstr 266A, CH-8057 Zurich, Switzerland.</t>
  </si>
  <si>
    <t>ahehl@vetparas.unizh.ch</t>
  </si>
  <si>
    <t>Hehl, Adrian/0000-0002-2110-4445</t>
  </si>
  <si>
    <t>10.1091/mbc.11.5.1789</t>
  </si>
  <si>
    <t>WOS:000087049700023</t>
  </si>
  <si>
    <t>Digiuseppe, S; Bienkowska-Haba, M; Guion, LG; Sapp, M</t>
  </si>
  <si>
    <t>Digiuseppe, Stephen; Bienkowska-Haba, Malgorzata; Guion, Lucile G.; Sapp, Martin</t>
  </si>
  <si>
    <t>Cruising the cellular highways: How human papillomavirus travels from the surface to the nucleus</t>
  </si>
  <si>
    <t>HPV binding; Receptor; Endocytosis; Uncoating; Microtubule; Intracellular transport; Mitosis; Nuclear vesicles</t>
  </si>
  <si>
    <t>MINOR CAPSID PROTEIN; VIRUS-LIKE PARTICLES; PROMYELOCYTIC LEUKEMIA PROTEIN; HEPARAN-SULFATE; INFECTIOUS ENTRY; INTRACELLULAR TRAFFICKING; EXTRACELLULAR-MATRIX; TETRASPANIN CD151; VIRAL GENOME; DNA-BINDING</t>
  </si>
  <si>
    <t>The non-enveloped human papillomaviruses (HPVs) specifically target epithelial cells of the skin and mucosa. Successful infection requires a lesion in the stratified tissue for access to the basal cells. Herein, we discuss our recent progress in understanding binding, internalization, uncoating, and intracellular trafficking of HPV particles. Our focus will be on HPV type 16, which is the most common HPV type associated with various anogenital and oropharyngeal carcinomas. The study of HPV entry has revealed a number of novel cellular pathways utilized during infection. These include but are not restricted to the following: a previously uncharacterized form of endocytosis, membrane penetration by a capsid protein, the use of retromer complexes for trafficking to the trans-Golgi network, the requirement for nuclear envelope breakdown and microtubule-mediated transport during mitosis for nuclear entry, the existence of membrane-bound intranuclear vesicles harboring HPV genome, and the requirement of PML protein for efficient transcription of incoming viral genome. The continued study of these pathways may reveal new roles in basic biological cellular processes. (C) 2016 Elsevier B.V. All rights reserved.</t>
  </si>
  <si>
    <t>[Digiuseppe, Stephen; Bienkowska-Haba, Malgorzata; Guion, Lucile G.; Sapp, Martin] LSU Hlth Shreveport, Dept Microbiol &amp; Immunol, Ctr Mol Tumor Virol, Feist Weiller Canc Ctr, Shreveport, LA USA</t>
  </si>
  <si>
    <t>Louisiana State University System; Louisiana State University Health Sciences Center at Shreveport</t>
  </si>
  <si>
    <t>Sapp, M (corresponding author), Dept Microbiol &amp; Immunol, 1501 Kings Highway, Shreveport, LA 71130 USA.</t>
  </si>
  <si>
    <t>msappl@lsuhsc.edu</t>
  </si>
  <si>
    <t>digiuseppe, stephen/AAS-7618-2021</t>
  </si>
  <si>
    <t>DIGIUSEPPE, STEPHEN/0000-0003-0160-9750; DiGiuseppe, Stephen/0000-0002-9925-9850</t>
  </si>
  <si>
    <t>10.1016/j.virusres.2016.10.015</t>
  </si>
  <si>
    <t>WOS:000397076900002</t>
  </si>
  <si>
    <t>Freudenmann, LK; Mayer, C; Rodemann, HP; Dittmann, K</t>
  </si>
  <si>
    <t>Freudenmann, Lena Katharine; Mayer, Claus; Rodemann, H. Peter; Dittmann, Klaus</t>
  </si>
  <si>
    <t>Reduced exosomal L-Plastin is responsible for radiation-induced bystander effect</t>
  </si>
  <si>
    <t>L-Plastin; Bystander effect; Exosomes; RIBE</t>
  </si>
  <si>
    <t>DOUBLE-STRAND BREAKS; IONIZING-RADIATION; HUMAN FIBROBLASTS; IRRADIATED-CELLS; DNA-DAMAGE; EXPRESSION; GENE; PROLIFERATION; PROMOTES; CYTOTOXICITY</t>
  </si>
  <si>
    <t>Radiation-induced bystander effects (RIBE) are discussed as relevant processes during radiotherapy. Irradiated cells are suggested to release growth-inhibitory/DNA-damaging factors transported to non-irradiated cells. However, the molecular nature of this phenomenon has not yet been resolved. We aimed at identifying the growth-inhibitory factor(s) transmitted to non-irradiated cells. RIBE-competent PC3 cells were used to produce conditioned medium (CM) after exposure to ionizing radiation. Indicator cells were incubated with CM and clonogenic survival as well as cell proliferation were determined as endpoints. A549 indicator cells exhibited a bystander effect upon incubation with CM from irradiated PC3 cells. This bystander effect was not due to DNA-damaging factors, but a radiation-triggered reduction of mitogenic/clonogenic activity present in CM. Several tumor cells, but not normal fibroblasts secrete this factor, whose release is reduced by irradiation. We identified L-Plastin to be responsible for the mitogenic/clonogenic activity. Removal of L-Plastin from CM by immunoprecipitation or siRNA-mediated knockdown of L-Plastin expression resulted in loss or reduction of mitogenic/clonogenic activity transmitted via CM, respectively. Exosome-transported L-Plastin was constitutively Ser5-phosphorylated, indicative of its bioactive conformation. In summary, we observed production and exosomal secretion of L-Plastin by cancer cells. Via exosome-transmitted L-Plastin, tumors induce clonogenic and mitogenic activity in cancer and normal cells of the tumor microenvironment. Irradiation inhibits L-Plastin production targeting both cancer cells and the tumor niche and may explain the high impact of radiotherapy in tumor control.</t>
  </si>
  <si>
    <t>[Freudenmann, Lena Katharine; Mayer, Claus; Rodemann, H. Peter; Dittmann, Klaus] Univ Tubingen, Dept Radiat Oncol, Div Radiobiol &amp; Mol Environm Res, Rontgenweg 11, D-72076 Tubingen, Germany; [Freudenmann, Lena Katharine; Mayer, Claus; Rodemann, H. Peter; Dittmann, Klaus] German Canc Consortium DKTK, DKFZ Partner Site Tubingen, Tubingen, Germany; [Freudenmann, Lena Katharine] Univ Tubingen, Interfac Inst Cell Biol, Dept Immunol, Morgenstelle 15, D-72076 Tubingen, Germany</t>
  </si>
  <si>
    <t>Eberhard Karls University of Tubingen; Helmholtz Association; German Cancer Research Center (DKFZ); Eberhard Karls University of Tubingen</t>
  </si>
  <si>
    <t>Dittmann, K (corresponding author), Univ Tubingen, Dept Radiat Oncol, Div Radiobiol &amp; Mol Environm Res, Rontgenweg 11, D-72076 Tubingen, Germany.</t>
  </si>
  <si>
    <t>klaus.dittmann@uni-tuebingen.de</t>
  </si>
  <si>
    <t>10.1016/j.yexcr.2019.111498</t>
  </si>
  <si>
    <t>WOS:000486736600008</t>
  </si>
  <si>
    <t>Nguyen, TA; Pang, KC; Masters, SL</t>
  </si>
  <si>
    <t>Nguyen, Tan A.; Pang, Ken C.; Masters, Seth L.</t>
  </si>
  <si>
    <t>Intercellular communication for innate immunity</t>
  </si>
  <si>
    <t>Innate immunity; Intercellular transfer; Inflammasome; Exosomes; STING; Type I interferon</t>
  </si>
  <si>
    <t>DOUBLE-STRANDED-RNA; VIRUS-INFECTED CELLS; TOLL-LIKE RECEPTOR-3; NF-KAPPA-B; EXTRACELLULAR VESICLES; ANTIMICROBIAL PEPTIDE; INTERFERON-PRODUCTION; INTRACELLULAR DNA; RIG-I; RECOGNITION</t>
  </si>
  <si>
    <t>An effective innate immune response relies on the detection of pathogen associated molecular patterns (PAMPs) by various host pattern recognition receptors (PRRs) that result in the production of pro-inflammatory cytokines and chemokines. Viruses and bacteria have co-evolved with the immune system and developed multiple strategies to usurp or circumvent host machinery and blunt the innate immune response in infected cells. Recently, it has become apparent that infected or dying cells can transmit PAMPs and host PRR signalling proteins to uninfected bystander cells to thereby bypass pathogen evasion strategies, and potentiate innate immune signalling. This bystander activation of innate immunity represents an alternative method by which the host can control infections via cell-to-cell communication. In this review, we discuss what is currently known about the intercellular transfer of pathogen- or host-derived RNA, DNA and proteins from infected cells to neighbouring cells and how this impacts on host innate immunity. (C) 2016 Elsevier Ltd. All rights reserved.</t>
  </si>
  <si>
    <t>[Nguyen, Tan A.; Pang, Ken C.; Masters, Seth L.] Walter &amp; Eliza Hall Inst Med Res, Inflammat Div, Parkville, Vic 3052, Australia; [Nguyen, Tan A.; Masters, Seth L.] Univ Melbourne, Dept Med Biol, Parkville, Vic 3010, Australia; [Pang, Ken C.] Murdoch Childrens Res Inst, Parkville, Vic, Australia; [Pang, Ken C.] Univ Melbourne, Dept Paediat, Parkville, Vic, Australia; [Pang, Ken C.] Univ Melbourne, Dept Psychiat, Parkville, Vic, Australia</t>
  </si>
  <si>
    <t>Walter &amp; Eliza Hall Institute; University of Melbourne; Murdoch Children's Research Institute; University of Melbourne; University of Melbourne</t>
  </si>
  <si>
    <t>Nguyen, TA (corresponding author), Walter &amp; Eliza Hall Inst Med Res, 1G Royal Parade, Parkville, Vic 3052, Australia.</t>
  </si>
  <si>
    <t>nguyen.t@wehi.edu.au</t>
  </si>
  <si>
    <t>Masters, Seth L/N-2886-2013</t>
  </si>
  <si>
    <t>Masters, Seth L/0000-0003-4763-576X; Nguyen, Tan/0000-0003-2696-9170; Pang, Ken/0000-0002-6881-775X</t>
  </si>
  <si>
    <t>10.1016/j.molimm.2016.10.002</t>
  </si>
  <si>
    <t>WOS:000403522600004</t>
  </si>
  <si>
    <t>Xu, S; Wang, JF; Ding, N; Hu, WT; Zhang, XR; Wang, B; Hua, JR; Wei, WJ; Zhu, QY</t>
  </si>
  <si>
    <t>Xu, Shuai; Wang, Jufang; Ding, Nan; Hu, Wentao; Zhang, Xurui; Wang, Bing; Hua, Junrui; Wei, Wenjun; Zhu, Qiyun</t>
  </si>
  <si>
    <t>Exosome-mediated microRNA transfer plays a role in radiation-induced bystander effect</t>
  </si>
  <si>
    <t>RNA BIOLOGY</t>
  </si>
  <si>
    <t>bystander effect; exosome; microRNA; miR-21; radiation</t>
  </si>
  <si>
    <t>IONIZING-RADIATION; DIAGNOSTIC BIOMARKERS; CELL COMMUNICATION; CANCER; RNA; MICROVESICLES; MECHANISM; GROWTH; SPLEEN</t>
  </si>
  <si>
    <t>Bystander effects can be induced through cellular communication between irradiated cells and non-irradiated cells. The signals that mediate this cellular communication, such as cytokines, reactive oxygen species, nitric oxide and even microRNAs, can be transferred between cells via gap junctions or extracellular medium. We have previously reported that miR-21, a well described DDR (DNA damage response) microRNA, is involved in radiation-induced bystander effects through a medium-mediated way. However, the mechanisms of the microRNA transfer have not been elucidated in details. In the present study, it was found that exosomes isolated from irradiated conditioned medium could induce bystander effects. Furthermore, we demonstrated plenty of evidences that miR-21, which is up-regulated as a result of mimic transfection or irradiation, can be transferred from donor or irradiated cells into extracellular medium and subsequently get access to the recipient or bystander cells through exosomes to induce bystander effects. Inhibiting the miR-21 expression in advance can offset the bystander effects to some extent. From all of these results, it can be concluded that the exosome-mediated microRNA transfer plays an important role in the radiation-induced bystander effects. These findings provide new insights into the functions of microRNAs and the cellular communication between the directly irradiated cells and the non-irradiated cells.</t>
  </si>
  <si>
    <t>[Xu, Shuai; Wang, Jufang; Ding, Nan; Hu, Wentao; Zhang, Xurui; Wang, Bing; Hua, Junrui; Wei, Wenjun] Chinese Acad Sci, Inst Modern Phys, Key Lab Heavy Ion Radiat Biol &amp; Med, Gansu Key Lab Space Radiobiol, Lanzhou, Peoples R China; [Xu, Shuai; Zhu, Qiyun] Chinese Acad Agr Sci, Lanzhou Vet Res Inst, State Key Lab Vet Etiol Biol, Lanzhou, Peoples R China</t>
  </si>
  <si>
    <t>Chinese Academy of Sciences; Institute of Modern Physics, CAS; Chinese Academy of Agricultural Sciences; Lanzhou Veterinary Research Institute, CAAS</t>
  </si>
  <si>
    <t>Wang, JF (corresponding author), Chinese Acad Sci, Inst Modern Phys, Key Lab Heavy Ion Radiat Biol &amp; Med, Gansu Key Lab Space Radiobiol, Lanzhou, Peoples R China.</t>
  </si>
  <si>
    <t>jufangwang@impcas.ac.cn</t>
  </si>
  <si>
    <t>Wei, Wenjun/AAE-7575-2021; 丁, 楠/J-6299-2013</t>
  </si>
  <si>
    <t>1547-6286</t>
  </si>
  <si>
    <t>1555-8584</t>
  </si>
  <si>
    <t>10.1080/15476286.2015.1100795</t>
  </si>
  <si>
    <t>WOS:000368027500008</t>
  </si>
  <si>
    <t>Ryznar, RJ; Phibbs, L; Van Winkle, LJ</t>
  </si>
  <si>
    <t>Ryznar, Rebecca Jean; Phibbs, Lacie; Van Winkle, Lon J.</t>
  </si>
  <si>
    <t>Epigenetic Modifications at the Center of the Barker Hypothesis and Their Transgenerational Implications</t>
  </si>
  <si>
    <t>INTERNATIONAL JOURNAL OF ENVIRONMENTAL RESEARCH AND PUBLIC HEALTH</t>
  </si>
  <si>
    <t>Barker hypothesis; transgenerational epigenetics; amino acid transporters; exosomes; short tRNA fragments</t>
  </si>
  <si>
    <t>ONE-CARBON METABOLISM; EMBRYONIC STEM-CELLS; DNA METHYLATION; EXTRACELLULAR VESICLES; GENE-EXPRESSION; FOLIC-ACID; BLASTOCYST IMPLANTATION; DEVELOPMENTAL ORIGINS; IN-VITRO; FETAL</t>
  </si>
  <si>
    <t>Embryo/fetal nutrition and the environment in the reproductive tract influence the subsequent risk of developing adult diseases and disorders, as formulated in the Barker hypothesis. Metabolic syndrome, obesity, heart disease, and hypertension in adulthood have all been linked to unwanted epigenetic programing in embryos and fetuses. Multiple studies support the conclusion that environmental challenges, such as a maternal low-protein diet, can change one-carbon amino acid metabolism and, thus, alter histone and DNA epigenetic modifications. Since histones influence gene expression and the program of embryo development, these epigenetic changes likely contribute to the risk of adult disease onset not just in the directly affected offspring, but for multiple generations to come. In this paper, we hypothesize that the effects of parental nutritional status on fetal epigenetic programming are transgenerational and warrant further investigation. Numerous studies supporting this hypothesis are reviewed, and potential research techniques to study these transgenerational epigenetic effects are offered.</t>
  </si>
  <si>
    <t>[Ryznar, Rebecca Jean] Rocky Vista Univ, Dept Biomed Sci, Mol Biol, Parker, CO 80134 USA; [Phibbs, Lacie] Rocky Vista Univ, Coll Osteopath Med, Parker, CO 80134 USA; [Van Winkle, Lon J.] Rocky Vista Univ, Dept Med Humanities, Parker, CO 80134 USA</t>
  </si>
  <si>
    <t>Ryznar, RJ (corresponding author), Rocky Vista Univ, Dept Biomed Sci, Mol Biol, Parker, CO 80134 USA.</t>
  </si>
  <si>
    <t>rryznar@rvu.edu; lacie.phibbs@rvu.edu; lvanwinkle@rvu.edu</t>
  </si>
  <si>
    <t>Van Winkle, Lon/0000-0002-2223-0419</t>
  </si>
  <si>
    <t>1660-4601</t>
  </si>
  <si>
    <t>10.3390/ijerph182312728</t>
  </si>
  <si>
    <t>WOS:000734944200001</t>
  </si>
  <si>
    <t>Nagai, H; Roy, CR</t>
  </si>
  <si>
    <t>The DotA protein from Legionella pneumophila is secreted by a novel process that requires the Dot/Icm transporter</t>
  </si>
  <si>
    <t>DNA conjugation; intracellular pathogen; phagosome biogenesis; protein secretion; type IV transporter</t>
  </si>
  <si>
    <t>INTRACELLULAR GROWTH; PHAGOSOME TRAFFICKING; COAT PROTEIN; IV SECRETION; GENES; SYSTEMS; IDENTIFICATION; REGION; BACTERIOPHAGE-M13; ESTABLISHMENT</t>
  </si>
  <si>
    <t>Legionella pneumophila requires the dot/icm genes to create an organelle inside eukaryotic host cells that will support bacterial replication. The dot/icm genes are predicted to encode a type IV-related secretion apparatus. However, no proteins have been identified that require the dot/icm genes for secretion. In this study we show that the DotA protein, which was previously found to be a polytopic membrane protein, is secreted by the Dot/Icm transporter into culture supernatants. Secreted DotA protein was purified and N-terminal sequencing of the purified protein revealed that a 19 amino acid leader peptide is removed from DotA prior to secretion. Extracellular DotA protein did not fractionate in membrane vesicles. Structures containing secreted DotA protein were visualized by electron microscopy and were shaped like hollow rings. These data indicate that the large poly topic membrane protein DotA is secreted from L.pneumophilaby a unique process. This represents the first target secreted by the dot/icm-encoded apparatus and demonstrates that this transporter is competent for protein secretion.</t>
  </si>
  <si>
    <t>Yale Univ, Sch Med, Boyer Ctr Mol Med, Sect Microbial Pathogenesis, New Haven, CT 06536 USA; Natl Inst Genet, Struct Biol Ctr, Shizuoka 4118540, Japan</t>
  </si>
  <si>
    <t>Yale University; Research Organization of Information &amp; Systems (ROIS); National Institute of Genetics (NIG) - Japan</t>
  </si>
  <si>
    <t>Roy, CR (corresponding author), Yale Univ, Sch Med, Boyer Ctr Mol Med, Sect Microbial Pathogenesis, 295 Congress Ave, New Haven, CT 06536 USA.</t>
  </si>
  <si>
    <t>craig.roy@yale.edu</t>
  </si>
  <si>
    <t>Nagai, Hiroki/G-4113-2015</t>
  </si>
  <si>
    <t>Nagai, Hiroki/0000-0003-1659-2197; Roy, Craig/0000-0003-4490-440X</t>
  </si>
  <si>
    <t>10.1093/emboj/20.21.5962</t>
  </si>
  <si>
    <t>WOS:000172104000015</t>
  </si>
  <si>
    <t>Boda, E; Rigamonti, AE; Bollati, V</t>
  </si>
  <si>
    <t>Boda, Enrica; Rigamonti, Antonello E.; Bollati, Valentina</t>
  </si>
  <si>
    <t>Understanding the effects of air pollution on neurogenesis and gliogenesis in the growing and adult brain</t>
  </si>
  <si>
    <t>CURRENT OPINION IN PHARMACOLOGY</t>
  </si>
  <si>
    <t>ULTRAFINE PARTICULATE MATTER; HIPPOCAMPAL NEUROGENESIS; EXPOSURE; PARTICLES; NEUROTOXICITY; NANOPARTICLES; METHYLATION; MATURATION; FINE</t>
  </si>
  <si>
    <t>Exposure to air pollution - and particularly to particulate matter (PM) - is strongly associated with higher risk of neurodevelopmental disorders, poor mental health and cognitive defects. In animal models, disruption of CNS development and disturbances of adult neurogenesis contribute to PM neurotoxicity. Recent studies show that gestational PM exposure not only affects embryonic neurodevelopment, but also disturbs postnatal brain growth and maturation, by interfering with neurogenic/gliogenic events, myelination and synaptogenesis. Similarly, adult neurogenesis is affected at many levels, from neural stem cell amplification up to the maturation and integration of novel neurons in the adult brain parenchyma. The underlying mechanisms are still by and large unknown. Beyond microglia activation and neuroinflammation, recent studies propose a role for novel epigenetic mechanisms, including DNA methylation and extracellular vesicles-associated microRNAs.</t>
  </si>
  <si>
    <t>[Boda, Enrica] Univ Turin, Dept Neurosci Rita Levi Montalcini, Turin, Italy; [Boda, Enrica] Univ Turin, Neurosci Inst Cavalieri Ottolenghi NICO, Reg Gonzole 10, I-10043 Turin, Italy; [Rigamonti, Antonello E.; Bollati, Valentina] Univ Milan, Dept Clin Sci &amp; Community Hlth, Milan, Italy</t>
  </si>
  <si>
    <t>University of Turin; University of Turin; University of Milan</t>
  </si>
  <si>
    <t>Boda, E (corresponding author), Univ Turin, Dept Neurosci Rita Levi Montalcini, Turin, Italy.;Boda, E (corresponding author), Univ Turin, Neurosci Inst Cavalieri Ottolenghi NICO, Reg Gonzole 10, I-10043 Turin, Italy.</t>
  </si>
  <si>
    <t>enrica.boda@unito.it</t>
  </si>
  <si>
    <t>Boda, Enrica/AFM-7909-2022</t>
  </si>
  <si>
    <t>BODA, Enrica/0000-0002-1006-2577</t>
  </si>
  <si>
    <t>1471-4892</t>
  </si>
  <si>
    <t>1471-4973</t>
  </si>
  <si>
    <t>10.1016/j.coph.2019.12.003</t>
  </si>
  <si>
    <t>WOS:000564622400010</t>
  </si>
  <si>
    <t>Geddings, JE; Mackman, N</t>
  </si>
  <si>
    <t>Geddings, Julia E.; Mackman, Nigel</t>
  </si>
  <si>
    <t>New players in haemostasis and thrombosis</t>
  </si>
  <si>
    <t>THROMBOSIS AND HAEMOSTASIS</t>
  </si>
  <si>
    <t>Coagulation factors; deep-vein thrombosis; arterial thrombosis; microparticles; thrombosis</t>
  </si>
  <si>
    <t>CELL-DERIVED MICROPARTICLES; NEUTROPHIL EXTRACELLULAR TRAPS; DEEP-VEIN THROMBOSIS; COAGULATION-FACTOR-XII; FORMATION IN-VIVO; TISSUE FACTOR; VENOUS THROMBOSIS; P-SELECTIN; BLOOD-COAGULATION; PLATELET POLYPHOSPHATES</t>
  </si>
  <si>
    <t>The blood coagulation cascade is essential for haemostasis, but excessive activation can cause thrombosis. Importantly, recent studies have identified factors that contribute to thrombosis but not haemostasis. These include factor XII (FXII), tissue factor-positive microparticles (MPs) and neutrophil extracellular traps (NETs). Studies have shown that FXII plays a role in thrombosis but not haemostasis. FXII is I activated in vivo by a variety of negatively-charged polyphosphates, which include extracellular RNA, DNA and inorganic polyphosphate (PolyP) that are released during cell damage and infection. These findings have led to the development of nucleic acid-binding polymers as a new class of anticoagulant drug. Other studies have analysed the role of MPs in experimental thrombosis. MPs are small membrane vesicles released from activated or apoptotic cells. We and others have found that tissue factor-positive MPs enhance thrombosis in mouse models and are elevated in the plasma of pancreatic cancer patients. Finally, NETs have been shown to contribute to experimental venous thrombosis in mouse models and are present in human thrombi. NETs are composed of chromatin fibers that are released from neutrophils undergoing cell death. NETs can capture platelets and increase fibrin deposition. The recent advances in our understanding of the factors contributing to thrombosis in animal models provide new opportunities for the development of safer anticoagulant drugs.</t>
  </si>
  <si>
    <t>Univ N Carolina, Dept Med, Div Hematol Oncol, Chapel Hill, NC 27599 USA; [Geddings, Julia E.; Mackman, Nigel] Univ N Carolina, Dept Pathol &amp; Lab Med, Chapel Hill, NC USA; [Mackman, Nigel] Univ N Carolina, UNC McAllister Heart Inst, Chapel Hill, NC USA; [Mackman, Nigel] Univ N Carolina, Dept Med, Chapel Hill, NC USA</t>
  </si>
  <si>
    <t>University of North Carolina; University of North Carolina Chapel Hill; University of North Carolina; University of North Carolina Chapel Hill; University of North Carolina; University of North Carolina Chapel Hill; University of North Carolina; University of North Carolina Chapel Hill</t>
  </si>
  <si>
    <t>Mackman, N (corresponding author), Univ N Carolina, Dept Med, Div Hematol Oncol, Chapel Hill, NC 27599 USA.</t>
  </si>
  <si>
    <t>Mackman, Nigel/0000-0002-9170-7700</t>
  </si>
  <si>
    <t>0340-6245</t>
  </si>
  <si>
    <t>10.1160/TH13-10-0812</t>
  </si>
  <si>
    <t>WOS:000334152900004</t>
  </si>
  <si>
    <t>Zhang, C; Gu, HX; Liu, DR; Fang, J; Yang, Y</t>
  </si>
  <si>
    <t>Zhang, Chong; Gu, Huxia; Liu, Dingrong; Fang, Jing; Yang, Yan</t>
  </si>
  <si>
    <t>The Role of MRPL23 Antisense RNA 1 (MRPL23-AS1) in the Pre-Metastatic Microenvironment of Malignancy During the Process of Epithelial-Mesenchymal Transition</t>
  </si>
  <si>
    <t>JOURNAL OF BIOMATERIALS AND TISSUE ENGINEERING</t>
  </si>
  <si>
    <t>Salivary Gland Adenoid Cystic Carcinoma; EREG; Exosome; E-Cadherin</t>
  </si>
  <si>
    <t>ADENOID CYSTIC CARCINOMA; COLORECTAL-CANCER</t>
  </si>
  <si>
    <t>We aimed to explore MRPL23-AS1's role in the pre-metastatic microenvironment of malignancy during epithelial-mesenchymal transition (EMT). Identification and verification of lncRNA-interacting proteins in salivary adenoid cystic carcinoma (SACC) cells were conducted via RNA-pulldown, silver staining, and Western blotting. RIP and RIP-seq were sequentially administered to verify the binding partners of lncRNA. CHIRP was performed to detect the promoter DNA in the downstream of lncRNA-protein complex. Ultimately, CHIP-qPCR detected the effects of lncRNA on the binding degree of its interacting protein to the promoter DNA in the downstream genes and the methylation level of histones in the promoter region. The exosomes secreted by different SACC cells were extracted from culture supernatant to measure lncRNA expression via qPCR. MRPL23-AS1 interacted with EZH2 protein and promoted EZH2 binding to E-cadherin gene promoter region along with the H3K27 methylation. MRPL23-AS1 could promote EMT of SACC cells and increase pulmonary vascular endothelial cells permeability via exosomes secretion. MRPL23-AS1 up-regulated VEGFA, while down-regulated E-cadherin and VE-cadherin in endothelial cells. Exosomes rich in MRPL23-AS1 could boost lung metastasis in vivo. MRPL23-AS1 inhibits E-cadherin level and promotes EMT of SACC cells, suggesting that it might be a biomarker and therapeutic target for lung cancer.</t>
  </si>
  <si>
    <t>[Zhang, Chong; Liu, Dingrong; Fang, Jing; Yang, Yan] Fuling Cent Hosp Chongqing, Dept Pathol, Chongqing 408099, Peoples R China; [Gu, Huxia] Fuling Cent Hosp Chongqing, Dept Network Informat, Chongqing 408099, Peoples R China</t>
  </si>
  <si>
    <t>Zhang, C (corresponding author), Fuling Cent Hosp Chongqing, Dept Pathol, Chongqing 408099, Peoples R China.</t>
  </si>
  <si>
    <t>2157-9083</t>
  </si>
  <si>
    <t>2157-9091</t>
  </si>
  <si>
    <t>10.1166/jbt.2021.2638</t>
  </si>
  <si>
    <t>WOS:000663629500009</t>
  </si>
  <si>
    <t>Gonzalez-Hunt, CP; Thacker, EA; Toste, CM; Boularand, S; Deprets, S; Dubois, L; Sanders, LH</t>
  </si>
  <si>
    <t>Gonzalez-Hunt, C. P.; Thacker, E. A.; Toste, C. M.; Boularand, S.; Deprets, S.; Dubois, L.; Sanders, L. H.</t>
  </si>
  <si>
    <t>Mitochondrial DNA damage as a potential biomarker of LRRK2 kinase activity in LRRK2 Parkinson's disease</t>
  </si>
  <si>
    <t>MONONUCLEAR-CELLS; 14-3-3 BINDING; 2 INHIBITORS; MUTATIONS; DEPHOSPHORYLATION; PHOSPHORYLATION; EXOSOMES; GENE</t>
  </si>
  <si>
    <t>Leucine-rich repeat kinase 2 (LRRK2) is a promising therapeutic target for the treatment of Parkinson's disease (PD) and LRRK2 kinase inhibitors are currently being tested in early phase clinical trials. In order to ensure the highest chance of success, a biomarker-guided entry into clinical trials is key. LRRK2 phosphorylation, and phosphorylation of the LRRK2 substrate Rab10, have been proposed as target engagement biomarkers for LRRK2 kinase inhibition. However, a pharmacodynamic biomarker to demonstrate that a biological response has occurred is lacking. We previously discovered that the LRRK2 G2019S mutation causes mitochondrial DNA (mtDNA) damage and is LRRK2 kinase activity-dependent. Here, we have explored the possibility that measurement of mtDNA damage is a surrogate for LRRK2 kinase activity and consequently of kinase inhibitor activity. Mitochondrial DNA damage was robustly increased in PD patient-derived immune cells with LRRK2 G2019S mutations as compared with controls. Following treatment with multiple classes of LRRK2 kinase inhibitors, a full reversal of mtDNA damage to healthy control levels was observed and correlated with measures of LRRK2 dephosphorylation. Taken together, assessment of mtDNA damage levels may be a sensitive measure of altered kinase activity and provide an extended profile of LRRK2 kinase modulation in clinical studies.</t>
  </si>
  <si>
    <t>[Gonzalez-Hunt, C. P.; Thacker, E. A.; Toste, C. M.; Sanders, L. H.] Duke Univ, Med Ctr, Dept Neurol, Durham, NC 27710 USA; [Boularand, S.; Deprets, S.; Dubois, L.] Sanofi, Rare &amp; Neurol Dis Res, Chilly Mazarin, France</t>
  </si>
  <si>
    <t>Duke University; Sanofi-Aventis; Sanofi France</t>
  </si>
  <si>
    <t>Sanders, LH (corresponding author), Duke Univ, Med Ctr, Dept Neurol, Durham, NC 27710 USA.</t>
  </si>
  <si>
    <t>laurie.sanders@duke.edu</t>
  </si>
  <si>
    <t>Resource Center, NINDS Human Genetics/AGF-2474-2022; Sander-Effron, Samuel/AAX-2231-2020</t>
  </si>
  <si>
    <t>Gonzalez-Hunt, Claudia/0000-0002-2736-0001</t>
  </si>
  <si>
    <t>OCT 14</t>
  </si>
  <si>
    <t>10.1038/s41598-020-74195-6</t>
  </si>
  <si>
    <t>WOS:000582679600027</t>
  </si>
  <si>
    <t>Czystowska, M; Han, J; Szczepanski, MJ; Szajnik, M; Quadrini, K; Brandwein, H; Hadden, JW; Signorelli, K; Whiteside, TL</t>
  </si>
  <si>
    <t>Czystowska, M.; Han, J.; Szczepanski, M. J.; Szajnik, M.; Quadrini, K.; Brandwein, H.; Hadden, J. W.; Signorelli, K.; Whiteside, T. L.</t>
  </si>
  <si>
    <t>IRX-2, a novel immunotherapeutic, protects human T cells from tumor-induced cell death</t>
  </si>
  <si>
    <t>cytokines; apoptosis; lymphocyte survival; PI3K/Akt; IRX-2</t>
  </si>
  <si>
    <t>NECK-CANCER; FAS-LIGAND; SIGNALING PATHWAY; APOPTOSIS; HEAD; LYMPHOCYTES; ACTIVATION; EXOSOMES; CARCINOMAS; MICROVESICLES</t>
  </si>
  <si>
    <t>IRX-2 is a cytokine-based biologic agent that has the potential to enhance antitumor immune responses. We investigated whether IRX-2 can protect T cells from tumor-induced apoptosis. Tumor-derived microvesicles (MV) expressing FasL were purified from supernatants of tumor cells and incubated with activated CD8(+) T cells. MV induced significant CD8(+) T-cell apoptosis, as evidenced by Annexin binding (64.4 +/- 6.4%), caspase activation (58.1 +/- 7.6%), a loss of mitochondrial membrane potential (82.9 +/- 3.9%) and DNA fragmentation. T-cell pretreatment with IRX-2 prevented apoptosis. IRX-2-mediated cytoprotection was dose and time dependent and was comparable to effects of IL-2, IL-7 or IL-15. IRX-2 prevented MV-induced downregulation of JAK3 and TCR zeta chain and induced STAT5 activation in T cells. IRX-2 prevented MV-induced Bax and Bim upregulation (P &lt; 0.005-0.05), prevented cytochrome c release and Bid cleavage, and concurrently restored the expression of Bcl-2, Bcl-xL, FLIP and Mcl-1 (P &lt; 0.005-0.01) in T cells. In addition, IRX-2 reversed MV-induced inhibition of the PI3K/Akt pathway. An Akt inhibitor (Akti-1/2) abrogated protective effects of IRX-2, suggesting that Akt is a downstream target of IRX-2 signaling. Thus, ex vivo pretreatment of CD8(+) T cells with IRX-2 provided potent protection from tumor-induced apoptosis. IRX-2 application to future cancer biotherapies could improve their effectiveness by bolstering T-cell resistance to tumor-induced immunosuppression.</t>
  </si>
  <si>
    <t>[Whiteside, T. L.] Univ Pittsburgh, Inst Canc, Res Pavilion Hillman Canc Ctr, Pittsburgh, PA 15213 USA; [Quadrini, K.; Brandwein, H.; Hadden, J. W.; Signorelli, K.] IRX Therapeut Inc, Farmingdale, NY 11735 USA</t>
  </si>
  <si>
    <t>Pennsylvania Commonwealth System of Higher Education (PCSHE); University of Pittsburgh</t>
  </si>
  <si>
    <t>Whiteside, TL (corresponding author), Univ Pittsburgh, Inst Canc, Res Pavilion Hillman Canc Ctr, 5117 Ctr Ave,Suite 1-27, Pittsburgh, PA 15213 USA.</t>
  </si>
  <si>
    <t>Czystowska-Kuzmicz, Malgorzata/AAC-6989-2020; Czystowska-Kuźmicz, Małgorzata/U-7933-2018; Czystowska-Kuźmicz, Małgorzata/ABH-3220-2020</t>
  </si>
  <si>
    <t>Czystowska-Kuźmicz, Małgorzata/0000-0001-9169-6194; Czystowska-Kuźmicz, Małgorzata/0000-0001-9169-6194</t>
  </si>
  <si>
    <t>10.1038/cdd.2008.197</t>
  </si>
  <si>
    <t>WOS:000265245400006</t>
  </si>
  <si>
    <t>Michell, DL; Allen, RM; Cavnar, AB; Contreras, DM; Yu, MZ; Semler, EM; Massick, C; Raby, CA; Castleberry, M; Ramirez, MA; Zhu, WY; May-Zhang, LD; Ifrim, A; Carr, JJ; Terry, JG; Schwendeman, A; Davies, SS; Sheng, QH; Linton, MF; Vickers, KC</t>
  </si>
  <si>
    <t>Michell, Danielle L.; Allen, Ryan M.; Cavnar, Ashley B.; Contreras, Danielle M.; Yu, Minzhi; Semler, Elizabeth M.; Massick, Clark; Raby, Chase A.; Castleberry, Mark; Ramirez, Marisol A.; Zhu, Wanying; May-Zhang, Linda; Ifrim, Anca; Carr, John Jeffrey; Terry, James G.; Schwendeman, Anna; Davies, Sean S.; Sheng, Quanhu; Linton, MacRae F.; Vickers, Kasey C.</t>
  </si>
  <si>
    <t>Elucidation of physico-chemical principles of high-density lipoprotein-small RNA binding interactions</t>
  </si>
  <si>
    <t>CORONARY-ARTERY CALCIUM; DIETARY TRANS FAT; HDL; STRESS; DNA; IDENTIFICATION; TRANSLATION; METHYLATION; CONSUMPTION; MICRORNAS</t>
  </si>
  <si>
    <t>Extracellular small RNAs (sRNAs) are abundant in many biofluids, but little is known about their mechanisms of transport and stability in RNase-rich environments. We previously reported that high-density lipoproteins (HDLs) in mice were enriched with multiple classes of sRNAs derived from the endogenous transcriptome, but also from exogenous organisms. Here, we show that human HDL transports tRNA-derived sRNAs (tDRs) from host and nonhost species, the profiles of which were found to be altered in human atherosclerosis. We hypothesized that HDL binds to tDRs through apolipoprotein A-I (apoA-I) and that these interactions are conferred by RNAspecific features. We tested this using microscale thermophoresis and electrophoretic mobility shift assays and found that HDL binds to tDRs and other single-stranded sRNAs with strong affinity but did not bind to double-stranded RNA or DNA. Furthermore, we show that natural and synthetic RNA modifications influenced tDR binding to HDL. We demonstrate that reconstituted HDL bound to tDRs only in the presence of apoA-I, and purified apoA-I alone were able to bind sRNA. Conversely, phosphatidylcholine vesicles did not bind tDRs. In summary, we conclude that HDL binds to singlestranded sRNAs likely through nonionic interactions with enable extracellular RNA communication and provide a foundation for future studies to manipulate HDL-sRNA interactions for therapeutic approaches to prevent or treat disease.</t>
  </si>
  <si>
    <t>[Michell, Danielle L.; Allen, Ryan M.; Cavnar, Ashley B.; Contreras, Danielle M.; Massick, Clark; Raby, Chase A.; Castleberry, Mark; Zhu, Wanying; Ifrim, Anca; Linton, MacRae F.; Vickers, Kasey C.] Vanderbilt Univ, Med Ctr, Dept Med, Nashville, TN 37232 USA; [Yu, Minzhi; Schwendeman, Anna] Univ Michigan, Dept Pharmaceut Sci, Ann Arbor, MI 48109 USA; [Semler, Elizabeth M.; Vickers, Kasey C.] Vanderbilt Univ, Dept Mol Physiol &amp; Biophys, Nashville, TN 37232 USA; [Ramirez, Marisol A.; Sheng, Quanhu] Vanderbilt Univ, Dept Biostat, Med Ctr, Nashville, TN USA; [May-Zhang, Linda; Davies, Sean S.] Vanderbilt Univ, Dept Pharmacol, Nashville, TN USA; [Carr, John Jeffrey; Terry, James G.] Vanderbilt Univ, Med Ctr, Dept Radiol &amp; Radiol Sci, Nashville, TN 37232 USA</t>
  </si>
  <si>
    <t>Vanderbilt University; University of Michigan System; University of Michigan; Vanderbilt University; Vanderbilt University; Vanderbilt University; Vanderbilt University</t>
  </si>
  <si>
    <t>Michell, DL; Vickers, KC (corresponding author), Vanderbilt Univ, Med Ctr, Dept Med, Nashville, TN 37232 USA.;Vickers, KC (corresponding author), Vanderbilt Univ, Dept Mol Physiol &amp; Biophys, Nashville, TN 37232 USA.</t>
  </si>
  <si>
    <t>danielle.michell@vumc.org; kasey.c.vickers@vumc.org</t>
  </si>
  <si>
    <t>Terry, James/0000-0001-6659-3441; allen, ryan/0000-0002-8057-3436; Michell, Danielle/0000-0002-2048-4191; Yu, Minzhi/0000-0002-3141-7285</t>
  </si>
  <si>
    <t>10.1016/j.jbc.2022.101952</t>
  </si>
  <si>
    <t>WOS:000807778400003</t>
  </si>
  <si>
    <t>Chen, L; Hu, LQ; Li, Q; Ma, J; Li, HQ</t>
  </si>
  <si>
    <t>Chen, Li; Hu, Liqun; Li, Qing; Ma, Jian; Li, Hongqi</t>
  </si>
  <si>
    <t>Exosome-encapsulated miR-505 from ox-LDL-treated vascular endothelial cells aggravates atherosclerosis by inducing NET formation</t>
  </si>
  <si>
    <t>atherosclerosis; neutrophil extracellular trap; exosome; miR-505; SIRT3</t>
  </si>
  <si>
    <t>NEUTROPHIL EXTRACELLULAR TRAPS; KAPPA-B; DYSFUNCTION; PROTECTS; TARGET</t>
  </si>
  <si>
    <t>Neutrophil extracellular traps (NETs) play an important role in the pathological process of atherosclerosis (AS). This study aims to evaluate whether exosomes from oxidized low-density lipoprotein (ox-LDL)-treated vascular endothelial cells (VECs) aggravate AS by inducing NET formation. Exosomes from the peripheral blood of healthy donors and AS patients (namely NC-EXO and AS-EXO, respectively) and exosomes from human umbilical vein endothelial cells (HUVECs) treated without or with ox-LDL (namely normal EXO and ox-LDL-EXO, respectively) were isolated, identified, and co-cultured with neutrophils from peripheral blood of healthy donors. NET formation was evaluated by immunofluorescence staining and determining the content of cell-free DNA and myeloperoxidase-DNA complex. Dual-luciferase reporter assay, chromatin immunoprecipitation assay, quantitative reverse transcription polymerase chain reaction, and western blot analysis were performed to explore the underlying mechanisms. We found that AS-EXO and ox-LDL-EXO induced NET release from neutrophils. Mechanistically, ox-LDL treatment in HUVECs might activate the NF-kappa B pathway, which transcriptionally activates miR-505, and then the exosome-encapsulated high miR-505 expression targeted and inhibited SIRT3 in neutrophils, thereby inducing reactive oxygen species (ROS) level increase and NET release by neutrophils. Further in vivo experiments showed that ox-LDL-EXO accelerated AS progression in AS mice. In summary, exosome-encapsulated miR-505 from ox-LDL-treated VECs aggravates AS by inducing NET formation.</t>
  </si>
  <si>
    <t>[Chen, Li; Hu, Liqun; Li, Hongqi] Univ Sci &amp; Technol China, Affiliated Hosp 1, Anhui Inst Cardiovasc Dis, Dept Gerontol, Hefei 230001, Peoples R China; [Li, Qing] Univ Sci &amp; Technol China, Affiliated Hosp 1, Anhui Prov Hosp, Cent Lab,Med Res Ctr, Hefei 230001, Peoples R China; [Ma, Jian] Shanghai Jiao Tong Univ, Shanghai Peoples Hosp 6, Dept Cardiol, Shanghai 200233, Peoples R China</t>
  </si>
  <si>
    <t>Chinese Academy of Sciences; University of Science &amp; Technology of China, CAS; Chinese Academy of Sciences; University of Science &amp; Technology of China, CAS; Shanghai Jiao Tong University</t>
  </si>
  <si>
    <t>Li, HQ (corresponding author), Univ Sci &amp; Technol China, Affiliated Hosp 1, Anhui Inst Cardiovasc Dis, Dept Gerontol, Hefei 230001, Peoples R China.</t>
  </si>
  <si>
    <t>lhqanhui@163.com</t>
  </si>
  <si>
    <t>10.1093/abbs/gmz123</t>
  </si>
  <si>
    <t>WOS:000509541900006</t>
  </si>
  <si>
    <t>Wang, HZ; He, DG; Wan, KJ; Sheng, XW; Cheng, H; Huang, J; Zhou, X; He, XX; Wang, KM</t>
  </si>
  <si>
    <t>Wang, Huizhen; He, Dinggeng; Wan, Kejing; Sheng, Xiaowu; Cheng, Hong; Huang, Jin; Zhou, Xiao; He, Xiaoxiao; Wang, Kemin</t>
  </si>
  <si>
    <t>In situ multiplex detection of serum exosomal microRNAs using an all-in-one biosensor for breast cancer diagnosis</t>
  </si>
  <si>
    <t>QUANTIFICATION</t>
  </si>
  <si>
    <t>Herein, a simple all-in-one biosensor based on a DNA three-way junction has been constructed for in situ simultaneous detection of multiple miRNAs by competitive strand displacement. In our design, three oligonucleotides (Y1, Y2 and Y3) of a Y-type scaffold were extended at their 5 ' ends by introducing three single-stranded recognition sequences with quenchers (BHQ1, BHQ2 and BHQ2), respectively. Subsequently, three reporter sequences labeled with different fluorophores (FAM, Cy3 and Cy5) were bound to the corresponding recognition sequences to form a multicolour DNA biosensor that gives self-quenched fluorescence. The biosensor can effectively enter into exosomes and then hybridize to the complementary miRNA targets to form longer duplexes and release the reporter sequences, thus activating the readable fluorescence signals for the simultaneous detection of multiple miRNAs in exosomes. As a proof of principle, miR-21, miR-27a and miR-375 were chosen as model targets because of their high expressions in breast cancer cells (MCF-7). Fluorescence signals of MCF-7 exosomes after being treated with the biosensor exhibited positive correlations to their concentrations and the limits of detection were determined to be 0.116 mu g mL(-1), 0.125 mu g mL(-1) and 0.287 mu g mL(-1) for exosomes by detecting three exosomal miRNAs (miR-21, miR-27a and miR-375), respectively. In contrast, there were no obvious correlations between fluorescence intensities and control MCF-10A exosome concentrations. Importantly, by testing multiple exosomal miRNAs using the biosensor in clinical serum samples, breast cancer patients can be effectively differentiated from healthy donors. Consequently, the developed biosensor demonstrates high potential as a routine bioassay for the multiplex quantification of exosomal miRNAs in clinical diagnosis.</t>
  </si>
  <si>
    <t>[Wang, Huizhen; He, Dinggeng; Wan, Kejing; Cheng, Hong; Huang, Jin; He, Xiaoxiao; Wang, Kemin] Hunan Univ, Coll Biol, Coll Chem &amp; Chem Engn, State Key Lab Chemo Biosensing &amp; Chemometr,Key La, Changsha 410082, Peoples R China; [Sheng, Xiaowu; Zhou, Xiao] Cent South Univ, Hunan Canc Hosp, Natl Tissue Engn Ctr China, Cent Lab,Hunan Branch Ctr, Changsha, Hunan, Peoples R China; [Sheng, Xiaowu; Zhou, Xiao] Cent South Univ, Affiliated Canc Hosp, Xiangya Sch Med, Changsha, Hunan, Peoples R China</t>
  </si>
  <si>
    <t>Hunan University; Central South University; Central South University</t>
  </si>
  <si>
    <t>He, XX; Wang, KM (corresponding author), Hunan Univ, Coll Biol, Coll Chem &amp; Chem Engn, State Key Lab Chemo Biosensing &amp; Chemometr,Key La, Changsha 410082, Peoples R China.;Zhou, X (corresponding author), Cent South Univ, Hunan Canc Hosp, Natl Tissue Engn Ctr China, Cent Lab,Hunan Branch Ctr, Changsha, Hunan, Peoples R China.;Zhou, X (corresponding author), Cent South Univ, Affiliated Canc Hosp, Xiangya Sch Med, Changsha, Hunan, Peoples R China.</t>
  </si>
  <si>
    <t>cccdon@163.com; xiaoxiaohe@hnu.edu.cn; kmwang@hnu.edu.cn</t>
  </si>
  <si>
    <t>10.1039/d0an00393j</t>
  </si>
  <si>
    <t>WOS:000532257200009</t>
  </si>
  <si>
    <t>Morgan, K; Stavrou, E; Leighton, SP; Miller, N; Sellar, R; Millar, RP</t>
  </si>
  <si>
    <t>Morgan, Kevin; Stavrou, Emmanouil; Leighton, Samuel P.; Miller, Nicola; Sellar, Robin; Millar, Robert P.</t>
  </si>
  <si>
    <t>Elevated GnRH Receptor Expression Plus GnRH Agonist Treatment Inhibits the Growth of a Subset of Papillomavirus 18-Immortalized Human Prostate Cells</t>
  </si>
  <si>
    <t>prostate; GnRH receptor; agonist; anti-proliferation; actin cytoskeleton; exosomes; apoptosis; signaling; inositol phosphate; mitogen activated protein kinases</t>
  </si>
  <si>
    <t>NUCLEOTIDE EXCHANGE FACTOR; CANCER CELLS; ACTIN CYTOSKELETON; HORMONE RECEPTORS; VIRAL-INFECTIONS; LINES; APOPTOSIS; PROTEIN; KINASE; GENE</t>
  </si>
  <si>
    <t>BACKGROUND AND AIMS. Human metastatic prostate cancer cell growth can be inhibited by GnRH analogs but effects on virus-immortalized prostate cells have not been investigated. METHODS. Virus-immortalized prostate cells were stably transfected with rat GnRH receptor cDNA and levels of GnRH binding were correlated with GnRH effects on signaling, cell cycle, growth, exosome production, and apoptosis. RESULTS. High levels of cell surface GnRH receptor occurred in transfected papilloma virus-immortalized WPE-1-NB26 epithelial cells but not in non-tumourigenic RWPE-1, myoepithelial WPMY-1 cells, or SV40-immortalized PNT1A. Endogenous cell surface GnRH receptor was undetectable in non-transfected cells or cancer cell lines LNCaP, PC3, and DU145. GnRH receptor levels correlated with induction of inositol phosphates, elevation of intracellular Ca2+, cytoskeletal actin reorganization, modulation of ERK activation and cell growth-inhibition with GnRH agonists. Hoechst 33342 DNA staining-cell sorting indicated accumulation of cells in G2 following agonist treatment. Release of exosomes from transfected WPE-1-NB26 was unaffected by agonists, unlike induction observed in HEK293([SCL60]) cells. Increased PARP cleavage and apoptotic body production were undetectable during growth-inhibition in WPE-1-NB26 cells, contrasting with HEK293([SCL60]). EGF receptor activation inhibited GnRH-induced ERK activation in WPE-1-NB26 but growth-inhibition was not rescued by EGF or PKC inhibitor Ro320432. Growth of cells expressing low levels of GnRH receptor was not affected by agonists. CONCLUSIONS. Engineered high-level GnRH receptor activation inhibits growth of a subset of papillomavirus-immortalized prostate cells. Elucidating mechanisms leading to clone-specific differences in cell surface GnRH receptor levels is a valuable next step in developing strategies to exploit prostate cell anti-proliferation using GnRH agonists. Prostate 71: 915-928, 2011. (C) 2010 Wiley-Liss, Inc.</t>
  </si>
  <si>
    <t>[Morgan, Kevin; Stavrou, Emmanouil; Leighton, Samuel P.; Miller, Nicola; Sellar, Robin; Millar, Robert P.] Queens Med Res Inst, Med Res Council Human Reprod Sci Unit, Edinburgh EH16 4TJ, Midlothian, Scotland</t>
  </si>
  <si>
    <t>University of Edinburgh</t>
  </si>
  <si>
    <t>Morgan, K (corresponding author), Queens Med Res Inst, Med Res Council Human Reprod Sci Unit, Edinburgh EH16 4TJ, Midlothian, Scotland.</t>
  </si>
  <si>
    <t>k.morgan@hrsu.mrc.ac.uk</t>
  </si>
  <si>
    <t>Millar, Robert P/A-4853-2012</t>
  </si>
  <si>
    <t>Millar, Robert P/0000-0003-3606-2708</t>
  </si>
  <si>
    <t>10.1002/pros.21308</t>
  </si>
  <si>
    <t>WOS:000290264400002</t>
  </si>
  <si>
    <t>Nakao, R; Ramstedt, M; Wai, SN; Uhlin, BE</t>
  </si>
  <si>
    <t>Nakao, Ryoma; Ramstedt, Madeleine; Wai, Sun Nyunt; Uhlin, Bernt Eric</t>
  </si>
  <si>
    <t>Enhanced Biofilm Formation by Escherichia coli LPS Mutants Defective in Hep Biosynthesis</t>
  </si>
  <si>
    <t>PSEUDOMONAS-AERUGINOSA PAO1; O-ANTIGEN LIPOPOLYSACCHARIDE; NEGATIVE ANTIVIRULENCE DRUGS; EXTRACELLULAR DNA; PORPHYROMONAS-GINGIVALIS; SALMONELLA-TYPHIMURIUM; MONOCLONAL-ANTIBODY; MEMBRANE-VESICLES; IN-VIVO; CORE</t>
  </si>
  <si>
    <t>Lipopolysaccharide (LPS) is the major component of the surface of Gram-negative bacteria and its polysaccharide portion is situated at the outermost region. We investigated the relationship between the polysaccharide portion of LPS and biofilm formation using a series of Escherichia coli mutants defective in genes earlier shown to affect the LPS sugar compositions. Biofilm formation by a deep rough LPS mutant, the hldE strain, was strongly enhanced in comparison with the parental strain and other LPS mutants. The hldE strain also showed a phenotype of increased auto-aggregation and stronger cell surface hydrophobicity compared to the wild-type. Similar results were obtained with another deep rough LPS mutant, the waaC strain whose LPS showed same molecular mass as that of the hldE strain. Confocal laser scanning microscopy (CLSM) analysis and biofilm formation assay using DNase I revealed that biofilm formation by the hldE strain was dependent on extracellular DNA. Furthermore, a loss of flagella and an increase in amount of outer membrane vesicles in case of the hldE strain were also observed by transmission electron microscopy and atomic force microscopy, respectively. In addition, we demonstrated that a mutation in the hldE locus, which alters the LPS structure, caused changes in both expression and properties of several surface bacterial factors involved in biofilm formation and virulence. We suggest that the implication of these results should be considered in the context of biofilm formation on abiotic surfaces, which is frequently associated with nosocominal infections such as the catheter-associated infections.</t>
  </si>
  <si>
    <t>[Nakao, Ryoma; Wai, Sun Nyunt; Uhlin, Bernt Eric] Umea Univ, UCMR, Dept Mol Biol, Umea, Sweden; [Nakao, Ryoma; Wai, Sun Nyunt; Uhlin, Bernt Eric] Umea Univ, UCMR, Lab Mol Infect Med Sweden MIMS, Umea, Sweden; [Ramstedt, Madeleine] Umea Univ, Dept Chem, Umea, Sweden; [Nakao, Ryoma] Natl Inst Infect Dis, Dept Bacteriol, Tokyo, Japan</t>
  </si>
  <si>
    <t>Umea University; Umea University; Umea University; National Institute of Infectious Diseases (NIID)</t>
  </si>
  <si>
    <t>Uhlin, BE (corresponding author), Umea Univ, UCMR, Dept Mol Biol, Umea, Sweden.</t>
  </si>
  <si>
    <t>bernt.eric.uhlin@molbiol.umu.se</t>
  </si>
  <si>
    <t>Uhlin, Bernt Eric/AAO-6292-2021; Ramstedt, Madeleine/E-7852-2011</t>
  </si>
  <si>
    <t>Uhlin, Bernt Eric/0000-0002-2991-8072; Ramstedt, Madeleine/0000-0003-2646-8501; Wai, Sun Nyunt/0000-0003-4793-4671</t>
  </si>
  <si>
    <t>e51241</t>
  </si>
  <si>
    <t>10.1371/journal.pone.0051241</t>
  </si>
  <si>
    <t>WOS:000313051500008</t>
  </si>
  <si>
    <t>Adamus, T; Hung, CY; Yu, CS; Kang, E; Hammad, M; Flores, L; Nechaev, S; Zhang, QF; Gonzaga, JM; Muthaiyah, K; Swiderski, P; Aboody, KS; Kortylewski, M</t>
  </si>
  <si>
    <t>Adamus, Tomasz; Hung, Chia-Yang; Yu, Chunsong; Kang, Elaine; Hammad, Mohamed; Flores, Linda; Nechaev, Sergey; Zhang, Qifang; Gonzaga, Joanna Marie; Muthaiyah, Kokilah; Swiderski, Piotr; Aboody, Karen S.; Kortylewski, Marcin</t>
  </si>
  <si>
    <t>Glioma-targeted delivery of exosome-encapsulated antisense oligonucleotides using neural stem cells</t>
  </si>
  <si>
    <t>CPG OLIGONUCLEOTIDE; IMMUNE CELLS; CANCER; SIRNA; GLIOBLASTOMA; STAT3; TLR9; THERAPEUTICS; EFFICIENCY; INJECTION</t>
  </si>
  <si>
    <t>Tropism of neural stem cells (NSCs) to hypoxic tumor areas provides an opportunity for the drug delivery. Here, we demonstrate that NSCs effectively transport antisense oligonucleotides (ASOs) targeting oncogenic and tolerogenic signal transducer and activator of transcription 3 (STAT3) protein into glioma microenvironment. To enable spontaneous, scav-enger receptor-mediated endocytosis by NSCs, we used previously described CpG-STAT3ASO conjugates. Following uptake and endosomal escape, CpG-STAT3ASO colocalized with CD63(+) vesicles and later with CD63(+)CD81(+) exosomes. Over 3 days, NSCs secreted exosomes loaded up to 80% with CpG-STAT3ASO. Compared to native NSC exosomes, the CpG-STAT3ASO-loaded exosomes potently stimulated immune activity of human dendritic cells or mouse macrophages, inducing nuclear factor kappa B (NF-kappa B) signaling and inter-leukin-12 (IL-12) production. Using orthotopic GL261 tumors, we confirmed that NSC-mediated delivery improved oligonucleotide transfer from a distant injection site into the glioma microenvironment versus naked oligonucleotides. Correspondingly, the NSC-delivered CpG-STAT3ASO enhanced activation of glioma-associated microglia. Finally, we demonstrated that NSC-mediated CpG-STAT3ASO delivery resulted in enhanced antitumor effects against GL261 glioma in mice. Peritumoral injections of 5 x 10(5) NSCs loaded ex vivo with CpG-STAT3ASO inhibited subcutaneous tumor growth more effectively than the equivalent amount of oligonucleotide alone. Based on these results, we anticipate that NSCs and NSC-derived exosomes will provide a clinically relevant strategy to improve delivery and safety of oligonucleotide therapeutics for glioma treatment.</t>
  </si>
  <si>
    <t>[Adamus, Tomasz; Hung, Chia-Yang; Yu, Chunsong; Kang, Elaine; Nechaev, Sergey; Zhang, Qifang; Kortylewski, Marcin] City Hope Natl Med Ctr, Dept Immunooncol, Beckman Res Inst, Comprehens Canc Ctr, Duarte, CA 91010 USA; [Hammad, Mohamed; Flores, Linda; Gonzaga, Joanna Marie; Aboody, Karen S.] City Hope Natl Med Ctr, Dept Dev &amp; Stem Cell Biol, Beckman Res Inst, Comprehens Canc Ctr, Duarte, CA 91010 USA; [Muthaiyah, Kokilah; Swiderski, Piotr] City Hope Natl Med Ctr, DNA RNA Synth Lab, Beckman Res Inst, Comprehens Canc Ctr, Duarte, CA 91010 USA</t>
  </si>
  <si>
    <t>City of Hope; Beckman Research Institute of City of Hope; City of Hope; Beckman Research Institute of City of Hope; City of Hope; Beckman Research Institute of City of Hope</t>
  </si>
  <si>
    <t>Kortylewski, M (corresponding author), City Hope Natl Med Ctr, Beckman Ctr, Natl Med Ctr, 1500 E Duarte Rd,BRI 3111m, Duarte, CA 91010 USA.</t>
  </si>
  <si>
    <t>mkortylewski@coh.org</t>
  </si>
  <si>
    <t>; Yu, Chunsong/C-8746-2018</t>
  </si>
  <si>
    <t>Kang, Elaine/0000-0001-5444-1133; Yu, Chunsong/0000-0003-4823-7835</t>
  </si>
  <si>
    <t>10.1016/j.omtn.2021.12.029</t>
  </si>
  <si>
    <t>WOS:000766655800005</t>
  </si>
  <si>
    <t>Koutouzov, S; Cabrespines, A; Amoura, Z; Chabre, H; Lotton, C; Bach, JF</t>
  </si>
  <si>
    <t>Binding of nucleosomes to a cell surface receptor: Redistribution and endocytosis in the presence of lupus antibodies</t>
  </si>
  <si>
    <t>EUROPEAN JOURNAL OF IMMUNOLOGY</t>
  </si>
  <si>
    <t>nucleosome receptor; anti-nucleosome autoantibodies; nucleosome endocytosis; systemic lupus erythematosus</t>
  </si>
  <si>
    <t>ANTI-DNA ANTIBODIES; CULTURED FIBROBLASTS; MEDIATED ENDOCYTOSIS; MURINE LUPUS; ANTINUCLEAR ANTIBODIES; ANTIHISTONE ANTIBODIES; MONOCLONAL-ANTIBODIES; TRANSFERRIN RECEPTOR; EXTRACELLULAR-MATRIX; IMMUNE-COMPLEXES</t>
  </si>
  <si>
    <t>In the present study, we sought evidence for a surface nucleosome receptor in the fibroblastic cell line CV-1. and questioned whether anti-double-stranded (ds)DNA and/or anti-histone autoantibodies could recognized and influence the fate of cell surface-bound nucleosomes. I-125-labeled mononucleosomes were shown to bind to the cell layer in a specific. concentration-dependent and a saturable manner. Scatchard analysis revealed the presence of two binding sites: a high-affinity site with a Kd of similar to 7 nM and a low-affinity site (Kd similar to 400 nM) with a high capacity of 9 x 10(7) sites. Visualization of bound mononucleosomes by fluorescence revealed staining on both the cell surface and the extracellular matrix (ECM). Purified mononucleosome-derived dsDNA (180-200 bp) was found to compete for binding of I-125-mononucleosomes on the low-affinity site. to stain exclusively the ECM in immunofluorescence. and to precipitate three specific proteins of 43. 180 and 240 kDa from I-125-labeled cell lysates. Nucleosomes were found to precipitate not only the 180-kDa dsDNA-reactive component. hut also a unique protein of 50 kDa. suggesting that this protein is a cell surface receptor for nucleosomes on these fibroblasts. Once bound on the cell surface. mononucleosomes were recognized and secondarily complexed by lupus anti-dsDNA or anti-histone antibodies (i.e. anti-nucleosome antibodies). thus forming immune complexes in situ. The presence of these complexing autoantibodies was found dramatically to enhance the kinetics of mononucleosome internalization. Following the internalization of the nucleosome-anti-nucleosome complexes by immunofluorescence. we observed the formation of vesicles at the edge of the cells by 5-10 min which moved toward the perinuclear region by 20-30 min. By means of double-fluorescence labeling and proteolytic treatment. these fluorescent vesicles were shown to be in the cytoplasm. suggesting true endocytosis of nucleosome-anti-nucleosome immune complexes. As shown by confocal microscopy. at no stage of this endocytic process was there any indication that coated pits or coated vesicles participated. Co-distribution of the endocytic vesicles with regions rich in actin filaments and inhibition of endocytosis Of nucleosome-anti-nucleosome complexes by disruption of the microfilament network with cytochalasin D suggest a mechanism mediated by the cytoskeleton. Taken together. our data provide evidence for the presence of a surface nucleosome receptor. We also show that anti-dsDNA and anti-histone antibodies can form nucleosome-anti-nucleosome immune complexes in situ at the cell surface. and thus dramatically enhance the kinetics of nucleosome endocytosis.</t>
  </si>
  <si>
    <t>Koutouzov, S (corresponding author), HOP NECKER ENFANTS MALAD, INSERM U25, 161 RUE SEVRES, F-75743 PARIS 15, FRANCE.</t>
  </si>
  <si>
    <t>Amoura, Zahir/P-5325-2017; AMOURA, Zahir/P-5324-2017</t>
  </si>
  <si>
    <t>AMOURA, Zahir/0000-0003-0292-9043</t>
  </si>
  <si>
    <t>0014-2980</t>
  </si>
  <si>
    <t>1521-4141</t>
  </si>
  <si>
    <t>WOS:A1996UJ66200029</t>
  </si>
  <si>
    <t>RABANUS, JP; GREENSPAN, D; PETERSEN, V; LESER, U; WOLF, H; GREENSPAN, JS</t>
  </si>
  <si>
    <t>SUBCELLULAR-DISTRIBUTION AND LIFE-CYCLE OF EPSTEIN-BARR-VIRUS IN KERATINOCYTES OF ORAL HAIRY LEUKOPLAKIA</t>
  </si>
  <si>
    <t>AMERICAN JOURNAL OF PATHOLOGY</t>
  </si>
  <si>
    <t>HERPES-SIMPLEX VIRUS; TEMPERATURE-SENSITIVE MUTANTS; MEMBRANE ANTIGEN GP350/220; MONOCLONAL-ANTIBODIES; INSITU HYBRIDIZATION; EPITHELIAL-CELLS; FINE-STRUCTURE; DNA; INFECTION; EXPRESSION</t>
  </si>
  <si>
    <t>The authors investigated the life cycle of Epstein-Barr virus (EBV) in keratinocytes of oral hairy leukoplakia by combining immunohistochemistry, DNA in situ hybridization, and lectin histochemistry with electron microscopy. Diffuse-staining components of the EBV early antigen complex (EA-D), EBV 150-kd capsid antigen (VCA), EBV membrane antigen (gp350/220), and double-stranded DNA were labeled with monoclonal antibodies. An EBV-DNA probe was used to locate EBV DNA. Wheat-germ agglutinin (WGA) was employed to distinguish Golgi-associated compartments. The authors found EBV proteins and EBV DNA only in keratinocytes with apparent viral assembly. In situ hybridization showed EBV DNA in free corelike material and in electron-dense cores of mature nucleocapsids. Monoclonal antibodies to nonspecific double-stranded DNA attached to the same structures and to marginated chromatin. Components of EA-D were dispersed throughout the nuclei but accumulated near condensed chromatin and in 'punched-out' regions of the chromatin. Epstein-Barr virus 150-kd capsid antigen was found only in the nuclei, where it appeared preferentially on mature nucleocapsids. As yet unexplained arrays of intranuclear particles that remained unlabeled with all EBV-specific probes reacted intensely with an antiserum against common papillomavirus antigen. Gp350/220 was detectable in various cellular membrane compartments and was highly concentrated on EBV envelopes in peripheral Golgi-associated secretory vesicles. It was less abundant on the extracellular EBV, indicating that viral membrane antigen partly dissociates from the mature virus. Combined lectin-binding histochemistry and electron microscopy demonstrated for the first time that EBV is processed in the Golgi-apparatus, which eventually releases the virus by fusion with the plasma membrane. These results provide insight into the biologic events that occur during complete EBV replication in vivo.</t>
  </si>
  <si>
    <t>MAX VON PETTENKOFER INST, MUNICH, GERMANY</t>
  </si>
  <si>
    <t>RABANUS, JP (corresponding author), UNIV CALIF SAN FRANCISCO, ORAL AIDS CTR, SCH DENT, DEPT STOMATOL, SAN FRANCISCO, CA 94143 USA.</t>
  </si>
  <si>
    <t>Greenspan, John/AAE-9321-2020</t>
  </si>
  <si>
    <t>0002-9440</t>
  </si>
  <si>
    <t>1525-2191</t>
  </si>
  <si>
    <t>WOS:A1991FV81600021</t>
  </si>
  <si>
    <t>Zhang, ZJ; Song, XG; Xie, L; Wang, KY; Tang, YY; Miao-Yu; Feng, XD; Song, XR</t>
  </si>
  <si>
    <t>Zhang, Zhi-Jun; Song, Xing-Guo; Xie, Li; Wang, Kang-Yu; Tang, You-Yong; Miao-Yu; Feng, Xiao-Dong; Song, Xian-Rang</t>
  </si>
  <si>
    <t>Circulating serum exosomal miR-20b-5p and miR-3187-5p as efficient diagnostic biomarkers for early-stage non-small cell lung cancer</t>
  </si>
  <si>
    <t>EXPERIMENTAL BIOLOGY AND MEDICINE</t>
  </si>
  <si>
    <t>Diagnostic biomarkers; non-small cell lung cancer; circulation; exosomes; miRNAs</t>
  </si>
  <si>
    <t>NONINVASIVE BIOMARKERS; LIQUID BIOPSY; TUMOR; DNA</t>
  </si>
  <si>
    <t>Circulating exosomal microRNAs (ExmiRNAs) provide an ideal non-invasive method for cancer diagnosis. In this study, we evaluated two circulating ExmiRNAs in NSCLC patients as a diagnostic tool for early-stage non-small lung cancer (NSCLC). The exosomes were characterized by qNano, transmission electron microscopy, and Western blot, and the ExmiRNA expression was measured by microarrays. The differentially expressed miRNAs were verified by RT-qPCR using peripheral blood specimens from NSCLC patients (n = 276, 0 and I stage:n = 104) and healthy donors (n = 282). The diagnostic values were measured by receiver operating characteristic (ROC) analysis. The results show that the expression of both ExmiR-20b-5p and ExmiR-3187-5p was drastically reduced in NSCLC patients. The area under the ROC curve (AUC) was determined to be 0.818 and 0.690 for ExmiR-20b-5p and ExmiR-3187-5p, respectively. When these two ExmiRNAs were combined, the AUC increased to 0.848. When the ExmiRNAs were administered with either carcinoembryonic antigen (CEA) or cytokeratin-19-fragment (CYFRA21-1), the AUC was further improved to 0.905 and 0.894, respectively. Additionally, both ExmiR-20b-5p and ExmiR-3187-5p could be used to distinguish early stages NSCLC (0 and I stage) from the healthy controls. The ROC curves showed that the AUCs were 0.810 and 0.673, respectively. Combination of ExmiR-20b-5p and ExmiR-3187-5p enhanced the AUC to 0.838. When CEA and CYFRA21-1 were administered with the ExmiRNAs, the AUCs were improved to 0.930 and 0.928, respectively. In summary, circulating serum exosomal miR-20b-5p and miR-3187-5p could be used as effective, non-invasive biomarkers for the diagnosis of early-stage NSCLC, and the effects were further improved when the ExmiRNAs were combined. Impact statement The high mortality of non-small cell lung cancer (NSCLC) is mainly because the cancer has progressed to a more advanced stage before diagnosis. If NSCLC can be diagnosed at early stages, especially stage 0 or I, the overall survival rate will be largely improved by definitive treatment such as lobectomy. We herein validated two novel circulating serum ExmiRs as diagnostic biomarkers for early-stage NSCLC to fulfill the unmet medical need. Considering the number of specimens in this study, circulating serum exosomal miR-20b-5p and miR-3187-5p are putative NSCLC biomarkers, which need to be further investigated in a larger randomized controlled clinical trial.</t>
  </si>
  <si>
    <t>[Zhang, Zhi-Jun] Shandong Univ, Shandong Canc Hosp &amp; Inst, Cheeloo Coll Med, Dept Clin Lab, Jinan 250117, Shandong, Peoples R China; [Zhang, Zhi-Jun] Taian City Cent Hosp, Dept Clin Lab, Tai An 271000, Shandong, Peoples R China; [Song, Xing-Guo] Shandong First Med Univ, Shandong Canc Hosp &amp; Inst, Shandong Prov Key Lab Radiat Oncol, Tai An 250117, Shandong, Peoples R China; [Song, Xing-Guo; Xie, Li; Wang, Kang-Yu; Tang, You-Yong; Song, Xian-Rang] Shandong Acad Med Sci, Jinan 250117, Shandong, Peoples R China; [Xie, Li; Wang, Kang-Yu; Tang, You-Yong; Song, Xian-Rang] Shandong First Med Univ, Shandong Canc Hosp &amp; Inst, Dept Clin Lab, Tai An 250117, Shandong, Peoples R China; [Miao-Yu] Shandong Univ, Shandong Prov Hosp 3, Cheeloo Coll Med, Dept Clin Lab, Jinan 250031, Shandong, Peoples R China; [Feng, Xiao-Dong] Qingdao Univ, Dept Clin Lab, Affiliated Hosp, Qingdao 266000, Shandong, Peoples R China</t>
  </si>
  <si>
    <t>Shandong First Medical University &amp; Shandong Academy of Medical Sciences; Shandong University; Shandong First Medical University &amp; Shandong Academy of Medical Sciences; Shandong First Medical University &amp; Shandong Academy of Medical Sciences; University of Jinan; Shandong First Medical University &amp; Shandong Academy of Medical Sciences; Shandong University; Qingdao University</t>
  </si>
  <si>
    <t>Song, XR (corresponding author), Shandong Acad Med Sci, Jinan 250117, Shandong, Peoples R China.;Song, XR (corresponding author), Shandong First Med Univ, Shandong Canc Hosp &amp; Inst, Dept Clin Lab, Tai An 250117, Shandong, Peoples R China.</t>
  </si>
  <si>
    <t>basiclab@163.com</t>
  </si>
  <si>
    <t>song, xianrang/0000-0003-1722-8207; Feng, Xiaodong/0000-0003-2700-8304</t>
  </si>
  <si>
    <t>1535-3702</t>
  </si>
  <si>
    <t>1535-3699</t>
  </si>
  <si>
    <t>10.1177/1535370220945987</t>
  </si>
  <si>
    <t>WOS:000555006900001</t>
  </si>
  <si>
    <t>Sun, YB; Zeng, XR; Wenger, L; Cheung, HS</t>
  </si>
  <si>
    <t>Basic calcium phosphate crystals stimulate the endocytotic activity of cells-inhibition by anti-calcification agents</t>
  </si>
  <si>
    <t>osteoarthritis; breast cancer; calcium-containing crystals; calcification; endocytosis; calcification inhibitor</t>
  </si>
  <si>
    <t>SYNOVIAL-FLUID; MATRIX METALLOPROTEINASE-1; C-FOS; INDUCTION; PHOSPHOCITRATE; FIBROBLASTS; MITOGENESIS; PATHWAY; INTERLEUKIN-1-BETA; OSTEOARTHRITIS</t>
  </si>
  <si>
    <t>Pathological calcifications are associated with many medical conditions including diabetes, breast cancer, and crystals-associated osteoarthritis. The deposition of calcium-containing crystals on cells induces detrimental cellular effects and speeds up the progression of associated diseases. We carried out the present study to test the hypotheses that calcium-containing crystals may stimulate the influx of other molecules existing in the extracellular fluid disturbing normal molecular signaling and that anti-calcification agent will inhibit such endocytotic process. We found that basic calcium phosphate (BCP) crystals greatly stimulated the endocytotic activity of cells by rendering the cells more permeable and that the anti-calcification agent phosphocitrate and several others inhibited the crystals-mediated endocytosis. This is the first study reporting that the endocytotic activity of cells is affected by BCP crystals and that such endocytotic activity can be inhibited by anti-calcification agents. Since calcium-containing crystals are associated with many human diseases and in many circumstances are associated with apoptotic bodies, extracellular and matrix vesicles where DNA fragments, small peptides, and minerals are released into extracellular space, the findings reported here are important for our understanding of the complex biological effects and the potential pathological role of calcium-containing crystals in crystals-associated diseases, and for the development of disease modifying agents as well. (C) 2003 Elsevier Inc. All rights reserved.</t>
  </si>
  <si>
    <t>Univ Miami, Sch Med, Div Rheumatol &amp; Immunol, Miami, FL 33101 USA; Univ Miami, Dept Biomed Engn, Coral Gables, FL 33146 USA; Vet Affairs Med Ctr, Res Serv, Miami, FL 33125 USA; Vet Affairs Med Ctr, Ctr Geriatr Res Educ &amp; Clin, Miami, FL 33125 USA</t>
  </si>
  <si>
    <t>University of Miami; University of Miami; US Department of Veterans Affairs; Veterans Health Administration (VHA); Geriatric Research Education &amp; Clinical Center; US Department of Veterans Affairs; Veterans Health Administration (VHA)</t>
  </si>
  <si>
    <t>Sun, YB (corresponding author), Univ Miami, Sch Med, Div Rheumatol &amp; Immunol, Miami, FL 33101 USA.</t>
  </si>
  <si>
    <t>10.1016/j.bbrc.2003.11.048</t>
  </si>
  <si>
    <t>WOS:000187252300028</t>
  </si>
  <si>
    <t>Ahmed, M; Carrascosa, LG; Wuethrich, A; Mainwaring, P; Trau, M</t>
  </si>
  <si>
    <t>Ahmed, Mostak; Carrascosa, Laura G.; Wuethrich, Alain; Mainwaring, Paul; Trau, Matt</t>
  </si>
  <si>
    <t>An exosomal- and interfacial-biosensing based strategy for remote monitoring of aberrantly phosphorylated proteins in lung cancer cells</t>
  </si>
  <si>
    <t>BIOMATERIALS SCIENCE</t>
  </si>
  <si>
    <t>GOLD AFFINITY INTERACTIONS; ELECTROCHEMICAL DETECTION; MASS-SPECTROMETRY; KINASE ACTIVITY; AMPLIFICATION; ANTIBODIES; BIOPSY; DNA; PHOSPHOPROTEIN; IMMUNOASSAYS</t>
  </si>
  <si>
    <t>It is a well-known phenomenon that cancer cells release key biological information such as DNA, RNA or proteins into body fluids (e.g., blood, urine or saliva). The analysis of these moleculesoften encapsulated within nanovesicules called exosomesis highly attractive, because it could replace current surgical biopsies, which are painful, costly and potentially risky for patients. For example, current strategies in lung cancer diagnosis involve genetic analyses from tumour tissues to detect the presence of underlying DNA mutations, known to alter the phosphorylation status and function of proteins. This information is used to direct therapy, as aberrantly phosphorylated proteins are the main targets of current drugs such as Tyrosine Kinase Inhibitors (TKIs). An alternative and less invasive strategy would be the remote analysis of these phospho-proteins by isolating them from cancer-derived exosomes. This would allow evaluating not only their phosphorylation status at diagnosis, but also the timely restoration of protein phosphorylation levels during therapy with TKIs. Yet, this proteomic approach remains vastly unexplored. Herein, we demonstrate that key lung cancer phosphoproteins, such as EGFR and ERK, are expressed in lung cancer exosomes and we outline a new exosomal proteomic-based approach for their fast and convenient detection. This approach, which could complement current genetic analysis for lung cancer detection, easily detects the phosphorylation status of lung cancer exosomal proteins within minutes after their extraction, bringing hope of circumventing the need for tissue biopsy and costly and cumbersome DNA sequencing techniques. It exploits the fact that phosphorylation induces protein conformational changes, which in turn alter protein's ability to effectively interact with bare gold surfaces. This leads to phosphorylated and non-phosphorylated protein isoforms displaying different gold-adsorption profiles. Using single-use and inexpensive, gold (Au) screen-printed electrodes (SPEs), we demonstrate the successful detection of aberrantly phosphorylated EGFR and ERK protein isoforms derived from lung cancer cell exosomes with a sensitivity down to 15 ng L-1 in samples with up to 90% excess of their non-phosphorylated (wild-type) forms. We further show the applicability of this strategy for monitoring the action of Tyrosine Kinase Inhibitors over time. We believe that this non-invasive technique will open up new avenues for facilitating cancer diagnosis and time-point monitoring of therapeutic responses.</t>
  </si>
  <si>
    <t>[Ahmed, Mostak; Carrascosa, Laura G.; Wuethrich, Alain; Mainwaring, Paul; Trau, Matt] Univ Queensland, Ctr Personalized Nanomed, AIBN, Corner Coll, Brisbane, Qld 4072, Australia; [Ahmed, Mostak; Carrascosa, Laura G.; Wuethrich, Alain; Mainwaring, Paul; Trau, Matt] Univ Queensland, Cooper Rd,Bldg 75, Brisbane, Qld 4072, Australia; [Trau, Matt] Univ Queensland, Sch Chem &amp; Mol Biosci, Brisbane, Qld 4072, Australia</t>
  </si>
  <si>
    <t>University of Queensland; University of Queensland; University of Queensland</t>
  </si>
  <si>
    <t>Carrascosa, LG; Trau, M (corresponding author), Univ Queensland, Ctr Personalized Nanomed, AIBN, Corner Coll, Brisbane, Qld 4072, Australia.;Carrascosa, LG; Trau, M (corresponding author), Univ Queensland, Cooper Rd,Bldg 75, Brisbane, Qld 4072, Australia.;Trau, M (corresponding author), Univ Queensland, Sch Chem &amp; Mol Biosci, Brisbane, Qld 4072, Australia.</t>
  </si>
  <si>
    <t>Ahmed, Mostak/0000-0003-3500-2367; Trau, Matt/0000-0001-5516-1280</t>
  </si>
  <si>
    <t>2047-4830</t>
  </si>
  <si>
    <t>2047-4849</t>
  </si>
  <si>
    <t>10.1039/c8bm00629f</t>
  </si>
  <si>
    <t>WOS:000443267300007</t>
  </si>
  <si>
    <t>Ferguson, S; Yang, KS; Zelga, P; Liss, AS; Carlson, JCT; del Castillo, CF; Weissleder, R</t>
  </si>
  <si>
    <t>Ferguson, Scott; Yang, Katherine S.; Zelga, Piotr; Liss, Andrew S.; Carlson, Jonathan C. T.; del Castillo, Carlos Fernandez; Weissleder, Ralph</t>
  </si>
  <si>
    <t>Single-EV analysis (sEVA) of mutated proteins allows detection of stage 1 pancreatic cancer</t>
  </si>
  <si>
    <t>EXOSOME SECRETION; CHEMOTHERAPY; COMBINATION; METASTASIS; INHIBITION; BIOGENESIS; DIAGNOSIS; PATHWAY; MARKERS; DNA</t>
  </si>
  <si>
    <t>Tumor cell-derived extracellular vesicles (EVs) are being explored as circulating biomarkers, but it is unclear whether bulk measurements will allow early cancer detection. We hypothesized that a single-EV analysis (sEVA) technique could potentially improve diagnostic accuracy. Using pancreatic cancer (PDAC), we analyzed the composition of putative cancer markers in 11 model lines. In parental PDAC cells positive for KRAS(mut) and/or P53(mut) proteins, only similar to 40% of EVs were also positive. In a blinded study involving 16 patients with surgically proven stage 1 PDAC, KRAS(mut) and P5S(mut) protein was detectable at much lower levels, generally in &lt;0.1% of vesicles. These vesicles were detectable by the new sEVA approach in 15 of the 16 patients. Using a modeling approach, we estimate that the current PDAC detection limit is at similar to 0.1-cm(3) tumor volume, below clinical imaging capabilities. These findings establish the potential for sEVA for early cancer detection.</t>
  </si>
  <si>
    <t>[Ferguson, Scott; Yang, Katherine S.; Carlson, Jonathan C. T.; del Castillo, Carlos Fernandez; Weissleder, Ralph] Massachusetts Gen Hosp, Ctr Syst Biol, 185 Cambridge St,CPZN 5206, Boston, MA 02114 USA; [Zelga, Piotr; Liss, Andrew S.; del Castillo, Carlos Fernandez] Massachusetts Gen Hosp, Dept Surg, 32 Fruit St, Boston, MA 02114 USA; [Carlson, Jonathan C. T.] Harvard Med Sch, Massachusetts Gen Hosp, Dept Med, Boston, MA 02114 USA; [Weissleder, Ralph] Harvard Med Sch, Dept Syst Biol, 200 Longwood Ave, Boston, MA 02115 USA</t>
  </si>
  <si>
    <t>Harvard University; Massachusetts General Hospital; Harvard University; Massachusetts General Hospital; Harvard University; Harvard Medical School; Massachusetts General Hospital; Harvard University; Harvard Medical School</t>
  </si>
  <si>
    <t>Weissleder, R (corresponding author), Massachusetts Gen Hosp, Ctr Syst Biol, 185 Cambridge St,CPZN 5206, Boston, MA 02114 USA.;Weissleder, R (corresponding author), Harvard Med Sch, Dept Syst Biol, 200 Longwood Ave, Boston, MA 02115 USA.</t>
  </si>
  <si>
    <t>Liss, Andrew/0000-0002-4040-9172; Carlson, Jonathan/0000-0003-4139-9057</t>
  </si>
  <si>
    <t>eabm3453</t>
  </si>
  <si>
    <t>10.1126/sciadv.abm3453</t>
  </si>
  <si>
    <t>WOS:000786214100022</t>
  </si>
  <si>
    <t>Cui, J; Liu, N; Chang, ZH; Gao, YS; Bao, ML; Xie, YB; Xu, WQ; Liu, XL; Jiang, SY; Liu, Y; Shi, R; Xie, W; Jia, X; Shi, JH; Ren, CH; Gong, KR; Zhang, CY; Bade, RG; Shao, G; Ji, XM</t>
  </si>
  <si>
    <t>Cui, Junhe; Liu, Na; Chang, Zhehan; Gao, Yongsheng; Bao, Mulan; Xie, Yabin; Xu, Wenqiang; Liu, Xiaolei; Jiang, Shuyuan; Liu, You; Shi, Rui; Xie, Wei; Jia, Xiaoe; Shi, Jinghua; Ren, Changhong; Gong, Kerui; Zhang, Chunyang; Bade, Rengui; Shao, Guo; Ji, Xunming</t>
  </si>
  <si>
    <t>Exosomal MicroRNA-126 from RIPC Serum Is Involved in Hypoxia Tolerance in SH-SY5Y Cells by Downregulating DNMT3B</t>
  </si>
  <si>
    <t>FOCAL CEREBRAL-ISCHEMIA; FUNCTIONAL RECOVERY; STROKE; EXPRESSION; COMMUNICATION; CONTRIBUTES; MIR-126; NEUROGENESIS; METHYLATION; MECHANISM</t>
  </si>
  <si>
    <t>Ischemic tolerance in the brain can be induced by transient limb ischemia, and this phenomenon is termed remote ischemic preconditioning (RIPC). It still remains elusive how this transfer of tolerance occurs. Exosomes can cross the blood-brain barrier, and some molecules may transfer neuroprotective signals from the periphery to the brain. Serum miRNA-126 is associated with ischemic stroke, and exosomal miRNA-126 has shown protective effects against acute myocardial infarction. Therefore, this study aims to explore whether exosomal miRNA-126 from RIPC serum can play a similar neuroprotective role. Exosomes were isolated from the venous serum of four healthy young male subjects, both before and after RIPC. Exosomal miRNA-126 was measured by real-time PCR. The miRNA-126 target sequence was predicted by bioinformatics software. SH-SY5Y neuronal cells were incubated with exosomes, and the cell cycle was analyzed by flow cytometry. The expression and activity of DNA methyltransferase (DNMT) 3B, a potential target gene of miRNA-126, were examined in SH-SY5Y cells. The cell viability of SH-SY5Y cells exposed to oxygen-glucose deprivation (OGD) was also investigated. To confirm the association between miRNA-126 and DNMT3B, we overexpressed miRNA-126 in SH-SY5Y cells using lentiviral transfection. miRNA-126 expression was upregulated in RIPC exosomes, and bioinformatics prediction showed that miRNA-126 could bind with DNMT3B. DNMT levels and DNMT3B activity were downregulated in SH-SY5Y cells incubated with RIPC exosomes. After overexpression of miRNA-126 in SH-SY5Y cells, global methylation levels and DNMT3B gene expression were downregulated in these cells, consistent with the bioinformatics predictions. RIPC exosomes can affect the cell cycle and increase OGD tolerance in SH-SY5Y cells. RIPC seems to have neuroprotective effects by downregulating the expression of DNMTs in neural cells through the upregulation of serum exosomal miRNA-126.</t>
  </si>
  <si>
    <t>[Cui, Junhe; Liu, Na; Chang, Zhehan; Gao, Yongsheng; Bao, Mulan; Xie, Yabin; Xu, Wenqiang; Liu, Xiaolei; Jiang, Shuyuan; Liu, You; Shi, Rui; Xie, Wei; Jia, Xiaoe; Shi, Jinghua; Bade, Rengui; Shao, Guo] Baotou Med Coll, Inner Mongolia Key Lab Hypox Translat Med, Baotou, Inner Mongolia, Peoples R China; [Cui, Junhe; Liu, Na; Chang, Zhehan; Gao, Yongsheng; Bao, Mulan; Xie, Yabin; Xu, Wenqiang; Liu, Xiaolei; Jiang, Shuyuan; Liu, You; Shi, Rui; Xie, Wei; Jia, Xiaoe; Shi, Jinghua; Bade, Rengui; Shao, Guo] Baotou Med Coll, Basic Med Coll, Biomed Res Ctr, Baotou, Inner Mongolia, Peoples R China; [Cui, Junhe; Liu, Na; Chang, Zhehan; Gao, Yongsheng; Bao, Mulan; Xie, Yabin; Xu, Wenqiang; Liu, Xiaolei; Jiang, Shuyuan; Liu, You; Shi, Rui; Xie, Wei; Jia, Xiaoe; Shi, Jinghua; Bade, Rengui; Shao, Guo] Baotou Med Coll, Neurosci Inst, Baotou, Inner Mongolia, Peoples R China; [Cui, Junhe; Liu, Na; Chang, Zhehan; Xie, Yabin; Shi, Jinghua; Ren, Changhong; Shao, Guo; Ji, Xunming] Capital Med Univ, Xuanwu Hosp, Beijing Key Lab Hypox Conditioning Translat Med, Beijing, Peoples R China; [Gong, Kerui] Univ Calif San Francisco, Dept Oral &amp; Maxillofacial Surg, San Francisco, CA USA; [Zhang, Chunyang; Shao, Guo] Baotou Med Coll, Dept Neurosurg, Affiliated Hosp 1, Baotou, Inner Mongolia, Peoples R China</t>
  </si>
  <si>
    <t>Baotou Medical College; Baotou Medical College; Baotou Medical College; Capital Medical University; University of California System; University of California San Francisco; Baotou Medical College</t>
  </si>
  <si>
    <t>Bade, RG; Shao, G (corresponding author), Baotou Med Coll, Inner Mongolia Key Lab Hypox Translat Med, Baotou, Inner Mongolia, Peoples R China.;Ji, XM (corresponding author), Capital Med Univ, Xuanwu Hosp, Beijing Key Lab Hypox Conditioning Translat Med, Beijing, Peoples R China.</t>
  </si>
  <si>
    <t>baard415@btmc.edu.cn; shao.guo.china@gmail.com; jixm70@ccmu.edu.cn</t>
  </si>
  <si>
    <t>Ji, Xunming/AAN-3370-2021</t>
  </si>
  <si>
    <t>Ji, Xunming/0000-0003-0293-2744</t>
  </si>
  <si>
    <t>10.1016/j.omtn.2020.04.008</t>
  </si>
  <si>
    <t>WOS:000538968000054</t>
  </si>
  <si>
    <t>Huang, Y; Yu, MS; Kuma, A; Klein, JD; Wang, YH; Hassounah, F; Cai, H; Wang, XH</t>
  </si>
  <si>
    <t>Huang, Ying; Yu, Manshu; Kuma, Akihiro; Klein, Janet D.; Wang, Yanhua; Hassounah, Faten; Cai, Hui; Wang, Xiaonan H.</t>
  </si>
  <si>
    <t>Downregulation of let-7 by Electrical Acupuncture Increases Protein Synthesis in Mice</t>
  </si>
  <si>
    <t>Acu; LFES; exosome; IGF-1 signaling; microRNA; mTOR; skeletal muscle</t>
  </si>
  <si>
    <t>GROWTH-FACTOR-I; MUSCLE ATROPHY; STIMULATION; MECHANISMS; EXPRESSION; MICRORNAS; STRENGTH; DISEASE; FAMILY; GENES</t>
  </si>
  <si>
    <t>Background Our previous study found that acupuncture with low frequency electrical stimulation (Acu/LFES) prevents muscle atrophy by attenuation of protein degradation in mice. The current study examines the impact of Acu/LFES on protein synthesis. Method C57/BL6 mice received Acu/LFES treatment on hindlimb for 30 min once. Acu/LFES points were selected by WHO Standard Acupuncture Nomenclature and electric stimulation applied using an SDZ-II Electronic acupuncture instrument. Muscle protein synthesis was measured by the surface-sensing of translation (SUnSET) assay. Exosomes were isolated using serial centrifugation and concentration and size of the collected exosomes were measured using a NanoSight instrument. The mature microRNA library in serum exosomes was validated using a High Sensitivity DNA chip. Results Protein synthesis was enhanced in the both hindlimb and forelimb muscles. Blocking exosome secretion with GW4869 decreased the Acu/LFES-induced increases in protein synthesis. MicroRNA-deep sequencing demonstrated that four members of the Let-7 miRNA family were significantly decreased in serum exosomes. Real time qPCR further verified Acu/LFES-mediated decreases of let-7c-5p in serum exosomes and skeletal muscles. In cultured C2C12 myotubes, inhibition of let-7c not only increased protein synthesis, but also enhanced protein abundance of Igf1 and Igf1 receptors. Using a luciferase reporter assay, we demonstrated that let-7 directly inhibits Igf1. Conclusion Acu/LFES on hindlimb decreases let-7-5p leading to upregulation of the Igf1 signaling and increasing protein synthesis in both hindlimb and forelimb skeletal muscles. This provides a new understanding of how the electrical acupuncture treatment can positively influence muscle health.</t>
  </si>
  <si>
    <t>[Huang, Ying; Yu, Manshu; Kuma, Akihiro; Klein, Janet D.; Wang, Yanhua; Hassounah, Faten; Cai, Hui; Wang, Xiaonan H.] Emory Univ, Dept Med, Renal Div, Atlanta, GA 30322 USA; [Huang, Ying] Cent South Univ, Dept Nephrol, Xiangya Hosp 2, Changsha, Peoples R China; [Yu, Manshu] Nanjing Univ Chinese Med, Renal Div, Affiliated Hosp, Nanjing, Peoples R China; [Kuma, Akihiro] Univ Occupat &amp; Environm Hlth, Sch Med, Dept Internal Med 2, Kitakyushu, Fukuoka, Japan; [Cai, Hui] Atlanta VA Med Ctr, Sect Nephrol, Decatur, GA 30033 USA</t>
  </si>
  <si>
    <t>Emory University; Central South University; Nanjing University of Chinese Medicine; University of Occupational &amp; Environmental Health - Japan; US Department of Veterans Affairs; Veterans Health Administration (VHA); Atlanta VA Health Care System; Atlanta VA Medical Center</t>
  </si>
  <si>
    <t>Cai, H; Wang, XH (corresponding author), Emory Univ, Dept Med, Renal Div, Atlanta, GA 30322 USA.;Cai, H (corresponding author), Atlanta VA Med Ctr, Sect Nephrol, Decatur, GA 30033 USA.</t>
  </si>
  <si>
    <t>hcai3@emory.edu; xwang03@emory.edu</t>
  </si>
  <si>
    <t>Kuma, Akihiro/AAT-7155-2020</t>
  </si>
  <si>
    <t>Kuma, Akihiro/0000-0002-4242-7921</t>
  </si>
  <si>
    <t>10.3389/fphys.2021.697139</t>
  </si>
  <si>
    <t>WOS:000696585700001</t>
  </si>
  <si>
    <t>Hoshina, S; Sekizuka, T; Kataoka, M; Hasegawa, H; Hamada, H; Kuroda, M; Katano, H</t>
  </si>
  <si>
    <t>Hoshina, Shiho; Sekizuka, Tsuyoshi; Kataoka, Michiyo; Hasegawa, Hideki; Hamada, Hiromichi; Kuroda, Makoto; Katano, Harutaka</t>
  </si>
  <si>
    <t>Profile of Exosomal and Intracellular microRNA in Gamma-Herpesvirus-Infected Lymphoma Cell Lines</t>
  </si>
  <si>
    <t>SARCOMA-ASSOCIATED HERPESVIRUS; PRIMARY EFFUSION LYMPHOMA; KAPOSIS-SARCOMA; RETICULOCYTE MATURATION; TRANSFERRIN RECEPTOR; VIRUS; IDENTIFICATION; DNA; IMPORT; PLASMA</t>
  </si>
  <si>
    <t>Exosomes are small vesicles released from cells, into which microRNAs (miRNA) are specifically sorted and accumulated. Two gamma-herpesviruses, Kaposi sarcoma-associated herpesvirus(KSHV) and Epstein-Barr virus (EBV), encode miRNAs in their genomes and express virus-encoded miRNAs in cells and exosomes. However, there is little information about the detailed distribution of virus-encoded miRNAs in cells and exosomes. In this study, we thus identified virus-and host-encoded miRNAs in exosomes released from KSHV- or EBV-infected lymphoma cell lines and compared them with intracellular miRNAs using a next-generation sequencer. Sequencing analysis demonstrated that 48% of the annotated miRNAs in the exosomes from KSHV- infected cells originated from KSHV. Human mir-10b-5p and mir-143-3p were much more highly concentrated in exosomes than in cells. Exosomes contained more nonexact mature miRNAs that did not exactly match those in miR Base than cells. Among the KSHV-encoded miRNAs, miRK12-3-5p was the most abundant exact mature miRNA in both cells and exosomes that exactly matched those in miR ]Base. Recently identified EXO motifs, nucleotide motifs that control the loading of miRNAs into exosomes were frequently found within the sequences of KSHV- encoded miRNAs, and the presence of the EXO motif CCCT or CCCG was associated with the localization of miRNA in exosomes in KSHV- infected cells. These observations suggest that specific virus-encoded miRNAs are sorted by EXO motifs and accumulate in exosomes in virus-infected cells.</t>
  </si>
  <si>
    <t>[Hoshina, Shiho; Kataoka, Michiyo; Hasegawa, Hideki; Katano, Harutaka] Natl Inst Infect Dis, Dept Pathol, Shinjuku Ku, 1-23-1 Toyama, Tokyo 1628640, Japan; [Sekizuka, Tsuyoshi; Kuroda, Makoto] Natl Inst Infect Dis, Pathogen Genom Ctr, Shinjuku Ku, 1-23-1 Toyama, Tokyo 1628640, Japan; [Hoshina, Shiho; Hamada, Hiromichi] Tokyo Womens Med Univ, Yachiyo Med Ctr, Dept Pediat, 477-96 Owada Shinden, Chiba 2760046, Japan</t>
  </si>
  <si>
    <t>National Institute of Infectious Diseases (NIID); National Institute of Infectious Diseases (NIID); Tokyo Women's Medical University</t>
  </si>
  <si>
    <t>Hasegawa, Hideki/C-7978-2014</t>
  </si>
  <si>
    <t>Sekizuka, Tsuyoshi/0000-0002-1302-5472; Katano, Harutaka/0000-0002-5332-4434</t>
  </si>
  <si>
    <t>SEP 9</t>
  </si>
  <si>
    <t>e0162574</t>
  </si>
  <si>
    <t>10.1371/journal.pone.0162574</t>
  </si>
  <si>
    <t>WOS:000383255900129</t>
  </si>
  <si>
    <t>Gan, WQ; Chen, X; Wu, ZQ; Zhu, X; Liu, J; Wang, T; Gao, ZL</t>
  </si>
  <si>
    <t>Gan, Weiqiang; Chen, Xi; Wu, Zeqian; Zhu, Xiang; Liu, Jing; Wang, Tong; Gao, Zhiliang</t>
  </si>
  <si>
    <t>The relationship between serum exosome HBV-miR-3 and current virological markers and its dynamics in chronic hepatitis B patients on antiviral treatment</t>
  </si>
  <si>
    <t>ANNALS OF TRANSLATIONAL MEDICINE</t>
  </si>
  <si>
    <t>Chronic hepatitis B (CHB); viral markers; exosome; microRNA; hepatitis B surface antigen (HBsAg)</t>
  </si>
  <si>
    <t>VIRUS; CELLS; INFECTION; MICROPARTICLES; ASSOCIATION; PARTICLES; PROTEINS; VESICLES; RECEPTOR</t>
  </si>
  <si>
    <t>Background: Hepatitis B virus (HBV) can encode microRNA-HBV-miR-3, which can be detected in both HBV-infected cell lines and peripheral blood exosomes of chronic hepatitis B (CHB) patients. This study was conducted to further evaluate its relationship with the current viral markers and their dynamics during antiviral therapy. Methods: We used Stem-loop real time quantitative PCR (RT-qPCR) to quantify HBV-miR-3 in the serum exosomes of CHB patients by extracting exosomes using the Supbio exosome separation kit and designing primers and Taqman probes specific for HBV-miR-3. We conducted a cross-sectional study and two cohort studies. In the cross-sectional study, 48 treatment-naive (TN) CHB patients were enrolled. In the nucleoside analogues (NAs) cohort study, 20 hepatitis B e antigen (HBeAg) negative CHB patients with negative HBV DNA on NA therapy were followed up for 96 weeks. In the NAs + pegylated interferon (Peg-IFN) cohort study, 40 patients with hepatitis B surface antigen (HBsAg) &lt;1,500 IU/mL, negative HBV DNA, and HBeAg after NAs treatment were enrolled and were switched to Peg-IFN therapy for 48 weeks. HBV-miR-3 titers and other viral markers were detected at different time points. Results: HBV-miR-3 only existed in CHB patients with a concentration of 6.41 +/- 3.55 log10 copies/mL. HBV-miR-3 was positively correlated with HBV DNA, pregenomic RNA (pgRNA), and HBsAg. In the NAs cohort, HBsAg, pgRNA, and HBV-miR-3 levels showed little fluctuation during the 96 weeks of NA treatment (P&gt;0.05). In the NAs + PEG-IFN cohort, HBsAg, pgRNA, and HBV-miR-3 levels declined significantly during the 48 weeks of sequential therapy (P&lt;0.05). Conclusions: HBV-miR-3 was positively correlated with HBV DNA, pgRNA, and particularly HBsAg in TN CHB patients. Peg-IFN following NA therapy had a positive impact on HBsAg, pgRNA, and HBVmiR-3 decrease.</t>
  </si>
  <si>
    <t>[Gan, Weiqiang; Wu, Zeqian; Zhu, Xiang; Liu, Jing; Gao, Zhiliang] Sun Yat Sen Univ, Affiliated Hosp 3, Dept Infect Dis, Guangzhou 510630, Peoples R China; [Gan, Weiqiang; Gao, Zhiliang] Sun Yat Sen Univ, Affiliated Hosp 3, Guangdong Key Lab Liver Dis Res, Guangzhou, Peoples R China; [Gan, Weiqiang; Gao, Zhiliang] Sun Yat Sen Univ, Minist Educ, Key Lab Trop Dis Control, Guangzhou, Peoples R China; [Chen, Xi; Wang, Tong] Jinan Univ, Inst Life &amp; Hlth Engn, Guangzhou 510632, Peoples R China</t>
  </si>
  <si>
    <t>Sun Yat Sen University; Sun Yat Sen University; Sun Yat Sen University; Jinan University</t>
  </si>
  <si>
    <t>Gao, ZL (corresponding author), Sun Yat Sen Univ, Affiliated Hosp 3, Dept Infect Dis, Guangzhou 510630, Peoples R China.;Wang, T (corresponding author), Jinan Univ, Inst Life &amp; Hlth Engn, Guangzhou 510632, Peoples R China.</t>
  </si>
  <si>
    <t>tongwang@email.jnu.edu.cn; gaozhl@mail.sysu.edu.cn</t>
  </si>
  <si>
    <t>Wang, Tong/A-2750-2011</t>
  </si>
  <si>
    <t>Wang, Tong/0000-0002-5980-3380</t>
  </si>
  <si>
    <t>2305-5839</t>
  </si>
  <si>
    <t>2305-5847</t>
  </si>
  <si>
    <t>10.21037/atm-22-2119</t>
  </si>
  <si>
    <t>WOS:000802758400001</t>
  </si>
  <si>
    <t>Gao, HL; Wang, XL; Lin, CL; An, ZJ; Yu, JB; Cao, HY; Fan, Y; Liang, X</t>
  </si>
  <si>
    <t>Gao, Hailai; Wang, XiaoLi; Lin, Chaolan; An, Zhujun; Yu, Jiangbo; Cao, Huanyi; Fan, Ying; Liang, Xiao</t>
  </si>
  <si>
    <t>Exosomal MALAT1 derived from ox-LDL-treated endothelial cells induce neutrophil extracellular traps to aggravate atherosclerosis</t>
  </si>
  <si>
    <t>BIOLOGICAL CHEMISTRY</t>
  </si>
  <si>
    <t>atherosclerosis; endothelial cells; MALAT1; neutrophils; neutrophil extracellular traps</t>
  </si>
  <si>
    <t>ACTIVATION</t>
  </si>
  <si>
    <t>The objective of this study was to reveal a novel mechanism underlying the progression of atherosclerosis (AS) associated with endothelial cells (ECs) and neutrophils. Transmission electron microscopy (TEM) and nanoparticle tracking analysis (NTA) were used to observe the morphology and particle size of isolated exosomes. Western blotting was applied to examine exosomal markers, while the expression of metastasis-associated lung adenocarcinoma transcript 1 (MALAT1) was measured by quantitative real-time polymerase chain reaction (qRT-PCR). The production of inflammatory cytokines and reactive oxygen species (ROS) was determined by an enzyme-linked immunosorbent assay (ELISA) and a dichloro-dihydro-fluorescein diacetate (DCFH-DA) assay. Circulating neutrophil extracellular traps (NETs) were represented by myeloperoxidase (MPO)-DNA complexes. NETs formation was assessed using immunofluorescence microscopy. Atherosclerotic lesion development was measured by Oil Red O (ORO) staining. In the results, MALAT1 expression was increased in exosomes extracted from oxidized low-density lipoprotein (ox-LDL)-treated human umbilical vein endothelial cells (HUVECs). When co-cultured with human neutrophils, exosomes derived from ox-LDL-treated HUVECs were revealed to promote NETs formation, which was mediated by exosomal MALAT1. Furthermore, ox-LDL-treated HUVECs-derived exosomes were demonstrated to trigger hyperlipidemia, inflammatory response and NETs release in a mouse model of AS. In conclusion, exosomal MALAT1 derived from ox-LDL-treated ECs initiated NETs formation, which in turn deteriorated AS.</t>
  </si>
  <si>
    <t>[Fan, Ying; Liang, Xiao] Harbin Med Univ, Affiliated Hosp 1, Dept Cardiol, 23 Youzheng St, Harbin 150001, Heilongjiang, Peoples R China; [Gao, Hailai] First Hosp Harbin, Dept Cardiovasc, 151 Diduan St, Harbin 150010, Heilongjiang, Peoples R China; [Wang, XiaoLi] Qingdao Women &amp; Childrens Hosp, Dept Pneumol, 6 Tongfu Rd, Qingdao 266000, Shandong, Peoples R China; [Lin, Chaolan; Yu, Jiangbo] Harbin Med Univ, Dept Cardiovasc, Affiliated Hosp 1, 23 Youzheng St, Harbin 150001, Heilongjiang, Peoples R China; [An, Zhujun] Harbin Red Cross Ctr Hosp, Dept ICU, 415 Xinyang Rd, Harbin 150076, Heilongjiang, Peoples R China; [Cao, Huanyi] Chinese Univ Hong Kong, Dept Med &amp; Therapeut, Horse Mat Water, Shatin, Hong Kong, Peoples R China</t>
  </si>
  <si>
    <t>Harbin Medical University; Harbin Medical University; Chinese University of Hong Kong</t>
  </si>
  <si>
    <t>Fan, Y; Liang, X (corresponding author), Harbin Med Univ, Affiliated Hosp 1, Dept Cardiol, 23 Youzheng St, Harbin 150001, Heilongjiang, Peoples R China.</t>
  </si>
  <si>
    <t>fanying948@aliyun.com; xiaoliang_hmu@163.com</t>
  </si>
  <si>
    <t>1431-6730</t>
  </si>
  <si>
    <t>1437-4315</t>
  </si>
  <si>
    <t>10.1515/hsz-2019-0219</t>
  </si>
  <si>
    <t>WOS:000513877100005</t>
  </si>
  <si>
    <t>Hashimoto, Y; Macri, D; Srivastava, I; McPherson, C; Felberbaum, R; Post, P; Cox, M</t>
  </si>
  <si>
    <t>Hashimoto, Yoshifumi; Macri, Daniel; Srivastava, Indresh; McPherson, Clifton; Felberbaum, Rachael; Post, Penny; Cox, Manon</t>
  </si>
  <si>
    <t>Complete study demonstrating the absence of rhabdovirus in a distinct Sf9 cell line</t>
  </si>
  <si>
    <t>VESICULAR STOMATITIS-VIRUS; SPODOPTERA-FRUGIPERDA; RNA VIRUSES; EVOLUTION; MICROVESICLES; INFECTION; PROTEIN; IDENTIFICATION; HEPATITIS; EXOSOMES</t>
  </si>
  <si>
    <t>A putative novel rhabdovirus (SfRV) was previously identified in a Spodoptera frugiperda cell line (Sf9 cells [ATCC CRL-1711 lot 58078522]) by next generation sequencing and extensive bioinformatic analysis. We performed an extensive analysis of our Sf9 cell bank (ATCC CRL-1711 lot 5814 [Sf9(L5814)]) to determine whether this virus was already present in cells obtained from ATCC in 1987. Inverse PCR of DNA isolated from Sf9(L5814) cellular DNA revealed integration of SfRV sequences in the cellular genome. RT-PCR of total RNA showed a deletion of 320 nucleotides in the SfRV RNA that includes the transcriptional motifs for genes X and L. Concentrated cell culture supernatant was analyzed by sucrose density gradient centrifugation and revealed a single band at a density of 1.14 g/ml. This fraction was further analysed by electron microscopy and showed amorphous and particulate debris that did not resemble a rhabdovirus in morphology or size. SDS-PAGE analysis confirmed that the protein composition did not contain the typical five rhabdovirus structural proteins and LC-MS/MS analysis revealed primarily of exosomal marker proteins, the SfRV N protein, and truncated forms of SfRV N, P, and G proteins. The SfRV L gene fragment RNA sequence was recovered from the supernatant after ultracentrifugation of the 1.14 g/ml fraction treated with diethyl ether suggesting that the SfRV L gene fragment sequence is not associated with a diethyl ether resistant nucleocapsid. Interestingly, the 1.14 g/ml fraction was able to transfer baculovirus DNA into Sf9(L5814) cells, consistent with the presence of functional exosomes. Our results demonstrate the absence of viral particles in ATCC CRL-1711 lot 5814 Sf9 cells in contrast to a previous study that suggested the presence of infectious rhabdoviral particles in Sf9 cells from a different lot. This study highlights how cell lines with different lineages may present different virosomes and therefore no general conclusions can be drawn across Sf9 cells from different laboratories.</t>
  </si>
  <si>
    <t>[Hashimoto, Yoshifumi; Macri, Daniel; Srivastava, Indresh; McPherson, Clifton; Felberbaum, Rachael; Post, Penny; Cox, Manon] Prot Sci Corp, Meriden, CT 06450 USA</t>
  </si>
  <si>
    <t>Hashimoto, Y (corresponding author), Prot Sci Corp, Meriden, CT 06450 USA.</t>
  </si>
  <si>
    <t>yoshihashimoto@gmail.com</t>
  </si>
  <si>
    <t>e0175633</t>
  </si>
  <si>
    <t>10.1371/journal.pone.0175633</t>
  </si>
  <si>
    <t>WOS:000399875600038</t>
  </si>
  <si>
    <t>Cui, J; Wang, HY; Zhang, XH; Sun, XD; Zhang, J; Ma, JJ</t>
  </si>
  <si>
    <t>Cui, Jun; Wang, Haiyan; Zhang, Xiaohe; Sun, Xiaodong; Zhang, Jin; Ma, Jinji</t>
  </si>
  <si>
    <t>Exosomal miR-200c suppresses chemoresistance of docetaxel in tongue squamous cell carcinoma by suppressing TUBB3 and PPP2R1B</t>
  </si>
  <si>
    <t>tongue squamous cell carcinoma; docetaxel; chemoresistance; miR-200c; TUBB3; PPP2R1B</t>
  </si>
  <si>
    <t>BREAST-CANCER CELLS; PROSTATE-CANCER; MICRORNAS; RESISTANCE; PROGRESSION; SENSITIVITY; EXPRESSION; CISPLATIN; EMT; DIFFERENTIATION</t>
  </si>
  <si>
    <t>Background: Chemoresistance is the main challenge for treating tongue squamous cell carcinoma (TSCC). MiR-200c is an important regulator of chemoresistance. Exosomes are a promising molecule-delivery system for cancer treatment. Thus, this study aimed to investigate the role of miR-200c in chemoresistance of TSCC and whether exosomes could effectively deliver miR-200c to chemo-resistant cells and regulate cellular activities. Results: The results showed that the downregulation of miR-200c increased resistance to DTX, migration, and invasion and decreased apoptosis, which was reversed by the overexpression of miR-200c. The NTECs-derived exosomes transported miR-200c to HSC-3DR, increasing the sensitivity to DTX in vitro and in vivo. Also, epithelial-to-mesenchymal transition (EMT) and DNA damage responses were involved in DTX resistance. Furthermore, miR-200c regulated DTX resistance by targeting TUBB3 and PPP2R1B. Conclusion: Exosome-mediated miR-200c delivery may be an effective and promising strategy to treat chemoresistance in TSCC. Methods: Docetaxel (DTX) resistant HSC-3 cells (HSC-3DR) were transfected with miR-200c lentivirus and cocultured with exosomes derived from normal tongue epithelial cells (NTECs) that were overexpressed with miR-200c. The roles of miR-200c and exosomal miR-200c in vitro and in vivo were determined by RNA-Seq, qRT-PCR, western blots, transmission electron microscopy, and flow cytometry, fluorescence, CCK8, Transwell, and wound healing assays.</t>
  </si>
  <si>
    <t>[Cui, Jun] Jinan Stomatol Hosp, Dept Dent Implantol, Jinan 250001, Shandong, Peoples R China; [Wang, Haiyan] Shandong First Med Univ, Shandong Prov Qianfoshan Hosp, Dept Ultrasound, Hosp 1, Jinan 250014, Shandong, Peoples R China; [Zhang, Xiaohe; Sun, Xiaodong; Zhang, Jin; Ma, Jinji] Jinan Stomatol Hosp, Dept Oral Dis, Gaoxin Branch, Jinan 250001, Shandong, Peoples R China</t>
  </si>
  <si>
    <t>Shandong First Medical University &amp; Shandong Academy of Medical Sciences</t>
  </si>
  <si>
    <t>Ma, JJ (corresponding author), Jinan Stomatol Hosp, Dept Oral Dis, Gaoxin Branch, Jinan 250001, Shandong, Peoples R China.</t>
  </si>
  <si>
    <t>15945807694@163.com</t>
  </si>
  <si>
    <t>10.18632/aging.103036</t>
  </si>
  <si>
    <t>WOS:000530887200018</t>
  </si>
  <si>
    <t>von Felden, J; Garcia-Lezana, T; Schulze, K; Losic, B; Villanueva, A</t>
  </si>
  <si>
    <t>von Felden, Johann; Garcia-Lezana, Teresa; Schulze, Kornelius; Losic, Bojan; Villanueva, Augusto</t>
  </si>
  <si>
    <t>Liquid biopsy in the clinical management of hepatocellular carcinoma</t>
  </si>
  <si>
    <t>CIRCULATING TUMOR-CELLS; FREE DNA ANALYSIS; PLASMA DNA; DISEASE PROGRESSION; DOUBLE-BLIND; PHASE-III; BIOMARKER; SORAFENIB; SURVIVAL; CANCER</t>
  </si>
  <si>
    <t>With increasing knowledge on molecular tumour information, precision oncology has revolutionised the medical field over the past years. Liquid biopsy entails the analysis of circulating tumour components, such as circulating tumour DNA, tumour cells or tumour-derived extracellular vesicles, and has thus come as a handy tool for personalised medicine in many cancer entities. Clinical applications under investigation include early cancer detection, prediction of treatment response and molecular monitoring of the disease, for example, to comprehend resistance patterns and clonal tumour evolution. In fact, several tests for blood-based mutation profiling are already commercially available and have entered the clinical field. In the context of hepatocellular carcinoma, where access to tissue specimens remains mostly limited to patients with early stage tumours, liquid biopsy approaches might be particularly helpful. A variety of translational liquid biopsy studies have been carried out to address clinical needs, such as early hepatocellular carcinoma detection and prediction of treatment response. To this regard, methylation profiling of circulating tumour DNA has evolved as a promising surveillance tool for early hepatocellular carcinoma detection in populations at risk, which might soon transform the way surveillance programmes are implemented. This review summarises recent developments in the liquid biopsy oncological space and, in more detail, the potential implications in the clinical management of hepatocellular carcinoma. It further outlines technical peculiarities across liquid biopsy technologies, which might be helpful for interpretation by non-experts.</t>
  </si>
  <si>
    <t>[von Felden, Johann; Schulze, Kornelius] Univ Klinikum Hamburg Eppendorf, Dept Internal Med, Hamburg, Germany; [Garcia-Lezana, Teresa; Villanueva, Augusto] Icahn Sch Med Mt Sinai, Liver Canc Program, Tisch Canc Inst, Div Liver Dis,Dept Med, New York, NY 10029 USA; [Losic, Bojan] Icahn Sch Med Mt Sinai, Dept Genet &amp; Genom Sci, New York, NY 10029 USA; [Villanueva, Augusto] Icahn Sch Med Mt Sinai, Dept Med, Div Hematol &amp; Med Oncol, New York, NY 10029 USA</t>
  </si>
  <si>
    <t>University of Hamburg; University Medical Center Hamburg-Eppendorf; Icahn School of Medicine at Mount Sinai; Icahn School of Medicine at Mount Sinai; Icahn School of Medicine at Mount Sinai</t>
  </si>
  <si>
    <t>von Felden, J (corresponding author), Univ Klinikum Hamburg Eppendorf, Dept Internal Med, Hamburg, Germany.;Villanueva, A (corresponding author), Icahn Sch Med Mt Sinai, Liver Canc Program, Tisch Canc Inst, Div Liver Dis,Dept Med, New York, NY 10029 USA.</t>
  </si>
  <si>
    <t>j.von-felden@uke.de; augusto.villanueva@mssm.edu</t>
  </si>
  <si>
    <t>von Felden, Johann/0000-0003-2839-5174</t>
  </si>
  <si>
    <t>10.1136/gutjnl-2019-320282</t>
  </si>
  <si>
    <t>WOS:000582822600017</t>
  </si>
  <si>
    <t>Zhang, LX; Parvin, R; Fan, QH; Ye, FF</t>
  </si>
  <si>
    <t>Zhang, Lexiang; Parvin, Rokshana; Fan, Qihui; Ye, Fangfu</t>
  </si>
  <si>
    <t>Emerging digital PCR technology in precision medicine</t>
  </si>
  <si>
    <t>Digital PCR; Precision medicine; Diagnostic; Microfluidics; Nucleic acids detection; Cancer therapy; Infectious disease</t>
  </si>
  <si>
    <t>CELL-FREE DNA; POLYMERASE-CHAIN-REACTION; CIRCULATING TUMOR-CELLS; BREAST-CANCER; DROPLET MICROFLUIDICS; KRAS MUTATIONS; COPY NUMBERS; QUANTIFICATION; PLASMA; RNA</t>
  </si>
  <si>
    <t>Digital PCR (dPCR) is built on partitioning reagent to the extent that single template molecules are amplified and visualized individually, whereby offers higher precision and other better indicators than the former PCR techniques. Accordingly, dPCR is particular suited for precision medicine applications that require accurate molecular characterization with high sensitivity. This review aims to summarize different applications of dPCR in precision medicine. The state-of-the-art progress of dPCR technique is first introduced, including novel prototype machines and dPCR-integrated biochips. Then the clinical applications based on dPCR technique are briefly described, for instance, detecting biomarkers from tissues and various biopsies components including cell free DNA, circulating tumor cells, extracellular vesicles, and proteins. These emerging dPCR applications have been accepted as auxiliary diagnostic methods in various areas like oncology, infectious disease, and the like. Meanwhile, a usage overview is provided, focusing on successful clinical pilot studies that dPCR is utilized to improve the performances of rare event detection, fine resolution of gene expression analysis, and multiplexing. Finally, some implications and challenges in future research concerning dPCR technique are also discussed.</t>
  </si>
  <si>
    <t>[Zhang, Lexiang; Parvin, Rokshana; Ye, Fangfu] Univ Chinese Acad Sci, Wenzhou Inst, Oujiang Lab, Zhejiang Lab Regenerat Med,Vis &amp; Brain Hlth, Wenzhou 325000, Zhejiang, Peoples R China; [Fan, Qihui; Ye, Fangfu] Chinese Acad Sci, Inst Phys, Beijing Natl Lab Condensed Matter Phys, Beijing 100190, Peoples R China</t>
  </si>
  <si>
    <t>Chinese Academy of Sciences; University of Chinese Academy of Sciences, CAS; Chinese Academy of Sciences; Institute of Physics, CAS</t>
  </si>
  <si>
    <t>Ye, FF (corresponding author), Univ Chinese Acad Sci, Wenzhou Inst, Oujiang Lab, Zhejiang Lab Regenerat Med,Vis &amp; Brain Hlth, Wenzhou 325000, Zhejiang, Peoples R China.;Fan, QH; Ye, FF (corresponding author), Chinese Acad Sci, Inst Phys, Beijing Natl Lab Condensed Matter Phys, Beijing 100190, Peoples R China.</t>
  </si>
  <si>
    <t>fanqh@iphy.ac.cn; fye@iphy.ac.cn</t>
  </si>
  <si>
    <t>Zhang, Lexiang/0000-0003-0374-4382</t>
  </si>
  <si>
    <t>10.1016/j.bios.2022.114344</t>
  </si>
  <si>
    <t>WOS:000806011800005</t>
  </si>
  <si>
    <t>Li, F; Wei, F; Huang, WL; Lin, CC; Li, L; Shen, MM; Yan, QX; Liao, W; Chia, D; Tu, M; Tang, JH; Feng, ZD; Kim, Y; Su, WC; Wong, DTW</t>
  </si>
  <si>
    <t>Li, Feng; Wei, Fang; Huang, Wei-Lun; Lin, Chien-Chung; Li, Liang; Shen, Macy M.; Yan, Qingxiang; Liao, Wei; Chia, David; Tu, Michael; Tang, Jason H.; Feng, Ziding; Kim, Yong; Su, Wu-Chou; Wong, David T. W.</t>
  </si>
  <si>
    <t>Ultra-Short Circulating Tumor DNA (usctDNA) in Plasma and Saliva of Non-Small Cell Lung Cancer (NSCLC) Patients</t>
  </si>
  <si>
    <t>EFIRM; liquid biopsy; non-small cell lung carcinoma; usctDNA; EGFRmutation</t>
  </si>
  <si>
    <t>TYROSINE KINASE INHIBITORS; COPY NUMBER ABERRATIONS; FIELD-INDUCED RELEASE; LIQUID-BIOPSY; NONINVASIVE DETECTION; MUTATION DETECTION; EGFR MUTATIONS; STRANDED-DNA; EXOSOMES; KRAS</t>
  </si>
  <si>
    <t>Mutations identified in the epidermal growth factor receptor (EGFR) predict sensitivity to EGFR-targeted therapy for non-small cell lung carcinoma (NSCLC). We previously reported that Electric Field-Induced Release and Measurement (EFIRM)-based liquid biopsy could detect EGFR ctDNA with &gt;94% concordance with tissue-based genotyping. A side-by-side comparison of concordance of EFIRM and droplet digital PCR (ddPCR) for the detection of the two front-line actionable EFGR mutations was performed with paired plasma and saliva samples from 13 NSCLC patients. Deep sequencing analysis based on single-strand DNA library preparation was employed to determine the size distributions of EGFR L858R ctDNA in plasma and saliva samples. EFIRM detected both EGFR mutations with 100% sensitivity in both plasma and saliva samples, whereas ddPCR detected EGFR mutations with sensitivities of 84.6% and 15.4%, respectively. In saliva samples, the majority of EGFR L858R ctDNA fragments detected were &lt;80 bp. Deep sequencing analysis of ctDNA enriched for the EGFR L858R mutation revealed the significant presence of EGFR L858R ctDNA as ultra-short circulating tumor DNA (usctDNA) with the size of 40-60 bp in patient plasma and saliva. Most of usctDNAs are not amplifiable with the current ddPCR assay. Further examination using cell lines and patient biofluids revealed that the majority of usctDNAs were predominately localized in the exosomal fraction. Our study revealed the abundant existence of EGFR ctDNA in the plasma and saliva of NSCLC patients is usctDNA. usctDNA is a novel type of targets for liquid biopsy that can be efficiently detected by EFIRM technology.</t>
  </si>
  <si>
    <t>[Li, Feng; Wei, Fang; Li, Liang; Shen, Macy M.; Liao, Wei; Chia, David; Tu, Michael; Tang, Jason H.; Kim, Yong; Wong, David T. W.] Univ Calif Los Angeles, Sch Dent, Los Angeles, CA 90095 USA; [Huang, Wei-Lun; Lin, Chien-Chung; Su, Wu-Chou] Natl Cheng Kung Univ, Natl Cheng Kung Univ Hosp, Coll Med, Dept Internal Med, Tainan 70101, Taiwan; [Li, Liang] Hunan Univ Chinese Med, Inst Diagnost Chinese Med, Changsha 410208, Peoples R China; [Yan, Qingxiang; Feng, Ziding] Univ Texas MD Anderson Canc Ctr, Dept Biostat, Houston, TX 77030 USA</t>
  </si>
  <si>
    <t>University of California System; University of California Los Angeles; National Cheng Kung University; National Cheng Kung University Hospital; Hunan University of Chinese Medicine; University of Texas System; UTMD Anderson Cancer Center</t>
  </si>
  <si>
    <t>Wong, DTW (corresponding author), Univ Calif Los Angeles, Sch Dent, Los Angeles, CA 90095 USA.;Su, WC (corresponding author), Natl Cheng Kung Univ, Natl Cheng Kung Univ Hosp, Coll Med, Dept Internal Med, Tainan 70101, Taiwan.</t>
  </si>
  <si>
    <t>fengli@ucla.edu; frada@ucla.edu; r4215652@gmail.com; joshcclin@gmail.com; superliliang@126.com; macy.macy@gmail.com; yan.marky@gmail.com; wliao78@gmail.com; dchia@mednet.ucla.edu; mtu777@gmail.com; truehieu@gmail.com; zfeng@fredhutch.org; thadyk@ucla.edu; sunnysu@mail.ncku.edu.tw; dtww@ucla.edu</t>
  </si>
  <si>
    <t>Lin, Chien-Chung/T-1496-2019; li, liang/ABB-5357-2021</t>
  </si>
  <si>
    <t>Lin, Chien-Chung/0000-0002-4739-5631; Tu, Michael/0000-0002-7227-4030; Huang, Wei-Lun/0000-0001-5527-287X; Chia, David/0000-0002-0723-3670; Kim, Yong/0000-0002-6220-4063; Li, Feng/0000-0002-5819-734X; Wong, David/0000-0002-0290-2206</t>
  </si>
  <si>
    <t>10.3390/cancers12082041</t>
  </si>
  <si>
    <t>WOS:000579050500001</t>
  </si>
  <si>
    <t>Gade, A; Sharma, A; Srivastava, N; Flora, SJS</t>
  </si>
  <si>
    <t>Gade, Anushree; Sharma, Ankita; Srivastava, Nidhi; Flora, S. J. S.</t>
  </si>
  <si>
    <t>Surface plasmon resonance: A promising approach for label-free early cancer diagnosis</t>
  </si>
  <si>
    <t>Cancer; Biomarkers; Biosensors; Plasmonic nanomaterials</t>
  </si>
  <si>
    <t>BREAST-CANCER; BIOMARKER DETECTION; LUNG-CANCER; BIOSENSOR; SPR; EXOSOMES; IMMUNOSENSOR; SENSORS; MARKER; CELLS</t>
  </si>
  <si>
    <t>Cancer is the second leading cause of death worldwide after cardiovascular disease. The major cause of high mortality is delayed detection. Therefore, detection at an early stage followed by early treatment can mitigate morbidity as well as mortality. The utilization of biomarker-based detection tools helps in early-stage recogni-tion. Fortunately, biomarkers indicating disease status are released in to the circulation. These include traditional marker proteins as well as exosomes, micro-RNA (miRNA) and circulating tumor DNA (ct-DNA). Biosensors are biological and chemical reaction devices that generate signals based on analyte concentration. Due to analyte binding, these devices demonstrate high sensitivity and specificity. This review examines the use of surface plasmon resonance (SPR)-based sensors in the diagnosis of various cancer including those of the breast, prostate, lung, ovary, cervix and pancreas. SPR is a label-free, real-time and non-invasive optical biosensing technology representing a novel diagnostic tool in cancer detection.</t>
  </si>
  <si>
    <t>[Gade, Anushree; Sharma, Ankita; Srivastava, Nidhi] Natl Inst Pharmaceut Educ &amp; Res Raebareli, Dept Biotechnol, Bijnor Sisendi Rd,PO Mati, Lucknow 226002, India; [Flora, S. J. S.] Natl Inst Pharmaceut Educ &amp; Res Raebareli, Dept Pharmacol &amp; Toxicol, Bijnor Sisendi Rd,PO Mati, Lucknow 226002, India</t>
  </si>
  <si>
    <t>Flora, SJS (corresponding author), Natl Inst Pharmaceut Educ &amp; Res Raebareli, Dept Pharmacol &amp; Toxicol, Bijnor Sisendi Rd,PO Mati, Lucknow 226002, India.</t>
  </si>
  <si>
    <t>sjsflora@hotmail.com</t>
  </si>
  <si>
    <t>10.1016/j.cca.2022.01.023</t>
  </si>
  <si>
    <t>WOS:000790572600011</t>
  </si>
  <si>
    <t>Lalonde, E; Alkallas, R; Chua, MLK; Fraser, M; Haider, S; Meng, A; Zheng, J; Yao, CQ; Picard, V; Orain, M; Hovington, H; Murgic, J; Berlin, A; Lacombe, L; Bergeron, A; Fradet, Y; Tetu, B; Lindberg, J; Egevad, L; Gronberg, H; Ross-Adams, H; Lamb, AD; Halim, S; Dunning, MJ; Neal, DE; Pintilie, M; van der Kwast, T; Bristow, RG; Boutros, PC</t>
  </si>
  <si>
    <t>Lalonde, Emilie; Alkallas, Rached; Chua, Melvin Lee Kiang; Fraser, Michael; Haider, Syed; Meng, Alice; Zheng, Junyan; Yao, Cindy Q.; Picard, Valerie; Orain, Michele; Hovington, Helene; Murgic, Jure; Berlin, Alejandro; Lacombe, Louis; Bergeron, Alain; Fradet, Yves; Tetu, Bernard; Lindberg, Johan; Egevad, Lars; Gronberg, Henrik; Ross-Adams, Helen; Lamb, Alastair D.; Halim, Silvia; Dunning, Mark J.; Neal, David E.; Pintilie, Melania; van der Kwast, Theodorus; Bristow, Robert G.; Boutros, Paul C.</t>
  </si>
  <si>
    <t>Translating a Prognostic DNA Genomic Classifier into the Clinic: Retrospective Validation in 563 Localized Prostate Tumors</t>
  </si>
  <si>
    <t>Genomic classifier; Genomic signature; Prognosis; Localized prostate cancer; Precision medicine; Copy number alteration; CNA; CNV</t>
  </si>
  <si>
    <t>CANCER AGGRESSIVENESS; COPY NUMBER; BIOMARKERS; HETEROGENEITY; IDENTIFICATION; EXOSOMES; MODEL; ASSAY; MEN</t>
  </si>
  <si>
    <t>Background: Localized prostate cancer is clinically heterogeneous, despite clinical risk groups that represent relative prostate cancer-specific mortality. We previously developed a 100-locus DNA classifier capable of substratifying patients at risk of biochemical relapse within clinical risk groups. Objective: The 100-locus genomic classifier was refined to 31 functional loci and tested with standard clinical variables for the ability to predict biochemical recurrence (BCR) and metastasis. Design, setting, and participants: Four retrospective cohorts of radical prostatectomy specimens from patients with localized disease were pooled, and an additional 102-patient cohort used to measure the 31-locus genomic classifier with the NanoString platform. Outcome measurements and statistical analysis: The genomic classifier scores were tested for their ability to predict BCR (n = 563) and metastasis (n = 154), and compared with clinical risk stratification schemes. Results and limitations: The 31-locus genomic classifier performs similarly to the 100-locus classifier. It identifies patients with elevated BCR rates (hazard ratio = 2.73, p &lt; 0.001) and patients that eventually develop metastasis (hazard ratio = 7.79, p &lt; 0.001). Combining the genomic classifier with standard clinical variables outperforms clinical models. Finally, the 31-locus genomic classifier was implemented using a NanoString assay. The study is limited to retrospective cohorts. Conclusions: The 100-locus and 31-locus genomic classifiers reliably identify a cohort of men with localized disease who have an elevated risk of failure. The NanoString assay will be useful for selecting patients for treatment deescalation or escalation in prospective clinical trials based on clinico-genomic scores from pretreatment biopsies. Patient summary: It is challenging to determine whether tumors confined to the prostate are aggressive, leading to significant undertreatment and overtreatment. We validated a test based on prostate tumor DNA that improves estimations of relapse risk, and that can help guide treatment planning. (C) 2016 European Association of Urology. Published by Elsevier B.V. All rights reserved.</t>
  </si>
  <si>
    <t>[Lalonde, Emilie; Alkallas, Rached; Haider, Syed; Yao, Cindy Q.; Boutros, Paul C.] Ontario Inst Canc Res, Informat &amp; Biocomp Program, Toronto, ON, Canada; [Lalonde, Emilie; Bristow, Robert G.; Boutros, Paul C.] Univ Toronto, Dept Med Biophys, Toronto, ON, Canada; [Chua, Melvin Lee Kiang; Murgic, Jure; Berlin, Alejandro; Bristow, Robert G.] Princess Margaret Canc Ctr, Radiat Med Program, Toronto, ON, Canada; [Fraser, Michael; Meng, Alice; Zheng, Junyan; Bristow, Robert G.] Univ Hlth Network, Princess Margaret Canc Ctr, Toronto, ON, Canada; [Pintilie, Melania] Univ Hlth Network, Princess Margaret Canc Ctr, Dept Biostat, Toronto, ON, Canada; [Picard, Valerie; Orain, Michele; Hovington, Helene; Lacombe, Louis; Bergeron, Alain; Fradet, Yves; Tetu, Bernard] Univ Laval, CHU Quebec, Ctr Rech, Quebec City, PQ, Canada; [Lindberg, Johan; Gronberg, Henrik] Karolinska Inst, Dept Med Epidemiol &amp; Biostat, Stockholm, Sweden; [Egevad, Lars] Karolinska Inst, Dept Pathol &amp; Oncol, Stockholm, Sweden; [Ross-Adams, Helen; Lamb, Alastair D.; Halim, Silvia; Dunning, Mark J.; Neal, David E.] Univ Cambridge, Canc Res UK Cambridge Inst, Cambridge, England; [Lamb, Alastair D.; Neal, David E.] Addenbrookes Hosp, Dept Urol, Cambridge, England; [Lamb, Alastair D.] Univ Cambridge, Acad Urol Grp, Cambridge, England; [van der Kwast, Theodorus] Univ Hlth Network, Toronto Gen Hosp, Dept Pathol &amp; Lab Med, Toronto, ON, Canada; [Boutros, Paul C.] Univ Toronto, Dept Pharmacol &amp; Toxicol, Toronto, ON, Canada</t>
  </si>
  <si>
    <t>Ontario Institute for Cancer Research; University of Toronto; University of Toronto; University Health Network Toronto; Princess Margaret Cancer Centre; University of Toronto; University Health Network Toronto; Princess Margaret Cancer Centre; University of Toronto; University Health Network Toronto; Princess Margaret Cancer Centre; Laval University; Karolinska Institutet; Karolinska Institutet; Cancer Research UK; CRUK Cambridge Institute; University of Cambridge; Addenbrooke's Hospital; University of Cambridge; University of Cambridge; University of Toronto; University Health Network Toronto; Toronto General Hospital; University of Toronto</t>
  </si>
  <si>
    <t>Bristow, RG (corresponding author), Princess Margaret Hosp, 610 Univ Ave, Toronto, ON M5G2M9, Canada.;Boutros, PC (corresponding author), Ontario Inst Canc Res, 661 Univ Ave,Suite 510, Toronto, ON M5G 0A3, Canada.</t>
  </si>
  <si>
    <t>Rob.Bristow@rmp.uhn.on.ca; Paul.Boutros@oicr.on.ca</t>
  </si>
  <si>
    <t>Murgic, Jure/AAW-1821-2021; Lamb, Alastair/AAD-6375-2019; Chua, Melvin LK/ABG-6045-2020</t>
  </si>
  <si>
    <t>Murgic, Jure/0000-0001-8152-0494; Chua, Melvin LK/0000-0002-1648-1473; Fradet, Yves/0000-0002-7581-2500; Ross-Adams, Helen/0000-0003-1338-742X; Bergeron, Alain/0000-0002-2875-0773; Bristow, Robert/0000-0002-8553-9544; Lindberg, Johan/0000-0003-3610-6774; Lalonde, Emilie/0000-0002-8573-1966; Boutros, Paul/0000-0003-0553-7520; Dunning, Mark/0000-0002-8853-9435; Van der Kwast, Theodorus/0000-0001-8640-5786; Picard, Valerie/0000-0002-8414-863X; Berlin, Alejandro/0000-0002-1880-6905; Lacombe, Louis/0000-0003-4811-0308</t>
  </si>
  <si>
    <t>10.1016/j.eururo.2016.10.013</t>
  </si>
  <si>
    <t>WOS:000403205900012</t>
  </si>
  <si>
    <t>Chen, Y; Yuan, XJ; Li, YL; Chen, J; Wu, SN; Jiang, A; Miao, XF; Shu, Q</t>
  </si>
  <si>
    <t>Chen, Yi; Yuan, Xiaojian; Li, Yonglin; Chen, Jie; Wu, Shannan; Jiang, Amin; Miao, Xuefeng; Shu, Qiang</t>
  </si>
  <si>
    <t>Circulating exosomal microRNA-18a-5p accentuates intestinal inflammation in Hirschsprung-associated enterocolitis by targeting RORA</t>
  </si>
  <si>
    <t>Hirschsprung-associated enterocolitis; miR-18a-5p; RORA; SIRT1/NF kappa B; inflammation</t>
  </si>
  <si>
    <t>PATHOGENESIS; DIAGNOSIS; GENE</t>
  </si>
  <si>
    <t>The relevance of stem cell-derived exosomes has been implicated in necrotizing enterocolitis, while the involvement of serum-derived exosomes from children with Hirschsprung-associated enterocolitis (HAEC) in pathogenesis of HAEC remains unclear. This study set to identify the roles of exosomal microRNA (miR)-18a-5p from sera of HAEC patients in human-derived colonic epithelial NCM460 cells and in mice with HAEC. Exosomes were isolated from the sera of healthy children (Healthy-exo), patients with Hirschsprung's disease (HSCR) (HSCR-exo) or HAEC (HAEC-exo). A microarray analysis of miRNAs was implemented to assess the enrichment of miRNAs in these exosomes. HAEC-exo was significantly enriched in miR-18a-5p. HAEC-exo led to the generation of a pro-inflammatory microenvironment, inhibition of cellular DNA synthesis, and promotion of apoptosis in NCM460 cells. Mechanistically, miR-18a-5p targeted and repressed retinoid-related orphan receptor alpha (RORA) expression, thereby regulating the Sirtuin 1 (SIRT1)/nuclear factor-kappa B (NF kappa B) pathway. Overexpression of RORA ameliorated inflammatory damage in NCM460 cells caused by exosomal miR-18a-5p. HAEC-exo exacerbated inflammatory damage in HAEC mice, and this facilitation was reversed after RORA overexpression. Collectively, exosomal miR-18a-5p was a promoter of HAEC, which induces the intestine cell apoptosis and inflammatory responses through the inhibition of SIRT1/NF kappa B pathway by targeting RORA.</t>
  </si>
  <si>
    <t>[Chen, Yi] Yiwu Matern &amp; Children Hosp, Dept Nosocomial Infect, Jinhua 322000, Zhejiang, Peoples R China; [Yuan, Xiaojian] Zhejiang Univ, Sch Med, Dept Pediat, Hangzhou 310011, Zhejiang, Peoples R China; [Li, Yonglin; Wu, Shannan; Jiang, Amin; Miao, Xuefeng] Yiwu Matern &amp; Child Hlth Hosp, Dept Pediat Surg, Jinhua 322000, Zhejiang, Peoples R China; [Chen, Jie] Jiaxing Maternal &amp; Child Hlth Hosp, Dept Pediat Surg, Jiaxing 314051, Zhejiang, Peoples R China; [Shu, Qiang] Zhejiang Univ, Childrens Hosp, Dept Cardiothorac Surg, 3333 Binsheng Rd, Hangzhou 310000, Zhejiang, Peoples R China</t>
  </si>
  <si>
    <t>Shu, Q (corresponding author), Zhejiang Univ, Childrens Hosp, Dept Cardiothorac Surg, 3333 Binsheng Rd, Hangzhou 310000, Zhejiang, Peoples R China.</t>
  </si>
  <si>
    <t>Shuqiang12111@126.com</t>
  </si>
  <si>
    <t>WOS:000657484100003</t>
  </si>
  <si>
    <t>Lohr, KM; Bernstein, AI; Stout, KA; Dunn, AR; Lazo, CR; Alter, SP; Wang, MZ; Li, YJ; Fan, XL; Hess, EJ; Yi, H; Vecchio, LM; Goldstein, DS; Guillot, TS; Salahpour, A; Miller, GW</t>
  </si>
  <si>
    <t>Lohr, Kelly M.; Bernstein, Alison I.; Stout, Kristen A.; Dunn, Amy R.; Lazo, Carlos R.; Alter, Shawn P.; Wang, Minzheng; Li, Yingjie; Fan, Xueliang; Hess, Ellen J.; Yi, Hong; Vecchio, Laura M.; Goldstein, David S.; Guillot, Thomas S.; Salahpour, Ali; Miller, Gary W.</t>
  </si>
  <si>
    <t>Increased vesicular monoamine transporter enhances dopamine release and opposes Parkinson disease-related neurodegeneration in vivo</t>
  </si>
  <si>
    <t>SLC18A2; fast-scan cyclic voltammetry; serotonin; norepinephrine</t>
  </si>
  <si>
    <t>QUANTAL SIZE; MOUSE MODEL; ALPHA-SYNUCLEIN; KNOCKOUT MICE; EXPRESSION; AMPHETAMINE; STORAGE; NEURONS; COCAINE; BRAIN</t>
  </si>
  <si>
    <t>Disruption of neurotransmitter vesicle dynamics (transport, capacity, release) has been implicated in a variety of neurodegenerative and neuropsychiatric conditions. Here, we report a novel mouse model of enhanced vesicular function via bacterial artificial chromosome (BAC)-mediated overexpression of the vesicular monoamine transporter 2 (VMAT2; Slc18a2). A twofold increase in vesicular transport enhances the vesicular capacity for dopamine (56%), dopamine vesicle volume (33%), and basal tissue dopamine levels (21%) in the mouse striatum. The elevated vesicular capacity leads to an increase in stimulated dopamine release (84%) and extracellular dopamine levels (44%). VMAT2-overexpressing mice show improved outcomes on anxiety and depressive-like behaviors and increased basal locomotor activity (41%). Finally, these mice exhibit significant protection from neurotoxic insult by the dopaminergic toxicant 1-methyl-4-phenyl-1,2,3,6-tetrahydropyridine (MPTP), as measured by reduced dopamine terminal damage and substantia nigra pars compacta cell loss. The increased release of dopamine and neuroprotection from MPTP toxicity in the VMAT2-overexpressing mice suggest that interventions aimed at enhancing vesicular capacity may be of therapeutic benefit in Parkinson disease.</t>
  </si>
  <si>
    <t>[Lohr, Kelly M.; Bernstein, Alison I.; Stout, Kristen A.; Dunn, Amy R.; Lazo, Carlos R.; Alter, Shawn P.; Wang, Minzheng; Li, Yingjie; Guillot, Thomas S.; Miller, Gary W.] Emory Univ, Rollins Sch Publ Hlth, Dept Environm Hlth, Atlanta, GA 30322 USA; [Fan, Xueliang; Hess, Ellen J.; Miller, Gary W.] Emory Univ, Dept Pharmacol, Atlanta, GA 30322 USA; [Hess, Ellen J.; Miller, Gary W.] Emory Univ, Dept Neurol, Atlanta, GA 30322 USA; [Yi, Hong] Emory Univ, Robert P Apkarian Integrated Electron Microscopy, Atlanta, GA 30322 USA; [Miller, Gary W.] Emory Univ, Ctr Neurodegenerat Dis, Atlanta, GA 30322 USA; [Vecchio, Laura M.; Salahpour, Ali] Univ Toronto, Dept Pharmacol &amp; Toxicol, Toronto, ON M5S 1A8, Canada; [Goldstein, David S.] NINDS, Bethesda, MD 20824 USA</t>
  </si>
  <si>
    <t>Emory University; Rollins School Public Health; Emory University; Emory University; Emory University; Emory University; University of Toronto; National Institutes of Health (NIH) - USA; NIH National Institute of Neurological Disorders &amp; Stroke (NINDS)</t>
  </si>
  <si>
    <t>Miller, GW (corresponding author), Emory Univ, Rollins Sch Publ Hlth, Dept Environm Hlth, Atlanta, GA 30322 USA.</t>
  </si>
  <si>
    <t>gary.miller@emory.edu</t>
  </si>
  <si>
    <t>Bernstein, Alison/H-9702-2019</t>
  </si>
  <si>
    <t>Bernstein, Alison/0000-0002-5589-4318; Stout, Kristen/0000-0002-3641-5326; Lohr, Kelly/0000-0002-0471-505X; Dunn, Amy/0000-0001-6437-6099; Miller, Gary/0000-0001-8984-1284; Vecchio, Laura M./0000-0003-1520-9336</t>
  </si>
  <si>
    <t>JUL 8</t>
  </si>
  <si>
    <t>10.1073/pnas.1402134111</t>
  </si>
  <si>
    <t>WOS:000338514800062</t>
  </si>
  <si>
    <t>Hughes, AN; Appel, B</t>
  </si>
  <si>
    <t>Hughes, Alexandria N.; Appel, Bruce</t>
  </si>
  <si>
    <t>Oligodendrocytes express synaptic proteins that modulate myelin sheath formation</t>
  </si>
  <si>
    <t>ADHESION MOLECULE; SYNAPTOGENIC PROTEINS; PRECURSOR CELLS; NERVOUS-SYSTEM; SYNAPSES; NEURONS; COLOCALIZATION; RELEASE; SYNCAM; FAMILY</t>
  </si>
  <si>
    <t>Vesicular release from neurons promotes myelin sheath growth on axons. Oligodendrocytes express proteins that allow dendrites to respond to vesicular release at synapses, suggesting that axon-myelin contacts use similar communication mechanisms as synapses to form myelin sheaths. To test this, we used fusion proteins to track synaptic vesicle localization and membrane fusion in zebrafish during developmental myelination and investigated expression and localization of PSD95, a dendritic post-synaptic protein, within oligodendrocytes. Synaptic vesicles accumulate and exocytose at ensheathment sites with variable patterning and most sheaths localize PSD95 with patterning similar to exocytosis site location. Disruption of candidate PDZ-binding transsynaptic adhesion proteins in oligodendrocytes cause variable effects on sheath length and number. One candidate, Cadmlb, localizes to myelin sheaths where both PDZ binding and extracellular adhesion to axons mediate sheath growth. Our work raises the possibility that axon-glial communication contributes to myelin plasticity, providing new targets for mechanistic unraveling of developmental myelination.</t>
  </si>
  <si>
    <t>[Hughes, Alexandria N.; Appel, Bruce] Univ Colorado, Sch Med, Anschutz Med Campus, Aurora, CO 80045 USA</t>
  </si>
  <si>
    <t>University of Colorado System; University of Colorado Anschutz Medical Campus</t>
  </si>
  <si>
    <t>Appel, B (corresponding author), Univ Colorado, Sch Med, Anschutz Med Campus, Aurora, CO 80045 USA.</t>
  </si>
  <si>
    <t>bruce.appel@cuanschutz.edu</t>
  </si>
  <si>
    <t>Hughes, Alexandria/0000-0003-3922-7045</t>
  </si>
  <si>
    <t>10.1038/s41467-019-12059-y</t>
  </si>
  <si>
    <t>WOS:000485216900011</t>
  </si>
  <si>
    <t>Tramutola, A; Falcucci, S; Brocco, U; Triani, F; Lanzillotta, C; Donati, M; Panetta, C; Luzi, F; Iavarone, F; Vincenzoni, F; Castagnola, M; Perluigi, M; Di Domenico, F; De Marco, F</t>
  </si>
  <si>
    <t>Tramutola, Antonella; Falcucci, Susanna; Brocco, Umberto; Triani, Francesca; Lanzillotta, Chiara; Donati, Michele; Panetta, Chiara; Luzi, Fabiola; Iavarone, Federica; Vincenzoni, Federica; Castagnola, Massimo; Perluigi, Marzia; Di Domenico, Fabio; De Marco, Federico</t>
  </si>
  <si>
    <t>Protein Oxidative Damage in UV-Related Skin Cancer and Dysplastic Lesions Contributes to Neoplastic Promotion and Progression</t>
  </si>
  <si>
    <t>ultraviolet; solar radiation; skin cancer; carcinogenesis; cancer promotion; protein oxidation; redox proteomics; protein damage; stress response</t>
  </si>
  <si>
    <t>P53 CODON-72 POLYMORPHISM; DISULFIDE-ISOMERASE; DNA-REPAIR; HEAT-SHOCK; CELL-DEATH; DJ-1; MUTATION; STRESS; CALRETICULIN; APOPTOSIS</t>
  </si>
  <si>
    <t>The ultraviolet (UV) component of solar radiation is the major driving force of skin carcinogenesis. Most of studies on UV carcinogenesis actually focus on DNA damage while their proteome-damaging ability and its contribution to skin carcinogenesis have remained largely underexplored. A redox proteomic analysis of oxidized proteins in solar-induced neoplastic skin lesion and perilesional areas has been conducted showing that the protein oxidative burden mostly concerns a selected number of proteins participating to a defined set of functions, namely: chaperoning and stress response; protein folding/refolding and protein quality control; proteasomal function; DNA damage repair; protein- and vesicle-trafficking; cell architecture, adhesion/extra-cellular matrix (ECM) interaction; proliferation/oncosuppression; apoptosis/survival, all of them ultimately concurring either to structural damage repair or to damage detoxication and stress response. In peri-neoplastic areas the oxidative alterations are conducive to the persistence of genetic alterations, dysfunctional apoptosis surveillance, and a disrupted extracellular environment, thus creating the condition for transformant clones to establish, expand and progress. A comparatively lower burden of oxidative damage is observed in neoplastic areas. Such a finding can reflect an adaptive selection of best fitting clones to the sharply pro-oxidant neoplastic environment. In this context the DNA damage response appears severely perturbed, thus sustaining an increased genomic instability and an accelerated rate of neoplastic evolution. In conclusion UV radiation, in addition to being a cancer-initiating agent, can act, through protein oxidation, as a cancer-promoting agent and as an inducer of genomic instability concurring with the neoplastic progression of established lesions.</t>
  </si>
  <si>
    <t>[Tramutola, Antonella; Triani, Francesca; Lanzillotta, Chiara; Perluigi, Marzia; Di Domenico, Fabio] Sapienza Rome Univ, Dept Biochem Sci, Ple Aldo Moro 5, I-00185 Rome, Italy; [Falcucci, Susanna; Brocco, Umberto; De Marco, Federico] Regina Elena Natl Canc Inst IRCCS, Dept RiDAIT, Via Elio Chianesi 53, I-00144 Rome, Italy; [Donati, Michele] Univ Campus Biomed, Dept Pathol, Via Alvaro Portillo 21, I-00128 Rome, Italy; [Panetta, Chiara] San Gallicano Natl Dermatol Inst IRCCS, UOSD Dermopathol, Via Elio Chianesi 53, I-00144 Rome, Italy; [Luzi, Fabiola] San Gallicano Natl Dermatol Inst IRCCS, UOSD Dermatol &amp; Reconstruct Plast Surg, Via Elio Chianesi 53, I-00144 Rome, Italy; [Iavarone, Federica; Vincenzoni, Federica; Castagnola, Massimo] Univ Cattolica, Ist Biochim &amp; Biochim Clin, Dip Diagnost Lab &amp; Malattie Infett, Fdn Policlin Univ A Gemelli,IRCCS, I-00168 Rome, Italy</t>
  </si>
  <si>
    <t>Sapienza University Rome; University Campus Bio-Medico - Rome Italy; Catholic University of the Sacred Heart; IRCCS Policlinico Gemelli</t>
  </si>
  <si>
    <t>Di Domenico, F (corresponding author), Sapienza Rome Univ, Dept Biochem Sci, Ple Aldo Moro 5, I-00185 Rome, Italy.;De Marco, F (corresponding author), Regina Elena Natl Canc Inst IRCCS, Dept RiDAIT, Via Elio Chianesi 53, I-00144 Rome, Italy.</t>
  </si>
  <si>
    <t>antonella.tramutola@uniroma1.it; susanna.falcucci@gmail.com; umberto.brocco@gmail.com; francesca.triani@uniroma1.it; Chiara.lanzillotta@uniroma1.it; m.donati@unicampus.it; Chiara.panetta@ifo.gov.it; fabiolaluzi@yahoo.it; federica.iavarone@unicatt.it; Federica.vincenzoni@unicatt.it; massimo.castagnola@unicatt.it; marzia.perluigi@uniroma1.it; fabio.didomenico@uniroma1.it; federico.demarco@ifo.gov.it</t>
  </si>
  <si>
    <t>perluigi, marzia/D-3260-2009; Tramutola, Antonella/AAA-9240-2022; Castagnola, Massimo/AAM-6355-2021; De Marco, Federico/H-5160-2018; Di Domenico, Fabio/J-4767-2018; Di Domenico, Fabio/AAA-9241-2022; Donati, Michele/AEP-2053-2022</t>
  </si>
  <si>
    <t>Tramutola, Antonella/0000-0002-9564-2086; De Marco, Federico/0000-0002-1173-2843; Di Domenico, Fabio/0000-0002-2013-209X; Di Domenico, Fabio/0000-0002-2013-209X; Vincenzoni, Federica/0000-0002-0124-2234; Lanzillotta, Chiara/0000-0002-6883-7806; Castagnola, Massimo/0000-0002-0959-7259; Falcucci, Susanna/0000-0002-3058-4647</t>
  </si>
  <si>
    <t>10.3390/cancers12010110</t>
  </si>
  <si>
    <t>WOS:000516826700110</t>
  </si>
  <si>
    <t>Melki, I; Allaeys, I; Tessandier, N; Levesque, T; Cloutier, N; Laroche, A; Vernoux, N; Becker, Y; Benk-Fortin, H; Zufferey, A; Rollet-Labelle, E; Pouliot, M; Poirier, G; Patey, N; Belleannee, C; Soulet, D; McKenzie, SE; Brisson, A; Tremblay, ME; Lood, C; Fortin, PR; Boilard, E</t>
  </si>
  <si>
    <t>Melki, Imene; Allaeys, Isabelle; Tessandier, Nicolas; Levesque, Tania; Cloutier, Nathalie; Laroche, Audree; Vernoux, Nathalie; Becker, Yann; Benk-Fortin, Hadrien; Zufferey, Anne; Rollet-Labelle, Emmanuelle; Pouliot, Marc; Poirier, Guy; Patey, Natacha; Belleannee, Clemence; Soulet, Denis; McKenzie, Steven E.; Brisson, Alain; Tremblay, Marie-Eve; Lood, Christian; Fortin, Paul R.; Boilard, Eric</t>
  </si>
  <si>
    <t>Platelets release mitochondrial antigens in systemic lupus erythematosus</t>
  </si>
  <si>
    <t>SCIENCE TRANSLATIONAL MEDICINE</t>
  </si>
  <si>
    <t>FC-GAMMA-RIIA; STRANDED-DNA; EXTRACELLULAR VESICLES; REVISED CRITERIA; COMPLEXES; ACTIVATION; ANTIBODIES; CHROMATIN; IGG; AUTOANTIBODIES</t>
  </si>
  <si>
    <t>The accumulation of DNA and nuclear components in blood and their recognition by autoantibodies play a central role in the pathophysiology of systemic lupus erythematosus (SLE). Despite the efforts, the sources of circulating autoantigens in SLE are still unclear. Here, we show that in SLE, platelets release mitochondrial DNA, the majority of which is associated with the extracellular mitochondrial organelle. Mitochondrial release in patients with SLE correlates with platelet degranulation. This process requires the stimulation of platelet Fc gamma RIIA, a receptor for immune complexes. Because mice lack Fc gamma RIIA and murine platelets are completely devoid of receptor capable of binding IgG-containing immune complexes, we used transgenic mice expressing Fc gamma RIIA for our in vivo investigations. Fc gamma RIIA expression in lupus-prone mice led to the recruitment of platelets in kidneys and to the release of mitochondria in vivo. Using a reporter mouse with red fluorescent protein targeted to the mitochondrion, we confirmed platelets as a source of extracellular mitochondria driven by Fc gamma RIIA and its cosignaling by the fibrinogen receptor alpha 2b beta 3 in vivo. These findings suggest that platelets might be a key source of mitochondrial antigens in SLE and might be a therapeutic target for treating SLE.</t>
  </si>
  <si>
    <t>[Melki, Imene; Allaeys, Isabelle; Tessandier, Nicolas; Levesque, Tania; Cloutier, Nathalie; Laroche, Audree; Becker, Yann; Benk-Fortin, Hadrien; Zufferey, Anne; Rollet-Labelle, Emmanuelle; Pouliot, Marc; Fortin, Paul R.; Boilard, Eric] Univ Laval, Ctr Rech, Ctr Hosp Univ Quebec, Quebec City, PQ G1V 4G2, Canada; [Melki, Imene; Allaeys, Isabelle; Tessandier, Nicolas; Levesque, Tania; Laroche, Audree; Becker, Yann; Benk-Fortin, Hadrien; Zufferey, Anne; Rollet-Labelle, Emmanuelle; Pouliot, Marc; Fortin, Paul R.; Boilard, Eric] Univ Laval, Fac Med, Quebec City, PQ G1V 4G2, Canada; [Melki, Imene; Allaeys, Isabelle; Tessandier, Nicolas; Levesque, Tania; Laroche, Audree; Becker, Yann; Benk-Fortin, Hadrien; Zufferey, Anne; Rollet-Labelle, Emmanuelle; Pouliot, Marc; Fortin, Paul R.; Boilard, Eric] Univ Laval, Ctr Rech ARThrite, Quebec City, PQ G1V 4G2, Canada; [Vernoux, Nathalie; Tremblay, Marie-Eve] Univ Laval, Axe Neurosci, Ctr Rech, Ctr Hosp Univ Quebec, Quebec City, PQ G1V 4G2, Canada; [Vernoux, Nathalie; Belleannee, Clemence; Tremblay, Marie-Eve] Univ Laval, Dept Med Mol, Quebec City, PQ G1V 4G2, Canada; [Poirier, Guy; Soulet, Denis] Univ Laval, Fac Med, Dept Mol Biol Med Biochem &amp; Pathol, Quebec City, PQ G1V 4G2, Canada; [Patey, Natacha] Univ Montreal, Fac Med, Dept Pathol &amp; Biol Cellulaire, Ctr Hosp Univ St Justine, Montreal, PQ H3T 1C5, Canada; [Belleannee, Clemence] Univ Laval, Dept Obstet Gynecol &amp; Reprod, Ctr Hosp Univ Quebec, Quebec City, PQ G1V 4G2, Canada; [McKenzie, Steven E.] Thomas Jefferson Univ, Cardeza Fdn Hematol Res, Philadelphia, PA 19107 USA; [Brisson, Alain] Univ Bordeaux, UMR CBMN CNRS, IPB, F-33600 Pessac, France; [Tremblay, Marie-Eve] Univ Victoria, Div Med Sci, Victoria, BC V8W 2Y2, Canada; [Lood, Christian] Univ Washington, Dept Med, Div Rheumatol, Seattle, WA 98109 USA; [Fortin, Paul R.] Univ Laval, Dept Med, Div Rheumatol, Ctr Hosp Univ Quebec, Quebec City, PQ G1V 4G2, Canada</t>
  </si>
  <si>
    <t>Laval University; Laval University; Laval University; Laval University; Laval University; Laval University; Universite de Montreal; Centre Hospitalier Universitaire Sainte-Justine; Laval University; Jefferson University; UDICE-French Research Universities; Universite de Bordeaux; University of Victoria; University of Washington; University of Washington Seattle; Laval University</t>
  </si>
  <si>
    <t>Fortin, PR; Boilard, E (corresponding author), Univ Laval, Ctr Rech, Ctr Hosp Univ Quebec, Quebec City, PQ G1V 4G2, Canada.;Fortin, PR; Boilard, E (corresponding author), Univ Laval, Fac Med, Quebec City, PQ G1V 4G2, Canada.;Fortin, PR; Boilard, E (corresponding author), Univ Laval, Ctr Rech ARThrite, Quebec City, PQ G1V 4G2, Canada.;Fortin, PR (corresponding author), Univ Laval, Dept Med, Div Rheumatol, Ctr Hosp Univ Quebec, Quebec City, PQ G1V 4G2, Canada.</t>
  </si>
  <si>
    <t>paul.fortin@crchudequebec.ulaval.ca; eric.boilard@crchudequebec.ulaval.ca</t>
  </si>
  <si>
    <t>Pouliot, Marc/0000-0002-2466-5424; Becker, Yann/0000-0002-0972-6727; Soulet, Denis/0000-0002-0937-7061; Benk-Fortin, Hadrien/0000-0002-6280-6603; Allaeys, Isabelle/0000-0003-4697-046X; Poirier, Guy/0000-0002-4869-1424; Tremblay, Marie-Eve/0000-0003-2863-9626</t>
  </si>
  <si>
    <t>1946-6234</t>
  </si>
  <si>
    <t>1946-6242</t>
  </si>
  <si>
    <t>eaav5928</t>
  </si>
  <si>
    <t>10.1126/scitranslmed.aav5928</t>
  </si>
  <si>
    <t>WOS:000620084900001</t>
  </si>
  <si>
    <t>Zargarian, S; Shlomovitz, I; Erlich, Z; Hourizadeh, A; Ofir-Birin, Y; Croker, BA; Regev-Rudzki, N; Edry-Botzer, L; Gerlic, M</t>
  </si>
  <si>
    <t>Zargarian, Sefi; Shlomovitz, Inbar; Erlich, Ziv; Hourizadeh, Aria; Ofir-Birin, Yifat; Croker, Ben A.; Regev-Rudzki, Neta; Edry-Botzer, Liat; Gerlic, Motti</t>
  </si>
  <si>
    <t>Phosphatidylserine externalization, necroptotic bodies release, and phagocytosis during necroptosis</t>
  </si>
  <si>
    <t>PLOS BIOLOGY</t>
  </si>
  <si>
    <t>CELL-DEATH; FLOW-CYTOMETRY; MYCOPLASMA-FERMENTANS; PROGRAMMED NECROSIS; APOPTOTIC BODIES; EXPOSURE; MACROPHAGES; RIP3; DNA; DISCRIMINATION</t>
  </si>
  <si>
    <t>Necroptosis is a regulated, nonapoptotic form of cell death initiated by receptor-interacting protein kinase-3 (RIPK3) and mixed lineage kinase domain-like (MLKL) proteins. It is considered to be a form of regulated necrosis, and, by lacking the find me and eat me signals that are a feature of apoptosis, necroptosis is considered to be inflammatory. One such eat me signal observed during apoptosis is the exposure of phosphatidylserine (PS) on the outer plasma membrane. Here, we demonstrate that necroptotic cells also expose PS after phosphorylated mixed lineage kinase-like (pMLKL) translocation to the membrane. Necroptotic cells that expose PS release extracellular vesicles containing proteins and pMLKL to their surroundings. Furthermore, inhibition of pMLKL after PS exposure can reverse the process of necroptosis and restore cell viability. Finally, externalization of PS by necroptotic cells drives recognition and phagocytosis, and this may limit the inflammatory response to this nonapoptotic form of cell death. The exposure of PS to the outer membrane and to extracellular vesicles is therefore a feature of necroptotic cell death and may serve to provide an immunologically-silent window by generating specific find me and eat me signals.</t>
  </si>
  <si>
    <t>[Zargarian, Sefi; Shlomovitz, Inbar; Erlich, Ziv; Hourizadeh, Aria; Edry-Botzer, Liat; Gerlic, Motti] Tel Aviv Univ, Sackler Fac Med, Dept Clin Microbiol &amp; Immunol, Tel Aviv, Israel; [Ofir-Birin, Yifat; Regev-Rudzki, Neta] Weizmann Inst Sci, Dept Biomol Sci, Rehovot, Israel; [Croker, Ben A.] Boston Childrens Hosp, Div Hematol Oncol, Boston, MA USA; [Croker, Ben A.] Harvard Med Sch, Dept Pediat, Boston, MA USA</t>
  </si>
  <si>
    <t>Tel Aviv University; Sackler Faculty of Medicine; Weizmann Institute of Science; Harvard University; Boston Children's Hospital; Harvard University; Harvard Medical School</t>
  </si>
  <si>
    <t>Gerlic, M (corresponding author), Tel Aviv Univ, Sackler Fac Med, Dept Clin Microbiol &amp; Immunol, Tel Aviv, Israel.</t>
  </si>
  <si>
    <t>mgerlic@post.tau.ac.il</t>
  </si>
  <si>
    <t>gerlic, Motti/I-5492-2019; Gerlic, Motti/U-3484-2017</t>
  </si>
  <si>
    <t>gerlic, Motti/0000-0001-9518-1833; Gerlic, Motti/0000-0001-9518-1833</t>
  </si>
  <si>
    <t>1545-7885</t>
  </si>
  <si>
    <t>e2002711</t>
  </si>
  <si>
    <t>10.1371/journal.pbio.2002711</t>
  </si>
  <si>
    <t>Biochemistry &amp; Molecular Biology; Biology</t>
  </si>
  <si>
    <t>Biochemistry &amp; Molecular Biology; Life Sciences &amp; Biomedicine - Other Topics</t>
  </si>
  <si>
    <t>WOS:000404510400023</t>
  </si>
  <si>
    <t>PETERSOHN, D; SCHOCH, S; BRINKMANN, DR; THIEL, G</t>
  </si>
  <si>
    <t>THE HUMAN SYNAPSIN-II GENE PROMOTER - POSSIBLE ROLE FOR THE TRANSCRIPTION FACTORS ZIF268/EGR-1, POLYOMA ENHANCER ACTIVATOR-3, AND AP2</t>
  </si>
  <si>
    <t>LONG-TERM POTENTIATION; SYNAPTIC VESICLE PHOSPHOPROTEINS; IMMEDIATE EARLY GENES; AXOSPINOUS SYNAPSES; INDUCIBLE ENHANCER; MOLECULAR-CLONING; GROWTH-FACTORS; DENTATE GYRUS; FACTOR AP-2; C-FOS</t>
  </si>
  <si>
    <t>Synapsin II is a neuron-specific phosphoprotein that selectively binds to small synaptic vesicles in the presynaptic synaptic nerve terminal. Here we report the cloning and sequencing of the 5'-flanking region of the human synapsin II gene. This sequence is very GC-rich and lacks a TATA or CAAT box, Two major transcriptional start sites were mapped. A hybrid gene consisting of the Escherichia coli chloramphenicol acetyltransferase gene under the control of 837 base pairs of the synapsin II 5'-upstream region was transfected into neuronal and non-neuronal cells. While reporter gene expression was low in neuroblastoma and non-neuronal cells, high chloramphenicol acetyltransferase activities were monitored in PC12 pheochromocytoma cells. However, there was no correlation between reporter gene expression in the transfected cells and endogenous synapsin II immunoreactivity, Using DNA-protein binding assays we showed that the transcription factors zif268/egr-1, polyoma enhancer activator 3 (PEA3), and AP2 specifically contact the synapsin II promoter DNA in vitro. Moreover, the zif268/egr-1 protein as well as PEA3 were shown to stimulate transcription of a reporter gene containing synapsin II promoter sequences, In the nervous system, zif268/egr-1 functions as a ''third messenger'' with a potential role in synaptic plasticity. PEA3 is expressed in the brain and its activity is regulated by proteins encoded from non-nuclear oncogenes, We postulate that zif268/egr-1 and PEA3 couple extracellular signals to long-term responses by regulating synapsin II gene expression.</t>
  </si>
  <si>
    <t>UNIV COLOGNE,INST GENET,D-50674 COLOGNE,GERMANY</t>
  </si>
  <si>
    <t>University of Cologne</t>
  </si>
  <si>
    <t>Schoch, Susanne/F-7741-2012</t>
  </si>
  <si>
    <t>10.1074/jbc.270.41.24361</t>
  </si>
  <si>
    <t>WOS:A1995TA21700076</t>
  </si>
  <si>
    <t>TUCK, DP; CERRETTI, DP; HAND, A; GUHA, A; SORBA, S; DAINIAK, N</t>
  </si>
  <si>
    <t>HUMAN MACROPHAGE-COLONY-STIMULATING FACTOR IS EXPRESSED AT AND SHED FROM THE CELL-SURFACE</t>
  </si>
  <si>
    <t>EXTRACELLULAR MEMBRANE-VESICLES; NIH 3T3 CELLS; GROWTH-FACTOR; TRANSFERRIN RECEPTOR; MOLECULAR-CLONING; PLASMA-MEMBRANES; HUMAN CSF-1; MONONUCLEAR-CELLS; RAT RETICULOCYTES; SOLUBLE FORMS</t>
  </si>
  <si>
    <t>Surface membrane-associated growth factors are being recognized as important for developmental processes, including cell assembly, differentiation, and growth. To investigate the role of membrane-bound macrophage colony-stimulating factor (M-CSF) in myelopoiesis, and whether this factor is released from the cell surface in association with shed membrane-derived vesicles, COS-1 cells were transfected with cDNAs for M-CSF-tau (containing the transmembrane domain) or a soluble mutant form of the molecule lacking the transmembrane domain ([s]M-CSF-alpha). COS-1 cells transfected with either cDNA released activity into the spent culture medium. Conditioned medium was separated by centrifugation into supernatants and pellets were found to contain plasma membrane-derived vesicles by transmission electron microscopy. When medium fractions were assayed in marrow cultures, activity was localized to shed plasma membrane-derived vesicles in medium conditioned by cells transfected with cDNA for M-CSF-tau and in the vesicle-free supernatants of medium conditioned by cells transfected with cDNA for [s]M-CSF-alpha. In addition, nuclear, mitochondrial, and plasma membrane subfractions of stably transfected cells were prepared and assayed for activity. Concentration-dependent stimulation of macrophage colony formation was observed with purified plasma membranes (but not nuclear or cytosolic proteins) from cells transfected with cDNA for M-CSF-tau. By contrast, membranes from untransfected cells and cells transfected with cDNA for [s]M-CSF-alpha or control DNA expressed no activity. Together, the data indicate that human M-CSF is expressed at the cell surface and exfoliated in association with surface membrane-derived vesicles. (C) 1994 by The American Society of Hematology.</t>
  </si>
  <si>
    <t>MCGILL UNIV, ROYAL VICTORIA HOSP, DEPT MED, DIV HEMATOL MED ONCOL, MONTREAL H3A 1A1, PQ, CANADA; UNIV CONNECTICUT, CTR HLTH, DEPT MED, FARMINGTON, CT USA; UNIV CONNECTICUT, CTR HLTH, DEPT PEDIAT DENT, FARMINGTON, CT USA; IMMUNEX CORP, DEPT MOLEC BIOL, SEATTLE, WA USA</t>
  </si>
  <si>
    <t>McGill University; Royal Victoria Hospital; University of Connecticut; University of Connecticut; Immunex Corporation</t>
  </si>
  <si>
    <t>WOS:A1994PK12500015</t>
  </si>
  <si>
    <t>Ocadiz, R; Orozco, E; Carrillo, E; Quintas, LI; Ortega-Lopez, J; Garcia-Perez, RM; Sanchez, T; Castillo-Juarez, BA; Garcia-Rivera, G; Rodriguez, MA</t>
  </si>
  <si>
    <t>EhCP112 is an Entamoeba histolytica secreted cysteine protease that may be involved in the parasite-virulence</t>
  </si>
  <si>
    <t>ANTISENSE INHIBITION; LIVER-ABSCESS; PROTEINASE; EXPRESSION; GENE; OVEREXPRESSION; PATHOGENICITY; PHAGOCYTOSIS; PURIFICATION; TROPHOZOITES</t>
  </si>
  <si>
    <t>EhCP112 is an Entamoeba histolytica protease that together with the EhADH112 protein forms the EhCPADH complex involved in trophozoite virulence. Here, we produced the recombinant EhCP112 and studied its relationships with extracellular matrix components and with target cells. A DNA fragment containing the pro-peptide and the mature enzyme was expressed in bacteria as an active enzyme (rEhCP112), whereas the full gene containing the signal peptide, the pro-peptide and the mature enzyme expressed a non-active protein. The fragment only with the mature enzyme was not expressed. rEhCP112 purified by affinity columns digested azocasein and had a strong autoproteolytic activity. Four hours after purification the protein appeared degraded. Anti-tag antibodies, monoclonal antibodies against the EhCP112 and sera from human patients with amoebiasis recognized rEhCP112. rEhCP112 digested gelatin, collagen type I, fibronectin and haemoglobin; it destroyed MDCK cell monolayers and bound to red blood cells. The native EhCP112 was poorly expressed in a virulence-deficient mutant, and in the wild-type clone it was located in secreted vesicles, forming the EhCPADH complex. Altogether these results show that EhCP112 is a molecule able to disrupt cell monolayers and digest proteins of the extracellular matrix and haemoglobin, and it is secreted by the trophozoites.</t>
  </si>
  <si>
    <t>Inst Politecn Nacl, Ctr Invest &amp; Estudios Avanzados, Dept Patol Expt, Mexico City 07000, DF, Mexico; IPN, Escuela Super Med &amp; Homeopatia, Mexico City 07320, DF, Mexico; Inst Politecn Nacl, Ctr Invest &amp; Estudios Avanzados, Dept Biotecnol &amp; Bioingn, Mexico City 07000, DF, Mexico</t>
  </si>
  <si>
    <t>CINVESTAV - Centro de Investigacion y de Estudios Avanzados del Instituto Politecnico Nacional; Instituto Politecnico Nacional - Mexico; Instituto Politecnico Nacional - Mexico; CINVESTAV - Centro de Investigacion y de Estudios Avanzados del Instituto Politecnico Nacional; Instituto Politecnico Nacional - Mexico</t>
  </si>
  <si>
    <t>Rodriguez, MA (corresponding author), Inst Politecn Nacl, Ctr Invest &amp; Estudios Avanzados, Dept Patol Expt, AP 14-740, Mexico City 07000, DF, Mexico.</t>
  </si>
  <si>
    <t>marodri@mail.cinvestav.mx</t>
  </si>
  <si>
    <t>Rodriguez, Mario/Y-5637-2019; Quintas, Laura/A-6317-2014; Ortega-Lopez, Jaime/A-1364-2008</t>
  </si>
  <si>
    <t>Rodriguez, Mario/0000-0003-3998-9779; Ortega-Lopez, Jaime/0000-0001-9136-9994; QUINTAS GRANADOS, LAURA ITZEL/0000-0002-8622-2004</t>
  </si>
  <si>
    <t>10.1111/j.1462-5822.2004.00453.x</t>
  </si>
  <si>
    <t>WOS:000226475200007</t>
  </si>
  <si>
    <t>Heffner, K; Hizal, DB; Majewska, NI; Kumar, S; Dhara, VG; Zhu, J; Bowen, M; Hatton, D; Yerganian, G; Yerganian, A; O'Meally, R; Cole, R; Betenbaugh, M</t>
  </si>
  <si>
    <t>Heffner, Kelley; Hizal, Deniz Baycin; Majewska, Natalia, I; Kumar, Swetha; Dhara, Venkata Gayatri; Zhu, Jie; Bowen, Michael; Hatton, Diane; Yerganian, George; Yerganian, Athena; O'Meally, Robert; Cole, Robert; Betenbaugh, Michael</t>
  </si>
  <si>
    <t>Expanded Chinese hamster organ and cell line proteomics profiling reveals tissue-specific functionalities</t>
  </si>
  <si>
    <t>EXTRACELLULAR-MATRIX; COMPLEMENT ACTIVATION; OVARY; HEART; METABOLISM; PATHWAYS; BRAIN; TOOL; MAP</t>
  </si>
  <si>
    <t>Chinese hamster ovary (CHO) cells are the predominant production vehicle for biotherapeutics. Quantitative proteomics data were obtained from two CHO cell lines (CHO-S and CHO DG44) and compared with seven Chinese hamster (Cricetulus griseus) tissues (brain, heart, kidney, liver, lung, ovary and spleen) by tandem mass tag (TMT) labeling followed by mass spectrometry, providing a comprehensive hamster tissue and cell line proteomics atlas. Of the 8470 unique proteins identified, high similarity was observed between CHO-S and CHO DG44 and included increases in proteins involved in DNA replication, cell cycle, RNA processing, and chromosome processing. Alternatively, gene ontology and pathway analysis in tissues indicated increased protein intensities related to important tissue functionalities. Proteins enriched in the brain included those involved in acidic amino acid metabolism, Golgi apparatus, and ion and phospholipid transport. The lung showed enrichment in proteins involved in BCAA catabolism, ROS metabolism, vesicle trafficking, and lipid synthesis while the ovary exhibited enrichments in extracellular matrix and adhesion proteins. The heart proteome included vasoconstriction, complement activation, and lipoprotein metabolism enrichments. These detailed comparisons of CHO cell lines and hamster tissues will enhance understanding of the relationship between proteins and tissue function and pinpoint potential pathways of biotechnological relevance for future cell engineering.</t>
  </si>
  <si>
    <t>[Heffner, Kelley; Hizal, Deniz Baycin; Majewska, Natalia, I; Kumar, Swetha; Dhara, Venkata Gayatri; Betenbaugh, Michael] Johns Hopkins Univ, Dept Chem &amp; Biomol Engn, Baltimore, MD 21218 USA; [Heffner, Kelley; Majewska, Natalia, I; Zhu, Jie; Hatton, Diane] AstraZeneca, Cell Culture &amp; Fermentat Sci, Gaithersburg, MD USA; [Bowen, Michael] Allogene Therapeut, Prod &amp; Proc Dev, San Francisco, CA USA; [Yerganian, George; Yerganian, Athena] Cytogen Res &amp; Dev Inc, Boston, MA USA; [O'Meally, Robert; Cole, Robert] Johns Hopkins Sch Med, Dept Pathol, Baltimore, MD USA</t>
  </si>
  <si>
    <t>Johns Hopkins University; AstraZeneca; Johns Hopkins University; Johns Hopkins Medicine</t>
  </si>
  <si>
    <t>Betenbaugh, M (corresponding author), Johns Hopkins Univ, Dept Chem &amp; Biomol Engn, Baltimore, MD 21218 USA.</t>
  </si>
  <si>
    <t>beten@jhu.edu</t>
  </si>
  <si>
    <t>Hatton, Diane/AAG-2955-2021</t>
  </si>
  <si>
    <t>Hatton, Diane/0000-0002-6600-021X; Kumar, Dr. Swetha/0000-0002-3740-7977; Dhara, Venkata Gayatri/0000-0002-5748-8161</t>
  </si>
  <si>
    <t>10.1038/s41598-020-72959-8</t>
  </si>
  <si>
    <t>WOS:000577327200016</t>
  </si>
  <si>
    <t>Schneegans, S; Luck, L; Besler, K; Bluhm, L; Stadler, JC; Staub, J; Greinert, R; Volkmer, B; Kubista, M; Gebhardt, C; Sartori, A; Irwin, D; Serkkola, E; Hallstrom, T; Lianidou, E; Sprenger-Haussels, M; Hussong, M; Mohr, P; Schneider, SW; Shaffer, J; Pantel, K; Wikman, H</t>
  </si>
  <si>
    <t>Schneegans, Svenja; Lueck, Lelia; Besler, Katharina; Bluhm, Leonie; Stadler, Julia-Christina; Staub, Janina; Greinert, Ruediger; Volkmer, Beate; Kubista, Mikael; Gebhardt, Christoffer; Sartori, Alexander; Irwin, Darryl; Serkkola, Elina; Hallstrom, Taija; Lianidou, Evi; Sprenger-Haussels, Markus; Hussong, Melanie; Mohr, Peter; Schneider, Stefan W.; Shaffer, Jonathan; Pantel, Klaus; Wikman, Harriet</t>
  </si>
  <si>
    <t>Pre-analytical factors affecting the establishment of a single tube assay for multiparameter liquid biopsy detection in melanoma patients</t>
  </si>
  <si>
    <t>CTC; ctDNA; EV; liquid biopsy; melanoma; miRNA</t>
  </si>
  <si>
    <t>CIRCULATING TUMOR-CELLS; CANCER; DNA; MICRORNAS; NORMALIZATION; HETEROGENEITY; COLLECTION; EXPRESSION</t>
  </si>
  <si>
    <t>The combination of liquid biomarkers from a single blood tube can provide more comprehensive information on tumor development and progression in cancer patients compared to single analysis. Here, we evaluated whether a combined analysis of circulating tumor cells (CTCs), circulating tumor DNA (ctDNA), and circulating cell-free microRNA (miRNA) in total plasma and extracellular vesicles (EV) from the same blood sample is feasible and how the results are influenced by the choice of different blood tubes. Peripheral blood from 20 stage IV melanoma patients and five healthy donors (HD) was collected in EDTA, Streck, and Transfix tubes. Peripheral blood mononuclear cell fraction was used for CTC analysis, whereas plasma and EV fractions were used for ctDNA mutation and miRNA analysis. Mutations in cell-free circulating DNA were detected in 67% of patients, with no significant difference between the tubes. CTC was detected in only EDTA blood and only in 15% of patients. miRNA NGS (next-generation sequencing) results were highly influenced by the collection tubes and could only be performed from EDTA and Streck tubes due to hemolysis in Transfix tubes. No overlap of significantly differentially expressed miRNA (patients versus HD) could be found between the tubes in total plasma, whereas eight miRNA were commonly differentially regulated in the EV fraction. In summary, high-quality CTCs, ctDNA, and miRNA data from a single blood tube can be obtained. However, the choice of blood collection tubes is a critical pre-analytical variable.</t>
  </si>
  <si>
    <t>[Schneegans, Svenja; Lueck, Lelia; Besler, Katharina; Stadler, Julia-Christina; Pantel, Klaus; Wikman, Harriet] Univ Med Ctr Hamburg Eppendorf, Dept Tumor Biol, Martinistr 52, D-20246 Hamburg, Germany; [Bluhm, Leonie; Greinert, Ruediger; Volkmer, Beate; Mohr, Peter] Elbe Clin, Ctr Dermatol, Buxtehude, Germany; [Stadler, Julia-Christina; Staub, Janina; Gebhardt, Christoffer; Schneider, Stefan W.] Univ Med Ctr Hamburg Eppendorf, Dept Dermatol &amp; Venereol, Hamburg, Germany; [Kubista, Mikael] TATAA Bioctr AB, Gothenburg, Sweden; [Kubista, Mikael] Czech Acad Sci, Inst Biotechnol, Dept Gene Express, Vestec, Czech Republic; [Sartori, Alexander; Irwin, Darryl] Agena Biosci GmbH, Hamburg, Germany; [Serkkola, Elina; Hallstrom, Taija] Orion Corp, Orion Pharma, Espoo, Finland; [Lianidou, Evi] Univ Athens, Dept Chem, Lab Analyt Chem, Anal Circulating Tumor Cells, Athens, Greece; [Sprenger-Haussels, Markus; Hussong, Melanie; Shaffer, Jonathan] QIAGEN Inc GmbH, Frederick, MD USA; [Sprenger-Haussels, Markus; Hussong, Melanie; Shaffer, Jonathan] QIAGEN Inc GmbH, Hilden, Germany</t>
  </si>
  <si>
    <t>University of Hamburg; University Medical Center Hamburg-Eppendorf; University of Hamburg; University Medical Center Hamburg-Eppendorf; Czech Academy of Sciences; Institute of Biotechnology of the Czech Academy of Sciences; Orion Corporation; National &amp; Kapodistrian University of Athens; QIAGEN GmbH</t>
  </si>
  <si>
    <t>Wikman, H (corresponding author), Univ Med Ctr Hamburg Eppendorf, Dept Tumor Biol, Martinistr 52, D-20246 Hamburg, Germany.</t>
  </si>
  <si>
    <t>h.wikman@uke.de</t>
  </si>
  <si>
    <t>Kubista, Mikael/A-5689-2008</t>
  </si>
  <si>
    <t>Kubista, Mikael/0000-0002-2940-352X; Lianidou, Evi/0000-0002-7796-5914; Schneegans, Svenja/0000-0002-2684-790X; Volkmer, Beate/0000-0001-9218-8650; Gebhardt, Christoffer/0000-0001-7090-9584</t>
  </si>
  <si>
    <t>10.1002/1878-0261.12669</t>
  </si>
  <si>
    <t>WOS:000523630900001</t>
  </si>
  <si>
    <t>Verhamme, DT; Arents, JC; Postma, PW; Crielaard, W; Hellingwerf, KJ</t>
  </si>
  <si>
    <t>Glucose-6-phosphate-dependent phosphoryl flow through the Uhp two-component regulatory system</t>
  </si>
  <si>
    <t>transmembrane signalling; kinase/phosphatase state</t>
  </si>
  <si>
    <t>PHOSPHATE-TRANSPORT-SYSTEM; ESCHERICHIA-COLI; PROTEIN-PHOSPHORYLATION; PROMOTER ELEMENTS; GENE-EXPRESSION; TRANSCRIPTION; INDUCTION; AUTOPHOSPHORYLATION; IDENTIFICATION; SENSORS</t>
  </si>
  <si>
    <t>Expression of the UhpT sugar-phosphate transporter in Escherichia coli is regulated at the transcriptional level via the UhpABC signalling cascade. Sensing of extracellular glucose 6-phosphate (G6P), by membrane-bound UhpC, modulates a second membrane-bound protein, UhpB, resulting in autophosphorylation of a conserved histidine residue in the cytoplasmic (transmitter) domain of the latter. Subsequently, this phosphoryl group is transferred to a conserved aspartate residue in the response-regulator UhpA, which then initiates uhpT transcription, via binding to the uhpT promoter region. This study demonstrates the hypothesized transmembrane signal transfer in an ISO membrane set-up, i.e. in a suspension of UhpBC-enriched membrane vesicles, Ill autophosphorylation is stimulated, in the presence of [gamma-(32) P]ATP, upon intra-vesicular sensing of G6P by UhpC. Subsequently, upon addition of UhpA, very rapid and transient UhpA phosphorylation takes place. When P similar to UhpA is added to G6P-induced UhpBC-enriched membrane vesicles, rapid UhpA dephosphorylation occurs. So, in the G6P-activated state, Ill phosphatase activity dominates over kinase activity, even in the presence of saturating amounts of G6P. This may imply that maximal in vivo P similar to UhpA levels are low and/or that, to keep sufficient P similar to UhpA accumulated to induce uhpT transcription, the uhpT promoter DNA itself is involved in stabilization/sequestration of P similar to UhpA.</t>
  </si>
  <si>
    <t>Univ Amsterdam, Swammerdam Inst Life Sci, NL-1018 WV Amsterdam, Netherlands</t>
  </si>
  <si>
    <t>University of Amsterdam</t>
  </si>
  <si>
    <t>Hellingwerf, KJ (corresponding author), Univ Amsterdam, Swammerdam Inst Life Sci, Nieuwe Achtergracht 166, NL-1018 WV Amsterdam, Netherlands.</t>
  </si>
  <si>
    <t>K.Hellingwerf@chem.uva.nl</t>
  </si>
  <si>
    <t>10.1099/00221287-147-12-3345</t>
  </si>
  <si>
    <t>WOS:000172735500017</t>
  </si>
  <si>
    <t>Thiam, HR; Wong, SL; Qiu, R; Kittisopikul, M; Vahabikashi, A; Goldman, AE; Goldman, RD; Wagner, DD; Waterman, CM</t>
  </si>
  <si>
    <t>Thiam, Hawa Racine; Wong, Siu Ling; Qiu, Rong; Kittisopikul, Mark; Vahabikashi, Amir; Goldman, Anne E.; Goldman, Robert D.; Wagner, Denisa D.; Waterman, Clare M.</t>
  </si>
  <si>
    <t>NETosis proceeds by cytoskeleton and endomembrane disassembly and PAD4-mediated chromatin decondensation and nuclear envelope rupture</t>
  </si>
  <si>
    <t>neutrophil; innate immunity; microscopy</t>
  </si>
  <si>
    <t>NEUTROPHIL EXTRACELLULAR TRAPS; CELL-DEATH; DNA TRAPS; PHOSPHORYLATION; VIMENTIN; ACTIN; PAD4; DIFFERENTIATION; MICROPARTICLES; ELASTASE</t>
  </si>
  <si>
    <t>Neutrophil extracellular traps (NETs) are web-like DNA structures decorated with histones and cytotoxic proteins that are released by activated neutrophils to trap and neutralize pathogens during the innate immune response, but also form in and exacerbate sterile inflammation. Peptidylarginine deiminase 4 (PAD4) citrullinates histones and is required for NET formation (NETosis) in mouse neutrophils. While the in vivo impact of NETs is accumulating, the cellular events driving NETosis and the role of PAD4 in these events are unclear. We performed high-resolution time-lapse microscopy of mouse and human neutrophils and differentiated HL-60 neutrophil-like cells (dHL-60) labeled with fluorescent markers of organelles and stimulated with bacterial toxins or Candida albicans to induce NETosis. Upon stimulation, cells exhibited rapid disassembly of the actin cytoskeleton, followed by shedding of plasma membrane microvesicles, disassembly and remodeling of the microtubule and vimentin cytoskeletons, ER vesiculation, chromatin decondensation and nuclear rounding, progressive plasma membrane and nuclear envelope ( NE) permeabilization, nuclear lamin meshwork and then NE rupture to release DNA into the cytoplasm, and finally plasma membrane rupture and discharge of extracellular DNA. Inhibition of actin disassembly blocked NET release. Mouse and dHL-60 cells bearing genetic alteration of PAD4 showed that chromatin decondensation, lamin meshwork and NE rupture and extracellular DNA release required the enzymatic and nuclear localization activities of PAD4. Thus, NETosis proceeds by a step-wise sequence of cellular events culminating in the PAD4-mediated expulsion of DNA.</t>
  </si>
  <si>
    <t>[Thiam, Hawa Racine; Waterman, Clare M.] NHLBI, Cell &amp; Dev Biol Ctr, NIH, Bldg 10, Bethesda, MD 20892 USA; [Wong, Siu Ling; Wagner, Denisa D.] Boston Childrens Hosp, Program Cellular &amp; Mol Med, Boston, MA 02115 USA; [Wong, Siu Ling; Wagner, Denisa D.] Harvard Med Sch, Dept Pediat, Boston, MA 02115 USA; [Qiu, Rong; Kittisopikul, Mark; Vahabikashi, Amir; Goldman, Anne E.; Goldman, Robert D.] Northwestern Univ, Dept Cell &amp; Mol Biol, Feinberg Sch Med, Chicago, IL 60611 USA; [Kittisopikul, Mark] Univ Texas Southwestern Med Ctr Dallas, Dept Biophys, Dallas, TX 75390 USA; [Wagner, Denisa D.] Boston Childrens Hosp, Div Hematol Oncol, Boston, MA 02115 USA; [Wong, Siu Ling] Nanyang Technol Univ, Lee Kong Chian Sch Med, Singapore 308232, Singapore</t>
  </si>
  <si>
    <t>National Institutes of Health (NIH) - USA; NIH National Heart Lung &amp; Blood Institute (NHLBI); Harvard University; Boston Children's Hospital; Program in Cellular &amp; Molecular Medicine (PCMM); Harvard University; Harvard Medical School; Northwestern University; Feinberg School of Medicine; University of Texas System; University of Texas Southwestern Medical Center Dallas; Harvard University; Boston Children's Hospital; Nanyang Technological University &amp; National Institute of Education (NIE) Singapore; Nanyang Technological University</t>
  </si>
  <si>
    <t>Waterman, CM (corresponding author), NHLBI, Cell &amp; Dev Biol Ctr, NIH, Bldg 10, Bethesda, MD 20892 USA.</t>
  </si>
  <si>
    <t>watermancm@nhlbi.nih.gov</t>
  </si>
  <si>
    <t>Thiam, Hawa Racine/AAQ-2006-2020; Thiam, Hawa Racine/AAY-4658-2021</t>
  </si>
  <si>
    <t>Thiam, Hawa Racine/0000-0002-2381-1442; Kittisopikul, Mark/0000-0002-9558-6248; Wong, Siu Ling/0000-0002-2294-3187; Vahabikashi, Amir/0000-0002-5713-0231</t>
  </si>
  <si>
    <t>10.1073/pnas.1909546117</t>
  </si>
  <si>
    <t>WOS:000523188100054</t>
  </si>
  <si>
    <t>Dean, I; Dzinic, SH; Bernardo, MM; Zou, Y; Kimler, V; Li, XH; Kaplun, A; Granneman, J; Mao, GZ; Sheng, SJ</t>
  </si>
  <si>
    <t>Dean, Ivory; Dzinic, Sijana H.; Bernardo, M. Margarida; Zou, Yi; Kimler, Vickie; Li, Xiaohua; Kaplun, Alexander; Granneman, James; Mao, Guangzhao; Sheng, Shijie</t>
  </si>
  <si>
    <t>The secretion and biological function of tumor suppressor maspin as an exosome cargo protein</t>
  </si>
  <si>
    <t>exosome; tumor progression; exosome cargo; tumor microenvironment; electron microscopy</t>
  </si>
  <si>
    <t>PLASMINOGEN-ACTIVATOR; CRYSTAL-STRUCTURE; CANCER; EXPRESSION; SERPIN; ANGIOGENESIS; INHIBITION; VESICLES; LOCALIZATION; MECHANISM</t>
  </si>
  <si>
    <t>Maspin is an epithelial-specific tumor suppressor shown to exert its biological effects as an intracellular, cell membrane-associated, and secreted free molecule. A recent study suggests that upon DNA-damaging.-irradiation, tumor cells can secrete maspin as an exosome-associated protein. To date, the biological significance of exosomal secretion of maspin is unknown. The current study aims at addressing whether maspin is spontaneously secreted as an exosomal protein to regulate tumor/stromal interactions. We prepared exosomes along with cell extracts and vesicle-depleted conditioned media (VDCM) from normal epithelial (CRL2221, MCF-10A and BEAS-2B) and cancer (LNCaP, PC3 and SUM149) cell lines. Atomic force microscopy and dynamic light scattering analysis revealed similar size distribution patterns and surface zeta potentials between the normal cells-derived and tumor cells-derived exosomes. Electron microscopy revealed that maspin was encapsulated by the exosomal membrane as a cargo protein. While western blotting revealed that the level of exosomal maspin from tumor cell lines was disproportionally lower relative to the levels of corresponding intracellular and VDCM maspin, as compared to that from normal cell lines, maspin knockdown in MCF-10A cells led to maspin-devoid exosomes, which exhibited significantly reduced suppressive effects on the chemotaxis activity of recipient NIH3T3 fibroblast cells. These data are the first to demonstrate the potential of maspin delivered by exosomes to block tumor-induced stromal response, and support the clinical application of exosomal maspin in cancer diagnosis and treatment.</t>
  </si>
  <si>
    <t>[Dean, Ivory; Dzinic, Sijana H.; Bernardo, M. Margarida; Li, Xiaohua; Kaplun, Alexander; Sheng, Shijie] Wayne State Univ, Sch Med, Dept Pathol, Detroit, MI 48202 USA; [Dean, Ivory; Sheng, Shijie] Wayne State Univ, Sch Med, Dept Oncol, Detroit, MI 48202 USA; [Dean, Ivory; Dzinic, Sijana H.; Bernardo, M. Margarida; Li, Xiaohua; Kaplun, Alexander; Granneman, James; Mao, Guangzhao; Sheng, Shijie] Karmanos Canc Inst, Tumor Biol &amp; Microenvironm Program, Detroit, MI 48201 USA; [Zou, Yi; Granneman, James] Wayne State Univ, Sch Med, Dept Psychiat &amp; Behav Neurosci, Detroit, MI 48202 USA; [Kimler, Vickie; Mao, Guangzhao] Wayne State Univ, Dept Chem Engn &amp; Mat Sci, Detroit, MI 48202 USA; [Dean, Ivory] Univ Calif San Francisco, Ctr Bioengn &amp; Tissue Regenerat, San Francisco, CA 94143 USA; [Kimler, Vickie] Oakland Univ, Eye Res Inst, Ocular Struct &amp; Imaging Facil, Rochester Hills, MI USA; [Li, Xiaohua] Nanjing Med Univ, Zhangjiagang Aoyang Hosp, Nanjing, Jiangsu, Peoples R China; [Kaplun, Alexander] Variantyx, Framingham, MA USA</t>
  </si>
  <si>
    <t>Wayne State University; Wayne State University; Barbara Ann Karmanos Cancer Institute; Wayne State University; Wayne State University; University of California System; University of California San Francisco; Oakland University; Nanjing Medical University</t>
  </si>
  <si>
    <t>Sheng, SJ (corresponding author), Wayne State Univ, Sch Med, Dept Pathol, Detroit, MI 48202 USA.;Sheng, SJ (corresponding author), Wayne State Univ, Sch Med, Dept Oncol, Detroit, MI 48202 USA.;Sheng, SJ (corresponding author), Karmanos Canc Inst, Tumor Biol &amp; Microenvironm Program, Detroit, MI 48201 USA.</t>
  </si>
  <si>
    <t>ssheng@med.wayne.edu</t>
  </si>
  <si>
    <t>Li, Xiaohua/AAW-4713-2021; Kaplun, Alexander/AAH-5033-2020</t>
  </si>
  <si>
    <t>Li, Xiaohua/0000-0003-3490-916X; Mao, Guangzhao/0000-0001-9308-3922</t>
  </si>
  <si>
    <t>10.18632/oncotarget.13302</t>
  </si>
  <si>
    <t>WOS:000393295500074</t>
  </si>
  <si>
    <t>Fiorito, C; Palacios, C; Golemba, M; Bratanich, A; Arguelles, MB; Fazio, A; Bertellotti, M; Lombardo, D</t>
  </si>
  <si>
    <t>Fiorito, Carla; Palacios, Carlos; Golemba, Marcelo; Bratanich, Ana; Belen Argueelles, Maria; Fazio, Ana; Bertellotti, Marcelo; Lombardo, Daniel</t>
  </si>
  <si>
    <t>Identification, molecular and phylogenetic analysis of poxvirus in skin lesions of southern right whale</t>
  </si>
  <si>
    <t>DISEASES OF AQUATIC ORGANISMS</t>
  </si>
  <si>
    <t>Cetacean poxvirus; Skin disease; Southern right whale; Eubalaena australis</t>
  </si>
  <si>
    <t>CETACEANS; DISEASE</t>
  </si>
  <si>
    <t>Poxvirus skin disease has been reported in several species of cetaceans, principally in odontocetes, and a single report in mysticetes. Southern right whales Eubalaena australis in Peninsula Valdes, Argentina, show a variety of skin lesions of unknown etiology, and the number of these lesions has increased in recent years. Samples from dead whales were taken in order to establish the etiology of these lesions. One calf and one adult presented ring-type lesions, characterized by a circumscribed and slightly raised area of skin. Lesions were histologically characterized by the presence of microvesicles and vacuolated cells in the stratum spinosum, along with hyperplasia of the stratum corneum and eosinophilic inclusion bodies in the cytoplasm of the epithelial cells. Transmission electron microscopy showed aggregations of virions with typical poxvirus morphology. PCR of cetacean poxvirus (CPV) DNA polymerase, DNA topoisomerase I and parapoxvirus DNA polymerase gene fragments was done, and confirmed the presence of poxvirus in one sample. Phylogenetic analysis showed that the detected poxvirus belongs to the CPV-2 group. This is the first confirmed report of poxvirus in southern right whales in Argentina.</t>
  </si>
  <si>
    <t>[Fiorito, Carla; Belen Argueelles, Maria; Fazio, Ana; Bertellotti, Marcelo] Consejo Nacl Invest Cient &amp; Tecn, Ctr Nacl Patagon, Lab Ecofisiol Aplicada Manejo &amp; Conservac, RA-9120 Puerto Madryn, Chubut, Argentina; [Fiorito, Carla; Lombardo, Daniel] Univ Buenos Aires, Fac Ciencias Vet, Lab Histol, Buenos Aires, DF, Argentina; [Palacios, Carlos; Bratanich, Ana] Univ Buenos Aires, Fac Ciencias Vet, Lab Virol, Buenos Aires, DF, Argentina; [Palacios, Carlos] Consejo Nacl Invest Cient &amp; Tecn, Ctr Virol Anim, Inst Ciencia &amp; Tecnol Dr Cesar Milstein, RA-1033 Buenos Aires, DF, Argentina; [Golemba, Marcelo] Hosp Pediat SAMIC Prof Dr Juan P Garrahan, Lab Biol Celular &amp; Retrovirus, Buenos Aires, DF, Argentina</t>
  </si>
  <si>
    <t>Centro Nacional Patagonico (CENPAT); Consejo Nacional de Investigaciones Cientificas y Tecnicas (CONICET); University of Buenos Aires; University of Buenos Aires; Consejo Nacional de Investigaciones Cientificas y Tecnicas (CONICET); Hospital de Pediatria Doctor Juan Garrahan</t>
  </si>
  <si>
    <t>Lombardo, D (corresponding author), Univ Buenos Aires, Fac Ciencias Vet, Lab Histol, C1427CWO, Buenos Aires, DF, Argentina.</t>
  </si>
  <si>
    <t>dmlombardo@gmail.com</t>
  </si>
  <si>
    <t>Palacios, Carlos Adolfo/AAO-9947-2021</t>
  </si>
  <si>
    <t>Palacios, Carlos Adolfo/0000-0002-3368-0538; Bertellotti, Marcelo/0000-0002-1834-7788; Arguelles, Maria Belen/0000-0002-3595-5806</t>
  </si>
  <si>
    <t>0177-5103</t>
  </si>
  <si>
    <t>1616-1580</t>
  </si>
  <si>
    <t>OCT 16</t>
  </si>
  <si>
    <t>10.3354/dao02918</t>
  </si>
  <si>
    <t>Fisheries; Veterinary Sciences</t>
  </si>
  <si>
    <t>WOS:000363343700009</t>
  </si>
  <si>
    <t>Liu, SY; Liu, DW; Chen, CD; Hamamura, K; Moshaverinia, A; Yang, RL; Liu, Y; Jin, Y; Shi, ST</t>
  </si>
  <si>
    <t>Liu, Shiyu; Liu, Dawei; Chen, Chider; Hamamura, Kazunori; Moshaverinia, Alireza; Yang, Ruili; Liu, Yao; Jin, Yan; Shi, Songtao</t>
  </si>
  <si>
    <t>MSC Transplantation Improves Osteopenia via Epigenetic Regulation of Notch Signaling in Lupus</t>
  </si>
  <si>
    <t>MESENCHYMAL STEM-CELLS; VERSUS-HOST-DISEASE; DNA HYPOMETHYLATION; STROMAL CELLS; OSTEOBLAST; EXOSOMES; ERYTHEMATOSUS; CONTRIBUTE; MICRORNAS</t>
  </si>
  <si>
    <t>Mesenchymal stem cell transplantation (MSCT) has been used to treat human diseases, but the detailed mechanisms underlying its success are not fully understood. Here we show that MSCT rescues bone marrow MSC (BMMSC) function and ameliorates osteopenia in Fas-deficient-MRL/lpr mice. Mechanistically, we show that Fas deficiency causes failure of miR-29b release, thereby elevating intracellular miR-29b levels, and downregulates DNA methyltransferase 1 (Dnmt1) expression in MRL/lpr BMMSCs. This results in hypomethylation of the Notch1 promoter and activation of Notch signaling, in turn leading to impaired osteogenic differentiation. Furthermore, we show that exosomes, secreted due to MSCT, transfer Fas to recipient MRL/lpr BMMSCs to reduce intracellular levels of miR-29b, which results in recovery of Dnmt1-mediated Notch1 promoter hypomethylation and thereby improves MRL/lpr BMMSC function. Collectively our findings unravel the means by which MSCT rescues MRL/lpr BMMSC function through reuse of donor exosome-provided Fas to regulate the miR-29b/Dnmt1/Notch epigenetic cascade.</t>
  </si>
  <si>
    <t>[Liu, Shiyu; Liu, Dawei; Chen, Chider; Yang, Ruili; Shi, Songtao] Univ Penn, Sch Dent Med, Dept Anat &amp; Cell Biol, Philadelphia, PA 19104 USA; [Liu, Shiyu; Jin, Yan] Fourth Mil Med Univ, Sch Stomatol, Ctr Tissue Engn, State Key Lab Mil Stomatol, Xian 710032, Shaanxi, Peoples R China; [Liu, Shiyu; Liu, Dawei; Chen, Chider; Hamamura, Kazunori; Moshaverinia, Alireza; Yang, Ruili; Liu, Yao; Shi, Songtao] Univ So Calif, Ctr Craniofacial Mol Biol, Los Angeles, CA 90033 USA; [Liu, Dawei; Yang, Ruili] Peking Univ, Sch &amp; Hosp Stomatol, Dept Orthodont, Beijing 100081, Peoples R China</t>
  </si>
  <si>
    <t>University of Pennsylvania; Air Force Military Medical University; University of Southern California; Peking University</t>
  </si>
  <si>
    <t>Jin, Y (corresponding author), Fourth Mil Med Univ, Sch Stomatol, Ctr Tissue Engn, State Key Lab Mil Stomatol, Xian 710032, Shaanxi, Peoples R China.</t>
  </si>
  <si>
    <t>yanjin@fmmu.edu.cn; songtaos@dental.upenn.edu</t>
  </si>
  <si>
    <t>Jin, Yan/I-4204-2013; Chen, Chider/L-9880-2016</t>
  </si>
  <si>
    <t>Chen, Chider/0000-0003-2899-1208; Hamamura, Kazunori/0000-0002-8143-338X</t>
  </si>
  <si>
    <t>10.1016/j.cmet.2015.08.018</t>
  </si>
  <si>
    <t>WOS:000365192600011</t>
  </si>
  <si>
    <t>Ahn, YH; Kim, YH; Hong, SH; Koh, JY</t>
  </si>
  <si>
    <t>Depletion of intracellular zinc induces protein synthesis-dependent neuronal apoptosis in mouse cortical culture</t>
  </si>
  <si>
    <t>EXPERIMENTAL NEUROLOGY</t>
  </si>
  <si>
    <t>TPEN; neuronal death; caspase; cycloheximide; Alzheimer's disease; brain-derived neurotrophic factor</t>
  </si>
  <si>
    <t>PROGRAMMED CELL-DEATH; NERVE GROWTH-FACTOR; NUCLEAR-DNA FRAGMENTATION; GERBIL HIPPOCAMPUS; FOREBRAIN ISCHEMIA; ALZHEIMERS-DISEASE; FACTOR DEPRIVATION; CEREBRAL-ISCHEMIA; RNA-SYNTHESIS; IN-VITRO</t>
  </si>
  <si>
    <t>The central nervous system (CNS) contains a large amount of zinc; a substantial fraction of it is located inside synaptic vesicles of glutamatergic terminals in chelatable forms and released in a calcium-dependent manner with intense neuronal activity. Recently, it has been shown that excessive zinc influx can kill neurons in rats subjected to transient forebrain ischemia. On the other hand, severe depletion of zinc has been also reported to induce cell death in certain nonneuronal cells. Since decreases in tissue zinc have been associated with Alzheimer's disease (AD) and senile macular degeneration, we examined whether depletion of intracellular zinc with a zinc chelator can directly induce neuronal death in mouse cortical cultures. Exposure of cortical cultures to a cell-permeant zinc-chelator, N,N,N',N'-tetrakis (2-pyridylmethyl) ethylenediamine (TPEN, 0.5-3.0 mu M) induced gradually developing neuronal degeneration accompanied by various features of apoptosis: cell, body shrinkage, nuclear condensation and fragmentation, and internucleosomal DNA breakage. At higher concentrations, TPEN induced additional glial cell death. TPEN-induced cell death was completely blocked by coaddition of zinc. Addition of a protein synthesis inhibitor cycloheximide as well as a caspase inhibitor carbobenzoxy-valyl-alanyl-aspartyl-fluoromethyl ketone (zVAD-fmk) markedly attenuated TPEN-induced neuronal death. On the other hand, brain-derived neurotrophic factor (BDNF), insulin-like growth factor-1 (IGF-1), phorbol 12-myristate 13-acetate (PMA), high K+, or an antioxidant, trolox, did not show any protective effect. The present results demonstrated that depletion of intracellular zinc induces protein synthesis-dependent neuronal apoptosis in cortical culture. Combined with the findings that extracellular zinc may promote extracellular beta-amyloid (A beta) aggregation and that total tissue zinc is reduced in AD, present results suggest a possibility that redistribution of zinc from intracellular to extracellular space may synergistically contribute to neuronal apoptosis in AD. (C) 1998 Academic Press.</t>
  </si>
  <si>
    <t>Univ Ulsan, Coll Med, Dept Neurol, CNS Zinc Study Grp,Creat Res Initiat, Seoul 138040, South Korea; Seoul Natl Univ, Dept Mol Biol, Seoul 138040, South Korea; Seoul Natl Univ, Inst Mol Biol &amp; Genet, Seoul 138040, South Korea</t>
  </si>
  <si>
    <t>University of Ulsan; Seoul National University (SNU); Seoul National University (SNU)</t>
  </si>
  <si>
    <t>Koh, JY (corresponding author), Univ Ulsan, Coll Med, Dept Neurol, CNS Zinc Study Grp,Creat Res Initiat, 388-1 Poongnap Dong, Seoul 138040, South Korea.</t>
  </si>
  <si>
    <t>jkko@www.amc.seoul.kr</t>
  </si>
  <si>
    <t>Kim, Yang-Hee/N-7614-2013; Koh, Jae-Young/C-9014-2011</t>
  </si>
  <si>
    <t>Kim, Yang-Hee/0000-0002-0595-8547; Koh, Jae-Young/0000-0002-4318-495X</t>
  </si>
  <si>
    <t>0014-4886</t>
  </si>
  <si>
    <t>1090-2430</t>
  </si>
  <si>
    <t>10.1006/exnr.1998.6931</t>
  </si>
  <si>
    <t>WOS:000077332100006</t>
  </si>
  <si>
    <t>Tsai, SJ; Atai, NA; Cacciottolo, M; Nice, J; Salehi, A; Guo, CX; Sedgwick, A; Kanagavelu, S; Gould, SJ</t>
  </si>
  <si>
    <t>Tsai, Shang Jui; Atai, Nadia A.; Cacciottolo, Mafalda; Nice, Justin; Salehi, Arjang; Guo, Chenxu; Sedgwick, Alanna; Kanagavelu, Saravana; Gould, Stephen J.</t>
  </si>
  <si>
    <t>Exosome-mediated mRNA delivery in vivo is safe and can be used to induce SARS-CoV-2 immunity</t>
  </si>
  <si>
    <t>FLUORESCENT PROTEIN; BIOLUMINESCENCE; RECOGNITION; CORONAVIRUS; RECOMBINANT; VESICLES; CELLS; DNA</t>
  </si>
  <si>
    <t>Functional delivery of mRNA has high clinical potential. Previous studies established that mRNAs can be delivered to cells in vitro and in vivo via RNA-loaded lipid nanoparticles (LNPs). Here we describe an alternative approach using exosomes, the only biologically normal nanovesicle. In contrast to LNPs, which elicited pronounced cellular toxicity, exosomes had no adverse effects in vitro or in vivo at any dose tested. Moreover, mRNA-loaded exosomes were characterized by efficient mRNA encapsulation (similar to 90%), high mRNA content, consistent size, and a polydispersity index under 0.2. Using an mRNA encoding the red light-emitting luciferase Antares2, we observed that mRNA-loaded exosomes were superior to mRNA-loaded LNPs at delivering functional mRNA into human cells in vitro. Injection of Antares2 mRNA-loaded exosomes also led to strong light emission following injection into the vitreous fluid of the eye or into the tissue of skeletal muscle in mice. Furthermore, we show that repeated injection of Antares2 mRNA-loaded exosomes drove sustained luciferase expression across six injections spanning at least 10 weeks, without evidence of signal attenuation or adverse injection site responses. Consistent with these findings, we observed that exosomes loaded with mRNAs encoding immunogenic forms of the SARS-CoV-2 Spike and Nucleocapsid proteins induced long-lasting cellular and humoral responses to both. Taken together, these results demonstrate that exosomes can be used to deliver functional mRNA to and into cells in vivo.</t>
  </si>
  <si>
    <t>[Tsai, Shang Jui; Guo, Chenxu; Gould, Stephen J.] Johns Hopkins Univ, Sch Med, Dept Biol Chem, Baltimore, MD 21205 USA; [Atai, Nadia A.; Cacciottolo, Mafalda; Nice, Justin; Salehi, Arjang; Sedgwick, Alanna; Kanagavelu, Saravana] Capricor Therapeut Inc, Beverly Hills, CA USA</t>
  </si>
  <si>
    <t>Johns Hopkins University</t>
  </si>
  <si>
    <t>Gould, SJ (corresponding author), Johns Hopkins Univ, Sch Med, Dept Biol Chem, Baltimore, MD 21205 USA.</t>
  </si>
  <si>
    <t>sgould@jhmi.edu</t>
  </si>
  <si>
    <t>Salehi, Arjang/0000-0003-4163-0378; Tsai, Shang-Jui/0000-0002-9602-2823; Guo, Chenxu/0000-0002-9651-4203</t>
  </si>
  <si>
    <t>10.1016/j.jbc.2021.101266</t>
  </si>
  <si>
    <t>WOS:000727679000015</t>
  </si>
  <si>
    <t>Ferrucci, V; Asadzadeh, F; Collina, F; Siciliano, R; Boccia, A; Marrone, L; Spano, D; Carotenuto, M; Chiarolla, CM; De Martino, D; De Vita, G; Macri, A; Dassi, L; Vandenbussche, J; Marino, N; Cantile, M; Paolella, G; D'Andrea, F; di Bonito, M; Gevaert, K; Zollo, M</t>
  </si>
  <si>
    <t>Ferrucci, Veronica; Asadzadeh, Fatemeh; Collina, Francesca; Siciliano, Roberto; Boccia, Angelo; Marrone, Laura; Spano, Daniela; Carotenuto, Marianeve; Chiarolla, Cristina Maria; De Martino, Daniela; De Vita, Gennaro; Macri, Alessandra; Dassi, Luisa; Vandenbussche, Jonathan; Marino, Natascia; Cantile, Monica; Paolella, Giovanni; D'Andrea, Francesco; di Bonito, Maurizio; Gevaert, Kris; Zollo, Massimo</t>
  </si>
  <si>
    <t>Prune-1 drives polarization of tumor-associated macrophages (TAMs) within the lung metastatic niche in triple-negative breast cancer</t>
  </si>
  <si>
    <t>NF-KAPPA-B; H-PRUNE; GENE-EXPRESSION; MESENCHYMAL TRANSITION; SIGNAL-TRANSDUCTION; CELL-MIGRATION; PROTEIN-KINASE; TGF-BETA; ACTIVATION; SURVIVAL</t>
  </si>
  <si>
    <t>M2-tumor-associated macrophages (M2-TAMs) in the tumor microenvironment represent a prognostic indicator for poor outcome in triple-negative breast cancer (TNBC). Here we show that Prune-1 overexpression in human TNBC patients has positive correlation to lung metastasis and infiltrating M2-TAMs. Thus, we demonstrate that Prune-1 promotes lung metastasis in a genetically engineered mouse model of metastatic TNBC augmenting M2-polarization of TAMs within the tumor microenvironment. Thus, this occurs through TGF-beta enhancement, IL-17F secretion, and extracellular vesicle protein content modulation. We also find murine inactivating gene variants in human TNBC patient cohorts that are involved in activation of the innate immune response, cell adhesion, apoptotic pathways, and DNA repair. Altogether, we indicate that the overexpression of Prune-1, IL-10, COL4A1, ILR1, and PDGFB, together with inactivating mutations of PDE9A, CD244, Sirpblb, SV140, lqcal, and PIP5K1B genes, might represent a route of metastatic lung dissemination that need future prognostic validations.</t>
  </si>
  <si>
    <t>[Ferrucci, Veronica; Asadzadeh, Fatemeh; Siciliano, Roberto; Boccia, Angelo; Marrone, Laura; Spano, Daniela; Chiarolla, Cristina Maria; Macri, Alessandra; Dassi, Luisa; Marino, Natascia; Paolella, Giovanni; Zollo, Massimo] CEINGE, Biotecnol Avanzate, I-80145 Naples, Italy; [Ferrucci, Veronica; Asadzadeh, Fatemeh; Marrone, Laura; Carotenuto, Marianeve; De Martino, Daniela; De Vita, Gennaro; Zollo, Massimo] Federico II Univ Naples, Dipartimento Med Mol &amp; Biotecnol Med DMMBM, I-80134 Naples, Italy; [Ferrucci, Veronica; Zollo, Massimo] Univ Milan, European Sch Mol Med SEMM, Milan, Italy; [Collina, Francesca; Cantile, Monica; di Bonito, Maurizio] Ist Nazl Tumori IRCS Fdn G Pascale, Pathol Unit, I-80131 Naples, Italy; [Vandenbussche, Jonathan; Gevaert, Kris] VIB UGent Ctr Med Biotechnol, B-9052 Ghent, Belgium; [Marino, Natascia] Indiana Univ Purdue Univ, Dept Med, Indianapolis, IN 46202 USA; [D'Andrea, Francesco] Univ Napoli Federico II, Dipartimento Sanita Pubbl AOU, I-80131 Naples, Italy; [Zollo, Massimo] AOU Federico II, DAI Med Lab &amp; Trasfus, I-80131 Naples, Italy; [Vandenbussche, Jonathan; Gevaert, Kris] Univ Ghent, Dept Biomol Med, B-9052 Ghent, Belgium</t>
  </si>
  <si>
    <t>CEINGE Biotecnologie Avanzate; University of Naples Federico II; University of Milan; Flanders Institute for Biotechnology (VIB); Ghent University; Indiana University System; Indiana University-Purdue University Indianapolis; University of Naples Federico II; Ghent University</t>
  </si>
  <si>
    <t>Zollo, M (corresponding author), CEINGE, Biotecnol Avanzate, I-80145 Naples, Italy.;Zollo, M (corresponding author), Federico II Univ Naples, Dipartimento Med Mol &amp; Biotecnol Med DMMBM, I-80134 Naples, Italy.;Zollo, M (corresponding author), Univ Milan, European Sch Mol Med SEMM, Milan, Italy.;Zollo, M (corresponding author), AOU Federico II, DAI Med Lab &amp; Trasfus, I-80131 Naples, Italy.</t>
  </si>
  <si>
    <t>massimo.zollo@unina.it</t>
  </si>
  <si>
    <t>Collina, Francesca/K-6763-2016; Marino, Natascia/AAM-5941-2021; Dassi, Luisa/ABE-4271-2020</t>
  </si>
  <si>
    <t>Collina, Francesca/0000-0001-9862-3668; Marino, Natascia/0000-0001-6771-8963; Dassi, Luisa/0000-0002-2350-1997; MARRONE, LAURA/0000-0002-1595-0928; Spano, Daniela/0000-0003-3567-6492; FERRUCCI, Veronica/0000-0002-2019-6501</t>
  </si>
  <si>
    <t>10.1016/j.isci.2020.101938</t>
  </si>
  <si>
    <t>WOS:000612996900057</t>
  </si>
  <si>
    <t>Salaud, C; Alvarez-Arenas, A; Geraldo, F; Belmonte-Beitia, J; Calvo, GF; Gratas, C; Pecqueur, C; Garnier, D; Perez-Garcia, V; Vallette, FM; Oliver, L</t>
  </si>
  <si>
    <t>Salaud, Celine; Alvarez-Arenas, Arturo; Geraldo, Fanny; Belmonte-Beitia, Juan; Calvo, Gabriel F.; Gratas, Catherine; Pecqueur, Claire; Garnier, Delphine; Perez-Garcia, Victor; Vallette, Francois M.; Oliver, Lisa</t>
  </si>
  <si>
    <t>Mitochondria transfer from tumor-activated stromal cells (TASC) to primary Glioblastoma cells</t>
  </si>
  <si>
    <t>Primary GBM cultures; Mitochondria; Mesenchymal stromal cells; Tunneling nanotubes</t>
  </si>
  <si>
    <t>MESENCHYMAL STEM-CELLS; ADJUVANT TEMOZOLOMIDE; COMMUNICATION; RADIOTHERAPY; CONCOMITANT; BIOLOGY</t>
  </si>
  <si>
    <t>The tumor microenvironment (TME) controls many aspects of cancer development but little is known about its effect in Glioblastoma (GBM), the main brain tumor in adults. Tumor-activated stromal cell (TASC) population, a component of TME in GBM, was induced in vitro by incubation of MSCs with culture media conditioned by primary cultures of GBM under 3D/organoid conditions. We observed mito-chondrial transfer by Tunneling Nanotubes (TNT), extracellular vesicles (EV) and cannibalism from the TASC to GBM and analyzed its effect on both proliferation and survival. We created primary cultures of GBM or TASC in which we have eliminated mitochondrial DNA [Rho 0 (rho(0)) cells]. We found that TASC, as described in other cancers, increased GBM proliferation and resistance to standard treatments (radiotherapy and chemotherapy). We analyzed the incorporation of purified mitochondria by rho(0) and rho(+) cells and a derived mathematical model taught us that rho(+) cells incorporate more rapidly pure mitochondria than rho(0) cells. (C) 2020 Elsevier Inc. All rights reserved.</t>
  </si>
  <si>
    <t>[Salaud, Celine; Geraldo, Fanny; Gratas, Catherine; Pecqueur, Claire; Garnier, Delphine; Vallette, Francois M.; Oliver, Lisa] Univ Nantes, CRCINA, INSERM, F-44007 Nantes, France; [Salaud, Celine; Gratas, Catherine; Oliver, Lisa] CHU Nantes, Dept Neurosurg, F-44007 Nantes, France; [Alvarez-Arenas, Arturo; Belmonte-Beitia, Juan; Calvo, Gabriel F.; Perez-Garcia, Victor] Univ Castilla La Mancha, Dept Math, Ciudad Real 13071, Spain; [Alvarez-Arenas, Arturo; Belmonte-Beitia, Juan; Calvo, Gabriel F.; Perez-Garcia, Victor] Univ Castilla La Mancha, MOLAB Math Oncol Lab, Ciudad Real 13071, Spain; [Garnier, Delphine; Vallette, Francois M.] ICO, Lab Biol Canc &amp; Theranost, F-44805 St Herblain, France</t>
  </si>
  <si>
    <t>Institut National de la Sante et de la Recherche Medicale (Inserm); Nantes Universite; Nantes Universite; CHU de Nantes; Universidad de Castilla-La Mancha; Universidad de Castilla-La Mancha; UNICANCER; Institut de Cancerologie de l'Ouest (ICO)</t>
  </si>
  <si>
    <t>Oliver, L (corresponding author), CHU Nantes, Dept Neurosurg, F-44007 Nantes, France.;Vallette, FM (corresponding author), Univ Nantes, CRCINA, INSERM U1232, 8 Quai Moncousu, F-44007 Nantes, France.</t>
  </si>
  <si>
    <t>francois.vallette@inserm.fr; lisa.oliver@univ-nantes.fr</t>
  </si>
  <si>
    <t>Pecqueur, Claire/L-3073-2015; Pérez-García, Víctor M./C-8892-2011; Gratas, Catherine/K-9280-2015; Fernandez Calvo, Gabriel/T-6710-2018; Belmonte Beitia, Juan/S-4515-2017; Vallette, Francois/K-9047-2015</t>
  </si>
  <si>
    <t>Pecqueur, Claire/0000-0002-7612-1672; Pérez-García, Víctor M./0000-0002-6575-495X; Gratas, Catherine/0000-0002-9155-6906; Fernandez Calvo, Gabriel/0000-0002-3623-236X; Garnier, Delphine/0000-0002-5744-5612; Belmonte Beitia, Juan/0000-0002-5003-1150; Vallette, Francois/0000-0002-3296-8572</t>
  </si>
  <si>
    <t>10.1016/j.bbrc.2020.08.101</t>
  </si>
  <si>
    <t>WOS:000579432200020</t>
  </si>
  <si>
    <t>Pulze, L; Bassani, B; Gini, E; D'Antona, P; Grimaldi, A; Luini, A; Marino, F; Noonan, DM; Tettamanti, G; Valvassori, R; de Eguileor, M</t>
  </si>
  <si>
    <t>Pulze, L.; Bassani, B.; Gini, E.; D'Antona, P.; Grimaldi, A.; Luini, A.; Marino, F.; Noonan, D. M.; Tettamanti, G.; Valvassori, R.; de Eguileor, M.</t>
  </si>
  <si>
    <t>NET amyloidogenic backbone in human activated neutrophils</t>
  </si>
  <si>
    <t>ACTH axis; amyloidogenesis; exosomes; neutrophil extracellular trap; ROS evaluation</t>
  </si>
  <si>
    <t>EXTRACELLULAR TRAPS MEDIATE; ALZHEIMERS-DISEASE; BIDIRECTIONAL COMMUNICATION; NEUTRAL ENDOPEPTIDASE; MITOCHONDRIAL-DNA; OXIDATIVE STRESS; NEUROENDOCRINE; IMMUNE; NEPRILYSIN; AUTOPHAGY</t>
  </si>
  <si>
    <t>Activated human neutrophils produce a fibrillar DNA network [neutrophil extracellular traps (NETs)] for entrapping and killing bacteria, fungi, protozoa and viruses. Our results suggest that the neutrophil extracellular traps show a resistant amyloidogenic backbone utilized for addressing reputed proteins and DNA against the non-self. The formation of amyloid fibrils in neutrophils is regulated by the imbalance of reactive oxygen species (ROS) in the cytoplasm. The intensity and source of the ROS signal is determinant for promoting stress-associated responses such as amyloidogenesis and closely related events: autophagy, exosome release, activation of the adrenocorticotrophin hormone/-melanocyte-stimulating hormone (ACTH/-MSH) loop and synthesis of specific cytokines. These interconnected responses in human activated neutrophils, that have been evaluated from a morphofunctional and quantitative viewpoint, represent primitive, but potent, innate defence mechanisms. In invertebrates, circulating phagocytic immune cells, when activated, show responses similar to those described previously for activated human neutrophils. Invertebrate cells within endoplasmic reticulum cisternae produce a fibrillar material which is then assembled into an amyloidogenic scaffold utilized to convey melanin close to the invader. These findings, in consideration to the critical role played by NET in the development of several pathologies, could explain the structural resistance of these scaffolds and could provide the basis for developing new diagnostic and therapeutic approaches in immunomediated diseases in which the innate branch of the immune system has a pivotal role.</t>
  </si>
  <si>
    <t>[Pulze, L.; Bassani, B.; Gini, E.; D'Antona, P.; Grimaldi, A.; Noonan, D. M.; Tettamanti, G.; Valvassori, R.; de Eguileor, M.] Univ Insubria, Dept Biotechnol &amp; Life Sci, Via JH Dunant 3, I-21100 Varese, Italy; [Bassani, B.; Noonan, D. M.] IRCCS MultiMed, Sci &amp; Technol Pk, Milan, Italy; [Luini, A.; Marino, F.] Univ Insubria, Ctr Res Med Pharmacol, Varese, Italy</t>
  </si>
  <si>
    <t>University of Insubria; IRCCS Multimedica; University of Insubria</t>
  </si>
  <si>
    <t>de Eguileor, M (corresponding author), Univ Insubria, Dept Biotechnol &amp; Life Sci, Via JH Dunant 3, I-21100 Varese, Italy.</t>
  </si>
  <si>
    <t>magda.deeguileor@uninsubria.it</t>
  </si>
  <si>
    <t>Noonan, Douglas M/A-8620-2010; Tettamanti, Gianluca/E-5465-2012; bassani, barbara/AAB-5832-2019</t>
  </si>
  <si>
    <t>Noonan, Douglas M/0000-0001-8058-0719; Tettamanti, Gianluca/0000-0002-0665-828X; Bassani, Barbara/0000-0002-8002-1607; Gini, Elisabetta/0000-0003-3543-8777</t>
  </si>
  <si>
    <t>10.1111/cei.12730</t>
  </si>
  <si>
    <t>WOS:000370184600015</t>
  </si>
  <si>
    <t>Kim, GW; Won, JH; Lee, OK; Lee, SS; Han, JH; Tsogtbaatar, O; Nam, S; Kim, Y; Cho, KO</t>
  </si>
  <si>
    <t>Kim, Go-Woon; Won, Jong-Hoon; Lee, Ok-Kyung; Lee, Sang-Soo; Han, Jeong-Hoon; Tsogtbaatar, Orkhon; Nam, Sujin; Kim, Yeon; Cho, Kyung-Ok</t>
  </si>
  <si>
    <t>Sol narae (Sona) is a Drosophila ADAMTS involved in Wg signaling</t>
  </si>
  <si>
    <t>WINGLESS MORPHOGEN GRADIENT; CONTROLS CELL-MIGRATION; TRANS-GOLGI NETWORK; DALLY-LIKE PROTEIN; LONG-RANGE ACTION; CAENORHABDITIS-ELEGANS; TRANSMEMBRANE PROTEIN; RETROMER COMPLEX; FRIZZLED FAMILY; WNT RECEPTOR</t>
  </si>
  <si>
    <t>ADAMTS (a disintegrin and metalloproteases with thrombospondin motif) family consists of secreted proteases, and is shown to cleave extracellular matrix proteins. Their malfunctions result in cancers and disorders in connective tissues. We report here that a Drosophila ADAMTS named Sol narae (Sona) promotes Wnt/Wingless (Wg) signaling. sona loss-of-function mutants are lethal and rare escapers had malformed appendages, indicating that sona is essential for fly development and survival. sona exhibited positive genetic interaction with wntless (wls) that encodes a cargo protein for Wg. Loss of sona decreased the level of extracellular Wg, and also reduced the expression level of Wg effector proteins such as Senseless (Sens), Distalless (Dll) and Vestigial (Vg). Sona and Wg colocalized in Golgi and endosomal vesicles, and were in the same protein complex. Furthermore, co-expression of Wg and Sona generated ectopic wing margin bristles. This study suggests that Sona is involved in Wg signaling by regulating the level of extracellular Wg.</t>
  </si>
  <si>
    <t>[Kim, Go-Woon; Won, Jong-Hoon; Lee, Ok-Kyung; Lee, Sang-Soo; Han, Jeong-Hoon; Tsogtbaatar, Orkhon; Nam, Sujin; Kim, Yeon; Cho, Kyung-Ok] Korea Adv Inst Sci &amp; Technol, Dept Biol Sci, 291 Daehak Ro, Daejeon, South Korea; [Kim, Go-Woon] Korea Inst Sci &amp; Technol, Biomed Res Inst, Seoul, South Korea</t>
  </si>
  <si>
    <t>Korea Advanced Institute of Science &amp; Technology (KAIST); Korea Institute of Science &amp; Technology (KIST)</t>
  </si>
  <si>
    <t>Cho, Kyung-Ok/C-1705-2011</t>
  </si>
  <si>
    <t>Cho, Kyung-Ok/0000-0002-0760-2560</t>
  </si>
  <si>
    <t>10.1038/srep31863</t>
  </si>
  <si>
    <t>WOS:000381560600001</t>
  </si>
  <si>
    <t>Ziegler, A; Seelig, J</t>
  </si>
  <si>
    <t>Ziegler, Andre; Seelig, Joachim</t>
  </si>
  <si>
    <t>Contributions of Glycosaminoglycan Binding and Clustering to the Biological Uptake of the Nonamphipathic Cell-Penetrating Peptide WR9</t>
  </si>
  <si>
    <t>PROTEIN TRANSDUCTION DOMAINS; ARGININE-RICH PEPTIDES; NONVIRAL GENE DELIVERY; DNA COMPLEXES; HIGH-AFFINITY; ENTERS CELLS; MEMBRANE; TAT; SURFACE; PROTEOGLYCANS</t>
  </si>
  <si>
    <t>Many cell-penetrating peptides (CPPs) bind to glycosaminoglycans (GAG) located on the extracellular side of biological tissues. CPP binding to the cell surface is intimately associated with clustering of surface molecules and is usually followed by uptake into the cell interior. We have investigated the uptake mechanism by comparing CPPs which bind, but cannot induce, GAG clustering with those which do induce GAG clustering. We have synthesized the tryptophan-labeled CPP nona-L-arginine (WR9) and its monodispersely PEGylated derivate (PEG(27)-WR9) and have compared them with respect to glycan binding, glycan clustering, and their uptake into living cells. Both CPPs bind to the GAG heparin with high affinity (K-D similar to 100 nM), but the PEGylation prevents the GAG clustering. Thus, it is possible to uncouple and analyze the contributions of GAG binding and GAG clustering to the biological CPP uptake. The uptake of PEG-WR9 into CH-K1 cells is confined to intracellular vesicles, where colocalization with transferrin attests to an endocytic uptake. Transfection experiments with plasmid DNA for GFP revealed poor GFP expression, suggesting that endocytic uptake of PEG-WR9 is compromised by insufficient release from endocytic vesicles. In contrast, WR9 shows two uptake routes. At low concentration (&lt;5 mu M), WR9 uptake occurs mainly through endocytosis. At higher concentration, WR9 uptake is greatly enhanced, showing a diffuse spreading over the entire cytoplasm and nucleus-a phenomenon termed transduction. Transduction of WR9 leads to a higher GFP expression as compared to PEG-WR9 endocytosis but also damages the plasma membrane as evidenced by SYTOX Green staining. The results suggest that GAG binding without and with GAG clustering induce two different pathways of CPP uptake.</t>
  </si>
  <si>
    <t>[Ziegler, Andre; Seelig, Joachim] Univ Basel, Biozentrum, Dept Biophys Chem, CH-4056 Basel, Switzerland</t>
  </si>
  <si>
    <t>University of Basel</t>
  </si>
  <si>
    <t>Ziegler, A (corresponding author), Univ Basel, Biozentrum, Dept Biophys Chem, Klingelbergstr 50-70, CH-4056 Basel, Switzerland.</t>
  </si>
  <si>
    <t>andre.ziegler@unibas.ch</t>
  </si>
  <si>
    <t>MAY 31</t>
  </si>
  <si>
    <t>10.1021/bi1019429</t>
  </si>
  <si>
    <t>WOS:000290837400026</t>
  </si>
  <si>
    <t>Vischer, HF; Bogerd, J</t>
  </si>
  <si>
    <t>Cloning and functional characterization of a gonadal luteinizing hormone receptor complementary DNA from the African catfish (Clarias gariepinus)</t>
  </si>
  <si>
    <t>luteinizing hormone; ovary; testis</t>
  </si>
  <si>
    <t>FOLLICLE-STIMULATING-HORMONE; LEU-RICH REPEATS; HORMONE/CHORIONIC GONADOTROPIN RECEPTOR; SALMON ONCORHYNCHUS-RHODURUS; HUMAN CHORIONIC-GONADOTROPIN; EXTRACELLULAR DOMAIN; MOLECULAR-BIOLOGY; ADENYLYL-CYCLASE; GENE-EXPRESSION; GTH-II</t>
  </si>
  <si>
    <t>A cDNA encoding a putative African catfish (Clarias gariepinus) gonadal LH receptor (cfLH-R) has been cloned. Multiple sequence alignment of the deduced amino acid sequence revealed that the cfLH-R had the highest identity with vertebrate LH receptors (&gt;50%). Overall sequence identity between the cfLH-R and the African catfish FSH receptor (cfFSH-R) is 47%. Sequence analysis of part of the cfLH-R gene revealed the presence of an intron typically found in other vertebrate LH-R genes. Abundant cfLH-R mRNA expression was detected in ovary and testis as well as in head-kidney (the adrenal homologue in fish). Other tissues, such as muscle, brain, cerebellum, stomach, heart, and seminal vesicles, also contained detectable cfLH-R mRNA. Transient expression of the cfLH-R in HEK-T 293 cells resulted in significantly increased basal cAMP levels in the absence of gonadotropic hormone. The cAMP levels could be further elevated in response to catfish LH, salmon LH, human LH, human choriogonadotropin, and human FSH. Salmon FSH and human TSH, however, were inactive. We conclude that we have cloned a cDNA encoding the LH-R of the African catfish. This receptor displays constitutive activity but is still responsive to additional ligand-induced activation.</t>
  </si>
  <si>
    <t>Univ Utrecht, Fac Biol, Res Grp Endocrinol, NL-3584 CH Utrecht, Netherlands</t>
  </si>
  <si>
    <t>Utrecht University</t>
  </si>
  <si>
    <t>Bogerd, J (corresponding author), Univ Utrecht, Fac Biol, Res Grp Endocrinol, Padualaan 8, NL-3584 CH Utrecht, Netherlands.</t>
  </si>
  <si>
    <t>Bogerd, Jan/B-8858-2011</t>
  </si>
  <si>
    <t>Bogerd, Jan/0000-0003-1120-7974</t>
  </si>
  <si>
    <t>10.1095/biolreprod.102.004515</t>
  </si>
  <si>
    <t>WOS:000180111500035</t>
  </si>
  <si>
    <t>Spencer, DM; Dye, JR; Piantadosi, CA; Pisetsky, DS</t>
  </si>
  <si>
    <t>Spencer, Diane M.; Dye, John R.; Piantadosi, Claude A.; Pisetsky, David S.</t>
  </si>
  <si>
    <t>The release of microparticles and mitochondria from RAW 264.7 murine macrophage cells undergoing necroptotic cell death in vitro</t>
  </si>
  <si>
    <t>Microparticles; Mitochondria; Necroptosis; Apoptosis; Macrophage</t>
  </si>
  <si>
    <t>SYSTEMIC-LUPUS-ERYTHEMATOSUS; POLYINOSINIC-POLYCYTIDYLIC ACID; EXTRACELLULAR VESICLES; APOPTOTIC CELLS; BRAIN-INJURY; HL-60 CELLS; KINASE; DNA; AUTOANTIGENS; LIPOPOLYSACCHARIDE</t>
  </si>
  <si>
    <t>Microparticles (MPs) are small membrane-bound vesicles released from activated or dying cells. As shown previously, LPS stimulation of the RAW 264.7 macrophage cell line can induce MP release, with the caspase inhibitor Z-VAD increasing the extent of this process. Since combined treatment of cells with LPS and Z-VAD can induce necroptosis, we explored particle release during this form of cell death using flow cytometry to assess particle size, binding of annexin V and staining for DNA with propidium iodide (PI) and SYTO 13. The role of necroptosis was assessed by determining the effects of necrostatin, an inhibitor of RIP1, a kinase regulating this form of cell death. These studies demonstrated that, during necroptosis, RAW 264.7 cells release MPs that resemble those released from cells treated with staurosporine to induce apoptosis. The particles contained DNA as determined by binding of PI and SYTO 13, with PCR analysis demonstrating both chromosomal and mitochondrial DNA. The presence of mitochondria in the MP preparations was demonstrated by staining with MitoTracker Green. Flow cytometry indicated that purified mitochondria have properties of MPs. Together, these studies indicate that cells undergoing necroptosis can release MN and that mitochondria can be components of MP preparations.</t>
  </si>
  <si>
    <t>[Spencer, Diane M.; Dye, John R.; Pisetsky, David S.] Duke Univ, Med Ctr, Div Rheumatol &amp; Immunol, Durham, NC USA; [Piantadosi, Claude A.] Duke Univ, Med Ctr, Div Pulm Allergy Crit Care Med, Dept Med, Durham, NC 27710 USA; [Pisetsky, David S.] Durham Vet Adm Med Ctr, Med Res Serv, Durham, NC USA</t>
  </si>
  <si>
    <t>Pisetsky, DS (corresponding author), VA Med Ctr, 151G,508 Fulton St, Durham, NC 27705 USA.</t>
  </si>
  <si>
    <t>diane.m.spencer@duke.edu; johnrobertdye@gmail.com; claude.piantadosi@duke.edu; david.pisetsky@duke.edu</t>
  </si>
  <si>
    <t>10.1016/j.yexcr.2017.12.024</t>
  </si>
  <si>
    <t>WOS:000428834400002</t>
  </si>
  <si>
    <t>Griukova, A; Deryabin, P; Shatrova, A; Burova, E; Severino, V; Farina, A; Nikolsky, N; Borodkina, A</t>
  </si>
  <si>
    <t>Griukova, Anastasiia; Deryabin, Pavel; Shatrova, Alla; Burova, Elena; Severino, Valeria; Farina, Annarita; Nikolsky, Nikolay; Borodkina, Aleksandra</t>
  </si>
  <si>
    <t>Molecular basis of senescence transmitting in the population of human endometrial stromal cells</t>
  </si>
  <si>
    <t>endometrial stromal cells; senescence; SASP; PAI-1</t>
  </si>
  <si>
    <t>PLASMINOGEN-ACTIVATOR INHIBITOR-1; SECRETORY PHENOTYPE; EXTRACELLULAR VESICLES; 4G/5G POLYMORPHISM; STATISTICAL-MODEL; GROWTH-FACTOR; DNA-DAMAGE; FIBROBLASTS; PROTEINS</t>
  </si>
  <si>
    <t>Hormone-regulated proliferation and differentiation of endometrial stromal cells (ESCs) determine overall endometrial plasticity and receptivity to embryos. Previously we revealed that ESCs may undergo premature senescence, accompanied by proliferation loss and various intracellular alterations. Here we focused on whether and how senescence may be transmitted within the ESCs population. We revealed that senescent ESCs may induce paracrine senescence in young counterparts via cell contacts, secreted factors and extracellular vesicles. According to secretome-wide profiling we identified plasminogen activator inhibitor-1 (PAI-1) to be the most prominent protein secreted by senescent ESCs (data are available via ProteomeXchange with identifier PXD015742). By applying CRISPR/Cas9 techniques we disclosed that PAI-1 secreted by senescent ESCs may serve as the master-regulator of paracrine senescence progression within the ESCs population. Unraveled molecular basis of senescence transduction in the ESCs population may be further considered in terms of altered endometrial plasticity and sensitivity to invading embryo, thus contributing to the female infertility curing.</t>
  </si>
  <si>
    <t>[Griukova, Anastasiia; Deryabin, Pavel; Shatrova, Alla; Burova, Elena; Nikolsky, Nikolay; Borodkina, Aleksandra] Russian Acad Sci, Inst Cytol, Dept Intracellular Signaling &amp; Transport, St Petersburg 194064, Russia; [Severino, Valeria; Farina, Annarita] Univ Geneva, CMU, Fac Med, Dept Med, CH-1211 Geneva, Switzerland</t>
  </si>
  <si>
    <t>Russian Academy of Sciences; St. Petersburg Scientific Centre of the Russian Academy of Sciences; Institute of Cytology RAS; University of Geneva</t>
  </si>
  <si>
    <t>Borodkina, A (corresponding author), Russian Acad Sci, Inst Cytol, Dept Intracellular Signaling &amp; Transport, St Petersburg 194064, Russia.</t>
  </si>
  <si>
    <t>borodkina618@gmail.com</t>
  </si>
  <si>
    <t>Nikolsky, Nikolay/AAB-5657-2021; Borodkina, Aleksandra V/G-8529-2016; Deryabin, Pavel/AAF-1610-2021; Griukova, Anastasiia/AAF-1682-2021</t>
  </si>
  <si>
    <t xml:space="preserve">Nikolsky, Nikolay/0000-0001-9914-874X; Borodkina, Aleksandra V/0000-0003-1675-7588; Deryabin, Pavel/0000-0003-2451-2943; </t>
  </si>
  <si>
    <t>10.18632/aging.102441</t>
  </si>
  <si>
    <t>WOS:000499656700048</t>
  </si>
  <si>
    <t>Arcangeletti, MC; Simone, RV; Rodighiero, I; De Conto, F; Medici, MC; Maccari, C; Chezzi, C; Calderaro, A</t>
  </si>
  <si>
    <t>Arcangeletti, Maria-Cristina; Simone, Rosita Vasile; Rodighiero, Isabella; De Conto, Flora; Medici, Maria-Cristina; Maccari, Clara; Chezzi, Carlo; Calderaro, Adriana</t>
  </si>
  <si>
    <t>Human cytomegalovirus reactivation from latency: validation of a switch model in vitro</t>
  </si>
  <si>
    <t>HCMV; Latency; Reactivation; THP-1 monocytes; THP-1 differentiation</t>
  </si>
  <si>
    <t>VIRAL GENE-EXPRESSION; EXTRACELLULAR VESICLES; HISTONE MODIFICATIONS; PROGENITOR CELLS; CMV DNA; INFECTION; TRANSPLANT; MONOCYTES; PROTEINS; VIRUS</t>
  </si>
  <si>
    <t>Background: Human cytomegalovirus (HCMV) is an opportunistic pathogen leading to severe and even fatal diseases in 'at-risk' categories of individuals upon primary infection or the symptomatic reactivation of the endogenous virus. The mechanisms which make the virus able to reactivate from latency are still matter of intense study. However, the very low number of peripheral blood monocytes (an important latent virus reservoir) harbouring HCMV DNA makes it very difficult to obtain adequate viral quantities to use in such studies. Thus, the aim of the present study was to demonstrate the usefulness of human THP-1 monocytes, mostly employed as HCMV latent or lytic infection system, as a reactivation model. Methods: THP-1 monocytes were infected with HCMV TB40E strain (latency model) at multiplicities of infection (MOI) of 0.5, 0.25 or 0.125. After infection, THP-1 aliquots were differentiated into macrophages (reactivation model). Infections were carried out for 30 h, 4, 6 and 7 days. Viral DNA evaluation was performed with viable and UV-inactivated virus by q-Real-Time PCR. RNA extracted from latency and reactivation models at 7 days post-infection (p.i.) was subjected to RT-PCR to analyse viral latency and lytic transcripts. To perform viral progeny analysis and titration, the culture medium from infected THP-1 latency and reactivation models (7 days p.i.) was used to infect human fibroblasts; it was also checked for the presence of exosomes. For viral progeny analysis experiments, the Towne strain was also used. Results: Our results showed that, while comparable TB40E DNA amounts were present in both latent and reactivation models at 30 h p.i., gradually increased quantities of viral DNA were only evident in the latter model at 4, 6, 7 days p.i.. The completion of the lytic cycle upon reactivation was also proved by the presence of HCMV lytic transcripts and an infectious viral yield at 7 days p.i. Conclusions: Our data demonstrate the effectiveness of THP-1 cells as a switch model for studying the mechanisms that regulate HCMV reactivation from latency. This system is able to provide adequate quantities of cells harbouring latent/reactivated virus, thereby overcoming the intrinsic difficulties connected to the ex vivo system.</t>
  </si>
  <si>
    <t>[Arcangeletti, Maria-Cristina; Simone, Rosita Vasile; Rodighiero, Isabella; De Conto, Flora; Medici, Maria-Cristina; Maccari, Clara; Chezzi, Carlo; Calderaro, Adriana] Univ Parma, Dept Clin &amp; Expt Med, Unit Microbiol &amp; Virol, Viale A Gramsci 14, I-43126 Parma, Italy</t>
  </si>
  <si>
    <t>University of Parma; University Hospital of Parma</t>
  </si>
  <si>
    <t>Arcangeletti, MC (corresponding author), Univ Parma, Dept Clin &amp; Expt Med, Unit Microbiol &amp; Virol, Viale A Gramsci 14, I-43126 Parma, Italy.</t>
  </si>
  <si>
    <t>mariacristina.arcangeletti@unipr.it</t>
  </si>
  <si>
    <t>De Conto, Flora/H-9760-2019</t>
  </si>
  <si>
    <t>De Conto, Flora/0000-0002-0493-2353</t>
  </si>
  <si>
    <t>10.1186/s12985-016-0634-z</t>
  </si>
  <si>
    <t>WOS:000386399900001</t>
  </si>
  <si>
    <t>Zhu, NH; Li, GH; Zhou, J; Zhang, YJ; Kang, K; Ying, BW; Yi, QY; Wu, Y</t>
  </si>
  <si>
    <t>Zhu, Nanhang; Li, Guohao; Zhou, Juan; Zhang, Yujia; Kang, Ke; Ying, Binwu; Yi, Qiangying; Wu, Yao</t>
  </si>
  <si>
    <t>A light-up fluorescence resonance energy transfer magnetic aptamer-sensor for ultra-sensitive lung cancer exosome detection</t>
  </si>
  <si>
    <t>In vitro liquid biopsy based on exosomes offers promising opportunities for fast and reliable detection of lung cancers. In this work, we present a fluorescence resonance energy transfer (FRET) magnetic aptamer-sensor for magnetic enrichment of exosomes with aptamers and detection of cancerous-surface proteins based on a light-up FRET strategy. Fluorescent quantum dots (QDs) and aptamers were introduced onto magnetic nanoparticles and the fluorescence emission turned down when the aptamers were paired with their complementary DNA on the surface of Au nanoparticles. Later, competitive binding of exosomes with the aptamers expelled the Au nanoparticles resulting in an exosome concentration-dependent linear increase of QD fluorescence intensity in a broad exosome concentration range (5 x 10(2)-5 x 10(9) particles per mL). As found in our work, this system behaved ultra-sensitively and the calculated detection limit of this FRET magnetic aptamer-sensor was as low as 13 particles per mL. Furthermore, taking epithelial cancer-specific antigen (epithelial cell adhesion molecule, EpCAM) screening as a typical example, our built FRET magnetic aptamer-sensor allowed a rapid and efficient distinction of all the epithelial cancer cases (7 lung cancers and 5 other cancers) from health volunteers with 100% accuracy.</t>
  </si>
  <si>
    <t>[Zhu, Nanhang; Li, Guohao; Zhang, Yujia; Kang, Ke; Yi, Qiangying; Wu, Yao] Sichuan Univ, Natl Engn Res Ctr Biomat, Chengdu 610064, Peoples R China; [Zhou, Juan; Ying, Binwu] Sichuan Univ, West China Hosp, Dept Lab Med, Chengdu 610041, Sichuan, Peoples R China</t>
  </si>
  <si>
    <t>Yi, QY; Wu, Y (corresponding author), Sichuan Univ, Natl Engn Res Ctr Biomat, Chengdu 610064, Peoples R China.</t>
  </si>
  <si>
    <t>wuyao@scu.edu.cn</t>
  </si>
  <si>
    <t>Ying, Binwu/AAB-5934-2022</t>
  </si>
  <si>
    <t>yi, qiangying/0000-0002-9180-7322</t>
  </si>
  <si>
    <t>MAR 14</t>
  </si>
  <si>
    <t>10.1039/d1tb00046b</t>
  </si>
  <si>
    <t>WOS:000629733200013</t>
  </si>
  <si>
    <t>Scopel, W; Consoli, FL</t>
  </si>
  <si>
    <t>Scopel, Wanessa; Consoli, Fernando Luis</t>
  </si>
  <si>
    <t>Culturable symbionts associated with the reproductive and digestive tissues of the Neotropical brown stinkbug Euschistus heros</t>
  </si>
  <si>
    <t>ANTONIE VAN LEEUWENHOEK INTERNATIONAL JOURNAL OF GENERAL AND MOLECULAR MICROBIOLOGY</t>
  </si>
  <si>
    <t>Culture medium; Diversity; Facultative bacteria; Phylogenetic tree; Symbiosis</t>
  </si>
  <si>
    <t>SERRATIA-MARCESCENS; YOKENELLA-REGENSBURGEI; BACTERIAL ENDOSYMBIONTS; ACYRTHOSIPHON-PISUM; GUT SYMBIONTS; AEDES-AEGYPTI; HEMIPTERA; HOST; IDENTIFICATION; LEPIDOPTERA</t>
  </si>
  <si>
    <t>Symbionts are widely distributed in eukaryotes, and potentially affect the physiology, ecology and evolution of their host. Most insects harbour free-living bacteria in their haemocoel and gut lumen, intracellular-living bacteria in a range of tissues or bacteria in host-derived specialized cells. Stinkbugs, as do many arthropods, harbour extracellular bacteria in the gut that may affect the fitness of their host. This study identified the culturable symbionts associated with the ovaries, spermatheca, seminal vesicle and posterior midgut region (V4) of males and females of Euschistus heros (F.) (Hemiptera: Pentatomidae). Several culture media were used to isolate the bacteria associated with these structures. The selected colonies (morphotypes) were cultured in liquid medium, subjected to genomic DNA extraction, 16S rRNA gene amplification, and restriction fragment length polymorphism (RFLP) analyses. Morphotypes with distinct RFLP patterns were purified and sequenced, and the sequences obtained were used for putative identification and phylogenetic analysis. Comparison of the sequences with those available in the EzTaxon-e database and the use of a matrix of paired distances grouped the isolates in phylotypes belonging to the Phylum Proteobacteria. Proteobacteria was represented by -Proteobacteria phylotypes belonging to Enterobacteriaceae, while Firmicutes had Bacilli phylotypes distributed in Enterococcaceae and Staphylococcaceae. Some of the phylotypes identified were associated exclusively with single structures, such as ovaries, spermatheca and the V4 midgut region of males and females. All culturable bacteria associated with the seminal vesicle were also associated with other tissues.</t>
  </si>
  <si>
    <t>[Scopel, Wanessa; Consoli, Fernando Luis] Univ Sao Paulo, Insect Interact Lab, Dept Entomol &amp; Acarol, Coll Agr Luiz de Queiroz ESALQ, Ave Padua Dias 11, BR-13418900 Piracicaba, SP, Brazil</t>
  </si>
  <si>
    <t>Consoli, FL (corresponding author), Univ Sao Paulo, Insect Interact Lab, Dept Entomol &amp; Acarol, Coll Agr Luiz de Queiroz ESALQ, Ave Padua Dias 11, BR-13418900 Piracicaba, SP, Brazil.</t>
  </si>
  <si>
    <t>fconsoli@usp.br</t>
  </si>
  <si>
    <t>Consoli, Fernando Luis/D-5706-2012</t>
  </si>
  <si>
    <t>Consoli, Fernando Luis/0000-0002-2287-0782; Scopel, Wanessa/0000-0002-0794-3090</t>
  </si>
  <si>
    <t>0003-6072</t>
  </si>
  <si>
    <t>1572-9699</t>
  </si>
  <si>
    <t>10.1007/s10482-018-1130-9</t>
  </si>
  <si>
    <t>WOS:000452358200017</t>
  </si>
  <si>
    <t>Berquin, IM; Min, YN; Wu, RP; Wu, H; Chen, YQ</t>
  </si>
  <si>
    <t>Expression signature of the mouse prostate</t>
  </si>
  <si>
    <t>ANDROGEN-REGULATED EXPRESSION; GENE-EXPRESSION; SECRETORY PROTEIN; COMPLEMENTARY-DNA; SERINE-PROTEASE; SEMINAL-VESICLE; MICE LACKING; CANCER; FIBROBLASTS; HYPERPLASIA</t>
  </si>
  <si>
    <t>Genetically engineered mice are being used increasingly for delineating the molecular mechanisms of prostate cancer development. Epithelium-stroma interactions play a critical role in prostate development and tumorigenesis. To better understand gene expression patterns in the normal sexually mature mouse prostate, epithelium and stroma were laser-capture microdissected from ventral, dorsolateral, and anterior prostate lobes. Genome-wide expression was measured by DNA microarrays. Our analysis indicated that the gene expression pattern in the mouse dorsolateral lobe was closest to that of the human prostate peripheral zone, supporting the hypothesis that these prostate compartments are functionally equivalent. Stroma from a given lobe had closer gene expression patterns with stroma from other lobes than epithelium from the same lobe. Stroma appeared to have higher expression complexity than epithelium. Specifically, stromal cells had higher expression levels of genes implicated in cell adhesion, muscle development, and contraction, in structural constituents of cytoskeleton and actin binding, and in components such as sarcomere and extracellular matrix collagen. Among the genes that were enriched in the epithelium were secretory proteins, including seminal vesicle protein secretion 2 and 5. Surprisingly, prostate stroma expressed many osteogenic molecules, as confirmed by immunohistochemistry. A bone-like environment in the prostate may predispose prostate cells for survival in the bone. Chemokine Cxcl12 but not its receptor, Cxcr4, was expressed in normal prostate. In prostate tumors, interestingly, Cxcl12 was up-regulated in epithelial cells with a concomitant expression of Cxcr4. Expression of both the receptor and ligand may provide an autocrine mechanism for tumor cell migration and invasion.</t>
  </si>
  <si>
    <t>Wake Forest Univ Hlth Sci, Dept Canc Biol, Winston Salem, NC 27157 USA; Wake Forest Univ Hlth Sci, Dept Pathol, Winston Salem, NC 27157 USA; Univ Calif Los Angeles, Sch Med, Dept Mol &amp; Med Pharmacol, Los Angeles, CA 90095 USA</t>
  </si>
  <si>
    <t>Wake Forest University; Wake Forest University School of Medicine; Wake Forest University; Wake Forest University School of Medicine; University of California System; University of California Los Angeles; University of California Los Angeles Medical Center; David Geffen School of Medicine at UCLA</t>
  </si>
  <si>
    <t>Chen, YQ (corresponding author), Wake Forest Univ Hlth Sci, Dept Canc Biol, Med Ctr Blvd, Winston Salem, NC 27157 USA.</t>
  </si>
  <si>
    <t>yqchen@wfubmc.edu</t>
  </si>
  <si>
    <t>Chen, Yong Q/AAI-9864-2021</t>
  </si>
  <si>
    <t>Chen, Yong Q/0000-0003-4747-4708</t>
  </si>
  <si>
    <t>10.1074/jbc.M504945200</t>
  </si>
  <si>
    <t>WOS:000232726900078</t>
  </si>
  <si>
    <t>KRAUSSLICH, HG; FACKE, M; HEUSER, AM; KONVALINKA, J; ZENTGRAF, H</t>
  </si>
  <si>
    <t>THE SPACER PEPTIDE BETWEEN HUMAN-IMMUNODEFICIENCY-VIRUS CAPSID AND NUCLEOCAPSID PROTEINS IS ESSENTIAL FOR ORDERED ASSEMBLY AND VIRAL INFECTIVITY</t>
  </si>
  <si>
    <t>BACULOVIRUS-INFECTED CELLS; PARTICLE FORMATION; GAG PROTEINS; POSTTRANSLATIONAL MODIFICATIONS; TYPE-1; EXPRESSION; HIV; IDENTIFICATION; INVITRO; RELEASE</t>
  </si>
  <si>
    <t>Morphogenesis of retroviruses involves ordered assembly of the structural Gag- and Gag-Pol polyproteins, with subsequent budding from the plasma membrane and proteolytic cleavage by the viral proteinase (PR). Two cleavage sites exist between the capsid (CA) and nucleocapsid (NC) domains of the human immunodeficiency virus (HIV) type 1 Gag polyprotein which are separated by a 14-amino-acid spacer peptide of unknown function. To analyze the role of the two cleavage sites and the spacer peptide, both sites were individually mutated and a deletion mutation that precisely removes the spacer peptide was constructed. Following transfection of proviral DNA carrying the point mutations, mutant polyproteins were synthesized and assembled like wild-type polyprotein, and release of particles was not significantly altered. Both mutations abolished cleavage at the respective site and reduced or abolished viral infectivity. Deletion of the spacer peptide severely affected ordered assembly and reduced particle release. The extracellular particles that were released exhibited normal density but were heterogeneous in size. Electron micrographs revealed large electron-dense plaques underneath the plasma membrane of transfected cells which appeared like confluent ribonucleoprotein complexes arrested early in the budding process. Extracellular particles exhibited very aberrant and heterogeneous morphology and were incapable of inducing viral spread. These particles may correspond to membrane vesicles sequestered by the rigid structures underneath the cell membrane and not released by a regular budding process.</t>
  </si>
  <si>
    <t>ACAD SCI CZECH REPUBL, INST ORGAN CHEM &amp; BIOCHEM, DEPT BIOCHEM, CR-16610 PRAGUE 6, CZECH REPUBLIC</t>
  </si>
  <si>
    <t>Czech Academy of Sciences; Institute of Organic Chemistry &amp; Biochemistry of the Czech Academy of Sciences</t>
  </si>
  <si>
    <t>KRAUSSLICH, HG (corresponding author), DEUTSCH KREBSFORSCHUNGSZENTRUM, IMMUNOCHEM ABT, NEUENHEIMER FELD 242, D-69120 HEIDELBERG, GERMANY.</t>
  </si>
  <si>
    <t>Konvalinka, Jan/G-7518-2014</t>
  </si>
  <si>
    <t>Konvalinka, Jan/0000-0003-0695-9266</t>
  </si>
  <si>
    <t>WOS:A1995QX93100019</t>
  </si>
  <si>
    <t>Keup, C; Suryaprakash, V; Hauch, S; Storbeck, M; Hahn, P; Sprenger-Haussels, M; Kolberg, HC; Tewes, M; Hoffmann, O; Kimmig, R; Kasimir-Bauer, S</t>
  </si>
  <si>
    <t>Keup, Corinna; Suryaprakash, Vinay; Hauch, Siegfried; Storbeck, Markus; Hahn, Peter; Sprenger-Haussels, Markus; Kolberg, Hans-Christian; Tewes, Mitra; Hoffmann, Oliver; Kimmig, Rainer; Kasimir-Bauer, Sabine</t>
  </si>
  <si>
    <t>Integrative statistical analyses of multiple liquid biopsy analytes in metastatic breast cancer</t>
  </si>
  <si>
    <t>GENOME MEDICINE</t>
  </si>
  <si>
    <t>Multi-parametric; Multi-layer; Multi-modal; Multi-analyte; Liquid biopsy; Metastatic breast cancer patients</t>
  </si>
  <si>
    <t>CIRCULATING TUMOR-CELLS; FREE DNA; CLINICAL VALIDITY; MESSENGER-RNAS; TRASTUZUMAB; METHYLATION; PROGRESSION; RESISTANCE; SURVIVAL; MUTATION</t>
  </si>
  <si>
    <t>Background Single liquid biopsy analytes (LBAs) have been utilized for therapy selection in metastatic breast cancer (MBC). We performed integrative statistical analyses to examine the clinical relevance of using multiple LBAs: matched circulating tumor cell (CTC) mRNA, CTC genomic DNA (gDNA), extracellular vesicle (EV) mRNA, and cell-free DNA (cfDNA). Methods Blood was drawn from 26 hormone receptor-positive, HER2-negative MBC patients. CTC mRNA and EV mRNA were analyzed using a multi-marker qPCR. Plasma from CTC-depleted blood was utilized for cfDNA isolation. gDNA from CTCs was isolated from mRNA-depleted CTC lysates. CTC gDNA and cfDNA were analyzed by targeted sequencing. Hierarchical clustering was performed within each analyte, and its results were combined into a score termed Evaluation of multiple Liquid biopsy analytes In Metastatic breast cancer patients All from one blood sample (ELIMA.score), which calculates the contribution of each analyte to the overall survival prediction. Singular value decomposition (SVD), mutual information calculation, k-means clustering, and graph-theoretic analysis were conducted to elucidate the dependence between individual analytes. Results A combination of two/three/four LBAs increased the prevalence of patients with actionable signals. Aggregating the results of hierarchical clustering of individual LBAs into the ELIMA.score resulted in a highly significant correlation with overall survival, thereby bolstering evidence for the additive value of using multiple LBAs. Computation of mutual information indicated that none of the LBAs is independent of the others, but the ability of a single LBA to describe the others is rather limited-only CTC gDNA could partially describe the other three LBAs. SVD revealed that the strongest singular vectors originate from all four LBAs, but a majority originated from CTC gDNA. After k-means clustering of patients based on parameters of all four LBAs, the graph-theoretic analysis revealed CTC ERBB2 variants only in patients belonging to one particular cluster. Conclusions The additional benefits of using all four LBAs were objectively demonstrated in this pilot study, which also indicated a relative dominance of CTC gDNA over the other LBAs. Consequently, a multi-parametric liquid biopsy approach deconvolutes the genomic and transcriptomic complexity and should be considered in clinical practice.</t>
  </si>
  <si>
    <t>[Keup, Corinna; Hoffmann, Oliver; Kimmig, Rainer; Kasimir-Bauer, Sabine] Univ Hosp Essen, Dept Gynecol &amp; Obstet, Hufelandstr 55, D-45122 Essen, Germany; [Suryaprakash, Vinay; Hauch, Siegfried; Storbeck, Markus; Hahn, Peter; Sprenger-Haussels, Markus] QIAGEN GmbH, D-40724 Hilden, Germany; [Kolberg, Hans-Christian] Marienhosp Bottrop, Dept Gynecol &amp; Obstet, D-46236 Bottrop, Germany; [Tewes, Mitra] Univ Hosp Essen, Dept Med Oncol, D-45122 Essen, Germany</t>
  </si>
  <si>
    <t>University of Duisburg Essen; QIAGEN GmbH; St. Marien Hospital; University of Duisburg Essen</t>
  </si>
  <si>
    <t>corinna.keup@uk-essen.de</t>
  </si>
  <si>
    <t>Keup, Corinna/0000-0003-3525-7511</t>
  </si>
  <si>
    <t>1756-994X</t>
  </si>
  <si>
    <t>MAY 17</t>
  </si>
  <si>
    <t>10.1186/s13073-021-00902-1</t>
  </si>
  <si>
    <t>WOS:000656206500003</t>
  </si>
  <si>
    <t>Majer, O; Liu, B; Kreuk, LSM; Krogan, N; Barton, GM</t>
  </si>
  <si>
    <t>Majer, Olivia; Liu, Bo; Kreuk, Lieselotte S. M.; Krogan, Nevan; Barton, Gregory M.</t>
  </si>
  <si>
    <t>UNC93B1 recruits syntenin-1 to dampen TLR7 signalling and prevent autoimmunity</t>
  </si>
  <si>
    <t>TOLL-LIKE RECEPTORS; NUCLEIC-ACID; RECOGNITION; RESPONSES; ROLES; DNA</t>
  </si>
  <si>
    <t>At least two members of the Toll-like receptor (TLR) family, TLR7 and TLR9, can recognize self-RNA and self-DNA, respectively. Despite the structural and functional similarities between these receptors, their contributions to autoimmune diseases such as systemic lupus erythematosus can differ. For example, TLR7 and TLR9 have opposing effects in mouse models of systemic lupus erythematosus-disease is exacerbated in TLR9-deficient mice but attenuated in TLR7-deficient mice(1). However, the mechanisms of negative regulation that differentiate between TLR7 and TLR9 are unknown. Here we report a function for the TLR trafficking chaperone UNC93B1 that specifically limits signalling of TLR7, but not TLR9, and prevents TLR7-dependent autoimmunity in mice. Mutations in UNC93B1 that lead to enhanced TLR7 signalling also disrupt binding of UNC93B1 to syntenin-1, which has been implicated in the biogenesis of exosomes(2). Both UNC93B1 and TLR7 can be detected in exosomes, suggesting that recruitment of syntenin-1 by UNC93B1 facilitates the sorting of TLR7 into intralumenal vesicles of multivesicular bodies, which terminates signalling. Binding of syntenin-1 requires phosphorylation of UNC93B1 and provides a mechanism for dynamic regulation of TLR7 activation and signalling. Thus, UNC93B1 not only enables the proper trafficking of nucleic acid-sensing TLRs, but also sets the activation threshold of potentially self-reactive TLR7.</t>
  </si>
  <si>
    <t>[Majer, Olivia; Liu, Bo; Kreuk, Lieselotte S. M.; Barton, Gregory M.] Univ Calif Berkeley, Dept Mol &amp; Cell Biol, Div Immunol &amp; Pathogenesis, 229 Stanley Hall, Berkeley, CA 94720 USA; [Krogan, Nevan] Univ Calif San Francisco, Dept Cellular &amp; Mol Pharmacol, San Francisco, CA 94143 USA</t>
  </si>
  <si>
    <t>University of California System; University of California Berkeley; University of California System; University of California San Francisco</t>
  </si>
  <si>
    <t>Liu, B; Barton, GM (corresponding author), Univ Calif Berkeley, Dept Mol &amp; Cell Biol, Div Immunol &amp; Pathogenesis, 229 Stanley Hall, Berkeley, CA 94720 USA.</t>
  </si>
  <si>
    <t>liub@berkeley.edu; barton@berkeley.edu</t>
  </si>
  <si>
    <t>Liu, Bo/AAU-9183-2020</t>
  </si>
  <si>
    <t>NOV 14</t>
  </si>
  <si>
    <t>10.1038/s41586-019-1612-6</t>
  </si>
  <si>
    <t>WOS:000496938200060</t>
  </si>
  <si>
    <t>Xia, YK; Huang, ZN; Chen, TT; Xu, LL; Zhu, GZ; Chen, WQ; Chen, GY; Wu, SX; Lan, JM; Lin, X; Chen, JH</t>
  </si>
  <si>
    <t>Xia, Yaokun; Huang, Zening; Chen, Tingting; Xu, Lilan; Zhu, Gengzhen; Chen, Wenqian; Chen, Guanyu; Wu, Shuxiang; Lan, Jianming; Lin, Xu; Chen, Jinghua</t>
  </si>
  <si>
    <t>Sensitive fluorescent detection of exosomal microRNA based on enzymes-assisted dual-signal amplification</t>
  </si>
  <si>
    <t>Gastric cancer; Exosomal microRNA; Signal amplification; Clinical sample; Fluorescence</t>
  </si>
  <si>
    <t>ELECTROCHEMICAL BIOSENSOR; CLASSIFICATION</t>
  </si>
  <si>
    <t>The analysis of microRNAs (miRNAs) in exosomes offers significant information for a rapid and non-invasive diagnosis of cancer. However, the clinical utility of miRNAs as biomarkers is often hampered by their low abundance in exosomes. Herein, we develop a dual-signal amplification biosensor for the sensitive detection of exosomal miRNA-21 (miR-21). In the presence of a cognate target, it hybridizes with a biotin-modified capture probe (Cp) to form a DNA-RNA heteroduplex that serves as a substrate for duplex-specific nuclease (DSN). With the assistance of DSN, the Cps are enzymatically hydrolyzed and numerous DNA catalysts are released, leading to the first signal amplification. After magnetic isolation, the DNA catalyst remaining in the supernatant triggers a strand displacement reaction based on the nicking-assisted reactant recycling strategy, without depleting the reactants, to implement the second signal amplification. Using this dual-signal amplification concept, our biosensor achieves a limit of detection of miR-21 of 0.34 fM, with a linear range of 0.5-100 fM. The receiver operating characteristic curve generated during clinical sample analysis indicates that the exosomal miR-21 outperforms serum carcinoembryonic antigen in discriminating between patients with gastric cancer (GC) and patients with precancerous (PC) lesions (area under the curve: 0.89 versus 0.74, n = 40). Moreover, the proposed biosensor exhibits an 83.9% accuracy in classifying patients with GC or PC lesions and healthy donors using a confusion matrix. Furthermore, patients with GC with or without metastases are discriminated using the pro-posed biosensor. Our technology may expand the applications of DNA-based biosensor-enabled cancer diagnostic tools.</t>
  </si>
  <si>
    <t>[Xia, Yaokun; Wu, Shuxiang; Lin, Xu] Fujian Med Univ, Sch Basic Med Sci, Key Lab Minist Educ Gastrointestinal Canc, Fuzhou 350108, Fujian, Peoples R China; [Huang, Zening] Fujian Med Univ, Dept Gastr Surg, Union Hosp, Fuzhou 350001, Fujian, Peoples R China; [Chen, Tingting; Xu, Lilan; Zhu, Gengzhen; Chen, Wenqian; Chen, Guanyu; Lan, Jianming; Chen, Jinghua] Fujian Med Univ, Sch Pharm, Fuzhou 350108, Fujian, Peoples R China</t>
  </si>
  <si>
    <t>Lin, X (corresponding author), Fujian Med Univ, Sch Basic Med Sci, Key Lab Minist Educ Gastrointestinal Canc, Fuzhou 350108, Fujian, Peoples R China.;Chen, JH (corresponding author), Fujian Med Univ, Sch Pharm, Fuzhou 350108, Fujian, Peoples R China.</t>
  </si>
  <si>
    <t>10.1016/j.bios.2022.114259</t>
  </si>
  <si>
    <t>WOS:000797140300006</t>
  </si>
  <si>
    <t>Lazaro, J; Claveria, P; Cabrejas, C; Fernando, J; Daga, B; Ordonez, B; Segura, S; Sanz-Rubio, D; Marin, JM</t>
  </si>
  <si>
    <t>Lazaro, Javier; Claveria, Paloma; Cabrejas, Carmen; Fernando, Jose; Daga, Berta; Ordonez, Beatriz; Segura, Silvia; Sanz-Rubio, David; Marin, Jose M.</t>
  </si>
  <si>
    <t>Epigenetics dysfunction in morbid obesity with or without obstructive sleep apnoea: the EPIMOOSA study</t>
  </si>
  <si>
    <t>Obstructive sleep apnoea; Morbid obesity; Epigenetics; Exosomes; Bariatric surgery; Continuous positive airway pressure</t>
  </si>
  <si>
    <t>POSITIVE AIRWAY PRESSURE; BODY-MASS INDEX; ENDOTHELIAL DYSFUNCTION; INTERMITTENT HYPOXEMIA; HOSPITAL ANXIETY; DNA METHYLATION; DEPRESSION; MICRORNAS; MORTALITY; CHILDREN</t>
  </si>
  <si>
    <t>Background Obstructive sleep apnoea (OSA) and morbid obesity (MO), defined by a body mass index &gt;= 35 kg/m(2), are two closely related conditions. Recent studies suggest that circulating microRNA (miRNA) plays a potential role in the physiopathology of both conditions. To date, circulating miRNA expression has been studied separately in both conditions, but never jointly. The primary treatment of OSA is continuous positive airway pressure (CPAP), whereas bariatric surgery (BS) is the treatment of choice for MO. We have thus initiated the Epigenetics modification in Morbid Obesity and Obstructive Sleep Apnoea (EPIMOOSA) study ( identifier: NCT03995836). Methods/design EPIMOOSA is a prospective non-interventional cohort study aiming to recruit 45 MO patients who are candidates for BS. Three groups will be formed: MO without OSA, MO with OSA without CPAP and MO with OSA and CPAP. All of them will be followed up in 4 visits: baseline, 6 months prior to BS and 3, 6 and 12 months post-BS. At baseline, OSA status will be assessed by home sleep polygraphy (HSP), and CPAP will be adopted according to national guidelines. A specific standardized questionnaire (including medical conditions and AOS-related symptoms) and anthropometrical examination will be performed at each visit. Blood samples will be obtained at each visit for immediate standard biochemistry, haematology and inflammatory cytokines. For bio-banking, serum, plasma, and circulating exosomes will also be obtained. Twenty-four hours of blood pressure and electrocardiogram (ECG) Holter monitoring will be performed at all visits. A new HSP will be performed at the last visit. Finally, the three groups will be sex- and age- matched with participants in the EPIOSA study, an ongoing study aimed at understanding epigenetic changes in non-obese OSA patients. Discussion EPIMOOSA will evaluate changes in circulating miRNA in MO with or without OSA for the first time. In addition, EPIMOOSA will be able to elucidate the influence of OSA in MO patients and how specific and combined treatments alter miRNA expression.</t>
  </si>
  <si>
    <t>[Lazaro, Javier; Claveria, Paloma; Segura, Silvia] Hosp Royo Villanova, Resp Serv, Avda San Gregorio, Zaragoza 50015, Spain; [Cabrejas, Carmen] Hosp Clin Lozano Blesa, Endocrinol &amp; Nutr Serv, Zaragoza, Spain; [Fernando, Jose] Hosp Royo Villanova, Bariatr Surg Unit, Zaragoza, Spain; [Daga, Berta; Ordonez, Beatriz] Hosp Royo Villanova, Serv Cardiol, Zaragoza, Spain; [Sanz-Rubio, David; Marin, Jose M.] Hosp Univ Miguel Servet, Translat Res Unit, IIS Aragon, Zaragoza, Spain; [Sanz-Rubio, David; Marin, Jose M.] CIBER Enfermedades Resp, Madrid, Spain; [Marin, Jose M.] Univ Zaragoza, Dept Med, Zaragoza, Spain</t>
  </si>
  <si>
    <t>Lozano Blesa University Clinical Hospital; Miguel Servet University Hospital; CIBER - Centro de Investigacion Biomedica en Red; CIBERES; University of Zaragoza</t>
  </si>
  <si>
    <t>Lazaro, J (corresponding author), Hosp Royo Villanova, Resp Serv, Avda San Gregorio, Zaragoza 50015, Spain.</t>
  </si>
  <si>
    <t>javilazarosdr@gmail.com</t>
  </si>
  <si>
    <t>Rubio, David Sanz/AAJ-6427-2021</t>
  </si>
  <si>
    <t>Rubio, David Sanz/0000-0002-5228-248X; LAZARO SIERRA, JAVIER/0000-0002-0474-2496</t>
  </si>
  <si>
    <t>10.1186/s12931-020-1302-9</t>
  </si>
  <si>
    <t>WOS:000513644200001</t>
  </si>
  <si>
    <t>Ye, YY; Zhang, X; Xie, F; Xu, B; Xie, P; Yang, T; Shi, Q; Zhang, CY; Zhang, YJ; Chen, JN; Jiang, XH; Li, J</t>
  </si>
  <si>
    <t>Ye, Yangyang; Zhang, Xiang; Xie, Fei; Xu, Bin; Xie, Ping; Yang, Ting; Shi, Qian; Zhang, Chen-Yu; Zhang, Yujing; Chen, Jiangning; Jiang, Xiaohong; Li, Jing</t>
  </si>
  <si>
    <t>An engineered exosome for delivering sgRNA:Cas9 ribonucleoprotein complex and genome editing in recipient cells</t>
  </si>
  <si>
    <t>RNA; DNA; CRISPR/CAS9; REPEATS; ENDONUCLEASE; CRISPR-CAS9; VESICLES; CLEAVAGE; SYSTEM; MICE</t>
  </si>
  <si>
    <t>CRISPR-Cas9 is a versatile genome-editing technology that is a promising gene therapy tactic. However, the delivery of CRISPR-Cas9 is still a major obstacle to its broader clinical application. Here, we confirm that the components of CRISPR-Cas9-sgRNA and Cas9 protein-can be packaged into exosomes, where sgRNA and Cas9 protein exist as a sgRNA:Cas9 ribonucleoprotein complex. Although exosomal CRISPR-Cas9 components can be delivered into recipient cells, they are not adequate to abrogate the target gene in recipient cells. To solve this, we engineered a functionalized exosome (M-CRISPR-Cas9 exosome) that could encapsulate CRISPR-Cas9 components more efficiently. To improve the loading efficiency of Cas9 proteins into exosomes, we artificially engineered exosomes by fusing GFP and GFP nanobody with exosomal membrane protein CD63 and Cas9 protein, respectively. Therefore, Cas9 proteins could be captured selectively and efficiently loaded into exosomes due to the affinity of GFP-GFP nanobody rather than random loading. sgRNA and Cas9 protein exist as a complex in functionalized exosomes and can be delivered into recipient cells. To show the function of modified exosomes-delivered CRISPR-Cas9 components in recipient cells visually, we generated a reporter cell line (A549(stop-DsRed)) that produced a red fluorescent signal when the stop element was deleted by the sgRNA-guided endonuclease. Using A549(stop-DsRed) reporter cells, we showed that modified exosomes loaded with CRISPR-Cas9 components abrogated the target gene more efficiently in recipient cells. Our study reports an alternative tactic for CRISPR-Cas9 delivery.</t>
  </si>
  <si>
    <t>[Ye, Yangyang; Zhang, Xiang; Xie, Fei; Xu, Bin; Xie, Ping; Yang, Ting; Shi, Qian; Zhang, Chen-Yu; Zhang, Yujing; Chen, Jiangning; Jiang, Xiaohong; Li, Jing] Nanjing Univ, State Key Lab Pharmaceut Biotechnol, Collaborat Innovat Ctr Chem Life Sci,Sch Life Sci, Jiangsu Engn Res Ctr MicroRNA Biol &amp; Biotechnol,N, 163 Xianlin Ave, Nanjing 210023, Jiangsu, Peoples R China</t>
  </si>
  <si>
    <t>Chen, JN; Jiang, XH; Li, J (corresponding author), Nanjing Univ, State Key Lab Pharmaceut Biotechnol, Collaborat Innovat Ctr Chem Life Sci,Sch Life Sci, Jiangsu Engn Res Ctr MicroRNA Biol &amp; Biotechnol,N, 163 Xianlin Ave, Nanjing 210023, Jiangsu, Peoples R China.</t>
  </si>
  <si>
    <t>jnchen@nju.edu.cn; xiaohongjiang@nju.edu.cn; jingli220@nju.edu.cn</t>
  </si>
  <si>
    <t>10.1039/d0bm00427h</t>
  </si>
  <si>
    <t>WOS:000537734100017</t>
  </si>
  <si>
    <t>Yamamoto, S; Kaimori, JY; Yoshimura, T; Namba, T; Imai, A; Kobayashi, K; Imamura, R; Ichimaru, N; Kato, K; Nakaya, A; Takahara, S; Isaka, Y</t>
  </si>
  <si>
    <t>Yamamoto, Satoko; Kaimori, Jun-Ya; Yoshimura, Takuji; Namba, Tomoko; Imai, Atsuko; Kobayashi, Kaori; Imamura, Ryoichi; Ichimaru, Naotsugu; Kato, Kazuto; Nakaya, Akihiro; Takahara, Shiro; Isaka, Yoshitaka</t>
  </si>
  <si>
    <t>Analysis of an ADTKD family with a novel frameshift mutation in MUC1 reveals characteristic features of mutant MUC1 protein</t>
  </si>
  <si>
    <t>NEPHROLOGY DIALYSIS TRANSPLANTATION</t>
  </si>
  <si>
    <t>ADTKD; ADTKD-MUC1; frameshift mutation; MUC1; VNTR</t>
  </si>
  <si>
    <t>KIDNEY-DISEASE TYPE-1; TETHERED MUCINS; SEQUENCING DATA; GENE; REFINEMENT; EXOSOMES; ANEMIA; LOCUS; MCKD1</t>
  </si>
  <si>
    <t>Background. Medullary cystic kidney disease Type 1 is an autosomal dominant tubulointerstitial kidney disease (ADTKD). Recently, mucin 1 (MUC1) was identified as a causal gene of medullary cystic kidney disease (ADTKD-MUC1). However, the MUC1 mutation was found to be a single cytosine insertion in a single copy of the GC-rich variable number of tandem repeats (VNTRs), which are very difficult to analyze by next-generation sequencing. To date, other mutations have not been detected in ADTKD-MUC1, and the mutant MUC1 protein has not been analyzed because of the difficulty of genetically modifying the VNTR sequence. Methods. We conducted whole-exome analyses of an ADTKD family by next-generation sequencing. We also performed histopathological analyses of a renal biopsy from a pedigree family member. We constructed a mutant protein expression vector based on the patient genome sequence and characterized the nature of the mutant protein. Results. We found a novel frameshift mutation before the VNTR in the MUC1 gene. The resulting mutant MUC1 protein had a very similar amino acid sequence and predicted 3D structure to the previously reported mutant protein. Notably, the recombinant mutant MUC1 protein was trapped in the cytoplasm and appeared to self-aggregate. The patient native mutant protein was also found in urine exosomes. Conclusions. This novel frameshift mutation in the MUC1 gene and consequent mutant protein may contribute to the future discovery of the pathophysiology of ADTKD-MUC1. The mutant MUC1 protein in urine exosomes may be used for non-DNA-related diagnosis.</t>
  </si>
  <si>
    <t>[Yamamoto, Satoko; Kaimori, Jun-Ya; Namba, Tomoko; Isaka, Yoshitaka] Osaka Univ, Grad Sch Med, Dept Nephrol, Osaka, Japan; [Kaimori, Jun-Ya; Ichimaru, Naotsugu; Takahara, Shiro] Osaka Univ, Grad Sch Med, Dept Adv Technol Transplantat, Osaka, Japan; [Yoshimura, Takuji] Osaka Univ, Grad Sch Med, Inst Expt Anim Sci, Lab Reprod Engn, Osaka, Japan; [Imai, Atsuko; Kobayashi, Kaori; Nakaya, Akihiro] Osaka Univ, Grad Sch Med, Dept Genome Informat, Osaka, Japan; [Imai, Atsuko] Osaka Univ, Grad Sch Med, Dept Cardiovasc Med, Osaka, Japan; [Kobayashi, Kaori] NEC Corp Ltd, Med Solut Div, Tokyo, Japan; [Imamura, Ryoichi] Osaka Univ, Grad Sch Med, Dept Urol, Osaka, Japan; [Kato, Kazuto] Osaka Univ, Grad Sch Med, Dept Biomed Ethics &amp; Publ Policy, Osaka, Japan</t>
  </si>
  <si>
    <t>Osaka University; Osaka University; Osaka University; Osaka University; Osaka University; NEC Corporation; Osaka University; Osaka University</t>
  </si>
  <si>
    <t>Kaimori, JY (corresponding author), Osaka Univ, Grad Sch Med, Dept Nephrol, Osaka, Japan.;Kaimori, JY (corresponding author), Osaka Univ, Grad Sch Med, Dept Adv Technol Transplantat, Osaka, Japan.</t>
  </si>
  <si>
    <t>kaimori@kid.med.osaka-u.ac.jp</t>
  </si>
  <si>
    <t>Yoshimura, Takuji/0000-0002-7856-0679; Kato, Kazuto/0000-0001-9006-9551</t>
  </si>
  <si>
    <t>0931-0509</t>
  </si>
  <si>
    <t>1460-2385</t>
  </si>
  <si>
    <t>10.1093/ndt/gfx083</t>
  </si>
  <si>
    <t>Transplantation; Urology &amp; Nephrology</t>
  </si>
  <si>
    <t>WOS:000417201400009</t>
  </si>
  <si>
    <t>Zeelenberg, IS; Ostrowski, M; Krurneich, S; Bobrie, A; Jancic, C; Boissonnas, A; Delcayre, A; Le Pecq, JB; Combadiere, B; Amigorena, S; Thery, C</t>
  </si>
  <si>
    <t>Zeelenberg, Ingrid S.; Ostrowski, Matias; Krurneich, Sophie; Bobrie, Angelique; Jancic, Carolina; Boissonnas, Alexandre; Delcayre, Alain; Le Pecq, Jean-Bernard; Combadiere, Behazine; Amigorena, Sebastian; Thery, Clotilde</t>
  </si>
  <si>
    <t>Targeting tumor antigens to secreted membrane vesicles in vivo induces efficient antitumor immune responses</t>
  </si>
  <si>
    <t>IMMATURE DENDRITIC CELLS; APOPTOTIC CELLS; T-LYMPHOCYTES; EXOSOMES; LACTADHERIN; PROTEIN; GROWTH; MICROVESICLES; EXPRESSION; STRATEGY</t>
  </si>
  <si>
    <t>Expression of non-self antigens by tumors can induce activation of T cells in vivo, although this activation can lead to either immunity or tolerance. CD8(+) T-cell activation can be direct (if the tumor expresses MHC class I molecules) or indirect (after the capture and cross-presentation of tumor antigens by dendritic cells). The modes of tumor antigen capture by dendritic cells in vivo remain unclear. Here we examine the immunogenicity of the same model antigen secreted by live tumors either in association with membrane vesicles (exosomes) or as a soluble protein. We have artificially addressed the antigen to secreted vesicles by coupling it to the factor VIII-like C1C2 domain of milk fat globule epidermal growth factor-factor VIII (MFG-E8)/lactadherin. We show that murine fibrosarcoma, tumor cells that secrete vesicle-bound antigen grow slower than tumors that secrete soluble antigen in immunocompetent, but not in immunodeficient, host mice. This growth difference is due to the induction of a more potent antigen-specific antitumor immune response in vivo by the vesicle-bound than by the soluble antigen. Finally, in vivo secretion of the vesicle-bound antigen either by tumors or by vaccination with naked DNA protects against soluble antigen-secreting tumors. We conclude that the mode of secretion can determine the immunogenicity of tumor antigens and that manipulation of the mode of antigen secretion may be used to optimize antitumor vaccination protocols.</t>
  </si>
  <si>
    <t>[Zeelenberg, Ingrid S.; Ostrowski, Matias; Krurneich, Sophie; Bobrie, Angelique; Jancic, Carolina; Boissonnas, Alexandre; Delcayre, Alain; Amigorena, Sebastian; Thery, Clotilde] Inst Curie, Inst Natl Sante Rech Med, U653, F-75005 Paris, France; [Zeelenberg, Ingrid S.; Ostrowski, Matias; Krurneich, Sophie; Bobrie, Angelique; Jancic, Carolina; Boissonnas, Alexandre; Amigorena, Sebastian; Thery, Clotilde] Inst Curie, Sect Rech, F-75231 Paris, France; [Combadiere, Behazine] Hop La Pitie Salpetriere, Inst Natl Sante Rech Med, U543, Paris, France; [Le Pecq, Jean-Bernard] Exothera LLC, Menlo Pk, CA USA</t>
  </si>
  <si>
    <t>Institut National de la Sante et de la Recherche Medicale (Inserm); UDICE-French Research Universities; PSL Research University Paris; UNICANCER; Institut Curie; UDICE-French Research Universities; PSL Research University Paris; UNICANCER; Institut Curie; Assistance Publique Hopitaux Paris (APHP); Hopital Universitaire Pitie-Salpetriere - APHP; Institut National de la Sante et de la Recherche Medicale (Inserm); UDICE-French Research Universities; Sorbonne Universite</t>
  </si>
  <si>
    <t>Thery, C (corresponding author), Inst Curie, Inst Natl Sante Rech Med, U653, 26 Rue Ulm, F-75005 Paris, France.</t>
  </si>
  <si>
    <t>clotilde.thery@curie.fr</t>
  </si>
  <si>
    <t>Combadiere, Behazine/S-8054-2019; thery, clotilde/F-6373-2013; Combadiere, Behazine/G-3881-2013; Boissonnas, Alexandre/A-2801-2016</t>
  </si>
  <si>
    <t>Combadiere, Behazine/0000-0002-2353-4406; thery, clotilde/0000-0001-8294-6884; Boissonnas, Alexandre/0000-0002-7770-7210; Amigorena, Sebastian/0000-0001-8583-8416; Ostrowski, Matias/0000-0002-3982-1338</t>
  </si>
  <si>
    <t>10.1158/0008-5472.CAN-07-3163</t>
  </si>
  <si>
    <t>WOS:000253251900035</t>
  </si>
  <si>
    <t>KARLISH, SJD; GOLDSHLEGER, R; JORGENSEN, PL</t>
  </si>
  <si>
    <t>LOCATION OF ASN(831) OF THE ALPHA-CHAIN OF NA/K-ATPASE AT THE CYTOPLASMIC SURFACE - IMPLICATION FOR TOPOLOGICAL MODELS</t>
  </si>
  <si>
    <t>AMINO-ACID-SEQUENCE; MEMBRANE H+-ATPASE; SARCOPLASMIC-RETICULUM; PHOSPHOLIPID-VESICLES; CATALYTIC SUBUNIT; OUTER MEDULLA; CONFORMATIONAL TRANSITIONS; ADENOSINE-TRIPHOSPHATASE; TRANSMEMBRANE DOMAIN; COMPLEMENTARY-DNA</t>
  </si>
  <si>
    <t>The principal objective of this work has been to determine whether Asn831 of the alpha chain of Na/K-ATPase is located at the cytoplasmic or extracellular surface. Asn831 is the N-terminal residue of a 19-kDa C-terminal tryptic fragment which, together with smaller (8-11 kDa) membrane-embedded fragments of the alpha chain and a largely intact beta chain, is produced by extensive tryptic digestion of renal Na,K-ATPase in the presence of Rb+ and absence of Ca2+ ions. In these so-called ''19-kDa membranes,'' Rb+ and Na+ occlusion capacities are normal, but ATP-dependent activities are lost. Transmembrane segments in the 19-kDa and other fragments are thought to contribute ligating residues to a cation occlusion ''cage.'' However, the arrangement of transmembrane segments of the alpha chain is uncertain, particularly in the critical C-terminal domain. Different topological models predict that the N-terminal Asn831 of the 19-kDa fragment lies at opposite surfaces, respectively. The location of Asn831 has been studied by tryptic digestion of either tight right side-out-oriented membrane vesicles isolated from renal medulla or phospholipid vesicles reconstituted with renal Na/K-ATPase, containing pumps in both right side-out and inside-out orientations. Digestion is performed in the presence of Rb+ and absence of Ca2+ ions. In native renal membrane vesicles the alpha chain is not split by trypsin. By contrast, the beta chain is partially split to a fragment of 16 kDa, beginning at the N-terminal Ala. This fragment is 4 residues longer than a 16-kDa fragment produced by digestion of purified Na/K-ATPase, a finding which shows that trypsin has full access to the extracellular surface, but not to the interior of the vesicles. In the presence of deoxycholate, which destroys the membrane permeability barrier, trypsin digests the alpha chain and the 19-kDa fragment (N-terminal Asn831) is produced. Extensive tryptic digestion of phospholipid vesicles reconstituted with the Na/K-ATPase leads to digestion of the alpha chain and appearance of intermediate fragments and then the 19-kDa fragment. About 25% of the alpha chains in the preparation are resistant to digestion. Functional studies show that the trypsin-resistant pumps are in the right side-out orientation. Observed tryptic fragments were sequenced and the following N termini were detected: Glu31, 33 kDa; Ser221, 78 kDa; Ile470, 56 kDa; Ala590, 39 kDa; and Asn831, 19 kDa. Observation of these N termini is consistent with digestion of the alpha chain of inside-out-oriented pumps at cytoplasmic sites. The results demonstrate clearly that Asn831 is located on the cytoplasmic surface of the alpha chain. Therefore, there must be two transmembrane segments between the end of the large cytoplasmic loop and Asn831, M5+M6. A model of alpha chain topology, with 10 transmembrane segments, including four in the 19-kDa fragment, appears to be a reasonable option. This is similar to the model proposed for sarcoplasmic reticulum Ca-ATPase. Nevertheless, certain eight-segment models, with only two transmembrane segments in the 19-kDa fragment, have not been excluded. Thus further experimentation is required in order to define the transmembrane folding of the C-terminal 19-kDa fragment and make a firm distinction between alternative topological models.</t>
  </si>
  <si>
    <t>UNIV COPENHAGEN, AUGUST KROGH INST, BIOMEMBRANE RES CTR, DK-2100 COPENHAGEN, DENMARK</t>
  </si>
  <si>
    <t>University of Copenhagen</t>
  </si>
  <si>
    <t>KARLISH, SJD (corresponding author), WEIZMANN INST SCI, DEPT BIOCHEM, IL-76100 REHOVOT, ISRAEL.</t>
  </si>
  <si>
    <t>WOS:A1993KM16100070</t>
  </si>
  <si>
    <t>Mentor, S; Fisher, D</t>
  </si>
  <si>
    <t>Mentor, Shireen; Fisher, David</t>
  </si>
  <si>
    <t>High-Resolution Insights Into the in vitro Developing Blood-Brain Barrier: Novel Morphological Features of Endothelial Nanotube Function</t>
  </si>
  <si>
    <t>FRONTIERS IN NEUROANATOMY</t>
  </si>
  <si>
    <t>blood-brain barrier; exosomes; nanovesicles; tunneling nanotubes; tethering nanotubes</t>
  </si>
  <si>
    <t>TUNNELING NANOTUBES; EXOSOMES; CELLS; ROUTE; COMMUNICATION; FIBRONECTIN; EXPRESSION; COMPONENTS; TRANSPORT; ACTIN</t>
  </si>
  <si>
    <t>High-resolution electron microscopy (HREM) imaging of the in vitro blood-brain barrier (BBB), is a promising modality for investigating the dynamic morphological interplay underpinning BBB development. The successful establishment of BBB integrity is grounded in the brain endothelial cells (BEC's) ability to occlude its paracellular spaces of brain capillaries through the expression of the intercellular tight junction (TJ) proteins. The impermeability of these paracellular spaces are crucial in the regulation of transcellular transport systems to achieve homeostasis of the central nervous system. To-date research describing morphologically, the dynamics by which TJ interaction is orchestrated to successfully construct a specialized barrier remains undescribed. In this study, the application of HREM illuminates the novel, dynamic and highly restrictive BEC paracellular pathway which is founded based on lateral membrane alignment which is the functional imperative for the mechanical juxtapositioning of TJ zones that underpin molecular bonding and sealing of the paracellular space. For the first time, we report on the secretion of a basement membrane in vitro, which allow BECs to orientate themselves into distinct basolateral and apicolateral domains and establish a 3-dimensional BEC construct. We report for the first time, on the expression of nanovesicles bound to the plasma membrane surfaces of the BECs. These membrane-bound vesicles are reported to possess an array of DNA/RNA constituents and chemotaxic properties affecting the formation of nanotubes that span the paracellular space between BECs, facilitating BBB construction, alluding to a functional role in mediating cell-to-cell communication. This study suggests that novel, ultrathin nanotubular (NT) structures are involved in functional roles in bringing into alignment the paracellular space of BECs. Immortalized mouse BECs (b.End3, b.End5) and primary rat cardiac microvascular ECs were used to further validate the in vitro BBB model by profiling variances in peripheral EC monolayer development. These cardiac capillary ECs presented with an opposite topographical profile: large fenestra and intercellular spaces, devoid of morphological ultrastructures. This comparative study alludes to the role of NT facilitation in TJ-induced hemifusion of apicolateral BEC membranes, as a structural event forming the basis for establishing a polarized BBB.</t>
  </si>
  <si>
    <t>[Mentor, Shireen; Fisher, David] Univ Western Cape, Fac Nat Sci, Dept Med Biosci, Neurobiol Res Grp, Cape Town, South Africa; [Fisher, David] Univ Missouri, Sch Hlth Profess, Columbia, MO USA</t>
  </si>
  <si>
    <t>University of the Western Cape; University of Missouri System; University of Missouri Columbia</t>
  </si>
  <si>
    <t>Fisher, D (corresponding author), Univ Western Cape, Fac Nat Sci, Dept Med Biosci, Neurobiol Res Grp, Cape Town, South Africa.;Fisher, D (corresponding author), Univ Missouri, Sch Hlth Profess, Columbia, MO USA.</t>
  </si>
  <si>
    <t>dfisher@uwc.ac.za</t>
  </si>
  <si>
    <t>Mentor, Shireen/0000-0001-5430-0867</t>
  </si>
  <si>
    <t>1662-5129</t>
  </si>
  <si>
    <t>10.3389/fnana.2021.661065</t>
  </si>
  <si>
    <t>Anatomy &amp; Morphology; Neurosciences</t>
  </si>
  <si>
    <t>Anatomy &amp; Morphology; Neurosciences &amp; Neurology</t>
  </si>
  <si>
    <t>WOS:000670983400001</t>
  </si>
  <si>
    <t>Chen, Y; Zhai, LY; Zhang, LM; Ma, XS; Liu, Z; Li, MM; Chen, JX; Duan, WJ</t>
  </si>
  <si>
    <t>Chen, Yun; Zhai, Ling-Yan; Zhang, Li-Min; Ma, Xiao-Shan; Liu, Zheng; Li, Min-Min; Chen, Jin-Xiang; Duan, Wen-Jun</t>
  </si>
  <si>
    <t>Breast cancer plasma biopsy by in situ determination of exosomal microRNA-1246 with a molecular beacon</t>
  </si>
  <si>
    <t>SERUM RIBONUCLEASE; LIQUID BIOPSIES; DNA; DIAGNOSIS</t>
  </si>
  <si>
    <t>Liquid biopsy is becoming an innovative tool in precision oncology owing to its noninvasive identification of biomarkers circulating in the body fluid at various time points for continuous and real-time analysis of disease progression. MicroRNAs in blood exosomes are identified as a new promising class of potential biomarkers for cancer diagnostics and prognostics. Conventional detection of blood exosomal microRNAs need multiple-step, complicated, costly, and time-consuming sample preparation of exosomes isolation and RNA extract, which affect the accuracy and reproducibility of analytical results. In this work, we set up an in situ quantitative analysis of human plasma exosomal miR-1246 by a probe of 2 '-O-methyl and phosphorothioate modified molecular beacon. The probe has outstanding nuclease resistance in highly active RNase A/T1/I, which makes it stable for direct application in blood samples. With rapid rupture of exosomes membrane by Triton X-100, the probe can enter exosomes to specifically target miR-1246 exhibiting quantitative fluorescent signals. Using the output signals as a diagnostic marker, we differentiated 33 breast cancer patients from 37 healthy controls with 97.30% sensitivity and 93.94% specificity at the best cutoff. The blood biopsy is simple without extracting plasma exosomes and their nucleic acids content, time-saving in about 2 h of total analysis process, and microvolumes needed for plasma sample, suggesting its good potential to clinical application.</t>
  </si>
  <si>
    <t>[Chen, Yun; Zhang, Li-Min; Ma, Xiao-Shan; Liu, Zheng; Chen, Jin-Xiang; Duan, Wen-Jun] Southern Med Univ, Sch Pharmaceut Sci, Guangdong Prov Key Lab New Drug Screening, Guangzhou 510515, Peoples R China; [Zhai, Ling-Yan] Shenzhen Baoan Shiyan Peoples Hosp, Shenzhen 518108, Peoples R China; [Li, Min-Min] Jinan Univ, Ctr Clin Lab, Affiliated Hosp 1, Guangzhou 510630, Peoples R China</t>
  </si>
  <si>
    <t>Southern Medical University - China; Jinan University</t>
  </si>
  <si>
    <t>Chen, JX; Duan, WJ (corresponding author), Southern Med Univ, Sch Pharmaceut Sci, Guangdong Prov Key Lab New Drug Screening, Guangzhou 510515, Peoples R China.</t>
  </si>
  <si>
    <t>jxchen@smu.edu.cn; wjduan@smu.edu.cn</t>
  </si>
  <si>
    <t>10.1039/d0an02224a</t>
  </si>
  <si>
    <t>WOS:000637210700017</t>
  </si>
  <si>
    <t>Chandler, CE; Horspool, AM; Hill, PJ; Wozniak, DJ; Schertzer, JW; Rasko, DA; Ernst, RK</t>
  </si>
  <si>
    <t>Chandler, Courtney E.; Horspool, Alexander M.; Hill, Preston J.; Wozniak, Daniel J.; Schertzer, Jeffrey W.; Rasko, David A.; Ernst, Robert K.</t>
  </si>
  <si>
    <t>Genomic and Phenotypic Diversity among Ten Laboratory Isolates of Pseudomonas aeruginosa PAO1</t>
  </si>
  <si>
    <t>Pseudomonas aeruginosa; evolution; genome analysis; variable phenotypes</t>
  </si>
  <si>
    <t>OUTER-MEMBRANE VESICLES; RHAMNOLIPID BIOSURFACTANTS; PYOVERDINE BIOSYNTHESIS; PSL POLYSACCHARIDE; EXTRACELLULAR DNA; MUTANT LIBRARY; LIPOPOLYSACCHARIDE; IDENTIFICATION; PYOCYANIN; MOTILITY</t>
  </si>
  <si>
    <t>Pseudomonas aeruginosa is an opportunistic pathogen found ubiquitously in the environment and commonly associated with airway infection in patients with cystic fibrosis. P. aeruginosa strain PAO1 is one of the most commonly used laboratory-adapted research strains and is a standard laboratory-adapted strain in multiple laboratories and strain banks worldwide. Due to potential isolate-toisolate variability, we investigated the genomic and phenotypic diversity among 10 PAO1 strains (henceforth called sublines) obtained from multiple research laboratories and commercial sources. Genomic analysis predicted a total of 5,682 genes, with 5,434 (95.63%) being identical across all 10 strains. Phenotypic analyses revealed comparable growth phenotypes in rich media and biofilm formation profiles. Limited differences were observed in antibiotic susceptibility profiles and immunostimulatory potential, measured using heat-killed whole-cell preparations in four immortalized cell lines followed by quantification of interleukin-6 (IL-6) and IL-1 beta secretion. However, variability was observed in the profiles of secreted molecular products, most notably, in rhamnolipid, pyoverdine, pyocyanin, Pseudomonas quinolone signal (PQS), extracellular DNA, exopolysaccharide, and outer membrane vesicle production. Many of the observed phenotypic differences did not correlate with subline-specific genetic changes, suggesting alterations in transcriptional and translational regulation. Taken together, these results suggest that individually maintained sublines of PAO1, even when acquired from the same parent subline, are continuously undergoing micro-evolution during culture and storage that results in alterations in phenotype, potentially affecting the outcomes of in vitro phenotypic analyses and in vivo pathogenesis studies. IMPORTANCE Laboratory-adapted strains of bacteria are used throughout the world for microbiology research. These prototype strains help keep research data consistent and comparable between laboratories. However, we have observed phenotypic variability when using different strains of Pseudomonas aeruginosa PAO1, one of the major laboratory-adopted research strains. Here, we describe the genomic and phenotypic differences among 10 PAO1 strains acquired from independent sources over 15 years to understand how individual maintenance affects strain characteristics. We observed limited genomic changes but variable phenotypic changes, which may have consequences for cross-comparison of data generated using different PAO1 strains. Our research highlights the importance of limiting practices that may promote the micro-evolution of model strains and calls for researchers to specify the strain origin to ensure reproducibility.</t>
  </si>
  <si>
    <t>[Chandler, Courtney E.; Ernst, Robert K.] Univ Maryland, Dept Microbial Pathogenesis, Baltimore, MD 21201 USA; [Horspool, Alexander M.; Schertzer, Jeffrey W.] Binghamton Univ, Dept Biol Sci, Binghamton, NY USA; [Horspool, Alexander M.; Schertzer, Jeffrey W.] Binghamton Univ, Binghamton Biofilm Res Ctr, Binghamton, NY USA; [Hill, Preston J.; Wozniak, Daniel J.] Ohio State Univ, Dept Microbial Infect &amp; Immun, Columbus, OH 43210 USA; [Wozniak, Daniel J.] Ohio State Univ, Dept Microbiol, 484 W 12th Ave, Columbus, OH 43210 USA; [Rasko, David A.] Univ Maryland, Inst Genome Sci, Baltimore, MD 21201 USA; [Rasko, David A.] Univ Maryland, Dept Microbiol &amp; Immunol, Baltimore, MD 21201 USA</t>
  </si>
  <si>
    <t>University System of Maryland; University of Maryland Baltimore; State University of New York (SUNY) System; State University of New York (SUNY) Binghamton; State University of New York (SUNY) System; State University of New York (SUNY) Binghamton; Ohio State University; Ohio State University; University System of Maryland; University of Maryland Baltimore; University System of Maryland; University of Maryland Baltimore</t>
  </si>
  <si>
    <t>Ernst, RK (corresponding author), Univ Maryland, Dept Microbial Pathogenesis, Baltimore, MD 21201 USA.</t>
  </si>
  <si>
    <t>rkernst@umaryland.edu</t>
  </si>
  <si>
    <t>Ernst, Robert/0000-0001-5016-8694; Chandler, Courtney/0000-0003-2076-3665; David, Rasko/0000-0002-7337-7154; Horspool, Alex/0000-0003-4115-0331</t>
  </si>
  <si>
    <t>e00595</t>
  </si>
  <si>
    <t>10.1128/JB.00595-18</t>
  </si>
  <si>
    <t>WOS:000459546800003</t>
  </si>
  <si>
    <t>Ono, R; Yasuhiko, Y; Aisaki, K; Kitajima, S; Kanno, J; Hirabayashi, Y</t>
  </si>
  <si>
    <t>Ono, Ryuichi; Yasuhiko, Yukuto; Aisaki, Ken-ichi; Kitajima, Satoshi; Kanno, Jun; Hirabayashi, Yoko</t>
  </si>
  <si>
    <t>Exosome-mediated horizontal gene transfer occurs in double-strand break repair during genome editing</t>
  </si>
  <si>
    <t>IMPRINTED GENE; RETROTRANSPOSON; DNA; CRISPR-CAS9; EFFICIENCY; MUTATIONS; NUCLEASES; SEQUENCES; PATHWAYS; CAPTURE</t>
  </si>
  <si>
    <t>The CRISPR-Cas9 system has been successfully applied in many organisms as a powerful genome-editing tool. Undoubtedly, it will soon be applied to human genome editing, including gene therapy. We have previously reported that unintentional DNA sequences derived from retrotransposons, genomic DNA, mRNA and vectors are captured at double-strand breaks (DSBs) sites when DSBs are introduced by the CRISPR-Cas9 system. Therefore, it is possible that unintentional insertions associated with DSB repair represent a potential risk for human genome editing gene therapies. To address this possibility, comprehensive sequencing of DSB sites was performed. Here, we report that exosome-mediated horizontal gene transfer occurs in DSB repair during genome editing. Exosomes are present in all fluids from living animals, including seawater and breathing mammals, suggesting that exosome-mediated horizontal gene transfer is the driving force behind mammalian genome evolution. The findings of this study highlight an emerging new risk for this leading-edge technology.</t>
  </si>
  <si>
    <t>[Ono, Ryuichi; Yasuhiko, Yukuto; Aisaki, Ken-ichi; Kitajima, Satoshi; Kanno, Jun; Hirabayashi, Yoko] NIHS, CBSR, Div Cellular &amp; Mol Toxicol, Kawasaki Ku, 3-25-26 Tonomachi, Kawasaki, Kanagawa 2109501, Japan; [Kanno, Jun] Japan Org Occupat Hlth &amp; Safety, Japan Bioassay Res Ctr, 2445 Hirasawa, Hadano, Kanagawa 2570015, Japan</t>
  </si>
  <si>
    <t>National Institute of Health Sciences - Japan</t>
  </si>
  <si>
    <t>Ono, R (corresponding author), NIHS, CBSR, Div Cellular &amp; Mol Toxicol, Kawasaki Ku, 3-25-26 Tonomachi, Kawasaki, Kanagawa 2109501, Japan.</t>
  </si>
  <si>
    <t>onoryu@nihs.go.jp</t>
  </si>
  <si>
    <t>YASUHIKO, Yukuto/0000-0002-1366-0978</t>
  </si>
  <si>
    <t>10.1038/s42003-019-0300-2</t>
  </si>
  <si>
    <t>WOS:000461153700002</t>
  </si>
  <si>
    <t>Tarone, L; Giacobino, D; Camerino, M; Ferrone, S; Buracco, P; Cavallo, F; Riccardo, F</t>
  </si>
  <si>
    <t>Tarone, Lidia; Giacobino, Davide; Camerino, Mariateresa; Ferrone, Soldano; Buracco, Paolo; Cavallo, Federica; Riccardo, Federica</t>
  </si>
  <si>
    <t>Canine Melanoma Immunology and Immunotherapy: Relevance of Translational Research</t>
  </si>
  <si>
    <t>canine melanoma; immunotherapy; vaccination; CSPG4; comparative oncology</t>
  </si>
  <si>
    <t>ORAL MALIGNANT-MELANOMA; ANTIIDIOTYPIC MONOCLONAL-ANTIBODY; REGULATORY T-CELLS; LONG-TERM SURVIVAL; COSTIMULATORY MOLECULE; HUMAN TYROSINASE; DNA VACCINATION; DOGS; B7-H3; PROTEOGLYCAN</t>
  </si>
  <si>
    <t>In veterinary oncology, canine melanoma is still a fatal disease for which innovative and long-lasting curative treatments are urgently required. Considering the similarities between canine and human melanoma and the clinical revolution that immunotherapy has instigated in the treatment of human melanoma patients, special attention must be paid to advancements in tumor immunology research in the veterinary field. Herein, we aim to discuss the most relevant knowledge on the immune landscape of canine melanoma and the most promising immunotherapeutic approaches under investigation. Particular attention will be dedicated to anti-cancer vaccination, and, especially, to the encouraging clinical results that we have obtained with DNA vaccines directed against chondroitin sulfate proteoglycan 4 (CSPG4), which is an appealing tumor-associated antigen with a key oncogenic role in both canine and human melanoma. In parallel with advances in therapeutic options, progress in the identification of easily accessible biomarkers to improve the diagnosis and the prognosis of melanoma should be sought, with circulating small extracellular vesicles emerging as strategically relevant players. Translational advances in melanoma management, whether achieved in the human or veterinary fields, may drive improvements with mutual clinical benefits for both human and canine patients; this is where the strength of comparative oncology lies.</t>
  </si>
  <si>
    <t>[Tarone, Lidia; Cavallo, Federica; Riccardo, Federica] Univ Turin, Mol Biotechnol Ctr, Dept Mol Biotechnol &amp; Hlth Sci, Turin, Italy; [Giacobino, Davide; Camerino, Mariateresa; Buracco, Paolo] Univ Turin, Dept Vet Sci, Turin, Italy; [Ferrone, Soldano] Harvard Med Sch, Massachusetts Gen Hosp, Dept Surg, Boston, MA 02115 USA</t>
  </si>
  <si>
    <t>University of Turin; University of Turin; Harvard University; Harvard Medical School; Massachusetts General Hospital</t>
  </si>
  <si>
    <t>Cavallo, F (corresponding author), Univ Turin, Mol Biotechnol Ctr, Dept Mol Biotechnol &amp; Hlth Sci, Turin, Italy.</t>
  </si>
  <si>
    <t>federica.cavallo@unito.it</t>
  </si>
  <si>
    <t>Riccardo, Federica/AGT-3153-2022</t>
  </si>
  <si>
    <t>Riccardo, Federica/0000-0002-9692-0172</t>
  </si>
  <si>
    <t>FEB 11</t>
  </si>
  <si>
    <t>10.3389/fvets.2022.803093</t>
  </si>
  <si>
    <t>WOS:000761422600001</t>
  </si>
  <si>
    <t>OYAMA, T; GOTO, S; NISHI, T; SATO, K; YAMADA, K; YOSHIKAWA, M; USHIO, Y</t>
  </si>
  <si>
    <t>IMMUNOCYTOCHEMICAL LOCALIZATION OF THE STRIATAL ENRICHED PROTEIN-TYROSINE-PHOSPHATASE IN THE RAT STRIATUM - A LIGHT AND ELECTRON-MICROSCOPIC STUDY WITH A COMPLEMENTARY DNA-GENERATED POLYCLONAL ANTIBODY</t>
  </si>
  <si>
    <t>NEUROSCIENCE</t>
  </si>
  <si>
    <t>BASAL GANGLIA; STRIATAL NEURONS; SIGNAL TRANSDUCTION; POLYMERASE CHAIN REACTION</t>
  </si>
  <si>
    <t>NERVOUS-SYSTEM; BASAL GANGLIA; EXTRACELLULAR REGION; KINASE-II; NEURONS; BRAIN; IDENTIFICATION; CALCINEURIN; EXPRESSION; GENE</t>
  </si>
  <si>
    <t>The present study concerns the immunocytochemical localization of the striatal enriched protein tyrosine phosphatase in the rat striatum. A novel molecular biology technique allowed us to produce a complementary DNA-generated polyclonal antibody raised against the non-catalytic domain of the striatal enriched protein tyrosine phosphatase, which selectively recognized the striatal enriched protein tyrosine phosphatase protein with 46,000 mel. wt on western blots. Immunocytochemical analysis with the specific antibody revealed strong striatal enriched protein tyrosine phosphatase immunoreactivity in the striatum. Light microscopy showed striatal striatal enriched protein tyrosine phosphatase-immunopositive neurons to be of medium size (mean diameter of 14.4 mu m), and to comprise approximately 80% of the total neuronal population in the striatum. These cells had round, triangular or polygonal cell bodies with relatively little cytoplasm. Nerve fibers stained positively for striatal enriched protein tyrosine phosphatase were also present in the globus pallidus and the substantia nigra, and the nigral labeling on the ipsilateral side almost disappeared subsequent to cerebral hemitransection, suggesting these immunolabeled structures to be striatal projections. Double-immunofluorescence analysis demonstrated separate populations of striatal enriched protein tyrosine phosphatase-positive cells and neurons stained for parvalbumin. Also, ultrastructural study showed that the striatal enriched protein tyrosine phosphatase-positive neurons (n = 50) possessed no nuclear indentations or intranuclear inclusions. Thus, most striatal striatal enriched protein tyrosine phosphatase-positive neurons were thought to be of the medium-sized spinous type. At the light microscopic level, stained striatal neurons exhibited striatal enriched protein tyrosine phosphatase immunolabeling in their somata, dendrites and axonal processes, but not in their nuclei. Electron microscopic observation showed strong striatal enriched protein tyrosine phosphatase immunoreactivity on the inner surface of the plasmalemma, on the outer surfaces of mitochondria and on microtubules, particularly of dendrites. A heavy deposit of immunoreaction product was also present on postsynaptic densities in labeled dendrites, while a light deposit was seen on the synaptic vesicles of nerve terminals. The characteristic distribution profile of striatal enriched protein tyrosine phosphatase suggested that the enzyme may play a role in a variety of functional properties of striatal neurons, especially in postsynaptic signaling processes and in regulation of microtubular functions. On the basis of the present findings, we propose the following conclusions: (i) a protein tyrosine phosphorylation system regulated by striatal enriched protein tyrosine phosphatase is involved in certain specialized cellular processes (e.g. signal transduction cascades) of medium-sized spinous neurons distinct from those of other neuronal subsets in the striatum; (ii) a striatal medium spiny neuron is characterized by its expression of striatal enriched protein tyrosine phosphatase and, therefore, the enzyme is useful for detection of the distinct subset of striatal cells or for tracing their axonal projection fibers in the basal ganglia.</t>
  </si>
  <si>
    <t>KUMAMOTO UNIV, SCH MED, DEPT NEUROSURG, CEREBROVASC DISORDERS &amp; NEUROSCI LAB, KUMAMOTO 860, JAPAN</t>
  </si>
  <si>
    <t>Kumamoto University</t>
  </si>
  <si>
    <t>0306-4522</t>
  </si>
  <si>
    <t>1873-7544</t>
  </si>
  <si>
    <t>10.1016/0306-4522(95)00278-Q</t>
  </si>
  <si>
    <t>WOS:A1995TE43100017</t>
  </si>
  <si>
    <t>Beyersmann, D</t>
  </si>
  <si>
    <t>Homeostasis and cellular functions of zinc</t>
  </si>
  <si>
    <t>MATERIALWISSENSCHAFT UND WERKSTOFFTECHNIK</t>
  </si>
  <si>
    <t>zinc; signal transduction; metallothionein; proliferation; differentiation</t>
  </si>
  <si>
    <t>GROWTH-FACTOR-I; CYCLIC-NUCLEOTIDE PHOSPHODIESTERASE; AIRWAY EPITHELIAL-CELLS; TRANSCRIPTION FACTOR-I; DNA-BINDING ACTIVITY; PROTEIN-KINASE-C; RAT GLIOMA-CELLS; SUBCELLULAR-LOCALIZATION; NUCLEAR TRANSLOCATION; SIGNALING PATHWAY</t>
  </si>
  <si>
    <t>Zinc is an element that is essential for cell proliferation and differentiation. Zinc is a structural constituent of a great number of proteins including metabolic enzymes, cellular signaling proteins and transcription factors. The total intracellular concentration of zinc and the intracellular concentration of the available ion are carefully controlled. The homeostasis of zinc is maintained by regulation of zinc uptake and elimination but also on the level of intracellular sequestration in zinc storing vesicles, so-called zinco-somes, and by controlled nucleo-cytoplasmic distribution. A major tool of these processes is the zinc binding protein metallothionein which serves as a zinc storing protein and a zinc transporter to the nucleus in the course of cell cycling and differentiation. There is increasing evidence for a direct signaling function of zinc at all levels of cellular signal transduction. Zinc has been found to modulate cellular signal reception, second messenger metabolism, protein kinase and protein phosphatase activities, and it may activate or inhibit the DNA binding of transcription factors. Zinc ions specifically activate the transcription factor MTF-1 which controls the expression of the genes for metallothionein and the zinc transporter protein ZnT-1. There is increasing evidence that zinc ions function as modulators of cell proliferation and differentiation. Zinc becomes cytotoxic if its extracellular concentration exceeds the capacity of the zinc homeostatic system. Elevated extracellular zinc concentrations lead to a breakdown of the zinc transporting system of the plasma membrane. The resulting enhanced intracellular zinc concentration evokes the activation of programmed cell death (apoptosis), whereas at even more elevated zinc concentration, cell necrosis is the dominant form of cell death.</t>
  </si>
  <si>
    <t>Univ Bremen, Fachbereich 2, D-28334 Bremen, Germany</t>
  </si>
  <si>
    <t>University of Bremen</t>
  </si>
  <si>
    <t>Beyersmann, D (corresponding author), Univ Bremen, Fachbereich 2, Postfach 330440, D-28334 Bremen, Germany.</t>
  </si>
  <si>
    <t>0933-5137</t>
  </si>
  <si>
    <t>1521-4052</t>
  </si>
  <si>
    <t>10.1002/mawe.200290008</t>
  </si>
  <si>
    <t>WOS:000180596700009</t>
  </si>
  <si>
    <t>Cui, Y; Xu, HF; Liu, MY; Xu, YJ; He, JC; Zhou, Y; Cang, SD</t>
  </si>
  <si>
    <t>Cui, Yao; Xu, Hai-Feng; Liu, Ming-Yue; Xu, Yu-Jie; He, Jun-Chuang; Zhou, Yun; Cang, Shun-Dong</t>
  </si>
  <si>
    <t>Mechanism of exosomal microRNA-224 in development of hepatocellular carcinoma and its diagnostic and prognostic value</t>
  </si>
  <si>
    <t>Hepatocellular carcinoma; Serum; Exosome; MicroRNA-224; Biomarker</t>
  </si>
  <si>
    <t>CELL; BIOMARKERS; EXPRESSION; MODULATE; MELANOMA</t>
  </si>
  <si>
    <t>BACKGROUND Exosomes contain proteins, lipids, and biological molecules such as DNA and RNA. Nucleic acids in exosomes are a group of molecules that can act as biomarkers. Currently, there are many reports on exosomal microRNAs, which are ideal biomarkers for the early diagnosis of cancer. However, there are few reports on the role of exosomal microRNAs in the diagnosis and prognosis of hepatocellular carcinoma (HCC). AIM To understand the mechanism of exosomal microRNA-224 (miR-224) in the development of HCC and evaluate its diagnostic and prognostic value. METHODS Cell culture and transfection of exosomal miRNA-224, real-time quantitative PCR, luciferase reporter assay, and other methods were used to find new biomarkers related to the development of HCC that can be used to diagnose HCC and predict HCC prognosis. RESULTS By targeting glycine N-methyltransferase, incubating exosomes with miR-224 mimic resulted in a significant increase in cell proliferation compared to that of the control group, while incubation with the miR-224 inhibitor significantly reduced cell proliferation. The same results were obtained for the cell invasion assay. Serum exosomal miR-224 did have some ability to differentiate patients with HCC from healthy controls, with an area under the curve of 0.910, and HCC patients with higher serum exosomal miR-224 expression had lower overall survival. CONCLUSION Exosomal miR-224 is a tumor promotor and can be a marker of diagnosis and prognosis of HCC patients, however, its ability to distinguish liver diseases needs further verification.</t>
  </si>
  <si>
    <t>[Cui, Yao; Liu, Ming-Yue; Xu, Yu-Jie; Zhou, Yun; Cang, Shun-Dong] Henan Univ, Henan Key Lab Precis Med Canc, Henan Prov Peoples Hosp, Peoples Hosp,Zhengzhou Univ,Sch Clin Med,Dept Onc, 7 Weiwu Rd, Zhengzhou 450003, Henan, Peoples R China; [Xu, Hai-Feng] Peking Univ Canc Hosp &amp; Inst, Intervent Therapy Dept, Key Lab Carcinogenesis &amp; Translat Res, Minist Educ Beijing, Beijing 100142, Peoples R China; [He, Jun-Chuang] Henan Univ, Henan Prov Peoples Hosp, Dept Hepatobiliary Surg, Peoples Hosp,Zhengzhou Univ,Sch Clin Med, Zhengzhou 450003, Henan, Peoples R China</t>
  </si>
  <si>
    <t>Henan University; Zhengzhou University; Henan University; Zhengzhou University</t>
  </si>
  <si>
    <t>Cang, SD (corresponding author), Henan Univ, Henan Key Lab Precis Med Canc, Henan Prov Peoples Hosp, Peoples Hosp,Zhengzhou Univ,Sch Clin Med,Dept Onc, 7 Weiwu Rd, Zhengzhou 450003, Henan, Peoples R China.</t>
  </si>
  <si>
    <t>cangshun-donglin@126.com</t>
  </si>
  <si>
    <t>APR 21</t>
  </si>
  <si>
    <t>10.3748/wjg.v25.i15.1890</t>
  </si>
  <si>
    <t>WOS:000465126200009</t>
  </si>
  <si>
    <t>Upton, HE; Ferguson, L; Temoche-Diaz, MM; Liu, XM; Pimentel, SC; Ingolia, NT; Schekman, R; Collins, K</t>
  </si>
  <si>
    <t>Upton, Heather E.; Ferguson, Lucas; Temoche-Diaz, Morayma M.; Liu, Xiao-Man; Pimentel, Sydney C.; Ingolia, Nicholas T.; Schekman, Randy; Collins, Kathleen</t>
  </si>
  <si>
    <t>Low-bias ncRNA libraries using ordered two-template relay: Serial template jumping by a modified retroelement reverse transcriptase</t>
  </si>
  <si>
    <t>non-LTR retroelement reverse transcriptase; RNA sequencing; miRNA; tRNA; noncoding RNA</t>
  </si>
  <si>
    <t>DIRECT CLONING; RNA; R2; CDNA; RETROTRANSPOSON; SELECTION</t>
  </si>
  <si>
    <t>Selfish, non-long terminal repeat (non-LTR) retroelements and mobile group II introns encode reverse transcriptases (RTs) that can initiate DNA synthesis without substantial base pairing of primer and template. Biochemical characterization of these enzymes has been limited by recombinant expression challenges, hampering understanding of their properties and the possible exploitation of their properties for research and biotechnology. We investigated the activities of representative RTs using a modified nonLTR RT from Bombyx mori and a group II intron RT from Eubacterium rectale. Only the non-LTR RT supported robust and serial template jumping, producing one complementary DNA (cDNA) from several templates each copied end to end. We also discovered an unexpected terminal deoxynucleotidyl transferase activity of the RTs that adds nucleotide(s) of choice to 3 ' ends of singleand/or double-stranded RNA or DNA. Combining these two types of activity with additional insights about nontemplated nucleotide additions to duplexed cDNA product, we developed a streamlined protocol for fusion of next-generation sequencing adaptors to both cDNA ends in a single RT reaction. When benchmarked using a reference pool of microRNAs (miRNAs), library production by Ordered Two-Template Relay (OTTR) using recombinant non-LTR retroelement RT outperformed all commercially available kits and rivaled the low bias of technically demanding home-brew protocols. We applied OTTR to inventory RNAs purified from extracellular vesicles, identifying miRNAs as well as myriad other noncoding RNAs (ncRNAs) and ncRNA fragments. Our results establish the utility of OTTR for automation-friendly, low-bias, end-to-end RNA sequence inventories of complex ncRNA samples.</t>
  </si>
  <si>
    <t>[Upton, Heather E.; Ferguson, Lucas; Liu, Xiao-Man; Pimentel, Sydney C.; Ingolia, Nicholas T.; Schekman, Randy; Collins, Kathleen] Univ Calif Berkeley, Dept Mol &amp; Cell Biol, 229 Stanley Hall, Berkeley, CA 94720 USA; [Upton, Heather E.; Collins, Kathleen] Univ Calif Berkeley, Berkeley, CA 94720 USA; [Ferguson, Lucas; Ingolia, Nicholas T.] Univ Calif Berkeley, Ctr Computat Biol, Berkeley, CA 94720 USA; [Temoche-Diaz, Morayma M.] Univ Calif Berkeley, Dept Plant &amp; Microbial Biol, Berkeley, CA 94720 USA; [Liu, Xiao-Man; Schekman, Randy] Univ Calif Berkeley, HHMI, Berkeley, CA 94720 USA</t>
  </si>
  <si>
    <t>University of California System; University of California Berkeley; University of California System; University of California Berkeley; University of California System; University of California Berkeley; University of California System; University of California Berkeley; Howard Hughes Medical Institute; University of California System; University of California Berkeley</t>
  </si>
  <si>
    <t>Collins, K (corresponding author), Univ Calif Berkeley, Dept Mol &amp; Cell Biol, 229 Stanley Hall, Berkeley, CA 94720 USA.</t>
  </si>
  <si>
    <t>kcollins@berkeley.edu</t>
  </si>
  <si>
    <t>Temoche-Diaz, Morayma/0000-0003-1119-1749; Liu, Xiao-Man/0000-0001-9968-3988; Ferguson, Lucas/0000-0001-5482-4249</t>
  </si>
  <si>
    <t>e2107900118</t>
  </si>
  <si>
    <t>10.1073/pnas.2107900118</t>
  </si>
  <si>
    <t>WOS:000710710200001</t>
  </si>
  <si>
    <t>Mali, SB; Dahivelkar, S</t>
  </si>
  <si>
    <t>Mali, Shrikant Balasaheb; Dahivelkar, Sachinkumar</t>
  </si>
  <si>
    <t>Liquid biopsy = Individualized cancer management: Diagnosis, monitoring treatment and checking recurrence and metastasis</t>
  </si>
  <si>
    <t>ORAL ONCOLOGY</t>
  </si>
  <si>
    <t>MicroRNA; Oral cancer; Biomarkers; Liquid biopsy; Head and neck squamous cell carcinoma; Circulating tumor DNA; ctDNA; Precision Cancer diagnosis; Exosomes</t>
  </si>
  <si>
    <t>HEAD</t>
  </si>
  <si>
    <t>Traditional cancer-screening techniques such as imaging and protein biomarkers are not sufficient for early detection. Various forms of endoscopy and tumour biopsy are the current standard methods in diagnosing Head Neck Cancers. Liquid biopsy has been increasingly considered as an option for molecular characterization and detection of cancer as it can provide real-time information about cancer in a minimally invasive manner. Circulating tumor DNA (ctDNA), circulating tumor cells (CTCs), and exosomal miRNAs are emerging biomarkers that can be applied to cancer detection, treatment planning, and response monitoring. A 'liquid biopsy' presents an option where the disease can be tracked in a less-invasive, simple manner, allowing for serial sampling informing of the tumour heterogeneity, response to treatment and minimal residual disease.</t>
  </si>
  <si>
    <t>[Mali, Shrikant Balasaheb; Dahivelkar, Sachinkumar] MGV KBH Dent Coll, Dept Oral &amp; Maxillofacial Surg, Nasik, India</t>
  </si>
  <si>
    <t>Mali, SB (corresponding author), MGV KBH Dent Coll, Dept Oral &amp; Maxillofacial Surg, Nasik, India.</t>
  </si>
  <si>
    <t>shrikantmali@gmail.com</t>
  </si>
  <si>
    <t>mali, shrikant/ABE-8075-2021</t>
  </si>
  <si>
    <t>mali, shrikant/0000-0002-5911-0453</t>
  </si>
  <si>
    <t>1368-8375</t>
  </si>
  <si>
    <t>1879-0593</t>
  </si>
  <si>
    <t>10.1016/j.oraloncology.2021.105588</t>
  </si>
  <si>
    <t>Oncology; Dentistry, Oral Surgery &amp; Medicine</t>
  </si>
  <si>
    <t>WOS:000717525700012</t>
  </si>
  <si>
    <t>Chaker, D; Mouawad, C; Azar, A; Quilliot, D; Achkar, I; Fajloun, Z; Makdissy, N</t>
  </si>
  <si>
    <t>Chaker, Diana; Mouawad, Charbel; Azar, Albert; Quilliot, Didier; Achkar, Ibrahim; Fajloun, Ziad; Makdissy, Nehman</t>
  </si>
  <si>
    <t>Inhibition of the RhoGTPase Cdc42 by ML141 enhances hepatocyte differentiation from human adipose-derived mesenchymal stem cells via the Wnt5a/PI3K/miR-122 pathway: impact of the age of the donor</t>
  </si>
  <si>
    <t>Aging; Cdc42; ML141; Adipose derived mesenchymal stem cells; Hepatocyte differentiation; Exosomes release; miR122; Wnt; MAPK; PI3K</t>
  </si>
  <si>
    <t>INDUCED HEMATOPOIETIC STEM; SMALL GTPASE CDC42; HEPATIC DIFFERENTIATION; STROMAL CELLS; BETA-CATENIN; BONE-MARROW; IN-VITRO; RAPID GENERATION; LIVER-DISEASE; KEY-FACTOR</t>
  </si>
  <si>
    <t>Background: Human adipose-derived mesenchymal stem cells (hADSCs) are promising cells that may promote hepatocyte differentiation (Hep-Dif) and improve liver function, but the involvement of Cdc42, a key small RhoGTPase which plays a crucial role in aging, is still not well established. We hypothesized that the inhibition of Cdc42 may rescue the hepatogenic potential of hADSCs derived from aged donors. Methods: hADSCs isolated from 61 women of different ages were cultured for evaluation of the proliferation of cells, adherence, apoptosis, immunomodulation, immunophenotyping, multipotency, gene expression, and cell function during Hep-Dif. Inhibition of Cdc42 by ML141 was realized during two phases: initiation (days -2 to 14 (D-2/14)) from undifferentiated to hepatoblast-like cells, or maturation (days 14 to 28 (D14/28)) from undifferentiated to hepatocyte-like cells. Mechanistic insights of the Wnt(s)/MAPK/PI3K/miR-122 pathways were studied. Results: Cdc42 activity in undifferentiated hADSCs showed an age-dependent significant increase in Cdc42-GTP correlated to a decrease in Cdc42-GAP; the low potentials of cell proliferation, doubling, adherence, and immunomodulatory ability (proinflammatory over anti-inflammatory) contrary to the apoptotic index of the aged group were significantly reversed by ML141. Aged donor cells showed a decreased potential for Hep-Dif which was rescued by ML141 treatment, giving rise to mature and functional hepatocyte-like cells as assessed by hepatic gene expression, cytochrome activity, urea and albumin production, low-density lipoprotein (LDL) uptake, and glycogen storage. ML141-induced Hep-Dif showed an improvement in mesenchymal-epithelial transition, a switch from Wtn3a/beta-catenin to Wnt5a signaling, involvement of PI3K/PKB but not the MAPK (ERK/JNK/p38) pathway, induction of miR-122 expression, reinforcing the exosomes release and the production of albumin, and epigenetic changes. Inhibition of PI3K and miR-122 abolished completely the effects of ML141 indicating that inhibition of Cdc42 promotes the Hep-Dif through a Wnt5a/PI3K/miR-122/HNF4 alpha/albumin/E-cadherin-positive action. The ML141(D-2/14) protocol had more pronounced effects when compared with ML141(D14/28); inhibition of DNA methylation in combination with ML141(D-2/14) showed more efficacy in rescuing the Hep-Dif of aged hADSCs. In addition to Hep-Dif, the multipotency of aged hADSC-treated ML141 was observed by rescuing the adipocyte and neural differentiation by inducing PPAR gamma/FABP4 and NeuN/O4 but inhibiting Pref-1 and GFAP, respectively. Conclusion: ML141 has the potential to reverse the age-related aberrations in aged stem cells and promotes their hepatogenic differentiation. Selective inhibition of Cdc42 could be a potential target of drug therapy for aging and may give new insights on the improvement of Hep-Dif.</t>
  </si>
  <si>
    <t>[Chaker, Diana; Fajloun, Ziad; Makdissy, Nehman] Lebanese Univ, Doctoral Sch Sci &amp; Technol, Azm Ctr Res Biotechnol &amp; Its Applicat, Lab Appl Biotechnol, Tripoli, Lebanon; [Chaker, Diana; Azar, Albert] Middle East Inst Hlth Hosp, Reviva Regenerat Med Ctr, Ctr Human Genet, Bsalim, Lebanon; [Chaker, Diana] Paris Saclay Univ, Doctoral Sch, Therapeut Innovat, Inserm UMR935, Villejuif, France; [Mouawad, Charbel] Kfarzeina, Zgharta, Lebanon; [Quilliot, Didier] Univ Henri Poincare Lorraine, CHRU Nancy, INSERM 954, Diabetol Endocrinol &amp; Nutr,Fac Med, Nancy, France; [Achkar, Ibrahim] St Elie Ctr, Achkar Clin, Antelias, Lebanon; [Fajloun, Ziad; Makdissy, Nehman] Lebanese Univ, Fac Sci 3, Dept Biol, Kobbe, Lebanon</t>
  </si>
  <si>
    <t>Lebanese University; UDICE-French Research Universities; Universite Paris Saclay; CHU de Nancy; Institut National de la Sante et de la Recherche Medicale (Inserm); Universite de Lorraine</t>
  </si>
  <si>
    <t>Makdissy, N (corresponding author), Lebanese Univ, Doctoral Sch Sci &amp; Technol, Azm Ctr Res Biotechnol &amp; Its Applicat, Lab Appl Biotechnol, Tripoli, Lebanon.;Makdissy, N (corresponding author), Lebanese Univ, Fac Sci 3, Dept Biol, Kobbe, Lebanon.</t>
  </si>
  <si>
    <t>almakdissy@hotmail.com</t>
  </si>
  <si>
    <t>Fajloun, Ziad/AAO-8595-2021; Quillot, Didier/ABB-5326-2021</t>
  </si>
  <si>
    <t>JUN 19</t>
  </si>
  <si>
    <t>10.1186/s13287-018-0910-5</t>
  </si>
  <si>
    <t>WOS:000435601600002</t>
  </si>
  <si>
    <t>Fukayama, M; Kunita, A; Kaneda, A</t>
  </si>
  <si>
    <t>Kawaguchi, Y; Mori, Y; Kimura, H</t>
  </si>
  <si>
    <t>Fukayama, Masashi; Kunita, Akiko; Kaneda, Atsushi</t>
  </si>
  <si>
    <t>Gastritis-Infection-Cancer Sequence of Epstein-Barr Virus-Associated Gastric Cancer</t>
  </si>
  <si>
    <t>HUMAN HERPESVIRUSES</t>
  </si>
  <si>
    <t>Gastric cancer; EBVaGC; EBER-ISH; TCGA; CpG methylation; PIK3CA; ARID1A; PD-L1; microRNA</t>
  </si>
  <si>
    <t>CELL-PROLIFERATION; EXPRESSION PROFILE; GENE-EXPRESSION; CARCINOMA; EBV; MICRORNAS; MUTATIONS; METHYLATION; LATENT; ROLES</t>
  </si>
  <si>
    <t>Epstein-Barr virus-associated gastric cancer (EBVaGC) is a representative EBV-infected epithelial neoplasm, which is now included as one of the four subtypes of The Cancer Genome Atlas molecular classification of gastric cancer. In this review, we portray a gastritis-infection-cancer sequence of EBVaGC. This virus-associated type of gastric cancer demonstrates clonal growth of EBV-infected epithelial cells within the mucosa of atrophic gastritis. Its core molecular abnormality is the EBV-specific hyper-epigenotype of CpG island promoter methylation, which induces silencing of tumor suppressor genes. This is due to the infection--induced disruption of the balance between DNA methylation and DNA demethylation activities. Abnormalities in the host cell genome, including phosphatidylinositol- 4,5-biphosphate 3-kinase catalytic subunit a (PIK3CA), AT-rich interaction domain 1A (ARID1A), and programmed death-ligand 1 (PD-L1), are associated with the development and progression of EBVaGC. Furthermore, post-transcriptional modulation affects the transformation processes of EBV-infected cells, such as epithelial mesenchymal transition and anti-apoptosis, via cellular and viral microRNAs (miRNAs). Once established, cancer cells of EBVaGC remodel their microenvironment, at least partly, via the delivery of exosomes containing cellular and viral miRNAs. After exosomes are incorporated, these molecules change the functions of stromal cells, tuning the microenvironment for EBVaGC. During this series of events, EBV hijacks and uses cellular machineries, such as DNA methylation and the miRNA delivery system. This portrait of gastritis-infection-cancer sequences highlights the survival strategies of EBV in the stomach epithelial cells and may be useful for the integration of therapeutic modalities against EBV-driven gastric cancer.</t>
  </si>
  <si>
    <t>[Fukayama, Masashi; Kunita, Akiko] Univ Tokyo, Grad Sch Med, Dept Pathol, Tokyo, Japan; [Kaneda, Atsushi] Chiba Univ, Grad Sch Med, Dept Mol Oncol, Chiba, Japan</t>
  </si>
  <si>
    <t>University of Tokyo; Chiba University</t>
  </si>
  <si>
    <t>Fukayama, M (corresponding author), Univ Tokyo, Grad Sch Med, Dept Pathol, Tokyo, Japan.</t>
  </si>
  <si>
    <t>mfukayama-tky@umin.ac.jp</t>
  </si>
  <si>
    <t>978-981-10-7230-7; 978-981-10-7229-1</t>
  </si>
  <si>
    <t>10.1007/978-981-10-7230-7_20</t>
  </si>
  <si>
    <t>10.1007/978-981-10-7230-7</t>
  </si>
  <si>
    <t>Biology; Medicine, Research &amp; Experimental; Virology</t>
  </si>
  <si>
    <t>Life Sciences &amp; Biomedicine - Other Topics; Research &amp; Experimental Medicine; Virology</t>
  </si>
  <si>
    <t>WOS:000443332000021</t>
  </si>
  <si>
    <t>Shi, GD; Hao, DY; Zhang, L; Qin, J; Tian, GY; Ma, BY; Zhou, XH</t>
  </si>
  <si>
    <t>Shi, Guidong; Hao, Dingyu; Zhang, Lei; Qin, Jia; Tian, Guangyuan; Ma, Boyuan; Zhou, Xianhu</t>
  </si>
  <si>
    <t>Endocytosis-associated patterns in nerve regeneration after peripheral nerve injury</t>
  </si>
  <si>
    <t>Peripheral nerve injury; Nerve regeneration; Schwann cells; Demyelination; Endocytosis; Exocytosis</t>
  </si>
  <si>
    <t>SCHWANN-CELLS; PROTEOMICS; TISSUE</t>
  </si>
  <si>
    <t>Background: Clearance of myelin debris and remyelination of myelin are necessary steps for peripheral nerve remodeling and regeneration. It has yet to be clarified which genes or proteins are involved in endocytosis or exocytosis in the removal of myelin debris during peripheral nerve repair. Methods: For this project, a rat model of subacute stage of sciatic nerve injury was established first. Subsequently, normal Schwann cells (NSCs) and activated Schwann cells (ASCs) were harvest before and after peripheral nerve injury (PNI). Following methylated DNA immunoprecipitation sequencing (MeDIP-seq) and tandem mass tags (TMT) labeling analysis of NSCs and ASCs, what common biomarkers changes in peripheral nervous systems remain to be elucidated. Results: A total of 14,770 different expression genes (DEGs) and 3249 different expression proteins (DEPs) were screened between ASCs and NSCs. For the exosomes, the diameter and particles concentration of exosomes were 141.7 nm and 2.97 x 107 particles/mL, respectively. The size distribution of exosomes was 50-200 nm. ASCs showed higher cellular uptake ability than the NSCs by cellular uptake test. Moreover, RAB7A, ARF6, ARF1, VPS45, RAB11A, DNM3, and NEDD4 were the core markers and may control the molecular mechanism of the Endocytosis pathway. Conclusion: These biomarkers may play significant roles in the initiation phase of demyelination and axon regeneration. The translational potential of this article: This study explores that the endocytosis-associated patterns of Schwann cells may be new therapeutic strategy for nerve tissue engineering and nerve regeneration.</t>
  </si>
  <si>
    <t>[Shi, Guidong] Shandong Univ, Qilu Hosp, Cheeloo Coll Med, Dept Orthopaed, Jinan, Shandong, Peoples R China; [Shi, Guidong] Shandong Univ, Ctr Orthopaed, Cheeloo Coll Med, Jinan, Shandong, Peoples R China; [Hao, Dingyu; Zhang, Lei; Qin, Jia; Tian, Guangyuan; Ma, Boyuan] Tianjin Med Univ Gen Hosp, Dept Orthoped, Tianjin, Peoples R China; [Zhou, Xianhu] Ningbo Univ, Affiliated Hosp, Med Sch, 247 People Rd, Ningbo, Zhejiang, Peoples R China</t>
  </si>
  <si>
    <t>Shandong University; Shandong University; Tianjin Medical University; Ningbo University</t>
  </si>
  <si>
    <t>Zhou, XH (corresponding author), Ningbo Univ, Affiliated Hosp, Med Sch, 247 People Rd, Ningbo, Zhejiang, Peoples R China.</t>
  </si>
  <si>
    <t>zhouxh007@126.com</t>
  </si>
  <si>
    <t>Zhou, Xianhu/AGY-2369-2022</t>
  </si>
  <si>
    <t>Shi, Guidong/0000-0002-1238-6575</t>
  </si>
  <si>
    <t>10.1016/j.jot.2021.09.004</t>
  </si>
  <si>
    <t>WOS:000712049800002</t>
  </si>
  <si>
    <t>Stogbauer, F; Weichert, W; Pfarr, N</t>
  </si>
  <si>
    <t>Stogbauer, Fabian; Weichert, Wilko; Pfarr, Nicole</t>
  </si>
  <si>
    <t>Liquid biopsy-possible applications for molecular tumor diagnostics</t>
  </si>
  <si>
    <t>Early Diagnosis; Screening; Molecular diagnostic techniques; Circulating neoplastic cells; Circulating tumor DNA</t>
  </si>
  <si>
    <t>CELL-FREE DNA; LUNG-CANCER; EGFR; NSCLC</t>
  </si>
  <si>
    <t>Background The analysis of bodily fluids (liquid biopsy) constitutes a minimally invasive and easily repeatable method for retrieving diagnostically evaluable sample material. Methods This article is based on selective literature research in the PubMed database on the topic of liquid biopsy. Results Liquid biopsies comprise predominantly blood, but also all other bodily fluids (urine, saliva, etc.). For subsequent examinations, relevant particles-including circulating tumor cells, cell-free nucleic acids, and exosomes-are isolated from the fluid. Various molecular diagnostic procedures can then be used to address different clinical questions. Potential clinical applications include screening and early diagnosis of malignant diseases, therapeutically relevant molecular tumor profiling, estimation of the response to a specific drug, therapeutic monitoring, and early detection of disease relapse. Potential drawbacks in the application of liquid biopsies relate to the relatively low numbers of circulating tumor cells or low amounts of cell-free nucleic acids in blood, to the sometimes complex isolation and analysis techniques, and to factors inherent to tumor biology, which can have an influence on the results and the value of the tests.</t>
  </si>
  <si>
    <t>[Stogbauer, Fabian; Weichert, Wilko; Pfarr, Nicole] Tech Univ Munich, Fak Med, Inst Allgemeine Pathol &amp; Pathol Anat, Trogerstr 18, D-81675 Munich, Germany</t>
  </si>
  <si>
    <t>Stogbauer, F (corresponding author), Tech Univ Munich, Fak Med, Inst Allgemeine Pathol &amp; Pathol Anat, Trogerstr 18, D-81675 Munich, Germany.</t>
  </si>
  <si>
    <t>fabian.stoegbauer@tum.de</t>
  </si>
  <si>
    <t>10.1007/s00761-019-00684-7</t>
  </si>
  <si>
    <t>NOV 2019</t>
  </si>
  <si>
    <t>WOS:000499433000001</t>
  </si>
  <si>
    <t>Su, MJ; Aldawsari, H; Amiji, M</t>
  </si>
  <si>
    <t>Su, Mei-Ju; Aldawsari, Hibah; Amiji, Mansoor</t>
  </si>
  <si>
    <t>Pancreatic Cancer Cell Exosome-Mediated Macrophage Reprogramming and the Role of MicroRNAs 155 and 125b2 Transfection using Nanoparticle Delivery Systems</t>
  </si>
  <si>
    <t>HYALURONIC-ACID NANOPARTICLES; TUMOR-ASSOCIATED MACROPHAGES; SIRNA DELIVERY; OVARIAN-CANCER; LUNG-CANCER; IN-VIVO; ADENOCARCINOMA; COMMUNICATION; ACTIVATION; PHENOTYPE</t>
  </si>
  <si>
    <t>Exosomes are nano-sized endosome-derived small intraluminal vesicles, which are important facilitators of intercellular communication by transporting contents, such as protein, mRNA, and microRNAs, between neighboring cells, such as in the tumor microenvironment. The purpose of this study was to understand the mechanisms of exosomes-mediated cellular communication between human pancreatic cancer (Panc-1) cells and macrophages (J771.A1) using a Transwell co-culture system. Following characterization of exosome-mediated cellular communication and pro-tumoral baseline M2 macrophage polarization, the Panc-1 cells were transfected with microRNA-155 (miR-155) and microRNA-125b-2 (miR-125b2) expressing plasmid DNA using hyaluronic acid-poly(ethylene imine)/hyaluronic acid-poly(ethylene glycol) (HA-PEI/HA-PEG) self-assembling nanoparticle-based non-viral vectors. Our results show that upon successful transfection of Panc-1 cells, the exosome content was altered leading to differential communication and reprogramming of the J774.A1 cells to an M1 phenotype. Based on these results, genetic therapies targeted towards selective manipulation of tumor cell-derived exosome content may be very promising for cancer therapy.</t>
  </si>
  <si>
    <t>[Su, Mei-Ju; Amiji, Mansoor] Northeastern Univ, Sch Pharm, Dept Pharmaceut Sci, Boston, MA 02115 USA; [Aldawsari, Hibah; Amiji, Mansoor] King Abdulaziz Univ, Fac Pharm, Jeddah, Saudi Arabia</t>
  </si>
  <si>
    <t>Northeastern University; King Abdulaziz University</t>
  </si>
  <si>
    <t>Amiji, M (corresponding author), Northeastern Univ, Sch Pharm, Dept Pharmaceut Sci, Boston, MA 02115 USA.;Amiji, M (corresponding author), King Abdulaziz Univ, Fac Pharm, Jeddah, Saudi Arabia.</t>
  </si>
  <si>
    <t>Aldawsari, Hibah/U-1571-2019; Aldawsari, Hibah/D-1950-2013; Amiji, Mansoor M/AAK-1531-2020</t>
  </si>
  <si>
    <t>Aldawsari, Hibah/0000-0002-9067-8565; Aldawsari, Hibah/0000-0002-9067-8565; Amiji, Mansoor M/0000-0001-6170-881X</t>
  </si>
  <si>
    <t>10.1038/srep30110</t>
  </si>
  <si>
    <t>WOS:000380028900001</t>
  </si>
  <si>
    <t>Ravlic, S; Brgles, M; Hirsl, L; Jonjic, S; Halassy, B</t>
  </si>
  <si>
    <t>Ravlic, Sanda; Brgles, Marija; Hirsl, Lea; Jonjic, Stipan; Halassy, Beata</t>
  </si>
  <si>
    <t>Production- and Purification-Relevant Properties of Human and Murine Cytomegalovirus</t>
  </si>
  <si>
    <t>HCMV; MCMV; purification; ion exchange chromatography; virus; ultracentrifugation; clarification; cytomegalovirus</t>
  </si>
  <si>
    <t>CD8(+) T-CELLS; EXTRACELLULAR VESICLES; RETROVIRAL VECTORS; MEMORY INFLATION; MUMPS-VIRUS; PARTICLES; VACCINES; EXCHANGE; IDENTIFICATION; PROPAGATION</t>
  </si>
  <si>
    <t>There is a large unmet need for a prophylactic vaccine against human cytomegalovirus (HCMV) to combat the ubiquitous infection that is ongoing with this pathogen. A vaccination against HCMV could protect immunocompromised patients and prevent birth defects caused by congenital HCMV infections. Moreover, cytomegalovirus (CMV) has a number of features that make it a very interesting vector platform for gene therapy. In both cases, preparation of a highly purified virus is a prerequisite for safe and effective application. Murine CMV (MCMV) is by far the most studied model for HCMV infections with regard to the principles that govern the immune surveillance of CMVs. Knowledge transfer from MCMV and mice to HCMV and humans could be facilitated by better understanding and characterization of the biological and biophysical properties of both viruses. We carried out a detailed investigation of HCMV and MCMV growth kinetics as well as stability under the influence of clarification and different storage conditions. Further, we investigated the possibilities to concentrate and purify both viruses by ultracentrifugation and ion-exchange chromatography. Defective enveloped particles were not separately analyzed; however, the behavior of exosomes was examined during all experiments. The effectiveness of procedures was monitored using CCID50 assay, Nanoparticle tracking analysis, ELISA for host cell proteins, and quantitative PCR for host cell DNA. MCMV generally proved to be more robust in handling. Despite its greater sensitivity, HCMV was efficiently (100% recovery) purified and concentrated by anion-exchange chromatography using QA monolithic support. The majority of the host genomic DNA as well as most of the host cell proteins were removed by this procedure.</t>
  </si>
  <si>
    <t>[Ravlic, Sanda; Brgles, Marija; Halassy, Beata] Univ Zagreb, Ctr Res &amp; Knowledge Transfer Biotechnol, Zagreb 10000, Croatia; [Ravlic, Sanda; Brgles, Marija; Hirsl, Lea; Jonjic, Stipan; Halassy, Beata] CERVirVac, Ctr Excellence Viral Immunol &amp; Vaccines, Zagreb 10000, Croatia; [Hirsl, Lea; Jonjic, Stipan] Univ Rijeka, Croatia Ctr Prote, Fac Med, Rijeka 51000, Croatia</t>
  </si>
  <si>
    <t>University of Zagreb; University of Rijeka</t>
  </si>
  <si>
    <t>Ravlic, S (corresponding author), Univ Zagreb, Ctr Res &amp; Knowledge Transfer Biotechnol, Zagreb 10000, Croatia.;Ravlic, S (corresponding author), CERVirVac, Ctr Excellence Viral Immunol &amp; Vaccines, Zagreb 10000, Croatia.</t>
  </si>
  <si>
    <t>sravlic@unizg.hr; mbrgles@gmail.com; lea.hirsl@medri.uniri.hr; stipan.jonjic@medri.uniri.hr; bhalassy@unizg.hr</t>
  </si>
  <si>
    <t>Hirsl, Lea/S-5327-2018</t>
  </si>
  <si>
    <t>Hirsl, Lea/0000-0003-1431-8581; Brgles, Marija/0000-0002-6080-8808; Halassy, Beata/0000-0001-7370-0997</t>
  </si>
  <si>
    <t>10.3390/v13122481</t>
  </si>
  <si>
    <t>WOS:000741514100001</t>
  </si>
  <si>
    <t>Tayebi, M; Yaraki, MT; Yang, HY; Ai, Y</t>
  </si>
  <si>
    <t>Tayebi, Mahnoush; Yaraki, Mohammad Tavakkoli; Yang, Hui Ying; Ai, Ye</t>
  </si>
  <si>
    <t>A MoS2-MWCNT based fluorometric nanosensor for exosome detection and quantification</t>
  </si>
  <si>
    <t>NANOSCALE ADVANCES</t>
  </si>
  <si>
    <t>PROGNOSTIC MARKER; MOS2 NANOSHEETS; BIOGENESIS; VESICLES; SECRETION; PROTEINS; CANCER; CD24; DNA</t>
  </si>
  <si>
    <t>Circulating exosomes in body fluids are involved in many diseases and have important roles in pathophysiological processes. Specifically, they have emerged as a promising new class of biomarkers in cancer diagnosis and prognosis because of their high concentration and availability in a variety of biological fluids. The ability to quantitatively detect and characterize these nano-sized vesicles is crucial to make use of exosomes as a reliable biomarker for clinical applications. However, current methods are mostly technically challenging and time-consuming which prevents them from being adopted in clinical practice. In this work, we have developed a rapid sensitive platform for exosome detection and quantification by employing MoS2-multiwall carbon nanotubes as a fluorescence quenching material. This exosome biosensor shows a sensitive and selective biomarker detection. Using this MoS2-MWCNT based fluorometric nanosensor to analyze exosomes derived from MCF-7 breast cancer cells, we found that CD63 expression could be measured based on the retrieved fluorescence of the fluorophore with a good linear response range of 0-15% v/v. In addition, this nanosensing technique is able to quantify exosomes with different surface biomarker expressions and has revealed that exosomes secreted from MCF-7 breast cancer cells have a higher CD24 expression compared to CD63 and CD81.</t>
  </si>
  <si>
    <t>[Tayebi, Mahnoush; Yang, Hui Ying; Ai, Ye] Singapore Univ Technol &amp; Design, Pillar Engn Prod Dev, 8 Somapah Rd, Singapore 487372, Singapore; [Yaraki, Mohammad Tavakkoli] Natl Univ Singapore, Dept Chem &amp; Biomol Engn, 4 Engn Dr 4, Singapore 117585, Singapore; [Yaraki, Mohammad Tavakkoli] ASTAR, Inst Mat Res &amp; Engn, 2 Fusionopolis Way, Singapore 138634, Singapore</t>
  </si>
  <si>
    <t>Singapore University of Technology &amp; Design; National University of Singapore; Agency for Science Technology &amp; Research (ASTAR); Institute of Materials Research &amp; Engineering (IMRE)</t>
  </si>
  <si>
    <t>Ai, Y (corresponding author), Singapore Univ Technol &amp; Design, Pillar Engn Prod Dev, 8 Somapah Rd, Singapore 487372, Singapore.</t>
  </si>
  <si>
    <t>aiye@sutd.edu.sg</t>
  </si>
  <si>
    <t>Yaraki, Mohammad Tavakkoli/M-4254-2019; Yang, Hui Ying/B-5458-2011; Ai, Ye/F-3411-2011</t>
  </si>
  <si>
    <t>Yaraki, Mohammad Tavakkoli/0000-0002-6987-7885; Yang, Hui Ying/0000-0002-2244-8231; Ai, Ye/0000-0001-8638-1649</t>
  </si>
  <si>
    <t>2516-0230</t>
  </si>
  <si>
    <t>10.1039/c9na00248k</t>
  </si>
  <si>
    <t>WOS:000479061800048</t>
  </si>
  <si>
    <t>Marcoux, G; Duchez, AC; Rousseau, M; Levesque, T; Boudreau, LH; Thibault, L; Boilard, E</t>
  </si>
  <si>
    <t>Marcoux, Genevieve; Duchez, Anne-Claire; Rousseau, Matthieu; Levesque, Tania; Boudreau, Luc H.; Thibault, Louis; Boilard, Eric</t>
  </si>
  <si>
    <t>Microparticle and mitochondrial release during extended storage of different types of platelet concentrates</t>
  </si>
  <si>
    <t>Microparticles; mitochondria; platelet concentrates; SPADE; storage; transfusion</t>
  </si>
  <si>
    <t>ACTIVATED PLATELETS; MEMBRANE-VESICLES; CYTOMETRY DATA; RICH PLASMA; DNA LEVELS; IN-VIVO; NEUTROPHILS; APHERESIS; COMPONENTS; CELLS</t>
  </si>
  <si>
    <t>On activation, platelets release vesicles called microparticles (MPs). MPs are heterogeneous with regard to the presence or absence of mitochondria. We quantified MPs in platelet concentrates (PCs) taking their mitochondrial content into account. Platelet-rich plasma (PRP), buffy coat (BC) and apheresis (AP) PCs were tested through 7 days of storage. A combination of flow cytometry and spanning-tree progression analysis of density-normalized events (SPADE) was used to determine MP and mitochondrial release during storage. All the PC biochemical parameters complied with transfusion standards at all times. Platelet activation markers increased during storage and were higher for PRP than other types of PCs. Concentrations of MPs and extracellular mitochondria interpreted by SPADE algorithm were significantly higher in PRP than other in PCs and were stable throughout storage. The mode of preparation, rather than storage duration, impacts the release of MPs and mitochondria in PCs.</t>
  </si>
  <si>
    <t>[Marcoux, Genevieve; Duchez, Anne-Claire; Rousseau, Matthieu; Levesque, Tania; Boudreau, Luc H.; Thibault, Louis; Boilard, Eric] Univ Laval, Fac Med, Ctr Hosp Univ Quebec, Ctr Rech Rhumatol &amp; Immunol,Ctr Rech, 2705 Laurier,Room T1-49, Quebec City, PQ G1V 4G2, Canada; [Marcoux, Genevieve; Thibault, Louis] Hema Quebec, Res &amp; Dev, Quebec City, PQ, Canada</t>
  </si>
  <si>
    <t>Laval University; Hema-Quebec</t>
  </si>
  <si>
    <t>Boilard, E (corresponding author), Univ Laval, Fac Med, Ctr Hosp Univ Quebec, Ctr Rech Rhumatol &amp; Immunol,Ctr Rech, 2705 Laurier,Room T1-49, Quebec City, PQ G1V 4G2, Canada.</t>
  </si>
  <si>
    <t>Duchez, anne-claire/AAK-5041-2020; Rousseau, Matthieu/AAA-5385-2022</t>
  </si>
  <si>
    <t>Rousseau, Matthieu/0000-0002-2895-2957</t>
  </si>
  <si>
    <t>10.1080/09537104.2016.1218455</t>
  </si>
  <si>
    <t>WOS:000400794900010</t>
  </si>
  <si>
    <t>Fatima, N; Gromnicova, R; Loughlin, J; Sharrack, B; Male, D</t>
  </si>
  <si>
    <t>Fatima, Nayab; Gromnicova, Radka; Loughlin, Jane; Sharrack, Basil; Male, David</t>
  </si>
  <si>
    <t>Gold nanocarriers for transport of oligonucleotides across brain endothelial cells</t>
  </si>
  <si>
    <t>CELLULAR UPTAKE; NANOPARTICLES; DELIVERY; BARRIER; SIZE; THERAPY</t>
  </si>
  <si>
    <t>Treatment of diseases that affect the CNS by gene therapy requires delivery of oligonucleotides to target cells within the brain. As the blood brain barrier prevents movement of large biomolecules, current approaches involve direct injection of the oligonucleotides, which is invasive and may have only a localised effect. The aim of this study was to investigate the potential of 2 nm galactose-coated gold nanoparticles (NP-Gal) as a delivery system of oligonucleotides across brain endothelium. DNA oligonucleotides of different types were attached to NP-Gal by the place exchange reaction and were characterised by EMSA (electrophoretic mobility shift assay). Several nanoparticle formulations were created, with single- or double-stranded (20nt or 40nt) DNA oligonucleotides, or with different amounts of DNA attached to the carriers. These nanocarriers were applied to transwell cultures of human brain endothelium in vitro (hCMEC/D3 cell-line) or to a 3D-hydrogel model of the blood-brain barrier including astrocytes. Transfer rates were measured by quantitative electron microscopy for the nanoparticles and qPCR for DNA. Despite the increase in nanoparticle size caused by attachment of oligonucleotides to the NP-Gal carrier, the rates of endocytosis and transcytosis of nanoparticles were both considerably increased when they carried an oligonucleotide cargo. Carriers with 40nt dsDNA were most efficient, accumulating in vesicles, in the cytosol and beneath the basal membrane of the endothelium. The oligonucleotide cargo remained attached to the nanocarriers during transcytosis and the transport rate across the endothelial cells was increased at least 50fold compared with free DNA. The nanoparticles entered the extracellular matrix and were taken up by the astrocytes in biologically functional amounts. Attachment of DNA confers a strong negative charge to the nanoparticles which may explain the enhanced binding to the endothelium and transcytosis by both vesicular transport and the transmembrane/cytosol pathway. These gold nanoparticles have the potential to transport therapeutic amounts of nucleic acids into the CNS.</t>
  </si>
  <si>
    <t>[Fatima, Nayab; Gromnicova, Radka; Loughlin, Jane; Male, David] Open Univ, Dept Life Hlth &amp; Chem Sci, Milton Keynes, Bucks, England; [Sharrack, Basil] Univ Sheffield, NIHR Translat Neurosci BRC, Acad Dept Neurosci &amp; Sheffield, Sheffield Teaching Hosp,NHS Fdn Trust, Sheffield, S Yorkshire, England</t>
  </si>
  <si>
    <t>Open University - UK; Oxford University Hospitals NHS Foundation Trust; University of Sheffield</t>
  </si>
  <si>
    <t>Male, D (corresponding author), Open Univ, Dept Life Hlth &amp; Chem Sci, Milton Keynes, Bucks, England.</t>
  </si>
  <si>
    <t>David.Male@open.ac.uk</t>
  </si>
  <si>
    <t>Loughlin, Alison/0000-0003-4769-3740; Male, David/0000-0002-1242-3137</t>
  </si>
  <si>
    <t>SEP 17</t>
  </si>
  <si>
    <t>e0236611</t>
  </si>
  <si>
    <t>10.1371/journal.pone.0236611</t>
  </si>
  <si>
    <t>WOS:000573848800012</t>
  </si>
  <si>
    <t>Lu, YX; Tong, ZD; Wu, ZH; Jian, XY; Zhou, L; Qiu, SH; Shen, CJ; Yin, H; Mao, HJ</t>
  </si>
  <si>
    <t>Lu, Yunxing; Tong, Zhaoduo; Wu, Zhenhua; Jian, Xiaoyu; Zhou, Lin; Qiu, Shihui; Shen, Chuanjie; Yin, Hao; Mao, Hongju</t>
  </si>
  <si>
    <t>Multiple exosome RNA analysis methods for lung cancer diagnosis through integrated on-chip microfluidic system</t>
  </si>
  <si>
    <t>Exosome; Integrated processing; RNA analysis; Microfluidics; Droplet digital PCR</t>
  </si>
  <si>
    <t>PCR; QUANTIFICATION; BIOGENESIS; KRAS</t>
  </si>
  <si>
    <t>Exosomes are now raising focus as a prospective biomarker for cancer diagnostics and prognosis owing to its unique bio-origin and composition. Exosomes take part in cellular communication and receptor mediation and transfer their cargos (e.g., proteins, mRNA and DNA). Quantitative analysis of tumor-related nucleic acid mutations can be a potential method to cancer diagnosis and prognosis in early stages. Here we present an integrated microfluidic system for exosome on-chip isolation and lung cancer RNA analysis through droplet digital PCR (ddPCR). Gradient dilution experiments show great linearity over a large concentration range with R-2 = 0.9998. Utilizing the system, four cell lines and two mutation targets were parallelly detected for mutation analysis. The experiments demonstrated mutation heterogeneity and the results were agree with cell researches. These results proved our integrated microfluidic system as a promising means for early cancer diagnosis and prognosis in the era of liquid biopsy. (C) 2021 Published by Elsevier B.V. on behalf of Chinese Chemical Society and Institute of Materia Medica, Chinese Academy of Medical Sciences.</t>
  </si>
  <si>
    <t>[Lu, Yunxing; Tong, Zhaoduo; Wu, Zhenhua; Jian, Xiaoyu; Zhou, Lin; Qiu, Shihui; Shen, Chuanjie; Yin, Hao; Mao, Hongju] Chinese Acad Sci, Shanghai Inst Microsyst &amp; Informat Technol, State Key Lab Transducer Technol, Shanghai 200050, Peoples R China; [Lu, Yunxing; Tong, Zhaoduo; Qiu, Shihui; Shen, Chuanjie; Yin, Hao; Mao, Hongju] Univ Chinese Acad Sci, Ctr Mat Sci &amp; Optoelect Engn, Beijing 100049, Peoples R China</t>
  </si>
  <si>
    <t>Chinese Academy of Sciences; Shanghai Institute of Microsystem &amp; Information Technology, CAS; Chinese Academy of Sciences; University of Chinese Academy of Sciences, CAS</t>
  </si>
  <si>
    <t>Mao, HJ (corresponding author), Univ Chinese Acad Sci, Ctr Mat Sci &amp; Optoelect Engn, Beijing 100049, Peoples R China.</t>
  </si>
  <si>
    <t>hjmao@mail.sim.ac.cn</t>
  </si>
  <si>
    <t>10.1016/j.cclet.2021.12.045</t>
  </si>
  <si>
    <t>WOS:000800344000070</t>
  </si>
  <si>
    <t>Ma, CQ; Xu, W; Yang, QY; Liu, WY; Xiang, Q; Chen, JB; Zhang, Q; Liu, YL; Wu, KL; Wu, JG</t>
  </si>
  <si>
    <t>Ma, Chunqiang; Xu, Wei; Yang, Qingyu; Liu, Weiyong; Xiang, Qi; Chen, Junbo; Zhang, Qi; Liu, Yingle; Wu, Kailang; Wu, Jianguo</t>
  </si>
  <si>
    <t>Osteopetrosis-Associated Transmembrane Protein 1 Recruits RNA Exosome To Restrict Hepatitis B Virus Replication</t>
  </si>
  <si>
    <t>hepatitis B virus; HBV; osteopetrosis-associated transmembrane protein 1; Ostm1; RNA exosome complex; hepatitis B e antigen; HbeAg; hepatitis B surface antigen; HbsAg; exonuclease; EXO; HBV RNA degradation; HBV core-associated DNA; HBV 3.5-kb and 2.4/2.1-kb RNAs</t>
  </si>
  <si>
    <t>AUTOSOMAL RECESSIVE OSTEOPETROSIS; GENE-EXPRESSION; MESSENGER-RNAS; HUMAN LA; OSTM1; TRANSCRIPTION; INTERACTS; MOUSE; DEGRADATION; INHIBITION</t>
  </si>
  <si>
    <t>Hepatitis B virus (HBV) chronically infects approximately 350 million people worldwide, and 600,000 deaths are caused by HBV-related hepatic failure, liver cirrhosis, and hepatocellular carcinoma annually. It is important to reveal the mechanism underlying the regulation of HBV replication. This study demonstrated that osteopetrosis-associated transmembrane protein 1 (Ostm1) plays an inhibitory role in HBV replication. Ostm1 represses the levels of HBeAg and HBsAg proteins, HBV 3.5-kb and 2.4/2.1-kb RNAs, and core-associated DNA in HepG2, Huh7, and NTCP-HepG2 cells. Notably, Ostm1 has no direct effect on the activity of HBV promoters or the transcription of HBV RNAs; instead, Ostm1 binds to HBV RNA to facilitate RNA decay. Detailed studies further demonstrated that Ostm1 binds to and recruits the RNA exosome complex to promote the degradation of HBV RNAs, and knockdown of the RNA exosome component exonuclease 3 (Exosc3) leads to the elimination of Ostm1-mediated repression of HBV replication. Mutant analyses revealed that the N-terminal domain, the transmembrane domain, and the C-terminal domain are responsible for the repression of HBV replication, and the C-terminal domain is required for interaction with the RNA exosome complex. Moreover, Ostm1 production is not regulated by interferon-alpha (IFN-alpha) or IFN-gamma, and the expression of IFN signaling components is not affected by Ostm1, suggesting that Ostm1 anti-HBV activity is independent of the IFN signaling pathway. In conclusion, this study revealed a distinct mechanism underlying the repression of HBV replication, in which Ostm1 binds to HBV RNA and recruits RNA exosomes to degrade viral RNA, thereby restricting HBV replication. IMPORTANCE Hepatitis B virus (HBV) is a human pathogen infecting the liver to cause a variety of diseases ranging from acute hepatitis to advanced liver diseases, fulminate hepatitis, liver cirrhosis, and hepatocellular carcinoma, thereby causing a major health problem worldwide. In this study, we demonstrated that Ostm1 plays an inhibitory role in HBV protein production, RNA expression, and DNA replication. However, Ostm1 has no effect on the activities of the four HBV promoters; instead, it binds to HBV RNA and recruits RNA exosomes to promote HBV RNA degradation. We further demonstrated that the anti-HBV activity of Ostm1 is independent of the interferon signaling pathway. In conclusion, this study reveals a distinct mechanism underlying the repression of HBV replication and suggests that Ostm1 is a potential therapeutic agent for HBV infection.</t>
  </si>
  <si>
    <t>[Ma, Chunqiang; Xu, Wei; Yang, Qingyu; Liu, Weiyong; Xiang, Qi; Chen, Junbo; Zhang, Qi; Liu, Yingle; Wu, Kailang; Wu, Jianguo] Wuhan Univ, Coll Life Sci, State Key Lab Virol, Wuhan, Peoples R China; [Liu, Yingle; Wu, Jianguo] Jinan Univ, Inst Med Microbiol, Guangdong Key Lab Virol, Guangzhou, Peoples R China</t>
  </si>
  <si>
    <t>Wuhan University; Jinan University</t>
  </si>
  <si>
    <t>Wu, KL; Wu, JG (corresponding author), Wuhan Univ, Coll Life Sci, State Key Lab Virol, Wuhan, Peoples R China.;Wu, JG (corresponding author), Jinan Univ, Inst Med Microbiol, Guangdong Key Lab Virol, Guangzhou, Peoples R China.</t>
  </si>
  <si>
    <t>wukailang@whu.edu.cn; jwu@whu.edu.cn</t>
  </si>
  <si>
    <t>Wu, Jianguo/0000-0002-8326-2895; Xu, Wei/0000-0001-5227-8651</t>
  </si>
  <si>
    <t>e01800-19</t>
  </si>
  <si>
    <t>10.1128/JVI.01800-19</t>
  </si>
  <si>
    <t>WOS:000534602800019</t>
  </si>
  <si>
    <t>Behrmann, A; Zhong, DL; Li, L; Cheng, SL; Mead, M; Ramachandran, B; Sabaeifard, P; Goodarzi, M; Lemoff, A; Kronenberg, HM; Towler, DA</t>
  </si>
  <si>
    <t>Behrmann, Abraham; Zhong, Dalian; Li, Li; Cheng, Su-Li; Mead, Megan; Ramachandran, Bindu; Sabaeifard, Parastoo; Goodarzi, Mohammad; Lemoff, Andrew; Kronenberg, Henry M.; Towler, Dwight A.</t>
  </si>
  <si>
    <t>PTH/PTHrP Receptor Signaling Restricts Arterial Fibrosis in Diabetic LDLR-/- Mice by Inhibiting Myocardin-Related Transcription Factor Relays</t>
  </si>
  <si>
    <t>arteriosclerosis; cardiovascular diseases; collagen; fibrosis; transcription factors</t>
  </si>
  <si>
    <t>SERUM RESPONSE FACTOR; PARATHYROID-HORMONE; PRIMARY HYPERPARATHYROIDISM; ARTERIOSCLEROTIC CALCIFICATION; AORTIC FIBROSIS; GENE-EXPRESSION; AUDIT RESEARCH; ACTIVATION; IDENTIFICATION; STIFFNESS</t>
  </si>
  <si>
    <t>Rationale: The PTH1R (PTH [parathyroid hormone]/PTHrP [PTH-related protein] receptor) is expressed in vascular smooth muscle (VSM) and increased VSM PTH1R signaling mitigates diet-induced arteriosclerosis in LDLR-/- mice. Objective: To study the impact of VSM PTH1R deficiency, we generated mice SM22-Cre:PTH1R(fl/fl);LDLR-/- mice (PTH1R-VKO) and Cre-negative controls. Methods and Results: Immunofluorescence and Western blot confirmed PTH1R expression in arterial VSM that was reduced by Cre-mediated knockout. PTH1R-VKO cohorts exhibited increased aortic collagen accumulation in vivo, and VSM cultures from PTH1R-VKO mice elaborated more collagen (2.5-fold; P=0.01) with elevated Col3a1 and Col1a1 expression. To better understand these profibrotic responses, we performed mass spectrometry on nuclear proteins extracted from Cre-negative controls and PTH1R-VKO VSM. PTH1R deficiency reduced Gata6 but upregulated the MADS (MCM1, Agamous, Deficiens, and Srf DNA-binding domain)-box transcriptional co-regulator, Mkl-1 (megakaryoblastic leukemia [translocation] 1). Co-transfection assays (Col3a1 promoter-luciferase reporter) confirmed PTH1R-mediated inhibition and Mkl-1-mediated activation of Col3a1 transcription. Regulation mapped to a conserved hybrid CT(A/T)(6)GG MADS-box cognate in the Col3a1 promoter. Mutations of C/G in this motif markedly reduced Col3a1 transcriptional regulation by PTH1R and Mkl-1. Upregulation of Col3a1 and Col1a1 in PTH1R-VKO VSM was inhibited by small interfering RNA targeting Mkl1 and by treatment with the Mkl-1 antagonist CCG1423 or the Rock (Rho-associated coiled-coil containing protein kinase)-2 inhibitor KD025. Chromatin precipitation demonstrated that VSM PTH1R deficiency increased Mkl-1 binding to Col3a1 and Col1a1, but not TNF, promoters. Proteomic studies of plasma extracellular vesicles and VSM from PTH1R-VKO mice identified C1r (complement component 1, r) and C1s (complement component 1, s), complement proteins involved in vascular collagen metabolism, as potential biomarkers. VSM C1r protein and C1r message were increased with PTH1R deficiency, mediated by Mkl-1-dependent transcription and inhibited by CCG1423 or KD025. Conclusions: PTH1R signaling restricts collagen production in the VSM lineage, in part, via Mkl-1 regulatory circuits that control collagen gene transcription. Strategies that maintain homeostatic VSM PTH1R signaling, as reflected in extracellular vesicle biomarkers of VSM PTH1R/Mkl-1 action, may help mitigate arteriosclerosis and vascular fibrosis.</t>
  </si>
  <si>
    <t>[Behrmann, Abraham; Zhong, Dalian; Li, Li; Cheng, Su-Li; Mead, Megan; Ramachandran, Bindu; Sabaeifard, Parastoo; Towler, Dwight A.] UT Southwestern Med Ctr, Endocrine Div, Internal Med, 5323 Harry Hines Blvd, Dallas, TX 75390 USA; [Goodarzi, Mohammad; Lemoff, Andrew] UT Southwestern Med Ctr, Biochem, Dallas, TX 75390 USA; [Kronenberg, Henry M.] Harvard Med Sch, Massachusetts Gen Hosp, Endocrine Unit, Boston, MA 02115 USA</t>
  </si>
  <si>
    <t>University of Texas System; University of Texas Southwestern Medical Center Dallas; University of Texas System; University of Texas Southwestern Medical Center Dallas; Harvard University; Harvard Medical School; Massachusetts General Hospital</t>
  </si>
  <si>
    <t>Towler, DA (corresponding author), UT Southwestern Med Ctr, Endocrine Div, Internal Med, 5323 Harry Hines Blvd, Dallas, TX 75390 USA.</t>
  </si>
  <si>
    <t>dwight.towler@utsouthwestern.edu</t>
  </si>
  <si>
    <t>Sabaeifard, Parastoo/0000-0002-1057-5858; Lemoff, Andrew/0000-0002-4943-0170; Towler, Dwight/0000-0003-2107-7923</t>
  </si>
  <si>
    <t>10.1161/CIRCRESAHA.119.316141</t>
  </si>
  <si>
    <t>WOS:000533878100014</t>
  </si>
  <si>
    <t>Zhao, ZL; Zhou, Y; Hilton, T; Li, FJ; Han, C; Liu, L; Yuan, HJ; Li, Y; Xu, X; Wu, XP; Zhang, FY; Thiagarajan, P; Cap, A; Shi, FD; Zhang, JN; Dong, JF</t>
  </si>
  <si>
    <t>Zhao, Zilong; Zhou, Yuan; Hilton, Tristan; Li, Fanjian; Han, Cha; Liu, Li; Yuan, Hengjie; Li, Ying; Xu, Xin; Wu, Xiaoping; Zhang, Fangyi; Thiagarajan, Perumal; Cap, Andrew; Shi, Fu-Dong; Zhang, Jianning; Dong, Jing-fei</t>
  </si>
  <si>
    <t>Extracellular mitochondria released from traumatized brains induced platelet procoagulant activity</t>
  </si>
  <si>
    <t>HAEMATOLOGICA</t>
  </si>
  <si>
    <t>STROMAL CELLS; INJURY; CD36; COAGULOPATHY; ACTIVATION; STRESS; DNA; PHOSPHATIDYLSERINE; MICROPARTICLES; CONTRIBUTES</t>
  </si>
  <si>
    <t>Coagulopathy often develops soon after acute traumatic brain injury and its cause remains poorly understood. We have shown that injured brains release cellular microvesicles that disrupt the endothelial barrier and induce consumptive coagulopathy. Morphologically intact extracellular mitochondria accounted for 55.2% of these microvesicles, leading to the hypothesis that these extracellular mitochondria are metabolically active and serve as a source of oxidative stress that activates platelets and renders them procoagulant. In testing this hypothesis experimentally, we found that the extracellular mitochondria purified from brain trauma mice and those released from brains subjected to freeze-thaw injury remained metabolically active and produced reactive oxygen species. These extracellular mitochondria bound platelets through the phospholipid-CD36 interaction and induced alpha-granule secretion, microvesiculation, and procoagulant activity in an oxidant-dependent manner, but failed to induce aggregation. These results define an extracellular mitochondria-induced and redox-dependent intermediate phenotype of platelets that contribute to the pathogenesis of traumatic brain injury-induced coagulopathy and inflammation.</t>
  </si>
  <si>
    <t>[Zhao, Zilong; Zhou, Yuan; Hilton, Tristan; Han, Cha; Xu, Xin; Wu, Xiaoping; Dong, Jing-fei] BloodWorks Res Inst, Seattle, WA 98102 USA; [Zhao, Zilong; Zhou, Yuan; Li, Fanjian; Liu, Li; Yuan, Hengjie; Li, Ying; Shi, Fu-Dong; Zhang, Jianning] Tianjin Med Univ, Gen Hosp, Tianjin Inst Neurol, Dept Neurosurg, Tianjin, Peoples R China; [Zhao, Zilong; Zhou, Yuan; Li, Fanjian; Liu, Li; Yuan, Hengjie; Li, Ying; Shi, Fu-Dong; Zhang, Jianning] Tianjin Med Univ, Gen Hosp, Tianjin Inst Neurol, Dept Neurol, Tianjin, Peoples R China; [Zhang, Fangyi] Univ Washington, Sch Med, Dept Neurosurg, Seattle, WA USA; [Thiagarajan, Perumal] Michael E DeBakey VA Med Ctr, Dept Med, Houston, TX USA; [Thiagarajan, Perumal] Michael E DeBakey VA Med Ctr, Dept Pathol, Houston, TX USA; [Thiagarajan, Perumal] Baylor Coll Med, Houston, TX 77030 USA; [Cap, Andrew] US Army Inst Surg Res, San Antonio, TX USA; [Shi, Fu-Dong] St Josephs Hosp, Barrow Neurol Inst, Dept Neurol, Phoenix, AZ USA; [Dong, Jing-fei] Univ Washington, Sch Med, Dept Med, Div Hematol, Seattle, WA 98195 USA</t>
  </si>
  <si>
    <t>Tianjin Medical University; Tianjin Medical University; University of Washington; University of Washington Seattle; Baylor College of Medicine; Baylor College of Medicine; Baylor College of Medicine; United States Department of Defense; United States Army; Barrow Neurological Institute; St. Joseph's Hospital and Medical Center; University of Washington; University of Washington Seattle</t>
  </si>
  <si>
    <t>Dong, JF (corresponding author), BloodWorks Res Inst, Seattle, WA 98102 USA.;Zhang, JN (corresponding author), Tianjin Med Univ, Gen Hosp, Tianjin Inst Neurol, Dept Neurosurg, Tianjin, Peoples R China.;Zhang, JN (corresponding author), Tianjin Med Univ, Gen Hosp, Tianjin Inst Neurol, Dept Neurol, Tianjin, Peoples R China.;Dong, JF (corresponding author), Univ Washington, Sch Med, Dept Med, Div Hematol, Seattle, WA 98195 USA.</t>
  </si>
  <si>
    <t>jianningzhang@hotmail.com; jfdong@bloodworksnw.org</t>
  </si>
  <si>
    <t>Zhao, Zilong/AAZ-2196-2020</t>
  </si>
  <si>
    <t>0390-6078</t>
  </si>
  <si>
    <t>10.3324/haematol.2018.214932</t>
  </si>
  <si>
    <t>WOS:000505041200036</t>
  </si>
  <si>
    <t>Sun, JY; Wang, X; Zha, JM; Li, W; Li, DM; Xu, H</t>
  </si>
  <si>
    <t>Sun Jingyue; Wang Xiao; Zha Juanmin; Li Wei; Li Daoming; Xu Hong</t>
  </si>
  <si>
    <t>TFAP2E methylation promotes 5-fluorouracil resistance via exosomal miR-106a-5p and miR-421 in gastric cancer MGC-803 cells</t>
  </si>
  <si>
    <t>gastric cancer; chemoresistance; TFAP2E; miRNA</t>
  </si>
  <si>
    <t>DNA METHYLATION; CHEMORESISTANCE; BIOMARKERS; EXPRESSION; MICRORNAS; REVERSES; PATHWAY; BCL-2</t>
  </si>
  <si>
    <t>Hypermethylation of transcription factor activating enhancer-binding protein 2e (TFAP2E) has been reported to be associated with chemoresistance to 5-fluorouracil (5-FU) in gastric cancer (GC). In the present study, the molecular mechanism governing this chemoresistance was investigated. Drug-resistant human GC MGC-803/5-FU cells were established and TFAP2E expression and methylation levels were assessed. Autocrine exosomes from GC culture medium were isolated and characterized. MicroRNA (miRNA) microarray analysis was used to determine the miRNA expression profile of GC cell-derived exosomes. Exosomes collected from MGC-803/5-FU cells were co-cultured with control cells, and 5-Aza-2 '-deoxycytidine (5Aza) was added into MGC-803/5-FU cells to investigate the relationship between TFAP2E, exosomes and chemosensitivity. In the present study, it was demonstrated that hypermethylation of TFAP2E resulted in its reduced expression and 5-FU chemoresistance in GC cells. miRNAs miR-106a-5p and miR-421 were highly expressed and regulated the chemoresistance induced by TFAP2E methylation. Target gene prediction using miRBase, TargetScan and PicTar revealed that E2F1, MTOR and STAT3 may be TFAP2E target genes in GC. Collectively, our data support an important role of exosomes and exosomal miRNAs in TFAP2E methylation-induced chemoresistance to 5-FU in GC. These results highlight their potential for miRNA-based therapeutics.</t>
  </si>
  <si>
    <t>[Sun Jingyue; Zha Juanmin; Li Wei; Li Daoming; Xu Hong] Soochow Univ, Affiliated Hosp 1, Dept Oncol, 899 Pinghai Rd, Suzhou 215006, Jiangsu, Peoples R China; [Wang Xiao] Soochow Univ, Affiliated Hosp 2, Dept Orthopaed, Suzhou 215004, Jiangsu, Peoples R China</t>
  </si>
  <si>
    <t>Soochow University - China; Soochow University - China</t>
  </si>
  <si>
    <t>Xu, H (corresponding author), Soochow Univ, Affiliated Hosp 1, Dept Oncol, 899 Pinghai Rd, Suzhou 215006, Jiangsu, Peoples R China.</t>
  </si>
  <si>
    <t>13301549066@163.com</t>
  </si>
  <si>
    <t>10.3892/mmr.2019.10237</t>
  </si>
  <si>
    <t>WOS:000474876100036</t>
  </si>
  <si>
    <t>Kellner-Weibel, G; Geng, YJ; Rothblat, GH</t>
  </si>
  <si>
    <t>Cytotoxic cholesterol is generated by the hydrolysis of cytoplasmic cholesteryl ester and transported to the plasma membrane</t>
  </si>
  <si>
    <t>ATHEROSCLEROSIS</t>
  </si>
  <si>
    <t>cytotoxic cholesterol; hydrolysis; cytoplasmic cholesteryl ester; plasma membrane; foam cell</t>
  </si>
  <si>
    <t>LOW-DENSITY LIPOPROTEIN; ACYL-COENZYME-A; ATHEROSCLEROTIC LESIONS; ENDOPLASMIC-RETICULUM; OXYGENATED STEROLS; CELL CHOLESTEROL; BINDING-SITE; DEGRADATION; MACROPHAGES; ACCUMULATION</t>
  </si>
  <si>
    <t>The present study examines the fate and effects of free cholesterol (FC) generated by the hydrolysis of cytoplasmic cholesteryl esters (CE) in model macrophage foam cells. J774 or elicited mouse peritoneal macrophages (MPM) were enriched with CE by incubating with acetylated low density lipoprotein (acLDL) and FC/phospholipid dispersions, thus creating model foam cells. Treatment of the foam cells with the acyl coenzyme-A:cholesterol acyltransferase (ACAT) inhibitor, CP-113,818, in the absence of any extracellular cholesterol accepters, resulted in cellular toxicity. This was accompanied by an increase in the amount of FC available for oxidation by an exogenous cholesterol oxidase. Furthermore, cellular toxicity was proportional to the size of the oxidase susceptible pool of FC over time. Morphological analysis and in situ DNA fragmentation assay demonstrated the occurrence of apoptosis in the ACAT inhibited cells. Go-treatment with the hydrophobic amine U18666A, an intracellular cholesterol transport inhibitor, led to a dose dependent reduction in cytotoxicity and apoptosis, and blocked the movement of FC into the oxidase susceptible pool. In addition, treating model foam cells with CP-113,818 plus chloroquine, a compound that inhibits the function of acidic vesicles, also diminished cellular toxicity. Staining with the cholesterol binding dye filipin revealed that the macrophages treated with CP-113,818 contained a cholesterol oxidase accessible pool of FC in the plasma membrane. These results suggest that FC generated by the hydrolysis of cytoplasmic CE is transported through acidic vesicles to the plasma membrane, and accumulation of FC in this pool triggers cell death by necrosis and apoptosis. (C) 1999 Elsevier Science II eland Ltd. All rights reserved.</t>
  </si>
  <si>
    <t>Med Coll Penn &amp; Hahnemann Univ, Dept Biochem, Philadelphia, PA 19129 USA; Allegheny Gen Hosp, Cardiovasc &amp; Pulm Res Inst, Pittsburgh, PA 15212 USA</t>
  </si>
  <si>
    <t>Drexel University; Allegheny General Hospital</t>
  </si>
  <si>
    <t>Rothblat, GH (corresponding author), Med Coll Penn &amp; Hahnemann Univ, Dept Biochem, 2900 Queen Lane, Philadelphia, PA 19129 USA.</t>
  </si>
  <si>
    <t>0021-9150</t>
  </si>
  <si>
    <t>10.1016/S0021-9150(99)00155-0</t>
  </si>
  <si>
    <t>Cardiac &amp; Cardiovascular Systems; Peripheral Vascular Disease</t>
  </si>
  <si>
    <t>WOS:000082830100012</t>
  </si>
  <si>
    <t>Ting, K; Aitken, KJ; Penna, F; Samiei, AN; Sidler, M; Jiang, JX; Ibrahim, F; Tolg, C; Delgado-Olguin, P; Rosenblum, N; Bagli, DJ</t>
  </si>
  <si>
    <t>Ting, Kenneth; Aitken, Karen J.; Penna, Frank; Samiei, Alaleh Najdi; Sidler, Martin; Jiang, Jia-Xin; Ibrahim, Fadi; Tolg, Cornelia; Delgado-Olguin, Paul; Rosenblum, Norman; Baegli, Darius J.</t>
  </si>
  <si>
    <t>Uropathogenic E.coli (UPEC) Infection Induces Proliferation through Enhancer of Zeste Homologue 2 (EZH2)</t>
  </si>
  <si>
    <t>URINARY-TRACT-INFECTION; ESCHERICHIA-COLI; EPIGENETIC REGULATION; PERSISTENCE; MECHANISMS; CELLS; HOST</t>
  </si>
  <si>
    <t>Host-pathogen interactions can induce epigenetic changes in the host directly, as well as indirectly through secreted factors. Previously, uropathogenic Escherichia coli (UPEC) was shown to increase DNA methyltransferase activity and expression, which was associated with methylation-dependent alterations in the urothelial expression of CDKN2A. Here, we showed that paracrine factors from infected cells alter expression of another epigenetic writer, EZH2, coordinate with proliferation. Urothelial cells were inoculated with UPEC, UPEC derivatives, or vehicle (mock infection) at low moi, washed, then maintained in media with Gentamycin. Urothelial conditioned media (CM) and extracellular vesicles (EV) were isolated after the inoculations and used to treat naive urothelial cells. EZH2 increased with UPEC infection, inoculation-induced CM, and inoculation-induced EV vs. parallel stimulation derived from mock-inoculated urothelial cells. We found that infection also increased proliferation at one day post-infection, which was blocked by the EZH2 inhibitor UNC1999. Inhibition of demethylation at H3K27me3 had the opposite effect and augmented proliferation. CONCLUSION: Uropathogen-induced paracrine factors act epigenetically by altering expression of EZH2, which plays a key role in early host cell proliferative responses to infection.</t>
  </si>
  <si>
    <t>[Ting, Kenneth; Baegli, Darius J.] Univ Toronto, Fac Arts &amp; Sci, Toronto, ON, Canada; [Ting, Kenneth; Sidler, Martin; Baegli, Darius J.] Univ Toronto, Fac Med, Inst Med Sci, Toronto, ON, Canada; [Aitken, Karen J.; Samiei, Alaleh Najdi; Sidler, Martin; Jiang, Jia-Xin; Ibrahim, Fadi; Tolg, Cornelia; Delgado-Olguin, Paul; Rosenblum, Norman; Baegli, Darius J.] Hosp Sick Children, Res Inst, Dev &amp; Stem Cell Biol Program, 555 Univ Ave, Toronto, ON M5G 1X8, Canada; [Aitken, Karen J.; Samiei, Alaleh Najdi; Sidler, Martin; Jiang, Jia-Xin; Ibrahim, Fadi; Tolg, Cornelia; Delgado-Olguin, Paul; Rosenblum, Norman; Baegli, Darius J.] Hosp Sick Children, Dept Surg, Div Urol, 555 Univ Ave, Toronto, ON M5G 1X8, Canada; [Delgado-Olguin, Paul] Hosp Sick Children, Res Inst, Physiol &amp; Expt Med, 555 Univ Ave, Toronto, ON M5G 1X8, Canada; [Rosenblum, Norman] Hosp Sick Children, Dept Surg, Div Nephrol, 555 Univ Ave, Toronto, ON M5G 1X8, Canada</t>
  </si>
  <si>
    <t>University of Toronto; University of Toronto; University of Toronto; Hospital for Sick Children (SickKids); University of Toronto; Hospital for Sick Children (SickKids); University of Toronto; Hospital for Sick Children (SickKids); University of Toronto; Hospital for Sick Children (SickKids)</t>
  </si>
  <si>
    <t>Aitken, KJ (corresponding author), Hosp Sick Children, Res Inst, Dev &amp; Stem Cell Biol Program, 555 Univ Ave, Toronto, ON M5G 1X8, Canada.;Aitken, KJ (corresponding author), Hosp Sick Children, Dept Surg, Div Urol, 555 Univ Ave, Toronto, ON M5G 1X8, Canada.</t>
  </si>
  <si>
    <t>kjaitken@sickkids.ca</t>
  </si>
  <si>
    <t>Rosenblum, Norman D/H-4737-2015; Aitken, KJ/AAC-5383-2019; Olguin, Paul Delgado/H-9293-2019</t>
  </si>
  <si>
    <t>Rosenblum, Norman D/0000-0003-1767-6464; Olguin, Paul Delgado/0000-0002-5355-247X</t>
  </si>
  <si>
    <t>e0149118</t>
  </si>
  <si>
    <t>10.1371/journal.pone.0149118</t>
  </si>
  <si>
    <t>WOS:000371993000008</t>
  </si>
  <si>
    <t>Zheng, QP; Zhao, JJ; Yu, H; Zong, HJ; He, XG; Zhao, YM; Li, Y; Wang, Y; Bao, YC; Li, YC; Chen, B; Guo, WJ; Wang, YL; Chen, Z; Zhao, YJ; Wang, L; He, XH; Huang, SL</t>
  </si>
  <si>
    <t>Zheng, Qiupeng; Zhao, Jingjing; Yu, Hui; Zong, Huajie; He, Xigan; Zhao, Yiming; Li, Yan; Wang, Yu; Bao, Yichao; Li, Yuchen; Chen, Bing; Guo, Weijie; Wang, Yilin; Chen, Zhiao; Zhao, Yingjun; Wang, Lu; He, Xianghuo; Huang, Shenglin</t>
  </si>
  <si>
    <t>Tumor-Specific Transcripts Are Frequently Expressed in Hepatocellular Carcinoma With Clinical Implication and Potential Function</t>
  </si>
  <si>
    <t>HEPATOLOGY</t>
  </si>
  <si>
    <t>RNA; LANDSCAPE; ACTIVATION; FEATURES</t>
  </si>
  <si>
    <t>Hepatocellular carcinoma (HCC) is a highly lethal cancer and its underlying etiology remains understudied. The immense diversity and complexity of the cancer transcriptome hold the potential to yield tumor-specific transcripts (TSTs). Here, we showed that hundreds of TSTs are frequently expressed in HCC by an assembling spliced junction analysis of RNA sequencing raw data from approximately 1,000 normal and HCC tissues. Many of the TSTs were found to be unannotated and noncoding RNAs. We observed that intergenic TSTs are generated from transcription initiation sites frequently harboring long terminal repeat (LTR) elements. The strong presence of TSTs indicates significantly poor prognoses in HCC. Functional screening revealed a noncoding TST (termed TST1), which acted as a regulator of HCC cell proliferation and tumorigenesis. TST1 is generated from an LTR12C promoter regulated by DNA methylation and retinoic-acid-related drugs. Additionally, we observed that TSTs may be detected in the blood extracellular vesicles of patients with HCC. Conclusion: Our findings suggest an abundance of TSTs in HCC and their potential in clinical settings. The identification and characterization of TSTs may help toward the development of strategies for cancer diagnosis and treatment.</t>
  </si>
  <si>
    <t>[Zheng, Qiupeng; Zhao, Jingjing; Li, Yan; Wang, Yu; Bao, Yichao; Li, Yuchen; Chen, Bing; Guo, Weijie; Chen, Zhiao; Zhao, Yingjun; He, Xianghuo; Huang, Shenglin] Fudan Univ, Shanghai Canc Ctr, Key Lab Med Epigenet &amp; Metab, Inst Biomed Sci, Shanghai, Peoples R China; [Zheng, Qiupeng; Yu, Hui; Zong, Huajie; He, Xigan; Zhao, Yiming; Li, Yan; Li, Yuchen; Chen, Bing; Guo, Weijie; Wang, Yilin; Chen, Zhiao; Zhao, Yingjun; Wang, Lu; He, Xianghuo; Huang, Shenglin] Fudan Univ, Shanghai Med Coll, Dept Oncol, Shanghai, Peoples R China; [He, Xigan; Zhao, Yiming; Wang, Yilin; Wang, Lu] Fudan Univ, Shanghai Canc Ctr, Dept Hepat Surg, 270 Dong An Rd, Shanghai 200032, Peoples R China; [Yu, Hui] Fudan Univ, Shanghai Canc Ctr, Dept Med Oncol, Shanghai, Peoples R China</t>
  </si>
  <si>
    <t>Wang, L (corresponding author), Fudan Univ, Shanghai Canc Ctr, Dept Hepat Surg, 270 Dong An Rd, Shanghai 200032, Peoples R China.;He, XH; Huang, SL (corresponding author), Fudan Univ, Shanghai Canc Ctr, 270 Dong An Rd, Shanghai 200032, Peoples R China.;He, XH; Huang, SL (corresponding author), Fudan Univ, Inst Biomed Sci, 270 Dong An Rd, Shanghai 200032, Peoples R China.</t>
  </si>
  <si>
    <t>wanglushanghaicancercenter@hotmail.com; xhhe@fudan.edu.cn; slhuang@fudan.edu.cn</t>
  </si>
  <si>
    <t>He, Xianghuo/I-1497-2014; Chen, Zhiao/AAO-1087-2021; Huang, Shenglin/N-9472-2018</t>
  </si>
  <si>
    <t>He, Xianghuo/0000-0001-8872-668X; Chen, Zhiao/0000-0003-4105-8674; Huang, Shenglin/0000-0003-1279-0794</t>
  </si>
  <si>
    <t>0270-9139</t>
  </si>
  <si>
    <t>1527-3350</t>
  </si>
  <si>
    <t>10.1002/hep.30805</t>
  </si>
  <si>
    <t>WOS:000480461300001</t>
  </si>
  <si>
    <t>Han, CC; Wang, SW; Wang, HW; Zhang, JN</t>
  </si>
  <si>
    <t>Han, Chengchen; Wang, Shuwei; Wang, Hongwei; Zhang, Jianning</t>
  </si>
  <si>
    <t>Exosomal Circ-HIPK3 Facilitates Tumor Progression and Temozolomide Resistance by Regulating miR-421/ZIC5 Axis in Glioma</t>
  </si>
  <si>
    <t>CANCER BIOTHERAPY AND RADIOPHARMACEUTICALS</t>
  </si>
  <si>
    <t>circ-HIPK3; glioma; miR-421; temozolomide; ZIC5</t>
  </si>
  <si>
    <t>EXTRACELLULAR VESICLES; CELL-PROLIFERATION; STEM-CELLS; APOPTOSIS; ACTIVATION; EXPRESSION; CIRCHIPK3; MIGRATION; DNA</t>
  </si>
  <si>
    <t>Background: The resistance of glioma patients to temozolomide (TMZ) treatment is a limiting factor in clinical treatment. Circular RNA HIPK3 (circ-HIPK3) was found to be highly expressed in glioma, however, the role and potential mechanism of exosomal circ-HIPK3 from TMZ-resistant cells remain poorly unclear. Methods: Exosomes were characterized by transmission electron microscopy. The levels of all protein were detected by western blot. Expression levels of circ-HIPK3, microRNA-421 (miR-421), and zinc finger protein of the cerebellum 5 (ZIC5) were measured by quantitative real-time polymerase chain reaction. The cell's 50% inhibitory concentration (IC50) of TMZ, apoptosis, and invasion were determined by methyl thiazolyl tetrazolium (MTT), flow cytometry, and Transwell assays, respectively. The correlation between miR-421 and circ-HIPK3 or ZIC5 was identified by dual-reporter luciferase and RNA immunoprecipitation (RIP) assays. The xenograft model was established to explore the effect of circ-HIPK3 in vivo. Results: Circ-HIPK3 was obviously increased in TMZ-resistant glioma cells and their exosomes, miR-421, was downregulated in TMZ-resistant glioma. Circ-HIPK3 directly targeted miR-421 and their expressions were negatively correlated in glioma tissues. Besides, circ-HIPK3 knockdown hampered the IC50 of TMZ, cell invasion, TMZ resistance, and triggered cell apoptosis, whereas these effects were reversed by transfection of anti-miR-421. ZIC5 was the target of miR-421 and ZIC5 overexpression weakened the inhibition effects of miR-421 on cell progression and TMZ resistance. More importantly, circ-HIPK3 depletion inhibited tumor growth by decreasing ZIC5 through sponging miR-421 in vivo. Conclusion: Exosomal circ-HIPK3 could promote cell progression and TMZ resistance by regulating miR-421/ZIC5 axis in TMZ-resistant glioma.</t>
  </si>
  <si>
    <t>[Han, Chengchen; Wang, Shuwei; Wang, Hongwei; Zhang, Jianning] Peoples Liberat Army Gen Hosp, Dept Neurosurg, Med Ctr 6, 6 Fucheng Rd, Beijing 100048, Peoples R China</t>
  </si>
  <si>
    <t>Chinese People's Liberation Army General Hospital</t>
  </si>
  <si>
    <t>Zhang, JN (corresponding author), Peoples Liberat Army Gen Hosp, Dept Neurosurg, Med Ctr 6, 6 Fucheng Rd, Beijing 100048, Peoples R China.</t>
  </si>
  <si>
    <t>ndozqg@163.com</t>
  </si>
  <si>
    <t>1084-9785</t>
  </si>
  <si>
    <t>1557-8852</t>
  </si>
  <si>
    <t>10.1089/cbr.2019.3492</t>
  </si>
  <si>
    <t>Oncology; Medicine, Research &amp; Experimental; Pharmacology &amp; Pharmacy; Radiology, Nuclear Medicine &amp; Medical Imaging</t>
  </si>
  <si>
    <t>Oncology; Research &amp; Experimental Medicine; Pharmacology &amp; Pharmacy; Radiology, Nuclear Medicine &amp; Medical Imaging</t>
  </si>
  <si>
    <t>WOS:000586234500005</t>
  </si>
  <si>
    <t>Masaki, K; Ueki, S; Tanese, K; Nagao, G; Kanzaki, S; Matsuki, E; Irie, H; Kabata, H; Miyata, J; Kawada, I; Fukunaga, K</t>
  </si>
  <si>
    <t>Masaki, Katsunori; Ueki, Shigeharu; Tanese, Keiji; Nagao, Genta; Kanzaki, Sho; Matsuki, Eri; Irie, Hidehiro; Kabata, Hiroki; Miyata, Jun; Kawada, Ichiro; Fukunaga, Koichi</t>
  </si>
  <si>
    <t>Eosinophilic annular erythema showing eosinophil cytolytic ETosis successfully treated with benralizumab</t>
  </si>
  <si>
    <t>ASIA PACIFIC ALLERGY</t>
  </si>
  <si>
    <t>Eosinophil; Angioedema; Asthma; Benralizumab; ETosis</t>
  </si>
  <si>
    <t>A 56-year-old woman presented with repeated swelling of the lips and face. She had a history of childhood asthma; she had a recurrence of asthma when she was 54 years old and was taking inhaled corticosteroids, and other antiasthma drugs. The swelling of her lips and face improved temporarily with oral corticosteroids (OCS), but recurred soon after discontinuing OCS. Her peripheral blood eosinophil count was 632/4 (9.3%), and her serum was negative for myeloperoxidase-anti-neutrophil cytoplasmic antibody and serine proteinase3-anti-neutrophil cytoplasmic antibody. Hematoxylin and eosin staining of her back skin revealed abundant eosinophilic infiltrate around the vascular area of the shallow dermis layer, but no evidence of vasculitis and we diagnosed her as eosinophilic annular erythema (EAE). Punctate staining of galectin-10, chromatolytic eosinophils, and net-like DNA was also evident in close proximity to the free granules, indicating extracellular vesicles and eosinophil extracellular traps (ETosis). We started daily OCS to control her asthma and skin eruption/oedema. Three months after administering daily OCS, benralizumab was initiated for withdrawal from OCS dependence and treatment of severe asthma. After initiation of benralizumab, her skin and subcutaneous tissue symptoms promptly improved. OCS was discontinued, and no edematous erythema has been observed since then. Bronchial asthma has also been well-controlled. This is the first report on the evidence of eosinophil ETosis in the dermis of EAE patients and the efficacy of benralizumab in a patient with EAE. Benralizumab may be a useful drug for treating refractory EAE with severe eosinophilic asthma.</t>
  </si>
  <si>
    <t>[Masaki, Katsunori; Nagao, Genta; Irie, Hidehiro; Kabata, Hiroki; Kawada, Ichiro; Fukunaga, Koichi] Keio Univ, Sch Med, Dept Med, Div Pulm Med, Tokyo, Japan; [Masaki, Katsunori; Tanese, Keiji; Kanzaki, Sho; Kabata, Hiroki; Miyata, Jun; Fukunaga, Koichi] Keio Univ Hosp, Keio Allergy Ctr, Tokyo, Japan; [Ueki, Shigeharu] Akita Univ, Grad Sch Med, Dept Gen Internal Med &amp; Clin Lab Med, Akita, Japan; [Tanese, Keiji] Keio Univ, Sch Med, Dept Dermatol, Tokyo, Japan; [Kanzaki, Sho] Keio Univ, Sch Med, Dept Otorhinolaryngol, Tokyo, Japan; [Matsuki, Eri] Keio Univ, Sch Med, Dept Med, Div Hematol, Tokyo, Japan; [Miyata, Jun] Natl Def Med Coll, Dept Internal Med, Div Infect Dis &amp; Resp Med, Saitama, Japan</t>
  </si>
  <si>
    <t>Keio University; Keio University; Akita University; Keio University; Keio University; Keio University; National Defense Medical College - Japan</t>
  </si>
  <si>
    <t>Masaki, K (corresponding author), Keio Univ, Div Pulm Med, Dept Med, Sch Med,Shinjuku Ku, 35 Shinanomachi, Tokyo 1608582, Japan.</t>
  </si>
  <si>
    <t>masakik@keio.jp</t>
  </si>
  <si>
    <t>Ueki, Shigeharu/I-3566-2019</t>
  </si>
  <si>
    <t>Ueki, Shigeharu/0000-0002-3537-7735; Masaki, Katsunori/0000-0003-0909-9409; Miyata, Jun/0000-0002-3189-1702; Kabata, Hiroki/0000-0001-8853-6149</t>
  </si>
  <si>
    <t>2233-8276</t>
  </si>
  <si>
    <t>2233-8268</t>
  </si>
  <si>
    <t>e28</t>
  </si>
  <si>
    <t>10.5415/apallergy.2021.11.e28</t>
  </si>
  <si>
    <t>Allergy</t>
  </si>
  <si>
    <t>WOS:000680842600002</t>
  </si>
  <si>
    <t>Zhu, QW; Chen, XJ; Xu, X; Zhang, Y; Zhang, C; Mo, R</t>
  </si>
  <si>
    <t>Zhu, Qiuwen; Chen, Xiaojie; Xu, Xiao; Zhang, Ying; Zhang, Can; Mo, Ran</t>
  </si>
  <si>
    <t>Tumor-Specific Self-Degradable Nanogels as Potential Carriers for Systemic Delivery of Anticancer Proteins</t>
  </si>
  <si>
    <t>bioresponsive carriers; cancer treatment; nanogels; protein delivery; self-degradability</t>
  </si>
  <si>
    <t>DRUG-DELIVERY; CANCER-CELLS; TESTICULAR HYALURONIDASE; EMERGING STRATEGIES; ASSEMBLY STRATEGY; NANOPARTICLES; THERAPEUTICS; COMBINATION; NANOCARRIERS; EXPRESSION</t>
  </si>
  <si>
    <t>Development of a safe and effective carrier for systemic protein delivery is highly desirable, which depends on management of the relationship among loading capacity, stability, delivery efficiency, and degradability. Here, a tumor-specific self-degradable nanogel composed of hyaluronidase (HAase)-degradable hyaluronic acid (HA) matrices entrapping acid-activatable HAase (aHAase) for systemic delivery of anticancer proteins is reported. Collaboratively crosslinked nanogels (cNG) obtained by the synthetic cholesteryl methacrylated HA show high protein-loading capacity and stability. The aHAase is engineered by modifying the HAase with citraconic anhydride to shield its HA-degrading activity, which can be reversibly activated by hydrolysis of the citraconic amide under acidic condition. In the tumor microenvironment, the mild acidity activates the aHAase partially, which results in swelling of the cNG and releasing of the aHAase. The released reactivated aHAase can degrade the HA that is also a major constituent of tumor extracellular matrix to increase perfusion of the cNG in the tumor stroma. In the acidic endocytic vesicles, the aHAase is fully reactivated. The active aHAase completely degrades the cNG to release the encapsulated anticancer protein, deoxyribonuclease I intracellularly, which digests the DNA to cause tumor cell death for enhanced antitumor efficacy.</t>
  </si>
  <si>
    <t>[Zhu, Qiuwen; Chen, Xiaojie; Xu, Xiao; Zhang, Ying; Zhang, Can; Mo, Ran] China Pharmaceut Univ, State Key Lab Nat Med, Jiangsu Key Lab Drug Discovery Metab Dis, Ctr Adv Pharmaceut &amp; Biomat, Nanjing 210009, Peoples R China</t>
  </si>
  <si>
    <t>China Pharmaceutical University</t>
  </si>
  <si>
    <t>Mo, R (corresponding author), China Pharmaceut Univ, State Key Lab Nat Med, Jiangsu Key Lab Drug Discovery Metab Dis, Ctr Adv Pharmaceut &amp; Biomat, Nanjing 210009, Peoples R China.</t>
  </si>
  <si>
    <t>rmo@cpu.edu.cn</t>
  </si>
  <si>
    <t>Mo, Ran/K-2521-2014</t>
  </si>
  <si>
    <t>10.1002/adfm.201707371</t>
  </si>
  <si>
    <t>WOS:000430658300027</t>
  </si>
  <si>
    <t>Darriba, S; Lee, RS; Lopez, C</t>
  </si>
  <si>
    <t>Darriba, Susana; Lee, Ren-Shiang; Lopez, Carmen</t>
  </si>
  <si>
    <t>Mikrocytos mytilicoli n.sp. (Cercozoa, Mikrocytida, Mikrocytiidae) infecting the copepod Mytilicola intestinalis (Arthropoda, Cyclopoida, Mytilicolidae), a symbiont of Mytilus galloprovincialis in Galicia (NW Spain)</t>
  </si>
  <si>
    <t>JOURNAL OF INVERTEBRATE PATHOLOGY</t>
  </si>
  <si>
    <t>Mikrocytos mytilicoli n.sp.; Mytilicola intestinalis; Mytilus galloprovincialis; Transmission Electron Microscopy; In situ Hybridization; rDNA</t>
  </si>
  <si>
    <t>DENMAN ISLAND DISEASE; OYSTER CRASSOSTREA-GIGAS; PACIFIC OYSTERS; BRITISH-COLUMBIA; CAUSATIVE AGENT; MUSSELS; PARASITE; MACKINI; EDULIS; STEUER</t>
  </si>
  <si>
    <t>During a histopathological survey of Mytilus galloprovincialis in Galicia (NW Spain), microcells were observed infecting several organs of the symbiont copepod Mytilicola intestinalis. Positive results of PCR assay with specific primers for genus Mikrocytos and a clear signal of in situ hybridization with MACKINI-1 digoxigenin-labelled DNA probe (DIG-ISH) indicated a protozoan parasite of Mikrocytos genus. The ultrastructural study revealed intra and extracellular locations, polymorphic nuclei, intracellular round vesicles in the cytoplasm and absence of mitochondria. The present paper reports the characterization of the Mikrocytos sp. infecting M. intestinalis and proposes a novel species in the genus: Mikrocytos mytilicoli n. sp. A sequence of 18S-28S rDNA was obtained with 95.6% maximum identity (query cover 100%) with Mikrocytos mackini. Phylogenetic analysis showed that M. mytilicoli n. sp. and M. mackini share a common ancestor. However, comparison of the ITS1 rDNA region showed low similarity (75.8%) with M. mackini, which, combined with differences in ultrastructural details, host and geographic location, support the designation of a new species. This is the first description of a microcytid parasite of the genus Mikrocytos from a non-bivalve host.</t>
  </si>
  <si>
    <t>[Darriba, Susana] Inst Tecnol Control Medio Marino Galicia INTECMAR, Peirao Vilaxoan S-N, Vilagarcia De Arousa 36611, Pontevedra, Spain; [Lee, Ren-Shiang] Consello Regulador Mexillon Galicia, Dept I D I, Avda Marina 25, Vilagarcia De Arousa 36600, Pontevedra, Spain; [Lopez, Carmen] Ctr Invest Marinas CIMA, Conselleria Mar, Pedras Caron S-N, Vilanova De Arousa 36620, Pontevedra, Spain</t>
  </si>
  <si>
    <t>Lopez, C (corresponding author), Ctr Invest Marinas CIMA, Conselleria Mar, Pedras Caron S-N, Vilanova De Arousa 36620, Pontevedra, Spain.</t>
  </si>
  <si>
    <t>carmen.lopez.gomez@xunta.gal</t>
  </si>
  <si>
    <t>0022-2011</t>
  </si>
  <si>
    <t>1096-0805</t>
  </si>
  <si>
    <t>10.1016/j.jip.2020.107460</t>
  </si>
  <si>
    <t>Zoology</t>
  </si>
  <si>
    <t>WOS:000579853200003</t>
  </si>
  <si>
    <t>LEACH, RM; ROSSELOT, GE</t>
  </si>
  <si>
    <t>THE USE OF AVIAN EPIPHYSEAL CHONDROCYTES FOR INVITRO STUDIES OF SKELETAL METABOLISM</t>
  </si>
  <si>
    <t>SYMP AT THE 75TH ANNUAL MEETING OF THE FEDERATION OF AMERICAN SOC FOR EXPERIMENTAL BIOLOGY</t>
  </si>
  <si>
    <t>APR   23, 1991</t>
  </si>
  <si>
    <t>ATLANTA, GA</t>
  </si>
  <si>
    <t>CHONDROCYTES; CELL CULTURE; SERUM-FREE MEDIUM; AVIAN</t>
  </si>
  <si>
    <t>GROWTH PLATE CHONDROCYTES; HUMAN PARATHYROID-HORMONE; MATRIX VESICLE FORMATION; PRIMARY CULTURES; FACTOR-BETA; ALKALINE-PHOSPHATASE; DNA-SYNTHESIS; FACTOR-I; CHICKEN; SERUM</t>
  </si>
  <si>
    <t>Chondrocytes from the postembryonic avian epiphyseal growth plate are easily obtained and can be successfully cultured for a considerable length of time. Under the proper culture conditions, the chondrocytes will become confluent and achieve a hypertrophic morphology followed by mineralization of the extracellular matrix. Although this can be accomplished with a serum-free medium, the process is accelerated in the presence of serum. Minimal growth factor requirements for the serum-free medium include fibroblast growth factor and insulin-like growth factor. Transforming growth factor-beta and parathyroid hormone are also mitogenic for chondrocytes. Chondrocytes may have more critical requirements for amino acids because further supplementation of a conventional medium such as Dulbecco's modified Eagle's medium results in improved performance of the cultured cells. Ascorbic acid in the medium is very important for matrix vesicle production and mineralization of cartilage nodules.</t>
  </si>
  <si>
    <t>LEACH, RM (corresponding author), PENN STATE UNIV,DEPT POULTRY SCI,213 HENNING BLDG,UNIV PK,PA 16802, USA.</t>
  </si>
  <si>
    <t>10.1093/jn/122.suppl_3.802</t>
  </si>
  <si>
    <t>WOS:A1992HG41100042</t>
  </si>
  <si>
    <t>Cimmino, I; Bravaccini, S; Cerchione, C</t>
  </si>
  <si>
    <t>Salvi, S; Casadio, V</t>
  </si>
  <si>
    <t>Cimmino, Ilaria; Bravaccini, Sara; Cerchione, Claudio</t>
  </si>
  <si>
    <t>Urinary Biomarkers in Tumors: An Overview</t>
  </si>
  <si>
    <t>URINARY BIOMARKERS: Methods and Protocols</t>
  </si>
  <si>
    <t>Urological cancers; Nonurological cancers; Biomarker; Exosome; miRNA; ucfDNA; Liquid biopsy; Urine</t>
  </si>
  <si>
    <t>PROSTATE-CANCER; EXTRACELLULAR VESICLES; SERUM PSA; DNA; GENES; PCA3; IDENTIFICATION; METHYLATION; MUTATIONS; DIAGNOSIS</t>
  </si>
  <si>
    <t>Recent reports suggest that urine is a useful noninvasive tool for the identification of urogenital tumors, including bladder, prostate, kidney, and other nonurological cancers. As a liquid biopsy, urine represents an important source for the improvement of new promising biomarkers, a suitable tool to identify indolent cancer and avoid overtreatment. Urine is enriched with DNAs, RNAs, proteins, circulating tumor cells, exosomes, and other small molecules which can be detected with several diagnostic methodologies. We provide an overview of the ongoing state of urinary biomarkers underlying both their potential utilities to improve cancer prognosis, diagnosis, and therapeutic strategy and their limitations.</t>
  </si>
  <si>
    <t>[Cimmino, Ilaria] Univ Naples Federico II, Dept Translat Med, Naples, Italy; [Bravaccini, Sara; Cerchione, Claudio] IRCCS, Ist Sci Romagnolo Studio Cura Tumori IRST, Biosci Lab, Meldola, Italy</t>
  </si>
  <si>
    <t>University of Naples Federico II; IRCCS Meldola (IRST)</t>
  </si>
  <si>
    <t>Cimmino, I (corresponding author), Univ Naples Federico II, Dept Translat Med, Naples, Italy.</t>
  </si>
  <si>
    <t>Bravaccini, Sara/ABC-8944-2020</t>
  </si>
  <si>
    <t>Bravaccini, Sara/0000-0002-0075-8538; Cerchione, Claudio/0000-0002-9104-5436</t>
  </si>
  <si>
    <t>978-1-0716-1354-2; 978-1-0716-1353-5</t>
  </si>
  <si>
    <t>10.1007/978-1-0716-1354-2_1</t>
  </si>
  <si>
    <t>10.1007/978-1-0716-1354-2</t>
  </si>
  <si>
    <t>Biochemical Research Methods; Biochemistry &amp; Molecular Biology; Medicine, Research &amp; Experimental</t>
  </si>
  <si>
    <t>WOS:000691011000002</t>
  </si>
  <si>
    <t>Bridgeman, A; Maelfait, J; Davenne, T; Partridge, T; Peng, Y; Mayer, A; Dong, T; Kaever, V; Borrow, P; Rehwinkel, J</t>
  </si>
  <si>
    <t>Bridgeman, A.; Maelfait, J.; Davenne, T.; Partridge, T.; Peng, Y.; Mayer, A.; Dong, T.; Kaever, V.; Borrow, P.; Rehwinkel, J.</t>
  </si>
  <si>
    <t>Viruses transfer the antiviral second messenger cGAMP between cells</t>
  </si>
  <si>
    <t>CYCLIC GMP-AMP; INNATE IMMUNE SENSOR; DNA; HIV-1; RECOGNITION; SYNTHASE; REVEALS; ROLES</t>
  </si>
  <si>
    <t>Cyclic GMP-AMP synthase (cGAS) detects cytosolic DNA during virus infection and induces an antiviral state. cGAS signals by synthesis of a second messenger, cyclic GMP-AMP (cGAMP), which activates stimulator of interferon genes (STING). We show that cGAMP is incorporated into viral particles, including lentivirus and herpesvirus virions, when these are produced in cGAS-expressing cells. Virions transferred cGAMP to newly infected cells and triggered a STING-dependent antiviral program. These effects were independent of exosomes and viral nucleic acids. Our results reveal a way by which a signal for innate immunity is transferred between cells, potentially accelerating and broadening antiviral responses. Moreover, infection of dendritic cells with cGAMP-loaded lentiviruses enhanced their activation. Loading viral vectors with cGAMP therefore holds promise for vaccine development.</t>
  </si>
  <si>
    <t>[Bridgeman, A.; Maelfait, J.; Davenne, T.; Peng, Y.; Mayer, A.; Dong, T.; Rehwinkel, J.] Univ Oxford, Radcliffe Dept Med, Weatherall Inst Mol Med, MRC,Human Immunol Unit, Oxford OX3 9DS, England; [Partridge, T.; Borrow, P.] Univ Oxford, Nuffield Dept Med, Oxford OX3 7FZ, England; [Kaever, V.] Hannover Med Sch, Inst Pharmacol, Res Core Unit Metabol, D-30625 Hannover, Germany</t>
  </si>
  <si>
    <t>University of Oxford; University of Oxford; Hannover Medical School</t>
  </si>
  <si>
    <t>Rehwinkel, J (corresponding author), Univ Oxford, Radcliffe Dept Med, Weatherall Inst Mol Med, MRC,Human Immunol Unit, Oxford OX3 9DS, England.</t>
  </si>
  <si>
    <t>jan.rehwinkel@imm.ox.ac.uk</t>
  </si>
  <si>
    <t>Kaever, Volkhard/G-3280-2013; Rehwinkel, Jan/CAG-1436-2022; Mayer, A/AAM-2083-2021; Maelfait, Jonathan/AAE-7827-2021</t>
  </si>
  <si>
    <t>Rehwinkel, Jan/0000-0003-3841-835X; Mayer, A/0000-0002-6859-0612; Maelfait, Jonathan/0000-0002-1476-0583; Davenne, Tamara/0000-0002-6582-2668; Bridgeman, Anne/0000-0002-9478-6125; Borrow, Persephone/0000-0002-3877-9780</t>
  </si>
  <si>
    <t>10.1126/science.aab3632</t>
  </si>
  <si>
    <t>WOS:000360968400044</t>
  </si>
  <si>
    <t>Liu, CY; Chen, SX; Zhang, HF; Chen, YX; Gao, QY; Chen, ZT; Liu, ZY; Wang, JF</t>
  </si>
  <si>
    <t>Liu, Chiyu; Chen, Sixu; Zhang, Haifeng; Chen, Yangxin; Gao, Qingyuan; Chen, Zhiteng; Liu, Zhaoyu; Wang, Jingfeng</t>
  </si>
  <si>
    <t>Bioinformatic analysis for potential biological processes and key targets of heart failure-related stroke</t>
  </si>
  <si>
    <t>JOURNAL OF ZHEJIANG UNIVERSITY-SCIENCE B</t>
  </si>
  <si>
    <t>Cardioembolic stroke; Heart failure; Bioinformatics; Weighted gene co-expression network analysis (WGCNA)</t>
  </si>
  <si>
    <t>UBIQUITIN-PROTEASOME SYSTEM; ISCHEMIC-STROKE; EJECTION FRACTION; THERAPEUTIC TARGET; RANDOMIZED-TRIAL; RISK; EXOSOMES; ANTICOAGULATION; STRATEGIES; WARFARIN</t>
  </si>
  <si>
    <t>This study aimed to uncover underlying mechanisms and promising intervention targets of heart failure (HF)-related stroke. HF-related dataset GSE42955 and stroke-related dataset GSE58294 were obtained from the Gene Expression Omnibus (GEO) database. Weighted gene co-expression network analysis (WGCNA) was conducted to identify key modules and hub genes. Gene Ontology (GO) and pathway enrichment analyses were performed on genes in the key modules. Genes in HF- and stroke-related key modules were intersected to obtain common genes for HF-related stroke, which were further intersected with hub genes of stroke-related key modules to obtain key genes in HF-related stroke. Key genes were functionally annotated through GO in the Reactome and Cytoscape databases. Finally, key genes were validated in these two datasets and other datasets. HF- and stroke-related datasets each identified two key modules. Functional enrichment analysis indicated that protein ubiquitination, Wnt signaling, and exosomes were involved in both HF- and stroke-related key modules. Additionally, ten hub genes were identified in stroke-related key modules and 155 genes were identified as common genes in HF-related stroke. OTU deubiquitinase with linear linkage specificity (OTULIN) and nuclear factor interleukin 3-regulated (NFIL3) were determined to be the key genes in HF-related stroke. Through functional annotation, OTULIN was involved in protein ubiquitination and Wnt signaling, and NFIL3 was involved in DNA binding and transcription. Importantly, OTULIN and NFIL3 were also validated to be differentially expressed in all HF and stroke groups. Protein ubiquitination, Wnt signaling, and exosomes were involved in HF-related stroke. OTULIN and NFIL3 may play a key role in HF-related stroke through regulating these processes, and thus serve as promising intervention targets.</t>
  </si>
  <si>
    <t>[Liu, Chiyu; Chen, Sixu; Zhang, Haifeng; Chen, Yangxin; Gao, Qingyuan; Chen, Zhiteng; Wang, Jingfeng] Sun Yat Sen Univ, Sun Yat Sen Mem Hosp, Dept Cardiol, Guangzhou 510120, Peoples R China; [Liu, Chiyu; Chen, Sixu; Zhang, Haifeng; Chen, Yangxin; Gao, Qingyuan; Chen, Zhiteng; Wang, Jingfeng] Lab Cardiac Electrophysiol &amp; Arrhythmia Guangdong, Guangzhou 510120, Peoples R China; [Liu, Chiyu; Chen, Sixu; Liu, Zhaoyu] Sun Yat Sen Univ, Sun Yat Sen Mem Hosp, Guangdong Prov Key Lab Malignant Tumor Epigenet &amp;, Guangzhou 510120, Peoples R China</t>
  </si>
  <si>
    <t>Wang, JF (corresponding author), Sun Yat Sen Univ, Sun Yat Sen Mem Hosp, Dept Cardiol, Guangzhou 510120, Peoples R China.;Wang, JF (corresponding author), Lab Cardiac Electrophysiol &amp; Arrhythmia Guangdong, Guangzhou 510120, Peoples R China.;Liu, ZY (corresponding author), Sun Yat Sen Univ, Sun Yat Sen Mem Hosp, Guangdong Prov Key Lab Malignant Tumor Epigenet &amp;, Guangzhou 510120, Peoples R China.</t>
  </si>
  <si>
    <t>liuzhy98@mail.sysu.edu.cn; dr_wjf@vip.163.com</t>
  </si>
  <si>
    <t>Liu, Zhaoyu/0000-0002-2754-8661</t>
  </si>
  <si>
    <t>1673-1581</t>
  </si>
  <si>
    <t>1862-1783</t>
  </si>
  <si>
    <t>10.1631/jzus.B2000544</t>
  </si>
  <si>
    <t>Biochemistry &amp; Molecular Biology; Biotechnology &amp; Applied Microbiology; Medicine, Research &amp; Experimental</t>
  </si>
  <si>
    <t>Biochemistry &amp; Molecular Biology; Biotechnology &amp; Applied Microbiology; Research &amp; Experimental Medicine</t>
  </si>
  <si>
    <t>WOS:000697072700002</t>
  </si>
  <si>
    <t>Dahiya, B; Kamra, E; Alam, D; Chauhan, M; Mehta, PK</t>
  </si>
  <si>
    <t>Dahiya, Bhawna; Kamra, Ekta; Alam, Danish; Chauhan, Meenakshi; Mehta, Promod K.</t>
  </si>
  <si>
    <t>Insight into diagnosis of female genital tuberculosis</t>
  </si>
  <si>
    <t>EXPERT REVIEW OF MOLECULAR DIAGNOSTICS</t>
  </si>
  <si>
    <t>Female genital TB; diagnosis; imaging; histopathology; IGRAs; NAATs; I-PCR; ALISA; cfDNA; hysteroscopy; laparoscopy</t>
  </si>
  <si>
    <t>POLYMERASE-CHAIN-REACTION; MEDIATED ISOTHERMAL AMPLIFICATION; LINKED-IMMUNOSORBENT-ASSAY; MYCOBACTERIUM-TUBERCULOSIS; XPERT MTB/RIF; EXTRAPULMONARY TUBERCULOSIS; ENDOMETRIAL TUBERCULOSIS; LABORATORY DIAGNOSIS; MULTIPLEX-PCR; DNA APTAMERS</t>
  </si>
  <si>
    <t>Introduction Female genital tuberculosis (TB) is a common form of extrapulmonary TB (EPTB) with varied clinical presentations, i.e. infertility, pelvic pain, and menstrual irregularities. Diagnosis of female genital TB is challenging predominantly due to paucibacillary nature of specimens and inconclusive results obtained by most of the routine laboratory tests. Areas covered This review has briefly summarized the epidemiology, clinical features, and transmission of female genital TB. Commonly used laboratory tests include bacteriological examination (smear/culture), tuberculin skin testing, interferon-gamma release assays, imaging, laparoscopy/hysteroscopy, and histopathological/cytological observations. Furthermore, utility of nucleic acid amplification tests (NAATs), like loop-mediated isothermal amplification, PCR, multiplex-PCR, nested PCR, real-time PCR, and GeneXpert (R) could significantly improve the detection of female genital TB. Expert opinion Currently, there is no single test available for the efficient diagnosis of female genital TB, rather a combination of tests is being employed, which yields moderate diagnostic accuracy. The latest modalities developed for diagnosing pulmonary TB and other clinical EPTB forms, i.e. aptamer-linked immobilized sorbent assay, immuno-PCR (I-PCR), analysis of circulating cell-free DNA by NAATs, and identification of Mycobacterium tuberculosis biomarkers within extracellular vesicles of bodily fluids by I-PCR/nanoparticle-based I-PCR, may also be exploited to further improve the diagnosis of female genital TB.</t>
  </si>
  <si>
    <t>[Dahiya, Bhawna; Kamra, Ekta; Alam, Danish; Mehta, Promod K.] Maharshi Dayanand Univ, Ctr Biotechnol, Rohtak 124001, Haryana, India; [Chauhan, Meenakshi] Pt B Sharma Univ Hlth Sci, Deptartment Obstet &amp; Gynecol, Rohtak, Haryana, India</t>
  </si>
  <si>
    <t>Maharshi Dayanand University</t>
  </si>
  <si>
    <t>Mehta, PK (corresponding author), Maharshi Dayanand Univ, Ctr Biotechnol, Rohtak 124001, Haryana, India.</t>
  </si>
  <si>
    <t>pkmehta3@hotmail.com</t>
  </si>
  <si>
    <t>1473-7159</t>
  </si>
  <si>
    <t>1744-8352</t>
  </si>
  <si>
    <t>10.1080/14737159.2022.2016395</t>
  </si>
  <si>
    <t>WOS:000740893200001</t>
  </si>
  <si>
    <t>He, JT; Ren, M; Li, HQ; Yang, L; Wang, XF; Yang, QW</t>
  </si>
  <si>
    <t>He, Jinting; Ren, Ming; Li, Haiqi; Yang, Le; Wang, Xiaofeng; Yang, Qiwei</t>
  </si>
  <si>
    <t>Exosomal Circular RNA as a Biomarker Platform for the Early Diagnosis of Immune-Mediated Demyelinating Disease</t>
  </si>
  <si>
    <t>exosome; circular RNA; immune-mediated demyelinating disease; cerebrospinal fluid; biomarker</t>
  </si>
  <si>
    <t>EXPRESSION</t>
  </si>
  <si>
    <t>Exosomes can pass through the blood-brain barrier and are present in the cerebrospinal fluid (CSF). The components in exosomes, such as DNA, RNA, protein, and lipids, change greatly and are closely related to disease progression. Circular RNA (circRNA) is stable in structure and has a long half-life in exosomes without degradation. Therefore, circRNA is considered an ideal biomarker and can be used to monitor a variety of central nervous system diseases. This study aimed to investigate the expression profiles of exosomal circRNA (exo-circRNA) in CSF from patients with immune-mediated demyelinating diseases to identify suitable biomarkers for the early diagnosis of immune-mediated demyelinating diseases. circRNA expression levels in exosomes obtained from five CSF samples from immune-mediated demyelinating disease patients and five paired CSF control samples were analyzed using a hybridization array. Hierarchical clustering analysis showed that 5,095 exo-circRNAs were differentially expressed between patients with immune-mediated demyelinating diseases and paired control samples. Of these exo-circRNAs, 26 were identified as significantly differentially expressed in CSF exosomes from patients with immune-mediated demyelinating diseases (FC &gt;= 1.5 and p &lt;= 0.05). Gene Ontology and Kyoto Encyclopedia of Genes and Genomes enrichment analysis indicated that the upregulation or activation of protein tyrosine phosphatase receptor type F (PTPRF) and RAD23 homolog B, nucleotide excision repair protein (RAD23B) may be associated with the occurrence and development of immune-mediated demyelinating diseases. Then, a competing endogenous RNA network was constructed and centered on the most upregulated/downregulated exo-circRNAs to predict their function in immune-mediated demyelinating diseases. In addition, reverse transcription quantitative polymerase chain reaction results stating that hsa_circ_0087862 and hsa_circ_0012077 were validated in an independent cohort of subjects. Canonical correlation analysis results indicated a potential connection between exosomal hsa_circ_0012077 expression level and immunoglobulin G levels in CSF. Finally, the receiver operating characteristic (ROC) curve showed that when hsa_circ_0087862 or hsa_circ_0012077 was employed alone for diagnosing immune-mediated demyelinating diseases, the diagnostic accuracy was 100%. In conclusion, based on this study, exosomal hsa_circ_0087862 and hsa_circ_0012077 in CSF could be used as suitable biomarkers for the diagnosis of immune-mediated demyelinating disease based on their expression levels. Moreover, the upregulation or activation of PTPRF and RAD23B was potentially associated with the occurrence and development of immune-mediated demyelinating diseases.</t>
  </si>
  <si>
    <t>[He, Jinting; Li, Haiqi] Jilin Univ, China Japan Union Hosp, Dept Neurol, Changchun, Jilin, Peoples R China; [Ren, Ming; Yang, Qiwei] Jilin Univ, Hosp 2, Med Res Ctr, Jilin Prov Key Lab Mol &amp; Chem Genet, Changchun, Jilin, Peoples R China; [Ren, Ming] Jilin Univ, Hosp 2, Dept Orthoped, Changchun, Jilin, Peoples R China; [Yang, Le] Peoples Hosp Jilin Prov, Dept Endocrinol, Changchun, Jilin, Peoples R China; [Wang, Xiaofeng] Jilin Univ, China Japan Union Hosp, Dept Stomatol, Changchun, Jilin, Peoples R China</t>
  </si>
  <si>
    <t>Jilin University; Jilin University; Jilin University; Jilin University</t>
  </si>
  <si>
    <t>Yang, QW (corresponding author), Jilin Univ, Hosp 2, Med Res Ctr, Jilin Prov Key Lab Mol &amp; Chem Genet, Changchun, Jilin, Peoples R China.;Wang, XF (corresponding author), Jilin Univ, China Japan Union Hosp, Dept Stomatol, Changchun, Jilin, Peoples R China.</t>
  </si>
  <si>
    <t>xiaofeng2238@sina.com; yangqw@jiu.edu.cn</t>
  </si>
  <si>
    <t>Yang, Qiwei/0000-0003-0681-2184</t>
  </si>
  <si>
    <t>10.3389/fgene.2019.00860</t>
  </si>
  <si>
    <t>WOS:000488084400001</t>
  </si>
  <si>
    <t>Fleischhacker, M</t>
  </si>
  <si>
    <t>Swaminathan, R; Butt, A; Gahan, P</t>
  </si>
  <si>
    <t>Fleischhacker, Michael</t>
  </si>
  <si>
    <t>Biology of circulating mRNA - Still more questions than answers?</t>
  </si>
  <si>
    <t>CIRCULATING NUCLEIC ACIDS IN PLASMA AND SERUM IV</t>
  </si>
  <si>
    <t>Annals of the New York Academy of Sciences</t>
  </si>
  <si>
    <t>4th International Symposium on Circulating Nucleic Acids in Plasma/Serum</t>
  </si>
  <si>
    <t>SEP 04-06, 2005</t>
  </si>
  <si>
    <t>Kings Coll, London, ENGLAND</t>
  </si>
  <si>
    <t>Kings Coll</t>
  </si>
  <si>
    <t>extracellular RNA; review; plasma; free-circulating RNA; cancer</t>
  </si>
  <si>
    <t>BREAST-CANCER PATIENTS; EXOGENOUS RIBONUCLEIC ACID; ASCITES TUMOR CELLS; LUNG-CANCER; NUCLEIC-ACIDS; MALIGNANT-MELANOMA; HEPATOCELLULAR-CARCINOMA; SENSITIVE DETECTION; MEMBRANE-VESICLES; APOPTOTIC BODIES</t>
  </si>
  <si>
    <t>A few years after the first description of free-circulating DNA in plasma and serum, the detection of tumor-associated overexpressed mRNA in plasma was also reported. This observation has been confirmed and it seems to be clear that the presence of free-circulating RNA is a ubiquitous phenomenon. In this short review I will discuss some basic aspects of the release mechanisms for the RNA, its biological meaning, and clinical value.</t>
  </si>
  <si>
    <t>Univ Med Berlin, Med Klin Onkol Hamatol Molekularbiol Labor, D-10117 Berlin, Germany</t>
  </si>
  <si>
    <t>Free University of Berlin; Humboldt University of Berlin; Charite Universitatsmedizin Berlin</t>
  </si>
  <si>
    <t>Fleischhacker, M (corresponding author), Univ Med Berlin, Med Klin Onkol Hamatol Molekularbiol Labor, Schumannstr 20-21, D-10117 Berlin, Germany.</t>
  </si>
  <si>
    <t>michael.fleischhacker@charite.de</t>
  </si>
  <si>
    <t>1-57331-627-X</t>
  </si>
  <si>
    <t>10.1196/annals.1368.005</t>
  </si>
  <si>
    <t>Biochemistry &amp; Molecular Biology; Medical Laboratory Technology; Multidisciplinary Sciences</t>
  </si>
  <si>
    <t>Biochemistry &amp; Molecular Biology; Medical Laboratory Technology; Science &amp; Technology - Other Topics</t>
  </si>
  <si>
    <t>WOS:000241725400005</t>
  </si>
  <si>
    <t>Cruz-Monserrate, Z; Gumpper, K; Kaul, S; Badi, N; Terhorst, S; Dubay, K; Lesinski, GB; Fisher, W; McElhany, A; Lara, LF; Krishna, S; Mace, T; Higuita-Castro, N; Ortega-Pineda, L; Freitas, MA; Hinton, A; Yadav, D; Hart, PA; Pandol, SJ; Ahmed, S; Fatou, B; Steen, H; Conwell, DL</t>
  </si>
  <si>
    <t>Cruz-Monserrate, Zobeida; Gumpper, Kristyn; Kaul, Sabrina; Badi, Niharika; Terhorst, Samantha; Dubay, Kelly; Lesinski, Gregory B.; Fisher, William; McElhany, Amy; Lara, Luis F.; Krishna, Somashekar; Mace, Thomas; Higuita-Castro, Natalia; Ortega-Pineda, Lilibeth; Freitas, Michael A.; Hinton, Alice; Yadav, Dhiraj; Hart, Phil A.; Pandol, Stephen J.; Ahmed, Saima; Fatou, Benoit; Steen, Hanno; Conwell, Darwin L.</t>
  </si>
  <si>
    <t>Consortium Study Chroni</t>
  </si>
  <si>
    <t>Delayed Processing of Secretin-Induced Pancreas Fluid Influences the Quality and Integrity of Proteins and Nucleic Acids</t>
  </si>
  <si>
    <t>PANCREAS</t>
  </si>
  <si>
    <t>sample degradation; pancreatic fluid; pancreatitis; pancreatic cancer; biomarkers</t>
  </si>
  <si>
    <t>SYNTHETIC PORCINE SECRETIN; EARLY-DIAGNOSIS; JUICE SAMPLES; TANDEM; COLLECTION; CONSORTIUM; BIOMARKERS; CANCER; IDENTIFICATION; ASSOCIATION</t>
  </si>
  <si>
    <t>Objectives: Endoscopic pancreatic function tests are used to diagnose pancreatic diseases and are a viable source for the discovery of biomarkers to better characterize pancreatic disorders. However, pancreatic fluid (PF) contains active enzymes that degrade biomolecules. Therefore, we tested how preservation methods and time to storage influence the integrity and quality of proteins and nucleic acids. Methods: We obtained PF from 9 subjects who underwent an endoscopic pancreatic function test. Samples were snap frozen at the time of collection; after 1, 2, and 4 hours on ice; or after storage overnight at 4 degrees C with or without RNase or protease inhibitors (PIs). Electrophoresis and mass spectrometry analysis determined protein abundance and quality, whereas nucleic acid integrity values determined DNA and RNA degradation. Results: Protein degradation increased after 4 hours on ice and DNA degradation after 2 hours on ice. Adding PIs delayed degradation. RNA was significantly degraded under all conditions compared with the snap frozen samples. Isolated RNA from PF-derived exosomes exhibited similar poor quality as RNA isolated from matched PF samples. Conclusions: Adding PIs immediately after collecting PF and processing the fluid within 4 hours of collection maintains the protein and nucleic acid integrity for use in downstream molecular analyses.</t>
  </si>
  <si>
    <t>[Cruz-Monserrate, Zobeida; Gumpper, Kristyn; Kaul, Sabrina; Badi, Niharika; Terhorst, Samantha; Dubay, Kelly; Lara, Luis F.; Krishna, Somashekar; Mace, Thomas; Hart, Phil A.] Ohio State Univ, Wexner Med Ctr, Div Gastroenterol Hepatol &amp; Nutr, Dept Internal Med, 2041 Wiseman Hall,400 12th Ave, Columbus, OH 43210 USA; [Cruz-Monserrate, Zobeida; Gumpper, Kristyn; Kaul, Sabrina; Badi, Niharika; Terhorst, Samantha; Dubay, Kelly; Mace, Thomas; Freitas, Michael A.] Ohio State Univ, Wexner Med Ctr, James Comprehens Canc Ctr, Columbus, OH 43210 USA; [Lesinski, Gregory B.] Emory Univ, Winship Canc Inst, Dept Hematol &amp; Med Oncol, Atlanta, GA 30322 USA; [Fisher, William; McElhany, Amy] Baylor Coll Med, Elkins Pancreas Ctr, Michael E DeBakey Dept Surg, Houston, TX 77030 USA; [Fisher, William; McElhany, Amy] Baylor Coll Med, Dan L Duncan Canc Ctr, Houston, TX 77030 USA; [Higuita-Castro, Natalia; Ortega-Pineda, Lilibeth] Ohio State Univ, Dept Biomed Engn, Columbus, OH 43210 USA; [Higuita-Castro, Natalia] Ohio State Univ, Dept Surg, Columbus, OH 43210 USA; [Freitas, Michael A.] Ohio State Univ, Wexner Med Ctr, Dept Canc Biol &amp; Genet, Columbus, OH 43210 USA; [Hinton, Alice] Ohio State Univ, Coll Publ Hlth, Div Biostat, Columbus, OH 43210 USA; [Yadav, Dhiraj] Univ Pittsburgh, Dept Med, Div Gastroenterol Hepatol &amp; Nutr, Pittsburgh, PA USA; [Pandol, Stephen J.] Cedars Sinai Med Ctr, Ctr Digest Dis, Los Angeles, CA 90048 USA; [Ahmed, Saima; Fatou, Benoit; Steen, Hanno] Harvard Med Sch, Boston Childrens Hosp, Dept Pathol, Boston, MA 02115 USA</t>
  </si>
  <si>
    <t>Ohio State University; James Cancer Hospital &amp; Solove Research Institute; Ohio State University; Emory University; Baylor College of Medicine; Baylor College of Medicine; Ohio State University; Ohio State University; Ohio State University; Ohio State University; Pennsylvania Commonwealth System of Higher Education (PCSHE); University of Pittsburgh; Cedars Sinai Medical Center; Harvard University; Boston Children's Hospital; Harvard Medical School</t>
  </si>
  <si>
    <t>Cruz-Monserrate, Z (corresponding author), Ohio State Univ, Wexner Med Ctr, Div Gastroenterol Hepatol &amp; Nutr, Dept Internal Med, 2041 Wiseman Hall,400 12th Ave, Columbus, OH 43210 USA.</t>
  </si>
  <si>
    <t>zobeida.cruz-monserrate@osumc.edu</t>
  </si>
  <si>
    <t>Krishna, Somashekar G/V-2593-2019; Hart, Phil/A-9842-2016</t>
  </si>
  <si>
    <t>Krishna, Somashekar G/0000-0001-5748-7890; Hart, Phil/0000-0003-4346-6196; Ortega-Pineda, Lilibeth/0000-0001-9066-6719</t>
  </si>
  <si>
    <t>0885-3177</t>
  </si>
  <si>
    <t>1536-4828</t>
  </si>
  <si>
    <t>10.1097/MPA.0000000000001717</t>
  </si>
  <si>
    <t>WOS:000600495100011</t>
  </si>
  <si>
    <t>Mugoni, V; Ciani, Y; Nardella, C; Demichelis, F</t>
  </si>
  <si>
    <t>Mugoni, Vera; Ciani, Yari; Nardella, Caterina; Demichelis, Francesca</t>
  </si>
  <si>
    <t>Circulating RNAs in prostate cancer patients</t>
  </si>
  <si>
    <t>Prostate cancer; exRNA; EV-RNA; Liquid biopsy; Transcriptomics; Computational biology; Biomarkers</t>
  </si>
  <si>
    <t>CELL-FREE RNA; LONG NONCODING RNAS; FREE NUCLEIC-ACIDS; EXTRACELLULAR VESICLES; EXOSOMAL RNA; LIQUID BIOPSIES; TISSUE EXPRESSION; HORMONAL-THERAPY; FREE DNA; MICRORNAS</t>
  </si>
  <si>
    <t>Growing bodies of evidence have demonstrated that the identification of prostate cancer (PCa) biomarkers in the patients' blood and urine may remarkably improve PCa diagnosis and progression monitoring. Among diverse cancer-derived circulating materials, extracellular RNA molecules (exRNAs) represent a compelling component to investigate cancer-related alterations. Once outside the intracellular environment, exRNAs circulate in biofluids either in association with protein complexes or encapsulated inside extracellular vesicles (EVs). Notably, EV-associated RNAs (EV-RNAs) were used for the development of several assays (such as the FDA-approved Progensa Prostate Cancer Antigen 3 (PCA3 test) aiming at improving early PCa detection. EV-RNAs encompass a mixture of species, including small non-coding RNAs (e.g. miRNA and circRNA), lncRNAs and mRNAs. Several methods have been proposed to isolate EVs and relevant RNAs, and to perform RNA-Seq studies to identify potential cancer biomarkers. However, EVs in the circulation of a cancer patient include a multitude of diverse populations that are released by both cancer and normal cells from different tissues, thereby leading to a heterogeneous EV-RNA-associated transcriptional signal. Decrypting the complexity of such a composite signal is nowadays the major challenge faced in the identification of specific tumor-associated RNAs. Multiple deconvolution algorithms have been proposed so far to infer the enrichment of cancer-specific signals from gene expression data. However, novel strategies for EVs sorting and sequencing of RNA associated to single EVs populations will remarkably facilitate the identification of cancer-related molecules. Altogether, the studies summarized here demonstrate the high potential of using EV-RNA biomarkers in PCa and highlight the urgent need of improving technologies and computational approaches to characterize specific EVs populations and their relevant RNA cargo.</t>
  </si>
  <si>
    <t>[Mugoni, Vera; Ciani, Yari; Nardella, Caterina; Demichelis, Francesca] Univ Trento, Dept Cellular Computat &amp; Integrat Biol CIBIO, Trento, Italy</t>
  </si>
  <si>
    <t>Demichelis, F (corresponding author), Univ Trento, Dept Cellular Computat &amp; Integrat Biol CIBIO, Trento, Italy.</t>
  </si>
  <si>
    <t>f.demichelis@unitn.it</t>
  </si>
  <si>
    <t>Demichelis, Francesca/J-9829-2016</t>
  </si>
  <si>
    <t>Demichelis, Francesca/0000-0002-8266-8631; Nardella, Caterina/0000-0002-1901-7916; Ciani, Yari/0000-0002-9635-2830</t>
  </si>
  <si>
    <t>10.1016/j.canlet.2021.10.011</t>
  </si>
  <si>
    <t>WOS:000708796000002</t>
  </si>
  <si>
    <t>Olcum, S; Cermak, N; Wasserman, SC; Christine, KS; Atsumi, H; Payer, KR; Shen, WJ; Lee, JC; Belcher, AM; Bhatia, SN; Manalis, SR</t>
  </si>
  <si>
    <t>Olcum, Selim; Cermak, Nathan; Wasserman, Steven C.; Christine, Kathleen S.; Atsumi, Hiroshi; Payer, Kris R.; Shen, Wenjiang; Lee, Jungchul; Belcher, Angela M.; Bhatia, Sangeeta N.; Manalis, Scott R.</t>
  </si>
  <si>
    <t>Weighing nanoparticles in solution at the attogram scale</t>
  </si>
  <si>
    <t>nanoparticle characterization; NEMS; microfluidics; mechanical oscillators</t>
  </si>
  <si>
    <t>NANOMECHANICAL MASS SENSOR; PARTICLE-SIZE; NOISE; CELLS; STABILITY; PRECISION; TRANSPORT; PROTEINS; EXOSOMES</t>
  </si>
  <si>
    <t>Physical characterization of nanoparticles is required for a wide range of applications. Nanomechanical resonators can quantify the mass of individual particles with detection limits down to a single atom in vacuum. However, applications are limited because performance is severely degraded in solution. Suspended micro- and nanochannel resonators have opened up the possibility of achieving vacuum-level precision for samples in the aqueous environment and a noise equivalent mass resolution of 27 attograms in 1-kHz bandwidth was previously achieved by Lee et al. [(2010) Nano Lett 10(7): 2537-2542]. Here, we report on a series of advancements that have improved the resolution by more than 30-fold, to 0.85 attograms in the same bandwidth, approaching the thermomechanical noise limit and enabling precise quantification of particles down to 10 nm with a throughput of more than 18,000 particles per hour. We demonstrate the potential of this capability by comparing the mass distributions of exosomes produced by different cell types and by characterizing the yield of self-assembled DNA nanoparticle structures.</t>
  </si>
  <si>
    <t>[Olcum, Selim; Wasserman, Steven C.; Belcher, Angela M.; Manalis, Scott R.] MIT, Dept Biol Engn, Cambridge, MA 02139 USA; [Atsumi, Hiroshi; Belcher, Angela M.] MIT, Dept Mat Sci &amp; Engn, Cambridge, MA 02139 USA; [Bhatia, Sangeeta N.] MIT, Dept Elect Engn &amp; Comp Sci, Cambridge, MA 02139 USA; [Manalis, Scott R.] MIT, Dept Mech Engn, Cambridge, MA 02139 USA; [Olcum, Selim; Belcher, Angela M.; Bhatia, Sangeeta N.; Manalis, Scott R.] MIT, Koch Inst Integrat Canc Res, Cambridge, MA 02139 USA; [Cermak, Nathan; Manalis, Scott R.] MIT, Computat &amp; Syst Biol Initiat, Cambridge, MA 02139 USA; [Christine, Kathleen S.; Bhatia, Sangeeta N.] MIT, Harvard MIT Hlth Sci &amp; Technol, Cambridge, MA 02139 USA; [Christine, Kathleen S.; Bhatia, Sangeeta N.] MIT, Inst Med Engn &amp; Sci, Cambridge, MA 02139 USA; [Payer, Kris R.] MIT, Microsyst Technol Labs, Cambridge, MA 02139 USA; [Shen, Wenjiang] Innovat Micro Technol, Santa Barbara, CA 93117 USA; [Lee, Jungchul] Sogang Univ, Dept Mech Engn, Seoul 121742, South Korea; [Bhatia, Sangeeta N.] Howard Hughes Med Inst, Cambridge, MA 02139 USA</t>
  </si>
  <si>
    <t>Massachusetts Institute of Technology (MIT); Massachusetts Institute of Technology (MIT); Massachusetts Institute of Technology (MIT); Massachusetts Institute of Technology (MIT); Massachusetts Institute of Technology (MIT); Massachusetts Institute of Technology (MIT); Harvard University; Massachusetts Institute of Technology (MIT); Massachusetts Institute of Technology (MIT); Massachusetts Institute of Technology (MIT); Sogang University; Howard Hughes Medical Institute</t>
  </si>
  <si>
    <t>Manalis, SR (corresponding author), MIT, Dept Biol Engn, Cambridge, MA 02139 USA.</t>
  </si>
  <si>
    <t>scottm@media.mit.edu</t>
  </si>
  <si>
    <t>Olcum, Selim/I-8523-2012; Lee, Jungchul/P-7319-2018</t>
  </si>
  <si>
    <t>Olcum, Selim/0000-0002-6417-1007; Lee, Jungchul/0000-0001-7880-8657; Cermak, Nathan/0000-0002-8389-8236</t>
  </si>
  <si>
    <t>10.1073/pnas.1318602111</t>
  </si>
  <si>
    <t>WOS:000330231100034</t>
  </si>
  <si>
    <t>Kao, CY; Papoutsakis, ET</t>
  </si>
  <si>
    <t>Kao, Chen-Yuan; Papoutsakis, Eleftherios T.</t>
  </si>
  <si>
    <t>Engineering human megakaryocytic microparticles for targeted delivery of nucleic acids to hematopoietic stem and progenitor cells</t>
  </si>
  <si>
    <t>EXTRACELLULAR VESICLES; MEDIATED DELIVERY; SIRNA; EXOSOMES; GENOME; DNA; ERYTHROPOIESIS; NUCLEOFECTION; MICROVESICLES; PEPTIDES</t>
  </si>
  <si>
    <t>Hematopoietic stem and progenitor cells (HSPCs) are important target cells for gene therapy applications. Current genetic modifications of HSPCs rely on viral vectors in vivo or electroporation ex vivo. Here, we developed a non-viral system based on megakaryocytic microparticles (MPs) for targeted delivery of plasmid DNA (pDNA) and small RNAs to HSPCs. We have previously shown that megakaryocytic MPs, the most abundant MPs in blood circulation, target specifically and deliver cargo to HSPCs both in vitro and in vivo. With an optimized electroporation protocol, an average of 4200 plasmid copies per MP were loaded into MP, thus enabling effective delivery of green fluorescent protein (GFP)-encoding pDNA to HSPCs and HSPC nuclei, with up to 81% nuclei containing pDNA. Effective functional small interfering RNA (siRNA) and microRNA (miRNA) delivery were also demonstrated. As patient-specific or generic megakaryocytic MPs can be readily generated and stored frozen, our data suggest that this system has great potential for therapeutic applications targeting HSPCs.</t>
  </si>
  <si>
    <t>[Kao, Chen-Yuan; Papoutsakis, Eleftherios T.] Univ Delaware, Dept Chem &amp; Biomol Engn, Newark, DE 19711 USA; [Kao, Chen-Yuan; Papoutsakis, Eleftherios T.] Univ Delaware, Delaware Biotechnol Inst, Newark, DE 19711 USA; [Papoutsakis, Eleftherios T.] Univ Delaware, Dept Biol Sci, Newark, DE 19711 USA</t>
  </si>
  <si>
    <t>University of Delaware; University of Delaware; University of Delaware</t>
  </si>
  <si>
    <t>Papoutsakis, ET (corresponding author), Univ Delaware, Dept Chem &amp; Biomol Engn, Newark, DE 19711 USA.;Papoutsakis, ET (corresponding author), Univ Delaware, Delaware Biotechnol Inst, Newark, DE 19711 USA.;Papoutsakis, ET (corresponding author), Univ Delaware, Dept Biol Sci, Newark, DE 19711 USA.</t>
  </si>
  <si>
    <t>epaps@udel.edu</t>
  </si>
  <si>
    <t>Kao, Chen-Yuan/AFM-2886-2022</t>
  </si>
  <si>
    <t>Papoutsakis, Eleftherios/0000-0002-1077-1277; Kao, Chen-Yuan/0000-0002-2998-2330</t>
  </si>
  <si>
    <t>eaau6762</t>
  </si>
  <si>
    <t>10.1126/sciadv.aau6762</t>
  </si>
  <si>
    <t>WOS:000452212000061</t>
  </si>
  <si>
    <t>Eroglu, S; Balci, SO</t>
  </si>
  <si>
    <t>Eroglu, Secil; Balci, Sibel Oguzkan</t>
  </si>
  <si>
    <t>Molecular Genetic Testing and Liquid Biopsy in Lung Cancer: Present and Future</t>
  </si>
  <si>
    <t>EUROPEAN JOURNAL OF THERAPEUTICS</t>
  </si>
  <si>
    <t>Lung cancer; genetic biomarkers; liquid biopsy</t>
  </si>
  <si>
    <t>CIRCULATING TUMOR-CELLS; EXOSOMAL MICRORNA; DIAGNOSTIC MARKER; KINASE DOMAIN; SINGLE-ARM; OPEN-LABEL; DNA; MUTATIONS; EGFR; CHEMOTHERAPY</t>
  </si>
  <si>
    <t>The genetic landscape of lung cancer has been expanded over decades with advancements in molecular genetic technologies. Despite improvements, the survival rate of lung cancer is still low. When diagnosed at an early stage, resection of tumor or lobectomy is possible, survival rate increases accordingly. Therefore it is crucial to identify diagnostic or predictive biomarkers and develop new technologies which can efficiently analyze these biomarkers. Since lung tumor tissue is difficult for sampling and requires invasive procedures, identification of non-invasive blood-based tumor biomarkers has become attractive recently. This review will summarize clinically significant key genetic biomarkers and focus on liquid biopsy which means analyzing of noninvasive biomarkers such as circulating tumor DNA (ctDNA), circulating tumor cells (CTCs), circulating miRNAs and exosomes.</t>
  </si>
  <si>
    <t>[Eroglu, Secil; Balci, Sibel Oguzkan] Gaziantep Univ, Dept Med Biol, Sch Med, Gaziantep, Turkey</t>
  </si>
  <si>
    <t>Gaziantep University</t>
  </si>
  <si>
    <t>Balci, SO (corresponding author), Gaziantep Univ, Dept Med Biol, Sch Med, Gaziantep, Turkey.</t>
  </si>
  <si>
    <t>oguzkan@gantep.edu.tr</t>
  </si>
  <si>
    <t>Eroglu, Secil/P-2209-2019; Oguzkan Balci, Sibel/F-6998-2012; Balci, Sibel Oguzkan/ABF-1043-2020</t>
  </si>
  <si>
    <t>Balci, Sibel Oguzkan/0000-0003-0537-3028; Eroglu, Secil/0000-0002-1536-1736</t>
  </si>
  <si>
    <t>2564-7784</t>
  </si>
  <si>
    <t>2564-7040</t>
  </si>
  <si>
    <t>S14</t>
  </si>
  <si>
    <t>S18</t>
  </si>
  <si>
    <t>10.5152/EurJTher.2018.1004</t>
  </si>
  <si>
    <t>WOS:000446224000005</t>
  </si>
  <si>
    <t>Iguchi, Y; Eid, L; Parent, M; Soucy, G; Bareil, C; Riku, Y; Kawai, K; Takagi, S; Yoshida, M; Katsuno, M; Sobue, G; Julien, JP</t>
  </si>
  <si>
    <t>Iguchi, Yohei; Eid, Lara; Parent, Martin; Soucy, Genevieve; Bareil, Christine; Riku, Yuichi; Kawai, Kaori; Takagi, Shinnosuke; Yoshida, Mari; Katsuno, Masahisa; Sobue, Gen; Julien, Jean-Pierre</t>
  </si>
  <si>
    <t>Exosome secretion is a key pathway for clearance of pathological TDP-43</t>
  </si>
  <si>
    <t>BRAIN</t>
  </si>
  <si>
    <t>amyotrophic lateral sclerosis; TDP-43; exosome; neutral sphingomyelinase 2 inhibition</t>
  </si>
  <si>
    <t>AMYOTROPHIC-LATERAL-SCLEROSIS; FRONTOTEMPORAL LOBAR DEGENERATION; UBIQUITIN-PROTEASOME SYSTEM; DNA-BINDING PROTEIN; MULTIVESICULAR BODIES; ALZHEIMERS-DISEASE; CELLULAR TOXICITY; AGGREGATION; CELLS; ALS</t>
  </si>
  <si>
    <t>Cytoplasmic TDP-43 aggregation is a pathological hallmark of amyotrophic lateral sclerosis and frontotemporal lobar degeneration. Here we investigated the role of exosomes in the secretion and propagation of TDP-43 aggregates. TDP-43 was detected in secreted exosomes from Neuro2a cells and primary neurons but not from astrocytes or microglia. Evidence is presented that protein aggregation and autophagy inhibition are factors that promote exosomal secretion of TDP-43. We also report that levels of exosomal TDP-43 full length and C-terminal fragment species are upregulated in human amyotrophic lateral sclerosis brains. Exposure of Neuro2a cells to exosomes from amyotrophic lateral sclerosis brain, but not from control brain, caused cytoplasmic redistribution of TDP-43, suggesting that secreted exosomes might contribute to propagation of TDP-43 proteinopathy. Yet, inhibition of exosome secretion by inactivation of neutral sphingomyelinase 2 with GW4869 or by silencing RAB27A provoked formation of TDP-43 aggregates in Neuro2a cells. Moreover, administration of GW4869 exacerbated the disease phenotypes of transgenic mice expressing human TDP-43(A315T) mutant. Thus, even though results suggest that exosomes containing pathological TDP-43 may play a key role in the propagation of TDP-43 proteinopathy, a therapeutic strategy for amyotrophic lateral sclerosis based on inhibition of exosome production would seem inappropriate, as in vivo data suggest that exosome secretion plays an overall beneficial role in neuronal clearance of pathological TDP-43.</t>
  </si>
  <si>
    <t>[Iguchi, Yohei; Eid, Lara; Parent, Martin; Soucy, Genevieve; Bareil, Christine; Julien, Jean-Pierre] Inst Univ Sante Mentale Quebec, Ctr Rech, Quebec City, PQ, Canada; [Iguchi, Yohei; Eid, Lara; Parent, Martin; Soucy, Genevieve; Bareil, Christine; Julien, Jean-Pierre] Univ Laval, Dept Psychiat &amp; Neurosci, Quebec City, PQ, Canada; [Riku, Yuichi; Kawai, Kaori; Takagi, Shinnosuke; Katsuno, Masahisa; Sobue, Gen] Nagoya Univ, Grad Sch Med, Dept Neurol, Nagoya, Aichi, Japan; [Yoshida, Mari] Aichi Med Univ, Inst Med Sci Aging, Dept Neuropathol, Nagakute, Aichi, Japan</t>
  </si>
  <si>
    <t>Laval University; Laval University; Nagoya University; Aichi Medical University</t>
  </si>
  <si>
    <t>Julien, JP (corresponding author), 2601 Chemin Canardiere, Quebec City, PQ G1J 2G3, Canada.</t>
  </si>
  <si>
    <t>jean-pierre.julien@fmed.ulaval.ca</t>
  </si>
  <si>
    <t>Riku, Yuichi/AAM-7816-2020</t>
  </si>
  <si>
    <t>Riku, Yuichi/0000-0002-6493-8976</t>
  </si>
  <si>
    <t>0006-8950</t>
  </si>
  <si>
    <t>1460-2156</t>
  </si>
  <si>
    <t>10.1093/brain/aww237</t>
  </si>
  <si>
    <t>WOS:000392709800020</t>
  </si>
  <si>
    <t>Hanayama, R; Nagata, S</t>
  </si>
  <si>
    <t>Impaired involution of mammary glands in the absence of milk fat globule EGF factor 8</t>
  </si>
  <si>
    <t>exosomes; mastitis; phosphaticlylserine</t>
  </si>
  <si>
    <t>APOPTOTIC CELLS; EPITHELIAL-CELLS; DNA-DEGRADATION; MACROPHAGES; EXPRESSION; DEATH; ENGULFMENT; CLEARANCE; STAT3; MICE</t>
  </si>
  <si>
    <t>During the involution of mammary glands, epithelial cells undergo apoptosis and are cleared for the next cycle of lactation. The clearance of apoptotic epithelial cells is mediated by neighboring epithelial cells and by macrophages that migrate into the mammary glands. Here, we report that milk fat globule EGF factor 8 (MFG-E8), a secreted glycoprotein that binds to apoptotic cells by recognizing phosphaticlylserine, was expressed by epithelial cells and macrophages in mammary glands and was involved in engulfment of apoptotic cells. A deficiency of MFG-E8 caused the accumulation of a large number of milk fat globules (MFGs) in the mammary ducts during involution, indicating that the excess MFGs were cleared by an MFG-E8-dependent mechanism. The MFG-E8(-/-) mice developed mammary duct ectasia with periductal mastitis, and the redevelopment of the mammary gland for their second litter was impaired. These results demonstrate that MFG-E8-mediated phagocytosis of apoptotic epithelial cells and IMFGs is important for efficient involution of mammary glands.</t>
  </si>
  <si>
    <t>Osaka Univ, Sch Med, Dept Genet, Suita, Osaka 5650871, Japan; Osaka Univ, Grad Sch Frontier Biosci, Genet Lab, Integrated Biol Labs, Suita, Osaka 5650871, Japan; Japan Sci &amp; Technol Corp, Solut Oriented Res Sci &amp; Technol, Suita, Osaka 5650871, Japan</t>
  </si>
  <si>
    <t>Osaka University; Osaka University; Japan Science &amp; Technology Agency (JST)</t>
  </si>
  <si>
    <t>Nagata, S (corresponding author), Osaka Univ, Sch Med, Dept Genet, 2-2 Yamadaoka, Suita, Osaka 5650871, Japan.</t>
  </si>
  <si>
    <t>nagata@genetic.med.osaka-u.ac.jp</t>
  </si>
  <si>
    <t>Hanayama, Rikinari/D-2940-2011; Nagata, Shigekazu/AAG-3203-2019; Hanayama, Rikinari/AAO-4959-2021</t>
  </si>
  <si>
    <t>Nagata, Shigekazu/0000-0001-9758-8426; Hanayama, Rikinari/0000-0003-2102-3386</t>
  </si>
  <si>
    <t>10.1073/pnas.0508599102</t>
  </si>
  <si>
    <t>WOS:000233462900065</t>
  </si>
  <si>
    <t>Xiong, YY; Tang, YJ; Fan, F; Zeng, Y; Li, CY; Zhou, GF; Hu, ZL; Zhang, LY; Liu, ZX</t>
  </si>
  <si>
    <t>Xiong, Yuanyuan; Tang, Yongjian; Fan, Fan; Zeng, Yu; Li, Chuntao; Zhou, Gaofeng; Hu, Zhongliang; Zhang, Liyang; Liu, Zhixiong</t>
  </si>
  <si>
    <t>Exosomal hsa-miR-21-5p derived from growth hormone-secreting pituitary adenoma promotes abnormal bone formation in acromegaly</t>
  </si>
  <si>
    <t>TRANSLATIONAL RESEARCH</t>
  </si>
  <si>
    <t>TERM BIOCHEMICAL CONTROL; CELL-PROLIFERATION; DOWN-REGULATION; FEEDBACK LOOP; CORTICAL BONE; IN-VIVO; MIR-21; MICRORNA-21; OSTEOBLAST; CANCER</t>
  </si>
  <si>
    <t>Growth hormone-secreting pituitary adenoma (GHPA), a benign endocrine tumor located in the base of the skull, results in acromegaly. In addition to the mass effect of the tumor itself in the sellar region, GHPA can lead to the overgrowth of almost every organ. Previous findings indicated that the processes underlying acromegaly were partly attributable to hyperactivity of the growth hormone/insulin-like growth factor-1 (GH/IGF-1) axis. However, the mechanisms driving this syndrome remains largely unknown. Additionally, the roles of GHPA-derived exosomes, which contain functional microRNAs and proteins that manipulate target cell proliferation and differentiation in distal extremities, are also unknown. In this study, we demonstrated that GHPA exosomes promote bone formation in vitro and trabecula number in vivo. The mechanism of increased trabecula formation may be attributable to GHPA exosome-induced osteoblast proliferation via increased cell viability and DNA replication. We further discovered that exosomal hsa-miR-21-5p plays a distinct role from the GH/IGF-1 axis in these processes. Accordingly, the results of this study provide a novel mechanism whereby GHPA influences distal extremities and a new perspective for treating GHPA.</t>
  </si>
  <si>
    <t>[Xiong, Yuanyuan; Tang, Yongjian; Fan, Fan; Li, Chuntao; Zhang, Liyang; Liu, Zhixiong] Cent South Univ, Xiangya Hosp, Dept Neurosurg, 87 Xiangya Rd, Changsha 410008, Hunan, Peoples R China; [Zeng, Yu] Dana Farber Canc Inst, Dept Oncol Pathol, Boston, MA 02115 USA; [Zhou, Gaofeng] Cent South Univ, Xiangya Hosp, Dept Radiol, Changsha, Hunan, Peoples R China; [Hu, Zhongliang] Cent South Univ, Xiangya Hosp, Dept Pathol, Changsha, Hunan, Peoples R China</t>
  </si>
  <si>
    <t>Central South University; Harvard University; Dana-Farber Cancer Institute; Central South University; Central South University</t>
  </si>
  <si>
    <t>Liu, ZX (corresponding author), Cent South Univ, Xiangya Hosp, Dept Neurosurg, 87 Xiangya Rd, Changsha 410008, Hunan, Peoples R China.</t>
  </si>
  <si>
    <t>zhixiongliu@csu.edu.cn</t>
  </si>
  <si>
    <t>liu, zhixiong/0000-0002-0288-6306</t>
  </si>
  <si>
    <t>1931-5244</t>
  </si>
  <si>
    <t>1878-1810</t>
  </si>
  <si>
    <t>10.1016/j.trsl.2019.07.013</t>
  </si>
  <si>
    <t>Medical Laboratory Technology; Medicine, General &amp; Internal; Medicine, Research &amp; Experimental</t>
  </si>
  <si>
    <t>Medical Laboratory Technology; General &amp; Internal Medicine; Research &amp; Experimental Medicine</t>
  </si>
  <si>
    <t>WOS:000504529400001</t>
  </si>
  <si>
    <t>Harel, SA; Ben-Moshe, NB; Aylon, Y; Bublik, DR; Moskovits, N; Toperoff, G; Azaiza, D; Biagoni, F; Fuchs, G; Wilder, S; Hellman, A; Blandino, G; Domany, E; Oren, M</t>
  </si>
  <si>
    <t>Harel, S. Adi; Ben-Moshe, N. Bossel; Aylon, Y.; Bublik, D. R.; Moskovits, N.; Toperoff, G.; Azaiza, D.; Biagoni, F.; Fuchs, G.; Wilder, S.; Hellman, A.; Blandino, G.; Domany, E.; Oren, M.</t>
  </si>
  <si>
    <t>Reactivation of epigenetically silenced miR-512 and miR-373 sensitizes lung cancer cells to cisplatin and restricts tumor growth</t>
  </si>
  <si>
    <t>NF-KAPPA-B; DNA METHYLATION; CELLULAR SENESCENCE; COMBINED INHIBITION; FACTOR RECEPTOR; GENE INDUCTION; MICRORNA; EXPRESSION; MUTATIONS; TUMORIGENESIS</t>
  </si>
  <si>
    <t>MicroRNAs (miRs) regulate a variety of cellular processes, and their impaired expression is involved in cancer. Silencing of tumor-suppressive miRs in cancer can occur through epigenetic modifications, including DNA methylation and histone deacetylation. We performed comparative miR profiling on cultured lung cancer cells before and after treatment with 5'aza-deoxycytidine plus Trichostatin A to reverse DNA methylation and histone deacetylation, respectively. Several tens of miRs were strongly induced by such 'epigenetic therapy'. Two representatives, miR-512-5p (miR-512) and miR-373, were selected for further analysis. Both miRs were secreted in exosomes. Re-expression of both miRs augmented cisplatin-induced apoptosis and inhibited cell migration; miR-512 also reduced cell proliferation. TEAD4 mRNA was confirmed as a direct target of miR-512; likewise, miR-373 was found to target RelA and PIK3CA mRNA directly. Our results imply that miR-512 and miR-373 exert cell-autonomous and non-autonomous tumor-suppressive effects in lung cancer cells, where their re-expression may benefit epigenetic cancer therapy.</t>
  </si>
  <si>
    <t>[Harel, S. Adi; Aylon, Y.; Bublik, D. R.; Moskovits, N.; Fuchs, G.; Wilder, S.; Oren, M.] Weizmann Inst Sci, Dept Mol Cell Biol, IL-76100 Rehovot, Israel; [Ben-Moshe, N. Bossel; Domany, E.] Weizmann Inst Sci, Dept Phys Complex Syst, IL-76100 Rehovot, Israel; [Toperoff, G.; Azaiza, D.; Hellman, A.] Hebrew Univ Jerusalem, Hadassah Med Sch, Inst Med Res Israel Canada, Dept Dev Biol &amp; Canc Res, IL-91120 Jerusalem, Israel; [Biagoni, F.; Blandino, G.] Regina Elena Inst Canc Res, Translat Oncogen Unit, Rome, Italy</t>
  </si>
  <si>
    <t>Weizmann Institute of Science; Weizmann Institute of Science; Hebrew University of Jerusalem; IRCCS Istituti Fisioterapici Ospitalieri (IFO); IRCCS Regina Elena</t>
  </si>
  <si>
    <t>Oren, M (corresponding author), Weizmann Inst Sci, Dept Mol Cell Biol, 234 Herzl St, IL-7610001 Rehovot, Israel.</t>
  </si>
  <si>
    <t>moshe.oren@weizmann.ac.il</t>
  </si>
  <si>
    <t>Oren, Moshe/0000-0003-4311-7172</t>
  </si>
  <si>
    <t>10.1038/cdd.2014.221</t>
  </si>
  <si>
    <t>WOS:000357599500010</t>
  </si>
  <si>
    <t>Krishnan, HH; Sharma-Walia, N; Zeng, L; Gao, SJ; Chandran, B</t>
  </si>
  <si>
    <t>Envelope glycoprotein gB of Kaposi's sarcoma-associated herpesvirus is essential for egress from infected cells</t>
  </si>
  <si>
    <t>EPSTEIN-BARR-VIRUS; DE-NOVO INFECTION; ENDOTHELIAL-CELLS; TARGET-CELLS; HEPARAN-SULFATE; PSEUDORABIES VIRUS; LYTIC REPLICATION; DNA-SEQUENCES; ARTIFICIAL CHROMOSOME; HUMAN CYTOMEGALOVIRUS</t>
  </si>
  <si>
    <t>Kaposi's sarcoma-associated herpesvirus (KSHV) envelope glycoprotein gB interacts with cell surface heparan sulfate (HS) and a3 beta 1 integrin and plays roles in the initial binding and entry into the target cells and in the induction of preexisting host cell signal pathways. To define gB function further, using a bacterial artificial chromosome (BAC) system carrying the KSHV genome (BAC36wt-KSHV), we constructed a recombinant virus genome with the gB open reading frame (ORF) deleted by replacing a 2-kb gB ORF with a 1.3-kb Kan(r) gene. Stable 293T cells carrying BAC36wt-KSHV and Delta gBBAC36-KSHV genomes were generated. Transcript analyses and immunoprecipitation reactions confirmed the absence of gB in the 293T-Delta gBBAC36 cells. When monolayers of 293T-BAC36wt and 293T-Delta gBBAC36 cells were induced with tetradecanoylphorbol-13-acetate, infectious virus was detected only from the 293T-BAC36wt cell supernatants. No significant amount of DNase I-resistant viral DNA was detected in the supernatants of 293T-Delta gBBAC36 cells. BAC36wt-KSHV infected the target cells, and in contrast, no viral DNA and transcripts could be detected in cells infected with Delta gBBAC36-KSHV. Electron microscopy of 293T-Delta gBBAC36 cells revealed capsids in the nuclei, cytoplasmic vesicles with core-containing capsids, and occasional enveloped virions in the cytoplasm. However, enveloped virus particles were observed in the extracellular compartments of 293T-BAC36wt cells only and not in 293T-Delta gBBAC36 cells. Transfection of 293T-Delta gBBAC36 cells with plasmid expressing full-length gB restored the recovery of infectious KSHV in the supernatant. These results suggest that, besides its role in virus binding and entry into the target cells, KSHV gB also plays a role in the maturation and egress of virus from the infected cells.</t>
  </si>
  <si>
    <t>RFUMS, Chicago Med Sch, Dept Microbiol &amp; Immunol, N Chicago, IL 60064 USA; Univ Kansas, Med Ctr, Dept Microbiol Mol Genet &amp; Immunol, Kansas City, KS 66103 USA; Univ Texas, Hlth Sci Ctr, Dept Pediat, San Antonio, TX USA</t>
  </si>
  <si>
    <t>Chicago Medical School; University of Kansas; University of Kansas Medical Center; University of Texas System; University of Texas Health San Antonio</t>
  </si>
  <si>
    <t>Chandran, B (corresponding author), RFUMS, Chicago Med Sch, Dept Microbiol &amp; Immunol, 3333 Green Bay Rd, N Chicago, IL 60064 USA.</t>
  </si>
  <si>
    <t>bala.chandran@rosalindfranklin.edu</t>
  </si>
  <si>
    <t>Gao, Shou-Jiang/B-8641-2012</t>
  </si>
  <si>
    <t>Gao, Shou-Jiang/0000-0001-6194-1742</t>
  </si>
  <si>
    <t>10.1128/JVI.79.17.10952-10967.2005</t>
  </si>
  <si>
    <t>WOS:000231303900011</t>
  </si>
  <si>
    <t>Yamada, H; Yatsushiro, S; Yamamoto, A; Hayashi, M; Nishi, T; Futai, M; Yamaguchi, A; Moriyama, Y</t>
  </si>
  <si>
    <t>Functional expression of a GLT-1 type Na+-dependent glutamate transporter in rat pinealocytes</t>
  </si>
  <si>
    <t>JOURNAL OF NEUROCHEMISTRY</t>
  </si>
  <si>
    <t>Na+-dependent glutamate transporter; pinealocyte; pineal gland; L-glutamate; GLT-1; reuptake; microvesicle; endocrine cell</t>
  </si>
  <si>
    <t>SYNAPTIC-LIKE MICROVESICLES; BRAIN; GLAND; ACID; INHIBITION; MECHANISM; MELATONIN; CULTURES; CELLS; NOREPINEPHRINE</t>
  </si>
  <si>
    <t>Pinealocytes, the neuroendocrine cells that produce melatonin, accumulate glutamate in microvesicles through a specific vesicular transporter energetically coupled with vacuolar-type proton ATPase. The glutamate is secreted into the extracellular space through microvesicle-mediated exocytosis and then stimulates neighboring pinealocytes, resulting in inhibition of norepinephrine-dependent melatonin synthesis. In this study, we identified and characterized the plasma membrane-type glutamate transporter in rat pinealocytes. The [H-3]-glutamate uptake by cultured pinealocytes was driven by extracellular Na+, saturated with the [H-3] glutamate concentration used, and significantly inhibited by L-glutamate, L-aspartate, beta-threo-hydroxyaspartale, pyrrolidine dicarboxylate, and L-cysteine sulfinate, substrates or inhibitors of the plasma membrane glutamate transporter. Consistently, the clearance of extracellular glutamate, as measured by HPLC, was also dependent on Nai and inhibited by beta-threo-hydroxyaspartate and L-cysteine sulfinate. Immunological studies with site-specific antibodies against three isoforms of the Na+-dependent glutamate transporter (GLT-1, GLAST, and EAAC1) revealed the expression of only the GLT-1 type transporter in pineal glands. Expression of the GLT-1 type transporter in pineal glands was further demonstrated by means of reverse transcription-polymerase chain reaction with specific DNA probes. Immunohistochemical analysis indicated that the immunological counterpart(s) of the GLT-1 is localized in pinealocytes. These results suggested that the GLT-1-type Na+-dependent transporter is expressed and functions as a reuptake system for glutamate in rat pinealocytes. The physiological role of the transporter in the termination of the glutamate signal in the pineal gland is discussed.</t>
  </si>
  <si>
    <t>OSAKA UNIV,INST SCI &amp; IND RES,DEPT CELL MEMBRANE BIOL,ISIR,IBARAKI,OSAKA 567,JAPAN; OSAKA UNIV,INST SCI &amp; IND RES,DEPT MOL CELL BIOL,ISIR,IBARAKI,OSAKA 567,JAPAN; KANSAI MED UNIV,DEPT PHYSIOL,OSAKA,JAPAN</t>
  </si>
  <si>
    <t>Osaka University; Osaka University; Kansai Medical University</t>
  </si>
  <si>
    <t>YAMADA, Hiroshi/B-2251-2011; Yamada, Hiroshi/AGZ-4497-2022</t>
  </si>
  <si>
    <t>Yamada, Hiroshi/0000-0002-9328-3446</t>
  </si>
  <si>
    <t>0022-3042</t>
  </si>
  <si>
    <t>WOS:A1997XX05700018</t>
  </si>
  <si>
    <t>Lolomadze, EA; Kometova, VV; Rodionov, VV</t>
  </si>
  <si>
    <t>Lolomadze, E. A.; Kometova, V. V.; Rodionov, V. V.</t>
  </si>
  <si>
    <t>CIRCULATING RNA IN BLOOD PLASMA AS DIAGNOSTIC TOOL FOR CLINICAL ONCOLOGY</t>
  </si>
  <si>
    <t>circulating nucleic acids; blood plasma; circulating tumor cells; circulating RNA; miRNA; biomarkers; oncology</t>
  </si>
  <si>
    <t>HTERT MESSENGER-RNA; BREAST-CANCER PATIENTS; MICROSATELLITE ALTERATIONS; MATERNAL PLASMA; PROSTATE-CANCER; FETAL DNA; MICRORNAS; QUANTIFICATION; MUTATIONS; DISEASE</t>
  </si>
  <si>
    <t>One of the key challenges facing today's oncology is the discovery of early predictors of malignant neoplasms in patients' biological samples. Liquid biopsy is a noninvasive diagnostic technique based on the detection and isolation of tumor cells, tumor-derived nucleic acid and exosomes circulating in the blood plasma of cancer patients. There is a plethora of research studies of circulating tumor DNA in patients with MN. The active proliferation of tumor cells occurs in the backdrop of altered gene expression. The presence of tissue-specific transcripts in the circulating RNA fraction suggests that levels of circulating RNA reflect the development of the primary tumor. We think that cell-free RNA circulating in the blood plasma is a promising molecular biomarker for early cancer detection.</t>
  </si>
  <si>
    <t>[Lolomadze, E. A.; Kometova, V. V.; Rodionov, V. V.] Kulakov Natl Med Res Ctr Obstet Gynecol &amp; Perinat, Moscow, Russia</t>
  </si>
  <si>
    <t>Lolomadze, EA (corresponding author), Oparina 4, Moscow 117997, Russia.</t>
  </si>
  <si>
    <t>6332424@gmail.com</t>
  </si>
  <si>
    <t>Lolomadze, Elena/T-6101-2017</t>
  </si>
  <si>
    <t>Lolomadze, Elena/0000-0001-5611-7345</t>
  </si>
  <si>
    <t>10.24075/brsmu.2020.040</t>
  </si>
  <si>
    <t>WOS:000549104300001</t>
  </si>
  <si>
    <t>Zeming, KK; Salafi, T; Shikha, S; Zhang, Y</t>
  </si>
  <si>
    <t>Zeming, Kerwin Kwek; Salafi, Thoriq; Shikha, Swati; Zhang, Yong</t>
  </si>
  <si>
    <t>Fluorescent label-free quantitative detection of nano-sized bioparticles using a pillar array</t>
  </si>
  <si>
    <t>DETERMINISTIC LATERAL DISPLACEMENT; ATOMIC-FORCE MICROSCOPE; CELL-DERIVED EXOSOMES; PARTICLE SEPARATION; SURFACE-CHARGE; SANDWICH ASSAY; CANCER; VESICLES; SCATTERING; BIOMARKERS</t>
  </si>
  <si>
    <t>Disease diagnostics requires detection and quantification of nano-sized bioparticles including DNA, proteins, viruses, and exosomes. Here, a fluorescent label-free method for sensitive detection of bioparticles is explored using a pillar array with micrometer-sized features in a deterministic lateral displacement (DLD) device. The method relies on measuring changes in size and/or electrostatic charges of 1 mu m polymer beads due to the capture of target bioparticles on the surface. These changes can be sensitively detected through the lateral displacement of the beads in the DLD array, wherein the lateral shifts in the output translates to a quantitative measurement of bioparticles bound to the bead. The detection of albumin protein and nano-sized polymer vesicles with a concentration as low as 10 ng mL(-1) (150 pM) and 3.75 mu gmL(-1), respectively, is demonstrated. This label-free method holds potential for point-of-care diagnostics, as it is low-cost, fast, sensitive, and only requires a standard laboratory microscope for detection.</t>
  </si>
  <si>
    <t>[Zeming, Kerwin Kwek; Salafi, Thoriq; Shikha, Swati; Zhang, Yong] Natl Univ Singapore, Dept Biomed Engn, Fac Engn, Singapore 117583, Singapore; [Salafi, Thoriq; Zhang, Yong] Natl Univ Singapore, NUS Grad Sch Integrat Sci &amp; Engn, Singapore 117456, Singapore</t>
  </si>
  <si>
    <t>National University of Singapore; National University of Singapore</t>
  </si>
  <si>
    <t>Zhang, Y (corresponding author), Natl Univ Singapore, Dept Biomed Engn, Fac Engn, Singapore 117583, Singapore.;Zhang, Y (corresponding author), Natl Univ Singapore, NUS Grad Sch Integrat Sci &amp; Engn, Singapore 117456, Singapore.</t>
  </si>
  <si>
    <t>biezy@nus.edu.sg</t>
  </si>
  <si>
    <t>Kwek, Kerwin/AAH-8411-2021; Zhang, Yong/F-2803-2010</t>
  </si>
  <si>
    <t>Zhang, Yong/0000-0002-1303-0458; salafi, Thoriq/0000-0002-4719-4995; Kwek, Kerwin Zeming/0000-0002-3088-3604</t>
  </si>
  <si>
    <t>MAR 28</t>
  </si>
  <si>
    <t>10.1038/s41467-018-03596-z</t>
  </si>
  <si>
    <t>WOS:000428520600009</t>
  </si>
  <si>
    <t>Song, ZG; Mao, J; Barrero, RA; Wang, P; Zhang, FQ; Wang, T</t>
  </si>
  <si>
    <t>Song, Zhenguo; Mao, Jun; Barrero, Roberto A.; Wang, Peng; Zhang, Fengqiu; Wang, Tao</t>
  </si>
  <si>
    <t>Development of a CD63 Aptamer for Efficient Cancer Immunochemistry and Immunoaffinity-Based Exosome Isolation</t>
  </si>
  <si>
    <t>CD63; aptamer; SELEX; cancer; exosome; breast cancer</t>
  </si>
  <si>
    <t>CD63, a member of transmembrane-4-superfamily of tetraspanin proteins and a highly N-glycosylated type III lysosomal membrane protein, is known to regulate malignancy of various types of cancers such as melanoma and breast cancer and serves as a potential marker for cancer detection. Recently, its important role as a classic exosome marker was also emphasized. In this work, via using a magnetic bead-based competitive SELEX (systematic evolution of ligands by exponential enrichment) procedure and introducing a 0.5 M NaCl as elution buffer, we identified two DNA aptamers (CD63-1 and CD63-2) with high affinity and specificity to CD63 protein (K-d = 38.71 nM and 78.43, respectively). Furthermore, CD63-1 was found to be efficient in binding CD63 positive cells, including breast cancer MDA-MB-231 cells and CD63-overexpressed HEK293T cells, with a medium binding affinity (K-d similar to 100 nM) as assessed by flow cytometry. When immunostaining assay was performed using clinical breast cancer biopsy, the CD63-1 aptamer demonstrated a comparable diagnostic efficacy for CD63 positive breast cancer with commercial antibodies. After developing a magnetic bead-based exosome immunoaffinity separation system using CD63-1 aptamer, it was found that this bead-based system could effectively isolate exosomes from both MDA-MB-231 and HT29 cell culture medium. Importantly, the introduction of the NaCl elution in this work enabled the isolation of native exosomes via a simple 0.5M NaCl incubation step. Based on these results, we firmly believe that the developed aptamers could be useful towards efficient isolation of native state exosomes from clinical samples and various theranostic applications for CD63-positive cancers.</t>
  </si>
  <si>
    <t>[Song, Zhenguo] Zhengzhou Univ, Dept Pharm, Affiliated Canc Hosp, Zhengzhou 450008, Peoples R China; [Mao, Jun] Dalian Med Univ, Coll Basic Med Sci, Dalian 116044, Peoples R China; [Barrero, Roberto A.] Queensland Univ Technol, Div Res &amp; Innovat, eRes Off, Brisbane, Qld 4001, Australia; [Wang, Peng; Wang, Tao] Zhengzhou Univ, Coll Nursing &amp; Hlth, Zhengzhou 450001, Peoples R China; [Zhang, Fengqiu] Zhengzhou Univ, Henan Key Lab Ion Beam Bioengn, Zhengzhou 450000, Peoples R China</t>
  </si>
  <si>
    <t>Zhengzhou University; Dalian Medical University; Queensland University of Technology (QUT); Zhengzhou University; Zhengzhou University</t>
  </si>
  <si>
    <t>Wang, T (corresponding author), Zhengzhou Univ, Coll Nursing &amp; Hlth, Zhengzhou 450001, Peoples R China.;Zhang, FQ (corresponding author), Zhengzhou Univ, Henan Key Lab Ion Beam Bioengn, Zhengzhou 450000, Peoples R China.</t>
  </si>
  <si>
    <t>zlyysongzhenguo1677@zzu.edu.cn; maojun1116@163.com; roberto.barrero@qut.edu.au; pengwang@zzu.edu.cn; zhangfengqiu@zzu.edu.cn; wangtaomary@zzu.edu.cn</t>
  </si>
  <si>
    <t>Wang, Tao/0000-0002-9623-8800; Barrero, Roberto/0000-0002-7735-665X</t>
  </si>
  <si>
    <t>10.3390/molecules25235585</t>
  </si>
  <si>
    <t>WOS:000597445200001</t>
  </si>
  <si>
    <t>Csak, T; Bala, S; Lippai, D; Satishchandran, A; Catalano, D; Kodys, K; Szabo, G</t>
  </si>
  <si>
    <t>Csak, Timea; Bala, Shashi; Lippai, Dora; Satishchandran, Abishek; Catalano, Donna; Kodys, Karen; Szabo, Gyongyi</t>
  </si>
  <si>
    <t>microRNA-122 regulates hypoxia-inducible factor-1 and vimentin in hepatocytes and correlates with fibrosis in diet-induced steatohepatitis</t>
  </si>
  <si>
    <t>LIVER INTERNATIONAL</t>
  </si>
  <si>
    <t>exosomes; fibrosis; hepatocyte; HIF-1; MAP3K3; miR-122; vimentin</t>
  </si>
  <si>
    <t>EPITHELIAL-MESENCHYMAL TRANSITION; HEPATOCELLULAR-CARCINOMA; NONALCOHOLIC STEATOHEPATITIS; LIVER FIBROSIS; INSULIN-RESISTANCE; CHOLINE-DEFICIENT; BCL-2 EXPRESSION; ADIPOSE-TISSUE; LYSYL OXIDASE; MICE</t>
  </si>
  <si>
    <t>Background &amp; AimsmiR-122 is the most abundant miRNA in the liver particularly in hepatocytes where it targets cholesterol metabolism. Steatosis, a key component of non-alcoholic fatty liver disease, is regulated by hypoxia-inducible factor-1 (HIF-1). Here, we hypothesized that reduced miR-122 has a pathogenic role in steatohepatitis. MethodsmiR-122 and its target genes were evaluated in mouse livers and/or isolated hepatocytes after methionine-choline-deficient (MCD) or methionine-choline-supplemented (MCS) diet. ResultsLiver and hepatocyte miR-122 expression was significantly decreased in steatohepatitis. A maximum reduction in miR-122 occurred at the fibrosis stage (8weeks of MCD diet). MAP3K3, a miR-122 target gene, was induced at all stages of non-alcoholic steatohepatitis (NASH; 3-8weeks) only at the mRNA level. Increased NF-B activation was found in MCD diet-fed mice and MAP3K3 regulated the NF-B DNA binding in naive hepatocytes. HIF-1 mRNA and DNA binding and expression of the HIF-1 target gene, profibrotic lysyl oxidase, was increased in advanced steatohepatitis (8weeks). In addition, increase in vimentin and Sirius red staining (liver fibrosis) was found at 8weeks of MCD diet. Using miR-122 overexpression and inhibition approaches, we confirmed that HIF-1, vimentin and MAP3K3 are novel miR-122 targets in hepatocytes. We report transcriptional repression of miR-122 in NASH. Decreased liver miR-122 was associated with elevated circulating miR-122 in both exosome-rich and protein-rich serum fractions. ConclusionsOur novel data suggest that decreased liver miR-122 contributes to upregulation of modulators of tissue remodelling (HIF-1, vimentin and MAP3K3) and might play a role in NASH-induced liver fibrosis.</t>
  </si>
  <si>
    <t>[Csak, Timea; Bala, Shashi; Lippai, Dora; Satishchandran, Abishek; Catalano, Donna; Kodys, Karen; Szabo, Gyongyi] Univ Massachusetts, Dept Med, Sch Med, Worcester, MA 01605 USA</t>
  </si>
  <si>
    <t>University of Massachusetts System; University of Massachusetts Worcester</t>
  </si>
  <si>
    <t>Szabo, G (corresponding author), Univ Massachusetts, Dept Med, Sch Med, LRB215,364 Plantat St, Worcester, MA 01605 USA.</t>
  </si>
  <si>
    <t>gyongyi.szabo@umassmed.edu</t>
  </si>
  <si>
    <t>1478-3223</t>
  </si>
  <si>
    <t>1478-3231</t>
  </si>
  <si>
    <t>10.1111/liv.12633</t>
  </si>
  <si>
    <t>WOS:000348714500032</t>
  </si>
  <si>
    <t>Weick, EM; Puno, MR; Januszyk, K; Zinder, JC; DiMattia, MA; Lima, CD</t>
  </si>
  <si>
    <t>Weick, Eva-Maria; Puno, M. Rhyan; Januszyk, Kurt; Zinder, John C.; DiMattia, Michael A.; Lima, Christopher D.</t>
  </si>
  <si>
    <t>Helicase-Dependent RNA Decay Illuminated by a Cryo-EM Structure of a Human Nuclear RNA Exosome-MTR4 Complex</t>
  </si>
  <si>
    <t>RIBOSOMAL-RNA; CRYSTAL-STRUCTURE; IN-VIVO; SUBUNIT; CORE; DEGRADATION; IDENTIFICATION; SYSTEM; DOMAIN; MTR4</t>
  </si>
  <si>
    <t>The ribonucleolytic RNA exosome interacts with RNA helicases to degrade RNA. To understand how the 3' to 5' Mtr4 helicase engages RNA and the nuclear exosome, we reconstituted 14-subunit Mtr4-containing RNA exosomes from Saccharomyces cerevisiae, Schizosaccharomyces pombe, and human and show that they unwind structured substrates to promote degradation. We loaded a human exosome with an optimized DNA-RNA chimera that stalls MTR4 during unwinding and determined its structure to an overall resolution of 3.45 angstrom by cryoelectron microscopy (cryo-EM). The structure reveals an RNA-engaged helicase atop the non-catalytic core, with RNA captured within the central channel and DIS3 exoribonuclease active site. MPP6 tethers MTR4 to the exosome through contacts to the RecA domains of MTR4. EXOSC10 remains bound to the core, but its catalytic module and cofactor C1D are displaced by RNA-engaged MTR4. Competition for the exosome core may ensure that RNA is committed to degradation by DIS3 when engaged by MTR4.</t>
  </si>
  <si>
    <t>[Weick, Eva-Maria; Puno, M. Rhyan; Januszyk, Kurt; Zinder, John C.; DiMattia, Michael A.; Lima, Christopher D.] Mem Sloan Kettering Canc Ctr, Sloan Kettering Inst, Struct Biol Program, New York, NY 10065 USA; [Zinder, John C.] Mem Sloan Kettering Canc Ctr, Triinst Training Program Chem Biol, New York, NY 10065 USA; [Puno, M. Rhyan; DiMattia, Michael A.; Lima, Christopher D.] Howard Hughes Med Inst, 1275 York Ave, New York, NY 10065 USA</t>
  </si>
  <si>
    <t>Memorial Sloan Kettering Cancer Center; Memorial Sloan Kettering Cancer Center; Howard Hughes Medical Institute</t>
  </si>
  <si>
    <t>Lima, CD (corresponding author), Mem Sloan Kettering Canc Ctr, Sloan Kettering Inst, Struct Biol Program, New York, NY 10065 USA.;Lima, CD (corresponding author), Howard Hughes Med Inst, 1275 York Ave, New York, NY 10065 USA.</t>
  </si>
  <si>
    <t>Lima, Christopher/0000-0002-9163-6092; Puno, Marc Rhyan/0000-0001-9653-3220; Zinder, John/0000-0003-4645-3710; Weick, Eva-Maria/0000-0002-3504-2572</t>
  </si>
  <si>
    <t>1677.e21</t>
  </si>
  <si>
    <t>10.1016/j.cell.2018.05.041</t>
  </si>
  <si>
    <t>WOS:000437004000015</t>
  </si>
  <si>
    <t>Wang, XX; Cao, QN; Shi, YG; Wu, XL; Mi, Y; Liu, K; Kan, QC; Fan, RT; Liu, ZS; Zhang, MZ</t>
  </si>
  <si>
    <t>Wang, Xinxin; Cao, Qinchen; Shi, Yonggang; Wu, Xiaolong; Mi, Yin; Liu, Ke; Kan, Quancheng; Fan, Ruitai; Liu, Zhangsuo; Zhang, Mingzhi</t>
  </si>
  <si>
    <t>Identification of low-dose radiation-induced exosomal circ- METRN and miR-4709-3p/GRB14/PDGFR alpha pathway as a key regulatory mechanism in Glioblastoma progression and radioresistance: Functional validation and clinical theranostic significance</t>
  </si>
  <si>
    <t>INTERNATIONAL JOURNAL OF BIOLOGICAL SCIENCES</t>
  </si>
  <si>
    <t>glioblastoma; low-dose radiation; exosome; circ-METRN; progression</t>
  </si>
  <si>
    <t>EPITHELIAL-MESENCHYMAL TRANSITION; CANCER-CELLS; GLIOMA PROGRESSION; COLORECTAL-CANCER; GROWTH; THERAPY; METASTASIS; RESISTANCE; GRB14; PROLIFERATION</t>
  </si>
  <si>
    <t>Glioblastoma is a central nervous malignancy with a very poor prognosis. This study attempted to explore the role of exosomes induced by low-dose radiation-induced (ldrEXOs) and ldrEXOs-derived circ-METRN in glioblastoma progression and radioresistance at the molecular, cellular, animal, and clinical levels. Results in the present study revealed that low-dose radiation stimulated the secretion of ldrEXOs which delivered high levels of circ-METRN. And circ-METRN-abundant ldrEXOs increased the expression of ?-H2AX, indicating an efficient DNA damage-repair process in glioblastoma cells. The ldrEXOs-derived circ-METRN enhanced the glioblastoma progression and radioresistance via miR-4709-3p/GRB14/PDGFR? pathway. Up-regulating PDGFR? can rescue the tumor-promoting function of ldrEXOs in groups previously treated with inhibition of GRB14. Additionally, in-vivo experiments revealed that treatments with ldrEXOs promoted the growth of xenografted tumors and shortened the survival period. Furthermore, clinical researches indicated that circ-METRN may be transported into the bloodstream by exosomes in the early stages of fractionated radiotherapy. It has important clinical values to detect the serum exosomal circ-METRN in the early stage of radiotherapy, Glioblastoma is a central nervous malignancy with a very poor prognosis. This study attempted to explore the role of exosomes induced by low-dose radiation-induced (ldrEXOs) and ldrEXOs-derived circ-METRN in glioblastoma progression and radioresistance at the molecular, cellular, animal, and clinical levels. Results in the present study revealed that low-dose radiation stimulated the secretion of ldrEXOs which delivered high levels of circ-METRN. And circ-METRN-abundant ldrEXOs increased the expression of ?-H2AX, indicating an efficient DNA damage-repair process in glioblastoma cells. The ldrEXOs-derived circ-METRN enhanced the glioblastoma progression and radioresistance via miR-4709-3p/GRB14/PDGFR? pathway. Up-regulating PDGFR? can rescue the tumor-promoting function of ldrEXOs in groups previously treated with inhibition of GRB14. Additionally, in-vivo experiments revealed that treatments with ldrEXOs promoted the growth of xenografted tumors and shortened the survival period. Furthermore, clinical researches indicated that circ-METRN may be transported into the bloodstream by exosomes in the early stages of fractionated radiotherapy. It has important clinical values to detect the serum exosomal circ-METRN in the early stage of radiotherapy, which is not only conducive to predict radioresistance and prognosis but also to assist MRI diagnosis in detecting the very early recurrence of glioblastoma. In summary, this study reveals for the first time that low-dose radiation-induced exosomal circ-METRN plays an oncogenic role in glioblastoma progression and radioresistance through miR-4709-3p/GRB14/PDGFR? pathway, providing mechanistic insights into the roles of circRNAs and a valuable marker for therapeutic targets in glioblastoma.</t>
  </si>
  <si>
    <t>[Wang, Xinxin] Zhengzhou Univ, Dept Neurol, Affiliated Hosp 1, Zhengzhou 450052, Peoples R China; [Cao, Qinchen; Shi, Yonggang; Mi, Yin; Liu, Ke] Zhengzhou Univ, Dept Radiat Therapy, Affiliated Hosp 1, Zhengzhou 450052, Peoples R China; [Wu, Xiaolong; Zhang, Mingzhi] Zhengzhou Univ, Dept Med Oncol, Affiliated Hosp 1, Zhengzhou 450052, Peoples R China; [Kan, Quancheng; Liu, Zhangsuo] Zhengzhou Univ, Dept Pharm &amp; Internal Med, Affiliated Hosp 1, Zhengzhou 450052, Peoples R China; [Fan, Ruitai] Zhengzhou Univ, Dept Radiat Oncol, Affiliated Hosp 1, Zhengzhou 450052, Peoples R China</t>
  </si>
  <si>
    <t>Zhengzhou University; Zhengzhou University; Zhengzhou University; Zhengzhou University; Zhengzhou University</t>
  </si>
  <si>
    <t>Cao, QN (corresponding author), Zhengzhou Univ, Dept Radiat Therapy, Affiliated Hosp 1, Zhengzhou 450052, Peoples R China.</t>
  </si>
  <si>
    <t>fcccaoqs@zzu.edu.cn</t>
  </si>
  <si>
    <t>Wang, Xin/AAN-8435-2021; Mi, Yin/GPP-3185-2022</t>
  </si>
  <si>
    <t>Wang, Xin/0000-0002-4457-7376; Mi, Yin/0000-0003-3683-9177; Shi, Yonggang/0000-0003-2701-2522</t>
  </si>
  <si>
    <t>1449-2288</t>
  </si>
  <si>
    <t>10.7150/ijbs.57168</t>
  </si>
  <si>
    <t>WOS:000632774700012</t>
  </si>
  <si>
    <t>Bang, YH; Shim, JH; Ryu, KJ; Kim, YJ; Choi, ME; Yoon, SE; Cho, J; Park, B; Park, WY; Kim, WS; Kim, SJ</t>
  </si>
  <si>
    <t>Bang, Yeong Hak; Shim, Joon Ho; Ryu, Kyung Ju; Kim, Yeon Jeong; Choi, Myung Eun; Yoon, Sang Eun; Cho, Junhun; Park, Bon; Park, Woong-Yang; Kim, Won Seog; Kim, Seok Jin</t>
  </si>
  <si>
    <t>Clinical relevance of serum-derived exosomal messenger RNA sequencing in patients with non-Hodgkin lymphoma</t>
  </si>
  <si>
    <t>JOURNAL OF CANCER</t>
  </si>
  <si>
    <t>Liquid biopsy; exosome; messenger RNA; non-Hodgkin lymphoma</t>
  </si>
  <si>
    <t>B-CELL LYMPHOMA; ORIGIN</t>
  </si>
  <si>
    <t>Background: The clinical utility of mRNA cargo in exosomes is unclear, although exosomes have potential as non-invasive biomarkers. This study aimed to investigate the feasibility of exosomal mRNA sequencing for monitoring disease status and predicting outcomes in non-Hodgkin lymphoma (NHL) patients. Methods: Exosomes were isolated from archived serum samples of 33 patients with NHL who were registered into our prospective cohort: diffuse large B-cell lymphoma (DLBCL, n = 17), intravascular B-cell lymphoma (IVL, n = 1), primary mediastinal large B-cell lymphoma (PMBL, n = 4), follicular lymphoma (FL, n = 3), mantle cell lymphoma (MCL, n = 3), and extranodal NK/T-cell lymphoma (ENKTL, n = 5). Exosomal mRNA sequencing was performed, and its concordance with clinical course was analyzed and compared with those of circulating tumor DNA (ctDNA) mutations. Results: Exosomal mRNA sequencing was performed successfully in 26 cases (79%, 26/33), whereas the remaining seven cases were not completed due to their small amount of RNA. The exosomal mRNA sequencing of DLBCL showed gene expression profiles consistent with activated B-cell-like and germinal center type. The longitudinal assessment of exosomal mRNA sequencing results in accordance with the clinical course showed that the post-treatment changes of exosomal mRNA expression were more consistent with treatment outcome than were those of ctDNA mutations. In particular, the exosomal mRNA expression of genes such as BCL2 and BCL6 was increased at the time of disease progression in DLBCL and FL patients. Conclusions: This study demonstrated the feasibility of exosomal mRNA expression profiles as a biomarker for NHL patients. Our results might provide the rationale for studies to explore the potential of exosomal mRNA as a biomarker in NHL patients.</t>
  </si>
  <si>
    <t>[Bang, Yeong Hak] Sungkyunkwan Univ, Samsung Adv Inst Hlth Sci &amp; Technol, Dept Digital Hlth, Seoul, South Korea; [Shim, Joon Ho; Ryu, Kyung Ju; Choi, Myung Eun; Park, Bon; Kim, Won Seog; Kim, Seok Jin] Sungkyunkwan Univ, Samsung Adv Inst Hlth Sci &amp; Technol, Dept Hlth Sci &amp; Technol, Seoul, South Korea; [Shim, Joon Ho; Kim, Yeon Jeong; Park, Woong-Yang] Samsung Med Ctr, Samsung Genome Inst, Seoul, South Korea; [Yoon, Sang Eun; Kim, Won Seog; Kim, Seok Jin] Sungkyunkwan Univ, Sch Med, Samsung Med Ctr, Dept Med,Div Hematol &amp; Oncol, 81 Irwon Ro, Seoul 06351, South Korea; [Cho, Junhun] Sungkyunkwan Univ, Coll Med, Samsung Med Ctr, Dept Pathol &amp; Translat Genom, Seoul, South Korea</t>
  </si>
  <si>
    <t>Sungkyunkwan University (SKKU); Samsung Medical Center; Sungkyunkwan University (SKKU); Samsung Medical Center; Sungkyunkwan University (SKKU); Samsung Medical Center; Sungkyunkwan University (SKKU); Samsung Medical Center; Sungkyunkwan University (SKKU); Samsung Medical Center</t>
  </si>
  <si>
    <t>Kim, SJ (corresponding author), Sungkyunkwan Univ, Sch Med, Samsung Med Ctr, Dept Med,Div Hematol &amp; Oncol, 81 Irwon Ro, Seoul 06351, South Korea.</t>
  </si>
  <si>
    <t>kstwoh@skku.edu</t>
  </si>
  <si>
    <t>Wu, 晓楠/CAF-8096-2022</t>
  </si>
  <si>
    <t>1837-9664</t>
  </si>
  <si>
    <t>10.7150/jca.69639</t>
  </si>
  <si>
    <t>WOS:000819454200001</t>
  </si>
  <si>
    <t>von Einem, J; Schumacher, D; O'Callaghan, DJ; Osterrieder, N</t>
  </si>
  <si>
    <t>The alpha t-TIF (VP16) homologue (ETIF) of equine herpesvirus 1 is essential for secondary envelopment and virus egress</t>
  </si>
  <si>
    <t>HERPES-SIMPLEX-VIRUS; IMMEDIATE-EARLY GENE; TRANSCRIPTIONAL ACTIVATION DOMAIN; TRANS-INDUCING FACTOR; MAREKS-DISEASE VIRUS; GLYCOPROTEIN-M; EARLY PROTEIN; REGULATORY FUNCTION; PSEUDORABIES VIRUS; TEGUMENT PROTEINS</t>
  </si>
  <si>
    <t>The equine herpesvirus 1 (EM-1) alpha-trans-inducing factor homologue (ETIF; VP16-E) is a 60-kDa virion component encoded by gene 12 (ORF12) that transactivates the immediate-early gene promoter. Here we report on the function of EHV-1 ETIF in the context of viral infection. An ETIF-null mutant from EHV-1 strain RacL11 (vL11 Delta ETIF) was constructed and analyzed. After transfection of vL11 Delta ETIF DNA into RK13 cells, no infectious virus could be reconstituted, and only single infected cells or small foci containing up to eight infected cells were detected. In contrast, after transfection of vL11 Delta ETIF DNA into a complementing cell line, infectious virus could be recovered, indicating the requirement of ETIF for productive virus infection. The growth defect of vL11 Delta ETIF could largely be restored by propagation on the complementing cell line, and growth on the complementing cell line resulted in incorporation of ETIF in mature and secreted virions. Low-and high-multiplicity infections of RK13 cells with phenotypically complemented vL11 Delta ETIF virus resulted in titers of virus progeny similar to those used for infection, suggesting that input ETIF from infection was recycled. Ultrastructural studies of vL11 Delta ETIF-infected cells demonstrated a marked defect in secondary envelopment at cytoplasmic membranes, resulting in very few enveloped virions in transport vesicles or extracellular space. Taken together, our results demonstrate that ETIF has an essential function in the replication cycle of EHV-1, and its main role appears to be in secondary envelopment.</t>
  </si>
  <si>
    <t>Cornell Univ, Coll Vet Med, Dept Microbiol &amp; Immunol, Ithaca, NY 14853 USA; Louisiana State Univ, Hlth Sci Ctr, Ctr Mol &amp; Tumor Virol, Dept Microbiol &amp; Immunol, Shreveport, LA 71130 USA</t>
  </si>
  <si>
    <t>Cornell University; Louisiana State University System; Louisiana State University Health Sciences Center at Shreveport</t>
  </si>
  <si>
    <t>Osterrieder, N (corresponding author), Cornell Univ, Coll Vet Med, Dept Microbiol &amp; Immunol, Ithaca, NY 14853 USA.</t>
  </si>
  <si>
    <t>no34@cornell.edu</t>
  </si>
  <si>
    <t>Osterrieder, Nikolaus/0000-0002-5313-2176</t>
  </si>
  <si>
    <t>10.1128/JVI.80.6.2609-2620.2006</t>
  </si>
  <si>
    <t>WOS:000236131400003</t>
  </si>
  <si>
    <t>Gago, S; Overton, NLD; Ben-Ghazzi, N; Novak-Frazer, L; Read, ND; Denning, DW; Bowyer, P</t>
  </si>
  <si>
    <t>Gago, Sara; Overton, Nicola L. D.; Ben-Ghazzi, Nagwa; Novak-Frazer, Lilyann; Read, Nick D.; Denning, David W.; Bowyer, Paul</t>
  </si>
  <si>
    <t>Lung colonization by Aspergillus fumigatus is controlled by ZNF77</t>
  </si>
  <si>
    <t>ALLERGIC BRONCHOPULMONARY ASPERGILLOSIS; EXTRACELLULAR-MATRIX PROTEINS; GENETIC SUSCEPTIBILITY; ASTHMA; BINDING; CONIDIA; CELLS; POLYMORPHISMS; RECOGNITION; INVOLVEMENT</t>
  </si>
  <si>
    <t>Aspergillus fumigatus is a critical pathogen of humans. Exposure to A. fumigatus conidia occurs frequently but is normally cleared from the respiratory airways. In contrast, individuals with respiratory diseases are often highly colonized by fungi. Here, we use genome-edited epithelial cells to show that the genetic variant rs35699176 in ZNF77 causes loss of integrity of the bronchial epithelium and increases levels of extracellular matrix proteins. These changes promote A. fumigatus conidial adhesion, germination and growth. RNA-seq and LC/MS-MS analysis reveal rs35699176 upregulates vesicle trafficking leading to an increment of adhesion proteins. These changes make cells carrying rs35699176 more receptive to A. fumigatus in the early stages of infection. Moreover, patients with fungal asthma carrying rs35699176(+/-) have higher A. fumigatus loads in their respiratory airway. Our results indicate ZNF77 as a key controller of Aspergillus colonization and suggest its utility as a risk-marker for patient stratification.</t>
  </si>
  <si>
    <t>[Gago, Sara; Overton, Nicola L. D.; Ben-Ghazzi, Nagwa; Read, Nick D.; Bowyer, Paul] Univ Manchester, Div Infect Immun &amp; Resp Med, Manchester Fungal Infect Grp, CTF Bldg,46 Grafton St, Manchester M13 9NT, Lancs, England; [Novak-Frazer, Lilyann] Univ Manchester, Manchester Acad Hlth Sci Ctr, Sch Biol Sci, Div Infect Immun &amp; Resp Med, Manchester M23 9LT, Lancs, England; [Novak-Frazer, Lilyann] Univ Hosp South Manchester NHS Fdn Trust, Manchester M23 9LT, Lancs, England; [Novak-Frazer, Lilyann] Manchester Univ NHS Fdn Trust, Mycol Reference Ctr, ECMM Excellence Ctr Med Mycol, Manchester M23 9LT, Lancs, England; [Denning, David W.] Univ Hosp South Manchester NHS Fdn Trust, Manchester Acad Hlth Sci Ctr, Natl Aspergillosis Ctr, Manchester M23 9LT, Lancs, England; [Overton, Nicola L. D.] Univ Manchester, CRUK Manchester Inst, Clin &amp; Expt Pharmacol Grp, Manchester M20 4GJ, Lancs, England</t>
  </si>
  <si>
    <t>University of Manchester; University of Manchester; Wythenshawe Hospital NHS Foundation Trust; University of Manchester; Wythenshawe Hospital NHS Foundation Trust; University of Manchester</t>
  </si>
  <si>
    <t>Bowyer, P (corresponding author), Univ Manchester, Div Infect Immun &amp; Resp Med, Manchester Fungal Infect Grp, CTF Bldg,46 Grafton St, Manchester M13 9NT, Lancs, England.</t>
  </si>
  <si>
    <t>paul.bowyer@manchester.ac.uk</t>
  </si>
  <si>
    <t>Denning, David/AAC-6931-2019; Novak Frazer, LilyAnn/O-1831-2017</t>
  </si>
  <si>
    <t>Denning, David/0000-0001-5626-2251; bowyer, paul/0000-0002-1083-9286; Novak Frazer, LilyAnn/0000-0002-1434-3915; Gago Prieto, Sara/0000-0002-7027-4598</t>
  </si>
  <si>
    <t>10.1038/s41467-018-06148-7</t>
  </si>
  <si>
    <t>WOS:000445064100004</t>
  </si>
  <si>
    <t>Chiang, B; Essick, E; Ehringer, W; Murphree, S; Hauck, MA; Li, M; Chien, SF</t>
  </si>
  <si>
    <t>Chiang, Benjamin; Essick, Eric; Ehringer, William; Murphree, Sidney; Hauck, Mary Anne; Li, Ming; Chien, Sufan</t>
  </si>
  <si>
    <t>Enhancing skin wound healing by direct delivery of intracellular adenosine triphosphate</t>
  </si>
  <si>
    <t>AMERICAN JOURNAL OF SURGERY</t>
  </si>
  <si>
    <t>wound; skin; ATP; mice</t>
  </si>
  <si>
    <t>STEALTH LIPOSOMES; EXTRACELLULAR ATP; IN-VITRO; OXYGEN; ENHANCEMENT; METABOLISM; THERAPY; FUSION; CELLS; DNA</t>
  </si>
  <si>
    <t>Background: A new intracellular adenosine triphosphate (ATP) delivery technique has been developed and was tested for skin wound care. Methods: Eleven pairs of adult nude mice were used. ATP-vesicles were applied in I I mice, and another 11 mice were treated with lipid vesicles only. Results: The group treated with ATP-encapsulated fusogenic small, unilamellar lipid vesicles healed faster than the group treated with only lipid vesicles. Histologic study indicated better developed granular tissue and re-epithelialization in the study group, and wound tissue vascular endothelial growth factor expressions were also higher in ATP-vesicles treated mice. Conclusions: This intracellular ATP delivery system may provide a new hope for wound healing as well as the treatment of medical conditions in which ischernia is involved. (c) 2007 Excerpta Medica Inc. All rights reserved.</t>
  </si>
  <si>
    <t>Univ Louisville, Dept Surg, Louisville, KY 40202 USA; Univ Louisville, Dept Physiol, Louisville, KY 40202 USA; Univ Louisville, Dept Pathol, Louisville, KY 40202 USA</t>
  </si>
  <si>
    <t>Chien, SF (corresponding author), Univ Louisville, Dept Surg, Louisville, KY 40202 USA.</t>
  </si>
  <si>
    <t>sufanc@netscape.net</t>
  </si>
  <si>
    <t>0002-9610</t>
  </si>
  <si>
    <t>10.1016/j.amjsurg.2006.08.069</t>
  </si>
  <si>
    <t>Surgery</t>
  </si>
  <si>
    <t>WOS:000243923400012</t>
  </si>
  <si>
    <t>Iyori, K; Futagawa-Saito, K; Hisatsune, J; Yamamoto, M; Sekiguchi, M; Ide, K; Son, WG; Olivry, T; Sugai, M; Fukuyasu, T; Iwasaki, T; Nishifuji, K</t>
  </si>
  <si>
    <t>Iyori, Keita; Futagawa-Saito, Keiko; Hisatsune, Junzo; Yamamoto, Masahiko; Sekiguchi, Maiko; Ide, Kaori; Son, Won-Geun; Olivry, Thierry; Sugai, Motoyuki; Fukuyasu, Tsuguaki; Iwasaki, Toshiroh; Nishifuji, Koji</t>
  </si>
  <si>
    <t>Staphylococcus pseudintermedius exfoliative toxin EXI selectively digests canine desmoglein 1 and causes subcorneal clefts in canine epidermis</t>
  </si>
  <si>
    <t>VETERINARY DERMATOLOGY</t>
  </si>
  <si>
    <t>SCALDED-SKIN SYNDROME; PEMPHIGUS-VULGARIS; EXUDATIVE EPIDERMITIS; EXTRACELLULAR DOMAINS; DESMOSOMAL CADHERINS; SEQUENCE-ANALYSIS; BULLOUS IMPETIGO; HAIR FOLLICLE; CELL-ADHESION; EXPRESSION</t>
  </si>
  <si>
    <t>Staphylococcal exfoliative toxins are known to digest desmoglein (Dsg) 1, a desmosomal cell-cell adhesion molecule, thus causing intraepidermal splitting in human bullous impetigo, staphylococcal scalded skin syndrome and swine exudative epidermitis. Recently, a novel exfoliative toxin gene (exi), whose sequence shares significant homology with previously identified exfoliative toxins, was isolated from Staphylococcus pseudintermedius. Little is known about the pathogenic involvement of this toxin in canine pustular diseases such as impetigo. The aim of this study was to determine whether EXI, the product of the exi gene, digests canine Dsg1 and causes intraepidermal splitting in canine skin. An exi gene was isolated from chromosomal DNA of an S. pseudintermedius strain obtained from a pustule of a dog with impetigo, and was used to produce a recombinant EXI by Escherichia coli expression. When purified recombinant EXI was injected intradermally into normal dogs, it caused the development of vesicles or erosions with superficial epidermal splitting. In addition, the EXI abolished immunofluorescence for Dsg1, but not for Dsg3, at the injection sites. Moreover, the EXI directly degraded baculovirus-secreted recombinant extracellular domains of canine Dsg1, but not that of canine Dsg3, in vitro. The EXI also degraded mouse Dsg1 alpha and swine Dsg1, but not human Dsg1, mouse Dsg1 beta and Dsg1 gamma. Conversely, recombinant SIET, previously designated as S. intermedius exfoliative toxin, did not cause intraepidermal splitting or degradation of any Dsgs. These findings indicate that EXI has a proteolytic activity that digests canine Dsg1, and this characteristic might be involved in the pathogenesis of intraepidermal splitting in canine impetigo.</t>
  </si>
  <si>
    <t>[Nishifuji, Koji] Tokyo Univ Agr &amp; Technol, Lab Vet Internal Med, Fac Agr, Fuchu, Tokyo 1838509, Japan; [Futagawa-Saito, Keiko; Fukuyasu, Tsuguaki] Azabu Univ, Sch Vet Med, Dept Anim Hlth 2, Chuo Ku, Kanagawa 2298509, Japan; [Hisatsune, Junzo; Sugai, Motoyuki] Hiroshima Univ, Grad Sch Biomed Sci, Dept Bacteriol, Minami Ku, Hiroshima 7348553, Japan; [Son, Won-Geun; Olivry, Thierry] N Carolina State Univ, Coll Vet Med, Ctr Comparat Med &amp; Translat Res, Raleigh, NC 27606 USA</t>
  </si>
  <si>
    <t>Tokyo University of Agriculture &amp; Technology; Hiroshima University; University of North Carolina; North Carolina State University</t>
  </si>
  <si>
    <t>Nishifuji, K (corresponding author), Tokyo Univ Agr &amp; Technol, Lab Vet Internal Med, Fac Agr, 3-5-8 Saiwai Cho, Fuchu, Tokyo 1838509, Japan.</t>
  </si>
  <si>
    <t>kojimail@cc.tuat.ac.jp</t>
  </si>
  <si>
    <t>Olivry, Thierry/AAV-7869-2021; Nishifuji, Koji/C-8457-2013; Ide, Kaori/D-1099-2013</t>
  </si>
  <si>
    <t>Olivry, Thierry/0000-0003-1399-0034; Nishifuji, Koji/0000-0003-4583-5485; Ide, Kaori/0000-0001-6915-6562</t>
  </si>
  <si>
    <t>0959-4493</t>
  </si>
  <si>
    <t>1365-3164</t>
  </si>
  <si>
    <t>10.1111/j.1365-3164.2011.00952.x</t>
  </si>
  <si>
    <t>Dermatology; Veterinary Sciences</t>
  </si>
  <si>
    <t>WOS:000292646400003</t>
  </si>
  <si>
    <t>Chugh, PE; Sin, SH; Ozgur, S; Henry, DH; Menezes, P; Griffith, J; Eron, JJ; Damania, B; Dittmer, DP</t>
  </si>
  <si>
    <t>Chugh, Pauline E.; Sin, Sang-Hoon; Ozgur, Sezgin; Henry, David H.; Menezes, Prema; Griffith, Jack; Eron, Joseph J.; Damania, Blossom; Dittmer, Dirk P.</t>
  </si>
  <si>
    <t>Systemically Circulating Viral and Tumor-Derived MicroRNAs in KSHV-Associated Malignancies</t>
  </si>
  <si>
    <t>SARCOMA-ASSOCIATED-HERPESVIRUS; PRIMARY EFFUSION LYMPHOMA; BARR-VIRUS DNA; ENDOTHELIAL-CELLS; KAPOSI-SARCOMA; IN-VIVO; NASOPHARYNGEAL CARCINOMA; ENCODED MICRORNAS; EXOSOMAL PROTEINS; MIR-17-92 CLUSTER</t>
  </si>
  <si>
    <t>MicroRNAs (miRNAs) are stable, small non-coding RNAs that modulate many downstream target genes. Recently, circulating miRNAs have been detected in various body fluids and within exosomes, prompting their evaluation as candidate biomarkers of diseases, especially cancer. Kaposi's sarcoma (KS) is the most common AIDS-associated cancer and remains prevalent despite Highly Active Anti-Retroviral Therapy (HAART). KS is caused by KS-associated herpesvirus (KSHV), a gamma herpesvirus also associated with Primary Effusion Lymphoma (PEL). We sought to determine the host and viral circulating miRNAs in plasma, pleural fluid or serum from patients with the KSHV-associated malignancies KS and PEL and from two mouse models of KS. Both KSHV-encoded miRNAs and host miRNAs, including members of the miR-17-92 cluster, were detectable within patient exosomes and circulating miRNA profiles from KSHV mouse models. Further characterization revealed a subset of miRNAs that seemed to be preferentially incorporated into exosomes. Gene ontology analysis of signature exosomal miRNA targets revealed several signaling pathways that are known to be important in KSHV pathogenesis. Functional analysis of endothelial cells exposed to patient-derived exosomes demonstrated enhanced cell migration and IL-6 secretion. This suggests that exosomes derived from KSHV-associated malignancies are functional and contain a distinct subset of miRNAs. These could represent candidate biomarkers of disease and may contribute to the paracrine phenotypes that are a characteristic of KS.</t>
  </si>
  <si>
    <t>[Chugh, Pauline E.; Sin, Sang-Hoon; Ozgur, Sezgin; Griffith, Jack; Damania, Blossom; Dittmer, Dirk P.] Univ N Carolina, Lineberger Comprehens Canc Ctr, Dept Microbiol &amp; Immunol, Program Global Oncol, Chapel Hill, NC 27599 USA; [Henry, David H.] Univ Penn, Joan Karnell Canc Ctr, Dept Oncol, Philadelphia, PA 19104 USA; [Menezes, Prema; Eron, Joseph J.] Univ N Carolina, Dept Infect Dis, Chapel Hill, NC USA</t>
  </si>
  <si>
    <t>University of North Carolina; University of North Carolina Chapel Hill; University of Pennsylvania; University of North Carolina; University of North Carolina Chapel Hill</t>
  </si>
  <si>
    <t>Dittmer, DP (corresponding author), Univ N Carolina, Lineberger Comprehens Canc Ctr, Dept Microbiol &amp; Immunol, Program Global Oncol, Chapel Hill, NC 27599 USA.</t>
  </si>
  <si>
    <t>dirk_dittmer@me.com</t>
  </si>
  <si>
    <t>/W-8369-2019; Dittmer, Dirk/AAH-3535-2021; Henry, David/AAU-4650-2020</t>
  </si>
  <si>
    <t>/0000-0002-6503-4960; Dittmer, Dirk/0000-0003-4968-5656; Henry, David/0000-0001-7169-7704</t>
  </si>
  <si>
    <t>e1003484</t>
  </si>
  <si>
    <t>10.1371/journal.ppat.1003484</t>
  </si>
  <si>
    <t>WOS:000322316700031</t>
  </si>
  <si>
    <t>Mor-Vaknin, N; Punturieri, A; Sitwala, K; Faulkner, N; Legendre, M; Khodadoust, MS; Kappes, F; Ruth, JH; Koch, A; Glass, D; Petruzzelli, L; Adams, BS; Markovitz, DM</t>
  </si>
  <si>
    <t>Mor-Vaknin, Nirit; Punturieri, Antonello; Sitwala, Kajal; Faulkner, Neil; Legendre, Maureen; Khodadoust, Michael S.; Kappes, Ferdinand; Ruth, Jeffrey H.; Koch, Alisa; Glass, David; Petruzzelli, Lilli; Adams, Barbara S.; Markovitz, David M.</t>
  </si>
  <si>
    <t>The DEK nuclear autoantigen is a secreted chemotactic factor</t>
  </si>
  <si>
    <t>MOLECULAR AND CELLULAR BIOLOGY</t>
  </si>
  <si>
    <t>JUVENILE RHEUMATOID-ARTHRITIS; ACUTE MYELOID-LEUKEMIA; PROTEIN-KINASE CK2; PUTATIVE ONCOPROTEIN DEK; CELL-DERIVED EXOSOMES; CAN FUSION GENE; ANTINUCLEAR ANTIBODY; CASEIN KINASE-2; SYNOVIAL-FLUID; MESSENGER-RNA</t>
  </si>
  <si>
    <t>The nuclear DNA-binding protein DEK is an autoantigen that has been implicated in the regulation of transcription, chromatin architecture, and mRNA processing. We demonstrate here that DEK is actively secreted by macrophages and is also found in synovial fluid samples from patients with juvenile arthritis. Secretion of DEK is modulated by casein kinase 2, stimulated by interieukin-8, and inhibited by dexamethasone and cyclosporine A, consistent with a role as a proinflammatory molecule. DEK is secreted in both a free form and in exosomes, vesicular structures in which transcription-modulating factors such as DEK have not previously been found. Furthermore, DEK functions as a chemotactic factor, attracting neutrophils, CD8(+) T lymphocytes, and natural killer cells. Therefore, the DEK autoantigen, previously described as a strictly nuclear protein, is secreted and can act as an extracellular chemoattractant, suggesting a direct role for DEK in inflammation.</t>
  </si>
  <si>
    <t>Univ Michigan, Med Ctr, Dept Internal Med, Div Infect Dis, Ann Arbor, MI 48109 USA; Univ Michigan, Med Ctr, Dept Internal Med, Div Pulm Med, Ann Arbor, MI 48109 USA; Univ Michigan, Med Ctr, Dept Internal Med, Div Rheumatol, Ann Arbor, MI 48109 USA; Univ Michigan, Med Ctr, Dept Internal Med, Div Hematol &amp; Oncol, Ann Arbor, MI 48109 USA; Univ Michigan, Med Ctr, Dept Pediat, Div Rheumatol, Ann Arbor, MI 48109 USA; Univ Michigan, Med Ctr, Program Immunol, Ann Arbor, MI 48109 USA; Univ Michigan, Med Ctr, Mol &amp; Cellular Biol Program, Ann Arbor, MI 48109 USA; NHLBI, Div Lung Dis, Bethesda, MD 20892 USA; Childrens Hosp, Med Ctr, Cincinnati, OH 45229 USA</t>
  </si>
  <si>
    <t>University of Michigan System; University of Michigan; University of Michigan System; University of Michigan; University of Michigan System; University of Michigan; University of Michigan System; University of Michigan; University of Michigan System; University of Michigan; University of Michigan System; University of Michigan; University of Michigan System; University of Michigan; National Institutes of Health (NIH) - USA; NIH National Heart Lung &amp; Blood Institute (NHLBI); Cincinnati Children's Hospital Medical Center</t>
  </si>
  <si>
    <t>Markovitz, DM (corresponding author), Univ Michigan, Med Ctr, Dept Internal Med, Div Infect Dis, 5220 MSRB 3,1150 W Med Ctr Dr, Ann Arbor, MI 48109 USA.</t>
  </si>
  <si>
    <t>dmarkov@umich.edu</t>
  </si>
  <si>
    <t>Khodadoust, Michael/AAU-3936-2020; Kappes, Ferdinand/H-4445-2014; Khodadoust, Michael/K-7764-2019</t>
  </si>
  <si>
    <t>Khodadoust, Michael/0000-0001-9061-7351; Kappes, Ferdinand/0000-0002-0369-0065; Khodadoust, Michael/0000-0001-9061-7351</t>
  </si>
  <si>
    <t>0270-7306</t>
  </si>
  <si>
    <t>1098-5549</t>
  </si>
  <si>
    <t>10.1128/MCB.01030-06</t>
  </si>
  <si>
    <t>WOS:000242859200029</t>
  </si>
  <si>
    <t>Astone, M; Lai, JKH; Dupont, S; Stainier, DYR; Argenton, F; Vettori, A</t>
  </si>
  <si>
    <t>Astone, Matteo; Lai, Jason Kuan Han; Dupont, Sirio; Stainier, Didier Y. R.; Argenton, Francesco; Vettori, Andrea</t>
  </si>
  <si>
    <t>Zebrafish mutants and TEAD reporters reveal essential functions for Yap and Taz in posterior cardinal vein development</t>
  </si>
  <si>
    <t>SMOOTH-MUSCLE-CELL; EMBRYONIC VASCULAR DEVELOPMENT; HIPPO PATHWAY; CARDIOMYOCYTE PROLIFERATION; SIGNALING PATHWAY; TISSUE-GROWTH; SIZE-CONTROL; PROTEIN YAP; YAP/TAZ; EXPRESSION</t>
  </si>
  <si>
    <t>As effectors of the Hippo signaling cascade, YAP1 and TAZ are transcriptional regulators playing important roles in development, tissue homeostasis and cancer. A number of different cues, including mechanotransduction of extracellular stimuli, adhesion molecules, oncogenic signaling and metabolism modulate YAP1/TAZ nucleo-cytoplasmic shuttling. In the nucleus, YAP1/TAZ tether with the DNA binding proteins TEADs, to activate the expression of target genes that regulate proliferation, migration, cell plasticity, and cell fate. Based on responsive elements present in the human and zebrafish promoters of the YAP1/TAZ target gene CTGF, we established zebrafish fluorescent transgenic reporter lines of Yap1/Taz activity. These reporter lines provide an in vivo view of Yap1/Taz activity during development and adulthood at the whole organism level. Transgene expression was detected in many larval tissues including the otic vesicles, heart, pharyngeal arches, muscles and brain and is prominent in endothelial cells. Analysis of vascular development in yap1/taz zebrafish mutants revealed specific defects in posterior cardinal vein (PCV) formation, with altered expression of arterial/venous markers. The overactivation of Yap1/Taz in endothelial cells was sufficient to promote an aberrant vessel sprouting phenotype. Our findings confirm and extend the emerging role of Yap1/Taz in vascular development including angiogenesis.</t>
  </si>
  <si>
    <t>[Astone, Matteo; Argenton, Francesco; Vettori, Andrea] Univ Padua, Dept Biol, Padua, Italy; [Lai, Jason Kuan Han; Stainier, Didier Y. R.] Max Planck Inst Heart &amp; Lung Res, Bad Nauheim, Germany; [Dupont, Sirio] Univ Padua, Dept Mol Med, Padua, Italy</t>
  </si>
  <si>
    <t>University of Padua; Max Planck Society; University of Padua</t>
  </si>
  <si>
    <t>Argenton, F; Vettori, A (corresponding author), Univ Padua, Dept Biol, Padua, Italy.</t>
  </si>
  <si>
    <t>Francesco.argenton@unipd.it; andrea.vettori@unipd.it</t>
  </si>
  <si>
    <t>Dupont, Sirio/AAP-8133-2021; Argenton, Francesco/AAS-8494-2021; Vettori, Andrea/J-3951-2014</t>
  </si>
  <si>
    <t>Argenton, Francesco/0000-0002-0803-8236; Vettori, Andrea/0000-0003-4958-0619; Dupont, Sirio/0000-0002-6869-1966; Stainier, Didier/0000-0002-0382-0026; Astone, Matteo/0000-0003-3294-9942</t>
  </si>
  <si>
    <t>JUL 5</t>
  </si>
  <si>
    <t>10.1038/s41598-018-27657-x</t>
  </si>
  <si>
    <t>WOS:000437413200045</t>
  </si>
  <si>
    <t>Zeng, X; Li, XS; Zhang, YD; Cao, CX; Zhou, Q</t>
  </si>
  <si>
    <t>Zeng, Xue; Li, Xiaosong; Zhang, Yundong; Cao, Chaoxia; Zhou, Qin</t>
  </si>
  <si>
    <t>IL6 Induces mtDNA Leakage to Affect the Immune Escape of Endometrial Carcinoma via cGAS-STING</t>
  </si>
  <si>
    <t>JOURNAL OF IMMUNOLOGY RESEARCH</t>
  </si>
  <si>
    <t>DNA; INVASION; STRESS; CELLS; ROS</t>
  </si>
  <si>
    <t>Endometrial carcinoma (EC) is a commonly diagnosed gynecological malignancy. Interleukin-6 (IL6) plays a critical role in modulating the progression of several types of tumors, including EC. However, the specific mechanism of IL6 in regulating EC progression has not been clearly elucidated. In this study, we performed a series of functional experiments to explore the potential mechanisms involved in IL6 function in the progression of EC. Here, we found that IL6 increased reactive oxygen species (ROS) generation by enhancing the NADPH oxidase (NOX) level and induced mtDNA leakage in EC cells, which further caused the activation of the downstream cGAS-STING signaling and increased production of extracellular vesicle (EV) production from EC cells. Besides, the activation of cGAS-STING signaling enhanced the expression of type I IFN and its downstream molecule PD-L1 through the TBK1-IRF3 pathway. Importantly, a high level mtDNA and PD-L1 were present in EVs derived from IL6-induced EC cells; these vesicles were shown to be able to induce T cell apoptosis. Finally, anti-PD-L1 treatment in mice showed that blockade of PD-L1 significantly reversed tumor immune escape mediated by IL6-induced EVs. Together, we provide evidence that IL6 induced mtDNA leakage to regulate the immune escape of EC cells. Our findings may provide a novel clue for the development of therapeutic targets for EC.</t>
  </si>
  <si>
    <t>[Zeng, Xue; Zhang, Yundong] Chongqing Med Univ, Affiliated Hosp 3, Dept Neurol, Chongqing 401120, Peoples R China; [Li, Xiaosong] Qianjiang Cent Hosp Chongqing, Dept Gynaecol, Chongqing 409090, Peoples R China; [Cao, Chaoxia; Zhou, Qin] Chongqing Med Univ, Affiliated Hosp 1, Dept Obstet &amp; Gynecol, Chongqing 400016, Peoples R China</t>
  </si>
  <si>
    <t>Chongqing Medical University; Chongqing Medical University</t>
  </si>
  <si>
    <t>Zhou, Q (corresponding author), Chongqing Med Univ, Affiliated Hosp 1, Dept Obstet &amp; Gynecol, Chongqing 400016, Peoples R China.</t>
  </si>
  <si>
    <t>zengxuecqyk@163.com; lxs306496433@163.com; zhangyundong1226@163.com; 1217374330@qq.com; zhqinou@hospital.cqmu.edu.cn</t>
  </si>
  <si>
    <t>2314-8861</t>
  </si>
  <si>
    <t>2314-7156</t>
  </si>
  <si>
    <t>10.1155/2022/3815853</t>
  </si>
  <si>
    <t>WOS:000811269400007</t>
  </si>
  <si>
    <t>Sugimoto, S; Okuda, K; Miyakawa, R; Sato, M; Arita-Morioka, K; Chiba, A; Yamanaka, K; Ogura, T; Mizunoe, Y; Sato, C</t>
  </si>
  <si>
    <t>Sugimoto, Shinya; Okuda, Ken-ichi; Miyakawa, Reina; Sato, Mari; Arita-Morioka, Ken-ichi; Chiba, Akio; Yamanaka, Kunitoshi; Ogura, Teru; Mizunoe, Yoshimitsu; Sato, Chikara</t>
  </si>
  <si>
    <t>Imaging of bacterial multicellular behaviour in biofilms in liquid by atmospheric scanning electron microscopy</t>
  </si>
  <si>
    <t>PRIMARY-CELL CULTURES; ESCHERICHIA-COLI; STAPHYLOCOCCUS-EPIDERMIDIS; MOTILITY; FLAGELLA; TISSUES; PURIFICATION; SPECIMENS; SYSTEM; CURLI</t>
  </si>
  <si>
    <t>Biofilms are complex communities of microbes that attach to biotic or abiotic surfaces causing chronic infectious diseases. Within a biofilm, microbes are embedded in a self-produced soft extracellular matrix (ECM), which protects them from the host immune system and antibiotics. The nanoscale visualisation of delicate biofilms in liquid is challenging. Here, we develop atmospheric scanning electron microscopy (ASEM) to visualise Gram-positive and -negative bacterial biofilms immersed in aqueous solution. Biofilms cultured on electron-transparent film were directly imaged from below using the inverted SEM, allowing the formation of the region near the substrate to be studied at high resolution. We visualised intercellular nanostructures and the exocytosis of membrane vesicles, and linked the latter to the trafficking of cargos, including cytoplasmic proteins and the toxins hemolysin and coagulase. A thick dendritic nanotube network was observed between microbes, suggesting multicellular communication in biofilms. A universal immuno-labelling system was developed for biofilms and tested on various examples, including S. aureus biofilms. In the ECM, fine DNA and protein networks were visualised and the precise distribution of protein complexes was determined (e.g., straight curli, flagella, and excreted cytoplasmic molecular chaperones). Our observations provide structural insights into bacteria-substratum interactions, biofilm development and the internal microbe community.</t>
  </si>
  <si>
    <t>[Sugimoto, Shinya; Okuda, Ken-ichi; Miyakawa, Reina; Chiba, Akio; Mizunoe, Yoshimitsu] Jikei Univ, Sch Med, Dept Bacteriol, Minato Ku, 3-25-8 Nishi Shimbashi, Tokyo 1058461, Japan; [Sugimoto, Shinya; Okuda, Ken-ichi; Mizunoe, Yoshimitsu] Jikei Univ, Sch Med, Jikei Ctr Biofilm Sci &amp; Technol, Minato Ku, 3-25-8 Nishi Shimbashi, Tokyo 1058461, Japan; [Sato, Mari; Sato, Chikara] Natl Inst Adv Ind Sci &amp; Technol, Biomed Res Inst, Higashi 1-1-1, Tsukuba, Ibaraki 3058566, Japan; [Arita-Morioka, Ken-ichi; Yamanaka, Kunitoshi; Ogura, Teru] Kumamoto Univ, Inst Mol Embryol &amp; Genet, Dept Mol Cell Biol, Chuo Ku, Kumamoto 8600811, Japan; [Arita-Morioka, Ken-ichi] Fukuoka Dent Coll, Adv Sci Res Ctr, Sawara Ku, 2-15-1 Tamura, Fukuoka 8140193, Japan</t>
  </si>
  <si>
    <t>Jikei University; Jikei University; National Institute of Advanced Industrial Science &amp; Technology (AIST); Kumamoto University; Fukuoka Dental College (FDC)</t>
  </si>
  <si>
    <t>Sugimoto, S (corresponding author), Jikei Univ, Sch Med, Dept Bacteriol, Minato Ku, 3-25-8 Nishi Shimbashi, Tokyo 1058461, Japan.;Sugimoto, S (corresponding author), Jikei Univ, Sch Med, Jikei Ctr Biofilm Sci &amp; Technol, Minato Ku, 3-25-8 Nishi Shimbashi, Tokyo 1058461, Japan.;Sato, C (corresponding author), Natl Inst Adv Ind Sci &amp; Technol, Biomed Res Inst, Higashi 1-1-1, Tsukuba, Ibaraki 3058566, Japan.</t>
  </si>
  <si>
    <t>ssugimoto@jikei.ac.jp; ti-sato@aist.go.jp</t>
  </si>
  <si>
    <t>Sato, Mari/L-9328-2018; Sato, Chikara/M-7183-2016</t>
  </si>
  <si>
    <t>Sato, Mari/0000-0002-1987-7633; Sato, Chikara/0000-0001-5543-4496; Ogura, Teru/0000-0003-3784-0970; Sugimoto, Shinya/0000-0002-3114-8513</t>
  </si>
  <si>
    <t>10.1038/srep25889</t>
  </si>
  <si>
    <t>WOS:000375919100001</t>
  </si>
  <si>
    <t>Ye, YH; Kawamura, K; Sasaki, M; Kawamura, N; Groenen, P; Gelpke, MDS; Kumagai, J; Fukuda, J; Tanaka, T</t>
  </si>
  <si>
    <t>Ye, Yinghui; Kawamura, Kazuhiro; Sasaki, Mitsue; Kawamura, Nanami; Groenen, Peter; Gelpke, Maarten D. Sollewijn; Kumagai, Jin; Fukuda, Jun; Tanaka, Toshinobu</t>
  </si>
  <si>
    <t>Leptin and ObRa/MEK signalling in mouse oocyte maturation and preimplantation embryo development</t>
  </si>
  <si>
    <t>REPRODUCTIVE BIOMEDICINE ONLINE</t>
  </si>
  <si>
    <t>leptin; leptin receptor; oocyte maturation; signal transduction</t>
  </si>
  <si>
    <t>ENDOTHELIAL GROWTH-FACTOR; FOLLICULAR-FLUID LEPTIN; INTRACYTOPLASMIC SPERM INJECTION; ASSISTED REPRODUCTIVE-CYCLES; POLYCYSTIC OVARIAN SYNDROME; PROTEIN-KINASE CASCADE; IN-VITRO FERTILIZATION; RECEPTOR EXPRESSION; BOVINE OOCYTES; SERUM LEPTIN</t>
  </si>
  <si>
    <t>Recent studies indicate that LH stimulates production of ovarian paracrine factors that induce meiosis of the oocyte. DNA microarray analyses of ovarian transcripts were performed in mice and major increases of a short isoform of leptin receptor, ObRa, were identified by the preovulatory LH/human chorionic gonadotrophin (HCG) surge. In oocytes, the level of ObRa transcripts was increased shortly after HCG stimulation, whereas the level of ObRb transcripts was not changed. Leptin was produced by Cumulus, granulosa, theca and interstitial cells of ovaries and its transcript level was not regulated during gonadotrophin treatment. Treatment with leptin promoted germinal vesicle breakdown (GVBD) in oocytes within preovulatory follicles, and enhanced first polar body extrusion in both cumulus-oocyte complexes and denuded oocytes. The leptin-promoted GVBD and first polar body extrusion were blocked by a mitogen-activated protein kinase extracellular signal regulated kinase kinases (MEK)1/2 inhibitor, U0126, but not its inactive analogue U0124. Furthermore, leptin promoted fertilization of oocytes and the in-vitro development of zygotes to preimplantation embryos. These findings suggest paracrine roles of leptin in the enhancement of nuclear maturation of oocytes through MEK 1/2 signalling, and in the promotion of cytoplasmic maturation essential for successful oocyte development to the preimplantation embryos.</t>
  </si>
  <si>
    <t>[Ye, Yinghui; Kawamura, Kazuhiro; Sasaki, Mitsue; Kawamura, Nanami; Kumagai, Jin; Fukuda, Jun; Tanaka, Toshinobu] Akita Univ, Sch Med, Dept Obstet &amp; Gynecol, Akita 010, Japan; [Kawamura, Nanami] Akita Univ, Sch Med, Dept Dermatol &amp; Plast Surg, Akita 010, Japan; [Ye, Yinghui] Zhejiang Univ, Sch Med, Womens Hosp, Dept Reprod Endocrinol, Hangzhou, Zhejiang, Peoples R China; [Groenen, Peter; Gelpke, Maarten D. Sollewijn] Organon, Oss, Netherlands</t>
  </si>
  <si>
    <t>Akita University; Akita University; Zhejiang University</t>
  </si>
  <si>
    <t>Ye, YH (corresponding author), Akita Univ, Sch Med, Dept Obstet &amp; Gynecol, Akita 010, Japan.</t>
  </si>
  <si>
    <t>yeyh1999@hotmail.com</t>
  </si>
  <si>
    <t>1472-6483</t>
  </si>
  <si>
    <t>1472-6491</t>
  </si>
  <si>
    <t>10.1016/S1472-6483(10)60070-3</t>
  </si>
  <si>
    <t>WOS:000268786600007</t>
  </si>
  <si>
    <t>Budamgunta, H; Olexiouk, V; Luyten, W; Schildermans, K; Maes, E; Boonen, K; Menschaert, G; Baggerman, G</t>
  </si>
  <si>
    <t>Budamgunta, Harshavardhan; Olexiouk, Volodimir; Luyten, Walter; Schildermans, Karin; Maes, Evelyne; Boonen, Kurt; Menschaert, Gerben; Baggerman, Geert</t>
  </si>
  <si>
    <t>Comprehensive Peptide Analysis of Mouse Brain Striatum Identifies Novel sORF-Encoded Polypeptides</t>
  </si>
  <si>
    <t>5untranslated transcript regions (UTR); micropeptides; NoBody; ribosome profiling; sORF-encoded polypeptides (SEP)</t>
  </si>
  <si>
    <t>OPEN READING FRAMES; MASS-SPECTROMETRY; MESSENGER-RNA; SMALL ORFS; DISCOVERY; TRANSLATION; PROTEIN; REVEALS; GENOME; NEUROPEPTIDES</t>
  </si>
  <si>
    <t>Bio-active peptides are involved in the regulation of most physiological processes in the body. Classical bio-active peptides (CBAPs) are cleaved from a larger precursor protein and stored in secretion vesicles from which they are released in the extracellular space. Recently, another non-classical type of bio-active peptides (NCBAPs) has gained interest. These typically are not secreted but instead appear to be translated from short open reading frames (sORF) and released directly into the cytoplasm. In contrast to CBAPs, these peptides are involved in the regulation of intra-cellular processes such as transcriptional control, calcium handling and DNA repair. However, bio-chemical evidence for the translation of sORFs remains elusive. Comprehensive analysis of sORF-encoded polypeptides (SEPs) is hampered by a number of methodological and biological challenges: the low molecular mass (many 4-10kDa), the low abundance, transient expression and complications in data analysis. We developed a strategy to address a number of these issues. Our strategy is to exclude false positive identifications. In total sample, we identified 926 peptides originated from 37 known (neuro)peptide precursors in mouse striatum. In addition, four SEPs were identified including NoBody, a SEP that was previously discovered in humans and three novel SEPS from 5 untranslated transcript regions (UTRs).</t>
  </si>
  <si>
    <t>[Budamgunta, Harshavardhan; Schildermans, Karin; Maes, Evelyne; Boonen, Kurt; Baggerman, Geert] UAntwerp, Ctr Prote, Antwerp, Belgium; [Olexiouk, Volodimir; Menschaert, Gerben] Univ Ghent, Dept Math Modelling Stat &amp; Bioinformat, Lab Bioinformat &amp; Computat Genom, BioBix, Ghent, Belgium; [Boonen, Kurt; Baggerman, Geert] VITO, Unit Environm Risk &amp; Hlth, Mol, Belgium; [Luyten, Walter] KULeuven, Anim Physiol &amp; Neurobiol, Leuven, Belgium; [Maes, Evelyne] AgResearch, Prot &amp; Biomat, Christchurch, New Zealand</t>
  </si>
  <si>
    <t>Ghent University; VITO; KU Leuven; AgResearch - New Zealand</t>
  </si>
  <si>
    <t>Baggerman, G (corresponding author), UAntwerp, Ctr Prote, Antwerp, Belgium.;Baggerman, G (corresponding author), VITO, Unit Environm Risk &amp; Hlth, Mol, Belgium.</t>
  </si>
  <si>
    <t>Geert.baggerman@vito.be</t>
  </si>
  <si>
    <t>Maes, Evelyne/ABI-1790-2020</t>
  </si>
  <si>
    <t>Baggerman, Geert/0000-0002-0661-931X; Maes, Evelyne/0000-0002-1461-6039; Olexiouk, Volodimir/0000-0003-1340-2706; Boonen, Kurt/0000-0002-6252-7065</t>
  </si>
  <si>
    <t>10.1002/pmic.201700218</t>
  </si>
  <si>
    <t>WOS:000433593000010</t>
  </si>
  <si>
    <t>Marelja, Z; Leimkuhler, S; Missirlis, F</t>
  </si>
  <si>
    <t>Marelja, Zvonimir; Leimkuhler, Silke; Missirlis, Fanis</t>
  </si>
  <si>
    <t>Iron Sulfur and Molybdenum Cofactor Enzymes Regulate the Drosophila Life Cycle by Controlling Cell Metabolism</t>
  </si>
  <si>
    <t>aldehyde oxidase; DNA polymerase; electron transport chain; ecdysone; iron regulatory protein; quiescent mitochondria; magnetoreceptor; mitoflashes</t>
  </si>
  <si>
    <t>FE-S CLUSTER; ROSY MUTANT STRAINS; XANTHINE DEHYDROGENASE; OXIDATIVE STRESS; MITOCHONDRIAL-DNA; CRYSTAL-STRUCTURE; CIRCADIAN CLOCK; MAROON-LIKE; CYSTEINE DESULFURASE; ALDEHYDE OXIDASE</t>
  </si>
  <si>
    <t>Iron sulfur (Fe-S) clusters and the molybdenum cofactor (Moco) are present at enzyme sites, where the active metal facilitates electron transfer. Such enzyme systems are soluble in the mitochondrial matrix, cytosol and nucleus, or embedded in the inner mitochondrial membrane, but virtually absent from the cell secretory pathway. They are of ancient evolutionary origin supporting respiration, DNA replication, transcription, translation, the biosynthesis of steroids, heme, catabolism of purines, hydroxylation of xenobiotics, and cellular sulfur metabolism. Here, Fe-S cluster and Moco biosynthesis in Drosophila melanogaster is reviewed and the multiple biochemical and physiological functions of known Fe-S and Moco enzymes are described. We show that RNA interference of Mocs3 disrupts Moco biosynthesis and the circadian clock. Fe-S-dependent mitochondrial respiration is discussed in the context of germ line and somatic development, stem cell differentiation and aging. The subcellular compartmentalization of the Fe-S and Moco assembly machinery components and their connections to iron sensing mechanisms and intermediary metabolism are emphasized. A biochemically active Fe-S core complex of heterologously expressed fly Nfs1, Isd11, IscU, and human frataxin is presented. Based on the recent demonstration that copper displaces the Fe-S cluster of yeast and human ferredoxin, an explanation for why high dietary copper leads to cytoplasmic iron deficiency in flies is proposed. Another proposal that exosomes contribute to the transport of xanthine dehydrogenase from peripheral tissues to the eye pigment cells is put forward, where the Vps16a subunit of the HOPS complex may have a specialized role in concentrating this enzyme within pigment granules. Finally, we formulate a hypothesis that (i) mitochondrial superoxide mobilizes iron from the Fe-S clusters in aconitase and succinate dehydrogenase; (ii) increased iron transiently displaces manganese on superoxide dismutase, which may function as a mitochondrial iron sensor since it is inactivated by iron; (iii) with the Krebs cycle thus disrupted, citrate is exported to the cytosol for fatty acid synthesis, while succinyl-CoA and the iron are used for heme biosynthesis; (iv) as iron is used for heme biosynthesis its concentration in the matrix drops allowing for manganese to reactivate superoxide dismutase and Fe-S cluster biosynthesis to reestablish the Krebs cycle.</t>
  </si>
  <si>
    <t>[Marelja, Zvonimir] Univ Paris 05, Sorbonne Paris Cite, Imagine Inst, Paris, France; [Leimkuhler, Silke] Univ Potsdam, Dept Mol Enzymol, Inst Biochem &amp; Biol, Potsdam, Germany; [Missirlis, Fanis] Inst Politecn Nacl, Ctr Invest &amp; Estudios Avanzados, Dept Fisiol Biofis &amp; Neurociencias, Ciudad De Mexico, Mexico</t>
  </si>
  <si>
    <t>UDICE-French Research Universities; Universite de Paris; University of Potsdam; Instituto Politecnico Nacional - Mexico</t>
  </si>
  <si>
    <t>Missirlis, F (corresponding author), Inst Politecn Nacl, Ctr Invest &amp; Estudios Avanzados, Dept Fisiol Biofis &amp; Neurociencias, Ciudad De Mexico, Mexico.</t>
  </si>
  <si>
    <t>fanis@fisio.cinvestav.mx</t>
  </si>
  <si>
    <t>Marelja, Zvonimir/AAL-3557-2020; Missirlis, Fanis/C-1137-2011</t>
  </si>
  <si>
    <t>Missirlis, Fanis/0000-0003-0467-8444; Leimkuhler, Silke/0000-0003-3238-2122; Marelja, Zvonimir/0000-0002-3702-7528</t>
  </si>
  <si>
    <t>10.3389/fphys.2018.00050</t>
  </si>
  <si>
    <t>WOS:000425157400001</t>
  </si>
  <si>
    <t>Zhang, H; Ma, YY; Cheng, XY; Wu, DB; Huang, XM; Chen, B; Ren, YF; Jiang, W; Tang, XQ; Bai, T; Chen, YT; Zhao, YL; Zhang, CX; Xiao, X; Liu, J; Deng, Y; Ye, TH; Chen, L; Liu, HM; Friedman, SL; Chen, LP; Ding, BS; Cao, ZW</t>
  </si>
  <si>
    <t>Zhang, Hua; Ma, Yongyuan; Cheng, Xinying; Wu, Dongbo; Huang, Xingming; Chen, Bin; Ren, Yafeng; Jiang, Wei; Tang, Xiaoqiang; Bai, Ting; Chen, Yutian; Zhao, Yilin; Zhang, Chunxue; Xiao, Xia; Liu, Jing; Deng, Yue; Ye, Tinghong; Chen, Lu; Liu, Han-Min; Friedman, Scott L.; Chen, Liping; Ding, Bi-Sen; Cao, Zhongwei</t>
  </si>
  <si>
    <t>Targeting epigenetically maladapted vascular niche alleviates liver fibrosis in nonalcoholic steatohepatitis</t>
  </si>
  <si>
    <t>STELLATE CELLS; MAST-CELLS; REGENERATION; DISEASE; INFLAMMATION; ANGIOGENESIS; CAPILLARIZATION; RECONSTRUCTION; HEPATOCYTES; MECHANISMS</t>
  </si>
  <si>
    <t>Chronic hepatic diseases such as nonalcoholic steatohepatitis (NASH) suppress liver regeneration and lead to fibrosis and cirrhosis. Decoding the cellular and molecular network underlying this fibrotic maladaptation might aid in combatting NASH, a growing health challenge with no approved therapies. Here, we used multiomics analysis of human cirrhotic liver, a Western diet- and carbon tetrachloride (CCl4)-induced minipig NASH model, and genetically modified mice to unravel the landscape of the vascular adaptome at the single-cell level, in which endothelial cells (ECs) and T(H)17 cells jointly contribute to liver cirrhosis. We found that epigenetics-dependent hepatic vascular maladaptation enriches fibrogenic T(H)17 cells to promote liver fibrosis in mice, minipigs, and human patients with cirrhosis. Further analysis of humans, minipigs, and mice suggested that cross-talk between histone deacetylase 2 (HDAC2) and DNA methyltransferase 1 (DNMT1) promoted liver EC maladaptation to promote production of angiocrine IGFBP7 and ADAMTS1 in extracellular vesicles, recruiting fibrogenic T(H)17 cells to the liver. Pharmacological targeting of HDAC2 and DNMT1 alleviated fibrosis in a minipig NASH model. We conclude that epigenetically reprogrammed vascular adaptation contributes to liver fibrosis. Targeting of a vascular adaptation node might block maladaptive vascularization to promote liver regeneration in NASH.</t>
  </si>
  <si>
    <t>[Zhang, Hua; Ma, Yongyuan; Cheng, Xinying; Huang, Xingming; Ren, Yafeng; Tang, Xiaoqiang; Chen, Yutian; Zhao, Yilin; Zhang, Chunxue; Xiao, Xia; Liu, Jing; Ye, Tinghong; Chen, Lu; Liu, Han-Min; Ding, Bi-Sen; Cao, Zhongwei] Sichuan Univ, West China Univ Hosp 2, Key Lab Birth Defects &amp; Related Dis Women &amp; Child, State Key Lab Biotherapy, Chengdu 610041, Peoples R China; [Wu, Dongbo; Jiang, Wei] Sichuan Univ, West China Hosp, Ctr Infect Dis, Chengdu 610041, Peoples R China; [Chen, Bin] Sichuan Univ, West China Hosp, Frontiers Sci Ctr Dis Related Mol Network, Inst Syst Genet, Chengdu 610041, Peoples R China; [Bai, Ting] Xi An Jiao Tong Univ, Affiliated Hosp 1, Dept Cardiol, Xian 710061, Peoples R China; [Deng, Yue] Peking Univ, China Japan Friendship Sch Clin Med, Beijing 100029, Peoples R China; [Friedman, Scott L.; Ding, Bi-Sen; Cao, Zhongwei] Icahn Sch Med Mt Sinai, Div Pulm &amp; Crit Care Med, Div Liver Dis, Fibrosis Res Program, New York, NY 10029 USA; [Chen, Liping] Sichuan Univ, West China Hosp, Dept Biliary Surg, Chengdu 610041, Peoples R China; [Ding, Bi-Sen] Weill Cornell Med, Div Regenerat Med, New York, NY 10065 USA</t>
  </si>
  <si>
    <t>Sichuan University; Sichuan University; Sichuan University; Xi'an Jiaotong University; Peking University; Icahn School of Medicine at Mount Sinai; Sichuan University; Cornell University</t>
  </si>
  <si>
    <t>Ding, BS; Cao, ZW (corresponding author), Sichuan Univ, West China Univ Hosp 2, Key Lab Birth Defects &amp; Related Dis Women &amp; Child, State Key Lab Biotherapy, Chengdu 610041, Peoples R China.;Ding, BS; Cao, ZW (corresponding author), Icahn Sch Med Mt Sinai, Div Pulm &amp; Crit Care Med, Div Liver Dis, Fibrosis Res Program, New York, NY 10029 USA.;Chen, LP (corresponding author), Sichuan Univ, West China Hosp, Dept Biliary Surg, Chengdu 610041, Peoples R China.;Ding, BS (corresponding author), Weill Cornell Med, Div Regenerat Med, New York, NY 10065 USA.</t>
  </si>
  <si>
    <t>47137417@qq.com; dingbisen@scu.edu.cn; zhongweicao@scu.edu.cn</t>
  </si>
  <si>
    <t>Tang, Xiaoqiang/G-4319-2013</t>
  </si>
  <si>
    <t>Tang, Xiaoqiang/0000-0003-1314-3417; Zhang, Hua/0000-0001-5045-8739; huang, xingming/0000-0003-1571-6514; Ma, Yongyuan/0000-0002-3865-2202; ren, yafeng/0000-0002-0907-2030</t>
  </si>
  <si>
    <t>eabd1206</t>
  </si>
  <si>
    <t>10.1126/scitranslmed.abd1206</t>
  </si>
  <si>
    <t>WOS:000704898400002</t>
  </si>
  <si>
    <t>Lin, ZC; Walther, D; Yu, XY; Li, SX; Drgon, T; Uhl, GR</t>
  </si>
  <si>
    <t>SLC18A2 promoter haplotypes and identification of a novel protective factor against alcoholism</t>
  </si>
  <si>
    <t>VESICULAR MONOAMINE TRANSPORTER-2; SINGLE-NUCLEOTIDE POLYMORPHISMS; DOPAMINE TRANSPORTER; MOLECULAR-CLONING; SEQUENCE VARIANTS; GENE-EXPRESSION; CANDIDATE GENES; KNOCKOUT MICE; VMAT2; AMPHETAMINE</t>
  </si>
  <si>
    <t>The vesicular monoamine transporter 2 (VMAT2, SLC18A2) takes up cytosolic monoamines into intracellular secretory vesicles, preventing their neurotoxicity in the cytosol and discharging them into extracellular space by exocytosis. It has been shown that one-copy deletion of the VMAT2 gene increases locomotion activity significantly in response to drug treatments and dopamine neuron death rate in response to neurotoxin treatments in knockout mice. Little is known about promoter polymorphisms and their influence on SLC18A2 promoter activity. We have re-sequenced a 17.4 kb DNA in the SLC18A2 promoter region for Caucasians and revealed 47 polymorphisms that confer 13 haplotypes. One of the haplotypes reaches a frequency as high as 65%, likely due to positive selection. In vitro analysis showed a 20% difference in promoter activity between two frequent haplotypes and identified some of the polymorphisms that influence promoter activity. Four haplotype-defining single nucleotide polymorphisms (hdSNPs) can define the frequent haplotypes and by genotyping these hdSNPs, we find that haplotypes with -14234G and -2504C of SLC18A2 promoter region represent a protective factor against alcoholism (P = 0.0038 by Fisher's exact tests). Therefore, SLC18A2 promoter haplotypes defined here create a foundation for transcriptional characterization of individuality and for association study on monoamine-related human diseases.</t>
  </si>
  <si>
    <t>NIDA, Mol Neurobiol Branch, NIH, IRP,DHHS, Baltimore, MD 21224 USA</t>
  </si>
  <si>
    <t>National Institutes of Health (NIH) - USA; NIH National Institute on Aging (NIA); NIH National Institute on Drug Abuse (NIDA)</t>
  </si>
  <si>
    <t>Lin, ZC (corresponding author), NIDA, Mol Neurobiol Branch, NIH, IRP,DHHS, 5500 Nathan Shock Dr, Baltimore, MD 21224 USA.</t>
  </si>
  <si>
    <t>zlin@intra.nida.nih.gov</t>
  </si>
  <si>
    <t>10.1093/hmg/ddi148</t>
  </si>
  <si>
    <t>WOS:000229476900015</t>
  </si>
  <si>
    <t>Marizcurrena, JJ; Herrera, LM; Costabile, A; Morales, D; Villadoniga, C; Eizmendi, A; Davyt, D; Castro-Sowinski, S</t>
  </si>
  <si>
    <t>Marizcurrena, Juan Jose; Herrera, Lorena M.; Costabile, Alicia; Morales, Danilo; Villadoniga, Carolina; Eizmendi, Agustina; Davyt, Danilo; Castro-Sowinski, Susana</t>
  </si>
  <si>
    <t>Validating biochemical features at the genome level in the Antarctic bacterium Hymenobacter sp. strain UV11</t>
  </si>
  <si>
    <t>Hymenobacter; UV irradiation; hydrolytic enzymes; Antarctica; pigments</t>
  </si>
  <si>
    <t>RADIATION-RESISTANT BACTERIUM; SP NOV.; SEQUENCE; PROTEASE; DAMAGE; FLAVOBACTERIUM; XINJIANG; DESERT; MODEL; KEGG</t>
  </si>
  <si>
    <t>We present experimental data that complement and validate some biochemical features at the genome level in the UVC-resistant Antarctic bacterium Hymenobacter sp. UV11 strain. The genome was sequenced, assembled and annotated. It has 6 096 246 bp, a GC content of 60.6% and 5155 predicted genes. The secretome analysis, by combining in silico predictions with shotgun proteomics data, showed that UV11 strain produces extracellular proteases and carbohydrases with potential biotechnological uses. We observed the formation of outer membrane vesicles, mesosomes and carbon-storage compounds by using transmission electron microscopy. The in silico analysis of the genome revealed the presence of genes involved in the metabolism of glycogen-like molecules and starch. By HPLC-UV-Vis analysis and 1H-NMR spectra, we verified that strain UV11 produces xanthophyll-like carotenoids such as 2'-hydroxyflexixanthin, and the in silico analysis showed that this bacterium has genes involved in the biosynthesis of cathaxanthin, zeaxanthin and astaxanthin. We also found genes involved in the repair of UV-damaged DNA such as a photolyase, the nucleotide excision repair system and the production of ATP-dependent proteases that are important cellular components involved in the endurance to physiological stresses. This information will help us to better understand the ecological role played by Hymenobacter strains in the extreme Antarctic environment.</t>
  </si>
  <si>
    <t>[Marizcurrena, Juan Jose; Herrera, Lorena M.; Costabile, Alicia; Morales, Danilo; Castro-Sowinski, Susana] Univ Republica, Fac Sci, Biochem &amp; Mol Biol, Igua 4225, Montevideo 11400, Uruguay; [Villadoniga, Carolina; Castro-Sowinski, Susana] Univ Republica, Fac Sci, Hydrolyt Enzymes Lab, Igua 4225, Montevideo 11400, Uruguay; [Eizmendi, Agustina; Davyt, Danilo] Univ Republica, Fac Chem, Organ Chem Dept, Gen Flores 2124, Montevideo 11800, Uruguay</t>
  </si>
  <si>
    <t>Universidad de la Republica, Uruguay; Universidad de la Republica, Uruguay; Universidad de la Republica, Uruguay</t>
  </si>
  <si>
    <t>Castro-Sowinski, S (corresponding author), Univ Republica, Fac Sci, Biochem &amp; Mol Biol, Igua 4225, Montevideo 11400, Uruguay.</t>
  </si>
  <si>
    <t>scs@fcien.edu.uy</t>
  </si>
  <si>
    <t>Marizcurrena, Juan Jose/AAB-5482-2020</t>
  </si>
  <si>
    <t>Costabile, Alicia/0000-0001-5974-2146; Marizcurrena, Juan Jose/0000-0002-5191-1539</t>
  </si>
  <si>
    <t>fnz177</t>
  </si>
  <si>
    <t>10.1093/femsle/fnz177</t>
  </si>
  <si>
    <t>WOS:000493066300011</t>
  </si>
  <si>
    <t>Soma to germline inheritance of extrachromosomal genetic information via a LINE-1 reverse transcriptase-based mechanism</t>
  </si>
  <si>
    <t>BIOESSAYS</t>
  </si>
  <si>
    <t>exosomes/nanovescicles; LINE-1 retrotransposons; reverse transcriptase; sperm cells; transgenerational inheritance; Weismann barrier</t>
  </si>
  <si>
    <t>L1 RETROTRANSPOSITION; TRANSPOSABLE ELEMENTS; DNA HYPOMETHYLATION; MOBILE DNA; SMALL RNAS; MUERV-L; EXPRESSION; CELLS; EVOLUTION; RETROVIRUSES</t>
  </si>
  <si>
    <t>Mature spermatozoa are permeable to foreign DNA and RNA molecules. Here I propose a model, whereby extrachromosomal genetic information, mostly encoded in the form of RNA in somatic cells, can cross the Weismann barrier and reach epididymal spermatozoa. LINE-1 retrotransposon-derived reverse transcriptase (RT) can play key roles in the process by expanding the RNA-encoded information. Retrotransposon-encoded RT is stored in mature gametes, is highly expressed in early embryos and undifferentiated cells, and becomes downregulated in differentiated cells. In turn, RT plays a role in developmental control, as its inhibition arrests developmental progression of early embryos with globally altered transcriptomic profiles. Thus, sperm cells act as recipients, and transgenerational vectors of somatically derived genetic information which they pass to the next generation with the potential to modify the fate of the developing embryos.</t>
  </si>
  <si>
    <t>[Spadafora, Corrado] CNR, Inst Translat Pharmacol, Rome, Italy</t>
  </si>
  <si>
    <t>Spadafora, C (corresponding author), CNR, Inst Translat Pharmacol, Rome, Italy.</t>
  </si>
  <si>
    <t>0265-9247</t>
  </si>
  <si>
    <t>1521-1878</t>
  </si>
  <si>
    <t>10.1002/bies.201500197</t>
  </si>
  <si>
    <t>WOS:000380047400004</t>
  </si>
  <si>
    <t>Garzarelli, V; Ferrara, F; Primiceri, E; Chiriaco, MS</t>
  </si>
  <si>
    <t>Garzarelli, Valeria; Ferrara, Francesco; Primiceri, Elisabetta; Chiriaco, Maria Serena</t>
  </si>
  <si>
    <t>Biofluids manipulation methods for liquid biopsy in minimally-invasive assays</t>
  </si>
  <si>
    <t>METHODSX</t>
  </si>
  <si>
    <t>Sample handling; Body fluid; Biomarkers; Diagnosis; Screening</t>
  </si>
  <si>
    <t>CELL-FREE DNA; SAMPLE COLLECTION; STORAGE; SALIVA; FLUID; BIOMARKERS; STABILITY; DIAGNOSIS; EXOSOMES; PLASMA</t>
  </si>
  <si>
    <t>The Liquid Biopsy (LB) is an opportunity for non-invasive diagnosis and prognosis of various diseases. To date, it isn't possible to consider that tissue biopsy can represent a pathology entirety. Then, body fluids are rich in a large number and variety of biomarkers and they can provide information about several diseases. Recently, other biological fluids, easy to be collected are rising for their significant content of biomarkers and for the possibility to collect and manipulate them without the intervention of medical staff. The management of biological fluids requires suitable storage methods. Temperature, storage time and physical stresses due to sample handling can lead to chemical and physical changes that may induce sample degradation and incorrect analysis. The reliability of a diagnostic or screening test depends on its sensitivity and specificity. As the liquid biopsy is a 'snapshot' of a pathophysiological condition, it is crucial that its components do not degrade due to the improper handling of the body fluid. In this review, some handling methods of Saliva, Urine, Stool, Seminal Fluid, Tears and Sweat samples will be described, as well as protocols to facilitate the analysis of metabolites, nucleic acids, proteins and Extracellular Vesicles (EVs) from those unusual body fluids. (C) 2022 The Authors. Published by Elsevier B.V.</t>
  </si>
  <si>
    <t>[Garzarelli, Valeria] Univ Salento, Dept Math &amp; Phys E de Giorgi, Via Arnesano, I-73100 Lecce, Italy; [Garzarelli, Valeria; Ferrara, Francesco; Primiceri, Elisabetta; Chiriaco, Maria Serena] CNR NANOTEC, Inst Nanotechnol, Via Monteroni, I-73100 Lecce, Italy; [Ferrara, Francesco] STMicroelectronics Srl, Via Monteroni, I-73100 Lecce, Italy</t>
  </si>
  <si>
    <t>University of Salento; Consiglio Nazionale delle Ricerche (CNR); Istituto di Nanotecnologia (NANOTEC-CNR); STMicroelectronics</t>
  </si>
  <si>
    <t>Ferrara, F; Chiriaco, MS (corresponding author), CNR NANOTEC, Inst Nanotechnol, Via Monteroni, I-73100 Lecce, Italy.;Ferrara, F (corresponding author), STMicroelectronics Srl, Via Monteroni, I-73100 Lecce, Italy.</t>
  </si>
  <si>
    <t>francesco.ferrara@nanotec.cnr.it; mariaserena.chiriaco@nanotec.cnr.it</t>
  </si>
  <si>
    <t>Garzarelli, Valeria/0000-0002-3410-0021</t>
  </si>
  <si>
    <t>2215-0161</t>
  </si>
  <si>
    <t>10.1016/j.mex.2022.101759</t>
  </si>
  <si>
    <t>WOS:000836425400010</t>
  </si>
  <si>
    <t>He, Y; Wu, YT; Wang, Y; Wang, XP; Xing, S; Li, HL; Guo, SH; Yu, XH; Dai, SQ; Zhang, G; Zeng, MS; Liu, WL</t>
  </si>
  <si>
    <t>He, Yi; Wu, Yetao; Wang, Yu; Wang, Xueping; Xing, Shan; Li, Huilan; Guo, Songhe; Yu, Xiaohui; Dai, Shuqin; Zhang, Ge; Zeng, Musheng; Liu, Wanli</t>
  </si>
  <si>
    <t>Applying CRISPR/Cas13 to Construct Exosomal PD-L1 Ultrasensitive Biosensors for Dynamic Monitoring of Tumor Progression in Immunotherapy</t>
  </si>
  <si>
    <t>ADVANCED THERAPEUTICS</t>
  </si>
  <si>
    <t>aptamers; ARTCA; CRISPR; Cas13a; tumor progression assessments</t>
  </si>
  <si>
    <t>RECOMBINASE POLYMERASE AMPLIFICATION; SENSITIVE DETECTION; BIOGENESIS; ASSAY</t>
  </si>
  <si>
    <t>Programmed cell death receptor 1 (PD-L1) protein on exosomes (exosomal PD-L1) is one of the most promising biomarkers for cancer immunotherapy monitoring. However, current approaches for exosomal PD-L1 detection are poorly sensitive, laborious, and time-consuming. Here, a new method, named Aptamer-RPA-TMA-Cas13a Assay (ARTCA) is established, which enables exosomal PD-L1 to be detected directly in serum with a lower limit of 10 particles mL(-1). Mechanistically, using DNA aptamer specifically binding to exosomal PD-L1, the aptamer is amplified twice by recombinase polymerase amplification (RPA) coupled with transcription-mediated amplification (TMA) and simultaneously the TMA products are detected in real-time with CRISPR/Cas13a system. Utilizing ARTCA, PD-L1 levels in circulating exosomes seem to be a reliable marker of PD-L1 expression in tumor tissue. The level of circulating exosomal PD-L1 increases significantly in patients with tumor progression. Ultra-trace detection of serum exosomal PD-L1 by ARTCA provides a potentially convenient way for dynamic monitoring of tumor progression for patients undergoing immunotherapy. These results demonstrate the use of CRISPR-Cas13a for protein detection, and circulating exosomal PD-L1 levels seem to be a reliable marker as well as PD-L1 expression in tumor tissue, opening up new avenues for monitoring tumor progression.</t>
  </si>
  <si>
    <t>[He, Yi; Wang, Yu; Wang, Xueping; Xing, Shan; Li, Huilan; Dai, Shuqin; Zeng, Musheng; Liu, Wanli] Sun Yat Sen Univ, Ctr Canc, Collaborat Innovat Ctr Canc Med, Dept Clin Lab Med,State Key Lab Oncol South China, 651 Dongfeng Rd East, Guangzhou 510080, Peoples R China; [He, Yi; Wu, Yetao; Wang, Yu; Yu, Xiaohui; Dai, Shuqin; Zeng, Musheng; Liu, Wanli] Sun Yat Sen Univ, Ctr Canc, Collaborat Innovat Ctr Canc Med, State Key Lab Oncol South China, 651 Dongfeng Rd East, Guangzhou 510080, Peoples R China; [Guo, Songhe; Zhang, Ge] Sun Yat Sen Univ, Sch Pharmaceut Sci, 132 Waihuandong Rd, Guangzhou 510006, Peoples R China</t>
  </si>
  <si>
    <t>State Key Lab Oncology South China; Sun Yat Sen University; State Key Lab Oncology South China; Sun Yat Sen University; Sun Yat Sen University</t>
  </si>
  <si>
    <t>Zeng, MS; Liu, WL (corresponding author), Sun Yat Sen Univ, Ctr Canc, Collaborat Innovat Ctr Canc Med, Dept Clin Lab Med,State Key Lab Oncol South China, 651 Dongfeng Rd East, Guangzhou 510080, Peoples R China.;Zeng, MS; Liu, WL (corresponding author), Sun Yat Sen Univ, Ctr Canc, Collaborat Innovat Ctr Canc Med, State Key Lab Oncol South China, 651 Dongfeng Rd East, Guangzhou 510080, Peoples R China.</t>
  </si>
  <si>
    <t>zengmsh@sysucc.org.cn; liuwl@sysucc.org.cn</t>
  </si>
  <si>
    <t>2366-3987</t>
  </si>
  <si>
    <t>10.1002/adtp.202000093</t>
  </si>
  <si>
    <t>WOS:000554618100001</t>
  </si>
  <si>
    <t>Sharma, A</t>
  </si>
  <si>
    <t>Sharma, Abhay</t>
  </si>
  <si>
    <t>Systems genomics analysis centered on epigenetic inheritance supports development of a unified theory of biology</t>
  </si>
  <si>
    <t>JOURNAL OF EXPERIMENTAL BIOLOGY</t>
  </si>
  <si>
    <t>MicroRNA; Gene expression and networks; DNA methylation; Histone modification</t>
  </si>
  <si>
    <t>DNA METHYLATION; MICRORNAS; EVOLUTION; TRANSCRIPTION; FOUNDATIONS; BIOGENESIS; PHYSIOLOGY; GERMLINE; EXOSOMES; ROCKING</t>
  </si>
  <si>
    <t>New discoveries are increasingly demanding integration of epigenetics, molecular biology, genomic networks and physiology with evolution. This article provides a proof of concept for evolutionary transgenerational systems biology, proposed recently in the context of epigenetic inheritance in mammals. Gene set enrichment analysis of available genome-level mammalian data presented here seem consistent with the concept that: (1) heritable information about environmental effects in somatic cells is communicated to the germline by circulating microRNAs (miRNAs) or other RNAs released in physiological fluids; (2) epigenetic factors including miRNA-like small RNAs, DNA methylation and histone modifications are propagated across generations via gene networks; and (3) inherited epigenetic variations in the form of methylated cytosines are fixed in the population as thymines over the evolutionary time course. The analysis supports integration of physiology and epigenetics with inheritance and evolution. This may catalyze efforts to develop a unified theory of biology.</t>
  </si>
  <si>
    <t>[Sharma, Abhay] CSIR, Inst Genom &amp; Integrat Biol, New Delhi 110025, India</t>
  </si>
  <si>
    <t>Council of Scientific &amp; Industrial Research (CSIR) - India; CSIR - Institute of Genomics &amp; Integrative Biology (IGIB)</t>
  </si>
  <si>
    <t>Sharma, A (corresponding author), CSIR, Inst Genom &amp; Integrat Biol, Mathura Rd, New Delhi 110025, India.</t>
  </si>
  <si>
    <t>abhaysharma@igib.res.in</t>
  </si>
  <si>
    <t>Sharma, Abhay/0000-0003-1306-1497</t>
  </si>
  <si>
    <t>0022-0949</t>
  </si>
  <si>
    <t>1477-9145</t>
  </si>
  <si>
    <t>10.1242/jeb.125922</t>
  </si>
  <si>
    <t>WOS:000364791100013</t>
  </si>
  <si>
    <t>Aguilar, L; Hemar, A; DautryVarsat, A; Blumenfeld, M</t>
  </si>
  <si>
    <t>Hairpin, dumbbell, and single-stranded phosphodiester oligonucleotides exhibit identical uptake in T lymphocyte cell lines</t>
  </si>
  <si>
    <t>ANTISENSE &amp; NUCLEIC ACID DRUG DEVELOPMENT</t>
  </si>
  <si>
    <t>ANTISENSE OLIGONUCLEOTIDES; COMPETITIVE-BINDING; GENE-EXPRESSION; HL-60 CELLS; IN-VIVO; DECOY; OLIGODEOXYNUCLEOTIDES; INHIBITION; DNA; PROLIFERATION</t>
  </si>
  <si>
    <t>The cellular binding, uptake, and intracellular distribution of structured double-stranded phosphodiester oligonucleotides (decoys) have been examined in T lymphocytes using fluorescein-labeled molecules, Intracellular localization of hairpin and dumbbell decoys was similar to that of single-stranded oligonucleotides. At short incubation times, oligonucleotides were localized only in cytoplasmic vesicles, whereas at longer times, they were also found in the nucleus, Cellular uptake was dependent on temperature, time, and extracellular concentration, Oligonucleotide efflux was similar for all types of molecules and was very rapid (t(1/2)=10-15 minutes). These results imply that phosphodiester double-stranded oligonucleotides can enter cellular compartments of interest for their potential biologic function and, thus, provide a potential tool to control gene transcription.</t>
  </si>
  <si>
    <t>GENSET SA,F-75011 PARIS,FRANCE; INST PASTEUR,UNITE BIOL INTERACT CELLULAIRES,CNRS URA 1960,PARIS,FRANCE</t>
  </si>
  <si>
    <t>Centre National de la Recherche Scientifique (CNRS); Le Reseau International des Instituts Pasteur (RIIP); Institut Pasteur Paris</t>
  </si>
  <si>
    <t>1087-2906</t>
  </si>
  <si>
    <t>FAL</t>
  </si>
  <si>
    <t>10.1089/oli.1.1996.6.157</t>
  </si>
  <si>
    <t>WOS:A1996VP25000004</t>
  </si>
  <si>
    <t>Li, B; Liu, CC; Pan, WL; Shen, JL; Guo, JY; Luo, TT; Feng, JJ; Situ, B; An, TX; Zhang, Y; Zheng, L</t>
  </si>
  <si>
    <t>Li, Bo; Liu, Chunchen; Pan, Weilun; Shen, Jianlei; Guo, Jingyun; Luo, Tingting; Feng, Junjie; Situ, Bo; An, Taixue; Zhang, Ye; Zheng, Lei</t>
  </si>
  <si>
    <t>Facile fluorescent aptasensor using aggregation-induced emission luminogens for exosomal proteins profiling towards liquid biopsy</t>
  </si>
  <si>
    <t>Aptamer; Exosome; Protein profiling; AIEgen; Liquid biopsy</t>
  </si>
  <si>
    <t>MEMBRANE ANTIGEN; DNA APTAMER; CANCER; BIOMARKERS; CELLS; BIOGENESIS; SECRETION; BIOSENSOR; PROBE</t>
  </si>
  <si>
    <t>Surface protein patterns of tumor-derived exosomes could be promising noninvasive diagnostic biomarkers for liquid biopsy. However, a convenient and cost-effective platform for exosomal protein profiling is still lacking. Herein, a facile fluorescent aptasensor is developed to assess exosomal tumor-associated proteins, combining aptamers, aggregation-induced emission luminogens (AlEgens), and graphene oxide (GO) as recognition elements, fluorescent dye, and the quencher, respectively. Specifically, numberous TPE-TAs could bind one aptamer and form aggregates rapidly, resulting in an amplified fluorescence signal. In the absence of tumor-derived exosomes, GO absorbs the TPE-TAs/aptamer complex, allowing fluorescence quenching. When the target exosomes are introduced, the aptamer preferentially binds with its target. Thus the TPE-TAs/aptamer complexes detach from GO surface, followed by the appearance of a turn-on fluorescent signal. Under the optimized conditions, the linear range of target exosomes is estimated to be 4.07 x 10(5) to 1.83 x 10(7) particles/mu L (0.68-30.4 pM) with a detection limit of 3.43 x 10(5) particles/mu L (0.57 pM). This strategy demonstrated great performance in differentiating prostate cancer from healthy individuals (AUC: 0.9790). Furthermore, by profiling three tumor-associated protein markers including epidermal growth factor receptor (EGFR), epithelial cell adhesion molecule (EpCAM), and human epidermal growth factor receptor 2 (HER2) on exosomes in a breast tumor cohort, this sensing platform diagnoses breast tumors with high efficiency (AUC: 0.9845) and exhibits a high sensitivity of 97.37% for distinguishing malignant breast cancers, where the stage I cases were detected with 92.31% sensitivity. Therefore, this aptasensor provides a promising strategy to profile tumor-derived exosomal proteins for early diagnosis in liquid biopsy.</t>
  </si>
  <si>
    <t>[Li, Bo; Liu, Chunchen; Pan, Weilun; Luo, Tingting; Feng, Junjie; Situ, Bo; An, Taixue; Zhang, Ye; Zheng, Lei] Southern Med Univ, Nanfang Hosp, Dept Lab Med, Guangzhou 510515, Peoples R China; [Li, Bo; Liu, Chunchen; Pan, Weilun; Luo, Tingting; Feng, Junjie; Situ, Bo; An, Taixue; Zhang, Ye; Zheng, Lei] Southern Med Univ, Nanfang Hosp, Guangdong Engn &amp; Technol Res Ctr Rapid Diagnost B, Guangzhou 510515, Peoples R China; [Shen, Jianlei] Shanghai Jiao Tong Univ, Sch Chem &amp; Chem Engn, Shanghai 200240, Peoples R China; [Guo, Jingyun] Southern Med Univ, Nanfang Hosp, Breast Ctr, Dept Gen Surg, Guangzhou 510515, Peoples R China</t>
  </si>
  <si>
    <t>Southern Medical University - China; Southern Medical University - China; Shanghai Jiao Tong University; Southern Medical University - China</t>
  </si>
  <si>
    <t>Zheng, L (corresponding author), Southern Med Univ, Nanfang Hosp, Dept Lab Med, Guangzhou 510515, Peoples R China.</t>
  </si>
  <si>
    <t>nfyyzhenglei@smu.edu.cn</t>
  </si>
  <si>
    <t>10.1016/j.bios.2020.112520</t>
  </si>
  <si>
    <t>WOS:000574929400007</t>
  </si>
  <si>
    <t>Vallabhajosyula, P; Korutla, L; Habertheuer, A; Yu, M; Rostami, S; Yuan, CX; Reddy, S; Liu, CY; Korutla, V; Koeberlein, B; Trofe-Clark, J; Rickels, MR; Naji, A</t>
  </si>
  <si>
    <t>Vallabhajosyula, Prashanth; Korutla, Laxminarayana; Habertheuer, Andreas; Yu, Ming; Rostami, Susan; Yuan, Chao-Xing; Reddy, Sanjana; Liu, Chengyang; Korutla, Varun; Koeberlein, Brigitte; Trofe-Clark, Jennifer; Rickels, Michael R.; Naji, Ali</t>
  </si>
  <si>
    <t>Tissue-specific exosome biomarkers for noninvasively monitoring immunologic rejection of transplanted tissue</t>
  </si>
  <si>
    <t>CELL-FREE DNA; INTERNATIONAL SOCIETY; MESSENGER-RNA; ALLOGRAFT-REJECTION; MICRORNAS; HEART; LUNG; REPORT-2015; REGISTRY; EXPRESSION</t>
  </si>
  <si>
    <t>In transplantation, there is a critical need for noninvasive biomarker platforms for monitoring immunologic rejection. We hypothesized that transplanted tissues release donor-specific exosomes into recipient circulation and that the quantitation and profiling of donor intra-exosomal cargoes may constitute a biomarker platform for monitoring rejection. Here, we have tested this hypothesis in a human-into-mouse xenogeneic islet transplant model and validated the concept in clinical settings of islet and renal transplantation. In the xenogeneic model, we quantified islet transplant exosomes in recipient blood over long-term follow-up using anti-HLA antibody, which was detectable only in xenoislet recipients of human islets. Transplant islet exosomes were purified using anti-HLA antibody-conjugated beads, and their cargoes contained the islet endocrine hormone markers insulin, glucagon, and somatostatin. Rejection led to a marked decrease in transplant islet exosome signal along with distinct changes in exosomal microRNA and proteomic profiles prior to appearance of hyperglycemia. In the clinical settings of islet and renal transplantation, donor exosomes with respective tissue specificity for islet beta cells and renal epithelial cells were reliably characterized in recipient plasma over follow-up periods of up to 5 years. Collectively, these findings demonstrate the biomarker potential of transplant exosome characterization for providing a noninvasive window into the conditional state of transplant tissue.</t>
  </si>
  <si>
    <t>[Vallabhajosyula, Prashanth; Korutla, Laxminarayana; Habertheuer, Andreas; Yu, Ming; Rostami, Susan; Reddy, Sanjana; Liu, Chengyang; Korutla, Varun; Koeberlein, Brigitte; Trofe-Clark, Jennifer] Univ Penn, Perelman Sch Med, Dept Surg, Philadelphia, PA USA; [Yuan, Chao-Xing] Univ Penn, Perelman Sch Med, Dept Pharmacol Prote &amp; Syst Biol Core, Philadelphia, PA USA; [Rickels, Michael R.] Univ Penn, Perelman Sch Med, Dept Med, Div Endocrinol Diabet &amp; Metab, Philadelphia, PA USA; [Rickels, Michael R.; Naji, Ali] Univ Penn, Perelman Sch Med, Inst Diabet Obes &amp; Metab, Philadelphia, PA USA</t>
  </si>
  <si>
    <t>University of Pennsylvania; University of Pennsylvania; University of Pennsylvania; University of Pennsylvania</t>
  </si>
  <si>
    <t>Vallabhajosyula, P (corresponding author), Hosp Univ Penn, Div Cardiovasc Surg, 6 Silverstein,3400 Spruce St, Philadelphia, PA 19104 USA.</t>
  </si>
  <si>
    <t>Prashanth.vallabhajosyula@uphs.upenn.edu</t>
  </si>
  <si>
    <t>Rickels, Michael/D-1380-2009</t>
  </si>
  <si>
    <t>Rickels, Michael/0000-0002-9253-838X; Trofe-Clark, Jennifer/0000-0003-4370-3796; Habertheuer, Andreas/0000-0001-7310-8838</t>
  </si>
  <si>
    <t>10.1172/JCI87993</t>
  </si>
  <si>
    <t>WOS:000398183300027</t>
  </si>
  <si>
    <t>Li, TD; Long, SP; Gu, ML; Guo, J; Liu, Y; Zhang, WW; Deng, AM</t>
  </si>
  <si>
    <t>Li Tengda; Long Shuping; Gu Mingli; Guo Jie; Liu Yun; Zhang Weiwei; Deng Anmei</t>
  </si>
  <si>
    <t>Serum exosomal microRNAs as potent circulating biomarkers for melanoma</t>
  </si>
  <si>
    <t>exosome; melanoma; microRNA; receiver operating characteristic curve</t>
  </si>
  <si>
    <t>CUTANEOUS MELANOMA; CANCER; EXPRESSION; PROGRESSION; CELLS</t>
  </si>
  <si>
    <t>Exosomes are small homogenous membrane vesicles that derive from the exocytosis process of cells and can contain DNA, microRNAs (miRNAs), and/or proteins. Characterization of the content profile of exosomes may reflect the state of the cells that release them, and this could be predictive of disease. In this study, to explore the potential biomarkers for melanoma, we isolated serous exosomes from 30 patients with melanoma and 30 healthy individuals using the ultracentrifugation method. Five miRNAs were subsequently detected in each sample by quantitative reverse transcription-PCR: miRNA-532-5p, miRNA-106b, miRNA-200c, miRNA-199a-5p, and miRNA-210. Only the levels of exo-miRNA-532-5p and exo-miRNA-106b differed between the two groups (Z=-4.17 and -4.57, respectively, P&lt;0.0001). When these two miRNAs were evaluated individually and in combination in 95 melanoma patients and 95 healthy individuals serum samples, the area under the receiver operating characteristic curve values were 0.867, 0.820, and 0.936, respectively. Furthermore, in blinded tests of samples from 25 melanoma patients and 25 healthy individuals, this panel of miRNAs identified 23/25 patients with melanoma (92.0% sensitivity) and 22/25 healthy individuals (88.0% sensitivity). Our exo-miRNA panel also distinguished patients with metastasis from those without metastasis, patients with stage I-II disease from those with stage III-IV disease, and patients who had received pembrolizumab treatment from those who were untreated. Overall, these results indicate that serum exosomal miRNAs, especially exo-miRNA-532-5p and exo-miRNA-106b, have the potential to be used for monitoring and/or a diagnosis of melanoma in a clinical setting. Copyright (c) 2018 Wolters Kluwer Health, Inc. All rights reserved.</t>
  </si>
  <si>
    <t>[Li Tengda; Long Shuping; Deng Anmei] Second Mil Med Univ, Changhai Hosp, Ctr Clin Expt, Shanghai 200433, Peoples R China; [Gu Mingli; Guo Jie; Liu Yun; Zhang Weiwei] Second Mil Med Univ, Changhai Hosp, Dept Lab Diag, Shanghai, Peoples R China</t>
  </si>
  <si>
    <t>Naval Medical University; Naval Medical University</t>
  </si>
  <si>
    <t>Li, TD; Deng, AM (corresponding author), Second Mil Med Univ, Changhai Hosp, Ctr Clin Expt, Shanghai 200433, Peoples R China.</t>
  </si>
  <si>
    <t>amdeng70@163.com; amdeng70@163.com</t>
  </si>
  <si>
    <t>10.1097/CMR.0000000000000450</t>
  </si>
  <si>
    <t>WOS:000437756800005</t>
  </si>
  <si>
    <t>Turco, C; Esposito, G; Iaiza, A; Goeman, F; Benedetti, A; Gallo, E; Daralioti, T; Perracchio, L; Sacconi, A; Pasanisi, P; Muti, P; Pulito, C; Strano, S; Ianniello, Z; Fatica, A; Forcato, M; Fazi, F; Blandino, G; Fontemaggi, G</t>
  </si>
  <si>
    <t>Turco, Chiara; Esposito, Gabriella; Iaiza, Alessia; Goeman, Frauke; Benedetti, Anna; Gallo, Enzo; Daralioti, Theodora; Perracchio, Letizia; Sacconi, Andrea; Pasanisi, Patrizia; Muti, Paola; Pulito, Claudio; Strano, Sabrina; Ianniello, Zaira; Fatica, Alessandro; Forcato, Mattia; Fazi, Francesco; Blandino, Giovanni; Fontemaggi, Giulia</t>
  </si>
  <si>
    <t>MALAT1-dependent hsa_circ_0076611 regulates translation rate in triple-negative breast cancer</t>
  </si>
  <si>
    <t>ENDOTHELIAL GROWTH-FACTOR; LONG NONCODING RNA; MUTANT P53; VASCULAR-PERMEABILITY; NONDIABETIC WOMEN; ID4; VEGF; EXPRESSION; METFORMIN; ISOFORMS</t>
  </si>
  <si>
    <t>The circular isoform of VEGFA mRNA (circ_0076611), associated with size and pathogenesis of triple-negative breast tumors, is produced via back splicing of exon-7 by a RNP complex comprising lncRNA-MALAT1, ID4 and SRSF1, and secreted through exosomes. Vascular Endothelial Growth Factor A (VEGFA) is the most commonly expressed angiogenic growth factor in solid tumors and is generated as multiple isoforms through alternative mRNA splicing. Here, we show that lncRNA MALAT1 (metastasis-associated lung adenocarcinoma transcript 1) and ID4 (inhibitor of DNA-binding 4) protein, previously referred to as regulators of linear isoforms of VEGFA, induce back-splicing of VEGFA exon 7, producing circular RNA circ_0076611. Circ_0076611 is detectable in triple-negative breast cancer (TNBC) cells and tissues, in exosomes released from TNBC cells and in the serum of breast cancer patients. Circ_0076611 interacts with a variety of proliferation-related transcripts, included MYC and VEGFA mRNAs, and increases cell proliferation and migration of TNBC cells. Mechanistically, circ_0076611 favors the expression of its target mRNAs by facilitating their interaction with components of the translation initiation machinery. These results add further complexity to the multiple VEGFA isoforms expressed in cancer cells and highlight the relevance of post-transcriptional regulation of VEGFA expression in TNBC cells.</t>
  </si>
  <si>
    <t>[Turco, Chiara; Esposito, Gabriella; Pulito, Claudio; Blandino, Giovanni; Fontemaggi, Giulia] IRCCS Regina Elena Natl Canc Inst, Oncogenom &amp; Epigenet Unit, Rome, Italy; [Iaiza, Alessia; Benedetti, Anna; Fazi, Francesco] Sapienza Univ Rome, Lab Ist Pasteur Italia Fdn Cenci Bolognetti, Dept Anat Histol Forens &amp; Orthoped Sci, Sect Histol &amp; Med Embryol, Rome, Italy; [Goeman, Frauke; Strano, Sabrina] IRCCS Regina Elena Natl Canc Inst, UOSD SAFU, Dept Res Adv Diagnost &amp; Technol Innovat, Translat Res Area, Rome, Italy; [Gallo, Enzo; Daralioti, Theodora; Perracchio, Letizia] IRCCS Regina Elena Natl Canc Inst, Dept Pathol, Rome, Italy; [Sacconi, Andrea] IRCCS Regina Elena Natl Canc Inst, UOSD Clin Trial Ctr Biostat &amp; Bioinformat, Rome, Italy; [Pasanisi, Patrizia] Fdn IRCCS Ist Nazl Tumori, Unit Epidemiol &amp; Prevent, Milan, Italy; [Muti, Paola] McMaster Univ, Fac Hlth Sci, Dept Hlth Res Methods Evidence &amp; Impact, Hamilton, ON, Canada; [Muti, Paola] Univ Milan, Dept Biomed Surg &amp; Dent Sci, Milan, Italy; [Ianniello, Zaira; Fatica, Alessandro] Sapienza Univ Rome, Dept Biol &amp; Biotechnol Charles Darwin, Rome, Italy; [Forcato, Mattia] Univ Modena &amp; Reggio Emilia, Dept Life Sci, Modena, Italy</t>
  </si>
  <si>
    <t>Sapienza University Rome; Fondazione IRCCS Istituto Nazionale Tumori Milan; McMaster University; University of Milan; Sapienza University Rome; Universita di Modena e Reggio Emilia</t>
  </si>
  <si>
    <t>Blandino, G; Fontemaggi, G (corresponding author), IRCCS Regina Elena Natl Canc Inst, Oncogenom &amp; Epigenet Unit, Rome, Italy.;Fazi, F (corresponding author), Sapienza Univ Rome, Lab Ist Pasteur Italia Fdn Cenci Bolognetti, Dept Anat Histol Forens &amp; Orthoped Sci, Sect Histol &amp; Med Embryol, Rome, Italy.</t>
  </si>
  <si>
    <t>francesco.fazi@uniroma1.it; giovanni.blandino@ifo.gov.it; giulia.fontemaggi@ifo.gov.it</t>
  </si>
  <si>
    <t>Gallo, Enzo/AAB-3121-2020</t>
  </si>
  <si>
    <t>Gallo, Enzo/0000-0002-4938-4071</t>
  </si>
  <si>
    <t>10.1038/s42003-022-03539-x</t>
  </si>
  <si>
    <t>WOS:000812308700006</t>
  </si>
  <si>
    <t>Hamilton, ST; Hahn, F; Sonntag, E; Marschall, M; Rawlinson, WD</t>
  </si>
  <si>
    <t>Hamilton, Stuart T.; Hahn, Friedrich; Sonntag, Eric; Marschall, Manfred; Rawlinson, William D.</t>
  </si>
  <si>
    <t>A placental specific miRNA miR-517a-3p exerts anti-human cytomegalovirus activity</t>
  </si>
  <si>
    <t>Cytomegalovirus; Congenital infection; Pregnancy; Antivirals; Placenta</t>
  </si>
  <si>
    <t>MICRORNAS</t>
  </si>
  <si>
    <t>Human cytomegalovirus congenital infection is the leading non-genetic cause of fetal malformation in developed countries. There are currently no safe antivirals for use during pregnancy. Placental trophoblast cells specifically secrete exosomes containing miRNA from the chromosome 19 miRNA cluster (C19MC) which confer viral resistance to recipient cells. We show the highly expressed C19MC miRNA miR-517a-3p inhibits HCMV replication and viral protein expression in both fibroblast and trophoblast cell cultures (71.6% and 50.4% inhibition of HCMV DNA at 7 days post infection respectively; p &lt; 0.05). This naturally occurring molecule has potential for opening-up antiviral therapeutic strategies for pregnancy.</t>
  </si>
  <si>
    <t>[Hamilton, Stuart T.; Rawlinson, William D.] Prince Wales Hosp, Serol &amp; Virol Div, SEALS Microbiol, Sydney, NSW, Australia; [Hamilton, Stuart T.; Rawlinson, William D.] Univ New South Wales, Sch Womens &amp; Childrens Hlth, Sydney, NSW, Australia; [Rawlinson, William D.] Univ New South Wales, Sch Med Sci, Sydney, NSW, Australia; [Rawlinson, William D.] Univ New South Wales, Sch Biotechnol &amp; Biomol Sci, Sydney, NSW, Australia; [Hahn, Friedrich; Sonntag, Eric; Marschall, Manfred] Friedrich Alexander Univ Erlangen Nurnberg FAU, Inst Clin &amp; Mol Virol, Erlangen, Germany</t>
  </si>
  <si>
    <t>University of New South Wales Sydney; University of New South Wales Sydney; University of New South Wales Sydney; University of Erlangen Nuremberg</t>
  </si>
  <si>
    <t>Rawlinson, WD (corresponding author), Prince Wales Hosp, Rawlinson Serol &amp; Virol Div, Level 3,Clin Sci Bldg, Randwick, NSW 2031, Australia.</t>
  </si>
  <si>
    <t>w.rawlinson@unsw.edu.au</t>
  </si>
  <si>
    <t>Hahn, Friedrich/0000-0003-3011-8416; Hamilton, Stuart/0000-0002-2170-4889</t>
  </si>
  <si>
    <t>10.1016/j.placenta.2021.06.013</t>
  </si>
  <si>
    <t>WOS:000690357600291</t>
  </si>
  <si>
    <t>Meng, Y; Pople, CB; Suppiah, S; Llinas, M; Huang, YX; Sahgal, A; Perry, J; Keith, J; Davidson, B; Hamani, C; Amemiya, Y; Seth, A; Leong, H; Heyn, CC; Aubert, I; Hynynen, K; Lipsman, N</t>
  </si>
  <si>
    <t>Meng, Ying; Pople, Christopher B.; Suppiah, Suganth; Llinas, Maheleth; Huang, Yuexi; Sahgal, Arjun; Perry, James; Keith, Julia; Davidson, Benjamin; Hamani, Clement; Amemiya, Yutaka; Seth, Arun; Leong, Hon; Heyn, Chinthaka C.; Aubert, Isabelle; Hynynen, Kullervo; Lipsman, Nir</t>
  </si>
  <si>
    <t>MR-guided focused ultrasound liquid biopsy enriches circulating biomarkers in patients with brain tumors</t>
  </si>
  <si>
    <t>blood-brain barrier; brain tumor; focused ultrasound; glioblastoma; liquid biopsy</t>
  </si>
  <si>
    <t>BARRIER DISRUPTION; DNA</t>
  </si>
  <si>
    <t>Background. Liquid biopsy is promising for early detection, monitoring of response, and recurrence of cancer. The blood-brain barrier (BBB) limits the shedding of biomarker, such as cell-free DNA (cfDNA), into the blood from brain tumors, and their detection by conventional assays. Transcranial MR-guided focused ultrasound (MRgFUS) can safely and transiently open the BBB, providing an opportunity for less-invasive access to brain pathology. We hypothesized that MRgFUS can enrich the signal of circulating brain-derived biomarkers to aid in liquid biopsy. Methods. Nine patients were treated in a prospective single-arm, open-label trial to investigate serial MRgFUS and adjuvant temozolomide combination in patients with glioblastoma (NCT03616860). Blood samples were collected as an exploratory measure within the hours before and after sonication, with control samples from non-brain tumor patients undergoing BBB opening (BBBO) alone (NCT03739905). Results. Brain regions averaging 7.8 +/- 6.0 cm(3) (range 0.8-23.1 cm(3)) were successfully treated within 111 +/- 39 minutes without any serious adverse events. We found MRgFUS acutely enhanced plasma cfDNA (2.6 +/- 1.2-fold, P &lt; .01, Wilcoxon signed-rank test), neuron-derived extracellular vesicles (3.2 +/- 1.9-fold, P &lt; .01), and brain-specific protein S100b (1.4 +/- 0.2-fold, P &lt; .01). Further comparison of the cfDNA methylation profiles suggests a signature that is disease- and post-BBBO-specific, in keeping with our hypothesis, We also found cfDNA-mutant copies of isocitrate dehydrogenase 1 (IDH1) increased, although this was in only one patient known to harbor the tumor mutation. Conclusions. This first-in-human proof-of-concept study shows MRgFUS enriches the signal of circulating brain-derived biomarkers, demonstrating the potential of the technology to support liquid biopsy for the brain.</t>
  </si>
  <si>
    <t>[Meng, Ying; Pople, Christopher B.; Llinas, Maheleth; Huang, Yuexi; Sahgal, Arjun; Perry, James; Keith, Julia; Davidson, Benjamin; Hamani, Clement; Amemiya, Yutaka; Seth, Arun; Leong, Hon; Heyn, Chinthaka C.; Aubert, Isabelle; Hynynen, Kullervo; Lipsman, Nir] Sunnybrook Res Inst, Toronto, ON, Canada; [Meng, Ying; Suppiah, Suganth; Davidson, Benjamin; Hamani, Clement; Lipsman, Nir] Univ Toronto, Dept Surg, Div Neurosurg, Toronto, ON, Canada; [Sahgal, Arjun; Perry, James] Sunnybrook Hlth Sci Ctr, Odette Canc Ctr, Toronto, ON, Canada; [Sahgal, Arjun] Univ Toronto, Fac Med, Dept Radiat Oncol, Toronto, ON, Canada; [Perry, James] Univ Toronto, Dept Med, Div Neurol, Toronto, ON, Canada; [Keith, Julia; Seth, Arun; Aubert, Isabelle] Univ Toronto, Dept Lab Med &amp; Pathobiol, Toronto, ON, Canada; [Heyn, Chinthaka C.] Univ Toronto, Sunnybrook Hlth Sci Ctr, Dept Med Imaging, Toronto, ON, Canada; [Leong, Hon; Hynynen, Kullervo] Univ Toronto, Dept Med Biophys, Toronto, ON, Canada</t>
  </si>
  <si>
    <t>University of Toronto; Sunnybrook Health Science Center; Sunnybrook Research Institute; University of Toronto; University of Toronto; Sunnybrook Health Science Center; Sunnybrook Research Institute; University of Toronto; University of Toronto; University of Toronto; University of Toronto; Sunnybrook Health Science Center; Sunnybrook Research Institute; University of Toronto</t>
  </si>
  <si>
    <t>Lipsman, N (corresponding author), Sunnybrook Res Inst, Div Neurosurg, Harquail Ctr Neuromodulat, Hurvitz Brain Sci Res Program,Sunnybrook Hlth Sci, 2075 Bayview Ave, Toronto, ON M4N 3M5, Canada.</t>
  </si>
  <si>
    <t>nir.lipsman@sunnybrook.ca</t>
  </si>
  <si>
    <t>Meng, Ying/0000-0003-3180-2404; Pople, Christopher/0000-0002-7014-3280</t>
  </si>
  <si>
    <t>10.1093/neuonc/noab057</t>
  </si>
  <si>
    <t>WOS:000708743700019</t>
  </si>
  <si>
    <t>Arena, GO; Arena, V; Arena, M; Abdouh, M</t>
  </si>
  <si>
    <t>Arena, Goffredo Orazio; Arena, Vincenzo; Arena, Manuel; Abdouh, Mohamed</t>
  </si>
  <si>
    <t>Transfer of malignant traits as opposed to migration of cells: A novel concept to explain metastatic disease</t>
  </si>
  <si>
    <t>LYMPH-NODE DISSECTION; CANCER PATIENTS; IMMUNE-SYSTEM; BONE-MARROW; STEM-CELLS; DNA; P53; MICROVESICLES; PROGRESSION; HYPOTHESIS</t>
  </si>
  <si>
    <t>Metastatic disease is believed to develop following dissemination of cells to target organs. Inability of this theory to effectively explain certain phenomena such as patterns of metastatic spread, late metastasis formation, different gene patterns between primary cancer and metastasis have brought forward the need for alternative models. Recent discoveries have strengthened the validity of theories supporting a humoral transfer of malignant traits as opposed to migration of malignant cells to explain metastatic disease in cancer patients. In light of this new evidence, we would like to highlight a model that offers a new perspective to explain cancer metastasis. In the system that we theorize, genetic material released by cancer cells would travel, either free or packed in exosomes, through the blood. Target cells located in organs deriving from the same embryological layer might uptake this genetic material due to expression of specific receptors. Interplay with the immune system would determine the fate of these oncofactors and would regulate their ability to circulate in the blood, integrate in the genome and be transcribed. We also hypothesize that the expression of cell membrane receptors such as integrins, to which cancer exosomes ligate might be mediated by inherited or acquired oncosuppressor mutations. (C) 2017 The Authors. Published by Elsevier Ltd.</t>
  </si>
  <si>
    <t>[Arena, Goffredo Orazio; Abdouh, Mohamed] McGill Univ, Ctr Hlth, Res Inst, Canc Res Program, 1001 Decarie Blvd, Montreal, PQ H4A 3J1, Canada; [Arena, Goffredo Orazio] McGill Univ, St Mary Hosp, Dept Surg, 3830 Lacombe Ave, Montreal, PQ H3T 1M5, Canada; [Arena, Vincenzo] Santo Bambino Hosp, Dept Obstet &amp; Gynecol, Via Torre Vescovo 4, Catania, Italy; [Arena, Manuel] Univ Catania, Dept Surg Sci Organ Transplantat &amp; Adv Technol, Via Santa Sofia 84, Catania, Italy</t>
  </si>
  <si>
    <t>McGill University; McGill University; University of Catania</t>
  </si>
  <si>
    <t>Arena, GO (corresponding author), McGill Univ, Ctr Hlth, Res Inst, Canc Res Program, 1001 Decarie Blvd, Montreal, PQ H4A 3J1, Canada.</t>
  </si>
  <si>
    <t>10.1016/j.mehy.2017.01.019</t>
  </si>
  <si>
    <t>WOS:000397074200017</t>
  </si>
  <si>
    <t>Puente-Massaguer, E; Godia, F; Lecina, M</t>
  </si>
  <si>
    <t>Puente-Massaguer, Eduard; Godia, Francesc; Lecina, Marti</t>
  </si>
  <si>
    <t>Development of a non-viral platform for rapid virus-like particle production in Sf9 cells</t>
  </si>
  <si>
    <t>Virus-like particle; Sf9 cells; Transient gene expression; Cryo-transmission electron microscopy; Flow virometry; Polyethylenimine</t>
  </si>
  <si>
    <t>TRANSIENT GENE-EXPRESSION; PROTEIN-PRODUCTION; INSECT CELLS; TRANSFECTION; BACULOVIRUS; CHO; DNA; GENERATION; PROMOTER; HEK-293E</t>
  </si>
  <si>
    <t>Insect cells have shown a high versatility to produce multiple recombinant products. The ease of culture, low contamination risk with human pathogens and high expression capacity makes an attractive platform to generate virus-like particles (VLPs). The baculovirus expression vector system (BEVS) has been frequently used to produce these complex nanoparticles. However, the BEVS entails several difficulties in the downstream phase as well as undesirable side-effects due to the expression of baculovirus-derived proteins. In this work, we developed a baculovirus-free system based on polyethylenimine (PEI)-mediated transient gene expression (TGE) of Sf9 cells. An exhaustive study of DNA:PEI polyplex formation was performed and the optimal TGE conditions were determined by the combination of Design of Experiments (DoE) and desirability functions. The TGE approach was successfully applied to produce three model recombinant products with different structural complexities, including eGFP, hSEAP and HIV-1 Gag VLPs. Cell membrane co-localization with the Gag polyprotein was detected by fluorescence microscopy, whereas nanoparticle tracking analysis and flow virometry were applied as high-throughput techniques to monitor the VLP production process. Analysis of VLP production revealed that 48 h after transfection were optimal for VLP harvesting since the ratio of VLPs to extracellular vesicles was the highest. In these conditions, a maximum of 1.9 +/- 0.8.10(9) VLP/mL was achieved, representing a 2.8-fold increase compared to the initial transfection condition. In conclusion, the TGE approach proposed in this study provides a baculovirus-free platform to rapidly produce VLPs and potentially other recombinant products in insect cells.</t>
  </si>
  <si>
    <t>[Puente-Massaguer, Eduard; Godia, Francesc] Univ Autonoma Barcelona, Dept Engn Quim Biol &amp; Ambiental, Barcelona, Spain; [Lecina, Marti] Univ Ramon Llull, IQS Sch Engn, Barcelona, Spain</t>
  </si>
  <si>
    <t>Autonomous University of Barcelona; Universitat Ramon Llull; Institut Quimic de Sarria</t>
  </si>
  <si>
    <t>Puente-Massaguer, E (corresponding author), Univ Autonoma Barcelona, Dept Engn Quim Biol &amp; Ambiental, Barcelona, Spain.</t>
  </si>
  <si>
    <t>eduard.puente.massaguer@gmail.com</t>
  </si>
  <si>
    <t>Puente-Massaguer, Eduard/T-7482-2018; Godia, Francesc/H-9962-2015</t>
  </si>
  <si>
    <t>Puente-Massaguer, Eduard/0000-0002-2816-7051; Godia, Francesc/0000-0002-4060-9887</t>
  </si>
  <si>
    <t>10.1016/j.jbiotec.2020.07.009</t>
  </si>
  <si>
    <t>WOS:000571480400006</t>
  </si>
  <si>
    <t>Taylor, NG</t>
  </si>
  <si>
    <t>Taylor, Neil G.</t>
  </si>
  <si>
    <t>A role for Arabidopsis dynamin related proteins DRP2A/B in endocytosis; DRP2 function is essential for plant growth</t>
  </si>
  <si>
    <t>PLANT MOLECULAR BIOLOGY</t>
  </si>
  <si>
    <t>Endocytosis; Plasma membrane; Dynamin; Plant growth; Arabidopsis; Tip growth</t>
  </si>
  <si>
    <t>CELLULOSE SYNTHESIS; VESICLE FORMATION; PH DOMAIN; HOMOLOGY; TRAFFICKING; MUTANTS; FAMILY</t>
  </si>
  <si>
    <t>Endocytosis is an essential cellular process that allows cells to internalise proteins and lipid from the plasma membrane to change its composition and sense and respond to alterations in their extracellular environment. In animal cells, the protein dynamin is involved in membrane scission during endocytosis, allowing invaginating vesicles to become internalised. Arabidopsis encodes two proteins that have all the domains essential for function in the animal dynamins, Dynamin Related Proteins 2A and 2B (DRP2A and 2B). These proteins show very high sequence identity and are both expressed throughout the plant. Single mutants exhibited no obvious phenotypes but double mutants could be recovered as gametophytes carrying mutant copies of both DRP2A and DRP2B were not transmitted to the next generation. Immunolabelling localised DRP2A/B to the tips of root hairs, a site where rapid endocytosis takes place. Constitutive expression of a GTPase defective Dominant Negative form of DRP2A/B did not allow the recovery of plants expressing this protein at a detectable level, demonstrating an interference with endogenous dynamin. Using an inducible expression system Dominant Negative protein was transiently expressed at levels several fold that of the endogenous proteins. Inducible expression of the Dominant Negative protein resulted in reduced endocytosis at the tips of root hairs, as measured by internalisation of an endocytic tracer dye, and resulted in root hairs bulging and bursting. Together these data support a role for DRP2A/B in endocytosis in Arabidopsis, and demonstrates that the function of at least one of these closely related proteins is essential for plant growth.</t>
  </si>
  <si>
    <t>Univ York, Dept Biol, Ctr Novel Agr Prod, York YO10 5DD, N Yorkshire, England</t>
  </si>
  <si>
    <t>University of York - UK</t>
  </si>
  <si>
    <t>Taylor, NG (corresponding author), Univ York, Dept Biol, Ctr Novel Agr Prod, York YO10 5DD, N Yorkshire, England.</t>
  </si>
  <si>
    <t>enquiries@sciartimages.co.uk</t>
  </si>
  <si>
    <t>0167-4412</t>
  </si>
  <si>
    <t>1573-5028</t>
  </si>
  <si>
    <t>10.1007/s11103-011-9773-1</t>
  </si>
  <si>
    <t>Biochemistry &amp; Molecular Biology; Plant Sciences</t>
  </si>
  <si>
    <t>WOS:000290771800009</t>
  </si>
  <si>
    <t>Ushijima, Y; Goshima, F; Kimura, H; Nishiyama, Y</t>
  </si>
  <si>
    <t>Ushijima, Yoko; Goshima, Fumi; Kimura, Hiroshi; Nishiyama, Yukihiro</t>
  </si>
  <si>
    <t>Herpes simplex virus type 2 tegument protein UL56 relocalizes ubiquitin ligase Nedd4 and has a role in transport and/or release of virions</t>
  </si>
  <si>
    <t>COMPLETE GENOME SEQUENCE; DNA-SEQUENCE; MULTIVESICULAR BODIES; CONJUGATING ENZYME; GOLGI NETWORK; LOCALIZATION; FAMILY; GENE; E3; CLONING</t>
  </si>
  <si>
    <t>Background: The ubiquitin system functions in a variety of cellular processes including protein turnover, protein sorting and trafficking. Many viruses exploit the cellular ubiquitin system to facilitate viral replication. In fact, herpes simplex virus (HSV) encodes a ubiquitin ligase (E3) and a de-ubiquitinating enzyme to modify the host's ubiquitin system. We have previously reported HSV type 2 (HSV-2) tegument protein UL56 as a putative adaptor protein of neuronal precursor cell-expressed developmentally down-regulated 4 (Nedd4) E3 ligase, which has been shown to be involved in protein sorting and trafficking. Results: In this study, we visualized and characterized the dynamic intracellular localization of UL56 and Nedd4 using live-cell imaging and immunofluorescence analysis. UL56 was distributed to cytoplasmic vesicles, primarily to the trans-Golgi network (TGN), and trafficked actively throughout the cytoplasm. Moreover, UL56 relocalized Nedd4 to the vesicles in cells transiently expressing UL56 and in cells infected with HSV-2. We also investigated whether UL56 influenced the efficiency of viral replication, and found that extracellular infectious viruses were reduced in the absence of UL56. Conclusion: These data suggest that UL56 regulates Nedd4 and functions to facilitate the cytoplasmic transport of virions from TGN to the plasma membrane and/or release of virions from the cell surface.</t>
  </si>
  <si>
    <t>[Ushijima, Yoko; Goshima, Fumi; Kimura, Hiroshi; Nishiyama, Yukihiro] Nagoya Univ, Grad Sch Med, Dept Virol, Showa Ku, Nagoya, Aichi 4668550, Japan</t>
  </si>
  <si>
    <t>Nishiyama, Y (corresponding author), Nagoya Univ, Grad Sch Med, Dept Virol, Showa Ku, 65 Tsurumai Cho, Nagoya, Aichi 4668550, Japan.</t>
  </si>
  <si>
    <t>ushiy-5@med.nagoya-u.ac.jp; fgoshima@med.nagoya-u.ac.jp; hkimura@med.nagoya-u.ac.jp; ynishiya@med.nagoya-u.ac.jp</t>
  </si>
  <si>
    <t>Kimura, Hiroshi/I-2246-2012; GOSHIMA, Fumi/I-7241-2014</t>
  </si>
  <si>
    <t xml:space="preserve">Kimura, Hiroshi/0000-0001-8063-5660; </t>
  </si>
  <si>
    <t>10.1186/1743-422X-6-168</t>
  </si>
  <si>
    <t>WOS:000271679000002</t>
  </si>
  <si>
    <t>Zhou, CF; Zhang, YM; Yan, RM; Huang, L; Mellor, AL; Yang, Y; Chen, XJ; Wei, WF; Wu, XG; Yu, L; Liang, LJ; Zhang, D; Wu, S; Wang, W</t>
  </si>
  <si>
    <t>Zhou, Chenfei; Zhang, Yanmei; Yan, Ruiming; Huang, Lei; Mellor, Andrew L.; Yang, Yang; Chen, Xiaojing; Wei, Wenfei; Wu, Xiangguang; Yu, Lan; Liang, Luojiao; Zhang, Dan; Wu, Sha; Wang, Wei</t>
  </si>
  <si>
    <t>Exosome-derived miR-142-5p remodels lymphatic vessels and induces IDO to promote immune privilege in the tumour microenvironment</t>
  </si>
  <si>
    <t>INDOLEAMINE 2,3-DIOXYGENASE; CELL CARCINOMA; BREAST-CANCER; LYMPHANGIOGENESIS; METASTASIS; EXPRESSION; ROLES; INDOLEAMINE-2,3-DIOXYGENASE; SURVIVAL; GROWTH</t>
  </si>
  <si>
    <t>Clinical response to immunotherapy is closely associated with the immunosuppressive tumour microenvironment (TME), and influenced by the dynamic interaction between tumour cells and lymphatic endothelial cells (LECs). Here, we show that high levels of miR-142-5p positively correlate with indoleamine 2,3-dioxygenase (IDO) expression in tumour-associated lymphatic vessels in advanced cervical squamous cell carcinoma (CSCC). The miR-142-5p is transferred by CSCC-secreted exosomes into LECs to exhaust CD8(+)T cells via the up-regulation of lymphatic IDO expression, which was abrogated by an IDO inhibitor. Mechanistically, miR-142-5p directly down-regulates lymphatic AT-rich interactive domain-containing protein 2 (ARID2) expression, inhibits DNA methyltransferase 1 (DNMT1) recruitment to interferon (IFN)-gamma promoter, and enhances IFN-gamma transcription by suppressing promoter methylation, thereby leading to elevated IDO activity. Furthermore, increased serum exosomal miR-142-5p levels and the consequent IDO activity positively correlate with CSCC progression. In conclusion, exosomes secreted by CSCC cells deliver miR-142-5p to LECs and induce IDO expression via ARID2-DNMT1-IFN-gamma signalling to suppress and exhaust CD8(+)T cells. Our study suggests that LECs act as an integral component of the immune checkpoint(s) in the TME and may serve as a potential new target for CSCC diagnosis and treatment.</t>
  </si>
  <si>
    <t>[Zhou, Chenfei; Yan, Ruiming; Yang, Yang; Chen, Xiaojing; Wei, Wenfei; Wu, Xiangguang; Yu, Lan; Liang, Luojiao; Wang, Wei] Guangzhou Med Univ, Dept Obstet &amp; Gynecol, Affiliated Hosp 1, Guangzhou 510120, Peoples R China; [Zhang, Yanmei; Wu, Sha] Southern Med Univ, Sch Basic Med Sci, Guangdong Prov Key Lab Prote, Dept Immunol, Guangzhou 510515, Peoples R China; [Huang, Lei; Mellor, Andrew L.] Newcastle Univ, Inst Cellular Med, Fac Med Sci, Framlington Pl, Newcastle Upon Tyne NE2 4HH, Tyne &amp; Wear, England; [Zhang, Dan] Southern Med Univ, Nanfang Hosp, Huiqiao Med Ctr, Guangzhou 510515, Peoples R China</t>
  </si>
  <si>
    <t>Guangzhou Medical University; Southern Medical University - China; Newcastle University - UK; Southern Medical University - China</t>
  </si>
  <si>
    <t>Wang, W (corresponding author), Guangzhou Med Univ, Dept Obstet &amp; Gynecol, Affiliated Hosp 1, Guangzhou 510120, Peoples R China.;Wu, S (corresponding author), Southern Med Univ, Sch Basic Med Sci, Guangdong Prov Key Lab Prote, Dept Immunol, Guangzhou 510515, Peoples R China.</t>
  </si>
  <si>
    <t>shawu99@outlook.com; smugowwang@126.com</t>
  </si>
  <si>
    <t>10.1038/s41418-020-00618-6</t>
  </si>
  <si>
    <t>WOS:000569296600002</t>
  </si>
  <si>
    <t>Loiola, EC; Ventura, ALM</t>
  </si>
  <si>
    <t>Loiola, Erick Correia; Marques Ventura, Ana Lucia</t>
  </si>
  <si>
    <t>Release of ATP from avian Muller glia cells in culture</t>
  </si>
  <si>
    <t>NEUROCHEMISTRY INTERNATIONAL</t>
  </si>
  <si>
    <t>ATP release; Glutamate receptors; Muller glia; Avian retina</t>
  </si>
  <si>
    <t>RECEPTOR-MEDIATED STIMULATION; PURINERGIC RECEPTORS; RETINAL CELLS; CALCIUM WAVES; ADENOSINE-TRIPHOSPHATE; INDUCED PROLIFERATION; GLUTAMATE RELEASE; NMDA RECEPTORS; DNA-SYNTHESIS; RAT RETINA</t>
  </si>
  <si>
    <t>ATP can be released from neurons and act as a neuromodulator in the nervous system. Besides neurons, cortical astrocytes also are capable of releasing ATP from acidic vesicles in a Ca2+-dependent way. In the present work, we investigated the release of ATP from Muller glia cells of the chick embryo retina by examining quinacrine staining and by measuring the extracellular levels of ATP in purified Muller glia cultures. Our data revealed that glial cells could be labeled with quinacrine, a reaction that was prevented by incubation of the cells with 1 mu M bafilomycin A1 or 2 mu M Evans blue, potent inhibitors of vacuolar ATPases and of the vesicular nucleotide transporter, respectively. Either 50 mM KCl or 1 mM glutamate was able to decrease quinacrine staining of the cells, as well as to increase the levels of ATP in the extracellular medium by 77% and 89.5%, respectively, after a 5 min incubation of the cells. Glutamate-induced rise in extracellular ATP could be mimicked by 100 mu M kainate (81.5%) but not by 100 mu M NMDA in medium without MgCl2 but with 2 mM glycine. However, both glutamate- and kainate-induced increase in extracellular ATP levels were blocked by 50 mu M of the glutamatergic antagonists DNQX and MK-801, suggesting the involvement of both NMDA and non-NMDA receptors. Extracellular ATP accumulation induced by glutamate was also blocked by incubation of the cells with 30 mu M BAPTA-AM or 1 mu M bafilomycin A1. These results suggest that glutamate, through activation of both NMDA and non-NMDA receptors, induces the release of ATP from retinal Muller cells through a calcium-dependent exocytotic mechanism. (C) 2010 Elsevier Ltd. All rights reserved.</t>
  </si>
  <si>
    <t>[Loiola, Erick Correia; Marques Ventura, Ana Lucia] Univ Fed Fluminense, Dept Neurobiol, Neurosci Program, Inst Biol, BR-24001970 Niteroi, RJ, Brazil</t>
  </si>
  <si>
    <t>Universidade Federal Fluminense</t>
  </si>
  <si>
    <t>Ventura, ALM (corresponding author), Univ Fed Fluminense, Dept Neurobiol, Neurosci Program, Inst Biol, Cx Postal 100180, BR-24001970 Niteroi, RJ, Brazil.</t>
  </si>
  <si>
    <t>almv@vm.uff.br</t>
  </si>
  <si>
    <t>Loiola, Erick/I-4106-2016</t>
  </si>
  <si>
    <t>Loiola, Erick/0000-0002-7926-795X</t>
  </si>
  <si>
    <t>0197-0186</t>
  </si>
  <si>
    <t>1872-9754</t>
  </si>
  <si>
    <t>10.1016/j.neuint.2010.12.019</t>
  </si>
  <si>
    <t>WOS:000295749500019</t>
  </si>
  <si>
    <t>Podolich, O; Zaets, I; Kukharenko, O; Orlovska, I; Reva, O; Khirunenko, L; Sosnin, M; Haidak, A; Shpylova, S; Rohutskyy, I; Kharina, A; Skoryk, M; Kremenskoy, M; Klymchuk, D; Demets, R; de Vera, JP; Kozyrovska, N</t>
  </si>
  <si>
    <t>Podolich, O.; Zaets, I.; Kukharenko, O.; Orlovska, I.; Reva, O.; Khirunenko, L.; Sosnin, M.; Haidak, A.; Shpylova, S.; Rohutskyy, I.; Kharina, A.; Skoryk, M.; Kremenskoy, M.; Klymchuk, D.; Demets, R.; de Vera, J. -P.; Kozyrovska, N.</t>
  </si>
  <si>
    <t>The First Space-Related Study of a Kombucha Multimicrobial Cellulose-Forming Community: Preparatory Laboratory Experiments</t>
  </si>
  <si>
    <t>ORIGINS OF LIFE AND EVOLUTION OF BIOSPHERES</t>
  </si>
  <si>
    <t>Biology and Mars Experiments (BIOMEX); Kombucha; Biosignature; Biofilm; Bacterial cellulose</t>
  </si>
  <si>
    <t>OUTER-MEMBRANE VESICLES; FORE-SUDETIC MONOCLINE; MICROBIAL COMMUNITIES; BACTERIAL CELLULOSE; LIFE; MARS; DNA; BIOSIGNATURE; MECHANISMS; BIOMARKERS</t>
  </si>
  <si>
    <t>Biofilm-forming microbial communities are known as the most robust assemblages that can survive in harsh environments. Biofilm-associated microorganisms display greatly increased resistance to physical and chemical adverse conditions, and they are expected to be the first form of life on Earth or anywhere else. Biological molecules synthesized by biofilm -protected microbiomes may serve as markers of the nucleoprotein life. We offer a new experimental model, a kombucha multimicrobial culture (KMC), to assess a structural integrity of a widespread microbial polymer - cellulose - as a biosignature of bacteria-producers for the multipurpose international project BIOlogical and Mars Experiment (BIOMEX), which aims to study the vitality of pro- and eukaryotic organisms and the stability of organic biomolecules in contact with minerals to analyze the detectability of life markers in the context of a planetary background. In this study, we aimed to substantiate the detectability of mineralized cellulose with spectroscopy and to study the KMC macrocolony phenotype stability under adverse conditions (UV, excess of inorganics etc.). Cellulose matrix of the KMC macrocolony has been mineralized in the mineral-water interface under assistance of KMC-members. Effect of bioleached ions on the cellulose matrix has been visible, and the FT-IR spectrum proved changes in cellulose structure. However, the specific cellulose band vibration, confirming the presence of beta(1,4)-linkages between monomers, has not been quenched by secondary minerals formed on the surface of pellicle. The cellulose-based KMC macrocolony phenotype was in a dependence on extracellular matrix components (ionome, viriome, extracellular membrane vesicles), which provided its integrity and rigidness in a certain extent under impact of stressful factors.</t>
  </si>
  <si>
    <t>[Podolich, O.; Zaets, I.; Kukharenko, O.; Orlovska, I.; Shpylova, S.; Kozyrovska, N.] Inst Mol Biol &amp; Genet NASU, Acad Zabolotnoho Str 150, UA-03680 Kiev, Ukraine; [Reva, O.] Univ Pretoria, Dept Biochem, Bioinformat &amp; Computat Biol Unit, Pretoria, South Africa; [Khirunenko, L.; Sosnin, M.; Rohutskyy, I.] Inst Phys NASU, Kiev, Ukraine; [Haidak, A.; Kharina, A.] Kyiv Natl Taras Shevchenko Univ, Inst Biol, Kiev, Ukraine; [Skoryk, M.; Kremenskoy, M.] NanoTechMed LLC, Kiev, Ukraine; [Klymchuk, D.] Inst Bot NASU, Kiev, Ukraine; [Demets, R.] ESA, Estec, Noordwijk, Netherlands; [de Vera, J. -P.] German Aerosp Ctr DLR Berlin, Inst Planetary Res, Berlin, Germany</t>
  </si>
  <si>
    <t>National Academy of Sciences Ukraine; Institute of Molecular Biology &amp; Genetics of NASU; University of Pretoria; National Academy of Sciences Ukraine; Institute of Physics of the National Academy of Sciences of Ukraine; Ministry of Education &amp; Science of Ukraine; Taras Shevchenko National University Kiev; National Academy of Sciences Ukraine; M.G. Kholodny Institute of Botany, NAS of Ukraine; European Space Agency; Helmholtz Association; German Aerospace Centre (DLR)</t>
  </si>
  <si>
    <t>Podolich, O (corresponding author), Inst Mol Biol &amp; Genet NASU, Acad Zabolotnoho Str 150, UA-03680 Kiev, Ukraine.</t>
  </si>
  <si>
    <t>Khirunenko, Lyudmila I/N-7459-2018; Klymchuk, Dmytro/AAD-6374-2020; Kremenskoy, Maksym/AAD-8898-2021; Kozyrovska, Natalia O./P-1635-2017; Mikhail, Sosnin/X-8455-2018</t>
  </si>
  <si>
    <t>Khirunenko, Lyudmila I/0000-0003-4535-5529; Mikhail, Sosnin/0000-0002-8242-3589; Reva, Oleg/0000-0002-5459-2772; Mykola, Skoryk/0000-0002-3479-166X; Kozyrovska, Natalia/0000-0002-2849-3471; Klymchuk, Dmytro/0000-0002-7076-8213</t>
  </si>
  <si>
    <t>0169-6149</t>
  </si>
  <si>
    <t>1573-0875</t>
  </si>
  <si>
    <t>10.1007/s11084-016-9483-4</t>
  </si>
  <si>
    <t>WOS:000401067400005</t>
  </si>
  <si>
    <t>Song, L; Shi, QM; Yang, XH; Xu, ZH; Xue, HW</t>
  </si>
  <si>
    <t>Song, Li; Shi, Qiu-Ming; Yang, Xiao-Hua; Xu, Zhi-Hong; Xue, Hong-Wei</t>
  </si>
  <si>
    <t>Membrane steroid-binding protein 1 (MSBP1) negatively regulates brassinosteroid signaling by enhancing the endocytosis of BAK1</t>
  </si>
  <si>
    <t>MSBP1; BR signaling; BAK1; endocytosiss</t>
  </si>
  <si>
    <t>RECEPTOR-LIKE KINASE1; EXTRACELLULAR DOMAIN; GENE-EXPRESSION; ARABIDOPSIS; GROWTH; AUXIN; BRI1; COMPLEX; FLS2; BZR1</t>
  </si>
  <si>
    <t>Brassinosteroids (BRs) are perceived by transmembrane receptors and play vital roles in plant growth and development, as well as cell in responses to environmental stimuli. The transmembrane receptor BRI1 can directly bind to brassinolide (BL), and BAK1 interacts with BRI1 to enhance the BRI1-mediated BR signaling. Our previous studies indicated that a membrane steroid-binding protein 1 (MSBP1) could bind to BL in vitro and is negatively involved in BR signaling. To further elucidate the underlying mechanism, we here show that MSBP1 specifically interacts with the extracellular domain of BAK1 in vivo in a BL-independent manner. Suppressed cell expansion and BR responses by increased expression of MSBP1 can be recovered by overexpressing BAK1 or its intracellular kinase domain, suggesting that MSBP1 may suppress BR signaling through interacting with BAK1. Subcellular localization studies revealed that both MSBP1 and BAK1 are localized to plasma membrane and endocytic vesicles and MSBP1 accelerates BAK1 endocytosis, which results in suppressed BR signaling by shifting the equilibrium of BAK1 toward endosomes. Indeed, enhanced MSBP1 expression reduces the interaction between BRI1 and BAK1 in vivo, demonstrating that MSBP1 acts as a negative factor at an early step of the BR signaling pathway.</t>
  </si>
  <si>
    <t>[Song, Li; Shi, Qiu-Ming; Yang, Xiao-Hua; Xu, Zhi-Hong; Xue, Hong-Wei] Chinese Acad Sci, Shanghai Inst Biol Sci, Natl Key Lab Plant Mol Genet, Inst Plant Physiol &amp; Ecol, Shanghai 200032, Peoples R China</t>
  </si>
  <si>
    <t>Chinese Academy of Sciences; Shanghai Institutes for Biological Sciences, CAS</t>
  </si>
  <si>
    <t>Xue, HW (corresponding author), Chinese Acad Sci, Shanghai Inst Biol Sci, Natl Key Lab Plant Mol Genet, Inst Plant Physiol &amp; Ecol, 300 Fenglin Rd, Shanghai 200032, Peoples R China.</t>
  </si>
  <si>
    <t>hwxue@sibs.ac.cn</t>
  </si>
  <si>
    <t>10.1038/cr.2009.66</t>
  </si>
  <si>
    <t>WOS:000268722200008</t>
  </si>
  <si>
    <t>Zhang, SJ; Weng, T; Cheruba, E; Gao, TN; Chan, H; Sze, SK; Koh, CG</t>
  </si>
  <si>
    <t>Zhang, Songjing; Weng, Ting; Cheruba, Elsie; Gao, Tiannan; Chan, Hei; Sze, Siu Kwan; Koh, Cheng-Gee</t>
  </si>
  <si>
    <t>Phosphatase POPX2 Exhibits Dual Regulatory Functions in Cancer Metastasis</t>
  </si>
  <si>
    <t>SILAC mass spectrometry; secretome; tumor angiogenesis; exosome; cytokine; POPX2 phosphatase</t>
  </si>
  <si>
    <t>EPITHELIAL-MESENCHYMAL TRANSITIONS; TUBE FORMATION; IN-VITRO; ANGIOGENESIS; EXOSOMES; PAK; SECRETION; PROTEINS; CELLS; NETWORKS</t>
  </si>
  <si>
    <t>Cancer metastasis is a complex mechanism involving multiple processes. Previously, our integrative proteome, transcriptome, and phosphoproteome study reported that the levels of serine/threonine phosphatase POPX2 were positively correlated with cancer cell motility through modulating MAPK signaling. Surprisingly, here we found that POPX2 knockdown cells induced more numerous and larger tumor nodules in lungs in longer term animal studies. Interestingly, our analysis of DNA microarray data from cancer patient samples that are available in public databases shows that low POPX2 expression is linked to distant metastasis and poor survival rate. These observations suggest that lower levels of POPX2 may favor tumor progression in later stages of metastasis. We hypothesize that POPX2 may do so by modulation of angiogenesis. Secretome analysis of POPX2-knockdown MDA-MB-231 cells using LC MS/MS-based SILAC quantitative proteomics and cytokine array show that silencing of POPX2 leads to increased secretion of exosomes, which may, in turn, induce multiple pro-angiogenic cytokines. This study, combined with our previous findings, suggests that a single ubiquitously expressed phosphatase POPX2 influences cancer metastasis via modulating multiple biological processes including MAPK signaling and exosome cytokine secretion.</t>
  </si>
  <si>
    <t>[Zhang, Songjing; Weng, Ting; Gao, Tiannan; Chan, Hei; Sze, Siu Kwan; Koh, Cheng-Gee] Nanyang Technol Univ, Sch Biol Sci, Singapore 637551, Singapore; [Zhang, Songjing; Weng, Ting; Cheruba, Elsie; Koh, Cheng-Gee] Mechanobiol Inst, Singapore 117411, Singapore; [Gao, Tiannan] ETH, Inst Mol Syst Biol, CH-8093 Zurich, Switzerland</t>
  </si>
  <si>
    <t>Nanyang Technological University &amp; National Institute of Education (NIE) Singapore; Nanyang Technological University; ETH Zurich</t>
  </si>
  <si>
    <t>Koh, CG (corresponding author), Nanyang Technol Univ, Sch Biol Sci, Singapore 637551, Singapore.;Koh, CG (corresponding author), Mechanobiol Inst, Singapore 117411, Singapore.</t>
  </si>
  <si>
    <t>cgkoh@ntu.edu.sg</t>
  </si>
  <si>
    <t>Sze, Siu_kwan Newman/A-2199-2011; Sze, Siu Kwan/AAO-3342-2020; Koh, Cheng Gee/A-2215-2011; Guo, Tiannan/AAR-3568-2020</t>
  </si>
  <si>
    <t>Sze, Siu_kwan Newman/0000-0002-5652-1687; Sze, Siu Kwan/0000-0002-5652-1687; Koh, Cheng Gee/0000-0003-1905-8010; Guo, Tiannan/0000-0003-3869-7651; Cheruba, Elsie/0000-0002-5289-0434; WENG, TING/0000-0002-8250-0249; Chan, Anna/0000-0003-2176-5734</t>
  </si>
  <si>
    <t>10.1021/acs.jproteome.6b00748</t>
  </si>
  <si>
    <t>WOS:000393539600031</t>
  </si>
  <si>
    <t>Eissa, MAL; Lerner, L; Abdelfatah, E; Shankar, N; Canner, JK; Hasan, NM; Yaghoobi, V; Huang, B; Kerner, Z; Takaesu, F; Wolfgang, C; Kwak, R; Ruiz, M; Tam, M; Pisanic, TR; Iacobuzio-Donahue, CA; Hruban, RH; He, J; Wang, TH; Wood, LD; Sharma, A; Ahuja, N</t>
  </si>
  <si>
    <t>Eissa, Maryam A. L.; Lerner, Lane; Abdelfatah, Eihab; Shankar, Nakul; Canner, Joseph K.; Hasan, Nesrin M.; Yaghoobi, Vesal; Huang, Barry; Kerner, Zachary; Takaesu, Felipe; Wolfgang, Christopher; Kwak, Ruby; Ruiz, Michael; Tam, Matthew; Pisanic, Thomas R.; Iacobuzio-Donahue, Christine A.; Hruban, Ralph H.; He, Jin; Wang, Tza-Huei; Wood, Laura D.; Sharma, Anup; Ahuja, Nita</t>
  </si>
  <si>
    <t>Promoter methylation of ADAMTS1 and BNC1 as potential biomarkers for early detection of pancreatic cancer in blood</t>
  </si>
  <si>
    <t>CLINICAL EPIGENETICS</t>
  </si>
  <si>
    <t>Cell-free DNA; MOB; ADAMTS1; BNC1; Methylation; Biomarker; Pancreatic cancer</t>
  </si>
  <si>
    <t>PAPILLARY MUCINOUS NEOPLASMS; DNA METHYLATION; CIRCULATING DNA; RISK-FACTORS; EPIDEMIOLOGY; PLASMA; HYPERMETHYLATION; SURVIVAL; SERUM; EXOSOMES</t>
  </si>
  <si>
    <t>BackgroundDespite improvements in cancer management, most pancreatic cancers are still diagnosed at an advanced stage. We have recently identified promoter DNA methylation of the genes ADAMTS1 and BNC1 as potential blood biomarkers of pancreas cancer. In this study, we validate this biomarker panel in peripheral cell-free tumor DNA of patients with pancreatic cancer.ResultsSensitivity and specificity for each gene are as follows: ADAMTS1 87.2% and 95.8% (AUC=0.91; 95% CI 0.71-0.86) and BNC1 64.1% and 93.7% (AUC=0.79; 95% CI 0.63-0.78). When using methylation of either gene as a combination panel, sensitivity increases to 97.3% and specificity to 91.6% (AUC=0.95; 95% CI 0.77-0.90). Adding pre-operative CA 19-9 values to the combined two-gene methylation panel did not improve sensitivity. Methylation of ADAMTS1 was found to be positive in 87.5% (7/8) of stage I, 77.8% (7/9) of stage IIA, and 90% (18/20) of stage IIB disease. Similarly, BNC1 was positive in 62.5% (5/8) of stage I patients, 55.6% (5/9) of stage IIA, and 65% (13/20) of patients with stage IIB disease. The two-gene panel (ADAMTS1 and/or BNC1) was positive in 100% (8/8) of stage I, 88.9% (8/9) of stage IIA, and 100% (20/20) of stage IIB disease. The sensitivity and specificity of the two-gene panel for localized pancreatic cancer (stages I and II), where the cancer is eligible for surgical resection with curative potential, was 94.8% and 91.6% respectively. Additionally, the two-gene panel exhibited an AUC of 0.95 (95% CI 0.90-0.98) compared to 57.1% for CA 19-9 alone.ConclusionThe methylation status of ADAMTS1 and BNC1 in cfDNA shows promise for detecting pancreatic cancer during the early stages when curative resection of the tumor is still possible. This minimally invasive blood-based biomarker panel could be used as a promising tool for diagnosis and screening in a select subset of high-risk populations.</t>
  </si>
  <si>
    <t>[Eissa, Maryam A. L.; Lerner, Lane; Abdelfatah, Eihab; Shankar, Nakul; Canner, Joseph K.; Hasan, Nesrin M.; Yaghoobi, Vesal; Huang, Barry; Kerner, Zachary; Takaesu, Felipe; Wolfgang, Christopher; Kwak, Ruby; Ruiz, Michael; Tam, Matthew; He, Jin; Sharma, Anup; Ahuja, Nita] Johns Hopkins Univ, Sch Med, Dept Surg, Baltimore, MD 21205 USA; [Hruban, Ralph H.; Wood, Laura D.; Ahuja, Nita] Johns Hopkins Univ, Sch Med, Dept Oncol, Sidney Kimmel Comprehens Canc Ctr, Baltimore, MD 21205 USA; [Pisanic, Thomas R.; Wang, Tza-Huei] Johns Hopkins Univ, Johns Hopkins Inst NanoBioTechnol, Baltimore, MD USA; [Iacobuzio-Donahue, Christine A.] Mem Sloan Kettering Canc Ctr, Dept Pathol, 1275 York Ave, New York, NY 10021 USA; [Iacobuzio-Donahue, Christine A.; Hruban, Ralph H.; Wood, Laura D.] Johns Hopkins Univ, Sch Med, Dept Pathol, Baltimore, MD 21205 USA; [Hruban, Ralph H.; Wood, Laura D.; Ahuja, Nita] Johns Hopkins Univ Hosp, Sidney Kimmel Comprehens Canc Ctr, Sol Goldman Pancreat Canc Res Ctr, Baltimore, MD 21287 USA; [Sharma, Anup; Ahuja, Nita] Yale Univ, Sch Med, Yale New Haven Hlth, Dept Surg, POB 208062, New Haven, CT 06520 USA</t>
  </si>
  <si>
    <t>Johns Hopkins University; Johns Hopkins University; Johns Hopkins Medicine; Johns Hopkins University; Memorial Sloan Kettering Cancer Center; Johns Hopkins University; Johns Hopkins University; Johns Hopkins Medicine; Yale University</t>
  </si>
  <si>
    <t>Ahuja, N (corresponding author), Johns Hopkins Univ, Sch Med, Dept Surg, Baltimore, MD 21205 USA.;Ahuja, N (corresponding author), Johns Hopkins Univ, Sch Med, Dept Oncol, Sidney Kimmel Comprehens Canc Ctr, Baltimore, MD 21205 USA.</t>
  </si>
  <si>
    <t>nita.ahuja@yale.edu</t>
  </si>
  <si>
    <t>Pisanic, Thomas R/E-5793-2015; Wood, Laura/ABF-1531-2020; Iacobuzio-Donahue, Christine/ABF-1295-2020</t>
  </si>
  <si>
    <t>Pisanic, Thomas R/0000-0001-5796-0836; Iacobuzio-Donahue, Christine/0000-0002-4672-3023; Kerner, Zachary/0000-0002-5623-0089; Takaesu, Felipe/0000-0002-5569-8907</t>
  </si>
  <si>
    <t>1868-7075</t>
  </si>
  <si>
    <t>1868-7083</t>
  </si>
  <si>
    <t>10.1186/s13148-019-0650-0</t>
  </si>
  <si>
    <t>WOS:000463786100001</t>
  </si>
  <si>
    <t>Hudita, A; Ioana-Lavric, V; Zamfir, A; Buburuzan, L; Ginghina, O; Negrei, C; Dragomiroiu, GTAB; Costache, M; Ardeleanu, C; Radu, E; Popa, DE; Barca, M; Iordache, N; Ceausu, I; Galateanu, B</t>
  </si>
  <si>
    <t>Hudita, Ariana; Ioana-Lavric, Vlad; Zamfir, Anca; Buburuzan, Laura; Ginghina, Octav; Negrei, Carolina; Dragomiroiu, George Traian Alexandru Burcea; Costache, Marieta; Ardeleanu, Carmen; Radu, Eugen; Popa, Daniela Elena; Barca, Maria; Iordache, Niculae; Ceausu, Iuliana; Galateanu, Bianca</t>
  </si>
  <si>
    <t>OPTIMIZATION OF A FLOW CYTOMETRY METHOD FOR THE APPROACH OF LIQUID BIOPSY AS A THERAPY MODULATION TOOL IN PATIENTS WITH COLORECTAL CANCER</t>
  </si>
  <si>
    <t>FARMACIA</t>
  </si>
  <si>
    <t>liquid biopsy; flow cytometry; circulating tumour cells; EpCAM; CD45 depletion</t>
  </si>
  <si>
    <t>CIRCULATING TUMOR-CELLS; CHALLENGES; MODELS</t>
  </si>
  <si>
    <t>Personalized medicine in oncology aims to tailor a particular dynamic treatment for the individual, starting from the diagnostic throughout therapy. To guide the appropriate treatment decisions, liquid biopsy is being used as a real time monitoring analysis targeting the detection and analysis of: (i) circulating tumour cells that shed from the tumours and circulate through the blood stream, (ii) circulating tumour DNA (cell free DNA originated from apoptotic and necrotic tumour cells) and (iii) exosomes of tumour origin. Many techniques were developed to isolate cells of epithelial origin in whole blood based on the expression of cell-surface markers like EpCAM and panCK. However, due to their low number (1-10 cells/mL of whole blood) as compared to normal blood cells, enrichment strategies are to be developed for optimum results. In this context, the aim of this study was to develop a flow cytometry protocol to detect the circulating tumour cells in patients with colon cancer, with high impact on therapy modulation.</t>
  </si>
  <si>
    <t>[Hudita, Ariana; Ioana-Lavric, Vlad; Costache, Marieta; Galateanu, Bianca] Univ Bucharest, Fac Biol, Dept Biochem &amp; Mol Biol, 91-95 Splaiul Independentei, Bucharest 050095, Romania; [Zamfir, Anca; Buburuzan, Laura; Ardeleanu, Carmen] OncoTeam Diagnost, 313A Splaiul Unirii St, Bucharest 030138, Romania; [Ginghina, Octav; Iordache, Niculae] Carol Davila Univ Med &amp; Pharm, Sf Ioan Clin Emergency Hosp, Fac Dent Med, Dept Surg, 13 Vitan Barzesti Rd, Bucharest 042122, Romania; [Negrei, Carolina] Carol Davila Univ Med &amp; Pharm, Fac Pharm, Dept Toxicol, 6 Traian Vuia St, Bucharest 020956, Romania; [Dragomiroiu, George Traian Alexandru Burcea; Popa, Daniela Elena; Barca, Maria] Carol Davila Univ Med &amp; Pharm, Fac Pharm, Dept Drug Control, 6 Traian Vuia St, Bucharest 020956, Romania; [Radu, Eugen] Univ Hosp Bucharest, Molimagex Mol Biol &amp; Pathol Res Lab, 169 Splaiul Independentei St, Bucharest 050098, Romania; [Ceausu, Iuliana] Univ Med &amp; Pharm Carol Davila, Fac Med, Dept Obstet &amp; Gynaecol, Dr I Cantacuzino Hosp, 5-7 Ion Movila St, Bucharest, Romania</t>
  </si>
  <si>
    <t>University of Bucharest; Carol Davila University of Medicine &amp; Pharmacy; Carol Davila University of Medicine &amp; Pharmacy; Carol Davila University of Medicine &amp; Pharmacy; Carol Davila University of Medicine &amp; Pharmacy</t>
  </si>
  <si>
    <t>Ginghina, O (corresponding author), Carol Davila Univ Med &amp; Pharm, Sf Ioan Clin Emergency Hosp, Fac Dent Med, Dept Surg, 13 Vitan Barzesti Rd, Bucharest 042122, Romania.</t>
  </si>
  <si>
    <t>octavginghina@gmail.com</t>
  </si>
  <si>
    <t>Costache, Marieta D/F-2806-2016; Hudita, Ariana/AAQ-8023-2020; Radu, Eugen/F-2376-2011; Hudita, Ariana/I-5502-2016</t>
  </si>
  <si>
    <t>Costache, Marieta D/0000-0002-8103-3693; Radu, Eugen/0000-0002-5642-9979; Hudita, Ariana/0000-0002-9439-9432</t>
  </si>
  <si>
    <t>0014-8237</t>
  </si>
  <si>
    <t>2065-0019</t>
  </si>
  <si>
    <t>10.31925/farmacia.2018.5.16</t>
  </si>
  <si>
    <t>WOS:000447181100016</t>
  </si>
  <si>
    <t>De Santis, D; Castagna, A; Danese, E; Udali, S; Martinelli, N; Morandini, F; Veneri, M; Bertolone, L; Olivieri, O; Friso, S; Pizzolo, F</t>
  </si>
  <si>
    <t>De Santis, Domenica; Castagna, Annalisa; Danese, Elisa; Udali, Silvia; Martinelli, Nicola; Morandini, Francesca; Veneri, Mariangela; Bertolone, Lorenzo; Olivieri, Oliviero; Friso, Simonetta; Pizzolo, Francesca</t>
  </si>
  <si>
    <t>Detection of Urinary Exosomal HSD11B2 mRNA Expression: A Useful Novel Tool for the Diagnostic Approach of Dysfunctional 11 beta-HSD2-Related Hypertension</t>
  </si>
  <si>
    <t>apparent mineralocorticoid excess; 11 beta-hydroxysteroid dehydrogenase type 2; urinary cortisol metabolites ratio; urinary exosomal mRNA; Droplet Digital PCR; essential hypertension</t>
  </si>
  <si>
    <t>11-BETA-HYDROXYSTEROID DEHYDROGENASE TYPE-2; APPARENT MINERALOCORTICOID EXCESS; DROPLET DIGITAL PCR; EXTRACELLULAR VESICLES; GENE PROMOTER; POLYMORPHISMS; CORTISONE; DNA; IDENTIFICATION; METABOLITES</t>
  </si>
  <si>
    <t>Objective: Apparent mineralocorticoid excess (AME) is an autosomal recessive disorder caused by the 11 beta-hydroxysteroid dehydrogenase type 2 (11 beta-HSD2) enzyme deficiency, traditionally assessed by measuring either the urinary cortisol metabolites ratio (tetrahydrocortisol+allotetrahydrocortisol/tetrahydrocortisone, THF+5aTHF/THE) or the urinary cortisol/cortisone (F/E) ratio. Exosomal mRNA is an emerging diagnostic tool due to its stability in body fluids and its biological regulatory function. It is unknown whether urinary exosomal HSD11B2 mRNA is related to steroid ratio or the HSD11B2 662 C &gt; G genotype (corresponding to a 221 A &gt; G substitution) in patients with AME and essential hypertension (EH). Aim of the Study: To detect and quantify HSD11B2 mRNA from urinary exosomes in samples from family members affected by AME and EH, and to evaluate the relationship between exosomal HSD11B2 mRNA, steroid ratio, 662C &gt; G genotype, and hypertension. Methods: In this observational case-control study, urinary steroid ratios and biochemical parameters were measured. Urinary exosomes were extracted from urine and exosomal HSD11B2 mRNA was quantified by Droplet Digital PCR (ddPCR). B2M (beta-2 microglobulin) gene was selected as the reference housekeeping gene. Results: Among family members affected by AME, exosomal urinary HSD11B2 mRNA expression was strictly related to genotypes. The two homozygous mutant probands showed the highest HSD11B2 mRNA levels (median 169, range 118-220 copies/mu l) that progressively decreased in 221 AG heterozygous with hypertension (108, range 92-124 copies/mu l), 221 AG heterozygous normotensives (23.35, range 8-38.7 copies/mu l), and wild-type 221 AA subjects (5.5, range 4.5-14 copies/mu l). Heterozygous hypertensive subjects had more HSD11B2 mRNA than heterozygous normotensive subjects. The F/E urinary ratio correlated with HSD11B2 mRNA copy number (p &lt; 0.05); HSD11B2 mRNA strongly decreased while THF+5aTHF/THE increased in the two probands after therapy. In the AME family, HSD11B2 copy number correlated with both F/E and THF+5aTHF/THE ratios, whereas in EH patients, a high F/E ratio reflected a reduced HSD11B2 mRNA expression. Conclusions: HSD11B2 mRNA is detectable and quantifiable in urinary exosomes; its expression varies according to the 662 C &gt; G genotype with the highest levels in homozygous mutant subjects. The HSD11B2 mRNA overexpression in AME could be due to a compensatory mechanism of the enzyme impairment. Exosomal mRNA is a useful tool to investigate HSD11B2 dysregulation in hypertension.</t>
  </si>
  <si>
    <t>[De Santis, Domenica; Castagna, Annalisa; Udali, Silvia; Martinelli, Nicola; Morandini, Francesca; Veneri, Mariangela; Bertolone, Lorenzo; Olivieri, Oliviero; Friso, Simonetta; Pizzolo, Francesca] Univ Verona, Dept Med, Unit Internal Med, Verona, Italy; [Danese, Elisa] Univ Verona, Sect Clin Biochem, Verona, Italy; [Danese, Elisa] Azienda Osped Univ Integrata Verona, Verona, Italy; [Morandini, Francesca] Aptuit Verona, Verona, Italy</t>
  </si>
  <si>
    <t>University of Verona; University of Verona; University of Verona; Azienda Ospedaliera Universitaria Integrata Verona</t>
  </si>
  <si>
    <t>Pizzolo, F (corresponding author), Univ Verona, Dept Med, Unit Internal Med, Verona, Italy.</t>
  </si>
  <si>
    <t>francesca.pizzolo@univr.it</t>
  </si>
  <si>
    <t>BERTOLONE, LORENZO/0000-0003-1458-2665</t>
  </si>
  <si>
    <t>10.3389/fendo.2021.681974</t>
  </si>
  <si>
    <t>WOS:000717575200001</t>
  </si>
  <si>
    <t>Sirianni, MJ; Fujimoto, KI; Nelson, CS; Pellegrino, MJ; Allen, RG</t>
  </si>
  <si>
    <t>Cyclic AMP analogs induce synthesis, processing, and secretion of prepro nociceptin orphanin FQ-derived peptides by NS20Y neuroblastoma cells</t>
  </si>
  <si>
    <t>ENDOGENOUS AGONIST; MOLECULAR-CLONING; ORL(1) RECEPTOR; NEUROPEPTIDE; GENE; RATS</t>
  </si>
  <si>
    <t>Recent studies have shown that cAMP analogs can induce expression of prepro (pp) orphanin FA (OFQ)/nociceptin-related gene products in NS20Y mouse neuroblastoma cells (Saito et al, [1996], J Biol Chem 271., 15615-15622), Additionally, exposure of NS20Y cells to cAMP analogs promoted neurite outgrowth and large dense-core vesicle formation. Even though an OFQ-like precursor (called 27K) was identified in NS20Y cell extracts, no secretion of OFQ-related peptides was detected. We have used reversed-phase high-performance liquid chromatography combined with a specific radioimmunoassay for OFQ(1-17) to determine if NS20Y cells secrete ppOFQ-derived peptides when stimulated by the cAMP analog ctp-cAMP, We found that NS20Y cells secreted abundant amounts of OFQ-derived products when stimulated by cAMP analogs. We also have determined that secretion of OFQ peptides was both time and concentration dependent and reversible on removal of cAMP analogs from the culture medium. In addition, the opioid agonist D-Pen(2)-D-Pen(5)-enkephalin inhibited forskolin-stimulated OFQ peptide secretion. Further, the synthetic glucocorticoid virtually abolished ctp-cAMP-stimulated OFQ peptide secretion. These results suggest that the processing, and secretion of the OFQ neuropeptide transmitter system can be modulated through lar cAMP levels and that these functions are regulated by opioids and molecules involved in mediating stress response. The NS20Y cell system will be extremely valuable for studying the regulation of peptides by a variety of intra-cellular and extracellular signaling pathways.</t>
  </si>
  <si>
    <t>Oregon Hlth Sci Univ, Ctr Res Occupat &amp; Environm Toxicol, Portland, OR 97201 USA</t>
  </si>
  <si>
    <t>Oregon Health &amp; Science University</t>
  </si>
  <si>
    <t>Allen, RG (corresponding author), Oregon Hlth Sci Univ, Ctr Res Occupat &amp; Environm Toxicol, 3181 Sam Jackson Pk Rd, Portland, OR 97201 USA.</t>
  </si>
  <si>
    <t>10.1089/104454999315619</t>
  </si>
  <si>
    <t>WOS:000078432300005</t>
  </si>
  <si>
    <t>Pieragostino, D; Lanzini, M; Cicalini, I; Cufaro, MC; Damiani, V; Mastropasqua, L; De Laurenzi, V; Nubile, M; Lanuti, P; Bologna, G; Agnifili, L; Del Boccio, P</t>
  </si>
  <si>
    <t>Pieragostino, Damiana; Lanzini, Manuela; Cicalini, Ilaria; Cufaro, Maria Concetta; Damiani, Verena; Mastropasqua, Leonardo; De Laurenzi, Vincenzo; Nubile, Mario; Lanuti, Paola; Bologna, Giuseppina; Agnifili, Luca; Del Boccio, Piero</t>
  </si>
  <si>
    <t>Tear proteomics reveals the molecular basis of the efficacy of human recombinant nerve growth factor treatment for Neurotrophic Keratopathy</t>
  </si>
  <si>
    <t>BIOMARKERS; PROTEIN; STRESS</t>
  </si>
  <si>
    <t>Neurotrophic Keratopathy (NK), classified as an orphan disease (ORPHA137596), is a rare degenerative corneal disease characterized by epithelial instability and decreased corneal sensitivity caused by the damage to the corneal nerves. The administration of human recombinant nerve growth factor (rhNGF) eye drops, as a licensed-in-Europe specific medication for treatment of moderate and severe NK, has added promising perspectives to the management of this disorder by providing a valid alternative to the neurotization surgery. However, few studies have been conducted to the molecular mechanism underlying the response to the treatment. Here, we carried out tears proteomics to highlight the protein expression during pharmacological treatment of NK (Data are available via ProteomeXchange with identifier PXD025408).Our data emphasized a proteome modulation during rhNGF treatment related to an increase in DNA synthesis, an activation of both BDNF signal and IL6 receptor. Furthermore, the amount of neuronal Extracellular Vesicles EVs (CD171+) correlated with the EVs carrying IL6R (CD126+) together associated to the inflammatory EVs (CD45+) in tears. Such scenario determined drug response, confirmed by an in vivo confocal microscopy analysis, showing an increase in length, density and number of nerve fiber branches during treatment. In summary, rhNGF treatment seems to determine an inflammatory micro-environment, mediated by functionalized EVs, defining the drug response by stimulating protein synthesis and fiber regeneration.</t>
  </si>
  <si>
    <t>[Pieragostino, Damiana; Cicalini, Ilaria; Cufaro, Maria Concetta; Damiani, Verena; De Laurenzi, Vincenzo; Lanuti, Paola; Bologna, Giuseppina; Del Boccio, Piero] Univ G dAnnunzio, Ctr Adv Studies &amp; Technol CAST, Chieti, Italy; [Pieragostino, Damiana; Cicalini, Ilaria; Damiani, Verena; De Laurenzi, Vincenzo] Univ G dAnnunzio, Dept Innovat Technol Med &amp; Dent, Chieti, Italy; [Lanzini, Manuela; Mastropasqua, Leonardo; Nubile, Mario; Lanuti, Paola; Bologna, Giuseppina; Agnifili, Luca] G dAnnunzio Univ Chieti Pescara, Dept Med &amp; Aging Sci, Chieti, Italy; [Lanzini, Manuela; Mastropasqua, Leonardo; Nubile, Mario; Agnifili, Luca] Univ G dAnnunzio, Natl Ctr High Technol CNAT Ophthalmol, Ophthalmol Clin, Chieti, Italy; [Cufaro, Maria Concetta; Del Boccio, Piero] Univ G dAnnunzio, Dept Pharm, Chieti, Italy</t>
  </si>
  <si>
    <t>G d'Annunzio University of Chieti-Pescara; G d'Annunzio University of Chieti-Pescara; G d'Annunzio University of Chieti-Pescara; G d'Annunzio University of Chieti-Pescara; G d'Annunzio University of Chieti-Pescara</t>
  </si>
  <si>
    <t>Pieragostino, D (corresponding author), Univ G dAnnunzio, Ctr Adv Studies &amp; Technol CAST, Chieti, Italy.;Pieragostino, D (corresponding author), Univ G dAnnunzio, Dept Innovat Technol Med &amp; Dent, Chieti, Italy.</t>
  </si>
  <si>
    <t>damiana.pieragostino@unich.it</t>
  </si>
  <si>
    <t>Cufaro, Maria Concetta/0000-0002-6457-7795</t>
  </si>
  <si>
    <t>10.1038/s41598-022-05229-4</t>
  </si>
  <si>
    <t>WOS:000746700700043</t>
  </si>
  <si>
    <t>Adeniji, N; Dhanasekaran, R</t>
  </si>
  <si>
    <t>Adeniji, Nia; Dhanasekaran, Renumathy</t>
  </si>
  <si>
    <t>Current and Emerging Tools for Hepatocellular Carcinoma Surveillance</t>
  </si>
  <si>
    <t>DES-GAMMA-CARBOXYPROTHROMBIN; CLINICAL-PRACTICE GUIDELINES; RANDOMIZED CONTROLLED-TRIAL; CIRCULATING TUMOR-CELLS; ALPHA-FETOPROTEIN; DIAGNOSTIC PERFORMANCE; COST-EFFECTIVENESS; CARBOXY PROTHROMBIN; POOR-PROGNOSIS; PIVKA-II</t>
  </si>
  <si>
    <t>Hepatocellular carcinoma (HCC) is a leading cause of cancer-related mortality worldwide. Early detection of HCC enables patients to avail curative therapies that can improve patient survival. Current international guidelines advocate for the enrollment of patients at high risk for HCC, like those with cirrhosis, in surveillance programs that perform ultrasound every 6 months. In recent years, many studies have further characterized the utility of established screening strategies and have introduced new promising tools for HCC surveillance. In this review, we provide an overview of the most promising new imaging modalities and biomarkers for the detection of HCC. We discuss the role of imaging tools like ultrasound, computed tomography (CT), and magnetic resonance imaging (MRI) in the early detection of HCC, and describe recent innovations which can potentially enhance their applicability, including contrast enhanced ultrasound, low-dose CT scans, and abbreviated MRI. Next, we outline the data supporting the use of three circulating biomarkers (i.e., alpha-fetoprotein [AFP], AFP lens culinaris agglutinin-reactive fraction, and des-gamma-carboxy prothrombin) in HCC surveillance, and expand on multiple emerging liquid biopsy biomarkers, including methylated cell-free DNA (cfDNA), cfDNA mutations, extracellular vesicles, and circulating tumor cells. These promising new imaging modalities and biomarkers have the potential to improve early detection, and thus improve survival, in patients with HCC.</t>
  </si>
  <si>
    <t>[Adeniji, Nia] Stanford Sch Med, Stanford, CA 94305 USA; [Dhanasekaran, Renumathy] Div Gastroenterol &amp; Hepatol, Stanford, CA USA</t>
  </si>
  <si>
    <t>Stanford University</t>
  </si>
  <si>
    <t>Dhanasekaran, R (corresponding author), Stanford Univ, Sch Med, 300 Pasteur Dr,Alway Bldg M211, Stanford, CA 94305 USA.</t>
  </si>
  <si>
    <t>dhanaser@stanford.edu</t>
  </si>
  <si>
    <t>Adeniji, Nia/0000-0002-7957-5987; dhanasekaran, renumathy/0000-0001-8819-7511</t>
  </si>
  <si>
    <t>10.1002/hep4.1823</t>
  </si>
  <si>
    <t>WOS:000696582800001</t>
  </si>
  <si>
    <t>Laggner, M; Gugerell, A; Copic, D; Jeitler, M; Springer, M; Peterbauer, A; Kremslehner, C; Filzwieser-Narzt, M; Gruber, F; Madlener, S; Erb, M; Widder, J; Lechner, W; Georg, D; Mildner, M; Ankersmit, HJ</t>
  </si>
  <si>
    <t>Laggner, Maria; Gugerell, Alfred; Copic, Dragan; Jeitler, Markus; Springer, Michael; Peterbauer, Anja; Kremslehner, Christopher; Filzwieser-Narzt, Manuel; Gruber, Florian; Madlener, Sibylle; Erb, Michael; Widder, Joachim; Lechner, Wolfgang; Georg, Dietmar; Mildner, Michael; Ankersmit, Hendrik Jan</t>
  </si>
  <si>
    <t>Comparing the efficacy of gamma- and electron-irradiation of PBMCs to promote secretion of paracrine, regenerative factors</t>
  </si>
  <si>
    <t>BLOOD MONONUCLEAR-CELLS; INFLAMMATORY RESOLUTION; MYOCARDIAL-INFARCTION; CARDIAC REPAIR; CYTOSCAPE; THERAPY; PATHWAY; DAMAGE; APOSEC; ALPHA</t>
  </si>
  <si>
    <t>Cell-free secretomes represent a promising new therapeutic avenue in regenerative medicine, and gamma-irradiation of human peripheral blood mononuclear cells (PBMCs) has been shown to promote the release of paracrine factors with high regenerative potential. Recently, the use of alternative irradiation sources, such as artificially generated beta- or electron-irradiation, is encouraged by authorities. Since the effect of the less hazardous electron-radiation on the production and functions of paracrine factors has not been tested so far, we compared the effects of g- and electron-irradiation on PBMCs and determined the efficacy of both radiation sources for producing regenerative secretomes. Exposure to 60 Gy gamma-rays from a radioactive nuclide and 60 Gy electron-irradiation provided by a linear accelerator comparably induced cell death and DNA damage. The transcriptional landscapes of PBMCs exposed to either radiation source shared a high degree of similarity. Secretion patterns of proteins, lipids, and extracellular vesicles displayed similar profiles after gamma- and electron-irradiation. Lastly, we detected comparable biological activities in functional assays reflecting the regenerative potential of the secretomes. Taken together, we were able to demonstrate that electron-irradiation is an effective, alternative radiation source for producing therapeutic, cell-free secretomes. Our study paves the way for future clinical trials employing secretomes generated with electron-irradiation in tissue-regenerative medicine.</t>
  </si>
  <si>
    <t>[Laggner, Maria; Gugerell, Alfred; Copic, Dragan; Springer, Michael; Ankersmit, Hendrik Jan] Med Univ Vienna, Dept Thorac Surg, Waehringer Guertel 18-20, A-1090 Vienna, Austria; [Laggner, Maria; Gugerell, Alfred; Copic, Dragan; Springer, Michael; Ankersmit, Hendrik Jan] Lab Cardiac &amp; Thorac Diag &amp; Regenerat, A-1090 Vienna, Austria; [Jeitler, Markus] Med Univ Vienna, Core Facil Genom, A-1090 Vienna, Austria; [Peterbauer, Anja] Austrian Red Cross Blood Transfus Serv Upper Aust, A-4020 Linz, Austria; [Kremslehner, Christopher; Filzwieser-Narzt, Manuel; Gruber, Florian; Mildner, Michael] Med Univ Vienna, Dept Dermatol, Lazarettgasse 14, A-1090 Vienna, Austria; [Kremslehner, Christopher; Filzwieser-Narzt, Manuel; Gruber, Florian] Christian Doppler Lab Biotechnol Skin Aging, A-1090 Vienna, Austria; [Madlener, Sibylle] Med Univ Vienna, Mol Neurooncol, Dept Pediat &amp; Adolescent Med, A-1090 Vienna, Austria; [Madlener, Sibylle] Med Univ Vienna, Inst Neurol, A-1090 Vienna, Austria; [Madlener, Sibylle] Med Univ Vienna, Comprehens Canc Ctr, A-1090 Vienna, Austria; [Erb, Michael] SYNLAB Analyt &amp; Serv Switzerland AG, CH-4127 Birsfelden, Switzerland; [Widder, Joachim; Lechner, Wolfgang; Georg, Dietmar] Med Univ Vienna, Dept Radiat Oncol, A-1090 Vienna, Austria</t>
  </si>
  <si>
    <t>Medical University of Vienna; Medical University of Vienna; Medical University of Vienna; Medical University of Vienna; Medical University of Vienna; Medical University of Vienna; Medical University of Vienna</t>
  </si>
  <si>
    <t>Ankersmit, HJ (corresponding author), Med Univ Vienna, Dept Thorac Surg, Waehringer Guertel 18-20, A-1090 Vienna, Austria.;Mildner, M (corresponding author), Med Univ Vienna, Dept Dermatol, Lazarettgasse 14, A-1090 Vienna, Austria.</t>
  </si>
  <si>
    <t>michael.mildner@meduniwien.ac.at; hendrik.ankersmit@meduniwien.ac.at</t>
  </si>
  <si>
    <t>Copic, Dragan/0000-0002-1005-2985</t>
  </si>
  <si>
    <t>10.1016/j.omtm.2021.02.016</t>
  </si>
  <si>
    <t>WOS:000661173900002</t>
  </si>
  <si>
    <t>HILDEBRAND, HF; DECAESTECKER, AM; ARROUIJAL, FZ; MARTINEZ, R</t>
  </si>
  <si>
    <t>INVITRO AND INVIVO UPTAKE OF NICKEL SULFIDES BY RAT LYMPHOCYTES</t>
  </si>
  <si>
    <t>ARCHIVES OF TOXICOLOGY</t>
  </si>
  <si>
    <t>ALPHA-NI3S2; BETA-NIS; RAT LYMPHOCYTES; ELECTRON MICROSCOPY; ENERGY DISPERSIVE SPECTROMETRY; SULFUR PHOSPHORUS SHIFT; BIOLOGICAL TRANSFORMATION</t>
  </si>
  <si>
    <t>CONTACT-DERMATITIS; CARCINOGENESIS; ALPHA-NI3S2</t>
  </si>
  <si>
    <t>The uptake, the biological transformation and the interaction with cellular constituents of alpha-Ni3S2 and beta-NiS have been studied in vitro and in vivo on rat lymphocytes. beta-NiS crystals are phagocytized in vitro and no structural degradation is observed within the first 3 days of exposure. Energy dispersive spectrometry (EDS) reveals a slight dissolution characterized by the loss of sulfur. alpha-Ni3S2 is degraded in the extracellular space to minute particles (50-100 nm) covering the cell membrane. Smaller intracellular particles (10-30 nm) are found selectively bound to mitochondria, endoplasmic reticulum, Golgi vesicles, nuclear membranes, and the euchromatinic part of nuclei. EDS analyses reveal that the particles bound to cell membranes and euchromatin no longer contain sulfur but phosphorus and nickel as inorganic compounds. This observation suggests the formation of a Ni/P complex with the phosphate groups either of membranous phospholipids or of nuclear RNA or DNA. A similar uptake and transformation process of alpha-Ni3S2 is observed on lymphocytes after in vivo incubation. This leads us to consider lymphocytes as target cells, as compared with other cell types where the alpha-Ni3S2 uptake occurs only partially. The present findings show a difference of uptake and biological transformation between alpha-Ni3S2 and beta-NiS. The identical results obtained after in vitro and in vivo bioassays enhance the in vitro experiments, at least for this cell type.</t>
  </si>
  <si>
    <t>UNIV LILLE 1,CNRS,UA 234,F-59655 VILLENEUVE DASCQ,FRANCE</t>
  </si>
  <si>
    <t>Centre National de la Recherche Scientifique (CNRS); Universite de Lille - ISITE; Universite de Lille</t>
  </si>
  <si>
    <t>HILDEBRAND, HF (corresponding author), INST MED TRAVAIL,1 PL VERDUN,F-59045 LILLE,FRANCE.</t>
  </si>
  <si>
    <t>0340-5761</t>
  </si>
  <si>
    <t>10.1007/BF01968967</t>
  </si>
  <si>
    <t>WOS:A1991FN40500009</t>
  </si>
  <si>
    <t>Yang, HS; Zhao, JY; Dong, JB; Wen, L; Hu, ZK; He, CJ; Xu, FL; Huo, DQ; Hou, CJ</t>
  </si>
  <si>
    <t>Yang, Huisi; Zhao, Jiaying; Dong, Jiangbo; Wen, Li; Hu, Zhikun; He, Congjuan; Xu, Faliang; Huo, Danqun; Hou, Changjun</t>
  </si>
  <si>
    <t>Simultaneous detection of exosomal microRNAs by nucleic acid functionalized disposable paper-based sensors</t>
  </si>
  <si>
    <t>Exosomal miRNAs; Paper-based; Biosensor; Metal organic frameworks; Disposable</t>
  </si>
  <si>
    <t>METAL-ORGANIC FRAMEWORKS; DNA; NANOPARTICLES; BIOSENSOR; MARKERS</t>
  </si>
  <si>
    <t>Compared with free microRNAs (miRNAs) in blood, miRNAs in exosomes are more abundant and stable. However, simple, reliable and simultaneous detection of exosomal microRNAs remains a challenging. In this study, we proposed a disposable paper-based electrochemical strategy based on nucleic acid functionalized ZrMOF, which is label-free and enzyme-free, and could simultaneously detect multiple tumor exosomal miRNAs. We constructed a functionalized metal-organic framework (MOF) with electroactive dyes and capped it with hairpin DNA. This proposed bio-platform and MOF can display different electrochemical signals for different target analyses by changing the structures of dye-loaded and hairpin DNA. In view of this, we skill fully designed two kinds of functional MOFs (Zr/MB and Zr/BG) and used them to simultaneously detect exosomal miRNA-155 and exosomal miRNA-21 (as proof-of-concept analysis). This robust biosensor eliminates multiple timeconsuming steps associated with existing miRNAs quantification methods, such as reverse transcription and thermocycler amplification, and achieves molecular-level sensitivity to exosomal miRNA-155 (33.4 aM) and exosomal miRNA-21 (23.1 aM). This study combines the advantages of simultaneous biosensing, which disposable paper-based biosensing strategies and represents an important advance in the field of electrochemical analysis and provides unlimited possibilities for the development of flexible, easy-to-use, and inexpensive bioelectrodes.</t>
  </si>
  <si>
    <t>[Yang, Huisi; Zhao, Jiaying; Dong, Jiangbo; Wen, Li; Hu, Zhikun; He, Congjuan; Huo, Danqun; Hou, Changjun] Chongqing Univ, State &amp; Local Joint Engn Lab Vasc Implants, Bioengn Coll, Key Lab Biorheol Sci &amp; Technol,Minist Educ, Chongqing 400044, Peoples R China; [Huo, Danqun] Chongqing Univ, Sch Microelect &amp; Commun Engn, Chongqing Key Lab Biopercept &amp; Intelligent Inform, Chongqing 400044, Peoples R China; [Xu, Faliang] Chongqing Univ, Chongqing Key Lab Translat Res Canc Metastasis &amp;, Canc Hosp, Chongqing 400030, Peoples R China; [Hou, Changjun] Shanghai Jiao Tong Univ, Natl Facil Translat Med, Shanghai 200240, Peoples R China</t>
  </si>
  <si>
    <t>Chongqing University; Chongqing University; Chongqing University; Shanghai Jiao Tong University</t>
  </si>
  <si>
    <t>Huo, DQ; Hou, CJ (corresponding author), Chongqing Univ, State &amp; Local Joint Engn Lab Vasc Implants, Bioengn Coll, Key Lab Biorheol Sci &amp; Technol,Minist Educ, Chongqing 400044, Peoples R China.</t>
  </si>
  <si>
    <t>huodq23@163.com; houcj@cqu.edu.cn</t>
  </si>
  <si>
    <t>10.1016/j.cej.2022.135594</t>
  </si>
  <si>
    <t>WOS:000779707400001</t>
  </si>
  <si>
    <t>Coras, R; Narasimhan, R; Guma, M</t>
  </si>
  <si>
    <t>Coras, Roxana; Narasimhan, Rekha; Guma, Monica</t>
  </si>
  <si>
    <t>Liquid biopsies to guide therapeutic decisions in rheumatoid arthritis</t>
  </si>
  <si>
    <t>CELL-FREE DNA; TUMOR-NECROSIS-FACTOR; FIBROBLAST-LIKE SYNOVIOCYTES; FACTOR-ALPHA THERAPY; SYNOVIAL TISSUE; CLINICAL-RESPONSE; NUCLEIC-ACIDS; PLUS METHOTREXATE; DISEASE-ACTIVITY; TNF-ALPHA</t>
  </si>
  <si>
    <t>Rheumatoid arthritis (RA) is a systemic, immune-mediated inflammatory disease that has transitioned from a debilitating disease to a chronic, controllable disease. This has been possible due to the introduction of new treatment strategies like treat-to-target, in which the clinician treats the patient aggressively enough to reach low disease activity or remission, and the introduction of new therapeutic agents, such as biological therapies, which can lead to the prevention of damage by early diagnosis and initiation of treatment. Attention is now being directed toward identifying the optimal treatment for each patient, one that will be the most efficient and have the least number of side effects. Much work has been done to find serologic and synovial biomarkers of response to various RA treatments. Proteomics, genomics and, in the past few years, metabolomics, have all been used in the quest of identifying these biomarkers. Blood-based liquid biopsies provide a minimally invasive alternative to synovial biopsies to identify cellular and molecular signatures that can be used to longitudinally monitor response and allow for personalized medicine approach. Liquid biopsies are comprised of cell-free DNA, immune circulating cells, and extracellular vesicles, and are being increasingly and successfully used in the field of oncology for diagnosis, progression, prognosis, and prediction of response to treatment. Recently, researchers have also begun investigating the usefulness of liquid biopsies in the field of rheumatology; in this review, we will focus on the potential of liquid biopsy blood samples as biomarkers of response to treatment in patients with RA.</t>
  </si>
  <si>
    <t>[Coras, Roxana; Narasimhan, Rekha; Guma, Monica] Sch Med, Dept Med, La Jolla, CA USA; [Coras, Roxana; Narasimhan, Rekha; Guma, Monica] Univ Calif San Diego, San Diego, CA 92103 USA; [Coras, Roxana; Narasimhan, Rekha; Guma, Monica] Autonomous Univ Barcelona, Dept Med, Barcelona, Spain</t>
  </si>
  <si>
    <t>University of California System; University of California San Diego; Autonomous University of Barcelona</t>
  </si>
  <si>
    <t>Guma, M (corresponding author), UCSD Sch Med, Div Rheumatol Allergy &amp; Immunol, 9500 Gilman Dr, La Jolla, CA 92093 USA.</t>
  </si>
  <si>
    <t>mguma@ucsd.edu</t>
  </si>
  <si>
    <t>Coras, Roxana/AAT-5710-2021</t>
  </si>
  <si>
    <t>Coras, Roxana/0000-0001-9547-218X; guma, monica/0000-0003-1951-9411</t>
  </si>
  <si>
    <t>10.1016/j.trsl.2018.07.004</t>
  </si>
  <si>
    <t>WOS:000449037200001</t>
  </si>
  <si>
    <t>Routkevitch, D; Sudhakar, D; Conge, M; Varanasi, M; Tzeng, SY; Wilson, DR; Green, JJ</t>
  </si>
  <si>
    <t>Routkevitch, Denis; Sudhakar, Deepti; Conge, Marranne; Varanasi, Mahita; Tzeng, Stephany Y.; Wilson, David R.; Green, Jordan J.</t>
  </si>
  <si>
    <t>Efficiency of Cytosolic Delivery with Poly(beta-amino ester) Nanoparticles is Dependent on the Effective pK(a) of the Polymer</t>
  </si>
  <si>
    <t>ACS BIOMATERIALS SCIENCE &amp; ENGINEERING</t>
  </si>
  <si>
    <t>nanoparticle; gene delivery; poly(beta-amino ester); polyethylenimine; endosome; pK(a)</t>
  </si>
  <si>
    <t>GENE DELIVERY; BIOPHYSICAL CHARACTERIZATION; INTRACELLULAR TRAFFICKING; PARALLEL SYNTHESIS; TRANSFECTION; LIBRARY; ENDOSOMES; PLASMIDS; BILAYERS; VECTORS</t>
  </si>
  <si>
    <t>The mechanism by which cationic polymers containing titratable amines mediate effective endosomal escape and cytosolic delivery of nucleic acids is not well understood despite the decades of research devoted to these materials. Here, we utilize multiple assays investigating the endosomal escape step associated with plasmid delivery by polyethylenimine (PEI) and poly(beta-amino esters) (PBAEs) to improve the understanding of how these cationic polymers enable gene delivery. To probe the role of these materials in facilitating endosomal escape, we utilized vesicle membrane leakage and extracellular pH modulation assays to demonstrate the influence of polymer buffering capacity and effective pK(a) on the delivery of the plasmid DNA. Our results demonstrate that transfection with PBAEs is highly sensitive to the effective pK(a) of the overall polymer, which has broad implications for transfection. In more acidic environments, PBAE-mediated transfection was inhibited, while PEI was relatively unaffected. In neutral to basic environments, PBAEs have high buffering capacities that led to dramatically improved transfection efficacy. The cellular uptake of polymeric nanoparticles overall was unchanged as a function of pH, indicating that microenvironmental acidity was important for downstream intracellular delivery efficiency. Overall, this study motivates the use of polymer chemical characteristics, such as effective pK(a) values, to more efficiently evaluate new polymeric materials for enhanced intracellular delivery characteristics.</t>
  </si>
  <si>
    <t>[Green, Jordan J.] Johns Hopkins Univ, Sch Med, Dept Biomed Engn,Dept Ophthalmol,Dept Neurosurg, Translat Tissue Engn Ctr,Inst Nanobiotechnol,Dept, Baltimore, MD 21231 USA; [Green, Jordan J.] Johns Hopkins Univ, Dept Oncol, Sch Med, Baltimore, MD 21231 USA; [Green, Jordan J.] Johns Hopkins Univ, Bloomberg Kimmel Inst Canc Immunotherapy, Sch Med, Baltimore, MD 21231 USA; [Routkevitch, Denis; Sudhakar, Deepti; Varanasi, Mahita; Tzeng, Stephany Y.; Wilson, David R.] Johns Hopkins Univ, Sch Med, Dept Biomed Engn, Translat Tissue Engn Ctr, Baltimore, MD 21231 USA; [Routkevitch, Denis; Sudhakar, Deepti; Conge, Marranne; Varanasi, Mahita; Tzeng, Stephany Y.; Wilson, David R.] Johns Hopkins Univ, Sch Med, Inst Nanobiotechnol, Baltimore, MD 21231 USA; [Conge, Marranne] Johns Hopkins Univ, Translat Tissue Engn Ctr, Sch Med, Baltimore, MD 21231 USA</t>
  </si>
  <si>
    <t>Johns Hopkins University; Johns Hopkins University; Johns Hopkins University; Johns Hopkins University; Johns Hopkins University; Johns Hopkins University</t>
  </si>
  <si>
    <t>Green, JJ (corresponding author), Johns Hopkins Univ, Sch Med, Dept Biomed Engn,Dept Ophthalmol,Dept Neurosurg, Translat Tissue Engn Ctr,Inst Nanobiotechnol,Dept, Baltimore, MD 21231 USA.;Green, JJ (corresponding author), Johns Hopkins Univ, Dept Oncol, Sch Med, Baltimore, MD 21231 USA.;Green, JJ (corresponding author), Johns Hopkins Univ, Bloomberg Kimmel Inst Canc Immunotherapy, Sch Med, Baltimore, MD 21231 USA.</t>
  </si>
  <si>
    <t>green@jhu.edu</t>
  </si>
  <si>
    <t>Green, Jordan/B-9001-2009</t>
  </si>
  <si>
    <t>Green, Jordan/0000-0003-4176-3808; Routkevitch, Denis/0000-0002-7144-6347</t>
  </si>
  <si>
    <t>2373-9878</t>
  </si>
  <si>
    <t>10.1021/acsbiomaterials.0c00271</t>
  </si>
  <si>
    <t>WOS:000541442600015</t>
  </si>
  <si>
    <t>Gershon, M; Gershon, A</t>
  </si>
  <si>
    <t>Gershon, Michael; Gershon, Anne</t>
  </si>
  <si>
    <t>Varicella-Zoster Virus and the Enteric Nervous System</t>
  </si>
  <si>
    <t>enteric zoster; guinea pig model; latency; reactivation; saliva</t>
  </si>
  <si>
    <t>STEM-CELL TRANSPLANTATION; HERPES-ZOSTER; OGILVIES-SYNDROME; ABDOMINAL-PAIN; PROTEIN-KINASE; INCREASED RISK; INFECTION; DNA; SALIVA; VZV</t>
  </si>
  <si>
    <t>Varicella zoster virus (VZV) infects and becomes latent in sensory, enteric, and other autonomic neurons during the viremia of varicella. Reactivation of VZV in neurons that project to the skin causes the rash of zoster; however, reactivation of VZV in enteric neurons can cause a painful gastrointestinal disorder (enteric zoster) without cutaneous manifestations. Detection of VZV DNA in saliva of patients with gastrointestinal symptoms may suggest enteric zoster. This diagnosis is reinforced by observing a response to antiviral therapy and can be confirmed by detecting VZV gene products in intestinal mucosal biopsies. We developed an in vivo guinea pig model that may be useful in studies of VZV latency and reactivation. VZV-infected lymphocytes are used to induce latent infection in sensory and enteric neurons; evidence suggests that exosomes and stimulator of interferon genes (STING) may, by preventing proliferation play roles in the establishment of neuronal latency.</t>
  </si>
  <si>
    <t>[Gershon, Michael] Columbia Univ Coll Phys &amp; Surg, Dept Pathol, 630 W 168th St, New York, NY 10032 USA; [Gershon, Anne] Columbia Univ Coll Phys &amp; Surg, Dept Pediat, New York, NY 10032 USA</t>
  </si>
  <si>
    <t>Columbia University; Columbia University</t>
  </si>
  <si>
    <t>Gershon, M (corresponding author), Columbia Univ, Vagelos Coll P&amp;S, Dept Pathol &amp; Cell Biol, P&amp;S Bldg 403,630 West 168th St, New York, NY 10032 USA.</t>
  </si>
  <si>
    <t>mdg4@columbia.edu</t>
  </si>
  <si>
    <t>S113</t>
  </si>
  <si>
    <t>S119</t>
  </si>
  <si>
    <t>10.1093/infdis/jiy407</t>
  </si>
  <si>
    <t>WOS:000448167700011</t>
  </si>
  <si>
    <t>RUSSO, AF; LANIGAN, TM; SULLIVAN, BE</t>
  </si>
  <si>
    <t>NEURONAL PROPERTIES OF A THYROID C-CELL LINE - PARTIAL REPRESSION BY DEXAMETHASONE AND RETINOIC ACID</t>
  </si>
  <si>
    <t>MOLECULAR ENDOCRINOLOGY</t>
  </si>
  <si>
    <t>NEURAL CREST CELLS; CALCITONIN GENE; NEUROFILAMENT PROTEIN; ENDOCRINE CELLS; MESSENGER-RNA; EXPRESSION; INVITRO; GLUCOCORTICOIDS; DIFFERENTIATION; CGRP</t>
  </si>
  <si>
    <t>We have analyzed the effect of extracellular stimuli on the differentiation state of the CA77 thyroid C-cell line as a model to understand the control of neural crest cell differentiation. In contrast to the endocrine C-cell phenotype, we found that CA77 cells have a neuronal phenotype characterized by laminin-induced neurites, neuronal antigens, and calcitonin gene-related peptide (CGRP) mRNA expression. Treatment with dexamethasone and retinoic acid reversibly repressed some of these neuronal characteristics to induce features more characteristic of the parental C-cells. In the case of dexamethasone treatment, there was a partial retraction and thinning of neurites, an increased number of secretory vesicles in the cell bodies, and about a 10-fold decrease in DNA synthesis. Treatment with retinoic acid alone or in combination with dexamethasone caused decreased cell adhesion and an even more extensive retraction of the neurites. Dexamethasone also biased the steady state levels of the alternatively spliced transcripts from the calcitonin/CGRP gene to favor calcitonin relative to CGRP mRNA. While retinoic acid treatment decreased both calcitonin and CGRP mRNA levels, the combination of dexamethasone and retinoic acid still yielded the increase in calcitonin relative to CGRP mRNA. These results suggest that glucocorticoids and retinoic acid may contribute to a late and reversible differentiation of thyroid C-cells by partly repressing neuronal properties.</t>
  </si>
  <si>
    <t>RUSSO, AF (corresponding author), UNIV IOWA, DEPT PHYSIOL &amp; BIOPHYS, IOWA CITY, IA 52242 USA.</t>
  </si>
  <si>
    <t>Russo, Andrew/0000-0002-8156-5649</t>
  </si>
  <si>
    <t>0888-8809</t>
  </si>
  <si>
    <t>10.1210/me.6.2.207</t>
  </si>
  <si>
    <t>WOS:A1992HH58300007</t>
  </si>
  <si>
    <t>Xiao, GY; Cheng, CC; Chiang, YS; Cheng, WTK; Liu, IH; Wu, SC</t>
  </si>
  <si>
    <t>Xiao, Guan-Yu; Cheng, Chun-Chun; Chiang, Yih-Shien; Cheng, Winston Teng-Kuei; Liu, I-Hsuan; Wu, Shinn-Chih</t>
  </si>
  <si>
    <t>Exosomal miR-10a derived from amniotic fluid stem cells preserves ovarian follicles after chemotherapy</t>
  </si>
  <si>
    <t>BREAST-CANCER; IN-VITRO; PHOSPHORAMIDE MUSTARD; MEDIATED TRANSFER; CHILDHOOD-CANCER; GRANULOSA-CELLS; DNA-DAMAGE; LONG-TERM; APOPTOSIS; FAILURE</t>
  </si>
  <si>
    <t>Chemotherapy (CTx)-induced premature ovarian failure (POF) in woman remains clinically irreversible. Amniotic fluid stem cells (AFSCs) have shown the potential to treat CTx-induced POF; however, the underlying mechanism is unclear. Here we demonstrate that AFSC-derived exosomes recapitulate the anti-apoptotic effect of AFSCs on CTx-damaged granulosa cells (GCs), which are vital for the growth of ovarian follicles. AFSC-derived exosomes prevent ovarian follicular atresia in CTx-treated mice via the delivery of microRNAs in which both miR-146a and miR-10a are highly enriched and their potential target genes are critical to apoptosis. The down-regulation of these two miRNAs in AFSC-derived exosomes attenuates the anti-apoptotic effect on CTx-damaged GCs in vitro. Further, the administration of these miRNAs recapitulates the effects both in vitro and in vivo, in which miR-10a contributes a dominant influence. Our findings illustrate that miR-10a has potential as a novel therapeutic agent for the treatment of POF.</t>
  </si>
  <si>
    <t>[Xiao, Guan-Yu; Wu, Shinn-Chih] Natl Taiwan Univ, Inst Biotechnol, Taipei 10764, Taiwan; [Cheng, Chun-Chun] Taipei Med Univ, Coll Med Sci &amp; Technol, PhD Program Canc Biol &amp; Drug Discovery, Taipei, Taiwan; [Chiang, Yih-Shien] Natl Taiwan Univ, Coll Life Sci, Technol Commons, Taipei 10764, Taiwan; [Cheng, Winston Teng-Kuei; Liu, I-Hsuan; Wu, Shinn-Chih] Natl Taiwan Univ, Dept Anim Sci &amp; Technol, Taipei 10764, Taiwan; [Cheng, Winston Teng-Kuei] Tunghai Univ, Dept Anim Sci &amp; Biotechnol, Taichung 40704, Taiwan; [Liu, I-Hsuan] Natl Taiwan Univ, Res Ctr Dev Biol &amp; Regenerat Med, Taipei 10764, Taiwan</t>
  </si>
  <si>
    <t>National Taiwan University; Taipei Medical University; National Taiwan University; National Taiwan University; Tunghai University; National Taiwan University</t>
  </si>
  <si>
    <t>Wu, SC (corresponding author), Natl Taiwan Univ, Inst Biotechnol, Taipei 10764, Taiwan.;Liu, IH; Wu, SC (corresponding author), Natl Taiwan Univ, Dept Anim Sci &amp; Technol, Taipei 10764, Taiwan.;Liu, IH (corresponding author), Natl Taiwan Univ, Res Ctr Dev Biol &amp; Regenerat Med, Taipei 10764, Taiwan.</t>
  </si>
  <si>
    <t>ihliu@ntu.edu.tw; scw01@ntu.edu.tw</t>
  </si>
  <si>
    <t>Liu, I-Hsuan/D-9043-2017</t>
  </si>
  <si>
    <t>Liu, I-Hsuan/0000-0002-4524-3263; Wu, Shinn-Chih/0000-0001-8881-1550; Chiang, Yih-Shien/0000-0002-2631-2999</t>
  </si>
  <si>
    <t>10.1038/srep23120</t>
  </si>
  <si>
    <t>WOS:000372060800001</t>
  </si>
  <si>
    <t>Oldrini, B; Vaquero-Siguero, N; Mu, QH; Kroon, P; Zhang, Y; Galan-Ganga, M; Bao, ZS; Wang, Z; Liu, HJ; Sa, JK; Zhao, JF; Kim, H; Rodriguez-Perales, S; Nam, DH; Verhaak, RGW; Rabadan, R; Jiang, T; Wang, JG; Squatrito, M</t>
  </si>
  <si>
    <t>Oldrini, Barbara; Vaquero-Siguero, Nuria; Mu, Quanhua; Kroon, Paula; Zhang, Ying; Galan-Ganga, Marcos; Bao, Zhaoshi; Wang, Zheng; Liu, Hanjie; Sa, Jason K.; Zhao, Junfei; Kim, Hoon; Rodriguez-Perales, Sandra; Nam, Do-Hyun; Verhaak, Roel G. W.; Rabadan, Raul; Jiang, Tao; Wang, Jiguang; Squatrito, Massimo</t>
  </si>
  <si>
    <t>MGMT genomic rearrangements contribute to chemotherapy resistance in gliomas</t>
  </si>
  <si>
    <t>PROMOTER METHYLATION; RNA-SEQ; GLIOBLASTOMA; TEMOZOLOMIDE; GENE; BENEFIT</t>
  </si>
  <si>
    <t>Temozolomide (TMZ) is an oral alkylating agent used for the treatment of glioblastoma and is now becoming a chemotherapeutic option in patients diagnosed with high-risk low-grade gliomas. The O-6-methylguanine-DNA methyltransferase (MGMT) is responsible for the direct repair of the main TMZ-induced toxic DNA adduct, the O6-Methylguanine lesion. MGMT promoter hypermethylation is currently the only known biomarker for TMZ response in glioblastoma patients. Here we show that a subset of recurrent gliomas carries MGMT genomic rearrangements that lead to MGMT overexpression, independently from changes in its promoter methylation. By leveraging the CRISPR/Cas9 technology we generated some of these MGMT rearrangements in glioma cells and demonstrated that the MGMT genomic rearrangements contribute to TMZ resistance both in vitro and in vivo. Lastly, we showed that such fusions can be detected in tumor-derived exosomes and could potentially represent an early detection marker of tumor recurrence in a subset of patients treated with TMZ. Chemotherapy resistance in recurrent gliomas is a large hurdle for successful therapy. Here, the authors show that some recurrent gliomas harbour O-6-methylguanine-DNA methyltransferase (MGMT) genomic rearrangements, and in vitro and in vivo these contribute to temozolomide resistance.</t>
  </si>
  <si>
    <t>[Oldrini, Barbara; Vaquero-Siguero, Nuria; Kroon, Paula; Galan-Ganga, Marcos; Squatrito, Massimo] CNIO, Spanish Natl Canc Res Ctr, Seve Ballesteros Fdn Brain Tumor Grp, Mol Oncol Programme, Madrid 28029, Spain; [Mu, Quanhua; Bao, Zhaoshi; Wang, Jiguang] Hong Kong Univ Sci &amp; Technol, Div Life Sci, Dept Chem &amp; Biol Engn, Ctr Syst Biol &amp; Human Hlth, Hong Kong, Peoples R China; [Mu, Quanhua; Bao, Zhaoshi; Wang, Jiguang] Hong Kong Univ Sci &amp; Technol, State Key Lab Mol Neurosci, Hong Kong, Peoples R China; [Zhang, Ying; Bao, Zhaoshi; Wang, Zheng; Liu, Hanjie; Jiang, Tao] Capital Med Univ, Beijing Neurosurg Inst, Beijing 100050, Peoples R China; [Sa, Jason K.; Nam, Do-Hyun] Sungkyunkwan Univ, Sch Med, Samsung Med Ctr, Dept Neurosurg, Seoul 06531, South Korea; [Zhao, Junfei; Rabadan, Raul] Columbia Univ, Dept Syst Biol, New York, NY 10032 USA; [Kim, Hoon; Verhaak, Roel G. W.] Jackson Lab Genom Med, Farmington, CT 06032 USA; [Rodriguez-Perales, Sandra] CNIO, Spanish Natl Canc Res Ctr, Mol Cytogenet Grp, Human Canc Genet Program, Madrid 28029, Spain; [Sa, Jason K.] Korea Univ, Dept Biomed Sci, Coll Med, Seoul, South Korea</t>
  </si>
  <si>
    <t>Centro Nacional de Investigaciones Oncologicas (CNIO); Hong Kong University of Science &amp; Technology; Hong Kong University of Science &amp; Technology; Beijing Neurosurgical Institute; Capital Medical University; Sungkyunkwan University (SKKU); Samsung Medical Center; Columbia University; Centro Nacional de Investigaciones Oncologicas (CNIO); Korea University; Korea University Medicine (KU Medicine)</t>
  </si>
  <si>
    <t>Squatrito, M (corresponding author), CNIO, Spanish Natl Canc Res Ctr, Seve Ballesteros Fdn Brain Tumor Grp, Mol Oncol Programme, Madrid 28029, Spain.;Wang, JG (corresponding author), Hong Kong Univ Sci &amp; Technol, Div Life Sci, Dept Chem &amp; Biol Engn, Ctr Syst Biol &amp; Human Hlth, Hong Kong, Peoples R China.;Wang, JG (corresponding author), Hong Kong Univ Sci &amp; Technol, State Key Lab Mol Neurosci, Hong Kong, Peoples R China.;Jiang, T (corresponding author), Capital Med Univ, Beijing Neurosurg Inst, Beijing 100050, Peoples R China.</t>
  </si>
  <si>
    <t>taojiang1964@163.com; jgwang@ust.hk; msquatrito@cnio.es</t>
  </si>
  <si>
    <t>Verhaak, Roel/ABE-7058-2020; Wang, Jiguang/B-2717-2012; Rodriguez-Perales, Sandra/T-7667-2017</t>
  </si>
  <si>
    <t>Wang, Jiguang/0000-0002-6923-4097; Sa, Jason Kyungha/0000-0002-3251-5004; Squatrito, Massimo/0000-0002-4593-3790; Kim, Hoon/0000-0003-4244-6126; Rodriguez-Perales, Sandra/0000-0001-7221-3636</t>
  </si>
  <si>
    <t>10.1038/s41467-020-17717-0</t>
  </si>
  <si>
    <t>WOS:000561116100001</t>
  </si>
  <si>
    <t>Lazaro-Pena, MI; Diaz-Balzac, CA; Bulow, HE; Emmons, SW</t>
  </si>
  <si>
    <t>Lazaro-Pena, Maria I.; Diaz-Balzac, Carlos A.; Bulow, Hannes E.; Emmons, Scott W.</t>
  </si>
  <si>
    <t>Synaptogenesis Is Modulated by Heparan Sulfate in Caenorhabditis elegans</t>
  </si>
  <si>
    <t>GENETICS</t>
  </si>
  <si>
    <t>C. elegans; heparan sulfate; neurexin; neuroligin; Proteoglycans; synapse formation</t>
  </si>
  <si>
    <t>MALE MATING-BEHAVIOR; NERVOUS-SYSTEM DEVELOPMENT; RAY SENSORY NEURONS; C-ELEGANS; EXTRACELLULAR-MATRIX; HIPPOCAMPAL-NEURONS; RECEPTOR COMPLEX; AXON GUIDANCE; GENE; PROTEOGLYCANS</t>
  </si>
  <si>
    <t>The nervous system regulates complex behaviors through a network of neurons interconnected by synapses. How specific synaptic connections are genetically determined is still unclear. Male mating is the most complex behavior in Caenorhabditis elegans. It is composed of sequential steps that are governed by &gt; 3000 chemical connections. Here, we show that heparan sulfates (HS) play a role in the formation and function of the male neural network. HS, sulfated in position 3 by the HS modification enzyme HST-3.1/HS 3-O-sulfotransferase and attached to the HS proteoglycan glypicans LON-2/glypican and GPN-1/glypican, functions cell-autonomously and nonautonomously for response to hermaphrodite contact during mating. Loss of 3-O sulfation resulted in the presynaptic accumulation of RAB-3, a molecule that localizes to synaptic vesicles, and disrupted the formation of synapses in a component of the mating circuits. We also show that the neural cell adhesion protein NRX-1/neurexin promotes and the neural cell adhesion protein NLG-1/neuroligin inhibits the formation of the same set of synapses in a parallel pathway. Thus, neural cell adhesion proteins and extracellular matrix components act together in the formation of synaptic connections.</t>
  </si>
  <si>
    <t>[Lazaro-Pena, Maria I.; Diaz-Balzac, Carlos A.; Bulow, Hannes E.; Emmons, Scott W.] Albert Einstein Coll Med, Dept Genet, Bronx, NY 10461 USA; [Bulow, Hannes E.; Emmons, Scott W.] Albert Einstein Coll Med, Dominick P Purpura Dept Neurosci, Bronx, NY 10461 USA</t>
  </si>
  <si>
    <t>Yeshiva University; Albert Einstein College of Medicine; Yeshiva University; Albert Einstein College of Medicine</t>
  </si>
  <si>
    <t>Emmons, SW (corresponding author), Albert Einstein Coll Med, 1300 Morris Pk Ave, Bronx, NY 10461 USA.</t>
  </si>
  <si>
    <t>scott.emmons@einstein.yu.edu</t>
  </si>
  <si>
    <t>Diaz-Balzac, Carlos A./0000-0002-4723-1282; Lazaro-Pena, Maria I./0000-0002-3061-8835</t>
  </si>
  <si>
    <t>0016-6731</t>
  </si>
  <si>
    <t>1943-2631</t>
  </si>
  <si>
    <t>10.1534/genetics.118.300837</t>
  </si>
  <si>
    <t>WOS:000432188600015</t>
  </si>
  <si>
    <t>Thalin, C; Blomgren, B; Mobarrez, F; Lundstrom, A; Laska, AC; von Arbin, M; von Heijne, A; Rooth, E; Wallen, H; Aspberg, S</t>
  </si>
  <si>
    <t>Thalin, Charlotte; Blomgren, Bo; Mobarrez, Fariborz; Lundstrom, Annika; Laska, Ann Charlotte; von Arbin, Magnus; von Heijne, Anders; Rooth, Elisabeth; Wallen, Hakan; Aspberg, Sara</t>
  </si>
  <si>
    <t>Trousseau's Syndrome, a Previously Unrecognized Condition in Acute Ischemic Stroke Associated With Myocardial Injury</t>
  </si>
  <si>
    <t>JOURNAL OF INVESTIGATIVE MEDICINE HIGH IMPACT CASE REPORTS</t>
  </si>
  <si>
    <t>stroke; troponin; myocardial infarction; Trousseau; malignancy; thrombosis</t>
  </si>
  <si>
    <t>NEUTROPHIL EXTRACELLULAR TRAPS; ELEVATED TROPONIN; DNA TRAPS; MICROPARTICLES; THROMBOSIS; CANCER</t>
  </si>
  <si>
    <t>Trousseau's syndrome is a well-known malignancy associated hypercoagulative state leading to venous or arterial thrombosis. The pathophysiology is however poorly understood, although multiple mechanisms are believed to be involved. We report a case of Trousseau's syndrome resulting in concomitant cerebral and myocardial microthrombosis, presenting with acute ischemic stroke and markedly elevated plasma troponin T levels suggesting myocardial injury. Without any previous medical history, the patient developed multiple cerebral infarctions and died within 11 days of admission. The patient was postmortem diagnosed with an advanced metastatic adenocarcinoma of the prostate with disseminated cerebral, pulmonary, and myocardial microthrombosis. Further analyses revealed, to the best of our knowledge for the first time in stroke patients, circulating microvesicles positive for the epithelial tumor marker CK18 and citrullinated histone H3 in thrombi, markers of the recently described cancer-associated procoagulant DNA-based neutrophil extracellular traps. We also found tissue factor, the main in vivo initiator of coagulation, both in thrombi and in metastases. Troponin elevation in acute ischemic stroke is common and has repeatedly been associated with an increased risk of mortality. The underlying pathophysiology is however not fully clarified, although a number of possible explanations have been proposed. We now suggest that unexplainable high levels of troponin in acute ischemic stroke deserve special attention in terms of possible occult malignancy.</t>
  </si>
  <si>
    <t>[Thalin, Charlotte; Lundstrom, Annika; Laska, Ann Charlotte; von Arbin, Magnus; Rooth, Elisabeth] Karolinska Inst, Dept Clin Sci, Div Internal Med, Danderyd Hosp, S-18288 Stockholm, Sweden; [Blomgren, Bo] Karolinska Inst, Dept Clin Sci, Div Pathol, Danderyd Hosp, Stockholm, Sweden; [Mobarrez, Fariborz; Wallen, Hakan; Aspberg, Sara] Karolinska Inst, Dept Clin Sci, Div Cardiovasc Med, Danderyd Hosp, Stockholm, Sweden; [von Heijne, Anders] Karolinska Inst, Dept Clin Sci, Div Radiol, Danderyd Hosp, Stockholm, Sweden</t>
  </si>
  <si>
    <t>Danderyds Hospital; Karolinska Institutet; Danderyds Hospital; Karolinska Institutet; Danderyds Hospital; Karolinska Institutet; Danderyds Hospital; Karolinska Institutet</t>
  </si>
  <si>
    <t>Thalin, C (corresponding author), Karolinska Inst, Dept Clin Sci, Div Internal Med, Danderyd Hosp, S-18288 Stockholm, Sweden.</t>
  </si>
  <si>
    <t>charlotte.thalin@ds.se</t>
  </si>
  <si>
    <t>Mobarrez, Fariborz/0000-0002-7106-6248; Laska, Ann Charlotte/0000-0002-7330-940X</t>
  </si>
  <si>
    <t>2324-7096</t>
  </si>
  <si>
    <t>APR-JUN</t>
  </si>
  <si>
    <t>10.1177/2324709614539283</t>
  </si>
  <si>
    <t>WOS:000457916800014</t>
  </si>
  <si>
    <t>Koch, R; Demant, M; Aung, T; Diering, N; Cicholas, A; Chapuy, B; Wenzel, D; Lahmann, M; Guntsch, A; Kiecke, C; Becker, S; Hupfeld, T; Venkataramani, V; Ziepert, M; Opitz, L; Klapper, W; Trumper, L; Wulf, GG</t>
  </si>
  <si>
    <t>Koch, Raphael; Demant, Martin; Aung, Thiha; Diering, Nina; Cicholas, Anna; Chapuy, Bjoern; Wenzel, Dirk; Lahmann, Marlen; Guentsch, Annemarie; Kiecke, Christina; Becker, Sabrina; Hupfeld, Timo; Venkataramani, Vivek; Ziepert, Marita; Opitz, Lennart; Klapper, Wolfram; Truemper, Lorenz; Wulf, Gerald G.</t>
  </si>
  <si>
    <t>Populational equilibrium through exosome-mediated Wnt signaling in tumor progression of diffuse large B-cell lymphoma</t>
  </si>
  <si>
    <t>ACUTE MYELOID-LEUKEMIA; HEMATOPOIETIC STEM-CELLS; DRUG EFFLUX CAPACITY; BETA-CATENIN; SIDE POPULATION; ELDERLY-PATIENTS; TRANSPORTER A3; GROWTH-FACTORS; CANCER-CELLS; IN-VIVO</t>
  </si>
  <si>
    <t>Tumors are composed of phenotypically heterogeneous cell populations. The non-genomic mechanisms underlying transitions and interactions between cell populations are largely unknown. Here, we show that diffuse large B-cell lymphomas possess a self-organized infrastructure comprising side population (SP) and non-SP cells, where transitions between clonogenic states are modulated by exosome-mediated Wnt signaling. DNA methylation modulated SP-non-SP transitions and was correlated with the reciprocal expressions of Wnt signaling pathway agonist Wnt3a in SP cells and the antagonist secreted frizzled-related protein 4 in non-SP cells. Lymphoma SP cells exhibited autonomous clonogenicity and exported Wnt3a via exosomes to neighboring cells, thus modulating population equilibrium in the tumor.</t>
  </si>
  <si>
    <t>[Koch, Raphael; Demant, Martin; Aung, Thiha; Diering, Nina; Cicholas, Anna; Lahmann, Marlen; Guentsch, Annemarie; Kiecke, Christina; Becker, Sabrina; Hupfeld, Timo; Venkataramani, Vivek; Truemper, Lorenz; Wulf, Gerald G.] Univ Gottingen, Dept Hematol &amp; Oncol, D-37075 Gottingen, Germany; [Chapuy, Bjoern] Dana Farber Canc Inst, Boston, MA 02115 USA; [Wenzel, Dirk] Max Planck Inst Biophys Chem, D-37077 Gottingen, Germany; [Ziepert, Marita] Inst Med Informat Stat &amp; Epidemiol, Leipzig, Germany; [Opitz, Lennart] Funct Genom Ctr Zurich, Zurich, Switzerland; [Klapper, Wolfram] Hematopathol Sect, Kiel, Germany; [Klapper, Wolfram] Lymph Node Registry, Kiel, Germany</t>
  </si>
  <si>
    <t>University of Gottingen; Harvard University; Dana-Farber Cancer Institute; Max Planck Society</t>
  </si>
  <si>
    <t>Wulf, GG (corresponding author), Univ Gottingen, Dept Hematol &amp; Oncol, Robert Koch Str 40, D-37075 Gottingen, Germany.</t>
  </si>
  <si>
    <t>gwulf@med.uni-goettingen.de</t>
  </si>
  <si>
    <t>Klapper, Wolfram/S-6314-2016</t>
  </si>
  <si>
    <t>Venkataramani, Vivek/0000-0002-6771-365X</t>
  </si>
  <si>
    <t>10.1182/blood-2013-08-523886</t>
  </si>
  <si>
    <t>WOS:000335889600015</t>
  </si>
  <si>
    <t>Zhang, SR; Williamson, PR</t>
  </si>
  <si>
    <t>Barton, AW</t>
  </si>
  <si>
    <t>Zhang, Shirong; Williamson, Peter R.</t>
  </si>
  <si>
    <t>THE ROLES OF HEAT SHOCK PROTEIN 70 IN MICROBIAL PATHOGENESIS'</t>
  </si>
  <si>
    <t>HOST-PATHOGEN INTERACTIONS: GENETICS, IMMUNOLOGY AND PHYSIOLOGY</t>
  </si>
  <si>
    <t>Immunology and Immune System Disorders</t>
  </si>
  <si>
    <t>Fungus; infection; pathogenesis; laccase; heat shock protein; protein secretion; virulence</t>
  </si>
  <si>
    <t>SHOCK TRANSCRIPTION FACTOR; DNA-BINDING ACTIVITY; SACCHAROMYCES-CEREVISIAE; MOLECULAR CHAPERONES; HSP70 CHAPERONES; CRYPTOCOCCUS-NEOFORMANS; PROTEIN TRANSLOCATION; IN-VIVO; GENE-TRANSCRIPTION; CELLULAR FUNCTIONS</t>
  </si>
  <si>
    <t>Adaptation of pathogens to the stressful conditions of the mammalian host requires a rapid programmatic response to ensure survival. Recent evidence suggests that heat shock proteins play a dual role in both adaptation to the new environment, as well as the expression of virulence factors that cause host cell damage. For example, in the AIDS-related fungus, Cryptococcus neoformans, Hsp70 has been found to activate the transcription factor heat shock factor 1 by binding to upstream activating regions of a laccase gene, which encodes an immunomodulatory virulence factor. In addition, secretion of extracellular Hsp70 results in immunomodulatory effects mediated through interactions with mammalian receptors such as the chemokine receptor CCR5. To protect the integrity of the secreted protein, extracellular Hsp70 expression occurs within a specialized vesicle, the exosome, which surrounds the protein with a protective lipid membrane. The exosome secretory pathway is distinct from that producing cell wall and capsule and is dependent on formation of an unusual structure called the multivesicular body. This exosomal secretory pathway thus provides a protected pathway of protein secretion for Hsp70 that, in concert with the intracellular protein, serves to alter the host-pathogen relationship.</t>
  </si>
  <si>
    <t>[Zhang, Shirong] Univ Illinois, Coll Med, Dept Med, Infect Dis Sect, Chicago, IL USA; [Williamson, Peter R.] NIAID, NIH, Bethesda, MD 20892 USA</t>
  </si>
  <si>
    <t>University of Illinois System; University of Illinois Chicago; University of Illinois Chicago Hospital; National Institutes of Health (NIH) - USA; NIH National Institute of Allergy &amp; Infectious Diseases (NIAID)</t>
  </si>
  <si>
    <t>Williamson, PR (corresponding author), 9000 Rockville Pike,Bldg 10,Rm 11N234,MSC 1888, Bethesda, MD 20892 USA.</t>
  </si>
  <si>
    <t>williamsonpr@mail.nih.gov</t>
  </si>
  <si>
    <t>978-1-60876-286-6</t>
  </si>
  <si>
    <t>WOS:000279878600007</t>
  </si>
  <si>
    <t>Tan, SK; Pastori, C; Penas, C; Komotar, RJ; Ivan, ME; Wahlestedt, C; Ayad, NG</t>
  </si>
  <si>
    <t>Tan, Sze Kiat; Pastori, Chiara; Penas, Clara; Komotar, Ricardo J.; Ivan, Michael E.; Wahlestedt, Claes; Ayad, Nagi G.</t>
  </si>
  <si>
    <t>Serum long noncoding RNA HOTAIR as a novel diagnostic and prognostic biomarker in glioblastoma multiforme</t>
  </si>
  <si>
    <t>Glioblastoma; Long noncoding RNA; HOTAIR; Biomarker; Cancer</t>
  </si>
  <si>
    <t>PSEUDOPROGRESSION; PREDICTOR; SURVIVAL</t>
  </si>
  <si>
    <t>Glioblastoma multiforme (GBM) is the most common and aggressive malignant adult primary brain tumor. Despite surgical resection followed by radiotherapy and chemotherapy, the median survival rate is approximately 14 months. Although experimental therapies are in clinical trials for GBM, there is an urgent need for a peripheral GBM biomarker for measuring treatment response. As we have previously demonstrated that the long noncoding RNA HOX Transcript Antisense Intergenic RNA, or HOTAIR, is dysregulated in GBM and required for GBM cell proliferation, we hypothesized that HOTAIR expression may be utilized as a peripheral biomarker for GBM. HOTAIR expression was measured in serum from 43 GBM and 40 controls using quantitative real-time PCR (qRT-PCR). The PCR products were subsequently subcloned into pCR (TM) 4-TOPO((R))TA vectors for DNA sequencing. A ROC curve was also generated to examine HOTAIR's prognostic value. The amount of HOTAIR in serum exosomes and exosome-depleted supernatant was calculated by qRT-PCR. The relative HOTAIR expression was also investigated in 15 pairs of GBM serum and tumors. We detected HOTAIR in serum from GBM patients. HOTAIR levels in serum samples from GBM patients was significantly higher than in the corresponding controls (P &lt; 0.0001). The area under the ROC curve distinguishing GBM patients from controls was 0.913 (95% CI: 0.845-0.982, P &lt; 0. 0001), with 86.1% sensitivity and 87.5% specificity at the cut-off value of 10.8. HOTAIR expression was significantly correlated with high grade brain tumors. In addition, Pearson correlation analysis indicated a medium correlation of serum HOTAIR levels and the corresponding tumor HOTAIR levels (r = 0.734, P &lt; 0.01). We confirmed via sequencing that the amplified HOTAIR from serum contained the HOTAIR sequence and maps to the known HOTAIR locus at 12q13. The serum-derived exosomes contain HOTAIR and the purified exosomes were validated by western blot and nanoparticle tracking analysis. Importantly, our results demonstrate that serum HOTAIR can be used as a novel prognostic and diagnostic biomarker for GBM.</t>
  </si>
  <si>
    <t>[Tan, Sze Kiat; Pastori, Chiara; Komotar, Ricardo J.; Ivan, Michael E.] Univ Miami, Miller Sch Med, Dept Neurosurg, Sylvester Comprehens Canc Ctr,Brain Tumor Initiat, Miami, FL 33136 USA; [Tan, Sze Kiat; Penas, Clara; Ayad, Nagi G.] Univ Miami, Miller Sch Med,Brain Tumor Initiat, Dept Psychiat &amp; Behav Sci,Sylvester Comprehens Ca, Ctr Therapeut Innovat,Miami Project Cure Paralysi, Miami, FL 33136 USA; [Wahlestedt, Claes] Univ Miami, Miller Sch Med, Sylvester Comprehens Canc Ctr, Dept Psychiat &amp; Behav Sci,Ctr Therapeut Innovat,B, Miami, FL 33136 USA</t>
  </si>
  <si>
    <t>University of Miami; University of Miami; University of Miami</t>
  </si>
  <si>
    <t>Ayad, NG (corresponding author), Univ Miami, Miller Sch Med,Brain Tumor Initiat, Dept Psychiat &amp; Behav Sci,Sylvester Comprehens Ca, Ctr Therapeut Innovat,Miami Project Cure Paralysi, Miami, FL 33136 USA.</t>
  </si>
  <si>
    <t>nayad@med.miami.edu</t>
  </si>
  <si>
    <t>Tan, Sze Kiat/AAR-4327-2021; penas, clara/K-3480-2017</t>
  </si>
  <si>
    <t>penas, clara/0000-0003-0554-3832; Ivan, Michael/0000-0002-4798-4989</t>
  </si>
  <si>
    <t>10.1186/s12943-018-0822-0</t>
  </si>
  <si>
    <t>WOS:000427850200001</t>
  </si>
  <si>
    <t>NYGREN, H; BRAIDE, M; KARLSSON, C</t>
  </si>
  <si>
    <t>PROTEIN-PLATELET AND PLATELET-LEUKOCYTE INTERACTION AT MATERIALS IN CONTACT WITH HUMAN BLOOD</t>
  </si>
  <si>
    <t>JOURNAL OF VACUUM SCIENCE &amp; TECHNOLOGY A</t>
  </si>
  <si>
    <t>COAGULATION PROTEINS; WHOLE-BLOOD; ADSORPTION; FIBRINOGEN; SURFACE; PLASMA; RECEPTORS; ADHESION</t>
  </si>
  <si>
    <t>The adhesion and activation of platelets and leukocytes at blood-material interfaces was studied by fluorescence microscopy and photometry using specific anti-CD antibodies, antiplasma protein antibodies, and the calcium probe Fura-2. Hydrophilic glass or methylized, hydrophobic glass was prepared and capillary blood was placed as droplets on the surface in a humified chamber. The adsorption of plasma proteins was monitored with FITC-labeled antibodies directed against albumin, IgG, fibrinogen, fibronectin, the v. Willebrand factor, prothrombin/thrombin, and complement factor C3c. The adhesion of platelets was shown by anti-CD 61 antibodies, specific for this cell type. Adhesion of leukocytes was measured by staining their DNA with acridine orange. Adhering platelets were found after 15 s of blood-material contact on both surfaces. The number of adhering platelets rapidly decreased at the hydrophilic surface, but remained high for more than 8 min at the hydrophobic surface. Fibrinogen was the dominating protein at the material surface, whereas fibronectin and the v. Willebrand factor were found at the cell surfaces. Platelet-derived microvesicles were found after 4 and 8 min of blood-material contact. These microvesicles showed intense staining with anti-C3c antibodies. Significant numbers of leukocytes (PMN cells) were seen after 2 h of blood-material contact. In other experiments, granulocytes were isolated and incubated with Fura-2. The supernatant of hirudin-treated blood, exposed to hydrophilic or hydrophobic glass surfaces, was added to the cells and the fluorescence was recorded after emission at 340 and 380 nm. A rapid peak was seen, indicating calcium influx into the cytoplasm. The activating substance was removed from the supernatant by filtering it through a 0.1-0.45 mu m Millipore filter. The blood samples were taken from patients undergoing treatment with extracorporeal circulation. The samples were incubated with monoclonal antibodies against surface antigens CD-11b, 16, 35, 61 and 62. The fluorescence was measured in a flow cytofluorometer. The PMN cells were shown to be activated rapidly after the onset of oxygenator circulation. (C) 1995 American Vacuum Society.</t>
  </si>
  <si>
    <t>NYGREN, H (corresponding author), GOTHENBURG UNIV, DEPT ANAT &amp; CELL BIOL, GOTHENBURG, SWEDEN.</t>
  </si>
  <si>
    <t>0734-2101</t>
  </si>
  <si>
    <t>1520-8559</t>
  </si>
  <si>
    <t>10.1116/1.579459</t>
  </si>
  <si>
    <t>Materials Science, Coatings &amp; Films; Physics, Applied</t>
  </si>
  <si>
    <t>Materials Science; Physics</t>
  </si>
  <si>
    <t>WOS:A1995RV82800049</t>
  </si>
  <si>
    <t>Yin, MZ; Xu, WG; Cui, BC; Dai, HL; Han, YC; Yin, YX; Li, SP</t>
  </si>
  <si>
    <t>Yin Meizhen; Xu Weiguo; Cui Bingcun; Dai Honglian; Han Yingchao; Yin Yixia; Li Shipu</t>
  </si>
  <si>
    <t>Effects of the Interaction between Hydroxyapatite Nanoparticles and Hepatoma Cells</t>
  </si>
  <si>
    <t>JOURNAL OF WUHAN UNIVERSITY OF TECHNOLOGY-MATERIALS SCIENCE EDITION</t>
  </si>
  <si>
    <t>hydroxyapatite nanoparticles; hepatoma cells; interaction effects; cell adhesion</t>
  </si>
  <si>
    <t>INTERNAL-FIXATION; PROTEIN-KINASE; NANO; PROLIFERATION; INTEGRINS; CATENIN; SURFACE</t>
  </si>
  <si>
    <t>To gain a better understanding of the anticancer effects of hydroxyapatite (HAP) nanoparticles in vivo and in vitro, the effects of the interaction of HAP nanoparticles with hepatoma cells were explored. HAP nanoparticles were prepared by homogeneous precipitation and characterized by laser particle analysis and transmission electron microscopy (TENA). HAP nanoparticles were observed to be uniformly distributed, with rod-like shapes and diameters in the range of 42.1-87.1 nm. Overnight attached, suspended, and proliferating Bel-7402 cells were incubated with HAP nanoparticles. Inverted microscopy observation revealed that HAP nanoparticles with a cell membrane showed good adsorption. TEM demonstrated that HAP nanoparticles were present on the surface of cells, continuously taken up by cells through endocytosis, and transported in vesicles close to the nucleus. Fluorescence microscopy showed that the concentrations of intracellular Ca2+ labeled with Fluo-3 calcium fluorescent probe were significantly enhanced. In addition, inverted microscopy observation revealed that suspended cells treated with HAP nanoparticles did not adhere to the culture bottle, resulting in cell death. After the overnight attached cells were treated with HAP nanoparticles for 96 h with increasing doses of HAP nanoparticles, inverted microscopy observation revealed that cell proliferation was slowed and cell cell adhesion was weakened. Feulgen staining and image analysis indicated that the nuclear DNA content of the cells was markedly reduced, and argyrophilic nucleolar organizer region (AgNOR) staining and image analysis indicated that the number of AgNORs was significantly decreased. Therefore, hepatoma cells brought about the adsorption, uptake, transport and degradation of HAP nanoparticles. In addition, HAP nanoparticles affected hepatoma cells with regard to cell cell adhesion, cell and extracellular matrix adhesion, and DNA and protein synthesis; thus inhibiting cell proliferation. This understanding of the effects of interaction between HAP nanoparticles and hepatoma cells is useful for further study of the anticancer mechanisms of HAP nanoparticles.</t>
  </si>
  <si>
    <t>[Yin Meizhen; Cui Bingcun] Hubei Polytech Univ, Sch Med, Huangshi 435003, Peoples R China; [Xu Weiguo] Huazhong Univ Sci &amp; Technol, Tongji Med Coll, Tongji Hosp, Wuhan 430030, Peoples R China; [Dai Honglian; Han Yingchao; Yin Yixia; Li Shipu] Wuhan Univ Technol, State Key Lab Adv Technol Mat Synth &amp; Proc, Wuhan 430070, Peoples R China; [Dai Honglian; Han Yingchao; Yin Yixia; Li Shipu] Wuhan Univ Technol, Biomed Mat &amp; Engn Ctr, Wuhan 430070, Peoples R China</t>
  </si>
  <si>
    <t>Hubei Polytechnic University; Huazhong University of Science &amp; Technology; Wuhan University of Technology; Wuhan University of Technology</t>
  </si>
  <si>
    <t>Dai, HL (corresponding author), Wuhan Univ Technol, State Key Lab Adv Technol Mat Synth &amp; Proc, Wuhan 430070, Peoples R China.</t>
  </si>
  <si>
    <t>595901969@qq.com; daihonglian@whut.edu.cn</t>
  </si>
  <si>
    <t>1000-2413</t>
  </si>
  <si>
    <t>1993-0437</t>
  </si>
  <si>
    <t>10.1007/s11595-014-0970-z</t>
  </si>
  <si>
    <t>WOS:000340854900039</t>
  </si>
  <si>
    <t>Islam, MN; Das, SR; Emin, MT; Wei, M; Sun, L; Westphalen, K; Rowlands, DJ; Quadri, SK; Bhattacharya, S; Bhattacharya, J</t>
  </si>
  <si>
    <t>Islam, Mohammad Naimul; Das, Shonit R.; Emin, Memet T.; Wei, Michelle; Sun, Li; Westphalen, Kristin; Rowlands, David J.; Quadri, Sadiqa K.; Bhattacharya, Sunita; Bhattacharya, Jahar</t>
  </si>
  <si>
    <t>Mitochondrial transfer from bone-marrow-derived stromal cells to pulmonary alveoli protects against acute lung injury</t>
  </si>
  <si>
    <t>NATURE MEDICINE</t>
  </si>
  <si>
    <t>MESENCHYMAL STEM-CELLS; DYSFUNCTION; ENGRAFTMENT; EXOCYTOSIS; SURFACTANT; SEVERITY; CONNEXIN; THERAPY; SEPSIS; ROS</t>
  </si>
  <si>
    <t>Bone marrow-derived stromal cells (BMSCs) protect against acute lung injury (ALI). To determine the role of BMSC mitochondria in this protection, we airway-instilled mice first with lipopolysaccharide (LPS) and then with either mouse BMSCs (mBMSCs) or human BMSCs (hBMSCs). Live optical studies revealed that the mBMSCs formed connexin 43 (Cx43)-containing gap junctional channels (GJCs) with the alveolar epithelia in these mice, releasing mitochondria-containing microvesicles that the epithelia engulfed. The presence of BMSC-derived mitochondria in the epithelia was evident optically, as well as by the presence of human mitochondrial DNA in mouse lungs instilled with hBMSCs. The mitochondrial transfer resulted in increased alveolar ATP concentrations. LPS-induced ALI, as indicated by alveolar leukocytosis and protein leak, inhibition of surfactant secretion and high mortality, was markedly abrogated by the instillation of wild-type mBMSCs but not of mutant, GJC-incompetent mBMSCs or mBMSCs with dysfunctional mitochondria. This is the first evidence, to our knowledge, that BMSCs protect against ALI by restituting alveolar bioenergetics through Cx43-dependent alveolar attachment and mitochondrial transfer.</t>
  </si>
  <si>
    <t>[Islam, Mohammad Naimul; Das, Shonit R.; Emin, Memet T.; Wei, Michelle; Sun, Li; Westphalen, Kristin; Rowlands, David J.; Quadri, Sadiqa K.; Bhattacharya, Sunita; Bhattacharya, Jahar] Columbia Univ Coll Phys &amp; Surg, Dept Med, Div Pulm Allergy &amp; Crit Care Med, Lung Biol Lab, New York, NY 10032 USA</t>
  </si>
  <si>
    <t>Columbia University</t>
  </si>
  <si>
    <t>Bhattacharya, J (corresponding author), Columbia Univ Coll Phys &amp; Surg, Dept Med, Div Pulm Allergy &amp; Crit Care Med, Lung Biol Lab, New York, NY 10032 USA.</t>
  </si>
  <si>
    <t>jb39@columbia.edu</t>
  </si>
  <si>
    <t>Islam, Mohammad Naimul/0000-0001-7929-9444</t>
  </si>
  <si>
    <t>1078-8956</t>
  </si>
  <si>
    <t>1546-170X</t>
  </si>
  <si>
    <t>U153</t>
  </si>
  <si>
    <t>10.1038/nm.2736</t>
  </si>
  <si>
    <t>Biochemistry &amp; Molecular Biology; Cell Biology; Medicine, Research &amp; Experimental</t>
  </si>
  <si>
    <t>Biochemistry &amp; Molecular Biology; Cell Biology; Research &amp; Experimental Medicine</t>
  </si>
  <si>
    <t>WOS:000303763500043</t>
  </si>
  <si>
    <t>Boufker, HI; Lagneaux, L; Fayyad-Kazan, H; Badran, B; Najar, M; Wiedig, M; Ghanem, G; Laurent, G; Body, JJ; Journe, F</t>
  </si>
  <si>
    <t>Boufker, Hichame Id; Lagneaux, Laurence; Fayyad-Kazan, Hussein; Badran, Bassam; Najar, Mehdi; Wiedig, Murielle; Ghanem, Ghanem; Laurent, Guy; Body, Jean-Jacques; Journe, Fabrice</t>
  </si>
  <si>
    <t>Role of farnesoid X receptor (FXR) in the process of differentiation of bone marrow stromal cells into osteoblasts</t>
  </si>
  <si>
    <t>BONE</t>
  </si>
  <si>
    <t>Farnesoid X receptor; Bile acids; Bisphosphonates; Bone marrow stromal cells; Osteoblasts</t>
  </si>
  <si>
    <t>MESENCHYMAL STEM-CELLS; BREAST-CANCER CELLS; BILE-ACID RECEPTOR; SALT EXPORT PUMP; NUCLEAR RECEPTOR; IN-VITRO; OSTEOGENIC DIFFERENTIATION; MEVALONATE PATHWAY; LIPID HOMEOSTASIS; NATURAL PRODUCT</t>
  </si>
  <si>
    <t>Bone tissue contains bile acids which accumulate from serum and which can be released in large amounts in the bone microenvironment during bone resorption. However, the direct effects of bile acids on bone cells remain largely unexplored. Bile acids have been identified as physiological ligands of the farnesoid X receptor (FXR, NR1H4). In the present study, we have examined the effects of FXR activation/inhibition on the osteoblastic differentiation of human bone marrow stromal cells (BMSC). We first demonstrated the expression of FXR in BMSC and SaOS2 osteoblast-like cells, and observed that FXR activation by chenodeoxycholic acid (CDCA) or by farnesol (FOH) increases the activity of alkaline phosphatase and the calcification of the extracellular matrix. In addition, we observed that FXR agonists are able to stimulate the expression of osteoblast marker genes [bone sialoprotein (BSP), osteocalcin (DC), osteopontin (OPN) and alkaline phosphatase (ALP)] (FXR involvement validated by shRNA-induced gene silencing), as well as the DNA binding activity of the bone transcription factor RUNX2 (EMSA and ChIP assay). Importantly, we observed that nitrogen-containing bisphosphonates (BPS) inhibit the basal osteoblastic differentiation of BMSC, possibly through suppression of endogenous FOH production, independently of their effects on protein prenylation. Likewise, we found that the FXR antagonist guggulsterone (GGS) inhibits ALP activity, calcium deposition, DNA binding of RUNX2, and bone marker expression, indicating that GGS interferes with osteoblastic differentiation. Furthermore, GGS induced the appearance of lipid vesicles in BMSC and stimulated the expression of adipose tissue markers (peroxisome proliferator activated receptor-gamma (PPAR gamma), adipoQ leptin and CCAAT/enhancer-binding protein-alpha (C/EBP alpha)). In conclusion, our data support a new role for FXR in the modulation of osteoblast/adipocyte balance: its activation stimulates RUNX2-mediated osteoblastic differentiation of BMSC, whereas its inhibition leads to an adipocyte-like phenotype. (C) 2011 Elsevier Inc. All rights reserved.</t>
  </si>
  <si>
    <t>[Boufker, Hichame Id; Wiedig, Murielle; Ghanem, Ghanem; Journe, Fabrice] Univ Libre Bruxelles, Inst Jules Bordet, Lab Oncol &amp; Chirurg Expt, B-1000 Brussels, Belgium; [Boufker, Hichame Id; Lagneaux, Laurence; Fayyad-Kazan, Hussein; Badran, Bassam; Najar, Mehdi] Univ Libre Bruxelles, Inst Jules Bordet, Lab Hematol Expt, B-1000 Brussels, Belgium; [Laurent, Guy] Univ Mons, Serv Histol, B-7000 Mons, Belgium; [Body, Jean-Jacques] Univ Libre Bruxelles, CHU Brugmann, Med Serv, B-1000 Brussels, Belgium</t>
  </si>
  <si>
    <t>Institut Jules Bordet; Universite Libre de Bruxelles; Institut Jules Bordet; Universite Libre de Bruxelles; University of Mons; Universite Libre de Bruxelles</t>
  </si>
  <si>
    <t>Journe, F (corresponding author), Univ Libre Bruxelles, Inst Jules Bordet, Lab Oncol &amp; Chirurg Expt, 1 rue Heger Bordet, B-1000 Brussels, Belgium.</t>
  </si>
  <si>
    <t>fabrice.journe@bordet.be</t>
  </si>
  <si>
    <t>Body, Jean-Jacques/G-9785-2015</t>
  </si>
  <si>
    <t>Fayyad-Kazan, Hussein/0000-0002-3465-4630</t>
  </si>
  <si>
    <t>8756-3282</t>
  </si>
  <si>
    <t>10.1016/j.bone.2011.08.013</t>
  </si>
  <si>
    <t>WOS:000297663500014</t>
  </si>
  <si>
    <t>Bramwell, KKC; Mock, K; Ma, Y; Weis, JH; Teuscher, C; Weis, JJ</t>
  </si>
  <si>
    <t>Bramwell, Kenneth K. C.; Mock, Kelton; Ma, Ying; Weis, John H.; Teuscher, Cory; Weis, Janis J.</t>
  </si>
  <si>
    <t>beta-Glucuronidase, a Regulator of Lyme Arthritis Severity, Modulates Lysosomal Trafficking and MMP-9 Secretion in Response to Inflammatory Stimuli</t>
  </si>
  <si>
    <t>MUSCULOSKELETAL MANIFESTATIONS; RHEUMATOID-ARTHRITIS; TRYPANOSOMA-CRUZI; RAPAMYCIN; GENE; EXOGLYCOSIDASES; BORRELIOSIS; HYALURONAN; ACTIVATION; EXPRESSION</t>
  </si>
  <si>
    <t>The lysosomal enzyme beta-glucuronidase (Gusb) is a key regulator of Lyme-associated and K/BxN-induced arthritis severity. The luminal enzymes present in lysosomes provide essential catabolic functions for the homeostatic degradation of a variety of macromolecules. In addition to this essential catabolic function, lysosomes play important roles in the inflammatory response following infection. Secretory lysosomes and related vesicles can participate in the inflammatory response through fusion with the plasma membrane and release of bioactive contents into the extracellular milieu. In this study, we show that GUSB hypomorphism potentiates lysosomal exocytosis following inflammatory stimulation. This leads to elevated secretion of lysosomal contents, including glycosaminoglycans, lysosomal hydrolases, and matrix metalloproteinase 9, a known modulator of Lyme arthritis severity. This mechanistic insight led us to test the efficacy of rapamycin, a drug known to suppress lysosomal exocytosis. Both Lyme and K/BxN-associated arthritis were suppressed by this treatment concurrent with reduced lysosomal release.</t>
  </si>
  <si>
    <t>[Bramwell, Kenneth K. C.; Ma, Ying; Weis, John H.; Weis, Janis J.] Univ Utah, Dept Pathol, Div Microbiol &amp; Immunol, Salt Lake City, UT 84112 USA; [Mock, Kelton] Univ Puget Sound, Tacoma, WA 98416 USA; [Teuscher, Cory] Univ Vermont, Dept Med, Burlington, VT 05405 USA</t>
  </si>
  <si>
    <t>Utah System of Higher Education; University of Utah; University of Vermont</t>
  </si>
  <si>
    <t>Weis, JJ (corresponding author), Univ Utah, Dept Pathol, Div Microbiol &amp; Immunol, 15 North Med Dr, Salt Lake City, UT 84112 USA.</t>
  </si>
  <si>
    <t>janis.weis@path.utah.edu</t>
  </si>
  <si>
    <t>10.4049/jimmunol.1500212</t>
  </si>
  <si>
    <t>WOS:000360013200034</t>
  </si>
  <si>
    <t>Spencer, DM; Mobarrez, F; Wallen, H; Pisetsky, DS</t>
  </si>
  <si>
    <t>Spencer, D. M.; Mobarrez, F.; Wallen, H.; Pisetsky, D. S.</t>
  </si>
  <si>
    <t>The Expression of HMGB1 on Microparticles from Jurkat and HL-60 Cells Undergoing Apoptosis in vitro</t>
  </si>
  <si>
    <t>SCANDINAVIAN JOURNAL OF IMMUNOLOGY</t>
  </si>
  <si>
    <t>CHROMATIN PROTEIN HMGB1; GROUP BOX PROTEIN-1; EXTRACELLULAR RELEASE; STERILE INFLAMMATION; DNA; LIPOPOLYSACCHARIDE; AUTOANTIGENS; ACTIVATION; BIOMARKERS; TOLERANCE</t>
  </si>
  <si>
    <t>HMGB1 is a highly conserved nuclear protein that displays important biological activities inside as well as outside the cell and serves as a prototypic alarmin to activate innate immunity. The translocation of HMGB1 from inside to outside the cell occurs with cell activation as well as cell death, including apoptosis. Apoptosis is also a setting for the release of cellular microparticles (MPs), which are small membrane-bound vesicles that represent an important source of extracellular nuclear molecules. To investigate whether HMGB1 released from cells during apoptosis is also present on MPs, we determined the presence of HMGB1 on particles released from Jurkat and HL-60 cells induced to undergo apoptosis in vitro by treatment with either etoposide or staurosporine; MPs released from cells undergoing necrosis by freeze-thaw were also characterized. As shown by both Western blot analysis and flow cytometry, MPs from apoptotic cells contain HMGB1, with binding by antibodies indicating an accessible location in the particle structure. These results indicate that HMGB1, like other nuclear molecules, can translocate into MPs during apoptosis and demonstrate another biochemical form of this molecule that may be immunologically active.</t>
  </si>
  <si>
    <t>[Spencer, D. M.; Pisetsky, D. S.] Duke Univ Med Ctr, Durham, NC USA; [Mobarrez, F.; Wallen, H.] Danderyd Hosp, Karolinska Inst, Dept Clin Sci, Div Cardiovasc Med, Stockholm, Sweden; [Pisetsky, D. S.] Durham VA Med Ctr, Med Res Serv, Durham, NC 27705 USA</t>
  </si>
  <si>
    <t>Duke University; Danderyds Hospital; Karolinska Institutet; US Department of Veterans Affairs; Veterans Health Administration (VHA); Durham VA Medical Center</t>
  </si>
  <si>
    <t>Pisetsky, DS (corresponding author), Durham VA Med Ctr, Box 151G,508 Fulton St, Durham, NC 27705 USA.</t>
  </si>
  <si>
    <t>Mobarrez, Fariborz/0000-0002-7106-6248</t>
  </si>
  <si>
    <t>0300-9475</t>
  </si>
  <si>
    <t>1365-3083</t>
  </si>
  <si>
    <t>10.1111/sji.12191</t>
  </si>
  <si>
    <t>WOS:000339431700004</t>
  </si>
  <si>
    <t>Okahira, S; Nishikawa, F; Nishikawa, S; Akazawa, T; Seya, T; Matsumoto, M</t>
  </si>
  <si>
    <t>Interferon-beta induction through Toll-like receptor 3 depends on double-stranded RNA structure</t>
  </si>
  <si>
    <t>SUBCELLULAR-LOCALIZATION; TRANSCRIPTION FACTORS; ACTIVATION; MATURATION; VIRUSES; ADAPTER; CELLS; RECOGNITION; FAMILY; TRIF</t>
  </si>
  <si>
    <t>Type I interferons (IFN-alpha/beta) play an essential role in both innate and adaptive antiviral immune responses. IFN-beta is produced by fibroblasts and myeloid dendritic cells (DCs) upon viral infection or in response to double-stranded RNA ( dsRNA). Several intracellular molecules having a dsRNA-binding motif such as dsRNA-dependent protein kinase recognize dsRNA in a sequence-independent manner and induce antiviral innate responses. Toll-like receptor (TLR) 3, a member of TLR family proteins, recognizes extracellular dsRNA and activates NF-kappa B and the IFN-beta promoter leading to the induction of IFN-beta production. Here we analyzed the dsRNA structure capable of inducing TLR3-mediated IFN-beta production using various synthetic RNA duplexes. In contrast to the recognition of dsRNA by intracellular molecules, TLR3 preferentially recognizes polyriboinocinic: polyribocytidylic acid ( poly( I: C)) rather than synthetic virus-derived dsRNAs. 2'-O-methyl or 2'-fluoro modification of cytidylic acid abolished the IFN-beta-inducing ability of the poly( I: C) duplex, and these modified dsRNAs inhibited poly( I: C)-induced TLR3-mediated IFN-beta production by fibroblasts and DCs. In addition, poly(dI: dC), a non-IFN inducer, also blocked poly( I:C)-induced IFN-beta induction. Since TLR3 is localized in the intracellular compartment of DCs where signaling occurs, modified dsRNAs may compete with poly( I: C) for binding to the cell-surface receptor that transfers dsRNA into TLR3-enriched vesicles. Thus, TLR3 recognizes a unique dsRNA structure that largely differs from those recognized by other dsRNA-binding proteins.</t>
  </si>
  <si>
    <t>Hokkaido Univ, Grad Sch Med, Dept Microbiol &amp; Immunol, Kita Ku, Sapporo, Hokkaido 0608638, Japan; Osaka Med Ctr Canc &amp; Cardiovasc Dis, Dept Immunol, Higashinari Ku, Osaka, Japan; Natl Inst Adv Ind Sci &amp; Technol, Age Dimens Res Ctr, Inst Biol Resources &amp; Funct, Higashi Ku, Tsukuba, Ibaraki, Japan</t>
  </si>
  <si>
    <t>Hokkaido University; Osaka Medical Center for Cancer &amp; Cardiovascular Diseases; National Institute of Advanced Industrial Science &amp; Technology (AIST)</t>
  </si>
  <si>
    <t>Matsumoto, M (corresponding author), Hokkaido Univ, Grad Sch Med, Dept Microbiol &amp; Immunol, Kita Ku, Sapporo, Hokkaido 0608638, Japan.</t>
  </si>
  <si>
    <t>matumoto@med.hokudai.ac.jp</t>
  </si>
  <si>
    <t>美佐子, 松本/A-4497-2012; Seya, Tsukasa/A-4336-2012</t>
  </si>
  <si>
    <t>10.1089/dna.2005.24.614</t>
  </si>
  <si>
    <t>WOS:000232669000002</t>
  </si>
  <si>
    <t>Briand, J; Garnier, D; Nadaradjane, A; Clement-Colmou, K; Potiron, V; Supiot, S; Bougras-Cartron, G; Frenel, JS; Heymann, D; Vallette, FM; Cartron, PF</t>
  </si>
  <si>
    <t>Briand, Josephine; Garnier, Delphine; Nadaradjane, Arulraj; Clement-Colmou, Karen; Potiron, Vincent; Supiot, Stephane; Bougras-Cartron, Gwenola; Frenel, Jean-Sebastien; Heymann, Dominique; Vallette, Francois M.; Cartron, Pierre-Francois</t>
  </si>
  <si>
    <t>Radiotherapy-induced overexpression of exosomal miRNA-378a-3p in cancer cells limits natural killer cells cytotoxicity</t>
  </si>
  <si>
    <t>EPIGENOMICS</t>
  </si>
  <si>
    <t>DNA methylation; exosomal miRNA; glioblastoma; granzyme B; immune response; miR-378; NK cells; radiotherapy; resistance; TET2</t>
  </si>
  <si>
    <t>DENDRITIC CELLS; NK CELLS; EXPRESSION; MICRORNAS; RADIATION; MIRNAS; IDENTIFICATION; MECHANISMS; GENERATION; GZMB</t>
  </si>
  <si>
    <t>Aim: We here hypothesized that tumor-derived exosomal miRNA (TexomiR) released from irradiated tumors may play a role in the tumor cells escape to natural killer (NK) cells. Materials &amp; methods: Our study included the use of different cancer cell lines, blood biopsies of xenograph mice model and patients treated with radiotherapy. Results: The irradiation of cancer cells promotes the TET2-mediated demethylation of miR-378 promoter, miR-378a-3p overexpression and its loading in exosomes, inducing the decrease of granzyme-B (GZMB) secretion by NK cells. An inverse correlation between TexomiR-378a-3p and GZMB was observed in murine and human blood samples. Conclusion: Our work identifies TexomiR-378a-3p as a molecular signature associated with the loss of NK cells cytotoxicity via the decrease of GZMB expression upon radiotherapy.</t>
  </si>
  <si>
    <t>[Briand, Josephine; Garnier, Delphine; Nadaradjane, Arulraj; Clement-Colmou, Karen; Potiron, Vincent; Supiot, Stephane; Bougras-Cartron, Gwenola; Frenel, Jean-Sebastien; Heymann, Dominique; Vallette, Francois M.; Cartron, Pierre-Francois] Univ Nantes, CRCINA, INSERM, Nantes 44000, France; [Briand, Josephine; Garnier, Delphine; Nadaradjane, Arulraj; Clement-Colmou, Karen; Potiron, Vincent; Supiot, Stephane; Bougras-Cartron, Gwenola; Frenel, Jean-Sebastien; Heymann, Dominique; Vallette, Francois M.; Cartron, Pierre-Francois] Inst Cancerol Ouest, LaBCT, St Herblain 44800, France; [Nadaradjane, Arulraj; Bougras-Cartron, Gwenola; Cartron, Pierre-Francois] Reseau NET, Canceropole Grand Oues, Nantes 44000, France; [Briand, Josephine; Nadaradjane, Arulraj; Potiron, Vincent; Bougras-Cartron, Gwenola; Cartron, Pierre-Francois] EpiSAVMEN Consortium Reg Pays Loire, Nantes 44000, France; [Vallette, Francois M.; Cartron, Pierre-Francois] Univ Nantes, LabEX IGO, Nantes 44000, France</t>
  </si>
  <si>
    <t>Institut National de la Sante et de la Recherche Medicale (Inserm); Nantes Universite; UNICANCER; Institut de Cancerologie de l'Ouest (ICO); Nantes Universite</t>
  </si>
  <si>
    <t>Cartron, PF (corresponding author), Univ Nantes, CRCINA, INSERM, Nantes 44000, France.;Cartron, PF (corresponding author), Inst Cancerol Ouest, LaBCT, St Herblain 44800, France.;Cartron, PF (corresponding author), Reseau NET, Canceropole Grand Oues, Nantes 44000, France.;Cartron, PF (corresponding author), EpiSAVMEN Consortium Reg Pays Loire, Nantes 44000, France.;Cartron, PF (corresponding author), Univ Nantes, LabEX IGO, Nantes 44000, France.</t>
  </si>
  <si>
    <t>pierre-francois.cartron@inserm.fr</t>
  </si>
  <si>
    <t>Heymann, Dominique/AAC-6014-2019; Vallette, Francois M/K-9047-2015; Supiot, Stéphane/M-1586-2015</t>
  </si>
  <si>
    <t>Heymann, Dominique/0000-0001-7777-0669; Vallette, Francois M/0000-0002-3296-8572; Supiot, Stéphane/0000-0003-2094-1708; Cartron, Pierre-Francois/0000-0002-3393-784X; Clement-Colmou, Karen/0000-0003-0986-2718; Garnier, Delphine/0000-0002-5744-5612</t>
  </si>
  <si>
    <t>1750-1911</t>
  </si>
  <si>
    <t>1750-192X</t>
  </si>
  <si>
    <t>10.2217/epi-2019-0193</t>
  </si>
  <si>
    <t>WOS:000531888300003</t>
  </si>
  <si>
    <t>Shi, SZ; Lee, EJ; Lin, YJ; Chen, L; Zheng, HY; He, XQ; Peng, JY; Noonepalle, SK; Shull, AY; Pei, FC; Deng, LB; Tian, XL; Deng, KY; Shi, HD; Xin, HB</t>
  </si>
  <si>
    <t>Shi, Shui-Zhen; Lee, Eun-Joon; Lin, Ying-Jiong; Chen, Lu; Zheng, Huai-Yu; He, Xiang-Qin; Peng, Jing-Yi; Noonepalle, Satish K.; Shull, Austin Y.; Pei, Felix C.; Deng, Li-Bin; Tian, Xiao-Li; Deng, Ke-Yu; Shi, Huidong; Xin, Hong-Bo</t>
  </si>
  <si>
    <t>Recruitment of monocytes and epigenetic silencing of intratumoral CYP7B1 primarily contribute to the accumulation of 27-hydroxycholesterol in breast cancer</t>
  </si>
  <si>
    <t>27-Hydroxycholesterol; CYP27A1; CYP7B1; DNA methylation; macrophage; exosome</t>
  </si>
  <si>
    <t>TUMOR-ASSOCIATED MACROPHAGES; ESTROGEN-MEDIATED REGULATION; T-CELLS; POLARIZATION; EXPRESSION; MIGRATION; CHOLESTEROL; INVASION; PROMOTE; OBESITY</t>
  </si>
  <si>
    <t>Previous studies showed that intratumoral 27-Hydroxycholesterol (27-HC), a metabolite of cholesterol, promotes growth, invasion and migration of breast cancer cells and that tumor-associated macrophages (TAMs) in breast cancers are closely related to tumor growth and metastatic progression. However, the relationship between 27-HC and TAMs in breast cancer remains unclear. In the present study, we observed that CYP27A1, the 27-HC synthesizing enzyme, was expressed in a much higher level in THP1 monocytes and THP1-derived macrophages than in breast cancer cells, and the promoter of CYP7B1, the degrading enzyme for 27-HC, was highly methylated in breast tumor cells. In addition, THP-1 monocytes and murine bone marrow cells were differentiated toward M2 type macrophages after being co-cultured with breast cancer cells or being exposed to exosomes derived from breast cancer cells. M2 type macrophages produced higher amounts of 27-HC than M0 and M1 type macrophages. 27-HC not only stimulated ER+ cancer cell proliferation as reported, but also promoted the recruitment of CCR2- and CCR5-expressing monocytes by inducing macrophages to express multiple chemokines including CCL2, CCL3 and CCL4. Taken together, our data demonstrate that the hypermethylation of CYP7B1 and recruitment of monocytes likely contribute to the accumulation of 27-Hydroxycholesterol in breast cancer and that the interaction of 27-HC with macrophages further promote the development of breast cancer.</t>
  </si>
  <si>
    <t>[Shi, Shui-Zhen; Lin, Ying-Jiong; Chen, Lu; Zheng, Huai-Yu; He, Xiang-Qin; Peng, Jing-Yi; Deng, Li-Bin; Deng, Ke-Yu; Xin, Hong-Bo] Nanchang Univ, Natl Engn Res Ctr Bioengn Drugs &amp; Technol, Inst Translat Med, Nanchang, Jiangxi, Peoples R China; [Shi, Shui-Zhen; He, Xiang-Qin; Tian, Xiao-Li; Xin, Hong-Bo] Nanchang Univ, Coll Life Sci, Nanchang, Jiangxi, Peoples R China; [Lee, Eun-Joon; Noonepalle, Satish K.; Shull, Austin Y.; Pei, Felix C.; Shi, Huidong] Augusta Univ, Med Coll Georgia, Dept Biochem &amp; Mol Biol, Augusta, GA 30912 USA; [Lee, Eun-Joon; Noonepalle, Satish K.; Shull, Austin Y.; Shi, Huidong] Augusta Univ, Georgia Canc Ctr, Med Coll Georgia, Augusta, GA USA</t>
  </si>
  <si>
    <t>Nanchang University; Nanchang University; University System of Georgia; Augusta University; University System of Georgia; Augusta University</t>
  </si>
  <si>
    <t>Deng, KY; Xin, HB (corresponding author), Nanchang Univ, Natl Engn Res Ctr Bioengn Drugs &amp; Technol, Inst Translat Med, Nanchang, Jiangxi, Peoples R China.;Shi, HD (corresponding author), Augusta Univ, Med Coll Georgia, Dept Biochem &amp; Mol Biol, Augusta, GA 30912 USA.</t>
  </si>
  <si>
    <t>dky@ncu.edu.cn; hshi@augusta.edu; xinhb@ncu.edu.cn</t>
  </si>
  <si>
    <t>Noonepalle, Satish/ABD-6753-2021</t>
  </si>
  <si>
    <t>Lin, Yingjiong/0000-0003-3328-6925; shi, shuizhen/0000-0003-0646-4255; He, Xiangqin/0000-0003-1000-5879</t>
  </si>
  <si>
    <t>WOS:000493820800008</t>
  </si>
  <si>
    <t>Boskey, AL; Stiner, D; Binderman, I; Doty, SB</t>
  </si>
  <si>
    <t>Type I collagen influences cartilage calcification: An immunoblocking study in differentiating chick limb-bud mesenchymal cell cultures</t>
  </si>
  <si>
    <t>type I collagen; mineralization; chondrocyte culture; immunoblocking; matrix vesicle</t>
  </si>
  <si>
    <t>BONE-FORMATION; ENDOCHONDRAL OSSIFICATION; CHONDROCYTE APOPTOSIS; INSITU HYBRIDIZATION; EXTRACELLULAR-MATRIX; MICROMASS CULTURES; GROWTH; MINERALIZATION; INVITRO; EXPRESSION</t>
  </si>
  <si>
    <t>Chick limb-bud mesenchymal cells, plated in high-density micro-mass culture, differentiate and form a matrix resembling chide epiphyseal cartilage. In the presence of 4 mM inorganic phosphate or 2.5 mM beta-glycerophosphate mineral deposits upon this matrix forming a mineralized tissue that, based on electron microscopy, x-ray diffraction and Fourier Transform Infrared microspectoscopy, is like that of chick calcified cartilage. In this culture system the initial mineral deposits are found on the periphery of the chondrocyte nodules. During differentiation of the cells in the high-density micro-mass cultures there is a switch from expression of type I collagen to type II, and then to type X collagen. However, type I collagen persists in the matrix. Because there is some debate about whether type I collagen influences cartilage calcification, an immunoblocking technique was used to determine the importance of type I collagen on the mineralization process in this system. Studies using nonspecific goat anti-chick Ige demonstrated that 1-100 ng/ml antibody added with the media after the cartilage nodules had developed (day 7) had no effect on the accumulation of mineral in the cultures. Nonspecific antibody added before day 7 blocked development of the cultures. Parallel solution based cell-free studies showed that Ige did not have a strong affinity for apatite crystals, and had no significant effect on apatite crystal growth. Type I collagen antibodies (1-200 ng/ml) added to cultures one time on day 9 (before mineralization started), or on day 11 (at the start of mineralization), slightly inhibited the accumulation of mineral. There was a statistically significant decrease in mineral accretion with 100 or 200 ng/ml collagen antibody addition continuously after these times. Fab' fragments of nonspecific and type I collagen antibodies had effects parallel to those of the intact antibodies, indicating that the decreased mineralization was not attributable to the presence of the larger, bulkier antibodies. The altered accumulation of mineral was not associated with cell death in the presence of antibody (demonstrated by fluorescent labeling of DNA) or with increased apoptosis (TUNEL-stain). In the immuno-blocked cultures, EM analysis demonstrated that mineral continued to deposit on collagen fibrils, but there appeared to be fewer deposits. The data demonstrate that type I collagen is important for the mineralization of these cultures. (C) 2000 Wiley-Liss, Inc.</t>
  </si>
  <si>
    <t>House Special Surg, New York, NY 10021 USA</t>
  </si>
  <si>
    <t>Boskey, AL (corresponding author), House Special Surg, 535 E 70th St, New York, NY 10021 USA.</t>
  </si>
  <si>
    <t>Boskeya@hss.edu</t>
  </si>
  <si>
    <t>10.1002/1097-4644(2000)79:1&lt;89::AID-JCB90&gt;3.0.CO;2-A</t>
  </si>
  <si>
    <t>WOS:000088791700008</t>
  </si>
  <si>
    <t>Dou, R; Zhang, XL; Xu, XD; Wang, P; Yan, BZ</t>
  </si>
  <si>
    <t>Dou, Rui; Zhang, Xiulei; Xu, Xiangdong; Wang, Pei; Yan, Beizhan</t>
  </si>
  <si>
    <t>Mesenchymal stem cell exosomal tsRNA-21109 alleviate systemic lupus erythematosus by inhibiting macrophage M1 polarization</t>
  </si>
  <si>
    <t>Systemic lupus erythematosus; Mesenchymal stem cell; Exosome; tRNA-derived fragments (tRFs); Macrophage polarization</t>
  </si>
  <si>
    <t>MONOCYTE-DERIVED MACROPHAGES; RNAS</t>
  </si>
  <si>
    <t>Systemic lupus erythematosus (SLE) is a chronic autoimmune disease with M1-type macrophage activation. Mesenchymal stem cells (MSCs) therapies have shown promise in models of pathologies relevant to SLE, while the function and mechanism of MSC-derived exosomes (MSC-exo) were still unclear. We aimed to interrogate the effect of MSC-exo on M1-type polarization of macrophage and investigate mechanisms underlying MSC-exo. Exosomes were isolated from MSC and the effect of MSC-exo on macrophage polarization was evaluated. The key tRNA-derived fragments (tRFs) carried by exosomes were identified by small RNA sequencing and verified in clinical samples. The effect of exosomal-tRFs on macrophage polarization was examined. In this study, MSC-exo dramatically suppressed expression of M1 markers, and reduced the levels of TNF-alpha and IL-1 beta, while increased M2 markers in macrophages. A total of 243 differently expressed tRFs (DEtRFs) were identified between MSC-exo treated and untreated macrophage, among which 103 DEtRFs were up-regulated in response to MSC-exo treatment, including tsRNA-21109. The target genes of tsRNA-21109 were mainly enriched in DNA transcription-related GO function, and mainly involved in inflammatory-related pathways, including Rap1, Ras, Hippo, Wnt, MAPK, TGF-beta signaling pathway. The tsRNA-21109 was lowly expressed in clinical samples and was associated with the patient data in SLE. Compared to the normal MSC-exo, the tsRNA-21109-privative MSCexo up-regulated M1 marker (CD80, NOS2, MCP1) and down-regulated M2 marker (CD206, ARG1, MRC2), also increased the levels of TNF-alpha and IL-1 beta in macrophages. Western blot and immunofluorescence confirmed that the proportion of CD80/ARG-1 was increased in macrophages treated with tsRNA-21109-privatived MSC-exo compared to that with control MSC-exo. In conclusion, MSC-exo inhibited the M1-type polarization of macrophages, possibly through transferring tsRNA-21109, which may develop as a novel therapeutic target for SLE.</t>
  </si>
  <si>
    <t>[Dou, Rui; Yan, Beizhan] Zhengzhou Univ, Henan Prov Peoples Hosp, Peoples Hosp, Dept Blood Transfus, Zhengzhou 450003, Henan, Peoples R China; [Zhang, Xiulei] Zhengzhou Univ, Henan Prov Peoples Hosp, Peoples Hosp, Dept Microbiome Lab, Zhengzhou 450003, Henan, Peoples R China; [Xu, Xiangdong] Huazhong Univ Sci &amp; Technol, Tongji Med Coll, Tongji Hosp, Dept Lab Med, Wuhan 430030, Hubei, Peoples R China; [Wang, Pei] Zhengzhou Univ, Henan Prov Peoples Hosp, Peoples Hosp, Dept Rheumatol &amp; Immunol, Zhengzhou 450003, Henan, Peoples R China</t>
  </si>
  <si>
    <t>Zhengzhou University; Zhengzhou University; Huazhong University of Science &amp; Technology; Zhengzhou University</t>
  </si>
  <si>
    <t>Yan, BZ (corresponding author), Zhengzhou Univ, Henan Prov Peoples Hosp, Peoples Hosp, Dept Blood Transfus, Zhengzhou 450003, Henan, Peoples R China.;Wang, P (corresponding author), Zhengzhou Univ, Henan Prov Peoples Hosp, Peoples Hosp, Dept Rheumatol &amp; Immunol, Zhengzhou 450003, Henan, Peoples R China.</t>
  </si>
  <si>
    <t>mldourui@126.com; zxiulei@mail.ustc.edu.cn; 15527305297@163.com; doctorwpei@163.com; benzhany2021@163.com</t>
  </si>
  <si>
    <t>Zhang, Xiulei/0000-0002-0596-6715</t>
  </si>
  <si>
    <t>10.1016/j.molimm.2021.08.015</t>
  </si>
  <si>
    <t>WOS:000704087100004</t>
  </si>
  <si>
    <t>Kahlert, C; Distler, M; Aust, D; Gieldon, L; Weitz, J; Welsch, T</t>
  </si>
  <si>
    <t>Kahlert, C.; Distler, M.; Aust, D.; Gieldon, L.; Weitz, J.; Welsch, T.</t>
  </si>
  <si>
    <t>Early stage pancreatic cancer</t>
  </si>
  <si>
    <t>CHIRURG</t>
  </si>
  <si>
    <t>Precursor lesions; Hereditary pancreatic cancer; Liquid biopsy; Germline mutation; Screening</t>
  </si>
  <si>
    <t>FINE-NEEDLE-ASPIRATION; PAPILLARY MUCINOUS NEOPLASM; DIAGNOSIS; MANAGEMENT; EXOSOMES; MUTATIONS; LESIONS; ASSOCIATION; FEATURES; RISK</t>
  </si>
  <si>
    <t>Background. Pancreatic ductal adenocarcinoma (PDAC) represents the fourth most common cause of cancer mortality and it is expected to become the second most common cause of cancer mortality by 2020 in the USA. Objective. Which strategies for the detection and treatment of an early stage pancreatic adenocarcinoma and its precursor lesions are to be applied? Results. Currently, there is no effective general screening program for pancreatic cancer due to the low incidence and the lack of an accurate and inexpensive diagnostic method; however, in patients with a positive history of hereditary pancreatic cancer or in patients with a known sporadic germline mutation that is associated with an increased risk of pancreatic cancer, frequent screening is highly recommended to detect and to treat early stage PDAC. Moreover, patients with a precursor lesion for pancreatic cancer (namely a mucinous pancreatic neoplasm) should undergo an oncological pancreatic resection to prevent the development of late stage pancreatic cancer. In future, additional biomarkers from a liquid biopsy, such as circulating tumor cells, exosomes or circulating tumor DNA may improve the early detection of pancreatic cancer. Conclusion. The early detection and treatment of pancreatic cancer and its precursor lesions can help to improve the dismal prognosis of this aggressive tumor type.</t>
  </si>
  <si>
    <t>[Kahlert, C.; Distler, M.; Weitz, J.; Welsch, T.] Tech Univ Dresden, Univ Klinikum Carl Gustav Carus, Klin &amp; Poliklin Viszeral Thorax &amp; Gefasschirurg V, Fetscherstr 74, D-01307 Dresden, Germany; [Aust, D.] Tech Univ Dresden, Inst Pathol, Univ Klinikum Gustav Carus, Dresden, Germany; [Aust, D.] Tech Univ Dresden, Tumor &amp; Normalgewebebank Univ Krebs Zentrums, Univ Klinikum Carl Gustav Carus, Dresden, Germany; [Gieldon, L.] Tech Univ Dresden, Inst Klin Genet, Univ Klinikum Gustav Carus, Dresden, Germany</t>
  </si>
  <si>
    <t>Technische Universitat Dresden; Carl Gustav Carus University Hospital; Technische Universitat Dresden; Technische Universitat Dresden; Carl Gustav Carus University Hospital; Technische Universitat Dresden</t>
  </si>
  <si>
    <t>Welsch, T (corresponding author), Tech Univ Dresden, Univ Klinikum Carl Gustav Carus, Klin &amp; Poliklin Viszeral Thorax &amp; Gefasschirurg V, Fetscherstr 74, D-01307 Dresden, Germany.</t>
  </si>
  <si>
    <t>Thilo.Welsch@uniklinikum-dresden.de</t>
  </si>
  <si>
    <t>Weitz, Juergen/L-7136-2018</t>
  </si>
  <si>
    <t>0009-4722</t>
  </si>
  <si>
    <t>1433-0385</t>
  </si>
  <si>
    <t>10.1007/s00104-017-0569-y</t>
  </si>
  <si>
    <t>WOS:000429652700002</t>
  </si>
  <si>
    <t>Zhang, HY; Deng, T; Ge, SH; Liu, Y; Bai, M; Zhu, KG; Fan, Q; Li, JL; Ning, T; Tian, F; Li, HL; Sun, W; Ying, GG; Ba, Y</t>
  </si>
  <si>
    <t>Zhang, Haiyang; Deng, Ting; Ge, Shaohua; Liu, Ying; Bai, Ming; Zhu, Kegan; Fan, Qian; Li, Jialu; Ning, Tao; Tian, Fei; Li, Hongli; Sun, Wu; Ying, Guoguang; Ba, Yi</t>
  </si>
  <si>
    <t>Exosome circRNA secreted from adipocytes promotes the growth of hepatocellular carcinoma by targeting deubiquitination-related USP7</t>
  </si>
  <si>
    <t>CELL-PROLIFERATION; CIRCULAR RNAS; BETA-CATENIN; CANCER; STABILIZATION; BIOGENESIS; DELIVERY; PROTEIN</t>
  </si>
  <si>
    <t>Hepatocellular carcinoma (HCC), the major form of liver cancer, has shown increasing incidence and poor prognosis. Adipose tissue is known to function in energy storage and metabolism regulation by the secretion of adipokines. Circular RNAs (circRNAs), a novel type of noncoding RNA, have recently been recognized as key factors in tumor development, but the role of exosome circRNAs derived from adipose tissues has not been defined yet. Here, adipose-secreted circRNAs were found to regulate deubiquitination in HCC, thus facilitating cell growth. It was observed that exosome circ-deubiquitination (circ-DB) is upregulated in HCC patients with higher body fat ratios. Moreover, in vitro and in vivo studies showed that exocirc-DB promotes HCC growth and reduces DNA damage via the suppression of miR-34a and the activation of deubiquitination-related USP7. Finally, the results showed that the effects of adipose exosomes on HCC cells can be reversed by knockdown of circ-DB. These results indicate that exosome circRNAs secreted from adipocytes promote tumor growth and reduce DNA damage by suppressing miR-34a and activating the USP7/Cyclin A2 signaling pathway.</t>
  </si>
  <si>
    <t>[Zhang, Haiyang; Deng, Ting; Ge, Shaohua; Liu, Ying; Bai, Ming; Zhu, Kegan; Fan, Qian; Ning, Tao; Tian, Fei; Li, Hongli; Sun, Wu; Ying, Guoguang; Ba, Yi] Tianjin Med Univ, Natl Clin Res Ctr Canc, Key Lab Canc Prevent &amp; Therapy, Canc Inst &amp; Hosp,Tianjins Clin Res Ctr Canc, Tianjin 300060, Peoples R China; [Li, Jialu] Shanghai Jiao Tong Univ, Div Gastroenterol &amp; Hepatol, Shanghai Inst Digest Dis, Sch Med,Renji Hosp, Shanghai 200001, Peoples R China; [Li, Jialu] Shanghai Jiao Tong Univ, Key Lab Gastroenterol &amp; Hepatol, Minist Hlth, Sch Med,Renji Hosp, Shanghai 200001, Peoples R China</t>
  </si>
  <si>
    <t>Tianjin Medical University; Shanghai Jiao Tong University; Shanghai Jiao Tong University</t>
  </si>
  <si>
    <t>Ying, GG; Ba, Y (corresponding author), Tianjin Med Univ, Natl Clin Res Ctr Canc, Key Lab Canc Prevent &amp; Therapy, Canc Inst &amp; Hosp,Tianjins Clin Res Ctr Canc, Tianjin 300060, Peoples R China.</t>
  </si>
  <si>
    <t>yingguoguang163@163.com; bayi@tjmuch.com</t>
  </si>
  <si>
    <t>ying, guoguang/0000-0002-9563-991X</t>
  </si>
  <si>
    <t>10.1038/s41388-018-0619-z</t>
  </si>
  <si>
    <t>WOS:000464121600013</t>
  </si>
  <si>
    <t>Palencia, SL; Garcia, A; Palencia, M</t>
  </si>
  <si>
    <t>Palencia, Sixta L.; Garcia, Apolinaria; Palencia, Manuel</t>
  </si>
  <si>
    <t>Multiple surface interaction mechanisms direct the anchoring, co-aggregation and formation of dual-species biofilm between Candida albicans and Helicobacter pylori</t>
  </si>
  <si>
    <t>JOURNAL OF ADVANCED RESEARCH</t>
  </si>
  <si>
    <t>Candida albicans; Helicobacter pylori; Co-aggregation; Polymicrobial biofilm; Functionally-Enhanced derivative spectroscopy; Surface properties; Analytical bio-spectroscopy</t>
  </si>
  <si>
    <t>CELL-WALL; MEMBRANE-PROTEINS; VIRULENCE FACTORS; INFECTION; POLYPHOSPHATE; EPIDEMIOLOGY; PATHOGENESIS; SPECTRUM; BINDING; HEALTH</t>
  </si>
  <si>
    <t>Introduction: Polymicrobial biofilms have a significant impact on pathogenesis of infectious microorgan-isms. Many human diseases are affected by colonization of multi-species communities affecting nega-tively the treatments and increase the risks for the health. In particular, in the epithelium of the stomach co-existence between C. albicans and H. pylori has been described, which has been associated to a synergistic effect on ulcer pathogenesis. Objective: The objective of this work was to advance in the understanding of surface interaction between H. pylori and C. albicans for the formation of polymicrobial biofilms. Methods: Studies of microbial surfaces both bacterium, yeast and co-cultures of them were carried out by infrared spectroscopy, deconvolution analysis, transmission and scanning electron microscopies, and optic microscopy. Additional methods were used to contrast the results as dynamic light scattering, con-tact angle, agarose gel electrophoresis and gene amplification. Results: Several surface interaction mechanisms promote the anchoring of H. pylori on C. albicans, cell co-aggregation, and polymicrobial biofilm formation, main identified interactions were: (i) hydrophobic interactions between non-polar peptide chains and lipid structures, characterized by theta(w) among 84.9 +/- 1.6 (gamma = 22.78 mJ/m(2) with 95.3 of dispersive contribution) and 76.6 +/- 3.8 (gamma = 17.34 mJ/m2, 40.2 of dispersive contribution) for C. albicans and H. pylori, respectively, (ii) hydrogen bonds between surface components of yeast and bacterium (e.g., -S-H center dot center dot center dot NH2- or -S-H center dot center dot center dot O=CO-) and (iii) thiol-mediated surface interactions identified by displacements to lower wavenumbers (Delta v = 5 cm(-1)). Evidence of internalization and electrostatic interactions were not evidenced. All observations were congruent with the biofilm formation, including the identification of small-size biostructures (i.e., 122-459 nm) associated with extracellular proteins, extracellular DNA, or outer membrane vesicles were observed characteristic of biofilm formation. Conclusion: It is concluded that biofilm is formed by co-aggregation after anchoring of H. pylori on C. albicans. Several surface interactions were associated with the prevalence of H. pylori, the possibility to find C. albicans in the stomach epithelium infected by H. pylori, but also, strength interactions could be interfering in experimental observations associated with bacterial-DNA detection in culture mixtures. (C) 2021 The Authors. Published by Elsevier B.V. on behalf of Cairo University.</t>
  </si>
  <si>
    <t>[Palencia, Sixta L.; Garcia, Apolinaria] Univ Concepcion, Fac Biol Sci, Dept Microbiol, Lab Bacterial Pathogenic, Concepcion, Chile; [Palencia, Sixta L.] Mindtech Sas, Mindtech Res Grp Mindtech RG, Cali, Colombia; [Palencia, Manuel] Univ Valle, Fac Nat &amp; Exact Sci, Dept Chem, Res Grp Sci Technol Applicat GI Cat, Cali, Colombia</t>
  </si>
  <si>
    <t>Universidad de Concepcion; Universidad del Valle</t>
  </si>
  <si>
    <t>Palencia, M (corresponding author), Univ Valle, St 13 100-00 Campus Melendez, Cali, Colombia.</t>
  </si>
  <si>
    <t>manuel.palencia@correounivalle.edu.co</t>
  </si>
  <si>
    <t>2090-1232</t>
  </si>
  <si>
    <t>2090-1224</t>
  </si>
  <si>
    <t>10.1016/j.jare.2021.03.013</t>
  </si>
  <si>
    <t>WOS:000736950400003</t>
  </si>
  <si>
    <t>Sinha, AA; Jamuar, MP; Wilson, MJ; Rozhin, J; Sloane, BF</t>
  </si>
  <si>
    <t>Plasma membrane association of cathepsin B in human prostate cancer: Biochemical and immunogold electron microscopic analysis</t>
  </si>
  <si>
    <t>malignant prostate; benign prostatic hyperplasia; cathepsin B; cysteine protease inhibitors; subcellular distribution of CB; subcellular fractionation; isolation of lysosomes; endosomes/plasma membranes; biochemical methods; immunogold electron microscopy</t>
  </si>
  <si>
    <t>CYSTEINE PROTEINASES; TUMOR PROGRESSION; LOCALIZATION; ANTIGEN; EXPRESSION; INHIBITORS; CARCINOMA; CELLS; FORMS; ACID</t>
  </si>
  <si>
    <t>BACKGROUND. Cathepsin B (CB), a cysteine protease, is usually found in perinuclear lysosomes of epithelial cells of normal organs and non-malignant tumors, but is associated with the plasma membranes of many solid organ malignant tumors. Plasma membrane localized CB facilitates degradation of extracellular matrix proteins and progression of tumor cells from one biological compartment to another. The activities of CB and its subcellular distribution have not been investigated in malignant prostate. Our objective was to examine the subcellular distribution of CB by determining the activities of CB in lysosome and plasma membrane/endosome subcellular fractions and its subcellular localization by immunogold electron microscopy. METHODS. Prostate tissue pieces obtained immediately after prostatectomy were homogenized and fractionated into subcellular components for determining biochemical activities of CB and cysteine protease inhibitors (CPIs). Distribution of CB was compared with that of prostate specific antigen (PSA, a serine protease), which is abundant in secretory vesicles and granules of normal prostate, benign prostatic hyperplasia (BPH) and malignant prostate cells. Localization of CB was investigated in resin embedded lysosomes and plasma membrane/endosome subcellular fractions and in prostate tissue sections by immunogold electron microscopy. RESULTS. We have demonstrated the specificity of CB activity in human prostate homogenates by using a variety of inhibitors in our assay. We did not find any difference in the specific activity of CB based on protein or DNA content in homogenates of malignant prostate (Gleason histologic scores 5-7) and BPH (no histological evidence of cancer) whether it was measured by chromogenic or fluorogenic peptide substrate assay techniques. We found significantly higher activities of CB in the plasma membrane/ endosome fractions of malignant prostate than in BPH. In contrast, CPI activity was increased relative to CB activity in plasma membrane/ endosome fraction of BPH versus prostate cancer. Our data indicated a shift in the balance of enzyme to inhibitor that would favor increased activities of CB in prostate cancer. The immunogold microscopic study showed specific localization of CB in plasma membrane. They also showed localization of CB in lysosomes that were often adjacent to luminal and/or basal surfaces of malignant cells in contrast to the usual perinuclear distribution of lysosomes in hyperplastic prostate glands. PSA was localized in secretory granules and vesicles, including the plasma membranes and secretory blebs in malignant prostate cells. Occasional PSA positive secretory vesicles or membrane profiles were seen in the plasma membrane/endosomal and lysosomal fractions. CONCLUSIONS. The increased activity of CB in plasma membrane/endosomal fractions is associated with malignant prostate and not with BPH or normal prostate. Morphologic distribution CB is associated with the plasma membranes or lysosomes adjacent to apical and basal cell surfaces. This distribution is characteristic feature prostate cancer cells, but not in BPH or normal prostate cells. Subcellular distribution of PSA occurs in secretory vesicles and granules of the cytoplasm, but not in lysosomes. Our biochemical and morphological data could be used to distinguish malignant prostates from non-malignant tumors. (C) 2001 Wiley-Liss, Inc.</t>
  </si>
  <si>
    <t>Vet Affairs Med Ctr, Res Serv 151, Minneapolis, MN 55417 USA; Univ Minnesota, Dept Genet Cell Biol &amp; Dev, Minneapolis, MN 55417 USA; Univ Minnesota, Dept Genet Cell Biol &amp; Dev, Minneapolis, MN 55455 USA; Univ Minnesota, Dept Lab Med &amp; Pathol, Minneapolis, MN 55455 USA; Univ Minnesota, Dept Urol &amp; Urol Surg, Minneapolis, MN 55455 USA; Univ Minnesota, Ctr Canc, Minneapolis, MN 55455 USA; Wayne State Univ, Dept Pharmacol, Detroit, MI 48201 USA</t>
  </si>
  <si>
    <t>US Department of Veterans Affairs; Veterans Health Administration (VHA); Minneapolis VA Health Care System; University of Minnesota System; University of Minnesota Twin Cities; University of Minnesota System; University of Minnesota Twin Cities; University of Minnesota System; University of Minnesota Twin Cities; University of Minnesota System; University of Minnesota Twin Cities; University of Minnesota System; University of Minnesota Twin Cities; Wayne State University</t>
  </si>
  <si>
    <t>Sinha, AA (corresponding author), Vet Affairs Med Ctr, Res Serv 151, 1 Vet Dr, Minneapolis, MN 55417 USA.</t>
  </si>
  <si>
    <t>sinha001@tc.umn.edu</t>
  </si>
  <si>
    <t>Sloane, Bonnie F/A-1050-2009</t>
  </si>
  <si>
    <t>10.1002/pros.1132</t>
  </si>
  <si>
    <t>WOS:000172006900003</t>
  </si>
  <si>
    <t>Park, YS; Oh, JM; Cho, YK</t>
  </si>
  <si>
    <t>Park, Yang-Seok; Oh, Jung Min; Cho, Yoon-Kyoung</t>
  </si>
  <si>
    <t>Non-lithographic nanofluidic channels with precisely controlled circular cross sections</t>
  </si>
  <si>
    <t>NANOCHANNELS; FABRICATION; DNA; RECOGNITION; NANOFIBERS; CONVERSION; ARRAYS; MICRO; WATER; FLOW</t>
  </si>
  <si>
    <t>Nanofluidic channels have received growing interest due to their potential for applications in the manipulation of nanometric objects, such as DNA, proteins, viruses, exosomes, and nanoparticles. Although significant advances in nanolithography-based fabrication techniques over the past few decades have allowed us to explore novel nanofluidic transport phenomena and unique applications, the development of new technologies enabling the low-cost preparation of nanochannels with controllable and reproducible shapes and dimensions is still lacking. Thus, we herein report the application of a nanofiber printed using a near-field electrospinning method as a sacrificial mold for the preparation of polydimethylsiloxane nanochannels with circular cross sections. Control of the size and shape of these nanochannels allowed the preparation of nanochannels with channel widths ranging from 70-368 nm and height-to-width ratios of 0.19-1.00. Capillary filling tests confirmed the excellent uniformity and reproducibility of the nanochannels. These results therefore are expected to inspire novel nanofluidic studies due to the simple and low-cost nature of this fabrication process, which allows precise control of the shape and dimensions of the circular cross section.</t>
  </si>
  <si>
    <t>[Park, Yang-Seok; Oh, Jung Min; Cho, Yoon-Kyoung] Ulsan Natl Inst Sci &amp; Technol, Sch Life Sci, Dept Biomed Engn, Ulsan 44919, South Korea; [Park, Yang-Seok; Oh, Jung Min; Cho, Yoon-Kyoung] Inst Basic Sci, Ctr Soft &amp; Living Matter, Ulsan 44919, South Korea</t>
  </si>
  <si>
    <t>Ulsan National Institute of Science &amp; Technology (UNIST); Institute for Basic Science - Korea (IBS)</t>
  </si>
  <si>
    <t>Cho, YK (corresponding author), Ulsan Natl Inst Sci &amp; Technol, Sch Life Sci, Dept Biomed Engn, Ulsan 44919, South Korea.;Cho, YK (corresponding author), Inst Basic Sci, Ctr Soft &amp; Living Matter, Ulsan 44919, South Korea.</t>
  </si>
  <si>
    <t>ykcho@unist.ac.kr</t>
  </si>
  <si>
    <t>Cho, Yoon-Kyoung/ABF-9355-2021; Cho, Yoon-Kyoung/E-9082-2010</t>
  </si>
  <si>
    <t>Cho, Yoon-Kyoung/0000-0001-6423-1834; Cho, Yoon-Kyoung/0000-0001-6423-1834</t>
  </si>
  <si>
    <t>10.1039/c8ra03496f</t>
  </si>
  <si>
    <t>WOS:000434261100038</t>
  </si>
  <si>
    <t>Ramirez-Tapia, AL; Baylon-Pacheco, L; Espiritu-Gordillo, P; Rosales-Encina, JL</t>
  </si>
  <si>
    <t>Lilia Ramirez-Tapia, Ana; Baylon-Pacheco, Lidia; Espiritu-Gordillo, Patricia; Luis Rosales-Encina, Jose</t>
  </si>
  <si>
    <t>Characterization of the protein tyrosine phosphatase PRL from Entamoeba histolytica</t>
  </si>
  <si>
    <t>Entamoeba histolytica; Protein tyrosine phosphatase of regenerating liver; CAAX-box; Extracellular matrix components; Amebic liver abscess</t>
  </si>
  <si>
    <t>ACID-PHOSPHATASE; CELL-GROWTH; IN-VIVO; COLLAGEN; CANCER; METASTASIS; INVASION; IDENTIFICATION; FIBRONECTIN; PRENYLATION</t>
  </si>
  <si>
    <t>Protein tyrosine phosphatase of regenerating liver (PRL) is a group of phosphatases that has not been broadly studied in protozoan parasites. In humans, PRLs are involved in metastatic cancer, the promotion of cell migration and invasion. PTPs have been increasingly recognized as important effectors of host-pathogen interactions. We characterized the only putative protein tyrosine phosphatase PRL (PTP-EhPRL) in the eukaryotic human intestinal parasite Entamoeba histolytica. Here, we reported that the EhPRL protein possessed the classical HCX5R catalytic motif of PTPs and the CAAX box characteristic of the PRL family and exhibited 31-32% homology with the three human PRL isoforms. In amebae, the protein was expressed at low but detectable levels. The recombinant protein (rEhPRL) had enzymatic activity with the 3-o-methyl fluorescein phosphate (OMFP) substrate; this enzymatic activity was inhibited by the PTP inhibitor o-vanadate. Using immunofluorescence we showed that native EhPRL was localized to the cytoplasm and plasma membrane. When the trophozoites interacted with collagen, EhPRL relocalized over time to vesicle-like structures. Interaction with fibronectin increased the presence of the enzyme in the cytoplasm. Using RT-PCR, we demonstrated that EhPRL mRNA expression was upregulated when the trophozoites interacted with collagen but not with fibronectin. Trophozoites recovered from amoebic liver abscesses showed higher EhPRL mRNA expression levels than normal trophozoites. These results strongly suggest that EhPRL may play an important role in the biology and adaptive response of the parasite to the host environment during amoebic liver abscess development, thereby participating in the pathogenic mechanism. (C) 2015 Published by Elsevier Inc.</t>
  </si>
  <si>
    <t>[Lilia Ramirez-Tapia, Ana; Baylon-Pacheco, Lidia; Espiritu-Gordillo, Patricia; Luis Rosales-Encina, Jose] IPN, Ctr Invest &amp; Estudios Avanzados, Dept Infect &amp; Patogenesis Mol, Mexico City 07360, DF, Mexico</t>
  </si>
  <si>
    <t>CINVESTAV - Centro de Investigacion y de Estudios Avanzados del Instituto Politecnico Nacional; Instituto Politecnico Nacional - Mexico</t>
  </si>
  <si>
    <t>Rosales-Encina, JL (corresponding author), IPN, Ctr Invest &amp; Estudios Avanzados, Dept Infect &amp; Patogenesis Mol, Ave Inst Politecn Nacl 2508, Mexico City 07360, DF, Mexico.</t>
  </si>
  <si>
    <t>rosales@cinvestav.mx</t>
  </si>
  <si>
    <t>10.1016/j.exppara.2015.09.014</t>
  </si>
  <si>
    <t>WOS:000366442900022</t>
  </si>
  <si>
    <t>THALER, CD; CARDULLO, RA</t>
  </si>
  <si>
    <t>BIOCHEMICAL-CHARACTERIZATION OF A GLYCOSYLPHOSPHATIDYLINOSITOL-LINKED HYALURONIDASE ON MOUSE SPERM</t>
  </si>
  <si>
    <t>HAMSTER ZONA PELLUCIDA; GUINEA-PIG SPERM; ACROSOME REACTION; MEMBRANE-PROTEIN; MAMMALIAN SPERM; EGG BINDING; INVITRO; FERTILIZATION; SPERMATOZOA; RELEASE</t>
  </si>
  <si>
    <t>On the basis of DNA homology to bee venom hyaluronidase, it was recently suggested that the GPI-linked mammalian sperm antigen, PH-20, may function as a cell surface hyaluronidase [Gmachl, M., and Kreil, G. (1993) Proc. Natl. Acad. Sci. U.S.A. 90, 3569-3573]. We have quantified the activity of the soluble acrosomal hyaluronidase of mouse sperm and further demonstrate the existence of a membrane-hound hyaluronidase, detected on both acrosome-intact and acrosome-reacted mouse sperm, distinct from the soluble form of the enzyme. The membrane-bound hyaluronidase was specifically released by PE-PLC, indicating that it is GPI linked. Acrosome-intact and acrosome-reacted sperm released several polypeptides (68, 44, 39, 34, 17, and 15 kDa) when treated with PI-PLC. In addition, GPI-Linked polypeptides unique to acrosome-intact or to acrosome-reacted sperm were identified. Fractionation of the PI-PLC-released components from acrosome-reacted sperm using size exclusion chromatography revealed a single peak of hyaluronidase activity which comigrates with a 68 kDa GPI-linked protein present in these fractions. Taken together, these data demonstrate the existence of at least two isoforms of hyaluronidase: a soluble form within the acrosomal vesicle which is released during acrosomal exocytosis and a GPI-linked form which is present on the surface of both acrosome-intact and acrosome-reacted sperm. Both forms may be necessary for successful penetration of the extracellular vestments that surround the egg prior to fertilization.</t>
  </si>
  <si>
    <t>UNIV CALIF RIVERSIDE,DEPT BIOL,RIVERSIDE,CA 92521</t>
  </si>
  <si>
    <t>University of California System; University of California Riverside</t>
  </si>
  <si>
    <t>10.1021/bi00024a002</t>
  </si>
  <si>
    <t>WOS:A1995RE64500002</t>
  </si>
  <si>
    <t>Makler, A; Narayanan, R</t>
  </si>
  <si>
    <t>Makler, Amy; Narayanan, Ramaswamy</t>
  </si>
  <si>
    <t>Mining Exosomal Genes for Pancreatic Cancer Targets</t>
  </si>
  <si>
    <t>Carcinoma; drug targets; gene ontology; open reading frame; non-coding RNAs; secretome</t>
  </si>
  <si>
    <t>MANUALLY CURATED DATABASE; DENDRITIC CELLS; NONCODING RNAS; HUMAN PROTEOME; MICRORNA; EXPRESSION; ASSOCIATION; METASTASIS; CHEMORESISTANCE; MICROVESICLES</t>
  </si>
  <si>
    <t>Background: Exosomes, cell-derived vesicles encompassing lipids, DNA, proteins coding genes and noncoding RNAs (ncRNAs) are present in diverse body fluids. They offer novel biomarker and drug therapy potential for diverse diseases, including cancer. Materials and Methods: Using gene ontology, exosomal genes database and GeneCards metadata analysis tools, a database of cancer-associated protein coding genes and ncRNAs (n=2,777) was established. Variant analysis, expression profiling and pathway mapping were used to identify putative pancreatic cancer exosomal gene candidates. Results: Five hundred and seventy-five protein-coding genes, 26 RNA genes and one pseudogene directly associated with pancreatic cancer were identified in the study. Nine open reading frames (ORFs) encompassing enzymes, apoptosis and transcriptional regulators, and secreted factors and five cDNAs (enzymes) emerged from the analysis. Among the ncRNA class, 26 microRNAs (miRs), one pseudogene, one long noncoding RNA (LNC) and one antisense gene were identified. Furthermore, 22 exosome-associated protein-coding targets (a cytokine, enzymes, membrane glycoproteins, receptors, and a transporter) emerged as putative leads for pancreatic cancer therapy. Seven of these protein-coding targets are FDA-approved and the drugs-based on these could provide repurposing opportunities for pancreatic cancer. Conclusion: The database of exosomal genes established in this study provides a framework for developing novel biomarkers and drug therapy targets for pancreatic cancer.</t>
  </si>
  <si>
    <t>[Makler, Amy; Narayanan, Ramaswamy] Florida Atlantic Univ, Dept Biol Sci, Charles E Schmidt Coll Sci, Boca Raton, FL 33431 USA</t>
  </si>
  <si>
    <t>State University System of Florida; Florida Atlantic University</t>
  </si>
  <si>
    <t>Narayanan, R (corresponding author), Florida Atlantic Univ, Dept Biol Sci, Charles E Schmidt Coll Sci, Boca Raton, FL 33431 USA.</t>
  </si>
  <si>
    <t>rnarayan@fau.edu</t>
  </si>
  <si>
    <t>Makler, Amy/0000-0002-2471-3879</t>
  </si>
  <si>
    <t>10.21873/cgp.20028</t>
  </si>
  <si>
    <t>WOS:000403406700002</t>
  </si>
  <si>
    <t>Puente-Massaguer, E; Gonzalez-Dominguez, I; Strobl, F; Grabherr, R; Striedner, G; Lecina, M; Godia, F</t>
  </si>
  <si>
    <t>Puente-Massaguer, Eduard; Gonzalez-Dominguez, Irene; Strobl, Florian; Grabherr, Reingard; Striedner, Gerald; Lecina, Marti; Godia, Francesc</t>
  </si>
  <si>
    <t>Bioprocess characterization of virus-like particle production with the insect cell baculovirus expression system at nanoparticle level</t>
  </si>
  <si>
    <t>JOURNAL OF CHEMICAL TECHNOLOGY AND BIOTECHNOLOGY</t>
  </si>
  <si>
    <t>insect cells; virus-like particle; HIV-1; baculovirus; bioreactor; super-resolution fluorescence microscopy</t>
  </si>
  <si>
    <t>SPODOPTERA-FRUGIPERDA SF-9; TRICHOPLUSIA-NI; TYPE-1 GAG; PROTEIN; OPTIMIZATION; METABOLISM; SEPARATION; MEMBRANE; PLATFORM</t>
  </si>
  <si>
    <t>Background. Virus-like particles (VLPs) are a multivalent platform showing great promise for the development of vaccines, gene therapy, diagnostic, and drug delivery approaches. Particularly, HIV-1 Gag VLPs provide a robust and flexible scaffold for the presentation of a variety of antigens. The insect cell baculovirus expression vector system (BEVS) is nowadays one of the reference systems to produce these complex nanoparticles, but information about VLP quality, quantity, stability, as well as cell performance is scarce, especially at bioreactor scale. Results. VLPs produced in the reference High Five and Sf9 insect cell lines share similar physicochemical properties, with VLPs produced in Sf9 cells showing lower levels of double stranded DNA and protein contaminants, and a higher degree of VLP assembly. Besides VLPs, other nanoparticle populations are divergently encountered in each cell line. Hi5 supernatants contain a higher load of extracellular vesicles, while Sf9 supernatants exhibit higher concentrations of baculovirus particles. Similar titers are achieved when comparing Gag to Gag-eGFP VLP production, with the size of most of the nanoparticles produced comprised at the 150-250 nm range. Eventually, Gag VLP production in a 2 L stirred tank bioreactor is successfully demonstrated, validating bioprocess transference to the final product candidate. Conclusions. This work provides two potentially valuable strategies for the production of HIV-1 Gag VLPs and a detailed analysis of the different nanoparticle populations produced. (c) 2022 Society of Chemical Industry (SCI).</t>
  </si>
  <si>
    <t>[Puente-Massaguer, Eduard] Icahn Sch Med Mt Sinai, Dept Microbiol, New York, NY 10029 USA; [Puente-Massaguer, Eduard; Gonzalez-Dominguez, Irene; Godia, Francesc] Univ Autonoma Barcelona, Dept Engn Quim Biol &amp; Ambiental, Barcelona, Spain; [Strobl, Florian] Austrian Ctr Ind Biotechnol Acib GmbH, Vienna, Austria; [Strobl, Florian; Grabherr, Reingard; Striedner, Gerald] Univ Nat Resources &amp; Life Sci, Dept Biotechnol, Vienna, Austria; [Lecina, Marti] Univ Ramon Llull, IQS Sch Engn, Barcelona, Spain</t>
  </si>
  <si>
    <t>Icahn School of Medicine at Mount Sinai; Autonomous University of Barcelona; Austrian Centre of Industrial Biotechnology; University of Natural Resources &amp; Life Sciences, Vienna; Universitat Ramon Llull; Institut Quimic de Sarria</t>
  </si>
  <si>
    <t>eduard.puente-massaguer@mssm.edu</t>
  </si>
  <si>
    <t>Puente-Massaguer, Eduard/T-7482-2018; González-Domínguez, Irene/AAD-2344-2021</t>
  </si>
  <si>
    <t>Puente-Massaguer, Eduard/0000-0002-2816-7051; González-Domínguez, Irene/0000-0002-7920-5505; striedner, gerald/0000-0001-8366-5195</t>
  </si>
  <si>
    <t>0268-2575</t>
  </si>
  <si>
    <t>1097-4660</t>
  </si>
  <si>
    <t>10.1002/jctb.7105</t>
  </si>
  <si>
    <t>Biotechnology &amp; Applied Microbiology; Chemistry, Multidisciplinary; Engineering, Environmental; Engineering, Chemical</t>
  </si>
  <si>
    <t>Biotechnology &amp; Applied Microbiology; Chemistry; Engineering</t>
  </si>
  <si>
    <t>WOS:000802208300001</t>
  </si>
  <si>
    <t>Wang, HD; Allard, P</t>
  </si>
  <si>
    <t>Wang, Harrison D.; Allard, Patrick</t>
  </si>
  <si>
    <t>Challenging dogmas: How transgenerational epigenetics reshapes our views on life</t>
  </si>
  <si>
    <t>JOURNAL OF EXPERIMENTAL ZOOLOGY PART A-ECOLOGICAL AND INTEGRATIVE PHYSIOLOGY</t>
  </si>
  <si>
    <t>transgenerational inheritance; TEI; epigenetics</t>
  </si>
  <si>
    <t>GENE-EXPRESSION; SMALL RNAS; METHYLATION; INHERITANCE; RITS</t>
  </si>
  <si>
    <t>The emergence of the field of transgenerational epigenetics inheritance (TEI) has profoundly reshaped our understanding of the relationships between environment, soma, and germ cells as well as of heredity. TEI refers to the changes in chromatin state, gene expression, and/or phenotypes that are transmitted across several generations without involving changes to the DNA sequences. TEI has direct connections with, and feeds from, the fields of molecular biology, genetics, developmental biology, and reproductive biology, among others. However, the expansion of TEI-related research, has profoundly reshaped boundaries within each field and often led to the erosion of theories and concepts considered as tenets of biology. We first explore how the molecularization of biology has shifted the definition of epigenetics to include the notion of heredity and how epigenetics has refined our understanding of the central dogma of biology. The demonstrated transfer of environmental information from soma to germ cell through extracellular vesicles and subsequent alteration of health outcomes in offspring has put a definite end to the long-held principle of the Weismann barrier. TEI has also simultaneously led to the revival of the inheritance of acquired characteristics while further eroding the concept of an epigenetic blank slate in mammals. Using an historical framework, and via the exploration of central studies in the field, in this perspective article, we will draw a compelling argument for the revolutionary aspect of TEI in biology.</t>
  </si>
  <si>
    <t>[Wang, Harrison D.; Allard, Patrick] Univ Calif Los Angeles, Inst Soc &amp; Genet, Los Angeles, CA 90095 USA; [Allard, Patrick] Univ Calif Los Angeles, Inst Mol Biol, Los Angeles, CA 90095 USA</t>
  </si>
  <si>
    <t>University of California System; University of California Los Angeles; University of California System; University of California Los Angeles</t>
  </si>
  <si>
    <t>Allard, P (corresponding author), Univ Calif Los Angeles, 621 Charles E Young Dr S,Life Sci Bldg 3360, Los Angeles, CA 90095 USA.</t>
  </si>
  <si>
    <t>pallard@ucla.edu</t>
  </si>
  <si>
    <t>Wang, Harrison/0000-0002-9941-6895; Allard, Patrick/0000-0001-7765-1547</t>
  </si>
  <si>
    <t>2471-5638</t>
  </si>
  <si>
    <t>2471-5646</t>
  </si>
  <si>
    <t>10.1002/jez.2465</t>
  </si>
  <si>
    <t>WOS:000643735500001</t>
  </si>
  <si>
    <t>Perez-Rodriguez, S; Wulff, T; Voldborg, BG; Altamirano, C; Trujillo-Roldan, MA; Valdez-Cruz, NA</t>
  </si>
  <si>
    <t>Perez-Rodriguez, Saumel; Wulff, Tune; Voldborg, Bjorn G.; Altamirano, Claudia; Trujillo-Roldan, Mauricio A.; Valdez-Cruz, Norma A.</t>
  </si>
  <si>
    <t>Compartmentalized Proteomic Profiling Outlines the Crucial Role of the Classical Secretory Pathway during Recombinant Protein Production in Chinese Hamster Ovary Cells</t>
  </si>
  <si>
    <t>SIGNAL RECOGNITION PARTICLE; ENDOPLASMIC-RETICULUM STRESS; INOSITOL POLYPHOSPHATE PHOSPHATASE; MONOCLONAL-ANTIBODY PRODUCTION; CALCIUM-BINDING PROTEIN; TRANS-GOLGI NETWORK; KINASE-C-DELTA; CHO-CELLS; COG COMPLEX; SM PROTEIN</t>
  </si>
  <si>
    <t>Different cellular processes that contribute to protein production in Chinese hamster ovary (CHO) cells have been previously investigated by proteomics. However, although the classical secretory pathway (CSP) has been well documented as a bottleneck during recombinant protein (RP) production, it has not been well represented in previous proteomic studies. Hence, the significance of this pathway for production of RP was assessed by identifying its own proteins that were associated to changes in RP production, through subcellular fractionation coupled to shot-gun proteomics. Two CHO cell lines producing a monoclonal antibody with different specific productivities were used as cellular models, from which 4952 protein groups were identified, which represent a coverage of 59% of the Chinese hamster proteome. Data are available via ProteomeXchange with identifier PXD021014. By using SAM and ROTS algorithms, 493 proteins were classified as differentially expressed, of which about 80% was proposed as novel targets and one-third were assigned to the CSP. Endoplasmic reticulum (ER) stress, unfolded protein response, calcium homeostasis, vesicle traffic, glycosylation, autophagy, proteasomal activity, protein synthesis and translocation into ER lumen, and secretion of extracellular matrix components were some of the affected processes that occurred in the secretory pathway. Processes from other cellular compartments, such as DNA replication, transcription, cytoskeleton organization, signaling, and metabolism, were also modified. This study gives new insights into the molecular traits of higher producer cells and provides novel targets for development of new sub-lines with improved phenotypes for RP production.</t>
  </si>
  <si>
    <t>[Perez-Rodriguez, Saumel; Trujillo-Roldan, Mauricio A.; Valdez-Cruz, Norma A.] Univ Nacl Autonoma Mexico, Inst Invest Biomed, Dept Biol Mol &amp; Biotecnol, Programa Invest Prod Biomol, Ciudad De Mexico 04510, Mexico; [Wulff, Tune; Voldborg, Bjorn G.] Tech Univ Denmark, Novo Nordisk Fdn, Ctr Biosustainabil, DK-2800 Lyngby, Denmark; [Altamirano, Claudia] Pontificia Univ Catolica Valparaiso, Lab Cultivos Celulares, Escuela Ingn Bioqulm, Valparaiso 2085, Chile</t>
  </si>
  <si>
    <t>Universidad Nacional Autonoma de Mexico; Novo Nordisk Foundation; Technical University of Denmark; Pontificia Universidad Catolica de Valparaiso</t>
  </si>
  <si>
    <t>Valdez-Cruz, NA (corresponding author), Univ Nacl Autonoma Mexico, Inst Invest Biomed, Dept Biol Mol &amp; Biotecnol, Programa Invest Prod Biomol, Ciudad De Mexico 04510, Mexico.</t>
  </si>
  <si>
    <t>adri@biomedicas.unam.mx</t>
  </si>
  <si>
    <t>Perez Rodriguez, Saumel/O-9700-2016; Trujillo-Roldan, Mauricio A./B-3961-2014</t>
  </si>
  <si>
    <t>Perez Rodriguez, Saumel/0000-0003-3852-008X; Trujillo-Roldan, Mauricio A./0000-0002-7497-4452; Altamirano, Claudia/0000-0002-6389-086X; Wulff, Tune/0000-0002-8822-1048; Voldborg, Bjorn Gunnar/0000-0002-7005-1642; VALDEZ-CRUZ, NORMA A./0000-0002-8581-1173</t>
  </si>
  <si>
    <t>10.1021/acsomega.0c06030</t>
  </si>
  <si>
    <t>WOS:000654303500006</t>
  </si>
  <si>
    <t>Garcia-Gomez, A; Rodriguez-Ubreva, J; Ballestar, E</t>
  </si>
  <si>
    <t>Garcia-Gomez, Antonio; Rodriguez-Ubreva, Javier; Ballestar, Esteban</t>
  </si>
  <si>
    <t>Epigenetic interplay between immune, stromal and cancer cells in the tumor microenvironment</t>
  </si>
  <si>
    <t>CLINICAL IMMUNOLOGY</t>
  </si>
  <si>
    <t>MESENCHYMAL STEM-CELLS; ABERRANT DNA METHYLATION; DENDRITIC CELLS; SUPPRESSOR-CELLS; HELICOBACTER-PYLORI; OXIDATIVE STRESS; DRUG-RESISTANCE; GENE-EXPRESSION; OVARIAN-CANCER; MYELOID CELLS</t>
  </si>
  <si>
    <t>Compelling evidences highlight the critical role of the tumor microenvironment as mediator of tumor progression and immunosuppression in several types of cancer. The reciprocal interplay between neoplastic and non-tumoral host cells is mediated by direct cell-to-cell contact, soluble factors and exosomes that result in differential gene expression patterns that are driven by epigenetic mechanisms. In this regard, extensive literature has described the abnormalities in the DNA methylation status and histone modification profiles in tumor cells. However, little is known about the mechanisms of epigenetic dysregulation that participate as a consequence of the intricate crosstalk among the cells within the tumor niche. This review summarizes the current knowledge on epigenetic changes that result from the interactions between myeloid, stromal and cancer cells in the tumor microenvironment and its functional impact in both tumorigenesis and tumor progression. We also discuss potential niche-specific epigenetic biomarkers to improve the prognosis and clinical treatment of cancer patients.</t>
  </si>
  <si>
    <t>[Garcia-Gomez, Antonio; Rodriguez-Ubreva, Javier; Ballestar, Esteban] Bellvitge Biomed Res Inst IDIBELL, Chromatin &amp; Dis Grp, Canc Epigenet &amp; Biol Programme PEBC, Avda Gran Via 199-203, Barcelona 08908, Spain</t>
  </si>
  <si>
    <t>Institut d'Investigacio Biomedica de Bellvitge (IDIBELL)</t>
  </si>
  <si>
    <t>Ballestar, E (corresponding author), Bellvitge Biomed Res Inst IDIBELL, Chromatin &amp; Dis Grp, Canc Epigenet &amp; Biol Programme PEBC, Avda Gran Via 199-203, Barcelona 08908, Spain.</t>
  </si>
  <si>
    <t>eballestar@idibell.cat</t>
  </si>
  <si>
    <t>Ballestar, Esteban/ABG-8561-2020</t>
  </si>
  <si>
    <t>Ballestar, Esteban/0000-0002-1400-2440; RODRIGUEZ-UBREVA, JAVIER/0000-0003-4707-4536</t>
  </si>
  <si>
    <t>1521-6616</t>
  </si>
  <si>
    <t>1521-7035</t>
  </si>
  <si>
    <t>10.1016/j.clim.2018.02.013</t>
  </si>
  <si>
    <t>WOS:000454373800009</t>
  </si>
  <si>
    <t>Rhee, SJ; Kim, H; Lee, Y; Lee, HJ; Park, CHK; Yang, J; Kim, YK; Kym, S; Ahn, YM</t>
  </si>
  <si>
    <t>Rhee, Sang Jin; Kim, Hyeyoung; Lee, Yunna; Lee, Hyun Jeong; Park, C. Hyung Keun; Yang, Jinho; Kim, Yoon-Keun; Kym, Sungmin; Ahn, Yong Min</t>
  </si>
  <si>
    <t>Comparison of serum microbiome composition in bipolar and major depressive disorders</t>
  </si>
  <si>
    <t>JOURNAL OF PSYCHIATRIC RESEARCH</t>
  </si>
  <si>
    <t>Microbiota; Bipolar disorder; Depressive disorder; Major; Apoptosis; Ascorbic acid</t>
  </si>
  <si>
    <t>FECAL MICROBIOTA; GUT MICROBIOTA; ECONOMIC BURDEN; UNITED-STATES; RATING-SCALE; ANTIDEPRESSANTS; SCHIZOPHRENIA; UNIPOLAR</t>
  </si>
  <si>
    <t>Bipolar disorder and major depressive disorder are debilitating psychiatric conditions which can be difficult to differentiate; however, recent studies have suggested that microbiome composition may be a potential tool in distinguishing between these two disorders. This study aimed to compare the serum microbiome composition of patients with bipolar disorder, major depressive disorder, and healthy controls. Serum samples were collected from 42 subjects with bipolar disorder, 30 with major depressive disorder, and 36 healthy controls. Bacterial DNA was isolated from bacteria-derived extracellular vesicles in the serum and then amplified and quantified with primers specific to the V3-V4 hypervariable region of the 16S rDNA gene. Sequence reads were clustered into operational taxonomic units and classified using the SILVA database. Alpha and beta diversity, individual taxa analysis based on phylum and genus, and functional pathways were compared. There was no statistical difference between alpha or beta diversity in patients with bipolar disorder and major depressive disorder; however, the Prevotella 2 and Ruminococcaceae UCG-002 genera were significantly more prevalent in patients with major depressive disorder than in either those with bipolar disorder or in healthy controls. Functional analysis of pathways revealed that the apoptosis function differed between all three groups. In conclusion, the Prevotella 2 and Ruminococcaceae UCG-002 genera were identified as potential candidates for distinguishing bipolar disorder and major depressive disorder. Further studies with larger sample sizes, longitudinal designs, and control for other various confounders are warranted.</t>
  </si>
  <si>
    <t>[Rhee, Sang Jin; Kim, Hyeyoung; Lee, Yunna; Park, C. Hyung Keun; Ahn, Yong Min] Seoul Natl Univ Hosp, Dept Neuropsychiat, Seoul, South Korea; [Rhee, Sang Jin; Kim, Hyeyoung; Park, C. Hyung Keun; Ahn, Yong Min] Seoul Natl Univ, Coll Med, Dept Psychiat &amp; Behav Sci, Seoul, South Korea; [Lee, Hyun Jeong] Natl Canc Ctr, Div Canc Management Policy, Dept Psychiat &amp; Behav Sci, Goyang, South Korea; [Yang, Jinho; Kim, Yoon-Keun] MD Healthcare Inc, Seoul, South Korea; [Kym, Sungmin] Inje Univ, Haeundae Paik Hosp, Coll Med, Dept Internal Med, Busan, South Korea; [Ahn, Yong Min] Seoul Natl Univ, Med Res Ctr, Inst Human Behav Med, Seoul, South Korea; [Kim, Hyeyoung] Inha Univ Hosp, Dept Psychiat, Incheon, South Korea; [Lee, Yunna] Kosin Univ, Gospel Hosp, Dept Psychiat, Busan, South Korea; [Park, C. Hyung Keun] Asan Med Ctr, Dept Psychiat, Seoul, South Korea</t>
  </si>
  <si>
    <t>Seoul National University (SNU); Seoul National University Hospital; Seoul National University (SNU); National Cancer Center - Korea (NCC); Inje University; Seoul National University (SNU); Inha University; Inha University Hospital; University of Ulsan; Asan Medical Center</t>
  </si>
  <si>
    <t>Ahn, YM (corresponding author), Seoul Natl Univ Hosp, Dept Neuropsychiat, Seoul, South Korea.</t>
  </si>
  <si>
    <t>hellojr1123@hanmail.net; kimhy.md@gmail.com; ynlee8317@gmail.com; hjlee.np@gmail.com; hkpark@gmail.com; ykkim@mdhc.kr; smkimkor@paik.ac.kr; aym@snu.ac.kr</t>
  </si>
  <si>
    <t>; Park, Christopher/L-6074-2017</t>
  </si>
  <si>
    <t>Kim, Sungmin/0000-0003-3518-966X; Park, Christopher/0000-0002-2568-1426</t>
  </si>
  <si>
    <t>0022-3956</t>
  </si>
  <si>
    <t>1879-1379</t>
  </si>
  <si>
    <t>10.1016/j.jpsychires.2020.01.004</t>
  </si>
  <si>
    <t>Psychiatry</t>
  </si>
  <si>
    <t>WOS:000518875600004</t>
  </si>
  <si>
    <t>Lee, JC; Choe, SY</t>
  </si>
  <si>
    <t>Lee, Jae Chul; Choe, Soo Young</t>
  </si>
  <si>
    <t>Gene alterations after human adipose-derived stem cell-derived exosome injection in monosodium iodoacetate-induced osteoarthritis rats by microarray analysis</t>
  </si>
  <si>
    <t>JOURNAL OF THE ANATOMICAL SOCIETY OF INDIA</t>
  </si>
  <si>
    <t>Adipose-derived stem cell; exosome; microarray; monosodium iodoacetate; osteoarthritis</t>
  </si>
  <si>
    <t>PARTIAL NEPHRECTOMY</t>
  </si>
  <si>
    <t>Introduction: Exosome (exo) is a small extracellular vesicles containing cell-derived factors, and serve to mediate the paracrine effect of cells. Despite the therapeutic potential of human adipose-derived stem cells (hADSCs)-derived exo-related treatment modalities, the molecular parameters needed to define the paracrine effect remain largely unknown. Material and Methods: Using high-density oligonucleotide RNA sequencing, the differential gene expression profiles between a fraction of exo (derived from hADSCs) and its mesenchymal stem cells subpopulation were obtained. Results: Of particular interest was a subset of 66 genes preferentially expressed at fivefold or higher in the group treated with exo derived from hADSCs. This subset contained numerous genes involved in the angiogenesis, inflammatory response, immune response, cell cycle, cell death, cell differentiation, cell proliferation, DNA repair, RNA splicing, and secretion functions. In addition, six protein networks were constructed. The interaction network consisted of 57 proteins encoded by upregulated genes. However, the interaction network also consisted of 69 proteins encoded by downregulated genes. Discussion and Conclusion: Our results provide a basis for more reproducible and reliable quality control using genotypic analysis for the definition of hADSCs-exo. Therefore, these results will serve to provide a basis for studies of the molecular mechanisms which control the core properties of hADSCs-exo. Understanding the processes driving hADSCs-exo recruitment could prove invaluable in the development of novel, targeted therapies to selectively inhibit pathological responses in OA.</t>
  </si>
  <si>
    <t>[Lee, Jae Chul] Seoul Natl Univ, Dept Plast &amp; Reconstruct Surg, Coll Med, Bundang Hosp, Seongnam, South Korea; [Lee, Jae Chul] Univ Ulsan, Dept Obstet &amp; Gynecol, Asan Med Ctr, Coll Med, Seoul, South Korea; [Choe, Soo Young] Chungbuk Natl Univ, Dept Biol, Sch Life Sci, Cheongju, South Korea</t>
  </si>
  <si>
    <t>Seoul National University (SNU); University of Ulsan; Asan Medical Center; Chungbuk National University</t>
  </si>
  <si>
    <t>Lee, JC (corresponding author), Seoul Natl Univ, Dept Plast &amp; Reconstruct Surg, Bundang Hosp, 82,Gumi Ro 173 Beon Gil, Seongnam Si 463707, Gyeonggi Do, South Korea.;Choe, SY (corresponding author), Chungbuk Natl Univ, Dept Biol, 52 Naesudong Ro, Cheongju 361804, South Korea.</t>
  </si>
  <si>
    <t>beas100@snu.ac.kr; leejc@chungbuk.ac.kr</t>
  </si>
  <si>
    <t>0003-2778</t>
  </si>
  <si>
    <t>2352-3050</t>
  </si>
  <si>
    <t>JAN-MAR</t>
  </si>
  <si>
    <t>10.4103/JASI.JASI_67_19</t>
  </si>
  <si>
    <t>WOS:000529026300007</t>
  </si>
  <si>
    <t>Li, ZT; Doho, G; Zheng, X; Jella, KK; Li, SY; Wang, Y; Dynan, WS</t>
  </si>
  <si>
    <t>Li, Zhentian; Doho, Gregory; Zheng, Xuan; Jella, Kishore Kumar; Li, Shuyi; Wang, Ya; Dynan, William S.</t>
  </si>
  <si>
    <t>Co-culturing with High-Charge and Energy Particle Irradiated Cells Increases Mutagenic Joining of Enzymatically Induced DNA Double-Strand Breaks in Nonirradiated Cells</t>
  </si>
  <si>
    <t>INTERCELLULAR COMMUNICATION; LONG-TERM; RADIATION; DAMAGE; TRANSMISSION; INDUCTION; RESPONSES; EXOSOMES; REPAIR; RNA</t>
  </si>
  <si>
    <t>Cell populations that have been exposed to high-charge and energy (HZE) particle radiation, and then challenged by expression of a rare-cutting nuclease, show an increased frequency of deletions and translocations originating at the enzyme cut sites. Here, we examine whether this effect also occurs in nonirradiated cells that have been co-cultured with irradiated cells. Human cells were irradiated with 0.3-1.0 Gy of either 600 MeV/u Fe-56 or 1,000 MeV/u Ti-48 ions or with 0.3-3.0 Gy of 320 kV X rays. These were co-cultured with I-SceI-expressing reporter cells at intervals up to 21 days postirradiation. Co-culture with HZE-irradiated cells led to an increase in the frequency of I-SceI-stimulated translocations and deletions in the nonirradiated cells. The effect size was similar to that seen previously in directly irradiated populations (maximum effect in bystander cells of 1.7-to 4-fold depending on ion and end point). The effect was not observed when X-ray-irradiated cells were co-cultured with nonirradiated cells, but was correlated with an increase in gamma-H2AX foci-positive cells in the nonirradiated population, suggesting the presence of genomic stress. Transcriptional profiling of a directly irradiated cell population showed that many genes for cytokines and other secretory proteins were persistently upregulated, but their induction was not well correlated with functional effects on repair in co-cultured cells, suggesting that this transcriptional response alone is not sufficient to evoke the effect. The finding that HZE-irradiated cells influence the DNA double-strand break repair fidelity in their nonirradiated neighbors has implications for risk in the space radiation environment. (C) 2015 by Radiation Research Society</t>
  </si>
  <si>
    <t>[Li, Zhentian; Jella, Kishore Kumar; Li, Shuyi; Wang, Ya; Dynan, William S.] Emory Univ, Dept Radiat Oncol, Atlanta, GA 30322 USA; [Li, Zhentian; Jella, Kishore Kumar; Li, Shuyi; Wang, Ya; Dynan, William S.] Emory Univ, Winship Canc Inst, Atlanta, GA 30322 USA; [Doho, Gregory] Emory Univ, Dept Emory Integrated Genom Core, Atlanta, GA 30322 USA; [Li, Shuyi; Dynan, William S.] Emory Univ, Dept Biochem, Atlanta, GA 30322 USA; [Li, Zhentian] Wuhan Univ, State Key Lab Breeding Base Basic Sci Stomatol Hu, Wuhan 430072, Peoples R China; [Li, Zhentian] Wuhan Univ, Key Lab Oral Biomed, Minist Educ, Sch &amp; Hosp Stomatol, Wuhan 430072, Peoples R China; [Zheng, Xuan] Wuhan Univ, Zhongnan Hosp, Wuhan 430072, Peoples R China; [Li, Zhentian] Georgia Regents Univ, Dept Neurosci &amp; Regenerat Med, Augusta, GA USA</t>
  </si>
  <si>
    <t>Emory University; Emory University; Emory University; Emory University; Wuhan University; Wuhan University; Wuhan University; University System of Georgia; Augusta University</t>
  </si>
  <si>
    <t>Dynan, WS (corresponding author), 4121 Rollins Res Ctr, Dept Biochem, 1510 Clifton Rd NE, Atlanta, GA 30322 USA.</t>
  </si>
  <si>
    <t>wdynan@emory.edu</t>
  </si>
  <si>
    <t>Dynan, William/0000-0002-4045-5662</t>
  </si>
  <si>
    <t>10.1667/RR14092.1</t>
  </si>
  <si>
    <t>WOS:000361238600002</t>
  </si>
  <si>
    <t>Ahmed, T; Yamanishi, C; Kojima, T; Takayama, S</t>
  </si>
  <si>
    <t>Ahmed, Tasdiq; Yamanishi, Cameron; Kojima, Taisuke; Takayama, Shuichi</t>
  </si>
  <si>
    <t>Aqueous Two-Phase Systems and Microfluidics for Microscale Assays and Analytical Measurements</t>
  </si>
  <si>
    <t>aqueous two-phase systems; liquid-liquid phase separation; purification; microfluidics; droplet emulsions; protocell</t>
  </si>
  <si>
    <t>POLYETHYLENE-GLYCOL; SURFACE-PROPERTIES; ESTROGEN-RECEPTOR; ISOELECTRIC POINT; BIPHASIC SYSTEMS; PROTEIN-PROTEIN; ATPS DROPLETS; PLASMID DNA; GENOMIC DNA; LARGE-SCALE</t>
  </si>
  <si>
    <t>Phase separation is a common occurrence in nature. Synthetic and natural polymers, salts, ionic liquids, surfactants, and biomacromolecules phase separate in water, resulting in an aqueous two-phase system (ATPS). This review discusses the properties, handling, and uses of ATPSs. These systems have been used for protein, nucleic acid, virus, and cell purification and have in recent years found new uses for small organics, polysaccharides, extracellular vesicles, and biopharmaceuticals. Analytical biochemistry applications such as quantifying protein-protein binding, probing for conformational changes, or monitoring enzyme activity have been performed with ATPSs. Not only are ATPSs biocompatible, they also retain their properties at the microscale, enabling miniaturization experiments such as droplet microfluidics, bacterial quorum sensing, multiplexed and point-of-care immunoassays, and cell patterning. ATPSs include coacervates and may find wider interest in the context of intracellular phase separation and origin of life. Recent advances in fundamental understanding and in commercial application are also considered.</t>
  </si>
  <si>
    <t>[Ahmed, Tasdiq; Yamanishi, Cameron; Kojima, Taisuke; Takayama, Shuichi] Georgia Inst Technol, Walter H Coulter Dept Biomed Engn, Atlanta, GA 30332 USA; [Ahmed, Tasdiq; Yamanishi, Cameron; Kojima, Taisuke; Takayama, Shuichi] Emory Sch Med, Atlanta, GA 30332 USA; [Takayama, Shuichi] Georgia Inst Technol, Parker H Petit Inst Bioengn &amp; Biosci, Atlanta, GA 30332 USA</t>
  </si>
  <si>
    <t>University System of Georgia; Georgia Institute of Technology; Emory University; University System of Georgia; Georgia Institute of Technology</t>
  </si>
  <si>
    <t>Takayama, S (corresponding author), Georgia Inst Technol, Walter H Coulter Dept Biomed Engn, Atlanta, GA 30332 USA.;Takayama, S (corresponding author), Emory Sch Med, Atlanta, GA 30332 USA.;Takayama, S (corresponding author), Georgia Inst Technol, Parker H Petit Inst Bioengn &amp; Biosci, Atlanta, GA 30332 USA.</t>
  </si>
  <si>
    <t>takayama@gatech.edu</t>
  </si>
  <si>
    <t>10.1146/annurev-anchem-091520-101759</t>
  </si>
  <si>
    <t>WOS:000684016900011</t>
  </si>
  <si>
    <t>Xiang, XW; Chen, L; Hu, XL; Yu, SF; Yang, R; Wu, XF</t>
  </si>
  <si>
    <t>Xiang, Xingwei; Chen, Lin; Hu, Xiaolong; Yu, Shaofang; Yang, Rui; Wu, Xiaofeng</t>
  </si>
  <si>
    <t>Autographa californica multiple nucleopolyhedrovirus odv-e66 is an essential gene required for oral infectivity</t>
  </si>
  <si>
    <t>Autographa californica multiple nucleopolyhedrovirus (AcMNPV); ODV-E66; Polyhedron; Oral infectivity</t>
  </si>
  <si>
    <t>OCCLUSION-DERIVED VIRUS; PER-OS INFECTIVITY; NUCLEAR POLYHEDROSIS-VIRUS; ENVELOPE PROTEIN; BACULOVIRUS; IDENTIFICATION; PATHWAY; BINDING; CELLS; FORM</t>
  </si>
  <si>
    <t>Autographa californica multiple nucleopolyhedrovirus (AcMNPV) odv-e66 is a core gene and encodes an occlusion-derived virus (ODV)-specific envelope protein, ODV-E66. The N-terminal 23 amino acid of the envelope protein ODV-E66 are sufficient to direct native and fusion proteins to induced membrane microvesicles and the viral envelope during infection with AcMNPV. In this study, an odv-e66-knockout bacmid can not express N-terminal hydrophobic domains was constructed via homologous recombination in Escherichia coli. The odv-e66 deletion had no effect on budded virus (BV) production and viral DNA replication in infected Sf9 cells. Larval bioassays demonstrated that injection of odv-e66 deletion BV into the hemocoel could kill P. xylostella larvae as efficiently as repaired and control viruses; however, odv-e66 deletion mutant resulted in a 50% lethal dose that was 10(3) higher than that of the repaired and control viruses when inoculated per as. These results indicated that ODV-E66 envelope protein most likely played an important role in the oral infectivity of AcMNPV, but is not essential for virus replication. (C) 2011 Elsevier B.V. All rights reserved.</t>
  </si>
  <si>
    <t>[Xiang, Xingwei; Chen, Lin; Hu, Xiaolong; Yu, Shaofang; Yang, Rui; Wu, Xiaofeng] Zhejiang Univ, Coll Anim Sci, Hangzhou 310029, Zhejiang, Peoples R China</t>
  </si>
  <si>
    <t>Wu, XF (corresponding author), Zhejiang Univ, Coll Anim Sci, Huajiachi Campus, Hangzhou 310029, Zhejiang, Peoples R China.</t>
  </si>
  <si>
    <t>10.1016/j.virusres.2011.03.012</t>
  </si>
  <si>
    <t>WOS:000292077300010</t>
  </si>
  <si>
    <t>Hu, ZY; Yuan, MJ; Wu, WB; Liu, C; Yang, K; Pang, Y</t>
  </si>
  <si>
    <t>Hu, Zhaoyang; Yuan, Meijin; Wu, Wenbi; Liu, Chao; Yang, Kai; Pang, Yi</t>
  </si>
  <si>
    <t>Autographa californica Multiple Nucleopolyhedrovirus ac76 Is Involved in Intranuclear Microvesicle Formation</t>
  </si>
  <si>
    <t>NUCLEAR POLYHEDROSIS-VIRUS; OCCLUSION-DERIVED VIRUS; STRUCTURAL PROTEIN; CELLULAR-LOCALIZATION; BV PRODUCTION; ENVELOPE; TRANSCRIPTION; REPLICATION; GENE; IDENTIFICATION</t>
  </si>
  <si>
    <t>In this study, we characterized Autographa californica multiple nucleopolyhedrovirus (AcMNPV) orf76 (ac76), which is a highly conserved gene of unknown function in lepidopteran baculoviruses. Transcriptional analysis of ac76 revealed that transcription of multiple overlapping multicistronic transcripts initiates from a canonical TAAG late-transcription start motif but terminates at different 3' ends at 24 h postinfection in AcMNPV-infected Sf9 cells. To investigate the role of ac76 in the baculovirus life cycle, an ac76-knockout virus was constructed using an AcMNPV bacmid system. Microscopy, titration assays, and Western blot analysis demonstrated that the resulting ac76-knockout virus was unable to produce budded viruses. Quantitative real-time PCR analysis demonstrated that ac76 deletion did not affect viral DNA synthesis. Electron microscopy showed that virus-induced intranuclear microvesicles as well as occlusion-derived virions were never observed in cells transfected with the ac76-knockout virus. Confocal microscopy analysis revealed that Ac76 was predominantly localized to the ring zone of nuclei during the late phase of infection. This suggests that ac76 plays a role in intranuclear microvesicle formation. To the best of our knowledge, this is the first baculovirus gene identified to be involved in intranuclear microvesicle formation.</t>
  </si>
  <si>
    <t>[Hu, Zhaoyang; Yuan, Meijin; Wu, Wenbi; Liu, Chao; Yang, Kai; Pang, Yi] Sun Yat Sen Univ, State Key Lab Biocontrol, Guangzhou 510275, Guangdong, Peoples R China</t>
  </si>
  <si>
    <t>Yang, K (corresponding author), Sun Yat Sen Univ, State Key Lab Biocontrol, Guangzhou 510275, Guangdong, Peoples R China.</t>
  </si>
  <si>
    <t>yangkai@mail.sysu.edu.cn</t>
  </si>
  <si>
    <t>10.1128/JVI.02103-09</t>
  </si>
  <si>
    <t>WOS:000279989800003</t>
  </si>
  <si>
    <t>Zeelenberg, IS; van Maren, WWC; Boissonnas, A; Van Hout-Kuijer, MA; Den Brok, MHMGM; Wagenaars, JAL; van der Schaaf, A; Jansen, EJR; Amigorena, S; Thery, C; Figdor, CG; Adema, GJ</t>
  </si>
  <si>
    <t>Zeelenberg, Ingrid S.; van Maren, Wendy W. C.; Boissonnas, Alexandre; Van Hout-Kuijer, Maaike A.; Den Brok, Martijn H. M. G. M.; Wagenaars, Jori A. L.; van der Schaaf, Alie; Jansen, Eric J. R.; Amigorena, Sebastian; Thery, Clotilde; Figdor, Carl G.; Adema, Gosse J.</t>
  </si>
  <si>
    <t>Antigen Localization Controls T Cell-Mediated Tumor Immunity</t>
  </si>
  <si>
    <t>DENDRITIC CELLS; IN-VIVO; RADIOFREQUENCY ABLATION; ANTITUMOR IMMUNITY; DNA VACCINATION; RESPONSES; EXOSOMES; CD4(+); CANCER; IMMUNOTHERAPY</t>
  </si>
  <si>
    <t>Effective antitumor immunotherapy requires the identification of suitable target Ags. Interestingly, many of the tumor Ags used in clinical trials are present in preparations of secreted tumor vesicles (exosomes). In this study, we compared T cell responses elicited by murine MCA101 fibrosarcoma tumors expressing a model Ag at different localizations within the tumor cell in association with secreted vesicles (exosomes), as a nonsecreted cell-associated protein, or as secreted soluble protein. Remarkably, we demonstrated that only the tumor-secreting vesicle-bound Ag elicited a strong Ag-specific CD8(+) T cell response, CD4(+) T cell help, Ag-specific Abs, and a decrease in the percentage of immunosuppressive regulatory T cells in the tumor. Moreover, in a therapeutic tumor model of cryoablation, only in tumors secreting vesicle-bound Ag could Ag-specific CD8(+) T cells still be detected up to 16 d after therapy. We concluded that the localization of an Ag within the tumor codetermines whether a robust immunostimulatory response is elicited. In vivo, vesicle-bound Ag clearly skews toward a more immunogenic phenotype, whereas soluble or cell-associated Ag expression cannot prevent or even delay outgrowth and results in tumor tolerance. This may explain why particular immunotherapies based on these vesicle-bound tumor Ags are potentially successful. Therefore, we conclude that this study may have significant implications in the discovery of new tumor Ags suitable for immunotherapy and that their location should be taken into account to ensure a strong antitumor immune response. The Journal of Immunology, 2011, 187: 1281-1288.</t>
  </si>
  <si>
    <t>[Zeelenberg, Ingrid S.; van Maren, Wendy W. C.; Van Hout-Kuijer, Maaike A.; Den Brok, Martijn H. M. G. M.; Wagenaars, Jori A. L.; van der Schaaf, Alie; Figdor, Carl G.; Adema, Gosse J.] Radboud Univ Nijmegen, Med Ctr, Dept Tumor Immunol, Nijmegen Ctr Mol Life Sci, NL-6525 GA Nijmegen, Netherlands; [Boissonnas, Alexandre] Univ Paris 06, INSERM Lab UMR S 945, Fac Med Pitie Salpetriere, F-75013 Paris, France; [Jansen, Eric J. R.] Radboud Univ Nijmegen, Dept Mol Anim Physiol, Donders Inst Brain Cognit &amp; Behav, Nijmegen Ctr Mol Life Sci, NL-6525 GA Nijmegen, Netherlands; [Amigorena, Sebastian; Thery, Clotilde] Inst Curie, INSERM, U932, F-75005 Paris, France</t>
  </si>
  <si>
    <t>Radboud University Nijmegen; Assistance Publique Hopitaux Paris (APHP); Hopital Universitaire Pitie-Salpetriere - APHP; Institut National de la Sante et de la Recherche Medicale (Inserm); UDICE-French Research Universities; Sorbonne Universite; Radboud University Nijmegen; UDICE-French Research Universities; PSL Research University Paris; UNICANCER; Institut Curie; Institut National de la Sante et de la Recherche Medicale (Inserm); Universite de Paris</t>
  </si>
  <si>
    <t>Adema, GJ (corresponding author), Radboud Univ Nijmegen, Med Ctr, Dept Tumor Immunol, Nijmegen Ctr Mol Life Sci, Geert Grootepl 26-28, NL-6525 GA Nijmegen, Netherlands.</t>
  </si>
  <si>
    <t>I.Zeelenberg@ncmls.ru.nl; g.adema@ncmls.ru.nl</t>
  </si>
  <si>
    <t>thery, clotilde/F-6373-2013; Boissonnas, Alexandre/A-2801-2016; Figdor, Carl G/A-4232-2010; Brok, Martijn H den/O-1054-2013; Adema, G.J./H-8007-2014</t>
  </si>
  <si>
    <t>thery, clotilde/0000-0001-8294-6884; Boissonnas, Alexandre/0000-0002-7770-7210; Figdor, Carl G/0000-0002-2366-9212; Amigorena, Sebastian/0000-0001-8583-8416; den Brok, Martijn/0000-0002-2368-0411</t>
  </si>
  <si>
    <t>10.4049/jimmunol.1003905</t>
  </si>
  <si>
    <t>WOS:000292874200028</t>
  </si>
  <si>
    <t>Cascade Toehold-Mediated Strand Displacement Reaction for Ultrasensitive Detection of Exosomal MicroRNA</t>
  </si>
  <si>
    <t>miRNA; exosome; strand displacement; square wave voltammetry; electrochemical amplification</t>
  </si>
  <si>
    <t>ELECTROCHEMICAL DETECTION; MIRNAS; RNA</t>
  </si>
  <si>
    <t>MicroRNA (miRNA) in exosomes is a powerful molecular signature for early diagnosis of cancers with the merits of high specificity and high stability. Herein, we report an ultrasensitive electrochemical assay to measure miRNA using a cascade toehold-mediated strand displacement reaction (SDR). In SDR, the trapped exosomal miRNA releases a large amount of single-stranded DNA in the solution. The product then triggers the downstream SDR at the electrode surface. Furthermore, reductant-assisted electrochemical amplification is introduced to adjust the recorded signal intensity. Under optimal conditions, ultrahigh sensitivity is achieved with excellent signal amplification efficiency. The proposed method also performs well in biological samples and successfully distinguishes patient samples from healthy controls in practical use. Therefore, this work provides a promising approach for exosomal miRNA analysis, which has great potential utility in cancer diagnostics. [GRAPHICS] .</t>
  </si>
  <si>
    <t>[Miao, Peng; Tang, Yuguo] Chinese Acad Sci, Suzhou Inst Biomed Engn &amp; Technol, Suzhou 215163, Jiangsu, Peoples R China; [Miao, Peng] NYU, Dept Chem, New York, NY 10003 USA</t>
  </si>
  <si>
    <t>Miao, P (corresponding author), Chinese Acad Sci, Suzhou Inst Biomed Engn &amp; Technol, Suzhou 215163, Jiangsu, Peoples R China.;Miao, P (corresponding author), NYU, Dept Chem, New York, NY 10003 USA.</t>
  </si>
  <si>
    <t>10.31635/ccschem.020.202000458</t>
  </si>
  <si>
    <t>WOS:000794212600025</t>
  </si>
  <si>
    <t>Hao, NJ; Liu, PZ; Bachman, H; Pei, ZC; Zhang, PR; Rufo, J; Wang, ZY; Zhao, SG; Huang, TJ</t>
  </si>
  <si>
    <t>Hao, Nanjing; Liu, Pengzhan; Bachman, Hunter; Pei, Zhichao; Zhang, Peiran; Rufo, Joseph; Wang, Zeyu; Zhao, Shuaiguo; Huang, Tony Jun</t>
  </si>
  <si>
    <t>Acoustofluidics-Assisted Engineering of Multifunctional Three-Dimensional Zinc Oxide Nanoarrays</t>
  </si>
  <si>
    <t>acoustics; acoustofluidics; ZnO nanoarray; microfluidics; SERS sensing</t>
  </si>
  <si>
    <t>ENHANCED RAMAN-SPECTROSCOPY; MICROFLUIDIC SYNTHESIS; BACTERIA; SERS; NANOPARTICLES; FABRICATION; TECHNOLOGY; EFFICIENT; PROTEINS; EXOSOMES</t>
  </si>
  <si>
    <t>The integration of acoustics and microfluidics (termed acoustofluidics) presents a frontier in the engineering of functional micro-/nanomaterials. Acoustofluidic techniques enable active and precise spatiotemporal control of matter, providing great potential for the design of advanced nanosystems with tunable material properties. In this work, we introduce an acoustofluidic approach for engineering multifunctional three-dimensional nanostructure arrays and demonstrate their potential in enrichment and biosensing applications. In particular, our acoustofluidic device integrates an acoustic transducer with a sharp-edge-based acoustofluidic reactor that enables uniform patterning of zinc oxide (ZnO) nanoarrays with customizable lengths, densities, diameters, and other properties. The resulting ZnO nanoarray-coated glass capillaries can rapidly and efficiently capture and enrich biomolecules with sizes ranging from a few nanometers to several hundred nanometers. In order to enable the detection of these biomolecules, silver (Ag) nanoparticles are deposited onto the ZnO nanoarrays, and the integrated ZnO-Ag capillary device functions as a label-free plasmonic biosensing system for surface-enhanced Raman spectroscopy (SERS) based detection of exosomes, DNA oligonucleotides, and E. coli bacteria. The optical sensing enhancement of ZnO-Ag capillary is further validated through finite-difference time-domain (FDTD) simulations. These findings not only provide insights into the engineering of functional micro/nanomaterials using acoustofluidics but also shed light onto the development of portable microanalytical devices for point-of-care applications.</t>
  </si>
  <si>
    <t>[Hao, Nanjing; Liu, Pengzhan; Bachman, Hunter; Pei, Zhichao; Zhang, Peiran; Rufo, Joseph; Wang, Zeyu; Zhao, Shuaiguo; Huang, Tony Jun] Duke Univ, Dept Mech Engn &amp; Mat Sci, Durham, NC 27708 USA</t>
  </si>
  <si>
    <t>Huang, TJ (corresponding author), Duke Univ, Dept Mech Engn &amp; Mat Sci, Durham, NC 27708 USA.</t>
  </si>
  <si>
    <t>tony.huang@duke.edu</t>
  </si>
  <si>
    <t>Hao, Nanjing/AAB-4097-2019; Zhang, Peiran/AAU-3950-2020; Pei, Zhichao/AAR-8369-2020; Huang, Tony Jun/A-1546-2009; Liu, Pengzhan/E-7340-2017</t>
  </si>
  <si>
    <t>Hao, Nanjing/0000-0003-3808-7941; Zhang, Peiran/0000-0002-3873-9949; Pei, Zhichao/0000-0002-0116-8417; Huang, Tony Jun/0000-0003-1205-3313; Liu, Pengzhan/0000-0003-4238-4703</t>
  </si>
  <si>
    <t>10.1021/acsnano.0c02145</t>
  </si>
  <si>
    <t>WOS:000537682300098</t>
  </si>
  <si>
    <t>Sun, YC; Wang, JZ; Ma, Y; Li, J; Sun, XZ; Zhao, X; Shi, XB; Hu, YF; Qu, FY; Zhang, XZ</t>
  </si>
  <si>
    <t>Sun, Yuchen; Wang, Jizhao; Ma, Yuan; Li, Jing; Sun, Xuanzi; Zhao, Xu; Shi, Xiaobo; Hu, Yunfeng; Qu, Fengyi; Zhang, Xiaozhi</t>
  </si>
  <si>
    <t>Radiation induces NORAD expression to promote ESCC radiotherapy resistance via EEPD1/ATR/Chk1 signalling and by inhibiting pri-miR-199a1 processing and the exosomal transfer of miR-199a-5p</t>
  </si>
  <si>
    <t>Esophageal squamous cell carcinoma; Radioresistance; NORAD; Pri-miR-199a1; EEPD1</t>
  </si>
  <si>
    <t>SQUAMOUS-CELL CARCINOMA; NONCODING RNA; DNA-DAMAGE; ATM; STABILITY; STRESS; REPAIR; EEPD1</t>
  </si>
  <si>
    <t>Background Radioresistance, a poorly understood phenomenon, results in the failure of radiotherapy and subsequent local recurrence, threatening a large proportion of patients with ESCC. To date, lncRNAs have been reported to be involved in diverse biological processes, including radioresistance. Methods FISH and qRT-PCR were adopted to examine the expression and localization of lncRNA-NORAD, pri-miR-199a1 and miR-199a-5p. Electron microscopy and nanoparticle tracking analysis (NTA) were conducted to observe and identify exosomes. High-throughput microRNAs sequencing and TMT mass spectrometry were performed to identify the functional miRNA and proteins. A series of in vitro and in vivo experiments were performed to investigate the biological effect of NORAD. ChIP, RIP-qPCR, co-IP and dual-luciferase reporter assays were conducted to explore the interaction of related RNAs and proteins. Results We show here that DNA damage activates the noncoding RNA NORAD, which is critical for ESCC radioresistance. NORAD was expressed at high levels in radioresistant ESCC cells. Radiation treatment promotes NORAD expression by enhancing H3K4me2 enrichment in its sequence. NORAD knockdown cells exhibit significant hypersensitivity to radiation in vivo and in vitro. NORAD is required to initiate the repair and restart of stalled forks, G2 cycle arrest and homologous recombination repair upon radiation treatment. Mechanistically, NORAD inhibits miR-199a-5p expression by competitively binding PUM1 from pri-miR-199a1, inhibiting the processing of pri-miR-199a1. Mature miR-199a-5p in NORAD knockdown cells is packaged into exosomes; miR-199a-5p restores the radiosensitivity of radioresistant cells by targeting EEPD1 and then inhibiting the ATR/Chk1 signalling pathway. Simultaneously, NORAD knockdown inhibits the ubiquitination of PD-L1, leading to a better response to radiation and anti-PD-1 treatment in a mouse model. Conclusions Based on the findings of this study, lncRNA-NORAD represents a potential treatment target for improving the efficiency of immunotherapy in combination with radiation in ESCC.</t>
  </si>
  <si>
    <t>[Sun, Yuchen; Ma, Yuan; Li, Jing; Sun, Xuanzi; Zhao, Xu; Qu, Fengyi; Zhang, Xiaozhi] Xi An Jiao Tong Univ, Dept Radiat Oncol, Affiliated Hosp 1, 277 West Yanta Rd, Xian 710061, Shaanxi, Peoples R China; [Wang, Jizhao] Xi An Jiao Tong Univ, Dept Thorac Surg, Affiliated Hosp 1, 277 West Yanta Rd, Xian 710061, Shaanxi, Peoples R China; [Shi, Xiaobo] Xi An Jiao Tong Univ, Dept Radiat Oncol, Affiliated Hosp 2, 157 XiWu Rd, Xian 710004, Shaanxi, Peoples R China; [Hu, Yunfeng] Yanan Univ, Dept Radiat Oncol, Affiliated Hosp, 157 Beida Rd, Yanan 716099, Shannxi, Peoples R China</t>
  </si>
  <si>
    <t>Xi'an Jiaotong University; Xi'an Jiaotong University; Xi'an Jiaotong University; Yanan University</t>
  </si>
  <si>
    <t>Zhang, XZ (corresponding author), Xi An Jiao Tong Univ, Dept Radiat Oncol, Affiliated Hosp 1, 277 West Yanta Rd, Xian 710061, Shaanxi, Peoples R China.</t>
  </si>
  <si>
    <t>Zhangxiaozhi@xjtu.edu.cn</t>
  </si>
  <si>
    <t>10.1186/s13046-021-02084-5</t>
  </si>
  <si>
    <t>WOS:000701794900001</t>
  </si>
  <si>
    <t>Trigg, NA; Skerrett-Byrne, DA; Xavier, MJ; Zhou, W; Anderson, AL; Stanger, SJ; Katen, AL; De Iuliis, GN; Dun, MD; Roman, SD; Eamens, AL; Nixon, B</t>
  </si>
  <si>
    <t>Trigg, Natalie A.; Skerrett-Byrne, David A.; Xavier, Miguel J.; Zhou, Wei; Anderson, Amanda L.; Stanger, Simone J.; Katen, Aimee L.; De Iuliis, Geoffry N.; Dun, Matthew D.; Roman, Shaun D.; Eamens, Andrew L.; Nixon, Brett</t>
  </si>
  <si>
    <t>Acrylamide modulates the mouse epididymal proteome to drive alterations in the sperm small non-coding RNA profile and dysregulate embryo development</t>
  </si>
  <si>
    <t>DIFFERENTIAL EXPRESSION ANALYSIS; GENE-EXPRESSION; DNA-DAMAGE; SPERMATOZOA; MICE; INHERITANCE; MICRORNAS; EXPOSURE; BIOLOGY; CELLS</t>
  </si>
  <si>
    <t>Paternal exposure to environmental stressors elicits distinct changes to the sperm sncRNA profile, modifications that have significant post-fertilization consequences. Despite this knowledge, there remains limited mechanistic understanding of how paternal exposures modify the spermsncRNA landscape. Here, we report the acute sensitivity of the sperm sncRNA profile to the reproductive toxicant acrylamide. Furthermore, we trace the differential accumulation of acrylamide-responsive sncRNAs to coincide with sperm transit of the proximal (caput) segment of the epididymis, wherein acrylamide exposure alters the abundance of several transcription factors implicated in the expression of acrylamide-sensitive sncRNAs. We also identify extracellular vesicles secreted from the caput epithelium in relaying altered sncRNA profiles to maturing spermatozoa and dysregulated gene expression during early embryonic development following fertilization by acrylamide-exposed spermatozoa. These data provide mechanistic links to account for how environmental insults can alter the sperm epigenome and compromise the transcriptomic profile of early embryos.</t>
  </si>
  <si>
    <t>[Trigg, Natalie A.; Skerrett-Byrne, David A.; Xavier, Miguel J.; Zhou, Wei; Anderson, Amanda L.; Stanger, Simone J.; Katen, Aimee L.; De Iuliis, Geoffry N.; Roman, Shaun D.; Eamens, Andrew L.; Nixon, Brett] Univ Newcastle, Prior Res Ctr Reprod Sci, Sch Environm &amp; Life Sci, Callaghan, NSW 2308, Australia; [Trigg, Natalie A.; Skerrett-Byrne, David A.; Xavier, Miguel J.; Zhou, Wei; Anderson, Amanda L.; Stanger, Simone J.; Katen, Aimee L.; De Iuliis, Geoffry N.; Roman, Shaun D.; Eamens, Andrew L.; Nixon, Brett] Hunter Med Res Inst, New Lambton Hts, NSW 2305, Australia; [Katen, Aimee L.; Roman, Shaun D.] Univ Newcastle, Prior Res Ctr Drug Dev, Sch Environm &amp; Life Sci, Callaghan, NSW 2308, Australia; [Zhou, Wei] Univ Melbourne, Dept Obstet &amp; Gynaecol, Parkville, Vic 3052, Australia; [Zhou, Wei] Royal Womens Hosp, Gynaecol Res Ctr, Parkville, Vic 3052, Australia; [Dun, Matthew D.] Univ Newcastle, Fac Hlth &amp; Med, Sch Biomed Sci &amp; Pharm, Canc Signalling Res Grp, Callaghan, NSW 2308, Australia; [Dun, Matthew D.] Hunter Med Res Inst, Prior Res Ctr Canc Res Innovat &amp; Translat, Lambton, NSW 2305, Australia</t>
  </si>
  <si>
    <t>University of Newcastle; Hunter Medical Research Institute; University of Newcastle; University of Newcastle; University of Melbourne; University of Newcastle; Hunter Medical Research Institute</t>
  </si>
  <si>
    <t>Nixon, B (corresponding author), Univ Newcastle, Prior Res Ctr Reprod Sci, Sch Environm &amp; Life Sci, Callaghan, NSW 2308, Australia.;Nixon, B (corresponding author), Hunter Med Res Inst, New Lambton Hts, NSW 2305, Australia.</t>
  </si>
  <si>
    <t>brett.nixon@newcastle.edu.au</t>
  </si>
  <si>
    <t>De Iuliis, Geoffry N./G-7042-2013; Skerrett-Byrne, David/ABB-8700-2021; Xavier, Miguel/AAD-4576-2022; Roman, Shaun/AFR-5087-2022; ROMAN, SHAUN/G-7047-2013</t>
  </si>
  <si>
    <t>De Iuliis, Geoffry N./0000-0002-6978-6123; Skerrett-Byrne, David/0000-0002-1804-1826; Xavier, Miguel/0000-0003-0709-7223; ROMAN, SHAUN/0000-0002-7758-7757; Dun, Matthew/0000-0002-9063-5370</t>
  </si>
  <si>
    <t>10.1016/j.celrep.2021.109787</t>
  </si>
  <si>
    <t>WOS:000704665900017</t>
  </si>
  <si>
    <t>Chen, L; Karisma, VW; Liu, HW; Zhong, L</t>
  </si>
  <si>
    <t>Chen, Long; Karisma, Vega Windy; Liu, Huawen; Zhong, Li</t>
  </si>
  <si>
    <t>MicroRNA-300: A Transcellular Mediator in Exosome Regulates Melanoma Progression</t>
  </si>
  <si>
    <t>UV; Gadd45b; miR-300; exosome; melanoma</t>
  </si>
  <si>
    <t>INDUCED OXIDATIVE STRESS; INDUCED DNA-DAMAGE; SKIN; RADIATION; GENE; UVB; BIOINFORMATICS; APOPTOSIS; VESICLES; PATHWAYS</t>
  </si>
  <si>
    <t>Melanoma is a common and high-mortality skin cancer. Oxidative stress and DNA damage caused by ultraviolet light (UV) are major causative factors of melanoma formation. However, the specific molecular mechanism is still unclear. In this study, 218 dysregulated genes and 104 dysregulated miRNAs in response to UV were screened by analyzing sequencing datasets. Among them, 29 up-regulated miRNAs and 28 down-regulated miRNAs were involved in the melanoma pathway. As the only differential gene in the melanoma pathway, GADD45B severely affects the prognosis of melanoma patients. MiR-300 is the only differentially expressed miRNA that regulates GADD45B. In addition, compared to normal melanocytes, miR-300 was significantly down-regulated in melanoma cells (log FC = -1.63) and exosomes (log FC = -1.34). Among the transcription factors predicted to regulate miR-300, MYC, PPARG, and ZIC2 were significantly up-regulated in melanoma cells, and TP53, JUN, JUNB, FOS, and FOSB interacted with GADD45B. We attempted to reveal the pathogenesis of melanoma and screen new biomarkers by constructing a TF-mRNA-miRNA axis in turn to provide a view for further research.</t>
  </si>
  <si>
    <t>[Chen, Long; Karisma, Vega Windy; Zhong, Li] Chongqing Univ, Bioengn Inst, Chongqing, Peoples R China; [Liu, Huawen] Three Gorges Cent Hosp, Chongqing, Peoples R China</t>
  </si>
  <si>
    <t>Chongqing University</t>
  </si>
  <si>
    <t>Zhong, L (corresponding author), Chongqing Univ, Bioengn Inst, Chongqing, Peoples R China.;Liu, HW (corresponding author), Three Gorges Cent Hosp, Chongqing, Peoples R China.</t>
  </si>
  <si>
    <t>liuhw008@163.com; jlzhong@cqu.edu.cn</t>
  </si>
  <si>
    <t>10.3389/fonc.2019.01005</t>
  </si>
  <si>
    <t>WOS:000497829900001</t>
  </si>
  <si>
    <t>Bao, FX; Zhou, LY; Zhou, R; Huang, QY; Chen, JG; Zeng, S; Wu, Y; Yang, L; Qian, SF; Wang, MF; He, XY; Liang, S; Qi, JT; Xiang, G; Long, Q; Guo, JY; Ying, ZF; Zhou, YS; Zhao, QG; Zhang, JW; Zhang, D; Sun, W; Gao, M; Wu, H; Zhao, YF; Nie, JF; Li, M; Chen, Q; Chen, JK; Zhang, X; Pan, GJ; Zhang, H; Li, MT; Tian, M; Liu, XG</t>
  </si>
  <si>
    <t>Bao, Feixiang; Zhou, Lingyan; Zhou, Rui; Huang, Qiaoying; Chen, Junguo; Zeng, Sheng; Wu, Yi; Yang, Liang; Qian, Shufang; Wang, Mengfei; He, Xueying; Liang, Shan; Qi, Juntao; Xiang, Ge; Long, Qi; Guo, Jingyi; Ying, Zhongfu; Zhou, Yanshuang; Zhao, Qiuge; Zhang, Jiwei; Zhang, Di; Sun, Wei; Gao, Mi; Wu, Hao; Zhao, Yifan; Nie, Jinfu; Li, Min; Chen, Quan; Chen, Jiekai; Zhang, Xiao; Pan, Guangjin; Zhang, Hong; Li, Mingtao; Tian, Mei; Liu, Xingguo</t>
  </si>
  <si>
    <t>Mitolysosome exocytosis, a mitophagy-independent mitochondrial quality control in flunarizine-induced parkinsonism-like symptoms</t>
  </si>
  <si>
    <t>CINNARIZINE; DYSFUNCTION; PINK1; DNA; ACTIVATION; EXTRUSION; MECHANISM; UBIQUITIN; REQUIRES; PATHWAY</t>
  </si>
  <si>
    <t>Mitochondrial quality control plays an important role in maintaining mitochondrial homeostasis and function. Disruption of mitochondrial quality control degrades brain function. We found that flunarizine (FNZ), a drug whose chronic use causes parkinsonism, led to a parkinsonism-like motor dysfunction in mice. FNZ induced mitochondrial dysfunction and decreased mitochondrial mass specifically in the brain. FNZ decreased mitochondrial content in both neurons and astrocytes, without affecting the number of nigral dopaminergic neurons. In human neural progenitor cells, FNZ also induced mitochondrial depletion. Mechanistically, independent of ATG5- or RAB9-mediated mitophagy, mitochondria were engulfed by lysosomes, followed by a vesicle-associated membrane protein 2- and syntaxin-4-dependent extracellular secretion. A genome-wide CRISPR knockout screen identified genes required for FNZ-induced mitochondrial elimination. These results reveal not only a previously unidentified lysosome-associated exocytosis process of mitochondria! quality control that may participate in the FNZ-induced parkinsonism but also a drug-based method for generating mitochondria-depleted mammal cells.</t>
  </si>
  <si>
    <t>[Bao, Feixiang; Zhou, Lingyan; Zeng, Sheng; Wu, Yi; Yang, Liang; Wang, Mengfei; He, Xueying; Liang, Shan; Qi, Juntao; Xiang, Ge; Long, Qi; Guo, Jingyi; Ying, Zhongfu; Zhou, Yanshuang; Zhang, Di; Sun, Wei; Gao, Mi; Wu, Hao; Zhao, Yifan; Nie, Jinfu; Chen, Jiekai; Zhang, Xiao; Pan, Guangjin; Liu, Xingguo] Guangzhou Med Univ, Chinese Acad Sci, Joint Sch Life Sci, Guangzhou Inst Biomed &amp; Hlth, Guangzhou, Peoples R China; [Bao, Feixiang; Zhou, Lingyan; Zeng, Sheng; Wu, Yi; Yang, Liang; Wang, Mengfei; He, Xueying; Liang, Shan; Qi, Juntao; Xiang, Ge; Long, Qi; Guo, Jingyi; Ying, Zhongfu; Zhou, Yanshuang; Zhang, Di; Sun, Wei; Gao, Mi; Wu, Hao; Zhao, Yifan; Nie, Jinfu; Chen, Jiekai; Zhang, Xiao; Pan, Guangjin; Liu, Xingguo] Univ Chinese Acad Sci, Chinese Acad Sci, Inst Stem Cell &amp; Regenerat,CUHK GIBH Joint Res La, Guangzhou Inst Biomed &amp; Hlth,Bioland Lab,China Ne, Guangzhou, Peoples R China; [Zhou, Rui; Qian, Shufang; Zhang, Hong; Tian, Mei] Zhejiang Univ, Sch Med, Affiliated Hosp 2, Dept Nucl Med, Hangzhou, Peoples R China; [Zhou, Rui; Qian, Shufang; Zhang, Hong; Tian, Mei] Zhejiang Univ, Sch Med, Affiliated Hosp 2, PET Ctr, Hangzhou, Peoples R China; [Huang, Qiaoying; Chen, Junguo; Li, Mingtao] Sun Yat Sen Univ, Zhongshan Sch Med, Dept Pharmacol, Guangdong Prov Key Lab Brain Funct &amp; Dis, Guangzhou, Peoples R China; [Xiang, Ge; Ying, Zhongfu] Guangzhou Med Univ, Affiliated Hosp 3, Ctr Reprod Med, GMU GIBH Joint Sch Life Sci, Guangzhou, Peoples R China; [Zhao, Qiuge] Guangzhou Med Univ, Affiliated Hosp 1, Guangzhou, Peoples R China; [Zhang, Jiwei] Zhengzhou Univ, Affiliated Hosp 1, Dept Neurol, Zhengzhou, Peoples R China; [Li, Min] Sun Yat Sen Univ, Sch Pharmaceut Sci, Guangzhou, Peoples R China; [Chen, Quan] Nankai Univ, Coll Life Sci, Tianjin, Peoples R China; [Liu, Xingguo] Chinese Acad Sci, Ctr Regenerat Med &amp; Hlth, Hong Kong Inst Sci &amp; Innovat, Hong Kong, Peoples R China</t>
  </si>
  <si>
    <t>Chinese Academy of Sciences; Guangzhou Institute of Biomedicine &amp; Health, CAS; Guangzhou Medical University; Chinese Academy of Sciences; Guangzhou Institute of Biomedicine &amp; Health, CAS; University of Chinese Academy of Sciences, CAS; Zhejiang University; Zhejiang University; Sun Yat Sen University; Guangzhou Medical University; Guangzhou Medical University; Zhengzhou University; Sun Yat Sen University; Nankai University; Chinese Academy of Sciences</t>
  </si>
  <si>
    <t>Liu, XG (corresponding author), Guangzhou Med Univ, Chinese Acad Sci, Joint Sch Life Sci, Guangzhou Inst Biomed &amp; Hlth, Guangzhou, Peoples R China.;Liu, XG (corresponding author), Univ Chinese Acad Sci, Chinese Acad Sci, Inst Stem Cell &amp; Regenerat,CUHK GIBH Joint Res La, Guangzhou Inst Biomed &amp; Hlth,Bioland Lab,China Ne, Guangzhou, Peoples R China.;Tian, M (corresponding author), Zhejiang Univ, Sch Med, Affiliated Hosp 2, Dept Nucl Med, Hangzhou, Peoples R China.;Tian, M (corresponding author), Zhejiang Univ, Sch Med, Affiliated Hosp 2, PET Ctr, Hangzhou, Peoples R China.;Liu, XG (corresponding author), Chinese Acad Sci, Ctr Regenerat Med &amp; Hlth, Hong Kong Inst Sci &amp; Innovat, Hong Kong, Peoples R China.</t>
  </si>
  <si>
    <t>meitian@zju.edu.cn; liu_xingguo@gibh.ac.cn</t>
  </si>
  <si>
    <t>Wu, Yi/B-1448-2018</t>
  </si>
  <si>
    <t>Wu, Yi/0000-0001-7247-7404</t>
  </si>
  <si>
    <t>eabk2376</t>
  </si>
  <si>
    <t>10.1126/sciadv.abk2376</t>
  </si>
  <si>
    <t>WOS:000786201300013</t>
  </si>
  <si>
    <t>Song, M; Wang, Y; Shang, ZF; Liu, XD; Xie, DF; Wang, Q; Guan, H; Zhou, PK</t>
  </si>
  <si>
    <t>Song, Man; Wang, Yu; Shang, Zeng-Fu; Liu, Xiao-Dan; Xie, Da-Fei; Wang, Qi; Guan, Hua; Zhou, Ping-Kun</t>
  </si>
  <si>
    <t>Bystander autophagy mediated by radiation-induced exosomal miR-7-5p in non-targeted human bronchial epithelial cells</t>
  </si>
  <si>
    <t>DOUBLE-STRAND BREAKS; DNA-DAMAGE RESPONSE; HUMAN FIBROBLASTS; ALPHA-PARTICLES; CANCER CELLS; INTERCELLULAR COMMUNICATION; GENOMIC INSTABILITY; IONIZING-RADIATION; MICRORNA TRANSFER; DOSE-RESPONSE</t>
  </si>
  <si>
    <t>Radiation-induced bystander effect (RIBE) describes a set of biological effects in non-targeted cells that receive bystander signals from the irradiated cells. RIBE brings potential hazards to adjacent normal tissues in radiotherapy, and imparts a higher risk than previously thought. Excessive release of some substances from irradiated cells into extracellular microenvironment has a deleterious effect. For example, cytokines and reactive oxygen species have been confirmed to be involved in RIBE process via extracellular medium or gap junctions. However, RIBE-mediating signals and intercellular communication pathways are incompletely characterized. Here, we first identified a set of differentially expressed miRNAs in the exosomes collected from 2 Gy irradiated human bronchial epithelial BEP2D cells, from which miR-7-5p was found to induce autophagy in recipient cells. This exosome-mediated autophagy was significantly attenuated by miR-7-5p inhibitor. Moreover, our data demonstrated that autophagy induced by exosomal miR-7-5p was associated with EGFR/Akt/mTOR signaling pathway. Together, our results support the involvement of secretive exosomes in propagation of RIBE signals to bystander cells. The exosomes-containing miR-7-5p is a crucial mediator of bystander autophagy.</t>
  </si>
  <si>
    <t>[Song, Man; Shang, Zeng-Fu; Zhou, Ping-Kun] Soochow Univ, Coll Med, Sch Radiat Med &amp; Protect, Ctr Radiat Med,Jiangsu Higher Educ Inst, Suzhou 215123, Jiangsu, Peoples R China; [Song, Man; Wang, Yu; Liu, Xiao-Dan; Xie, Da-Fei; Wang, Qi; Guan, Hua; Zhou, Ping-Kun] Beijing Inst Radiat Med, Beijing Key Lab Radiobiol, Dept Radiat Toxicol &amp; Oncol, Beijing 100850, Peoples R China</t>
  </si>
  <si>
    <t>Soochow University - China; Academy of Military Medical Sciences - China</t>
  </si>
  <si>
    <t>Zhou, PK (corresponding author), Soochow Univ, Coll Med, Sch Radiat Med &amp; Protect, Ctr Radiat Med,Jiangsu Higher Educ Inst, Suzhou 215123, Jiangsu, Peoples R China.;Guan, H; Zhou, PK (corresponding author), Beijing Inst Radiat Med, Beijing Key Lab Radiobiol, Dept Radiat Toxicol &amp; Oncol, Beijing 100850, Peoples R China.</t>
  </si>
  <si>
    <t>ghlsh@163.com; zhoupk@bmi.ac.cn</t>
  </si>
  <si>
    <t>Zhou, Ping-Kun/0000-0001-7666-1209; Shang, Zeng-Fu/0000-0002-2396-1416</t>
  </si>
  <si>
    <t>10.1038/srep30165</t>
  </si>
  <si>
    <t>WOS:000379733000001</t>
  </si>
  <si>
    <t>Richards, KE; Go, DB; Hill, R</t>
  </si>
  <si>
    <t>Dalmay, T</t>
  </si>
  <si>
    <t>Richards, Katherine E.; Go, David B.; Hill, Reginald</t>
  </si>
  <si>
    <t>Surface Acoustic Wave Lysis and Ion-Exchange Membrane Quantification of Exosomal MicroRNA</t>
  </si>
  <si>
    <t>MICRORNA DETECTION AND TARGET IDENTIFICATION: METHODS AND PROTOCOLS</t>
  </si>
  <si>
    <t>MicroRNA; RNA; Detection; Quantification; Exosomes; SAW; Microfluidics; Ion-exchange; Membrane; Biosensor</t>
  </si>
  <si>
    <t>MicroRNA detection and quantification are commonly explored techniques for diagnostic and prognostic predictions. Typically, microRNAs are extracted and purified from a biological source, converted into complementary DNA (cDNA), and amplified using real time polymerase chain reaction (RT-PCR). The number of RT-PCR cycles required to reach the threshold of detection provides a relative quantification of the target microRNA when this data is normalized to the quantity of a control microRNA. This methodology has several drawbacks, including the need to artificially amplify the target microRNA for detection as well as quantification errors that can occur due to expression level differences of the control microRNAs for normalization in various sample sources. Here, we provide a technique to quantify actual concentrations of target microRNAs directly from any biological source without the requirement of these additional steps. In addition, we describe an alternative approach for obtaining exosomal microRNAs directly from biological samples without the use of harsh detergents and RNA isolation.</t>
  </si>
  <si>
    <t>[Richards, Katherine E.; Hill, Reginald] Univ Notre Dame, Dept Biol Sci, Harper Canc Res Inst, South Bend, IN 46556 USA; [Go, David B.] Univ Notre Dame, Dept Aerosp &amp; Mech Engn, South Bend, IN USA; [Go, David B.] Univ Notre Dame, Dept Chem &amp; Biomol Engn, South Bend, IN USA</t>
  </si>
  <si>
    <t>University of Notre Dame; University of Notre Dame; University of Notre Dame</t>
  </si>
  <si>
    <t>Richards, KE (corresponding author), Univ Notre Dame, Dept Biol Sci, Harper Canc Res Inst, South Bend, IN 46556 USA.</t>
  </si>
  <si>
    <t>Go, David/0000-0001-8948-1442</t>
  </si>
  <si>
    <t>978-1-4939-6866-4; 978-1-4939-6864-0</t>
  </si>
  <si>
    <t>10.1007/978-1-4939-6866-4_5</t>
  </si>
  <si>
    <t>10.1007/978-1-4939-6866-4</t>
  </si>
  <si>
    <t>WOS:000417639700006</t>
  </si>
  <si>
    <t>Pisetsky, DS; Spencer, DM; Mobarrez, F; Fuzzi, E; Gunnarsson, I; Svenungsson, E</t>
  </si>
  <si>
    <t>Pisetsky, David S.; Spencer, Diane M.; Mobarrez, Fariborz; Fuzzi, Enrico; Gunnarsson, Iva; Svenungsson, Elisabet</t>
  </si>
  <si>
    <t>The binding of SLE autoantibodies to mitochondria</t>
  </si>
  <si>
    <t>Systemic lupus erythematosus; Mitochondria; Microparticles; Immune complexes; Anti-DNA; Anti-mitochondrial antibodies; Primary biliary cholangitis; ELISA</t>
  </si>
  <si>
    <t>SYSTEMIC-LUPUS-ERYTHEMATOSUS; RAT-LIVER MITOCHONDRIA; DISEASE-ACTIVITY INDEX; ANTIMITOCHONDRIAL ANTIBODIES; EXTRACELLULAR VESICLES; IMMUNE-COMPLEXES; MICROPARTICLES; PROTEIN; ELIMINATION; CARDIOLIPIN</t>
  </si>
  <si>
    <t>Systemic lupus erythematosus (SLE) is a prototypic autoimmune disease characterized by immune complexes. Because these complexes contain mitochondrial components, we assessed the presence of antibodies to whole mitochondria (wMITO) using an ELISA in which mitochondria from mouse liver are bound to microtiter plates pre-coated with poly-L-lysine. Studies with this ELISA demonstrated that SLE plasmas contain abundant anti-wMITO activity. While digestion with DNase 1 did not affect anti-wMITO activity, adsorption of plasma on DNA affinity columns could reduce binding activity. Assay for anti-mitochondrial antibodies (AMA) by immunofluorescence and an ELISA with the M2 antigen (2-oxo-acid dehydrogenase protein complex) showed a low frequency of positivity, indicating that AMA and anti-wMITO are distinct specificities. In the study of 204 patients with SLE, the levels of anti-wMITO were higher in active SLE and correlated with levels of anti-DNA. These findings suggest that anti-wMITO can form immune complexes with mitochondria which may drive pathogenesis.</t>
  </si>
  <si>
    <t>[Pisetsky, David S.; Spencer, Diane M.] Duke Univ, Med Ctr, Div Rheumatol &amp; Immunol, Durham, NC 27705 USA; [Pisetsky, David S.] VA Med Ctr, Med Res Serv, Durham, NC USA; [Mobarrez, Fariborz; Fuzzi, Enrico; Gunnarsson, Iva; Svenungsson, Elisabet] Karolinska Univ Hosp, Karolinska Inst, Dept Med, Unit Rheumatol, Stockholm, Sweden; [Mobarrez, Fariborz] Uppsala Univ, Dept Med Sci, Uppsala, Sweden; [Fuzzi, Enrico] Univ Padua, Dept Med, Div Rheumatol, Padua, Italy</t>
  </si>
  <si>
    <t>Duke University; Karolinska Institutet; Karolinska University Hospital; Uppsala University; University of Padua</t>
  </si>
  <si>
    <t>Pisetsky, DS (corresponding author), Duke Univ, Med Ctr, Med &amp; Immunol, 151G Durham VAMC,508 Fulton St, Durham, NC 27705 USA.</t>
  </si>
  <si>
    <t>david.pisetsky@duke.edu</t>
  </si>
  <si>
    <t>10.1016/j.clim.2020.108349</t>
  </si>
  <si>
    <t>WOS:000520947700010</t>
  </si>
  <si>
    <t>Miyanishi, M; Tada, K; Koike, M; Uchiyama, Y; Kitamura, T; Nagata, S</t>
  </si>
  <si>
    <t>Miyanishi, Masanori; Tada, Kazutoshi; Koike, Masato; Uchiyama, Yasuo; Kitamura, Toshio; Nagata, Shigekazu</t>
  </si>
  <si>
    <t>Identification of Tim4 as a phosphatidylserine receptor</t>
  </si>
  <si>
    <t>APOPTOTIC CELLS; IMMUNOGLOBULIN-DOMAIN; DNA-DEGRADATION; GENE FAMILY; ANNEXIN-V; T-CELLS; B-CELLS; MACROPHAGES; EXPRESSION; CLEARANCE</t>
  </si>
  <si>
    <t>In programmed cell death, a large number of cells undergo apoptosis, and are engulfed by macrophages to avoid the release of noxious materials from the dying cells(1,2). In definitive erythropoiesis, nuclei are expelled from erythroid precursor cells and are engulfed by macrophages. Phosphatidylserine is exposed on the surface of apoptotic cells(3) and on the nuclei expelled from erythroid precursor cells(4); it works as an 'eat me' signal for phagocytes(5,6). Phosphatidylserine is also expressed on the surface of exosomes involved in intercellular signalling(7). Here we established a library of hamster monoclonal antibodies against mouse peritoneal macrophages, and found an antibody that strongly inhibited the phosphatidylserine-dependent engulfment of apoptotic cells. The antigen recognized by the antibody was identified by expression cloning as a type I transmembrane protein called Tim4 (T-cell immunoglobulin- and mucin-domain-containing molecule; also known as Timd4)(8). Tim4 was expressed in Mac1(+) cells in various mouse tissues, including spleen, lymph nodes and fetal liver. Tim4 bound apoptotic cells by recognizing phosphatidylserine via its immunoglobulin domain. The expression of Tim4 in fibroblasts enhanced their ability to engulf apoptotic cells. When the anti-Tim4 monoclonal antibody was administered into mice, the engulfment of apoptotic cells by thymic macrophages was significantly blocked, and the mice developed autoantibodies. Among the other Tim family members, Tim1, but neither Tim2 nor Tim3, specifically bound phosphatidylserine. Tim1- or Tim4-expressing Ba/F3 B cells were bound by exosomes via phosphatidylserine, and exosomes stimulated the interaction between Tim1 and Tim4. These results indicate that Tim4 and Tim1 are phosphatidylserine receptors for the engulfment of apoptotic cells, and may also be involved in intercellular signalling in which exosomes are involved.</t>
  </si>
  <si>
    <t>Kyoto Univ, Grad Sch Med, Dept Med Chem, Sakyo Ku, Kyoto 6068501, Japan; Osaka Univ, Sch Med, Dept Genet, Osaka 5650871, Japan; Osaka Univ, Sch Med, Dept Cell Biol &amp; Neurosci, Osaka 5650871, Japan; Univ Tokyo, Inst Med Sci, Div Cellular Therapy, Minato Ku, Tokyo 1088639, Japan; Japan Sci &amp; Technol Corp, Solut Oriented Res Sci &amp; Technol, Kyoto 6068501, Japan</t>
  </si>
  <si>
    <t>Kyoto University; Osaka University; Osaka University; University of Tokyo; Japan Science &amp; Technology Agency (JST)</t>
  </si>
  <si>
    <t>Nagata, S (corresponding author), Kyoto Univ, Grad Sch Med, Dept Med Chem, Sakyo Ku, Kyoto 6068501, Japan.</t>
  </si>
  <si>
    <t>snagata@mfour.med.kyoto-u.ac.jp</t>
  </si>
  <si>
    <t>Nagata, Shigekazu/AAG-3203-2019; Koike, Masato/F-9584-2010; Kitamura, Toshio/AAA-2071-2021</t>
  </si>
  <si>
    <t xml:space="preserve">Nagata, Shigekazu/0000-0001-9758-8426; Koike, Masato/0000-0002-3174-5684; </t>
  </si>
  <si>
    <t>10.1038/nature06307</t>
  </si>
  <si>
    <t>WOS:000250918600058</t>
  </si>
  <si>
    <t>Muller, JA; Harms, M; Kruger, F; Gross, R; Joas, S; Hayn, M; Dietz, AN; Lippold, S; von Einem, J; Schubert, A; Michel, M; Mayer, B; Cortese, M; Jang, KS; Sandi-Monroy, N; Deniz, M; Ebner, F; Vapalahti, O; Otto, M; Bartenschlager, R; Herbeuval, JP; Schmidt-Chanasit, J; Roan, NR; Munch, J</t>
  </si>
  <si>
    <t>Mueller, Janis A.; Harms, Mirja; Krueger, Franziska; Gross, Ruediger; Joas, Simone; Hayn, Manuel; Dietz, Andrea N.; Lippold, Sina; von Einem, Jens; Schubert, Axel; Michel, Manuela; Mayer, Benjamin; Cortese, Mirko; Jang, Karen S.; Sandi-Monroy, Nathallie; Deniz, Miriam; Ebner, Florian; Vapalahti, Olli; Otto, Markus; Bartenschlager, Ralf; Herbeuval, Jean-Philippe; Schmidt-Chanasit, Jonas; Roan, Nadia R.; Muench, Jan</t>
  </si>
  <si>
    <t>Semen inhibits Zika virus infection of cells and tissues from the anogenital region</t>
  </si>
  <si>
    <t>WEST NILE VIRUS; SEXUAL TRANSMISSION; SEMINAL PLASMA; AMYLOID FIBRILS; PREVENTION; DIAGNOSIS; OUTBREAK; BIOLOGY; BORNE</t>
  </si>
  <si>
    <t>Zika virus (ZIKV) causes severe birth defects and can be transmitted via sexual intercourse. Semen from ZIKV-infected individuals contains high viral loads and may therefore serve as an important vector for virus transmission. Here we analyze the effect of semen on ZIKV infection of cells and tissues derived from the anogenital region. ZIKV replicates in all analyzed cell lines, primary cells, and endometrial or vaginal tissues. However, in the presence of semen, infection by ZIKV and other flaviviruses is potently inhibited. We show that semen prevents ZIKV attachment to target cells, and that an extracellular vesicle preparation from semen is responsible for this anti-ZIKV activity. Our findings suggest that ZIKV transmission is limited by semen. As such, semen appears to serve as a protector against sexual ZIKV transmission, despite the availability of highly susceptible cells in the anogenital tract and high viral loads in this bodily fluid.</t>
  </si>
  <si>
    <t>[Mueller, Janis A.; Harms, Mirja; Krueger, Franziska; Gross, Ruediger; Joas, Simone; Hayn, Manuel; Sandi-Monroy, Nathallie; Muench, Jan] Ulm Univ, Inst Mol Virol, Med Ctr, D-89081 Ulm, Germany; [Dietz, Andrea N.; Lippold, Sina; von Einem, Jens; Schubert, Axel; Michel, Manuela] Ulm Univ, Inst Virol, Med Ctr, D-89081 Ulm, Germany; [Mayer, Benjamin] Ulm Univ, Inst Epidemiol &amp; Med Biometry, D-89075 Ulm, Germany; [Cortese, Mirko; Bartenschlager, Ralf] Heidelberg Univ, Fac Med, Dept Infect Dis, Mol Virol, D-69120 Heidelberg, Germany; [Jang, Karen S.; Roan, Nadia R.] Gladstone Inst Virol &amp; Immunol, San Francisco, CA 94158 USA; [Jang, Karen S.; Roan, Nadia R.] Univ Calif San Francisco, Dept Urol, San Francisco, CA 94158 USA; [Deniz, Miriam; Ebner, Florian] Ulm Univ, Klin Frauenheilkunde &amp; Geburtshilfe, Med Ctr, D-89081 Ulm, Germany; [Ebner, Florian] Helios Amper Klin, Frauenklin, D-85221 Dachau, Germany; [Vapalahti, Olli] Univ Helsinki, Dept Virol &amp; Immunol, FIN-00014 Helsinki, Finland; [Vapalahti, Olli] Helsinki Univ Hosp, Helsinki 00014, Finland; [Vapalahti, Olli] Univ Helsinki, Dept Vet Biosci, FIN-00014 Helsinki, Finland; [Otto, Markus] Ulm Univ, Dept Neurol, D-89081 Ulm, Germany; [Bartenschlager, Ralf] Heidelberg Univ, German Ctr Infect Res DZIF, Heidelberg Partner Site, D-69120 Heidelberg, Germany; [Herbeuval, Jean-Philippe] Univ Paris 05, Lab Chim &amp; Biochim Pharmacol &amp; Toxicol, Chem Biol Modeling &amp; Immunotherapy CBMIT, CNRS,UMR8601,CICB Paris, F-75006 Paris, France; [Schmidt-Chanasit, Jonas] World Hlth Org Collaborating Ctr Arbovirus &amp; Hemo, Bernhard Nocht Inst Trop Med, D-20359 Hamburg, Germany; [Schmidt-Chanasit, Jonas] German Ctr Infect Res DZIF, Partner Site Hamburg Luebeck Borstel, D-20359 Hamburg, Germany; [Muench, Jan] Ulm Univ, Med Ctr, Core Facil Funct Peptid, D-89081 Ulm, Germany</t>
  </si>
  <si>
    <t>Ulm University; Ulm University; Ulm University; Ruprecht Karls University Heidelberg; University of California System; University of California San Francisco; The J David Gladstone Institutes; University of California System; University of California San Francisco; Ulm University; University of Helsinki; University of Helsinki; Helsinki University Central Hospital; University of Helsinki; Ulm University; German Center for Infection Research; Ruprecht Karls University Heidelberg; Centre National de la Recherche Scientifique (CNRS); CNRS - Institute of Chemistry (INC); UDICE-French Research Universities; Universite de Paris; Bernhard Nocht Institut fur Tropenmedizin; World Health Organization; German Center for Infection Research; Ulm University</t>
  </si>
  <si>
    <t>Munch, J (corresponding author), Ulm Univ, Inst Mol Virol, Med Ctr, D-89081 Ulm, Germany.;Munch, J (corresponding author), Ulm Univ, Med Ctr, Core Facil Funct Peptid, D-89081 Ulm, Germany.</t>
  </si>
  <si>
    <t>jan.muench@uni-ulm.de</t>
  </si>
  <si>
    <t>von Einem, Jens/ABB-4480-2021; Herbeuval, Jean-Philippe/AHA-2439-2022; Müller, Janis/AAD-5953-2022; Cortese, Mirko/T-4742-2019; Otto, Markus/F-4304-2015</t>
  </si>
  <si>
    <t>von Einem, Jens/0000-0001-7508-4702; Cortese, Mirko/0000-0003-1786-4211; Otto, Markus/0000-0003-4273-4267; Jan, Munch/0000-0001-7316-7141; Vapalahti, Olli/0000-0003-2270-6824; , Nathallie/0000-0001-5457-1448; Harms, Mirja/0000-0002-5460-5166; Gross, Rudiger/0000-0003-0355-7915</t>
  </si>
  <si>
    <t>10.1038/s41467-018-04442-y</t>
  </si>
  <si>
    <t>WOS:000434379800004</t>
  </si>
  <si>
    <t>Olea-Flores, M; Kan, JL; Carlson, A; Syed, SA; McCann, C; Mondal, V; Szady, C; Ricker, HM; McQueen, A; Navea, JG; Caromile, LA; Padilla-Benavides, T</t>
  </si>
  <si>
    <t>Olea-Flores, Monserrat; Kan, Julia; Carlson, Alyssa; Syed, Sabriya A.; McCann, Cat; Mondal, Varsha; Szady, Cecily; Ricker, Heather M.; McQueen, Amy; Navea, Juan G.; Caromile, Leslie A.; Padilla-Benavides, Teresita</t>
  </si>
  <si>
    <t>ZIP11 Regulates Nuclear Zinc Homeostasis in HeLa Cells and Is Required for Proliferation and Establishment of the Carcinogenic Phenotype</t>
  </si>
  <si>
    <t>ZIP11; zinc transport; cell cycle; senescence; gene expression; MTF1; cervical cancer cells</t>
  </si>
  <si>
    <t>DNA-DAMAGE RESPONSE; TRANSPORTER GENES; DIETARY ZINC; MITOCHONDRIAL DYSFUNCTION; LIV-1 SUBFAMILY; MAMMALIAN ZINC; IRON UPTAKE; EXPRESSION; PROTEIN; ZN2+</t>
  </si>
  <si>
    <t>Zinc (Zn) is an essential trace element that plays a key role in several biological processes, including transcription, signaling, and catalysis. A subcellular network of transporters ensures adequate distribution of Zn to facilitate homeostasis. Among these are a family of importers, the Zrt/Irt-like proteins (ZIP), which consists of 14 members (ZIP1-ZIP14) that mobilize Zn from the extracellular domain and organelles into the cytosol. Expression of these transporters varies among tissues and during developmental stages, and their distribution at various cellular locations is essential for defining the net cellular Zn transport. Normally, the ion is bound to proteins or sequestered in organelles and vesicles. However, though research has focused on Zn internalization in mammalian cells, little is known about Zn mobilization within organelles, including within the nuclei under both normal and pathological conditions. Analyses from stomach and colon tissues isolated from mouse suggested that ZIP11 is the only ZIP transporter localized to the nucleus of mammalian cells, yet no clear cellular role has been attributed to this protein. We hypothesized that ZIP11 is essential to maintaining nuclear Zn homeostasis in mammalian cells. To test this, we utilized HeLa cells, as research in humans correlated elevated expression of ZIP11 with poor prognosis in cervical cancer patients. We stably knocked down ZIP11 in HeLa cancer cells and investigated the effect of Zn dysregulation in vitro. Our data show that ZIP11 knockdown (KD) reduced HeLa cells proliferation due to nuclear accumulation of Zn. RNA-seq analyses revealed that genes related to angiogenesis, apoptosis, mRNA metabolism, and signaling pathways are dysregulated. Although the KD cells undergoing nuclear Zn stress can activate the homeostasis response by MTF1 and MT1, the RNA-seq analyses showed that only ZIP14 (an importer expressed on the plasma membrane and endocytic vesicles) is mildly induced, which may explain the sensitivity to elevated levels of extracellular Zn. Consequently, ZIP11 KD HeLa cells have impaired migration, invasive properties and decreased mitochondrial potential. Furthermore, KD of ZIP11 delayed cell cycle progression and rendered an enhanced senescent state in HeLa cells, pointing to a novel mechanism whereby maintenance of nuclear Zn homeostasis is essential for cancer progression.</t>
  </si>
  <si>
    <t>[Olea-Flores, Monserrat; Kan, Julia; Carlson, Alyssa; McCann, Cat; Mondal, Varsha; McQueen, Amy; Padilla-Benavides, Teresita] Wesleyan Univ, Dept Mol Biol &amp; Biochem, Middletown, CT 06459 USA; [Olea-Flores, Monserrat; Syed, Sabriya A.] Univ Massachusetts, Dept Biochem &amp; Mol Biotechnol, Chan Med Sch, Worcester, MA USA; [Szady, Cecily; Ricker, Heather M.; Navea, Juan G.] Skidmore Coll, Dept Chem, Saratoga Springs, NY USA; [Caromile, Leslie A.] UCONN Hlth Ctr, Ctr Vasc Biol, Dept Cell Biol, Farmington, CT USA</t>
  </si>
  <si>
    <t>Wesleyan University; University of Massachusetts System; University of Massachusetts Worcester; Skidmore College; University of Connecticut</t>
  </si>
  <si>
    <t>Padilla-Benavides, T (corresponding author), Wesleyan Univ, Dept Mol Biol &amp; Biochem, Middletown, CT 06459 USA.</t>
  </si>
  <si>
    <t>tpadillabena@wesleyan.edu</t>
  </si>
  <si>
    <t>JUL 11</t>
  </si>
  <si>
    <t>10.3389/fcell.2022.895433</t>
  </si>
  <si>
    <t>WOS:000830988500001</t>
  </si>
  <si>
    <t>Simmons, WL; Bolland, JR; Daubenspeck, JM; Dybvig, K</t>
  </si>
  <si>
    <t>Simmons, Warren L.; Bolland, Jeffrey R.; Daubenspeck, James M.; Dybvig, Kevin</t>
  </si>
  <si>
    <t>A Stochastic mechanism for biofilm formation by Mycoplasma pulmonis</t>
  </si>
  <si>
    <t>MEMBRANE-VESICLES; STAPHYLOCOCCUS-EPIDERMIDIS; MOLECULAR-BIOLOGY; PHASE VARIATION; IMMUNE-SYSTEM; CELL-WALLS; CONGO RED; GENE; RESISTANCE; PROTEINS</t>
  </si>
  <si>
    <t>Bacterial biofilms are communities of bacteria that are enclosed in an extracellular matrix. Within a biofilm the bacteria are protected from antimicrobials, environmental stresses, and immune responses from the host. Biofilms are often believed to have a highly developed organization that is derived from differential regulation of the genes that direct the synthesis of the extracellular matrix and the attachment to surfaces. The mycoplasmas have the smallest of the prokaryotic genomes and apparently lack complex gene-regulatory systems. We examined biofilm formation by Mycoplasma pulmonis and found it to be dependent on the length of the tandem repeat region of the variable surface antigen (Vsa) protein. Mycoplasmas that produced a short Vsa protein with few tandem repeats formed biofilms that attached to polystyrene and glass. Mycoplasmas that produced a long Vsa protein with many tandem repeats formed microcolonies that floated freely in the medium. The biofilms and the microcolonies contained an extracellular matrix which contained Vsa protein, lipid, DNA, and saccharide. As variation in the number of Vsa tandem repeats occurs by slipped-strand mispairing, the ability of the mycoplasmas to form a biofilm switches stochastically.</t>
  </si>
  <si>
    <t>Univ Alabama, Dept Genet, Birmingham, AL 35294 USA; Univ Alabama, Dept Microbiol, Birmingham, AL 35294 USA</t>
  </si>
  <si>
    <t>University of Alabama System; University of Alabama Birmingham; University of Alabama System; University of Alabama Birmingham</t>
  </si>
  <si>
    <t>Simmons, WL (corresponding author), Univ Alabama, Dept Genet, KAUL 720, Birmingham, AL 35294 USA.</t>
  </si>
  <si>
    <t>wsimmons@uab.edu</t>
  </si>
  <si>
    <t>10.1128/JB.01512-06</t>
  </si>
  <si>
    <t>WOS:000244462800046</t>
  </si>
  <si>
    <t>Lee, JH; Shim, YR; Seo, W; Kim, MH; Choi, WM; Kim, HH; Kim, YE; Yang, K; Ryu, T; Jeong, JM; Choi, HG; Eun, HS; Kim, SH; Mun, H; Yoon, JH; Jeong, WI</t>
  </si>
  <si>
    <t>Lee, Jun-Hee; Shim, Young-Ri; Seo, Wonhyo; Kim, Myung-Ho; Choi, Won-Mook; Kim, Hee-Hoon; Kim, Ye Eun; Yang, Keungmo; Ryu, Tom; Jeong, Jong-Min; Choi, Hei-Gwon; Eun, Hyuk Soo; Kim, Seok-Hwan; Mun, Hyejin; Yoon, Je-Hyun; Jeong, Won-Il</t>
  </si>
  <si>
    <t>Mitochondrial Double-Stranded RNA in Exosome Promotes Interleukin-17 Production Through Toll-Like Receptor 3 in Alcohol-associated Liver Injury</t>
  </si>
  <si>
    <t>DELTA T-CELLS; EXTRACELLULAR VESICLES; ACTIVATION; RESPONSES; MODEL; DNA</t>
  </si>
  <si>
    <t>Background and Aims Mitochondrial double-stranded RNA (mtdsRNA) and its innate immune responses have been reported previously; however, mtdsRNA generation and its effects on alcohol-associated liver disease (ALD) remain unclear. Here, we report that hepatic mtdsRNA stimulates toll-like receptor 3 (TLR3) in Kupffer cells through the exosome (Exo) to enhance interleukin (IL)-17A (IL-17A) production in ALD. Approach and Results Following binge ethanol (EtOH) drinking, IL-17A production primarily increased in gamma delta T cells of wild-type (WT) mice, whereas the production of IL-17A was mainly facilitated by CD4(+) T cells in acute-on-chronic EtOH consumption. These were not observed in TLR3 knockout (KO) or Kupffer cell-depleted WT mice. The expression of polynucleotide phosphorylase, an mtdsRNA-restricting enzyme, was significantly decreased in EtOH-exposed livers and hepatocytes of WT mice. Immunostaining revealed that mtdsRNA colocalized with the mitochondria in EtOH-treated hepatocytes from WT mice and healthy humans. Bioanalyzer analysis revealed that small-sized RNAs were enriched in EtOH-treated Exos (EtOH-Exos) rather than EtOH-treated microvesicles in hepatocytes of WT mice and humans. Quantitative real-time PCR and RNA sequencing analyses indicated that mRNA expression of mitochondrial genes encoded by heavy and light strands was robustly increased in EtOH-Exos from mice and humans. After direct treatment with EtOH-Exos, IL-1 beta expression was significantly increased in WT Kupffer cells but not in TLR3 KO Kupffer cells, augmenting IL-17A production of gamma delta T cells in mice and humans. Conclusions EtOH-mediated generation of mtdsRNA contributes to TLR3 activation in Kupffer cells through exosomal delivery. Consequently, increased IL-1 beta expression in Kupffer cells triggers IL-17A production in gamma delta T cells at the early stage that may accelerate IL-17A expression in CD4(+) T cells in the later stage of ALD. Therefore, mtdsRNA and TLR3 may function as therapeutic targets in ALD.</t>
  </si>
  <si>
    <t>[Lee, Jun-Hee; Shim, Young-Ri; Seo, Wonhyo; Kim, Myung-Ho; Choi, Won-Mook; Kim, Hee-Hoon; Kim, Ye Eun; Yang, Keungmo; Ryu, Tom; Jeong, Jong-Min; Jeong, Won-Il] Korea Adv Inst Sci &amp; Technol, Grad Sch Med Sci &amp; Engn, Lab Liver Res, Bldg E7,Room 8107,291 Daehak Ro, Daejeon 34141, South Korea; [Seo, Wonhyo] NIAAA, Lab Liver Dis, NIH, Bethesda, MD USA; [Choi, Hei-Gwon; Eun, Hyuk Soo] Chungnam Natl Univ, Sch Med, Dept Internal Med, Daejeon, South Korea; [Kim, Seok-Hwan] Chungnam Natl Univ, Dept Surg, Coll Med, Daejeon, South Korea; [Mun, Hyejin; Yoon, Je-Hyun] Med Univ South Carolina, Dept Biochem &amp; Mol Biol, Charleston, SC 29425 USA</t>
  </si>
  <si>
    <t>Korea Advanced Institute of Science &amp; Technology (KAIST); National Institutes of Health (NIH) - USA; NIH National Institute on Alcohol Abuse &amp; Alcoholism (NIAAA); Chungnam National University; Chungnam National University; Medical University of South Carolina</t>
  </si>
  <si>
    <t>Jeong, WI (corresponding author), Korea Adv Inst Sci &amp; Technol, Grad Sch Med Sci &amp; Engn, Lab Liver Res, Bldg E7,Room 8107,291 Daehak Ro, Daejeon 34141, South Korea.</t>
  </si>
  <si>
    <t>wijeong@kaist.ac.kr</t>
  </si>
  <si>
    <t>Kim, Seok-Hwan/AAV-3518-2021; JEONG, WON IL/B-6615-2011; Kim, Seok-Hwan/G-9981-2015</t>
  </si>
  <si>
    <t>Kim, Seok-Hwan/0000-0003-0209-0444; Kim, Seok-Hwan/0000-0003-0209-0444; Choi, Won-Mook/0000-0002-9158-1765; Jeong, Jong-Min/0000-0002-8440-5413; Lee, Jun-Hee/0000-0002-3080-4240; Yoon, Je-Hyun/0000-0001-7615-8654</t>
  </si>
  <si>
    <t>10.1002/hep.31041</t>
  </si>
  <si>
    <t>WOS:000530993500001</t>
  </si>
  <si>
    <t>Khoontawad, J; Pairojkul, C; Rucksaken, R; Pinlaor, P; Wongkham, C; Yongvanit, P; Pugkhem, A; Jones, A; Plieskatt, J; Potriquet, J; Bethony, J; Pinlaor, S; Mulvenna, J</t>
  </si>
  <si>
    <t>Khoontawad, Jarinya; Pairojkul, Chawalit; Rucksaken, Rucksak; Pinlaor, Porntip; Wongkham, Chaisiri; Yongvanit, Puangrat; Pugkhem, Ake; Jones, Alun; Plieskatt, Jordan; Potriquet, Jeremy; Bethony, Jeffery; Pinlaor, Somchai; Mulvenna, Jason</t>
  </si>
  <si>
    <t>Differential Protein Expression Marks the Transition From Infection With Opisthorchis viverrini to Cholangiocarcinoma</t>
  </si>
  <si>
    <t>MOLECULAR &amp; CELLULAR PROTEOMICS</t>
  </si>
  <si>
    <t>LIVER FLUKE; PROTEOMIC IDENTIFICATION; POTENTIAL BIOMARKER; STATISTICAL-MODEL; CANCER-CELLS; DNA-DAMAGE; EXOSOMES; HAMSTERS; FIBROSIS; PLASMA</t>
  </si>
  <si>
    <t>Parts of Southeast Asia have the highest incidence of intrahepatic cholangiocarcinoma (CCA) in the world because of infection by the liver fluke Opisthorchis viverrini (Ov). Ov-associated CCA is the culmination of chronic Ov-infection, with the persistent production of the growth factors and cytokines associated with persistent inflammation, which can endure for years in Ov-infected individuals prior to transitioning to CCA. Isobaric labeling and tandem mass spectrometry of liver tissue from a hamster model of CCA was used to compare protein expression profiles from inflammed tissue (Ovinfected but not cancerous) versus cancerous tissue (Ov-induced CCA). Immunohistochemistry and immunoblotting were used to verify dysregulated proteins in the animal model and in human tissue. We identified 154 dysregulated proteins that marked the transition from Ov-infection to Ov-induced CCA, i.e. proteins dysregulated during carcinogenesis but not Ov-infection. The verification of dysregulated proteins in resected liver tissue from humans with Ov-associated CCA showed the numerous parallels in protein dysregulation between human and animal models of Ov-induced CCA. To identify potential circulating markers for CCA, dysregulated proteins were compared with proteins isolated from exosomes secreted by a human CCA cell line (KKU055) and 27 proteins were identified as dysregulated in CCA and present in exosomes. These data form the basis of potential diagnostic biomarkers for human Ov-associated CCA. The profile of protein dysregulation observed during chronic Ovinfection and then in Ov-induced CCA provides insight into the etiology of an infection-induced inflammation-related cancer.</t>
  </si>
  <si>
    <t>[Khoontawad, Jarinya; Pinlaor, Somchai] Khon Kaen Univ, Dept Parasitol, Fac Med, Khon Kaen 40002, Thailand; [Khoontawad, Jarinya; Pairojkul, Chawalit; Pinlaor, Porntip; Wongkham, Chaisiri; Yongvanit, Puangrat; Pugkhem, Ake; Pinlaor, Somchai] Khon Kaen Univ, Liver Fluke &amp; Cholangiocarcinoma Res Ctr, Fac Med, Khon Kaen 40002, Thailand; [Khoontawad, Jarinya] Rajamangala Univ Technol Isan, Fac Nat Resources, Dept Thai Tradit Med, SakonNakhon Campus, Songkhla, Thailand; [Pairojkul, Chawalit] Khon Kaen Univ, Dept Pathol, Fac Med, Khon Kaen 40002, Thailand; [Rucksaken, Rucksak] Kasetsart Univ, Fac Vet Technol, Dept Vet Technol, Bangkok 10900, Thailand; [Pinlaor, Porntip] Khon Kaen Univ, Fac Associated Med Sci, Ctr Res &amp; Dev, Med Diagnost Lab, Khon Kaen 40002, Thailand; [Wongkham, Chaisiri; Yongvanit, Puangrat] Khon Kaen Univ, Dept Biochem, Fac Med, Khon Kaen 40002, Thailand; [Pugkhem, Ake] Khon Kaen Univ, Dept Surg, Fac Med, Khon Kaen 40002, Thailand; [Jones, Alun] Univ Queensland, Inst Mol Biosci, Brisbane, Qld 4072, Australia; [Plieskatt, Jordan; Bethony, Jeffery] George Washington Univ, Sch Med &amp; Hlth Sci, Dept Microbiol Immunol &amp; Trop Med, Washington, DC 20052 USA; [Plieskatt, Jordan; Bethony, Jeffery] George Washington Univ, Sch Med &amp; Hlth Sci, Res Ctr Neglected Dis Poverty, Washington, DC 20052 USA; [Potriquet, Jeremy; Mulvenna, Jason] QIMR Berghofer Med Res Inst, Program Infect Dis, Brisbane, Qld 4006, Australia; [Mulvenna, Jason] Univ Queensland, Sch Biomed Sci, Brisbane, Qld 4072, Australia</t>
  </si>
  <si>
    <t>Khon Kaen University; Khon Kaen University; Rajamangala University of Technology; Khon Kaen University; Kasetsart University; Khon Kaen University; Khon Kaen University; Khon Kaen University; University of Queensland; George Washington University; George Washington University; QIMR Berghofer Medical Research Institute; University of Queensland</t>
  </si>
  <si>
    <t>Mulvenna, J (corresponding author), QIMR Berghofer Med Res Inst, Dept Infect Dis, Brisbane, Qld 4006, Australia.</t>
  </si>
  <si>
    <t>Jason.Mulvenna@qimrberghofer.edu.au</t>
  </si>
  <si>
    <t>Pinlaor, Somchai/0000-0002-8187-7247; Plieskatt, Jordan/0000-0002-2333-7234</t>
  </si>
  <si>
    <t>1535-9476</t>
  </si>
  <si>
    <t>1535-9484</t>
  </si>
  <si>
    <t>10.1074/mcp.M116.064576</t>
  </si>
  <si>
    <t>WOS:000400759600015</t>
  </si>
  <si>
    <t>Suresh, PS; Tsutsumi, R; Venkatesh, T</t>
  </si>
  <si>
    <t>Suresh, Padmanaban S.; Tsutsumi, Rie; Venkatesh, Thejaswini</t>
  </si>
  <si>
    <t>YBX1 at the crossroads of non-coding transcriptome, exosomal, and cytoplasmic granular signaling</t>
  </si>
  <si>
    <t>EUROPEAN JOURNAL OF CELL BIOLOGY</t>
  </si>
  <si>
    <t>YBX1; P granules; Exososmes; tRFs; lncRNAs</t>
  </si>
  <si>
    <t>BOX-BINDING PROTEIN-1; RNA-DERIVED FRAGMENTS; MESSENGER-RNA; PROSTATE-CANCER; YB-1; TRANSLATION; DNA; PROGRESSION; MOTIFS; P50</t>
  </si>
  <si>
    <t>YBX1 (Y box binding protein 1) is an RNA-/DNA-binding multifunctional protein harboring the classical cold shock protein (CSD) domain, an A/P domain, and a long C-terminal domain with alternating positively and negatively charged amino acids. It is a well-established oncogenic transcriptional factor, and regulates apoptosis, translation, cell proliferation, mRNA splicing, repair, differentiation, and stress response. The non-coding transcriptome has added yet another layer of complexity to the YBX1-mediated master regulation of cellular functions. Interestingly, YBX1 has been shown to localize to cytoplasmic granules such as P granules and stress granules. These granules regulate the non-coding transcriptome profile as well as mRNA translation and degradation. In this review, we discuss the recent findings on YBX1 signaling as mediated by various classes of non-coding RNAs, and on the functions of YBX1 at P granules, stress granules, exosomes, and mitochondria. YBX1 is a well-established target for cancer therapy and understanding its functions at organelles and ncRNA transcriptomes will shed new insights for devising organelle based anti-cancer therapies.</t>
  </si>
  <si>
    <t>[Suresh, Padmanaban S.] Mangalore Univ, Dept Biosci, Mangalagangothri 574199, Karnataka, India; [Tsutsumi, Rie] Tokushima Univ, Div Nutr &amp; Metab, Inst Biomed Sci, Tokushima, Japan; [Venkatesh, Thejaswini] Cent Univ Kerala, Dept Biochem &amp; Mol Biol, Sci Campus, Kasargod 671314, Kerala, India</t>
  </si>
  <si>
    <t>Mangalore University; Tokushima University; Central University of Kerala</t>
  </si>
  <si>
    <t>Venkatesh, T (corresponding author), Cent Univ Kerala, Dept Biochem &amp; Mol Biol, Sci Campus, Kasargod 671314, Kerala, India.</t>
  </si>
  <si>
    <t>thejaswinivenkatesh5@gmail.com</t>
  </si>
  <si>
    <t>Venkatesh, Thejaswini/ABC-4002-2021; P.S, Suresh/AAX-9666-2020</t>
  </si>
  <si>
    <t>Venkatesh, Thejaswini/0000-0002-5831-9255; Tsutsumi, Rie/0000-0001-6362-5823</t>
  </si>
  <si>
    <t>0171-9335</t>
  </si>
  <si>
    <t>1618-1298</t>
  </si>
  <si>
    <t>10.1016/j.ejcb.2018.02.003</t>
  </si>
  <si>
    <t>WOS:000430737900003</t>
  </si>
  <si>
    <t>Ognibene, M; De Marco, P; Parodi, S; Meli, M; Di Cataldo, A; Zara, F; Pezzolo, A</t>
  </si>
  <si>
    <t>Ognibene, Marzia; De Marco, Patrizia; Parodi, Stefano; Meli, Mariaclaudia; Di Cataldo, Andrea; Zara, Federico; Pezzolo, Annalisa</t>
  </si>
  <si>
    <t>Genomic Analysis Made It Possible to Identify Gene-Driver Alterations Covering the Time Window between Diagnosis of Neuroblastoma 4S and the Progression to Stage 4</t>
  </si>
  <si>
    <t>Neuroblastoma; stage 4S; tumor progression; array-comparative genomic hybridization; whole-exome sequencing; somatic copy number alterations; single-nucleotide variants</t>
  </si>
  <si>
    <t>THERAPEUTIC TARGET; CLASSIFICATION-SYSTEM; PROGNOSTIC BIOMARKER; CANCER; PATHWAY; BIOLOGY; EXPRESSION; CRITERIA; EXOME</t>
  </si>
  <si>
    <t>Neuroblastoma (NB) is a tumor of the developing sympathetic nervous system. Despite recent advances in understanding the complexity of NB, the mechanisms that determine its regression or progression are still largely unknown. Stage 4S NB is characterized by a favorable course of disease and often by spontaneous regression, while progression to true stage 4 is a very rare event. Here, we focused on genomic analysis of an NB case that progressed from stage 4S to stage 4 with a very poor outcome. Array-comparative genomic hybridization (a-CGH) on tumor-tissue DNA, and whole-exome sequencing (WES) on exosomes DNA derived from plasma collected at the onset and at the tumor progression, pointed out relevant genetic changes that can explain this clinical worsening. The combination of a-CGH and WES data allowed for the identification iof somatic copy number aberrations and single-nucleotide variants in genes known to be responsible for aggressive NB. KLRB1, MAPK3 and FANCA genes, which were lost at the time of progression, were studied for their possible role in this event by analyzing in silico the impact of their expression on the outcome of 786 NB patients.</t>
  </si>
  <si>
    <t>[Ognibene, Marzia; De Marco, Patrizia; Zara, Federico] IRCCS Ist Giannina Gaslini, UOC Genet Med, I-16147 Genoa, Italy; [Parodi, Stefano] IRCCS Ist Giannina Gaslini, Sci Directorate, I-16147 Genoa, Italy; [Meli, Mariaclaudia; Di Cataldo, Andrea] Univ Catania, UOC Ematol &amp; Oncol Pediat, Dipartimento Med Clin &amp; Sperimentale, I-95123 Catania, Italy; [Pezzolo, Annalisa] IRCCS Ist Giannina Gaslini, I-16147 Genoa, Italy</t>
  </si>
  <si>
    <t>University of Genoa; IRCCS Istituto Giannina Gaslini; University of Genoa; IRCCS Istituto Giannina Gaslini; University of Catania; University of Genoa; IRCCS Istituto Giannina Gaslini</t>
  </si>
  <si>
    <t>Ognibene, M (corresponding author), IRCCS Ist Giannina Gaslini, UOC Genet Med, I-16147 Genoa, Italy.</t>
  </si>
  <si>
    <t>marziaognibene@gaslini.org; patriziademarco@gaslini.org; stefanoparodi@gaslini.org; mclaudiameli@gmail.com; adicata@unict.it; federicozara@gaslini.org; annalisapezzolo56@gmail.com</t>
  </si>
  <si>
    <t>Ognibene, Marzia/AAA-7275-2020; Zara, Federico/U-3477-2017; Di Cataldo, Andrea/M-2509-2016</t>
  </si>
  <si>
    <t>Ognibene, Marzia/0000-0003-3698-9319; Zara, Federico/0000-0001-9744-5222; Di Cataldo, Andrea/0000-0002-4509-3066</t>
  </si>
  <si>
    <t>10.3390/ijms23126513</t>
  </si>
  <si>
    <t>WOS:000816210400001</t>
  </si>
  <si>
    <t>Luna, J; Masamunt, MC; Rickmann, M; Mora, R; Espana, C; Delgado, S; Llach, J; Vaquero, E; Sans, M</t>
  </si>
  <si>
    <t>Luna, Jeroni; Carme Masamunt, Maria; Rickmann, Mariana; Mora, Rut; Espana, Carolina; Delgado, Salvadora; Llach, Josep; Vaquero, Eva; Sans, Miquel</t>
  </si>
  <si>
    <t>Tocotrienols Have Potent Antifibrogenic Effects in Human Intestinal Fibroblasts</t>
  </si>
  <si>
    <t>INFLAMMATORY BOWEL DISEASES</t>
  </si>
  <si>
    <t>inflammatory bowel disease; fibroblasts; tocotrienol rich fraction</t>
  </si>
  <si>
    <t>INFLAMMATORY-BOWEL-DISEASE; HEPATIC STELLATE CELL; INDUCED APOPTOSIS; RICH FRACTION; GROWTH-FACTOR; EXPRESSION; AUTOPHAGY; FIBROSIS; PROLIFERATION; MECHANISMS</t>
  </si>
  <si>
    <t>Background: Excessive fibroblast expansion and extracellular matrix (ECM) deposition are key events for the development of bowel stenosis in Crohn's disease (CD) patients. Tocotrienols are vitamin E compounds with proven in vitro antifibrogenic effects on rat pancreatic fibroblasts. We aimed at investigating the effects of tocotrienols on human intestinal fibroblast (HIF) proliferation, apoptosis, autophagy, and synthesis of ECM. Methods: HIF isolated from CD, ulcerative colitis (UC), and normal intestine were treated with tocotrienol-rich fraction (TRF) from palm oil. HIF proliferation was quantified by H-3-thymidine incorporation, apoptosis was studied by DNA fragmentation, propidium iodide staining, caspase activation, and poly(ADP-ribose) polymerase cleavage, autophagy was analyzed by quantification of LC3 protein and identification of autophagic vesicles by immunofluorescence and production of ECM components was measured by Western blot. Results: TRF significantly reduced HIF proliferation and prevented basic fibroblast growth factor-induced proliferation in CD and UC, but not control HIF. TRF enhanced HIF death by promoting apoptosis and autophagy. HIF apoptosis, but not autophagy, was prevented by the pan-caspase inhibitor zVAD-fmk, whereas both types of cell death were prevented when the mitochondrial permeability transition pore was blocked by cyclosporin A, demonstrating a key role of the mitochondria in these processes. TRF diminished procollagen type I and laminin gamma-1 production by HIF. Conclusions: Tocotrienols exert multiple effects on HIF, reducing cell proliferation, enhancing programmed cell death through apoptosis and autophagy, and decreasing ECM production. Considering their in vitro antifibrogenic properties, tocotrienols could be useful to treat or prevent bowel fibrosis in CD patients.</t>
  </si>
  <si>
    <t>[Luna, Jeroni; Carme Masamunt, Maria; Rickmann, Mariana; Mora, Rut; Espana, Carolina; Llach, Josep; Vaquero, Eva; Sans, Miquel] Hosp Clin &amp; Prov IDIBAPS, CIBER EHD, Dept Gastroenterol, Barcelona 08036, Catalunya, Spain; [Delgado, Salvadora] Hosp Clin &amp; Prov IDIBAPS, CIBER EHD, Dept Gastrointestinal Surg, Barcelona 08036, Catalunya, Spain</t>
  </si>
  <si>
    <t>CIBER - Centro de Investigacion Biomedica en Red; CIBEREHD; University of Barcelona; Hospital Clinic de Barcelona; IDIBAPS; CIBER - Centro de Investigacion Biomedica en Red; CIBEREHD; University of Barcelona; Hospital Clinic de Barcelona; IDIBAPS</t>
  </si>
  <si>
    <t>Sans, M (corresponding author), Hosp Clin &amp; Prov IDIBAPS, CIBER EHD, Dept Gastroenterol, Barcelona 08036, Catalunya, Spain.</t>
  </si>
  <si>
    <t>msans@clinic.ub.es</t>
  </si>
  <si>
    <t>Mora Buch, Rut/0000-0002-0117-0007; Masamunt, M Carme/0000-0001-8736-1623; Rickmann, Mariana/0000-0003-0620-172X; Vaquero, Eva C./0000-0003-0098-5295</t>
  </si>
  <si>
    <t>1078-0998</t>
  </si>
  <si>
    <t>1536-4844</t>
  </si>
  <si>
    <t>10.1002/ibd.21411</t>
  </si>
  <si>
    <t>WOS:000287893500005</t>
  </si>
  <si>
    <t>RADDING, W; WILLIAMS, JP; HARDY, RW; MCDONALD, JM; WHITAKER, CH; TURBATHERRERA, EA; BLAIR, HC</t>
  </si>
  <si>
    <t>CALMODULIN CONCENTRATED AT THE OSTEOCLAST RUFFLED BORDER MODULATES ACID-SECRETION</t>
  </si>
  <si>
    <t>VACUOLAR PROTON PUMP; PLASMA-MEMBRANE; CHICKEN CALMODULIN; CHLORIDE CHANNEL; BONE-RESORPTION; XENOPUS OOCYTES; DNA-REPLICATION; H+-ATPASE; CELLS; BINDING</t>
  </si>
  <si>
    <t>Osteoclasts mediate acid dissolution of bone for maintenance of serum [Ca2+] and for replacement of old bone in terrestrial vertebrates. Recent findings point to the importance of intracellular signals, particularly Ca2+, in osteoclast regulation. However, acid degradation of bone mineral subjects the osteoclast to uniquely high extracellular [Ca2+]. We hypothesized that this high calcium environment would affect calcium signalling mechanisms, and studied the calcium binding regulatory protein, calmodulin, in the osteoclast. Avian osteoclast bone resorption was inhibited 30% at 1 mu M and 90% at 7 mu M by the calmodulin antagonist trifluoperazine. Osteoclast bone attachment was not affected by 10 mu M trifluoperazine. Quantitative immunofluorescence using fluorescein-labelled calmodulin monoclonal antibody showed a severalfold increase of calmodulin concentration in bone attached relative to plastic attached osteoclasts. Western blots confirmed this, showing two to threefold increased osteoclast calmodulin per milligram of cell protein in 3-day bone-attached vs. nonattached cells. Scanning confocal microscopy showed calmodulin polarization to areas of bone attachment. Electron micrographs with 9 nm colloidal gold labelling showed calmodulin in the acid secreting ruffled membrane. ATP-dependent acid transport in osteoclast membrane vesicles was inhibited by the calmodulin antagonist calmidazolium. Th is effect was reversed by addition of excess calmodulin, showing that the inhibition is specific. Vesicle acid transport inhibition reflects an approximately fourfold shift in the apparent K-m for ATP of vesicular acid transport in the presence of the calmodulin antagonist. We conclude that calmodulin concentration and distribution is modified by bone attachment, and that osteoclastic acid secretion is calmodulin regulated. (C) 1994 Wiley-Liss, Inc.</t>
  </si>
  <si>
    <t>UNIV ALABAMA,DEPT PATHOL,BIRMINGHAM,AL 35294; DEPT VET AFFAIRS MED CTR,BIRMINGHAM,AL 35294</t>
  </si>
  <si>
    <t>University of Alabama System; University of Alabama Birmingham</t>
  </si>
  <si>
    <t>10.1002/jcp.1041600104</t>
  </si>
  <si>
    <t>WOS:A1994NU58600003</t>
  </si>
  <si>
    <t>Zeilfelder, U; Frank, O; Sparacio, S; Schon, U; Bosch, V; Seifarth, W; Leib-Mosch, C</t>
  </si>
  <si>
    <t>Zeilfelder, Udo; Frank, Oliver; Sparacio, Sandra; Schoen, Ulrike; Bosch, Valerie; Seifarth, Wolfgang; Leib-Moesch, Christine</t>
  </si>
  <si>
    <t>The potential of retroviral vectors to cotransfer human endogenous retroviruses (HERVs) from human packaging cell lines</t>
  </si>
  <si>
    <t>GENE</t>
  </si>
  <si>
    <t>Symposium on Genomic Impact of Eukaryotic Transposable Elements</t>
  </si>
  <si>
    <t>MAR 31-APR 04, 2006</t>
  </si>
  <si>
    <t>Pacific Grove, CA</t>
  </si>
  <si>
    <t>human endogenous retroviruses; HERV; retroviral vector; packaging cell line; copackaging; DNA chip; microarray; gene therapy</t>
  </si>
  <si>
    <t>EXPRESSION; PARTICLES; SEQUENCES; GENERATION</t>
  </si>
  <si>
    <t>Using a versatile and highly sensitive retroviral microarray, we have investigated particle preparations from three different human packaging cell lines harboring retroviral vector systems based on human immunodeficiency virus (HIV) and murine leukemia virus (MLV). 293Rev/Gag/Pol(i) cells inducibly express high titers of HIV-derived particles for packaging of HIV vectors. The Phoenix-GP and the Anjou 65 cell lines constitutively express MLV vector particles. We compared the transcription profiles of human endogenous retroviruses (HERVs) in all cell lines with the HERV sequences present in the particles. In addition, the influence of the transfected vector plasmid on the copackaging of HERVs was investigated. All particle preparations showed a defined pattern of endogenous retroviral sequences that differed from the cellular HERV expression pattern. HERV transcripts were observed in the particle preparations independent of whether a vector construct was coexpressed or not. Furthermore, our results suggest that particle preparations are frequently contaminated by cellular vesicles (exosomes) containing cellular RNAs including HERV transcripts. (c) 2006 Elsevier B.V. All rights reserved.</t>
  </si>
  <si>
    <t>GSF, Res Ctr Environm &amp; Hlth, Inst Mol Virol, D-85764 Neuherberg, Germany; Univ Heidelberg, Fac Clin Med Mannheim, Med Clin 3, D-68305 Mannheim, Germany; Univ Heidelberg, Dept Mol Virol, D-69120 Heidelberg, Germany; Alopex GmbH, D-95326 Kulmbach, Germany; Deutsch Krebsforschungszentrum, Forsch Schwerpunkt Infekt &amp; Krebs, D-69120 Heidelberg, Germany</t>
  </si>
  <si>
    <t>Helmholtz Association; Helmholtz-Center Munich - German Research Center for Environmental Health; Ruprecht Karls University Heidelberg; Ruprecht Karls University Heidelberg; Helmholtz Association; German Cancer Research Center (DKFZ)</t>
  </si>
  <si>
    <t>Leib-Mosch, C (corresponding author), GSF, Res Ctr Environm &amp; Hlth, Inst Mol Virol, Ingoldstadter Landstr 1, D-85764 Neuherberg, Germany.</t>
  </si>
  <si>
    <t>leib@gsf.de</t>
  </si>
  <si>
    <t>0378-1119</t>
  </si>
  <si>
    <t>1879-0038</t>
  </si>
  <si>
    <t>10.1016/j.gene.2006.08.019</t>
  </si>
  <si>
    <t>WOS:000244940700020</t>
  </si>
  <si>
    <t>Hwang, S; He, Y; Xiang, XG; Seo, W; Kim, SJ; Ma, J; Ren, TY; Park, SH; Zhou, Z; Feng, DC; Kunos, G; Gao, B</t>
  </si>
  <si>
    <t>Hwang, Seonghwan; He, Yong; Xiang, Xiaogang; Seo, Wonhyo; Kim, Seung-Jin; Ma, Jing; Ren, Tianyi; Park, Seol Hee; Zhou, Zhou; Feng, Dechun; Kunos, George; Gao, Bin</t>
  </si>
  <si>
    <t>Interleukin-22 Ameliorates Neutrophil-Driven Nonalcoholic Steatohepatitis Through Multiple Targets</t>
  </si>
  <si>
    <t>FATTY LIVER-DISEASE; MITOCHONDRIAL-DNA; INFLAMMATION; ASK1; ACTIVATION; STEATOSIS; INJURY</t>
  </si>
  <si>
    <t>Background and Aims Nonalcoholic fatty liver disease encompasses a spectrum of diseases ranging from simple steatosis to nonalcoholic steatohepatitis (NASH), cirrhosis, and liver cancer. At present, how simple steatosis progresses to NASH remains obscure and effective pharmacological therapies are lacking. Hepatic expression of C-X-C motif chemokine ligand 1 (CXCL1), a key chemokine for neutrophil infiltration (a hallmark of NASH), is highly elevated in NASH patients but not in fatty livers in obese individuals or in high-fat diet (HFD)-fed mice. The aim of this study was to test whether overexpression of CXCL1 itself in the liver can induce NASH in HFD-fed mice and to test the therapeutic potential of IL-22 in this new NASH model. Approach and Results Overexpression ofCxcl1in the liver alone promotes steatosis-to-NASH progression in HFD-fed mice by inducing neutrophil infiltration, oxidative stress, and stress kinase (such as apoptosis signal-regulating kinase 1 and p38 mitogen-activated protein kinase) activation. Myeloid cell-specific deletion of the neutrophil cytosolic factor 1 (Ncf1)/p47(phox)gene, which encodes a component of the NADPH oxidase 2 complex that mediates neutrophil oxidative burst, markedly reduced CXCL1-induced NASH and stress kinase activation in HFD-fed mice. Treatment with interleukin (IL)-22, a cytokine with multiple targets, ameliorated CXCL1/HFD-induced NASH or methionine-choline deficient diet-induced NASH in mice. Mechanistically, IL-22 blocked hepatic oxidative stress and its associated stress kinases via the induction of metallothionein, one of the most potent antioxidant proteins. Moreover, although it does not target immune cells, IL-22 treatment attenuated the inflammatory functions of hepatocyte-derived, mitochondrial DNA-enriched extracellular vesicles, thereby suppressing liver inflammation in NASH. Conclusions Hepatic overexpression of CXCL1 is sufficient to drive steatosis-to-NASH progression in HFD-fed mice through neutrophil-derived reactive oxygen species and activation of stress kinases, which can be reversed by IL-22 treatment via the induction of metallothionein.</t>
  </si>
  <si>
    <t>[Hwang, Seonghwan; He, Yong; Xiang, Xiaogang; Seo, Wonhyo; Kim, Seung-Jin; Ma, Jing; Ren, Tianyi; Park, Seol Hee; Zhou, Zhou; Feng, Dechun; Gao, Bin] NIAAA, Lab Liver Dis, NIH, 5625 Fishers Lane, Bethesda, MD 20892 USA; [Kunos, George] NIAAA, Lab Physiol Studies, NIH, Bethesda, MD 20892 USA</t>
  </si>
  <si>
    <t>National Institutes of Health (NIH) - USA; NIH National Institute on Alcohol Abuse &amp; Alcoholism (NIAAA); National Institutes of Health (NIH) - USA; NIH National Institute on Alcohol Abuse &amp; Alcoholism (NIAAA)</t>
  </si>
  <si>
    <t>Gao, B (corresponding author), NIAAA, Lab Liver Dis, NIH, 5625 Fishers Lane, Bethesda, MD 20892 USA.</t>
  </si>
  <si>
    <t>10.1002/hep.31031</t>
  </si>
  <si>
    <t>WOS:000563557400001</t>
  </si>
  <si>
    <t>Shi, M; Jiang, Y; Yang, L; Yan, SS; Wang, YG; Lu, XJ</t>
  </si>
  <si>
    <t>Shi, Min; Jiang, Ye; Yang, Lu; Yan, Shushan; Wang, Yu-Gang; Lu, Xiao-Jie</t>
  </si>
  <si>
    <t>Decreased levels of serum exosomal miR-638 predict poor prognosis in hepatocellular carcinoma</t>
  </si>
  <si>
    <t>exosomes; hepatocellular carcinoma; microRNAs; prognosis</t>
  </si>
  <si>
    <t>INHIBITS CELL-PROLIFERATION; DOWN-REGULATION; LIVER-CANCER; MICRORNA; BIOMARKERS; BIOGENESIS; PLASMA; MIRNAS; DNA</t>
  </si>
  <si>
    <t>Currently available studies have implicated that exosome-delivered microRNAs (miRNAs) play crucial roles in human cancer. However, the association of serum exosomal miR-638 and hepatocellular carcinoma (HCC) remains largely unknown. We aim to investigate the expression of exosomal miR-638 in serum of HCC patients and its prognostic role in this deadly disease. Kaplan-Meier and Cox regression analyses were used to determine the survival of patients histologically diagnosed with HCC. Reduced levels of exosomal miR-638 in serum samples from patients with HCC were identified by real-time PCR. Negative association of serum exosomal miR-638 with tumor size, vascular infiltration, and TNM stage was observed in HCC patients. Besides, the proliferation of Huh7 and SMCC7721 HCC cells were significantly inhibited when miR-638 was over-expressed in these cells. In addition, HCC patients with lower levels of serum exosomal miR-638 had poor overall survival than those with higher levels of exosomal miR-638 in serum. Our study strongly suggests that serum exosome-delivered miR-638 may serve as a novel circulating biomarker for HCC. Downregulation of miR-638 predicts poor prognosis for patients with HCC.</t>
  </si>
  <si>
    <t>[Shi, Min; Wang, Yu-Gang] Shanghai Jiao Tong Univ, Shanghai Tongren Hosp, Dept Gastroenterol, Sch Med, Shanghai, Peoples R China; [Jiang, Ye; Yang, Lu] Nanjing Med Univ, Dept Lab Med, Affiliated Hosp 1, Nanjing, Jiangsu, Peoples R China; [Yan, Shushan] Weifang Med Univ, Dept Gastrointestinal &amp; Anal Dis Surg, Affiliated Hosp, Weifang, Peoples R China; [Lu, Xiao-Jie] Nanjing Med Univ, Dept Gen Surg, Liver Transplantat Ctr, Affiliated Hosp 1, Nanjing 210029, Jiangsu, Peoples R China</t>
  </si>
  <si>
    <t>Shanghai Jiao Tong University; Nanjing Medical University; Weifang Medical University; Nanjing Medical University</t>
  </si>
  <si>
    <t>Wang, YG (corresponding author), Shanghai Jiao Tong Univ, Shanghai Tongren Hosp, Dept Gastroenterol, Sch Med, Shanghai, Peoples R China.;Lu, XJ (corresponding author), Nanjing Med Univ, Dept Gen Surg, Liver Transplantat Ctr, Affiliated Hosp 1, Nanjing 210029, Jiangsu, Peoples R China.</t>
  </si>
  <si>
    <t>wyg0061@shtrhospital.com; 189@whu.edu.cn</t>
  </si>
  <si>
    <t>Xiao-Jie, Lu/H-4942-2019</t>
  </si>
  <si>
    <t>Xiao-Jie, Lu/0000-0002-1595-6414</t>
  </si>
  <si>
    <t>10.1002/jcb.26650</t>
  </si>
  <si>
    <t>WOS:000430667200044</t>
  </si>
  <si>
    <t>Heintz-Buschart, A; Yusuf, D; Kaysen, A; Etheridge, A; Fritz, JV; May, P; de Beaufort, C; Upadhyaya, BB; Ghosal, A; Galas, DJ; Wilmes, P</t>
  </si>
  <si>
    <t>Heintz-Buschart, Anna; Yusuf, Dilmurat; Kaysen, Anne; Etheridge, Alton; Fritz, Joelle V.; May, Patrick; de Beaufort, Carine; Upadhyaya, Bimal B.; Ghosal, Anubrata; Galas, David J.; Wilmes, Paul</t>
  </si>
  <si>
    <t>Small RNA profiling of low biomass samples: identification and removal of contaminants</t>
  </si>
  <si>
    <t>BMC BIOLOGY</t>
  </si>
  <si>
    <t>RNA sequencing; Artefact removal; Exogenous RNA in human blood plasma; Contaminant RNA; Spin columns</t>
  </si>
  <si>
    <t>CIRCULATING MICRORNAS; MIRNAS; HOST; MICROVESICLES; EXTRACTION; MICROBIOTA; EXPRESSION; VESICLES; SEQUENCE; REVEALS</t>
  </si>
  <si>
    <t>Background: Sequencing-based analyses of low-biomass samples are known to be prone to misinterpretation due to the potential presence of contaminating molecules derived from laboratory reagents and environments. DNA contamination has been previously reported, yet contamination with RNA is usually considered to be very unlikely due to its inherent instability. Small RNAs (sRNAs) identified in tissues and bodily fluids, such as blood plasma, have implications for physiology and pathology, and therefore the potential to act as disease biomarkers. Thus, the possibility for RNA contaminants demands careful evaluation. Results: Herein, we report on the presence of small RNA (sRNA) contaminants in widely used microRNA extraction kits and propose an approach for their depletion. We sequenced sRNAs extracted from human plasma samples and detected important levels of non-human (exogenous) sequences whose source could be traced to the microRNA extraction columns through a careful qPCR-based analysis of several laboratory reagents. Furthermore, we also detected the presence of artefactual sequences related to these contaminants in a range of published datasets, thereby arguing in particular for a re-evaluation of reports suggesting the presence of exogenous RNAs of microbial and dietary origin in blood plasma. To avoid artefacts in future experiments, we also devise several protocols for the removal of contaminant RNAs, define minimal amounts of starting material for artefact-free analyses, and confirm the reduction of contaminant levels for identification of bona fide sequences using 'ultra-clean' extraction kits. Conclusion: This is the first report on the presence of RNA molecules as contaminants in RNA extraction kits. The described protocols should be applied in the future to avoid confounding sRNA studies.</t>
  </si>
  <si>
    <t>[Heintz-Buschart, Anna; Yusuf, Dilmurat; Kaysen, Anne; Fritz, Joelle V.; May, Patrick; de Beaufort, Carine; Upadhyaya, Bimal B.; Ghosal, Anubrata; Wilmes, Paul] Univ Luxembourg, Luxembourg Ctr Syst Biomed, L-4362 Esch Sur Alzette, Luxembourg; [Heintz-Buschart, Anna] German Ctr Integrat Biodivers Res iDiv Leipzig Ha, D-04103 Leipzig, Germany; [Heintz-Buschart, Anna] Helmholtz Ctr Environm Res GmbH UFZ, Dept Soil Ecol, D-06120 Halle, Saale, Germany; [Yusuf, Dilmurat] Univ Freiburg, Dept Comp Sci, Bioinformat Grp, D-79110 Freiburg, Germany; [Kaysen, Anne; Fritz, Joelle V.; de Beaufort, Carine] Ctr Hosp Luxembourg, L-1210 Luxembourg, Luxembourg; [Etheridge, Alton; Galas, David J.] Pacific Northwest Res Inst, Seattle, WA 98122 USA; [Ghosal, Anubrata] MIT, Dept Biol, 77 Massachusetts Ave, Cambridge, MA 02139 USA</t>
  </si>
  <si>
    <t>University of Luxembourg; Helmholtz Association; Helmholtz Center for Environmental Research (UFZ); University of Freiburg; Luxembourg Hospital Center; Massachusetts Institute of Technology (MIT)</t>
  </si>
  <si>
    <t>Heintz-Buschart, A; Wilmes, P (corresponding author), Univ Luxembourg, Luxembourg Ctr Syst Biomed, L-4362 Esch Sur Alzette, Luxembourg.;Heintz-Buschart, A (corresponding author), German Ctr Integrat Biodivers Res iDiv Leipzig Ha, D-04103 Leipzig, Germany.;Heintz-Buschart, A (corresponding author), Helmholtz Ctr Environm Res GmbH UFZ, Dept Soil Ecol, D-06120 Halle, Saale, Germany.</t>
  </si>
  <si>
    <t>anna.heintz-buschart@idiv.de; paul.wilmes@uni.lu</t>
  </si>
  <si>
    <t>Wilmes, Paul/B-1707-2017; Heintz-Buschart, Anna/AAP-3796-2020; May, Patrick/B-1238-2010; de Beaufort, Carine/AAJ-8063-2021; May, Patrick/N-1019-2019</t>
  </si>
  <si>
    <t>Wilmes, Paul/0000-0002-6478-2924; Heintz-Buschart, Anna/0000-0002-9780-1933; May, Patrick/0000-0001-8698-3770; de Beaufort, Carine/0000-0003-4310-6799; May, Patrick/0000-0001-8698-3770; Fritz, Joelle/0000-0002-4694-3923; Yusuf, Dilmurat/0000-0001-8683-7845</t>
  </si>
  <si>
    <t>1741-7007</t>
  </si>
  <si>
    <t>MAY 14</t>
  </si>
  <si>
    <t>10.1186/s12915-018-0522-7</t>
  </si>
  <si>
    <t>WOS:000432834700001</t>
  </si>
  <si>
    <t>Kotterman, MA; Koerber, JT; Nam, JS; Cho, YH; Kim, SH; Jang, JH; Lim, KI</t>
  </si>
  <si>
    <t>Kotterman, Melissa A.; Koerber, James T.; Nam, Jung-soo; Cho, Young-hoo; Kim, Seung-hyun; Jang, Jae-hyung; Lim, Kwang-il</t>
  </si>
  <si>
    <t>Enhanced cellular secretion of AAV2 by expression of foreign viral envelope proteins</t>
  </si>
  <si>
    <t>BIOCHEMICAL ENGINEERING JOURNAL</t>
  </si>
  <si>
    <t>Biomedical; rAAV secretion; Animal cell culture; Protein; Recombinant DNA; Virus envelope</t>
  </si>
  <si>
    <t>ADENOASSOCIATED VIRUS TYPE-2; DIRECTED EVOLUTION; LENTIVIRAL VECTORS; GENE DELIVERY; IMMUNE-RESPONSES; IN-VITRO; CELLS; TRANSDUCTION; EFFICIENT; SYSTEM</t>
  </si>
  <si>
    <t>Recombinant adeno-associated virus (rAAV), a non-enveloped virus, is widely used in gene therapy clinical trials because it does not cause human disease, transduces both dividing and non-dividing cells, and mediates stable transgene expression for years in post-mitotic tissue. Extension of clinical use of rAAV is, however, considerably hampered by difficulties involved in large-scale production of the virus particles. For several serotypes of rAAV these difficulties often arise from the fact that assembled virus particles mainly stay inside of packaging cells, inevitably requiring lysis of cells to harvest virus particles and consequentially complicating downstream purification processes. Here, we show that introduction of foreign viral envelope protein genes, encoding for either VSVG or rabiesG, into packaging cells can remarkably enhance cellular secretion of rAAV2, the AAV serotype most often used in clinical applications. In the presence of the foreign genes, up to 49% of transducing rAAV2 particles were secreted. However, such great enhancement was not observed for rAAV3. Our experimental tests with exosome inhibitors indicated that VSVG-mediated cellular secretion of rAAV2, unlike rabiesG-mediated one, heavily relies upon cellular pathways involving exosomes. Ultimately, an improved understanding of rAAV secretion mechanisms may simplify the production and purification processes for large-scale batches of the virus. (C) 2014 Elsevier B.V. All rights reserved.</t>
  </si>
  <si>
    <t>[Kotterman, Melissa A.; Koerber, James T.; Lim, Kwang-il] Univ Calif Berkeley, Dept Chem Engn &amp; Bioengn, Berkeley, CA 94720 USA; [Kotterman, Melissa A.; Koerber, James T.; Lim, Kwang-il] Univ Calif Berkeley, Helen Wills Neurosci Inst, Berkeley, CA 94720 USA; [Nam, Jung-soo; Cho, Young-hoo; Lim, Kwang-il] Sookmyung Womens Univ, Coll Sci, Dept Med &amp; Pharmaceut Sci, Seoul 140742, South Korea; [Kim, Seung-hyun; Jang, Jae-hyung] Yonsei Univ, Dept Chem &amp; Biomol Engn, Seoul 120749, South Korea</t>
  </si>
  <si>
    <t>University of California System; University of California Berkeley; University of California System; University of California Berkeley; Sookmyung Women's University; Yonsei University</t>
  </si>
  <si>
    <t>Lim, KI (corresponding author), Sookmyung Womens Univ, Coll Sci, Dept Med &amp; Pharmaceut Sci, 100 Cheongpa Ro 47-Gil, Seoul 140742, South Korea.</t>
  </si>
  <si>
    <t>klim@sm.ac.kr</t>
  </si>
  <si>
    <t>Kotterman, Melissa/J-3143-2019</t>
  </si>
  <si>
    <t>1369-703X</t>
  </si>
  <si>
    <t>1873-295X</t>
  </si>
  <si>
    <t>10.1016/j.bej.2014.09.015</t>
  </si>
  <si>
    <t>Biotechnology &amp; Applied Microbiology; Engineering, Chemical</t>
  </si>
  <si>
    <t>WOS:000347362100014</t>
  </si>
  <si>
    <t>Inaba, M; Yawata, A; Koshino, I; Sato, K; Takeuchi, M; Takakuwa, Y; Manno, S; Yawata, Y; Kanzaki, A; Sakai, J; Ban, A; Ono, K; Maede, Y</t>
  </si>
  <si>
    <t>Defective anion transport and marked spherocytosis with membrane instability caused by hereditary total deficiency of red cell band 3 in cattle due to a nonsense mutation</t>
  </si>
  <si>
    <t>band 3; anion transport; acid-base homeostasis; red cell membrane; hereditary spherocytosis</t>
  </si>
  <si>
    <t>N-(4-AZIDO-2-NITROPHENYL)-2-AMINOETHYLSULFONATE NAP-TAURINE; CYTOPLASMIC DOMAIN; BLOOD-CELL; ERYTHROID BAND-3; CYTOSKELETAL NETWORK; HEMOLYTIC-ANEMIA; COLLECTING DUCT; MOLECULAR-BASIS; PROTEIN; EXCHANGE</t>
  </si>
  <si>
    <t>We studied bovine subjects that exhibited a moderate uncompensated anemia with hereditary spherocytosis inherited in an autosomal incompletely dominant mode and retarded growth. Based on the results of SDS-PAGE, immunoblotting, and electron microscopic analysis by the freeze fracture method, we show here that the proband red cells lacked the band 3 protein completely. Sequence analysis of the proband band 3 cDNA and genomic DNA showed a C --&gt; T substitution resulting in a nonsense mutation (CGA --&gt; TGA; Arg --&gt; Stop) at the position corresponding to codon 646 in human red cell band 3 cDNA. The proband red cells were deficient in spectrin, ankyrin, actin, and protein 4.2, resulting in a distorted and disrupted membrane skeletal network with decreased density. Therefore, the proband red cell membranes were extremely unstable and showed the loss of surface area in several distinct ways such as invagination, vesiculation, and extrusion of microvesicles, leading to the formation of spherocytes. Total deficiency of band 3 also resulted in defective Cl-/HCO3- exchange, causing mild acidosis with decreases in the HCO3- concentration and total CO2 in the proband blood. Our results demonstrate that band 3 indeed contributes to red cell membrane stability, CO2 transport, and acid-base homeostasis, but is not always essential to the survival of this mammal.</t>
  </si>
  <si>
    <t>HOKKAIDO UNIV, FAC VET MED,DEPT VET INTERNAL MED, SAPPORO, HOKKAIDO 060, JAPAN; KAWASAKI MED SCH, DEPT MED,DIV HEMATOL ONCOL, KURASHIKI, OKAYAMA 70101, JAPAN; TOKYO WOMENS MED COLL, DEPT BIOCHEM, TOKYO 162, JAPAN; YAMAGATA PREFECTURAL FEDERAT AGR MUTUAL RELIEF AS, CTR VET CLIN, YAMAGATA 99021, JAPAN</t>
  </si>
  <si>
    <t>Hokkaido University; Kawasaki Medical School; Tokyo Women's Medical University</t>
  </si>
  <si>
    <t>Inaba, M (corresponding author), UNIV TOKYO, FAC AGR, DEPT VET CLIN PATHOBIOL, BUNKYO KU, YAYOI 1-1-1, TOKYO 113, JAPAN.</t>
  </si>
  <si>
    <t>Inaba, Mutsumi/A-4878-2012; Sato, Kota/G-1129-2012</t>
  </si>
  <si>
    <t>10.1172/JCI118610</t>
  </si>
  <si>
    <t>WOS:A1996UG08300004</t>
  </si>
  <si>
    <t>Goda, T; Masuno, K; Nishida, J; Kosaka, N; Ochiya, T; Matsumoto, A; Miyahara, Y</t>
  </si>
  <si>
    <t>Goda, Tatsuro; Masuno, Kozue; Nishida, Junko; Kosaka, Nobuyoshi; Ochiya, Takahiro; Matsumoto, Akira; Miyahara, Yuji</t>
  </si>
  <si>
    <t>A label-free electrical detection of exosomal microRNAs using microelectrode array</t>
  </si>
  <si>
    <t>SELF-ASSEMBLED MONOLAYERS; DNA HYBRIDIZATION; ADSORPTION; PROTEINS; MIR-146; SURFACE; RESIST; BODY</t>
  </si>
  <si>
    <t>We report a method for detecting microRNAs encapsulated in exosomes using a microelectrode array in semiconductor-based potentiometry after RT-PCR. The inherent miniaturization of the electrical biosensor meets requirements for massively parallel analysis of circulating microRNA as a noninvasive biomarker.</t>
  </si>
  <si>
    <t>[Goda, Tatsuro; Masuno, Kozue; Nishida, Junko; Matsumoto, Akira; Miyahara, Yuji] Tokyo Med &amp; Dent Univ, Inst Biomat &amp; Bioengn, Chiyoda Ku, Tokyo 1010062, Japan; [Kosaka, Nobuyoshi; Ochiya, Takahiro] Natl Canc Ctr, Res Inst, Div Mol &amp; Cellular Med, Chuo Ku, Tokyo 1040045, Japan</t>
  </si>
  <si>
    <t>Tokyo Medical &amp; Dental University (TMDU); National Cancer Center - Japan</t>
  </si>
  <si>
    <t>Miyahara, Y (corresponding author), Tokyo Med &amp; Dent Univ, Inst Biomat &amp; Bioengn, Chiyoda Ku, 2-3-10 Kanda Surugadai, Tokyo 1010062, Japan.</t>
  </si>
  <si>
    <t>miyahara@tmd.ac.jp</t>
  </si>
  <si>
    <t>Matsumoto, Akira/B-6935-2011; Ochiya, Takahiro/AAH-7585-2019; Goda, Tatsuro/B-6484-2011</t>
  </si>
  <si>
    <t>Matsumoto, Akira/0000-0002-7568-8677; Goda, Tatsuro/0000-0003-2688-8186</t>
  </si>
  <si>
    <t>10.1039/c2cc36111f</t>
  </si>
  <si>
    <t>WOS:000311287100003</t>
  </si>
  <si>
    <t>Xu, H; Fang, MD; Li, C; Zuo, BW; Ren, J; Zhang, YM</t>
  </si>
  <si>
    <t>Xu, Hao; Fang, Mengdie; Li, Chao; Zuo, Bowen; Ren, Juan; Zhang, Yanmei</t>
  </si>
  <si>
    <t>BORIS-mediated generation of circular RNAs induces inflammation</t>
  </si>
  <si>
    <t>Circular RNA; BORIS; RNA and DNA binding motif; inflammation; circRNA vaccine</t>
  </si>
  <si>
    <t>DOMAIN; CTCF</t>
  </si>
  <si>
    <t>Circular RNAs (circRNAs), which are more stable than linear mRNAs and long non-coding RNAs (LncRNAs), are detected in body fluids such as plasma, serum, and exosomes. Disease-associated circRNAs have significant clinical roles due to their diagnostic and prognostic values. Brother of regulator of imprinting site (BORIS) promotes cancer progression and is specifically highly expressed in the majority of carcinoma. However, the mechanism underlying the regulation of circRNAs by the oncoprotein BORIS and their role in regulating inflammation and immunity remain to be further explored. Vaccines prepared from circRNAs extracted from cancer cells showed that circRNAs induced inflammation and prevented cancer progression. Serum from animals injected with cancer cell-derived circRNAs vigorously reacted with cells that expressed cancer-specific antigen BORIS or cancer extracted circRNAs. It has been implicated that cancer-related circRNAs could be used as antigens to activate immune responses to prevent cancers and stimulate NF-kappa B signaling pathway by up-regulating and inducing TLR3. In the study we also found that BORIS regulated the expression of circRNAs and interacted with RNA motifs and the CCCTC binding factor (CTCF) motif adjacent to circRNA splicing sites to enhance the formation of circRNAs. Thus, our study delineated the novel mechanism by which cancer-specific antigen BORIS regulated circRNAs and identified that circRNAs could serve as a vaccine for cancer prevention.</t>
  </si>
  <si>
    <t>[Xu, Hao; Fang, Mengdie; Li, Chao; Zuo, Bowen; Ren, Juan; Zhang, Yanmei] Hangzhou Med Coll, Sch Lab Med &amp; Bioengn, Hangzhou 310013, Peoples R China</t>
  </si>
  <si>
    <t>Hangzhou Medical College</t>
  </si>
  <si>
    <t>Zhang, YM (corresponding author), Hangzhou Med Coll, Sch Lab Med &amp; Bioengn, Hangzhou 310013, Peoples R China.</t>
  </si>
  <si>
    <t>yanmeizhang@hmc.edu.cn</t>
  </si>
  <si>
    <t>10.1016/j.tranon.2022.101363</t>
  </si>
  <si>
    <t>WOS:000820837800002</t>
  </si>
  <si>
    <t>An, Y; Li, R; Zhang, F; He, PG</t>
  </si>
  <si>
    <t>An, Yu; Li, Rui; Zhang, Fan; He, Pingang</t>
  </si>
  <si>
    <t>A ratiometric electrochemical sensor for the determination of exosomal glycoproteins</t>
  </si>
  <si>
    <t>Exosomal glycoproteins; MPBA; FcNHSSNH2; SiO2@Ag; Ratiometric electrochemical sensor</t>
  </si>
  <si>
    <t>SIGNAL AMPLIFICATION; ASSAY</t>
  </si>
  <si>
    <t>Abnormal glycosylation of exosomal proteins is related to many diseases. However, there is still a lack of convenient and easy methods for the determination of exosomal glycoproteins. In this work, a ratiometric electrochemical sensor based on the recognition of glycoproteins by boronic acid and core-shell nanoparticles of silica-silver (SiO2@Ag) amplified signals was developed for the highly sensitive detection of exosomal glycoproteins. The CD63 aptamer-SiO2-N-(2-((2-aminoethyl)disulfanyl)ethyl) ferrocene carboxamide (FcNHSSNH2) probe was first connected to graphene oxide-cucurbit [7] (GO-CB [7]) modified GCE through host-guest recognition. The CD63 aptamer was employed for the specific capture of exosomes, and the FcNHSSNH2 molecule was used as the internal reference signal of the sensor. The mercaptophenylboronic acid (MPBA) of MPBA-SiO2@Ag probe was used for the identification of exosomes surface glycoproteins. SiO2 nanoparticle has a large specific surface area, which can load a large amount of silver nanoparticles (AgNPs) for electrochemical signal amplification. The results were expressed as the current ratio of AgNPs and FcNHSSNH2. The introduction of the internal reference molecule FcNHSSNH2 could effectively reduce the measurement error caused by the different DNA density of the substrate, and further improve the sensitivity and accuracy of the detection. Under the optimal experimental conditions, this sensor allowed the sensitive detection of exosomal glycoproteins in the range of 4.2 x 102 to 4.2 x 108 particles/mu L with a limit of detection (LOD) of 368 particles/mu L. Furthermore, the ratiometric electrochemical sensor could be employed for the detection of exosomal glycoproteins in human serum samples, which has a good clinical application prospect.</t>
  </si>
  <si>
    <t>[An, Yu; Li, Rui; Zhang, Fan; He, Pingang] East China Normal Univ, Sch Chem &amp; Mol Engn, 500 Dongchuan Rd, Shanghai 200241, Peoples R China</t>
  </si>
  <si>
    <t>10.1016/j.talanta.2021.122790</t>
  </si>
  <si>
    <t>WOS:000701202700006</t>
  </si>
  <si>
    <t>Schmidt, H; Kulasinghe, A; Kenny, L; Punyadeera, C</t>
  </si>
  <si>
    <t>Schmidt, Henri; Kulasinghe, Arutha; Kenny, Liz; Punyadeera, Chamindie</t>
  </si>
  <si>
    <t>The development of a liquid biopsy for head and neck cancers</t>
  </si>
  <si>
    <t>HNSCC; Liquid biopsy; Heterogeneity; ctDNA; CTC</t>
  </si>
  <si>
    <t>CIRCULATING TUMOR-CELLS; EPITHELIAL-MESENCHYMAL TRANSITION; DNA; CARCINOMA; METASTASIS; HPV; HETEROGENEITY; CHEMOTHERAPY; MANAGEMENT; MUTATIONS</t>
  </si>
  <si>
    <t>Developing non-invasive diagnostic tools in the field of head and neck oncology has been a challenge. Analysis of circulating tumour derivatives in a patient's blood has been explored in other solid cancers. This includes analysis of circulating tumour DNA, intact circulating tumour cells (CTCs) and exosomes. These circulating tumour derivatives provide avenues of investigation which can be representative of a patient's primary tumour signature and can be assessed from a patient's blood sample. In advanced stage cancer patients, these tumour derivatives are found in higher amounts, attributed to higher cellular turnover (apoptosis, autophagy), lysed CTCs and sloughing from necrotic tumours. Head and neck squamous cell carcinoma (HNSCC) patients often present with advanced disease associated with a poor 5-year survival of &lt;50%. Outside of sophisticated imaging and clinical examination, there is a lack of available biomarkers to measure disease burden, and/or response to therapy. Implementation of a liquid biopsy in HNSCC through serial blood samples has the potential to detect metastatic events earlier, thereby allowing better selection of appropriate treatment choices, predict prognosis in patients with potentially curable disease, monitor systemic therapies and residual disease post-treatment. (C) 2016 Elsevier Ltd. All rights reserved.</t>
  </si>
  <si>
    <t>[Schmidt, Henri; Kulasinghe, Arutha; Punyadeera, Chamindie] Queensland Univ Technol, Sch Biomed Sci, Inst Hlth &amp; Biomed Innovat, Room 603D,60 Musk Ave, Kelvin Grove, Qld 4059, Australia; [Kenny, Liz] Univ Queensland, Sch Med, Brisbane, Qld, Australia; [Kenny, Liz] Royal Brisbane &amp; Womens Hosp, Brisbane, Qld, Australia; [Kenny, Liz] Queensland Hlth, Cent Integrated Reg Canc Serv, Brisbane, Qld, Australia</t>
  </si>
  <si>
    <t>Queensland University of Technology (QUT); University of Queensland; Royal Brisbane &amp; Women's Hospital; Queensland Health</t>
  </si>
  <si>
    <t>Punyadeera, C (corresponding author), Queensland Univ Technol, Sch Biomed Sci, Inst Hlth &amp; Biomed Innovat, Room 603D,60 Musk Ave, Kelvin Grove, Qld 4059, Australia.</t>
  </si>
  <si>
    <t>Kulasinghe, Arutha/K-5044-2019; Punyadeera, Chamindie K/L-9038-2013</t>
  </si>
  <si>
    <t>Kulasinghe, Arutha/0000-0003-3224-7350; Punyadeera, Chamindie K/0000-0001-9039-8259</t>
  </si>
  <si>
    <t>10.1016/j.oraloncology.2016.07.014</t>
  </si>
  <si>
    <t>WOS:000384695400002</t>
  </si>
  <si>
    <t>Gustafsson, R; Zhang, SC; Masuyer, G; Dong, M; Stenmark, P</t>
  </si>
  <si>
    <t>Gustafsson, Robert; Zhang, Sicai; Masuyer, Geoffrey; Dong, Min; Stenmark, Pal</t>
  </si>
  <si>
    <t>Crystal Structure of Botulinum Neurotoxin A2 in Complex with the Human Protein Receptor SV2C Reveals Plasticity in Receptor Binding</t>
  </si>
  <si>
    <t>TOXINS</t>
  </si>
  <si>
    <t>botulinum toxin; cell surface receptor; N-linked glycosylation; neurotoxin; protein structure; protein-protein interaction; extracellular domain; membrane protein; structural biology; X-ray crystallography</t>
  </si>
  <si>
    <t>STRUCTURE VALIDATION; GENETIC DIVERSITY; SYNAPTOTAGMIN-I; TOXIN SUBTYPES; HIGH-AFFINITY; REFINEMENT; A1; GANGLIOSIDES; RECOGNITION; SPECIFICITY</t>
  </si>
  <si>
    <t>Botulinum neurotoxins (BoNTs) are a family of highly dangerous bacterial toxins, with seven major serotypes (BoNT/A-G). Members of BoNTs, BoNT/A1 and BoNT/B1, have been utilized to treat an increasing number of medical conditions. The clinical trials are ongoing for BoNT/A2, another subtype of BoNT/A, which showed promising therapeutic properties. Both BoNT/A1 and BoNT/A2 utilize three isoforms of synaptic vesicle protein SV2 (SV2A, B, and C) as their protein receptors. We here present a high resolution (2.0 angstrom) co-crystal structure of the BoNT/A2 receptor-binding domain in complex with the human SV2C luminal domain. The structure is similar to previously reported BoNT/A-SV2C complexes, but a shift of the receptor-binding segment in BoNT/A2 rotates SV2C in two dimensions giving insight into the dynamic behavior of the interaction. Small differences in key residues at the binding interface may influence the binding to different SV2 isoforms, which may contribute to the differences between BoNT/A1 and BoNT/A2 observed in the clinic.</t>
  </si>
  <si>
    <t>[Gustafsson, Robert; Masuyer, Geoffrey; Stenmark, Pal] Stockholm Univ, Dept Biochem &amp; Biophys, S-10691 Stockholm, Sweden; [Zhang, Sicai; Dong, Min] Boston Childrens Hosp, Dept Urol, Boston, MA 02115 USA; [Zhang, Sicai; Dong, Min] Harvard Med Sch, Dept Microbiol &amp; Immunobiol, Boston, MA 02115 USA; [Zhang, Sicai; Dong, Min] Harvard Med Sch, Dept Surg, Boston, MA 02115 USA</t>
  </si>
  <si>
    <t>Stockholm University; Harvard University; Boston Children's Hospital; Harvard University; Harvard Medical School; Harvard University; Harvard Medical School</t>
  </si>
  <si>
    <t>Stenmark, P (corresponding author), Stockholm Univ, Dept Biochem &amp; Biophys, S-10691 Stockholm, Sweden.;Dong, M (corresponding author), Boston Childrens Hosp, Dept Urol, Boston, MA 02115 USA.;Dong, M (corresponding author), Harvard Med Sch, Dept Microbiol &amp; Immunobiol, Boston, MA 02115 USA.;Dong, M (corresponding author), Harvard Med Sch, Dept Surg, Boston, MA 02115 USA.</t>
  </si>
  <si>
    <t>robert.gustafsson@dbb.su.se; sicai.zhang@childrens.harvard.edu; geoffrey.masuyer@dbb.su.se; min.dong@childrens.harvard.edu; stenmark@dbb.su.se</t>
  </si>
  <si>
    <t>Masuyer, Geoffrey/AAO-5977-2021</t>
  </si>
  <si>
    <t>Masuyer, Geoffrey/0000-0002-9527-2310; Stenmark, Pal/0000-0003-4777-3417; Gustafsson, Robert/0000-0002-4854-5531</t>
  </si>
  <si>
    <t>2072-6651</t>
  </si>
  <si>
    <t>10.3390/toxins10040153</t>
  </si>
  <si>
    <t>WOS:000435183700024</t>
  </si>
  <si>
    <t>Gao, ZB; Yuan, HJ; Mao, YH; Ding, LH; Effah, CY; He, ST; He, LL; Liu, LE; Yu, SC; Wang, YL; Wang, J; Tian, YM; Yu, F; Guo, HC; Miao, LJ; Qu, LB; Wu, YJ</t>
  </si>
  <si>
    <t>Gao, Zibo; Yuan, Huijie; Mao, Yanhua; Ding, Lihua; Effah, Clement Yaw; He, Sitian; He, Leiliang; Liu, Li-E; Yu, Songcheng; Wang, Yilin; Wang, Jia; Tian, Yongmei; Yu, Fei; Guo, Hongchao; Miao, Lijun; Qu, Lingbo; Wu, Yongjun</t>
  </si>
  <si>
    <t>In situ detection of plasma exosomal microRNA for lung cancer diagnosis using duplex-specific nuclease and MoS2 nanosheets</t>
  </si>
  <si>
    <t>MicroRNAs (miRNAs) encapsulated in tumor-derived exosomes are becoming ideal biomarkers for the early diagnosis and prognosis of lung cancer. However, the accuracy and sensitivity are often hampered by the extraction process of exosomal miRNA using traditional methods. Herein, this study developed a fluorogenic quantitative detection method for exosomal miRNA using the fluorescence quenching properties of molybdenum disulfide (MoS2) nanosheets and the enzyme-assisted signal amplification properties of duplex-specific nuclease (DSN). First, a fluorescently-labeled nucleic acid probe was used to hybridize the target miRNA to form a DNA/RNA hybrid structure. Under the action of the DSN, the DNA single strand in the DNA/RNA hybrid strand was selectively digested into smaller oligonucleotide fragments. At the same time, the released miRNA target triggers the next reaction cycle, so as to achieve signal amplification. Then, MoS2 was used to selectively quench the fluorescence of the undigested probe leaving the fluorescent signal of the fluorescently-labeled probe fragments. The fluorometric signals for miRNA-21 had a maximum excitation/emission wavelength of 488/518 nm. Most importantly, the biosensor was then applied for the accurate quantitative detection of miRNA-21 in exosome lysates extracted from human plasma and this method was able to successfully distinguish lung cancer patients from healthy people. This biosensor provides a simple, rapid, and a highly specific quantitative method for exosomal miRNA and has promising potential to be used in the early diagnosis of lung cancer.</t>
  </si>
  <si>
    <t>[Gao, Zibo; Yuan, Huijie; Mao, Yanhua; Ding, Lihua; Effah, Clement Yaw; He, Sitian; He, Leiliang; Liu, Li-E; Yu, Songcheng; Wang, Yilin; Wang, Jia; Tian, Yongmei; Yu, Fei; Guo, Hongchao; Wu, Yongjun] Zhengzhou Univ, Coll Publ Hlth, Zhengzhou 450001, Peoples R China; [Miao, Lijun] Zhengzhou Univ, Affiliated Hosp 1, Zhengzhou 450052, Peoples R China; [Qu, Lingbo] Zhengzhou Univ, Henan Joint Int Res Lab Green Construct Funct Mol, Zhengzhou 450001, Peoples R China</t>
  </si>
  <si>
    <t>Zhengzhou University; Zhengzhou University; Zhengzhou University</t>
  </si>
  <si>
    <t>Wu, YJ (corresponding author), Zhengzhou Univ, Coll Publ Hlth, Zhengzhou 450001, Peoples R China.</t>
  </si>
  <si>
    <t>wuyongjun135@126.com</t>
  </si>
  <si>
    <t>Effah, Clement Yaw/AAV-1741-2020</t>
  </si>
  <si>
    <t>Effah, Clement Yaw/0000-0002-9095-4558</t>
  </si>
  <si>
    <t>10.1039/d0an02193h</t>
  </si>
  <si>
    <t>WOS:000631575100015</t>
  </si>
  <si>
    <t>Liu, XC; Wang, HL; Yang, M; Hou, YF; Chen, YF; Bie, P</t>
  </si>
  <si>
    <t>Liu, Xingchao; Wang, Hailian; Yang, Mei; Hou, Yifu; Chen, Yunfei; Bie, Ping</t>
  </si>
  <si>
    <t>Exosomal miR-29b from cancer-associated fibroblasts inhibits the migration and invasion of hepatocellular carcinoma cells</t>
  </si>
  <si>
    <t>Cancer-associated fibroblasts; hepatocellular carcinoma (HCC); exosomes; miR29b; tumor microenvironment</t>
  </si>
  <si>
    <t>TUMOR MICROENVIRONMENT; METASTASIS; PROGNOSIS; APOPTOSIS; DELIVERY</t>
  </si>
  <si>
    <t>Background: Hepatocellular carcinoma (HCC) is often characterized by poor prognosis, high invasiveness and chemotherapeutic resistance, and its migration is strongly dependent on the specific tumor microenvironment. Fibroblasts, such as cancer-associated stromal fibroblasts (CAFs), are the main supporting cells in the tumor microenvironment. Thus, an understanding of how these cells communicate is required for HCC treatment. Methods: CAFs and paracancerous fibroblasts (PAFs) were isolated from patients' surgical specimens, followed by exosome isolation and miRNA sequencing. The expression levels of miR-29b in different cell groups were detected by qPCR assay. Cell transfection with exogenous miRNAs was used to study whether the stromal cells could transfer miRNAs to HCC cells. Based on the preliminary results, a miR-29b mimic, inhibitor or miR-nonspecific mimic (miR-NSM) was further transfected into HepG2 and Huh7 cells prior to scratch wound healing and cell invasion experiments. Finally, the transfected cells were stained with Hoechst 33348. Results: The direct transfer of miR-29b from CAFs to HCC cells through an exosome was observed in this study. DNA methyltransferase 3b (DNMT3b) expression was directly inhibited by miR-29b, while metastasis suppressor I (MTSS1) expression was upregulated in HCC cells. Such changes further induced growth arrest and inhibited HCC cell invasion. Conclusions: Exosomal miR-29b from CAFs can play a crucial role in the development, progression and metastasis of HCC. By functioning as a tumor suppressor that targets DNMT3b, miR-29b may serve as a potential therapeutic agent.</t>
  </si>
  <si>
    <t>[Liu, Xingchao; Bie, Ping] Third Mil Med Univ, Army Med Univ, Southwest Hosp, Dept Hepatobiliary Surg, Chongqing 400038, Peoples R China; [Liu, Xingchao; Wang, Hailian; Hou, Yifu; Chen, Yunfei] Univ Elect Sci &amp; Technol China, Sichuan Acad Med Sci, Organ Transplantat Ctr, Chengdu 610072, Peoples R China; [Liu, Xingchao; Wang, Hailian; Hou, Yifu; Chen, Yunfei] Univ Elect Sci &amp; Technol China, Sichuan Prov Peoples Hosp, Sch Med, Chengdu 610072, Peoples R China; [Wang, Hailian] Organ Transplantat Translat Med Key Lab Sichuan P, Chengdu 610072, Peoples R China; [Yang, Mei] Chengdu Space Hosp, Chengdu 610199, Peoples R China</t>
  </si>
  <si>
    <t>Army Medical University; Sichuan Provincial People's Hospital; University of Electronic Science &amp; Technology of China; Sichuan Provincial People's Hospital; University of Electronic Science &amp; Technology of China</t>
  </si>
  <si>
    <t>Liu, XC; Bie, P (corresponding author), Third Mil Med Univ, Army Med Univ, Southwest Hosp, Dept Hepatobiliary Surg, Chongqing 400038, Peoples R China.</t>
  </si>
  <si>
    <t>66704483@qq.com; pingbie2019@sina.com</t>
  </si>
  <si>
    <t>10.21037/tcr.2020.02.68</t>
  </si>
  <si>
    <t>WOS:000530914200046</t>
  </si>
  <si>
    <t>Pelegrin, P; Chaves-Pozo, E; Mulero, V; Meseguer, J</t>
  </si>
  <si>
    <t>Production and mechanism of secretion of interleukin-1 beta from the marine fish gilthead seabream</t>
  </si>
  <si>
    <t>interleukin-1 beta; ATP; cytokines; leaderless proteins</t>
  </si>
  <si>
    <t>MOLECULAR-CLONING; EXPRESSION ANALYSIS; RECEPTOR; PROTEINS; GENE; LIPOPOLYSACCHARIDE; MACROPHAGES; EXOCYTOSIS; IL-1-BETA; RELEASE</t>
  </si>
  <si>
    <t>Mammalian interleukin-1beta (IL-1beta) is a secretory cytokine lacking a signal peptide, which does not follow the classical endoplasmic reticulum to Golgi pathway of secretion. Its post-translational processing by IL-1beta-converting enzyme (ICE) and subsequent release from activated macrophages requires ATP acting on P2X(7) receptors. Little information is available on the production and release of fish IL-1beta, but the IL-1beta gene sequences reported to date lack a conserved ICE recognition site. We show for the first time that lipopolysaccharide (LPS)/macrophage-activating factor/bacterial DNA (VaDNA)-primed immune cells of the marine fish gilthead seabream (Sparus aurata) accumulate intracellular IL-1beta as a similar to30 kDa polypeptide (proIL-1beta). The combination of LPS and VaDNA was found to be synergistic, suggesting that each ligand is recognized by a different pattern recognition receptor. More importantly, addition of extracellular ATP does not promote IL-1beta secretion by immune cells and fails to induce phosphatidylserine flip. In contrast, gilthead seabream SAF-1 fibroblasts shed microvesicles containing a 22 kDa IL-1beta form within 30 min of activation with ATP. Notably, the post-translational processing of IL-1beta by SAF-1 cells is abrogated by a specific ICE inhibitor. (C) 2004 Elsevier Ltd. All rights reserved.</t>
  </si>
  <si>
    <t>Univ Murcia, Dept Cell Biol, Fac Biol, E-30100 Murcia, Spain</t>
  </si>
  <si>
    <t>University of Murcia</t>
  </si>
  <si>
    <t>Mulero, V (corresponding author), Univ Murcia, Dept Cell Biol, Fac Biol, Campus Univ Espinardo, E-30100 Murcia, Spain.</t>
  </si>
  <si>
    <t>vmulero@um.es</t>
  </si>
  <si>
    <t>Pelegrin, Pablo/M-2007-2014; Chaves-Pozo, Elena/H-5325-2015</t>
  </si>
  <si>
    <t>Pelegrin, Pablo/0000-0002-9688-1804; Chaves-Pozo, Elena/0000-0003-4030-1273</t>
  </si>
  <si>
    <t>10.1016/j.dci.2003.08.002</t>
  </si>
  <si>
    <t>WOS:000188375700005</t>
  </si>
  <si>
    <t>Ruhal, R; Kataria, R</t>
  </si>
  <si>
    <t>Ruhal, Rohit; Kataria, Rashmi</t>
  </si>
  <si>
    <t>Biofilm patterns in gram-positive and gram-negative bacteria</t>
  </si>
  <si>
    <t>MICROBIOLOGICAL RESEARCH</t>
  </si>
  <si>
    <t>Biofilms; Gram-positive; Gram-negative; Amyloid proteins; Adhesion; Quorum sensing</t>
  </si>
  <si>
    <t>STAPHYLOCOCCUS-AUREUS; PSEUDOMONAS-AERUGINOSA; EXTRACELLULAR DNA; ENTERIC PATHOGENS; MEMBRANE-VESICLES; TEICHOIC-ACIDS; COLONIZATION; MATRIX; INHIBITORS; MOTILITY</t>
  </si>
  <si>
    <t>The Gram-positive and Gram-negative bacteria are attributable to matrix-enclosed aggregates known as biofilms. Biofilms are root cause of industrial biofouling and characterized by antimicrobial resistance during infections. Many biofilm studies examine specific Gram type cultures, whereas nearly all biofilm communities in nature comprise both Gram-negative and Gram-positive bacteria. Thus, a greater understanding of the conserved themes in biofilm formation is required for common therapeutics. We tried to focus on common components which exist at each stage of biofilm development and regulation. The Lipopolysaccharides (LPS) and cell wall glyco-polymers of Gram-negative and Gram-positive bacteria seem to play similar roles during initial adhesion. The inhibition of the polymerization of amyloid-like proteins might impact the biofilms of both Gram-type bacteria. Enzymatic degradation of matrix components by glycoside hydrolase and DNase (nuclease) may disrupt both Gram-type biofilms. An additional common feature is the presence of membrane vesicles, and the potential of these vesicles requires further investigation. Genetic regulation by c-di-GMP is prominent in Gram-negative bacteria. However, quorum sensing (QS) may play a common regulation during biofilms dispersal. These studies are significant not only for common therapeutic against mixed biofilms, but for better understanding of bacterial interactions within natural or host infection environment as well.</t>
  </si>
  <si>
    <t>[Ruhal, Rohit] Reg Ctr Biotechnol, Faridabad, India; [Kataria, Rashmi] Delhi Technol Univ, Dept Biotechnol, Delhi, India</t>
  </si>
  <si>
    <t>Department of Biotechnology (DBT) India; Regional Centre for Biotechnology; Delhi Technological University</t>
  </si>
  <si>
    <t>Ruhal, R (corresponding author), Reg Ctr Biotechnol, Faridabad, India.</t>
  </si>
  <si>
    <t>rohit.sra@rcb.res.in</t>
  </si>
  <si>
    <t>Ruhal, Rohit/AAW-3451-2020</t>
  </si>
  <si>
    <t>Ruhal, Rohit/0000-0003-2532-4039</t>
  </si>
  <si>
    <t>0944-5013</t>
  </si>
  <si>
    <t>1618-0623</t>
  </si>
  <si>
    <t>10.1016/j.micres.2021.126829</t>
  </si>
  <si>
    <t>WOS:000688391000003</t>
  </si>
  <si>
    <t>Shapiro, AB; Ling, V</t>
  </si>
  <si>
    <t>Transport of LDS-751 from the cytoplasmic leaflet of the plasma membrane by the rhodamine-123-selective site of P-glycoprotein</t>
  </si>
  <si>
    <t>EUROPEAN JOURNAL OF BIOCHEMISTRY</t>
  </si>
  <si>
    <t>P-glycoprotein; multidrug resistance; rhodamine 123; Hoechst 33342; LDS-751</t>
  </si>
  <si>
    <t>MULTIDRUG-RESISTANCE; ENERGY-TRANSFER; DRUG EXTRUSION; GENE</t>
  </si>
  <si>
    <t>P-glycoprotein is an ATP-dependent transporter of an extremely wide variety of lipophilic compounds. We showed previously [Shapiro, A. B. &amp; Ling, V. (1997a) Eur: J. Biochem. 250, 130-137] that P-glycoprotein contains two drug transporting sites, dubbed H (for Hoechst 33342-selective) and R (for rhodamine-123-selective), that interact with positive cooperativity. The H site transports 2-[2-(4-ethoxyphenyl)-6-benzimidazolyl]-6-(1-methyl-4-piperazyl)benzimidazole (Hoechst 33342) from the cytoplasmic leaflet of the plasma membrane to the aqueous extracellular medium [Shapiro, A. B. gr Ling, V. (1997b) Eur J. Biochem. 250, 122-129]. The environment from which the R site transports its substrates is unknown. In this paper, we used the fluorescent DNA dye 2-{4-[4-(dimethylamino)phenyl]-1,3-butadienyl}-3-ethylbenzothiazolium perchlorate (LDS-751), a substrate of the R site, to address this issue. LDS-751 which, like Hoechst 33342, exhibits Lipid-dependent fluorescence and slow transleaflet diffusion, allowed us to use the same methodology that we used for the H site to study the location of the R site. As with Hoechst 33342, the specific initial rate of LDS-751 transport by P-glycoprotein-rich, isolated plasma membrane vesicles from CH(R)B30 cells was directly proportional to the amount of membrane-bound LDS-751 and inversely proportional to the concentration of free, aqueous LDS-751. This result demonstrates that the R site of P-glycoprotein transports LDS-751 out of the lipid membrane. The slight decrease, instead of an increase, in the initial rate of active transport of LDS-751 with the amount of time elapsed for slow diffusion of LDS-751 from the cytoplasmic leaflet to the extracellular leaflet indicates that the R site of P-glycoprotein removes LDS-751 from the cytoplasmic leaflet of the plasma membrane. Thus, both known drug-transporting sites of P-glycoprotein remove their substrates from the cytoplasmic leaflet. Since all of the P-glycoprotein substrates we have examined so far are recognized by one or both of the two known drug-transporting sites, these two sites in the cytoplasmic leaflet of the plasma membrane may be able to account for all substrate transport by P-glycoprotein.</t>
  </si>
  <si>
    <t>British Columbia Canc Res Ctr, Vancouver, BC V5Z 1L3, Canada</t>
  </si>
  <si>
    <t>British Columbia Cancer Agency</t>
  </si>
  <si>
    <t>Ling, V (corresponding author), British Columbia Canc Res Ctr, 601 W 10th Ave, Vancouver, BC V5Z 1L3, Canada.</t>
  </si>
  <si>
    <t>Shapiro, Adam/0000-0002-2662-6146</t>
  </si>
  <si>
    <t>0014-2956</t>
  </si>
  <si>
    <t>10.1046/j.1432-1327.1998.2540181.x</t>
  </si>
  <si>
    <t>WOS:000073841100027</t>
  </si>
  <si>
    <t>Chen, RD; Zhao, X; Wang, YX; Xie, YH; Liu, J</t>
  </si>
  <si>
    <t>Chen, Ruidong; Zhao, Xue; Wang, Yongxiang; Xie, Youhua; Liu, Jing</t>
  </si>
  <si>
    <t>Hepatitis B virus X protein is capable of down-regulating protein level of host antiviral protein APOBEC3G</t>
  </si>
  <si>
    <t>CYTIDINE DEAMINASES; HUMAN HEPATOCYTES; EXOSOME RELEASE; HBX PROTEIN; IFN-ALPHA; IN-VIVO; REPLICATION; INHIBITION; EXPRESSION; MATURATION</t>
  </si>
  <si>
    <t>The apolipoprotein B mRNA editing catalytic polypeptide-like (APOBEC) family proteins bind RNA and single-stranded DNA, and create C-to-U base modifications through cytidine deaminase activity. APOBEC3G restricts human immunodeficiency virus 1 (HIV-1) infection by creating hypermutations in proviral DNA, while HIV-1-encoded vif protein antagonizes such restriction by targeting APOBEC3G for degradation. APOBEC3G also inhibits hepatitis B virus (HBV): APOBEC3G co-expression inhibits HBV replication and evidences exist indicating APOBEC3G-mediated HBV hypermutations in patients. HBV encodes a small non-structural X protein (HBx) with a recognized activating effect on HBV life cycle. In this work, we report the discovery that HBx selectively and dose-dependently decreases the protein level of co-expressed APOBEC3G in transfected Huh-7 cells. The effect was shown to take place post-translationally, but does not rely on protein degradation via proteasome or lysosome. Further work demonstrated that intracellular APOBEC3G is normally exported via exosome secretion and inhibition of exosome biogenesis causes retention of intracellular APOBEC3G. Finally, HBx co-expression specifically enhanced externalization of APOBEC3G via exosomes, resulting in decrease of intracellular APOBEC3G protein level. These data suggest the possibility that in addition to other mechanisms, HBx-mediated activation of HBV might also involve antagonizing of intracellular restriction factor APOBEC3G through promotion of its export.</t>
  </si>
  <si>
    <t>[Chen, Ruidong; Zhao, Xue; Wang, Yongxiang; Xie, Youhua; Liu, Jing] Fudan Univ, Shanghai Med Coll, Key Lab Med Mol Virol MOE MOH, Shanghai 200032, Peoples R China; [Chen, Ruidong; Zhao, Xue; Wang, Yongxiang; Xie, Youhua; Liu, Jing] Fudan Univ, Inst Biomed Sci, Shanghai 200032, Peoples R China; [Zhao, Xue] Shanghai Municipal Ctr Dis Control &amp; Prevent, Microbiol Lab, Shanghai 200336, Peoples R China</t>
  </si>
  <si>
    <t>Fudan University; Fudan University; Shanghai Center for Disease Control &amp; Prevention</t>
  </si>
  <si>
    <t>Xie, YH; Liu, J (corresponding author), Fudan Univ, Shanghai Med Coll, Key Lab Med Mol Virol MOE MOH, Shanghai 200032, Peoples R China.;Xie, YH; Liu, J (corresponding author), Fudan Univ, Inst Biomed Sci, Shanghai 200032, Peoples R China.</t>
  </si>
  <si>
    <t>yhxie@fudan.edu.cn; liujing212@fudan.edu.cn</t>
  </si>
  <si>
    <t>10.1038/srep40783</t>
  </si>
  <si>
    <t>WOS:000392185000001</t>
  </si>
  <si>
    <t>Catanzaro, I; Schiera, G; Sciandrello, G; Barbata, G; Caradonna, F; Proia, P; Di Liegro, I</t>
  </si>
  <si>
    <t>Catanzaro, Irene; Schiera, Gabriella; Sciandrello, Giulia; Barbata, Giusi; Caradonna, Fabio; Proia, Patrizia; Di Liegro, Italia</t>
  </si>
  <si>
    <t>Biological effects of inorganic arsenic on primary cultures of rat astrocytes</t>
  </si>
  <si>
    <t>inorganic arsenic; astrocytes; cell damage; DNA damage; PIPPin</t>
  </si>
  <si>
    <t>COLD-SHOCK DOMAIN; MAMMALIAN-CELLS; PHYSIOLOGICAL SUBSTRATE; EXTRACELLULAR VESICLES; HUMAN HEALTH; BRAIN-CELLS; IN-VITRO; APOPTOSIS; TRIOXIDE; PROTEIN</t>
  </si>
  <si>
    <t>It is well established that inorganic arsenic induces neurotoxic effects and neurological defects in humans and laboratory animals. The cellular and molecular mechanisms of its actions, however, remain elusive. Herein we report the effects of arsenite (NaAsO2) on primary cultures of rat astrocytes. Cells underwent induction of heat shock protein 70 only at the highest doses of inorganic arsenic (30 and 60 mu M), suggesting a high threshold to respond to stress. We also investigated arsenic genotoxicity with the comet assay. Interestingly, although cells treated with 10 mu M arsenite for 24 h maintained &gt;70% viability, with respect to untreated cells, high DNA damage was already observed. Since arsenic is not known to be a direct-acting genotoxic agent, we investigated the possibility that its effects are due, in astrocytes as well, to ROS formation, as already described for other cell types. However, FACS analysis after CM-H(2)DCFDA staining did not evidence any significant increase of ROS production while, on the contrary, at the highest arsenite concentrations used, ROS production decreased. Concordantly, we found that, if most cells in the culture are still alive (i.e. up to 10 mu M arsenite), they show a treatment-dependent increase in the concentration of SOD1. On the other hand, SOD2 concentration did not change. Finally, we found that astrocytes also synthesize PIPPin, an RNA-binding protein, the concentration of which was recently reported to change in response to stress induced by cadmium. Here we also report that, in cells exposed to high doses of arsenite, an anti-PIPPin antibody-positive faster migrating protein appears.</t>
  </si>
  <si>
    <t>[Di Liegro, Italia] Univ Palermo, Dipartimento Biomed Sperimentale &amp; Neurosci Clin, Sez Sci Biochim, I-90127 Palermo, Italy; [Catanzaro, Irene; Sciandrello, Giulia; Barbata, Giusi; Caradonna, Fabio] Univ Palermo, Dipartimento Biol Cellulare &amp; Sviluppo, I-90127 Palermo, Italy; [Proia, Patrizia] Univ Palermo, Dipartimento Studi Giuridici Econ Biomed Psicosoc, I-90127 Palermo, Italy</t>
  </si>
  <si>
    <t>University of Palermo; University of Palermo; University of Palermo</t>
  </si>
  <si>
    <t>Di Liegro, I (corresponding author), Univ Palermo, Dipartimento Biomed Sperimentale &amp; Neurosci Clin, Sez Sci Biochim, Via Vespro 129, I-90127 Palermo, Italy.</t>
  </si>
  <si>
    <t>diliegro@unipa.it</t>
  </si>
  <si>
    <t>Caradonna, Fabio/D-7785-2017</t>
  </si>
  <si>
    <t>Caradonna, Fabio/0000-0002-7659-7312; Schiera, Gabriella/0000-0002-8638-6455; Di Liegro, Italia/0000-0002-0546-1274; Proia, Patrizia/0000-0002-0326-5560</t>
  </si>
  <si>
    <t>10.3892/ijmm_00000485</t>
  </si>
  <si>
    <t>WOS:000281917800002</t>
  </si>
  <si>
    <t>Das, D; Fayazzadeh, E; Li, X; Koirala, N; Wadera, A; Lang, M; Zernic, M; Panick, C; Nesbitt, P; McLennan, G</t>
  </si>
  <si>
    <t>Das, Dola; Fayazzadeh, Ehsan; Li, Xin; Koirala, Nischal; Wadera, Akshay; Lang, Min; Zernic, Maximilian; Panick, Catherine; Nesbitt, Pete; McLennan, Gordon</t>
  </si>
  <si>
    <t>Quiescent hepatic stellate cells induce toxicity and sensitivity to doxorubicin in cancer cells through a caspase-independent cell death pathway: Central role of apoptosis-inducing factor</t>
  </si>
  <si>
    <t>apoptosis-inducing factor; cell death; doxorubicin; hepatic stellate cell; hepatocellular carcinoma</t>
  </si>
  <si>
    <t>AIF NUCLEAR TRANSLOCATION; HEPATOCELLULAR-CARCINOMA; T-CELLS; FIBROBLASTS; EXOSOMES; CYCLOPHILIN; PROGRESSION; SURVIVAL</t>
  </si>
  <si>
    <t>Hepatocellular carcinoma (HCC) is a major health problem worldwide and in the United States as its incidence has increased substantially within the past two decades. HCC therapy remains a challenge, primarily due to underlying liver disorders such as cirrhosis that determines treatment approach and efficacy. Activated hepatic stellate cells (A-HSCs) are the key cell types involved in hepatic fibrosis/cirrhosis. A-HSCs are important constituents of HCC tumor microenvironment (TME) and support tumor growth, chemotherapy resistance, cancer cell migration, and escaping immune surveillance. This makes A-HSCs an important therapeutic target in hepatic fibrosis/cirrhosis as well as in HCC. Although many studies have reported the role of A-HSCs in cancer generation and investigated the therapeutic potential of A-HSCs reversion in cancer arrest, not much is known about inactivated or quiescent HSCs (Q-HSCs) in cancer growth or arrest. Here we report that Q-HSCs resist cancer cell growth by inducing cytotoxicity and enhancing chemotherapy sensitivity. We observed that the conditioned media from Q-HSCs (Q-HSCCM) induces cancer cell death through a caspase-independent mechanism that involves an increase in apoptosis-inducing factor expression, nuclear localization, DNA fragmentation, and cell death. We further observed that Q-HSCCM enhanced the efficiency of doxorubicin, as measured by cell viability assay. Exosomes present in the conditioned media were not involved in the mechanism, which suggests the role of other factors (proteins, metabolites, or microRNA) secreted by the cells. Identification and characterization of these factors are important in the development of effective HCC therapy.</t>
  </si>
  <si>
    <t>[Das, Dola; Fayazzadeh, Ehsan; Li, Xin; Koirala, Nischal; Wadera, Akshay; Lang, Min; Zernic, Maximilian; Panick, Catherine; McLennan, Gordon] Cleveland Clin, Dept Biomed Engn, Lerner Res Inst, ND20, Cleveland, OH 44195 USA; [Fayazzadeh, Ehsan; McLennan, Gordon] Cleveland Clin, Dept Diagnost Radiol, Sect Vasc &amp; Intervent Radiol, Imaging Inst, Cleveland, OH 44195 USA; [Li, Xin] Univ Penn, Dept Radiol, Philadelphia, PA 19104 USA; [Koirala, Nischal] Cleveland State Univ, Dept Chem &amp; Biomed Engn, Cleveland, OH 44115 USA; [Wadera, Akshay] New York Med Coll, Sch Med, New York, NY USA; [Lang, Min] Harvard Med Sch, Massachusetts Gen Hosp, Dept Radiol, Boston, MA 02115 USA; [Panick, Catherine] Oregon Hlth &amp; Sci Univ, Dotter Dept Intervent Radiol, Portland, OR 97201 USA; [Nesbitt, Pete] Lake Erie Coll Osteopath Med, Coll Osteopath Med, Erie, PA USA</t>
  </si>
  <si>
    <t>Cleveland Clinic Foundation; Cleveland Clinic Foundation; University of Pennsylvania; Cleveland State University; New York Medical College; Harvard University; Harvard Medical School; Massachusetts General Hospital; Oregon Health &amp; Science University</t>
  </si>
  <si>
    <t>McLennan, G (corresponding author), Cleveland Clin, Dept Biomed Engn, Lerner Res Inst, ND20, Cleveland, OH 44195 USA.</t>
  </si>
  <si>
    <t>mclenng@ccf.org</t>
  </si>
  <si>
    <t>McLennan, Gordon/ABB-6507-2021</t>
  </si>
  <si>
    <t>Fayazzadeh, Ehsan/0000-0003-3723-5826; McLennan, Gordon/0000-0002-9173-0898</t>
  </si>
  <si>
    <t>10.1002/jcp.29545</t>
  </si>
  <si>
    <t>WOS:000508957600001</t>
  </si>
  <si>
    <t>Pineiro-Perez, R; Abal, M; Muinelo-Romay, L</t>
  </si>
  <si>
    <t>Pineiro-Perez, Raquel; Abal, Miguel; Muinelo-Romay, Laura</t>
  </si>
  <si>
    <t>Liquid Biopsy for Monitoring EC Patients: Towards Personalized Treatment</t>
  </si>
  <si>
    <t>personalized medicine; endometrial cancer; liquid biopsy; monitoring markers; therapy selection</t>
  </si>
  <si>
    <t>CIRCULATING TUMOR-CELLS; CLINICAL-PRACTICE GUIDELINES; ENDOMETRIAL CANCER; FREE DNA; DIAGNOSIS; MUTATIONS; RECURRENCE; PLASMA; IDENTIFICATION; SENSITIVITY</t>
  </si>
  <si>
    <t>Simple Summary Although the field of liquid biopsy is clearly having an effect on other tumour types, in endometrial cancer (EC) there is important work to do to implement the analysis of circulating biomarkers into the clinical routine. One of the most evident contexts of application is the disease follow-up in both localized and advanced diseases, which at present is primarily made by imaging techniques. In the present review, we conducted an overview of the circulating biomarkers with the potential to be used as monitoring biomarkers in endometrial tumours and highlighted the key challenges for their translation into the patients' management in order to help researchers to better focus their work in this field. Endometrial cancer (EC) is the most frequent gynecological cancer in developed countries and its incidence shows an increasing trend. Fortunately, the prognosis of the disease is good when the tumour is diagnosed in an early phase, but some patients recur after surgery and develop distant metastasis. The therapy options for EC for advanced disease are more limited than for other tumours. Therefore, the application of non-invasive strategies to anticipate the recurrence of localized tumours and guide the treatment in advanced stages represents a clear requirement to improve the survival and quality of life of patients with EC. To achieve this desired precision oncology, it is necessary to invest in the identification and validation of circulating markers that allow a more effective stratification and monitoring of patients. We here review the main advances made for the evaluation of circulating tumour DNA (ctDNA), circulating tumour cells (CTCs), circulating extracellular vesicles (cEVs), and other non-invasive biomarkers as a monitoring tool in the context of localized and advanced endometrial tumours, with the aim of providing a global perspective of the achievements and the key areas in which the use of these markers can be developed into a real clinical tool.</t>
  </si>
  <si>
    <t>[Pineiro-Perez, Raquel; Abal, Miguel; Muinelo-Romay, Laura] Univ Hosp Santiago de Compostela SERGAS, Hlth Res Inst Santiago de Compostela IDIS, Translat Med Oncol Grp Oncomet, Trav Choupana S-N, Santiago De Compostela 15706, Spain; [Abal, Miguel; Muinelo-Romay, Laura] Ctr Invest Biomed Red Canc CIBERONC, Monforte de Lemos 3-5, Madrid 28029, Spain</t>
  </si>
  <si>
    <t>Complexo Hospitalario Universitario de Santiago de Compostela; CIBER - Centro de Investigacion Biomedica en Red; CIBERONC</t>
  </si>
  <si>
    <t>Abal, M; Muinelo-Romay, L (corresponding author), Univ Hosp Santiago de Compostela SERGAS, Hlth Res Inst Santiago de Compostela IDIS, Translat Med Oncol Grp Oncomet, Trav Choupana S-N, Santiago De Compostela 15706, Spain.;Abal, M; Muinelo-Romay, L (corresponding author), Ctr Invest Biomed Red Canc CIBERONC, Monforte de Lemos 3-5, Madrid 28029, Spain.</t>
  </si>
  <si>
    <t>raquel.pineiro.perez@rai.usc.es; miguel.abal.posada@sergas.es; laura.muinelo.romay@sergas.es</t>
  </si>
  <si>
    <t>Abal Posada, Miguel/0000-0003-3533-7781; Pineiro Perez, Raquel/0000-0003-3237-2901</t>
  </si>
  <si>
    <t>10.3390/cancers14061405</t>
  </si>
  <si>
    <t>WOS:000776967100001</t>
  </si>
  <si>
    <t>Wang, AL; Lukas, TJ; Yuan, M; Du, N; Handa, JT; Neufeld, AH</t>
  </si>
  <si>
    <t>Wang, Ai Ling; Lukas, Thomas J.; Yuan, Ming; Du, Nga; Handa, James T.; Neufeld, Arthur H.</t>
  </si>
  <si>
    <t>Changes in Retinal Pigment Epithelium Related to Cigarette Smoke: Possible Relevance to Smoking as a Risk Factor for Age-Related Macular Degeneration</t>
  </si>
  <si>
    <t>Age-related Macular Degeneration (AMD) is a major cause of central vision loss in the elderly and smoking is a primary risk factor associated with the prevalence and incidence of AMD. To better understand the cellular and molecular bases for the association between smoking and AMD, we determined the effects of Benzo(a) Pyrene (B(a) P), a toxic element in cigarette smoke, on cultured retinal pigment epithelia (RPE) and we examined the RPE/choroid from mice exposed to chronic cigarette smoke. We measured: mitochondrial DNA (mtDNA) damage, phagocytic activity, lysosomal enzymes, exosome markers and selected complement pathway components. In the presence of a non-cytotoxic dose of B(a) P, there was extensive mtDNA damage but no nuclear DNA damage. RPE phagocytic activity was not altered but there were increased lysosomal activity, exocytotic activity and complement pathway components. Retinas from mice exposed to cigarette smoke contained markers for mtDNA damage, exosomes and complement pathway components surrounding Bruch's membrane. Markers for these processes are found in drusen from AMD patients. Thus, smoking may cause damage to mtDNA and increased degradative processes in the RPE. These altered cell biological processes in the RPE may contribute to the formation of drusen in individuals who are cigarette smokers and underlie susceptibility to genetic mutations associated with AMD.</t>
  </si>
  <si>
    <t>a-wang@northwestern.edu</t>
  </si>
  <si>
    <t>e5304</t>
  </si>
  <si>
    <t>10.1371/journal.pone.0005304</t>
  </si>
  <si>
    <t>WOS:000265514400005</t>
  </si>
  <si>
    <t>Sunde, PT; Olsen, I; Debelian, GJ; Tronstad, L</t>
  </si>
  <si>
    <t>Microbiota of periapical lesions refractory to endodontic therapy</t>
  </si>
  <si>
    <t>JOURNAL OF ENDODONTICS</t>
  </si>
  <si>
    <t>DNA-DNA HYBRIDIZATION; PERIODONTITIS; TEETH; ENTEROCOCCI; INFECTION; PLAQUE</t>
  </si>
  <si>
    <t>The periapical microbiota of 36 teeth with refractory apical periodontitis was investigated. None of the teeth had responded to conventional endodontic or long-term (&gt; 6 months), calcium-hydroxide treatment. Eight patients had received antibiotics systemically. After anaerobic culture, a total of 148 microbial strains were detected among 67 microbial species. One of the 36 lesions was culture-negative. Approximately half (51.0%) of the bacterial strains were anaerobic. Gram-positive species constituted 79.5% of the flora. Facultative organisms, such as Staphylococcus, Enterococcus, Enterobacter, Pseudomonas, Stenotrophomonas, Sphingomonas, Bacillus, or Candida species were recovered from 27 of the lesions (75%). Sulfur granules were found in 9 lesions (25%). In these granules Actinomyces israelii, A. viscosus, A. naeslundii, and A. meyeri were identified. Other bacterial species, both Gram-positive and Gram-negative, were detected in the granules as well. Two sulfur granules did not contain Actinomyces. Scanning electron microscopy demonstrated rodand spirochete-like cells in the granules, and transmission electron microscopy revealed organisms with copious amounts of extracellular material. Outer membrane vesicles were also seen. Some of the granules were calcified. This study demonstrated a wide variety of microorganisms, particularly Gram-positive ones, in the periapical lesions of teeth with refractory apical periodontitis.</t>
  </si>
  <si>
    <t>Univ Oslo, Fac Dent, Inst Oral Biol, N-0316 Oslo, Norway; Univ Oslo, Dept Endodont, N-0316 Oslo, Norway</t>
  </si>
  <si>
    <t>Sunde, PT (corresponding author), Univ Oslo, Fac Dent, Inst Oral Biol, POB 1052, N-0316 Oslo, Norway.</t>
  </si>
  <si>
    <t>0099-2399</t>
  </si>
  <si>
    <t>10.1097/00004770-200204000-00011</t>
  </si>
  <si>
    <t>WOS:000174808100011</t>
  </si>
  <si>
    <t>Lepperdinger, G; Engel, E; Richter, K</t>
  </si>
  <si>
    <t>A retinoid-binding lipocalin, Xlcpl1, relevant for embryonic pattern formation is expressed in the nervous system of Xenopus laevis</t>
  </si>
  <si>
    <t>DEVELOPMENT GENES AND EVOLUTION</t>
  </si>
  <si>
    <t>Xenopus laevis embryo; lipocalin; neural plate; choroid plexus; retinoid binding</t>
  </si>
  <si>
    <t>IN-SITU HYBRIDIZATION; BETA-LACTOGLOBULIN; CARRIER PROTEINS; GENE-EXPRESSION; VITAMIN-A; ACID; ORGANIZER; ALIGNMENT; MOLECULES; INDUCTION</t>
  </si>
  <si>
    <t>The importance of retinoids in early development has been increasingly recognized during the past decade. Their transport and action are mediated by extracellular, intracellular and nuclear proteins. Here we describe the isolation and characterization of a cDNA, Xlcpl1, coding for a lipocalin that is most likely involved in the transport of retinoids in the embryonic nervous system of Xenopus laevis. Lipocalins generally are carriers for small hydrophobic molecules. The expression of Xlcpl1 shows a distinct spatial and temporal pattern: transcription was observed in the anterior-most part of the neural plate at embryonic stages 13-14 whereas in adult brain, Xlcpl1 is expressed exclusively in the choroid plexus. In addition, expression was also found at the dorsal borders of the eye anlagen and in the otic vesicle of mid-neurula stage embryos. In order to gain insight into the molecular function of Xlcpl1, we caused ectopic overexpression by injecting fertilized eggs with either an excess of sense mRNA or DNA constructs under the control of the EF1 alpha promotor. The resulting embryos developed a dysmorphogenised anterior neural system, in particular malformed heads and eyes. Phenotypic defects were therefore similar to those obtained by retinoic acid treatment at the gastrula stage or overexpression of other proteins involved in retinoic acid signalling in the early embryo. Retinoic acid treatment disrupts the endogenous gradient of retinoids that supposedly controls antero-posterior differentiation. By analogy, we propose that local overexpression of Xlcpl1 reflects precisely the situation of exogenous application of retinoic acid. In fact, we have shown biochemically that Xlcpl1 is suited to mediate the cellular retinoid signal.</t>
  </si>
  <si>
    <t>SALZBURG UNIV, INST GENET &amp; GEN BIOL, A-5020 SALZBURG, AUSTRIA</t>
  </si>
  <si>
    <t>Salzburg University</t>
  </si>
  <si>
    <t>Lepperdinger, G (corresponding author), AUSTRIAN ACAD SCI, INST MOL BIOL, BILLROTHSTR 11, A-5020 SALZBURG, AUSTRIA.</t>
  </si>
  <si>
    <t>Lepperdinger, Gunter/0000-0002-4265-4489</t>
  </si>
  <si>
    <t>0949-944X</t>
  </si>
  <si>
    <t>1432-041X</t>
  </si>
  <si>
    <t>10.1007/s004270050105</t>
  </si>
  <si>
    <t>Cell Biology; Evolutionary Biology; Developmental Biology</t>
  </si>
  <si>
    <t>WOS:A1997XW36600005</t>
  </si>
  <si>
    <t>Bosnjak, M; Ristic, B; Arsikin, K; Mircic, A; Suzin-Zivkovic, V; Perovic, V; Bogdanovic, A; Paunovic, V; Markovic, I; Bumbasirevic, V; Trajkovic, V; Harhaji-Trajkovic, L</t>
  </si>
  <si>
    <t>Bosnjak, Mihajlo; Ristic, Biljana; Arsikin, Katarina; Mircic, Aleksandar; Suzin-Zivkovic, Violeta; Perovic, Vladimir; Bogdanovic, Andrija; Paunovic, Verica; Markovic, Ivanka; Bumbasirevic, Vladimir; Trajkovic, Vladimir; Harhaji-Trajkovic, Ljubica</t>
  </si>
  <si>
    <t>Inhibition of mTOR-Dependent Autophagy Sensitizes Leukemic Cells to Cytarabine-Induced Apoptotic Death</t>
  </si>
  <si>
    <t>OXIDATIVE STRESS; TARGETING AUTOPHAGY; RESISTANCE; PHOSPHORYLATION; ACTIVATION; MECHANISM; PATHWAY</t>
  </si>
  <si>
    <t>The present study investigated the role of autophagy, a cellular self-digestion process, in the cytotoxicity of antileukemic drug cytarabine towards human leukemic cell lines (REH, HL-60, MOLT-4) and peripheral blood mononuclear cells from leukemic patients. The induction of autophagy was confirmed by acridine orange staining of intracellular acidic vesicles, electron microscopy visualization of autophagic vacuoles, as well as by the increase in autophagic proteolysis and autophagic flux, demonstrated by immunoblot analysis of p62 downregulation and LC3-I conversion to autophagosome-associated LC3-II in the presence of proteolysis inhibitors, respectively. Moreover, the expression of autophagy-related genes Atg4, Atg5 and Atg7 was stimulated by cytarabine in REH cells. Cytarabine reduced the phosphorylation of the major negative regulator of autophagy, mammalian target of rapamycin (mTOR), and its downstream target p70S6 kinase in REH cells, which was associated with downregulation of mTOR activator Akt and activation of extracellular signal-regulated kinase. Cytarabine had no effect on the activation of mTOR inhibitor AMP-activated protein kinase. Leucine, an mTOR activator, reduced both cytarabine-induced autophagy and cytotoxicity. Accordingly, pharmacological downregulation of autophagy with bafilomycin A1 and chloroquine, or RNA interference-mediated knockdown of LC3 beta or p62, markedly increased oxidative stress, mitochondrial depolarization, caspase activation and subsequent DNA fragmentation and apoptotic death in cytarabine-treated REH cells. Cytarabine also induced mTOR-dependent cytoprotective autophagy in HL-60 and MOLT-4 leukemic cell lines, as well as primary leukemic cells, but not normal leukocytes. These data suggest that the therapeutic efficiency of cytarabine in leukemic patients could be increased by the inhibition of the mTOR-dependent autophagic response.</t>
  </si>
  <si>
    <t>[Bosnjak, Mihajlo; Mircic, Aleksandar; Suzin-Zivkovic, Violeta; Bumbasirevic, Vladimir] Univ Belgrade, Sch Med, Inst Histol &amp; Embryol, Belgrade, Serbia; [Ristic, Biljana; Arsikin, Katarina; Perovic, Vladimir; Paunovic, Verica; Trajkovic, Vladimir] Univ Belgrade, Sch Med, Inst Microbiol &amp; Immunol, Belgrade, Serbia; [Bogdanovic, Andrija] Univ Belgrade, Sch Med, Clin Ctr Serbia, Clin Hematol, Belgrade, Serbia; [Markovic, Ivanka] Univ Belgrade, Sch Med, Inst Med &amp; Clin Biochem, Belgrade, Serbia; [Harhaji-Trajkovic, Ljubica] Univ Belgrade, Inst Biol Res, Belgrade, Serbia</t>
  </si>
  <si>
    <t>University of Belgrade; University of Belgrade; Clinical Centre of Serbia; University of Belgrade; University of Belgrade; University of Belgrade</t>
  </si>
  <si>
    <t>Trajkovic, V (corresponding author), Univ Belgrade, Sch Med, Inst Microbiol &amp; Immunol, Dr Subotica 1, Belgrade, Serbia.</t>
  </si>
  <si>
    <t>vtrajkovic@med.bg.ac.rs; buajk@yahoo.com</t>
  </si>
  <si>
    <t>Bogdanovic, Andrija/AAF-2505-2020; Markovic, Ivanka/AAJ-1243-2020</t>
  </si>
  <si>
    <t>Bogdanovic, Andrija/0000-0002-8288-7308; Ristic, Biljana/0000-0002-7255-6556; Trajkovic, Vladimir/0000-0002-8061-2968; Harhaji-Trajkovic, Ljubica/0000-0001-8757-555X; Paunovic, Verica/0000-0002-4912-7761; bosnjak, mihajlo/0000-0002-5973-8275; Perovic, Vladimir/0000-0002-1994-1738; Markovic, Ivanka/0000-0002-7961-3752</t>
  </si>
  <si>
    <t>e94374</t>
  </si>
  <si>
    <t>10.1371/journal.pone.0094374</t>
  </si>
  <si>
    <t>WOS:000334160900123</t>
  </si>
  <si>
    <t>Birts, CN; Barton, CH; Wilton, DC</t>
  </si>
  <si>
    <t>Birts, Charles N.; Barton, C. Howard; Wilton, David C.</t>
  </si>
  <si>
    <t>A catalytically independent physiological function for human acute phase protein group IIA phospholipase A(2) - Cellular uptake facilitates cell debris removal</t>
  </si>
  <si>
    <t>ARGININE-RICH PEPTIDES; PENETRATING PEPTIDES; HEPARAN-SULFATE; ANTIBACTERIAL PROPERTIES; INTERFACIAL BINDING; LIPOPROTEIN-LIPASE; HUMAN NEUTROPHILS; ESCHERICHIA-COLI; ARACHIDONIC-ACID; PLASMA-MEMBRANE</t>
  </si>
  <si>
    <t>Human group IIA phospholipase A(2) (IIA PLA(2)) is an acute phase protein first identified at high concentrations in synovial fluid from patients with rheumatoid arthritis. Its physiological role has since been debated; the enzyme has a very high affinity for anionic phospholipid interfaces but expresses almost zero activity with zwitter-ionic phospholipid substrates, because of a lack of interfacial binding. We have prepared the cysteine-containing mutant (S74C) to allow the covalent attachment of fluorescent reporter groups. We show that fluorescently labeled IIA was taken up by phorbol 12-myristate 13-acetate-activated THP-1 cells in an energy-dependent process involving cell surface heparan sulfate proteoglycans. Uptake concurrently involved significant cell swelling, characteristic of macropinocytosis and the fluorescent enzyme localized to the nucleus. The endocytic process did not necessitate enzyme catalysis, ruling out membrane phospholipid hydrolysis as an essential requirement. The enzyme produced supramolecular aggregates with anionic phospholipid vesicles as a result of bridging between particles, a property that is unique to this globally cationic IIA PLA2. Uptake of such aggregates labeled with fluorescent anionic phospholipid was dramatically enhanced by the IIA protein, and uptake involved binding to heparan sulfate proteoglycans on activated THP-1 cells. A physiological role for this protein is proposed that involves the removal of anionic extracellular cell debris, including anionic microparticles generated as a result of trauma, infection, and the inflammatory response, and under such conditions serum levels of IIA PLA2 can increase similar to 1000-fold. A similar pathway may be significant in the uptake into cells of anionic vector DNA involving cationic lipid transfection protocols.</t>
  </si>
  <si>
    <t>[Birts, Charles N.; Barton, C. Howard; Wilton, David C.] Univ Southampton, Sch Biol Sci, Southampton SO16 7PX, Hants, England</t>
  </si>
  <si>
    <t>University of Southampton</t>
  </si>
  <si>
    <t>Wilton, DC (corresponding author), Univ Southampton, Sch Biol Sci, Basett Crescent E, Southampton SO16 7PX, Hants, England.</t>
  </si>
  <si>
    <t>dcw@soton.ac.uk</t>
  </si>
  <si>
    <t>Birts, Charles N/N-9845-2013</t>
  </si>
  <si>
    <t>Birts, Charles/0000-0002-0368-8766</t>
  </si>
  <si>
    <t>FEB 22</t>
  </si>
  <si>
    <t>10.1074/jbc.M708844200</t>
  </si>
  <si>
    <t>WOS:000253426500061</t>
  </si>
  <si>
    <t>Akao, T; Yamaguchi, M; Yahara, A; Yoshiuchi, K; Fujita, H; Yamada, O; Akita, O; Ohmachi, T; Asada, Y; Yoshida, T</t>
  </si>
  <si>
    <t>Cloning and expression of 1,2-alpha-mannosidase gene (fmanIB) from filamentous fungus Aspergillus oryzae: in vivo visualization of the FmanIBp-GFP fusion protein</t>
  </si>
  <si>
    <t>BIOSCIENCE BIOTECHNOLOGY AND BIOCHEMISTRY</t>
  </si>
  <si>
    <t>alpha-mannosidase; N-glycosylation; green fluorescent protein; filamentous fungus; Aspergillus</t>
  </si>
  <si>
    <t>GREEN FLUORESCENT PROTEIN; SOLID-STATE CULTURE; MOLECULAR-CLONING; 1,2-ALPHA-D-MANNOSIDASE GENE; ENDOPLASMIC-RETICULUM; ENZYMATIC-PROPERTIES; NUCLEOTIDE-SEQUENCE; ALPHA-MANNOSIDASE; RNTA-EGFP; SECRETION</t>
  </si>
  <si>
    <t>1,2-alpha-Mannosidase catalyzes the specific cleavage of 1,2-alpha-mannose residues from protein-linked N-glycan. In this study, a novel DNA sequence homologous to the authentic 1,2-alpha-mannosidase was cloned from a cDNA library prepared from solid-state cultured Aspergillus oryzae. The fmanIB cDNA consisted of 1530 nucleotides and encoded a protein of 510 amino acids in which all consensus motifs of the class I a-mannosidase were conserved. Expression of the full length of 1,2-alpha-mannosidase cDNA by the Aspergillus host, though it has rarely been done with other filamentous-fungal mannosidase, was successful with fmanIB and caused an increase in both intracellular and extracellular mannosidase activity. The expressed protein (FmanlBp) specifically hydrolyzed 1,2-alpha-mannobiose with maximal activity at a pH of 5.5 and a temperature of 45 degrees C. With Man(9)GlcNAc(2) as the substrate, Man(5)GlcNAc(2) finally accumulated while hydrolysis of the 1,2-alpha-mannose residue of the middle branch was rate-limiting. To examine the intracellular localization of the enzyme, a chimeric protein of FmanlBp with green fluorescent protein was constructed. It showed a dotted fluorescence pattern in the mycelia of Aspergillus, indicative of the localization in intracellular vesicles. Based on these enzymatic and microscopic results, we estimated that FmanlBp is a fungal substitute for the mammalian Golgi 1,2-alpha-mannosidase isozyme IB. This and our previous report on the presence of another ER-type mannosidase in A. oryzae (Yoshida et al, 2000) support the notion that the filamentous fungus has similar steps of N-linked glycochain trimming to those in mammalian cells.</t>
  </si>
  <si>
    <t>Hirosaki Univ, Fac Agr &amp; Life Sci, Hirosaki, Aomori 0368561, Japan; Natl Res Inst Brewing, Hiroshima 7390046, Japan; Hiroshima Univ, Grad Sch Adv Sci Matter, Hiroshima 7398530, Japan</t>
  </si>
  <si>
    <t>Hirosaki University; Hiroshima University</t>
  </si>
  <si>
    <t>Yoshida, T (corresponding author), Hirosaki Univ, Fac Agr &amp; Life Sci, 3 Bunkyo, Hirosaki, Aomori 0368561, Japan.</t>
  </si>
  <si>
    <t>ytakashi@cc.hirosaki-u.ac.jp</t>
  </si>
  <si>
    <t>0916-8451</t>
  </si>
  <si>
    <t>1347-6947</t>
  </si>
  <si>
    <t>10.1271/bbb.70.471</t>
  </si>
  <si>
    <t>Biochemistry &amp; Molecular Biology; Biotechnology &amp; Applied Microbiology; Chemistry, Applied; Food Science &amp; Technology</t>
  </si>
  <si>
    <t>Biochemistry &amp; Molecular Biology; Biotechnology &amp; Applied Microbiology; Chemistry; Food Science &amp; Technology</t>
  </si>
  <si>
    <t>WOS:000235759800021</t>
  </si>
  <si>
    <t>WAISMAN, DM</t>
  </si>
  <si>
    <t>ANNEXIN II TETRAMER - STRUCTURE AND FUNCTION</t>
  </si>
  <si>
    <t>ANNEXINS; PHOSPHORYLATION; CALCIUM BINDING; PHOSPHOLIPIDS; MEMBRANE BRIDGING; CELL-CELL INTERACTION; DNA POLYMERASE</t>
  </si>
  <si>
    <t>PROTEIN-KINASE-C; ADRENAL CHROMAFFIN CELLS; PRIMER RECOGNITION PROTEINS; ROUS-SARCOMA VIRUS; DNA POLYMERASE-ALPHA; PLACENTAL ANTICOAGULANT PROTEIN; CALCIUM-DEPENDENT EXOCYTOSIS; CA-2+-DEPENDENT PHOSPHOLIPID-BINDING; MATRIX VESICLE PROTEINS; GROWTH PLATE CARTILAGE</t>
  </si>
  <si>
    <t>The annexins are a family of proteins that bind acidic phospholipids in the presence of Ca2+. The interaction of these proteins with biological membranes has led to the suggestion that these proteins may play a role in membrane trafficking events such as exocytosis, endocytosis and cell-cell adhesion. One member of the annexin family, annexin II, has been shown to exist as a monomer, heterodimer or heterotetramer. The ability of annexin II tetramer to bridge secretory granules to plasma membrane has suggested that this protein may play a role in Ca2+-dependent exocytosis. Annexin II tetramer has also been demonstrated on the extracellular face of some metastatic cells where it mediates the binding of certain metastatic cells to normal cells. Annexin II tetramer is a major cellular substrate of protein kinase C and pp60(src). Phosphorylation of annexin II tetramer is a negative modulator of protein function.</t>
  </si>
  <si>
    <t>WAISMAN, DM (corresponding author), UNIV CALGARY, FAC MED, DEPT MED BIOCHEM, CALGARY, AB T2N 4N1, CANADA.</t>
  </si>
  <si>
    <t>Waisman, David/0000-0002-5097-9662</t>
  </si>
  <si>
    <t>AUG-SEP</t>
  </si>
  <si>
    <t>10.1007/BF01076592</t>
  </si>
  <si>
    <t>WOS:A1995TD09000036</t>
  </si>
  <si>
    <t>Krug, LT</t>
  </si>
  <si>
    <t>Krug, Laurie T.</t>
  </si>
  <si>
    <t>Complexities of gammaherpesvirus transcription revealed by microarrays and RNAseq</t>
  </si>
  <si>
    <t>CURRENT OPINION IN VIROLOGY</t>
  </si>
  <si>
    <t>DEPENDENT DNA-REPLICATION; HERPESVIRUS USES; VIRAL MIRNAS; IDENTIFICATION; MICRORNAS; HOST; EXPRESSION; EXOSOMES; GENOME; GENES</t>
  </si>
  <si>
    <t>Technological advances in genome-wide transcript analysis, referred to as the transcriptome, using microarrays and deep RNA sequencing methodologies are rapidly extending our understanding of the genetic content of the gammaherpesviruses (gamma HVs). These vast transcript analyses continue to uncover the complexity of coding transcripts due to alternative splicing, translation initiation and termination, as well as regulatory RNAs of the gamma HVs. A full assessment of the transcriptome requires that our analysis be extended to the virion and exosomes of infected cells since viral and host mRNAs, miRNAs, and other noncoding RNAs seem purposefully incorporated to exert function upon delivery to naive cells. Understanding the regulation, biogenesis and function of the recently discovered transcripts will extend beyond pathogenesis and oncogenic events to offer key insights for basic RNA processes of the cell.</t>
  </si>
  <si>
    <t>SUNY Stony Brook, Dept Mol Genet &amp; Microbiol, Stony Brook, NY 11794 USA</t>
  </si>
  <si>
    <t>State University of New York (SUNY) System; State University of New York (SUNY) Stony Brook</t>
  </si>
  <si>
    <t>Krug, LT (corresponding author), SUNY Stony Brook, Dept Mol Genet &amp; Microbiol, Stony Brook, NY 11794 USA.</t>
  </si>
  <si>
    <t>laurie.krug@stonybrook.edu</t>
  </si>
  <si>
    <t>Krug, Laurie T/H-5315-2019</t>
  </si>
  <si>
    <t>Krug, Laurie T/0000-0002-9648-522X</t>
  </si>
  <si>
    <t>1879-6257</t>
  </si>
  <si>
    <t>10.1016/j.coviro.2013.04.006</t>
  </si>
  <si>
    <t>WOS:000322416300009</t>
  </si>
  <si>
    <t>Dettenhofer, M; Yu, XF</t>
  </si>
  <si>
    <t>Highly purified human immunodeficiency virus type 1 reveals a virtual absence of vif in virions</t>
  </si>
  <si>
    <t>PROVIRAL DNA-SYNTHESIS; CYCLOPHILIN-A; HIV-1 VIRIONS; HTLV-III/LAV; SOR GENE; CYTOPLASMIC DOMAIN; RESTRICTIVE CELLS; TERMINAL DOMAIN; MATRIX PROTEIN; INFECTED-CELLS</t>
  </si>
  <si>
    <t>The vif gene of human immunodeficiency virus type 1 (HIV-1) is essential for the productive infection of primary blood-derived lymphocytes, macrophages, and certain human T-cell lines. It has been shown that Vif is associated with HIV-1 virions purified by sucrose density-equilibrium gradient analysis. However, the specificity of Vif incorporation into virions has not been determined. Moreover, recent studies have demonstrated that standard HIV-1 particle preparations created with sucrose density-equilibrium gradients are contaminated with cell-derived microvesicles. Here we demonstrate, as previously reported, that Vif cosediments with HIV-1 particles in sucrose density-equilibrium gradient analysis. However, we also found that, when Vif was expressed in the absence of all other HIV-1-encoded gene products and then isolated by sucrose density-equilibrium gradient centrifugation from extracellular supernatants, its sedimentation pattern was largely unaltered, suggesting that Vif can be secreted from cells. Using a newly developed OptiPrep velocity gradient method, we were able to physically separate most of the extracellular Vif from the HIV-1 virions without disrupting the infectivity of the virus. By titrating serial dilutions of purified Vif and Gag against the viral peak fraction in the OptiPrep gradient, we demonstrate that &lt;1.0 Vif molecule per virion was present. This study shows that Vif is not significantly present in HIV-1 virions, a finding which is consistent with the idea that Vif functions predominantly in the virus-producing cells during virus assembly, The OptiPrep velocity gradient technique described here could be an easy and rapid way to purify HIV and other enveloped viruses from microvesicles and/or cell debris.</t>
  </si>
  <si>
    <t>Johns Hopkins Univ, Sch Hyg &amp; Publ Hlth, Dept Mol Microbiol &amp; Immunol, Baltimore, MD 21205 USA</t>
  </si>
  <si>
    <t>Yu, XF (corresponding author), Johns Hopkins Univ, Sch Hyg &amp; Publ Hlth, Dept Mol Microbiol &amp; Immunol, 615 N Wolfe St, Baltimore, MD 21205 USA.</t>
  </si>
  <si>
    <t>xfyu@jhsph.edu</t>
  </si>
  <si>
    <t>Dettenhofer, Markus/ABB-9840-2021</t>
  </si>
  <si>
    <t>Dettenhofer, Markus/0000-0003-1972-7026</t>
  </si>
  <si>
    <t>10.1128/JVI.73.2.1460-1467.1999</t>
  </si>
  <si>
    <t>WOS:000078017500067</t>
  </si>
  <si>
    <t>Cathcart, N; Chen, JIL</t>
  </si>
  <si>
    <t>Cathcart, Nicole; Chen, Jennifer I. L.</t>
  </si>
  <si>
    <t>Sensing Biomarkers with Plasmonics</t>
  </si>
  <si>
    <t>RESONANCE SPECTROSCOPY; GOLD NANOPARTICLES; IN-VITRO; SILVER NANOPARTICLES; OPTICAL-PROPERTIES; NUCLEIC-ACIDS; SURFACE; SENSORS; HYBRIDIZATION; DIAGNOSIS</t>
  </si>
  <si>
    <t>The detection of biomarkers is critical for enabling early disease diagnosis, monitoring the progression, and tracking the effectiveness of therapeutic intervention. Plasmonic sensors exhibit a broad range of analytical capabilities, from the rapid generation of colorimetric readouts to single-molecule sensitivity in ultralow sample volumes, which have led to their increased exploration in bioanalysis and point-of-care applications. This perspective presents selected accounts of recent developments on the different types of plasmonic sensing platforms, the pervasive challenges, and outlook on the pathway to translation. We highlight the sensing of upcoming biomarkers, including micro-RNA, circulating tumor cells, exosomes, and cell-free DNA, and discuss the opportunity of utilizing plasmonic nanomaterials and tools for biomarker detection beyond biofluids, such as in tissues, organs, and disease sites. The integration of plasmonic biosensors with established and upcoming technologies of instrumentation, sample pretreatment, and data analysis will help realize their translation to clinical settings for improving healthcare and enhancing the quality of life.</t>
  </si>
  <si>
    <t>[Cathcart, Nicole; Chen, Jennifer I. L.] York Univ, Dept Chem, Toronto, ON M3J 1P3, Canada</t>
  </si>
  <si>
    <t>York University - Canada</t>
  </si>
  <si>
    <t>Chen, JIL (corresponding author), York Univ, Dept Chem, Toronto, ON M3J 1P3, Canada.</t>
  </si>
  <si>
    <t>jilchen@yorku.ca</t>
  </si>
  <si>
    <t>Cathcart, Nicole/ABD-5578-2021</t>
  </si>
  <si>
    <t>Cathcart, Nicole/0000-0002-3777-0733</t>
  </si>
  <si>
    <t>10.1021/acs.analchem.0c00711</t>
  </si>
  <si>
    <t>WOS:000538417400002</t>
  </si>
  <si>
    <t>Rajaganapathy, BR; Chancellor, MB; Nirmal, J; Dang, L; Tyagi, P</t>
  </si>
  <si>
    <t>Rajaganapathy, Bharathi Raja; Chancellor, Michael B.; Nirmal, Jayabalan; Dang, Loan; Tyagi, Pradeep</t>
  </si>
  <si>
    <t>Bladder Uptake of Liposomes after Intravesical Administration Occurs by Endocytosis</t>
  </si>
  <si>
    <t>DIMETHYL-SULFOXIDE; DNA RELEASE; CYSTITIS; CHOLESTEROL; THERAPY; CELLS</t>
  </si>
  <si>
    <t>Liposomes have been used therapeutically and as a local drug delivery system in the bladder. However, the exact mechanism for the uptake of liposomes by bladder cells is unclear. In the present study, we investigated the role of endocytosis in the uptake of liposomes by cultured human UROtsa cells of urothelium and rat bladder. UROtsa cells were incubated in serum-free media with liposomes containing colloidal gold particles for 2 h either at 37 degrees C or at 4 degrees C. Transmission Electron Microscopy (TEM) images of cells incubated at 37 degrees C found endocytic vesicles containing gold inside the cells. In contrast, only extracellular binding was noticed in cells incubated with liposomes at 4 degrees C. Absence of liposome internalization at 4 degrees C indicates the need of energy dependent endocytosis as the primary mechanism of entry of liposomes into the urothelium. Flow cytometry analysis revealed that the uptake of liposomes at 37 degrees C occurs via clathrin mediated endocytosis. Based on these observations, we propose that clathrin mediated endocytosis is the main route of entry for liposomes into the urothelial layer of the bladder and the findings here support the usefulness of liposomes in intravesical drug delivery.</t>
  </si>
  <si>
    <t>[Rajaganapathy, Bharathi Raja; Chancellor, Michael B.; Nirmal, Jayabalan] Oakland Univ, William Beaumont Sch Med, William Beaumont Hosp Res Inst, Dept Urol, Royal Oak, MI 48067 USA; [Tyagi, Pradeep] Univ Pittsburgh, Dept Urol, Pittsburgh, PA USA; [Dang, Loan] Oakland Univ, Eye Res Inst, Rochester, MI 48063 USA</t>
  </si>
  <si>
    <t>Oakland University; Pennsylvania Commonwealth System of Higher Education (PCSHE); University of Pittsburgh; Oakland University</t>
  </si>
  <si>
    <t>Chancellor, MB (corresponding author), Oakland Univ, William Beaumont Sch Med, William Beaumont Hosp Res Inst, Dept Urol, Royal Oak, MI 48067 USA.</t>
  </si>
  <si>
    <t>chancellormb@gmail.com</t>
  </si>
  <si>
    <t>J, Nirmal/AAO-5138-2020</t>
  </si>
  <si>
    <t>J, Nirmal/0000-0001-7864-6053</t>
  </si>
  <si>
    <t>e0122766</t>
  </si>
  <si>
    <t>10.1371/journal.pone.0122766</t>
  </si>
  <si>
    <t>WOS:000356353700200</t>
  </si>
  <si>
    <t>Melo, FR; Martin, SS; Sommerhoff, CP; Pejler, G</t>
  </si>
  <si>
    <t>Melo, Fabio Rabelo; Martin, Sebastin Santosh; Sommerhoff, Christian P.; Pejler, Gunnar</t>
  </si>
  <si>
    <t>Exosome-mediated uptake of mast cell tryptase into the nucleus of melanoma cells: a novel axis for regulating tumor cell proliferation and gene expression</t>
  </si>
  <si>
    <t>CANCER; MECHANISM; SERGLYCIN; ROLES; ANGIOGENESIS; METASTASIS; ACTIVATION; HALLMARKS; TETRAMER; HEPARIN</t>
  </si>
  <si>
    <t>It is well established that mast cell accumulation accompanies most malignancies. However, the knowledge of how mast cells functionally impact on tumors is still rudimentary. Here we addressed this issue and show that mast cells have anti-proliferative activity on melanoma cells and that this effect is dependent on tryptase, a tetrameric protease stored in mast cell granules. Mechanistically, tryptase was found to be endocytosed by melanoma cells as cargo of DNA-coated exosomes released from melanoma cells, followed by transport to the nucleus. In the nucleus, tryptase executed clipping of histone 3 and degradation of Lamin B1, accompanied by extensive nuclear remodeling. Moreover, tryptase degraded hnRNP A2/B1, a protein involved in mRNA stabilization and interaction with non-coding RNAs. This was followed by downregulated expression of the oncogene EGR1 and of multiple non-coding RNAs, including oncogenic species. Altogether, these findings establish a new principle for regulation of tumor cell proliferation.</t>
  </si>
  <si>
    <t>[Melo, Fabio Rabelo; Martin, Sebastin Santosh; Pejler, Gunnar] Uppsala Univ, Dept Med Biochem &amp; Microbiol, Uppsala, Sweden; [Sommerhoff, Christian P.] Ludwig Maximilians Univ Munchen, Univ Hosp, Inst Lab Med, Munich, Germany; [Pejler, Gunnar] Swedish Univ Agr Sci, Dept Anat Physiol &amp; Biochem, Uppsala, Sweden</t>
  </si>
  <si>
    <t>Uppsala University; University of Munich; Swedish University of Agricultural Sciences</t>
  </si>
  <si>
    <t>Melo, FR; Pejler, G (corresponding author), Uppsala Univ, Dept Med Biochem &amp; Microbiol, Uppsala, Sweden.</t>
  </si>
  <si>
    <t>Fabio.Melo@imbim.uu.se; Gunnar.Pejler@imbim.uu.se</t>
  </si>
  <si>
    <t>10.1038/s41419-019-1879-4</t>
  </si>
  <si>
    <t>WOS:000488849400002</t>
  </si>
  <si>
    <t>O'Leary, VB; Ovsepian, SV; Carrascosa, LG; Buske, FA; Radulovic, V; Niyazi, M; Moertl, S; Trau, M; Atkinson, MJ; Anastasov, N</t>
  </si>
  <si>
    <t>O'Leary, Valerie Brid; Ovsepian, Saak Victor; Carrascosa, Laura Garcia; Buske, Fabian Andreas; Radulovic, Vanja; Niyazi, Maximilian; Moertl, Simone; Trau, Matt; Atkinson, Michael John; Anastasov, Natasa</t>
  </si>
  <si>
    <t>PARTICLE, a Triplex-Forming Long ncRNA, Regulates Locus-Specific Methylation in Response to Low-Dose Irradiation</t>
  </si>
  <si>
    <t>RNA-POLYMERASE-II; NONCODING RNAS; MOLECULAR-MECHANISMS; GENE-EXPRESSION; HISTONE H3; TRANSCRIPTION; RADIATION; CANCER; COMPLEXES; CELLS</t>
  </si>
  <si>
    <t>Exposure to low-dose irradiation causes transiently elevated expression of the long ncRNA PARTICLE (gene PARTICLE, promoter of MAT2A-antisense radiation-induced circulating lncRNA). PARTICLE affords both a cytosolic scaffold for the tumor suppressor methionine adenosyltransferase (MAT2A) and a nuclear genetic platform for transcriptional repression. In situ hybridization discloses that PARTICLE and MAT2A associate together following irradiation. Bromouridine tracing and presence in exosomes indicate intercellular transport, and this is supported by ex vivo data from radiotherapy-treated patients. Surface plasmon resonance indicates that PARTICLE forms a DNA-lncRNA triplex upstream of a MAT2A promoter CpG island. We show that PARTICLE represses MAT2A via methylation and demonstrate that the radiation-induced PARTICLE interacts with the transcription-repressive complex proteins G9a and SUZ12 (subunit of PRC2). The interplay of PARTICLE with MAT2A implicates this lncRNA in intercellular communication and as a recruitment platform for gene-silencing machineries through triplex formation in response to irradiation.</t>
  </si>
  <si>
    <t>[O'Leary, Valerie Brid; Radulovic, Vanja; Moertl, Simone; Atkinson, Michael John; Anastasov, Natasa] German Res Ctr Environm Hlth, Inst Radiat Biol, Helmholtz Zentrum Munich, D-85764 Neuherberg, Germany; [Ovsepian, Saak Victor] Univ Munich, Deutsch Zentrum Neurodegenerat Erkrankunge, Zentrum Neuropathol, D-81377 Munich, Germany; [Carrascosa, Laura Garcia; Trau, Matt] Univ Queensland, Ctr Personalized Nanomed, Australian Inst Bioengn &amp; Nanotechnol, Brisbane, Qld 4072, Australia; [Buske, Fabian Andreas] Garvan Inst Med Res, Kinghorn Canc Ctr, Syndey, NSW 2010, Australia; [Buske, Fabian Andreas] Univ New South Wales Australia, St Vincents Clin Sch, Sydney, NSW 2010, Australia; [Niyazi, Maximilian] Univ Munich, Dept Radiat Oncol, D-81377 Munich, Germany; [Trau, Matt] Univ Queensland, Sch Chem &amp; Mol Biosci, Brisbane, Qld 4072, Australia; [Atkinson, Michael John] Tech Univ Munich, Chair Radiat Biol, D-80333 Munich, Germany</t>
  </si>
  <si>
    <t>Helmholtz Association; Helmholtz-Center Munich - German Research Center for Environmental Health; Helmholtz Association; German Center for Neurodegenerative Diseases (DZNE); University of Munich; University of Queensland; University of New South Wales Sydney; University of Munich; University of Queensland; Technical University of Munich</t>
  </si>
  <si>
    <t>O'Leary, VB (corresponding author), German Res Ctr Environm Hlth, Inst Radiat Biol, Helmholtz Zentrum Munich, Ingolstaedter Landst 1, D-85764 Neuherberg, Germany.</t>
  </si>
  <si>
    <t>valerie.oleary@helmholtz-muenchen.de</t>
  </si>
  <si>
    <t>Atkinson, Michael J/E-5537-2011; Atkinson, Michael/AAU-5127-2020; Carrascosa, Laura/P-2709-2016; Anastasov, Natasa/AAW-2478-2020; Moertl, Simone/M-7353-2014; Ovsepian, Saak/J-6207-2017</t>
  </si>
  <si>
    <t>Atkinson, Michael J/0000-0003-3358-2089; Atkinson, Michael/0000-0003-3358-2089; Carrascosa, Laura/0000-0001-9147-5658; Anastasov, Natasa/0000-0002-4088-1119; Moertl, Simone/0000-0003-0644-0878; Trau, Matt/0000-0001-5516-1280; O'Leary, Valerie/0000-0003-1171-9830</t>
  </si>
  <si>
    <t>10.1016/j.celrep.2015.03.043</t>
  </si>
  <si>
    <t>WOS:000353351600013</t>
  </si>
  <si>
    <t>Spillekom, S; Smolders, LA; Grinwis, GCM; Arkesteijn, ITM; Ito, K; Meij, BP; Tryfonidou, MA</t>
  </si>
  <si>
    <t>Spillekom, Sandra; Smolders, Lucas A.; Grinwis, Guy C. M.; Arkesteijn, Irene T. M.; Ito, Keita; Meij, Bjorn P.; Tryfonidou, Marianna A.</t>
  </si>
  <si>
    <t>Increased Osmolarity and Cell Clustering Preserve Canine Notochordal Cell Phenotype in Culture</t>
  </si>
  <si>
    <t>TISSUE ENGINEERING PART C-METHODS</t>
  </si>
  <si>
    <t>INTERVERTEBRAL DISC CELLS; NUCLEUS PULPOSUS CELLS; GENE-EXPRESSION; IN-VITRO; EXTRACELLULAR-MATRIX; ASCORBIC-ACID; DEGENERATION; DIFFERENTIATION; QUANTIFICATION; APOPTOSIS</t>
  </si>
  <si>
    <t>Degeneration of the intervertebral disc (IVD) is associated with a loss of notochordal cells (NCs) from the nucleus pulposus (NP) and their replacement by chondrocyte-like cells. NCs are known to maintain extracellular matrix quality and stimulate the chondrocyte-like NP cells, making NCs attractive for designing new tissue engineering approaches for IVD regeneration. However, optimal conditions, such as osmolarity and other characteristics of the culture media, for long-term culture of NCs are not known. The purpose of this study was to investigate the effects of different culture media and osmolarity on the physiology of NCs in vitro. NC clusters isolated from canine IVDs were suspended in alginate beads and cultured at 37 degrees C under normoxic conditions for 28 days. Three different culture conditions were investigated; (1) Dulbecco's modified Eagle's medium (DMEM)/F12 (300 mOsm/L), (2) alpha-MEM (300 mOsm/L), and (3) alpha-MEM adjusted to 400 mOsm/L to mimic a hyperosmolar environment. NC morphology, expression of genes related to NC markers, matrix production and remodeling, and DNA-and glycosaminoglycan (GAG) analyses were performed on 1, 7, 14, and 28 days in culture. Large, vesicle-containing cells organized in clusters, characterized as NCs, remained present during 28 days for all culture conditions. However, the proportion of the NC clusters decreased over time, whereas the proportion of spindle-shaped cells increased. Gene expression profiling at 7, 14, and 28 days in culture compared to day 1 indicated a initial loss of NC phenotype followed by some recovery of brachyury and aggrecan gene expression after 28 days of culture supporting a potential recovery of NC phenotype. NCs cultured in alpha-MEM adjusted to 400 mOsm/L showed the highest gene expression of brachyury, cytokeratin 18, and aggrecan, the highest GAG production, and the lowest collagen 1 alpha 1 gene expression. In conclusion, NCs cultured in alginate in native cell clusters, partially retained their characteristic morphology and recovered their phenotype in long-term culture. The type of culture medium and medium osmolarity appear to be important factors for culturing NC clusters. These findings provide additional information concerning the maintenance of NCs in vitro that may aid further mechanistic inquiry into the biology of NCs.</t>
  </si>
  <si>
    <t>[Spillekom, Sandra; Smolders, Lucas A.; Meij, Bjorn P.; Tryfonidou, Marianna A.] Univ Utrecht, Fac Vet Med, Dept Clin Sci Compan Anim, NL-3508 TD Utrecht, Netherlands; [Grinwis, Guy C. M.] Univ Utrecht, Fac Vet Med, Dept Pathobiol, NL-3508 TD Utrecht, Netherlands; [Arkesteijn, Irene T. M.; Ito, Keita] Eindhoven Univ, Dept Biomed Engn, Eindhoven, Netherlands</t>
  </si>
  <si>
    <t>Utrecht University; Utrecht University; Eindhoven University of Technology</t>
  </si>
  <si>
    <t>Tryfonidou, MA (corresponding author), Univ Utrecht, Fac Vet Med, Dept Clin Sci Compan Anim, POB 80-154, NL-3508 TD Utrecht, Netherlands.</t>
  </si>
  <si>
    <t>Smolders, Lucas/C-1537-2018; Ito, Keita/A-8592-2017; Tryfonidou, Marianna/O-3114-2017</t>
  </si>
  <si>
    <t>Smolders, Lucas/0000-0002-2689-3842; Ito, Keita/0000-0002-7372-4072; Tryfonidou, Marianna/0000-0002-2333-7162; Grinwis, Guy/0000-0002-1583-9648</t>
  </si>
  <si>
    <t>1937-3384</t>
  </si>
  <si>
    <t>1937-3392</t>
  </si>
  <si>
    <t>10.1089/ten.tec.2013.0479</t>
  </si>
  <si>
    <t>Cell &amp; Tissue Engineering; Cell Biology; Engineering, Biomedical; Materials Science, Biomaterials</t>
  </si>
  <si>
    <t>Cell Biology; Engineering; Materials Science</t>
  </si>
  <si>
    <t>WOS:000340521300005</t>
  </si>
  <si>
    <t>Handa, T; Kuroha, M; Nagai, H; Shimoyama, Y; Naito, T; Moroi, R; Kanazawa, Y; Shiga, H; Kakuta, Y; Kinouchi, Y; Masamune, A</t>
  </si>
  <si>
    <t>Handa, Tomoyuki; Kuroha, Masatake; Nagai, Hiroshi; Shimoyama, Yusuke; Naito, Takeo; Moroi, Rintaro; Kanazawa, Yoshitake; Shiga, Hisashi; Kakuta, Yoichi; Kinouchi, Yoshitaka; Masamune, Atsushi</t>
  </si>
  <si>
    <t>Liquid Biopsy for Colorectal Adenoma: Is the Exosomal miRNA Derived From Organoid a Potential Diagnostic Biomarker?</t>
  </si>
  <si>
    <t>MULTITARGET STOOL DNA; PROGNOSTIC BIOMARKER; INTESTINAL ORGANOIDS; CANCER; MICRORNAS; PREVENTION; COLON; POLYPECTOMY; COLONOSCOPY; GRADE</t>
  </si>
  <si>
    <t>INTRODUCTION: MicroRNAs (miRNAs) can serve as tumor biomarkers; however, their role in evaluating colorectal adenoma (CRA) is unclear. Recently, the organoid culture system enabled long-term expansion of human colon epithelium. This study aimed to examine the potential of exosomal miRNAs extracted from CRA organoids as biomarkers in the clinical liquid biopsy CRA test. METHODS: We established organoid cultures from normal colon and CRA using resected specimens. Exosomes were isolated from the conditioned medium organoids. MiRNAs were isolated from the exosomes, and their expression profiles were compared using microarray analysis. To identify miRNA candidates for liquid biopsy, we prospectively compared changes in their expression in serum and exosomes before and after endoscopic resection in 26 patients with CRA. RESULTS: Seven exosomal miRNAs were overexpressed in CRA organoids: miR-4323, miR-4284, miR-1268a, miR-1290, miR-6766-3p, miR-21-5p, and miR-1246. The expression levels of 4 exosomal miRNAs (miR-4323, miR-4284, miR-1290, and miR-1246) and 2 serum miRNAs (miR-1290 and miR-1246) were significantly lower in posttreatment sera. The combined expression of 4 exosomal miRNAs could identify both CRA and large-size (&gt;12.6 cm(2)) CRA with respective areas under the curve of 0.698 (95% confidence interval [CI] = 0.536-0.823) and 0.834 (95% CI = 0.660-0.929). Combinations of 2-serum miRNA expression values could identify both CRA and large-size CRA with respective area under the curves of 0.691 (95% CI = 0.528-0.817) and 0.834 (95% CI = 0.628-0.938). DISCUSSION: We found that exosomal miRNAs derived from the CRA organoid culture could be potential diagnostic biomarkers for CRA.</t>
  </si>
  <si>
    <t>[Handa, Tomoyuki; Kuroha, Masatake; Shimoyama, Yusuke; Naito, Takeo; Moroi, Rintaro; Kanazawa, Yoshitake; Shiga, Hisashi; Kakuta, Yoichi; Masamune, Atsushi] Tohoku Univ, Div Gastroenterol, Grad Sch Med, Sendai, Miyagi, Japan; [Nagai, Hiroshi] Shirakawa Kosei Gen Hosp, Dept Gastroenterol, Fukushima, Japan; [Kinouchi, Yoshitaka] Tohoku Univ, Hlth Adm Ctr, Ctr Adv Higher Educ, Sendai, Miyagi, Japan</t>
  </si>
  <si>
    <t>Tohoku University; Tohoku University</t>
  </si>
  <si>
    <t>Kuroha, M (corresponding author), Tohoku Univ, Div Gastroenterol, Grad Sch Med, Sendai, Miyagi, Japan.</t>
  </si>
  <si>
    <t>kuroha@med.tohoku.ac.jp</t>
  </si>
  <si>
    <t>e00356</t>
  </si>
  <si>
    <t>10.14309/ctg.0000000000000356</t>
  </si>
  <si>
    <t>WOS:000681350500017</t>
  </si>
  <si>
    <t>Gomez-Larrauri, A; Ouro, A; Trueba, M; Gomez-Munoz, A</t>
  </si>
  <si>
    <t>Gomez-Larrauri, Ana; Ouro, Alberto; Trueba, Miguel; Gomez-Munoz, Antonio</t>
  </si>
  <si>
    <t>Regulation of cell growth, survival and migration by ceramide 1-phosphate-implications in lung cancer progression and inflammation</t>
  </si>
  <si>
    <t>Sphingolipids; Ceramide; Ceramide kinase; Ceramide 1-phosphate; Cancer; Inflammation</t>
  </si>
  <si>
    <t>NEUTRAL SPHINGOMYELINASE 2; CIGARETTE-SMOKE; ACID SPHINGOMYELINASE; INDUCED APOPTOSIS; BLOCKS APOPTOSIS; DNA-SYNTHESIS; 1-PHOSPHATE; CERAMIDE-1-PHOSPHATE; KINASE; PROLIFERATION</t>
  </si>
  <si>
    <t>Ceramide 1-phosphate (C1P) is a bioactive sphingolipid that is implicated in the regulation of vital cellular functions and plays key roles in a number of inflammation-associated pathologies. C1P was first described as mitogenic for fibroblasts and macrophages and was later found to promote cell survival in different cell types. The mechanisms involved in the mitogenic actions of C1P include activation of MEK/ERK1-2, PI3K/Akt/mTOR, or PKC-?, whereas promotion of cell survival required a substantial reduction of ceramide levels through inhibition of serine palmitoyl transferase or sphingomyelinase activities. C1P and ceramide kinase (CerK), the enzyme responsible for its biosynthesis in mammalian cells, play key roles in tumor promotion and dissemination. CerK-derived C1P can be secreted to the extracellular milieu by different cell types and is also present in extracellular vesicles. In this context, whilst cell proliferation is regulated by intracellularly generated C1P, stimulation of cell migration/invasion requires the intervention of exogenous C1P. Regarding inflammation, C1P was first described as pro-inflammatory in a variety of cell types. However, cigarette smoke- or lipopolysaccharide-induced lung inflammation in mouse or human cells was overcome by pretreatment with natural or synthetic C1P analogs. Both acute and chronic lung inflammation, and the development of lung emphysema were substantially reduced by exogenous C1P applications, pointing to an anti-inflammatory action of C1P in the lungs. The molecular mechanisms involved in the regulation of cell growth, survival and migration with especial emphasis in the control of lung cancer biology are discussed.</t>
  </si>
  <si>
    <t>[Gomez-Larrauri, Ana; Ouro, Alberto; Trueba, Miguel; Gomez-Munoz, Antonio] Univ Basque Country, Fac Sci &amp; Technol, Dept Biochem &amp; Mol Biol, UPV EHU, POB 644, Bilbao 48980, Spain; [Gomez-Larrauri, Ana] Cruces Univ Hosp, Resp Dept, Baracaldo 48903, Bizkaia, Spain</t>
  </si>
  <si>
    <t>University of Basque Country; Hospital Universitario Cruces</t>
  </si>
  <si>
    <t>Gomez-Munoz, A (corresponding author), Univ Basque Country, Fac Sci &amp; Technol, Dept Biochem &amp; Mol Biol, UPV EHU, POB 644, Bilbao 48980, Spain.</t>
  </si>
  <si>
    <t>antonio.gomez@ehu.eus</t>
  </si>
  <si>
    <t>10.1016/j.cellsig.2021.109980</t>
  </si>
  <si>
    <t>WOS:000647797500005</t>
  </si>
  <si>
    <t>Verheul, C; Kleijn, A; Lamfers, MLM</t>
  </si>
  <si>
    <t>Deisenhammer, F; Teunissen, CE; Tumani, H</t>
  </si>
  <si>
    <t>Verheul, Cassandra; Kleijn, Anne; Lamfers, Martine L. M.</t>
  </si>
  <si>
    <t>Cerebrospinal fluid biomarkers of malignancies located in the central nervous system</t>
  </si>
  <si>
    <t>CEREBROSPINAL FLUID IN NEUROLOGIC DISORDERS</t>
  </si>
  <si>
    <t>Handbook of Clinical Neurology</t>
  </si>
  <si>
    <t>EPSTEIN-BARR-VIRUS; ENDOTHELIAL GROWTH-FACTOR; NON-HODGKINS-LYMPHOMA; POLYMERASE-CHAIN-REACTION; OCCULT LEPTOMENINGEAL DISEASE; B-CELL LYMPHOMA; FLOW-CYTOMETRIC ANALYSIS; GLIOBLASTOMA STEM-CELLS; BREAST-CANCER PATIENTS; TUMOR-DERIVED DNA</t>
  </si>
  <si>
    <t>CNS malignancies include primary tumors that originate within the CNS as well as secondary tumors that develop as a result of metastatic cancer. The delicate nature of the nervous systems makes tumors located in the CNS notoriously difficult to reach, which poses several problems during diagnosis and treatment. CSF can be acquired relatively easy through lumbar puncture and offers an important compartment for analysis of cells and molecules that carry information about the malignant process. Such techniques have opened up a new field of research focused on the identification of specific biomarkers for several types of CNS malignancies, which may help in diagnosis and monitoring of tumor progression or treatment response. Biomarkers are sought in DNA, (micro) RNA, proteins, exosomes and circulating tumor cells in the CSF. Techniques are rapidly progressing to assess these markers with increasing sensitivity and specificity, and correlations with clinical parameters are being investigated. It is expected that these efforts will, in the near future, yield clinically relevant markers that aid in diagnosis, monitoring and (tailored) treatment of patients bearing CNS tumors. This chapter provides a summary of the current state of affairs of the field of biomarkers of different types of CNS tumors.</t>
  </si>
  <si>
    <t>[Verheul, Cassandra; Kleijn, Anne; Lamfers, Martine L. M.] Erasmus MC, Brain Tumor Ctr, Dept Neurosurg, Wytemaweg 80, NL-3015 CN Rotterdam, Netherlands</t>
  </si>
  <si>
    <t>Erasmus University Rotterdam; Erasmus MC</t>
  </si>
  <si>
    <t>Lamfers, MLM (corresponding author), Erasmus MC, Brain Tumor Ctr, Dept Neurosurg, Wytemaweg 80, NL-3015 CN Rotterdam, Netherlands.</t>
  </si>
  <si>
    <t>M.Lamfers@erasmusmc.nl</t>
  </si>
  <si>
    <t>Lamfers, Martine/0000-0001-7745-9029</t>
  </si>
  <si>
    <t>0072-9752</t>
  </si>
  <si>
    <t>978-0-12-804324-0; 978-0-12-804279-3</t>
  </si>
  <si>
    <t>10.1016/B978-0-12-804279-3.00010-1</t>
  </si>
  <si>
    <t>WOS:000472710600012</t>
  </si>
  <si>
    <t>Yuan, MJ; Huang, ZQ; Wei, DH; Hu, ZY; Yang, K; Pang, Y</t>
  </si>
  <si>
    <t>Yuan, Meijin; Huang, Zhenqiu; Wei, Denghui; Hu, Zhaoyang; Yang, Kai; Pang, Yi</t>
  </si>
  <si>
    <t>Identification of Autographa californica Nucleopolyhedrovirus ac93 as a Core Gene and Its Requirement for Intranuclear Microvesicle Formation and Nuclear Egress of Nucleocapsids</t>
  </si>
  <si>
    <t>OCCLUSION-DERIVED VIRUS; POLYHEDROSIS-VIRUS; CULEX-NIGRIPALPUS; GENOME SEQUENCE; ODV ENVELOPMENT; BV PRODUCTION; BACULOVIRUS; PROTEIN; REPLICATION; VIRIONS</t>
  </si>
  <si>
    <t>Autographa californica nucleopolyhedrovirus (AcMNPV) orf93 (ac93) is a highly conserved uncharacterized gene that is found in all of the sequenced baculovirus genomes except for Culex nigripalpus NPV. In this report, using bioinformatics analyses, ac93 and odv-e25 (ac94) were identified as baculovirus core genes and thus p33-ac93-odv-e25 represent a cluster of core genes. To investigate the role of ac93 in the baculovirus life cycle, an ac93 knockout AcMNPV bacmid was constructed via homologous recombination in Escherichia coli. Fluorescence and light microscopy showed that the AcMNPV ac93 knockout did not spread by infection, and titration assays confirmed a defect in budded virus (BV) production. However, deletion of ac93 did not affect viral DNA replication. Electron microscopy indicated that ac93 was required for the egress of nucleocapsids from the nucleus and the formation of intranuclear microvesicles, which are precursor structures of occlusion-derived virus (ODV) envelopes. Immunofluorescence analyses showed that Ac93 was concentrated toward the cytoplasmic membrane in the cytoplasm and in the nuclear ring zone in the nucleus. Western blot analyses showed that Ac93 was associated with both nucleocapsid and envelope fractions of BV, but only the nucleocapsid fraction of ODV. Our results suggest that ac93, although not previously recognized as a core gene, is one that plays an essential role in the formation of the ODV envelope and the egress of nucleocapsids from the nucleus.</t>
  </si>
  <si>
    <t>[Yuan, Meijin; Huang, Zhenqiu; Wei, Denghui; Hu, Zhaoyang; Yang, Kai; Pang, Yi] Sun Yat Sen Univ, State Key Lab Biocontrol, Guangzhou 510275, Guangdong, Peoples R China</t>
  </si>
  <si>
    <t>Wei, Denghui/0000-0003-2259-8958</t>
  </si>
  <si>
    <t>10.1128/JVI.05275-11</t>
  </si>
  <si>
    <t>WOS:000296422700012</t>
  </si>
  <si>
    <t>Gidon-Jeangirard, C; Solito, E; Hofmann, A; Russo-Marie, F; Freyssinet, JM; Martinez, MC</t>
  </si>
  <si>
    <t>Annexin V counteracts apoptosis while inducing Ca2+ influx in human lymphocytic T cells</t>
  </si>
  <si>
    <t>apoptosis; signal transduction; T lymphocytes</t>
  </si>
  <si>
    <t>PHOSPHATIDYLSERINE EXPOSURE; EXTRACELLULAR CALCIUM; N-TERMINUS; MEMBRANES; VESICLES; INHIBITION; PROTEIN; BINDING; DEATH; SELECTIVITY</t>
  </si>
  <si>
    <t>We have previously shown that when annexin V is present during the execution of a cell death program, apoptosis is delayed. This is reflected by the inhibition of DNA cleavage and of the release of apoptotic membrane particles, and by reduction of the proteolytic processing of caspase-3. Here, we have studied the mechanism(s) through which annexin V counteracts apoptosis in the human CEM. T cell line. The degree of apoptosis inhibition was associated with an increase of intracellular Ca2+ concentration ([Ca2+](i)). Reduction of the extracellular Ca2+ concentration by EG;TA abolished the anti-apoptotic effect, suggesting that annexin V favors Ca2+ influx and that Ca2+ acts as an inhibitor rather than an activator of apoptosis in CEM: T cells. The effects on apoptosis and [Ca2+](i) of several modified annexins with different electrophysiological properties indicate that the N-terminal domain of annexin V is necessary for the Ca2+-dependent anti-apoptotic action of annexin V. These results suggest that annexin V regulates membrane Ca2+ permeability and is protective against apoptosis by increasing [Ca2+](i) in CEM T cells. (C) 1999 Academic Press.</t>
  </si>
  <si>
    <t>Univ Strasbourg, Fac Med, Inst Hematol &amp; Immunol, F-67085 Strasbourg, France; Hop Bicetre, INSERM, U143, F-94275 Le Kremlin Bicetre, France; Inst Cochin Genet Mol, INSERM, U332, F-75014 Paris, France; Frederick Canc Res &amp; Dev Ctr, Frederick, MD USA</t>
  </si>
  <si>
    <t>UDICE-French Research Universities; Universites de Strasbourg Etablissements Associes; Universite de Strasbourg; Assistance Publique Hopitaux Paris (APHP); Hopital Universitaire Bicetre - APHP; Institut National de la Sante et de la Recherche Medicale (Inserm); UDICE-French Research Universities; Universite Paris Saclay; Institut National de la Sante et de la Recherche Medicale (Inserm); UDICE-French Research Universities; Universite de Paris; National Institutes of Health (NIH) - USA; NIH National Cancer Institute (NCI); Science Applications International Corporation (SAIC); SAIC-Frederick</t>
  </si>
  <si>
    <t>Martinez, MC (corresponding author), Univ Strasbourg, Fac Med, Inst Hematol &amp; Immunol, 4 Rue Kirschleger, F-67085 Strasbourg, France.</t>
  </si>
  <si>
    <t>secr600@pharma.u-strasbg.fr</t>
  </si>
  <si>
    <t>Freyssinet, Jean-Marie/G-2719-2013; Hofmann, Andreas/M-9870-2019; Hofmann, Andreas/B-9515-2008</t>
  </si>
  <si>
    <t>Hofmann, Andreas/0000-0003-4408-5467; Hofmann, Andreas/0000-0003-4408-5467; Solito, Egle/0000-0001-5279-0049</t>
  </si>
  <si>
    <t>10.1006/bbrc.1999.1752</t>
  </si>
  <si>
    <t>WOS:000083998500017</t>
  </si>
  <si>
    <t>Robinson, ER; Gowrishankar, G; D'Souza, AL; Kheirolomoom, A; Haywood, T; Hori, SS; Chuang, HY; Zeng, YT; Tumbale, SK; Aalipour, A; Beinat, C; Alam, IS; Sathirachinda, A; Kanada, M; Paulmurugan, R; Ferrara, KW; Gambhir, SS</t>
  </si>
  <si>
    <t>Robinson, Elise R.; Gowrishankar, Gayatri; D'Souza, Aloma L.; Kheirolomoom, Azadeh; Haywood, Tom; Hori, Sharon S.; Chuang, Hui-Yen; Zeng, Yitian; Tumbale, Spencer K.; Aalipour, Amin; Beinat, Corinne; Alam, Israt S.; Sathirachinda, Ataya; Kanada, Masamitsu; Paulmurugan, Ramasamy; Ferrara, Katherine W.; Gambhir, Sanjiv S.</t>
  </si>
  <si>
    <t>Minicircles for a two-step blood biomarker and PET imaging early cancer detection strategy</t>
  </si>
  <si>
    <t>Minicircles; Biomarkers; Reporter genes; Cancer detection</t>
  </si>
  <si>
    <t>TYPE-1 THYMIDINE KINASE; REPORTER GENE-EXPRESSION; IN-VITRO; TRANSGENE EXPRESSION; DELIVERY; THERAPY; LUCIFERASE; EXOSOMES; TUMORS; HUMANS</t>
  </si>
  <si>
    <t>Early cancer detection can dramatically increase treatment options and survival rates for patients, yet detection of early-stage tumors remains difficult. Here, we demonstrate a two-step strategy to detect and locate cancerous lesions by delivering tumor-activatable minicircle (MC) plasmids encoding a combination of blood-based and imaging reporter genes to tumor cells. We genetically engineered the MCs, under the control of the pan-tumorspecific Survivin promoter, to encode: 1) Gaussia Luciferase (GLuc), a secreted biomarker that can be easily assayed in blood samples; and 2) Herpes Simplex Virus Type 1 Thymidine Kinase mutant (HSV-1 sr39TK), a PET reporter gene that can be used for highly sensitive and quantitative imaging of the tumor location. We evaluated two methods of MC delivery, complexing the MCs with the chemical transfection reagent jetPEI or encapsulating the MCs in extracellular vesicles (EVs) derived from a human cervical cancer HeLa cell line. MCs delivered by EVs or jetPEI yielded significant expression of the reporter genes in cell culture versus MCs delivered without a transfection reagent. Secreted GLuc correlated with HSV-1 sr39TK expression with R2 = 0.9676. MC complexation with jetPEI delivered a larger mass of MC for enhanced transfection, which was crucial for in vivo animal studies, where delivery of MCs via jetPEI resulted in GLuc and HSV-1 sr39TK expression at significantly higher levels than controls. To the best of our knowledge, this is the first report of the PET reporter gene HSV-1 sr39TK delivered via a tumor-activatable MC to tumor cells for an early cancer detection strategy. This work explores solutions to endogenous blood-based biomarker and molecular imaging limitations of early cancer detection strategies and elucidates the delivery capabilities and limitations of EVs.</t>
  </si>
  <si>
    <t>[Robinson, Elise R.; Aalipour, Amin] Stanford Univ, Dept Bioengn, Sch Med, Stanford, CA 94305 USA; [Robinson, Elise R.; Gowrishankar, Gayatri; D'Souza, Aloma L.; Kheirolomoom, Azadeh; Haywood, Tom; Hori, Sharon S.; Tumbale, Spencer K.; Aalipour, Amin; Beinat, Corinne; Alam, Israt S.; Sathirachinda, Ataya; Paulmurugan, Ramasamy; Ferrara, Katherine W.; Gambhir, Sanjiv S.] Stanford Univ, Dept Radiol, Sch Med, Mol Imaging Program Stanford MIPS, Stanford, CA 94305 USA; [Hori, Sharon S.; Paulmurugan, Ramasamy; Ferrara, Katherine W.; Gambhir, Sanjiv S.] Stanford Univ, Canary Ctr, Stanford Canc Early Detect, Sch Med, Palo Alto, CA 94304 USA; [Chuang, Hui-Yen] Natl Yang Ming Univ, Dept Biomed Imaging &amp; Radiol Sci, Taipei, Taiwan; [Zeng, Yitian] Stanford Univ, Dept Mat Sci &amp; Engn, Stanford, CA 94305 USA; [Kanada, Masamitsu] Michigan State Univ, Inst Quantitat Hlth Sci &amp; Engn IQ, E Lansing, MI 48824 USA</t>
  </si>
  <si>
    <t>Stanford University; Stanford University; Stanford University; National Yang Ming Chiao Tung University; Stanford University; Michigan State University</t>
  </si>
  <si>
    <t>Ferrara, KW (corresponding author), Stanford Univ, Dept Radiol, 3165 Porter Dr, Palo Alto, CA 94304 USA.</t>
  </si>
  <si>
    <t>kwferrar@stanford.edu</t>
  </si>
  <si>
    <t>haywood, tom/GNP-7297-2022</t>
  </si>
  <si>
    <t>Robinson, Elise/0000-0002-6527-901X; Paulmurugan, Ramasamy/0000-0001-7155-4738</t>
  </si>
  <si>
    <t>JUL 10</t>
  </si>
  <si>
    <t>10.1016/j.jconrel.2021.05.026</t>
  </si>
  <si>
    <t>WOS:000669903700006</t>
  </si>
  <si>
    <t>Grindheim, AK; Hollas, H; Raddum, AM; Saraste, J; Vedeler, A</t>
  </si>
  <si>
    <t>Grindheim, Ann Kari; Hollas, Hanne; Raddum, Aase M.; Saraste, Jaakko; Vedeler, Anni</t>
  </si>
  <si>
    <t>Reactive oxygen species exert opposite effects on Tyr23 phosphorylation of the nuclear and cortical pools of annexin A2</t>
  </si>
  <si>
    <t>JOURNAL OF CELL SCIENCE</t>
  </si>
  <si>
    <t>Annexin A2; Tyrosine phosphorylation; Oxidative stress; Nucleus; Cell cortex</t>
  </si>
  <si>
    <t>PRIMER RECOGNITION PROTEINS; ROUS-SARCOMA VIRUS; N-TERMINAL DOMAIN; TYROSINE KINASE; HYDROGEN-PEROXIDE; OXIDATIVE STRESS; REDOX REGULATION; DNA-REPLICATION; GENE-EXPRESSION; MESSENGER-RNAS</t>
  </si>
  <si>
    <t>Annexin A2 (AnxA2) is a multi-functional and -compartmental protein whose subcellular localisation and functions are tightly regulated by its post-translational modifications. AnxA2 and its Tyr23-phosphorylated form (pTyr23AnxA2) are involved in malignant cell transformation, metastasis and angiogenesis. Here, we show that H2O2 exerts rapid, simultaneous and opposite effects on the Tyr23 phosphorylation status of AnxA2 in two distinct compartments of rat pheochromocytoma (PC12) cells. Reactive oxygen species induce dephosphorylation of pTyr23AnxA2 located in the PML bodies of the nucleus, whereas AnxA2 associated with F-actin at the cell cortex is Tyr23 phosphorylated. The H2O2-induced responses in both compartments are transient and the pTyr23AnxA2 accumulating at the cell cortex is subsequently incorporated into vesicles and then released to the extracellular space. Blocking nuclear export by leptomycin B does not affect the nuclear pool of pTyr23AnxA2, but increases the amount of total AnxA2 in this compartment, indicating that the protein might have several functions in the nucleus. These results suggest that Tyr23 phosphorylation can regulate the function of AnxA2 at distinct subcellular sites.</t>
  </si>
  <si>
    <t>[Grindheim, Ann Kari; Hollas, Hanne; Raddum, Aase M.; Saraste, Jaakko; Vedeler, Anni] Univ Bergen, Dept Biomed, Jonas Lies Vei 91, N-5009 Bergen, Norway; [Grindheim, Ann Kari; Saraste, Jaakko] Univ Bergen, Mol Imaging Ctr MIC, Jonas Lies Vei 91, N-5009 Bergen, Norway</t>
  </si>
  <si>
    <t>University of Bergen; University of Bergen</t>
  </si>
  <si>
    <t>Vedeler, A (corresponding author), Univ Bergen, Dept Biomed, Jonas Lies Vei 91, N-5009 Bergen, Norway.</t>
  </si>
  <si>
    <t>Anni.Vedeler@biomed.uib.no</t>
  </si>
  <si>
    <t>0021-9533</t>
  </si>
  <si>
    <t>1477-9137</t>
  </si>
  <si>
    <t>10.1242/jcs.173195</t>
  </si>
  <si>
    <t>WOS:000369504000008</t>
  </si>
  <si>
    <t>Soltani, F; Parhiz, H; Mokhtarzadeh, A; Ramezani, M</t>
  </si>
  <si>
    <t>Soltani, Fatemeh; Parhiz, Hamideh; Mokhtarzadeh, Ahad; Ramezani, Mohammad</t>
  </si>
  <si>
    <t>Synthetic and Biological Vesicular Nano-Carriers Designed for Gene Delivery</t>
  </si>
  <si>
    <t>Gene delivery; vesicular systems; liposomes; biological vesicles</t>
  </si>
  <si>
    <t>NONIONIC SURFACTANT VESICLES; VIROSOME-MEDIATED DELIVERY; CELL-PENETRATING PEPTIDE; LINKED CATIONIC LIPIDS; LIPOSOME-DNA COMPLEXES; RED-BLOOD-CELLS; DRUG-DELIVERY; BACTERIAL GHOSTS; PLASMID DNA; IN-VITRO</t>
  </si>
  <si>
    <t>Synthetic and biological vesicular carriers have been recognized as attractive and intelligent systems for delivery of a verity of bioactive molecules. The importance of such delivery systems can be mostly due to their physicochemical properties, i.e. a lipid bilayer surrounding an aqueous core which allows encapsulation and protection of active hydrophilic molecules such as nucleic acids. Synthetic vesicles such as liposomes have been studied as gene delivery systems for decades. However, due to their fast clearance, toxicity and immunogenicity which impose restrictions on clinical applications, some other natural lipid vesicles such as exosomes have been considered as alternatives. Attractive features of nature's own 'nano-vesicles' such as exosomes, virosomes, bacterial ghosts and erythrocyte ghosts include efficient cellular entry, physicochemical properties and evading immune responses. Nevertheless, there are advantages and disadvantages with both synthetic and biological vesicular systems. Here, we provide an overview into different vesicle-based gene delivery systems and discuss how various modifications in their structure and formulations could improve the transfection efficiency and decrease the toxicity.</t>
  </si>
  <si>
    <t>[Soltani, Fatemeh] Mashhad Univ Med Sci, Biotechnol Res Ctr, Sch Pharm, Mashhad, Iran; [Soltani, Fatemeh; Parhiz, Hamideh; Ramezani, Mohammad] Mashhad Univ Med Sci, Dept Pharmaceut Biotechnol, Sch Pharm, Mashhad, Iran; [Parhiz, Hamideh; Mokhtarzadeh, Ahad; Ramezani, Mohammad] Mashhad Univ Med Sci, Pharmaceut Res Ctr, Sch Pharm, Mashhad, Iran; [Mokhtarzadeh, Ahad] Gonabad Univ Med Sci, Sch Med, Gonabad, Iran</t>
  </si>
  <si>
    <t>Mashhad University Medical Science; Mashhad University Medical Science; Mashhad University Medical Science</t>
  </si>
  <si>
    <t>Ramezani, M (corresponding author), Mashhad Univ Med Sci, Pharmaceut Res Ctr, Sch Pharm, Mashhad, Iran.</t>
  </si>
  <si>
    <t>ramezanim@mums.ac.ir</t>
  </si>
  <si>
    <t>Mokhtarzadeh, Ahad/V-3748-2017; Ramezani, Mohammad/O-8878-2018</t>
  </si>
  <si>
    <t>Mokhtarzadeh, Ahad/0000-0002-4515-8675; Ramezani, Mohammad/0000-0001-5888-6703; Soltani, Fatemeh/0000-0002-8219-9919</t>
  </si>
  <si>
    <t>10.2174/1381612821666151027153410</t>
  </si>
  <si>
    <t>WOS:000366196700013</t>
  </si>
  <si>
    <t>Zhou, J; Meng, LC; Ye, WR; Wang, QL; Geng, SZ; Sun, C</t>
  </si>
  <si>
    <t>Zhou, Jie; Meng, Lingchang; Ye, Weiran; Wang, Qiaolei; Geng, Shizhen; Sun, Chong</t>
  </si>
  <si>
    <t>A sensitive detection assay based on signal amplification technology for Alzheimer's disease's early biomarker in exosome</t>
  </si>
  <si>
    <t>A beta 42 oligomers; Exosome; ESDR; Signal amplification; Sensitive detection</t>
  </si>
  <si>
    <t>A-BETA OLIGOMERS; AMYLOID-BETA; DRUG-DELIVERY; BRAIN; APTASENSORS; BIOSENSOR; PROTEINS; THERAPY</t>
  </si>
  <si>
    <t>Alzheimer's disease (AD) considered as the third health killer has seriously threatened the health of the elderly. However, the modern diagnostic strategies of AD present several disadvantages: the low accuracy and specificity resulting in some false-negative diagnoses, and the poor sensitivity leading to a delayed treatment. In view of this situation, a enzyme-free and target-triggered signal amplification strategy, based on graphene oxide (GO) and entropy-driven strand displacement reaction (ESDR) principle, was proposed. In this strategy, when the hairpin structure probes (H)specially binds with betaamyloid-(1-42) oligomers (A beta 42 oligomers), it's structure will be opened, causing the bases complementary to FAM-labeled replacement probes R (R1 and R2) exposed. At this time, R1 and R2 will hybridize with H, resulting in the bound A beta 42 oligomers released. The released A beta 42 oligomers would participate in the next cycle reaction, making the signal amplified. As a quencher, GO could absorb the free single-stranded DNA R1 and R2 and quench their fluorescence; however, the DNA duplex still exists free and keeps its signal-on. Through the detection of A beta 42 oligomers in exosomes, this ultrasensitive detection method with the advantages of low limit of detection (LOD, 20 pM), great accuracy, excellent precision and convenience provides an excellent prospect for AD's early diagnosis. (C) 2018 Elsevier B.V. All rights reserved.</t>
  </si>
  <si>
    <t>[Zhou, Jie; Meng, Lingchang; Ye, Weiran; Wang, Qiaolei; Geng, Shizhen; Sun, Chong] Zhengzhou Univ, Sch Pharm, Zhengzhou 450001, Henan, Peoples R China; [Zhou, Jie] Collaborat Innovat Ctr New Drug Res &amp; Safety Eval, Zhengzhou 450001, Henan, Peoples R China</t>
  </si>
  <si>
    <t>Zhou, J (corresponding author), Zhengzhou Univ, Sch Pharm, Zhengzhou 450001, Henan, Peoples R China.</t>
  </si>
  <si>
    <t>jie_0822@163.com</t>
  </si>
  <si>
    <t>, Jie/0000-0001-9978-0702</t>
  </si>
  <si>
    <t>10.1016/j.aca.2018.03.016</t>
  </si>
  <si>
    <t>WOS:000432333600014</t>
  </si>
  <si>
    <t>Liu, QM; He, YY; Liu, LL; Wang, LK</t>
  </si>
  <si>
    <t>Liu, Qing-Min; He, Yi-Yu; Liu, Li-Li; Wang, Li-Kun</t>
  </si>
  <si>
    <t>Exosomal lncRNA HOTTIP Mediates Antiviral Effect of Tenofovir Alafenamide (TAF) on HBV Infection</t>
  </si>
  <si>
    <t>JOURNAL OF INFLAMMATION RESEARCH</t>
  </si>
  <si>
    <t>chronic hepatitis B; tenofovir alafenamide; exosome; lncRNA HOTTIP</t>
  </si>
  <si>
    <t>HEPATITIS-B-VIRUS; DISOPROXIL FUMARATE; DOUBLE-BLIND; EXPRESSION; PHASE-3; EMTRICITABINE; TRANSMISSION; ELVITEGRAVIR; COBICISTAT; THERAPY</t>
  </si>
  <si>
    <t>Introduction: Chronic hepatitis B (CHB) virus (HBV) infection has emerged as a global health burden affecting nearly 292 million people. Tenofovir alafenamide (TAF) is an effective treatment for CHB patients. However, the detailed mechanism underlying the antiviral activity of TAF remains unclear. Methods: In this study, we investigated the antiviral effect of exosomes derived from the serum of CHB patients treated with TAF (Exo-serum) and TAF-treated macrophages (MP) (Exo-MP(TAF)). Results: RNAseq analysis was also performed to determine the associated long non-coding RNAs (lncRNAs). The results demonstrated that both Exo-serum and Exo-MP(TAF) could be taken up by HepAD38 cells and exhibited potent antiviral activities, as manifested by significantly down-regulating the levels of hepatitis B surface antigen, hepatitis B e antigen, HBV DNA, and covalently closed circular DNA. The antiviral effect of Exo-serum was more potent than those of TAF treatment alone. RNAseq analysis revealed that lncRNA HOTTIP was upregulated significantly in Exo-serum. Further, lncRNA HOTTIP knockdown reversed the antiviral effect of Exo-MP(TAF) on HepAD38 cells, whereas lncRNA HOTTIP knockdown exerted the opposite roles. Discussion: Taken together, these results suggest that exosomal lncRNA HOTTIP is essential for the antiviral activity of TAF and provide a novel understanding of the exosome-mediated mechanism underlying HBV infection.</t>
  </si>
  <si>
    <t>[Liu, Qing-Min] Linyi Peoples Hosp, Intens Care Unit, Linyi, Shandong, Peoples R China; [He, Yi-Yu] Wuhan Univ, Renmin Hosp, Dept Cardiovasc Dis, Wuhan, Hubei, Peoples R China; [Liu, Li-Li] Linyi Peoples Hosp, Dept Pathol, Linyi, Shandong, Peoples R China; [Wang, Li-Kun] Linyi Peoples Hosp, Infect Control Ctr, Linyi, Shandong, Peoples R China</t>
  </si>
  <si>
    <t>Liu, LL (corresponding author), Linyi Peoples Hosp, Dept Pathol, Linyi, Shandong, Peoples R China.;Wang, LK (corresponding author), Linyi Peoples Hosp, Infect Control Ctr, Linyi, Shandong, Peoples R China.</t>
  </si>
  <si>
    <t>Lkwang999@163.com</t>
  </si>
  <si>
    <t>1178-7031</t>
  </si>
  <si>
    <t>10.2147/JIR.S315716</t>
  </si>
  <si>
    <t>WOS:000711051500005</t>
  </si>
  <si>
    <t>Zeng, X; Zhang, YD; Ma, RY; Chen, YJ; Xiang, XM; Hou, DY; Li, XH; Huang, H; Li, T; Duan, CY</t>
  </si>
  <si>
    <t>Zeng, Xue; Zhang, Yun-Dong; Ma, Rui-Yan; Chen, Yuan-Jing; Xiang, Xin-Ming; Hou, Dong-Yao; Li, Xue-Han; Huang, He; Li, Tao; Duan, Chen-Yang</t>
  </si>
  <si>
    <t>Activated Drp1 regulates p62-mediated autophagic flux and aggravates inflammation in cerebral ischemia-reperfusion via the ROS-RIP1/RIP3-exosome axis</t>
  </si>
  <si>
    <t>MILITARY MEDICAL RESEARCH</t>
  </si>
  <si>
    <t>Cerebral ischemia-reperfusion (CIRI); Oxygen-glucose deprivation; reoxygenation (OGD; R); Drp1; p62; LC3 II; I; Reactive oxygen species (ROS); RIP1; RIP3; Autophagy; Exosome; Inflammatory</t>
  </si>
  <si>
    <t>MITOCHONDRIAL AUTOPHAGY; MITOPHAGY; PROTECTS; INJURY; DYNAMICS; BRAIN; HEART</t>
  </si>
  <si>
    <t>Background Cerebral ischemia-reperfusion injury (CIRI) refers to a secondary brain injury that can occur when the blood supply to the ischemic brain tissue is restored. However, the mechanism underlying such injury remains elusive. Methods The 150 male C57 mice underwent middle cerebral artery occlusion (MCAO) for 1 h and reperfusion for 24 h, Among them, 50 MCAO mice were further treated with Mitochondrial division inhibitor 1 (Mdivi-1) and 50 MCAO mice were further treated with N-acetylcysteine (NAC). SH-SY5Y cells were cultured in a low-glucose culture medium for 4 h under hypoxic conditions and then transferred to normal conditions for 12 h. Then, cerebral blood flow, mitochondrial structure, mitochondrial DNA (mtDNA) copy number, intracellular and mitochondrial reactive oxygen species (ROS), autophagic flux, aggresome and exosome expression profiles, cardiac tissue structure, mitochondrial length and cristae density, mtDNA and ROS content, as well as the expression of Drp1-Ser616/Drp1, RIP1/RIP3, LC3 II/LC3 I, TNF-alpha, IL-1 beta, etc., were detected under normal or Drp1 interference conditions. Results The mtDNA content, ROS levels, and Drp1-Ser616/Drp1 were elevated by 2.2, 1.7 and 2.7 times after CIRI (P &lt; 0.05). However, the high cytoplasmic LC3 II/I ratio and increased aggregation of p62 could be reversed by 44% and 88% by Drp1 short hairpin RNA (shRNA) (P &lt; 0.05). The low fluorescence intensity of autophagic flux and the increased phosphorylation of RIP3 induced by CIRI could be attenuated by ROS scavenger, NAC (P &lt; 0.05). RIP1/RIP3 inhibitor Necrostatin-1 (Nec-1) restored 75% to a low LC3 II/LC3 I ratio and enhanced 2 times to a high RFP-LC3 after Drp1 activation (P &lt; 0.05). In addition, although CIRI-induced ROS production caused no considerable accumulation of autophagosomes (P &gt; 0.05), it increased the packaging and extracellular secretion of exosomes containing p62 by 4 - 5 times, which could be decreased by Mdivi-1, Drp1 shRNA, and Nec-1 (P &lt; 0.05). Furthermore, TNF-alpha and IL-1 beta increased in CIRI-derived exosomes could increase RIP3 phosphorylation in normal or oxygen-glucose deprivation/reoxygenation (OGD/R) conditions (P &lt; 0.05). Conclusions CIRI activated Drp1 and accelerated the p62-mediated formation of autophagosomes while inhibiting the transition of autophagosomes to autolysosomes via the RIP1/RIP3 pathway activation. Undegraded autophagosomes were secreted extracellularly in the form of exosomes, leading to inflammatory cascades that further damaged mitochondria, resulting in excessive ROS generation and the blockage of autophagosome degradation, triggering a vicious cycle.</t>
  </si>
  <si>
    <t>[Zeng, Xue; Chen, Yuan-Jing; Hou, Dong-Yao; Li, Xue-Han; Huang, He; Duan, Chen-Yang] Chongqing Med Univ, Dept Anaesthesiol, Affiliated Hosp 2, Chongqing 400010, Peoples R China; [Zeng, Xue; Zhang, Yun-Dong] Chongqing Med Univ, Dept Neurol, Affiliated Hosp 3, Chongqing 401120, Peoples R China; [Ma, Rui-Yan] Army Med Univ, Xingiao Hosp, Dept Cardiovasc Surg, Chongqing 400037, Peoples R China; [Xiang, Xin-Ming; Li, Tao] Army Med Univ, Daping Hosp, Dept Shock &amp; Transfus, State Key Lab Trauma Burns &amp; Combined Injury, Chongqing 400042, Peoples R China</t>
  </si>
  <si>
    <t>Chongqing Medical University; Chongqing Medical University; Army Medical University; Army Medical University</t>
  </si>
  <si>
    <t>Huang, H; Duan, CY (corresponding author), Chongqing Med Univ, Dept Anaesthesiol, Affiliated Hosp 2, Chongqing 400010, Peoples R China.;Li, T (corresponding author), Army Med Univ, Daping Hosp, Dept Shock &amp; Transfus, State Key Lab Trauma Burns &amp; Combined Injury, Chongqing 400042, Peoples R China.</t>
  </si>
  <si>
    <t>13708385559@163.com; lt200132@126.com; duanchenyang1991@cqmu.edu.cn</t>
  </si>
  <si>
    <t>Duan, Chenyang/0000-0002-6081-5987</t>
  </si>
  <si>
    <t>2095-7467</t>
  </si>
  <si>
    <t>2054-9369</t>
  </si>
  <si>
    <t>MAY 27</t>
  </si>
  <si>
    <t>10.1186/s40779-022-00383-2</t>
  </si>
  <si>
    <t>WOS:000800766500001</t>
  </si>
  <si>
    <t>Wachino, J; Jin, WC; Kimura, K; Arakawa, Y</t>
  </si>
  <si>
    <t>Wachino, Jun-ichi; Jin, Wanchun; Kimura, Kouji; Arakawa, Yoshichika</t>
  </si>
  <si>
    <t>Intercellular Transfer of Chromosomal Antimicrobial Resistance Genes between Acinetobacter baumannii Strains Mediated by Prophages</t>
  </si>
  <si>
    <t>Acinetobacter baumannii; antibiotic resistance</t>
  </si>
  <si>
    <t>OUTER-MEMBRANE VESICLES; GRAM-NEGATIVE BACTERIA; MOLECULAR EPIDEMIOLOGY; TRANSFER AGENTS; DNA; PHAGE; ARMA; DISSEMINATION; EMERGENCE; PIPELINE</t>
  </si>
  <si>
    <t>The spread of antimicrobial resistance genes (ARGs) among Gram-negative pathogens, including Acinetobacter baurnannii, is primarily mediated by transferable plasmids; however, ARGs are frequently integrated into its chromosome. How ARG gets horizontally incorporated into the chromosome of A. baumannii, and whether it functions as a cause for further spread of ARG, remains unknown. Here, we demonstrated intercellular prophage-mediated transfer of chromosomal ARGs without direct cell-cell interaction in A. baurnannii. We prepared ARG-harboring extracellular DNA (eDNA) components from the culture supernatant of a multidrug-resistant (MDR) A. bournannii NU-60 strain and exposed an antimicrobial-susceptible (AS) A. baumannii ATCC 17978 strain to the eDNA components. The antimicrobial resistant (AR) A. baurnannii ATCC 17978 derivatives appeared to acquire various ARGs, originating from dispersed loci of the MDR A. baumannii chromosome, along with their surrounding regions, by homologous recombination, with the ARGs including arrnA (aminoglycoside resistance), bla(TEM-1) (beta-lactam resistance), tet(B) (tetracycline resistance), and gyrA-81L (nalidixic acid resistance) genes. Notably, the eDNAs conferring antimicrobial resistance were enveloped in specific capsid proteins consisting of phage particles, thereby protecting the eDNAs from detergent and DNase treatments. The phages containing ARGs were likely released into the extracellular space from MDR A. baumannii, thereby transducing ARGs into AS A. baurnannii, resulting in the acquisition of AR properties by the recipient. We concluded that the generalized transduction, in which phages were capable of carrying random pieces of A. baumannii genomic DNAs, enabled efficacious intercellular transfer of chromosomal ARGs between A. baurnannii strains without direct cell-cell interaction.</t>
  </si>
  <si>
    <t>[Wachino, Jun-ichi; Jin, Wanchun; Kimura, Kouji; Arakawa, Yoshichika] Nagoya Univ, Grad Sch Med, Dept Bacteriol, Nagoya, Aichi, Japan</t>
  </si>
  <si>
    <t>Wachino, J (corresponding author), Nagoya Univ, Grad Sch Med, Dept Bacteriol, Nagoya, Aichi, Japan.</t>
  </si>
  <si>
    <t>wachino@med.nagoya-u.ac.jp</t>
  </si>
  <si>
    <t>Wachino, Jun-ichi/A-1346-2016; Kimura, Kouji/C-1847-2015; Arakawa, Yoshichika/P-5997-2015</t>
  </si>
  <si>
    <t>e00334-19</t>
  </si>
  <si>
    <t>10.1128/AAC.00334-19</t>
  </si>
  <si>
    <t>WOS:000477070900011</t>
  </si>
  <si>
    <t>Johnson, K; Hashimoto, S; Lotz, M; Pritzker, K; Goding, J; Terkeltaub, R</t>
  </si>
  <si>
    <t>Up-regulated expression of the phosphodiesterase nucleotide pyrophosphatase family member PC-1 is a marker and pathogenic factor for knee meniscal cartilage matrix calcification</t>
  </si>
  <si>
    <t>ARTHRITIS AND RHEUMATISM</t>
  </si>
  <si>
    <t>HUMAN OSTEOARTHRITIC CARTILAGE; CELL MEMBRANE GLYCOPROTEIN-1; HUMAN ARTICULAR-CARTILAGE; CALCIUM PYROPHOSPHATE; INORGANIC PYROPHOSPHATE; HYPERTROPHIC CHONDROCYTES; CRYSTAL-FORMATION; AQUEOUS-SOLUTIONS; APOPTOTIC BODIES; IN-VITRO</t>
  </si>
  <si>
    <t>Objective. Elevated cartilage inorganic pyrophosphate (PPi) production and PPi-generating nucleoside triphosphate pyrophosphohydrolase (NTPPPH) activity are strongly linked with aging-related cartilage calcification in meniscal and articular cartilages. We hypothesized that there were divergent relationships of 3 NTPPPH isozymes with cartilage matrix calcification and sought to identify them. Methods. We studied knee medial meniscal expression in situ of 3 NTPPPH isozymes of the phosphodiesterase nucleotide pyrophosphatase (PDNP) family: plasma cell membrane glycoprotein 1 (PC-1, or PDNP1), autotaxin (ATX, or PDNP2), and BIO/PDNP3. We also used complementary DNA transfection to assess differential functions in matrix calcification of each NTPPPH isozyme in vitro in meniscal cells. Results. We observed diffuse cell-associated ATX and BIO/PDNP3 expression in central (chondrocytic) and, to a lesser degree, peripheral (fibroblastic) regions of normal, degenerative uncalcified, and degenerative calcified menisci. In contrast, PC-1 expression was only robust at sites of apoptotic cells and calcification in central regions of degenerative menisci. Only PC-1 was abundant at the perimeter of meniscal cells and in association with meniscal cell-derived matrix vesicles (MVs). Because each PDNP-family isozyme was expressed by cells near calcifications, we transfected the isozymes in nonadherent knee meniscal cells cultured with ascorbic acid, beta -glycerophosphate, and dexamethasone supplementation to stimulate them to calcify the matrix. PC-1, but not ATX or BIO/PDNP3, consistently promoted increased MV NTPPPH, NW-associated PPi, and extracellular PPi. PC-1 also increased matrix calcification (with hydroxyapatite crystals) by meniscal cells.,A,TX uniquely induced alkaline phosphatase activity, but promoted only moderately increased matrix calcification. Conclusion. We identified divergent effects of 3 PDNP-family NTPPPH isozymes on meniscal cell matrix calcification. Increased expression of PC-1 is both a marker and a potential pathogenic factor for knee meniscal cartilage matrix calcification.</t>
  </si>
  <si>
    <t>Vet Adm Med Ctr, San Diego, CA 92161 USA; Univ Calif San Diego, La Jolla, CA 92093 USA; Scripps Res Inst, La Jolla, CA USA; Mt Sinai Hosp, Toronto, ON M5G 1X5, Canada; Monash Univ Sch Med, Prahran, Vic, Australia</t>
  </si>
  <si>
    <t>US Department of Veterans Affairs; Veterans Health Administration (VHA); University of California System; University of California San Diego; Scripps Research Institute; University of Toronto; Sinai Health System Toronto; Monash University</t>
  </si>
  <si>
    <t>Terkeltaub, R (corresponding author), Vet Adm Med Ctr, 3350 La Jolla Village Dr, San Diego, CA 92161 USA.</t>
  </si>
  <si>
    <t>Johnson, Kristen/0000-0003-0788-7217</t>
  </si>
  <si>
    <t>0004-3591</t>
  </si>
  <si>
    <t>10.1002/1529-0131(200105)44:5&lt;1071::AID-ANR187&gt;3.3.CO;2-V</t>
  </si>
  <si>
    <t>WOS:000171751000012</t>
  </si>
  <si>
    <t>Warmoes, M; Lam, SW; van der Groep, P; Jaspers, JE; Smolders, YHCM; de Boer, L; Pham, TV; Piersma, SR; Rottenberg, S; Boven, E; Jonkers, J; van Diest, PJ; Jimenez, CR</t>
  </si>
  <si>
    <t>Warmoes, Marc; Lam, Siu W.; van der Groep, Petra; Jaspers, Janneke E.; Smolders, Yvonne H. C. M.; de Boer, Leon; Pham, Thang V.; Piersma, Sander R.; Rottenberg, Sven; Boven, Epie; Jonkers, Jos; van Diest, Paul J.; Jimenez, Connie R.</t>
  </si>
  <si>
    <t>Secretome proteomics reveals candidate non-invasive biomarkers of BRCA1 deficiency in breast cancer</t>
  </si>
  <si>
    <t>proteomics; biomarkers; BRCA1; breast cancer</t>
  </si>
  <si>
    <t>DNA-DAMAGE; TOPOISOMERASE-I; LABEL-FREE; MAMMOGRAPHIC DENSITY; INTERACTION NETWORKS; MAMMARY-TUMORS; PROTEINS; REPAIR; RESISTANCE; DATABASE</t>
  </si>
  <si>
    <t>Breast cancer arising in female BRCA1 mutation carriers is characterized by an aggressive phenotype and early age of onset. We performed tandem mass spectrometry-based proteomics of secretomes and exosome-like extracellular vesicles from BRCA1-deficient and BRCA1-proficient murine breast tumor models to identify extracellular protein biomarkers, which can be used as an adjunct to current diagnostic modalities in patients with BRCA1-deficient breast cancer. We identified 2,107 proteins, of which 215 were highly enriched in the BRCA1-deficient secretome. We demonstrated that BRCA1-deficient secretome proteins could cluster most human BRCA1- and BRCA2-related breast carcinomas at the transcriptome level. Topoisomerase I (TOP1) and P-cadherin (CDH3) expression was investigated by immunohistochemistry on tissue microarrays of a large panel of 253 human breast carcinomas with and without BRCA1/2 mutations. We showed that expression of TOP1 and CDH3 was significantly increased in human BRCA1-related breast carcinomas relative to sporadic cases (p = 0.002 and p &lt; 0.001, respectively). Multiple logistic regression showed that TOP1 (adjusted odds ratio [OR] 3.75; 95% confidence interval [95% CI], 1.85 -7.71, p &lt; 0.001) as well as CDH3 positivity (adjusted OR 2.45; 95% CI, 1.08 -5.49, p = 0.032) were associated with BRCA1/2-related breast carcinomas after adjustment for triple-negative phenotype and age. In conclusion, proteome profiling of secretome using murine breast tumor models is a powerful strategy to identify non-invasive candidate biomarkers of BRCA1-deficient breast cancer. We demonstrate that TOP1 and CDH3 are closely associated to BRCA1-deficient breast cancer. These data merit further investigation for early detection of tumors arising in BRCA1 mutation carriers.</t>
  </si>
  <si>
    <t>[Warmoes, Marc; Lam, Siu W.; de Boer, Leon; Pham, Thang V.; Piersma, Sander R.; Boven, Epie; Jimenez, Connie R.] Vrije Univ Amsterdam, Med Ctr, Dept Med Oncol, Oncoprote Lab, Amsterdam, Netherlands; [van der Groep, Petra; Smolders, Yvonne H. C. M.; van Diest, Paul J.] Univ Med Ctr Utrecht, Dept Pathol, Utrecht, Netherlands; [van der Groep, Petra] Univ Med Ctr Utrecht, Dept Internal Med, Utrecht, Netherlands; [Jaspers, Janneke E.; Jonkers, Jos] Netherlands Canc Inst, Div Mol Oncol, Amsterdam, Netherlands; [Jaspers, Janneke E.; Rottenberg, Sven] Netherlands Canc Inst, Div Mol Pathol, Amsterdam, Netherlands; [Rottenberg, Sven] Univ Bern, Vetsuisse Fac, Inst Anim Pathol, CH-3012 Bern, Switzerland</t>
  </si>
  <si>
    <t>Vrije Universiteit Amsterdam; Utrecht University; Utrecht University Medical Center; Utrecht University; Utrecht University Medical Center; Netherlands Cancer Institute; Netherlands Cancer Institute; University of Bern</t>
  </si>
  <si>
    <t>Jimenez, CR (corresponding author), Vrije Univ Amsterdam, Med Ctr, Dept Med Oncol, Oncoprote Lab, Amsterdam, Netherlands.</t>
  </si>
  <si>
    <t>c.jimenez@vumc.nl</t>
  </si>
  <si>
    <t>Jonkers, Jos/AAG-3246-2019; Jimenez, Connie/AAI-3763-2020</t>
  </si>
  <si>
    <t>Jonkers, Jos/0000-0002-9264-9792; Rottenberg, Sven/0000-0003-2044-9844; Jimenez, Connie R/0000-0002-3103-4508; Warmoes, Marc/0000-0002-6632-3764</t>
  </si>
  <si>
    <t>10.18632/oncotarget.11535</t>
  </si>
  <si>
    <t>WOS:000387167800056</t>
  </si>
  <si>
    <t>Steck, E; Burkhardt, M; Ehrlich, H; Richter, W</t>
  </si>
  <si>
    <t>Steck, Eric; Burkhardt, Michaela; Ehrlich, Hermann; Richter, Wiltrud</t>
  </si>
  <si>
    <t>Discrimination between cells of murine and human origin in xenotransplants by species specific genomic in situ hybridization</t>
  </si>
  <si>
    <t>XENOTRANSPLANTATION</t>
  </si>
  <si>
    <t>human Alu repeat; in situ hybridization; mouse SINE repeats; species specificity; xenotransplant</t>
  </si>
  <si>
    <t>MESENCHYMAL STEM-CELLS; NUDE-MOUSE; BONE; MICE; MODEL; TRANSPLANTATION; DNA; DIFFERENTIATION; CHONDROGENESIS; CALCIFICATION</t>
  </si>
  <si>
    <t>Xenotransplantation of human cells into immune compromised host species is an important experimental setup to follow the faith of implanted cells and the contribution of host cells to tissue regenerates. In this context, it is of major relevance to discriminate between transplanted and host cells. Labeling techniques of donor cells frequently reach only part of the cells, have the risk of influencing their natural biological activity and may allow label transmission to host cells via vesicles or phagocytosis. To allow positive detection of donor and host cells on histological sections of a transplant, we have developed a method to identify mouse cells by in situ hybridization of murine specific genomic repetitive elements (SINE/B1, SINE/B2) which we combined with human cell detection using Alu in situ hybridization. We describe generation of mouse specific probes, hybridization and read out using biomaterial supported human chondrocyte constructs implanted subcutaneously in mice. Mouse specific genomic repeats identified attached or invaded host cells in the transplants with human specific signals confined to regions of cartilage-like extracellular matrix. The method is suitable to discriminate specifically between cells of human and mouse origin without overlap of unspecific staining.</t>
  </si>
  <si>
    <t>[Steck, Eric; Burkhardt, Michaela; Richter, Wiltrud] Orthopaed Univ Hosp, Res Ctr Expt Orthopaed, D-69118 Heidelberg, Germany; [Ehrlich, Hermann] Tech Univ Dresden, Inst Bioanalyt Chem, Biominerals Biocomposites &amp; Biomimet Grp, D-8027 Dresden, Germany</t>
  </si>
  <si>
    <t>Ruprecht Karls University Heidelberg; Technische Universitat Dresden</t>
  </si>
  <si>
    <t>Steck, E (corresponding author), Orthopaed Univ Hosp, Res Ctr Expt Orthopaed, Schlierbacher Landstr 200A, D-69118 Heidelberg, Germany.</t>
  </si>
  <si>
    <t>eric.steck@med.uni-heidelberg.de</t>
  </si>
  <si>
    <t>Ehrlich, Hermann/J-6698-2012; Ehrlich, Hermann/I-5481-2015; Richter, Wiltrud/V-3217-2017</t>
  </si>
  <si>
    <t>Ehrlich, Hermann/0000-0003-3654-0810; Ehrlich, Hermann/0000-0003-4951-3555; Richter, Wiltrud/0000-0003-4694-2768</t>
  </si>
  <si>
    <t>0908-665X</t>
  </si>
  <si>
    <t>10.1111/j.1399-3089.2010.00577.x</t>
  </si>
  <si>
    <t>Medicine, Research &amp; Experimental; Transplantation</t>
  </si>
  <si>
    <t>Research &amp; Experimental Medicine; Transplantation</t>
  </si>
  <si>
    <t>WOS:000276661000026</t>
  </si>
  <si>
    <t>Hong, WZ; Pang, B; West-Barnette, S; Swords, WE</t>
  </si>
  <si>
    <t>Hong, Wenzhou; Pang, Bing; West-Barnette, Shayla; Swords, W. Edward</t>
  </si>
  <si>
    <t>Phosphorylcholine expression by nontypeable Haemophilus influenzae correlates with maturation of biofilm communities in vitro and in vivo</t>
  </si>
  <si>
    <t>C-REACTIVE PROTEIN; HUMAN RESPIRATORY-TRACT; BACTERIAL BIOFILMS; OTITIS-MEDIA; PHASE VARIATION; EPITHELIAL-CELLS; PAF RECEPTOR; MIDDLE-EAR; LIPOPOLYSACCHARIDE; LIPOOLIGOSACCHARIDE</t>
  </si>
  <si>
    <t>Nontypeable Haemophilus influenzae (NTHI) causes chronic infections that feature the formation of biofilm communities. NTHI variants within biofilms have on their surfaces lipooligosaccharides containing sialic acid (NeuAc) and phosphorylcholine (PCho). Our work showed that NeuAc promotes biofilm formation, but we observed no defect in the initial stages of biofilm formation for mutants lacking PCho. In this study, we asked if alterations in NTHI PCho content affect later stages of biofilm maturation. Biofilm communities were compared for NTHI 2019 and isogenic mutants that either lacked PCho (NTHI 2019 licD) or were constitutively locked in the PCho-positive phase (NTHI 2019 lic(ON)). Transformants expressing green fluorescent protein were cultured in continuous-flow biofilms and analyzed by confocal laser scanning microscopy. COMSTAT was used to quantify different biofilm parameters. PCho expression correlated significantly with increased biofilm thickness, surface coverage, and total biomass, as well as with a decrease in biofilm roughness. Comparable results were obtained by scanning electron microscopy. Analysis of thin sections of biofilms by transmission electron microscopy revealed shedding of outer membrane vesicles by NTHI bacteria within biofilms and staining of matrix material with ruthenium red in biofilms formed by NTHI 2019 lic(ON). The biofilms of all three strains were comparable in viability, the presence of extracellular DNA, and the presence of sialylated moieties on or between bacteria. In vivo infection studies using the chinchilla model of otitis media showed a direct correlation between PCho expression and biofilm formation within the middle-ear chamber and an inverse relationship between PCho and persistence in the planktonic phase in middle-ear effusions. Collectively, these data show that PCho correlates with, and may promote, the maturation of NTHI biofilms. Further, this structure may be disadvantageous in the planktonic phase.</t>
  </si>
  <si>
    <t>Wake Forest Univ Hlth Sci, Dept Microbiol &amp; Immunol, Winston Salem, NC 27517 USA</t>
  </si>
  <si>
    <t>Wake Forest University; Wake Forest University School of Medicine</t>
  </si>
  <si>
    <t>Swords, WE (corresponding author), Wake Forest Univ Hlth Sci, Dept Microbiol &amp; Immunol, 5101A Gray Bldg,Med Ctr Blvd, Winston Salem, NC 27517 USA.</t>
  </si>
  <si>
    <t>wswords@wfubmc.edu</t>
  </si>
  <si>
    <t>10.1128/JB.00532-07</t>
  </si>
  <si>
    <t>WOS:000250991300040</t>
  </si>
  <si>
    <t>BAINES, JD; WARD, PL; CAMPADELLIFIUME, G; ROIZMAN, B</t>
  </si>
  <si>
    <t>THE UL20 GENE OF HERPES-SIMPLEX VIRUS-1 ENCODES A FUNCTION NECESSARY FOR VIRAL EGRESS</t>
  </si>
  <si>
    <t>L-S JUNCTION; MONOCLONAL-ANTIBODIES; INFECTED-CELLS; GLYCOPROTEIN-H; SYN PHENOTYPE; TYPE-1; DNA; PROTEINS; IDENTIFICATION; FUSION</t>
  </si>
  <si>
    <t>A recombinant virus from which the start codon and 53% of the U(L)20 open reading frame had been deleted was constructed and characterized. We report the following: (i) The U(L)20- mutant formed small plaques in 143 tk- cells but failed to form plaques in Vero cells. Virus yields were approximately 10- to 100-fold lower than those of wild-type virus in all cell lines tested. (ii) Electron microscopic examination of Vero cells infected with the U(L)20- mutant revealed that enveloped and unenveloped capsids accumulated in the cytoplasm, possibly in the space between the inner and outer lamellae of the nuclear membrane, and that virtually no virus was present in the extracellular space. (iii) Glycoproteins B, C, D, E, H, and I recovered from lysates of cells infected with the U(L)20- mutant could not be differentiated from those present in lysates of cells infected with the wild-type parent virus with respect to the electrophoretic mobility of mature and precursor forms. (iv) Repair of the deleted sequences restored the wild-type phenotype. (v) The gene product of the U(L)20 gene was shown to be associated with cellular membranes and to possess characteristics of integral membrane proteins. We conclude that the U(L)20 gene encodes an integral membrane protein with a hitherto unrecognized function in that it enables the transit of virions to the extracellular space. The function of the U(L)20 gene product is complemented by some cell lines but not by Vero cells. The vesicles which serve to transport virions may have an origin different from those associated with transport of normal cellular proteins.</t>
  </si>
  <si>
    <t>UNIV BOLOGNA, DEPT EXPTL PATHOL, MICROBIOL &amp; VIROL SECT, I-40126 BOLOGNA, ITALY; UNIV CHICAGO, MARJORIE B KOVLER VIRAL ONCOL LABS, CHICAGO, IL 60637 USA</t>
  </si>
  <si>
    <t>University of Bologna; University of Chicago</t>
  </si>
  <si>
    <t>Campadelli-Fiume, Gabriella/0000-0002-6012-6081</t>
  </si>
  <si>
    <t>10.1128/JVI.65.12.6414-6424.1991</t>
  </si>
  <si>
    <t>WOS:A1991GP87800005</t>
  </si>
  <si>
    <t>Soreide, K; Primavesi, F; Labori, KJ; Watson, MM; Stattner, S</t>
  </si>
  <si>
    <t>Soreide, Kjetil; Primavesi, Florian; Labori, Knut J.; Watson, Martin M.; Staettner, Stefan</t>
  </si>
  <si>
    <t>Molecular biology in pancreatic ductal adenocarcinoma: implications for future diagnostics and therapy</t>
  </si>
  <si>
    <t>EUROPEAN SURGERY-ACTA CHIRURGICA AUSTRIACA</t>
  </si>
  <si>
    <t>Pancreas; Cancer; Molecular pathology; Genomics; Classification; Liquid biopsy; Organoids; Biomarkers; Druggable targets; Chemotherapy</t>
  </si>
  <si>
    <t>INTRAEPITHELIAL NEOPLASIA; CANCER; DNA; CLASSIFICATION; GEMCITABINE; FOLFIRINOX; GENETICS; MODEL; KRAS</t>
  </si>
  <si>
    <t>BackgroundNovel technology has enabled researchers to better characterize pancreatic cancers at the molecular level. We wanted to explore some of the emerging discoveries, such as molecular subclassification, use of liquid biopsy and use of organoids in cancer assessment.MethodsAliterature review with asearch specific to the topic, with recent reviews in major journals and afocus on the last 5years (until December 2018), was done.ResultsPancreatic ductal adenocarcinoma (PDAC) may now be classified into clinical subgroups based on the predominant genomic profiles, but consensus on one classification system is lacking. Several subtypes have been suggested, including categories such as basal-like, stroma-activated, desmoplastic, pure classical and immune classical types. Further refinement may translate into clinically meaningful groups for therapeutic or prognostic purposes. Liquid biopsies (by means of circulating cancer cells, cell-free DNA, exosomes or other constituents of cancer cells in blood) may aid in earlier diagnosis, define prognostic groups and even predict therapy response and resistance. Organoids are increasingly used for the opportunity to investigate druggable and effective targets ex vivo and should facilitate personalized and precise, targeted therapy in the near future. While immunotherapy has not yet proved to be effective, abetter understanding of molecular subgroups and specific immune profiles may help identify candidates for this approach in amore selective approach.ConclusionNovel molecular techniques have the potential to accelerate the road to improved outcomes in patients with pancreatic cancer.</t>
  </si>
  <si>
    <t>[Soreide, Kjetil] Stavanger Univ Hosp, Dept Gastrointestinal Surg, Stavanger, Norway; [Soreide, Kjetil; Watson, Martin M.] Univ Bergen, Dept Clin Med, Bergen, Norway; [Soreide, Kjetil; Watson, Martin M.] Stavanger Univ Hosp, Mol Lab, Gastrointestinal Translat Res Grp, Stavanger, Norway; [Primavesi, Florian; Staettner, Stefan] Med Univ Innsbruck, Dept Visceral Transplantat &amp; Thorac Surg, Anichstr 35, A-6020 Innsbruck, Austria; [Labori, Knut J.] Oslo Univ Hosp, Dept HPB Surg, Rikshosp, Oslo, Norway</t>
  </si>
  <si>
    <t>Stavanger University Hospital; University of Bergen; Stavanger University Hospital; Medical University of Innsbruck; University of Oslo; National Hospital Norway</t>
  </si>
  <si>
    <t>Stattner, S (corresponding author), Med Univ Innsbruck, Dept Visceral Transplantat &amp; Thorac Surg, Anichstr 35, A-6020 Innsbruck, Austria.</t>
  </si>
  <si>
    <t>stefan.staettner@i-med.ac.at</t>
  </si>
  <si>
    <t>Primavesi, Florian/AAF-9645-2019; Stättner, Stefan/F-7470-2016; Primavesi, Florian/ABG-7924-2020; Labori, Knut Jørgen/W-5510-2019</t>
  </si>
  <si>
    <t xml:space="preserve">Stättner, Stefan/0000-0002-5226-7597; Primavesi, Florian/0000-0003-2707-6307; </t>
  </si>
  <si>
    <t>1682-8631</t>
  </si>
  <si>
    <t>1682-4016</t>
  </si>
  <si>
    <t>10.1007/s10353-019-0575-z</t>
  </si>
  <si>
    <t>WOS:000469496900009</t>
  </si>
  <si>
    <t>Zheng, J; Yu, LQ; Chen, W; Lu, XY; Fan, XH</t>
  </si>
  <si>
    <t>Zheng, Jie; Yu, Lingqi; Chen, Wen; Lu, Xiaoyan; Fan, Xiaohui</t>
  </si>
  <si>
    <t>Circulating exosomal microRNAs reveal the mechanism of Fructus Meliae Toosendan-induced liver injury in mice</t>
  </si>
  <si>
    <t>S-PHASE ARREST; CELL-CYCLE; OXIDATIVE STRESS; DNA-DAMAGE; HEPATOCELLULAR-CARCINOMA; EXPRESSION PROFILES; SIGNALING PATHWAY; INDUCED APOPTOSIS; DENDRITIC CELLS; MESSENGER-RNAS</t>
  </si>
  <si>
    <t>The toxicological mechanisms of liver injury caused by most traditional Chinese medicine (TCM) remain largely unknown. Due to the unique features, exosomal microRNAs (miRNAs) are currently attracting major interests to provide further insights into toxicological mechanisms. Thus, taking Fructus Meliae Toosendan as an example of hepatoxic TCM, this study aimed to elucidate its hepatotoxicity mechanisms through profiling miRNAs in circulating exosomes of Fructus Meliae Toosendan water extract (FMT)-exposed mice. Biological pathway analysis of the 64 differentially expressed exosomal miRNAs (DEMs) showed that hepatic dysfunction induced by FMT likely related to apoptosis, mitochondrial dysfunction, and cell cycle dysregulation. Integrated analysis of serum exosomal DEMs and hepatic differentially expressed mRNAs further enriched oxidative stress and apoptosis related pathways. In vitro validation studies for omics results suggested that FMT-induced DNA damage was mediated by generating intracellular reactive oxygen species, leading to cell apoptosis through p53-dependent mitochondrial damage and S-phase arrest. Nrf2-mediated antioxidant response was activated to protect liver cells. Moreover, serum exosomal miR-370-3p, the most down-regulated miRNA involving in these pathways, might be the momentous event in aggravating cytotoxic effect of FMT by elevating p21 and Cyclin E. In conclusion, circulating exosomal miRNAs profiling could contribute to deepen the understanding of TCM-induced hepatotoxicity.</t>
  </si>
  <si>
    <t>[Zheng, Jie; Yu, Lingqi; Chen, Wen; Lu, Xiaoyan; Fan, Xiaohui] Zhejiang Univ, Coll Pharmaceut Sci, Pharmaceut Informat Inst, Hangzhou 310058, Zhejiang, Peoples R China</t>
  </si>
  <si>
    <t>Lu, XY; Fan, XH (corresponding author), Zhejiang Univ, Coll Pharmaceut Sci, Pharmaceut Informat Inst, Hangzhou 310058, Zhejiang, Peoples R China.</t>
  </si>
  <si>
    <t>luxy@zju.edu.cn; fanxh@zju.edu.cn</t>
  </si>
  <si>
    <t>10.1038/s41598-018-21113-6</t>
  </si>
  <si>
    <t>WOS:000424743500048</t>
  </si>
  <si>
    <t>Bao, K; Li, XF; Poveda, L; Qi, WH; Selevsek, N; Gumus, P; Emingil, G; Grossmann, J; Diaz, PI; Hajishengallis, G; Bostanci, N; Belibasakis, GN</t>
  </si>
  <si>
    <t>Bao, Kai; Li, Xiaofei; Poveda, Lucy; Qi, Weihong; Selevsek, Nathalie; Gumus, Pinar; Emingil, Gulnur; Grossmann, Jonas; Diaz, Patricia I.; Hajishengallis, George; Bostanci, Nagihan; Belibasakis, Georgios N.</t>
  </si>
  <si>
    <t>Proteome and Microbiome Mapping of Human Gingival Tissue in Health and Disease</t>
  </si>
  <si>
    <t>tissue proteomic analysis; biofilm; gingiva; periodontitis; microbiome</t>
  </si>
  <si>
    <t>STREPTOCOCCUS-VESTIBULARIS; PERIODONTAL PATHOGENS; DIVERSITY; PROTEINS; CELL; IDENTIFICATION; BIOFILMS; SALIVA</t>
  </si>
  <si>
    <t>Efforts to map gingival tissue proteomes and microbiomes have been hampered by lack of sufficient tissue extraction methods. The pressure cycling technology (PCT) is an emerging platform for reproducible tissue homogenisation and improved sequence retrieval coverage. Therefore, we employed PCT to characterise the proteome and microbiome profiles in healthy and diseased gingival tissue. Healthy and diseased contralateral gingival tissue samples (totaln= 10) were collected from five systemically healthy individuals (51.6 +/- 4.3 years) with generalised chronic periodontitis. The tissues were then lysed and digested using a Barocycler, proteins were prepared and submitted for mass spectrometric analysis and microbiome DNA for 16S rRNA profiling analysis. Overall, 1,366 human proteins were quantified (false discovery rate 0.22%), of which 69 proteins were differentially expressed (&gt;= 2 peptides andp&lt; 0.05, 62 up, 7 down) in periodontally diseased sites, compared to healthy sites. These were primarily extracellular or vesicle-associated proteins, with functions in molecular transport. On the microbiome level, 362 species-level operational taxonomic units were identified. Of those, 14 predominant species accounted for &gt;80% of the total relative abundance, whereas 11 proved to be significantly different between healthy and diseased sites. Among them,Treponemasp. HMT253 andFusobacterium naviformeand were associated with disease sites and strongly interacted (r&gt; 0.7) with 30 and 6 up-regulated proteins, respectively. Healthy-site associated strainsStreptococcus vestibularis, Veillonella dispar, Selenomonassp. HMT478 andLeptotrichiasp. HMT417 showed strong negative interactions (r&lt; -0.7) with 31, 21, 9, and 18 up-regulated proteins, respectively. In contrast the down-regulated proteins did not show strong interactions with the regulated bacteria. The present study identified the proteomic and intra-tissue microbiome profile of human gingiva by employing a PCT-assisted workflow. This is the first report demonstrating the feasibility to analyse full proteome profiles of gingival tissues in both healthy and disease sites, while deciphering the tissue site-specific microbiome signatures.</t>
  </si>
  <si>
    <t>[Bao, Kai; Bostanci, Nagihan; Belibasakis, Georgios N.] Karolinska Inst, Div Oral Dis, Dept Dent Med, Huddinge, Sweden; [Li, Xiaofei; Hajishengallis, George] Sch Dent Med, Dept Basic &amp; Translat Sci, Philadelphia, PA USA; [Poveda, Lucy; Qi, Weihong; Grossmann, Jonas] Swiss Fed Inst Technol, Funct Genom Ctr, Zurich, Switzerland; [Poveda, Lucy; Qi, Weihong; Grossmann, Jonas] Univ Zurich, Zurich, Switzerland; [Selevsek, Nathalie] Swiss Integrat Ctr Human Hlth, Fribourg, Switzerland; [Gumus, Pinar; Emingil, Gulnur] Ege Univ, Sch Dent, Dept Periodontol, Izmir, Turkey; [Diaz, Patricia I.] SUNY Buffalo, Univ Buffalo, Dept Oral Biol, Buffalo, NY USA</t>
  </si>
  <si>
    <t>Karolinska Institutet; University of Pennsylvania; ETH Zurich; University of Zurich; Ege University; State University of New York (SUNY) System; State University of New York (SUNY) Buffalo</t>
  </si>
  <si>
    <t>Bao, K; Belibasakis, GN (corresponding author), Karolinska Inst, Div Oral Dis, Dept Dent Med, Huddinge, Sweden.</t>
  </si>
  <si>
    <t>kai.bao@ki.se; george.belibasakis@ki.se</t>
  </si>
  <si>
    <t>Qi, Weihong/ABC-7380-2021; Belibasakis, Georgios/AAL-3159-2020; Bostanci, Nagihan/ABD-5524-2020; Bao, Kai/S-4223-2017</t>
  </si>
  <si>
    <t>Belibasakis, Georgios/0000-0002-8164-0653; Bostanci, Nagihan/0000-0002-6742-3556; Bao, Kai/0000-0002-1183-5607; Qi, Weihong/0000-0001-8581-908X; Poveda, Lucy/0000-0002-5291-5582</t>
  </si>
  <si>
    <t>10.3389/fcimb.2020.588155</t>
  </si>
  <si>
    <t>WOS:000577466000001</t>
  </si>
  <si>
    <t>Mouse models of cancer-associated thrombosis</t>
  </si>
  <si>
    <t>9th International Conference on Thrombosis and Hemostasis Issues in Cancer (ICTHIC)</t>
  </si>
  <si>
    <t>APR 13-15, 2018</t>
  </si>
  <si>
    <t>Bergamo, ITALY</t>
  </si>
  <si>
    <t>Cancer; Mouse model; Neutrophil extracellular traps; Tissue factor; Venous thrombosis</t>
  </si>
  <si>
    <t>DEEP-VEIN THROMBOSIS; TISSUE FACTOR EXPRESSION; EXTRACELLULAR DNA TRAPS; HUMAN LUNG-CARCINOMA; VENOUS THROMBOSIS; PANCREATIC-CANCER; IN-VIVO; XENOGRAFT MODEL; COAGULATION ACTIVATION; TUMOR XENOGRAFTS</t>
  </si>
  <si>
    <t>Cancer patients have an increased risk of venous thromboembolism (VTE) compared with the general population. Mouse models are used to better understand the mechanisms of cancer-associated thrombosis. Several mouse models of cancer-associated thrombosis have been developed that use different mouse strains, tumors, tumor sites and thrombosis models. In this review, we summarize these different models. These models have been used to determine the role of different pathways in cancer-associated thrombosis. For instance, they have revealed roles for tumor-derived tissue factor-positive microvesicles and neutrophil extracellular traps in thrombosis in tumor-bearing mice. A better understanding of the mechanisms of cancer-associated thrombosis may allow the development of new therapies to reduce thrombosis in cancer patients.</t>
  </si>
  <si>
    <t>[Hisada, Yohei; Mackman, Nigel] Univ North Carolina Chapel Hill, Thrombosis &amp; Hemostasis Program, Div Hematol &amp; Oncol, Dept Med, Chapel Hill, NC 27599 USA; [Hisada, Yohei] Univ Tromso, KG Jebsen Thrombosis Res &amp; Expertise Ctr, Tromso, Norway; [Mackman, Nigel] Univ North Carolina Chapel Hill, Dept Pathol &amp; Lab Med, Chapel Hill, NC 27599 USA</t>
  </si>
  <si>
    <t>University of North Carolina; University of North Carolina Chapel Hill; University of North Carolina School of Medicine; UiT The Arctic University of Tromso; University of North Carolina; University of North Carolina Chapel Hill; University of North Carolina School of Medicine</t>
  </si>
  <si>
    <t>Mackman, N (corresponding author), Univ North Carolina Chapel Hill, 111 Mason Farm Rd Campus Box 7126, Chapel Hill, NC 27599 USA.</t>
  </si>
  <si>
    <t>nigel_mackman@med.unc.edu</t>
  </si>
  <si>
    <t>S48</t>
  </si>
  <si>
    <t>S53</t>
  </si>
  <si>
    <t>10.1016/j.thromres.2017.12.018</t>
  </si>
  <si>
    <t>WOS:000432889200010</t>
  </si>
  <si>
    <t>Cavalier-Smith, T</t>
  </si>
  <si>
    <t>The neomuran origin of archaebacteria, the negibacterial root of the universal tree and bacterial megaclassification</t>
  </si>
  <si>
    <t>INTERNATIONAL JOURNAL OF SYSTEMATIC AND EVOLUTIONARY MICROBIOLOGY</t>
  </si>
  <si>
    <t>13th Meeting of the International-Society-for-Evolutionary-Protistology</t>
  </si>
  <si>
    <t>JUL 31-AUG 04, 2000</t>
  </si>
  <si>
    <t>CESKE BUDEJOVICE, CZECH REPUBLIC</t>
  </si>
  <si>
    <t>unibacteria; Actinobacteria; thermophily and molecular co-evolution of; DNA-handling enzymes; origin of N-linked glycoprotein secretion; microbial fossils and evolution</t>
  </si>
  <si>
    <t>LATERAL GENE-TRANSFER; 16S RIBOSOMAL-RNA; LAST COMMON ANCESTOR; DNA-BINDING PROTEIN; INITIATION-FACTOR 2; TRANSLATION INITIATION; HORIZONTAL TRANSFER; EARLY EVOLUTION; MOLECULAR EVIDENCE; GENOME SEQUENCE</t>
  </si>
  <si>
    <t>Prokaryotes constitute a single kingdom, Bacteria, here divided into two new subkingdoms: Negibacteria, with a cell envelope of two distinct genetic membranes, and Unibacteria, comprising the new phyla Archaebacteria and Posibacteria, with only one. Other new bacterial taxa are established in a revised higher-level classification that recognizes only eight phyla and 29 classes. Morphological, palaeontological and molecular data are integrated into a unified picture of large-scale bacterial cell evolution despite occasional lateral gene transfers. Archaebacteria and eukaryotes comprise the clade neomura, with many common characters, notably obligately co-translational secretion of N-linked glycoproteins, signal recognition particle with 75 RNA and translation-arrest domain, protein-spliced tRNA introns, eight-subunit chaperonin, prefoldin, core histones, small nucleolar ribonucleoproteins (snoRNPs), exosomes and similar replication, repair, transcription and translation machinery. Eubacteria (posibacteria and negibacteria) are paraphyletic, neomura having arisen from Posibacteria within the new subphylum Actinobacteria (possibly from the new class Arabobacteria, from which eukaryotic cholesterol biosynthesis probably came). Replacement of eubacterial peptidoglycan by glycoproteins and adaptation to thermophily are the keys to neomuran origins. All 19 common neomuran character suites probably arose essentially simultaneously during the radical modification of an actinobacterium. At least 11 were arguably adaptations to thermophily. Most unique archaebacterial characters (prenyl ether lipids; flagellar shaft of glycoprotein, not flagellin; DNA-binding protein 10b; specially modified tRNA; absence of Hsp90) were subsequent secondary adaptations to hyperthermophily and/or hyperacidity. The insertional origin of protein-spliced tRNA introns and an insertion in proton-pumping ATPase also support the origin of neomura from eubacteria. Molecular co-evolution between histones and DNA-handling proteins, and in novel protein initiation and secretion machineries, caused quantum evolutionary shifts in their properties in stem neomura. Proteasomes probably arose in the immediate common ancestor of neomura and Actinobacteria. Major gene losses (e.g. peptidoglycan synthesis, hsp90, secA) and genomic reduction were central to the origin of archaebacteria. Ancestral archaebacteria were probably heterotrophic, anaerobic, sulphur-dependent hyperthermoacidophiles; methanogenesis and halophily are secondarily derived. Multiple lateral gene transfers from eubacteria helped secondary archaebacterial adaptations to mesophily and genome re-expansion. The origin from a drastically altered actinobacterium of neomura, and the immediately subsequent simultaneous origins of archaebacteria and eukaryotes, are the most extreme and important cases of quantum evolution since cells began. All three strikingly exemplify De Beer's principle of mosaic evolution: the fact that, during major evolutionary transformations, some organismal characters are highly innovative and change remarkably swiftly, whereas others are largely static, remaining conservatively ancestral in nature. This phenotypic mosaicism creates character distributions among taxa that are puzzling to those mistakenly expecting uniform evolutionary rates among characters and lineages. The mixture of novel (neomuran or archaebacterial) and ancestral eubacteria-like characters in archaebacteria primarily reflects such vertical mosaic evolution not chimaeric evolution by lateral gene transfer. No symbiogenesis occurred. Quantum evolution of the basic neomuran characters, and between sister paralogues in gene duplication trees, makes many sequence trees exaggerate greatly the apparent age of archaebacteria. Fossil evidence is compelling for the extreme antiquity of eubacteria [over 3500 million years (My)] but, like their eukaryote sisters, archaebacteria probably arose only 850 My ago. Negibacteria are the most ancient; radiating rapidly into six phyla. Evidence from molecular sequences, ultrastructure, evolution of photosynthesis, envelope structure and chemistry and motility mechanisms fits the view that the cenancestral cell was a photosynthetic negibacterium, specifically an anaerobic green non-sulphur bacterium, and that the universal tree is rooted at the divergence between sulphur and non-sulphur green bacteria. The negibacterial outer membrane was lost once only in the history of life, when Posibacteria arose about 2800 My ago after their ancestors diverged from Cyanobacteria.</t>
  </si>
  <si>
    <t>Univ Oxford, Dept Zool, Oxford OX1 3PS, England</t>
  </si>
  <si>
    <t>Cavalier-Smith, T (corresponding author), Univ Oxford, Dept Zool, S Parks Rd, Oxford OX1 3PS, England.</t>
  </si>
  <si>
    <t>tom.cavalier-smith@zoo.ox.ac.uk</t>
  </si>
  <si>
    <t>1466-5026</t>
  </si>
  <si>
    <t>1466-5034</t>
  </si>
  <si>
    <t>10.1099/00207713-52-1-7</t>
  </si>
  <si>
    <t>WOS:000173464200002</t>
  </si>
  <si>
    <t>Greising, DM; Schwartz, Z; Posner, GH; Sylvia, VL; Dean, DD; Boyan, BD</t>
  </si>
  <si>
    <t>A-ring analogues of 1,25-(OH)(2)D-3 with low affinity for the vitamin D receptor modulate chondrocytes via membrane effects that are dependent on cell maturation</t>
  </si>
  <si>
    <t>PROTEIN-KINASE-C; RESTING ZONE CHONDROCYTES; ARACHIDONIC-ACID TURNOVER; RAT OSTEOSARCOMA CELLS; GROWTH-FACTOR-BETA; D METABOLITES; ALKALINE-PHOSPHATASE; 1-(HYDROXYALKYL)-25-HYDROXYVITAMIN-D3 ANALOGS; PHOSPHOLIPID-METABOLISM; NONGENOMIC REGULATION</t>
  </si>
  <si>
    <t>1,25-(OH)(2)D-3 (1,25) and 24,25-(OH)(2)D-3 (24,25) mediate their effects on chondrocytes through the classic vitamin D receptor (VDR) as well as through rapid membrane-mediated mechanisms, which result in both nongenomic and genomic effects. In intact cells, it is difficult to distinguish between genomic responses via the VDR and genomic and nongenomic responses via membrane-mediated pathways. In this study, we used two analogues of 1,25 that have been modified on the A-ring (2a, 2b) and are only 0.1% as effective in binding to the VDR as 1,25, to examine the role of the VDR in the response of rat costochondral resting zone (RC) and growth zone (GC) chondrocytes to 1,25 and 24,25. Chondrocyte proliferation ([H-3]-thymidine incorporation), proteoglycan production ([S-35]-sulfate incorporation), and second messenger activation (activity of protein kinase C) were measured after treatment with 10(-8) M 1,25, 10(-7) M 24,25, or the analogues at 10(-9)-10(-6) M Both analogues inhibited proliferation of both cell types, as did 1,25 and 24,25. Neither 2a nor 2b had an effect on proteoglycan production by GCs or RCs. 2a caused a dose-dependent stimulation of protein kinase C (PKC) that was not inhibited by cycloheximide or actinomycin D in either GC or RC cells. 2b, on the other hand, had no effect on PKC activity in RCs and only a slight stimulatory effect in GCs. Both cells produce matrix vesicles, extracellular organelles associated with the initial stages of calcification, in culture that are regulated by vitamin D metabolites. Since these organelles contain no DNA or RNA, they provide an excellent model for studying the mechanisms used by vitamin D metabolites to mediate their nongenomic effects. When matrix vesicles were isolated from naive cultures of growth zone cells and treated with 2a, a dose-dependent inhibition of PKC activity was observed that was similar to that found with 1,25-(OH)(2)D-3. Plasma membranes contained increased PKC activity after treatment with 2a, but the magnitude of the effect was less than that seen with 1,25-(OH)(2)D-3. Analogue 2b had no affect on PKC activity in either membrane fraction. When matrix vesicles from resting zone chondrocyte cultures were treated with 24,25-(OH)(2)D-3, a significant decrease in PKC activity was observed. No change in enzyme activity was found for either 1,25-(OH)(2)D-3 or the analogues. PKC activity in the plasma membrane fraction, however, was increased by 24,25-(OH)(2)D-3 as well as by analogue 2a. This study shows that these analogues, with little or no binding to the vitamin D receptor, can affect cell proliferation and PKC activity, but not proteoglycan production. The direct membrane effect is analogue specific and cell maturation dependent. Further, by eliminating the VDR-mediated component of the cellular response, we have provided further evidence for the existence of a membrane receptor(s) involved in mediating nongenomic effects of vitamin D metabolites. (C) 1997 Wiley-Liss, Inc.</t>
  </si>
  <si>
    <t>UNIV TEXAS,HLTH SCI CTR,DEPT ORTHOPAED,SAN ANTONIO,TX 78284; UNIV TEXAS,HLTH SCI CTR,DEPT PERIODONT,SAN ANTONIO,TX 78284; UNIV TEXAS,HLTH SCI CTR,DEPT BIOCHEM,SAN ANTONIO,TX 78284; USAF,SAN ANTONIO,TX; HEBREW UNIV JERUSALEM,HADASSAH FAC DENT MED,DEPT PERIODONT,JERUSALEM,ISRAEL; JOHNS HOPKINS UNIV,DEPT CHEM,SCH ARTS &amp; SCI,BALTIMORE,MD 21218</t>
  </si>
  <si>
    <t>University of Texas System; University of Texas Health San Antonio; University of Texas System; University of Texas Health San Antonio; University of Texas System; University of Texas Health San Antonio; United States Department of Defense; United States Air Force; Hebrew University of Jerusalem; Johns Hopkins University</t>
  </si>
  <si>
    <t>Dean, David/0000-0002-4512-9065</t>
  </si>
  <si>
    <t>WOS:A1997XL16600014</t>
  </si>
  <si>
    <t>Lohmann, LJ; Strube, J</t>
  </si>
  <si>
    <t>Lohmann, Lara Julia; Strube, Jochen</t>
  </si>
  <si>
    <t>Accelerating Biologics Manufacturing by Modeling: Process Integration of Precipitation in mAb Downstream Processing</t>
  </si>
  <si>
    <t>PROCESSES</t>
  </si>
  <si>
    <t>biologics manufacturing; precipitation; QbD; process modeling; PAT; antibodies</t>
  </si>
  <si>
    <t>ANTIBODY EFFECTOR FUNCTIONS; POLYETHYLENE-GLYCOL; PROTEIN PRECIPITATION; PLASMA-PROTEINS; PURIFICATION; CHROMATOGRAPHY; GLYCOSYLATION; DESIGN; CRYSTALLIZATION; SEPARATION</t>
  </si>
  <si>
    <t>The demand on biologics has been constantly rising over the past decades and has become crucial in modern medicine. Promising approaches to cope with widespread diseases like cancer and diabetes are gene therapy, plasmid DNA, virus-like particles, and exosomes. Due to progress that has been made in upstream processing (USP), difficulties arise in downstream processing and demand for innovative solutions. This work focuses on the integration of precipitation using a quality by design (QbD) approach for process development. Selective precipitation is achieved with PEG 4000 resulting in an HCP depletion of &gt;= 80% respectively to IgG. Dissolution was executed with a sodium phosphate buffer (pH = 5/50 mM) reaching an IgG recovery of &gt;= 95%. However, the central challenge in process development is still an optimal process design, which is transferable for a broad molecular variety of new products. This is where rigorous modeling becomes vital in order to generate digital twins to support early-stage process development and reduce the experimental overhead. Therefore, a model development and validation concept for construction of a process model for precipitation is also presented.</t>
  </si>
  <si>
    <t>[Lohmann, Lara Julia; Strube, Jochen] Tech Univ Clausthal, Inst Separat &amp; Proc Technol, Leibnizstr 15, D-38678 Clausthal Zellerfeld, Germany</t>
  </si>
  <si>
    <t>TU Clausthal</t>
  </si>
  <si>
    <t>Strube, J (corresponding author), Tech Univ Clausthal, Inst Separat &amp; Proc Technol, Leibnizstr 15, D-38678 Clausthal Zellerfeld, Germany.</t>
  </si>
  <si>
    <t>lohmann@itv.tu-clausthal.de; strube@itv.tu-clausthal.de</t>
  </si>
  <si>
    <t>2227-9717</t>
  </si>
  <si>
    <t>10.3390/pr8010058</t>
  </si>
  <si>
    <t>Engineering, Chemical</t>
  </si>
  <si>
    <t>WOS:000516825300019</t>
  </si>
  <si>
    <t>Kwon, S; Oh, J; Lee, MS; Um, E; Jeong, J; Kang, JH</t>
  </si>
  <si>
    <t>Kwon, Seyong; Oh, Jieung; Lee, Min Seok; Um, Eujin; Jeong, Joonwoo; Kang, Joo H.</t>
  </si>
  <si>
    <t>Enhanced Diamagnetic Repulsion of Blood Cells Enables Versatile Plasma Separation for Biomarker Analysis in Blood</t>
  </si>
  <si>
    <t>blood plasma separation; diamagnetophoresis; microfluidics</t>
  </si>
  <si>
    <t>MICROFLUIDIC PIPETTE TIP; ESCHERICHIA-COLI; WHOLE-BLOOD; DEVICE; EXTRACTION; SEDIMENTATION; MICROCHANNEL; DIAGNOSTICS; DIFFERENCE; PARTICLES</t>
  </si>
  <si>
    <t>A hemolysis-free and highly efficient plasma separation platform enabled by enhanced diamagnetic repulsion of blood cells in undiluted whole blood is reported. Complete removal of blood cells from blood plasma is achieved by supplementing blood with superparamagnetic iron oxide nanoparticles (SPIONs), which turns the blood plasma into a paramagnetic condition, and thus, all blood cells are repelled by magnets. The blood plasma is successfully collected from 4 mL of blood at flow rates up to 100 mu L min(-1) without losing plasma proteins, platelets, or exosomes with 83.3 +/- 1.64% of plasma volume recovery, which is superior over the conventional microfluidic methods. The theoretical model elucidates the diamagnetic repulsion of blood cells considering hematocrit-dependent viscosity, which allows to determine a range of optimal flow rates to harvest platelet-rich plasma and platelet-free plasma. For clinical validations, it is demonstrated that the method enables the greater recovery of bacterial DNA from the infected blood than centrifugation and the immunoassay in whole blood without prior plasma separation.</t>
  </si>
  <si>
    <t>[Kwon, Seyong; Oh, Jieung; Lee, Min Seok; Kang, Joo H.] Ulsan Natl Inst Sci &amp; Technol UNIST, Dept Biomed Engn, UNIST Gil 50, Ulsan 44919, South Korea; [Um, Eujin; Jeong, Joonwoo] Ulsan Natl Inst Sci &amp; Technol UNIST, Dept Phys, UNIST Gil 50, Ulsan 44919, South Korea</t>
  </si>
  <si>
    <t>Ulsan National Institute of Science &amp; Technology (UNIST); Ulsan National Institute of Science &amp; Technology (UNIST)</t>
  </si>
  <si>
    <t>Kang, JH (corresponding author), Ulsan Natl Inst Sci &amp; Technol UNIST, Dept Biomed Engn, UNIST Gil 50, Ulsan 44919, South Korea.</t>
  </si>
  <si>
    <t>jookang@unist.ac.kr</t>
  </si>
  <si>
    <t>Kang, Joo H./D-5436-2017; Jeong, Joonwoo/C-5524-2009</t>
  </si>
  <si>
    <t>Kang, Joo H./0000-0001-9636-3209; Jeong, Joonwoo/0000-0002-3082-783X; Lee, Min Seok/0000-0003-4372-8408; Oh, JiEung/0000-0002-0399-4907</t>
  </si>
  <si>
    <t>10.1002/smll.202100797</t>
  </si>
  <si>
    <t>WOS:000649400300001</t>
  </si>
  <si>
    <t>Kunkel, GH; Chaturvedi, P; Tyagi, SC</t>
  </si>
  <si>
    <t>Kunkel, George H.; Chaturvedi, Pankaj; Tyagi, Suresh C.</t>
  </si>
  <si>
    <t>Mitochondrial pathways to cardiac recovery: TFAM</t>
  </si>
  <si>
    <t>HEART FAILURE REVIEWS</t>
  </si>
  <si>
    <t>Mitochondria; TFAM; Serca2a; Hsp60; Calpain; MMPs</t>
  </si>
  <si>
    <t>TRANSCRIPTION-FACTOR-A; ACTIVATED T-CELLS; NUCLEAR RESPIRATORY FACTORS; RETICULUM CA2+ ATPASE; MTDNA COPY NUMBER; NF-KAPPA-B; LON PROTEASE; HEART-FAILURE; OXIDATIVE STRESS; SKELETAL-MUSCLE</t>
  </si>
  <si>
    <t>Mitochondrial dysfunction underlines a multitude of pathologies; however, studies are scarce that rescue the mitochondria for cellular resuscitation. Exploration into the protective role of mitochondrial transcription factor A (TFAM) and its mitochondrial functions respective to cardiomyocyte death are in need of further investigation. TFAM is a gene regulator that acts to mitigate calcium mishandling and ROS production by wrapping around mitochondrial DNA (mtDNA) complexes. TFAM's regulatory functions over serca2a, NFAT, and Lon protease contribute to cardiomyocyte stability. Calcium-and ROS-dependent proteases, calpains, and matrix metalloproteinases (MMPs) are abundantly found upregulated in the failing heart. TFAM's regulatory role over ROS production and calcium mishandling leads to further investigation into the cardioprotective role of exogenous TFAM. In an effort to restabilize physiological and contractile activity of cardiomyocytes in HF models, we propose that TFAM-packed exosomes (TFAM-PE) will act therapeutically by mitigating mitochondrial dysfunction. Notably, this is the first mention of exosomal delivery of transcription factors in the literature. Here we elucidate the role of TFAM in mitochondrial rescue and focus on its therapeutic potential.</t>
  </si>
  <si>
    <t>[Kunkel, George H.; Chaturvedi, Pankaj; Tyagi, Suresh C.] Univ Louisville, Hlth Sci Ctr, Sch Med, Dept Physiol &amp; Biophys, 1216,500 South Preston St, Louisville, KY 40202 USA</t>
  </si>
  <si>
    <t>University of Louisville</t>
  </si>
  <si>
    <t>Chaturvedi, P (corresponding author), Univ Louisville, Hlth Sci Ctr, Sch Med, Dept Physiol &amp; Biophys, 1216,500 South Preston St, Louisville, KY 40202 USA.</t>
  </si>
  <si>
    <t>p0chat03@louisville.edu</t>
  </si>
  <si>
    <t>1382-4147</t>
  </si>
  <si>
    <t>1573-7322</t>
  </si>
  <si>
    <t>10.1007/s10741-016-9561-8</t>
  </si>
  <si>
    <t>WOS:000387227900004</t>
  </si>
  <si>
    <t>Candiani, G; Pezzoli, D; Ciani, L; Chiesa, R; Ristori, S</t>
  </si>
  <si>
    <t>Candiani, Gabriele; Pezzoli, Daniele; Ciani, Laura; Chiesa, Roberto; Ristori, Sandra</t>
  </si>
  <si>
    <t>Bioreducible Liposomes for Gene Delivery: From the Formulation to the Mechanism of Action</t>
  </si>
  <si>
    <t>MEDIATED DNA-TRANSFECTION; CATIONIC LIPIDS; IN-VITRO; GEMINI SURFACTANTS; VESICLE FORMATION; NONVIRAL VECTORS; OXIDATIVE STRESS; DRUG-DELIVERY; PLASMID DNA; GLUTATHIONE</t>
  </si>
  <si>
    <t>Background: A promising strategy to create stimuli-responsive gene delivery systems is to exploit the redox gradient between the oxidizing extracellular milieu and the reducing cytoplasm in order to disassemble DNA/cationic lipid complexes (lipoplexes). On these premises, we previously described the synthesis of SS14 redox-sensitive gemini surfactant for gene delivery. Although others have attributed the beneficial effects of intracellular reducing environment to reduced glutathione (GSH), these observations cannot rule out the possible implication of the redox milieu in its whole on transfection efficiency of bioreducible transfectants leaving the determinants of DNA release largely undefined. Methodology/Principal Findings: With the aim of addressing this issue, SS14 was here formulated into binary and ternary 100 nm-extruded liposomes and the effects of the helper lipid composition and of the SS14/helper lipids molar ratio on chemical-physical and structural parameters defining transfection effectiveness were investigated. Among all formulations tested, DOPC/DOPE/SS14 at 25: 50: 25 molar ratio was the most effective in transfection studies owing to the presence of dioleoyl chains and phosphatidylethanolamine head groups in co-lipids. The increase in SS14 content up to 50% along DOPC/DOPE/SS14 liposome series yielded enhanced transfection, up to 2.7-fold higher than that of the benchmark Lipofectamine 2000, without altering cytotoxicity of the corresponding lipoplexes at charge ratio 5. Secondly, we specifically investigated the redox-dependent mechanisms of gene delivery into cells through tailored protocols of transfection in GSH-depleted and repleted vs. increased oxidative stress conditions. Importantly, GSH specifically induced DNA release in batch and in vitro. Conclusions/Significance: The presence of helper lipids carrying unsaturated dioleoyl chains and phosphatidylethanolamine head groups significantly improved transfection efficiencies of DOPC/DOPE/SS14 lipoplexes. Most importantly, this study shows that intracellular GSH levels linearly correlated with transfection efficiency while oxidative stress levels did not, highlighting for the first time the pivotal role of GSH rather than oxidative stress in its whole in transfection of bioreducible vectors.</t>
  </si>
  <si>
    <t>[Candiani, Gabriele; Pezzoli, Daniele; Chiesa, Roberto] Politecn Milan, Dept Chem Mat &amp; Chem Engn Giulio Natta, I-20133 Milan, Italy; [Ciani, Laura; Ristori, Sandra] Univ Florence, Dept Chem, Florence, Italy; [Ciani, Laura; Ristori, Sandra] Univ Florence, Ctr Colloid &amp; Surface Sci CSGI, Florence, Italy</t>
  </si>
  <si>
    <t>Polytechnic University of Milan; University of Florence; University of Florence</t>
  </si>
  <si>
    <t>Candiani, G (corresponding author), Politecn Milan, Dept Chem Mat &amp; Chem Engn Giulio Natta, I-20133 Milan, Italy.</t>
  </si>
  <si>
    <t>gabriele.candiani@polimi.it</t>
  </si>
  <si>
    <t>Fanjul-Moles, María Luisa/C-8069-2011; Chiesa, Roberto/N-2605-2013; Roberto, Chiesa/AAV-6476-2021; Pezzoli, Daniele/J-4308-2012; Candiani, Gabriele/A-9744-2009; Ristori, Sandra/ABC-4731-2020; Ristori, Sandra/J-9887-2014</t>
  </si>
  <si>
    <t>Fanjul-Moles, María Luisa/0000-0003-2927-0154; Pezzoli, Daniele/0000-0002-6780-6979; Candiani, Gabriele/0000-0003-0575-068X; Ristori, Sandra/0000-0003-0708-3956; Chiesa, Roberto/0000-0002-5317-6849</t>
  </si>
  <si>
    <t>e13430</t>
  </si>
  <si>
    <t>10.1371/journal.pone.0013430</t>
  </si>
  <si>
    <t>WOS:000283043700021</t>
  </si>
  <si>
    <t>Jiang, CY; Niu, ZQ; Green, MD; Zhao, LL; Raupp, S; Pannecouk, B; Brenner, DE; Nagrath, S; Ramnath, N</t>
  </si>
  <si>
    <t>Jiang, Cindy Y.; Niu, Zeqi; Green, Michael D.; Zhao, Lili; Raupp, Shelby; Pannecouk, Brittany; Brenner, Dean E.; Nagrath, Sunitha; Ramnath, Nithya</t>
  </si>
  <si>
    <t>It's not 'just a tube of blood': principles of protocol development, sample collection, staffing and budget considerations for blood-based biomarkers in immunotherapy studies</t>
  </si>
  <si>
    <t>immunotherapy; biomarkers; tumor</t>
  </si>
  <si>
    <t>RECOMMENDATIONS; ABILITY; MODELS; MARKER</t>
  </si>
  <si>
    <t>Immunotherapy for cancer is now a standard pillar in the armamentarium of treatments for many cancers. Immune checkpoint inhibitors, in particular, have resulted in significant therapeutic benefit and prolongation of survival in solid organ cancers, such as melanoma and lung cancer. However, the extent of benefit is not uniform. There are several groups studying predictors of benefit from these therapies. Recently, there has been a burgeoning interest in studying predictive biomarkers from the blood. These markers include circulating tumor DNA, circulating tumor cells, lymphocyte subpopulations, exosomes and metabolites to name a few. The logistics involved in such biomarker work are complex and rigorous with potential to impact a given study. Such pre-analytic components include development of a rigorous protocol, standard operating procedures for collection and storage of various blood components, ethics of patient consent, personnel involved as well as budget considerations. In this primer, we lay out representative aspects of each of the aforementioned components as a guide to blood-based biomarker research for immunotherapy studies in cancer.</t>
  </si>
  <si>
    <t>[Jiang, Cindy Y.] Univ Michigan, Internal Med, Michigan Med, Ann Arbor, MI 48109 USA; [Niu, Zeqi; Nagrath, Sunitha] Univ Michigan, Dept Chem Engn, Ann Arbor, MI 48109 USA; [Green, Michael D.] Univ Michigan, Dept Radiat Oncol, Ann Arbor, MI 48109 USA; [Zhao, Lili] Univ Michigan, Dept Biostat, Ann Arbor, MI 48109 USA; [Raupp, Shelby; Pannecouk, Brittany; Ramnath, Nithya] Vet Affairs Ann Arbor Healthcare Syst, Precis Oncol Program, Ann Arbor, MI 48105 USA; [Brenner, Dean E.; Ramnath, Nithya] Univ Michigan, Dept Internal Med, Ann Arbor, MI 48109 USA</t>
  </si>
  <si>
    <t>Ramnath, N (corresponding author), Vet Affairs Ann Arbor Healthcare Syst, Precis Oncol Program, Ann Arbor, MI 48105 USA.;Ramnath, N (corresponding author), Univ Michigan, Dept Internal Med, Ann Arbor, MI 48109 USA.</t>
  </si>
  <si>
    <t>nithyar@med.umich.edu</t>
  </si>
  <si>
    <t>Jiang, Cindy/0000-0002-2459-1875</t>
  </si>
  <si>
    <t>e003212</t>
  </si>
  <si>
    <t>10.1136/jitc-2021-003212</t>
  </si>
  <si>
    <t>WOS:000691855900004</t>
  </si>
  <si>
    <t>Vyas, GN; Stoddart, CA; Killian, MS; Brennan, TV; Goldberg, T; Ziman, A; Bryson, Y</t>
  </si>
  <si>
    <t>Vyas, Girish N.; Stoddart, Cheryl A.; Killian, M. Scott; Brennan, Todd V.; Goldberg, Tiffany; Ziman, Alyssa; Bryson, Yvonne</t>
  </si>
  <si>
    <t>Derivation of non-infectious envelope proteins from virions isolated from plasma negative for HIV antibodies</t>
  </si>
  <si>
    <t>BIOLOGICALS</t>
  </si>
  <si>
    <t>HIV inactivation; mHIVenv proteins; SCID-hu Thy/Liv mouse model; mHIVenv subunit vaccine; mHIVenv immune globulins</t>
  </si>
  <si>
    <t>HUMAN-IMMUNODEFICIENCY-VIRUS; HUMAN MONOCLONAL-ANTIBODIES; AUSTRALIA ANTIGEN; DENDRITIC CELLS; DC-SIGN; INFECTION; TYPE-1; IDENTIFICATION; NEUTRALIZATION; LYMPHOCYTES</t>
  </si>
  <si>
    <t>Natural membrane-bound HIV-1 envelope proteins (mHIVenv) could be used to produce an effective subunit vaccine against HIV infection, akin to effective vaccination against HBV infection using the hepatitis B surface antigen. The quaternary structure of mHIVenv is postulated to elicit broadly neutralizing antibodies protective against HIV-1 transmission. The founder virus transmitted to infected individuals during acute HIV-1 infection is genetically homogeneous and restricted to CCR5-tropic phenotype. Therefore, isolates of plasma-derived HIV-1 (PHIV) from infected blood donors while negative for antibodies to HIV proteins were selected for expansion in primary lymphocytes as an optimized cell substrate (OCS). Virions in the culture supernatants were purified by removing contaminating microvesicles using immunomagnetic beads coated with anti-CD45. Membrane cholesterol was extracted from purified virions with beta-cyclodextrin to permeabilize them and expel p24, RT and viral RNA, and permit protease-free Benzonase to hydrolyze the residual viral/host DNA/RNA without loss of gp120. The resultant mHIVenv, containing gp120 bound to native gp41 in immunoreactive form, was free from infectivity in vitro in co-cultures with OCS and in vivo after inoculating SCID-hu Thy/Liv mice. These data should help development of mHIVenv as a virally safe immunogen and enable preparation of polyclonal hyper-immune globulins for immunoprophylaxis against HIV-1 infection. (C) 2011 Published by Elsevier Ltd on behalf of The International Alliance for Biological Standardization.</t>
  </si>
  <si>
    <t>[Vyas, Girish N.; Goldberg, Tiffany] Univ Calif San Francisco, Sch Med, Dept Lab Med, San Francisco, CA 94143 USA; [Stoddart, Cheryl A.; Killian, M. Scott] Univ Calif San Francisco, Sch Med, Dept Med, San Francisco, CA 94143 USA; [Brennan, Todd V.] Univ Calif San Francisco, Sch Med, Dept Surg, San Francisco, CA 94143 USA; [Vyas, Girish N.; Ziman, Alyssa] Univ Calif Los Angeles, David Geffen Sch Med, Dept Pathol, Los Angeles, CA 90095 USA; [Vyas, Girish N.; Bryson, Yvonne] Univ Calif Los Angeles, David Geffen Sch Med, Dept Pediat, Los Angeles, CA 90095 USA</t>
  </si>
  <si>
    <t>University of California System; University of California San Francisco; University of California System; University of California San Francisco; University of California System; University of California San Francisco; University of California System; University of California Los Angeles; University of California Los Angeles Medical Center; David Geffen School of Medicine at UCLA; University of California System; University of California Los Angeles; University of California Los Angeles Medical Center; David Geffen School of Medicine at UCLA</t>
  </si>
  <si>
    <t>Vyas, GN (corresponding author), Univ Calif San Francisco, Sch Med, Dept Lab Med, UCSF Box 0134,185 Berry St,Suite 2010-07, San Francisco, CA 94143 USA.</t>
  </si>
  <si>
    <t>girish.vyas@ucsf.edu</t>
  </si>
  <si>
    <t>Ziman, Alyssa/N-9598-2019</t>
  </si>
  <si>
    <t>Vyas, Girish/0000-0003-1090-4911; Killian, Scott/0000-0002-2012-3732</t>
  </si>
  <si>
    <t>1045-1056</t>
  </si>
  <si>
    <t>10.1016/j.biologicals.2011.11.005</t>
  </si>
  <si>
    <t>Biochemical Research Methods; Biotechnology &amp; Applied Microbiology; Pharmacology &amp; Pharmacy</t>
  </si>
  <si>
    <t>Biochemistry &amp; Molecular Biology; Biotechnology &amp; Applied Microbiology; Pharmacology &amp; Pharmacy</t>
  </si>
  <si>
    <t>WOS:000300806700003</t>
  </si>
  <si>
    <t>Rodrigues, S; Paillard, C; Le Pennec, G; Dufour, A; Bazire, A</t>
  </si>
  <si>
    <t>Rodrigues, Sophie; Paillard, Christine; Le Pennec, Gael; Dufour, Alain; Bazire, Alexis</t>
  </si>
  <si>
    <t>Vibrio tapetis, the Causative Agent of Brown Ring Disease, Forms Biofilms with Spherical Components</t>
  </si>
  <si>
    <t>Vibrio tapetis; biofilm; Brown Ring Disease; Ruditapes philippinarum; spherical components; temperature effect; salinity effect</t>
  </si>
  <si>
    <t>RUDITAPES-PHILIPPINARUM; MANILA CLAM; BACTERIAL BIOFILMS; MEMBRANE-VESICLES; PARAMETERS; MORTALITY; SALINITY; OYSTER; SPLENDIDUS; INFECTION</t>
  </si>
  <si>
    <t>Vibrio tapetis is a marine bacterium causing Brown Ring Disease (BRD) in the Manila clam Ruditapes philippinarum. V. tapetis biofilm formation remains unexplored depite the fact that it might be linked to pathogenicity. Our objectives were to characterize the in vitro biofilm formation of V tapetis and evaluate the effects of culture conditions. Biofilm structure and its matrix composition were examined by confocal laser scanning microscopy and scanning electron microscopy. V tapetis was able to form biofilms on a glass substratum within 24 h. Polysaccharides and extracellular DNA of the biofilm matrixes were differently distributed depending on the V tapetis strains. Spherical components of about 1-2 mu m diameter were found at the biofilm surface. They contain DNA, proteins, and seemed to be physically linked to bacteria and of cellular nature. Transmission electron microscopy showed that the spherical components were devoid of internal compartments. Temperatures &gt;21 degrees C inhibit BRD whereas low salinity (2%) favor it, none of the both conditions altered V tapetis' ability to form biofilms in vitro. We suggest therefore that biofilm formation could play a role in the persistence of the pathogen in clam than in BRD symptoms.</t>
  </si>
  <si>
    <t>[Dufour, Alain] Univ Bretagne Sud, IUEM, LBCM, EA 3884, Lorient, France; [Rodrigues, Sophie; Le Pennec, Gael; Dufour, Alain; Bazire, Alexis] Univ Bretagne Sud, IUEM, LBCM, EA 3884, Lorient, France; [Rodrigues, Sophie; Paillard, Christine] Univ Brest, Inst Univ Europeen Met, UBO, Ifremer,IRD,CNRS,Lab Sci Environm Marin,UMR 6539, Plouzane, France</t>
  </si>
  <si>
    <t>Universite de Bretagne Occidentale; Institut Universitaire Europeen de la Mer (IUEM); Universite de Bretagne Occidentale; Institut Universitaire Europeen de la Mer (IUEM); Centre National de la Recherche Scientifique (CNRS); CNRS - Institute of Ecology &amp; Environment (INEE); Ifremer; Institut de Recherche pour le Developpement (IRD); Universite de Bretagne Occidentale; Institut Universitaire Europeen de la Mer (IUEM)</t>
  </si>
  <si>
    <t>Dufour, A (corresponding author), Univ Bretagne Sud, IUEM, LBCM, EA 3884, Lorient, France.</t>
  </si>
  <si>
    <t>alain.dufour@univ-ubs.fr; alexis.bazire@univ-ubs.fr</t>
  </si>
  <si>
    <t>Rodrigues, Sophie/L-7714-2019</t>
  </si>
  <si>
    <t>Rodrigues, Sophie/0000-0001-8901-3032; Paillard, Christine/0000-0002-3812-0724; Dufour, Alain/0000-0003-0112-6046</t>
  </si>
  <si>
    <t>10.3389/fmicb.2015.01384</t>
  </si>
  <si>
    <t>WOS:000366703500001</t>
  </si>
  <si>
    <t>YOURICK, JJ; DAWSON, JS; MITCHELTREE, LW</t>
  </si>
  <si>
    <t>REDUCTION OF ERYTHEMA IN HAIRLESS GUINEA-PIGS AFTER CUTANEOUS SULFUR MUSTARD VAPOR EXPOSURE BY PRETREATMENT WITH NIACINAMIDE, PROMETHAZINE AND INDOMETHACIN</t>
  </si>
  <si>
    <t>SULFUR MUSTARD; HAIRLESS GUINEA PIG; NIACINAMIDE; PROMETHAZINE; INDOMETHACIN</t>
  </si>
  <si>
    <t>2,2'-DICHLORODIETHYL SULFIDE; PROSTAGLANDIN SYNTHESIS; TOPICAL INDOMETHACIN; NAD+ LEVELS; SKIN; PATHOGENESIS; NICOTINAMIDE; MECHANISM; SUNBURN; CULTURE</t>
  </si>
  <si>
    <t>Erythema is the initial symptom that occurs after sulfur mustard (HD) cutaneous exposure. The time course of HD-induced erythema is similar to that observed after UV irradiation, which can be reduced by indomethacin. Sulfur mustard lethality is decreased by using promethazine, which is an antihistamine. Niacinamide can reduce microvesication after HD vapor exposure in hairless guinea pig (HGP) skin. The present study examines the effect of the combined administration of niacinamide, indomethacin and promethazine used alone or in all possible combinations on the degree of erythema and histopathologic skin damage after HD exposure in HGP. Niacinamide (750 mg kg(-1), i.p.), promethazine (12.5 mg kg(-1), i.m,) or indomethacin (4 mg kg(-1), p.o.) used singly or in combination was given as a 30-min pretreatment before an 8-min HD vapor cup skin exposure. Using a combination pretreatment of niacinamide, promethazine and indomethacin, erythema was reduced at 4 (91%) and 6 (55%) h, but not 24 h after HD. The incidence of histopathological skin changes (microvesicles, follicular involvement, epidermal necrosis, intracellular edema and pustular epidermatitis) 24 h after HD was not reduced. This study indicates that HD-induced erythema may result from several different mechanisms, including inflammation, histamine release and DNA damage. It is suggested that two phases of inflammation may occur: an early phase sensitive to antihistamines and non-steroidal antiinflammatory drugs and a late phase of extensive cell damage that was not sensitive to these drug pretreatments.</t>
  </si>
  <si>
    <t>USA,MED RES INST CHEM DEF,APPL PHARMACOL BRANCH,ABERDEEN PROVING GROUND,MD 21010; USA,MED RES INST CHEM DEF,COMPARAT PATHOL BRANCH,ABERDEEN PROVING GROUND,MD 21010</t>
  </si>
  <si>
    <t>Research Institute of Chemical Defense - China; Research Institute of Chemical Defense - China</t>
  </si>
  <si>
    <t>10.1002/jat.2550150213</t>
  </si>
  <si>
    <t>WOS:A1995QP84700011</t>
  </si>
  <si>
    <t>Hashimoto, Y; Muramatsu, K; Kunii, M; Yoshimura, S; Yamada, M; Sato, T; Ishida, Y; Harada, R; Harada, A</t>
  </si>
  <si>
    <t>Hashimoto, Yukiko; Muramatsu, Kazuhiro; Kunii, Masataka; Yoshimura, Shin-ichiro; Yamada, Minami; Sato, Takashi; Ishida, Yasumasa; Harada, Reiko; Harada, Akihiro</t>
  </si>
  <si>
    <t>Uncovering genes required for neuronal morphology by morphology-based gene trap screening with a revertible retrovirus vector</t>
  </si>
  <si>
    <t>PC12; synaptic vesicles</t>
  </si>
  <si>
    <t>PROTEIN; CELLS; LOCALIZATION; MUTAGENESIS; DISRUPTION; POLARITY</t>
  </si>
  <si>
    <t>The molecular mechanisms of neuronal morphology and synaptic vesicle transport have been largely elusive, and only a few of the molecules involved in these processes have been identified. Here, we developed a novel morphology-based gene trap method, which is theoretically applicable to all cell lines, to easily and rapidly identify the responsible genes. Using this method, we selected several gene-trapped clones of rat pheochromocytoma PC12 cells, which displayed abnormal morphology and distribution of synaptic vesicle-like microvesicles (SLMVs). We identified several genes responsible for the phenotypes and analyzed three genes in more detail. The first gene was BTB/POZ domain-containing protein 9 (Btbd9), which is associated with restless legs syndrome. The second gene was cytokine receptor-like factor 3 (Crlf3), whose involvement in the nervous system remains unknown. The third gene was single-stranded DNA-binding protein 3 (Ssbp3), a gene known to regulate head morphogenesis. These results suggest that Btbd9, Crlf3, and Ssbp3 regulate neuronal morphology and the biogenesis/transport of synaptic vesicles. Because our novel morphology-based gene trap method is generally applicable, this method is promising for uncovering novel genes involved in the function of interest in any cell lines.-Hashimoto, Y., Muramatsu, K., Kunii, M., Yoshimura, S., Yamada, M., Sato, T., Ishida, Y., Harada, R., Harada, A. Uncovering genes required for neuronal morphology by morphology-based gene trap screening with a revertible retrovirus vector. FASEB J. 26, 4662-4674 (2012). www.fasebj.org</t>
  </si>
  <si>
    <t>[Kunii, Masataka; Yoshimura, Shin-ichiro; Harada, Reiko; Harada, Akihiro] Osaka Univ, Grad Sch Med, Dept Cell Biol, Osaka 5650871, Japan; [Hashimoto, Yukiko; Muramatsu, Kazuhiro; Yamada, Minami; Sato, Takashi; Harada, Akihiro] Gunma Univ, Grad Sch Med, Inst Mol &amp; Cellular Regulat, Gunma, Japan; [Hashimoto, Yukiko] Gunma Univ, Grad Sch Med, Dept Neurol, Gunma, Japan; [Muramatsu, Kazuhiro] Gunma Univ, Grad Sch Med, Dept Pediat, Gunma, Japan; [Ishida, Yasumasa] Nara Inst Sci &amp; Technol, Div Gene Funct Anim, Grad Sch Biol Sci, Nara, Japan; [Harada, Reiko] Takarazuka Univ Med &amp; Hlth Care, Dept Judo Therapy, Takarazuka, Hyogo, Japan</t>
  </si>
  <si>
    <t>Osaka University; Gunma University; Gunma University; Gunma University; Nara Institute of Science &amp; Technology</t>
  </si>
  <si>
    <t>Harada, A (corresponding author), Osaka Univ, Grad Sch Med, Dept Cell Biol, Osaka 5650871, Japan.</t>
  </si>
  <si>
    <t>aharada@acb.med.osaka-u.ac.jp</t>
  </si>
  <si>
    <t>Muramatsu, Kazuhiro/AAA-6350-2021</t>
  </si>
  <si>
    <t>Muramatsu, Kazuhiro/0000-0001-9256-5591</t>
  </si>
  <si>
    <t>10.1096/fj.12-207530</t>
  </si>
  <si>
    <t>WOS:000310574200027</t>
  </si>
  <si>
    <t>Blanco, FJ; Lopez-Armada, MJ; Maneiro, E</t>
  </si>
  <si>
    <t>Mitochondrial dysfunction in osteoarthritis</t>
  </si>
  <si>
    <t>1st Mitochondrial Standards Workshop</t>
  </si>
  <si>
    <t>Dallas, TX</t>
  </si>
  <si>
    <t>chondrocytes; mitochondria; osteoarthritis; apoptosis; nitric oxide</t>
  </si>
  <si>
    <t>HUMAN ARTICULAR CHONDROCYTES; GROWTH PLATE CARTILAGE; NITRIC-OXIDE; MATRIX VESICLES; EPIPHYSEAL CARTILAGE; OXIDATIVE STRESS; SYNOVIAL FLUIDS; CELL-DENSITY; APOPTOSIS; CALCIFICATION</t>
  </si>
  <si>
    <t>In osteoarthritis (OA) a time or age dependent process leads to aberrant cartilage structure which is characterized by reduced number of chondrocytes, loss of existing cartilage extracellular matrix, the production of matrix with abnormal composition and pathologic matrix calcification. Because chondrocyte matrix synthesis and mineralization are modulated by the balance between ATP generation and consumption, the mechanism by which chondrocytes generate energy have been a topic of interest. The analysis of mitochondrial respiratory chain (MRC) activity in OA chondrocytes shows a significant decrease in complexes II and III compared to normal chondrocytes. On the other hand, mitochondrial mass is increased in OA, as demonstrated by a significant rise in CS activity. Furthermore, OA cells show a reduction in the mitochondrial membrane potential (Deltapsim) as demonstrated by using the fluorescent probe JC-1. OA cartilage contains high number of apoptotic chondrocytes, and mitochondria play a key role in apoptosis. Interestingly, OA cartilages show markedly elevated Bcl-2 and caspasa-3 expression. This expression is also correlated with chondrocyte apoptosis and OA lesions. The pathogenesis of OA includes elaboration of increased amounts of NO as a consequence of up-regulation of chondrocyte-inducible NO synthase induced by IL-1, TNF-alpha and other factors. NO reduces chondrocyte survival and induces cell death with morphologic changes characteristic of chondrocyte apoptosis. NO reduces the activity of complex IV and decreases the Deltapsim as measured as the ratio of red/green fluorescence. Furthermore, NO induces the mRNA expression of caspase-3 and -7, and it reduces the expression of mRNA bcl-2 and the bcl-2 protein synthesis. Some studies suggest that the chondrocyte mitochondria are specialized for calcium transport and are important in the calcification of the extracellular matrix. Mineral formation has been demonstrated in matrix vesicles (MV) and within mitochondria. Direct suppression of mitochondrial respiration promoted MV-mediated mineralization in chondrocytes. Regulation of MRC may be one of the signaling pathways by which NO modulates articular cartilage matrix biosynthesis and pathologic mineralization. After age 40, the incidence of OA in humans increases progressively with increasing age. Studies show a trend to statistic significance between the age and the reduction of complex I activity of human normal chondrocytes. However, the study of relation between age and Deltapsim in normal chondrocytes do not demonstrate any significant correlation. It has been reported that as the number of population doublings increased, mitochondrial DNA was degraded and the number of mitochondria per chondrocyte decline. One approach for determining the role of mitochondria in OA is to determine the effects of the MRC inhibition and to compare them with the findings in OA. Inhibition of MRC with antimycin prevents the normal ability of TGFbeta to increase excretion of Pi, thereby worsening deposition of pathologic HA crystals. In chondrocytes, the inhibition of complex IV with NaN3 modified both the A(pm and the survival of cells inducing apoptosis. Inhibition of complex I with rotenone increases the expression and synthesis of Bcl-2 and Cox-2, both effects are similar effects to produced by IL-1 in human chondrocytes. (C) 2004 Elsevier B.V. and Mitochondria Research Society. All fights reserved.</t>
  </si>
  <si>
    <t>Complejo Hosp Univ Juan Canalejo, Lab Invest, Div Rheumatol, La Coruna 15006, Spain</t>
  </si>
  <si>
    <t>Complejo Hospitalario Universitario A Coruna; Universidade da Coruna</t>
  </si>
  <si>
    <t>Blanco, FJ (corresponding author), Complejo Hosp Univ Juan Canalejo, Lab Invest, Div Rheumatol, C Xubias 84, La Coruna 15006, Spain.</t>
  </si>
  <si>
    <t>francisco_blanco@canalejo.org</t>
  </si>
  <si>
    <t>López-Armada, Maria J/E-5692-2018; Blanco, Francisco J./C-3192-2014</t>
  </si>
  <si>
    <t>López-Armada, Maria J/0000-0001-5325-6251; Blanco, Francisco J./0000-0001-9821-7635; Maneiro, Emilia/0000-0002-7671-2405</t>
  </si>
  <si>
    <t>10.1016/j.mito.2004.07.022</t>
  </si>
  <si>
    <t>WOS:000226172600032</t>
  </si>
  <si>
    <t>Saitoh, Y; Yumoto, A; Miwa, N</t>
  </si>
  <si>
    <t>Saitoh, Yasukazu; Yumoto, Atsushi; Miwa, Nobuhiko</t>
  </si>
  <si>
    <t>alpha-tocopheryl phosphate suppresses tumor invasion concurrently with dynamic morphological changes and delocalization of cortactin from invadopodia</t>
  </si>
  <si>
    <t>alpha-tocopheryl phosphate; tumor cell; invasion; cortactin; invadopodia</t>
  </si>
  <si>
    <t>EXTRACELLULAR-MATRIX DEGRADATION; SUCCINATE-INDUCED APOPTOSIS; VITAMIN-E; GENE-EXPRESSION; CELL MOTILITY; CANCER INVASION; HEPATOMA-CELLS; ASCORBIC-ACID; DNA-SYNTHESIS; GROWTH-FACTOR</t>
  </si>
  <si>
    <t>alpha-tocopheryl phosphate (TocP) has been elucidated for diverse effectiveness through unequivocal mechanisms independent of its conversion to alpha-tocopherol (Toc). The present study showed that TocP, in a dose-dependent manner, repressed invasion of human fibrosarcoma HT-1080 cells through the basement membrane, more markedly than Toc and several other Toc derivatives, although no cytotoxic effect was shown in either HT-1080 cells or human skin dermal fibroblastic cells DUMS-16. TocP diminished intracellular reactive oxygen species such as peroxides, lipid hydroperoxides and superoxide anion radicals in HT-1080 cells, but the effects were nearly equal or less than those of Toc. TocP suppressed either the cell motility or adhesion to extracellular matrix (ECM), and induced diagnostic morphological changes such as appearance of numerous spike-shaped processes and vesicles. Localization of cortactin in the membrane of invadopodia, which dispatches signal transduction for tumor invasion, was lost by TocP as shown by immunostaining. Similar result was obtained also by Western blots showing that cortactin in the membrane fraction was markedly diminished by TocP in contrast to unchanged cortactin amounts in other subcellular fractions including nuclei, cytoplasms and cytoskeletons. In contrast, TocP scarcely affected the invasiveness-related gelatinases MMP-2/9 and cell membrane fluidity. Thus, TocP markedly exerted anti-invasive activities through decrease in cell motility, repression of adhesion to the ECM, cell morphological changes and, especially, alteration of cortactin distribution. Moreover, TocP also preferentially inhibited tumor invasion without cytotoxicity to normal cells derived from the corresponding tissue type. Consequently, TocP is suggested as a potent tumor-invasion suppressor.</t>
  </si>
  <si>
    <t>[Saitoh, Yasukazu; Yumoto, Atsushi; Miwa, Nobuhiko] Prefectural Univ Hiroshirna, Cell Death Control BioTechnol Lab, Fac Life &amp; Environm Sci, Hiroshima 7270023, Japan</t>
  </si>
  <si>
    <t>Miwa, N (corresponding author), Prefectural Univ Hiroshirna, Cell Death Control BioTechnol Lab, Fac Life &amp; Environm Sci, Nanatsuka 562, Hiroshima 7270023, Japan.</t>
  </si>
  <si>
    <t>miwa-nob@pu-hiroshima.ac.jp</t>
  </si>
  <si>
    <t>saitoh, yasukazu/AAQ-6432-2021</t>
  </si>
  <si>
    <t>Saitoh, Yasukazu/0000-0002-6288-7634</t>
  </si>
  <si>
    <t>10.3892/ijo_00000445</t>
  </si>
  <si>
    <t>WOS:000271708600007</t>
  </si>
  <si>
    <t>GIUDICE, GJ; SQUIQUERA, HL; ELIAS, PM; DIAZ, LA</t>
  </si>
  <si>
    <t>IDENTIFICATION OF 2 COLLAGEN DOMAINS WITHIN THE BULLOUS PEMPHIGOID AUTOANTIGEN, BP180</t>
  </si>
  <si>
    <t>AUTOIMMUNITY; HEMIDESMOSOME; KERATINOCYTE; BASEMENT MEMBRANE</t>
  </si>
  <si>
    <t>CLOSTRIDIUM-HISTOLYTICUM; BACTERIAL COLLAGENASE; ANTIGEN; DNA; AUTOANTIBODIES; HEMIDESMOSOMES; SUBSTRATE; PROTEIN; LOCALIZATION; SPECIFICITY</t>
  </si>
  <si>
    <t>Bullous pemphigoid (BP) is an autoimmune disease characterized by subepidermal vesicles and the presence of autoantibodies directed against the epidermal basement membrane zone. Previous studies have identified two protein components of the hemidesmosome, BP180 and BP230, as the primary antigenic targets of BP autoantibodies. We have recently reported the isolation of a 1.0-kb BP 180 cDNA. Sequence analysis presented in this report reveals that this partial BP180 cDNA encodes two protein domains which have primary structures that are characteristic of the triple helical domains of collagens, i.e., glycine appears at every third position and over one-third of the remaining residues are proline. The two collagen domains have lengths of 242 and 30 amino acids and are separated by a noncollagen stretch of 12 amino acids. Collagenase digestion of the BP180 cDNA-encoded fusion protein generated a peptide fragment with a size that was consistent with the predicted locations of the collagenase digestion sites. A possible physiological function for the collagen domains of the BP180 hemidesmosomal protein may be to form stable interactions with constitutents of the extracellular matrix of the cutaneous basement membrane zone. Such interactions may provide the molecular framework for the adhesion between the basal keratinocyte and the basal lamina.</t>
  </si>
  <si>
    <t>VET ADM MED CTR,MILWAUKEE,WI</t>
  </si>
  <si>
    <t>US Department of Veterans Affairs; Veterans Health Administration (VHA)</t>
  </si>
  <si>
    <t>GIUDICE, GJ (corresponding author), MED COLL WISCONSIN,DEPT DERMATOL,8701 WATERTOWN PLANK RD,MILWAUKEE,WI 53226, USA.</t>
  </si>
  <si>
    <t>10.1172/JCI115054</t>
  </si>
  <si>
    <t>WOS:A1991EW29500048</t>
  </si>
  <si>
    <t>Wang, HF; Chen, XL; Bao, LL; Zhang, XD</t>
  </si>
  <si>
    <t>Wang, Haifeng; Chen, Xiliang; Bao, Lingling; Zhang, Xuede</t>
  </si>
  <si>
    <t>Investigating potential molecular mechanisms of serum exosomal miRNAs in colorectal cancer based on bioinformatics analysis</t>
  </si>
  <si>
    <t>bioinformatics analysis; colorectal cancer; differentially expressed microRNAs; hub gene; serum exosomes</t>
  </si>
  <si>
    <t>B-VIRUS INFECTION; TUMOR-SUPPRESSOR; BREAST-CANCER; MICRORNAS; BIOMARKERS; CELLS; INVASION; CDC42; IDENTIFICATION; PROTEOGLYCANS</t>
  </si>
  <si>
    <t>Colorectal cancer (CRC) is the most common malignant gastrointestinal tumor worldwide. Serum exosomal microRNAs (miRNAs) play a critical role in tumor progression and metastasis. However, the underlying molecular mechanisms are poorly understood. The miRNAs expression profile (GSE39833) was downloaded from Gene Expression Omnibus (GEO) database. GEO2R was applied to screen the differentially expressed miRNAs (DEmiRNAs) between healthy and CRC serum exosome samples. The target genes of DEmiRNAs were predicted by starBase v3.0 online tool. The gene ontology (GO) and Kyoto Encyclopedia of Genomes pathway (KEGG) enrichment analysis were performed using the Database for Annotation, Visualization and Integrated Discovery (DAVID) online tool. The protein-protein interaction (PPI) network was established by the Search Tool for the Retrieval of Interacting Genes (STRING) visualized using Cytoscape software. Molecular Complex Detection (MCODE) and cytohubba plug-in were used to screen hub genes and gene modules. In total, 102 DEmiRNAs were identified including 67 upregulated and 35 downregulated DEmiRNAs, and 1437 target genes were predicted. GO analysis showed target genes of upregulated DEmiRNAs were significantly enriched in transcription regulation, protein binding, and ubiquitin protein ligase activity. While the target genes of downregulated DEmiRNAs were mainly involved in transcription from RNA polymerase II promoter, SMAD binding, and DNA binding. The KEGG pathway enrichment analyses showed target genes of upregulated DEmiRNAs were significantly enriched in proteoglycans in cancer, microRNAs in cancer, and phosphatidylinositol-3 kinases/Akt (PI3K-Akt) signaling pathway, while target genes of downregulated DEmiRNAs were mainly enriched in transforming growth factor-beta (TGF-beta) signaling pathway and proteoglycans in cancer. The genes of the top 3 modules were mainly enriched in ubiquitin mediated proteolysis, spliceosome, and mRNA surveillance pathway. According to the cytohubba plugin, 37 hub genes were selected, and 4 hub genes including phosphoinositide-3-kinase regulatory subunit 1 (PIK3R1), SRC, cell division cycle 42 (CDC42), E1A binding protein p300 (EP300) were identified by combining 8 ranked methods of cytohubba. The study provides a comprehensive analysis of exosomal DEmiRNAs and target genes regulatory network in CRC, which can better understand the roles of exosomal miRNAs in the development of CRC. However, these findings require further experimental validation in future studies.</t>
  </si>
  <si>
    <t>[Wang, Haifeng; Bao, Lingling; Zhang, Xuede] Beilun Dist Peoples Hosp, Dept Hematol &amp; Oncol, Ningbo 315800, Zhejiang, Peoples R China; [Chen, Xiliang] Zhangqiu Dist Peoples Hosp, Dept Clin Lab, Jinan, Shandong, Peoples R China</t>
  </si>
  <si>
    <t>Zhang, XD (corresponding author), Beilun Dist Peoples Hosp, Dept Hematol &amp; Oncol, Ningbo 315800, Zhejiang, Peoples R China.</t>
  </si>
  <si>
    <t>Huanyanmeizhi@163.com</t>
  </si>
  <si>
    <t>10.1097/MD.0000000000022199</t>
  </si>
  <si>
    <t>WOS:000579180600087</t>
  </si>
  <si>
    <t>Han, L; Enfors, SO; Haggstrom, L</t>
  </si>
  <si>
    <t>Escherichia coli high-cell-density culture: carbon mass balances and release of outer membrane components</t>
  </si>
  <si>
    <t>BIOPROCESS AND BIOSYSTEMS ENGINEERING</t>
  </si>
  <si>
    <t>carbon balance; Escherichia coli; fed-batch culture; outer membrane; lipopolysaccharide</t>
  </si>
  <si>
    <t>LIPOPOLYSACCHARIDE; VESICLES; ENDOTOXIN; FRAGMENTS; GLUCOSE; GROWTH; EDTA</t>
  </si>
  <si>
    <t>Carbon mass balances were calculated in fed-batch cultures of E. coli W3110, using mineral medium with glucose as the limiting substrate. The carbon recovery, based on biomass, CO2 and acetate was similar to90% at the end of the culture (25 h, 27 g L-1 dw). The missing carbon remained as soluble organic compounds in the medium. Outer membrane (OM) constituents, such as lipopolysaccharides (LPS), phospholipids (PL), and carbohydrates (each at similar to1 g L-1) contributed to 63% of the extracellular carbon. The amount of released LPS and PL equaled the total amount of OM bound to the cells in the culture. Small amounts of DNA and protein detected in the medium indicated that no cell lysis had occurred. Acetate, lactate, ethanol, formate, succinate and amino acids (Glu, Gln, Asp, Asn, Ala, Gly, Ser) were detected in the culture medium, but made up only a few percent of the carbon mass. The remaining 30% was not identified, but was assumed to constitute complex carbohydrates.</t>
  </si>
  <si>
    <t>Royal Inst Technol, Dept Biotechnol, S-10691 Stockholm, Sweden</t>
  </si>
  <si>
    <t>Royal Institute of Technology</t>
  </si>
  <si>
    <t>Haggstrom, L (corresponding author), Royal Inst Technol, Dept Biotechnol, S-10691 Stockholm, Sweden.</t>
  </si>
  <si>
    <t>1615-7591</t>
  </si>
  <si>
    <t>10.1007/s00449-002-0300-2</t>
  </si>
  <si>
    <t>WOS:000180866700001</t>
  </si>
  <si>
    <t>Borregaard, N</t>
  </si>
  <si>
    <t>Ratcliffe, MJH; Hein, W; Gordon, JR; Guidos, CJ; Rolink, A</t>
  </si>
  <si>
    <t>Borregaard, Niels</t>
  </si>
  <si>
    <t>Neutrophils - Role in Innate Immunity</t>
  </si>
  <si>
    <t>ENCYCLOPEDIA OF IMMUNOBIOLOGY, VOL 1: DEVELOPMENT AND PHYLOGENY OF THE IMMUNE SYSTEM</t>
  </si>
  <si>
    <t>LEUKOCYTE ADHESION DEFICIENCY; CHRONIC GRANULOMATOUS-DISEASE; PAPILLON-LEFEVRE-SYNDROME; NADPH OXIDASE; SUBCELLULAR-LOCALIZATION; SECRETORY VESICLES; GENE-THERAPY; PHAGOCYTOSIS; ACTIVATION; PROTON</t>
  </si>
  <si>
    <t>Neutrophils are short-lived cells, circulating in blood for only a few hours. They are caught by activated endothelial cells at sites of inflammation and guided through the endothelial cell lining to seek out, phagocytose, and kill microorganisms. Killing is largely effectuated in the phagocytic vacuole where microorganisms are exposed to high concentrations of antibiotic peptides released from storage granules and to reactive oxygen species generated by the multicomponent NADPH oxidase assembled by signals generated in the neutrophil during migration and phagocytosis. Eventually the neutrophils dissolve their granules and nucleus and extrude DNA as deconvoluted extracellular traps with bactericidal peptides attached which may constrain the dissemination of bacteria and participate in killing.</t>
  </si>
  <si>
    <t>[Borregaard, Niels] Univ Copenhagen, Copenhagen, Denmark; [Borregaard, Niels] Natl Univ Hosp, Copenhagen, Denmark</t>
  </si>
  <si>
    <t>Borregaard, N (corresponding author), Univ Copenhagen, Copenhagen, Denmark.;Borregaard, N (corresponding author), Natl Univ Hosp, Copenhagen, Denmark.</t>
  </si>
  <si>
    <t>978-0-08-092152-5; 978-0-12-374279-7</t>
  </si>
  <si>
    <t>10.1016/B978-0-12-374279-7.03001-0</t>
  </si>
  <si>
    <t>WOS:000490117200035</t>
  </si>
  <si>
    <t>Ray, VA; Driks, A; Visick, KL</t>
  </si>
  <si>
    <t>Ray, Valerie A.; Driks, Adam; Visick, Karen L.</t>
  </si>
  <si>
    <t>Identification of a Novel Matrix Protein That Promotes Biofilm Maturation in Vibrio fischeri</t>
  </si>
  <si>
    <t>OUTER-MEMBRANE VESICLES; PSEUDOMONAS-AERUGINOSA; EUPRYMNA-SCOLOPES; RESPONSE REGULATOR; HOST COLONIZATION; SYMBIOTIC COLONIZATION; ESCHERICHIA-COLI; CHOLERAE; LIPOPROTEINS; GENES</t>
  </si>
  <si>
    <t>Bacteria form communities, termed biofilms, in which cells adhere to each other within a matrix, typically comprised of polysaccharides, proteins, and extracellular DNA. Biofilm formation by the marine bacterium Vibrio fischeri requires the Syp polysaccharide, but the involvement of matrix proteins is as yet unknown. Here we identified three genes, termed bmpA, -B, and -C (biofilm maturation protein), with overlapping functions in biofilm maturation. A triple bmpABC mutant, but not single or double mutants, was defective in producing wrinkled colonies, a form of biofilm. Surprisingly, the triple mutant was competent to form pellicles, another biofilm phenotype, but they generally lacked a three-dimensional architecture. Transmission electron microscopy revealed that the extracellular matrix of the bmp mutant contained electron-dense, thread-like structures that were also present in the wild type but lacking in syp mutant strains. We hypothesized that the bmp mutant produces the Syp polysaccharide but fails to produce/export a distinct matrix component. Indeed, a mixture of the bmp and syp mutants produced a wrinkled colony. Finally, BmpA could be detected in cell-free supernatants from disrupted pellicles. Thus, this work identifies a new matrix protein necessary for biofilm maturation by V. fischeri and, based on the conservation of bmp, potentially other microbes.</t>
  </si>
  <si>
    <t>[Ray, Valerie A.; Driks, Adam; Visick, Karen L.] Loyola Univ Chicago, Dept Microbiol &amp; Immunol, Div Hlth Sci, Maywood, IL USA</t>
  </si>
  <si>
    <t>Loyola University Chicago</t>
  </si>
  <si>
    <t>Visick, KL (corresponding author), Loyola Univ Chicago, Dept Microbiol &amp; Immunol, Div Hlth Sci, Maywood, IL USA.</t>
  </si>
  <si>
    <t>kvisick@luc.edu</t>
  </si>
  <si>
    <t>Visick, Karen/0000-0002-2400-2591</t>
  </si>
  <si>
    <t>10.1128/JB.02292-14</t>
  </si>
  <si>
    <t>WOS:000347676800012</t>
  </si>
  <si>
    <t>Atsatt, PR; Whiteside, MD</t>
  </si>
  <si>
    <t>Atsatt, Peter R.; Whiteside, Matthew D.</t>
  </si>
  <si>
    <t>Novel Symbiotic Protoplasts Formed by Endophytic Fungi Explain Their Hidden Existence, Lifestyle Switching, and Diversity within the Plant Kingdom</t>
  </si>
  <si>
    <t>EXTRACELLULAR VESICLES; GENUS MYCOSPHAERELLA; POULTRY FEEDS; SP-NOV.; PHYLOGENY; EVOLUTION; IDENTIFICATION; RHODOTORULA; TRICHODERMA; ASPERGILLUS</t>
  </si>
  <si>
    <t>Diverse fungi live all or part of their life cycle inside plants as asymptomatic endophytes. While endophytic fungi are increasingly recognized as significant components of plant fitness, it is unclear how they interact with plant cells; why they occur throughout the fungal kingdom; and why they are associated with most fungal lifestyles. Here we evaluate the diversity of endophytic fungi that are able to form novel protoplasts called mycosomes. We found that mycosomes cultured from plants and phylogenetically diverse endophytic fungi have common morphological characteristics, express similar developmental patterns, and can revert back to the free-living walled state. Observed with electron microscopy, mycosome ontogeny within Aureobasidium pullulans may involve two organelles: double membrane-bounded promycosome organelles (PMOs) that form mycosomes, and multivesicular bodies that may form plastid-infecting vesicles. Cultured mycosomes also contain a double membrane-bounded organelle, which may be homologous to the A. pullulans PMO. The mycosome PMO is often expressed as a vacuole-like organelle, which alternatively may contain a lipoid body or a starch grain. Mycosome reversion to walled cells occurs within the PMO, and by budding from lipid or starch-containing mycosomes. Mycosomes discovered in chicken egg yolk provided a plant-independent source for analysis: they formed typical protoplast stages, contained fungal ITS sequences and reverted to walled cells, suggesting mycosome symbiosis with animals as well as plants. Our results suggest that diverse endophytic fungi express a novel protoplast phase that can explain their hidden existence, lifestyle switching, and diversity within the plant kingdom. Importantly, our findings outline what, where, when and how'', opening the way for cell and organelle-specific tests using in situ DNA hybridization and fluorescent labels. We discuss developmental, ecological and evolutionary contexts that provide a robust framework for continued tests of the mycosome phase hypothesis.</t>
  </si>
  <si>
    <t>[Atsatt, Peter R.] Univ Calif Irvine, Dept Ecol &amp; Evolutionary Biol, Irvine, CA 92717 USA; [Whiteside, Matthew D.] Univ British Columbia Okanagan, Dept Biol, Kelowna, BC, Canada; [Whiteside, Matthew D.] Univ British Columbia Okanagan, Inst Species Risk &amp; Habitat Studies, Kelowna, BC, Canada</t>
  </si>
  <si>
    <t>University of California System; University of California Irvine; University of British Columbia; University of British Columbia Okanagan; University of British Columbia; University of British Columbia Okanagan</t>
  </si>
  <si>
    <t>Atsatt, PR (corresponding author), Univ Calif Irvine, Dept Ecol &amp; Evolutionary Biol, Irvine, CA 92717 USA.</t>
  </si>
  <si>
    <t>peter.atsatt@uci.edu</t>
  </si>
  <si>
    <t>Atsatt, Peter/Q-8529-2019</t>
  </si>
  <si>
    <t>e95266</t>
  </si>
  <si>
    <t>10.1371/journal.pone.0095266</t>
  </si>
  <si>
    <t>WOS:000346241800010</t>
  </si>
  <si>
    <t>Toutfaire, M; Bauwens, E; Debacq-Chainiaux, F</t>
  </si>
  <si>
    <t>Toutfaire, Marie; Bauwens, Emilie; Debacq-Chainiaux, Florence</t>
  </si>
  <si>
    <t>The impact of cellular senescence in skin ageing: A notion of mosaic and therapeutic strategies</t>
  </si>
  <si>
    <t>Skin ageing; Senescence Stress-induced premature senescence (SIPS); Senescence-associated secretory phenotype (SASP); Senolytic</t>
  </si>
  <si>
    <t>INDUCED PREMATURE SENESCENCE; HUMAN DERMAL FIBROBLASTS; MITOCHONDRIAL COMMON DELETION; P16INK4A POSITIVE CELLS; AGED HUMAN SKIN; DNA-DAMAGE; SECRETORY PHENOTYPE; IN-VITRO; HUMAN KERATINOCYTES; STEM-CELLS</t>
  </si>
  <si>
    <t>Cellular senescence is now recognized as one of the nine hallmarks of ageing. Recent data show the involvement of senescent cells in tissue ageing and some age-related diseases. Skin represents an ideal model for the study of ageing. Indeed, skin ageing varies between individuals depending on their chronological age but also on their exposure to various exogenous factors (mainly ultraviolet rays). If senescence traits can be detected with ageing in the skin, the senescent phenotype varies among the various skin cell types. Moreover, the origin of cellular senescence in the skin is still unknown, and multiple origins are possible. This reflects the mosaic of skin ageing. Senescent cells can interfere with their microenvironment, either via the direct secretion of factors (the senescence-associated secretory phenotype) or via other methods of communication, such as extracellular vesicles. Knowledge regarding the impact of cellular senescence on skin ageing could be integrated into dermatology research, especially to limit the appearance of senescent cells after photo(chemo)therapy or in age-related skin diseases. Therapeutic approaches include the clearance of senescent cells via the use of senolytics or via the cooperation with the immune system. (C) 2017 Elsevier Inc. All rights reserved.</t>
  </si>
  <si>
    <t>[Toutfaire, Marie; Bauwens, Emilie; Debacq-Chainiaux, Florence] Univ Namur, NAmur Res Inst Life Sci NARILIS, URBC, 61 Rue Bruxelles, B-5000 Namur, Belgium</t>
  </si>
  <si>
    <t>University of Namur</t>
  </si>
  <si>
    <t>Debacq-Chainiaux, F (corresponding author), Univ Namur, NAmur Res Inst Life Sci NARILIS, URBC, 61 Rue Bruxelles, B-5000 Namur, Belgium.</t>
  </si>
  <si>
    <t>florence.chainiaux@unamur.be</t>
  </si>
  <si>
    <t>Toutfaire, Marie/0000-0002-3989-0114</t>
  </si>
  <si>
    <t>10.1016/j.bcp.2017.04.011</t>
  </si>
  <si>
    <t>WOS:000412152300001</t>
  </si>
  <si>
    <t>Li, XT; Rout, P; Xu, R; Pan, L; Tchounwou, PB; Ma, YG; Liu, YM</t>
  </si>
  <si>
    <t>Li, Xiangtang; Rout, Pratik; Xu, Rui; Pan, Li; Tchounwou, Paul B.; Ma, Yonggang; Liu, Yi-Ming</t>
  </si>
  <si>
    <t>Quantification of MicroRNAs by Coupling Cyclic Enzymatic Amplification with Microfluidic Voltage-Assisted Liquid Desorption Electrospray Ionization Mass Spectrometry</t>
  </si>
  <si>
    <t>DUPLEX-SPECIFIC NUCLEASE; ISOTHERMAL AMPLIFICATION; ONE-STEP; STRATEGY; FLUORESCENCE; OLIGONUCLEOTIDE; IDENTIFICATION; NANOSHEET; SIGNATURE; ASSAY</t>
  </si>
  <si>
    <t>Quantitative assay of microRNAs (miRNAs) with mass spectrometric detection currently suffers from two major disadvantages, i.e., being insufficient in sensitivity and requiring an extraction or chromatographic separation prior to MS detection. In this work, we developed a facile and sensitive assay of targeted miRNAs based on the combination of cyclic enzymatic amplification (CEA) with microfluidic voltage-assisted liquid desorption electrospray ionization tandem mass spectrometry (VAL-DESI-MS/MS). The single-stranded DNA (ssDNA) probe was designed to have a sequence complementary to the miRNA target with an extension of a two-base nucleotide fragment (i.e., CpC) at the 3'-position as MS signal reporter, thus being easy to prepare and high in stability. In the proposed CEA-VAL-DESI-MS/MS assay, an ssDNA probe was added to a sample solution, forming a DNA-miRNA hybrid. Duplex-specific nuclease (DSN) specifically the DNA probe in the heteroduplex strands. As the hybridization-cleavage cycle repeated itself for many rounds, a large quantity of CpC molecules was produced that was quantified by VAL-DESI-MS/MS with accuracy and specificity. miRNA-21 was tested as the model target. The assay had a linear calibration equation in the range from 2.5 pM to 1.0 nM with a limit of detection of 0.25 pM. Determination of miRNA-21 in cellular samples was demonstrated. miRNA-21 was found to be 95.3 +/- 13.95 amol (n = 3) in 100 mouse peritoneal macrophages with a recovery of 94.2 +/- 2.6% (n = 3). Interestingly, analysis of exosomes secreted from these cells revealed that exposure of the cells to chemical stimuli caused a 3-fold increase in exosomal level of miRNA-21. The results suggest that the proposed assay may provide an accurate and cost-effective means for quantification of targeted miRNAs in biomedical samples.</t>
  </si>
  <si>
    <t>[Li, Xiangtang; Xu, Rui; Pan, Li; Liu, Yi-Ming] Jackson State Univ, Dept Chem &amp; Biochem, 1400 Lynch St, Jackson, MS 39217 USA; [Tchounwou, Paul B.] Jackson State Univ, Dept Biol, 1400 Lynch St, Jackson, MS 39217 USA; [Rout, Pratik] Emory Univ, Dept Chem, 201 Dowman Dr, Atlanta, GA 30322 USA; [Ma, Yonggang] Univ Mississippi, Dept Physiol &amp; Biophys, Mississippi Ctr Heart Res, Med Ctr, Jackson, MS 39216 USA</t>
  </si>
  <si>
    <t>Jackson State University; Jackson State University; Emory University; University of Mississippi; University of Mississippi Medical Center</t>
  </si>
  <si>
    <t>Liu, YM (corresponding author), Jackson State Univ, Dept Chem &amp; Biochem, 1400 Lynch St, Jackson, MS 39217 USA.</t>
  </si>
  <si>
    <t>yiming.liu@jsums.edu</t>
  </si>
  <si>
    <t>liu, yiming/0000-0002-7760-9565</t>
  </si>
  <si>
    <t>10.1021/acs.analchem.8b04008</t>
  </si>
  <si>
    <t>WOS:000451246100070</t>
  </si>
  <si>
    <t>Wood, AKM; Panwar, V; Grimwade-Mann, M; Ashfield, T; Hammond-Kosack, KE; Kanyuka, K</t>
  </si>
  <si>
    <t>Wood, Ana K. Machado; Panwar, Vinay; Grimwade-Mann, Mike; Ashfield, Tom; Hammond-Kosack, Kim E.; Kanyuka, Kostya</t>
  </si>
  <si>
    <t>The vesicular trafficking system component MIN7 is required for minimizing Fusarium graminearum infection</t>
  </si>
  <si>
    <t>JOURNAL OF EXPERIMENTAL BOTANY</t>
  </si>
  <si>
    <t>Arabidopsis; AtMin7; disease resistance; fungal pathogenicity; Fusarium graminearum; vesicular trafficking; VIGS; wheat</t>
  </si>
  <si>
    <t>RESISTANCE PROTEIN RPW8.2; PENETRATION-RESISTANCE; POWDERY MILDEW; EXTRACELLULAR VESICLES; FUNCTIONAL-ANALYSIS; INNATE IMMUNITY; SNARE-PROTEIN; WHEAT; ARABIDOPSIS; GENE</t>
  </si>
  <si>
    <t>Plants have developed intricate defense mechanisms, referred to as innate immunity, to defend themselves against a wide range of pathogens. Plants often respond rapidly to pathogen attack by the synthesis and delivery to the primary infection sites of various antimicrobial compounds, proteins, and small RNA in membrane vesicles. Much of the evidence regarding the importance of vesicular trafficking in plant-pathogen interactions comes from studies involving model plants whereas this process is relatively understudied in crop plants. Here we assessed whether the vesicular trafficking system components previously implicated in immunity in Arabidopsis play a role in the interaction with Fusarium graminearum, a fungal pathogen well-known for its ability to cause Fusarium head blight disease in wheat. Among the analysed vesicular trafficking mutants, two independent T-DNA insertion mutants in the AtMin7 gene displayed a markedly enhanced susceptibility to F. graminearum. Earlier studies identified this gene, encoding an ARF-GEF protein, as a target for the HopM1 effector of the bacterial pathogen Pseudomonas syringae pv. tomato, which destabilizes MIN7 leading to its degradation and weakening host defenses. To test whether this key vesicular trafficking component may also contribute to defense in crop plants, we identified the candidate TaMin7 genes in wheat and knocked-down their expression through virus-induced gene silencing. Wheat plants in which TaMin7 genes were silenced displayed significantly more Fusarium head blight disease. This suggests that disruption of MIN7 function in both model and crop plants compromises the trafficking of innate immunity signals or products resulting in hypersusceptibility to various pathogens.</t>
  </si>
  <si>
    <t>[Wood, Ana K. Machado; Panwar, Vinay; Grimwade-Mann, Mike; Ashfield, Tom; Hammond-Kosack, Kim E.; Kanyuka, Kostya] Rothamsted Research, Biointeract &amp; Crop Protect, Harpenden AL5 2JQ, Herts, England; [Ashfield, Tom] Rothamsted Research, Crop Hlth &amp; Protect CHAP, Harpenden AL5 2JQ, Herts, England</t>
  </si>
  <si>
    <t>UK Research &amp; Innovation (UKRI); Biotechnology and Biological Sciences Research Council (BBSRC); Rothamsted Research; UK Research &amp; Innovation (UKRI); Biotechnology and Biological Sciences Research Council (BBSRC); Rothamsted Research</t>
  </si>
  <si>
    <t>Kanyuka, K (corresponding author), Rothamsted Research, Biointeract &amp; Crop Protect, Harpenden AL5 2JQ, Herts, England.</t>
  </si>
  <si>
    <t>kostya.kanyuka@rothamsted.ac.uk</t>
  </si>
  <si>
    <t>; Kanyuka, Kostya/F-9156-2016</t>
  </si>
  <si>
    <t>Machado Wood, Ana Karla/0000-0001-7203-3758; Hammond-Kosack, kim/0000-0002-9699-485X; Kanyuka, Kostya/0000-0001-6324-4123</t>
  </si>
  <si>
    <t>0022-0957</t>
  </si>
  <si>
    <t>1460-2431</t>
  </si>
  <si>
    <t>10.1093/jxb/erab170</t>
  </si>
  <si>
    <t>WOS:000670994100031</t>
  </si>
  <si>
    <t>Aqil, F; Jeyabalan, J; Agrawal, AK; Kyakulaga, AH; Munagala, R; Parker, L; Gupta, RC</t>
  </si>
  <si>
    <t>Aqil, Farrukh; Jeyabalan, Jeyaprakash; Agrawal, Ashish K.; Kyakulaga, Al-Hassan; Munagala, Radha; Parker, Lynn; Gupta, Ramesh C.</t>
  </si>
  <si>
    <t>Exosomal delivery of berry anthocyanidins for the management of ovarian cancer</t>
  </si>
  <si>
    <t>MEDIATED MAMMARY TUMORIGENESIS; MILK-DERIVED EXOSOMES; BLACK-RASPBERRY; DIETARY BERRIES; DRUG-DELIVERY; LUNG-CANCER; BREAST-CANCER; DNA-DAMAGE; ACI RATS; CELLS</t>
  </si>
  <si>
    <t>Despite optimal diagnosis and early therapeutic interventions, the prognosis for ovarian cancer patients remains dismal because the efficacy of chemotherapy is limited by the development of resistance and off-site toxicity. Berry bioactives indicate preventive and therapeutic activities against various cancer types. Here, we examined the antiproliferative activity of berry anthocyanidins (Anthos) against drug-sensitive (A2780) and drug-resistant (A2780/CP70, OVCA432 and OVCA433) ovarian cancer cells. These drug-resistant ovarian cancer cell lines overexpress p-glycoproteins (PgP) and show &gt;100-fold resistance to the chemotherapeutic drug cisplatin compared to A2780. We observed a dose-dependent growth inhibition of ovarian cancer cells with the Anthos. Furthermore, the treatment of drug-resistant ovarian cancer (OVCA433) cells with cisplatin in combination with the Anthos (75 mu M) resulted in significantly higher cell killing. The cisplatin dose required to achieve this effect was 10 to 15-fold lower than the IC50 of cisplatin alone. However, many plant bioactives including Anthos face the challenge of poor oral bioavailability and stability. Recently, we have developed strategies to overcome these limitations by delivering Anthos via milk-derived exosomes. The exosomal Anthos (ExoAnthos) significantly enhanced the antiproliferative activity against the growth of ovarian cancer cells and inhibited tumor growth more efficiently compared to Anthos alone and a vehicle control. Often patients with cisplatin-resistant tumors retain sensitivity to paclitaxel (PAC). We prepared exosomal formulations of PAC (ExoPAC) for oral delivery as the systemic administration of PAC has severe side effects. ExoPAC delivered orally showed the same therapeutic efficacy as the free PAC delivered intraperitoneally. Finally, we report that the combination of the Anthos and PAC decreased the PgP level in a dose-dependent manner in OVCA432 cells. A significantly enhanced antitumor activity was observed with the combination of ExoPAC and ExoAnthos against A2780 tumor xenografts. Together, our data indicate that the berry Anthos are highly effective against ovarian cancer and that the milk exosomes serve as an excellent nano-carrier to enhance the drug's oral bioavailability for the management of ovarian cancer.</t>
  </si>
  <si>
    <t>[Aqil, Farrukh; Jeyabalan, Jeyaprakash; Agrawal, Ashish K.; Munagala, Radha; Gupta, Ramesh C.] Univ Louisville, James Graham Brown Canc Ctr, Louisville, KY 40202 USA; [Aqil, Farrukh; Munagala, Radha] Univ Louisville, Dept Med, Louisville, KY 40202 USA; [Kyakulaga, Al-Hassan; Gupta, Ramesh C.] Univ Louisville, Dept Pharmacol &amp; Toxicol, Louisville, KY 40202 USA; [Parker, Lynn] Norton Canc Inst, 315 E Broadway,4th Floor, Louisville, KY 40202 USA</t>
  </si>
  <si>
    <t>Aqil, F; Gupta, RC (corresponding author), Univ Louisville, James Graham Brown Canc Ctr, Louisville, KY 40202 USA.;Aqil, F (corresponding author), Univ Louisville, Dept Med, Louisville, KY 40202 USA.;Gupta, RC (corresponding author), Univ Louisville, Dept Pharmacol &amp; Toxicol, Louisville, KY 40202 USA.</t>
  </si>
  <si>
    <t>farrukh.aqil@louisville.edu; rcgupta@louisville.edu</t>
  </si>
  <si>
    <t>10.1039/c7fo00882a</t>
  </si>
  <si>
    <t>WOS:000415578600025</t>
  </si>
  <si>
    <t>Karanam, B; Peng, SW; Li, T; Buck, C; Day, PM; Roden, RBS</t>
  </si>
  <si>
    <t>Karanam, Balasubramanyam; Peng, Shiwen; Li, Tong; Buck, Christopher; Day, Patricia M.; Roden, Richard B. S.</t>
  </si>
  <si>
    <t>Papillomavirus Infection Requires gamma Secretase</t>
  </si>
  <si>
    <t>MINOR CAPSID PROTEIN; POSITIVELY CHARGED TERMINI; AMYLOID PRECURSOR PROTEIN; VIRUS-LIKE PARTICLES; HEPARAN-SULFATE; EXTRACELLULAR-MATRIX; HUMAN KERATINOCYTES; L2; NEUTRALIZATION; PRESENILIN-1</t>
  </si>
  <si>
    <t>The mechanism by which papillomaviruses breach cellular membranes to deliver their genomic cargo to the nucleus is poorly understood. Here, we show that infection by a broad range of papillomavirus types requires the intramembrane protease gamma secretase. The gamma-secretase inhibitor (S, S)-2-[2-(3,5-difluorophenyl)-acetylamino]- N-(1-methyl-2-oxo-5-phenyl-2,3-dihydro-1H-benzo[e][1,4] diazepin-3-yl)-propionamide (compound XXI) inhibits infection in vitro by all types of papillomavirus pseudovirions tested, with a 50% inhibitory concentration (IC50) of 130 to 1,000 pM, regardless of reporter construct and without impacting cellular viability. Conversely, XXI does not inhibit in vitro infection by adenovirus or pseudovirions derived from the BK or Merkel cell polyomaviruses. Vaginal application of XXI prevents infection of the mouse genital tract by human papillomavirus type 16 (HPV16) pseudovirions. Nicastrin and presenilin-1 are essential components of the gamma-secretase complex, and mouse embryo fibroblasts deficient in any one of these components were not infected by HPV16, whereas wild-type and beta-secretase (BACE1)-deficient cells were susceptible. Neither the uptake of HPV16 into Lamp-1-positive perinuclear vesicles nor the disassembly of capsid to reveal both internal L1 and L2 epitopes and bromodeoxyuridine (BrdU)-labeled encapsidated DNA is dependent upon gamma-secretase activity. However, blockade of gamma-secretase activity by XXI prevents the BrdU-labeled DNA encapsidated by HPV16 from reaching the ND10 subnuclear domains. Since prior studies indicate that L2 is critical for endosomal escape and targeting of the viral DNA to ND10 and that gamma secretase is located in endosomal membranes, our findings suggest that either L2 or an intracellular receptor are cleaved by gamma secretase as papillomavirus escapes the endosome.</t>
  </si>
  <si>
    <t>[Karanam, Balasubramanyam; Peng, Shiwen; Li, Tong; Roden, Richard B. S.] Johns Hopkins Univ, Dept Pathol, Baltimore, MD 21231 USA; [Roden, Richard B. S.] Johns Hopkins Univ, Dept Oncol, Baltimore, MD 21231 USA; [Roden, Richard B. S.] Johns Hopkins Univ, Dept Gynecol &amp; Obstet, Baltimore, MD 21231 USA; [Buck, Christopher; Day, Patricia M.] NCI, Cellular Oncol Lab, Bethesda, MD 20892 USA</t>
  </si>
  <si>
    <t>Johns Hopkins University; Johns Hopkins University; Johns Hopkins University; National Institutes of Health (NIH) - USA; NIH National Cancer Institute (NCI)</t>
  </si>
  <si>
    <t>Roden, RBS (corresponding author), Johns Hopkins Univ, Dept Pathol, Room 308,Canc Res Bldg 2,1550 Orleans St, Baltimore, MD 21231 USA.</t>
  </si>
  <si>
    <t>roden@jhmi.edu</t>
  </si>
  <si>
    <t>Buck, Christopher/G-8358-2017</t>
  </si>
  <si>
    <t>Buck, Christopher/0000-0003-3165-8094</t>
  </si>
  <si>
    <t>10.1128/JVI.01081-10</t>
  </si>
  <si>
    <t>WOS:000282642600021</t>
  </si>
  <si>
    <t>Wang, L; Huang, JX; Jiang, MH; Chen, QC; Jiang, ZF; Feng, HT</t>
  </si>
  <si>
    <t>Wang, Lin; Huang, Juxiang; Jiang, Minghu; Chen, Qingchun; Jiang, Zhenfu; Feng, Haitao</t>
  </si>
  <si>
    <t>CAMK1 Phosphoinositide Signal-Mediated Protein Sorting and Transport Network in Human Hepatocellular Carcinoma (HCC) by Biocomputation</t>
  </si>
  <si>
    <t>CELL BIOCHEMISTRY AND BIOPHYSICS</t>
  </si>
  <si>
    <t>CAMK1; Human hepatocellular carcinoma (HCC); Phosphoinositide signal-mediated protein sorting and transport network; Biocomputation</t>
  </si>
  <si>
    <t>CYCLE COMPUTATIONAL NETWORK; HEPATITIS/CIRRHOSIS; CONSTRUCTION</t>
  </si>
  <si>
    <t>We data-analyzed and constructed the high-expression CAMK1 phosphoinositide signal-mediated protein sorting and transport network in human hepatocellular carcinoma (HCC) compared with low-expression (fold change &gt;= 2) no-tumor hepatitis/cirrhotic tissues (HBV or HCV infection) in GEO data set, using integration of gene regulatory network inference method with gene ontology (GO). Our result showed that CAMK1 transport subnetwork upstream KCNQ3, LCN2, NKX2_ 5, NUP62, SORT1, STX1A activated CAMK1, and downstream CAMK1-activated AFP, ENAH, KPNA2, SLC4A3; CAMK1 signal subnetwork upstream BRCA1, DKK1, GPSM2, LEF1, NR5A1, NUP62, SORT1, SSTR5, TBL3 activated CAMK1, and downstream CAMK1-activated MAP2K6, SFRP4, SSTR5, TSHB, UBE2C in HCC. We proposed that CAMK1 activated network enhanced endosome to lysosome transport, endosome transport via multivesicular body sorting pathway, Golgi to endosome transport, intracellular protein transmembrane transport, intracellular protein transport, ion transport, mRNA transport, plasma membrane to endosome transport, potassium ion transport, protein transport, vesicle-mediated transport, anion transport, intracellular transport, androgen receptor signaling pathway, cell surface receptor-linked signal transduction, hormone-mediated signaling, induction of apoptosis by extracellular signals, signal transduction by p53 class mediator resulting in transcription of p21 class mediator, signal transduction resulting in induction of apoptosis, phosphoinositide-mediated signaling, Wnt receptor signaling pathway, as a result of inducing phosphoinositide signal-mediated protein sorting, and transport in HCC. Our hypothesis was verified by CAMK1 functional regulation subnetwork containing positive regulation of calcium ion transport via voltage gated calcium channel, cell proliferation, DNA repair, exocytosis, I-kappaB kinase/NF-kappaB cascade, immunoglobulin-mediated immune response, mast cell activation, natural killer cell-mediated cytotoxicity directed against tumor cell target, protein ubiquitination, sodium ion transport, survival gene product activity, T cell-mediated cytotoxicity, transcription, transcription from RNA polymerase II promoter, transcription initiation from RNA polymerase II promoter, transcription via serum response element binding, exit from mitosis, ubiquitin ligase activity during mitotic cell cycle, regulation of angiogenesis, apoptosis, cell growth, cell proliferation, cyclin-dependent protein kinase activity, gene expression, insulin secretion, steroid biosynthesis, transcription from RNA polymerase II promoter, transcription from RNA polymerase III promoter, cell cycle, cell migration, DNA recombination, and protein metabolism; also by CAMK1 negative functional regulation subnetwork including negative regulation of apoptosis, cell proliferation, centriole replication, fatty acid biosynthesis, lipoprotein lipase activity, MAPK activity, progression through cell cycle, transcription, transcription from RNA polymerase II promoter, cell growth, phosphorylation, and ubiquitin ligase activity during mitotic cell cycle in HCC.</t>
  </si>
  <si>
    <t>[Wang, Lin; Huang, Juxiang; Chen, Qingchun] Beijing Univ Posts &amp; Telecommun, Sch Elect Engn, Biomed Ctr, Beijing 100876, Peoples R China; [Wang, Lin] Chinese Acad Sci, Shanghai Inst Mat Med, State Key Lab Drug Res, Shanghai 201203, Peoples R China; [Jiang, Minghu] Tsinghua Univ, Lab Computat Linguist, Sch Humanities &amp; Social Sci, Beijing 100084, Peoples R China; [Jiang, Zhenfu] China Univ Min &amp; Technol, Sch Mech Elect &amp; Informat Engn, Beijing 100083, Peoples R China; [Feng, Haitao] Heilongjiang Univ Chinese Med, Dean Dept, Harbin 150040, Peoples R China</t>
  </si>
  <si>
    <t>Beijing University of Posts &amp; Telecommunications; Chinese Academy of Sciences; Shanghai Institute of Materia Medica, CAS; Tsinghua University; China University of Mining &amp; Technology; Heilongjiang University of Chinese Medicine</t>
  </si>
  <si>
    <t>Wang, L (corresponding author), Beijing Univ Posts &amp; Telecommun, Sch Elect Engn, Biomed Ctr, Beijing 100876, Peoples R China.</t>
  </si>
  <si>
    <t>wanglin98@tsinghua.org.cn</t>
  </si>
  <si>
    <t>Wang, Lin/0000-0003-2433-8594</t>
  </si>
  <si>
    <t>1085-9195</t>
  </si>
  <si>
    <t>1559-0283</t>
  </si>
  <si>
    <t>10.1007/s12013-014-0011-8</t>
  </si>
  <si>
    <t>WOS:000343143500035</t>
  </si>
  <si>
    <t>Funami, K; Matsumoto, M; Oshiumi, H; Akazawa, T; Yamamoto, A; Seya, T</t>
  </si>
  <si>
    <t>The cytoplasmic 'linker region' in Toll-like receptor 3 controls receptor localization and signaling</t>
  </si>
  <si>
    <t>INTERNATIONAL IMMUNOLOGY</t>
  </si>
  <si>
    <t>dendritic cell; innate immunity; TLR adaptors; type I interferon; viral infection</t>
  </si>
  <si>
    <t>DOUBLE-STRANDED-RNA; NF-KAPPA-B; GOLGI-APPARATUS; CPG-DNA; ACTIVATION; PROTEIN; EXPRESSION; REQUIRES; DISTINCT; CELLS</t>
  </si>
  <si>
    <t>Toll-like receptor 3 (TLR3) recognizes double-stranded RNA and transmits signals to activate NF-kappaB and the interferon (IFN)-beta promoter via the newly identified adaptor, TICAM-1. The extracellular LRR domain of TLR3 is engaged in the ligand recognition, while the intracellular TIR domain is crucial for the adaptor binding and signal transduction upon ligand stimulation. Here, we analyzed TLR3 localization in human monocyte-derived immature dendritic cells (iDCs) and stable transfectants expressing human TLR3 by immunofluorescence staining and confocal microscopy. TLR3 was predominantly localized in specific but as yet unidentified intracellular vesicles where TLR3 signaling was initiated. Expression analysis of TLR3-tail-truncated mutants revealed that the cytoplasmic 'linker' region (residues 730-755) determines the intracellular localization of TLR3. Site-directed mutagenesis of the linker region allowed us to identify the relevant determinants as Arg(740) and Val(741) residues for intracellular expression of TLR3. Furthermore, alanine scanning of the linker region demonstrated that the Phe(732), Leu(742) and Gly(743) in the TLR3 cytoplasmic linker region are essential for ligand-induced NF-kappaB and IFN-beta promoter activation. Thus, the cytoplasmic linker region of TLR3 regulates receptor retention inside the organelle and signaling, which may be closely linked to TLR3 function in DCs.</t>
  </si>
  <si>
    <t>Osaka Med Ctr Canc &amp; Cardiovasc Dis, Dept Immunol, Higashinari Ku, Osaka 5378511, Japan; Nara Inst Sci &amp; Technol, Dept Mol Immunol, Nara 6300101, Japan; Nagahama Inst Biosci &amp; Technol, Dept Cell Biol, Shiga 5260829, Japan; Hokkaido Univ, Grad Sch Med, Dept Microbiol &amp; Immunol, Sapporo, Hokkaido 0608638, Japan</t>
  </si>
  <si>
    <t>Osaka Medical Center for Cancer &amp; Cardiovascular Diseases; Nara Institute of Science &amp; Technology; Hokkaido University</t>
  </si>
  <si>
    <t>Matsumoto, M (corresponding author), Osaka Med Ctr Canc &amp; Cardiovasc Dis, Dept Immunol, Higashinari Ku, Osaka 5378511, Japan.</t>
  </si>
  <si>
    <t>matumoto-mi@mc.pref.osaka.jp</t>
  </si>
  <si>
    <t>Seya, Tsukasa/A-4336-2012; 美佐子, 松本/A-4497-2012; Funami, Kenji/A-4284-2012; Oshiumi, Hiroyuki/G-1645-2012</t>
  </si>
  <si>
    <t>Oshiumi, Hiroyuki/0000-0003-1567-8722</t>
  </si>
  <si>
    <t>0953-8178</t>
  </si>
  <si>
    <t>1460-2377</t>
  </si>
  <si>
    <t>10.1093/intimm/dxh115</t>
  </si>
  <si>
    <t>WOS:000223172000009</t>
  </si>
  <si>
    <t>Vanky, P; Brockstedt, U; Hjerpe, A; Wikstrom, B</t>
  </si>
  <si>
    <t>Kinetic studies on epiphyseal growth cartilage in the normal mouse</t>
  </si>
  <si>
    <t>epiphyseal cartilage; growth; proliferation; hypertrophy; immunohistochemistry</t>
  </si>
  <si>
    <t>LONGITUDINAL BONE-GROWTH; MATRIX VESICLES; PROTEOGLYCANS; CHONDROCYTES; PLATES; CELLS; DNA</t>
  </si>
  <si>
    <t>'The synthesis of DNA was studied in the proximal tibial growth plate of 25-day-old healthy NMRI mice by using the thymidine analog bromodeoxyuridine (BrdUrd), which is incorporated into cells in the S-phase, Such cells were found only in the upper three fifths of the morphologically defined proliferating zone. This zone was therefore subdivided into a functional proliferating zone (the S-phase zone) where most, if not all, chondrocytes proliferate, and a remaining maturation zone, The BrdUrd containing immunoreactive cells could then be followed at different intervals and they were found at the chondro-osseous junction after only 36 h, By using double-labeling with BrdUrd and iododeoxyuridine (IdUrd) the duration of cell cycle components could be estimated; that is, the time for DNA synthesis (S-phase), second gap and mitosis (G2 + M-phase), and remaining first gap (G1), We determined an S-phase time of 7.1 h and an average cell-cycle duration of 36 h. The G2 + M-phase was estimated as 3.5-4 h, leaving an average G1-phase time of 25 h, which probably varies considerably between chondrocytes, By combining these data with morphometrical data regarding distances between cells, we calculated a total growth rate of 9.0 mu m/h. Of this rate, 80% was entirely related to the process of hypertrophy-that is, longitudinal expansion without any corresponding increase in cell number-and 75% was the result of processes outside the S-phase zone. Five percent of the growth was due to the expansion of cell distances within the S-phase zone, In this way longitudinal expansion can be studied at different levels in the growth plate and the data permit calculation of changes in volumes of the extracellular matrix. The largest increases in matrix volume occurred in the hypertrophic zone, These data may serve as a basis for further studies on matrix turnover in relation to growth. (C) 1998 by Elsevier Science Inc. All rights reserved.</t>
  </si>
  <si>
    <t>Huddinge Univ Hosp, Karolinska Inst, Dept Immunol, Div Pathol, S-14186 Huddinge, Sweden; Huddinge Univ Hosp, Karolinska Inst, Dept Microbiol, Div Pathol, S-14186 Huddinge, Sweden; Huddinge Univ Hosp, Karolinska Inst, Dept Pathol, Div Pathol, S-14186 Huddinge, Sweden; Huddinge Univ Hosp, Karolinska Inst, Dept Infect Dis, Div Pathol, S-14186 Huddinge, Sweden</t>
  </si>
  <si>
    <t>Karolinska Institutet; Karolinska Institutet; Karolinska Institutet; Karolinska Institutet</t>
  </si>
  <si>
    <t>Hjerpe, A (corresponding author), Huddinge Univ Hosp, Karolinska Inst, Dept Immunol, Div Pathol, F42, S-14186 Huddinge, Sweden.</t>
  </si>
  <si>
    <t>10.1016/S8756-3282(97)00286-X</t>
  </si>
  <si>
    <t>WOS:000072854800006</t>
  </si>
  <si>
    <t>Ramamoorthy, P; Thomas, SM; Kaushik, G; Subramaniam, D; Chastain, KM; Dhar, A; Tawfik, O; Kasi, A; Sun, WJ; Ramalingam, S; Gunewardena, S; Umar, S; Mammen, JM; Padhye, SB; Weir, SJ; Jensen, RA; Sittampalam, GS; Anant, S</t>
  </si>
  <si>
    <t>Ramamoorthy, Prabhu; Thomas, Sufi Mary; Kaushik, Gaurav; Subramaniam, Dharmalingam; Chastain, Katherine M.; Dhar, Animesh; Tawfik, Ossama; Kasi, Anup; Sun, Weijing; Ramalingam, Satish; Gunewardena, Sumedha; Umar, Shahid; Mammen, Joshua M.; Padhye, Subhash B.; Weir, Scott J.; Jensen, Roy A.; Sittampalam, G. Sitta; Anant, Shrikant</t>
  </si>
  <si>
    <t>Metastatic Tumor-in-a-Dish, a Novel Multicellular Organoid to Study Lung Colonization and Predict Therapeutic Response</t>
  </si>
  <si>
    <t>ENDOTHELIAL GROWTH-FACTOR; CELL-CULTURE; DRUG DISCOVERY; STEM-CELLS; CANCER-RESEARCH; TISSUE MODELS; VITRO; MICROENVIRONMENT; DIFFERENTIATION; EXOSOMES</t>
  </si>
  <si>
    <t>Metastasis is a major cause of cancer-related deaths. A dearth of preclinical models that recapitulate the metastatic microenvironment has impeded the development of therapeutic agents that are effective against metastatic disease. Because the majority of solid tumors metastasize to the lung, we developed a multicellular lung organoid that mimics the lung microenvironment with air sac-like structures and production of lung surfactant protein. We used these cultures, called primitive lung-in-a-dish (PLiD), to recreate metastatic disease using primary and established cancer cells. The metastatic tumor-in-a-dish (mTiD) cultures resemble the architecture of metastatic tumors in the lung, including angiogenesis. Pretreating PLiD with tumor exosomes enhanced cancer cell colonization. We next tested the response of primary and established cancer cells to current chemotherapeutic agents and an anti-VEGF antibody in mTiD against cancer cells in two-dimensional (2D) or 3D cultures. The response of primary patient-derived colon and ovarian tumor cells to therapy in mTiD cultures matched the response of the patient in the clinic, but not in 2D or single-cell-type 3D cultures. The sensitive mTiD cultures also produced significantly lower circulating markers for cancer similar to that seen in patients who responded to therapy. Thus, we have developed a novel method for lung colonization in vitro, a final stage in tumor metastasis. Moreover, the technique has significant utility in precision/personalized medicine, wherein this phenotypic screen can be coupled with current DNA pharmacogenetics to identify the ideal therapeutic agent, thereby increasing the probability of response to treatment while reducing unnecessary side effects. Significance: A lung organoid that exhibits characteristics of a normal human lung is developed to study the biology of metastatic disease and therapeutic intervention.</t>
  </si>
  <si>
    <t>[Ramamoorthy, Prabhu; Thomas, Sufi Mary; Subramaniam, Dharmalingam; Dhar, Animesh; Ramalingam, Satish; Anant, Shrikant] Univ Kansas, Med Ctr, Dept Canc Biol, Kansas City, KS 66103 USA; [Ramamoorthy, Prabhu; Kaushik, Gaurav; Subramaniam, Dharmalingam; Umar, Shahid; Mammen, Joshua M.; Anant, Shrikant] Univ Kansas, Med Ctr, Dept Gen Surg, Kansas City, KS 66103 USA; [Thomas, Sufi Mary] Univ Kansas, Med Ctr, Dept Otolaryngol, Kansas City, KS 66103 USA; [Chastain, Katherine M.] Childrens Mercy Hosp &amp; Clin, Dept Pediat, Kansas City, MO USA; [Tawfik, Ossama; Jensen, Roy A.] Univ Kansas, Med Ctr, Dept Pathol &amp; Lab Med, Kansas City, KS 66103 USA; [Kasi, Anup; Sun, Weijing] Univ Kansas, Med Ctr, Dept Internal Med, Kansas City, KS 66103 USA; [Gunewardena, Sumedha] Univ Kansas, Med Ctr, Dept Mol &amp; Integrat Physiol, Kansas City, KS 66103 USA; [Padhye, Subhash B.] Univ Pune, Interdisciplinary Sci &amp; Technol Res Acad, Pune, Maharashtra, India; [Weir, Scott J.] Univ Kansas, Med Ctr, Dept Pharmacol Toxicol &amp; Therapeut, Kansas City, KS 66103 USA; [Sittampalam, G. Sitta] NIH, Natl Ctr Adv Translat Sci, Bldg 10, Bethesda, MD 20892 USA</t>
  </si>
  <si>
    <t>University of Kansas; University of Kansas Medical Center; University of Kansas; University of Kansas Medical Center; University of Kansas; University of Kansas Medical Center; Children's Mercy Hospital; University of Kansas; University of Kansas Medical Center; University of Kansas; University of Kansas Medical Center; University of Kansas; University of Kansas Medical Center; Savitribai Phule Pune University; University of Kansas; University of Kansas Medical Center; National Institutes of Health (NIH) - USA; NIH National Center for Advancing Translational Sciences (NCATS)</t>
  </si>
  <si>
    <t>Anant, S (corresponding author), Univ Kansas, Med Ctr, 3901 Rainbow Blvd MS1071, Kansas City, KS 66160 USA.</t>
  </si>
  <si>
    <t>sanant@kumc.edu</t>
  </si>
  <si>
    <t>Thomas, Sufi Mary/AFR-1642-2022; Ramalingam, Satish/H-1577-2018; Anant, Shrikant/AAF-8020-2020; Kasi, Anup/ABF-5253-2020</t>
  </si>
  <si>
    <t>Thomas, Sufi Mary/0000-0001-5370-0842; Ramalingam, Satish/0000-0002-3076-279X; Subramaniam, Dharmalingam/0000-0002-2710-485X; Weir, Scott/0000-0002-8020-434X</t>
  </si>
  <si>
    <t>10.1158/0008-5472.CAN-18-2602</t>
  </si>
  <si>
    <t>WOS:000463005700038</t>
  </si>
  <si>
    <t>Lim, JWE; Mathias, RA; Kapp, EA; Layton, MJ; Faux, MC; Burgess, AW; Ji, H; Simpson, RJ</t>
  </si>
  <si>
    <t>Lim, Justin W. E.; Mathias, Rommel A.; Kapp, Eugene A.; Layton, Meredith J.; Faux, Maree C.; Burgess, Antony W.; Ji, Hong; Simpson, Richard J.</t>
  </si>
  <si>
    <t>Restoration of full-length APC protein in SW480 colon cancer cells induces exosome-mediated secretion of DKK-4</t>
  </si>
  <si>
    <t>APC; Colon cancer; Demethylation; DKK4; Exosome; Proteomics</t>
  </si>
  <si>
    <t>FREQUENT EPIGENETIC INACTIVATION; HUMAN COLORECTAL-CANCER; DICKKOPF GENE FAMILY; PROTEOMIC ANALYSIS; DNA METHYLTRANSFERASE; MASS-SPECTROMETRY; TCF/BETA-CATENIN; VESICLES; DATABASE; DISTINCT</t>
  </si>
  <si>
    <t>Mutations in the adenomatous polyposis coli (APC) tumor suppressor gene are common in both inherited and sporadic forms of colorectal cancer (CRC), and are associated with dysregulated Wnt signaling. Colon carcinoma SW480 cells restored with stable expression of wild-type APC (SW480APC cells) exhibit attenuated Wnt signaling, and reduced tumorigenicity, including increased cell adhesion. We performed a comparative proteomic analysis of exosomes isolated from SW480 and SW480APC cells to examine the effects of restored APC on exosome protein expression. A salient finding of our study was the unique expression of the Wnt antagonist Dickkopf-related protein 4 (DKK4) in SW480APC, but not parental SW480 cell-derived exosomes. Upregulation of DKK4 in SW480APC cells was confirmed by semiquantitative RT-PCR, immunoblotting, and immunogold electron microscopy. Analysis of the DKK4 gene promoter by methylation-specific PCR revealed reduced methylation in SW480APC cells, while RT-PCR demonstrated the downregulation of DNMT-3a, compared to the parental cell line. Our discovery of exosome-mediated secretion of DKK4 opens up the possibility that exosomal DKK4 may be a mechanism used by epithelial colon cells to regulate Wnt signaling which is lost during CRC progression.</t>
  </si>
  <si>
    <t>[Mathias, Rommel A.; Ji, Hong; Simpson, Richard J.] La Trobe Univ, La Trobe Inst Mol Sci, Bundoora, Vic 3086, Australia; [Lim, Justin W. E.; Mathias, Rommel A.; Ji, Hong; Simpson, Richard J.] Ludwig Inst Canc Res, Joint Prote Res Lab, Parkville, Vic, Australia; [Lim, Justin W. E.] Univ Melbourne, Dept Biochem &amp; Mol Biol, Parkville, Vic 3052, Australia; [Lim, Justin W. E.] Biopolis, AB SCIEX Distribut, Singapore, Singapore; [Kapp, Eugene A.] Royal Melbourne Hosp, Walter &amp; Eliza Hall Inst Med Res, Bioinformat Grp, Parkville, Vic 3050, Australia; [Layton, Meredith J.] Monash Univ, Dept Biochem &amp; Mol Biol, Clayton, Vic, Australia; [Faux, Maree C.; Burgess, Antony W.] Ludwig Inst Canc Res, Epithelial Biochem Lab, Parkville, Vic, Australia</t>
  </si>
  <si>
    <t>La Trobe University; Ludwig Institute for Cancer Research; University of Melbourne; Royal Melbourne Hospital; Walter &amp; Eliza Hall Institute; Monash University; Ludwig Institute for Cancer Research</t>
  </si>
  <si>
    <t>Simpson, RJ (corresponding author), La Trobe Univ, La Trobe Inst Mol Sci, Bundoora, Vic 3086, Australia.</t>
  </si>
  <si>
    <t>richard.simpson@latrobe.edu.au</t>
  </si>
  <si>
    <t>Mathias, Rommel/0000-0003-3064-4897; Simpson, Richard/0000-0002-9834-0796</t>
  </si>
  <si>
    <t>10.1002/elps.201100687</t>
  </si>
  <si>
    <t>WOS:000305792500024</t>
  </si>
  <si>
    <t>Wade, CE; Matijevic, N; Wang, YWW; Rodriguez, EG; Lopez, E; Ostrowski, SR; Cardenas, JC; Baer, LA; Chen, TA; Tomasek, JS; Henriksen, HH; Stensballe, J; Cotton, BA; Holcomb, JB; Johansson, PI</t>
  </si>
  <si>
    <t>Wade, Charles E.; Matijevic, Nena; Wang, Yao-Wei W.; Rodriguez, Erika G.; Lopez, Ernesto; Ostrowski, Sisse R.; Cardenas, Jessica C.; Baer, Lisa A.; Chen, Tzu-An; Tomasek, Jeffrey S.; Henriksen, Hanne H.; Stensballe, Jakob; Cotton, Bryan A.; Holcomb, John B.; Johansson, Par I.</t>
  </si>
  <si>
    <t>ABSENCES OF ENDOTHELIAL MICROVESICLE CHANGES IN THE PRESENCE OF THE ENDOTHELIOPATHY OF TRAUMA</t>
  </si>
  <si>
    <t>Catecholamine; coagulation; endothelium; E-selectin; hemorrhage; histone; Syndecan-1; thrombomodulin; VE-cadherin</t>
  </si>
  <si>
    <t>SYMPATHOADRENAL ACTIVATION; GLYCOCALYX; DAMAGE; COAGULOPATHY; MICROPARTICLES; DYSFUNCTION; FLUID; RESUSCITATION; PROTECTION; SYNDECAN-1</t>
  </si>
  <si>
    <t>Introduction: Severe trauma is accompanied by endothelial glycocalyx disruption, which drives coagulopathy, increasing transfusion requirements and death. This syndrome has been termed endotheliopathy of trauma (EOT). Some have suggested EOT results from endothelial cellular damage and apoptosis. Endothelial microvesicles (EMVs) represent cellular damage. We hypothesized that EOT is associated with endothelial damage and apoptosis resulting in an increase in circulating EMVs. Methods: Prospective, observational study enrolling severely injured patients. Twelve patients with EOT, based on elevated Syndecan-1 levels, were matched with 12 patients with lower levels, based on Injury Severity Score (ISS), abbreviated injury scale profile, and age. Thrombelastography and plasma levels of biomarkers indicative of cellular damage were measured from blood samples collected on admission. EMVs were determined by flow cytometry using varied monoclonal antibodies associated with endothelial cells. Significance was set at P&lt; 0.05. Results: Admission physiology and ISS (29 vs. 28) were similar between groups. Patients with EOT had higher Syndecan-1, 230 (158, 293) vs. 19 (14, 25) ng/mL, epinephrine, and soluble thrombomodulin levels. Based on thrombelastography, EOT had reductions in clot initiation, amplification, propagation and strength, and a greater frequency of transfusion, 92% vs. 33%. There were no differences in EMVs irrespective of the antibody used. Plasma norepinephrine, sEselectin, sVE-cadherin, and histone-complexed DNA fragments levels were similar. Conclusion: In trauma patients presenting with EOT, endothelial cellular damage or apoptosis does not seem to occur based on the absence of an increase in EMVs and other biomarkers. Thus, this suggests endothelial glycocalyx disruption is the underlying primary cause of EOT.</t>
  </si>
  <si>
    <t>[Wade, Charles E.; Matijevic, Nena; Wang, Yao-Wei W.; Rodriguez, Erika G.; Lopez, Ernesto; Cardenas, Jessica C.; Baer, Lisa A.; Chen, Tzu-An; Tomasek, Jeffrey S.; Henriksen, Hanne H.; Cotton, Bryan A.; Holcomb, John B.; Johansson, Par I.] Univ Texas Hlth Sci Ctr Houston, UT Hlth, Dept Surg, Ctr Translat Injury Res CeTIR, Houston, TX 77030 USA; [Ostrowski, Sisse R.; Henriksen, Hanne H.; Stensballe, Jakob; Johansson, Par I.] Copenhagen Univ Hosp, Rigshosp, Capital Reg Blood Bank, Sect Transfus Med, Copenhagen, Denmark; [Holcomb, John B.] Copenhagen Univ Hosp, Rigshosp, Ctr Head &amp; Orthoped, Dept Anesthesia, Copenhagen, Denmark</t>
  </si>
  <si>
    <t>University of Texas System; University of Texas Health Science Center Houston; Rigshospitalet; University of Copenhagen; Rigshospitalet; University of Copenhagen</t>
  </si>
  <si>
    <t>Lopez, E (corresponding author), Univ Texas Hlth Sci Ctr Houston, Ctr Translat Injury Res CeTIR, 6431 Fannin,MSB 5-204, Houston, TX 77030 USA.</t>
  </si>
  <si>
    <t>jose.e.lopezvalen-cia@uth.tmc.edu</t>
  </si>
  <si>
    <t>Lopez, Ernesto/AAH-7954-2019; Ostrowski, Sisse R/E-7423-2011; Lopez, Ernesto/Q-5903-2016</t>
  </si>
  <si>
    <t>Lopez, Ernesto/0000-0003-3211-0098; Ostrowski, Sisse R/0000-0001-5288-3851; Lopez, Ernesto/0000-0003-3211-0098; Hee Henriksen, Hanne/0000-0003-1323-9718; holcomb, john/0000-0001-8312-9157; Johansson, Par Ingemar/0000-0001-9778-5964</t>
  </si>
  <si>
    <t>10.1097/SHK.0000000000001149</t>
  </si>
  <si>
    <t>WOS:000462688400007</t>
  </si>
  <si>
    <t>Melnik, BC</t>
  </si>
  <si>
    <t>Melnik, Bodo C.</t>
  </si>
  <si>
    <t>Milk disrupts p53 and DNMT1, the guardians of the genome: implications for acne vulgaris and prostate cancer</t>
  </si>
  <si>
    <t>NUTRITION &amp; METABOLISM</t>
  </si>
  <si>
    <t>Acne vulgaris; Cancer; Chromatin; DNA methyltransferase 1; Exosome; Gene expression; Milk; miRNAs; p53; Prostate cancer</t>
  </si>
  <si>
    <t>GROWTH-FACTOR-I; EARLY-LIFE NUTRITION; ANDROGEN RECEPTOR; COWS MILK; BREAST-MILK; DNA METHYLTRANSFERASE-1; EXTRACELLULAR VESICLES; BINDING PROTEIN-3; MAMMALIAN TARGET; GENE-EXPRESSION</t>
  </si>
  <si>
    <t>There is accumulating evidence that milk shapes the postnatal metabolic environment of the newborn infant. Based on translational research, this perspective article provides a novel mechanistic link between milk intake and milk miRNA-regulated gene expression of the transcription factor p53 and DNA methyltransferase 1 (DNMT1), two guardians of the human genome, that control transcriptional activity, cell survival, and apoptosis. Major miRNAs of milk, especially miRNA-125b, directly target TP53 and complex p53-dependent gene regulatory networks. TP53 regulates the expression of key genes involved in cell homeostasis such as FOXO1, PTEN, SESN1, SESN2, AR, IGF1R, BAK1, BIRC5, and TNFSF10. Nuclear interaction of p53 with DNMT1 controls gene silencing. The most abundant miRNA of milk and milk fat, miRNA-148a, directly targets DNMT1. Reduced DNMT1 expression further attenuates the activity of histone deacetylase 1 (HDAC1) involved in the regulation of chromatin structure and access to transcription. The presented milk-mediated miRNA-p53-DNMT1 pathway exemplified at the promoter regulation of survivin (BIRC5) provides a novel explanation for the epidemiological association between milk consumption and acne vulgaris and prostate cancer. Notably, p53-and DNMT1-targeting miRNAs of bovine and human milk survive pasteurization and share identical seed sequences, which theoretically allows the interaction of bovine miRNAs with the human genome. Persistent intake of milk-derived miRNAs that attenuate p53-and DNMT1 signaling of the human milk consumer may thus present an overlooked risk factor promoting acne vulgaris, prostate cancer, and other p53/DNMT1-related Western diseases. Therefore, bioactive miRNAs of commercial milk should be eliminated from the human food chain.</t>
  </si>
  <si>
    <t>[Melnik, Bodo C.] Univ Osnabruck, Dept Dermatol Environm Med &amp; Hlth Theory, Finkenhugel 7A, D-49076 Osnabruck, Germany</t>
  </si>
  <si>
    <t>University Osnabruck</t>
  </si>
  <si>
    <t>1743-7075</t>
  </si>
  <si>
    <t>10.1186/s12986-017-0212-4</t>
  </si>
  <si>
    <t>WOS:000407718000001</t>
  </si>
  <si>
    <t>Mihalcea, CE; Morosanu, AM; Murarasu, D; Puiu, L; Cinca, S; Voinea, SC; Mirancea, N</t>
  </si>
  <si>
    <t>Mihalcea, Corina Elena; Morosanu, Ana-Maria; Murarasu, Daniela; Puiu, Liliana; Cinca, Sabin; Voinea, Silviu Cristian; Mirancea, Nicolae</t>
  </si>
  <si>
    <t>Particular molecular and ultrastructural aspects in invasive mammary carcinoma</t>
  </si>
  <si>
    <t>invasive mammary carcinoma; shedding membrane vesicles; telocytes; mutations in exons 9 and 20 of PIK3CA gene</t>
  </si>
  <si>
    <t>BREAST-CANCER; PIK3CA MUTATIONS; GENE-EXPRESSION; TRASTUZUMAB RESISTANCE; NUCLEAR-ORGANIZATION; TISSUE STRUCTURE; POOR-PROGNOSIS; PI3K PATHWAY; TUMOR STROMA; TELOCYTES</t>
  </si>
  <si>
    <t>Electron microscopic investigations of invasive mammary carcinoma tumors revealed that intercellular junctions, namely desmosomes are severely altered; some desmosomes became internalized. Tumor cells, especially by their invadopodia, generate and disseminate membrane vesicles, including exosomes, inside of peritumoral stroma. Telocytes, a new described interstitial/stromal cell phenotype, considered to play important roles in cell signaling, exhibited a reduced number of hetero-cellular contacts, which suggests a possible perturbation of tissular homeostasis modulation. Signaling PIK3/Akt pathway plays an important role both in carcinogenesis and in proliferation, differentiation, and cell survival. Alteration of this pathway has been observed in many human cancers, often involving an increase in the activity of PIK3CA, p110 alpha catalytic subunit of PI3K. Our study confirms the high prevalence of PIK3CA mutations in breast cancer. In accordance with the results of the largest previous studies, 87.5% of mutations detected by DNA direct sequencing were hot spot mutations, most of them located in the kinase domain. High percentage of mutations detected by high-resolution melting makes the assay an attractive choice for mutation scanning, especially, in samples with low percentage of tumor cell.</t>
  </si>
  <si>
    <t>[Mihalcea, Corina Elena; Murarasu, Daniela; Puiu, Liliana; Cinca, Sabin; Voinea, Silviu Cristian] Prof Dr Alexandru Trestioreanu Oncol Inst, Bucharest, Romania; [Morosanu, Ana-Maria; Mirancea, Nicolae] Inst Biol Bucharest Romanian Acad, Bucharest 060031, Romania</t>
  </si>
  <si>
    <t>Institute of Oncology Prof. Dr. Al Trestioreanu; Romanian Academy of Sciences</t>
  </si>
  <si>
    <t>Mirancea, N (corresponding author), Inst Biol Bucharest Romanian Acad, Dept Plant &amp; Anim Cytobiol, 296 Independentei Ave,POB 56-53, Bucharest 060031, Romania.</t>
  </si>
  <si>
    <t>Murarasu, Daniela/AAS-3943-2020; Mihalcea, Corina Elena/AAS-3941-2020; Morosanu, Ana-Maria/AAC-4008-2021</t>
  </si>
  <si>
    <t>WOS:000368382400016</t>
  </si>
  <si>
    <t>Adachi, K; Fukumorita, K; Araki, M; Zaima, N; Chiba, S; Kishimura, H; Saeki, H</t>
  </si>
  <si>
    <t>Adachi, Kohsuke; Fukumorita, Kana; Araki, Michihiro; Zaima, Nobuhiro; Chiba, Satoru; Kishimura, Hideki; Saeki, Hiroki</t>
  </si>
  <si>
    <t>Transcriptome Analysis of the Duodenum in Wistar Rats Fed a Trypsin Inhibitor Derived from Squid Viscera</t>
  </si>
  <si>
    <t>trypsin inhibitor; transcriptome; Wistar rat; duodenum; gene ontology</t>
  </si>
  <si>
    <t>SURFACTANT PROTEIN-D; EXTRACELLULAR CALCIUM; CHOLECYSTOKININ; KERATINOCYTES; CHYMOTRYPSIN; BIOLOGY; CELLS</t>
  </si>
  <si>
    <t>To investigate the effects of oral administration of a trypsin inhibitor (TI), normal Wistar rats were fed a TI derived from squid (Todarodes pacificus) for 10 weeks and gene expression profiles in the duodenum, pancreas, liver, and muscle were then analyzed using DNA microarrays. Although no significant changes could be observed in growth, food intake, tissue weight, or blood tests among the tissues tested, the duodenum showed the most remarkable changes in the global gene expression profile. Significant up-regulation of mRNAs encoding gastrin, gastrokine, cholecystokinin and somatostatin in the duodenum was validated by qPCR analysis. In gene ontology (GO) analysis of the up-regulated differentially expressed genes (DEGs), GO terms related to keratinization and innate mucosal defense were enriched (p &lt; 0.001) in the category of biological processes in addition to assumable terms such as regulation of secretion and response to nutrients, vesicle-mediated transport, and so forth. In the same analysis, calcium ion binding was listed at the deepest hierarchy in the category of molecular function. These results indicate that the duodenum responds to TI treatment by a wider range of physiological processes than previously assumed such as keratinocyte differentiation and innate mucosal defense, in which calcium plays a crucial role.</t>
  </si>
  <si>
    <t>[Adachi, Kohsuke] Kochi Univ, Lab Aquat Prod Utilizat, Grad Sch Agr, Nanko Ku, Kochi 7838502, Japan; [Adachi, Kohsuke; Chiba, Satoru] Nippon Suisan Kaisha Ltd, Cent Res Lab, Tokyo 1920906, Japan; [Fukumorita, Kana; Kishimura, Hideki; Saeki, Hiroki] Hokkaido Univ, Lab Marine Prod &amp; Food Sci, Res Fac Fisheries Sci, Sapporo, Hokkaido 0418611, Japan; [Araki, Michihiro] Kyoto Univ, Educ Unit Global Leaders, Sakyo Ku, Kyoto 6068501, Japan; [Zaima, Nobuhiro] Kinki Univ, Dept Appl Biol Chem, Grad Sch Agr, Nara 6318505, Japan</t>
  </si>
  <si>
    <t>Kochi University; Nippon Suisan Kaisha, Ltd.; Hokkaido University; Kyoto University; Kindai University (Kinki University)</t>
  </si>
  <si>
    <t>Adachi, K (corresponding author), Kochi Univ, Lab Aquat Prod Utilizat, Grad Sch Agr, Nanko Ku, Monobeotsu 200, Kochi 7838502, Japan.</t>
  </si>
  <si>
    <t>kohsukeadachi@kochi-u.ac.jp</t>
  </si>
  <si>
    <t>10.1021/jf2016754</t>
  </si>
  <si>
    <t>WOS:000294076600057</t>
  </si>
  <si>
    <t>Liu, BY; Zhang, RP; Zhu, YG; Hao, RS</t>
  </si>
  <si>
    <t>Liu, Boyang; Zhang, Ruiping; Zhu, Yungang; Hao, Ruisheng</t>
  </si>
  <si>
    <t>Exosome-derived microRNA-433 inhibits tumorigenesis through incremental infiltration of CD4 and CD8 cells in non-small cell lung cancer</t>
  </si>
  <si>
    <t>exosome; microRNA-433; transmembrane p24 trafficking protein 5; non-small cell lung cancer; T-cell infiltration; Wnt; beta-catenin</t>
  </si>
  <si>
    <t>DOWN-REGULATION; PROLIFERATION; INVASION; PROGRESSION; CARCINOMA; MIR-433; MIRNA; DEREGULATION; MIGRATION</t>
  </si>
  <si>
    <t>Tumor-derived exosomal microRNAs (miRNAs/miRs) serve a vital biological role in tumorigenesis and development, but the effects and underlying mechanisms remain unclear. To explore the impact of exosomal miR-433 in non-small cell lung cancer (NSCLC) and understand its mechanism of action in NSCLC progression, the present study isolated the exosomes from the plasma of patients with NSCLC after chemotherapy and found that miR-433 expression was lower in plasma of patients with resistant NSCLC compared with in plasma of patients with sensitive NSCLC and in normal serum. Additionally, miR-433 expression was markedly negatively associated with a large tumor size, distant metastasis, advanced TNM stage and a poor prognosis in patients with NSCLC. miR-433 inhibited tumor growth by blocking the cell cycle in vitro and in vivo, as well as by promoting apoptosis and T-cell infiltration in the tumor microenvironment. Additionally, miR-433 inhibited chemoresistance to cisplatin by regulating DNA damage. Moreover, miR-433 inactivated the WNT/beta-catenin signaling pathway by targeting transmembrane p24 trafficking protein 5 in NSCLC. Overall, the current findings may provide a potential prognostic biomarker and therapeutic target for patients with NSCLC.</t>
  </si>
  <si>
    <t>[Liu, Boyang; Hao, Ruisheng] Tianjin Med Univ Canc Inst &amp; Hosp, Key Lab Canc Prevent &amp; Therapy, Tianjins Clin Res Ctr Canc, Natl Clin Res Ctr Canc,Dept Radiat, 5 Huanhu West Rd, Tianjin 300060, Peoples R China; [Zhang, Ruiping] Tianjin Med Univ Canc Inst &amp; Hosp, Key Lab Canc Prevent &amp; Therapy, Tianjins Clin Res Ctr Canc, Natl Clin Res Ctr Canc,Dept Radiat Oncol, Tianjin 300060, Peoples R China; [Zhu, Yungang] Tianjin Teda Hosp, Dept Radiat Oncol, Tianjin 300457, Peoples R China</t>
  </si>
  <si>
    <t>Tianjin Medical University; Tianjin Medical University</t>
  </si>
  <si>
    <t>Liu, BY (corresponding author), Tianjin Med Univ Canc Inst &amp; Hosp, Key Lab Canc Prevent &amp; Therapy, Tianjins Clin Res Ctr Canc, Natl Clin Res Ctr Canc,Dept Radiat, 5 Huanhu West Rd, Tianjin 300060, Peoples R China.</t>
  </si>
  <si>
    <t>boyang_tjtumor@163.com</t>
  </si>
  <si>
    <t>10.3892/ol.2021.12868</t>
  </si>
  <si>
    <t>WOS:000667259000001</t>
  </si>
  <si>
    <t>Iwano, M; Igarashi, M; Tarutani, Y; Kaothien-Nakayama, P; Nakayama, H; Moriyama, H; Yakabe, R; Entani, T; Shimosato-Asano, H; Ueki, M; Tamiya, G; Takayama, S</t>
  </si>
  <si>
    <t>Iwano, Megumi; Igarashi, Motoko; Tarutani, Yoshiaki; Kaothien-Nakayama, Pulla; Nakayama, Hideki; Moriyama, Hideki; Yakabe, Ryo; Entani, Tetsuyuki; Shimosato-Asano, Hiroko; Ueki, Masao; Tamiya, Gen; Takayama, Seiji</t>
  </si>
  <si>
    <t>A Pollen Coat-Inducible Autoinhibited Ca2+-ATPase Expressed in Stigmatic Papilla Cells Is Required for Compatible Pollination in the Brassicaceae</t>
  </si>
  <si>
    <t>PLANT CELL</t>
  </si>
  <si>
    <t>EXTRACELLULAR CALCIUM INFLUX; SELF-INCOMPATIBILITY; TUBE GROWTH; SIGNALING NETWORKS; PROTEIN; IDENTIFICATION; COMPONENTS; ION; BIOSYNTHESIS; GERMINATION</t>
  </si>
  <si>
    <t>In the Brassicaceae, intraspecific non-self pollen (compatible pollen) can germinate and grow into stigmatic papilla cells, while self-pollen or interspecific pollen is rejected at this stage. However, the mechanisms underlying this selective acceptance of compatible pollen remain unclear. Here, using a cell-impermeant calcium indicator, we showed that the compatible pollen coat contains signaling molecules that stimulate Ca2+ export from the papilla cells. Transcriptome analyses of stigmas suggested that autoinhibited Ca2+-ATPase13 (ACA13) was induced after both compatible pollination and compatible pollen coat treatment. A complementation test using a yeast Saccharomyces cerevisiae strain lacking major Ca2+ transport systems suggested that ACA13 indeed functions as an autoinhibited Ca2+ transporter. ACA13 transcription increased in papilla cells and in transmitting tracts after pollination. ACA13 protein localized to the plasma membrane and to vesicles near the Golgi body and accumulated at the pollen tube penetration site after pollination. The stigma of a T-DNA insertion line of ACA13 exhibited reduced Ca2+ export, as well as defects in compatible pollen germination and seed production. These findings suggest that stigmatic ACA13 functions in the export of Ca2+ to the compatible pollen tube, which promotes successful fertilization.</t>
  </si>
  <si>
    <t>[Iwano, Megumi; Igarashi, Motoko; Kaothien-Nakayama, Pulla; Moriyama, Hideki; Yakabe, Ryo; Entani, Tetsuyuki; Shimosato-Asano, Hiroko; Takayama, Seiji] Nara Inst Sci &amp; Technol, Grad Sch Biol Sci, Nara 6300192, Japan; [Tarutani, Yoshiaki] Natl Inst Genet, Div Agr Genet, Dept Integrated Genet, Mishima, Shizuoka 4118540, Japan; [Nakayama, Hideki] Nagasaki Univ, Instutute Environm Studies, Grad Sch Fisheries Sci &amp; Environm Studies, Nagasaki 8528521, Japan; [Ueki, Masao; Tamiya, Gen] Tohoku Univ, Grad Sch Med, Tohoku Med Megabank Org, Sendai, Miyagi 9808573, Japan</t>
  </si>
  <si>
    <t>Nara Institute of Science &amp; Technology; Research Organization of Information &amp; Systems (ROIS); National Institute of Genetics (NIG) - Japan; Nagasaki University; Tohoku University</t>
  </si>
  <si>
    <t>Iwano, M (corresponding author), Nara Inst Sci &amp; Technol, Grad Sch Biol Sci, Nara 6300192, Japan.</t>
  </si>
  <si>
    <t>m-iwano@bs.naist.jp</t>
  </si>
  <si>
    <t>Nakayama, Hideki/N-8302-2019; NAKAYAMA, Hideki/G-7180-2011</t>
  </si>
  <si>
    <t>Nakayama, Hideki/0000-0001-7590-5320; NAKAYAMA, Hideki/0000-0001-7590-5320; Tamiya, Gen/0000-0002-0597-415X; Kaothien-Nakayama, Pulla/0000-0002-1508-2083</t>
  </si>
  <si>
    <t>1040-4651</t>
  </si>
  <si>
    <t>1531-298X</t>
  </si>
  <si>
    <t>10.1105/tpc.113.121350</t>
  </si>
  <si>
    <t>Biochemistry &amp; Molecular Biology; Plant Sciences; Cell Biology</t>
  </si>
  <si>
    <t>WOS:000333688300011</t>
  </si>
  <si>
    <t>Resuscitation of a dead cardiomyocyte</t>
  </si>
  <si>
    <t>Resuscitation; Cardiomyocytes; Calpains; Ubiquitin; Proteases; Homocysteine</t>
  </si>
  <si>
    <t>MATRIX METALLOPROTEINASES; INDUCED APOPTOSIS; DNA METHYLATION; HEART-FAILURE; STEM-CELLS; CALPAIN; ACTIVATION; PROTEASOME; CALCINEURIN; TITIN</t>
  </si>
  <si>
    <t>Although cardiac resuscitation can revive the whole body, the mechanisms are unclear. To this end, we propose that reviving a dead/dysfunctional cardiomyocyte will shed light on resuscitation mechanisms and pave the way to treat cardiac myopathies. The degradation of the myocyte cytoskeleton by the proteasome system which involves calpains, ubiquitin, caspases and matrix metalloproteases is the main focus of this review. The activation of calpains beyond the calpastatin-mediated inhibition due to extensive calcium harbor can lead to titin degradation, damage to the sarcomere and contractile dysfunction. The ubiquitin proteasome system can disturb the protein homeostasis within the cell and generate a dysfunctional myocyte. The matrix metalloproteases disrupt the collagen/elastin ratio and connexins to generate arrhythmias. The concept of cardiac resuscitation stems from protecting the myocyte cytoskeleton and keeping the protein homeostasis intact through management of the degradation machinery. In this regard, proteasome inhibitors for the degradation machinery have an elegant space. Recently exosomes have been identified potentially, as carriers of microRNAs or proteins that can modify the target cells. Exosomes loaded with the inhibitor cargo which comprises microRNAs, siRNAs or proteins to inhibit the degradation machinery can be a method of choice for cardiac resuscitation-a process difficult to execute.</t>
  </si>
  <si>
    <t>[Kunkel, George H.; Chaturvedi, Pankaj; Tyagi, Suresh C.] Univ Louisville, Sch Med, Dept Physiol &amp; Biophys, Hlth Sci Ctr, Louisville, KY 40202 USA</t>
  </si>
  <si>
    <t>Chaturvedi, P (corresponding author), Univ Louisville, Sch Med, Dept Physiol &amp; Biophys, Hlth Sci Ctr, A-1216,500 South Preston St, Louisville, KY 40202 USA.</t>
  </si>
  <si>
    <t>10.1007/s10741-015-9501-z</t>
  </si>
  <si>
    <t>WOS:000363056600006</t>
  </si>
  <si>
    <t>McCarthy, CB; Theilmann, DA</t>
  </si>
  <si>
    <t>McCarthy, Christina B.; Theilmann, David A.</t>
  </si>
  <si>
    <t>AcMNPV ac143 (odv-e18) is essential for mediating budded virus production and is the 30th baculovirus core gene</t>
  </si>
  <si>
    <t>ac143 (odv-e18); ac142; core gene; cluster; BV; ODV</t>
  </si>
  <si>
    <t>NUCLEAR POLYHEDROSIS-VIRUS; OPEN READING FRAME; ESCHERICHIA-COLI; MULTICAPSID NUCLEOPOLYHEDROVIRUS; NEODIPRION-SERTIFER; SEQUENCE-ANALYSIS; GENOME SEQUENCE; PROTEIN; IDENTIFICATION; INFECTION</t>
  </si>
  <si>
    <t>Autographa californica multiple nucleopolyhedrovirus (AcMNPV) ac143 (odv-e18) is a late gene that encodes for a predicted 9.6 kDa structural protein that locates to the occlusion derived viral envelope and viral induced intranuclear microvesicles [Braunagel, S.C., He, H., Rarnamurthy, P., and Summers, M.D. (1996). Transcription, translation, and cellular localization of three Autographa californica nuclear polyhedrosis virus structural proteins: ODV-EI8, ODV-E35, and ODV-EC27. Virology 222, 100-114.]. In this study we demonstrate that ac143 is actually a previously unrecognized core gene and that it is essential for mediating budded virus production. To examine the role of ac143 in the baculovirus life cycle, we used the AcMNPV bacmid system to generate an ae143 knockout (KO) virus (AcBAC(ac142REP-ac143KO)). Fluorescence and light microscopy showed that infection by AcBAC(ac142REP-ac143KO) is limited to a single cell and titration assays confirmed that AcBAC(ac142REP-ac143KO) was unable to produce budded virus (BV). Progression to very late phases of the viral infection was evidenced by the development of occlusion bodies in the nuclei of transfected cells. This correlated with the fact that viral DNA replication was unaffected in AcBAC(ac142REP-143KO) transfected cells. The entire ac143 promoter, which includes three late promoter motifs, is contained within the ac142 open reading frame. Different deletion mutants of this region showed that the integrity of the ac142-ac143 core gene cluster was required for the bacmids to display wild-type patterns of viral replication, BV production and RNA transcription. Crown Copyright (c) 2008 Published by Elsevier Inc. All rights reserved.</t>
  </si>
  <si>
    <t>[McCarthy, Christina B.; Theilmann, David A.] Agr &amp; Agri Food Canada, Pacific Agri Food Res Ctr, Summerland, BC V0H 1Z0, Canada</t>
  </si>
  <si>
    <t>Agriculture &amp; Agri Food Canada</t>
  </si>
  <si>
    <t>Theilmann, DA (corresponding author), Agr &amp; Agri Food Canada, Pacific Agri Food Res Ctr, Box 5000, Summerland, BC V0H 1Z0, Canada.</t>
  </si>
  <si>
    <t>TheilmannD@agr.gc.ca</t>
  </si>
  <si>
    <t>Theilmann, David A/N-6024-2017</t>
  </si>
  <si>
    <t>Theilmann, David A/0000-0002-4910-3057; McCarthy, Christina Beryl/0000-0001-9725-5285</t>
  </si>
  <si>
    <t>10.1016/j.virol.2008.01.039</t>
  </si>
  <si>
    <t>WOS:000255901500026</t>
  </si>
  <si>
    <t>Haanen, C; Vermes, I</t>
  </si>
  <si>
    <t>Apoptosis: Programmed cell death in fetal development</t>
  </si>
  <si>
    <t>EUROPEAN JOURNAL OF OBSTETRICS &amp; GYNECOLOGY AND REPRODUCTIVE BIOLOGY</t>
  </si>
  <si>
    <t>embryogenesis; congenital malformations; follicle atresia; programmed cell death; apoptosis</t>
  </si>
  <si>
    <t>CAENORHABDITIS-ELEGANS; HYPOTHESIS; EXPRESSION</t>
  </si>
  <si>
    <t>Controlled death of cells is as much a part of embryonal development as is cell proliferation and differentiation. This cell suicide is controlled by cell genes involved in induction or prevention of programmed cell death (PCD). During embryogenesis PCD implicates cell elimination, necessary in fashioning of the body, moulding of tissues. PCD is often used synonymous with the designation apoptosis, which indicates an endogenous cell suicide program by which useless or crippled cells are eliminated. Apoptosis occurs in normal tissue turnover, in organ involution after withdrawal of trophic hormones, in distinct cells after deprivation of growth factors or specific stimuli and in cells which have undergone sublethal damage. During PCD the nucleus breaks up into DNA fragments of 180-200 kD and the endoplasmic reticulum transforms into vesicles, which are released as apoptotic bodies into the extracellular space. The apoptotic bodies, containing cell organelles and nuclear fragments, are phagocytosed by neighboring cells. Electron micrographs of embryos have revealed the presence of numerous cells with the characteristic features of apoptosis. Experiments, in which small tissue fragments were explanted to other regions, have proven that focal apoptosis is under control of genetic, hormonal and local tissue factors. Morphological analysis has shown that most of the ovarian follicles undergo during development apoptosis, resulting in follicle atresia. Only a small proportion escapes PCD. Growth factors and estrogens have been identified as follicle survival factors, androgens and gonadotropin releasing hormones are potentiating apoptosis of the follicle. An exaggerated PCD or a defective apoptosis during embryogenesis may cause developmental abnormalities. Certain viruses can inhibit apoptosis. while metabolic stress or damage of cell structures can induce apoptosis. Therefore not only viral infections, also drugs and chemical or physical injuries during embryogenesis may interfere with the balanced PCD and thus induce malformations. Drugs and therapy designs directed to modulate the apoptotic process will offer new approaches to the prevention of congenital malformations.</t>
  </si>
  <si>
    <t>MED SPECTRUM TWENTE, DEPT CLIN CHEM, 7500 KA ENSCHEDE, NETHERLANDS</t>
  </si>
  <si>
    <t>Medical Spectrum Twente</t>
  </si>
  <si>
    <t>0301-2115</t>
  </si>
  <si>
    <t>1872-7654</t>
  </si>
  <si>
    <t>10.1016/0301-2115(95)02261-9</t>
  </si>
  <si>
    <t>WOS:A1996TX23900024</t>
  </si>
  <si>
    <t>Simoncini, S; Chateau, AL; Robert, S; Todorova, D; Yzydorzick, C; Lacroix, R; Ligi, I; Louis, L; Bachelier, R; Simeoni, U; Magdinier, F; Dignat-George, F; Sabatier, F</t>
  </si>
  <si>
    <t>Simoncini, Stephanie; Chateau, Anne-Line; Robert, Stephane; Todorova, Dilyana; Yzydorzick, Catherine; Lacroix, Romaric; Ligi, Isabelle; Louis, Laurence; Bachelier, Richard; Simeoni, Umberto; Magdinier, Frederique; Dignat-George, Francoise; Sabatier, Florence</t>
  </si>
  <si>
    <t>Biogenesis of Pro-senescent Microparticles by Endothelial Colony Forming Cells from Premature Neonates is driven by SIRT1-Dependent Epigenetic Regulation of MKK6</t>
  </si>
  <si>
    <t>ACTIVATED PROTEIN-KINASE; DNA-DAMAGE RESPONSE; P38 MAP KINASE; PROGENITOR CELLS; SECRETORY PHENOTYPE; GENE-EXPRESSION; FLOW-CYTOMETRY; PRETERM BIRTH; IN-VITRO; MECHANISM</t>
  </si>
  <si>
    <t>Senescent cells may exert detrimental effect on microenvironment through the secretion of soluble factors and the release of extracellular vesicles, such as microparticles, key actors in ageing and cardiovascular diseases. We previously reported that sirtuin-1 (SIRT1) deficiency drives accelerated senescence and dysfunction of endothelial colony-forming cells (ECFC) in PT neonates. Because preterm birth (PT) increases the risk for cardiovascular diseases during neonatal period as well as at adulthood, we hypothesized that SIRT1 deficiency could control the biogenesis of microparticles as part of a senescence-associated secretory phenotype (SASP) of PT-ECFC and investigated the related molecular mechanisms. Compared to control ECFC, PT-ECFC displayed a SASP associated with increased release of endothelial microparticles (EMP), mediating a paracrine induction of senescence in naive endothelial cells. SIRT1 level inversely correlated with EMP release and drives PT-ECFC vesiculation. Global transcriptomic analysis revealed changes in stress response pathways, specifically the MAPK pathway. We delineate a new epigenetic mechanism by which SIRT1 deficiency regulates MKK6/p38MAPK/Hsp27 pathway to promote EMP biogenesis in senescent ECFC. These findings deepen our understanding of the role of ECFC senescence in the disruption of endothelial homeostasis and provide potential new targets towards the control of cardiovascular risk in individuals born preterm.</t>
  </si>
  <si>
    <t>[Simoncini, Stephanie; Chateau, Anne-Line; Robert, Stephane; Todorova, Dilyana; Lacroix, Romaric; Bachelier, Richard; Dignat-George, Francoise; Sabatier, Florence] Aix Marseille Univ, INSERM, VRCM, Marseille, France; [Yzydorzick, Catherine; Simeoni, Umberto] Univ Lausanne, Serv Pediat, CHUV, CH-1011 Lausanne, Suisse, Switzerland; [Ligi, Isabelle] CHU Conception, APHM, Dept Neonatol, Marseille, France; [Louis, Laurence; Magdinier, Frederique] Aix Marseille Univ, INSERM, GMGF, Marseille, France; [Dignat-George, Francoise] CHU Conception, APHM, Serv Hematol, Marseille, France; [Chateau, Anne-Line; Sabatier, Florence] CHU Conception, APHM, INSERM, Lab Culture &amp; Therapie Cellulaire,CBT 1409, Marseille, France</t>
  </si>
  <si>
    <t>Institut National de la Sante et de la Recherche Medicale (Inserm); UDICE-French Research Universities; Aix-Marseille Universite; University of Lausanne; Centre Hospitalier Universitaire Vaudois (CHUV); UDICE-French Research Universities; Aix-Marseille Universite; Assistance Publique-Hopitaux de Marseille; Institut National de la Sante et de la Recherche Medicale (Inserm); UDICE-French Research Universities; Aix-Marseille Universite; UDICE-French Research Universities; Aix-Marseille Universite; Assistance Publique-Hopitaux de Marseille; Institut National de la Sante et de la Recherche Medicale (Inserm); UDICE-French Research Universities; Aix-Marseille Universite; Assistance Publique-Hopitaux de Marseille</t>
  </si>
  <si>
    <t>Sabatier, F (corresponding author), Aix Marseille Univ, INSERM, VRCM, Marseille, France.;Sabatier, F (corresponding author), CHU Conception, APHM, INSERM, Lab Culture &amp; Therapie Cellulaire,CBT 1409, Marseille, France.</t>
  </si>
  <si>
    <t>francoise.dignat-george@univ-amu.fr</t>
  </si>
  <si>
    <t>SIMEONI, Umberto/AAQ-1870-2021; Magdinier, Frederique/I-4735-2016; Lacroix, Romaric/AAK-7204-2020; , lacroix/R-1282-2016; DIGNAT-GEORGE, Françoise/R-1129-2016</t>
  </si>
  <si>
    <t>SIMEONI, Umberto/0000-0003-0730-9337; Magdinier, Frederique/0000-0002-0159-9559; Lacroix, Romaric/0000-0002-5756-470X; , lacroix/0000-0002-5756-470X; DIGNAT-GEORGE, Françoise/0000-0001-7006-4462</t>
  </si>
  <si>
    <t>10.1038/s41598-017-08883-1</t>
  </si>
  <si>
    <t>WOS:000407570000154</t>
  </si>
  <si>
    <t>Jiang, L; Paone, S; Caruso, S; Atkin-Smith, GK; Phan, TK; Hulett, MD; Poon, IKH</t>
  </si>
  <si>
    <t>Jiang, Lanzhou; Paone, Stephanie; Caruso, Sarah; Atkin-Smith, Georgia K.; Thanh Kha Phan; Hulett, Mark D.; Poon, Ivan K. H.</t>
  </si>
  <si>
    <t>Determining the contents and cell origins of apoptotic bodies by flow cytometry</t>
  </si>
  <si>
    <t>EXTRACELLULAR VESICLES; FRAGMENTATION; ACTIVATION; MECHANISM; KINASE; DEATH; ROCK; DNA; RHO</t>
  </si>
  <si>
    <t>Over 200 billion cells undergo apoptosis every day in the human body in order to maintain tissue homeostasis. Increased apoptosis can also occur under pathological conditions including infection and autoimmune disease. During apoptosis, cells can fragment into subcellular membrane-bound vesicles known as apoptotic bodies (ApoBDs). We recently developed a flow cytometry-based method to accurately differentiate ApoBDs from other particles (e.g. cells and debris). In the present study, we aim to further characterize subsets of ApoBDs based on intracellular contents and cell type-specific surface markers. Utilizing a flow cytometry-based approach, we demonstrated that intracellular contents including nuclear materials and mitochondria are distributed to some, but not all ApoBDs. Interestingly, the mechanism of ApoBD formation could affect the distribution of intracellular contents into ApoBDs. Furthermore, we also showed that ApoBDs share the same surface markers as their cell of origin, which can be used to distinguish cell type-specific ApoBDs from a mixed culture. These studies demonstrate that ApoBDs are not homogeneous and can be divided into specific subclasses based on intracellular contents and cell surface markers. The described flow cytometry-based method to study ApoBDs could be used in future studies to better understand the function of ApoBDs.</t>
  </si>
  <si>
    <t>[Jiang, Lanzhou; Paone, Stephanie; Caruso, Sarah; Atkin-Smith, Georgia K.; Thanh Kha Phan; Hulett, Mark D.; Poon, Ivan K. H.] La Trobe Univ, Dept Biochem &amp; Genet, La Trobe Inst Mol Sci, Bundoora, Vic 3086, Australia</t>
  </si>
  <si>
    <t>La Trobe University</t>
  </si>
  <si>
    <t>Poon, IKH (corresponding author), La Trobe Univ, Dept Biochem &amp; Genet, La Trobe Inst Mol Sci, Bundoora, Vic 3086, Australia.</t>
  </si>
  <si>
    <t>I.Poon@latrobe.edu.au</t>
  </si>
  <si>
    <t>Phan, Thanh Kha/AAD-4969-2019</t>
  </si>
  <si>
    <t>Hulett, Mark/0000-0003-2072-5968; Phan, Thanh Kha/0000-0001-5802-1603; Poon, Ivan/0000-0002-9119-7173</t>
  </si>
  <si>
    <t>OCT 31</t>
  </si>
  <si>
    <t>10.1038/s41598-017-14305-z</t>
  </si>
  <si>
    <t>WOS:000414231000045</t>
  </si>
  <si>
    <t>Kim, D; Kim, TH; Wu, G; Park, BK; Ha, JH; Kim, YS; Lee, K; Lee, Y; Kwon, HJ</t>
  </si>
  <si>
    <t>Kim, Dongbum; Kim, Te Ha; Wu, Guang; Park, Byoung Kwon; Ha, Ji-Hee; Kim, Yong-Sung; Lee, Keunwook; Lee, Younghee; Kwon, Hyung-Joo</t>
  </si>
  <si>
    <t>Extracellular Release of CD11b by TLR9 Stimulation in Macrophages</t>
  </si>
  <si>
    <t>CPG-DNA STIMULATION; BACTERIAL-DNA; GENE-EXPRESSION; IMMUNE CELLS; ACTIVATION; OLIGODEOXYNUCLEOTIDE; EXOSOMES; MOTIFS; ANTIBODY</t>
  </si>
  <si>
    <t>CpG-DNA upregulates the expression of pro-inflammatory cytokines, chemokines and cell surface markers. Investigators have shown that CD11b (integrin alpha M) regulates TLR-triggered inflammatory responses in the macrophages and dendritic cells. Therefore, we aimed to identify the effects of CpG-DNA on the expression of CD11b in macrophages. There was no significant change in surface expression of CD11b after CpG-DNA stimulation. However, CD11b was released into culture supernatants after stimulation with phosphorothioate-backbone modified CpG-DNA such as PS-ODN CpG-DNA 1826(S). In contrast, MB-ODN 4531 and non-CpG-DNA control (regardless of backbone type and liposome-encapsulation) failed to induce release of CD11b. Therefore, the context of the CpG-DNA sequence and phosphorothioate backbone modification may regulate the effects of CpG-DNA on CD11b release. Based on inhibitor studies, CD11b release is mediated by p38 MAP kinase activation, but not by the PI3K and NF-kappa B activation. CD11b release is mediated by lysosomal degradation and by vacuolar acidification in response to CpG-DNA stimulation. The amount of CD11b in the exosome precipitant was significantly increased by CpG-DNA stimulation in vivo and in vitro depending on TLR9. Our observations perhaps give more insight into understanding of the mechanisms involved in CpG-DNA-induced immunomodulation in the innate immunity.</t>
  </si>
  <si>
    <t>[Kim, Dongbum; Wu, Guang; Park, Byoung Kwon; Kwon, Hyung-Joo] Hallym Univ, Coll Med, Ctr Med Sci Res, Chunchon, South Korea; [Kim, Te Ha; Kwon, Hyung-Joo] Hallym Univ, Dept Microbiol, Coll Med, Chunchon, South Korea; [Ha, Ji-Hee; Kim, Yong-Sung] Ajou Univ, Dept Mol Sci &amp; Technol, Suwon 441749, South Korea; [Lee, Keunwook] Hallym Univ, Coll Nat Sci, Dept Biomed Sci, Chunchon, South Korea; [Lee, Younghee] Chungbuk Natl Univ, Coll Nat Sci, Dept Biochem, Cheongju, South Korea</t>
  </si>
  <si>
    <t>Hallym University; Hallym University; Ajou University; Hallym University; Chungbuk National University</t>
  </si>
  <si>
    <t>Kwon, HJ (corresponding author), Hallym Univ, Coll Med, Ctr Med Sci Res, Chunchon, South Korea.;Kwon, HJ (corresponding author), Hallym Univ, Dept Microbiol, Coll Med, Chunchon, South Korea.</t>
  </si>
  <si>
    <t>hjookwon@hallym.ac.kr</t>
  </si>
  <si>
    <t>Kim, Yong-Sung/0000-0003-2673-1509</t>
  </si>
  <si>
    <t>e0150677</t>
  </si>
  <si>
    <t>10.1371/journal.pone.0150677</t>
  </si>
  <si>
    <t>WOS:000371991300041</t>
  </si>
  <si>
    <t>Cheng, R; Feng, F; Meng, FH; Deng, C; Feijen, J; Zhong, ZY</t>
  </si>
  <si>
    <t>Cheng, Ru; Feng, Fang; Meng, Fenghua; Deng, Chao; Feijen, Jan; Zhong, Zhiyuan</t>
  </si>
  <si>
    <t>Glutathione-responsive nano-vehicles as a promising platform for targeted intracellular drug and gene delivery</t>
  </si>
  <si>
    <t>Disulfide; Reduction; Glutathione-responsive; Intracellular drug delivery; Gene delivery; Cancer therapy</t>
  </si>
  <si>
    <t>CROSS-LINKED MICELLES; BLOCK-COPOLYMER MICELLES; DISULFIDE LINKAGES; POLYMERIC MICELLES; REDUCTION; CAPSULES; RELEASE; NANOPARTICLES; CARRIERS; VESICLES</t>
  </si>
  <si>
    <t>The past couple of years have witnessed a tremendous progress in the development of glutathione-responsive nano-vehicles for targeted intracellular drug and gene delivery, as driven by the facts that (i) many therapeutics (e.g. anti-cancer drugs, photosensitizers, and anti-oxidants) and biotherapeutics (e.g. peptide and protein drugs, and siRNA) exert therapeutical effects only inside cells like the cytosol and cell nucleus, and (ii) several intracellular compartments such as cytosol, mitochondria, and cell nucleus contain a high concentration of glutathione (GSH) tripeptides (about 2-10 mM), which is 100 to 1000 times higher than that in the extracellular fluids and circulation (about 2-20 mu M). Glutathione has been recognized as an ideal and ubiquitous internal stimulus for rapid destabilization of nano-carriers inside cells to accomplish efficient intracellular drug release. In this paper, we will review recent results on GSH-responsive nano-vehicles in particular micelles, nanoparticles, capsules, polymersomes, nanogels, dendritic and macromolecular drug conjugates, and nano-sized nucleic acid complexes for controlled delivery of anti-cancer drugs (e.g. doxorubicin and paclitaxel), photosensitizers, anti-oxidants, peptides, protein drugs, and nucleic acids (e.g. DNA, siRNA, and antisense oligodeoxynucleotide). The unique disulfide chemistry has enabled novel and versatile designs of multifunctional delivery systems addressing both intracellular and extracellular barriers. We are convinced that GSH-responsive nano-carrier systems have enormous potential in targeted cancer therapy. (C) 2011 Elsevier B.V. All rights reserved.</t>
  </si>
  <si>
    <t>[Zhong, Zhiyuan] Soochow Univ, Biomed Polymers Lab, Suzhou 215123, Peoples R China; Soochow Univ, Jiangsu Key Lab Adv Funct Polymer Design &amp; Applic, Coll Chem Chem Engn &amp; Mat Sci, Suzhou 215123, Peoples R China</t>
  </si>
  <si>
    <t>Zhong, ZY (corresponding author), Soochow Univ, Biomed Polymers Lab, Suzhou 215123, Peoples R China.</t>
  </si>
  <si>
    <t>zyzhong@suda.edu.cn</t>
  </si>
  <si>
    <t>Zhong, Zhiyuan/U-4589-2019; Zhong, Zhiyuan/D-8508-2011; Meng, Fenghua/ABF-6135-2020; Cheng, Ru/X-4322-2018</t>
  </si>
  <si>
    <t>Zhong, Zhiyuan/0000-0003-4175-4741; Zhong, Zhiyuan/0000-0003-4175-4741; Cheng, Ru/0000-0002-0879-5069</t>
  </si>
  <si>
    <t>10.1016/j.jconrel.2011.01.030</t>
  </si>
  <si>
    <t>WOS:000292718200002</t>
  </si>
  <si>
    <t>Kim, YJ; Cho, YH; Min, J; Han, SW</t>
  </si>
  <si>
    <t>Kim, Young Jun; Cho, Young-Ho; Min, Junhong; Han, Sae-Won</t>
  </si>
  <si>
    <t>Circulating Tumor Marker Isolation with the Chemically Stable and Instantly Degradable (CSID) Hydrogel ImmunoSpheres</t>
  </si>
  <si>
    <t>METASTATIC BREAST-CANCER; EXTRACELLULAR VESICLES; COLORECTAL-CANCER; EXOSOME ISOLATION; BRAF MUTATIONS; LIQUID BIOPSY; CELLS; RELEASE; DNA; CAPTURE</t>
  </si>
  <si>
    <t>Here, we present chemically stable and instantly degradable (CSID) hydrogel immunospheres for the isolation of circulating tumor cells (CTCs) and circulating tumor exosomes (CTXs). The CSID hydrogels, which are prepared by the hybridization of alginate and poly(vinyl alcohol), show an equilibrium swelling ratio (ESR) of at pH 7, with a highly stable pH-responsive property. The present hybrid hydrogel is not easily disassociated in the biological buffers, thus being suitable for use in liquid biopsy, requiring a multistep, long-term incubation process with biological samples. Also, it is gradually degraded by the action of chelating agents; effortless retrieval of the circulating markers has been achieved. Then, we modified the CSID hydrogel spheres with the anti-EpCAM antibody (C-CSID ImmunoSpheres) and the anti-CD63 antibody (E-CSID ImmunoSpheres) to isolate two promising circulating markers in liquid biopsy: CTCs and CTXs. The immunospheres' capabilities for marker isolation and retrieval were confirmed by a fluorescence image, where the spheres successfully isolate and effortlessly retrieve the target circulating markers. Lastly, we applied the CSID hydrogel immunospheres to five blood samples from colorectal cancer patients and retrieved average 10.8 +/- 5.9 CTCs/mL and average 96.5 X 10(6) CTXs/mL. The present CSID hydrogel immunospheres represent a simple, versatile, and time-efficient assay platform for liquid biopsy in the practical setting, enabling us to gain a better understanding of disease-related circulating markers.</t>
  </si>
  <si>
    <t>[Kim, Young Jun; Cho, Young-Ho] Korea Adv Inst Sci &amp; Technol KAIST, Cell Bench Res Ctr, Daejeon 34141, South Korea; [Min, Junhong] Chung Ang Univ, Sch Integrat Engn, Seoul 06974, South Korea; [Han, Sae-Won] Seoul Natl Univ Hosp, Dept Internal Med, Seoul 03080, South Korea</t>
  </si>
  <si>
    <t>Korea Advanced Institute of Science &amp; Technology (KAIST); Chung Ang University; Seoul National University (SNU); Seoul National University Hospital</t>
  </si>
  <si>
    <t>Cho, YH (corresponding author), Korea Adv Inst Sci &amp; Technol KAIST, Cell Bench Res Ctr, Daejeon 34141, South Korea.</t>
  </si>
  <si>
    <t>Min, Junhong/N-9571-2013</t>
  </si>
  <si>
    <t>Min, Junhong/0000-0001-9410-8204; Kim, Young Jun/0000-0001-7274-8411</t>
  </si>
  <si>
    <t>JAN 19</t>
  </si>
  <si>
    <t>10.1021/acs.analchem.0c04152</t>
  </si>
  <si>
    <t>WOS:000612336200056</t>
  </si>
  <si>
    <t>Yang, YJ; Cai, Y; Wu, GZ; Chen, XJ; Liu, YK; Wang, XQ; Yu, JY; Li, CW; Chen, XW; Jose, PA; Zhou, L; Zeng, CY</t>
  </si>
  <si>
    <t>Yang, Yujia; Cai, Yue; Wu, Gengze; Chen, Xinjian; Liu, Yukai; Wang, Xinquan; Yu, Junyi; Li, Chuanwei; Chen, Xiongwen; Jose, Pedro A.; Zhou, Lin; Zeng, Chunyu</t>
  </si>
  <si>
    <t>Plasma long non-coding RNA, CoroMarker, a novel biomarker for diagnosis of coronary artery disease</t>
  </si>
  <si>
    <t>cardiac biomarkers; circulating lncRNA; coronary artery disease; diagnosis; long non-coding RNA</t>
  </si>
  <si>
    <t>HEART; IDENTIFICATION; EXPRESSION; ASSOCIATION; MECHANISMS; PROTEINS; REVEALS; CANCER; RISK; DNA</t>
  </si>
  <si>
    <t>Long non-coding RNAs (lncRNAs) have been reported to be involved in the pathogenesis of cardiovascular disease (CVD), but whether circulating lncRNAs can serve as a coronary artery disease (CAD), biomarker is not known. The present study screened lncRNAs by microarray analysis in the plasma from CAD patients and control individuals and found that 265 lncRNAs were differentially expressed. To find specific lncRNAs as possible CAD biomarker candidates, we used the following criteria for 174 up-regulated lncRNAs: signal intensity &gt;= 8, fold change &gt;2.5 and P &lt; 0.005. According to these criteria, five intergenic lncRNAs were identified. After validation by quantitative PCR (qPCR), one lncRNA was excluded from the candidate list. The remaining four lncRNAs were independently validated in another population of 20 CAD patients and 20 control individuals. Receiver operating characteristic (ROC) curve analysis showed that lncRNA AC100865.1 (referred to as CoroMarker) was the best of these lncRNAs. CoroMarker levels were also stable in plasma. The predictive value of CoroMarker was further assessed in a larger cohort with 221 CAD patients and 187 control individuals. Using a diagnostic model with Fisher's criteria, taking the risk factors into account, the optimal sensitivity of CoroMarker for CAD increased from 68.29% to 78.05%, whereas the specificity decreased slightly from 91.89% to 86.49%. CoroMarker was stable in plasma because it was mainly in the extracellular vesicles (EVs), probably from monocytes. We conclude that CoroMarker is a stable, sensitive and specific biomarker for CAD.</t>
  </si>
  <si>
    <t>[Yang, Yujia; Cai, Yue; Wu, Gengze; Chen, Xinjian; Liu, Yukai; Wang, Xinquan; Yu, Junyi; Li, Chuanwei; Chen, Xiongwen; Zhou, Lin; Zeng, Chunyu] Third Mil Med Univ, Daping Hosp, Dept Cardiol, Chongqing, Peoples R China; [Yang, Yujia; Cai, Yue; Wu, Gengze; Chen, Xinjian; Liu, Yukai; Wang, Xinquan; Yu, Junyi; Li, Chuanwei; Zhou, Lin; Zeng, Chunyu] Chongqing Inst Cardiol, Chongqing, Peoples R China; [Jose, Pedro A.] Univ Maryland, Sch Med, Dept Med, Div Nephrol, Baltimore, MD 21201 USA; [Chen, Xiongwen] Temple Univ, Sch Med, Dept Physiol, Philadelphia, PA 19122 USA; [Chen, Xiongwen] Temple Univ, Sch Med, Cardiovasc Res Ctr, Philadelphia, PA 19122 USA; [Jose, Pedro A.] Univ Maryland, Sch Med, Dept Physiol, Baltimore, MD 21201 USA</t>
  </si>
  <si>
    <t>Army Medical University; Chinese Academy of Sciences; University System of Maryland; University of Maryland Baltimore; Pennsylvania Commonwealth System of Higher Education (PCSHE); Temple University; Pennsylvania Commonwealth System of Higher Education (PCSHE); Temple University; University System of Maryland; University of Maryland Baltimore</t>
  </si>
  <si>
    <t>Zeng, CY (corresponding author), Third Mil Med Univ, Daping Hosp, Dept Cardiol, Chongqing, Peoples R China.</t>
  </si>
  <si>
    <t>linzhou007@126.com; chunyuzeng167@163.com</t>
  </si>
  <si>
    <t>Chen, Xiongwen/D-5988-2012</t>
  </si>
  <si>
    <t>Chen, Xiongwen/0000-0002-3829-5815</t>
  </si>
  <si>
    <t>10.1042/CS20150121</t>
  </si>
  <si>
    <t>WOS:000361047000001</t>
  </si>
  <si>
    <t>Park, YI; Kim, E; Huang, CH; Park, KS; Castro, CM; Lee, H; Weissleder, R</t>
  </si>
  <si>
    <t>Park, Yong Il; Kim, Eunha; Huang, Chen-Han; Park, Ki Soo; Castro, Cesar M.; Lee, Hakho; Weissleder, Ralph</t>
  </si>
  <si>
    <t>Facile Coating Strategy to Functionalize Inorganic Nanoparticles for Biosensing</t>
  </si>
  <si>
    <t>MAGNETIC NANOPARTICLES; BIOLOGICAL-SYSTEMS; SURFACE; SENSITIVITY; NANOPROBES; DESIGN; DNA</t>
  </si>
  <si>
    <t>The use of inorganic nanoparticles (NPs) for biosensing requires that they exhibit high colloidal stability under various physiological conditions. Here, we report on a general approach to render hydrophobic NPs into hydrophilic ones that are ready for bioconjugation. The method uses peglyated polymers conjugated with multiple dopamines, which results in multidentate coordination. As proof-of concept, we applied the coating to stabilize ferrite and lanthanide NPs synthesized by thermal decomposition. Both polymer coated NPs showed excellent water solubility and were stable at high salt concentrations under physiological conditions. We used these NPs as molecular-sensing agents to detect exosomes and bacterial nucleic acids.</t>
  </si>
  <si>
    <t>[Park, Yong Il; Kim, Eunha; Huang, Chen-Han; Park, Ki Soo; Castro, Cesar M.; Lee, Hakho; Weissleder, Ralph] Harvard Med Sch, Ctr Syst Biol, Boston, MA 02114 USA; [Park, Yong Il; Kim, Eunha; Huang, Chen-Han; Park, Ki Soo; Lee, Hakho; Weissleder, Ralph] Harvard Med Sch, Massachusetts Gen Hosp, Dept Radiol, Boston, MA 02114 USA; [Castro, Cesar M.] Harvard Med Sch, Massachusetts Gen Hosp, Dept Med, Boston, MA 02114 USA; [Weissleder, Ralph] Harvard Med Sch, Dept Syst Biol, Boston, MA 02115 USA; [Park, Yong Il] Chonnam Natl Univ, Sch Chem Engn, 77 Yongbong Ro, Gwangju 61186, South Korea; [Kim, Eunha] Ajou Univ, Dept Mol Sci &amp; Technol, Suwon 16499, South Korea</t>
  </si>
  <si>
    <t>Harvard University; Harvard Medical School; Harvard University; Harvard Medical School; Massachusetts General Hospital; Harvard University; Harvard Medical School; Massachusetts General Hospital; Harvard University; Harvard Medical School; Chonnam National University; Ajou University</t>
  </si>
  <si>
    <t>Lee, H; Weissleder, R (corresponding author), Harvard Med Sch, Ctr Syst Biol, Boston, MA 02114 USA.;Lee, H; Weissleder, R (corresponding author), Harvard Med Sch, Massachusetts Gen Hosp, Dept Radiol, Boston, MA 02114 USA.;Weissleder, R (corresponding author), Harvard Med Sch, Dept Syst Biol, Boston, MA 02115 USA.</t>
  </si>
  <si>
    <t>Kim, Eunha/ABC-9281-2020; Park, Yong Il/AAI-1187-2019; Park, Ki Soo/AAR-2461-2021</t>
  </si>
  <si>
    <t>Kim, Eunha/0000-0002-0766-696X; Park, Yong Il/0000-0003-3167-4908; Park, Ki Soo/0000-0002-0545-0970; /0000-0003-0828-4143</t>
  </si>
  <si>
    <t>10.1021/acs.bioconjchem.6b00524</t>
  </si>
  <si>
    <t>WOS:000392459200005</t>
  </si>
  <si>
    <t>Gupta, V; Kawahara, G; Gundry, SR; Chen, AT; Lencer, WI; Zhou, Y; Zon, LI; Kunkel, LM; Beggs, AH</t>
  </si>
  <si>
    <t>Gupta, Vandana; Kawahara, Genri; Gundry, Stacey R.; Chen, Aye T.; Lencer, Wayne I.; Zhou, Yi; Zon, Leonard I.; Kunkel, Louis M.; Beggs, Alan H.</t>
  </si>
  <si>
    <t>The zebrafish dag1 mutant: a novel genetic model for dystroglycanopathies</t>
  </si>
  <si>
    <t>WALKER-WARBURG-SYNDROME; CONGENITAL MUSCULAR-DYSTROPHY; FUKUTIN-RELATED PROTEIN; ALPHA-DYSTROGLYCAN; SKELETAL-MUSCLE; SARCOPLASMIC-RETICULUM; EMBRYONIC-DEVELOPMENT; GLYCOPROTEIN COMPLEX; POMT1 GENE; MUTATIONS</t>
  </si>
  <si>
    <t>In a forward genetic approach to identify novel genes for congenital muscle diseases, a zebrafish mutant, designated patchytail, was identified that exhibits degenerating muscle fibers with impaired motility behavior. Genetic mapping identified a genomic locus containing the zebrafish ortholog of the dystroglycan gene (DAG1). Patchytail fish contain a point mutation (c.1700T &gt; A) in dag1, resulting in a missense change p.V567D. This change is associated with reduced transcripts and a complete absence of protein. The absence of alpha-dystroglycan and beta-dystroglycan caused destabilization of dystroglycan complex, resulting in membrane damages. Membrane damage was localized on the extracellular matrix at myosepta as well as basement membrane between adjacent myofibers. These studies also identified structural abnormalities in triads at 3 days post fertilization (dpf) of dystroglycan-deficient muscles, significantly preceding sarcolemmal damage that becomes evident at 7 dpf. Immunofluorescence studies identified a subpopulation of dystroglycan that is expressed at t-tubules in normal skeletal muscles. In dag1-mutated fish, smaller and irregular-shaped t-tubule vesicles, as well as highly disorganized terminal cisternae of sarcoplasmic reticulum, were common. In addition to skeletal muscle defects, dag1-mutated fish have brain abnormalities and ocular defects in posterior as well as anterior chambers. These phenotypes of dystroglycan-deficient fish are highly reminiscent of the phenotypes observed in the human conditions muscle-eye-brain disease and Walker-Warburg syndrome. This animal model will provide unique opportunities in the understanding of biological functions of dystroglycan in a wide range of dystroglycanopathies, as disruption of this gene in higher vertebrates results in early embryonic lethality.</t>
  </si>
  <si>
    <t>[Gupta, Vandana; Kawahara, Genri; Gundry, Stacey R.; Kunkel, Louis M.; Beggs, Alan H.] Childrens Hosp, Div Genet, Manton Ctr Orphan Dis Res, Boston, MA 02115 USA; [Gupta, Vandana; Kawahara, Genri; Gundry, Stacey R.; Kunkel, Louis M.; Beggs, Alan H.] Childrens Hosp, Genom Program, Manton Ctr Orphan Dis Res, Boston, MA 02115 USA; [Chen, Aye T.; Zhou, Yi; Zon, Leonard I.] Childrens Hosp, Stem Cell Program &amp; Pediat Hematol Oncol, Boston, MA 02115 USA; [Chen, Aye T.; Zhou, Yi; Zon, Leonard I.] Dana Farber Canc Inst, Harvard Stem Cell Inst, Boston, MA 02115 USA; [Lencer, Wayne I.] Harvard Univ, Sch Med, Childrens Hosp Boston, Gastroenterol Div,Harvard Digest Dis Ctr, Boston, MA 02115 USA; [Gundry, Stacey R.] Northeastern Univ, Coll Sci, Boston, MA 02115 USA; [Zon, Leonard I.] Howard Hughes Med Inst, Chevy Chase, MD 20815 USA</t>
  </si>
  <si>
    <t>Harvard University; Boston Children's Hospital; Harvard University; Boston Children's Hospital; Harvard University; Boston Children's Hospital; Harvard University; Dana-Farber Cancer Institute; Harvard University; Boston Children's Hospital; Harvard Medical School; Northeastern University; Howard Hughes Medical Institute</t>
  </si>
  <si>
    <t>Beggs, AH (corresponding author), Childrens Hosp, Div Genet, Manton Ctr Orphan Dis Res, CLSB 15026,300 Longwood Ave, Boston, MA 02115 USA.</t>
  </si>
  <si>
    <t>beggs@enders.tch.harvard.edu</t>
  </si>
  <si>
    <t>Beggs, Alan/0000-0001-8818-0568; Gupta, Vandana/0000-0002-4057-8451; Lencer, Wayne/0000-0001-7346-2730</t>
  </si>
  <si>
    <t>10.1093/hmg/ddr047</t>
  </si>
  <si>
    <t>WOS:000289311400005</t>
  </si>
  <si>
    <t>Wongkaew, N</t>
  </si>
  <si>
    <t>Wongkaew, Nongnoot</t>
  </si>
  <si>
    <t>Nanofiber-integrated miniaturized systems: an intelligent platform for cancer diagnosis</t>
  </si>
  <si>
    <t>Cancer diagnosis; Nanofibers; Electrospinning; Miniaturized analytical systems; Point-of-care diagnostics; Liquid biopsy</t>
  </si>
  <si>
    <t>CIRCULATING TUMOR-CELLS; HIGHLY EFFICIENT CAPTURE; ELECTROSPUN NANOFIBERS; HETEROJUNCTION NANOFIBERS; SENSITIVE DETECTION; MICROFLUIDIC CHIP; LIQUID BIOPSIES; FREE DNA; BIOMARKERS; IMMUNOSENSOR</t>
  </si>
  <si>
    <t>Cancer diagnostic tools enabling screening, diagnosis, and effective disease management are essential elements to increase the survival rate of diagnosed patients. Low abundance of cancer markers present in large amounts of interferences remains the major issue. Moreover, current diagnostic technologies are restricted to high-resourced settings only. Integrating nanofibers into miniaturized analytical systems holds a significant promise to address these challenges as demonstrated by recent publications. A large surface area, three-dimensional porous network, and diverse range of functional chemistries make nanofibers an excellent candidate as immobilization support and/or transduction elements, enabling high capture yield and ultrasensitive detection in miniaturized devices. Functional nanofibers have thus been used to isolate and detect various cancer-related biomarkers with a high degree of success in both on-chip and off-chip platforms. In fact, the chemical and functional adaptability of nanofibers has been exploited to address the technical challenges unique to each of the cancer markers in body fluids, where circulating tumor cells are prominently investigated among others (proteins, nucleic acids, and exosomes). So far, none of the work has exploited the nanofibers for cancer-derived exosomes, opening an avenue for further research effort. The trend and future prospects signal possibilities to strengthen the implementation of nanofiber-miniaturized system hybrid for a next generation of cancer diagnostic platforms both in clinical and point-of-care testing.</t>
  </si>
  <si>
    <t>[Wongkaew, Nongnoot] Univ Regensburg, Inst Analyt Chem Chemo &amp; Biosensors, Univ Str 31, D-93053 Regensburg, Germany</t>
  </si>
  <si>
    <t>University of Regensburg</t>
  </si>
  <si>
    <t>Wongkaew, N (corresponding author), Univ Regensburg, Inst Analyt Chem Chemo &amp; Biosensors, Univ Str 31, D-93053 Regensburg, Germany.</t>
  </si>
  <si>
    <t>nongnoot.wongkaew@ur.de</t>
  </si>
  <si>
    <t>10.1007/s00216-019-01589-5</t>
  </si>
  <si>
    <t>WOS:000474354500001</t>
  </si>
  <si>
    <t>Baby, NT; Abdullah, A; Kannan, S</t>
  </si>
  <si>
    <t>Baby, N. T.; Abdullah, A.; Kannan, S.</t>
  </si>
  <si>
    <t>The scope of liquid biopsy in the clinical management of oral cancer</t>
  </si>
  <si>
    <t>INTERNATIONAL JOURNAL OF ORAL AND MAXILLOFACIAL SURGERY</t>
  </si>
  <si>
    <t>liquid biopsy; oral cancer; circulat-ing tumour cells; cell-free nucleic acids; exo-somes</t>
  </si>
  <si>
    <t>CIRCULATING TUMOR-CELLS; GROWTH-FACTOR RECEPTOR; LONG NONCODING RNAS; MESSENGER-RNA; PROMOTER HYPERMETHYLATION; PODOPLANIN EXPRESSION; PROGNOSTIC MARKER; PD-L1 EXPRESSION; BONE-MARROW; HEAD</t>
  </si>
  <si>
    <t>Oral squamous cell carcinoma (OSCC) is one of the most prevalent forms of head and neck cancer, and it remains a leading cause of death in developing countries. Failure to detect the disease at an early stage is the main reason for the lack of improvement in the overall survival rate over the decades. Even though tissue biopsy is considered as the gold standard for diagnosis and molecular workup, it is an invasive, expensive and time-consuming procedure. Besides, it may not indicate the genetic status of the entire tumour owing to the heterogeneity of the cancer. In this context, liquid biopsy could be quite useful as it provides a more representative picture of the circulating tumour cells, circulating tumour DNA, circulating RNA, and tumour-derived exosomes obtained from all types of body fluids. This technique provides real-time assessment of variations in the molecular profile of the whole tumour and enables the serial monitoring of the disease status. The method has many advantages, such as easy accessibility, reliability, reproducibility and the possibility for early detection of the disease. However, the concept is still in its infancy, and the research on its application in various tumours including OSCC is rapidly progressing.</t>
  </si>
  <si>
    <t>[Baby, N. T.; Abdullah, A.; Kannan, S.] Univ Kerala, Reg Canc Ctr, Div Canc Res, Lab Cell Cycle Regulat &amp; Mol Oncol,Res Ctr, Thiruvananthapuram, Kerala, India</t>
  </si>
  <si>
    <t>University of Kerala</t>
  </si>
  <si>
    <t>Kannan, S (corresponding author), Reg Canc Ctr, Div Canc Res, Thiruvananthapuram 695011, Kerala, India.</t>
  </si>
  <si>
    <t>kannans@rcctvm.gov.in</t>
  </si>
  <si>
    <t>0901-5027</t>
  </si>
  <si>
    <t>1399-0020</t>
  </si>
  <si>
    <t>10.1016/j.ijom.2021.08.017</t>
  </si>
  <si>
    <t>Dentistry, Oral Surgery &amp; Medicine; Surgery</t>
  </si>
  <si>
    <t>WOS:000797961700002</t>
  </si>
  <si>
    <t>Schulze, S; Stoss, C; Lu, M; Wang, BC; Laschinger, M; Steiger, K; Altmayr, F; Friess, H; Hartmann, D; Holzmann, B; Huser, N</t>
  </si>
  <si>
    <t>Schulze, Sarah; Stoess, Christian; Lu, Miao; Wang, Baocai; Laschinger, Melanie; Steiger, Katja; Altmayr, Felicitas; Friess, Helmut; Hartmann, Daniel; Holzmann, Bernhard; Hueser, Norbert</t>
  </si>
  <si>
    <t>Cytosolic nucleic acid sensors of the innate immune system promote liver regeneration after partial hepatectomy</t>
  </si>
  <si>
    <t>TOLL-LIKE RECEPTORS; GROWTH-FACTOR-BETA; PATTERN-RECOGNITION; TGF-BETA; PROLIFERATIVE RESPONSE; STING PATHWAY; KAPPA-B; ACTIVATION; INFLAMMATION; HEPATOCYTES</t>
  </si>
  <si>
    <t>Stimulation of cytosolic nucleic acid sensors of innate immunity by pathogen-derived nucleic acids is important for antimicrobial defence, but stimulation through self-derived nucleic acids may contribute to autoinflammation and cancer. DNA sensing in the cytosol requires the stimulator of interferon genes (STING), while cytosolic RNA sensors use mitochondrial antiviral-signalling protein (MAVS). In a murine model of two-thirds hepatectomy, combined deficiency of MAVS and STING resulted in strongly impaired hepatocyte proliferation and delayed recovery of liver mass. Whereas lack of MAVS and STING did not influence upregulation of the G(1)-phase cyclins D1 and E1, it substantially reduced the hyperphosphorylation of retinoblastoma protein, attenuated the activation of cyclin-dependent kinase (CDK)-2, delayed upregulation of CDK1 and cyclins A2 and B1, and impaired S-phase entry of hepatocytes. Mechanistically, lack of cytosolic nucleic acid sensors strongly upregulated the anti-proliferative mediators TGF-beta 2 and activin A, which was associated with an increased expression of the cell cycle inhibitors p15 and p21. Partial hepatectomy was followed by the release of exosomes with abundant nucleic acid cargo, which may provide ligands for the MAVS and STING pathways. Together, these findings identify a previously unrecognised function of cytosolic nucleic acid sensors of innate immunity for promoting liver regeneration.</t>
  </si>
  <si>
    <t>[Schulze, Sarah; Stoess, Christian; Lu, Miao; Wang, Baocai; Laschinger, Melanie; Altmayr, Felicitas; Friess, Helmut; Hartmann, Daniel; Holzmann, Bernhard; Hueser, Norbert] Tech Univ Munich, Sch Med, Dept Surg, Ismaninger Str 22, D-81675 Munich, Germany; [Steiger, Katja] Tech Univ Munich, Inst Pathol, Sch Med, Comparat Expt Pathol, Trogerstr 18, D-81675 Munich, Germany</t>
  </si>
  <si>
    <t>Technical University of Munich; Technical University of Munich</t>
  </si>
  <si>
    <t>Holzmann, B (corresponding author), Tech Univ Munich, Sch Med, Dept Surg, Ismaninger Str 22, D-81675 Munich, Germany.</t>
  </si>
  <si>
    <t>bernhard.holzmann@tum.de</t>
  </si>
  <si>
    <t>Stoess, Christian/0000-0002-0682-8808; Holzmann, Bernhard/0000-0002-3356-3083; Steiger, Katja/0000-0002-7269-5433</t>
  </si>
  <si>
    <t>AUG 16</t>
  </si>
  <si>
    <t>10.1038/s41598-018-29924-3</t>
  </si>
  <si>
    <t>WOS:000441775900035</t>
  </si>
  <si>
    <t>Chung, NX; Gatty, HK; Lu, X; Zhang, M; Linnros, J</t>
  </si>
  <si>
    <t>Chung, Nguyen Xuan; Gatty, Hithesh Kumar; Lu, Xi; Zhang, Miao; Linnros, Jan</t>
  </si>
  <si>
    <t>Optimized electrochemical breakdown etching using temporal voltage variation for formation of nanopores in a silicon membrane</t>
  </si>
  <si>
    <t>Nanopore; Electrochemical breakdown etching; High-aspect-ratio; Silicon membranes</t>
  </si>
  <si>
    <t>SOLID-STATE NANOPORES; ALPHA-HEMOLYSIN; FABRICATION; METHYLATION</t>
  </si>
  <si>
    <t>Dielectric breakdown etching is a well-known method of making nanopores on thin (similar to 50 nm) dielectric membranes. However, voltage driven translocation of biomolecules through such nanopores becomes extremely fast. For improved detection, for instance by the current blockage, a high-aspect-ratio nanopore could be beneficial for slowing down the translocation. High-aspect-ratio nanopore on silicon fabrication requires a well-controlled process and is dependent on specific crystal orientation, dopant type and resistivity of substrate. Therefore, an optimized method of processing high-aspect-ratio nanopores is necessary considering the advantage of a silicon membrane being able to be integrated with standard CMOS processing. Here, we present an optimized fabrication method for mass-producing a single and an array of nanopores on a thick (2 mu m) silicon device layer based on a silicon-on-insulator (SOI) wafer. A method of temporal voltage variation is exploited to optimize the etching parameters for the nanopore formation during electrochemical breakdown etching, diameters of nanopores around 12 nm have been achieved. Besides, the correlation between the parameters of etching and nanopore diameter is deduced. The processed high-aspect-ratio nanopore enables applications in single-molecule sensing such as DNA, exosomes, viruses, and protein markers. The developed process is inexpensive, fast and can be batch fabricated.</t>
  </si>
  <si>
    <t>[Chung, Nguyen Xuan; Gatty, Hithesh Kumar; Lu, Xi; Zhang, Miao; Linnros, Jan] KTH Royal Technol Inst, Nanosilicon Grp, S-10044 Stockholm, Sweden; [Chung, Nguyen Xuan] Hanoi Univ Min &amp; Geol, Dept Phys, 18 Pho Vien, Hanoi, Vietnam; [Zhang, Miao] Ecole Polytech Fed Lausanne EPFL, Inst Bioengn, Sch Engn, CH-1015 Lausanne, Switzerland</t>
  </si>
  <si>
    <t>Hanoi University of Mining &amp; Geology; Ecole Polytechnique Federale de Lausanne</t>
  </si>
  <si>
    <t>Chung, NX (corresponding author), KTH Royal Technol Inst, Nanosilicon Grp, S-10044 Stockholm, Sweden.</t>
  </si>
  <si>
    <t>nguyenxuanchung@humg.edu.vn</t>
  </si>
  <si>
    <t>Nguyen, Xuan Chung/0000-0003-4176-0543</t>
  </si>
  <si>
    <t>10.1016/j.snb.2020.129323</t>
  </si>
  <si>
    <t>WOS:000618767400001</t>
  </si>
  <si>
    <t>Pethig, R</t>
  </si>
  <si>
    <t>Pethig, Ronald</t>
  </si>
  <si>
    <t>Review-Where Is Dielectrophoresis (DEP) Going?</t>
  </si>
  <si>
    <t>JOURNAL OF THE ELECTROCHEMICAL SOCIETY</t>
  </si>
  <si>
    <t>PRiME Joint Meeting of the Electrochemical-Society, the Electrochemical-Society-of-Japan, and the Korean-Electrochemical-Society</t>
  </si>
  <si>
    <t>OCT 02-07, 2016</t>
  </si>
  <si>
    <t>Honolulu, HI</t>
  </si>
  <si>
    <t>INSULATOR-BASED DIELECTROPHORESIS; IMPEDANCE MEASUREMENT METHOD; WALLED CARBON NANOTUBES; OPTOELECTRONIC DIELECTROPHORESIS; SELECTIVE CONCENTRATION; BIOLOGICAL CELLS; MANIPULATION; SEPARATION; ELECTRODES; BACTERIA</t>
  </si>
  <si>
    <t>A guide is offered to new researchers (and their supervisors) of the most promising topics to explore in market-driven or curiositydriven dielectrophoresis (DEP) research. Based on an analysis of publications since 2000, contributions from electronic engineers and materials scientists are likely to be maintained, with increasing emphasis on the development of DEP-based protocols for chemical and biochemical analyses that involve nanoparticles. Two modes of DEP are likely to dominate, namely metal-electrode based (eDEP) and insulator-based (iDEP). Where high values of the electric field and its gradient are required, such as the spatial manipulation of nanoparticles (e. g., exosomes, proteins, viruses, carbon-nanotubes), eDEP would in many cases be the preferred choice. This would also be the case for the selective isolation of biological cells; the development of cell-based drug discovery protocols; electronic sensors and the assembly of nanoparticles (e. g., carbon nanotubes). Applications of iDEP would be particularly suited for the separation or detection of bioparticles such as DNA, RNA, proteins or bacteria, where manipulation selectivity is based on differences in surface charge. Hot topics include the development of dynamic patterning of bioparticles using photoconductive electrodes, and the genome-wide mapping between genotype and DEP phenotype of cells. (C) The Author(s) 2016. Published by ECS.</t>
  </si>
  <si>
    <t>[Pethig, Ronald] Univ Edinburgh, Sch Engn, Edinburgh EH9 3JL, Midlothian, Scotland</t>
  </si>
  <si>
    <t>Pethig, R (corresponding author), Univ Edinburgh, Sch Engn, Edinburgh EH9 3JL, Midlothian, Scotland.</t>
  </si>
  <si>
    <t>Ron.Pethig@ed.ac.uk</t>
  </si>
  <si>
    <t>0013-4651</t>
  </si>
  <si>
    <t>1945-7111</t>
  </si>
  <si>
    <t>B3049</t>
  </si>
  <si>
    <t>B3055</t>
  </si>
  <si>
    <t>10.1149/2.0071705jes</t>
  </si>
  <si>
    <t>Electrochemistry; Materials Science, Coatings &amp; Films</t>
  </si>
  <si>
    <t>Electrochemistry; Materials Science</t>
  </si>
  <si>
    <t>WOS:000400961300007</t>
  </si>
  <si>
    <t>Wu, LNY; Genge, BR; Ishikawa, Y; Ishikawa, T; Wuthier, RE</t>
  </si>
  <si>
    <t>Effects of 24R,25-and 1 alpha,25-dihydroxyvitamin D-3 on mineralizing growth plate chondrocytes</t>
  </si>
  <si>
    <t>1,25-dihydroxyvitamin D-3; 24,25-dihydroxyvitamin D-3; growth plate chondrocytes; proteoglycans; lactate dehydrogenase; calcium and phosphate deposition; alkaline phosphatase</t>
  </si>
  <si>
    <t>ALKALINE-PHOSPHATASE ACTIVITY; VITAMIN-D METABOLITES; PRIMARY CULTURES; CELL-MATURATION; MATRIX VESICLES; INORGANIC-PHOSPHATE; INFANTILE HYPOPHOSPHATASIA; OSTEOBLAST DIFFERENTIATION; TERMINAL DIFFERENTIATION; EPIPHYSEAL CHONDROCYTES</t>
  </si>
  <si>
    <t>Time- and dosage-dependent effects of 1,25(OH)(2)D-3 and 24,25(OH)(2)D-3 on primary Cultures of pre- and post-confluent avian growth plate (GP) chondrocytes were examined. Cultures were grown in either a serum-containing Culture medium designed to closely mimic normal GP extracellular fluid (DATP5) or a commercially available serum-free media (HL-1) frequently used for studying skeletal cells. Hoechst DNA, Lowry protein, proteoglycan (PC), lactate dehydrogenase (LDH), and alkaline phosphatase (ALP) activity and calcium and phosphate mineral deposition in the extracellular matrix were measured. In preconfluent Cultures grown in DATP5, physiological levels of 24,25(OH)(2)D-3 (0.10-10 nM) increased DNA, protein, and LDH activity significantly more than did 1,25(OH)(2)D-3 (0.01-1.0 nM). However, in HL-1, the reverse was true. Determining ratios of LDH and PG to DNA, protein, and each other, revealed that 1,25(OH)(2)D-3 specifically increased PC, whereas 24,25(OH)(2)D-3 increased LDH. Post-confluent cells were generally less responsive, especially to 24,25(OH)(2)D-3. The positive anabolic effects of 24,25(OH)(2)D-3 required serum-containing GP-fluid-like culture medium. In contrast, effects of 1,25(OH)(2)D-3 were most apparent in serum-free medium, but were still significant in serum-containing media. Administered to preconfluent cells in DATP5, 1,25(OH)(2)D-3 caused rapid, powerful, dosage-dependent inhibition of Ca2+ and Pi deposition. The lowest level tested (0.01 nM) caused &gt; 70% inhibition during the initial stages of mineral deposition; higher levels of 1,25(OH)(2)D-3 caused progressively more profound and persistent reductions. In contrast, 24,25(OH)(2)D-3 increased mineral deposition 20-50%; it required &gt; 1 week, but the effects were specific, persistent, and largely dosage-independent. From a physiological perspective, these effects can be explained as follows: 1,25(OH)(2)D-3 levels rise in hypocalcernia; it stimulates gut absorption and releases Ca2+ from bone to correct this deficiency. We now show that 1,25(OH)(2)D-3 also conserves Ca2+ by inhibiting mineralization. The slow anabolic effects of 24,25(OH)(2)D(3)are consistent with its production under eucalcemic conditions which enable bone formation. These findings, which implicate serum-binding proteins and accumulation of PG in modulating accessibility of the metabolites to GP chondrocytes, also help explain some discrepancies previously reported in the literature.</t>
  </si>
  <si>
    <t>Univ S Carolina, Dept Chem &amp; Biochem, Grad Sci Res Ctr 329, Columbia, SC 29208 USA</t>
  </si>
  <si>
    <t>University of South Carolina; University of South Carolina System; University of South Carolina Columbia</t>
  </si>
  <si>
    <t>Wuthier, RE (corresponding author), Univ S Carolina, Dept Chem &amp; Biochem, Grad Sci Res Ctr 329, Columbia, SC 29208 USA.</t>
  </si>
  <si>
    <t>wuthier@mail.chem.se.edu</t>
  </si>
  <si>
    <t>10.1002/jcb.20767</t>
  </si>
  <si>
    <t>WOS:000237234300007</t>
  </si>
  <si>
    <t>Vignesh, R; Sjolander, A; Venkatraman, G; Rayala, SK; Aradhyam, GK</t>
  </si>
  <si>
    <t>Vignesh, Ravichandran; Sjolander, Anita; Venkatraman, Ganesh; Rayala, Suresh Kumar; Aradhyam, Gopala Krishna</t>
  </si>
  <si>
    <t>Aberrant environment and PS-binding to calnuc C-terminal tail drives exosomal packaging and its metastatic ability</t>
  </si>
  <si>
    <t>BIOCHEMICAL JOURNAL</t>
  </si>
  <si>
    <t>MOLTEN-GLOBULE; PHOSPHATIDYLSERINE-BINDING; MEMBRANE-BINDING; STRUCTURAL BASIS; PROTEIN; EQUILIBRIUM; DOMAIN; CELLS; MOTIF; PURIFICATION</t>
  </si>
  <si>
    <t>The characteristic features of cancer cells are aberrant (acidic) intracellular pH and elevated levels of phosphatidylserine. The primary focus of cancer research is concentrated on the discovery of biomarkers directed towards early diagnosis and therapy. It has been observed that azoxymethane-treated mice demonstrate an increased expression of calnuc (a multi-domain, Ca2+- and DNA-binding protein) in their colon, suggesting it to be a good biomarker of carcinogenesis. We show that culture supernatants from tumor cells have significantly higher amounts of secreted calnuc compared to non-tumor cells, selectively packaged into exosomes. Exosomal calnuc is causal for epithelial-mesenchymal transition and atypical migration in non-tumor cells, which are key events in tumorigenesis and metastasis. In vitro studies reveal a significant affinity for calnuc towards phosphatidylserine, specifically to its C-terminal region, leading to the formation of 'molten globule' conformation. Similar structural changes are observed at acidic pH (pH 4), which demonstrates the role of the acidic microenvironment in causing the molten globule conformation and membrane interaction. On a precise note, we propose that the molten globule structure of calnuc caused by aberrant conditions in cancer cells to be the causative mechanism underlying its exosome-mediated secretion, thereby driving metastasis.</t>
  </si>
  <si>
    <t>[Vignesh, Ravichandran; Rayala, Suresh Kumar; Aradhyam, Gopala Krishna] Indian Inst Technol Madras, Bhupat &amp; Jyoti Mehta Sch Biosci, Dept Biotechnol, Chennai 600036, Tamil Nadu, India; [Sjolander, Anita] Lund Univ, Skane Univ Hosp, Clin Res Ctr, Cell Pathol,Translat Med, Malmo, Sweden; [Venkatraman, Ganesh] Sri Ramachandra Inst Higher Educ &amp; Res, Fac Biomed Sci Technol &amp; Res, Dept Human Genet, Chennai 600116, Tamil Nadu, India</t>
  </si>
  <si>
    <t>Indian Institute of Technology System (IIT System); Indian Institute of Technology (IIT) - Madras; Lund University; Skane University Hospital; Sri Ramachandra Institute of Higher Education &amp; Research</t>
  </si>
  <si>
    <t>Aradhyam, GK (corresponding author), Indian Inst Technol Madras, Bhupat &amp; Jyoti Mehta Sch Biosci, Dept Biotechnol, Chennai 600036, Tamil Nadu, India.</t>
  </si>
  <si>
    <t>agk@iitm.ac.in</t>
  </si>
  <si>
    <t>, Ravichandran Vignesh/0000-0001-7024-6717</t>
  </si>
  <si>
    <t>0264-6021</t>
  </si>
  <si>
    <t>1470-8728</t>
  </si>
  <si>
    <t>10.1042/BCJ20210016</t>
  </si>
  <si>
    <t>WOS:000664197600002</t>
  </si>
  <si>
    <t>Neo, SH; Chung, KY; Quek, JM; Too, HP</t>
  </si>
  <si>
    <t>Neo, Shu Hui; Chung, Ka Yan; Quek, Jia Min; Too, Heng-Phon</t>
  </si>
  <si>
    <t>Trehalose significantly enhances the recovery of serum and serum exosomal miRNA from a paper-based matrix</t>
  </si>
  <si>
    <t>RNA ISOLATION METHOD; LONG-TERM STORAGE; GASTRIC-CANCER; CIRCULATING MICRORNAS; PLASMA; STABILITY; CELLS; STATE; PROGNOSIS; VESICLES</t>
  </si>
  <si>
    <t>The preservation of nucleic acids from clinical samples is critical to facilitate accurate molecular diagnosis. The use of a paper matrix, Flinders Technology Associates (FTA) Elute cards, to archive DNA and viral RNA is well-documented. However, the feasibility of FTA Elute cards for archiving serum and serum exosomal microRNAs (miRNAs) remains unclear. Here, we performed a comprehensive evaluation of FTA Elute cards for miRNA storage and recovery in different pre-analytical conditions. The recovery of serum miRNA dry-spotted on FTA Elute cards by direct elution with water at high temperature was poor. However, serum miRNAs dry-spotted on the cards were isolated with about 40% yield when using QIAzol lysis reagent and recovery was improved remarkably (&gt;80%) upon extraction from cards pre-treated with trehalose. miRNAs stored on the cards remained stable at room temperature and can be kept for prolonged periods. Furthermore, miRNAs could be similarly recovered from serum exosomes dry-spotted on the cards. Importantly, when using sera from gastric cancer (GC) patients, the miRNAs were efficiently recovered from trehalose pre-treated cards without affecting their representation. Collectively, we have demonstrated the potential of FTA Elute cards to archive serum and serum exosomal miRNAs, making it useful for biomarker discovery and diagnostics.</t>
  </si>
  <si>
    <t>[Neo, Shu Hui; Chung, Ka Yan; Quek, Jia Min; Too, Heng-Phon] ASTAR, Bioproc Technol Inst, 20 Biopolis Way,06-01 Ctr, Singapore 138668, Singapore; [Too, Heng-Phon] Natl Univ Singapore, Yong Loo Lin Sch Med, Dept Biochem, Block MD7,8 Med Dr, Singapore 117597, Singapore</t>
  </si>
  <si>
    <t>Agency for Science Technology &amp; Research (ASTAR); Bioprocessing Technology Institute (BTI); National University of Singapore</t>
  </si>
  <si>
    <t>Neo, SH; Too, HP (corresponding author), ASTAR, Bioproc Technol Inst, 20 Biopolis Way,06-01 Ctr, Singapore 138668, Singapore.;Too, HP (corresponding author), Natl Univ Singapore, Yong Loo Lin Sch Med, Dept Biochem, Block MD7,8 Med Dr, Singapore 117597, Singapore.</t>
  </si>
  <si>
    <t>neo_shu_hui@bti.a-star.edu.sg; heng-phon_too@nuhs.edu.sg</t>
  </si>
  <si>
    <t>10.1038/s41598-017-16960-8</t>
  </si>
  <si>
    <t>WOS:000416891400088</t>
  </si>
  <si>
    <t>Huang, MB; Gonzalez, RR; Lillard, J; Bond, VC</t>
  </si>
  <si>
    <t>Huang, Ming-Bo; Gonzalez, Ruben R.; Lillard, James; Bond, Vincent C.</t>
  </si>
  <si>
    <t>Secretion modification region-derived peptide blocks exosome release and mediates cell cycle arrest in breast cancer cells</t>
  </si>
  <si>
    <t>SMR peptide; PEG-SMR-Clu peptide; breast cancer; apoptosis; annexin</t>
  </si>
  <si>
    <t>HIV TYPE-1 NEF; HUMAN CARCINOGENESIS; OVARIAN-CANCER; P53; BIOMARKERS; MORTALIN; PHOSPHORYLATION; APOPTOSIS; COMMUNICATION; MICROVESICLES</t>
  </si>
  <si>
    <t>Purpose: Discovery and development of a novel anticancer PEG-SMR-Clu peptide to prevent breast cancer metastasis. How breast cancer cells and primary mammary epithelial cells interact and communicate with each other to promote tumorigenesis and how to prevent tumor metastasis has long been a concern of researchers. Cancer cells secrete exosomes containing proteins and RNA. These factors can influence tumor development by directly targeting cancer cells and tumor stroma. In this study, we determined the effects of a peptide as an inhibitor of exosome secretion on breast tumors. We developed a peptide derived from the Secretion Modification Region (SMR) of HIV-1 Nef protein that was modified with PEG on the N-terminus and with a Clusterin (Clu)-binding peptide on the C-terminus. Attachment of PEG to the SMR peptide, termed PEGylation, offers improved water solubility and stability as well as reduced clearance through the kidneys, leading to a longer circulation time. The 12-mer Clu-binding peptide plays multiple roles in tumor development and metastasis. The Clu peptide can be detected by antibody in vivo, thus it has the potential to be used to monitor tumor status and treatment efficacy in animal studies and eventually in cancer patients. Results: PEG-SMRwt-Clu and PEG-SMRwt peptides inhibited the growth of both of MCF-7 (estrogen responsive, ER+) and MDA-MD-231 (estrogen non-responsive, ER-) human breast cancer cells in a dose and time-dependent manner, without inducing cytotoxic effects. The SMRwt peptide, combined with paclitaxel, induced G2/M phase cell cycle arrest on MCF-7 and MDA-MB-231 cells but did not promote apoptosis. PEG-SMRwt-Clu peptide treatment blocked exosome release from both MCF-7 and MDA-MB-231 cells. This effect was blocked by knockdown of the chaperone protein mortalin by either antibody or siRNA. Materials and methods: MCF-7 and MDA-MB-231 breast tumor cells were treated with PEG-SMR-Clu peptide alone and in combination with paclitaxel and cisplatin. Cell proliferation and viabilty were determined via cell cycle analysis using Cellometer imaging cytometry, Annexin V and MTT assays. The effects of the PEG-SMR-Clu peptide on tumor exosome release were determined by testing isolated exosome fractions, for (i) expression of CD63 and Alix proteins by Western blotting, (ii) NanoSight nanoparticle tracking analysis (NTA 10) to measure exosomes size and concentration, and (iii) measurement of acetylcholinesterase (AchE) for exosome specific enzyme activity. Conclusions: PEG-SMRwt-CLU peptides inhibited the growth of human breast cancer cells and blocked tumor exosome release in vitro. The peptide alone did not cause increased cytotoxicity or apoptosis induction, but did cause cell cycle G2/M phase arrest in both estrogen responsive and non-responsive breast cancer cells. These data suggest a potential therapeutic value of SMR to prevent breast cancer metastasis and as an adjuvant for the chemotherapeutic treatment of human breast cancer.</t>
  </si>
  <si>
    <t>[Huang, Ming-Bo; Gonzalez, Ruben R.; Lillard, James; Bond, Vincent C.] Morehouse Sch Med, Dept Microbiol Biochem &amp; Immunol, Atlanta, GA 30310 USA</t>
  </si>
  <si>
    <t>Morehouse School of Medicine</t>
  </si>
  <si>
    <t>Huang, MB (corresponding author), Morehouse Sch Med, Dept Microbiol Biochem &amp; Immunol, Atlanta, GA 30310 USA.</t>
  </si>
  <si>
    <t>mhuang@.msm.edu</t>
  </si>
  <si>
    <t>10.18632/oncotarget.14513</t>
  </si>
  <si>
    <t>WOS:000394187400055</t>
  </si>
  <si>
    <t>Klupp, BG; Granzow, H; Mettenleiter, TC</t>
  </si>
  <si>
    <t>Primary envelopment of pseudorabies virus at the nuclear membrane requires the UL34 gene product</t>
  </si>
  <si>
    <t>HERPES-SIMPLEX VIRUS; VARICELLA-ZOSTER VIRUS; TRANS-GOLGI NETWORK; COMPLETE DNA-SEQUENCE; ENDOPLASMIC-RETICULUM; BOVINE HERPESVIRUS-1; GLYCOPROTEIN-GII; PROTEIN-KINASE; CELL-SURFACE; UL20 GENE</t>
  </si>
  <si>
    <t>Primary envelopment of several herpesviruses has been shown to occur by budding of intranuclear capsids through the inner nuclear membrane. By subsequent fusion of the primary envelope with the outer nuclear membrane, capsids are released into the cytoplasm and gain their final envelope by budding into vesicles in the trans-Golgi area. We show here that the product of the UL34 gene of pseudorabies virus, an alphaherpesvirus of swine, is localized in transfected and infected cells in the nuclear membrane. It is also detected in the envelope of virions in the perinuclear space but is undetectable in intracytoplasmic and extracellular enveloped virus particles. Conversely, the tegument protein UL49 is present in mature virus particles and absent from perinuclear virions. In the absence of the UL34 protein, acquisition of the primary envelope is blocked and neither virus particles in the perinuclear space nor intracytoplasmic capsids or virions are observed. However, light particles which label with the anti-UL49 serum are formed in the cytoplasm. We conclude that the UL34 protein is required for primary envelopment, that the primary envelope is biochemically different from the final envelope in that it contains the UL34 protein, and that perinuclear virions lack the tegument protein UL49, which is present in mature virions. Thus, we provide additional evidence for a two-step envelopment process in herpesviruses.</t>
  </si>
  <si>
    <t>Fed Res Ctr Virus Dis Anim, Friedrich Loeffler Inst, Inst Mol Biol, D-17498 Insel Riems, Germany; Fed Res Ctr Virus Dis Anim, Friedrich Loeffler Inst, Inst Infectol, D-17498 Insel Riems, Germany</t>
  </si>
  <si>
    <t>Friedrich Loeffler Institute; Friedrich Loeffler Institute</t>
  </si>
  <si>
    <t>Mettenleiter, TC (corresponding author), Fed Res Ctr Virus Dis Anim, Friedrich Loeffler Inst, Inst Mol Biol, D-17498 Insel Riems, Germany.</t>
  </si>
  <si>
    <t>mettenleiter@rie.bfav.de</t>
  </si>
  <si>
    <t>Mettenleiter, h. c. Thomas C./U-1016-2019</t>
  </si>
  <si>
    <t>10.1128/JVI.74.21.10063-10073.2000</t>
  </si>
  <si>
    <t>WOS:000089819900029</t>
  </si>
  <si>
    <t>Seyboldt, C; Granzow, H; Osterrieder, N</t>
  </si>
  <si>
    <t>Equine herpesvirus 1 (EHV-1) glycoprotein M: Effect of deletions of transmembrane domains</t>
  </si>
  <si>
    <t>SIMPLEX VIRUS TYPE-1; TO-CELL SPREAD; AUJESZKYS-DISEASE VIRUS; UNIQUE SHORT SEGMENT; UL10 GENE-PRODUCT; PSEUDORABIES VIRUS; VIRION COMPONENT; INFECTED-CELLS; DNA-SEQUENCE; YOUNG HORSES</t>
  </si>
  <si>
    <t>Equine herpesvirus 1 (EHV-1) recombinants that carry either a deletion of glycoprotein M (gM) or express mutant forms of gM were constructed. The recombinants were derived from strain Kentucky A (KyA), which also lacks genes encoding gE and gl. Plaques on RK13 cells induced by the gM-negative KyA were reduced in size by 80%, but plaque sizes were restored to wild-type levels on gM-expressing cells. Electron microscopic studies revealed a massive defect in virus release after the deletion of gM in the gE- and gl-negative KyA, which was caused by a block in secondary envelopment of virions at Golgi vesicles. Recombinant KyA expressing mutant gM with deletions of predicted transmembrane domains was generated and characterized. It was shown that mutant gM was expressed and formed dimeric and oligomeric structures. However, subcellular localization of mutant gM proteins differed from that of wild-type gM. Mutant glycoproteins were not transported to the Golgi network and consequently were not incorporated into the envelope of extracellular virions. Also. a small plaque phenotype of mutant Viruses that was indistinguishable from that of the gM-negative KyA was observed. Plaque sizes of mutant viruses were restored to wild-type levels by plating onto RK13 cells constitutively expressing full-length EHV-1 gM, indicating that mutant proteins did not exert a transdominant negative effect on wild-type gM. (C) 2000 Academic Press.</t>
  </si>
  <si>
    <t>Fed Res Ctr Virus Dis Anim, Friedrich Loeffler Inst, Inst Mol Biol, D-17498 Insel Reims, Germany; Fed Res Ctr Virus Dis Anim, Friedrich Loeffler Inst, Inst Infectol, D-17498 Insel Reims, Germany</t>
  </si>
  <si>
    <t>Osterrieder, N (corresponding author), Fed Res Ctr Virus Dis Anim, Friedrich Loeffler Inst, Inst Mol Biol, Boddenblick 5A, D-17498 Insel Reims, Germany.</t>
  </si>
  <si>
    <t>10.1006/viro.2000.0664</t>
  </si>
  <si>
    <t>WOS:000166164300017</t>
  </si>
  <si>
    <t>Li, L; Tang, J; Zhang, BH; Yang, W; LiuGao, MY; Wang, RY; Tan, YX; Fan, JL; Chang, YX; Fu, J; Jiang, F; Chen, CY; Yang, YC; Gu, J; Wu, DM; Guo, LN; Cao, D; Li, HY; Cao, GW; Wu, MC; Zhang, MQ; Chen, L; Wang, HY</t>
  </si>
  <si>
    <t>Li, Liang; Tang, Jing; Zhang, Baohua; Yang, Wen; LiuGao, Miyang; Wang, Ruoyu; Tan, Yexiong; Fan, Jianling; Chang, Yanxin; Fu, Jing; Jiang, Feng; Chen, Caiyang; Yang, Yingcheng; Gu, Jin; Wu, Dingming; Guo, Linna; Cao, Dan; Li, Hengyu; Cao, Guangwen; Wu, Mengchao; Zhang, Michael Q.; Chen, Lei; Wang, Hongyang</t>
  </si>
  <si>
    <t>Epigenetic modification of MiR-429 promotes liver tumour-initiating cell properties by targeting Rb binding protein 4</t>
  </si>
  <si>
    <t>CANCER STEM-CELLS; RETINOBLASTOMA PROTEIN; PANCREATIC-CANCER; CARCINOMA CELLS; MICRORNAS; IDENTIFICATION; TRANSCRIPTION; EXPRESSION; LEUKEMIA; PATHWAY</t>
  </si>
  <si>
    <t>Objective Liver tumour-initiating cells (T-ICs) are critical for hepatocarcinogenesis. However, the underlying mechanism regulating the function of liver T-ICs remains unclear. Methods Tissue microarrays containing 242 hepatocellular carcinoma (HCC) samples were used for prognostic analysis. Magnetically activated cell sorting was used to isolate epithelial cell adhesion molecule (EPCAM)-positive cells. The gene expressions affected by miR-429 were determined by arrays. Co-immunoprecipitation was used to study interactions among retinoblastoma protein (RB1), Rb binding protein 4 (RBBP4) and E2F transcription factor 1 (E2F1). The DNA methylation status in CpG islands was detected by quantitative methylation analysis. miRNAs in microvesicles were isolated by a syringe filter system. Results The significant prognosis factor miR-429 was upregulated in HCC tissues and also in primary liver T-ICs isolated from clinical samples. The enrichment of miR-429 in EPCAM(+) T-ICs contributed to hepatocyte self-renewal, malignant proliferation, chemoresistance and tumorigenicity. A novel functional axis involving miR-429, RBBP4, E2F1 and POU class 5 homeobox 1 (POU5F1 or OCT4) governing the regulation of liver EPCAM(+) T-ICs was established in vitro and in vivo. The molecular mechanism regulating miR-429 expression, involving four abnormal hypomethylated sites upstream of the miR-200b/miR-200a/miR-429 cluster, was first defined in both EPCAM(+) liver T-ICs and very early-stage HCC tissues. miR-429 secreted by high-expressing cells has the potential to become a proactive signalling molecule to mediate intercellular communication. Conclusions Epigenetic modification of miR-429 can manipulate liver T-ICs by targeting the RBBP4/E2F1/OCT4 axis. This miRNA might be targeted to inactivate T-ICs, thus providing a novel strategy for HCC prevention and treatment.</t>
  </si>
  <si>
    <t>[Li, Liang; Tang, Jing; Yang, Wen; LiuGao, Miyang; Wang, Ruoyu; Tan, Yexiong; Fan, Jianling; Chang, Yanxin; Fu, Jing; Jiang, Feng; Chen, Caiyang; Yang, Yingcheng; Guo, Linna; Cao, Dan; Li, Hengyu; Chen, Lei; Wang, Hongyang] Second Mil Med Univ, Eastern Hepatobiliary Surg Inst, Int Cooperat Lab Signal Transduct, Shanghai 200438, Peoples R China; [Li, Liang; Tang, Jing; Yang, Wen; LiuGao, Miyang; Tan, Yexiong; Fu, Jing; Yang, Yingcheng; Guo, Linna; Cao, Dan; Chen, Lei; Wang, Hongyang] Natl Ctr Liver Canc, Shanghai, Peoples R China; [Zhang, Baohua; Wu, Mengchao] Second Mil Med Univ, Eastern Hepatobiliary Surg Hosp, Shanghai 200438, Peoples R China; [Fan, Jianling] Second Mil Med Univ, Changzheng Hosp, Shanghai 200438, Peoples R China; [Gu, Jin; Wu, Dingming; Zhang, Michael Q.] Tsinghua Univ, TNLIST Dept Automat, Bioinformat Div, Beijing 100084, Peoples R China; [Cao, Guangwen] Second Mil Med Univ, Dept Epidemiol, Shanghai 200438, Peoples R China; [Wang, Hongyang] Shanghai Jiao Tong Univ, Ruijing Hosp, Inst Canc, Natl Lab Oncogenes &amp; Related Genes, Shanghai 200030, Peoples R China</t>
  </si>
  <si>
    <t>Naval Medical University; Naval Medical University; Naval Medical University; Tsinghua University; Naval Medical University; Shanghai Jiao Tong University</t>
  </si>
  <si>
    <t>Wang, HY (corresponding author), Second Mil Med Univ, Eastern Hepatobiliary Surg Inst, Int Cooperat Lab Signal Transduct, 225 Changhai Rd, Shanghai 200438, Peoples R China.</t>
  </si>
  <si>
    <t>Chenlei@smmu.edu.cn; hywangk@vip.sina.com</t>
  </si>
  <si>
    <t>Chen, Lei/AAG-6304-2020; Li, Liang/AAY-9298-2020</t>
  </si>
  <si>
    <t>Li, Liang/0000-0002-9410-6513</t>
  </si>
  <si>
    <t>10.1136/gutjnl-2013-305715</t>
  </si>
  <si>
    <t>WOS:000346167700021</t>
  </si>
  <si>
    <t>Navangione, A; Rispoli, G; Gabellini, N; Carafoli, E</t>
  </si>
  <si>
    <t>Electrophysiological characterization of ionic transport by the retinal exchanger expressed in human embryonic kidney cells</t>
  </si>
  <si>
    <t>BIOPHYSICAL JOURNAL</t>
  </si>
  <si>
    <t>SODIUM-CALCIUM EXCHANGE; ROD OUTER SEGMENTS; NA-CA EXCHANGE; SARCOLEMMAL VESICLES; NA+-CA-2+ EXCHANGE; SALAMANDER RODS; LIZARD RETINA; K+</t>
  </si>
  <si>
    <t>The retinal Na+:Ca2+,K+ exchanger cDNA was transiently expressed in human embrionic kidney (HEK 293) cells by transfection with plasmid DNA. The correct targeting of the expressed protein to the plasma membrane was confirmed by immunocytochemistry. The reverse exchange current(Ca2+ imported per Na+ extruded) was measured in whole-cell voltage-clamp experiments after intracellular perfusion with Na+ (Na+, 128 mM) and extracellular perfusion with Ca2+ (Ca-0(2+), 1 mM) and K-0(+) (20 mM), As expected, the exchange current was suppressed by removing Ca-0(2+). Surprisingly, however, it was also abolished by increasing Na-0(+) to almost abolish the Na+ gradient, and it was almost unaffected by the removal of K-0(+). Apparently, then, at variance with the exchanger in the rod outer segment, the retinal exchanger expressed in 293 cells acts essentially as a Na+:Ca2+ exchanger and does not require K+ for its electrogenic activity.</t>
  </si>
  <si>
    <t>UNIV FERRARA,DIPARTIMENTO BIOL,SEZ FISIOL GEN,IST NAZL FIS MAT,I-44100 FERRARA,ITALY; UNIV PADUA,DIPARTIMENTO BIOCHIM,I-35121 PADUA,ITALY</t>
  </si>
  <si>
    <t>Consiglio Nazionale delle Ricerche (CNR); Istituto Nazionale per la Fisica della Materia (INFM-CNR); University of Ferrara; University of Padua</t>
  </si>
  <si>
    <t>Carafoli, Ernesto/K-5192-2016</t>
  </si>
  <si>
    <t>Carafoli, Ernesto/0000-0002-7826-0094</t>
  </si>
  <si>
    <t>0006-3495</t>
  </si>
  <si>
    <t>10.1016/S0006-3495(97)78046-9</t>
  </si>
  <si>
    <t>WOS:A1997XF77600005</t>
  </si>
  <si>
    <t>Liu, MX; Zhang, H; Zhang, XW; Chen, S; Yu, YL; Wang, JH</t>
  </si>
  <si>
    <t>Liu, Meng-Xian; Zhang, He; Zhang, Xue-Wei; Chen, Shuai; Yu, Yong-Liang; Wang, Jian-Hua</t>
  </si>
  <si>
    <t>Nanozyme Sensor Array Plus Solvent-Mediated Signal Amplification Strategy for Ultrasensitive Ratiometric Fluorescence Detection of Exosomal Proteins and Cancer Identification</t>
  </si>
  <si>
    <t>GRAPHITIC CARBON NITRIDE; STRANDED-DNA; NANOSHEETS; BIOSENSOR; PROTEOME; CELLS; PROBE</t>
  </si>
  <si>
    <t>Tumor exosomes with molecular marker-proteins inherited from their parent cells have emerged as a promising liquid biopsy biomarker for cancer diagnosis. However, facile, robust, and sensitive detection of exosomal proteins remains challenging. Therefore, a nanozyme sensor array is constructed by using aptamer-modified C3N4 nanosheets (Apt/C3N4 NSs) together with a solvent-mediated signal amplification strategy for ratiometric fluorescence detection of exosomal proteins. Three aptamers specific to exosomal proteins are selected to construct Apt/C3N4 NSs for high specific recognition of exosomal proteins. The adsorption of aptamers enhances the catalytic activity of C3N4 NSs as a nanozyme for oxidation of o-phenylenediamine (oPD) to 2,3-diaminophenazine (DAP). In the presence of target exosomes, the strong affinity between aptamer and exosome leads to the disintegration of Apt/C3N4 NSs, resulting in a decrease of catalytic activity, thereby reducing the production of DAP. The ratiometric fluorescence signal based on a photoinduced electron transfer (PET) effect between DAP and C3N4 NSs is dependent on the concentration of DAP generated, thus achieving highly facile and robust detection of exosomal proteins. Remarkably, the addition of organic solvent-1,4-dioxane can sensitize the luminescence of DAP without affecting the intrinsic fluorescence of C3N4 NSs, achieving the amplification of the aptamer-exosome recognition events. The detection limit for exosome is 2.5 x 10(3) particles/mL. In addition, the accurate identification of cancer can be achieved by machine learning algorithms to analyze the difference of exosomal proteins from different patients' blood. We hope that this facile, robust, sensitive, and versatile nanozyme sensor array would become a promising tool in the field of cancer diagnosis.</t>
  </si>
  <si>
    <t>[Liu, Meng-Xian; Zhang, He; Zhang, Xue-Wei; Chen, Shuai; Yu, Yong-Liang; Wang, Jian-Hua] Northeastern Univ, Coll Sci, Res Ctr Analyt Sci, Dept Chem, Shenyang 110819, Peoples R China</t>
  </si>
  <si>
    <t>Northeastern University - China</t>
  </si>
  <si>
    <t>Chen, S; Yu, YL (corresponding author), Northeastern Univ, Coll Sci, Res Ctr Analyt Sci, Dept Chem, Shenyang 110819, Peoples R China.</t>
  </si>
  <si>
    <t>10.1021/acs.analchem.1c02010</t>
  </si>
  <si>
    <t>WOS:000669858500039</t>
  </si>
  <si>
    <t>Doeuvre, L; Plawinski, L; Goux, D; Vivien, D; Angles-Cano, E</t>
  </si>
  <si>
    <t>Doeuvre, Loic; Plawinski, Laurent; Goux, Didier; Vivien, Denis; Angles-Cano, Eduardo</t>
  </si>
  <si>
    <t>Plasmin on adherent cells: from microvesiculation to apoptosis</t>
  </si>
  <si>
    <t>apoptosis; membrane blebbing; microparticle; microvesiculation; plasmin; plasminogen</t>
  </si>
  <si>
    <t>MATRIX-DEGRADING PROTEINASES; FOCAL ADHESION KINASE; IN-VITRO; CELLULAR MICROPARTICLES; ATHEROSCLEROTIC PLAQUES; EXTRACELLULAR-MATRIX; ENDOTHELIAL-CELLS; ACTIVATION; MECHANISM; MEMBRANE</t>
  </si>
  <si>
    <t>Cell activation by stressors is characterized by a sequence of detectable phenotypic cell changes. A given stimulus, depending on its strength, induces modifications in the activity of membrane phospholipid transporters and calpains, which lead to phosphatidylserine exposure, membrane blebbing and the release of microparticles (nanoscale membrane vesicles). This vesiculation could be considered as a warning signal that may be followed, if the stimulus is maintained, by cell detachment-induced apoptosis. In the present study, plasminogen incubated with adherent cells is converted into plasmin by constitutively expressed tPA (tissue-type plasminogen activator) or uPA (urokinase-type plasminogen activator). Plasmin formed on the cell membrane then induces a unique response characterized by membrane blebbing and vesiculation. Hitherto unknown for plasmin, these membrane changes are similar to those induced by thrombin on platelets. If plasmin formation persists, matrix proteins are then degraded, cells lose their attachments and enter the apoptotic process, characterized by DNA fragmentation and specific ultrastructural features. Since other proteolytic or inflammatory stimuli may evoke similar responses in different types of adherent cells, the proposed experimental procedure can be used to distinguish activated adherent cells from cells entering the apoptotic process. Such a distinction is crucial for evaluating the effects of mediators, inhibitors and potential therapeutic agents.</t>
  </si>
  <si>
    <t>[Doeuvre, Loic; Plawinski, Laurent; Vivien, Denis; Angles-Cano, Eduardo] INSERM, U919, GiP Cyceron, F-14074 Caen, France; [Doeuvre, Loic] Univ Caen Basse Normandie, Caen, France; [Plawinski, Laurent] CNRS, UMR6232, Caen, France; [Goux, Didier] Univ Caen, IFR 146, CMABIO, F-14032 Caen, France</t>
  </si>
  <si>
    <t>Institut National de la Sante et de la Recherche Medicale (Inserm); Universite de Caen Normandie; Universite de Caen Normandie; CEA; Centre National de la Recherche Scientifique (CNRS); Universite de Caen Normandie</t>
  </si>
  <si>
    <t>Angles-Cano, E (corresponding author), INSERM, U919, GiP Cyceron, Bd Henri Becquerel, F-14074 Caen, France.</t>
  </si>
  <si>
    <t>eduardo.angles-cano@inserm.fr</t>
  </si>
  <si>
    <t>ANGLES-CANO, Eduardo/G-2311-2012; ANGLES-CANO, Eduardo/ABA-1739-2020</t>
  </si>
  <si>
    <t>ANGLES-CANO, Eduardo/0000-0001-7891-3975; ANGLES-CANO, Eduardo/0000-0001-7891-3975; VIVIEN, DENIS/0000-0002-7636-2185; Plawinski, Laurent/0000-0002-5288-4413</t>
  </si>
  <si>
    <t>10.1042/BJ20100561</t>
  </si>
  <si>
    <t>WOS:000284813800015</t>
  </si>
  <si>
    <t>Jandial, R; Choy, C; Levy, D; Chen, MY; Ansari, KI</t>
  </si>
  <si>
    <t>Jandial, Rahul; Choy, Cecilia; Levy, Danielle M.; Chen, Mike Y.; Ansari, Khairul I.</t>
  </si>
  <si>
    <t>Astrocyte-induced Reelin expression drives proliferation of Her2(+) breast cancer metastases</t>
  </si>
  <si>
    <t>CLINICAL &amp; EXPERIMENTAL METASTASIS</t>
  </si>
  <si>
    <t>Breast cancer; Brain metastasis; Her2; ERBB2; Reelin; Astrocytes; Epigenetics; Triple negative breast cancer; Neural microenvironment</t>
  </si>
  <si>
    <t>BRAIN METASTASES; NERVOUS-SYSTEM; EXTRACELLULAR VESICLES; NEURAL NICHE; STEM-CELLS; PROGENITOR; PROMOTES; NEURONS; SWITCH; MOUSE</t>
  </si>
  <si>
    <t>Breast cancer metastasis to the brain develops after a clinical latency of years to even decades, suggesting that colonization of the brain is the most challenging step of the metastatic cascade. However, the underlying mechanisms used by breast cancer cells to successfully colonize the brain's microenvironment remain elusive. Reelin is an archetypal extracellular glycoprotein that regulates migration, proliferation, and lamination of neurons. It is epigenetically silenced in various cancers, and its expression in multiple myelomas is linked to poor patient survival. We found that Reelin expression was low in primary breast cancer tissue. However, its expression was significantly higher in Her2(+) breast cancers metastasizing to the brain. In particular, Reelin was highly expressed in the tumor periphery adjacent to surrounding astrocytes. This augmented Reelin expression was seen in Her2(+) metastases, but not in triple negative (TN) primary tumors or in TN breast to brain metastasis cells co-cultured with astrocytes. Furthermore, the elevated expression was sustained in Her2(+) cells grown in the presence of the DNA methyltransferase inhibitor 5-azacytidine, indicating epigenetic regulation of Reelin expression. The relative growth and rate of spheroids formation derived from Her2(+) primary and BBM cells co-cultured with astrocytes were higher than those of TN primary and BBM cells, and knockdown of both Reelin and Her2 suppressed the astrocyte-induced growth and spheroid forming ability of Her2(+) cells. Collectively, our results indicate that within the neural niche, astrocytes epigenetically regulate Reelin expression and its interaction with Her2 leading to increased proliferation and survival fitness.</t>
  </si>
  <si>
    <t>[Jandial, Rahul; Choy, Cecilia; Levy, Danielle M.; Chen, Mike Y.; Ansari, Khairul I.] Beckman Res Inst, Div Neurosurg, City Hope, 1500 E Duarte Rd, Duarte, CA 91010 USA</t>
  </si>
  <si>
    <t>City of Hope; Beckman Research Institute of City of Hope</t>
  </si>
  <si>
    <t>Jandial, R; Ansari, KI (corresponding author), Beckman Res Inst, Div Neurosurg, City Hope, 1500 E Duarte Rd, Duarte, CA 91010 USA.</t>
  </si>
  <si>
    <t>rjandial@coh.org; kansari@coh.org</t>
  </si>
  <si>
    <t>0262-0898</t>
  </si>
  <si>
    <t>1573-7276</t>
  </si>
  <si>
    <t>10.1007/s10585-017-9839-9</t>
  </si>
  <si>
    <t>WOS:000396107600007</t>
  </si>
  <si>
    <t>Cho, EA; Patterson, LT; Brookhiser, WT; Mah, S; Kintner, C; Dressler, GR</t>
  </si>
  <si>
    <t>Differential expression and function of cadherin-6 during renal epithelium development</t>
  </si>
  <si>
    <t>cadherin; kidney development; cell adhesion; proximal tubule; mouse</t>
  </si>
  <si>
    <t>CELL-ADHESION MOLECULE; MICE LACKING GDNF; KIDNEY DEVELOPMENT; COMPLEMENTARY-DNA; EMBRYONIC-CELLS; UVOMORULIN; MORPHOGENESIS; SYSTEM; FAMILY; DOMAIN</t>
  </si>
  <si>
    <t>The cadherin gene family encodes calcium-dependent adhesion molecules that promote homophilic interactions among cells. During embryogenesis, differential expression of cadherins can drive morphogenesis by stimulating cell aggregation, defining boundaries between groups of cells and promoting cell migration. In this report, the expression patterns of cadherins were examined by immunocytochemistry and in situ hybridization in the embryonic kidney, during the time when mesenchymal cells are phenotypically converted to epithelium and the pattern of the developing nephrons is established. At the time of mesenchymal induction, cadherin-11 is expressed in the mesenchyme but not in the ureteric bud epithelium, which expresses E-cadherin. The newly formed epithelium of the renal vesicle expresses E-cadherin near the ureteric bud tips and cadherin-6 more distally, suggesting that this primitive epithelium is already patterned with respect to progenitor cell types. In the s-shaped body, the cadherin expression patterns reflect the developmental fate of each region. The proximal tubule progenitors express cadherin-6, the distal tubule cells express E-cadherin, whereas the glomeruli express P-cadherin. Ultimately, cadherin-6 is down-regulated whereas E-cadherin expression remains in most, if not all, of the tubular epithelium. Antibodies generated against the extracellular domain of cadherin-6 inhibit aggregation of induced mesenchyme and the formation of mesenchyme-derived epithelium but do not disrupt ureteric bud branching in vitro. These data suggest that cadherin-6 function is required for aggregation of induced mesenchymal cells subsequent conversion to epithelium.</t>
  </si>
  <si>
    <t>Univ Michigan, Dept Pathol, Ann Arbor, MI 48109 USA; Childrens Hosp, Dept Nephrol, Cincinnati, OH 45229 USA; Salk Inst Biol Studies, La Jolla, CA 92037 USA; Univ Michigan, Howard Hughes Med Inst, Ann Arbor, MI 48109 USA</t>
  </si>
  <si>
    <t>University of Michigan System; University of Michigan; Cincinnati Children's Hospital Medical Center; Salk Institute; Howard Hughes Medical Institute; University of Michigan System; University of Michigan</t>
  </si>
  <si>
    <t>Dressler, GR (corresponding author), Univ Michigan, Dept Pathol, MSRB 1,4510,1150 W Med Ctr Dr, Ann Arbor, MI 48109 USA.</t>
  </si>
  <si>
    <t>Dressler@umich.edu</t>
  </si>
  <si>
    <t>WOS:000072761800002</t>
  </si>
  <si>
    <t>Gendlina, I; de Monerri, NS; Kim, K</t>
  </si>
  <si>
    <t>Doerfler, W; Casadesus, J</t>
  </si>
  <si>
    <t>Gendlina, Inessa; de Monerri, Natalie Silmon; Kim, Kami</t>
  </si>
  <si>
    <t>Modification of the Host Epigenome by Parasitic Protists</t>
  </si>
  <si>
    <t>EPIGENETICS OF INFECTIOUS DISEASES</t>
  </si>
  <si>
    <t>Epigenetics and Human Health</t>
  </si>
  <si>
    <t>Parasite; Protist; Host; Epigenome; Noncoding RNA; Chromatin remodeling; Histone; DNA methylation; Toxoplasma gondii; Theileria; Leishmania; Plasmodium; Cryptosporidium; Microsporidia; Eimeria</t>
  </si>
  <si>
    <t>NF-KAPPA-B; PARASITOPHOROUS VACUOLE MEMBRANE; TOXOPLASMA-GONDII INFECTION; DENSE GRANULE PROTEIN; LONG NONCODING RNAS; THEILERIA-ANNULATA; GENE-EXPRESSION; EXTRACELLULAR VESICLES; DNA METHYLATION; CELL NUCLEUS</t>
  </si>
  <si>
    <t>Protozoan parasites compose a large group of ubiquitous unicellular eukaryotic organisms that closely interact with, and frequently reside within, a larger host. These parasitic protists rely on their host for nutrients, energy, and biomaterials. The host-parasite interaction is complex, as parasites strive to achieve a delicate balance of survival and replication without inducing host death. The host, in turn, tries to protect itself by various means including activation of death pathways in order to limit parasite spread. Therefore, successful parasites have developed highly evolved tactics in order to avoid host immune recognition and intracellular killing and subvert the host to their needs. To this end, various mechanisms of hijacking of host processes via parasite-derived or secreted effectors have been described. It has recently come to light that parasites also induce alterations to the host epigenomic landscape. Changes in host DNA methylation, histone posttranslational modifications, nucleosome positioning, chromatin assembly, and regulation of transcription have been noted in the parasitized host. To date, only a few parasite-derived effectors have been shown to directly modify host chromatin, and it remains to be elucidated whether parasite-induced alterations to the host epigenomic landscape are brought on specifically by parasites or are due to the host response. Finally, while various parasites target different components of host epigenomic landscape, common themes in subversion of host pathways and process emerge. We aim to review what is known about parasite modulation of host epigenome and touch on some conserved themes in this host-parasite interplay.</t>
  </si>
  <si>
    <t>[Gendlina, Inessa; de Monerri, Natalie Silmon; Kim, Kami] Albert Einstein Coll Med, Dept Med, Bronx, NY 10461 USA; [Gendlina, Inessa; de Monerri, Natalie Silmon; Kim, Kami] Albert Einstein Coll Med, Dept Pathol, Bronx, NY 10461 USA; [Gendlina, Inessa; de Monerri, Natalie Silmon; Kim, Kami] Albert Einstein Coll Med, Dept Microbiol &amp; Immunol, Bronx, NY 10461 USA; [Gendlina, Inessa; de Monerri, Natalie Silmon; Kim, Kami] Montefiore Med Ctr, Bronx, NY 10461 USA</t>
  </si>
  <si>
    <t>Yeshiva University; Albert Einstein College of Medicine; Yeshiva University; Albert Einstein College of Medicine; Yeshiva University; Albert Einstein College of Medicine; Montefiore Medical Center; Yeshiva University; Albert Einstein College of Medicine</t>
  </si>
  <si>
    <t>Kim, K (corresponding author), Albert Einstein Coll Med, Dept Med, Bronx, NY 10461 USA.;Kim, K (corresponding author), Albert Einstein Coll Med, Dept Pathol, Bronx, NY 10461 USA.;Kim, K (corresponding author), Albert Einstein Coll Med, Dept Microbiol &amp; Immunol, Bronx, NY 10461 USA.;Kim, K (corresponding author), Montefiore Med Ctr, Bronx, NY 10461 USA.</t>
  </si>
  <si>
    <t>kami.kim@einstein.yu.edu</t>
  </si>
  <si>
    <t>2191-2262</t>
  </si>
  <si>
    <t>978-3-319-55021-3; 978-3-319-55019-0</t>
  </si>
  <si>
    <t>10.1007/978-3-319-55021-3_9</t>
  </si>
  <si>
    <t>10.1007/978-3-319-55021-3</t>
  </si>
  <si>
    <t>Genetics &amp; Heredity; Infectious Diseases</t>
  </si>
  <si>
    <t>WOS:000439792100010</t>
  </si>
  <si>
    <t>Dinh, TKT; Fendler, W; Chalubinska-Fendler, J; Acharya, SS; O'Leary, C; Deraska, PV; D'Andrea, AD; Chowdhury, D; Kozono, D</t>
  </si>
  <si>
    <t>Dinh, Tru-Khang T.; Fendler, Wojciech; Chalubinska-Fendler, Justyna; Acharya, Sanket S.; O'Leary, Colin; Deraska, Peter V.; D'Andrea, Alan D.; Chowdhury, Dipanjan; Kozono, David</t>
  </si>
  <si>
    <t>Circulating miR-29a and miR-150 correlate with delivered dose during thoracic radiation therapy for non-small cell lung cancer</t>
  </si>
  <si>
    <t>RADIATION ONCOLOGY</t>
  </si>
  <si>
    <t>Non-small cell lung cancer; microRNAs; Radiotherapy; Thoracic</t>
  </si>
  <si>
    <t>PULMONARY-FIBROSIS; PCR DATA; RADIOTHERAPY; MICRORNAS; PLASMA; IDENTIFICATION; NORMALIZATION; CHEMOTHERAPY; PNEUMONITIS; BIOMARKERS</t>
  </si>
  <si>
    <t>Background: Risk of normal tissue toxicity limits the amount of thoracic radiation therapy (RT) that can be routinely prescribed to treat non-small cell lung cancer (NSCLC). An early biomarker of response to thoracic RT may provide a way to predict eventual toxicities-such as radiation pneumonitis-during treatment, thereby enabling dose adjustment before the symptomatic onset of late effects. MicroRNAs (miRNAs) were studied as potential serological biomarkers for thoracic RT. As a first step, we sought to identify miRNAs that correlate with delivered dose and standard dosimetric factors. Methods: We performed miRNA profiling of plasma samples obtained from five patients with Stage IIIA NSCLC at five dose-points each during radical thoracic RT. Candidate miRNAs were then assessed in samples from a separate cohort of 21 NSCLC patients receiving radical thoracic RT. To identify a cellular source of circulating miRNAs, we quantified in vitro miRNA expression intracellularly and within secreted exosomes in five NSCLC and stromal cell lines. Results: miRNA profiling of the discovery cohort identified ten circulating miRNAs that correlated with delivered RT dose as well as other dosimetric parameters such as lung V20. In the validation cohort, miR-29a-3p and miR-150-5p were reproducibly shown to decrease with increasing radiation dose. Expression of miR-29a-3p and miR-150-5p in secreted exosomes decreased with radiation. This was concomitant with an increase in intracellular levels, suggesting that exosomal export of these miRNAs may be downregulated in both NSCLC and stromal cells in response to radiation. Conclusions: miR-29a-3p and miR-150-5p were identified as circulating biomarkers that correlated with delivered RT dose. miR-150 has been reported to decrease in the circulation of mammals exposed to radiation while miR-29a has been associated with fibrosis in the human heart, lungs, and kidneys. One may therefore hypothesize that outlier levels of circulating miR-29a-3p and miR-150-5p may eventually help predict unexpected responses to radiation therapy, such as toxicity.</t>
  </si>
  <si>
    <t>[Dinh, Tru-Khang T.; D'Andrea, Alan D.; Chowdhury, Dipanjan; Kozono, David] Harvard Univ, Sch Med, 25 Shattuck St, Boston, MA 02115 USA; [Dinh, Tru-Khang T.; Acharya, Sanket S.; O'Leary, Colin; Deraska, Peter V.; D'Andrea, Alan D.; Chowdhury, Dipanjan; Kozono, David] Dana Farber Canc Inst, Dept Radiat Oncol, 450 Brookline Ave, Boston, MA 02215 USA; [Fendler, Wojciech] Med Univ Lodz, Dept Biostat &amp; Translat Med, Al Kosciuszki 4, PL-90419 Lodz, Poland; [Chalubinska-Fendler, Justyna] Med Univ Lodz, Dept Radiat Oncol, Al Kosciuszki 4, PL-90419 Lodz, Poland; [D'Andrea, Alan D.] Dana Farber Canc Inst, Ctr DNA Damage &amp; Repair, 450 Brookline Ave, Boston, MA 02215 USA; [Kozono, David] Brigham &amp; Womens Hosp, Dept Radiat Oncol, 75 Francis St, Boston, MA 02115 USA</t>
  </si>
  <si>
    <t>Harvard University; Harvard University; Dana-Farber Cancer Institute; Medical University Lodz; Medical University Lodz; Harvard University; Dana-Farber Cancer Institute; Harvard University; Brigham &amp; Women's Hospital</t>
  </si>
  <si>
    <t>D'Andrea, AD; Chowdhury, D; Kozono, D (corresponding author), Harvard Univ, Sch Med, 25 Shattuck St, Boston, MA 02115 USA.;D'Andrea, AD; Chowdhury, D; Kozono, D (corresponding author), Dana Farber Canc Inst, Dept Radiat Oncol, 450 Brookline Ave, Boston, MA 02215 USA.;D'Andrea, AD (corresponding author), Dana Farber Canc Inst, Ctr DNA Damage &amp; Repair, 450 Brookline Ave, Boston, MA 02215 USA.;Kozono, D (corresponding author), Brigham &amp; Womens Hosp, Dept Radiat Oncol, 75 Francis St, Boston, MA 02115 USA.</t>
  </si>
  <si>
    <t>alan_dandrea@dfci.harvard.edu; dipanjan_chowdhury@dfci.harvard.edu; dkozono@lroc.harvard.edu</t>
  </si>
  <si>
    <t>Fendler, Wojciech Maksymilian/S-9592-2016; Fendler, Wojciech/AAG-7020-2019</t>
  </si>
  <si>
    <t>Fendler, Wojciech Maksymilian/0000-0002-5083-9168; Fendler, Wojciech/0000-0002-5083-9168; Dinh, Tru-Khang/0000-0002-9595-045X</t>
  </si>
  <si>
    <t>1748-717X</t>
  </si>
  <si>
    <t>10.1186/s13014-016-0636-4</t>
  </si>
  <si>
    <t>WOS:000374929400001</t>
  </si>
  <si>
    <t>LabatMoleur, F; Steffan, AM; Brisson, C; Perron, H; Feugeas, O; Furstenberger, P; Oberling, F; Brambilla, E; Behr, JP</t>
  </si>
  <si>
    <t>An electron microscopy study into the mechanism of gene transfer with lipopolyamines</t>
  </si>
  <si>
    <t>transfection; cationic lipids; endocytosis</t>
  </si>
  <si>
    <t>CATIONIC AMPHIPHILES; MAMMALIAN-CELLS; IN-VIVO; DNA; EXPRESSION; EFFICIENT; FUSION; LIPOSOMES; VESICLES; THERAPY</t>
  </si>
  <si>
    <t>Cationic amphiphiles have been shown to mediate gene transfer to eukaryotic cells, although the nature and fate of the lipid-DNA complexes is still a matter of debate. Negative staining transmission electron microscopy (TEM) of the complexes in physiological medium, as well as thin-section TEM of transfected cells has been sued to visualize the particles and the possible pathways leading to transgene expression. Lipopolyamines form a network of tubular micelles into which plasmid DNA is intertwined and condensed; the cationic particles contain hundreds of plasmid molecules and are heterogeneous with respect to size (0.1-0.5 mu) and shape. Adherent cells (293M, 3T3, MRC5, primary leptomeningeal cells) take them up readily within minutes by spontaneous endocytosis. Among suspension cells, lymphocytes only incidentally show cytoplasmic inclusions and monocytes degrade the particles by phagocytosis. The marked decrease in transfection efficiency generally observed between adherent and nonadherent cells is thus due to reduced cell binding. This suggests that cationic particles bind to membrane components responsible for Ca2+-mediated cell anchoring to the extracellular matrix. Cation/anion-mediated endocytosis leads to endosomes that are entirely filled with the particles. Consequently, two escape mechanisms may operate; disruption of the lamellar envelope in close contact with tubular micelles, and endosome buffering by the lipopolyamine in response to proton entry, leading to osmotic swelling and endosome rupture. Even for moderately transfected MRC5 cells, 10(2)-10(3) particles are found either free or in cytoplasmic vacuoles 24 h after transfection, highlighting a very inefficient nuclear translocation process. Such high numbers are also the clue to the small concentration window between transfection and cytotoxicity that is often observed with nonviral vectors. Nuclear particle inclusions are sometimes seen, yet it is unclear whether plasmid uncoating (before expression) takes place by anion exchange in the cytoplasm or in the nucleus. The still lower efficiency of free plasmid translocation to the nucleus suggests an active role for the cationic lipid during this step. Although the last stages of the transfection mechanism remain unclear, the present work shows that the major barrier which hampers in vitro gene delivery with cationic vectors is nuclear translocation (and cell entry for nonadherent cells), providing precise targets for the design of improved nonviral vectors.</t>
  </si>
  <si>
    <t>UNIV LOUIS PASTEUR STRASBOURG 1,FAC PHARM,LAB CHIM GENET,CNRS,F-67401 ILLKIRCH GRAFFENS,FRANCE; CHU GRENOBLE,PATHOL CELLULAIRE LAB,F-38043 GRENOBLE,FRANCE; INST VIROL,INSERM,U74,STRASBOURG,FRANCE; ECOLE NORMALE SUPER,UMR 103 CNRS BIOMERIEUX,LYON,FRANCE; EUROTHERA,STRASBOURG,FRANCE; INST HEMATOL,STRASBOURG,FRANCE</t>
  </si>
  <si>
    <t>Centre National de la Recherche Scientifique (CNRS); UDICE-French Research Universities; Universites de Strasbourg Etablissements Associes; Universite de Strasbourg; CHU Grenoble Alpes; Communaute Universite Grenoble Alpes; UDICE-French Research Universities; Universite Grenoble Alpes (UGA); Institut National de la Sante et de la Recherche Medicale (Inserm); UDICE-French Research Universities; Universites de Strasbourg Etablissements Associes; Universite de Strasbourg; Ecole Normale Superieure de Lyon (ENS de LYON)</t>
  </si>
  <si>
    <t>Brambilla, Elisabeth MP/L-8796-2013; Perron, Herve/AAN-5887-2020</t>
  </si>
  <si>
    <t>Perron, Herve/0000-0002-2551-7685</t>
  </si>
  <si>
    <t>WOS:A1996VR64300010</t>
  </si>
  <si>
    <t>Rossi, D; Condoluci, A; Spina, V; Gaidano, G</t>
  </si>
  <si>
    <t>Malek, SN</t>
  </si>
  <si>
    <t>Rossi, Davide; Condoluci, Adalgisa; Spina, Valeria; Gaidano, Gianluca</t>
  </si>
  <si>
    <t>Methods for Measuring ctDNA in Lymphomas</t>
  </si>
  <si>
    <t>CHRONIC LYMPHOCYTIC LEUKEMIA: Methods and Protocols</t>
  </si>
  <si>
    <t>cfDNA; Next-generation sequencing; Lymphomas; Liquid biopsy; Genotyping</t>
  </si>
  <si>
    <t>CELL-FREE DNA; CIRCULATING TUMOR DNA; BLOOD-PROCESSING PROTOCOLS; GENOMIC DNA; PLASMA; CANCER; SERUM; QUANTIFICATION; ORIGIN; EXOSOMES</t>
  </si>
  <si>
    <t>Plasma cell-free DNA (cfDNA) is an easily accessible source of tumor DNA that allows accurate profiling of lymphoma patients, representing a complementary source of tumor DNA to tissue biopsy for genotyping. Applications of cfDNA analysis in lymphomas include: (1) identification of tumor mutations in a biopsyfree manner; (2) tracking tumor clonal evolution and identification of mutations causing resistance to treatment; and (3) monitoring of residual disease after therapy.</t>
  </si>
  <si>
    <t>[Rossi, Davide; Condoluci, Adalgisa] Oncol Inst Southern Switzerland, Div Hematol, Bellinzona, Switzerland; [Rossi, Davide; Condoluci, Adalgisa; Spina, Valeria] Inst Oncol Res, Lab Expt Hematol, Bellinzona, Switzerland; [Gaidano, Gianluca] Univ Piemonte Orientale, Div Hematol, Dept Translat Med, Novara, Italy</t>
  </si>
  <si>
    <t>Institute of Oncology Research (IOR); Institute of Oncology Research (IOR); University of Eastern Piedmont Amedeo Avogadro</t>
  </si>
  <si>
    <t>Rossi, D (corresponding author), Oncol Inst Southern Switzerland, Div Hematol, Bellinzona, Switzerland.;Rossi, D (corresponding author), Inst Oncol Res, Lab Expt Hematol, Bellinzona, Switzerland.</t>
  </si>
  <si>
    <t>Gaidano, Gianluca/AAW-2773-2021</t>
  </si>
  <si>
    <t>Gaidano, Gianluca/0000-0002-4681-0151</t>
  </si>
  <si>
    <t>978-1-4939-8876-1; 978-1-4939-8875-4</t>
  </si>
  <si>
    <t>10.1007/978-1-4939-8876-1_19</t>
  </si>
  <si>
    <t>10.1007/978-1-4939-8876-1</t>
  </si>
  <si>
    <t>Biochemistry &amp; Molecular Biology; Oncology; Hematology</t>
  </si>
  <si>
    <t>WOS:000683074300020</t>
  </si>
  <si>
    <t>Aizel, K; Fouillet, Y; Pudda, C</t>
  </si>
  <si>
    <t>Aizel, K.; Fouillet, Y.; Pudda, C.</t>
  </si>
  <si>
    <t>Electropreconcentration of nanoparticles using a radial micro-nanofluidic device</t>
  </si>
  <si>
    <t>JOURNAL OF NANOPARTICLE RESEARCH</t>
  </si>
  <si>
    <t>Radial nanochannels; Electropreconcentration; Nanobeads; Electrophoresis; Biomedical applications</t>
  </si>
  <si>
    <t>DNA; PRECONCENTRATION; TRANSPORT; SENSITIVITY; ENRICHMENT</t>
  </si>
  <si>
    <t>We have developed a radial silicon micro-nanofluidic device in order to investigate strong nanoparticles electropreconcentration. The device is called ring like device and exhibits a circular micro-nanojunction. Hundred-nanometer-deep radial nanochannels were fabricated using standard photolithography and etching techniques. Ion permselectivity is one of the major proprieties of nanofluidic devices. Within the influence of an electric field through an ion-selective nanochannel, nanoparticle repulsion and concentration appear at the anodic and cathodic side, respectively. Here, the cathodic preconcentration is exploited to enriched 50-nm nanoparticles samples. Up to 800, enrichment factor is reached in 1 h of experiment. This scheme could be useful for the enrichment of bionanoparticles (such as viruses or exosomes for instance) which can be critical for several biomedical applications.</t>
  </si>
  <si>
    <t>[Aizel, K.; Fouillet, Y.; Pudda, C.] CEA LETI, Technol Healthcare &amp; Biol Div, F-38054 Grenoble, France</t>
  </si>
  <si>
    <t>CEA</t>
  </si>
  <si>
    <t>Aizel, K (corresponding author), CEA LETI, Technol Healthcare &amp; Biol Div, MINATEC Campus,17 Rue Martyrs, F-38054 Grenoble, France.</t>
  </si>
  <si>
    <t>koceila.aizel@gmail.com</t>
  </si>
  <si>
    <t>Fouillet, Yves/0000-0001-6392-0638</t>
  </si>
  <si>
    <t>1388-0764</t>
  </si>
  <si>
    <t>1572-896X</t>
  </si>
  <si>
    <t>10.1007/s11051-014-2731-5</t>
  </si>
  <si>
    <t>WOS:000346696900065</t>
  </si>
  <si>
    <t>Baker, LA; Lee, KCL; Jimenez, CP; Alibhai, H; Chang, YM; Leckie, PJ; Mookerjee, RP; Davies, NA; Andreola, F; Jalan, R</t>
  </si>
  <si>
    <t>Baker, Luisa A.; Lee, Karla C. L.; Jimenez, Carolina Palacios; Alibhai, Hatim; Chang, Yu-Mei; Leckie, Pamela J.; Mookerjee, Rajeshwar P.; Davies, Nathan A.; Andreola, Fausto; Jalan, Rajiv</t>
  </si>
  <si>
    <t>Circulating microRNAs Reveal Time Course of Organ Injury in a Porcine Model of Acetaminophen-Induced Acute Liver Failure</t>
  </si>
  <si>
    <t>ACUTE KIDNEY INJURY; INDUCED HEPATOTOXICITY; BIOMARKERS; CANCER; EXPRESSION; PROGNOSIS; THERAPY; MARKERS; GENES; MICE</t>
  </si>
  <si>
    <t>Acute liver failure is a rare but catastrophic condition which can progress rapidly to multi-organ failure. Studies investigating the onset of individual organ injury such as the liver, kidneys and brain during the evolution of acute liver failure, are lacking. MicroRNAs are short, non-coding strands of RNA that are released into the circulation following tissue injury. In this study, we have characterised the release of both global microRNA and specific microRNA species into the plasma using a porcine model of acetaminophen-induced acute liver failure. Pigs were induced to acute liver failure with oral acetaminophen over 19h +/- 2h and death occurred 13h +/- 3h thereafter. Global microRNA concentrations increased 4h prior to acute liver failure in plasma (P&lt;0.0001) but not in isolated exosomes, and were associated with increasing plasma levels of the damage-associated molecular pattern molecule, genomic DNA (P&lt;0.0001). MiR122 increased around the time of onset of acute liver failure (P&lt;0.0001) and was associated with increasing international normalised ratio (P&lt;0.0001). MiR192 increased 8h after acute liver failure (P&lt;0.0001) and was associated with increasing creatinine (P&lt;0.0001). The increase in miR124-1 occurred concurrent with the pre-terminal increase in intracranial pressure (P&lt;0.0001) and was associated with decreasing cerebral perfusion pressure (P&lt;0.002).</t>
  </si>
  <si>
    <t>[Baker, Luisa A.; Lee, Karla C. L.; Jimenez, Carolina Palacios; Alibhai, Hatim; Chang, Yu-Mei] Royal Vet Coll, Dept Clin Sci &amp; Serv, Hatfield, Herts, England; [Leckie, Pamela J.; Mookerjee, Rajeshwar P.; Davies, Nathan A.; Andreola, Fausto; Jalan, Rajiv] UCL, Sch Med, Royal Free Hosp, Liver Failure Grp,Inst Liver &amp; Digest Hlth, London W1N 8AA, England</t>
  </si>
  <si>
    <t>University of London; University of London Royal Veterinary College; University of London; University College London; Royal Free London NHS Foundation Trust; UCL Medical School</t>
  </si>
  <si>
    <t>Jalan, R (corresponding author), UCL, Sch Med, Royal Free Hosp, Liver Failure Grp,Inst Liver &amp; Digest Hlth, Mortimer St, London W1N 8AA, England.</t>
  </si>
  <si>
    <t>r.jalan@ucl.ac.uk</t>
  </si>
  <si>
    <t>Andreola, Fausto/L-2972-2018</t>
  </si>
  <si>
    <t>Andreola, Fausto/0000-0003-4926-0121; Mookerjee, Rajeshwar/0000-0002-6275-9384; , Luisa/0000-0002-4526-5868</t>
  </si>
  <si>
    <t>e0128076</t>
  </si>
  <si>
    <t>10.1371/journal.pone.0128076</t>
  </si>
  <si>
    <t>WOS:000355185600109</t>
  </si>
  <si>
    <t>Chen, ZM; Schubert, P; Bakkour, S; Culibrk, B; Busch, MP; Devine, DV</t>
  </si>
  <si>
    <t>Chen, Zhongming; Schubert, Peter; Bakkour, Sonia; Culibrk, Brankica; Busch, Michael P.; Devine, Dana V.</t>
  </si>
  <si>
    <t>p38 mitogen-activated protein kinase regulates mitochondrial function and microvesicle release in riboflavin- and ultraviolet light-treated apheresis platelet concentrates</t>
  </si>
  <si>
    <t>PERMEABILITY TRANSITION PORE; PATHOGEN REDUCTION TREATMENT; BLOOD COMPONENTS; OXIDATIVE STRESS; CELL-DEATH; APOPTOSIS; MICROPARTICLES; INACTIVATION; STORAGE; PLASMA</t>
  </si>
  <si>
    <t>BACKGROUND: Biochemical analyses of mechanisms triggered in platelets (PLTs) upon pathogen inactivation (PI) are crucial to further understand the impact of PI on PLT functionality and, subsequently, quality. STUDY DESIGN AND METHODS: PLT concentrates (PCs) were split into four small illumination bags: 1) untreated control, 2) treated with riboflavin and ultraviolet light (RF/UV), and spiked with 3) solvent control dimethyl sulfoxide and 4) p38 mitogen-activated protein kinase (MAPK) inhibitor SB203580 before RF/UV treatment. Flow cytometry was used to monitor PLT mitochondrial potential (Delta Psi(m)); generation of intracellular reactive oxygen species (ROS); and release of microvesicles (MVs), mitochondria (MT), and MVs containing MT (MVs/MT). Quantitative polymerase chain reaction (qPCR) was used to quantify extracellular mitochondrial DNA (mtDNA). Translocation of selected mitochondrial proteins was analyzed in subcellular fractions by immunoblot. RESULTS: RF/UV treatment triggered an increased mitochondrial translocation of both Bax and Bid (p&lt; 0.05, Day 7) and cytochrome c release (p&lt; 0.01, Day 7), loss of Delta Psi(m) (p&lt; 0.05, Day 5 and Day 7), and ROS generation (p&lt; 0.01, Day 5 and Day 7) in PCs compared to the untreated control during storage. These PI-triggered changes were inhibited by SB203580 (p&lt; 0.05). The release of MVs, MT, and MVs/MT was increased upon the RF/UV treatment during storage (p&lt; 0.05) and, with the exception of MT, the release was decreased by the inhibitor (p&lt; 0.05). qPCR analysis showed that RF/UV does not trigger mtDNA release during storage. CONCLUSION: These findings further our understanding of mechanisms in PLTs initiated by the RF/UV treatment, demonstrating that this treatment induces p38 MAPK-dependent mitochondrial signaling and MV release in apheresis PCs.</t>
  </si>
  <si>
    <t>[Chen, Zhongming; Schubert, Peter; Culibrk, Brankica; Devine, Dana V.] Univ British Columbia, Ctr Innovat, Canadian Blood Serv, Vancouver, BC, Canada; [Chen, Zhongming; Schubert, Peter; Culibrk, Brankica; Devine, Dana V.] Univ British Columbia, Ctr Blood Res, Vancouver, BC, Canada; [Schubert, Peter; Devine, Dana V.] Univ British Columbia, Dept Pathol &amp; Lab Med, Vancouver, BC, Canada; [Bakkour, Sonia; Busch, Michael P.] Univ Calif San Francisco, Blood Syst Res Inst, San Francisco, CA 94143 USA; [Busch, Michael P.] Univ Calif San Francisco, Dept Lab Med, San Francisco, CA 94143 USA</t>
  </si>
  <si>
    <t>Canadian Blood Services; University of British Columbia; University of British Columbia; University of British Columbia; University of California System; University of California San Francisco; Vitalant; Vitalant Research Institute; University of California System; University of California San Francisco</t>
  </si>
  <si>
    <t>Devine, DV (corresponding author), UBC Ctr Blood Res, Canadian Blood Serv, 2350 Hlth Sci Mall, Vancouver, BC V6T 1Z3, Canada.</t>
  </si>
  <si>
    <t>dana.devine@blood.ca</t>
  </si>
  <si>
    <t>Devine, Dana/0000-0002-9059-0344</t>
  </si>
  <si>
    <t>10.1111/trf.14035</t>
  </si>
  <si>
    <t>WOS:000402875300016</t>
  </si>
  <si>
    <t>Sun, ZW; Li, J; Tong, Y; Zhao, L; Zhou, XY; Li, H; Wang, CX; Du, LT; Jiang, YY</t>
  </si>
  <si>
    <t>Sun, Zhiwei; Li, Juan; Tong, Yao; Zhao, Li; Zhou, Xiaoyu; Li, Hui; Wang, Chuanxin; Du, Lutao; Jiang, Yanyan</t>
  </si>
  <si>
    <t>Ratiometric Fluorescence Detection of Colorectal Cancer-Associated Exosomal miR-92a-3p with DSN-Assisted Signal Amplification by a MWCNTs@Au NCs Nanoplatform</t>
  </si>
  <si>
    <t>multi-walled carbon nanotubes; Au nanoclusters; biosensor; ratiometric fluorescence; duplex-specific nuclease; exosomal miRNA</t>
  </si>
  <si>
    <t>LABEL-FREE; ONE-STEP; MICRORNAS; MIRNA; RECOGNITION; COMBINATION; SENSOR</t>
  </si>
  <si>
    <t>The detection of miRNA shows great promise in disease diagnosis. In this work, a ratiometric fluorescent biosensor based on multi-walled carbon nanotubes@gold nanoclusters (MWCNTs@Au NCs) and duplex-specific nuclease (DSN)-assisted signal amplification was fabricated for miRNA detection. Colorectal cancer (CRC)-associated miR-92a-3p extracted from exosomes was selected as the target. MWCNTs@Au NCs performs the dual functions of fluorescence quencher and internal fluorescence reference. In the absence of miR-92a-3p, an Atto-425-modified single-stranded DNA probe is adsorbed on MWCNTs@Au NCs, resulting in the quenching of Atto-425. In the presence of miR-92a-3p, the duplex is formed by hybridization of the probe and miR-92a-3p and leaves the MWCNTs@Au NCs, resulting in the fluorescence recovery of Atto-425. DSN can cleave the probe and result in the release of miR-92a-3p. The released miR-92a-3p can hybridize with other probes to form a signal amplification cycle. The fluorescence of MWCNTs@Au NCs remains stable and constitutes a ratiometric fluorescence system with that of Atto-425. A detection concentration interval of 0.1-10 pM and a limit of detection of 31 fM was obtained under optimized measurement conditions. In addition, the accuracy of the biosensor was validated by detecting the concentration of miR-92a-3p extracted from clinical exosome samples.</t>
  </si>
  <si>
    <t>[Sun, Zhiwei; Zhao, Li; Zhou, Xiaoyu; Li, Hui; Jiang, Yanyan] Shandong Univ, Minist Educ, Key Lab Liquid Solid Struct Evolut &amp; Proc Mat, Jinan 250061, Peoples R China; [Sun, Zhiwei; Jiang, Yanyan] Shandong Univ, Shenzhen Res Inst, Shenzhen 518057, Peoples R China; [Li, Juan; Tong, Yao; Wang, Chuanxin; Du, Lutao] Shandong Univ, Hosp 2, Cheeloo Coll Med, Dept Clin Lab, Jinan 250033, Peoples R China; [Wang, Chuanxin] Shandong Engn &amp; Technol Res Ctr Tumor Marker Dete, Jinan 250033, Peoples R China; [Wang, Chuanxin] Shandong Prov Clin Med Res Ctr Clin Lab, Jinan 250033, Peoples R China</t>
  </si>
  <si>
    <t>Shandong University; Shandong University; Shandong University</t>
  </si>
  <si>
    <t>Jiang, YY (corresponding author), Shandong Univ, Minist Educ, Key Lab Liquid Solid Struct Evolut &amp; Proc Mat, Jinan 250061, Peoples R China.;Jiang, YY (corresponding author), Shandong Univ, Shenzhen Res Inst, Shenzhen 518057, Peoples R China.;Du, LT (corresponding author), Shandong Univ, Hosp 2, Cheeloo Coll Med, Dept Clin Lab, Jinan 250033, Peoples R China.</t>
  </si>
  <si>
    <t>sun_zhiwei@mail.sdu.edu.cn; niderouke@163.com; tooong1997@126.com; 202020473@mail.sdu.edu.cn; zhouxiaoyu322@163.com; lihuilmy@hotmail.com; cxwang@sdu.edu.cn; lutaodu@sdu.edu.cn; yanyan.jiang@sdu.edu.cn</t>
  </si>
  <si>
    <t>10.3390/bios12070533</t>
  </si>
  <si>
    <t>WOS:000833078500001</t>
  </si>
  <si>
    <t>Xie, YF; Wu, J; Xu, AZ; Ahmeqd, S; Sami, A; Chibbar, R; Freywald, A; Zheng, CY; Xiang, J</t>
  </si>
  <si>
    <t>Xie, Yufeng; Wu, Jie; Xu, Aizhang; Ahmeqd, Shahid; Sami, Amer; Chibbar, Rajni; Freywald, Andrew; Zheng, Changyu; Xiang, Jim</t>
  </si>
  <si>
    <t>Heterologous human/rat HER2-specific exosome-targeted T cell vaccine stimulates potent humoral and CTL responses leading to enhanced circumvention of HER2 tolerance in double transgenic HLA-A2/HER2 mice</t>
  </si>
  <si>
    <t>VACCINE</t>
  </si>
  <si>
    <t>Heterozygous HER2; T cell vaccine; Antibody; CTL; Tolerance; Transgenic HER2 mice</t>
  </si>
  <si>
    <t>METASTATIC BREAST-CANCER; MHC CLASS-II; CD8(+) T; ANTITUMOR RESPONSES; IMMUNE-RESPONSES; DNA VACCINATION; DENDRITIC CELLS; TUMOR; HER-2/NEU; TRASTUZUMAB</t>
  </si>
  <si>
    <t>DNA vaccines composed of heterologous human HER2 and rat neu sequences induce stronger antibody response and protective antitumor immunity than either HER2 or neu DNA vaccines in transgenic mice. We previously developed HER2-specific exosome-targeted T-cell vaccine HER2-T-EXO capable of stimulating HER2-specific CD8(+) T-cell responses, but only leading to partial protective immunity in double-transgenic HLA-A2/HER2 mice with self-immune tolerance to HER2. Here, we constructed an adenoviral vector AdV(HuRt) expressing HuRt fusion protein composed of NH2-HER2(1-407) (Hu) and COOH-neu(408-690) (Rt) fragments, and developed a heterologous human/rat HER2-specific exosome-targeted T-cell vaccine HuRt-T-EXO using polyclonal CD4(+) T-cells uptaking exosomes released by AdV(HuRt)-transfected dendritic cells. We found that the HuRt-T-EXO vaccine stimulates enhanced CD4+ T-cell responses leading to increased induction of HER2-specific antibody (similar to 70 g/ml) compared to that (similar to 40 mu g/ml) triggered by the homologous HER2-T-EXO vaccine. By using PE-H-2K(d)/HER2(23-71) tetramer, we determined that HuRt-T-EXO stimulates stronger HER2-specific CD8(+) T-cell responses eradicating 90% of HER2-specific target cells, while HER2-T-EXO-induced CD8(+) T-cell responses only eliminating 53% targets. Furthermore, HuRt-T-EXO but not HER2-T-EXO vaccination, is capable of suppressing early stage-established HER2-expressing 4T1(HER2) breast cancer in its lung metastasis or subcutaneous form in BALB/c mice, and of completely protecting transgenic HLA-A2/HER2 mice from growth of HLA-A2/HER2-expressing BL6-10(A2/HEx2) melanoma. HuRt-T-EXO-stimulated HER2-specific CD8(+) T-cells not only are cytolytic to trastuzumab-resistant HLA-A2/HER2-expressing BT474/A2 breast tumor cells in vitro but also eradicates pre-established BT474/A2 tumors in athymic nude mice. Therefore, our novel heterologous human/rat HER2-specific T-cell vaccine HuRt-T-EXO, circumventing HER2 tolerance, may provide a new therapeutic alternative for patients with trastuzumab-resistant HER2(+) breast tumor. (C) 2018 Elsevier Ltd. All rights reserved.</t>
  </si>
  <si>
    <t>[Xie, Yufeng; Wu, Jie; Xu, Aizhang; Xiang, Jim] Saskatchewan Canc Agcy, Canc Res, Regina, SK, Canada; [Xie, Yufeng; Wu, Jie; Xu, Aizhang; Ahmeqd, Shahid; Sami, Amer; Xiang, Jim] Univ Saskatchewan, Dept Oncol, Saskatoon, SK, Canada; [Chibbar, Rajni; Freywald, Andrew] Univ Saskatchewan, Dept Pathol, Saskatoon, SK, Canada; [Xie, Yufeng; Wu, Jie] Soochow Univ, Affiliated Hosp 1, Dept Oncol, Suzhou, Peoples R China; [Zheng, Changyu] Natl Inst Dent Craniofacial Res, Mol Physiol &amp; Therapeut Branch, NIH, Bethesda, MD USA</t>
  </si>
  <si>
    <t>University of Saskatchewan; University of Saskatchewan; Soochow University - China; National Institutes of Health (NIH) - USA; NIH National Institute of Dental &amp; Craniofacial Research (NIDCR)</t>
  </si>
  <si>
    <t>Xiang, J (corresponding author), 4D30-1,107 Wiggins Rd, Saskatoon, SK S7N 5E5, Canada.</t>
  </si>
  <si>
    <t>jim.xiang@usask.ca</t>
  </si>
  <si>
    <t>Wu, Jie/0000-0001-8141-9417</t>
  </si>
  <si>
    <t>0264-410X</t>
  </si>
  <si>
    <t>1873-2518</t>
  </si>
  <si>
    <t>10.1016/j.vaccine.2018.01.078</t>
  </si>
  <si>
    <t>WOS:000427212900013</t>
  </si>
  <si>
    <t>Banfield, BW</t>
  </si>
  <si>
    <t>Banfield, Bruce W.</t>
  </si>
  <si>
    <t>Beyond the NEC: Modulation of Herpes Simplex Virus Nuclear Egress by Viral and Cellular Components</t>
  </si>
  <si>
    <t>Herpes simplex virus; Virion assembly; Nuclear egress</t>
  </si>
  <si>
    <t>VERTEX-SPECIFIC COMPONENT; PRIMARY ENVELOPMENT; PSEUDORABIES VIRUS; VESICLE FORMATION; STRUCTURAL BASIS; HERPES-SIMPLEX-VIRUS-1 U(L)31; CRYSTAL-STRUCTURE; VIRION ENVELOPE; PROTEIN-KINASE; UL25 PROTEIN</t>
  </si>
  <si>
    <t>Purpose of Review Herpesvirus virions are complex molecular machines that, like most viruses, must be stable in the extracellular environment yet disassemble readily upon receipt of the appropriate molecular cues. While we have learned much about the assembly and composition of these fascinating particles, many central questions remain unanswered. Recent Findings This review focuses on an early stage in herpesvirus assembly called nuclear egress whereby viral DNA genomes packaged within an icosahedral protein capsid are translocated from the nucleoplasm across both the inner and outer nuclear membranes to reach the cytoplasm where the final stages of virion maturation take place. Summary Here, I provide an overview of our current understanding of herpes simplex virus nuclear egress, the hurdles that the virus must overcome during nuclear egress, and discuss the literature pointing to the regulation and facilitation of this process by viral and cellular components.</t>
  </si>
  <si>
    <t>[Banfield, Bruce W.] Queens Univ, Dept Biomed &amp; Mol Sci, Kingston, ON, Canada</t>
  </si>
  <si>
    <t>Queens University - Canada</t>
  </si>
  <si>
    <t>Banfield, BW (corresponding author), Queens Univ, Dept Biomed &amp; Mol Sci, Kingston, ON, Canada.</t>
  </si>
  <si>
    <t>bruce.banfield@queensu.ca</t>
  </si>
  <si>
    <t>10.1007/s40588-019-0112-7</t>
  </si>
  <si>
    <t>WOS:000463790100001</t>
  </si>
  <si>
    <t>Zhang, YF; Chen, J; Yang, HH; Yin, W; Li, CR; Xu, YZ; Liu, SY; Dai, Z; Zou, XY</t>
  </si>
  <si>
    <t>Zhang, Yanfei; Chen, Jun; Yang, Huihui; Yin, Wen; Li, Chunrong; Xu, Yuzhi; Liu, Si-Yang; Dai, Zong; Zou, Xiaoyong</t>
  </si>
  <si>
    <t>Light-Controlled Recruitable Hybridization Chain Reaction on Exosome Vehicles for Highly Sensitive MicroRNA Imaging in Living Cells</t>
  </si>
  <si>
    <t>ROLLING CIRCLE AMPLIFICATION; IN-SITU; QUANTIFICATION</t>
  </si>
  <si>
    <t>Sensitive imaging of intracellular microRNA (miRNA) in living cells is of great significance. Isothermal hybridization chain reaction (HCR)-based methods, although have been widely used to monitor intracellular low-abundance miRNA, are still subjected to the challenges of limited signal amplification efficiency and compromised imaging resolution. In this work, we design a light controlled recruitable HCR (LCR-HCR) strategy that enables us to well overcome these limitations. Exosomes as delivery and recruitment vehicles are modified with three cholesterol-modified hairpins (H-1, H-2, and H-3), in which H-1 is for anchoring target miRNA and H-2 and H-3 with photocleavable linkers (PC-linkers) are designed for spatiotemporal HCR. By controllably releasing probes with high local concentrations to efficiently trigger HCR and further recruiting the generated double-stranded DNA (dsDNA) polymers instead of dispersion in the cytoplasm, the LCR-HCR method can significantly improve the imaging contrast by confining all of the reactants on exosome vehicles. For a proof-of-concept demonstration, the miR-21 was analyzed by LCR-HCR with a limit of detection (LOD) down to 3.3 pM (corresponding to 165 amol per 50 mu L) in vitro and four times higher response than traditional HCR in vivo. In general, the LCR-HCR method provides a powerful tool for sensitive miRNA imaging in living cells and cancer diagnosis.</t>
  </si>
  <si>
    <t>[Zhang, Yanfei; Yang, Huihui; Yin, Wen; Li, Chunrong; Zou, Xiaoyong] Sun Yat Sen Univ, Sch Chem, Guangzhou 510275, Peoples R China; [Chen, Jun] Southern Med Univ, Sch Pharmaceut Sci, Guangzhou 510515, Peoples R China; [Xu, Yuzhi] Sun Yat Sen Univ, Affiliated Hosp 7, Sci Res Ctr, Shenzhen 518107, Peoples R China; [Liu, Si-Yang] Sun Yat Sen Univ, Sch Biomed Engn, Guangdong Prov Key Lab Sensing Technol &amp; Biomed I, Shenzhen 518107, Guangdong, Peoples R China; [Dai, Zong] Sun Yat Sen Univ, Guangdong Prov Key Lab Sensing Technol &amp; Biomed I, Shenzhen 518107, Peoples R China</t>
  </si>
  <si>
    <t>Sun Yat Sen University; Southern Medical University - China; Sun Yat Sen University; Sun Yat Sen University; Sun Yat Sen University</t>
  </si>
  <si>
    <t>Zou, XY (corresponding author), Sun Yat Sen Univ, Sch Chem, Guangzhou 510275, Peoples R China.;Liu, SY (corresponding author), Sun Yat Sen Univ, Sch Biomed Engn, Guangdong Prov Key Lab Sensing Technol &amp; Biomed I, Shenzhen 518107, Guangdong, Peoples R China.;Dai, Z (corresponding author), Sun Yat Sen Univ, Guangdong Prov Key Lab Sensing Technol &amp; Biomed I, Shenzhen 518107, Peoples R China.</t>
  </si>
  <si>
    <t>liusiyang@mail.sysu.edu.cn; daizong@mail.sysu.edu.cn; ceszxy@mail.sysu.edu.cn</t>
  </si>
  <si>
    <t>Liu, Si-Yang/0000-0001-8377-2396; Dai, Zong/0000-0002-3646-7396</t>
  </si>
  <si>
    <t>10.1021/acs.analchem.2c00974</t>
  </si>
  <si>
    <t>WOS:000821844200001</t>
  </si>
  <si>
    <t>Inoue, S; Takata, T; Nakazawa, Y; Nakamura, Y; Guo, X; Yamada, S; Ishigaki, Y; Takeuchi, M; Miyazawa, K</t>
  </si>
  <si>
    <t>Inoue, Shinya; Takata, Takanobu; Nakazawa, Yusuke; Nakamura, Yuka; Guo, Xin; Yamada, Sohsuke; Ishigaki, Yasuhito; Takeuchi, Masayoshi; Miyazawa, Katsuhito</t>
  </si>
  <si>
    <t>Potential of an Interorgan Network Mediated by Toxic Advanced Glycation End-Products in a Rat Model</t>
  </si>
  <si>
    <t>toxic advanced glycation end-products (TAGE); high-fructose corn syrup (HFCS); serum levels of TAGE; intracellular TAGE; lifestyle-related diseases (LSRD); kidney; microarray</t>
  </si>
  <si>
    <t>Excessive intake of glucose and fructose in beverages and foods containing high-fructose corn syrup (HFCS) plays a significant role in the progression of lifestyle-related diseases (LSRD). Glyceraldehyde-derived advanced glycation end-products (AGEs), which have been designated as toxic AGEs (TAGE), are involved in LSRD progression. Understanding of the mechanisms underlying the effects of TAGE on gene expression in the kidneys remains limited. In this study, DNA microarray analysis and quantitative real-time polymerase chain reaction (PCR) were used to investigate whether HFCS-consuming Wister rats generated increased intracellular serum TAGE levels, as well as the potential role of TAGE in liver and kidney dysfunction. HFCS consumption resulted in significant accumulation of TAGE in the serum and liver of rats, and induced changes in gene expression in the kidneys without TAGE accumulation or upregulation of receptor for AGEs (RAGE) upregulation. Changes in specific gene expression profiles in the kidney were more correlated with TAGE levels in the liver tissue than in the serum. These findings suggest a direct or indirect interaction may be present between the liver and kidneys that does not involve serum TAGE or RAGE. The involvement of internal signal transduction factors such as exosomes or cytokines without IL-1 beta and TNF-alpha is suggested to contribute to the observed changes in kidney gene expression.</t>
  </si>
  <si>
    <t>[Inoue, Shinya; Nakazawa, Yusuke; Miyazawa, Katsuhito] Kanazawa Med Univ, Dept Urol, Uchinada, Ishikawa 9200293, Japan; [Takata, Takanobu; Takeuchi, Masayoshi] Kanazawa Med Univ, Med Res Inst, Dept Adv Med, Uchinada, Ishikawa 9200293, Japan; [Nakamura, Yuka; Ishigaki, Yasuhito] Kanazawa Med Univ, Med Res Inst, Dept Life Sci, Div Mol &amp; Cell Biol, Uchinada, Ishikawa 9200293, Japan; [Guo, Xin; Yamada, Sohsuke] Kanazawa Med Univ, Dept Pathol &amp; Lab Med, Uchinada, Ishikawa 9200293, Japan</t>
  </si>
  <si>
    <t>Kanazawa Medical University; Kanazawa Medical University; Kanazawa Medical University; Kanazawa Medical University</t>
  </si>
  <si>
    <t>Inoue, S (corresponding author), Kanazawa Med Univ, Dept Urol, Uchinada, Ishikawa 9200293, Japan.</t>
  </si>
  <si>
    <t>s-inoue@kanazawa-med.ac.jp; takajjjj@kanazawa-med.ac.jp; nkzw-y@kanazawa-med.ac.jp; yuka-n@kanazawa-med.ac.jp; xinguo@kanazawa-med.ac.jp; sohsuke@kanazawa-med.ac.jp; ishigaki@kanazawa-med.ac.jp; takeuchi@kanazawa-med.ac.jp; miyazawa@kanazawa-med.ac.jp</t>
  </si>
  <si>
    <t>Yamada, Sohsuke/0000-0003-2662-0024; Takata, Takanobu/0000-0003-0514-8584; Inoue, Shinya/0000-0001-8639-6955; Nakazawa, Yususke/0000-0003-0703-3879; Ishigaki, Yasuhito/0000-0003-1012-8430; Takeuchi, Masayoshi/0000-0002-1057-3764</t>
  </si>
  <si>
    <t>10.3390/nu13010080</t>
  </si>
  <si>
    <t>WOS:000610648400001</t>
  </si>
  <si>
    <t>Wang, N; Tan, HY; Li, S; Feng, YB</t>
  </si>
  <si>
    <t>Wang, Ning; Tan, Hor-Yue; Li, Sha; Feng, Yibin</t>
  </si>
  <si>
    <t>Atg9b Deficiency Suppresses Autophagy and Potentiates Endoplasmic Reticulum Stress-Associated Hepatocyte Apoptosis in Hepatocarcinogenesis</t>
  </si>
  <si>
    <t>Hepatic carcinogenesis; Autophagy; Atg9b; ER stress; Tumour-derived exosome; microRNA</t>
  </si>
  <si>
    <t>HEPATOCELLULAR-CARCINOMA; OXIDATIVE STRESS; SELECTIVE AUTOPHAGY; GENOMIC INSTABILITY; MICE; P62; CELLS; CARCINOGENESIS; TUMORIGENESIS; ACTIVATION</t>
  </si>
  <si>
    <t>The aim of this study was to investigate the mechanism underlying autophagy deficiency during hepatic carcinogenesis. For this purpose, we used choline-deficient, amino acid-defined (CDAA) hepatocarcinogenesis model in mice. miRNA microarrays combined with computational target predictions and GO analysis were used to identify molecular processes involved in carcinogenesis. PCR profiler array was employed to detect the dysregulated autophagy-related genes during carcinogenesis. We observed induction of hepatic tumours with increased inflammation, DNA damage, and cell death. These cellular processes were particularly detected upon oncogenic transformation of hepatocytes in which ER stress was excessively induced. Microarray combined with GO analysis showed that transformation of hepatocytes resulted in dysregulated events associated with cytoplasmic vesicle formation, which, in turn, was related to ER stress-induced autophagy. Defects of autophagy were observed in livers harbouring tumours and suffered a loss of expression of autophagy-related protein 9b (Atg9b). Hepatocytes lacking Atg9b were vulnerable to cell death induced by ER stress stimulus mainly caused by accumulation of ubiquitinated proteins. Loss of Atg9b also blocked recruitment of p62-associated ubiquitinated protein for autophagosome-lysosome degradation as Atg9b-driven phagophores may facilitate docking of both LC3 and p62 to initiate autophagy-associated degradation. miR-3091-3p from tumour-derived exosomes, which were internalised by hepatocytes, could suppress Atg9b expression. Observations from this study advance our knowledge about the regulation of autophagy during hepatocarcinogenesis.</t>
  </si>
  <si>
    <t>[Wang, Ning; Tan, Hor-Yue; Li, Sha; Feng, Yibin] Univ Hong Kong, Sch Chinese Med, 10 Sassoon Rd, Pokfulam, Hong Kong, Peoples R China</t>
  </si>
  <si>
    <t>University of Hong Kong</t>
  </si>
  <si>
    <t>Feng, YB (corresponding author), Univ Hong Kong, Sch Chinese Med, 10 Sassoon Rd, Pokfulam, Hong Kong, Peoples R China.</t>
  </si>
  <si>
    <t>yfeng@hku.hk</t>
  </si>
  <si>
    <t>10.7150/thno.18225</t>
  </si>
  <si>
    <t>WOS:000402712500014</t>
  </si>
  <si>
    <t>Yamashita, A; Shichino, Y; Tanaka, H; Hiriart, E; Touat-Todeschini, L; Vavasseur, A; Ding, DQ; Hiraoka, Y; Verdel, A; Yamamoto, M</t>
  </si>
  <si>
    <t>Yamashita, Akira; Shichino, Yuichi; Tanaka, Hirotsugu; Hiriart, Edwige; Touat-Todeschini, Leila; Vavasseur, Aurelia; Ding, Da-Qiao; Hiraoka, Yasushi; Verdel, Andre; Yamamoto, Masayuki</t>
  </si>
  <si>
    <t>Hexanucleotide motifs mediate recruitment of the RNA elimination machinery to silent meiotic genes</t>
  </si>
  <si>
    <t>OPEN BIOLOGY</t>
  </si>
  <si>
    <t>mRNA degradation; RNA-binding protein; exosome; meiosis; Mmi1</t>
  </si>
  <si>
    <t>PREMEIOTIC DNA-SYNTHESIS; FISSION YEAST; MESSENGER-RNAS; SELECTIVE ELIMINATION; REGULATOR MEI2P; BINDING DOMAIN; MEIOSIS; PROTEIN; EXPRESSION; PROMOTES</t>
  </si>
  <si>
    <t>The selective elimination system blocks the accumulation of meiosis-specific mRNAs during the mitotic cell cycle in fission yeast. These mRNAs harbour a region, the determinant of selective removal (DSR), which is recognized by a YTH-family RNA-binding protein, Mmi1. Mmi1 directs target transcripts to destruction in association with nuclear exosomes. Hence, the interaction between DSR and Mmi1 is crucial to discriminate mitosis from meiosis. Here, we show that Mmi1 interacts with repeats of the hexanucleotide U(U/C) AAAC that are enriched in the DSR. Disruption of this 'DSR core motif' in a target mRNA inhibits its elimination. Tandem repeats of the motif can function as an artificial DSR. Mmi1 binds to it in vitro. Thus, a core motif cluster is responsible for the DSR activity. Furthermore, certain variant hexanucleotide motifs can augment the function of the DSR core motif. Notably, meiRNA, which composes the nuclear Mei2 dot required to suppress Mmi1 activity during meiosis, carries numerous copies of the core/augmenting motifs on its tail and is indeed degraded by the Mmi1/exosome system, indicating its likely role as decoy bait for Mmi1.</t>
  </si>
  <si>
    <t>[Yamashita, Akira; Shichino, Yuichi; Tanaka, Hirotsugu; Yamamoto, Masayuki] Univ Tokyo, Dept Biophys &amp; Biochem, Grad Sch Sci, Tokyo 1130033, Japan; [Hiriart, Edwige; Touat-Todeschini, Leila; Vavasseur, Aurelia; Verdel, Andre] Univ Grenoble 1, INSERM, U823, Inst Albert Bonniot,Fac Med, La Tronche, France; [Ding, Da-Qiao; Hiraoka, Yasushi] Natl Inst Informat &amp; Commun Technol, Kobe Adv ICT Res Ctr, Kobe, Hyogo 6512492, Japan; [Hiraoka, Yasushi] Osaka Univ, Grad Sch Frontier Biosci, Suita, Osaka 5650871, Japan; [Yamamoto, Masayuki] Kazusa DNA Res Inst, Kisarazu, Chiba 2920818, Japan</t>
  </si>
  <si>
    <t>University of Tokyo; Institut National de la Sante et de la Recherche Medicale (Inserm); UDICE-French Research Universities; Communaute Universite Grenoble Alpes; Universite Grenoble Alpes (UGA); National Institute of Information &amp; Communications Technology (NICT) - Japan; Osaka University; Kazusa DNA Research Institute</t>
  </si>
  <si>
    <t>Yamashita, A (corresponding author), Univ Tokyo, Dept Biophys &amp; Biochem, Grad Sch Sci, Tokyo 1130033, Japan.</t>
  </si>
  <si>
    <t>ymst@kazusa.or.jp</t>
  </si>
  <si>
    <t>Verdel, André/M-5201-2013; Hiraoka, Yasushi/B-5111-2009; Yamashita, Akira/A-5278-2015</t>
  </si>
  <si>
    <t>Hiraoka, Yasushi/0000-0001-9407-8228; Yamashita, Akira/0000-0002-1805-1434; Touat-Todeschini, Leila/0000-0002-6064-7362; Ding, Da-Qiao/0000-0003-4403-2760; Shichino, Yuichi/0000-0002-0093-1185; VERDEL, Andre/0000-0001-6048-3794</t>
  </si>
  <si>
    <t>2046-2441</t>
  </si>
  <si>
    <t>10.1098/rsob.120014</t>
  </si>
  <si>
    <t>WOS:000307111800001</t>
  </si>
  <si>
    <t>Lu, FF; Zhang, QQ; Zhang, MY; Sun, SQ; Yang, XJ; Yan, HT</t>
  </si>
  <si>
    <t>Lu, Fangfang; Zhang, Qianqian; Zhang, Mengyan; Sun, Shuqiang; Yang, Xinjun; Yan, Hongtao</t>
  </si>
  <si>
    <t>Blocking exosomal secretion aggravates 1,4-benzoquinone-induced mitochondrial fission activated by the AMPK/MFF/Drp1 pathway in HL-60 cells</t>
  </si>
  <si>
    <t>AMP-activated protein kinase; benzene; exosome; mitochondria; mitochondrial dynamics</t>
  </si>
  <si>
    <t>MYELODYSPLASTIC SYNDROME; FUSION; FRAGMENTATION; BENZENE; APOPTOSIS; TOXICITY; WORKERS</t>
  </si>
  <si>
    <t>There is in vivo and in vitro evidence that exposure to benzene or its metabolites could affect the mitochondrial function. However, the underlying molecular mechanism of mitochondrial damage remains to be elucidated. In this study, exposure of human promyelocytic leukemia cells (HL-60) to 1,4-benzoquinone (1,4-BQ; an active metabolite of benzene) increased the intracellular reactive oxygen species levels, decreased the mitochondrial membrane potential, adenosine triphosphate production and mitochondrial DNA (mtDNA) copy number, up-regulated the expression of mitochondrial fission proteins Drp1 and Fis1, and down-regulated the expression of mitochondrial fusion proteins Mfn2 and Opa1. Further study showed that 1,4-BQ mediated mitochondrial fission through activation of the AMP-activated protein kinase/mitochondrial fission factor/dynamin-related protein 1 pathway. Additionally, we also examined the role of exosomal secretion in mitochondrial damage under 1,4-BQ treatment. Results showed that 1,4-BQ increased the total protein level and mtDNA content in exosomes. Upon pre-treatment with the mitochondria-targeted antioxidant SS-31, there was attenuation of the mitochondrial damage induced by 1,4-BQ, accompanied by a change in the exosome release characteristics, while inhibition of exosomal secretion using GW4869 aggravated the 1,4-BQ-mediated mitochondrial fission. We concluded that exosomal secretion may serve as a self-protective mechanism of cells against 1,4-BQ-induced mitochondria damage and mitochondrial dynamics interference.</t>
  </si>
  <si>
    <t>[Lu, Fangfang; Zhang, Qianqian; Zhang, Mengyan; Sun, Shuqiang; Yang, Xinjun; Yan, Hongtao] Wenzhou Med Univ, Sch Publ Hlth &amp; Management, Dept Prevent Med, Wenzhou 325035, Zhejiang, Peoples R China; [Zhang, Qianqian] Qilu Med Univ, Sch Pharm, Dept Pharmacol, Tai An, Shandong, Peoples R China</t>
  </si>
  <si>
    <t>Wenzhou Medical University</t>
  </si>
  <si>
    <t>Yan, HT (corresponding author), Wenzhou Med Univ, Sch Publ Hlth &amp; Management, Dept Prevent Med, Wenzhou 325035, Zhejiang, Peoples R China.</t>
  </si>
  <si>
    <t>htyan@wmu.edu.cn</t>
  </si>
  <si>
    <t>Lu, Fangfang/0000-0002-5584-226X</t>
  </si>
  <si>
    <t>10.1002/jat.4328</t>
  </si>
  <si>
    <t>WOS:000800855300001</t>
  </si>
  <si>
    <t>Zhang, H; Zou, X; Wu, LR; Zhang, SY; Wang, TS; Liu, P; Zhu, W; Zhu, J</t>
  </si>
  <si>
    <t>Zhang, Huo; Zou, Xuan; Wu, Lirong; Zhang, Shiyu; Wang, Tongshan; Liu, Ping; Zhu, Wei; Zhu, Jun</t>
  </si>
  <si>
    <t>Identification of a 7-microRNA signature in plasma as promising biomarker for nasopharyngeal carcinoma detection</t>
  </si>
  <si>
    <t>CANCER MEDICINE</t>
  </si>
  <si>
    <t>biomarker; nasopharyngeal carcinoma; plasma miRNA; qRT-PCR</t>
  </si>
  <si>
    <t>EPSTEIN-BARR-VIRUS; MICRORNA DEREGULATION; CELL-PROLIFERATION; PROGNOSTIC VALUE; PROMOTES; DNA; TUMORIGENESIS; DIAGNOSIS</t>
  </si>
  <si>
    <t>Background Circulating microRNAs (miRNAs) have become reliable sources of non-invasive biomarkers for cancer diagnosis. Identification of promising miRNA biomarkers in plasma might benefit a lot to the detection of nasopharyngeal carcinoma (NPC). Methods The Exiqon miRNA qPCR panel was used in the screening stage to identify candidate miRNAs, which were further verified by quantitative reverse transcription polymerase chain reaction (qRT-PCR) in the following three stages among plasma samples from 200 NPC patients and 189 healthy donors (as normal controls [NCs]). The identified miRNAs were further explored in tissue specimens (48 NPC vs 32 NCs) and plasma exosomes (32 NPC vs 32 NCs). Survival analyses were ultimately conducted by Cox regression models and Kaplan-Meier curves using log-rank tests. Results We identified a 7-miRNA signature including let-7b-5p, miR-140-3p, miR-144-3p, miR-17-5p, miR-20a-5p, miR-20b-5p, and miR-205-5p in plasma for NPC diagnosis after four-stage validation. The areas under the receiver operating characteristic curve (AUCs) for the signature were 0.879, 0.884, 0.921, and 0.807 for the training, testing, external validation stage, and the combined three stages, respectively. In NPC tissues, miR-144-3p, miR-17-5p, miR-20a-5p, and miR-205-5p were consistently up-regulated while let-7b-5p and miR-140-3p were significantly down-regulated compared to NCs. However, none of the seven identified miRNAs were dysregulated in plasma-derived exosomes in NPC patients. As to survival analysis, none of the seven miRNAs seemed to be associated with NPC prognosis. Conclusion We identified a 7-miRNA signature in plasma as promising non-invasive biomarkers for NPC detection.</t>
  </si>
  <si>
    <t>[Zhang, Huo; Zhang, Shiyu; Wang, Tongshan; Liu, Ping; Zhu, Wei] Nanjing Med Univ, Affiliated Hosp 1, Dept Oncol, 300 Guangzhou Rd, Nanjing 210029, Jiangsu, Peoples R China; [Zhang, Huo] Yangzhou Univ, Northern Jiangsu Peoples Hosp, Dept Med Oncol, Yangzhou, Jiangsu, Peoples R China; [Zou, Xuan] Fudan Univ, Shanghai Canc Ctr, Shanghai, Peoples R China; [Wu, Lirong; Zhu, Jun] Nanjing Med Univ, Dept Radiat Oncol, Affiliated Canc Hosp, Jiangsu Canc Hosp,Jiangsu Inst Canc Res, 42 Baiziting Rd, Nanjing 210009, Jiangsu, Peoples R China</t>
  </si>
  <si>
    <t>Nanjing Medical University; Yangzhou University; Fudan University; Nanjing Medical University</t>
  </si>
  <si>
    <t>Liu, P; Zhu, W (corresponding author), Nanjing Med Univ, Affiliated Hosp 1, Dept Oncol, 300 Guangzhou Rd, Nanjing 210029, Jiangsu, Peoples R China.;Zhu, J (corresponding author), Nanjing Med Univ, Dept Radiat Oncol, Affiliated Canc Hosp, Jiangsu Canc Hosp,Jiangsu Inst Canc Res, 42 Baiziting Rd, Nanjing 210009, Jiangsu, Peoples R China.</t>
  </si>
  <si>
    <t>liupinga28@163.com; zhuwei@njmu.edu.cn; zhujdr@126.com</t>
  </si>
  <si>
    <t>Wu, Lirong/0000-0003-1307-9312</t>
  </si>
  <si>
    <t>2045-7634</t>
  </si>
  <si>
    <t>10.1002/cam4.2676</t>
  </si>
  <si>
    <t>DEC 2019</t>
  </si>
  <si>
    <t>WOS:000503335700001</t>
  </si>
  <si>
    <t>Lekva, T; Roland, MCP; Estensen, ME; Norwitz, ER; Tilburgs, T; Henriksen, T; Bollerslev, J; Normann, KR; Magnus, P; Olstad, OK; Aukrust, P; Ueland, T</t>
  </si>
  <si>
    <t>Lekva, T.; Roland, M. C. P.; Estensen, M. E.; Norwitz, E. R.; Tilburgs, T.; Henriksen, T.; Bollerslev, J.; Normann, K. R.; Magnus, P.; Olstad, O. K.; Aukrust, P.; Ueland, T.</t>
  </si>
  <si>
    <t>Dysregulated non-coding telomerase RNA component and associated exonuclease XRN1 in leucocytes from women developing preeclampsia-possible link to enhanced senescence</t>
  </si>
  <si>
    <t>DYSFUNCTION; LL-37; PREGNANCIES; PEPTIDE; DISEASE; TISSUE; RISK; DNA</t>
  </si>
  <si>
    <t>Senescence in placenta/fetal membranes is a normal phenomenon linked to term parturition. However, excessive senescence which may be induced by telomere attrition, has been associated with preeclampsia (PE). We hypothesized that the telomerase complex in peripheral blood mononuclear cells (PBMC) and circulating telomere associated senescence markers would be dysregulated in women with PE. We measured long non-coding (nc) RNA telomerase RNA component (TERC) and RNAs involved in the maturation of TERC in PBMC, and the expression of TERC and 5 '-3 ' Exoribonuclease 1 (XRN1) in extracellular vesicles at 22-24 weeks, 36-38 weeks and, 5-year follow-up in controls and PE. We also measured telomere length at 22-24 weeks and 5-year follow-up. The circulating senescence markers cathelicidin antimicrobial peptide (CAMP), beta-galactosidase, stathmin 1 (STMN1) and chitotriosidase/CHIT1 were measured at 14-16, 22-24, 36-38 weeks and at 5-year follow-up in the STORK study and before delivery and 6 months post-partum in the ACUTE PE study. We found decreased expression of TERC in PBMC early in pregnant women who subsequently developed PE. XRN1 involved in the maturation of TERC was also reduced in pregnancy and 5-year follow-up. Further, we found that the senescence markers CAMP and beta-galactosidase were increased in PE pregnancies, and CAMP remained higher at 5-year follow-up. beta-galactosidase was associated with atherogenic lipid ratios during pregnancy and at 5-year follow-up, in PE particularly. This study suggests a potential involvement of dysfunctional telomerase biology in the pathophysiology of PE, which is not restricted to the placenta.</t>
  </si>
  <si>
    <t>[Lekva, T.; Aukrust, P.; Ueland, T.] Oslo Univ Hosp, Rikshosp, Res Inst Internal Med, Oslo, Norway; [Roland, M. C. P.; Henriksen, T.] Oslo Univ Hosp, Rikshosp, Dept Obstet, Oslo, Norway; [Roland, M. C. P.] Oslo Univ Hosp, Natl Res Ctr Womens Hlth, Oslo, Norway; [Estensen, M. E.] Oslo Univ Hosp, Rikshosp, Dept Cardiol, Oslo, Norway; [Henriksen, T.; Bollerslev, J.; Normann, K. R.; Aukrust, P.; Ueland, T.] Univ Oslo, Fac Med, Oslo, Norway; [Norwitz, E. R.] Newton Wellesley Hosp, Boston, MA USA; [Tilburgs, T.] Ctr Inflammat &amp; Tolerance, Div Immunobiol, Cincinnati, OH USA; [Tilburgs, T.] Univ Cincinnati, Coll Med, Dept Pediat, Cincinnati, OH USA; [Bollerslev, J.; Normann, K. R.] Oslo Univ Hosp, Sect Specialized Endocrinol, Dept Endocrinol, Rikshosp, Oslo, Norway; [Magnus, P.] Norwegian Inst Publ Hlth, Ctr Fertil &amp; Hlth, Oslo, Norway; [Olstad, O. K.] Oslo Univ Hosp, Dept Med Biochem, Blood Cell Res Grp, Oslo, Norway; [Aukrust, P.] Oslo Univ Hosp, Rikshosp, Sect Clin Immunol &amp; Infect Dis, Oslo, Norway; [Aukrust, P.; Ueland, T.] Univ Oslo, KG Jebsen Inflammatory Res Ctr, Oslo, Norway; [Aukrust, P.; Ueland, T.] Univ Tromso, KG Jebsen Thrombosis Res &amp; Expertise Ctr, Tromso, Norway</t>
  </si>
  <si>
    <t>University of Oslo; National Hospital Norway; University of Oslo; National Hospital Norway; University of Oslo; University of Oslo; National Hospital Norway; University of Oslo; Newton Wellesley Hospital; University of Cincinnati; University of Cincinnati; University of Oslo; National Hospital Norway; Norwegian Institute of Public Health (NIPH); University of Oslo; University of Oslo; National Hospital Norway; University of Oslo; UiT The Arctic University of Tromso</t>
  </si>
  <si>
    <t>Lekva, T (corresponding author), Oslo Univ Hosp, Rikshosp, Res Inst Internal Med, Oslo, Norway.</t>
  </si>
  <si>
    <t>tove.lekva@ous-research.no</t>
  </si>
  <si>
    <t>Lekva, Tove/0000-0002-7962-4726</t>
  </si>
  <si>
    <t>10.1038/s41598-021-99140-z</t>
  </si>
  <si>
    <t>WOS:000704088100040</t>
  </si>
  <si>
    <t>Esher, SK; Granek, JA; Alspaugh, JA</t>
  </si>
  <si>
    <t>Esher, Shannon K.; Granek, Joshua A.; Alspaugh, J. Andrew</t>
  </si>
  <si>
    <t>Rapid mapping of insertional mutations to probe cell wall regulation in Cryptococcus neoformans</t>
  </si>
  <si>
    <t>FUNGAL GENETICS AND BIOLOGY</t>
  </si>
  <si>
    <t>AIM-Seq; Cryptococcus neoformans; Agrobacterium-mediated transconjugation; T-DNA; Insertional mutagenesis; Fungal cell wall; Fungal pathogen</t>
  </si>
  <si>
    <t>TUMEFACIENS-MEDIATED TRANSFORMATION; DIRECTING VACUOLAR MORPHOGENESIS; AGROBACTERIUM-TUMEFACIENS; ILLEGITIMATE RECOMBINATION; SACCHAROMYCES-CEREVISIAE; EXTRACELLULAR VESICLES; DRUG-SENSITIVITY; GENE DISCOVERY; VIRULENCE GENE; EFFICIENT TOOL</t>
  </si>
  <si>
    <t>Random insertional mutagenesis screens are important tools in microbial genetics studies. Investigators in fungal systems have used the plant pathogen Agrobacterium tumefaciens to create tagged, random mutations for genetic screens in their fungal species of interest through a unique process of trans-kingdom cellular transconjugation. However, identifying the locations of insertion has traditionally required tedious PCR-based methods, limiting the effective throughput of this system. We have developed an efficient genomic sequencing and analysis method (AIM-Seq) to facilitate identification of randomly generated genomic insertions in microorganisms. AIM-Seq combines batch sampling, whole genome sequencing, and a novel bioinformatics pipeline, AIM-HII, to rapidly identify sites of genomic insertion. We have specifically applied this technique to Agrobacterium-mediated transconjugation in the human fungal pathogen Cryptococcus neoforrnans. With this approach, we have screened a library of C. neoformans cell wall mutants, selecting twenty-seven mutants of interest for analysis by AIM-Seq. We identified thirty-five putative genomic insertions in known and previously unknown regulators of cell wall processes in this pathogenic fungus. We confirmed the relevance of a subset of these by creating independent mutant strains and analyzing resulting cell wall phenotypes. Through our sequence-based analysis of these mutations, we observed typical insertions of the Agrobacterium transfer DNA as well as atypical insertion events, including large deletions and chromosomal rearrangements. Initially applied to C. neoformans, this mutant analysis tool can be applied to a wide range of experimental systems and methods of mutagenesis, facilitating future microbial genetic screens. (C) 2015 Elsevier Inc. All rights reserved.</t>
  </si>
  <si>
    <t>[Esher, Shannon K.; Granek, Joshua A.; Alspaugh, J. Andrew] Duke Univ, Sch Med, Dept Mol Genet &amp; Microbiol, Durham, NC 27710 USA; [Granek, Joshua A.] Duke Univ, Sch Med, Dept Bioinformat &amp; Biostat, Durham, NC 27710 USA; [Granek, Joshua A.] Duke Univ, Sch Med, Duke Ctr Genom Microbial Syst, Durham, NC 27710 USA; [Alspaugh, J. Andrew] Duke Univ, Sch Med, Dept Med, Durham, NC 27710 USA</t>
  </si>
  <si>
    <t>Alspaugh, JA (corresponding author), Duke Univ, Sch Med, DUMC 102359,303 Sands Res Bldg, Durham, NC 27710 USA.</t>
  </si>
  <si>
    <t>shannon.esher@duke.edu; joshua.granek@duke.edu; andrew.alspaugh@duke.edu</t>
  </si>
  <si>
    <t>Alspaugh, Andrew/AAB-1664-2019</t>
  </si>
  <si>
    <t>Alspaugh, Andrew/0000-0003-3009-627X; Esher Righi, Shannon/0000-0001-5212-0432; Granek, Joshua/0000-0003-3908-5016</t>
  </si>
  <si>
    <t>1087-1845</t>
  </si>
  <si>
    <t>1096-0937</t>
  </si>
  <si>
    <t>10.1016/j.fgb.2015.06.003</t>
  </si>
  <si>
    <t>Genetics &amp; Heredity; Mycology</t>
  </si>
  <si>
    <t>WOS:000360779600002</t>
  </si>
  <si>
    <t>Wu, JH; Tung, SY; Ho, CC; Su, LH; Gan, SW; Liao, JY; Cho, CC; Lin, BC; Chiu, PW; Pan, YJ; Kao, YY; Liu, YC; Sun, CH</t>
  </si>
  <si>
    <t>Wu, Jui-Hsuan; Tung, Szu-Yu; Ho, Chun-Che; Su, Li-Hsin; Gan, Soo-Wah; Liao, Jo-Yu; Cho, Chao-Cheng; Lin, Bo-Chi; Chiu, Pei-Wei; Pan, Yu-Jiao; Kao, Yu-Yun; Liu, Yu-Chen; Sun, Chin-Hung</t>
  </si>
  <si>
    <t>A myeloid leukemia factor homolog involved in encystation-induced protein metabolism in Giardia lamblia</t>
  </si>
  <si>
    <t>Cyst; Myeloid leukemia factor; Giardia; Differentiation; MG132; Chloroquine; Rapamycin; FYVE; ATG8-like protein</t>
  </si>
  <si>
    <t>UBIQUITIN-PROTEASOME PATHWAY; CYST WALL; TRANSCRIPTIONAL ACTIVATION; ENDOPLASMIC-RETICULUM; AUTOPHAGOSOME FORMATION; AGGREGATE CLEARANCE; GENES; DEGRADATION; INHIBITION; PROTOZOAN</t>
  </si>
  <si>
    <t>Background: Giardia lamblia differentiates into resistant cysts as an established model for dormancy. Myeloid leukemia factor (MLF) proteins are important regulators of cell differentiation. Giardia possesses a MLF homolog which was up-regulated during encystation and localized to unknown cytosolic vesicles named MLF vesicles (MLFVs). Methods: We used double staining for visualization of potential factors with role in protein metabolism pathway and a strategy that employed a deletion mutant, CDK2m3, to test the protein degradation pathway. We also explored whether autophagy or proteasomal degradation are regulators of Giardia encystation by treatment with MG132, rapamycin, or chloroquine. Results: Double staining of MLF and ISCU or CWP1 revealed no overlap between their vesicles. The aberrant CDK2m3 colocalized with MLFVs and formed complexes with MLF. MG132 increased the number of CDK2m3-localized vesicles and its protein level. We further found that MLF colocalized and interacted with a FYVE protein and an ATG8-like (ATG8L) protein, which were up-regulated during encystation and their expression induced Giardia encystation. The addition of MG132, rapamycin, or chloroquine, increased their levels and the number of their vesicles, and inhibited the cyst formation. MLF and FYVE were detected in exosomes released from culture. Conclusions: The MLFVs are not mitosomes or encystation-specific vesicles, but are related with degradative pathway for CDK2m3. MLF, FYVE, and ATG8L play a positive role in encystation and function in protein clearance pathway, which is important for encystation and coordinated with Exosomes. General significance: MLF, FYVE, and ATG8L may be involved an encystation-induced protein metabolism during Giardia differentiation.</t>
  </si>
  <si>
    <t>[Wu, Jui-Hsuan; Tung, Szu-Yu; Ho, Chun-Che; Su, Li-Hsin; Gan, Soo-Wah; Liao, Jo-Yu; Cho, Chao-Cheng; Lin, Bo-Chi; Chiu, Pei-Wei; Pan, Yu-Jiao; Kao, Yu-Yun; Liu, Yu-Chen; Sun, Chin-Hung] Natl Taiwan Univ, Coll Med, Dept Trop Med &amp; Parasitol, Taipei 100, Taiwan</t>
  </si>
  <si>
    <t>National Taiwan University</t>
  </si>
  <si>
    <t>Sun, CH (corresponding author), Natl Taiwan Univ, Coll Med, Dept Trop Med &amp; Parasitol, Taipei 100, Taiwan.</t>
  </si>
  <si>
    <t>chinhsun@ntu.edu.tw</t>
  </si>
  <si>
    <t>GAN, SOO WAH/0000-0002-8420-0303; SUN, CHIN-HUNG/0000-0002-8604-8085</t>
  </si>
  <si>
    <t>10.1016/j.bbagen.2021.129859</t>
  </si>
  <si>
    <t>WOS:000640021000004</t>
  </si>
  <si>
    <t>Dukers, DF; Meij, P; Vervoort, MBHJ; Vos, W; Scheper, RJ; Meijer, CJLM; Bloemena, E; Middeldorp, JM</t>
  </si>
  <si>
    <t>Direct immunosuppressive effects of EBV-encoded latent membrane protein 1</t>
  </si>
  <si>
    <t>EPSTEIN-BARR-VIRUS; REED-STERNBERG CELLS; GLYCOSPHINGOLIPID-RICH COMPLEXES; CYTOTOXIC-T-CELLS; HODGKINS-DISEASE; LYMPHOCYTE-PROLIFERATION; RETROVIRAL PEPTIDES; TUMOR-CELLS; VIRAL-DNA; EXPRESSION</t>
  </si>
  <si>
    <t>In neoplastic cells of EBV-positive lymphoid malignancies latent membrane protein (LMP1) is expressed. Because no adequate cellular immune response can be detected against LMP1, we investigated whether LMP1 had a direct effect on T lymphocyte activation. In this study we show that nanogram amounts of purified recombinant LMP1 (rLMP1) strongly suppresses activation of T cells. By sequence alignment two sequences (LALLFWL and LLLLAL) in the first transmembrane domain of LMP1 were identified showing strong homology to the immunosuppressive domain (LDLLFL) of the retrovirus-encoded transmembrane protein p15E. The effects of rLMP1 and LMP1-derived peptides were tested in T cell proliferation and NK cytotoxicity assays and an Ag-induced IFN-gamma release enzyme-linked immunospot assay. LMP1 derived LALLFWL peptides showed strong inhibition of T cell proliferation and NK cytotoxicity, while acetylated LALLFWL peptides had an even stronger effect, In addition, Ag-specific IFN-gamma release was severely inhibited. To exert immunosuppressive effects in vivo, LMP1 has to be excreted from the cells. Indeed, LMP1 was detected in supernatant of EBV-positive B cell lines (LCL), and differential centrifugation in combination with Western blot analysis of the pellets indicated that LMP1 is probably secreted by LCL in the form of exosomes, The amount of secreted LMP1 in B cell cultures is well below the immunosuppressive level observed with rLMP1. Our results demonstrate direct immunosuppressive properties of LMP1 (fragments) and suggest that EBV-positive tumor cells may actively secrete LMP1 and thus mediate immunosuppressive effects on tumor-infiltrating lymphocytes, Moreover, we demonstrate, for the first time, that transmembrane protein-mediated immunosuppression is not solely restricted to RNA tumor viruses, but can also be found in DNA tumor viruses.</t>
  </si>
  <si>
    <t>Free Univ Amsterdam, Acad Hosp, Dept Pathol, NL-1081 HV Amsterdam, Netherlands</t>
  </si>
  <si>
    <t>Vrije Universiteit Amsterdam</t>
  </si>
  <si>
    <t>Dukers, DF (corresponding author), Free Univ Amsterdam, Acad Hosp, Dept Pathol, De Boelelaan 1117, NL-1081 HV Amsterdam, Netherlands.</t>
  </si>
  <si>
    <t>Bloemena, Elisabeth/V-1095-2018; Bloemena, Elisabeth/AAZ-1247-2021</t>
  </si>
  <si>
    <t>Bloemena, Elisabeth/0000-0002-0221-9538; Middeldorp, Jaap Michiel/0000-0002-0765-4125</t>
  </si>
  <si>
    <t>10.4049/jimmunol.165.2.663</t>
  </si>
  <si>
    <t>WOS:000088085600009</t>
  </si>
  <si>
    <t>Bishop, AL; Patimalla, B; Camilli, A</t>
  </si>
  <si>
    <t>Bishop, Anne L.; Patimalla, Bharathi; Camilli, Andrew</t>
  </si>
  <si>
    <t>Vibrio cholerae-Induced Inflammation in the Neonatal Mouse Cholera Model</t>
  </si>
  <si>
    <t>OUTER-MEMBRANE VESICLES; INTESTINAL EPITHELIAL-CELLS; EL-TOR; STREPTOCOCCUS-PNEUMONIAE; PROINFLAMMATORY RESPONSE; CANDIDATE VACCINE; PROTEIN-KINASE; RTX TOXIN; INNATE; INFECTION</t>
  </si>
  <si>
    <t>Vibrio cholerae is the causative agent of the acute diarrheal disease of cholera. Innate immune responses to V. cholerae are not a major cause of cholera pathology, which is characterized by severe, watery diarrhea induced by the action of cholera toxin. Innate responses may, however, contribute to resolution of infection and must be required to initiate adaptive responses after natural infection and oral vaccination. Here we investigated whether a well-established infant mouse model of cholera can be used to observe an innate immune response. We also used a vaccination model in which immunized dams protect their pups from infection through breast milk antibodies to investigate innate immune responses after V. cholerae infection for pups suckled by an immune dam. At the peak of infection, we observed neutrophil recruitment accompanied by induction of KC, macrophage inflammatory protein 2 (MIP-2), NOS-2, interleukin-6 (IL-6), and IL-17a. Pups suckled by an immunized dam did not mount this response. Accessory toxins RtxA and HlyA played no discernible role in neutrophil recruitment in a wild-type background. The innate response to V. cholerae deleted for cholera toxin-encoding phage (CTX phi) and part of rtxA was significantly reduced, suggesting a role for CTX phi-carried genes or for RtxA in the absence of cholera toxin (CTX). Two extracellular V. cholerae DNases were not required for neutrophil recruitment, but DNase-deficient V. cholerae caused more clouds of DNA in the intestinal lumen, which appeared to be neutrophil extracellular traps (NETs), suggesting that V. cholerae DNases combat NETs. Thus, the infant mouse model has hitherto unrecognized utility for interrogating innate responses to V. cholerae infection.</t>
  </si>
  <si>
    <t>[Camilli, Andrew] Tufts Univ, Sch Med, Dept Mol Biol &amp; Microbiol, Boston, MA 02111 USA; Howard Hughes Med Inst, Boston, MA 02115 USA</t>
  </si>
  <si>
    <t>Tufts University; Howard Hughes Medical Institute</t>
  </si>
  <si>
    <t>Camilli, A (corresponding author), Tufts Univ, Sch Med, Dept Mol Biol &amp; Microbiol, Boston, MA 02111 USA.</t>
  </si>
  <si>
    <t>andrew.camilli@tufts.edu</t>
  </si>
  <si>
    <t>Bishop, Anne/0000-0003-1219-7966</t>
  </si>
  <si>
    <t>10.1128/IAI.00054-14</t>
  </si>
  <si>
    <t>WOS:000336378100030</t>
  </si>
  <si>
    <t>Aarts, CEM; Downes, K; Hoogendijk, AJ; Sprenkeler, EGG; Gazendam, RP; Favier, R; Favier, M; Tool, ATJ; van Hamme, JL; Kostadima, MA; Waller, K; Zieger, B; van Bergen, MGJM; Langemeijer, SMC; van der Reijden, BA; Janssen, H; van den Berg, TK; van Bruggen, R; Meijer, AB; Ouwehand, WH; Kuijpers, TW</t>
  </si>
  <si>
    <t>Aarts, Cathelijn E. M.; Downes, Kate; Hoogendijk, Arie J.; Sprenkeler, Evelien G. G.; Gazendam, Roel P.; Favier, Remi; Favier, Marie; Tool, Anton T. J.; van Hamme, John L.; Kostadima, Myrto A.; Waller, Kate; Zieger, Barbara; van Bergen, Maaike G. J. M.; Langemeijer, Saskia M. C.; van der Reijden, Bert A.; Janssen, Hans; van den Berg, Timo K.; van Bruggen, Robin; Meijer, Alexander B.; Ouwehand, Willem H.; Kuijpers, Taco W.</t>
  </si>
  <si>
    <t>Neutrophil specific granule and NETosis defects in gray platelet syndrome</t>
  </si>
  <si>
    <t>EXTRACELLULAR TRAPS; MYELOID DIFFERENTIATION; PROTEOME; NBEAL2; PROTEINS; IMMUNITY; GENE; INTERACTS; VESICLES; DOMAIN</t>
  </si>
  <si>
    <t>Gray platelet syndrome (GPS) is an autosomal recessive bleeding disorder characterized by a lack of alpha-granules in platelets and progressive myelofibrosis. Rare loss-of-function variants in neurobeachin-like 2 (NBEAL2), a member of the family of beige and Chediak-Higashi (BEACH) genes, are causal of GPS. It is suggested that BEACH domain containing proteins are involved in fusion, fission, and trafficking of vesicles and granules. Studies in knockout mice suggest that NBEAL2 may control the formation and retention of granules in neutrophils. We found that neutrophils obtained from the peripheral blood from 13 patients with GPS have a normal distribution of azurophilic granules but show a deficiency of specific granules (SGs), as confirmed by immunoelectron microscopy and mass spectrometry proteomics analyses. CD34(+) hematopoietic stem cells (HSCs) from patients with GPS differentiated into mature neutrophils also lacked NBEAL2 expression but showed similar SG protein expression as control cells. This is indicative of normal granulopoiesis in GPS and identifies NBEAL2 as a potentially important regulator of granule release. Patient neutrophil functions, including production of reactive oxygen species, chemotaxis, and killing of bacteria and fungi, were intact. NETosis was absent in circulating GPS neutrophils. Lack of NETosis is suggested to be independent of NBEAL2 expression but associated with SG defects instead, as indicated by comparison with HSC-derived neutrophils. Since patients with GPS do not excessively suffer from infections, the consequence of the reduced SG content and lack of NETosis for innate immunity remains to be explored.</t>
  </si>
  <si>
    <t>[Aarts, Cathelijn E. M.; Hoogendijk, Arie J.; Sprenkeler, Evelien G. G.; Gazendam, Roel P.; Tool, Anton T. J.; van Hamme, John L.; van den Berg, Timo K.; van Bruggen, Robin; Meijer, Alexander B.; Kuijpers, Taco W.] Univ Amsterdam, Amsterdam Univ Med Ctr, Sanquin Res &amp; Landsteiner Lab, Amsterdam, Netherlands; [Downes, Kate; Kostadima, Myrto A.; Waller, Kate; Ouwehand, Willem H.] Univ Cambridge, Dept Haematol, Cambridge Biomed Campus, Cambridge, England; [Downes, Kate; Ouwehand, Willem H.] Natl Hlth Serv Blood &amp; Transplant, Cambridge Biomed Campus, Cambridge, England; [Sprenkeler, Evelien G. G.; Kuijpers, Taco W.] Univ Amsterdam, Amsterdam Univ Med Ctr, Emma Childrens Hosp, Dept Pediat Immunol Rheumatol &amp; Infect Dis, Amsterdam, Netherlands; [Favier, Remi; Favier, Marie] Hop Armand Trousseau, AP HP, Ctr Reference Pathol Plaquettaires, Paris, France; [Favier, Remi; Favier, Marie] Univ Paris Saclay, INSERM Unite Mixte Rech UMR 1170, Gustave Roussy Canc Campus, Villejuif, France; [Zieger, Barbara] Univ Med Ctr, Dept Pediat &amp; Adolescent Med, Freiburg, Germany; [van Bergen, Maaike G. J. M.; van der Reijden, Bert A.] Radboud Univ Nijmegen, Radboud Inst Mol Life Sci, Dept Lab Med, Lab Hematol,Med Ctr, Nijmegen, Netherlands; [Langemeijer, Saskia M. C.] Radboud Univ Nijmegen, Dept Hematol, Med Ctr, Nijmegen, Netherlands; [Janssen, Hans] Netherlands Canc Inst, Div Cell Biol, Amsterdam, Netherlands; [Ouwehand, Willem H.] Wellcome Sanger Inst, Wellcome Genome Campus, Cambridge, England</t>
  </si>
  <si>
    <t>University of Amsterdam; University of Cambridge; NHS Blood &amp; Transplant (NHSBT); Emma Children's Hospital; University of Amsterdam; Assistance Publique Hopitaux Paris (APHP); Hopital Universitaire Armand-Trousseau - APHP; UDICE-French Research Universities; Sorbonne Universite; UDICE-French Research Universities; Universite Paris Saclay; UNICANCER; Gustave Roussy; University of Freiburg; University of Hamburg; University Medical Center Hamburg-Eppendorf; Radboud University Nijmegen; Radboud University Nijmegen; Netherlands Cancer Institute; Wellcome Trust Sanger Institute</t>
  </si>
  <si>
    <t>Aarts, CEM (corresponding author), Sanquin, Dept Blood Cell Res, Plesmanlaan 125, NL-1066 CX Amsterdam, Netherlands.</t>
  </si>
  <si>
    <t>c.aarts@sanquin.nl</t>
  </si>
  <si>
    <t>van Bergen, Maaike G.J.M./O-2845-2016; van den Berg, Timo K/AAC-2479-2022; van Bergen, Maaike/AAE-4960-2022</t>
  </si>
  <si>
    <t>van Bergen, Maaike/0000-0001-9846-1777; Kostadima, Myrto Areti/0000-0002-1818-4050</t>
  </si>
  <si>
    <t>10.1182/bloodadvances.2020002442</t>
  </si>
  <si>
    <t>WOS:000613791800021</t>
  </si>
  <si>
    <t>Santuccione, AC; Merlini, M; Shetty, A; Tackenberg, C; Bali, J; Ferretti, MT; McAfoose, J; Kulic, L; Bernreuther, C; Welt, T; Grimm, J; Glatzel, M; Rajendran, L; Hock, C; Nitsch, RM</t>
  </si>
  <si>
    <t>Santuccione, A. C.; Merlini, M.; Shetty, A.; Tackenberg, C.; Bali, J.; Ferretti, M. T.; McAfoose, J.; Kulic, L.; Bernreuther, C.; Welt, T.; Grimm, J.; Glatzel, M.; Rajendran, L.; Hock, C.; Nitsch, R. M.</t>
  </si>
  <si>
    <t>Active vaccination with ankyrin G reduces beta-amyloid pathology in APP transgenic mice</t>
  </si>
  <si>
    <t>MOLECULAR PSYCHIATRY</t>
  </si>
  <si>
    <t>Alzheimer's disease; ankyrin G; exosomes; immune system; neurodegeneration</t>
  </si>
  <si>
    <t>ONSET ALZHEIMERS-DISEASE; AXON INITIAL SEGMENTS; A-BETA; ASSOCIATION ANALYSIS; BRAIN; AUTOANTIBODIES; IDENTIFICATION; CHROMOSOME-10; ANTIBODY; PROTEIN</t>
  </si>
  <si>
    <t>Serum antibodies against amyloid-beta peptide (A beta) in humans with or without diagnosis of Alzheimer's disease (AD) indicate the possibility of immune responses against brain antigens. In an unbiased screening for antibodies directed against brain proteins, we found in AD patients high serum levels of antibodies against the neuronal cytoskeletal protein ankyrin G (ankG); these correlated with slower rates of cognitive decline. Neuronal expression of ankG was higher in AD brains than in nondemented age-matched healthy control subjects. AnkG was present in exosomal vesicles, and it accumulated in beta-amyloid plaques. Active immunization with ankG of arcA beta transgenic mice reduced brain beta-amyloid pathology and increased brain levels of soluble A beta(42). AnkG immunization induced a reduction in beta-amyloid pathology, also in Swedish transgenic mice. Anti-ankG monoclonal antibodies reduced A beta-induced loss of dendritic spines in hippocampal ArcA beta organotypic cultures. Together, these data established a role for ankG in the human adaptive immune response against resident brain proteins, and they show that ankG immunization reduces brain beta-amyloid and its related neuropathology. Molecular Psychiatry (2013) 18, 358-368; doi:10.1038/mp.2012.70; published online 12 June 2012</t>
  </si>
  <si>
    <t>[Santuccione, A. C.; Merlini, M.; Shetty, A.; Tackenberg, C.; Ferretti, M. T.; McAfoose, J.; Kulic, L.; Welt, T.; Grimm, J.; Hock, C.; Nitsch, R. M.] Univ Zurich, Div Psychiat Res, CH-8001 Zurich, Switzerland; [Bali, J.; Rajendran, L.] Univ Zurich, CH-8001 Zurich, Switzerland; [Bernreuther, C.; Glatzel, M.] Univ Med Ctr Hamburg Eppendorf, Inst Neuropathol, Hamburg, Germany</t>
  </si>
  <si>
    <t>University of Zurich; University of Zurich; University of Hamburg; University Medical Center Hamburg-Eppendorf</t>
  </si>
  <si>
    <t>Santuccione, AC (corresponding author), Univ Zurich, Div Psychiat Res, August Forel Str 1, CH-8001 Zurich, Switzerland.</t>
  </si>
  <si>
    <t>antonella.santuccione@bli.uzh.ch; nitsch@bli.uzh.ch</t>
  </si>
  <si>
    <t>Ferretti, Maria Teresa/GLR-0567-2022; Glatzel, Markus/V-8844-2019; Glatzel, Markus/G-3356-2011; Tackenberg, Christian/AHE-1886-2022; Tackenberg, Christian/AGZ-3801-2022; Merlini, Mario/AAJ-1542-2021</t>
  </si>
  <si>
    <t>Glatzel, Markus/0000-0002-7720-8817; Glatzel, Markus/0000-0002-7720-8817; Tackenberg, Christian/0000-0002-0019-3055; Tackenberg, Christian/0000-0002-0019-3055; Santuccione Chadha, Antonella/0000-0002-4021-3129; Rajendran, Lawrence/0000-0002-6390-1821; Merlini, Mario/0000-0003-4145-3025; Welt, Tobias/0000-0002-4793-9061</t>
  </si>
  <si>
    <t>1359-4184</t>
  </si>
  <si>
    <t>1476-5578</t>
  </si>
  <si>
    <t>10.1038/mp.2012.70</t>
  </si>
  <si>
    <t>Biochemistry &amp; Molecular Biology; Neurosciences; Psychiatry</t>
  </si>
  <si>
    <t>Biochemistry &amp; Molecular Biology; Neurosciences &amp; Neurology; Psychiatry</t>
  </si>
  <si>
    <t>WOS:000316568100013</t>
  </si>
  <si>
    <t>van der Post, JAM; Lok, CAR; Boer, K; Sturk, A; Sargent, IL; Nieuwland, R</t>
  </si>
  <si>
    <t>van der Post, Joris A. M.; Lok, Christianne A. R.; Boer, Kees; Sturk, Auguste; Sargent, Ian L.; Nieuwland, Rienk</t>
  </si>
  <si>
    <t>The Functions of Microparticles in Pre-Eclampsia</t>
  </si>
  <si>
    <t>Microparticles; pre-eclampsia; syncytiotrophoblast microparticles</t>
  </si>
  <si>
    <t>SYNCYTIOTROPHOBLAST MICROVILLOUS MEMBRANES; VEIN ENDOTHELIAL-CELLS; INTRAUTERINE GROWTH RESTRICTION; NEUTROPHIL EXTRACELLULAR DNA; EARLY-ONSET PREECLAMPSIA; NORMAL-PREGNANCY; MATERNAL PLASMA; MESSENGER-RNA; IN-VITRO; CIRCULATING MICROPARTICLES</t>
  </si>
  <si>
    <t>Pre-eclampsia (P-EC), a heterogenic multisystem disorder characterized by hypertension and proteinuria, usually develops in the second half of pregnancy. The incidence is 2 to 5%, and P-EC is therefore a major cause of maternal and perinatal morbidity and mortality. Although the exact etiology is unknown, placental factors released into the maternal circulation lead to systemic maternal inflammation and endothelial dysfunction. Growing evidence indicates that placenta-derived microparticles, best known as syncytiotrophoblast microparticles (STBM), are important among these factors. This review provides an overview of the presence and function(s) of STBM and other cell-derived microparticles and exosomes.</t>
  </si>
  <si>
    <t>[Sturk, Auguste; Nieuwland, Rienk] Acad Med Ctr, Dept Clin Chem, NL-1100 AZ Amsterdam, Netherlands; [van der Post, Joris A. M.; Lok, Christianne A. R.; Boer, Kees] Acad Med Ctr, Dept Obstet &amp; Gynaecol, NL-1100 AZ Amsterdam, Netherlands; [Sargent, Ian L.] Univ Oxford, John Radcliffe Hosp, Nuffield Dept Obstet &amp; Gynaecol, Womens Ctr, Oxford OX3 9DU, England</t>
  </si>
  <si>
    <t>University of Amsterdam; Academic Medical Center Amsterdam; University of Amsterdam; Academic Medical Center Amsterdam; University of Oxford</t>
  </si>
  <si>
    <t>Nieuwland, R (corresponding author), Acad Med Ctr, Dept Clin Chem, Meibergdreef 9,POB 22660, NL-1100 AZ Amsterdam, Netherlands.</t>
  </si>
  <si>
    <t>r.nieuwland@amc.nl</t>
  </si>
  <si>
    <t>Lok, Christianne/ABB-4416-2020; van der Post, Joris A M/A-8991-2008; Nieuwland, Rienk/AAC-9591-2019</t>
  </si>
  <si>
    <t>Nieuwland, Rienk/0000-0002-5394-2152; van der Post, Joris/0000-0003-3311-2116</t>
  </si>
  <si>
    <t>10.1055/s-0030-1270342</t>
  </si>
  <si>
    <t>WOS:000287558800010</t>
  </si>
  <si>
    <t>PARKINSON, JE; SANDERSON, CM; SMITH, GL</t>
  </si>
  <si>
    <t>THE VACCINIA VIRUS A38L GENE-PRODUCT IS A 33-KDA INTEGRAL MEMBRANE GLYCOPROTEIN</t>
  </si>
  <si>
    <t>NUCLEOTIDE-SEQUENCE; PROTEIN; ENVELOPE; DNA; EXPRESSION; DOMAINS; VECTORS; MARKER; GENOME; KBP</t>
  </si>
  <si>
    <t>The vaccinia virus gene A38L encodes a highly hydrophobic protein with amino acid similarity to mammalian integrin-associated protein (IAP). In this report we have identified the A38L protein of strain Western Reserve (WR), defined its membrane topology, and analyzed its role in virus production and virulence. An antiserum raised against an A38L peptide identified the A38L gene product as a 33-kDa protein which is expressed at low levels during virus infection. A serum from a rabbit previously infected with WR virus recognized the A38L protein, thus confirming that the A38L gene is expressed in vivo. Using a coupled in vitro-translation/membrane-translocation system the 33-kDa protein was shown to be a membrane-associated and glycosylated form of a 29-kDa polypeptide precursor. The membrane topology of the A38L protein was defined by its glycosylation and protease sensitivity when associated with microsomal membranes. The N-terminal immuno-globulin-like variable domain was protected from exogenous protease and was therefore in the lumen of the vesicle, whereas the C-terminus was sensitive and therefore cytoplasmic. A38L deletion and revertant viruses were constructed and were used to study the involvement of A38L in virus assembly, release, and virulence. Deletion of the A38L gene caused a slight reduction in virus plaque size but did not affect the production of intracellular mature virus or extracellular enveloped virus particles in tissue culture cells nor the virulence of the virus in the murine intranasal model. The A38L protein therefore possesses similar sequence and membrane topology to the mammalian IAP protein but is not required for virus particle production or virulence. (C) 1995 Academic Press, Inc.</t>
  </si>
  <si>
    <t>UNIV OXFORD,SIR WILLIAM DUNN SCH PATHOL,OXFORD OX1 3RE,ENGLAND</t>
  </si>
  <si>
    <t>Smith, Geoffrey L/G-2894-2012</t>
  </si>
  <si>
    <t>Smith, Geoffrey L/0000-0002-3730-9955</t>
  </si>
  <si>
    <t>10.1006/viro.1995.9942</t>
  </si>
  <si>
    <t>WOS:A1995TK27400020</t>
  </si>
  <si>
    <t>Cullis, PM; Green, RE; Merson-Davies, L; Travis, N</t>
  </si>
  <si>
    <t>Probing the mechanism of transport and compartmentalisation of polyamines in mammalian cells</t>
  </si>
  <si>
    <t>CHEMISTRY &amp; BIOLOGY</t>
  </si>
  <si>
    <t>cells; compartmentalisation; endocytosis; polyamines; transport</t>
  </si>
  <si>
    <t>CHLORAMBUCIL-SPERMIDINE CONJUGATE; NEURO-BLASTOMA CELLS; TUMOR-CELLS; METHYLGLYOXAL BIS(GUANYLHYDRAZONE); MULTIDRUG TRANSPORTER; RAT LUNG; LOCALIZATION; DNA; PUTRESCINE; SYSTEM</t>
  </si>
  <si>
    <t>Background: Many mammalian cells possess an active polyamine uptake system but little is known about the molecular mechanism of this transporter. The fate of polyamines taken up from the medium and the relationship to polyamine homeostasis remains to be fully established. The aim of this study was to develop a range of modified polyamines, particularly ligands incorporating a fluorophore, to explore the structural tolerances of the polyamine transport system and to probe the intracellular location of polyamines acquired from the medium. Results: We synthesised a wide range of polyamine analogues incorporating cytotoxic agents, fluorescent chromophores and bulky substituents. All of these analogues have been shown to be good competitive inhibitors of spermidine uptake in a range of mammalian cells, Direct evidence for uptake of the fluorescent polyamine analogues and their subcellular distribution was obtained from confocal laser scanning fluorescence microscopy, which showed that they accumulated in granular structures within the cytoplasm and not in the nucleus. We demonstrated that their uptake is through the polyamine transport system by showing that pretreatment with DFMO, a potent inhibitor of polyamine biosynthesis, led to enhanced uptake, and cells deficient in the polyamine transport system did not accumulate these polyamine analogues. Conclusions: The polyamine transport system has a surprisingly broad structural tolerance. Fluorophore-containing polyamine analogues derived from the extracellular pool are located in granular structures within the cytoplasm and not to any great extent in the nuclei of mammalian cells. These observations might be consistent with a mechanism involving receptor-mediated endocytosis, and the granular 'structures' seen might reflect polyamine compartmentalisation within vesicles.</t>
  </si>
  <si>
    <t>Univ Leicester, Ctr Mechanisms Human Toxic, Leicester LE1 7RH, Leics, England; Univ Leicester, Dept Chem, Leicester LE1 7RH, Leics, England</t>
  </si>
  <si>
    <t>University of Leicester; University of Leicester</t>
  </si>
  <si>
    <t>Cullis, PM (corresponding author), Univ Leicester, Ctr Mechanisms Human Toxic, Leicester LE1 7RH, Leics, England.</t>
  </si>
  <si>
    <t>PMC@leicester.ac.uk</t>
  </si>
  <si>
    <t>Cullis, Paul/B-1151-2016</t>
  </si>
  <si>
    <t>Cullis, Paul/0000-0003-3583-0162</t>
  </si>
  <si>
    <t>1074-5521</t>
  </si>
  <si>
    <t>1879-1301</t>
  </si>
  <si>
    <t>10.1016/S1074-5521(00)80019-8</t>
  </si>
  <si>
    <t>WOS:000083182300007</t>
  </si>
  <si>
    <t>Ravera, F; Cirmena, G; Dameri, M; Gallo, M; Vellone, VG; Fregatti, P; Friedman, D; Calabrese, M; Ballestrero, A; Tagliafico, A; Ferrando, L; Zoppoli, G</t>
  </si>
  <si>
    <t>Ravera, Francesco; Cirmena, Gabriella; Dameri, Martina; Gallo, Maurizio; Vellone, Valerio Gaetano; Fregatti, Piero; Friedman, Daniele; Calabrese, Massimo; Ballestrero, Alberto; Tagliafico, Alberto; Ferrando, Lorenzo; Zoppoli, Gabriele</t>
  </si>
  <si>
    <t>Development of a hoRizontal data intEgration classifier for NOn-invasive early diAgnosis of breasT cancEr: the RENOVATE study protocol</t>
  </si>
  <si>
    <t>BMJ OPEN</t>
  </si>
  <si>
    <t>breast tumours; breast imaging; health informatics; cancer genetics; adult oncology</t>
  </si>
  <si>
    <t>EXOSOMES; DNA</t>
  </si>
  <si>
    <t>Introduction Standard procedures aimed at the early diagnosis of breast cancer (BC) present suboptimal accuracy and imply the execution of invasive and sometimes unnecessary tissue biopsies. The assessment of circulating biomarkers for diagnostic purposes, together with radiomics, is of great potential in BC management. Methods and analysis This is a prospective translational study investigating the accuracy of the combined assessment of multiple circulating analytes together with radiomic variables for early BC diagnosis. Up to 750 patients will be recruited at their presentation at the Diagnostic Senology Unit of Ospedale Policlinico San Martino (Genoa, IT) for the execution of a diagnostic biopsy after the detection of a suspect breast lesion (t0). Each recruited patient will be asked to donate peripheral blood and urine before undergoing breast biopsy. Blood and urine samples will also be collected from a cohort of 100 patients with negative mammography. For cases with histological diagnosis of invasive BC, a second sample of blood and urine will be collected after breast surgery. Circulating tumour DNA, cell-free methylated DNA and circulating proteins will be assessed in samples collected at t0 from patients with stage I-IIA BC at surgery together with those collected from patients with histologically confirmed benign lesions of similar size and from healthy controls with negative mammography. These analyses will be combined with radiomic variables extracted with freeware algorithms applied to cases and matched controls for which digital mammography is available. The overall goal of the present study is to develop a horizontal data integration classifier for the early diagnosis of BC. Ethics and dissemination This research protocol has been approved by Regione Liguria Ethics Committee (reference number: 2019/75, study ID: 4452). Patients will be required to provide written informed consent. Results will be published in international peer-reviewed scientific journals.</t>
  </si>
  <si>
    <t>[Ravera, Francesco; Cirmena, Gabriella; Gallo, Maurizio; Ballestrero, Alberto; Zoppoli, Gabriele] Univ Genoa, Dept Internal Med, Genoa, Italy; [Dameri, Martina; Fregatti, Piero; Friedman, Daniele; Calabrese, Massimo; Ferrando, Lorenzo] IRCCS, Osped Policlin San Martino, Genoa, Italy; [Vellone, Valerio Gaetano] Univ Genoa, Dept Surg Sci &amp; Integrated Diagnost, Genoa, Italy; [Tagliafico, Alberto] Univ Genoa, Dept Hlth Sci, Genoa, Italy</t>
  </si>
  <si>
    <t>University of Genoa; University of Genoa; University of Genoa</t>
  </si>
  <si>
    <t>Zoppoli, G (corresponding author), Univ Genoa, Dept Internal Med, Genoa, Italy.</t>
  </si>
  <si>
    <t>gabriele.zoppoli@unige.it</t>
  </si>
  <si>
    <t>Calabrese, Massimo/Y-6985-2019</t>
  </si>
  <si>
    <t>Calabrese, Massimo/0000-0001-7281-5573; Ferrando, Lorenzo/0000-0002-4025-7930; Cirmena, Gabriella/0000-0002-5794-2766; Dameri, Martina/0000-0001-6898-9247</t>
  </si>
  <si>
    <t>2044-6055</t>
  </si>
  <si>
    <t>e054256</t>
  </si>
  <si>
    <t>10.1136/bmjopen-2021-054256</t>
  </si>
  <si>
    <t>WOS:000737991900006</t>
  </si>
  <si>
    <t>Masliah, E; Sisk, A; Mallory, M; Mucke, L; Schenk, D; Games, D</t>
  </si>
  <si>
    <t>Comparison of neurodegenerative pathology in transgenic mice overexpressing V717F beta-amyloid precursor protein and Alzheimer's disease</t>
  </si>
  <si>
    <t>Alzheimer's disease; amyloid precursor protein; transgenic; electron microscopy; confocal microscopy; neurodegeneration</t>
  </si>
  <si>
    <t>APOPTOTIC CELL-DEATH; CENTRAL-NERVOUS-SYSTEM; SENILE PLAQUES; SYNAPTIC PATHOLOGY; HIPPOCAMPAL-FORMATION; NEURITIC ALTERATIONS; DNA FRAGMENTATION; CHROMOGRANIN-A; IN-SITU; BRAIN</t>
  </si>
  <si>
    <t>Overexpression of mutated human amyloid precursor protein (hAPP717V--&gt;F) under control of platelet-derived growth factor promoter (PDAPP minigene) in transgenic (tg) mice results in neurodegenerative changes similar to Alzheimer's disease (AD). To clarify the pathology of these mice, we studied images derived from laser scanning confocal and electron microscopy and performed comparisons between PDAPP tg mice and AD. Similar to AD, neuritic plaques in PDAPP tg mouse contained a dense amyloid core surrounded by anti-hAPP- and anti-neurofilament-immunoreactive dystrophic neurites and astroglial cells. Neurons were found in close proximity to plaques in PDAPP tg mice and, to a lesser extent, in AD. In PDAPP tg mice, and occasionally in AD, neuronal processes contained fine intracellular amyloid fibrils in close proximity to the rough endoplasmic reticulum, coated vesicles, and electron-dense material. Extracellular amyloid fibrils (9-11 nm in diameter) were abundant in PDAPP tg and were strikingly similar to those observed in AD. Dystrophic neurites in plaques of PDAPP tg mouse and AD formed synapses and contained many dense multilaminar bodies and neurofilaments (10 nm). Apoptotic-like figures were present in the tg mice. No paired helical filaments have yet been observed in the heterozygote PDAPP tg mice. In summary, this study shows that PDAPP tg mice develop massive neuritic plaque formation and neuronal degeneration similar to AD. These findings show that overproduction of hAPP717V--&gt;F in tg mice is sufficient to cause not only amyloid deposition, but also many of the complex subcellular degenerative changes associated with AD.</t>
  </si>
  <si>
    <t>UNIV CALIF SAN DIEGO,DEPT PATHOL,LA JOLLA,CA 92093; GLADSTONE INST,MOL NEUROBIOL PROGRAM,SAN FRANCISCO,CA 94141; ATHENA NEUROSCI INC,S SAN FRANCISCO,CA 94080</t>
  </si>
  <si>
    <t>University of California System; University of California San Diego; University of California System; University of California San Francisco; The J David Gladstone Institutes</t>
  </si>
  <si>
    <t>Masliah, E (corresponding author), UNIV CALIF SAN DIEGO,DEPT NEUROSCI,LA JOLLA,CA 92093, USA.</t>
  </si>
  <si>
    <t>Mucke, Lennart/0000-0001-6256-9559</t>
  </si>
  <si>
    <t>WOS:A1996VG90000021</t>
  </si>
  <si>
    <t>Zhou, X; Ravichandran, GC; Zhang, P; Yang, Y; Zeng, Y</t>
  </si>
  <si>
    <t>Zhou, Xin; Ravichandran, Gopi Chandran; Zhang, Peng; Yang, Yang; Zeng, Yong</t>
  </si>
  <si>
    <t>A microfluidic alternating-pull-push active digitization method for sample-loss-free digital PCR</t>
  </si>
  <si>
    <t>POLYMERASE-CHAIN-REACTION; EGFR MUTATION DETECTION; ABSOLUTE QUANTIFICATION; SELF-DIGITIZATION; KRAS MUTATIONS; LUNG-CANCER; REAL-TIME; CHIP; DNA; PLATFORM</t>
  </si>
  <si>
    <t>Digital polymerase chain reaction (dPCR) is a powerful tool for genetic analysis, providing superior sensitivity and accuracy. In many applications that demand minuscule reaction volumes, such as single cell analysis, efficient and reproducible sample handling and digitization is pivotal for accurate absolute quantification of targets, but remains a significant technical challenge. In this paper, we described a robust and flexible microfluidic alternating-pull-push active digitization (mu APPAD) strategy that confers close to 100% sample digitization efficiency for microwell-based dPCR. Our strategy employs pneumatic valve control to periodically manipulate air pressure inside the chip to greatly facilitate the vacuum-driven partition of solution into microwells, enabling efficient digitization of a small-volume solution with significantly reduced volume variability. The mu APPAD method was evaluated on both tandem-channel and parallel-channel chips, which achieved a digitization efficiency of 99.5 +/- 0.3% and 94.6 +/- 0.9% within 10.5 min and 2 min, respectively. To assess the analytical performance of the mu APPAD chip, we calibrated it for absolution dPCR quantitation of lambda DNA across a range of concentrations. The results obtained with our chip matched well with the theoretical curve computed from Poisson statistics. Compared to the existing methods for highly efficient sample digitization, not only does our technology greatly reduce the constraints on microwell geometries and channel design, but also benefits from the intrinsic amenability of the pneumatic valve technique with device integration and automation. Thus we envision that the mu APPAD technology will provide a scalable and widely adaptable platform to promote the development of advanced lab-on-a-chip systems integrating microscale sample processing with dPCR for a broad scope of applications, such as single cell analysis of tumor heterogeneity and genetic profiling of circulating exosomes directly in clinical samples.</t>
  </si>
  <si>
    <t>[Zhou, Xin; Zhang, Peng; Yang, Yang; Zeng, Yong] Univ Kansas, Dept Chem, Lawrence, KS 66045 USA; [Ravichandran, Gopi Chandran] Univ Kansas, Sch Engn, Bioengn Program, Lawrence, KS 66045 USA; [Zeng, Yong] Univ Kansas, Canc Ctr, Kansas City, KS 66160 USA</t>
  </si>
  <si>
    <t>University of Kansas; University of Kansas; University of Kansas</t>
  </si>
  <si>
    <t>Zeng, Y (corresponding author), Univ Kansas, Dept Chem, Lawrence, KS 66045 USA.;Zeng, Y (corresponding author), Univ Kansas, Canc Ctr, Kansas City, KS 66160 USA.</t>
  </si>
  <si>
    <t>yongz@ku.edu</t>
  </si>
  <si>
    <t>Yang, Yang/O-7789-2019</t>
  </si>
  <si>
    <t>Yang, Yang/0000-0002-5524-0998; Zeng, Yong/0000-0003-0537-109X; Zhou, Xin/0000-0002-7962-7599</t>
  </si>
  <si>
    <t>10.1039/c9lc00932a</t>
  </si>
  <si>
    <t>WOS:000501343700007</t>
  </si>
  <si>
    <t>van Koppen, A; Joles, JA; van Balkom, BWM; Lim, SK; de Kleijn, D; Giles, RH; Verhaar, MC</t>
  </si>
  <si>
    <t>van Koppen, Arianne; Joles, Jaap A.; van Balkom, Bas W. M.; Lim, Sai Kiang; de Kleijn, Dominique; Giles, Rachel H.; Verhaar, Marianne C.</t>
  </si>
  <si>
    <t>Human Embryonic Mesenchymal Stem Cell-Derived Conditioned Medium Rescues Kidney Function in Rats with Established Chronic Kidney Disease</t>
  </si>
  <si>
    <t>CHRONIC-RENAL-FAILURE; PHOSPHORYLATED HISTONE H2AX; ACUTE TUBULAR INJURY; STROMAL CELLS; NITRIC-OXIDE; EXPERIMENTAL GLOMERULONEPHRITIS; PARACRINE FACTORS; MODEL; PROTECT; SECRETION</t>
  </si>
  <si>
    <t>Chronic kidney disease (CKD) is a major health care problem, affecting more than 35% of the elderly population worldwide. New interventions to slow or prevent disease progression are urgently needed. Beneficial effects of mesenchymal stem cells (MSC) have been described, however it is unclear whether the MSCs themselves or their secretome is required. We hypothesized that MSC-derived conditioned medium (CM) reduces progression of CKD and studied functional and structural effects in a rat model of established CKD. CKD was induced by 5/6 nephrectomy (SNX) combined with L-NNA and 6% NaCl diet in Lewis rats. Six weeks after SNX, CKD rats received either 50 mu g CM or 50 mu g non-CM (NCM) twice daily intravenously for four consecutive days. Six weeks after treatment CM administration was functionally effective: glomerular filtration rate (inulin clearance) and effective renal plasma flow (PAH clearance) were significantly higher in CM vs. NCM-treatment. Systolic blood pressure was lower in CM compared to NCM. Proteinuria tended to be lower after CM. Tubular and glomerular damage were reduced and more glomerular endothelial cells were found after CM. DNA damage repair was increased after CM. MSC-CM derived exosomes, tested in the same experimental setting, showed no protective effect on the kidney. In a rat model of established CKD, we demonstrated that administration of MSC-CM has a long-lasting therapeutic rescue function shown by decreased progression of CKD and reduced hypertension and glomerular injury.</t>
  </si>
  <si>
    <t>[van Koppen, Arianne; Joles, Jaap A.; van Balkom, Bas W. M.; Giles, Rachel H.; Verhaar, Marianne C.] Univ Med Ctr Utrecht, Dept Hypertens &amp; Nephrol, Utrecht, Netherlands; [Lim, Sai Kiang] ASTAR, Inst Med Biol, Singapore, Singapore; [de Kleijn, Dominique] Univ Med Ctr Utrecht, Dept Expt Cardiol, Utrecht, Netherlands</t>
  </si>
  <si>
    <t>Utrecht University; Utrecht University Medical Center; Agency for Science Technology &amp; Research (ASTAR); Institute of Medical Biology (IMB); Utrecht University; Utrecht University Medical Center</t>
  </si>
  <si>
    <t>van Koppen, A (corresponding author), Univ Med Ctr Utrecht, Dept Hypertens &amp; Nephrol, Utrecht, Netherlands.</t>
  </si>
  <si>
    <t>m.c.verhaar@umcutrecht.nl</t>
  </si>
  <si>
    <t>Verhaar, Marianne/AAM-6788-2020; Joles, Jaap/AAX-3249-2020</t>
  </si>
  <si>
    <t>Verhaar, Marianne/0000-0002-3276-6428; van Koppen, Arianne/0000-0001-9588-8863; Giles, Rachel/0000-0001-9133-2008</t>
  </si>
  <si>
    <t>e38746</t>
  </si>
  <si>
    <t>10.1371/journal.pone.0038746</t>
  </si>
  <si>
    <t>WOS:000305652700025</t>
  </si>
  <si>
    <t>Berry, LJ; Hickey, DK; Skelding, KA; Bao, S; Rendina, AM; Hansbro, PM; Gockel, CM; Beagley, KW</t>
  </si>
  <si>
    <t>Transcutaneous immunization with combined cholera toxin and CpG adjuvant protects against Chlamydia muridarum genital tract infection</t>
  </si>
  <si>
    <t>OUTER-MEMBRANE PROTEIN; GENE KNOCKOUT MICE; CYTOTOXIC T-LYMPHOCYTES; MONOCLONAL-ANTIBODIES; IMMUNE-RESPONSES; MUCOSAL IMMUNITY; BACTERIAL-DNA; CD8(+) CTLS; GUINEA-PIGS; IN-VITRO</t>
  </si>
  <si>
    <t>Chlamydia trachomatis is a pathogen of the genital tract and ocular epithelium. Infection is established by the binding of the metabolically inert elementary body (EB) to epithelial cells. These are taken up by endocytosis into a membrane-bound vesicle termed an inclusion. The inclusion avoids fusion with host lysosomes, and the EBs differentiate into the metabolically active reticulate body (RB), which replicates by binary fission within the protected environment of the inclusion. During the extracellular EB stage of the C. trachomatis life cycle, antibody present in genital tract or ocular secretions can inhibit infection both in vivo and in tissue culture. The RB, residing within the intracellular inclusion, is not accessible to antibody, and resolution of infection at this stage requires a cell-mediated immune response mediated by gamma interferon-secreting Th1 cells. Thus, an ideal vaccine to protect against C trachomatis genital tract infection should induce both antibody (immunoglobulin A [IgA] and IgG) responses in mucosal secretions to prevent infection by chlamydial EB and a strong Th1 response to limit ascending infection to the uterus and fallopian tubes. In the present study we show that transcutaneous immunization with major outer membrane protein (MOMP) in combination with both cholera toxin and CpG oligodeoxynucleotides elicits MOMP-specific IgG and IgA in vaginal and uterine lavage fluid, MOMP-specific IgG in serum, and gamma interferon-secreting T cells in reproductive tract-draining caudal and lumbar lymph nodes. This immunization protocol resulted in enhanced clearance of C. muridarum (C. trachomatis, mouse pneumonitis strain) following intravaginal challenge of BALB/c mice.</t>
  </si>
  <si>
    <t>Univ Newcastle, Fac Hlth, Sch Biomed Sci, Discipline Immunol &amp; Microbiol, Callaghan, NSW 2308, Australia; Univ Newcastle, Sch Environm &amp; Life Sci, Fac Sci &amp; Informat Technol, Newcastle, NSW 2308, Australia; Hunter Med Res Inst, Newcastle, NSW 2308, Australia; Univ Sydney, Dept Pathol, Sydney, NSW 2006, Australia; SUNY Buffalo, Dept Microbiol, Buffalo, NY USA</t>
  </si>
  <si>
    <t>University of Newcastle; University of Newcastle; Hunter Medical Research Institute; University of Newcastle; University of Sydney; State University of New York (SUNY) System; State University of New York (SUNY) Buffalo</t>
  </si>
  <si>
    <t>Beagley, KW (corresponding author), Univ Newcastle, Fac Hlth, Sch Biomed Sci, Discipline Immunol &amp; Microbiol, Callaghan, NSW 2308, Australia.</t>
  </si>
  <si>
    <t>Ken.Beagley@newcastle.edu.au</t>
  </si>
  <si>
    <t>Bao, Shisan/C-6072-2014; Bao, Shisan/AAF-6464-2020; Hickey, Danica/E-6522-2013; Beagley, Kenneth/J-1129-2012; Skelding, Kathryn ANNE/G-7958-2013; Hansbro, Phil/G-7486-2013</t>
  </si>
  <si>
    <t>Bao, Shisan/0000-0002-6687-3846; Beagley, Kenneth/0000-0003-3112-6557; Skelding, Kathryn ANNE/0000-0002-9230-3417; Hansbro, Phil/0000-0002-4741-3035; Hickey, Danica/0000-0001-9583-6262</t>
  </si>
  <si>
    <t>10.1128/IAI.72.2.1019-1028.2004</t>
  </si>
  <si>
    <t>WOS:000188766400049</t>
  </si>
  <si>
    <t>Sharma, K; Karl, B; Mathew, AV; Gangoiti, JA; Wassel, CL; Saito, R; Pu, MY; Sharma, S; You, YH; Wang, L; Diamond-Stanic, M; Lindenmeyer, MT; Forsblom, C; Wu, W; Ix, JH; Ideker, T; Kopp, JB; Nigam, SK; Cohen, CD; Groop, PH; Barshop, BA; Natarajan, L; Nyhan, WL; Naviaux, RK</t>
  </si>
  <si>
    <t>Sharma, Kumar; Karl, Bethany; Mathew, Anna V.; Gangoiti, Jon A.; Wassel, Christina L.; Saito, Rintaro; Pu, Minya; Sharma, Shoba; You, Young-Hyun; Wang, Lin; Diamond-Stanic, Maggie; Lindenmeyer, Maja T.; Forsblom, Carol; Wu, Wei; Ix, Joachim H.; Ideker, Trey; Kopp, Jeffrey B.; Nigam, Sanjay K.; Cohen, Clemens D.; Groop, Per-Henrik; Barshop, Bruce A.; Natarajan, Loki; Nyhan, William L.; Naviaux, Robert K.</t>
  </si>
  <si>
    <t>Metabolomics Reveals Signature of Mitochondrial Dysfunction in Diabetic Kidney Disease</t>
  </si>
  <si>
    <t>JOURNAL OF THE AMERICAN SOCIETY OF NEPHROLOGY</t>
  </si>
  <si>
    <t>ORGANIC ANION; NEPHROPATHY; GENES; TRANSPORTERS; BIOMARKERS; DISCOVERY; URINE; RISK; DRUG; OAT1</t>
  </si>
  <si>
    <t>Diabetic kidney disease is the leading cause of ESRD, but few biomarkers of diabetic kidney disease are available. This study used gas chromatography-mass spectrometry to quantify 94 urine metabolites in screening and validation cohorts of patients with diabetes mellitus (DM) and CKD(DM+CKD), in patients with DM without CKD (DM-CKD), and in healthy controls. Compared with levels in healthy controls, 13 metabolites were significantly reduced in the DM+CKD cohorts (P0.001), and 12 of the 13 remained significant when compared with the DM-CKD cohort. Many of the differentially expressed metabolites were water-soluble organic anions. Notably, organic anion transporter-1 (OAT1) knockout mice expressed a similar pattern of reduced levels of urinary organic acids, and human kidney tissue from patients with diabetic nephropathy demonstrated lower gene expression of OAT1 and OAT3. Analysis of bioinformatics data indicated that 12 of the 13 differentially expressed metabolites are linked to mitochondrial metabolism and suggested global suppression of mitochondrial activity in diabetic kidney disease. Supporting this analysis, human diabetic kidney sections expressed less mitochondrial protein, urine exosomes from patients with diabetes and CKD had less mitochondrial DNA, and kidney tissues from patients with diabetic kidney disease had lower gene expression of PGC1 (a master regulator of mitochondrial biogenesis). We conclude that urine metabolomics is a reliable source for biomarkers of diabetic complications, and our data suggest that renal organic ion transport and mitochondrial function are dysregulated in diabetic kidney disease.</t>
  </si>
  <si>
    <t>[Sharma, Kumar; Karl, Bethany; Saito, Rintaro; You, Young-Hyun; Diamond-Stanic, Maggie; Barshop, Bruce A.; Natarajan, Loki; Nyhan, William L.; Naviaux, Robert K.] Univ Calif San Diego, Inst Metabol Med, San Diego, CA 92103 USA; [Sharma, Kumar; Karl, Bethany; Mathew, Anna V.; Saito, Rintaro; Sharma, Shoba; You, Young-Hyun; Diamond-Stanic, Maggie; Ix, Joachim H.] Univ Calif San Diego, Ctr Renal Translat Med, Div Nephrol Hypertens, San Diego, CA 92103 USA; [Sharma, Kumar; Saito, Rintaro; Ideker, Trey; Naviaux, Robert K.] Univ Calif San Diego, Dept Med, Div Med Genet, San Diego, CA 92103 USA; [Wassel, Christina L.; Pu, Minya; Natarajan, Loki] Univ Calif San Diego, Dept Family &amp; Prevent Med, San Diego, CA 92103 USA; [Wu, Wei; Nigam, Sanjay K.] Univ Calif San Diego, Dept Pediat, San Diego, CA 92103 USA; [Wu, Wei; Nigam, Sanjay K.] Univ Calif San Diego, Dept Med, San Diego, CA 92103 USA; [Wu, Wei; Nigam, Sanjay K.] Univ Calif San Diego, Dept Cell &amp; Mol Med, San Diego, CA 92103 USA; [Sharma, Kumar; Karl, Bethany; Mathew, Anna V.; Diamond-Stanic, Maggie; Ix, Joachim H.] Vet Affairs San Diego Healthcare Syst, Div Nephrol Hypertens, San Diego, CA USA; [Gangoiti, Jon A.; Barshop, Bruce A.; Nyhan, William L.; Naviaux, Robert K.] Univ Calif San Diego, Dept Pediat, Div Genet, Biochem Genet Program, La Jolla, CA 92093 USA; [Wang, Lin; Naviaux, Robert K.] Univ Calif San Diego, Mitochondrial &amp; Metab Dis Ctr, Dept Med, La Jolla, CA 92093 USA; [Wang, Lin; Naviaux, Robert K.] Univ Calif San Diego, Mitochondrial &amp; Metab Dis Ctr, Dept Pediat, La Jolla, CA 92093 USA; [Wang, Lin; Naviaux, Robert K.] Univ Calif San Diego, Mitochondrial &amp; Metab Dis Ctr, Dept Pathol, La Jolla, CA 92093 USA; [Lindenmeyer, Maja T.; Cohen, Clemens D.] Univ Zurich Hosp, Div Nephrol, Zurich, Switzerland; [Forsblom, Carol; Groop, Per-Henrik] Univ Helsinki, Cent Hosp, Folkhalsan Res Ctr, Folkhalsan Inst Genet, Helsinki, Finland; [Forsblom, Carol; Groop, Per-Henrik] Univ Helsinki, Cent Hosp, Dept Med, Div Nephrol, Helsinki, Finland; [Kopp, Jeffrey B.] NIDDK, Kidney Dis Sect, NIH, Bethesda, MD 20892 USA; [Groop, Per-Henrik] IDI Baker Heart &amp; Diabet Inst, Melbourne, Vic, Australia</t>
  </si>
  <si>
    <t>University of California System; University of California San Diego; University of California System; University of California San Diego; University of California System; University of California San Diego; University of California System; University of California San Diego; University of California System; University of California San Diego; University of California System; University of California San Diego; University of California System; University of California San Diego; US Department of Veterans Affairs; Veterans Health Administration (VHA); VA San Diego Healthcare System; University of California System; University of California San Diego; University of California System; University of California San Diego; University of California System; University of California San Diego; University of California System; University of California San Diego; University of Zurich; Folkhalsan Research Center; University of Helsinki; Helsinki University Central Hospital; University of Helsinki; Helsinki University Central Hospital; National Institutes of Health (NIH) - USA; NIH National Institute of Diabetes &amp; Digestive &amp; Kidney Diseases (NIDDK)</t>
  </si>
  <si>
    <t>Sharma, K (corresponding author), Univ Calif San Diego, Inst Metabol Med, Ctr Renal Translat Med, Div Nephrol Hypertens, 405 Stein Clin Res Bldg,MC 0711, La Jolla, CA 92093 USA.</t>
  </si>
  <si>
    <t>kumarsharma@ucsd.edu</t>
  </si>
  <si>
    <t>Kopp, Jeffrey B/O-2681-2015; Mathew, Anna V/V-2511-2018</t>
  </si>
  <si>
    <t>Kopp, Jeffrey B/0000-0001-9052-186X; Ideker, Trey/0000-0002-1708-8454; Mathew, Anna/0000-0002-7043-4221; Lindenmeyer, Maja/0000-0003-4162-9107</t>
  </si>
  <si>
    <t>1046-6673</t>
  </si>
  <si>
    <t>1533-3450</t>
  </si>
  <si>
    <t>10.1681/ASN.2013020126</t>
  </si>
  <si>
    <t>WOS:000329911300021</t>
  </si>
  <si>
    <t>Bilawchuk, LM; Griffiths, CD; Jensen, LD; Elawar, F; Marchant, DJ</t>
  </si>
  <si>
    <t>Bilawchuk, Leanne M.; Griffiths, Cameron D.; Jensen, Lionel D.; Elawar, Farah; Marchant, David J.</t>
  </si>
  <si>
    <t>The Susceptibilities of Respiratory Syncytial Virus to Nucleolin Receptor Blocking and Antibody Neutralization Are Dependent upon the Method of Virus Purification</t>
  </si>
  <si>
    <t>respiratory syncytial virus; fast protein liquid chromatography; purification; sucrose gradient ultracentrifugation; density; mass spectrometry; transmission electron microscopy; antibody neutralization; nucleolin</t>
  </si>
  <si>
    <t>SUPEROXIDE-DISMUTASE; EPITHELIAL-CELLS; DENSITY-GRADIENT; INFECTION; AS1411; GLYCOPROTEIN; MECHANISM; REVEALS; PROTEIN; CANCER</t>
  </si>
  <si>
    <t>Respiratory Syncytial Virus (RSV) that is propagated in cell culture is purified from cellular contaminants that can confound experimental results. A number of different purification methods have been described, including methods that utilize fast protein liquid chromatography (FPLC) and gradient ultracentrifugation. Thus, the constituents and experimental responses of RSV stocks purified by ultracentrifugation in sucrose and by FPLC were analyzed and compared by infectivity assay, Coomassie stain, Western blot, mass spectrometry, immuno-transmission electron microscopy (TEM), and ImageStream flow cytometry. The FPLC-purified RSV had more albumin contamination, but there was less evidence of host-derived exosomes when compared to ultracentrifugation-purified RSV as detected by Western blot and mass spectrometry for the exosome markers superoxide dismutase [Cu-Zn] (SOD1) and the tetraspanin CD63. Although the purified virus stocks were equally susceptible to nucleolin-receptor blocking by the DNA aptamer AS1411, the FPLC-purified RSV was significantly less susceptible to anti-RSV polyclonal antibody neutralization; there was 69% inhibition (p = 0.02) of the sucrose ultracentrifugation-purified RSV, 38% inhibition (p = 0.03) of the unpurified RSV, but statistically ineffective neutralization in the FPLC-purified RSV (22% inhibition; p = 0.30). The amount of RSV neutralization of the purified RSV stocks was correlated with anti-RSV antibody occupancy on RSV particles observed by immuno-TEM. RSV purified by different methods alters the stock composition and morphological characteristics of virions that can lead to different experimental responses.</t>
  </si>
  <si>
    <t>[Bilawchuk, Leanne M.; Griffiths, Cameron D.; Jensen, Lionel D.; Elawar, Farah; Marchant, David J.] Univ Alberta, Li Ka Shing Inst Virol, Dept Med Microbiol &amp; Immunol, Edmonton, AB T6G 2R3, Canada</t>
  </si>
  <si>
    <t>University of Alberta</t>
  </si>
  <si>
    <t>Marchant, DJ (corresponding author), Univ Alberta, Li Ka Shing Inst Virol, Dept Med Microbiol &amp; Immunol, Edmonton, AB T6G 2R3, Canada.</t>
  </si>
  <si>
    <t>lbilawch@ualberta.ca; cdg1@ualberta.ca; ldjensen@ualberta.ca; elawar@ualberta.ca; marchant@ualberta.ca</t>
  </si>
  <si>
    <t>Griffiths, Cameron/AAG-4958-2021; Jensen, Lionel/M-8071-2017</t>
  </si>
  <si>
    <t>Griffiths, Cameron/0000-0002-1280-3615; Elawar, Farah/0000-0001-5446-428X; Jensen, Lionel/0000-0002-1176-0019</t>
  </si>
  <si>
    <t>10.3390/v9080207</t>
  </si>
  <si>
    <t>WOS:000408742900012</t>
  </si>
  <si>
    <t>Guibourdenche, J; Leguy, MC; Tsatsaris, V</t>
  </si>
  <si>
    <t>Guibourdenche, Jean; Leguy, Marie-Clemence; Tsatsaris, Vassilis</t>
  </si>
  <si>
    <t>Biology and markers of preeclampsia</t>
  </si>
  <si>
    <t>ANNALES DE BIOLOGIE CLINIQUE</t>
  </si>
  <si>
    <t>human pregnancy; placenta; invasion; endothelium; maternal serum</t>
  </si>
  <si>
    <t>ENDOTHELIAL DYSFUNCTION; ANGIOGENIC FACTORS; PATHOPHYSIOLOGY; IMMUNOLOGY; ISCHEMIA</t>
  </si>
  <si>
    <t>Preeclampsia is a syndrome specific of pregnancy and placenta diagnosed after 20 WG on the association of an hypertension and a proteinuria. It is responsible for significant maternal-fetal morbidity and mortality which justify the development of markers for screening, diagnosis and prognosis. These markers are actors or witnesses to the various stages and mechanisms of the disease : the initial defect of trophoblast invasion and remodeling of uterine arteries (proteases [PAPP-A, ADAM-12, uPA, MMPs], their inhibitors, and angiogenic factors [PlGF, sflt-1, s-eng]) which induces hydrostatic abnormalities (uterine doppler) and placental hypoperfusion with dysoxia (HIF-1 alpha) and oxidative stress (free radicals, peroxynitrites, oxidized LDL). This results in impaired placental functions including endocrine and metabolic functions (hCG, leptin) with increase in placental apoptosis and necrosis with the release of exosomes and toxic placental fragments (STBM) and their content (RNA, DNA and proteins). This fragments amplify the gestational inflammation (IL6, TNF alpha; activation of leukocytes and macrophages [elastase, neopterin] and complement) and lead to a deterioration of the maternal endothelium (vasoconstriction [ET2, TxA2]; platelet adhesion [sVCAM - 1 alpha), aggregation and activation; impaired vascular permeability) generating edema, hypertension, atherosclerosis and glomerular nephropathy (proteinuria, hyperuricemia). Other markers such as PP13 and PTX3 seem of interest even if their functions are poorly understood. Preeclampsia develops on a predisposed maternal environment (genetic, epigenetic infectious, and endocrine factors) characterized by a maternal inadequacy to pregnancy.</t>
  </si>
  <si>
    <t>[Guibourdenche, Jean; Leguy, Marie-Clemence] Hop Cochin, AP HP, Serv Biol Hormonale &amp; Metab, F-75674 Paris, France; [Guibourdenche, Jean; Tsatsaris, Vassilis] Univ Paris 05, Fac Pharm, INSERM, U767, Paris, France; [Guibourdenche, Jean; Tsatsaris, Vassilis] Univ Paris 05, Fac Pharm, Fdn PremUp, Paris, France; [Tsatsaris, Vassilis] Hop Cochin, AP HP, Matern Port Royal, F-75674 Paris, France</t>
  </si>
  <si>
    <t>Assistance Publique Hopitaux Paris (APHP); Hopital Universitaire Cochin - APHP; UDICE-French Research Universities; Universite de Paris; Institut National de la Sante et de la Recherche Medicale (Inserm); UDICE-French Research Universities; Universite de Paris; UDICE-French Research Universities; Universite de Paris; Assistance Publique Hopitaux Paris (APHP); Hopital Universitaire Cochin - APHP; UDICE-French Research Universities; Universite de Paris</t>
  </si>
  <si>
    <t>Guibourdenche, J (corresponding author), Hop Cochin, AP HP, Serv Biol Hormonale &amp; Metab, 27 Rue Faubourg St Jacques, F-75674 Paris, France.</t>
  </si>
  <si>
    <t>jean.guibourdenche@cch.aphp.fr</t>
  </si>
  <si>
    <t>0003-3898</t>
  </si>
  <si>
    <t>1950-6112</t>
  </si>
  <si>
    <t>10.1684/abc.2013.0903</t>
  </si>
  <si>
    <t>Medical Laboratory Technology; Medicine, Research &amp; Experimental</t>
  </si>
  <si>
    <t>Medical Laboratory Technology; Research &amp; Experimental Medicine</t>
  </si>
  <si>
    <t>WOS:000209472300010</t>
  </si>
  <si>
    <t>Han, ZY; Liu, XJ; Chen, XQ; Zhou, XS; Du, T; Roizman, B; Zhou, GY</t>
  </si>
  <si>
    <t>Han, Zhiyuan; Liu, Xianjie; Chen, Xiaoqing; Zhou, Xusha; Du, Te; Roizman, Bernard; Zhou, Guoying</t>
  </si>
  <si>
    <t>miR-H28 and miR-H29 expressed late in productive infection are exported and restrict HSV-1 replication and spread in recipient cells</t>
  </si>
  <si>
    <t>exosome; latency; reactivation; trigeminal ganglia</t>
  </si>
  <si>
    <t>HERPES-SIMPLEX-VIRUS; GENE-EXPRESSION; 1 MICRORNAS; PROTEIN-SYNTHESIS; HERPES-SIMPLEX-VIRUS-1; PHOSPHORYLATION; TRANSCRIPT; REPRESSOR; REQUIRES; SHUTOFF</t>
  </si>
  <si>
    <t>We report on the properties and function of two herpes simplex virus-1 (HSV-1) microRNAs (miRNAs) designated miR-H28 and miR-H29. Both miRNAs accumulate late in productive infection at a time when, for the most part, viral DNA and proteins have been made. Ectopic expression of miRNA mimics in human cells before infection reduced the accumulation of viral mRNAs and proteins, reduced plaque sizes, and at vey low multiplicities of infection reduced viral yields. The specificity of the miRNA mimics was tested in two ways. First, ectopic expression of mimics carrying mutations in the seed sequence was ineffective. Second, in similar tests two viral miRNAs made early in productive infection also had no effect. Both miR-H28 and miR-H29 are exported from infected cells in exosomes. A noteworthy finding is that both miR-H28 and miR-H29 were absent from murine ganglia harboring latent virus but accumulated in ganglia in which the virus was induced to reactivate. The significance of these findings rests on the principle that the transmission of HSV from person to person is by physical contact between the infected tissues of the donor and those of uninfected recipient. Diminished size of primary or recurrent lesions could be predicted to enhance person-to-person transmission. Reduction in the amount of reactivating latent virus would reduce the risk of retrograde transport to the CNS but would not interfere with anterograde transport to a site at or near the site of initial infection.</t>
  </si>
  <si>
    <t>[Han, Zhiyuan; Liu, Xianjie; Chen, Xiaoqing; Zhou, Xusha; Zhou, Guoying] Guangzhou Med Univ, Inst Immunol, State Key Lab Resp Dis, Guangzhou 511436, Guangdong, Peoples R China; [Du, Te; Roizman, Bernard] Univ Chicago, Marjorie B Kovler Viral Oncol Labs, 910 E 58Th St, Chicago, IL 60637 USA</t>
  </si>
  <si>
    <t>Guangzhou Medical University; State Key Laboratory of Respiratory Disease; University of Chicago</t>
  </si>
  <si>
    <t>Zhou, GY (corresponding author), Guangzhou Med Univ, Inst Immunol, State Key Lab Resp Dis, Guangzhou 511436, Guangdong, Peoples R China.;Roizman, B (corresponding author), Univ Chicago, Marjorie B Kovler Viral Oncol Labs, 910 E 58Th St, Chicago, IL 60637 USA.</t>
  </si>
  <si>
    <t>E894</t>
  </si>
  <si>
    <t>E901</t>
  </si>
  <si>
    <t>10.1073/pnas.1525674113</t>
  </si>
  <si>
    <t>WOS:000370220000013</t>
  </si>
  <si>
    <t>MURPHY, GP; BUSCH, C</t>
  </si>
  <si>
    <t>HISTOPATHOLOGY OF LOCALIZED PROSTATE-CANCER</t>
  </si>
  <si>
    <t>SCANDINAVIAN JOURNAL OF UROLOGY AND NEPHROLOGY</t>
  </si>
  <si>
    <t>NEURO-ENDOCRINE DIFFERENTIATION; RADICAL RETROPUBIC PROSTATECTOMY; POSITIVE SURGICAL MARGINS; SMALL-CELL-CARCINOMA; GENE-RELATED PEPTIDE; CLINICAL STAGE; PROGNOSTIC-SIGNIFICANCE; TUMOR VOLUME; CAPSULAR PENETRATION; PATHOLOGICAL STAGE</t>
  </si>
  <si>
    <t>Future handling of patients with localized prostate cancer will undoubtedly depend upon a more sophisticated prognostication then that available today. The basis will continue to be the histopathotogical evaluation of tumor size, grade, localization and distribution within the gland. The aim of this section is to summarize current concepts of the morphological characteristics of localized prostate cancer and their prognostic implications as well as to give guidelines for standardization of the methods involved in morphological evaluation. First, baseline recommendations for the tissue processing procedures are given: Needle core biopsies, taken in a systematic way, potentially contain the information necessary for estimation of grade, size, distribution and extension to seminal vesicles, and could yield material for DNA-measurements, cytogenetic and genetic information. For TUR specimens it is suggested that at least 10 grams should be embedded or 8 to 10 cassettes employed minimally. The prostatectomy specimens should be carefully examined. Material should be frozen both from tumor tissue and from other areas eg by taking 'mapping' biopsies in a standardized way. After fixation (in 10% buffered formalin for at least 24 hours) and appropriate inking of surgical margins, whole mount sections at 2.5 - 5 mm intervals should be cut. The extension of the tumor should be outlined and at least the two largest tumors should be graded. Capsule penetration and extension to surgical margins and seminal vesicles should be indicated. Grading of malignancy should always include the Gleason grade and where possible Gleason score (ie the sum of the dominant and the secondary grade or pattern). The WHO and the Boecking systems combine a grading of glandular architecture with a grading of the nuclear atypia. It is stressed that in core biopsies the amount of cancer is sometimes scanty, which limits the possibility to find dominant and secondary patterns. In such cases, a grading of glandular differentiation and of nuclear grade seems rational. Also, for comparison with cytological grading, the WHO system is suitable, since in both cases both tissue differentiation and nuclear atypia are judged. The future need for objective techniques is recognized. Prostatectomy pathology includes important features with high correlation to postoperative prognosis: eg capsular penetration. The extent of capsular penetration and the extent of involvement of the surgical margins is of importance. Only focal penetration or focal involvement of the margin carry a relatively low risk of progression, The Gleason score and the tumor volume have been claimed to stratify patients with capsular penetration: if margins are negative and grade low, the 5 year progression is rare; if margins are positive or grade high, progression occurs in every other or third case and if margin is positive and grade high, two out of three progress. Seminal vesicle invasion is regarded a significant independent predictor of progression following radical prostatectomy. Thus, the Gleason score is a highly significant predictor of progression and the addition of positive margin enhances prediction. In other studies the tumor volume is claimed to be more important than grade. Hence, the exact relationship between Gleason score and tumor volume, complemented with DNA-ploidy estimates and other objective prognosticators, needs to be investigated further. Preoperative needle core biopsies, taken in a systematic manner from six strategic points, can provide estimates of tumor volume and grade: when one core biopsy out of six is positive, the tumor is likely to be larger than 0.5 cc and less than 3 cc, provided the core cancer length is 3 mm or longer. If two biopsies from the same side are positive, and both have cancer lengths above 3 mm, a cancer of between 1 cc and 6 cc is indicated. If two biopsies from each side of the prostate are positive, in roughly 50% of the cases the contralateral biopsy emanates from a second incidental cancer, in which case the larger tumor is probably between 0.5 cc and 3 cc. Otherwise it means that the tumor is probably above 5 cc. Tumors located in the anterior part of the gland usually give small cancer lengths. A practical volume threshold for radical prostatectomy is probably 0.5 cc provided the Gleason grade is less than 4. The future tumor biological characterization of prostate cancer will undoubtedly include the relevance of eg. proliferation markers, expression of PSA, p53, neuroendocrine differentiation and changes in surface adhesion molecules, extracellular matrix and proteases as well as molecular genetic markers indicating their relationship to prognosis. Finally, the potential prognostic significance of heterogeneity and multicentricity of prostate cancer is underlined. Without accurate methods to assess tumor volume, grade and distribution during our diagnostic evaluation of the patient, inadequate sampling is a major risk. Thus, the combined efforts of urologists, radiologists, pathologists and others in longitudinal studies of disease progression will be required to perfect meaningful prognostic systems.</t>
  </si>
  <si>
    <t>UNIV UPPSALA HOSP, DEPT PATHOL, S-75185 UPPSALA, SWEDEN; PACIFIC NW RES FDN, SEATTLE, WA 98122 USA</t>
  </si>
  <si>
    <t>0036-5599</t>
  </si>
  <si>
    <t>WOS:A1994PK11300002</t>
  </si>
  <si>
    <t>Boedecker, SC; Philippi, KFA; Neuberger, E; Schmidt, S; Pfirrmann, D; Haller, N; Schwarting, A; Simon, P; Weinmann-Menke, J</t>
  </si>
  <si>
    <t>Boedecker, Simone Cosima; Philippi, Keito Finn Akanby; Neuberger, Elmo; Schmidt, Sebastian; Pfirrmann, Daniel; Haller, Nils; Schwarting, Andreas; Simon, Perikles; Weinmann-Menke, Julia</t>
  </si>
  <si>
    <t>Twelve-Week Internet-Based Individualized Exercise Program in Adults With Systemic Lupus Erythematosus: Protocol for a Randomized Controlled Trial</t>
  </si>
  <si>
    <t>JMIR RESEARCH PROTOCOLS</t>
  </si>
  <si>
    <t>systemic lupus erythematosus; physical activity; internet-based exercise program; disease activity; fatigue</t>
  </si>
  <si>
    <t>QUALITY-OF-LIFE; PHYSICAL-ACTIVITY; AEROBIC CAPACITY; FATIGUE; WOMEN</t>
  </si>
  <si>
    <t>Background: Systemic lupus erythematosus is a systemic autoimmune disease, which is associated with high cardiovascular risk, a predisposition to metabolic disorders, muscle wasting, and fatigue. Exercise therapy has become an important part of the long-term treatment of comorbidities in systemic lupus erythematosus. Exercise can lead to various benefits in patients with systemic lupus erythematosus such as increased aerobic capacity and exercise tolerance, resulting in an increased quality of life, decreased depression, and decreased fatigue. At the moment, no evidence based treatment guidelines that recommend exercise for patients with systemic lupus erythematosus exist. Also, the efficacy of different training programs requires further investigation. Objective: This study focuses on the feasibility, efficacy, and safety of an internet-based exercise program in patients with systemic lupus erythematosus. Furthermore, we investigate the feasibility and efficiency of anaerobic training compared to aerobic training. Methods: Overall, patients with systemic lupus erythematosus from the Division of Nephrology, Rheumatology, and Immunology outpatient clinic of the University Medical Center Mainz who are clinically stable status are included and randomized in an aerobic exercise group (n=10), anaerobic exercise group (n=10), or treatment as usual group (n=10). After completing initial clinical testing and physical fitness tests, patients undergo supervised 12-week online exercise programs, receiving weekly individualized training plans adapted to their physical performance. The primary outcome is change in physical fitness (VO2 peak) after 12 weeks compared to baseline. Secondary outcomes are disease activity measured via laboratory results (complement, autoantibodies) and questionnaires, as well as changes in muscle mass (anaerobic exercise group), results of the Chair-Stand test, and measurements of circulating cell-free DNA and extracellular vesicles. Results: The study was registered in May 2019. Enrollment began in May 2019. Of 40 patients who were initially screened, 30 patients fulfilled the inclusion criteria and were included in the study; 1 participant withdrew prior to the start of the exercise program. Among the 25 patients who completed the study, no serious adverse events have been reported; 3 participants withdrew during the program (due to frequent colds, n=1; Crohn relapse, n=1; physical strain, n=1), and 1 participant has not yet completed the program. Data analysis is ongoing, and results are expected to be submitted for publication in January 2021. Conclusions: We expect the online exercise intervention to be a feasible and efficient tool to provide regular individualized exercise for patients with systemic lupus erythematosus.</t>
  </si>
  <si>
    <t>[Boedecker, Simone Cosima; Schwarting, Andreas; Weinmann-Menke, Julia] Univ Med Ctr Mainz, Dept Rheumatol &amp; Nephrol, Langenbeckstr 1, D-55131 Mainz, Germany; [Philippi, Keito Finn Akanby; Neuberger, Elmo; Schmidt, Sebastian; Pfirrmann, Daniel; Haller, Nils; Simon, Perikles] Johannes Gutenberg Univ Mainz, Dept Sports Med Dis Prevent &amp; Rehabil, Mainz, Germany</t>
  </si>
  <si>
    <t>Boedecker, SC (corresponding author), Univ Med Ctr Mainz, Dept Rheumatol &amp; Nephrol, Langenbeckstr 1, D-55131 Mainz, Germany.</t>
  </si>
  <si>
    <t>SimoneCosima.Boedecker@unimedizin-mainz.de</t>
  </si>
  <si>
    <t>Simon, Perikles D/B-2293-2013; Weinmann-Menke, Julia/ABC-3559-2021</t>
  </si>
  <si>
    <t>Simon, Perikles D/0000-0002-7996-4034; Haller, Nils/0000-0002-7066-7615; Boedecker, Simone Cosima/0000-0002-7029-2622; Weinmann-Menke, Julia/0000-0001-7344-8381; Schwarting, Andreas/0000-0002-0566-598X; Philippi, Keito F. A./0000-0002-5179-538X; Neuberger, Elmo Wanja Immanuel/0000-0003-2021-6477</t>
  </si>
  <si>
    <t>1929-0748</t>
  </si>
  <si>
    <t>el8291</t>
  </si>
  <si>
    <t>10.2196/18291</t>
  </si>
  <si>
    <t>Health Care Sciences &amp; Services; Public, Environmental &amp; Occupational Health</t>
  </si>
  <si>
    <t>WOS:000601314500016</t>
  </si>
  <si>
    <t>Nonaka, T; Wong, DTW</t>
  </si>
  <si>
    <t>Nonaka, Taichiro; Wong, David T. W.</t>
  </si>
  <si>
    <t>Saliva Diagnostics</t>
  </si>
  <si>
    <t>ANNUAL REVIEW OF ANALYTICAL CHEMISTRY</t>
  </si>
  <si>
    <t>saliva liquid biopsy; salivaomics; saliva exosomics; salivary exosomes; circulating biomarkers</t>
  </si>
  <si>
    <t>EPIDERMAL-GROWTH-FACTOR; SQUAMOUS-CELL CARCINOMA; CLINICAL BIOMARKER; PROTEOMIC ANALYSIS; MUTATION DETECTION; LIQUID BIOPSIES; CANCER-PATIENTS; FACTOR RECEPTOR; BREAST-CANCER; FREE DNA</t>
  </si>
  <si>
    <t>Cancer remains one of the leading causes of death, and early detection of this disease is crucial for increasing survival rates. Although cancer can be diagnosed following tissue biopsy, the biopsy procedure is invasive; liquid biopsy provides an alternative that is more comfortable for the patient. While blood, urine, and cerebral spinal fluid can all be used as a source of liquid biopsy, saliva is an ideal source of body fluid that is readily available and easily collected in themost noninvasive manner. Characterization of salivary constituents in the disease setting provides critical data for understanding pathophysiology and the evaluation of diagnostic potential. The aim of saliva diagnostics is therefore to develop a rapid and noninvasive detection of oral and systemic diseases that could be used together with compact analysis systems in the clinic to facilitate point-of-care diagnostics.</t>
  </si>
  <si>
    <t>[Nonaka, Taichiro] Louisiana State Univ, Dept Cellular Biol &amp; Anat, Hlth Sci Ctr, Shreveport, LA 71105 USA; [Wong, David T. W.] Univ Calif Los Angeles, Sch Dent, Div Oral Biol &amp; Med, Los Angeles, CA 90024 USA</t>
  </si>
  <si>
    <t>Louisiana State University System; Louisiana State University Health Sciences Center at Shreveport; University of California System; University of California Los Angeles</t>
  </si>
  <si>
    <t>Nonaka, T (corresponding author), Louisiana State Univ, Dept Cellular Biol &amp; Anat, Hlth Sci Ctr, Shreveport, LA 71105 USA.</t>
  </si>
  <si>
    <t>taichiro.nonaka@lsuhs.edu; dtww@ucla.edu</t>
  </si>
  <si>
    <t>10.1146/annurev-anchem-061020-123959</t>
  </si>
  <si>
    <t>WOS:000811232400006</t>
  </si>
  <si>
    <t>Bieri, J; Leisi, R; Bircher, C; Ros, C</t>
  </si>
  <si>
    <t>Bieri, Jan; Leisi, Remo; Bircher, Cornelia; Ros, Carlos</t>
  </si>
  <si>
    <t>Human parvovirus B19 interacts with globoside under acidic conditions as an essential step in endocytic trafficking</t>
  </si>
  <si>
    <t>MEMBRANE INVAGINATIONS; VIRUS; REPLICATION; REGION; CELLS; IDENTIFICATION; TROPISM; GENOME</t>
  </si>
  <si>
    <t>The glycosphingolipid (GSL) globoside (Gb4) is essential for parvovirus B19 (B19V) infection. Historically considered the cellular receptor of B19V, the role of Gb4 and its interaction with B19V are controversial. In this study, we applied artificial viral particles, genetically modified cells, and specific competitors to address the interplay between the virus and the GSL. Our findings demonstrate that Gb4 is not involved in the binding or internalization process of the virus into permissive erythroid cells, a function that corresponds to the VP1u cognate receptor. However, Gb4 is essential at a post-internalization step before the delivery of the single-stranded viral DNA into the nucleus. In susceptible erythroid Gb4 knockout cells, incoming viruses were arrested in the endosomal compartment, showing no cytoplasmic spreading of capsids as observed in Gb4-expressing cells. Hemagglutination and binding assays revealed that pH acts as a switch to modulate the affinity between the virus and the GSL. Capsids interact with Gb4 exclusively under acidic conditions and dissociate at neutral pH. Inducing a specific Gb4-mediated attachment to permissive erythroid cells by acidification of the extracellular environment led to a non-infectious uptake of the virus, indicating that low pH-mediated binding to the GSL initiates active membrane processes resulting in vesicle formation. In summary, this study provides mechanistic insight into the interaction of B19V with Gb4. The strict pH-dependent binding to the ubiquitously expressed GSL prevents the redirection of the virus to nonpermissive tissues while promoting the interaction in acidic intracellular compartments as an essential step in infectious endocytic trafficking. Author summary The neutral glycosphingolipid globoside (Gb4) has been historically considered the cellular receptor of B19V, however, its wide expression profile does not correlate well with the restricted tropism of the virus. Here, we show that Gb4 is essential for the infection at a step following virus uptake and before the delivery of the viral ssDNA into the nucleus. B19V interacts with Gb4 exclusively under acidic conditions, prohibiting the interaction on the plasma membrane and promoting it inside the acidic endosomal compartments, which are engaged by the virus and the GSL after internalization. In the absence of Gb4, incoming viruses are retained in the endocytic compartment and the infection is aborted. This study reveals the mechanism of the interaction between the virus and the glycosphingolipid and redefines the role of Gb4 as an essential intracellular partner required for infectious entry.</t>
  </si>
  <si>
    <t>[Bieri, Jan; Leisi, Remo; Bircher, Cornelia; Ros, Carlos] Univ Bern, Dept Chem Biochem &amp; Pharmaceut Sci, Bern, Switzerland</t>
  </si>
  <si>
    <t>University of Bern</t>
  </si>
  <si>
    <t>Ros, C (corresponding author), Univ Bern, Dept Chem Biochem &amp; Pharmaceut Sci, Bern, Switzerland.</t>
  </si>
  <si>
    <t>carlos.ros@dcb.unibe.ch</t>
  </si>
  <si>
    <t>Bieri, Jan/0000-0001-8401-8002; Ros, Carlos/0000-0002-6964-4002; Leisi, Remo/0000-0001-7019-0098</t>
  </si>
  <si>
    <t>e1009434</t>
  </si>
  <si>
    <t>10.1371/journal.ppat.1009434</t>
  </si>
  <si>
    <t>WOS:000642143200003</t>
  </si>
  <si>
    <t>Brambilla, D; Mussida, A; Ferretti, AM; Sola, L; Damin, F; Chiari, M</t>
  </si>
  <si>
    <t>Brambilla, Dario; Mussida, Alessandro; Ferretti, Anna M.; Sola, Laura; Damin, Francesco; Chiari, Marcella</t>
  </si>
  <si>
    <t>Polymeric Coating of Silica Microspheres for Biological Applications: Suppression of Non-Specific Binding and Functionalization with Biomolecules</t>
  </si>
  <si>
    <t>POLYMERS</t>
  </si>
  <si>
    <t>silica; microparticles; polymer; coating; biosensing; biomolecules; DNA; protein; streptavidin</t>
  </si>
  <si>
    <t>NANOPARTICLES; ADSORPTION; PARTICLES; CHEMISTRY</t>
  </si>
  <si>
    <t>The use of micro- and nanoparticles in biological applications has dramatically grown during the last few decades due to the ease of protocols development and compatibility with microfluidics devices. Particles can be composed by different materials, i.e., polymers, inorganic dielectrics, and metals. Among them, silica is a suitable material for the development of biosensing applications. Depending on their final application, the surface properties of particles, including silica, are tailored by means of chemical modification or polymeric coating. The latter strategy represents a powerful tool to create a hydrophilic environment that enables the functionalization of particles with biomolecules and the further interaction with analytes. Here, the use of MCP-6, a dimethylacrylamide (DMA)-based ter-copolymer, to coat silica microspheres is presented. MCP-6 offers unprecedented ease of coating, imparting silica particles a hydrophilic coating with antifouling properties that is able to provide high-density immobilization of biological probes.</t>
  </si>
  <si>
    <t>[Brambilla, Dario; Mussida, Alessandro; Ferretti, Anna M.; Sola, Laura; Damin, Francesco; Chiari, Marcella] Natl Res Council Italy CNR SCITEC, Inst Chem Sci &amp; Technol G Natta, I-20131 Milan, Italy</t>
  </si>
  <si>
    <t>Brambilla, D (corresponding author), Natl Res Council Italy CNR SCITEC, Inst Chem Sci &amp; Technol G Natta, I-20131 Milan, Italy.</t>
  </si>
  <si>
    <t>dario.brambilla@scitec.cnr.it; alessandro.mussida@scitec.cnr.it; anna.ferretti@scitec.cnr.it; laura.sola@scitec.cnr.it; francesco.damin@scitec.cnr.it; marcella.chiari@scitec.cnr.it</t>
  </si>
  <si>
    <t>Ferretti, Anna Maria/E-6861-2010</t>
  </si>
  <si>
    <t>Ferretti, Anna Maria/0000-0002-7373-7965; Brambilla, Dario/0000-0003-3490-4481; Damin, Francesco/0000-0003-1780-7823; Sola, Laura/0000-0002-2603-0318</t>
  </si>
  <si>
    <t>2073-4360</t>
  </si>
  <si>
    <t>10.3390/polym14040730</t>
  </si>
  <si>
    <t>Polymer Science</t>
  </si>
  <si>
    <t>WOS:000765164100001</t>
  </si>
  <si>
    <t>Hathaway, QA; Pinti, MV; Durr, AJ; Waris, S; Shepherd, DL; Hollander, JM</t>
  </si>
  <si>
    <t>Hathaway, Quincy A.; Pinti, Mark V.; Durr, Andrya J.; Waris, Shanawar; Shepherd, Danielle L.; Hollander, John M.</t>
  </si>
  <si>
    <t>Regulating microRNA expression: at the heart of diabetes mellitus and the mitochondrion</t>
  </si>
  <si>
    <t>metabolism; exosomes; epigenetics; miRNA processing; long non-coding RNA; diabetes</t>
  </si>
  <si>
    <t>RIGHT-VENTRICULAR DYSPLASIA/CARDIOMYOPATHY; EPIGENOME-WIDE ASSOCIATION; IMPROVES CARDIAC-FUNCTION; PROCESSING ENZYME DICER; SMOOTH-MUSCLE-CELLS; DNA METHYLATION; DOWN-REGULATION; GENE-EXPRESSION; CIRCULATING MICRORNAS; MYOCARDIAL-INFARCTION</t>
  </si>
  <si>
    <t>Type 2 diabetes mellitus is a major risk factor for cardiovascular disease and mortality. Uncontrolled type 2 diabetes mellitus results in a systemic milieu of increased circulating glucose and fatty acids. The development of insulin resistance in cardiac tissue decreases cellular glucose import and enhances mitochondrial fatty acid uptake. While triacylglycerol and cytotoxic lipid species begin to accumulate in the cardiomyocyte, the energy substrate utilization ratio of free fatty acids to glucose changes to almost entirely free fatty acids. Accumulating evidence suggests a role of miRNA in mediating this metabolic transition. Energy substrate metabolism, apoptosis, and the production and response to excess reactive oxygen species are regulated by miRNA expression. The current momentum for understanding the dynamics of miRNA expression is limited by a lack of understanding of how miRNA expression is controlled. While miRNAs are important regulators in both normal and pathological states, an additional layer of complexity is added when regulation of miRNA regulators is considered. miRNA expression is known to be regulated through a number of mechanisms, which include, but are not limited to, epigenetics, exosomal transport, processing, and posttranscriptional sequestration. The purpose of this review is to outline how mitochondrial processes are regulated by miRNAs in the diabetic heart. Furthermore, we will highlight the regulatory mechanisms, such as epigenetics, exosomal transport, miRNA processing, and posttranslational sequestration, that participate as regulators of miRNA expression. Additionally, current and future treatment strategies targeting dysfunctional mitochondrial processes in the diseased myocardium, as well as emerging miRNA-based therapies, will be summarized.</t>
  </si>
  <si>
    <t>[Hathaway, Quincy A.; Durr, Andrya J.; Shepherd, Danielle L.; Hollander, John M.] West Virginia Univ, Sch Med, Div Exercise Physiol, Morgantown, WV 26506 USA; [Pinti, Mark V.] West Virginia Sch Pharm, Div Pharmaceut &amp; Pharmacol Sci, Morgantown, WV USA; [Waris, Shanawar] West Virginia Coll Engn, Dept Biomed Engn, Morgantown, WV USA; [Hathaway, Quincy A.; Durr, Andrya J.; Hollander, John M.] West Virginia Univ, Sch Med, Mitochondria Metab &amp; Bioenerget Working Grp, Morgantown, WV 26506 USA; [Hathaway, Quincy A.; Hollander, John M.] West Virginia Univ, Sch Med, Toxicol Working Grp, Morgantown, WV 26506 USA</t>
  </si>
  <si>
    <t>West Virginia University; West Virginia University; West Virginia University</t>
  </si>
  <si>
    <t>Hollander, JM (corresponding author), West Virginia Univ, Sch Med, Mitochondria Metab &amp; Bioenerget Working Grp, Div Exercise Physiol, 1 Med Ctr Dr, Morgantown, WV 26506 USA.</t>
  </si>
  <si>
    <t>jhollander@hsc.wvu.edu</t>
  </si>
  <si>
    <t>Hathaway, Quincy A./AAS-8891-2020</t>
  </si>
  <si>
    <t>Hathaway, Quincy A./0000-0001-8226-2319; Durr, Andrya/0000-0002-4672-6435</t>
  </si>
  <si>
    <t>H293</t>
  </si>
  <si>
    <t>H310</t>
  </si>
  <si>
    <t>10.1152/ajpheart.00520.2017</t>
  </si>
  <si>
    <t>WOS:000425154700017</t>
  </si>
  <si>
    <t>Abrisqueta, M; Herraiz, C; Oliva, ABP; Sanchez-Laorden, BL; Olivares, C; Jimenez-Cervantes, C; Garcia-Borron, JC</t>
  </si>
  <si>
    <t>Abrisqueta, Marta; Herraiz, Cecilia; Perez Oliva, Ana B.; Sanchez-Laorden, Berta L.; Olivares, Concepcion; Jimenez-Cervantes, Celia; Garcia-Borron, Jose C.</t>
  </si>
  <si>
    <t>Differential and competitive regulation of human melanocortin 1 receptor signaling by beta-arrestin isoforms</t>
  </si>
  <si>
    <t>Melanocortin 1 receptor; beta-arrestin; Signaling; Melanocytes; Melanoma</t>
  </si>
  <si>
    <t>PROTEIN-COUPLED RECEPTORS; RED HAIR; VARIANT ALLELES; ULTRAVIOLET-RADIATION; ACTIVATED RECEPTOR-2; HUMAN MELANOCYTES; SUN SENSITIVITY; MELANOMA-CELLS; SKIN-CANCER; DNA-DAMAGE</t>
  </si>
  <si>
    <t>The melanocortin 1 receptor (MC1R) is a G-protein-coupled receptor (GPCR) crucial for the regulation of melanocyte proliferation and differentiation. MC1R activation by melanocortin hormones triggers the cAMP pathway and stimulates the extracellular-signal-regulated protein kinases ERK1 and ERK2 to promote synthesis of photoprotective eumelanin pigments, among other effects. Signaling from most GPCRs is regulated by the beta-arrestin (ARRB) family of cytosolic multifunctional adaptor proteins, which mediate signal termination and endocytosis of GPCR-agonist complexes. The ubiquitously expressed non-visual beta-arrestin1 (ARRB1) and beta-arrestin2 (ARRB2) are highly similar but not functionally equivalent. Their role in the regulation of MC1R is unknown. Using a combination of co-immunoprecipitation, gel filtration chromatography, confocal microscopy, siRNA-mediated knockdown and functional assays, we demonstrated agonist-independent competitive interactions of ARRB1 and ARRB2 with MC1R, which might also be independent of phosphorylation of Ser/Thr residues in the C-terminus of the MC1R. The effects of ARRBs were isoform specific; ARRB2 inhibited MC1R agonist-dependent cAMP production but not ERK activation, stimulated internalization and showed prolonged co-localization with the receptor in endocytic vesicles. By contrast, ARRB1 had no effect on internalization or functional coupling, but competed with ARRB2 for binding MC1R, which might increase signaling by displacement of inhibitory ARRB2. These data suggest a new mechanism of MC1R functional regulation based on the relative expression of ARRB isoforms, with possible activatory ARRB1-dependent effects arising from partial relief of inhibitory ARRB2-MC1R interactions. Thus, competitive displacement of inhibitory ARRBs by functionally neutral ARRB isoforms might exert a paradigm-shifting signal-promoting effect to fine-tune signaling downstream of certain GPCRs.</t>
  </si>
  <si>
    <t>[Abrisqueta, Marta; Herraiz, Cecilia; Perez Oliva, Ana B.; Sanchez-Laorden, Berta L.; Olivares, Concepcion; Jimenez-Cervantes, Celia; Garcia-Borron, Jose C.] Univ Murcia, Sch Med, Dept Biochem &amp; Mol Biol, E-30100 Murcia, Spain</t>
  </si>
  <si>
    <t>Garcia-Borron, JC (corresponding author), Univ Murcia, Sch Med, Dept Biochem &amp; Mol Biol, E-30100 Murcia, Spain.</t>
  </si>
  <si>
    <t>gborron@um.es</t>
  </si>
  <si>
    <t>Jimenez-Cervantes, Celia/H-1953-2015; Serrano, Cecilia Herraiz/H-2550-2015; Sanchez-Laorden, Berta/T-2177-2017; Olivares, Conchi/H-2794-2015; Perez-Oliva, Ana B/K-2674-2017; Garcia-Borron, Jose Carlos/H-2247-2015; Abrisqueta Gonzalez, Marta/H-8998-2015</t>
  </si>
  <si>
    <t>Jimenez-Cervantes, Celia/0000-0002-5821-9510; Serrano, Cecilia Herraiz/0000-0001-6912-0738; Sanchez-Laorden, Berta/0000-0002-6499-6332; Olivares, Conchi/0000-0001-7518-3858; Perez-Oliva, Ana B/0000-0002-2596-0871; Garcia-Borron, Jose Carlos/0000-0002-9192-588X; Abrisqueta Gonzalez, Marta/0000-0001-9464-3135</t>
  </si>
  <si>
    <t>10.1242/jcs.128322</t>
  </si>
  <si>
    <t>WOS:000323204400021</t>
  </si>
  <si>
    <t>Kim, J; Park, S; Hwang, D; Kim, SI; Lee, H</t>
  </si>
  <si>
    <t>Kim, Jungho; Park, Sunyoung; Hwang, Dasom; Kim, Seung Il; Lee, Hyeyoung</t>
  </si>
  <si>
    <t>Diagnostic Value of Circulating miR-202 in Early-Stage Breast Cancer in South Korea</t>
  </si>
  <si>
    <t>MEDICINA-LITHUANIA</t>
  </si>
  <si>
    <t>breast cancer; circulating biomarker; miR-202; RT-qPCR; diagnosis</t>
  </si>
  <si>
    <t>CELL-PROLIFERATION; LUNG-CANCER; MICRORNAS; BIOMARKERS; BIOGENESIS; BLOOD</t>
  </si>
  <si>
    <t>Background and objectives: Breast cancer is the most common cancer among women worldwide. Early stage diagnosis is important for predicting increases in treatment success rates and decreases in patient mortality. Recently, circulating biomarkers such as circulating tumor cells, circulating tumor DNA, exosomes, and circulating microRNAs have been examined as blood-based markers for the diagnosis of breast cancer. AlthoughmiR-202has been studied for its function or expression in breast cancer, its potential diagnostic value in a clinical setting remains elusive andmiR-202has not been investigated in South Korea. In this study, we aimed to evaluate the diagnostic utility ofmiR-202in plasma samples of breast cancer patients in South Korea.Materials and Methods:We investigatedmiR-202expression in the plasma of 30 breast cancer patients during diagnosis along with 30 healthy controls in South Korea by quantitative reverse transcription PCR.Results:The results showed that circulatingmiR-202levels were significantly elevated in the breast cancer patients compared with those in healthy controls (p&lt; 0.001). The sensitivity and specificity of circulatingmiR-202were 90.0% and 93.0%, respectively. Additionally, circulatingmiR-202showed high positivity at early stage. The positive rate ofmiR-202was as follows: 100% (10/10) for stage I, 90% (9/10) for stage II, and 80% (8/10) for stage III.miR-202was also a predictor of a 9.6-fold high risk for breast cancer (p&lt; 0.001).Conclusions:Additional alternative molecular biomarkers for diagnosis and management of pre-cancer patients are needed. CirculatingmiR-202might be potential diagnostic tool for detecting early stage breast cancer.</t>
  </si>
  <si>
    <t>[Kim, Jungho] Catholic Univ Pusan, Coll Hlth Sci, Dept Biomed Lab Sci, Busan 46252, South Korea; [Park, Sunyoung; Hwang, Dasom; Lee, Hyeyoung] Yonsei Univ, Coll Hlth Sci, Dept Biomed Lab Sci, Wonju 26493, Gangwon, South Korea; [Park, Sunyoung] Yonsei Univ, Sch Mech Engn, Seoul 03772, South Korea; [Kim, Seung Il] Yonsei Univ, Coll Med, Dept Surg, Seoul 03772, South Korea</t>
  </si>
  <si>
    <t>Catholic University Pusan; Yonsei University; Yonsei University; Yonsei University; Yonsei University Health System</t>
  </si>
  <si>
    <t>Lee, H (corresponding author), Yonsei Univ, Coll Hlth Sci, Dept Biomed Lab Sci, Wonju 26493, Gangwon, South Korea.;Kim, SI (corresponding author), Yonsei Univ, Coll Med, Dept Surg, Seoul 03772, South Korea.</t>
  </si>
  <si>
    <t>jutosa70@cup.ac.kr; angelsy88@gmail.com; hdasom208@naver.com; skim@yuhs.ac; hyelee@yonsei.ac.kr</t>
  </si>
  <si>
    <t>1010-660X</t>
  </si>
  <si>
    <t>1648-9144</t>
  </si>
  <si>
    <t>10.3390/medicina56070340</t>
  </si>
  <si>
    <t>WOS:000554128600001</t>
  </si>
  <si>
    <t>SLEAT, DE; CHEN, TL; RASKA, K; LOBEL, P</t>
  </si>
  <si>
    <t>INCREASED LEVELS OF GLYCOPROTEINS CONTAINING MANNOSE 6-PHOSPHATE IN HUMAN BREAST CARCINOMAS</t>
  </si>
  <si>
    <t>CATHEPSIN-D; EXTRACELLULAR-MATRIX; CANCER CELLS; HYDROLASES; TURNOVER; ENZYMES; TUMORS</t>
  </si>
  <si>
    <t>Newly synthesized enzymes destined for lysosomal localization contain mannose 6-phosphate (Man6-P) residues, allowing interaction with Man6-P receptors (MPRs) and subsequent intracellular targeting to the lysosome. In most cultured cells, lysosomal enzymes are rapidly dephosphorylated after targeting, but in some transformed cell lines, these proteins retain the Man6-P marker, To investigate the significance of this in human malignancy, we examined the persistence of the Man6-P marker in human breast biopsy specimens using MPR derivatives as affinity probes. In one approach, extracts of frozen tissue were standardized to protein content, fractionated by SDS-PAGE, immobilized on nitrocellulose, and probed with iodinated MPR, On average, carcinomas contained 4-fold higher levels of Man6-P glycoproteins than did benign tumors or normal breast samples, In about 15% of the carcinomas, levels of Man6-P glycoproteins were highly elevated (7-10-fold). Multiple Man6-P glycoproteins were detected, suggesting a general alteration in the synthesis or processing of many lysosomal enzymes in carcinomas, In a second approach, sections of formalin-fixed breast biopsy specimens were probed with biotinylated MPR. Malignant cells in 25 of 75 carcinomas exhibited granular cytoplasmic staining in what appears to be intracellular vesicles, Staining was specifically inhibited by Man6-P and was not observed in stromal components or lymphocytes. In addition, Man6-phosphorylated proteins were not detected in the 14 normal or benign biopsy samples examined. Staining appeared to be independent of most prognostic factors examined, including p53, cathepsin D, DNA ploidy, and hormone (estrogen and progesterone) receptor status, However, positive staining was significantly associated with high histological and nuclear grades (P &lt; 0.05) and potentially with c-erbB-2 (P &lt; 0.10), suggesting that elevated levels of Man6-P glycoproteins are associated with the more aggressive tumors.</t>
  </si>
  <si>
    <t>CTR ADV BIOTECHNOL &amp; MED,PISCATAWAY,NJ 08854; ST PETERS MED CTR,NEW BRUNSWICK,NJ 08903; ROBERT WOOD JOHNSON MED SCH,PISCATAWAY,NJ 08854</t>
  </si>
  <si>
    <t>Rutgers State University New Brunswick; Rutgers State University Medical Center</t>
  </si>
  <si>
    <t>WOS:A1995RL49300036</t>
  </si>
  <si>
    <t>Ye, L; Guo, H; Wang, Y; Peng, Y; Zhang, YX; Li, S; Yang, MN; Wang, L</t>
  </si>
  <si>
    <t>Ye, Lin; Guo, Hui; Wang, Yuan; Peng, Yun; Zhang, Yongxin; Li, Shu; Yang, Meina; Wang, Ling</t>
  </si>
  <si>
    <t>Exosomal circEhmt1 Released from Hypoxia-Pretreated Pericytes Regulates High Glucose-Induced Microvascular Dysfunction via the NFIA/NLRP3 Pathway</t>
  </si>
  <si>
    <t>Diabetic retinopathy (DR) is a frequently occurring microvascular complication induced by long-term hyperglycemia. Pericyte-endothelial cell crosstalk is critical for maintaining vascular homeostasis and remodeling; however, the molecular mechanism underlying that crosstalk remains unknown. In this study, we explored the crosstalk that occurs between endothelial cells and pericytes in response to diabetic retinopathy. Pericytes were stimulated with cobalt chloride (CoCl2) to activate the HIF pathway. Hypoxia-stimulated pericytes were cocultured with high glucose- (HG-) induced endotheliocytes. Cell viability was determined using the CCK-8 assay. Western blot studies were performed to detect the expression of proteins associated with apoptosis, hypoxia, and inflammation. ELISA assays were conducted to analyze the release of IL-1 beta and IL-18. We performed a circRNA microarray analysis of exosomal RNAs expressed under normoxic or hypoxic conditions. A FISH assay was performed to identify the location of circEhmt1 in pericytes. Chromatin immunoprecipitation (CHIP) was used to identify the specific DNA-binding site on the NFIA-NLRP3 complex. We found that pericyte survival was negatively correlated with the angiogenesis activity of endotheliocytes. We also found that hypoxia upregulated circEhmt1 expression in pericytes, and circEhmt1 could be transferred from pericytes to endotheliocytes via exosomes. Moreover, circEhmt1 overexpression protected endotheliocytes against HG-induced injury in vitro. Mechanistically, circEhmt1 was highly expressed in the nucleus of pericytes and could upregulate the levels of NFIA (a transcription factor) to suppress NLRP3-mediated inflammasome formation. Our study revealed a critical role for circEhmt1-mediated NFIA/NLRP3 signaling in retinal microvascular dysfunction and suggests that signaling pathway as a target for treating DR.</t>
  </si>
  <si>
    <t>[Ye, Lin; Guo, Hui; Wang, Yuan; Peng, Yun; Zhang, Yongxin; Li, Shu; Yang, Meina; Wang, Ling] Shenzhen Eye Hosp, Shenzhen 518040, Guangdong, Peoples R China; [Ye, Lin; Guo, Hui; Wang, Yuan; Peng, Yun; Zhang, Yongxin; Li, Shu; Yang, Meina; Wang, Ling] Shenzhen Univ, Hlth Sci Ctr, Visual Opt Inst, Shenzhen 518037, Guangdong, Peoples R China; [Ye, Lin] Wuhan Univ, Guangdong Res Inst, Wuhan, Peoples R China; [Wang, Ling] Jinan Univ, Affiliated Shenzhen Eye Hosp, Shenzhen Key Lab Ophthalmol, Shenzhen Eye Hosp, Shenzhen 518040, Peoples R China</t>
  </si>
  <si>
    <t>Shenzhen University; Wuhan University; Jinan University</t>
  </si>
  <si>
    <t>Ye, L; Wang, L (corresponding author), Shenzhen Eye Hosp, Shenzhen 518040, Guangdong, Peoples R China.;Ye, L; Wang, L (corresponding author), Shenzhen Univ, Hlth Sci Ctr, Visual Opt Inst, Shenzhen 518037, Guangdong, Peoples R China.;Ye, L (corresponding author), Wuhan Univ, Guangdong Res Inst, Wuhan, Peoples R China.;Wang, L (corresponding author), Jinan Univ, Affiliated Shenzhen Eye Hosp, Shenzhen Key Lab Ophthalmol, Shenzhen Eye Hosp, Shenzhen 518040, Peoples R China.</t>
  </si>
  <si>
    <t>yelin0711@126.com; wangl972@163.com</t>
  </si>
  <si>
    <t>Ye, Lin/0000-0002-0350-3020</t>
  </si>
  <si>
    <t>MAR 18</t>
  </si>
  <si>
    <t>10.1155/2021/8833098</t>
  </si>
  <si>
    <t>WOS:000636293600001</t>
  </si>
  <si>
    <t>Li, DL; Meng, DB; Niu, RG</t>
  </si>
  <si>
    <t>Li, Delong; Meng, Debin; Niu, Rungui</t>
  </si>
  <si>
    <t>Exosome-Reversed Chemoresistance to Cisplatin in Non-Small Lung Cancer Through Transferring miR-613</t>
  </si>
  <si>
    <t>exosome; miRNA; non-small cell lung cancer; cisplatin; chemoresistance; apoptosis</t>
  </si>
  <si>
    <t>CELL; RESISTANCE; PROLIFERATION; PROGRESSION; MICRORNAS; MIGRATION; INVASION; LEVEL</t>
  </si>
  <si>
    <t>Introduction: Non-small lung cancer (NSCLC) is one of the most common malignant tumors in the world. Chemoresistance is the main reason of adverse effects leading to the death of patients; thus, it is important to discover the potential target of chemotherapeutic resistance. Methods: The expression of differentially expressed miRNA was detected in BEAS-2B, A549 and A549/cisplatin (DDP) by qRT-PCR. Transmission electron microscopy (TEM) and exosome biomarkers were used to validate the extracted exosome. Cells incubated with miR-613 enriched exosomes were used to detect the function of exo-miR-613 in vitro. Then, exo-miR-613 was injected to mice treated with DDP to investigate the function role of exo-miR-613 in vivo. Results: Comparing to BEAS-2B, the expression of miR-613 inA549 was significantly reduced, which was more obvious in A549/DDP. After incubated with exo-miR-613 and corresponding exo-negative control (NC), we found overexpression of miR-613 remarkably increased the inhibition of cell proliferation induced by cisplatin. Exo-miR-613 fused into cells to significantly enhance the inhibited effect of DDP on the proliferation, migration and showed a promotion on cell apoptosis and DNA damage. The in vivo study showed that exo-miR-613 significantly inhibited the tumor growth, and promote the sensitivity to DDP, probably by down-regulating the expressions of GJA1, TBP and EIF-4E in tumor cells and tissues. Conclusion: Exo-miR-613 reversed chemoresistance to DDP in NSCLC cell to involve in the process of tumor progression, and might be a potential therapeutic strategy for NSCLC.</t>
  </si>
  <si>
    <t>[Li, Delong; Meng, Debin; Niu, Rungui] Shanxi Canc Hosp, Dept Special Geriatr, 3 Worker St Xinghualing Dist, Taiyuan, Shanxi, Peoples R China; [Meng, Debin] Shanxi Canc Hosp, Dept Gen Surg, Taiyuan, Shanxi, Peoples R China</t>
  </si>
  <si>
    <t>Meng, DB (corresponding author), Shanxi Canc Hosp, Dept Special Geriatr, 3 Worker St Xinghualing Dist, Taiyuan, Shanxi, Peoples R China.</t>
  </si>
  <si>
    <t>debinmengsx@sina.com</t>
  </si>
  <si>
    <t>10.2147/CMAR.S254310</t>
  </si>
  <si>
    <t>WOS:000577377100001</t>
  </si>
  <si>
    <t>JAROLIM, P; RUBIN, HL; LIU, SC; CHO, MR; BRABEC, V; DERICK, LH; YI, SJ; SAAD, STO; ALPER, S; BRUGNARA, C; GOLAN, DE; PALEK, J</t>
  </si>
  <si>
    <t>DUPLICATION OF 10 NUCLEOTIDES IN THE ERYTHROID BAND 3 (AE1) GENE IN A KINDRED WITH HEREDITARY SPHEROCYTOSIS AND BAND-3 PROTEIN-DEFICIENCY (BAND-3(PRAGUE))</t>
  </si>
  <si>
    <t>ERYTHROCYTE MEMBRANE BAND 3 PROTEIN; CONGENITAL HEMOLYTIC ANEMIA; FRAMESHIFT MUTATION; DENSITY GRADIENT CENTRIFUGATION; TRANSMISSION ELECTRON MICROSCOPY</t>
  </si>
  <si>
    <t>ANION-TRANSPORT PROTEIN; RED-BLOOD-CELLS; CYTOPLASMIC DOMAIN; MEMBRANE SKELETON; EXCHANGE PROTEIN; BINDING-SITE; SPECTRIN; ANKYRIN; DNA; POLYMORPHISMS</t>
  </si>
  <si>
    <t>We describe a duplication of 10 nucleotides (2,455-2,464) in the band 3 gene in a kindred with autosomal dominant hereditary spherocytosis and a partial deficiency of the band 3 protein that is reflected by decreased rate of transmembrane sulfate flux and decreased density of intramembrane particles. The mutant allele potentially encodes an abnormal band 3 protein with a 3.5-kD COOH-terminal truncation; however, we did not detect the mutant protein in the membrane of mature red blood cells. Since the mRNA levels for the mutant and normal alleles are similar and since the band 3 content is the same in the light and dense red cell fractions, we conclude that the mutant band 3 is either not inserted into the plasma membrane or lost from the membrane prior to the release of red blood cells into circulation. We further show that the decrease in band 3 content principally involves the dimeric laterally and rotationally mobile fraction of the band 3 protein, while the laterally immobile and rotationally restricted band 3 fraction is left essentially intact. We propose that the decreased density of intramembrane particles decreases the stability of the membrane lipid bilayer and causes release of lipid microvesicles that leads to surface area deficiency and spherocytosis.</t>
  </si>
  <si>
    <t>INST HEMATOL &amp; BLOOD TRANSFUS, PRAGUE 12820, CZECH REPUBLIC; HARVARD UNIV, SCH MED, DEPT BIOL CHEM &amp; MOLEC PHARMACOL, BOSTON, MA 02115 USA; HARVARD UNIV, SCH MED, DEPT MED, BOSTON, MA 02115 USA; BRIGHAM &amp; WOMENS HOSP, DIV HEMATOL ONCOL, BOSTON, MA 02115 USA; CHILDRENS HOSP, DEPT PATHOL, BOSTON, MA 02115 USA; CHILDRENS HOSP, CLIN LABS, BOSTON, MA 02115 USA; BETH ISRAEL HOSP, MOLEC MED &amp; RENAL UNIT, BOSTON, MA 02115 USA; HARVARD UNIV, SCH MED, DEPT CELLULAR &amp; MOLEC PHYSIOL, BOSTON, MA 02115 USA</t>
  </si>
  <si>
    <t>Institute of Hematology Prague; Harvard University; Harvard University; Harvard University; Brigham &amp; Women's Hospital; Harvard University; Boston Children's Hospital; Harvard University; Boston Children's Hospital; Harvard University; Beth Israel Deaconess Medical Center; Harvard University</t>
  </si>
  <si>
    <t>JAROLIM, P (corresponding author), TUFTS UNIV, ST ELIZABETHS HOSP, SCH MED, DEPT BIOMED RES, DIV HEMATOL ONCOL, BOSTON, MA 02135 USA.</t>
  </si>
  <si>
    <t>Brugnara, Carlo/A-8041-2010</t>
  </si>
  <si>
    <t>Brugnara, Carlo/0000-0001-8192-8713; Cho, Myoung Rae/0000-0002-8191-8045</t>
  </si>
  <si>
    <t>10.1172/JCI116935</t>
  </si>
  <si>
    <t>WOS:A1994MY15900018</t>
  </si>
  <si>
    <t>Tudor, M; Gilbert, A; Lepleux, C; Temelie, M; Hem, S; Armengaud, J; Brotin, E; Haghdoost, S; Savu, D; Chevalier, F</t>
  </si>
  <si>
    <t>Tudor, Mihaela; Gilbert, Antoine; Lepleux, Charlotte; Temelie, Mihaela; Hem, Sonia; Armengaud, Jean; Brotin, Emilie; Haghdoost, Siamak; Savu, Diana; Chevalier, Francois</t>
  </si>
  <si>
    <t>A Proteomic Study Suggests Stress Granules as New Potential Actors in Radiation-Induced Bystander Effects</t>
  </si>
  <si>
    <t>chondrosarcoma; bystander signaling; proteomic analysis; secretome; stress granules</t>
  </si>
  <si>
    <t>CELL; PROTEINS; THIOLASE; ISOFORMS</t>
  </si>
  <si>
    <t>Besides the direct effects of radiations, indirect effects are observed within the surrounding non-irradiated area; irradiated cells relay stress signals in this close proximity, inducing the so-called radiation-induced bystander effect. These signals received by neighboring unirradiated cells induce specific responses similar with those of direct irradiated cells. To understand the cellular response of bystander cells, we performed a 2D gel-based proteomic study of the chondrocytes receiving the conditioned medium of low-dose irradiated chondrosarcoma cells. The conditioned medium was directly analyzed by mass spectrometry in order to identify candidate bystander factors involved in the signal transmission. The proteomic analysis of the bystander chondrocytes highlighted 20 proteins spots that were significantly modified at low dose, implicating several cellular mechanisms, such as oxidative stress responses, cellular motility, and exosomes pathways. In addition, the secretomic analysis revealed that the abundance of 40 proteins in the conditioned medium of 0.1 Gy irradiated chondrosarcoma cells was significantly modified, as compared with the conditioned medium of non-irradiated cells. A large cluster of proteins involved in stress granules and several proteins involved in the cellular response to DNA damage stimuli were increased in the 0.1 Gy condition. Several of these candidates and cellular mechanisms were confirmed by functional analysis, such as 8-oxodG quantification, western blot, and wound-healing migration tests. Taken together, these results shed new lights on the complexity of the radiation-induced bystander effects and the large variety of the cellular and molecular mechanisms involved, including the identification of a new potential actor, namely the stress granules.</t>
  </si>
  <si>
    <t>[Tudor, Mihaela; Temelie, Mihaela; Savu, Diana] HoriaHulubei Natl Inst Phys &amp; Nucl Engn, Dept Life &amp; Environm Phys, Magurele 077125, Romania; [Tudor, Mihaela] Univ Bucharest, Fac Biol, Bucharest 050095, Romania; [Gilbert, Antoine; Lepleux, Charlotte; Haghdoost, Siamak; Chevalier, Francois] Univ Caen Normandie, Team Applicat Radiobiol Accelerated Ions, UMR6252 CIMAP, CEA CNRS ENSICAEN, F-14000 Caen, France; [Hem, Sonia] Montpellier Univ, Inst Agro, INRAE, BPMP,CNRS, F-34000 Montpellier, France; [Armengaud, Jean] Univ Paris Saclay, Dept Medicaments &amp; Technol Sante DMTS, SPI, CEA,INRAE, F-30200 Bagnols Sur Ceze, France; [Brotin, Emilie] NormandieUniv, Comprehens Canc Ctr F Baclesse, Biol &amp; Innovat Therapeut Ovarian Canc Grp BioTICL, ImpedanCELL Platform,ANTICIPE,UNICAEN,Federat Str, F-14000 Caen, France</t>
  </si>
  <si>
    <t>University of Bucharest; CEA; Centre National de la Recherche Scientifique (CNRS); Universite de Caen Normandie; Centre National de la Recherche Scientifique (CNRS); INRAE; Institut Agro; Universite de Montpellier; CEA; INRAE; UDICE-French Research Universities; Universite Paris Saclay; Universite de Caen Normandie</t>
  </si>
  <si>
    <t>Chevalier, F (corresponding author), Univ Caen Normandie, Team Applicat Radiobiol Accelerated Ions, UMR6252 CIMAP, CEA CNRS ENSICAEN, F-14000 Caen, France.</t>
  </si>
  <si>
    <t>mihaela.tudor@nipne.ro; antoine.gilbert@ganil.fr; charlotte.lepleux@gmail.com; mihaela.temelie@nipne.ro; sonia.hem@supagro.inra.fr; jean.armengaud@cea.fr; e.brotin@baclesse.unicancer.fr; siamak.haghdoost@ganil.fr; dsavu@nipne.ro; chevalier@ganil.fr</t>
  </si>
  <si>
    <t>Savu, Diana/P-7880-2019; Chevalier, François/L-2584-2019</t>
  </si>
  <si>
    <t>Savu, Diana/0000-0002-0145-5176; Chevalier, François/0000-0002-8488-2324; ARMENGAUD, Jean/0000-0003-1589-445X</t>
  </si>
  <si>
    <t>10.3390/ijms22157957</t>
  </si>
  <si>
    <t>WOS:000681824200001</t>
  </si>
  <si>
    <t>Hemnes, A; Rothman, AMK; Swift, AJ; Zisman, LS</t>
  </si>
  <si>
    <t>Hemnes, Anna; Rothman, Alexander M. K.; Swift, Andrew J.; Zisman, Lawrence S.</t>
  </si>
  <si>
    <t>Role of biomarkers in evaluation, treatment and clinical studies of pulmonary arterial hypertension</t>
  </si>
  <si>
    <t>PULMONARY CIRCULATION</t>
  </si>
  <si>
    <t>biomarker; genomics&amp;#8211; metabolomics&amp;#8211; proteomics; imaging; pharmacogenomics; pulmonary arterial hypertension</t>
  </si>
  <si>
    <t>Pulmonary arterial hypertension is a complex disease resulting from the interplay of myriad biological and environmental processes that lead to remodeling of the pulmonary vasculature with consequent pulmonary hypertension. Despite currently available therapies, there remains significant morbidity and mortality in this disease. There is great interest in identifying and applying biomarkers to help diagnose patients with pulmonary arterial hypertension, inform prognosis, guide therapy, and serve as surrogate endpoints. An extensive literature on potential biomarker candidates is available, but barriers to the implementation of biomarkers for clinical use in pulmonary arterial hypertension are substantial. Various omic strategies have been undertaken to identify key pathways regulated in pulmonary arterial hypertension that could serve as biomarkers including genomic, transcriptomic, proteomic, and metabolomic approaches. Other biologically relevant components such as circulating cells, microRNAs, exosomes, and cell-free DNA have recently been gaining attention. Because of the size of the datasets generated by these omic approaches and their complexity, artificial intelligence methods are being increasingly applied to decipher their meaning. There is growing interest in imaging the lung with various modalities to understand and visualize processes in the lung that lead to pulmonary vascular remodeling including high resolution computed tomography, Xenon magnetic resonance imaging, and positron emission tomography. Such imaging modalities have the potential to demonstrate disease modification resulting from therapeutic interventions. Because right ventricular function is a major determinant of prognosis, imaging of the right ventricle with echocardiography or cardiac magnetic resonance imaging plays an important role in the evaluation of patients and may also be useful in clinical studies of pulmonary arterial hypertension.</t>
  </si>
  <si>
    <t>[Hemnes, Anna] Vanderbilt Univ, Med Ctr, T1218 MCN 1161 21st Ave S, Nashville, TN 37232 USA; [Rothman, Alexander M. K.; Swift, Andrew J.] Univ Sheffield, Sheffield, S Yorkshire, England; [Rothman, Alexander M. K.; Swift, Andrew J.] Sheffield Teaching Hosp NHS Trust, Sheffield, S Yorkshire, England; [Zisman, Lawrence S.] Gossamer Bio Inc, San Diego, CA USA</t>
  </si>
  <si>
    <t>Vanderbilt University; University of Sheffield; University of Sheffield</t>
  </si>
  <si>
    <t>Hemnes, A (corresponding author), Vanderbilt Univ, Med Ctr, T1218 MCN 1161 21st Ave S, Nashville, TN 37232 USA.</t>
  </si>
  <si>
    <t>Anna.r.hemnes@vumc.org</t>
  </si>
  <si>
    <t>Rothman, Alexander/0000-0002-7847-4500</t>
  </si>
  <si>
    <t>2045-8932</t>
  </si>
  <si>
    <t>2045-8940</t>
  </si>
  <si>
    <t>10.1177/2045894020957234</t>
  </si>
  <si>
    <t>Cardiac &amp; Cardiovascular Systems; Respiratory System</t>
  </si>
  <si>
    <t>Cardiovascular System &amp; Cardiology; Respiratory System</t>
  </si>
  <si>
    <t>WOS:000594840300001</t>
  </si>
  <si>
    <t>Moreno-Traspas, R; Vujic, I; Sanlorenzo, M; Ortiz-Urda, S</t>
  </si>
  <si>
    <t>Moreno-Traspas, Ricardo; Vujic, Igor; Sanlorenzo, Martina; Ortiz-Urda, Susana</t>
  </si>
  <si>
    <t>New insights in melanoma biomarkers: long-noncoding RNAs</t>
  </si>
  <si>
    <t>MELANOMA MANAGEMENT</t>
  </si>
  <si>
    <t>biomarkers; cancer; lncRNAs; melanoma</t>
  </si>
  <si>
    <t>AMERICAN JOINT COMMITTEE; CIRCULATING TUMOR DNA; C-REACTIVE PROTEIN; CANCER STAGE-IV; SERUM-LEVELS; INHIBITING ACTIVITY; CUTANEOUS MELANOMA; PROGNOSTIC VALUE; S-100 PROTEIN; FOLLOW-UP</t>
  </si>
  <si>
    <t>Melanoma is one of the leading cancers worldwide, distinguished for its malignancy and low survival rates. Although the poor outcome could improve with an early diagnosis and a good monitoring of the disease, current melanoma biomarkers display several limitations which make them useless. Interestingly, long-noncoding RNAs are secreted into the bloodstream inside exosomes by a wide range of malignant cells, and several of them have been validated as promising circulating molecular signatures of other tumors, but not melanoma. In this review we propose to explore the booming field of long-noncoding RNAs in order to find potential candidates to be tested as novel melanoma biomarkers, with the ultimate goal of improving melanoma detection, diagnosis and prognosis.</t>
  </si>
  <si>
    <t>[Moreno-Traspas, Ricardo; Vujic, Igor; Sanlorenzo, Martina; Ortiz-Urda, Susana] Univ Calif San Francisco, Dept Dermatol, Mt Zion Canc Res Ctr, 2340 Sutter St N461, San Francisco, CA 94115 USA; [Vujic, Igor] Med Univ Vienna, Dept Dermatol, Acad Teaching Hosp, Rudolfstiftung Hosp, Juchgasse 25, A-1030 Vienna, Austria; [Sanlorenzo, Martina] Univ Turin, Dermatol Sect, Dept Med Sci, I-10124 Turin, Italy</t>
  </si>
  <si>
    <t>University of California System; University of California San Francisco; UCSF Medical Center; UCSF Medical Center at Mount Zion; Medical University of Vienna; Rudolfstiftung Hospital; University of Turin</t>
  </si>
  <si>
    <t>Ortiz-Urda, S (corresponding author), Univ Calif San Francisco, Dept Dermatol, Mt Zion Canc Res Ctr, 2340 Sutter St N461, San Francisco, CA 94115 USA.</t>
  </si>
  <si>
    <t>susana.ortiz@ucsf.edu</t>
  </si>
  <si>
    <t>Moreno Traspas, Ricardo/0000-0003-2607-107X; Sanlorenzo, Martina/0000-0003-4371-9034</t>
  </si>
  <si>
    <t>2045-0885</t>
  </si>
  <si>
    <t>2045-0893</t>
  </si>
  <si>
    <t>10.2217/mmt-2016-0008</t>
  </si>
  <si>
    <t>WOS:000393637000006</t>
  </si>
  <si>
    <t>Zhang, AQ; Li, M; Wang, B; Klein, JD; Price, SR; Wang, XNH</t>
  </si>
  <si>
    <t>Zhang, Aiqing; Li, Min; Wang, Bin; Klein, Janet D.; Price, S. Russ; Wang, Xiaonan H.</t>
  </si>
  <si>
    <t>miRNA-23a/27a attenuates muscle atrophy and renal fibrosis through muscle-kidney crosstalk</t>
  </si>
  <si>
    <t>JOURNAL OF CACHEXIA SARCOPENIA AND MUSCLE</t>
  </si>
  <si>
    <t>Exosome; Crosstalk; Insulin signalling; pSMAD2/3; microRNA</t>
  </si>
  <si>
    <t>EXOSOME-MEDIATED EXPORT; DIABETIC-NEPHROPATHY; CATABOLIC CONDITIONS; PROTEIN-DEGRADATION; ANGIOTENSIN-II; ACTIVATION; MECHANISM; PATHWAY; PROTEOLYSIS; MICRORNAS</t>
  </si>
  <si>
    <t>Background The treatment of muscle wasting is accompanied by benefits in other organs, possibly resulting from muscle-organ crosstalk. However, how the muscle communicates with these organs is less understood. Two microRNAs (miRs), miR-23a and miR-27a, are located together in a gene cluster and regulate proteins that are involved in the atrophy process. MiR-23a/27a has been shown to reduce muscle wasting and act as an anti-fibrotic agent. We hypothesized that intramuscular injection of miR-23a/27a would counteract both muscle wasting and renal fibrosis lesions in a streptozotocin-induced diabetic model. Methods We generated an adeno-associated virus (AAV) that overexpresses the miR-23a approximate to 27a approximate to 24-2 precursor RNA and injected it into the tibialis anterior muscle of streptozotocin-induced diabetic mice. Muscle cross-section area (immunohistology plus software measurement) and muscle function (grip strength) were used to evaluate muscle atrophy. Fibrosis-related proteins were measured by western blot to monitor renal damage. In some cases, AAV-GFP was used to mimic the miR movement in vivo, allowing us to track organ redistribution by using the Xtreme Imaging System. Results The injection of AAV-miR-23a/27a increased the levels of miR-23a and miR-27a as well as increased phosphorylated Akt, attenuated the levels of FoxO1 and PTEN proteins, and reduced the abundance of TRIM63/MuRF1 and FBXO32/atrogin-1 in skeletal muscles. It also decreased myostatin mRNA and protein levels as well as the levels of phosphorylated pSMAD2/3. Provision of miR-23a/27a attenuates the diabetes-induced reduction of muscle cross-sectional area and muscle function. Curiously, the serum BUN of diabetic animals was reduced in mice undergoing the miR-23a/27a intervention. Renal fibrosis, evaluated by Masson trichromatic staining, was also decreased as were kidney levels of phosphorylated SMAD2/3, alpha smooth muscle actin, fibronectin, and collagen. In diabetic mice injected intramuscularly with AAV-GFP, GFP fluorescence levels in the kidneys showed linear correlation with the levels in injected muscle when examined by linear regression. Following intramuscular injection of AAV-miR-23a approximate to 27a approximate to 24-2, the levels of miR-23a and miR-27a in serum exosomes and kidney were significantly increased compared with samples from control virus-injected mice; however, no viral DNA was detected in the kidney. Conclusions We conclude that overexpression of miR-23a/27a in muscle prevents diabetes-induced muscle cachexia and attenuates renal fibrosis lesions via muscle-kidney crosstalk. Further, this crosstalk involves movement of miR potentially through muscle originated exosomes and serum distribution without movement of AAV. These results could provide new approaches for developing therapeutic strategies for diabetic nephropathy with muscle wasting.</t>
  </si>
  <si>
    <t>[Zhang, Aiqing; Li, Min; Wang, Bin; Klein, Janet D.; Price, S. Russ; Wang, Xiaonan H.] Emory Univ, Dept Med, Renal Div, Atlanta, GA 30322 USA; [Zhang, Aiqing] Nanjing Med Univ, Affiliated Hosp 2, Dept Pediat Nephrol, Nanjing, Jiangsu, Peoples R China; [Li, Min] Chinese Acad Tradit Chinese Med, Guanganmen Hosp, Mol Biol Lab, Beijing, Peoples R China; [Wang, Bin] Southeast Univ, Zhong Da Hosp, Inst Nephrol, Nanjing, Jiangsu, Peoples R China; [Price, S. Russ] Atlanta Vet Affairs Med Ctr, Res Serv Line, Decatur, IL USA; [Price, S. Russ] East Carolina Univ, Brody Sch Med, Dept Biochem &amp; Mol Biol, Greenville, NC USA</t>
  </si>
  <si>
    <t>Emory University; Nanjing Medical University; China Academy of Chinese Medical Sciences; Guang'anmen Hospital, CACMS; Southeast University - China; University of North Carolina; East Carolina University</t>
  </si>
  <si>
    <t>Wang, XNH (corresponding author), Emory Univ, Sch Med, Renal Med, WMB Room 338C,M-S 1930-001-1AG,1639 Pierce Dr, Atlanta, GA 30322 USA.</t>
  </si>
  <si>
    <t>xwang03@emory.edu</t>
  </si>
  <si>
    <t>2190-6009</t>
  </si>
  <si>
    <t>10.1002/jcsm.12296</t>
  </si>
  <si>
    <t>Geriatrics &amp; Gerontology; Medicine, General &amp; Internal</t>
  </si>
  <si>
    <t>Geriatrics &amp; Gerontology; General &amp; Internal Medicine</t>
  </si>
  <si>
    <t>WOS:000442345000012</t>
  </si>
  <si>
    <t>Li, W; Zhang, LY; Guo, BB; Deng, JQ; Wu, SQ; Li, F; Wang, YR; Lu, JC; Zhou, YF</t>
  </si>
  <si>
    <t>Li, Wei; Zhang, Liyuan; Guo, Binbin; Deng, Jieqiong; Wu, Siqi; Li, Fang; Wang, Yirong; Lu, Jiachun; Zhou, Yifeng</t>
  </si>
  <si>
    <t>Exosomal FMR1-AS1 facilitates maintaining cancer stem-like cell dynamic equilibrium via TLR7/NFB/c-Myc signaling in female esophageal carcinoma</t>
  </si>
  <si>
    <t>ESCC; lncRNA; Exosome; CSC; TLR7; NFB; c-Myc</t>
  </si>
  <si>
    <t>PLASMACYTOID DENDRITIC CELLS; X-CHROMOSOME INACTIVATION; IFN-ALPHA; C-MYC; RNA; IDENTIFICATION; RECOGNITION; ASSOCIATION; FAMILY; DNA</t>
  </si>
  <si>
    <t>BackgroundThough esophageal cancer is three to four times more common among males than females worldwide, this type of cancer still ranks in the top incidence among women, even more than the female specific cancer types. The occurrence is currently attributed to extrinsic factors, including tobacco use and alcohol consumption. However, limited attention has been given to gender-specific intrinsic genetic factors, especially in female.MethodsWe re-annotated a large cohort of microarrays on 179 ESCC patients and identified female-specific differently expressed lncRNAs. The associations between FMR1-AS1 and the risk and prognosis of ESCC were examined in 206 diagnosed patients from eastern China and validated in 188 additional patients from southern China. The effects of FMR1-AS1 on the malignant phenotypes on female ESCC cells were detected in vitro and in vivo. ChIRP-MS, reporter gene assays and EMSA were conducted to identify the interaction and regulation among FMR1-AS1, TLR7 and NFB.ResultsWe found FMR1-AS1 expression is exclusively altered and closely associated with the level of sXCI in female ESCC patients, and its overexpression may correlate to poor clinical outcome. ChIRP-MS data indicate that FMR1-AS1 could be packaged into exosomes and released into tumor microenvironment. Functional studies demonstrated that FMR1-AS1 could bind to endosomal toll-like receptor 7 (TLR7) and activate downstream TLR7-NFB signaling, promoting the c-Myc expression, thus inducing ESCC cell proliferation, anti-apoptosis and invasion ability. Exosome incubation and co-xenograft assay indicate that FMR1-AS1 exosomes may secreted from ESCC CSCs, transferring stemness phenotypes to recipient non-CSCs in tumor microenvironment. Furthermore, we also found a correlation between the serum levels of FMR1-AS1 and the overall survival (OS) of the female ESCC patients.ConclusionsOur results highlighted exosomal FMR1-AS1 in maintaining CSC dynamic interconversion state through the mechanism of activating TLR7-NFB signaling, upregulating c-Myc level in recipient cells, which may be taken as an attractive target approach for advancing current precision cancer therapeutics in female patients.</t>
  </si>
  <si>
    <t>[Li, Wei; Guo, Binbin; Deng, Jieqiong; Wu, Siqi; Li, Fang; Wang, Yirong; Zhou, Yifeng] Soochow Univ, Dept Genet, Med Coll, Suzhou 215123, Peoples R China; [Zhang, Liyuan] Soochow Univ, Affiliated Hosp 2, Dept Radiotherapy &amp; Oncol, San Xiang Rd 1055, Suzhou 215004, Peoples R China; [Lu, Jiachun] Guangzhou Med Univ, Inst Chem Carcinogenesis, State Key Lab Resp Dis, Guangzhou 510182, Guangdong, Peoples R China</t>
  </si>
  <si>
    <t>Soochow University - China; Soochow University - China; Guangzhou Medical University; State Key Laboratory of Respiratory Disease</t>
  </si>
  <si>
    <t>Zhou, YF (corresponding author), Soochow Univ, Dept Genet, Med Coll, Suzhou 215123, Peoples R China.</t>
  </si>
  <si>
    <t>liwei17909@163.com; zhouyifeng@suda.edu.cn</t>
  </si>
  <si>
    <t>Li, Wei/H-8477-2018; 李, 巍/L-7829-2019</t>
  </si>
  <si>
    <t>Wu, Siqi/0000-0002-5051-2923</t>
  </si>
  <si>
    <t>10.1186/s12943-019-0949-7</t>
  </si>
  <si>
    <t>WOS:000458166100001</t>
  </si>
  <si>
    <t>Stinson, LF; Trevenen, ML; Geddes, DT</t>
  </si>
  <si>
    <t>Stinson, Lisa F.; Trevenen, Michelle L.; Geddes, Donna T.</t>
  </si>
  <si>
    <t>Effect of Cold Storage on the Viable and Total Bacterial Populations in Human Milk</t>
  </si>
  <si>
    <t>human milk; microbiome; bacteria; storage; viability; expressed breast milk</t>
  </si>
  <si>
    <t>HUMAN BREAST-MILK; EXTRACELLULAR VESICLES; GUT</t>
  </si>
  <si>
    <t>Expression and cold storage of human milk is a common practice. Current guidelines for cold storage of expressed milk do not take into account the impact on the milk microbiome. Here, we investigated the impact of cold storage on viable bacterial populations in human milk. Freshly expressed milk samples (n = 10) were collected and analysed immediately, stored at 4 degrees C for four days, -20 degrees C for 2.25 months and 6 months, and -80 degrees C for 6 months. Samples were analysed using propidium monoazide (PMA; a cell viability dye) coupled with full-length 16S rRNA gene. An aliquot of each sample was additionally analysed without PMA to assess the impact of cold storage on the total DNA profile of human milk. Cold storage significantly altered the composition of both the viable microbiome and total bacterial DNA profile, with differences in the relative abundance of several OTUs observed across each storage condition. However, cold storage did not affect the richness nor diversity of the samples (PERMANOVA all p &gt; 0.2). Storage of human milk under typical and recommended conditions results in alterations to the profile of viable bacteria, with potential implications for infant gut colonisation and infant health.</t>
  </si>
  <si>
    <t>[Stinson, Lisa F.; Geddes, Donna T.] Univ Western Australia, Sch Mol Sci, Perth, WA 6000, Australia; [Trevenen, Michelle L.] Univ Western Australia, Ctr Appl Stat, Perth, WA 6000, Australia</t>
  </si>
  <si>
    <t>University of Western Australia; University of Western Australia</t>
  </si>
  <si>
    <t>Stinson, LF (corresponding author), Univ Western Australia, Sch Mol Sci, Perth, WA 6000, Australia.</t>
  </si>
  <si>
    <t>lisa.stinson@uwa.edu.au; michelle.trevenen@uwa.edu.au; donna.geddes@uwa.edu.au</t>
  </si>
  <si>
    <t>; Geddes, Donna/H-9254-2014</t>
  </si>
  <si>
    <t>Stinson, Lisa/0000-0003-2799-2727; Geddes, Donna/0000-0002-0431-7078; Trevenen, Michelle/0000-0002-0614-8319</t>
  </si>
  <si>
    <t>10.3390/nu14091875</t>
  </si>
  <si>
    <t>WOS:000794592100001</t>
  </si>
  <si>
    <t>Rusnati, M; DellEra, P; Urbinati, C; Tanghetti, E; Massardi, ML; Nagamine, Y; Monti, E; Presta, M</t>
  </si>
  <si>
    <t>A distinct basic fibroblast growth factor (FGF-2)/FGF receptor interaction distinguishes urokinase-type plasminogen activator induction from mitogenicity in endothelial cells</t>
  </si>
  <si>
    <t>HIGH-AFFINITY RECEPTOR; PROTEIN-KINASE-C; FACTOR BFGF; BIOLOGICAL-ACTIVITY; HEPARIN-BINDING; DNA-SYNTHESIS; EXPRESSION; TRANSCRIPTION; PURIFICATION; MECHANISMS</t>
  </si>
  <si>
    <t>Basic fibroblast growth factor (FGF-2) induces cell proliferation and urokinase-type plasminogen activator (uPA) production in fetal bovine aortic endothelial GM 7373 cells. In the present paper we investigated the role of the interaction of FGF-2 with tyrosine-kinase (TK) FGF receptors (FGFRs) in mediating uPA up-regulation in these cells. The results show that FGF-2 antagonists suramin, protamine, heparin, the synthetic peptide FGF-2(112-155), and a soluble form of FGFR-1 do not inhibit FGF-2-mediated uPA up-regulation at concentrations that affect growth factor binding to cell surface receptors and mitogenic activity. In contrast, tyrosine phosphorylation inhibitors and overexpression of a dominant negative TK- mutant of FGFR-1 abolish the uPA-inducing activity of FGF-2, indicating that FGFR and its TK activity are essential in mediating uPA induction. Accordingly, FGF-2 induces uPA up-regulation in Chinese hamster ovary cells transfected with wild-type FGFR-1, -2, -3, or -4 but not with TK- FGFR-1 mutant. Small unilamellar phosphatidyl choline:cholesterol vesicles loaded with FGF-2 increased uPA production in GM 7373 cells in the absence of a mitogenic response. Liposome-encapsulated FGF-2 showed a limited but significant capacity, relative to free FGF-2, to interact with FGFR both at 4 degrees C and 37 degrees C and to be internalized within the cell. uPA up-regulation by liposome-encapsulated FGF-2 was quenched by neutralizing anti-FGF-2 antibodies, indicating that the activity of liposome-delivered FGF-2 is mediated by an extracellular action of the growth factor. Taken together, the data indicate that a distinct interaction of FGF-2 with FGFR, quantitatively and/or qualitatively different from the one that leads to mitogenicity, is responsible for the uPA-inducing activity of the growth factor.</t>
  </si>
  <si>
    <t>UNIV BRESCIA,SCH MED,DEPT BIOMED SCI &amp; BIOTECHNOL,UNIT GEN PATHOL &amp; IMMUNOL,I-25123 BRESCIA,ITALY; UNIV BRESCIA,SCH MED,DEPT BIOMED SCI &amp; BIOTECHNOL,BIOCHEM UNIT,I-25123 BRESCIA,ITALY; FRIEDRICH MIESCHER INST,CH-4002 BASEL,SWITZERLAND</t>
  </si>
  <si>
    <t>University of Brescia; University of Brescia; Friedrich Miescher Institute for Biomedical Research</t>
  </si>
  <si>
    <t>Dell'Era, Patrizia/N-6964-2019; Presta, Marco/B-4345-2010; Rusnati, Marco/F-1168-2010; Dell'Era, Patrizia/ABD-5848-2020; Dell'Era, Patrizia/G-5294-2010</t>
  </si>
  <si>
    <t>Rusnati, Marco/0000-0001-9968-5908; Dell'Era, Patrizia/0000-0001-6682-6321; Urbinati, Chiara Eva/0000-0002-0138-7871; MONTI, Eugenio/0000-0002-4742-7445; PRESTA, Marco/0000-0002-4398-8376</t>
  </si>
  <si>
    <t>10.1091/mbc.7.3.369</t>
  </si>
  <si>
    <t>WOS:A1996TZ76100003</t>
  </si>
  <si>
    <t>Kalvala, A; Wallet, P; Yang, L; Wang, CK; Li, HQ; Nam, A; Nathan, A; Mambetsariev, I; Poroyko, V; Gao, HL; Chu, PG; Sattler, M; Bild, A; Manuel, ER; Lee, PP; Jolly, MK; Kulkarni, P; Salgia, R</t>
  </si>
  <si>
    <t>Kalvala, Arjun; Wallet, Pierre; Yang, Lu; Wang, Chongkai; Li, Haiqing; Nam, Arin; Nathan, Anusha; Mambetsariev, Isa; Poroyko, Valeriy; Gao, Hanlin; Chu, Peiguo; Sattler, Martin; Bild, Andrea; Manuel, Edwin R.; Lee, Peter P.; Jolly, Mohit Kumar; Kulkarni, Prakash; Salgia, Ravi</t>
  </si>
  <si>
    <t>Phenotypic Switching of Naive T Cells to Immune-Suppressive Treg-Like Cells by Mutant KRAS</t>
  </si>
  <si>
    <t>KRAS; cell-extrinsic; Tregs; lung cancer; FOXP3; phenotypic switching</t>
  </si>
  <si>
    <t>FOXP3 EXPRESSION; CONVERSION; ROLES; RAS; DNA</t>
  </si>
  <si>
    <t>Oncogenic (mutant) Ras protein Kirsten rat sarcoma viral oncogene homolog (KRAS) promotes uncontrolled proliferation, altered metabolism, and loss of genome integrity in a cell-intrinsic manner. Here, we demonstrate that CD4(+) T cells when incubated with tumor-derived exosomes from mutant (MT) KRAS non-small-cell lung cancer (NSCLC) cells, patient sera, or a mouse xenograft model, induce phenotypic conversion to FOXP3(+) Treg-like cells that are immune-suppressive. Furthermore, transfecting T cells with MT KRAS cDNA alone induced phenotypic switching and mathematical modeling supported this conclusion. Single-cell sequencing identified the interferon pathway as the mechanism underlying the phenotypic switch. These observations highlight a novel cytokine-independent, cell-extrinsic role for KRAS in T cell phenotypic switching. Thus, targeting this new class of Tregs represents a unique therapeutic approach for NSCLC. Since KRAS is the most frequently mutated oncogene in a wide variety of cancers, the findings of this investigation are likely to be of broad interest and have a large scientific impact.</t>
  </si>
  <si>
    <t>[Kalvala, Arjun; Wallet, Pierre; Wang, Chongkai; Nam, Arin; Nathan, Anusha; Mambetsariev, Isa; Poroyko, Valeriy; Bild, Andrea; Kulkarni, Prakash; Salgia, Ravi] City Hope Natl Med Ctr, Dept Med Oncol &amp; Therapeut Res, Duarte, CA 91010 USA; [Yang, Lu] City Hope Natl Med Ctr, Dept Syst Biol, Beckman Res Inst, Duarte, CA 91010 USA; [Li, Haiqing] City Hope Natl Med Ctr, Ctr Informat, Duarte, CA 91010 USA; [Li, Haiqing] City Hope Natl Med Ctr, Beckman Res Inst, Dept Computat &amp; Quantitat Med, Duarte, CA 91010 USA; [Gao, Hanlin] Fulgent Genet, 4978 Santa Anita Ave, Temple City, CA 91780 USA; [Chu, Peiguo] City Hope Natl Med Ctr, Dept Pathol, Duarte, CA 91010 USA; [Sattler, Martin] Dana Farber Canc Inst, Dept Med Oncol, Boston, MA 02215 USA; [Sattler, Martin] Harvard Med Sch, Dept Med, Boston, MA 02115 USA; [Manuel, Edwin R.] City Hope Natl Med Ctr, Dept Hematol &amp; Hematopoiet Cell Transplantat, Duarte, CA 91010 USA; [Lee, Peter P.] City Hope Natl Med Ctr, Dept Immunooncol, Duarte, CA 91010 USA; [Jolly, Mohit Kumar] Indian Inst Sci, Ctr BioSyst Sci &amp; Engn, Bangalore 560012, Karnataka, India</t>
  </si>
  <si>
    <t>City of Hope; City of Hope; Beckman Research Institute of City of Hope; City of Hope; City of Hope; Beckman Research Institute of City of Hope; City of Hope; Harvard University; Dana-Farber Cancer Institute; Harvard University; Harvard Medical School; City of Hope; City of Hope; Indian Institute of Science (IISC) - Bangalore</t>
  </si>
  <si>
    <t>Salgia, R (corresponding author), City Hope Natl Med Ctr, Dept Med Oncol &amp; Therapeut Res, Duarte, CA 91010 USA.</t>
  </si>
  <si>
    <t>akalvala@coh.org; pwallet@coh.org; luyang@coh.org; chowang@coh.org; hali@coh.org; anam@coh.org; anathan@coh.org; Imambetsariev@coh.org; vporoyko@coh.org; harrygao@fulgentgenetics.com; PChu@coh.org; Martin_Sattler@dfci.harvard.edu; abild@coh.org; EManuel@coh.org; plee@coh.org; mkjolly.15@gmail.com; pkulkarni@coh.org; rsalgia@coh.org</t>
  </si>
  <si>
    <t>Jolly, Mohit Kumar/A-1826-2014</t>
  </si>
  <si>
    <t>Jolly, Mohit Kumar/0000-0002-6631-2109; Lee, Peter P./0000-0002-2660-4377; Nathan, Anusha/0000-0002-4418-1005</t>
  </si>
  <si>
    <t>10.3390/jcm8101726</t>
  </si>
  <si>
    <t>WOS:000498398500224</t>
  </si>
  <si>
    <t>Dieudonne, SC; Kerr, JM; Xu, TS; Sommer, B; DeRubeis, AR; Kuznetsov, SA; Kim, IS; Robey, PG; Young, MF</t>
  </si>
  <si>
    <t>Differential display of human marrow stromal cells reveals unique mRNA expression patterns in response to dexamethasone</t>
  </si>
  <si>
    <t>differential display; human bone marrow stroma; dexamethasone; beta ig-h3</t>
  </si>
  <si>
    <t>GROWTH-FACTOR-BETA; CALVARIAL OSTEOBLAST DIFFERENTIATION; MATRIX VESICLE PROTEINS; GENE-EXPRESSION; IN-VITRO; TGF-BETA; EXTRACELLULAR-MATRIX; MESSENGER-RNA; FIBRONECTIN; FIBROBLASTS</t>
  </si>
  <si>
    <t>Human bone marrow stromal cells (hBMSC) are pluripotent cells that have the ability to differentiate into bone, cartilage, hematopoietic-supportive stroma, and adipocytes in a process modulated by dexamethasone (DEX). To characterize changes in hBMSC in response to DEX, we carried out differential display experiments using hBMSC cultured for 1 week in the presence or absence of 10(-8) M DEX. When RNA from these cells was used for differential display, numerous cDNA bands were identified that were up-regulated and down-regulated by DEX. The cDNA bands were reamplified by PCR and directly used to screen an hBMSC cDNA library. Seven clones were isolated and characterized by DNA sequencing and found to encode the following genes: transforming growth factor-beta-induced gene product (beta ig-h3), calphobindin II, cytosolic thyroid-binding protein, 22-kDA smooth muscle protein (SM22), and the extracellular matrix proteins osteonectin/SPARC, type III collagen, and fibronectin. To confirm that these genes were regulated by EX, the cells were treated continuously with this hormone for periods ranging from 2 to 30 days, and steady-state mRNA levels were measured by Northern blot analysis. All genes showed some level of regulation by DEX. The most profound regulation by DEX was observed in the beta ig-h3 gene,which showed a relative 10-fold decrease in mRNA levels after 6 days of treatment. Interestingly, beta ig-h3 expression was not altered by DEX in fibroblasts from other human tissues, including thymus stromal fibroblasts, spleen stromal fibroblasts, and foreskin fibroblasts. In summary, differential display of DEX-treated hBMSC revealed unique patterns of gene expression and has provided new information about phenotypic changes that accompany the differentiation of hBMSC toward osteogenesis. Published 1999 Wiley-Liss, Inc.(dagger).</t>
  </si>
  <si>
    <t>Kyung Pook Natl Univ, Sch Med, Dept Biochem, Taegu, South Korea; NIDR, Craniofacial &amp; Skeletal Dis Branch, NIH, Bethesda, MD 20892 USA</t>
  </si>
  <si>
    <t>Kyungpook National University; National Institutes of Health (NIH) - USA; NIH National Institute of Dental &amp; Craniofacial Research (NIDCR)</t>
  </si>
  <si>
    <t>Young, MF (corresponding author), Natl Inst Craniofacial &amp; Dental Res, Craniofacial &amp; Skeletal Dis Branch, NIH, Bldg 30,Room 222, Bethesda, MD 20892 USA.</t>
  </si>
  <si>
    <t>young@yoda.nidr.nih.gov</t>
  </si>
  <si>
    <t>김, 인산/I-8988-2014; Robey, Pamela Gehron/H-1429-2011</t>
  </si>
  <si>
    <t>Robey, Pamela Gehron/0000-0002-5316-5576; Young, Marian F/0000-0003-0929-8854</t>
  </si>
  <si>
    <t>10.1002/(SICI)1097-4644(20000201)76:2&lt;231::AID-JCB7&gt;3.0.CO;2-X</t>
  </si>
  <si>
    <t>WOS:000084697600007</t>
  </si>
  <si>
    <t>Das, S; Kumar, A; Mandal, A; Abhishek, K; Verma, S; Kumar, A; Das, P</t>
  </si>
  <si>
    <t>Das, Sushmita; Kumar, Ashish; Mandal, Abhishek; Abhishek, Kumar; Verma, Sudha; Kumar, Ajay; Das, Pradeep</t>
  </si>
  <si>
    <t>RETRACTED: Nucleic acid sensing activates the innate cytosolic surveillance pathway and promotes parasite survival in visceral leishmaniasis (Retracted article. See vol. 12, 2022)</t>
  </si>
  <si>
    <t>Article; Retracted Publication</t>
  </si>
  <si>
    <t>GMP-AMP SYNTHASE; UNMETHYLATED CPG MOTIFS; NITRIC-OXIDE SYNTHASE; DOUBLE-STRANDED DNA; IMMUNE-RESPONSE; I INTERFERONS; RESISTANCE; RECEPTOR; MACROPHAGES; EXOSOMES</t>
  </si>
  <si>
    <t>Microbial pattern recognition critically contributes to innate response, both at extracellular and intracellular cytosolic surveillance pathway (CSP) interface. However, the role of pattern recognition by host innate receptors in CSP is poorly understood in Leishmania donovani infection. Here, we have demonstrated that cytosolic targeting of L.donovani DNA (Ld-DNA) inhibits macrophage responsiveness to IFN gamma, through decreased MHC-II expression and lowered pSTAT1 (Y701) levels, involving host three-prime repair exonuclease-1 (TREX-1). The Ld-DNA potently induced type-1 IFNs, i.e. significant over-production of IFN beta through activation of the IRF pathway. Interestingly, knockdown of TRIF or MyD88 expression in macrophages had no effect on cytosolic Ld-DNAtransfection-mediated IFN-beta production, indicating involvement of a TLR independent pathway. Contrastingly, Ld-DNA failed to induce IFNO in both TBK-1 and IRF3KO knockout macrophages. Although IFNO was not induced by Ld-DNA in STING- knockout macrophages, STING alone was not enough for the induction. Evidently, besides STING, Ld-DNA recognition for induction of IFN beta critically required cytosolic cyclic GMP-AMP synthase (cGAS). Furthermore, the cGAS dependent targeting of Ld-DNA induced IFN beta over-production that contributed to antimony resistance in L.donovani infection. We provide the first evidence that enhanced cytosolic sensing of Ld-DNA in infection by antimony resistant (SBR-LD), but not antimony sensitive L.donovani strains (SBS-LD), was critically regulated by host MDRs, multi drug resistant associated protein 1 (MRP 1) and permeability glycoprotein (P-gp) in macrophages. Collectively, our results disclose Ld-DNA as a vital pathogen associated molecular pattern (PAMP) driving host Type-I IFN responses and antimony resistance. The findings may help in future development of policies for novel anti-leishmanial therapeutics.</t>
  </si>
  <si>
    <t>[Das, Sushmita] AIIMS, Dept Microbiol, Patna, Bihar, India; [Kumar, Ashish] ICMR Rajendra Mem Res Inst Med Sci, Dept Biochem, Patna, Bihar, India; [Mandal, Abhishek; Abhishek, Kumar; Verma, Sudha; Kumar, Ajay; Das, Pradeep] ICMR Rajendra Mem Res Inst Med Sci, Dept Mol Biol, Patna, Bihar, India</t>
  </si>
  <si>
    <t>All India Institute of Medical Sciences (AIIMS) Patna; Indian Council of Medical Research (ICMR); ICMR - Rajendra Memorial Research Institute of Medical Sciences (RMRI); Indian Council of Medical Research (ICMR); ICMR - Rajendra Memorial Research Institute of Medical Sciences (RMRI)</t>
  </si>
  <si>
    <t>Das, S (corresponding author), AIIMS, Dept Microbiol, Patna, Bihar, India.</t>
  </si>
  <si>
    <t>sushmita.de2008@gmail.com</t>
  </si>
  <si>
    <t>10.1038/s41598-019-45800-0</t>
  </si>
  <si>
    <t>WOS:000474335800022</t>
  </si>
  <si>
    <t>Weiss, AN; Anantharam, A; Bittner, MA; Axelrod, D; Holz, RW</t>
  </si>
  <si>
    <t>Weiss, Annita Ngatchou; Anantharam, Arun; Bittner, Mary A.; Axelrod, Daniel; Holz, Ronald W.</t>
  </si>
  <si>
    <t>Lumenal Protein within Secretory Granules Affects Fusion Pore Expansion</t>
  </si>
  <si>
    <t>TISSUE-PLASMINOGEN-ACTIVATOR; ADRENAL CHROMAFFIN CELLS; NEUROENDOCRINE CELLS; FLUORESCENT PROTEIN; EXOCYTOTIC EVENTS; PLASMA-MEMBRANE; CHROMOGRANIN-A; VESICLE FUSION; RELEASE; RECAPTURE</t>
  </si>
  <si>
    <t>It is often assumed that upon fusion of the secretory granule membrane with the plasma membrane, lunnenal contents are rapidly discharged and dispersed into the extracellular medium. Although this is the case for low-molecular-weight neurotransmitters and some proteins, there are numerous examples of the dispersal of a protein being delayed for many seconds after fusion. We have investigated the role of fusion-pore expansion in determining the contrasting discharge rates of fluorescent-tagged neuropeptide-Y (NPY) (within 200 ms) and tissue plasminogen activator (tPA) (over many seconds) in adrenal chromaffin cells. The endogenous proteins are expressed in separate chromaffin cell subpopulations. Fusion pore expansion was measured by two independent methods, orientation of a fluorescent probe within the plasma membrane using polarized total internal reflection fluorescence microscopy and amperometry of released catecholamine. Together, they probe the continuum of the fusion-pore duration, from milliseconds to many seconds after fusion. Polarized total internal reflection fluorescence microscopy revealed that 71% of the fusion events of tPA-cer-containing granules maintained curvature for &gt;10 s, with approximately half of the structures likely connected to the plasma membrane by a short narrow neck. Such events were not commonly observed upon fusion of NPY-cer-containing granules. Amperometry revealed that the expression of tPA-green fluorescent protein (GFP) prolonged the duration of the prespike foot similar to 2.5-fold compared to NPY-GFP-expressing cells and nontransfected cells, indicating that expansion of the initial fusion pore in tPA granules was delayed. The t(1/2) of the main catecholamine spike was also increased, consistent with a prolonged delay of fusion-pore expansion. tPA added extra-cellularly bound to the lumenal surface of fused granules. We propose that tPA within the granule lumen controls its own discharge. Its intrinsic biochemistry determines not only its extracellular action but also the characteristics of its presentation to the extracellular milieu.</t>
  </si>
  <si>
    <t>[Weiss, Annita Ngatchou; Bittner, Mary A.; Axelrod, Daniel; Holz, Ronald W.] Univ Michigan, Sch Med, Dept Pharmacol, Ann Arbor, MI 48109 USA; [Anantharam, Arun] Wayne State Univ, Dept Biol Sci, Detroit, MI 48202 USA; [Axelrod, Daniel] Univ Michigan, Dept Phys, Ann Arbor, MI 48109 USA; [Axelrod, Daniel] Univ Michigan, LSA Biophys, Ann Arbor, MI 48109 USA</t>
  </si>
  <si>
    <t>University of Michigan System; University of Michigan; Wayne State University; University of Michigan System; University of Michigan; University of Michigan System; University of Michigan</t>
  </si>
  <si>
    <t>Weiss, AN (corresponding author), Univ Michigan, Sch Med, Dept Pharmacol, Ann Arbor, MI 48109 USA.</t>
  </si>
  <si>
    <t>annweiss@umich.edu; holz@umich.edu</t>
  </si>
  <si>
    <t>1542-0086</t>
  </si>
  <si>
    <t>10.1016/j.bpj.2014.04.064</t>
  </si>
  <si>
    <t>WOS:000338411600007</t>
  </si>
  <si>
    <t>Yang, X; Li, HF; Sun, HH; Fan, HX; Hu, YQ; Liu, M; Li, X; Tang, H</t>
  </si>
  <si>
    <t>Yang, Xi; Li, Hongfeng; Sun, Huahui; Fan, Hongxia; Hu, Yaqi; Liu, Min; Li, Xin; Tang, Hua</t>
  </si>
  <si>
    <t>Hepatitis B Virus-Encoded MicroRNA Controls Viral Replication</t>
  </si>
  <si>
    <t>miRNA; hepatitis B virus; pgRNA; HBc</t>
  </si>
  <si>
    <t>CORE PROTEIN; GENE-EXPRESSION; AMINO-ACID; IDENTIFICATION; BIOGENESIS; INFECTION; LIFE; RNAS; ENVELOPMENT; DISEASE</t>
  </si>
  <si>
    <t>MicroRNAs (miRNAs) are a class of small, single-stranded, noncoding, functional RNAs. Hepatitis B virus (HBV) is an enveloped DNA virus with virions and subviral forms of particles that lack a core. It was not known whether HBV encodes miRNAs. Here, we identified an HBV-encoded miRNA (called HBV-miR-3) by deep sequencing and Northern blotting. HBV-miR-3 is located at nucleotides (nt) 373 to 393 of the HBV genome and was generated from 3.5-kb, 2.4-kb, and 2.1-kb HBV in a classic miRNA biogenesis (Drosha-Dicer-dependent) manner. HBV-miR-3 was highly expressed in hepatoma cell lines with an integrated HBV genome and HBV+ hepatoma tumors. In patients with HBV infection, HBV-miR-3 was released into the circulation by exosomes and HBV virions, and HBV-miR-3 expression had a positive correlation with HBV titers in the sera of patients in the acute phase of HBV infection. More interestingly, we found that HBV-miR-3 represses HBsAg, HBeAg, and replication of HBV. HBV-miR-3 targets the unique site of the HBV 3.5-kb transcript to specifically reduce HBc protein expression, levels of pregenomic RNA (pgRNA), and HBV replication intermediate (HBV-RI) generation but does not affect the HBV DNA polymerase level, thus suppressing HBV virion production (replication). This may explain the low levels of HBV virion generation with abundant subviral particles lacking core during HBV replication, which may contribute to the development of persistent infection in patients. Taken together, our findings shed light on novel mechanisms by which HBV-encoded miRNA controls the process of self-replication by regulating HBV transcript during infection. IMPORTANCE Hepatitis B is a liver infection caused by the hepatitis B virus (HBV) that can become a long-term, chronic infection and lead to cirrhosis or liver cancer. HBV is a small DNA virus that belongs to the hepadnavirus family, with virions and subviral forms of particles that lack a core. MicroRNA (miRNA), a small (similar to 22-nt) noncoding RNA, was recently found to be an important regulator of gene expression. We found that HBV encodes miRNA (HBV-miR-3). More importantly, we revealed that HBV-miR-3 targets its transcripts to attenuate HBV replication. This may contribute to explaining how HBV infection leads to mild damage in liver cells and the subsequent establishment/ maintenance of persistent infection. Our findings highlight a mechanism by which HBV-encoded miRNA controls the process of self-replication by regulating the virus itself during infection and might provide new biomarkers for diagnosis and treatment of hepatitis B.</t>
  </si>
  <si>
    <t>[Tang, Hua] Tianjin Med Univ, Tianjin Life Sci Res Ctr, Tianjin, Peoples R China; Tianjin Med Univ, Dept Pathogen Biol, Sch Basic Med Sci, Tianjin, Peoples R China</t>
  </si>
  <si>
    <t>Tang, H (corresponding author), Tianjin Med Univ, Tianjin Life Sci Res Ctr, Tianjin, Peoples R China.</t>
  </si>
  <si>
    <t>htang2002@yahoo.com</t>
  </si>
  <si>
    <t>e01919-16</t>
  </si>
  <si>
    <t>10.1128/JVI.01919-16</t>
  </si>
  <si>
    <t>WOS:000401227300023</t>
  </si>
  <si>
    <t>Ohyashiki, K; Umezu, T; Katagiri, S; Kobayashi, C; Azuma, K; Tauchi, T; Okabe, S; Fukuoka, Y; Ohyashiki, JH</t>
  </si>
  <si>
    <t>Ohyashiki, Kazuma; Umezu, Tomohiro; Katagiri, Seiichiro; Kobayashi, Chiaki; Azuma, Kenko; Tauchi, Tetsuzo; Okabe, Seiichi; Fukuoka, Yutaka; Ohyashiki, Junko H.</t>
  </si>
  <si>
    <t>Downregulation of Plasma miR-215 in Chronic Myeloid Leukemia Patients with Successful Discontinuation of Imatinib</t>
  </si>
  <si>
    <t>plasma miR-215; chronic myeloid leukemia; imatinib; discontinuation</t>
  </si>
  <si>
    <t>MINIMAL RESIDUAL DISEASE; RENAL-CELL CARCINOMA; MULTIPLE-MYELOMA; P53-INDUCIBLE MICRORNAS; EXPRESSION; MIR-192; PROLIFERATION; SIGNATURES; PROGNOSIS; BIOMARKER</t>
  </si>
  <si>
    <t>Approximately 40% of chronic myeloid leukemia (CML) patients who discontinue imatinib (IM) therapy maintain undetectable minimal residual disease (UMRD) for more than one year (stopping IM (STOP-IM)). To determine a possible biomarker for STOP-IM CML, we examined plasma miRNA expression in CML patients who were able to discontinue IM. We first screened candidate miRNAs in unselected STOP-IM patients, who had sustained UMRD after discontinuing IM for more than six months, in comparison with healthy volunteers, by using a TaqMan low-density array for plasma or exosomes. Exosomal miR-215 and plasma miR-215 were downregulated in the STOP-IM group compared to the control, indicating that the biological relevance of the plasma miR-215 level is equivalent to that of the exosomal level. Next, we performed real-time quantitative RT-PCR in 20 STOP-IM patients, 32 patients with UMRD on continued IM therapy (IM group) and 28 healthy volunteers. The plasma miRNA-215 level was significantly downregulated in the STOP-IM group (p &lt; 0.0001); we determined the cut-off level and divided the IM group patients into two groups according to whether the plasma miR-215 was downregulated or not. The IM group patients with a low plasma miR-215 level had a significantly higher total IM intake, compared to the patients with elevated miR-215 levels (p = 0.0229). Functional annotation of miR-215 target genes estimated by the Database for Annotation, Visualization and Integrated Discovery (DAVID) bioinformatic tools involved cell cycle, mitosis, DNA repair and cell cycle checkpoint. Our study suggests a possible role of miR-215 in successful IM discontinuation.</t>
  </si>
  <si>
    <t>[Ohyashiki, Kazuma; Katagiri, Seiichiro; Tauchi, Tetsuzo; Okabe, Seiichi] Tokyo Med Univ, Dept Hematol, Tokyo 1600023, Japan; [Ohyashiki, Kazuma; Umezu, Tomohiro; Kobayashi, Chiaki] Tokyo Med Univ, Dept Mol Sci, Tokyo 1600023, Japan; [Azuma, Kenko; Ohyashiki, Junko H.] Tokyo Med Univ, Inst Med Sci, Dept Mol Oncol, Tokyo 1600023, Japan; [Fukuoka, Yutaka] Kogakuin Univ, Dept Elect Engn, Tokyo 1638677, Japan</t>
  </si>
  <si>
    <t>Tokyo Medical University; Tokyo Medical University; Tokyo Medical University; Kogakuin University</t>
  </si>
  <si>
    <t>Ohyashiki, K (corresponding author), Tokyo Med Univ, Dept Hematol, Tokyo 1600023, Japan.;Ohyashiki, K (corresponding author), Tokyo Med Univ, Dept Mol Sci, Tokyo 1600023, Japan.</t>
  </si>
  <si>
    <t>ohyashik@rr.iij4u.or.jp; t_umezu@tokyo-med.ac.jp; patchsei@yahoo.co.jp; chiaki-k@tokyo-med.ac.jp; k_azuma@tokyo-med.ac.jp; tauchi@tokyo-med.ac.jp; okabe@tokyo-med.ac.jp; fukuoka@cc.kogakuin.ac.jp; junko@hh.iij4u.or.jp</t>
  </si>
  <si>
    <t>Fukuoka, Yutaka/H-9943-2019; Umezu, Tomohiro/AAK-9711-2020</t>
  </si>
  <si>
    <t>Fukuoka, Yutaka/0000-0001-6261-3783; Ohyashiki, Kazuma/0000-0003-0845-5758; Umezu, Tomohiro/0000-0002-0123-8921; Katagiri, Seiichiro/0000-0002-3031-9990</t>
  </si>
  <si>
    <t>10.3390/ijms17040570</t>
  </si>
  <si>
    <t>WOS:000374585300149</t>
  </si>
  <si>
    <t>Niu, LJ; Huang, T; Wang, LJ; Sun, XF; Zhang, YM</t>
  </si>
  <si>
    <t>Niu, Lian-Jie; Huang, Tao; Wang, Lianjiang; Sun, Xian-Fu; Zhang, Ya-Min</t>
  </si>
  <si>
    <t>HBX suppresses PTEN to promote the malignant progression of hepatocellular carcinoma through mi-R155 activation</t>
  </si>
  <si>
    <t>ANNALS OF HEPATOLOGY</t>
  </si>
  <si>
    <t>Exosome; HBx; microRNA-155; PTEN; Hepatocellular carcinoma; Progression</t>
  </si>
  <si>
    <t>Introduction and objectives: Hepatocellular carcinoma (HCC) is one of the most common and fatal tumors in the world, ranking third in cancer-related mortality. Chronic HBV infection is one of the major risk factors for hepatocellular carcinoma in China, Korea, and Sub-Saharan Africa. The HBx protein encoded by the X gene of HBV is a broadly regulated protein involved in transcriptional activation, epigenetics, apoptosis, DNA repair, and other regulatory processes. This study aimed to investigate the mechanism of HBx regulation of miR-155 and PTEN (Phosphatase and tensin homolog deleted on chromosome ten) in HBV-HCC. Methods: Exosomal miR-155 quantity was analyzed by sampling serum exosomes of patients with hepatocellular carcinoma and normal subjects. The analysis was divided into different subgroups according to HBV positivity or negativity. At the cellular level, the biological roles of HBX, microRNA-155 and PUN on hepatocellular carcinoma cells and their regulatory relationships with each other were verified. Results: MicroRNA-155 and PUN expression in HBV-positive HCC liver cancer tissues were negatively correlated, and HBX and miR-155 expression were positively correlated; microRNA-155 could target and inhibit PTEN expression, thereby promoting hepatocellular carcinoma cell activity, inhibiting apoptosis, and promoting invasion and migration; HBX could upregulate microRNA-155 thereby inhibit PUN to promote malignant transformation of hepatocellular carcinoma. Conclusions: HBX could promote malignant transformation of hepatocellular carcinoma cells by upregulating microRNA-155 expression and thereby inhibiting the PTEN/PI3K-AKT pathway. Blocking miR-155 expression could attenuate the proliferation-promoting and invasive effects of HBX. (C) 2022 Fundacion Clinica Medica Sur, A.C. Published by Elsevier Espana, S.L.U.</t>
  </si>
  <si>
    <t>[Niu, Lian-Jie; Huang, Tao; Sun, Xian-Fu] Zhengzhou Univ, Affiliated Canc Hosp, Henan Breast Canc Ctr, Dept Breast Dis, Zhengzhou, Peoples R China; [Niu, Lian-Jie; Huang, Tao; Sun, Xian-Fu] Henan Canc Hosp, Zhengzhou, Henan, Peoples R China; [Niu, Lian-Jie; Wang, Lianjiang; Zhang, Ya-Min] Tianjin First Cent Hosp, Dept Hepatobiliary Surg, Tianjin, Peoples R China</t>
  </si>
  <si>
    <t>Zhengzhou University; Zhengzhou University; Tianjin Medical University</t>
  </si>
  <si>
    <t>Zhang, YM (corresponding author), Tianjin First Cent Hosp, Dept Hepatobiliary Surg, Tianjin, Peoples R China.;Sun, XF (corresponding author), Zhengzhou Univ, Affiliated Canc Hosp, 127 Dongming Rd, Zhengzhou, Peoples R China.</t>
  </si>
  <si>
    <t>zlyysunxianfu1256@zzu.edu.cn</t>
  </si>
  <si>
    <t>1665-2681</t>
  </si>
  <si>
    <t>10.1016/j.aohep.2022.100688</t>
  </si>
  <si>
    <t>WOS:000832717300008</t>
  </si>
  <si>
    <t>Jiang, YJ; Bikle, DD</t>
  </si>
  <si>
    <t>Jiang, Yan J.; Bikle, Daniel D.</t>
  </si>
  <si>
    <t>LncRNA: a new player in 1 alpha, 25(OH)(2) vitamin D-3/VDR protection against skin cancer formation</t>
  </si>
  <si>
    <t>lncRNA; skin cancer; vitamin D signalling</t>
  </si>
  <si>
    <t>LONG NONCODING RNA; D-RECEPTOR; CELL-PROLIFERATION; INDUCED TUMORIGENESIS; TUMOR-FORMATION; BREAST-CANCER; METASTASIS; SRA; P53; TRANSLOCATION</t>
  </si>
  <si>
    <t>Sunlight, vitamin D and skin cancer form a controversial brew. While too much sunlight exposure causes skin cancer, it is the major source of vitamin D from skin. We propose that these processes can be balanced. Vitamin D signalling (VDS) protects against skin cancer as demonstrated by the susceptibility of the skin to tumor formation in VDR null mice and protection from UVB-induced mutations when VDR agonists are administered. The question is how is protection afforded. Previously, we have focused on the Wnt/beta-catenin/hedgehog and DNA damage repair (DDR) pathways. As VDR regulates hundreds of genes with thousands of VDR response elements (VDRE) throughout the genome, and many VDREs are in non-coding regions, we decided to explore long non-coding RNAs (lncRNA). LncRNAs are mRNA-like transcripts ranging from 200 bases similar to 100 kb lacking significant open reading frames. They are aberrantly expressed in human cancers and involved in a spectrum of tumorigenic/metastatic processes (cell proliferation/apoptosis/angiogenesis). We discovered that VDS regulated the expression of certain lncRNAs in a manner consistent with VDS protection against skin cancer. Given the huge variation in genes actively regulated by 1,25(OH)(2)D from different cell types, it is conceivable that our results could apply to personalized medicine based on the distinctive lncRNA profiles. These lncRNAs could also serve as skin cancer biomarkers secreted into the blood or urine via exosomes as demonstrated in other cancer types (breast, prostate). Modulation of lncRNA profile by VDS may also provide insight into regulating pathways such as Wnt/beta-catenin and hedgehog.</t>
  </si>
  <si>
    <t>[Jiang, Yan J.; Bikle, Daniel D.] UCSF, VAMC, Dept Med, NCIRE,Endocrine Res Unit 111N, San Francisco, CA 94121 USA</t>
  </si>
  <si>
    <t>Northern California Institute for Research &amp; Education; University of California System; University of California San Francisco</t>
  </si>
  <si>
    <t>Jiang, YJ (corresponding author), UCSF, VAMC, Dept Med, NCIRE,Endocrine Res Unit 111N, 4150 Clement St, San Francisco, CA 94121 USA.</t>
  </si>
  <si>
    <t>yan.jiang@med.va.gov</t>
  </si>
  <si>
    <t>10.1111/exd.12341</t>
  </si>
  <si>
    <t>WOS:000332335500330</t>
  </si>
  <si>
    <t>Mehta, KJ</t>
  </si>
  <si>
    <t>Mehta, Kosha J.</t>
  </si>
  <si>
    <t>Iron Oxide Nanoparticles in Mesenchymal Stem Cell Detection and Therapy</t>
  </si>
  <si>
    <t>Mesenchymal stem cells; iron; iron oxide nanoparticles; MSC therapy; MSC detection; Stem cell therapy</t>
  </si>
  <si>
    <t>VERSUS-HOST-DISEASE; STROMAL CELLS; BONE-MARROW; IN-VITRO; ADIPOSE-TISSUE; CHONDROGENIC DIFFERENTIATION; OSTEOGENIC DIFFERENTIATION; BIOLOGICAL MACROMOLECULES; INTRAARTICULAR INJECTION; MYOCARDIAL-INFARCTION</t>
  </si>
  <si>
    <t>Mesenchymal stem cells (MSCs) exhibit regenerative and reparative properties. However, most MSC-related studies remain to be translated for regular clinical usage, partly due to challenges in pre-transplantation cell labelling and post-transplantation cell tracking. Amidst this, there are growing concerns over the toxicity of commonly used gadolinium-based contrast agents that mediate in-vivo cell detection via MRI. This urges to search for equally effective but less toxic alternatives that would facilitate and enhance MSC detection post-administration and provide therapeutic benefits in-vivo. MSCs labelled with iron oxide nanoparticles (IONPs) have shown promising results in-vitro and in-vivo. Thus, it would be useful to revisit these studies before inventing new labelling approaches. Aiming to inform regenerative medicine and augment clinical applications of IONP-labelled MSCs, this review collates and critically evaluates the utility of IONPs in enhancing MSC detection and therapeutics. It explains the rationale, principle, and advantages of labelling MSCs with IONPs, and describes IONP-induced intracellular alterations and consequent cellular manifestations. By exemplifying clinical pathologies, it examines contextual in-vitro, animal, and clinical studies that used IONP-labelled bone marrow-, umbilical cord-, adipose tissue- and dental pulp-derived MSCs. It compiles and discusses studies involving MSC-labelling of IONPs in combinations with carbohydrates (Venofer, ferumoxytol, dextran, glucosamine), non-carbohydrate polymers [poly(L-lysine), poly(lactide-co-glycolide), poly(L-lactide), polydopamine], elements (ruthenium, selenium, gold, zinc), compounds/stains (silica, polyethylene glycol, fluorophore, rhodamine B, DAPI, Prussian blue), DNA, Fibroblast growth Factor-2 and the drug doxorubicin. Furthermore, IONP-labelling of MSC exosomes is reviewed. Also, limitations of IONP-labelling are addressed and methods of tackling those challenges are suggested.</t>
  </si>
  <si>
    <t>[Mehta, Kosha J.] Kings Coll London, Fac Life Sci &amp; Med, Ctr Educ, London, England</t>
  </si>
  <si>
    <t>University of London; King's College London</t>
  </si>
  <si>
    <t>Mehta, KJ (corresponding author), Kings Coll London, Fac Life Sci &amp; Med, Ctr Educ, London, England.</t>
  </si>
  <si>
    <t>kosha.mehta@kcl.ac.uk</t>
  </si>
  <si>
    <t>Mehta, Kosha/0000-0002-0716-5081</t>
  </si>
  <si>
    <t>10.1007/s12015-022-10343-x</t>
  </si>
  <si>
    <t>WOS:000749396300001</t>
  </si>
  <si>
    <t>LEMAY, J; GASCONBARRE, M</t>
  </si>
  <si>
    <t>RESPONSIVENESS OF THE INTESTINAL 1,25-DIHYDROXYVITAMIN-D3 RECEPTOR TO MAGNESIUM DEPLETION IN THE RAT</t>
  </si>
  <si>
    <t>ENDOCRINOLOGY</t>
  </si>
  <si>
    <t>DIETARY CALCIUM RESTRICTION; BORDER MEMBRANE-VESICLES; VITAMIN-D RECEPTOR; DEFICIENCY; TRANSPORT; QUANTITATION; METABOLISM; CALCIFEROL; FLUIDITY; EXCESS</t>
  </si>
  <si>
    <t>In contrast to man, the rat exhibits hypercalcemia during the course of magnesium depletion. To investigate the role of the vitamin D (D) endocrine system in the induction of hypercalcemia, circulating D metabolites, the binding properties of the duodenal 1,25-dihydroxyvitamin D3 [1,25(OH)2D3] receptor (VDR), and Ca-45 transport studies were undertaken in magnesium-replete rats or after 10 days of magnesium depletion in animals presenting the following D status: D depletion and hypo- or normocalcemia (achieved by oral calcium supplementation), D3 or 1,25-(OH)2D3 repletion. Magnesium depletion did not influence serum calcium in hypo- or normocalcemic D depleted rats, but increased serum calcium in animals receiving D3 (P &lt; 0.002) or 1,25-(OH)2D3 (P &lt; 0.0001), suggesting that the D3 endocrine system is necessary to mediate the rise in extracellular calcium and that dietary calcium alone is not sufficient to significantly increase extracellular calcium in the hypomagnesemic rat. The data also show that 25-hydroxyvitamin D formation was not perturbed, but circulating 1,25-(OH)2D3 concentrations were reduced by 10 days of magnesium depletion (P &lt; 0.0001) even in animals infused with 1,25-(OH)2D3, suggesting increased clearance of the hormone. The kinetic data of the duodenal VDR revealed maximum binding sites ranging from 1018-1500 fmol/mg DNA and K(d) ranging from 0.17-0.38 nm, with no significant between-group difference in magnesium-sufficient animals. Ten days of magnesium depletion did not significantly influence VDR affinity in any of the groups, but significantly increased receptor number in hypocalcemic D-depleted rats from 1190 +/- 154 to 2748 +/- 430 fmol/mg DNA (P &lt; 0.004). Calcium transport studies in D-replete animals indicate that intestinal calcium transport is influenced by the progressive depletion in magnesium, with time-related increases coinciding with the in vivo increase in circulating ionized calcium (day 6 of magnesium depletion). However, despite persistent elevated serum ionized calcium, calcium transport declined only to predepletion levels on days 8 and 10 of magnesium depletion. To investigate the influence of the D3 endocrine system on Ca-45 absorption, D-depleted rats sufficient or depleted in magnesium were injected with 1,25-(OH)2D3, either acutely (to reveal its membrane effects) or 16 and 5 h before death (to reveal its genomic effect). The data reveal a reduced response in magnesium-depleted rats to acute 1,25-(OH)2D3 injection (P &lt; 0.0002), but similar responses when the hormone was injected 16 and 5 h before the experiment. In conclusion, our studies point to the participation of the D endocrine system in the induction of the hypercalcemia of magnesium deficiency, as illustrated by an upregulation of apparent VDR number secondary to combined calcium-magnesium-D depletion. In addition, calcium transport studies demonstrate time-related modulations in calcium absorption during the course of magnesium depletion, resulting in inappropriately high calcium absorption in the face of hypercalcemia, while studies on the role of 1,25-(OH)2D3 suggest a genomically, rather than a membrane-related, mode of action on the absorption of calcium in the magnesium depletion state in the rat.</t>
  </si>
  <si>
    <t>HOP ST LUC,CTR RECH CLIN ANDRE VIALLET,264 RENE LEVESQUE BLVD E,MONTREAL H2X 1P1,QUEBEC,CANADA; UNIV MONTREAL,FAC MED,DEPT PHARMACOL,MONTREAL H3C 3J7,QUEBEC,CANADA</t>
  </si>
  <si>
    <t>Universite de Montreal; Universite de Montreal</t>
  </si>
  <si>
    <t>0013-7227</t>
  </si>
  <si>
    <t>10.1210/en.130.5.2767</t>
  </si>
  <si>
    <t>WOS:A1992HR33900045</t>
  </si>
  <si>
    <t>Serratos, IN; Hernandez-Perez, E; Campos, C; Aschner, M; Santamaria, A</t>
  </si>
  <si>
    <t>Serratos, Iris N.; Hernandez-Perez, Elizabeth; Campos, Carolina; Aschner, Michael; Santamaria, Abel</t>
  </si>
  <si>
    <t>An Update on the Critical Role of alpha-Synuclein in Parkinson's Disease and Other Synucleinopathies: from Tissue to Cellular and Molecular Levels</t>
  </si>
  <si>
    <t>alpha-Synuclein; Lewy bodies; Post-translational modifications; Membrane biological interactions; Parkinson's disease; Organelles; Synucleinopathies</t>
  </si>
  <si>
    <t>N-TERMINAL ACETYLATION; ENDOPLASMIC-RETICULUM STRESS; GLIAL CYTOPLASMIC INCLUSIONS; MULTIPLE SYSTEM ATROPHY; DOPAMINERGIC-NEURONS; CROSS-LINKING; LEWY BODIES; IN-VITRO; MEMBRANE DISRUPTION; VESICLE DOCKING</t>
  </si>
  <si>
    <t>The aggregation of alpha-synuclein (alpha-Syn) plays a critical role in the development of Parkinson's disease (PD) and other synucleinopathies. alpha-Syn, which is encoded by the SNCA gene, is a lysine-rich soluble amphipathic protein normally expressed in neurons. Located in the cytosolic domain, this protein has the ability to remodel itself in plasma membranes, where it assumes an alpha-helix conformation. However, the protein can also adopt another conformation rich in cross-beta sheets, undergoing mutations and post-translational modifications, then leading the protein to an unusual aggregation in the form of Lewy bodies (LB), which are cytoplasmic inclusions constituted predominantly by alpha-Syn. Pathogenic mechanisms affecting the structural and functional stability of alpha-Syn - such as endoplasmic reticulum stress, Golgi complex fragmentation, disfunctional protein degradation systems, aberrant interactions with mitochondrial membranes and nuclear DNA, altered cytoskeleton dynamics, disrupted neuronal plasmatic membrane, dysfunctional vesicular transport, and formation of extracellular toxic aggregates - contribute all to the pathogenic progression of PD and synucleinopathies. In this review, we describe the collective knowledge on this topic and provide an update on the critical role of alpha-Syn aggregates, both at the cellular and molecular levels, in the deregulation of organelles affecting the cellular homeostasis and leading to neuronal cell death in PD and other synucleinopathies.</t>
  </si>
  <si>
    <t>[Serratos, Iris N.] Univ Autonoma Metropolitana Iztapalapa, Dept Quim, Mexico City 09340, DF, Mexico; [Hernandez-Perez, Elizabeth; Campos, Carolina] Univ Autonoma Metropolitana Iztapalapa, Dept Ciencias Salud, Mexico City 09340, DF, Mexico; [Aschner, Michael] Albert Einstein Coll Med, Dept Mol Pharmacol, 1300 Morris Pk Ave, Bronx, NY 10461 USA; [Santamaria, Abel] SSA, Inst Nacl Neurol &amp; Neurocirugia, Lab Neurofarmacol Mol &amp; Nanotecnol, Lab Aminoacidos Excitadores, Mexico City 14269, DF, Mexico</t>
  </si>
  <si>
    <t>Universidad Autonoma Metropolitana - Mexico; Universidad Autonoma Metropolitana - Mexico; Yeshiva University; Albert Einstein College of Medicine</t>
  </si>
  <si>
    <t>Campos, C (corresponding author), Univ Autonoma Metropolitana Iztapalapa, Dept Ciencias Salud, Mexico City 09340, DF, Mexico.;Santamaria, A (corresponding author), SSA, Inst Nacl Neurol &amp; Neurocirugia, Lab Neurofarmacol Mol &amp; Nanotecnol, Lab Aminoacidos Excitadores, Mexico City 14269, DF, Mexico.</t>
  </si>
  <si>
    <t>caro@xanum.uam.mx; absada@yahoo.com</t>
  </si>
  <si>
    <t>Serratos, Iris N./E-4530-2018</t>
  </si>
  <si>
    <t>Serratos, Iris N./0000-0002-8352-2423; Santamaria, Abel/0000-0002-9874-7182</t>
  </si>
  <si>
    <t>10.1007/s12035-021-02596-3</t>
  </si>
  <si>
    <t>WOS:000715674700001</t>
  </si>
  <si>
    <t>Chen, DK; Xu, T; Wang, SB; Chang, H; Yu, T; Zhu, Y; Chen, J</t>
  </si>
  <si>
    <t>Chen, Dake; Xu, Tao; Wang, Shubin; Chang, Howard; Yu, Tao; Zhu, Yu; Chen, Jian</t>
  </si>
  <si>
    <t>Liquid Biopsy Applications in the Clinic</t>
  </si>
  <si>
    <t>CIRCULATING TUMOR-CELLS; MATERNAL PLASMA; DNA; AFFINITIES; PREDICTION; RESISTANCE; PEPTIDES; EXOSOMES; BLOOD</t>
  </si>
  <si>
    <t>The global liquid biopsy industry is expected to exceed $US5 billion by 2023. One application of liquid biopsy technology is the diagnosis of disease using biomarkers found in blood, urine, stool, saliva, and other biological samples from patients. These biomarkers could be DNA, RNA, protein, or even a cell. More recently, the use of cell-free DNA from plasma is emerging as an important minimally invasive tool for clinical diagnosis. The development of technology has increased the diversity of its application. Here, we discuss how liquid biopsies have been used in the clinic, and how personalized medicine are likely to use liquid biopsies in the near future.</t>
  </si>
  <si>
    <t>[Chen, Dake] Tongzhou Peoples Hosp, Dept Oncol, Nantong 226300, Peoples R China; [Xu, Tao] Shanghai Jiao Tong Univ, Dept Anesthesiol, Affiliated Shanghai Peoples Hosp 6, Shanghai 200233, Peoples R China; [Wang, Shubin; Zhu, Yu] Peking Univ, Dept Oncol, Shenzhen Hosp, Shenzhen, Peoples R China; [Chang, Howard; Yu, Tao] CuraCloud Corp, 999 Third Ave,Suite 700, Seattle, WA 98104 USA; [Chen, Jian] Tongzhou Peoples Hosp, Dept Orthoped, Nantong 226300, Peoples R China</t>
  </si>
  <si>
    <t>Shanghai Jiao Tong University; Peking University</t>
  </si>
  <si>
    <t>Zhu, Y (corresponding author), Peking Univ, Dept Oncol, Shenzhen Hosp, Shenzhen, Peoples R China.;Yu, T (corresponding author), CuraCloud Corp, 999 Third Ave,Suite 700, Seattle, WA 98104 USA.;Chen, J (corresponding author), Tongzhou Peoples Hosp, Dept Orthoped, Nantong 226300, Peoples R China.</t>
  </si>
  <si>
    <t>taoy@curacloudcorp.com; yuzhu5@hotmail.com; tzcj@nttzhospital.com</t>
  </si>
  <si>
    <t>Xu, Tao/0000-0001-5868-4079</t>
  </si>
  <si>
    <t>10.1007/s40291-019-00444-8</t>
  </si>
  <si>
    <t>WOS:000516282900001</t>
  </si>
  <si>
    <t>MENON, S; ISENBERG, DA</t>
  </si>
  <si>
    <t>FETAL CALF SERUM IN GROWTH-MEDIUM OBSCURES THE DETECTION OF EARLY ANTICARDIOLIPIN ANTIBODY-SECRETING CLONES</t>
  </si>
  <si>
    <t>JOURNAL OF IMMUNOLOGICAL METHODS</t>
  </si>
  <si>
    <t>MONOCLONAL ANTICARDIOLIPIN ANTIBODY; FETAL CALF SERUM; MICROVESICLE</t>
  </si>
  <si>
    <t>SYSTEMIC LUPUS-ERYTHEMATOSUS; PLASMA-MEMBRANE; DNA ANTIBODIES; THROMBOSIS; PROTEINS; COMPLEX; CELLS</t>
  </si>
  <si>
    <t>We have examined the effect of fetal calf serum (FCS) on the detection of early anticardiolipin antibody (ACL) secreting clones, using two well-established human IgG clones, LJ1 and AH2. By plating cells at 50/well and growing both clones simultaneously in standard growth (SG) medium containing 10% FCS, and in serum-free (SF) medium, we were able to measure by ELISA the total IgG and ACL levels in the supernatants. The mean OD values (x1000) against cardiolipin for both LJ1 and AH2 were significantly higher for clones grown in SF than in SG medium: 331 OD units vs. 172, and 275 OD units vs. 166 respectively (p &lt; 0.001). Importantly, the number of wells in which the OD value was &gt; 0.25 units above background was: for LJ1 in SG only 3/36 vs. 30/36 in SF; similarly, for AH2 1/36 in SG vs. 22/36 in SF. In comparison, the total IgG assay using an OD value &gt; 0.7 units above background, detected immunoglobulin secretion in all but one of the wells. We conclude that in ELISA procedures FCS in SG medium competes with solid phase cardiolipin for antibody binding. We suggest that these antibodies are binding to phospholipid from microvesicles found in FCS. We recommend that minimally 'positive' clones on testing should be re-tested and, if necessary, switched to SF medium in order to prevent such clones from being discarded prematurely.</t>
  </si>
  <si>
    <t>MENON, S (corresponding author), UCL, SCH MED,DEPT MED,DIV RHEUMATOL, BLOOMSBURY RHEUMATOL UNIT, ARTHUR STANLEY HOUSE, LONDON W1P 9PG, ENGLAND.</t>
  </si>
  <si>
    <t>Isenberg, David/0000-0001-9514-2455</t>
  </si>
  <si>
    <t>0022-1759</t>
  </si>
  <si>
    <t>10.1016/0022-1759(95)00134-V</t>
  </si>
  <si>
    <t>Biochemical Research Methods; Immunology</t>
  </si>
  <si>
    <t>WOS:A1995TA53200007</t>
  </si>
  <si>
    <t>Grad, LI; Fernando, SM; Cashman, NR</t>
  </si>
  <si>
    <t>Grad, Leslie I.; Fernando, Sarah M.; Cashman, Neil R.</t>
  </si>
  <si>
    <t>From molecule to molecule and cell to cell: Prion-like mechanisms in amyotrophic lateral sclerosis</t>
  </si>
  <si>
    <t>NEUROBIOLOGY OF DISEASE</t>
  </si>
  <si>
    <t>Amyotrophic lateral sclerosis; Propagated protein misfolding; Protein aggregation; Prion-like; Intercellular transmission; Exosomes; Superoxide dismutase 1 (SOD1); TAR DNA-binding protein 43 (TDP-43)</t>
  </si>
  <si>
    <t>FRONTOTEMPORAL LOBAR DEGENERATION; SUPEROXIDE-DISMUTASE SOD1; MOTOR-NEURON DEGENERATION; RNA-BINDING PROTEINS; ALS-LINKED SOD1; WILD-TYPE SOD1; ALPHA-SYNUCLEIN; CU,ZN-SUPEROXIDE DISMUTASE; DISEASE PROGRESSION; TARDBP MUTATIONS</t>
  </si>
  <si>
    <t>Prions, self-proliferating infectious agents consisting of misfolded protein, are most often associated with aggressive neurodegenerative diseases in animals and humans. Akin to the contiguous spread of a living pathogen, the prion paradigm provides a mechanism by which a mutant or wild-type misfolded protein can dominate pathogenesis through self-propagating protein misfolding, and subsequently spread from region to region through the central nervous system. The prion diseases, along with more common neurodegenerative disorders such as Alzheimer's disease, Parkinson's disease and the tauopathies belong to a larger group of protein misfolding disorders termed proteinopathies that feature aberrant misfolding and aggregation of specific proteins. Amyotrophic lateral sclerosis (ALS), a lethal disease characterized by progressive degeneration of motor neurons is currently understood as a classical proteinopathy; the disease is typified by the formation of inclusions consisting of aggregated protein within motor neurons that contribute to neurotoxicity. It is well established that misfolded/aggregated proteins such as SOD1 and TDP-43 contribute to the toxicity of motor neurons and play a prominent role in the pathology of ALS. Recent work has identified propagated protein misfolding properties in both mutant and wild-type SOD1, and to a lesser extent TDP-43, which may provide the molecular basis for the clinically observed contiguous spread of the disease through the neuroaxis. In this review we examine the current state of knowledge regarding the prion-like properties of proteins associated with ALS pathology as well as their possible mechanisms of transmission. (C) 2015 Published by Elsevier Inc.</t>
  </si>
  <si>
    <t>[Grad, Leslie I.; Fernando, Sarah M.; Cashman, Neil R.] Univ British Columbia, Brain Res Ctr, Dept Med Neurol, Vancouver, BC V6T 2B5, Canada</t>
  </si>
  <si>
    <t>University of British Columbia</t>
  </si>
  <si>
    <t>Cashman, NR (corresponding author), Univ British Columbia, Brain Res Ctr, Dept Med Neurol, 2211 Wesbrook Mall, Vancouver, BC V6T 2B5, Canada.</t>
  </si>
  <si>
    <t>neil.cashman@vch.ca</t>
  </si>
  <si>
    <t>Fernando, Sarah/0000-0001-8862-6830</t>
  </si>
  <si>
    <t>0969-9961</t>
  </si>
  <si>
    <t>1095-953X</t>
  </si>
  <si>
    <t>10.1016/j.nbd.2015.02.009</t>
  </si>
  <si>
    <t>WOS:000353612200023</t>
  </si>
  <si>
    <t>Fazelian-Dehkordi, K; Talaei-Khozani, T; Mesbah, SF</t>
  </si>
  <si>
    <t>Fazelian-Dehkordi, Khatereh; Talaei-Khozani, Tahereh; Mesbah A, S. Fakhroddin</t>
  </si>
  <si>
    <t>Three-dimensional in vitro maturation of rabbit oocytes enriched with sheep decellularized greater omentum</t>
  </si>
  <si>
    <t>VETERINARY MEDICINE AND SCIENCE</t>
  </si>
  <si>
    <t>decellularization; greater omentum; in vitro maturation; oocyte; rabbit</t>
  </si>
  <si>
    <t>ENDOTHELIAL GROWTH-FACTOR; GERMINAL VESICLE BREAKDOWN; DEVELOPMENTAL COMPETENCE; FOLLICLES; VIVO; NUCLEAR; ACTIVATION; EXPRESSION; RECEPTORS; DYNAMICS</t>
  </si>
  <si>
    <t>Background: To prevent ovarian hyperstimulation syndrome, in vitro maturation (IVM) allows the oocytes for infertility treatment without hormone therapy. Although many oocytes matured during IVM, some deficiencies in the culture conditions lead to inhibition of the growth and development of the cumulus cells and the oocyte nuclear and cytoplasmic maturation. Objectives: The challenge of improving the oocyte culture conditions prompted us to use greater omentum (GOM), full of growth factors and proteins, as a rich supplement to the base culture medium. Methods: Cumulus-oocyte complexes were recovered from rabbits and divided into 3D and 2D conditions cultured for 12 and 24 h. In 3D cultures, the oocytes embedded in alginate containing FBS decellularized GOM. Corresponding supplements were also added in 2D conditions-maturation of the oocytes evaluated by Aceto-Orcein, TEM, and RT-PCR for MAP2K1 and Cdk2. Results: DNA quantification, Hoechst, and H&amp;E staining confirmed cell depletion from GOM, and SEM showed the preservation of ultra-architecture after decellularization. Histochemical staining methods showed appropriate extracellular matrix preservation. EL ISA assessment showed retention of VEGF content. MTT assessment indicated decellularized GOM was non-toxic. Both Aceto-Orcein assessment and ultra-structure study of the oocytes showed that supplementation of 2D or 3D cultures with decellularized omentum promoted oocyte maturation. Expression of MAP2K1 and Cdk2 also increased in the presence of GOM. Conclusions: GOM supplementation has a beneficial impact on oocyte maturation, probably due to the presence of growth factors and proteins.</t>
  </si>
  <si>
    <t>[Fazelian-Dehkordi, Khatereh; Mesbah A, S. Fakhroddin] Shiraz Univ Med Sci, Dept Anat Sci, Shiraz Med Sch, Shiraz, Iran; [Talaei-Khozani, Tahereh] Shiraz Univ Med Sci, Shiraz Med Sch, Histomorphometry &amp; Stereol Res Ctr, Shiraz, Iran; [Talaei-Khozani, Tahereh] Shiraz Univ Med Sci, Shiraz Med Sch, Tissue Engn Lab, Dept Anat Sci, Shiraz, Iran</t>
  </si>
  <si>
    <t>Mesbah, SF (corresponding author), Shiraz Univ Med Sci, Dept Anat Sci, Shiraz Med Sch, Shiraz, Iran.</t>
  </si>
  <si>
    <t>mesbahf@sums.ac.ir</t>
  </si>
  <si>
    <t>2053-1095</t>
  </si>
  <si>
    <t>10.1002/vms3.891</t>
  </si>
  <si>
    <t>WOS:000830701800001</t>
  </si>
  <si>
    <t>Mattei, F; Andreone, S; Marone, G; Gambardella, AR; Loffredo, S; Varricchi, G; Schiavoni, G</t>
  </si>
  <si>
    <t>Birbrair, A</t>
  </si>
  <si>
    <t>Mattei, Fabrizio; Andreone, Sara; Marone, Giancarlo; Gambardella, Adriana Rosa; Loffredo, Stefania; Varricchi, Gilda; Schiavoni, Giovanna</t>
  </si>
  <si>
    <t>Eosinophils in the Tumor Microenvironment</t>
  </si>
  <si>
    <t>TUMOR MICROENVIRONMENT: HEMATOPOIETIC CELLS, PT B</t>
  </si>
  <si>
    <t>Angiogenesis; Cancer; Cationic proteins; CD8(+) T cells; Cytotoxicity; Eosinophil; Exosomes; Extracellular Traps; Immune regulation; Lymphangiogenesis; Mast cell; Mouse models; Tumor Immunity; Tumor; Microenvironment; Tumor prognostic value</t>
  </si>
  <si>
    <t>ENDOTHELIAL GROWTH-FACTOR; HUMAN MAST-CELLS; MEDIATED TUMORICIDAL ACTIVITY; ADVANCED GASTRIC-CARCINOMA; MAJOR BASIC-PROTEIN; VASCULAR-PERMEABILITY; HODGKINS-DISEASE; HYPEREOSINOPHILIC SYNDROME; AIRWAY INFLAMMATION; TISSUE EOSINOPHILIA</t>
  </si>
  <si>
    <t>Eosinophils are rare blood-circulating and tissue-infiltrating immune cells studied for decades in the context of allergic diseases and parasitic infections. Eosinophils can secrete a wide array of soluble mediators and effector molecules, with potential immunoregulatory activities in the tumor microenvironment (TME). These findings imply that these cells may play a role in cancer immunity. Despite these cells were known to infiltrate tumors since many years ago, their role in TME is gaining attention only recently. In this chapter, we will review the main biological functions of eosinophils that can be relevant within the TME. We will discuss how these cells may undergo phenotypic changes acquiring pro- or antitumoricidal properties according to the surrounding stimuli. Moreover, we will analyze canonical (i.e., degranulation) and unconventional mechanisms (i.e., DNA traps, exosome secretion) employed by eosinophils in inflammatory contexts, which can be relevant for tumor immune responses. Finally, we will review the available preclinical models that could be employed for the study of the role in vivo of eosinophils in cancer.</t>
  </si>
  <si>
    <t>[Mattei, Fabrizio; Andreone, Sara; Gambardella, Adriana Rosa; Schiavoni, Giovanna] Ist Super Sanita, Dept Oncol &amp; Mol Med, Rome, Italy; [Marone, Giancarlo] Univ Naples Federico II, Dept Publ Hlth, Naples, Italy; [Marone, Giancarlo] Monaldi Hosp Pharm, Azienda Osped Osped Colli, Naples, Italy; [Loffredo, Stefania; Varricchi, Gilda] Univ Naples Federico II, Dept Translat Med Sci, Naples, Italy; [Loffredo, Stefania; Varricchi, Gilda] Univ Naples Federico II, Ctr Basic &amp; Clin Immunol Res CISI, Naples, Italy; [Loffredo, Stefania; Varricchi, Gilda] WAO Ctr Excellence, Naples, Italy; [Loffredo, Stefania; Varricchi, Gilda] Natl Res Council CNR, Inst Expt Endocrinol &amp; Oncol G Salvatore IEOS, Naples, Italy</t>
  </si>
  <si>
    <t>Istituto Superiore di Sanita (ISS); University of Naples Federico II; University of Naples Federico II; University of Naples Federico II; Consiglio Nazionale delle Ricerche (CNR); Istituto per Endocrinologia e Oncologia Gaetano Salvatore (IEOS-CNR)</t>
  </si>
  <si>
    <t>Schiavoni, G (corresponding author), Ist Super Sanita, Dept Oncol &amp; Mol Med, Rome, Italy.;Varricchi, G (corresponding author), Univ Naples Federico II, Dept Translat Med Sci, Naples, Italy.;Varricchi, G (corresponding author), Univ Naples Federico II, Ctr Basic &amp; Clin Immunol Res CISI, Naples, Italy.;Varricchi, G (corresponding author), WAO Ctr Excellence, Naples, Italy.;Varricchi, G (corresponding author), Natl Res Council CNR, Inst Expt Endocrinol &amp; Oncol G Salvatore IEOS, Naples, Italy.</t>
  </si>
  <si>
    <t>giovanna.schiavoni@iss.it</t>
  </si>
  <si>
    <t>Schiavoni, Giovanna/K-2448-2019; Gambardella, Adriana Rosa/AAC-4543-2021; VARRICCHI, GILDA/AAB-9563-2022; Schiavoni, Giovanna/T-4418-2017; Varricchi, Gilda/A-4620-2014</t>
  </si>
  <si>
    <t>Schiavoni, Giovanna/0000-0001-9135-0556; Gambardella, Adriana Rosa/0000-0002-5335-8650; VARRICCHI, GILDA/0000-0002-9285-4657; Schiavoni, Giovanna/0000-0001-9135-0556; Andreone, Sara/0000-0001-7265-0465</t>
  </si>
  <si>
    <t>978-3-030-49270-0; 978-3-030-49269-4</t>
  </si>
  <si>
    <t>10.1007/978-3-030-49270-0_1</t>
  </si>
  <si>
    <t>10.1007/978-3-030-49270-0</t>
  </si>
  <si>
    <t>WOS:000595855600002</t>
  </si>
  <si>
    <t>Ramos, H; Valdivieso, E; Gamargo, M; Dagger, F; Cohen, BE</t>
  </si>
  <si>
    <t>Amphotericin B kills unicellular leishmanias by forming aqueous pores permeable to small cations and anions</t>
  </si>
  <si>
    <t>JOURNAL OF MEMBRANE BIOLOGY</t>
  </si>
  <si>
    <t>amphotericin B; permeability; anions; aqueous pores; Leishmania</t>
  </si>
  <si>
    <t>PLASMA-MEMBRANE VESICLES; POLYENE ANTIBIOTICS; MAJOR PROMASTIGOTES; HYPOOSMOTIC STRESS; ERYTHROCYTES; SELECTIVITY; CHANNELS; DAMAGE; SHAPE</t>
  </si>
  <si>
    <t>The polyene antibiotic amphotericin B (AmB) is known to form two types of ionic channels across sterol-containing liposomes, depending on its concentration and time after mixing (Cohen, 1992). In the present study, it is shown that AmB only kills unicellular Leishmania promastigotes (LPs) when aqueous pores permeable to small cations and anions are formed. Changes of membrane potential across ergosterol-containing liposomes and LPs were followed by fluorescence changes of 3,3' dipropylthiadicarbocyanine (DiSC(3)(5)). In KCl-loaded liposomes suspended in an iso-osmotic sucrose solution, low AmB concentrations (less than or equal to 0.1 mu M) induced a polarization potential, indicating KC leakage, but no movement of cations and anions was allowed until AmB concentrations greater than 0.1 mu M were added. In agreement with these data, it was found that AmB altered the negative membrane potential held across LPs in a manner consistent with the differential cation/anion selectivity exhibited by the channels formed in liposomes. Thus, LPs suspended in an iso-osmotic sucrose solution did not exhibit any AmB-induced membrane depolarization effect brought about by efflux of anions until 0.1 mu M or higher AmB concentrations were added. By contrast, LPs suspended in an iso-osmotic NaCl solution and exposed to 0.05 mu M AmB exhibited a nearly total collapse of the negative membrane potential, indicating Na+ entry into the cells. The concentration dependence of the AmB-induced permeability to different salts was also measured across vesicles derived from the plasma membrane of leishmanias (LMVs), by using a rapid mixing technique. At con centrations above 0.1 mu M, AmB induced the formation of aqueous pores across LMVs with a positive cooperativity, yielding Hill coefficients between 2 to 3. Measured anion selectivity across such aqueous pores followed the sequence: SCN &gt; NO3 &gt; Cl &gt; I &gt; Br &gt; acetate (SO42- being impermeable). Cell killing by AmB was followed by fluorescence changes of the DNA-binding compound ethidium bromide (EB). At low concentrations (less than or equal to 0.1 mu M), AmB was found to be nonlethal against LPs but, above this concentration, leishmanias were rapidly killed. The rate and extent of such an effect were found to be dependent on the type of cation and anion present in the external aqueous solution. For both NH4+ and Na+ salts, the measured rank order of AmB cell killing followed the same sequence that was determined for AmB-induced salt permeation across LMVs. Further, replacement of either extracellular Na+ by choline or Cl- by SO42-, or its partial substitution by sucrose, in iso-osmotic conditions, led to a complete inhibition of the killing effect exerted by otherwise lethal AmB concentrations. Finally, it was shown that tetraethylammonium (TEA(+)), an organic cation that is known to block AmB-induced salt permeation across LMVs was able to retard the time lag observed for EB incorporation across LPs, indicating that this parameter can be taken to represent the time taken for salt accumulation inside the parasites. The present results thus indicate clearly that low AmB concentrations (less than or equal to 0.1 mu M) were able to form across LPs, cation channels that collapsed the parasite membrane potential but are not lytic. At high concentrations (less than or equal to 0.1 mu M), a salt influx via the aqueous pores formed by the antibiotic was followed by osmotic changes leading to cell lysis. This last stage is supported by electron microscopy observations of the changes of parasite morphology immediately upon addition of AmB, which indicated that the typical elongated promastigote cell forms became rounded and the flagella swells and round up. The present work is the first demonstration of the in vitro sensitivity of Leishmania promastigotes to osmotic lysis by AmB.</t>
  </si>
  <si>
    <t>CENT UNIV VENEZUELA,FAC SCI,INST EXPTL BIOL,CARACAS,VENEZUELA</t>
  </si>
  <si>
    <t>University of Central Venezuela</t>
  </si>
  <si>
    <t>VALDIVIESO, ELIZABETH/0000-0003-0059-5019</t>
  </si>
  <si>
    <t>0022-2631</t>
  </si>
  <si>
    <t>10.1007/s002329900086</t>
  </si>
  <si>
    <t>Biochemistry &amp; Molecular Biology; Cell Biology; Physiology</t>
  </si>
  <si>
    <t>WOS:A1996UW68000007</t>
  </si>
  <si>
    <t>Li, LY; Zuo, XX; Liu, D; Luo, H; Zhang, HL; Peng, QL; Wang, GC; Zhu, HL</t>
  </si>
  <si>
    <t>Li, Liya; Zuo, Xiaoxia; Liu, Di; Luo, Hui; Zhang, Huali; Peng, Qinglin; Wang, Guochun; Zhu, Honglin</t>
  </si>
  <si>
    <t>Plasma exosomal RNAs have potential as both clinical biomarkers and therapeutic targets of dermatomyositis</t>
  </si>
  <si>
    <t>RHEUMATOLOGY</t>
  </si>
  <si>
    <t>dermatomyositis; plasma exosome; mRNA; miRNA; lncRNA; sequencing; bioinformatics analysis; autophagy; biomarkers</t>
  </si>
  <si>
    <t>IDIOPATHIC INFLAMMATORY MYOPATHIES; PATHOGENESIS; CLASSIFICATION; INTERFERONS; CONTRIBUTE; AUTOPHAGY; CELLS; SERUM</t>
  </si>
  <si>
    <t>Objectives DM is characterized by skeletal muscle weakness and cutaneous manifestations. Plasma exosomes (EXOs) contain proteins, RNAs, DNA, and lipid cargoes and are transferred among cells. If thoroughly investigated, plasma EXO RNAs could potentially improve our understanding of DM pathogenesis. We aimed to identify potential new biomarkers and therapeutic targets for DM. Methods The RNA (mRNA, miRNA and lncRNA) profiles of plasma EXOs were evaluated by sequencing on the Illumina HiSeq 3000 platform. Differentially expressed (DE) RNAs and bioinformatic analyses were performed. Human skeletal muscle myoblasts cells (HSkMCs) were stimulated with plasma EXOs, rapamycin or IFN-beta. Real-time PCR and western blot analysis were used to detect related genes and proteins. Results A total of 689 DE mRNAs, 53 DE miRNAs and 452 DE lncRNAs were identified in DM plasma EXOs. Bioinformatic analysis inferred that plasma EXOs were secreted mainly by CD8+ T cells, regulatory T cells and natural killer cells. The DE miRNAs participated in the autophagy, TGF-beta and Wnt signalling pathways. Three DE miRNAs (hsa-miR-125a-3p, hsa-miR-1246 and hsa-miR-3614-5p) were correlated with serological indices, organ involvement and myositis-specific autoantibodies. The DE lncRNAs participated in autophagy, IFN-beta production and mTOR signalling. DM plasma EXOs can induce autophagy in HSkMCs by regulating three miRNAs (hsa-miR-125a-3p, hsa-miR-1246 and hsa-miR-3614-5p) and three lncRNAs (ENST00000584157.1, ENST00000523380.1 and ENST00000560054.1), which formed an autophagy network, playing a role in muscle damage. Conclusion Our study provides an overview of distinct RNA profiles in DM plasma EXOs, and verified some miRNAs as potential biomarkers and therapeutic targets. The findings provide important clues for more in-depth explorations of plasma EXOs in DM.</t>
  </si>
  <si>
    <t>[Li, Liya; Zuo, Xiaoxia; Liu, Di; Luo, Hui; Zhu, Honglin] Cent South Univ, Dept Rheumatol &amp; Immunol, Xiangya Hosp, Xiangya Rd 87, Changsha 410008, Hunan, Peoples R China; [Li, Liya] Cent South Univ, Xiangya Hosp 3, Dept Rheumatol &amp; Immunol, Changsha, Hunan, Peoples R China; [Zuo, Xiaoxia; Luo, Hui; Zhu, Honglin] Xiangya Hosp, Prov Clin Res Ctr Rheumat &amp; Immunol Dis, Changsha, Hunan, Peoples R China; [Zuo, Xiaoxia; Luo, Hui; Zhu, Honglin] Xiangya Hosp, Natl Clin Res Ctr Geriatr Disorders, Changsha, Hunan, Peoples R China; [Zhang, Huali] Cent South Univ, Xiangya Sch Med, Dept Pathophysiol, Changsha, Hunan, Peoples R China; [Peng, Qinglin; Wang, Guochun] China Japan Friendship Hosp, Dept Rheumatol, Beijing, Peoples R China</t>
  </si>
  <si>
    <t>Central South University; Central South University; Central South University; Central South University; Central South University; China-Japan Friendship Hospital</t>
  </si>
  <si>
    <t>Zhu, HL (corresponding author), Cent South Univ, Dept Rheumatol &amp; Immunol, Xiangya Hosp, Xiangya Rd 87, Changsha 410008, Hunan, Peoples R China.</t>
  </si>
  <si>
    <t>zhuhonglin1988@hotmail.com</t>
  </si>
  <si>
    <t>1462-0324</t>
  </si>
  <si>
    <t>1462-0332</t>
  </si>
  <si>
    <t>10.1093/rheumatology/keab753</t>
  </si>
  <si>
    <t>WOS:000789281000001</t>
  </si>
  <si>
    <t>Huntosova, V; Stroffekova, K; Wagnieres, G; Novotova, M; Nichtova, Z; Miskovsky, P</t>
  </si>
  <si>
    <t>Huntosova, Veronika; Stroffekova, Katarina; Wagnieres, Georges; Novotova, Marta; Nichtova, Zuzana; Miskovsky, Pavol</t>
  </si>
  <si>
    <t>Endosomes: guardians against [Ru(Phen)(3)](2+) photo-action in endothelial cells during in vivo pO(2) detection?</t>
  </si>
  <si>
    <t>METALLOMICS</t>
  </si>
  <si>
    <t>RUTHENIUM(II) POLYPYRIDYL COMPLEXES; TRANSITION-METAL-COMPLEXES; PHOTODYNAMIC THERAPY; OXYGEN DISTRIBUTION; LIVE CELLS; DNA; TRANSPORT; PROBES; VISUALIZATION; MITOCHONDRIA</t>
  </si>
  <si>
    <t>Phototoxicity is a side-effect of in vitro and in vivo oxygen partial pressure (pO(2)) detection by luminescence lifetime measurement methods. Dichlorotris(1,10-phenanthroline)-ruthenium(II) hydrate ([Ru(Phen)(3)](2+)) is a water soluble pO(2) probe associated with low phototoxicity, which we investigated in vivo in the chick's chorioallantoic membrane (CAM) after intravenous or topical administration and in vitro in normal human coronary artery endothelial cells (HCAEC). In vivo, the level of intravenously injected [Ru(Phen)(3)](2+) decreases within several minutes, whereas the maximum of its biodistribution is observed during the first 2 h after topical application. Both routes are followed by convergence to almost identical intra/extra-vascular levels of [Ru(Phen)(3)](2+). In vitro, we observed that [Ru(Phen)(3)](2+) enters cells via endocytosis and is then redistributed. None of the studied conditions induced modification of lysosomal or mitochondrial membranes without illumination. No nuclear accumulation was observed. Without illumination [Ru(Phen)(3)](2+) induces changes in endoplasmic reticulum (ER)-to-Golgi transport. The phototoxic effect of [Ru(Phen)(3)](2+) leads to more marked ultrastructural changes than administration of [Ru(Phen)(3)](2+) only (in the dark). These could lead to disruption of Ca2+ homeostasis accompanied by mitochondrial changes or to changes in secretory pathways. In conclusion, we have demonstrated that the intravenous injection of [Ru(Phen)(3)](2+) into the CAM model mostly leads to extracellular localization of [Ru(Phen)(3)](2+), while its topical application induces intracellular localization. We have shown in vivo that [Ru(Phen)(3)](2+) induces minimal photo-damage after illumination with light doses larger by two orders of magnitude than those used for pO(2) measurements. This low phototoxicity is due to the fact that [Ru(Phen)(3)](2+) enters endothelial cells via endocytosis and is then redistributed towards peroxisomes and other endosomal and secretory vesicles before it is eliminated via exocytosis. Cellular response to [Ru(Phen)(3)](2+), survival or death, depends on its intracellular concentration and oxidation-reduction properties.</t>
  </si>
  <si>
    <t>[Huntosova, Veronika; Miskovsky, Pavol] Safarik Univ, Fac Sci, Ctr Interdisciplinary Biosci, Kosice 04154, Slovakia; [Stroffekova, Katarina; Miskovsky, Pavol] Safarik Univ, Fac Sci, Dept Biophys, Kosice 04154, Slovakia; [Wagnieres, Georges] Swiss Fed Inst Technol, Inst Chem Sci &amp; Engn, Lab Organometall &amp; Med Chem, CH-1015 Lausanne, Switzerland; [Novotova, Marta; Nichtova, Zuzana] Slovak Acad Sci, Inst Mol Physiol &amp; Genet, Dept Muscle Cell Res, Bratislava 83334, Slovakia; [Nichtova, Zuzana] Comenius Univ, Fac Pharm, Dept Pharmacol &amp; Toxicol, Bratislava, Slovakia</t>
  </si>
  <si>
    <t>University of Pavol Jozef Safarik Kosice; University of Pavol Jozef Safarik Kosice; Ecole Polytechnique Federale de Lausanne; Slovak Academy of Sciences; Comenius University Bratislava</t>
  </si>
  <si>
    <t>Huntosova, V (corresponding author), Safarik Univ, Fac Sci, Ctr Interdisciplinary Biosci, Jesenna 5, Kosice 04154, Slovakia.</t>
  </si>
  <si>
    <t>veronika.huntosova@upjs.sk</t>
  </si>
  <si>
    <t>Huntosova, Veronika/AAX-4977-2021; Štroffeková, Katarína/B-1391-2017</t>
  </si>
  <si>
    <t>Huntosova, Veronika/0000-0003-0042-2097; Štroffeková, Katarína/0000-0002-1877-2397; Wagnieres, Georges/0000-0002-9082-3099</t>
  </si>
  <si>
    <t>1756-5901</t>
  </si>
  <si>
    <t>1756-591X</t>
  </si>
  <si>
    <t>10.1039/c4mt00190g</t>
  </si>
  <si>
    <t>WOS:000345455900011</t>
  </si>
  <si>
    <t>Walters, HE; Cox, LS</t>
  </si>
  <si>
    <t>Walters, Hannah E.; Cox, Lynne S.</t>
  </si>
  <si>
    <t>Intercellular Transfer of Mitochondria between Senescent Cells through Cytoskeleton-Supported Intercellular Bridges Requires mTOR and CDC42 Signalling</t>
  </si>
  <si>
    <t>TUNNELING NANOTUBES; MEMBRANE NANOTUBES; CELLULAR SENESCENCE; ALPHA-SYNUCLEIN; TRAFFICKING</t>
  </si>
  <si>
    <t>Cellular senescence is a state of irreversible cell proliferation arrest induced by various stressors including telomere attrition, DNA damage, and oncogene induction. While beneficial as an acute response to stress, the accumulation of senescent cells with increasing age is thought to contribute adversely to the development of cancer and a number of other age-related diseases, including neurodegenerative diseases for which there are currently no effective disease-modifying therapies. Non-cell-autonomous effects of senescent cells have been suggested to arise through the SASP, a wide variety of proinflammatory cytokines, chemokines, and exosomes secreted by senescent cells. Here, we report an additional means of cell communication utilised by senescent cells via large numbers of membrane-bound intercellular bridges-or tunnelling nanotubes (TNTs)-containing the cytoskeletal components actin and tubulin, which form direct physical connections between cells. We observe the presence of mitochondria in these TNTs and show organelle transfer through the TNTs to adjacent cells. While transport of individual mitochondria along single TNTs appears by time-lapse studies to be unidirectional, we show by differentially labelled co-culture experiments that organelle transfer through TNTs can occur between different cells of equivalent cell age, but that senescent cells, rather than proliferating cells, appear to be predominant mitochondrial donors. Using small molecule inhibitors, we demonstrate that senescent cell TNTs are dependent on signalling through the mTOR pathway, which we further show is mediated at least in part through the downstream actin-cytoskeleton regulatory factor CDC42. These findings have significant implications for the development of senomodifying therapies, as they highlight the need to account for local direct cell-cell contacts as well as the SASP in order to treat cancer and diseases of ageing in which senescence is a key factor.</t>
  </si>
  <si>
    <t>[Walters, Hannah E.; Cox, Lynne S.] Univ Oxford, Dept Biochem, South Parks Rd, Oxford OX1 3QU, England; [Walters, Hannah E.] Tech Univ Dresden, CRTD Ctr Regenerat Therapies Dresden, Dresden, Germany</t>
  </si>
  <si>
    <t>University of Oxford; Technische Universitat Dresden</t>
  </si>
  <si>
    <t>Cox, LS (corresponding author), Univ Oxford, Dept Biochem, South Parks Rd, Oxford OX1 3QU, England.</t>
  </si>
  <si>
    <t>lynne.cox@bioch.ox.ac.uk</t>
  </si>
  <si>
    <t>Cox, Lynne/0000-0002-5306-285X; Walters, Hannah/0000-0002-1258-2963</t>
  </si>
  <si>
    <t>JUL 31</t>
  </si>
  <si>
    <t>10.1155/2021/6697861</t>
  </si>
  <si>
    <t>WOS:000684846300007</t>
  </si>
  <si>
    <t>Yang, X; Zhu, SM; Li, L; Zhang, L; Xian, S; Wang, YQ; Cheng, YX</t>
  </si>
  <si>
    <t>Yang, Xiao; Zhu, Shaoming; Li, Li; Zhang, Li; Xian, Shu; Wang, Yanqing; Cheng, Yanxiang</t>
  </si>
  <si>
    <t>Identification of differentially expressed genes and signaling pathways in ovarian cancer by integrated bioinformatics analysis</t>
  </si>
  <si>
    <t>ovarian cancer; GEO data; integrated bioinformatics; differentially expressed genes</t>
  </si>
  <si>
    <t>Background: The mortality rate associated with ovarian cancer ranks the highest among gynecological malignancies. However, the cause and underlying molecular events of ovarian cancer are not clear. Here, we applied integrated bioinformatics to identify key pathogenic genes involved in ovarian cancer and reveal potential molecular mechanisms. Results: The expression profiles of GDS3592, GSE54388, and GSE66957 were downloaded from the Gene Expression Omnibus (GEO) database, which contained 115 samples, including 85 cases of ovarian cancer samples and 30 cases of normal ovarian samples. The three microarray datasets were integrated to obtain differentially expressed genes (DEGs) and were deeply analyzed by bioinformatics methods. The gene ontology (GO) and Kyoto Encyclopedia of Genes and Genomes (KEGG) pathway enrichments of DEGs were performed by DAVID and KOBAS online analyses, respectively. The protein-protein interaction (PPI) networks of the DEGs were constructed from the STRING database. A total of 190 DEGs were identified in the three GEO datasets, of which 99 genes were upregulated and 91 genes were downregulated. GO analysis showed that the biological functions of DEGs focused primarily on regulating cell proliferation, adhesion, and differentiation and intracellular signal cascades. The main cellular components include cell membranes, exosomes, the cytoskeleton, and the extracellular matrix. The molecular functions include growth factor activity, protein kinase regulation, DNA binding, and oxygen transport activity. KEGG pathway analysis showed that these DEGs were mainly involved in the Wnt signaling pathway, amino acid metabolism, and the tumor signaling pathway. The 17 most closely related genes among DEGs were identified from the PPI network. Conclusion: This study indicates that screening for DEGs and pathways in ovarian cancer using integrated bioinformatics analyses could help us understand the molecular mechanism underlying the development of ovarian cancer, be of clinical significance for the early diagnosis and prevention of ovarian cancer, and provide effective targets for the treatment of ovarian cancer.</t>
  </si>
  <si>
    <t>[Yang, Xiao; Zhang, Li; Xian, Shu; Wang, Yanqing; Cheng, Yanxiang] Wuhan Univ, Renmin Hosp, Dept Obstet &amp; Gynecol, 99 Zhang Zhidong Rd, Wuhan 430060, Hubei, Peoples R China; [Zhu, Shaoming] Wuhan Univ, Renmin Hosp, Dept Urol, Wuhan, Hubei, Peoples R China; [Li, Li] Wuhan Univ, Dept Pharmacol, Hlth Sci Ctr, Wuhan, Hubei, Peoples R China</t>
  </si>
  <si>
    <t>Cheng, YX (corresponding author), Wuhan Univ, Renmin Hosp, Dept Obstet &amp; Gynecol, 99 Zhang Zhidong Rd, Wuhan 430060, Hubei, Peoples R China.</t>
  </si>
  <si>
    <t>dryx5200@sina.com</t>
  </si>
  <si>
    <t>10.2147/OTT.S152238</t>
  </si>
  <si>
    <t>WOS:000428058000004</t>
  </si>
  <si>
    <t>Li, W; Cai, CY; Zeng, JJ</t>
  </si>
  <si>
    <t>Li, Wei; Cai, Cui-Yun; Zeng, Jun-Jie</t>
  </si>
  <si>
    <t>Mesenchymal Stem Cell-Derived Exosome-Containing Linc00632 Regulates GATA Binding Protein-3 Expression in Allergic Rhinitis by Interacting with Enhancer of Zeste Homolog 2 to Inhibit T Helper Cell 2 Differentiation</t>
  </si>
  <si>
    <t>Linc00632; Enhancer of zeste homolog 2; GATA binding protein-3; Allergic rhinitis; Exosome</t>
  </si>
  <si>
    <t>Background: Allergic rhinitis (AR) is regarded as one of the most common allergic disease of nasal mucosa affecting many people worldwide. Long noncoding RNAs are critical modulators affecting AR progression, whereas the pathogenesis of Linc00632 in the development of AR remains unclear. Methods: T helper cell 2 (Th2) differentiation of CD4(+) T cells was measured by flow cytometry. Real-time quantitative PCR assay and Western blot were applied to determine the levels of RNA and proteins, respectively. The interleukin (IL)-4 and IL-13 levels were quantitatively assessed through ELISA. Subcellular fractionation was conducted to detect the cellular localization of Linc00632. RNA immunoprecipitation experiment was employed to validate the interaction relationship between Linc00632 and enhancer of zeste homolog 2 (EZH2). Chromatin immunoprecipitation assay was used for determination of protein-DNA interactions. Results: The expression of Linc00632 was significantly decreased by 4 times in nasal mucosa of AR patients. Human umbilical cord mesenchymal stem cell-derived exosome dramatically inhibited Th2 differentiation, decreased GATA binding protein-3 (GATA-3) protein expressions and IL-4 levels by about 2 times in CD4(+) T cells. Knockdown Linc00632 partially reversed the effects of exosomes on Th2 differentiation, IL-4 and IL-13 levels, and GATA-3 expression. Linc00632 overexpression could suppress Th2 differentiation of CD4(+) T cells, reduced IL-4 and IL-13 levels, and GATA-3 expressions roughly 2 times. Linc00632 repressed the expression of GATA-3 by interacting with EZH2. GATA-3 overexpression partially reversed the effect of Linc00632 on Th2 differentiation of CD4(+) T cells. Conclusion: Linc00632 acted as a suppression factor in Th2 differentiation by inhibiting the expression of GATA-3 via interacting with EZH2, which might provide a new insight for understanding the action mechanism of Linc00632 in AR.</t>
  </si>
  <si>
    <t>[Li, Wei; Cai, Cui-Yun; Zeng, Jun-Jie] Cent South Univ, Xiangya Hosp 2, Dept Otolaryngol Head &amp; Neck Surg, Changsha, Hunan, Peoples R China</t>
  </si>
  <si>
    <t>Central South University</t>
  </si>
  <si>
    <t>Zeng, JJ (corresponding author), Cent South Univ, Xiangya Hosp 2, Dept Otolaryngol Head &amp; Neck Surg, Changsha, Hunan, Peoples R China.</t>
  </si>
  <si>
    <t>zengjunjie@csu.edu.cn</t>
  </si>
  <si>
    <t>10.1159/000518950</t>
  </si>
  <si>
    <t>WOS:000698082700001</t>
  </si>
  <si>
    <t>Wu, H; Zhou, JC; Zeng, C; Wu, D; Mu, ZM; Chen, BK; Xie, YC; Ye, YW; Liu, JX</t>
  </si>
  <si>
    <t>Wu, Hao; Zhou, Jingcheng; Zeng, Chao; Wu, Da; Mu, Zhimin; Chen, Baokun; Xie, Yuancai; Ye, Yiwang; Liu, Jixian</t>
  </si>
  <si>
    <t>Curcumin increases exosomal TCF21 thus suppressing exosome-induced lung cancer</t>
  </si>
  <si>
    <t>curcumin; TCF21; DNMT1; exosome; lung cancer</t>
  </si>
  <si>
    <t>CANDIDATE BIOMARKER TCF21; STEM-CELLS; METHYLATION; DELIVERY; GENE; DNA; PROLIFERATION</t>
  </si>
  <si>
    <t>Curcumin is a novel drug for lung cancer treatment. However, the mechanism underlying the anti-tumor effect of curcumin remains elusive. Previous evidences indicated that, the methylating transferase DNMT1 is downregulated by curcumin, and the transcription factor 21 (TCF21) is suppressed by DNMT1. We hereby attempt to elucidate the correlation between curcumin treatment and TCF21 expression. Exosomes derived from curcumin-pretreated H1299 cells were used to treat BEAS-2B cells, which induced proliferation, colony formation and migration of BEAS-2B cells. An increase in TCF21 expression in response to curcumin was also seen, as revealed by real-time PCR (RT-PCR) and western blot. Analysis using the GEO database (access #GSE21210) indicated that a positive correlation existed between TCF21 levels and lung cancer patient survival. TCF21 overexpression and knockdown was introduced to H1299 cells through lentiviral system, which led to suppression and promotion of tumor growth, respectively. We also demonstrated that DNMT1 expression was downregulated by curcumin. Therefore, curcumin exerts its anti-cancer function by downregulating DNMT1, thereby upregulating TCF21.</t>
  </si>
  <si>
    <t>[Wu, Hao; Zhou, Jingcheng; Zeng, Chao; Wu, Da; Mu, Zhimin; Chen, Baokun; Xie, Yuancai; Ye, Yiwang; Liu, Jixian] Peking Univ, Shenzhen Hosp, Dept Thorac Surg, Shenzhen 518036, Guangdong, Peoples R China</t>
  </si>
  <si>
    <t>Wu, H (corresponding author), Peking Univ, Shenzhen Hosp, Dept Thorac Surg, Shenzhen 518036, Guangdong, Peoples R China.</t>
  </si>
  <si>
    <t>haowu-dr@hotmail.com; jixianliudr@hotmail.com</t>
  </si>
  <si>
    <t>Zhou, Jingcheng/AAE-3502-2019; Zhou, Jingcheng/AAV-3904-2020</t>
  </si>
  <si>
    <t>Zhou, Jingcheng/0000-0002-6226-5667</t>
  </si>
  <si>
    <t>DEC 27</t>
  </si>
  <si>
    <t>10.18632/oncotarget.13499</t>
  </si>
  <si>
    <t>WOS:000391422500113</t>
  </si>
  <si>
    <t>Ushigusa, T; Koyama, Y; Ito, T; Watanabe, K; Chambers, JK; Hasegawa, A; Uchida, K; Kanegi, R; Hatoya, S; Inaba, T; Sugiura, K</t>
  </si>
  <si>
    <t>Ushigusa, Takahiro; Koyama, Yoshiyuki; Ito, Tomoko; Watanabe, Kenichi; Chambers, James K.; Hasegawa, Aya; Uchida, Kazuyuki; Kanegi, Ryoji; Hatoya, Shingo; Inaba, Toshio; Sugiura, Kikuya</t>
  </si>
  <si>
    <t>Innate immunity mediated by dendritic cells/macrophages plays a central role in the early period in tumor treatment using gene of Mycobacterium tuberculosis antigen</t>
  </si>
  <si>
    <t>JOURNAL OF VETERINARY MEDICAL SCIENCE</t>
  </si>
  <si>
    <t>dendritic cells/macrophages; early secretory antigenic target-6; gene therapy; innate immunity; tumor</t>
  </si>
  <si>
    <t>CELLS; MACROPHAGES; EXOSOMES; THERAPY; PLASMID; ESAT-6; SECRETION; STRATEGY; VACCINE</t>
  </si>
  <si>
    <t>By using a complex of DNA, polyethylenimine and chondroitin sulfate, the in vivo transfection of early secretory antigenic target-6 (ESAT-6) gene into tumor cells was found to cause significant suppression of the tumor growth. In order to apply the method in clinical cancer treatment in dogs and cats, mechanisms underlying the suppressive effects were investigated in a tumor-bearing mouse model. The transfection efficiency was only about 10%, but the transfection of ESAT-6 DNA nevertheless induced systemic immune responses against ESAT-6. By triple injection of ESAT-6 DNA at three day intervals, the tumor was significantly reduced and almost disappeared by 5 days after the start of treatment, and did not increase for more than 15 days after the final treatment. In the immunohistochemistry, a larger number of dendritic cells (DCs)/macrophages expressing ionized calcium-binding adapter molecule 1 and CD3(+) T cells was observed in tumors treated with ESAT-6 DNA, and their population further increased significantly by day 5. Moreover, the amount of tumor necrosis factor, which is an apoptosis-inducing factor produced mainly by DCs/macrophages, was greater in the ESAT-6 DNA treated tumors than in controls, and increased with repeat of the treatment. These results indicate that in vivo transfection of ESAT-6 DNA into tumor cells elicits significant inhibition of tumor growth by inducing potent activity of innate immunity mediated by DCs/macrophages, which may be followed by adaptive immunity against tumor associated antigens, elicited by the costimulation with ESAT-6 antigen.</t>
  </si>
  <si>
    <t>[Ushigusa, Takahiro; Koyama, Yoshiyuki; Ito, Tomoko; Hasegawa, Aya; Kanegi, Ryoji; Hatoya, Shingo; Inaba, Toshio; Sugiura, Kikuya] Osaka Prefecture Univ, Grad Sch Life &amp; Environm Sci, Dept Adv Pathobiol, Izumisano, Osaka 5988531, Japan; [Ushigusa, Takahiro] Anim Regerat Med Ctr Hosp, Naka Ku, Yokohama, Kanagawa 2310033, Japan; [Koyama, Yoshiyuki; Ito, Tomoko] Shin Yamanote Hosp, Japan AntiTB Assoc, Tokyo 1890021, Japan; [Watanabe, Kenichi; Chambers, James K.; Uchida, Kazuyuki] Univ Tokyo, Grad Sch Agr &amp; Life Sci, Dept Vet Pathol, Bunyo Ku, Tokyo 1135657, Japan</t>
  </si>
  <si>
    <t>Osaka Metropolitan University; University of Tokyo</t>
  </si>
  <si>
    <t>Sugiura, K (corresponding author), Osaka Prefecture Univ, Grad Sch Life &amp; Environm Sci, Dept Adv Pathobiol, Izumisano, Osaka 5988531, Japan.</t>
  </si>
  <si>
    <t>sugiura@vet.osakafu-u.ac.jp</t>
  </si>
  <si>
    <t>Hatoya, Shingo/ABE-7060-2020; Hatoya, Shingo/ABE-5457-2020</t>
  </si>
  <si>
    <t>Hatoya, Shingo/0000-0001-5944-1394; Hatoya, Shingo/0000-0001-5944-1394; Chambers, James/0000-0001-5273-7221</t>
  </si>
  <si>
    <t>0916-7250</t>
  </si>
  <si>
    <t>1347-7439</t>
  </si>
  <si>
    <t>10.1292/jvms.17-0466</t>
  </si>
  <si>
    <t>WOS:000426479100001</t>
  </si>
  <si>
    <t>Clifton, VL; Stark, MJ; Osei-Kumah, A; Hodyl, NA</t>
  </si>
  <si>
    <t>Clifton, V. L.; Stark, M. J.; Osei-Kumah, A.; Hodyl, N. A.</t>
  </si>
  <si>
    <t>Review: The feto-placental unit, pregnancy pathology and impact on long term maternal health</t>
  </si>
  <si>
    <t>Pregnancy; Maternal physiology; Adaptations; Placenta; Sex-specific differences</t>
  </si>
  <si>
    <t>CORONARY-HEART-DISEASE; CARDIOVASCULAR-DISEASE; ANTIANGIOGENIC FACTORS; AUTOIMMUNE-DISEASE; FETAL DNA; PLACENTAL MICROPARTICLES; TYROSINE KINASE-1; SOLUBLE ENDOGLIN; RISK-FACTORS; PREECLAMPSIA</t>
  </si>
  <si>
    <t>Pregnancy induces a number of alterations to maternal physiology to accommodate the increased demands made by the developing fetus and placenta. These alterations appear at least in part to be driven by products derived from the feto-placental unit, including microchimeric cells, as well as placental exosomes and microparticles, inducing changes to maternal physiology both during pregnancy and beyond. Further, increasing evidence suggests that some of these alterations are dependent on the sex of the fetus. Pre-eclampsia and asthma represent two common pregnancy complications that have provided valuable insight into how the feto-placental unit influences maternal physiology in a sex-specific manner. Pregnancy-induced alterations in maternal physiology may expose pre-existing subclinical pathologies and provide insight into future maternal health and disease. While most pregnancy-induced alterations to the maternal system are reversed following delivery, some can persist after parturition leading to cardiovascular, metabolic and autoimmune disease and increased risk of early mortality. (C) 2012 Published by IFPA and Elsevier Ltd.</t>
  </si>
  <si>
    <t>[Clifton, V. L.; Stark, M. J.; Osei-Kumah, A.; Hodyl, N. A.] Univ Adelaide, Robinson Inst, Adelaide, SA, Australia</t>
  </si>
  <si>
    <t>Robinson Research Institute; University of Adelaide</t>
  </si>
  <si>
    <t>Clifton, VL (corresponding author), Univ Adelaide, Robinson Inst, Lyell McEwin Hosp, Haydown Rd, Elizabeth Vale, SA 5112, Australia.</t>
  </si>
  <si>
    <t>Vicki.clifton@adelaide.edu.au; nicolette.hodyl@adelaide.edu.au</t>
  </si>
  <si>
    <t>Clifton, Vicki/A-1445-2012; Clifton, Vicki/AAV-2749-2021</t>
  </si>
  <si>
    <t>Clifton, Vicki/0000-0002-4892-6748; Clifton, Vicki/0000-0002-4892-6748</t>
  </si>
  <si>
    <t>A</t>
  </si>
  <si>
    <t>S37</t>
  </si>
  <si>
    <t>S41</t>
  </si>
  <si>
    <t>10.1016/j.placenta.2011.11.005</t>
  </si>
  <si>
    <t>WOS:000301868000009</t>
  </si>
  <si>
    <t>Pikkarainen, T; Nurmi, T; Sasaki, T; Bergmann, U; Vainio, S</t>
  </si>
  <si>
    <t>Pikkarainen, Timo; Nurmi, Tuomas; Sasaki, Takako; Bergmann, Ulrich; Vainio, Seppo</t>
  </si>
  <si>
    <t>Role of the extracellular matrix-located Mac-2 binding protein as an interactor of the Wnt proteins</t>
  </si>
  <si>
    <t>Wnt; Mac-2 binding protein; Extracellular matrix; Protein-protein interaction</t>
  </si>
  <si>
    <t>STRUCTURAL BASIS; LGALS3BP; LIGANDS; 90K</t>
  </si>
  <si>
    <t>The Wnt proteins constitute a conserved family of secreted palmitoleate-containing signaling proteins that play important roles in development and tissue homeostasis. Their hydrophobic nature has raised the question of how the proteins are transported outside the cells. Accumulating evidence suggests that several different mechanisms, including transport by lipoprotein particles and exosomes, may contribute to this process. Here, we expressed epitope-tagged Wnt4 in HEK293 cells, and identified Mac-2 binding protein (Mac-2BP) as its binding partner in the serum-free conditioned medium. Serine-to-alanine substitution at the conserved fatty acid-conjugation site did not affect Mac-2BP binding. Subsequent studies showed that Mac-2BP may be a general Wnt interactor. It is found in the extracellular matrix (ECM) of various tissues, where it forms unusual oligomeric ring-like structures. Its functions appear to include interactions with cells and certain ECM components. Intriguingly, both Wnt signaling and Mac2BP expression are upregulated in many types of cancer. Our studies on the four-domain Mac-2BP indicate a crucial role in Wnt binding for the C-terminal domain that bears no sequence similarity to any other protein. Mac-2BP may have a role in regulating the extracellular spreading and storage of the Wnts, thereby modulating their bioavailability and stability. (C) 2017 Elsevier Inc. All rights reserved.</t>
  </si>
  <si>
    <t>[Pikkarainen, Timo; Nurmi, Tuomas; Bergmann, Ulrich; Vainio, Seppo] Univ Oulu, Bioctr Oulu, Fac Biochem &amp; Mol Med, FIN-90220 Oulu, Finland; [Sasaki, Takako] Oita Univ, Fac Med, Dept Matrix Med, Oita, Japan</t>
  </si>
  <si>
    <t>University of Oulu; Oita University</t>
  </si>
  <si>
    <t>Pikkarainen, T (corresponding author), Univ Oulu, Bioctr Oulu, Fac Biochem &amp; Mol Med, FIN-90220 Oulu, Finland.</t>
  </si>
  <si>
    <t>timoopik@gmail.com</t>
  </si>
  <si>
    <t>Nurmi, Tuomas/0000-0002-0560-4319; Vainio, Seppo/0000-0001-9319-3566</t>
  </si>
  <si>
    <t>10.1016/j.bbrc.2017.07.141</t>
  </si>
  <si>
    <t>WOS:000411169800014</t>
  </si>
  <si>
    <t>Barnabas, GD; Bahar-Shany, K; Sapoznik, S; Helpman, L; Kadan, Y; Beiner, M; Weitzner, O; Arbib, N; Korach, J; Perri, T; Katz, G; Blecher, A; Brandt, B; Friedman, E; Stockheim, D; Jakobson-Setton, A; Eitan, R; Armon, S; Brand, H; Zadok, O; Aviel-Ronen, S; Harel, M; Geiger, T; Levanon, K</t>
  </si>
  <si>
    <t>Barnabas, Georgina D.; Bahar-Shany, Keren; Sapoznik, Stav; Helpman, Limor; Kadan, Yfat; Beiner, Mario; Weitzner, Omer; Arbib, Nissim; Korach, Jacob; Perri, Tamar; Katz, Guy; Blecher, Anna; Brandt, Benny; Friedman, Eitan; Stockheim, David; Jakobson-Setton, Ariella; Eitan, Ram; Armon, Shunit; Brand, Hadar; Zadok, Oranit; Aviel-Ronen, Sarit; Harel, Michal; Geiger, Tamar; Levanon, Keren</t>
  </si>
  <si>
    <t>Microvesicle Proteomic Profiling of Uterine Liquid Biopsy for Ovarian Cancer Early Detection</t>
  </si>
  <si>
    <t>EXTRACELLULAR VESICLES; BREAST-CANCER; RISK; MORTALITY; CA125; HE-4</t>
  </si>
  <si>
    <t>High-grade ovarian cancer (HGOC) is the leading cause of mortality from gynecological malignancies, because of diagnosis at a metastatic stage. Current screening options fail to improve mortality because of the absence of earlystage-specific biomarkers. We postulated that a liquid biopsy, such as utero-tubal lavage (UtL), may identify localized lesions better than systemic approaches of serum/plasma analysis. Further, while mutation-based assays are challenged by the rarity of tumor DNA within nonmutated DNA, analyzing the proteomic profile, is expected to enable earlier detection, as it reveals perturbations in both the tumor as well as in its microenvironment. To attain deep proteomic coverage and overcome the high dynamic range of this body fluid, we applied our method for microvesicle proteomics to the UtL samples. Liquid biopsies from HGOC patients (n = 49) and controls (n = 127) were divided into a discovery and validation sets. Data-dependent analysis of the samples on the Q-Exactive mass spectrometer provided depth of 8578 UtL proteins in total, and on average similar to 3000 proteins per sample. We used support vector machine algorithms for sample classification, and crossed three feature-selection algorithms, to construct and validate a 9-protein classifier with 70% sensitivity and 76.2% specificity. The signature correctly identified all Stage I lesions. These results demonstrate the potential power of microvesicle- based proteomic biomarkers for early cancer diagnosis. Molecular &amp; Cellular Proteomics 18: 865875, 2019. DOI: 10.1074/ mcp. RA119.001362.</t>
  </si>
  <si>
    <t>[Barnabas, Georgina D.; Harel, Michal; Geiger, Tamar] Tel Aviv Univ, Dept Human Mol Genet &amp; Biochem, Sackler Fac Med, Ramat Aviv, Israel; [Bahar-Shany, Keren; Sapoznik, Stav; Brand, Hadar; Levanon, Keren] Chaim Sheba Med Ctr, Sheba Canc Res Ctr, Ramat Gan, Israel; [Helpman, Limor; Kadan, Yfat; Beiner, Mario] Meir Med Ctr, Div Gynecol Oncol, Kefar Sava, Israel; [Helpman, Limor; Korach, Jacob; Perri, Tamar; Friedman, Eitan; Stockheim, David; Jakobson-Setton, Ariella; Eitan, Ram; Brand, Hadar; Levanon, Keren] Tel Aviv Univ, Sackler Fac Med, Ramat Aviv, Israel; [Weitzner, Omer; Arbib, Nissim] Meir Med Ctr, Dept Obstet &amp; Gynecol, Kefar Sava, Israel; [Korach, Jacob; Perri, Tamar; Katz, Guy; Blecher, Anna; Brandt, Benny] Chaim Sheba Med Ctr, Dept Gynecol Oncol, Ramat Gan, Israel; [Friedman, Eitan] Chaim Sheba Med Ctr, Susanne Levy Gertner Oncogenet Unit, Ramat Gan, Israel; [Stockheim, David] Chaim Sheba Med Ctr, Dept Gynecol, Ramat Gan, Israel; [Jakobson-Setton, Ariella; Eitan, Ram] Rabin Med Ctr, Dept Gynecol Oncol, Petah Tiqwa, Israel; [Armon, Shunit] Shaare Zedek Med Ctr, Dept Obstet &amp; Gynecol, Jerusalem, Israel; [Zadok, Oranit; Aviel-Ronen, Sarit] Chaim Sheba Med Ctr, Dept Pathol, Ramat Gan, Israel; [Aviel-Ronen, Sarit; Levanon, Keren] Chaim Sheba Med Ctr, Talpiot Med Leadership Program, Ramat Gan, Israel; [Helpman, Limor] McMaster Univ, Gynecol Oncol Div, Juravinski Canc Ctr, Hamilton, ON, Canada</t>
  </si>
  <si>
    <t>Tel Aviv University; Sackler Faculty of Medicine; Chaim Sheba Medical Center; Tel Aviv University; Sackler Faculty of Medicine; Tel Aviv University; Sackler Faculty of Medicine; Tel Aviv University; Sackler Faculty of Medicine; Chaim Sheba Medical Center; Chaim Sheba Medical Center; Chaim Sheba Medical Center; Rabin Medical Center; Hebrew University of Jerusalem; Shaare Zedek Medical Center; Chaim Sheba Medical Center; Chaim Sheba Medical Center; McMaster University</t>
  </si>
  <si>
    <t>Geiger, T (corresponding author), Tel Aviv Univ, Dept Human Mol Genet &amp; Biochem, Sackler Fac Med, Ramat Aviv, Israel.;Levanon, K (corresponding author), Chaim Sheba Med Ctr, Sheba Canc Res Ctr, Ramat Gan, Israel.;Levanon, K (corresponding author), Tel Aviv Univ, Sackler Fac Med, Ramat Aviv, Israel.;Levanon, K (corresponding author), Chaim Sheba Med Ctr, Talpiot Med Leadership Program, Ramat Gan, Israel.</t>
  </si>
  <si>
    <t>geiger@tauex.tau.ac.il; Keren.Levanon@sheba.health.gov.il</t>
  </si>
  <si>
    <t>Perri, Tamar/ABB-5896-2020</t>
  </si>
  <si>
    <t>Perri, Tamar/0000-0002-4042-6554; Geiger, Tamar/0000-0002-9526-197X; Helpman, Limor/0000-0002-3044-7247</t>
  </si>
  <si>
    <t>10.1074/mcp.RA119.001362</t>
  </si>
  <si>
    <t>WOS:000467185700004</t>
  </si>
  <si>
    <t>Tremblay, G; Rousseau, J; Mbakam, CH; Tremblay, JP</t>
  </si>
  <si>
    <t>Tremblay, Guillaume; Rousseau, Joel; Mbakam, Cedric Happi; Tremblay, Jacques P.</t>
  </si>
  <si>
    <t>Insertion of the Icelandic Mutation (A673T) by Prime Editing: A Potential Preventive Treatment for Familial and Sporadic Alzheimer's Disease</t>
  </si>
  <si>
    <t>CRISPR JOURNAL</t>
  </si>
  <si>
    <t>AMYLOID PRECURSOR PROTEIN; EXTRACELLULAR VESICLES; GENE DELIVERY; APP GENE; BASE; MECHANISMS; DNA</t>
  </si>
  <si>
    <t>Alzheimer's disease (AD) is the result of abnormal processing of the amyloid precursor protein (APP) by beta-secretase and gamma-secretase, which leads to the formation of toxic beta-amyloid peptides. The toxic beta-amyloid peptides induce neuron death, memory problems, and AD development. Several APP mutations increase the risk of developing early-onset AD. However, the A673T mutation identified in the Icelandic population prevents AD development by reducing the cleavage of APP by beta-secretase. In this study, we inserted the A673T mutation in human cells using the CRISPR prime editing (PE) technique. Repeated PE treatments resulted in the insertion of the A673T mutation in up to 49.2% of APP genes when a second nick was induced in the other DNA strand. When the protospacer adjacent motif used for PE was also mutated, up to 68.9% of the APP genes contained the protective A673T mutation. PE is a promising approach to introduce the A673T mutation precisely without mutating nearby nucleotides.</t>
  </si>
  <si>
    <t>[Tremblay, Guillaume; Rousseau, Joel; Mbakam, Cedric Happi; Tremblay, Jacques P.] Laval Univ, Dept Mol Med, Res Ctr, CHU Quebec, Quebec City, PQ G1V 4G2, Canada</t>
  </si>
  <si>
    <t>Laval University</t>
  </si>
  <si>
    <t>Tremblay, JP (corresponding author), Laval Univ, Dept Mol Med, Res Ctr, CHU Quebec, Quebec City, PQ G1V 4G2, Canada.</t>
  </si>
  <si>
    <t>Jacques-P.Tremblay@crchul.ulaval.ca</t>
  </si>
  <si>
    <t>Tremblay, Jacques P./0000-0001-9404-9195; Happi Mbakam, Cedric/0000-0001-6908-4570</t>
  </si>
  <si>
    <t>2573-1599</t>
  </si>
  <si>
    <t>2573-1602</t>
  </si>
  <si>
    <t>10.1089/crispr.2021.0085</t>
  </si>
  <si>
    <t>WOS:000752689200001</t>
  </si>
  <si>
    <t>WACHOLTZ, MC; CRAGOE, EJ; LIPSKY, PE</t>
  </si>
  <si>
    <t>A NA+-DEPENDENT CA2+ EXCHANGER GENERATES THE SUSTAINED INCREASE IN INTRACELLULAR CA2+ REQUIRED FOR T-CELL ACTIVATION</t>
  </si>
  <si>
    <t>SODIUM-CALCIUM EXCHANGE; I MHC MOLECULES; INTERLEUKIN-1 SIGNAL TRANSDUCTION; HUMAN LYMPHOCYTES-T; ANTIGEN RECEPTOR; EXTRACELLULAR CA-2+; NA+-CA-2+ EXCHANGE; MEMBRANE-VESICLES; HUMAN-NEUTROPHILS; INTERNAL STORES</t>
  </si>
  <si>
    <t>Movement of extracellular Ca2+ is required for the sustained increase in [Ca2+]i necessary for T cell activation. However, the mechanisms mediating mitogen-stimulated Ca2+ movement into T cells have not been completely delineated. To explore the possibility that a Na+-dependent Ca2+ (Na+/Ca2+) exchanger might play a role in the mitogen-induced increases in [Ca2+]i required for T cell activation, the effects of inhibitors of this exchanger were examined. Inhibitors of Na+/Ca2+ exchange suppressed the sustained increase in [Ca2+]i stimulated by ligation of the CD3-TCR complex, but did not affect mobilization of intracellular Ca2+ stores. Consistent with the importance of this prolonged increase in [Ca2+]i in T cell activation, Na+/Ca2+ exchange inhibitors, but not inhibitors of the Na+/H+ antiporter, inhibited DNA synthesis stimulated by immobilized anti-CD3 mAb. Inhibition only occurred when the agents were present during the first hours after stimulation. These agents also inhibited IL-2 production, but not expression of the IL-2R or of an early activation Ag, 4F2. Inhibition of IL-2 production did not account for the inhibition of T cell proliferation as addition of exogenous IL-2 or phorbol ester (PDB) did not overcome the inhibition. In contrast, activation pathways that are not thought to require an increase in [Ca2+]i such as IL-1+ PDB or engagement of CD28 in the presence of PDB were less sensitive to the suppressive effects of inhibitors of Na+/Ca2+ exchange. Thus, proliferation induced by these stimuli was not suppressed by low concentrations of these inhibitors and IL-2 production induced by mAb to CD28 + PDB was not inhibited by any concentration of inhibitors of Na+/Ca2+ exchange. These results suggest that stimulation of a Ca2+ transporter with the same spectrum of inhibition as the Na+/Ca2+ exchanger in other tissues mediates the sustained increase in [Ca2+]i required for T cell activation after CD3 ligation.</t>
  </si>
  <si>
    <t>WACHOLTZ, MC (corresponding author), UNIV TEXAS,SW MED CTR,DEPT INTERNAL MED,HAROLD C SIMMONS ARTHRIT RES CTR,DALLAS,TX 75235, USA.</t>
  </si>
  <si>
    <t>WOS:A1992JN12100013</t>
  </si>
  <si>
    <t>Meier, UC; Cipian, RC; Karimi, A; Ramasamy, R; Middeldorp, JM</t>
  </si>
  <si>
    <t>Meier, Ute-Christiane; Cipian, Richard Christopher; Karimi, Abbas; Ramasamy, Ranjan; Middeldorp, Jaap Michiel</t>
  </si>
  <si>
    <t>Cumulative Roles for Epstein-Barr Virus, Human Endogenous Retroviruses, and Human Herpes Virus-6 in Driving an Inflammatory Cascade Underlying MS Pathogenesis</t>
  </si>
  <si>
    <t>Epstein-Barr virus; human endogenous retrovirus-W; inflammatory cascade; molecular mimicry; multiple sclerosis; human herpesvirus-6</t>
  </si>
  <si>
    <t>MULTIPLE-SCLEROSIS PATIENTS; CENTRAL-NERVOUS-SYSTEM; ALPHA-B-CRYSTALLIN; ENVIRONMENTAL RISK-FACTORS; BRUTONS TYROSINE KINASE; W FAMILY ENVELOPE; CD8 T-CELLS; HUMAN HERPESVIRUS-6; MOLECULAR MIMICRY; IMMUNE-RESPONSES</t>
  </si>
  <si>
    <t>Roles for viral infections and aberrant immune responses in driving localized neuroinflammation and neurodegeneration in multiple sclerosis (MS) are the focus of intense research. Epstein-Barr virus (EBV), as a persistent and frequently reactivating virus with major immunogenic influences and a near 100% epidemiological association with MS, is considered to play a leading role in MS pathogenesis, triggering localized inflammation near or within the central nervous system (CNS). This triggering may occur directly via viral products (RNA and protein) and/or indirectly via antigenic mimicry involving B-cells, T-cells and cytokine-activated astrocytes and microglia cells damaging the myelin sheath of neurons. The genetic MS-risk factor HLA-DR2b (DRB1*1501 beta, DRA1*0101 alpha) may contribute to aberrant EBV antigen-presentation and anti-EBV reactivity but also to mimicry-induced autoimmune responses characteristic of MS. A central role is proposed for inflammatory EBER1, EBV-miRNA and LMP1 containing exosomes secreted by viable reactivating EBV+ B-cells and repetitive release of EBNA1-DNA complexes from apoptotic EBV+ B-cells, forming reactive immune complexes with EBNA1-IgG and complement. This may be accompanied by cytokine- or EBV-induced expression of human endogenous retrovirus-W/-K (HERV-W/-K) elements and possibly by activation of human herpesvirus-6A (HHV-6A) in early-stage CNS lesions, each contributing to an inflammatory cascade causing the relapsing-remitting neuro-inflammatory and/or progressive features characteristic of MS. Elimination of EBV-carrying B-cells by antibody- and EBV-specific T-cell therapy may hold the promise of reducing EBV activity in the CNS, thereby limiting CNS inflammation, MS symptoms and possibly reversing disease. Other approaches targeting HHV-6 and HERV-W and limiting inflammatory kinase-signaling to treat MS are also being tested with promising results. This article presents an overview of the evidence that EBV, HHV-6, and HERV-W may have a pathogenic role in initiating and promoting MS and possible approaches to mitigate development of the disease.</t>
  </si>
  <si>
    <t>[Meier, Ute-Christiane] Klinikum Univ Munchen, Inst Lab Med, Munich, Germany; [Meier, Ute-Christiane] Kings Coll London, Dept Psychol Med, Inst Psychiat Psychol &amp; Neurosci, London, England; [Cipian, Richard Christopher] Crafton Hills Coll, Dept Biol, Yucaipa, CA USA; [Karimi, Abbas] Tabriz Univ Med Sci, Fac Adv Med Sci, Dept Mol Med, Tabriz, Iran; [Ramasamy, Ranjan] ID FISH Technol Inc, Miltipas, CA USA; [Middeldorp, Jaap Michiel] Amsterdam Univ Med Ctr, Dept Pathol, VUMC, Amsterdam, Netherlands</t>
  </si>
  <si>
    <t>University of Munich; University of London; King's College London; Tabriz University of Medical Science</t>
  </si>
  <si>
    <t>Middeldorp, JM (corresponding author), Amsterdam Univ Med Ctr, Dept Pathol, VUMC, Amsterdam, Netherlands.</t>
  </si>
  <si>
    <t>middeldorp@amsterdamumc.nl</t>
  </si>
  <si>
    <t>Ramasamy, Ranjan/AAF-3921-2020</t>
  </si>
  <si>
    <t>Ramasamy, Ranjan/0000-0003-0246-7053; Middeldorp, Jaap Michiel/0000-0002-0765-4125</t>
  </si>
  <si>
    <t>10.3389/fimmu.2021.757302</t>
  </si>
  <si>
    <t>WOS:000719528000001</t>
  </si>
  <si>
    <t>Zhang, GF; Fang, XD; Guo, XM; Li, L; Luo, RB; Xu, F; Yang, PC; Zhang, LL; Wang, XT; Qi, HG; Xiong, ZQ; Que, HY; Xie, YL; Holland, PWH; Paps, J; Zhu, YB; Wu, FC; Chen, YX; Wang, JF; Peng, CF; Meng, J; Yang, L; Liu, J; Wen, B; Zhang, N; Huang, ZY; Zhu, QH; Feng, Y; Mount, A; Hedgecock, D; Xu, Z; Liu, YJ; Domazet-Loso, T; Du, YS; Sun, XQ; Zhang, SD; Liu, BH; Cheng, PZ; Jiang, XT; Li, J; Fan, DD; Wang, W; Fu, WJ; Wang, T; Wang, B; Zhang, JB; Peng, ZY; Li, YX; Li, N; Wang, JP; Chen, MS; He, Y; Tan, FJ; Song, XR; Zheng, QM; Huang, RL; Yang, HL; Du, XD; Chen, L; Yang, M; Gaffney, PM; Wang, S; Luo, LH; She, ZC; Ming, Y; Huang, W; Zhang, S; Huang, BY; Zhang, Y; Qu, T; Ni, PX; Miao, GY; Wang, JY; Wang, Q; Steinberg, CEW; Wang, HY; Li, N; Qian, LM; Zhang, GJ; Li, YR; Yang, HM; Liu, X; Wang, J; Yin, Y; Wang, J</t>
  </si>
  <si>
    <t>Zhang, Guofan; Fang, Xiaodong; Guo, Ximing; Li, Li; Luo, Ruibang; Xu, Fei; Yang, Pengcheng; Zhang, Linlin; Wang, Xiaotong; Qi, Haigang; Xiong, Zhiqiang; Que, Huayong; Xie, Yinlong; Holland, Peter W. H.; Paps, Jordi; Zhu, Yabing; Wu, Fucun; Chen, Yuanxin; Wang, Jiafeng; Peng, Chunfang; Meng, Jie; Yang, Lan; Liu, Jun; Wen, Bo; Zhang, Na; Huang, Zhiyong; Zhu, Qihui; Feng, Yue; Mount, Andrew; Hedgecock, Dennis; Xu, Zhe; Liu, Yunjie; Domazet-Loso, Tomislav; Du, Yishuai; Sun, Xiaoqing; Zhang, Shoudu; Liu, Binghang; Cheng, Peizhou; Jiang, Xuanting; Li, Juan; Fan, Dingding; Wang, Wei; Fu, Wenjing; Wang, Tong; Wang, Bo; Zhang, Jibiao; Peng, Zhiyu; Li, Yingxiang; Li, Na; Wang, Jinpeng; Chen, Maoshan; He, Yan; Tan, Fengji; Song, Xiaorui; Zheng, Qiumei; Huang, Ronglian; Yang, Hailong; Du, Xuedi; Chen, Li; Yang, Mei; Gaffney, Patrick M.; Wang, Shan; Luo, Longhai; She, Zhicai; Ming, Yao; Huang, Wen; Zhang, Shu; Huang, Baoyu; Zhang, Yong; Qu, Tao; Ni, Peixiang; Miao, Guoying; Wang, Junyi; Wang, Qiang; Steinberg, Christian E. W.; Wang, Haiyan; Li, Ning; Qian, Lumin; Zhang, Guojie; Li, Yingrui; Yang, Huanming; Liu, Xiao; Wang, Jian; Yin, Ye; Wang, Jun</t>
  </si>
  <si>
    <t>The oyster genome reveals stress adaptation and complexity of shell formation</t>
  </si>
  <si>
    <t>TRANSPOSABLE ELEMENTS; CRASSOSTREA-GIGAS; BIVALVE MOLLUSKS; PARAHOX GENES; PROTEINS; SEQUENCE; EVOLUTION; DISCOVERY; APOPTOSIS; PATHWAY</t>
  </si>
  <si>
    <t>The Pacific oyster Crassostrea gigas belongs to one of the most species-rich but genomically poorly explored phyla, the Mollusca. Here we report the sequencing and assembly of the oyster genome using short reads and a fosmid-pooling strategy, along with transcriptomes of development and stress response and the proteome of the shell. The oyster genome is highly polymorphic and rich in repetitive sequences, with some transposable elements still actively shaping variation. Transcriptome studies reveal an extensive set of genes responding to environmental stress. The expansion of genes coding for heat shock protein 70 and inhibitors of apoptosis is probably central to the oyster's adaptation to sessile life in the highly stressful intertidal zone. Our analyses also show that shell formation in molluscs is more complex than currently understood and involves extensive participation of cells and their exosomes. The oyster genome sequence fills a void in our understanding of the Lophotrochozoa.</t>
  </si>
  <si>
    <t>[Fang, Xiaodong; Luo, Ruibang; Yang, Pengcheng; Xiong, Zhiqiang; Xie, Yinlong; Zhu, Yabing; Chen, Yuanxin; Peng, Chunfang; Yang, Lan; Wen, Bo; Huang, Zhiyong; Feng, Yue; Liu, Yunjie; Sun, Xiaoqing; Liu, Binghang; Jiang, Xuanting; Fan, Dingding; Fu, Wenjing; Wang, Bo; Peng, Zhiyu; Li, Na; Chen, Maoshan; Tan, Fengji; Zheng, Qiumei; Yang, Hailong; Chen, Li; Luo, Longhai; Ming, Yao; Zhang, Shu; Zhang, Yong; Ni, Peixiang; Wang, Junyi; Li, Ning; Zhang, Guojie; Li, Yingrui; Yang, Huanming; Wang, Jian; Yin, Ye; Wang, Jun] BGI Shenzhen, Shenzhen 518083, Peoples R China; [Zhang, Guofan; Li, Li; Xu, Fei; Zhang, Linlin; Wang, Xiaotong; Qi, Haigang; Que, Huayong; Wu, Fucun; Wang, Jiafeng; Meng, Jie; Liu, Jun; Zhang, Na; Zhu, Qihui; Du, Yishuai; Zhang, Shoudu; Cheng, Peizhou; Li, Juan; Wang, Wei; Wang, Tong; Zhang, Jibiao; Li, Yingxiang; Wang, Jinpeng; Song, Xiaorui; Huang, Ronglian; Du, Xuedi; Yang, Mei; She, Zhicai; Huang, Wen; Huang, Baoyu; Qu, Tao; Miao, Guoying; Wang, Qiang; Wang, Haiyan; Liu, Xiao] Chinese Acad Sci, Inst Oceanol, Qingdao 266071, Peoples R China; [Guo, Ximing; He, Yan; Wang, Shan; Qian, Lumin] Rutgers State Univ, Inst Marine &amp; Coastal Sci, Haskin Shellfish Res Lab, Port Norris, NJ 08349 USA; [Luo, Ruibang; Xie, Yinlong; Liu, Binghang] HKU BGI Bioinformat Algorithms &amp; Core Technol Res, Hong Kong, Hong Kong, Peoples R China; [Holland, Peter W. H.; Paps, Jordi] Univ Oxford, Dept Zool, Oxford OX1 3PS, England; [Mount, Andrew] Clemson Univ, Dept Biol Sci, Clemson, SC 29634 USA; [Hedgecock, Dennis] Univ So Calif, Dept Biol Sci, Los Angeles, CA 90089 USA; [Xu, Zhe] Atlantic Cape Community Coll, Mays Landing, NJ 08330 USA; [Domazet-Loso, Tomislav] Rudjer Boskovic Inst, Lab Evolutionary Genet, HR-10002 Zagreb, Croatia; [Gaffney, Patrick M.] Univ Delaware, Sch Marine Sci &amp; Policy, Lewes, DE 19958 USA; [Steinberg, Christian E. W.] Humboldt Univ Berlin Arboretum, Inst Biol, D-12437 Berlin, Germany; [Wang, Jun] Univ Copenhagen, Dept Biol, DK-2200 Copenhagen, Denmark; [Wang, Jun] Univ Copenhagen, Novo Nordisk Fdn Ctr Basic Metab Res, DK-2200 Copenhagen, Denmark</t>
  </si>
  <si>
    <t>Beijing Genomics Institute (BGI); Chinese Academy of Sciences; Institute of Oceanology, CAS; Rutgers State University New Brunswick; University of Hong Kong; University of Oxford; Clemson University; University of Southern California; Rudjer Boskovic Institute; University of Delaware; University of Copenhagen; Novo Nordisk Foundation; University of Copenhagen</t>
  </si>
  <si>
    <t>Wang, J (corresponding author), BGI Shenzhen, Shenzhen 518083, Peoples R China.</t>
  </si>
  <si>
    <t>gzhang@qdio.ac.cn; xguo@hsrl.rutgers.edu; yinye@genomics.org.cn; wangj@genomics.org.cn</t>
  </si>
  <si>
    <t>Wu, Fucun/AAY-6115-2021; Fang, Xiaodong/K-6743-2018; Yang, Pengcheng/N-1037-2014; Paps, Jordi/B-2098-2012; Zhang, Guojie/B-6188-2014; Zhang, Linlin/I-4970-2014; Li, Yingrui/K-1064-2015; Wang, Jun/A-7261-2013; Wen, Bo/I-1259-2019; Hedgecock, Dennis/I-8655-2012; Steinberg, Christian/O-8572-2019; Guo, Ximing/K-3804-2012; Xu, Fei/A-1736-2012; Zhang, Guojie/J-7273-2019; Wang, Jun/C-8434-2016; Wang, Jun/B-9503-2016</t>
  </si>
  <si>
    <t>Fang, Xiaodong/0000-0001-7061-3337; Yang, Pengcheng/0000-0001-5496-8357; Paps, Jordi/0000-0003-2636-6636; Zhang, Guojie/0000-0001-6860-1521; Zhang, Linlin/0000-0003-0247-7710; Wen, Bo/0000-0003-2261-3150; Hedgecock, Dennis/0000-0002-3995-646X; Guo, Ximing/0000-0002-6758-2709; Xu, Fei/0000-0002-0981-8429; Zhang, Guojie/0000-0001-6860-1521; Wang, Jun/0000-0002-8540-8931; Wang, Jun/0000-0002-2113-5874; Holland, Peter/0000-0003-1533-9376; liu, bh/0000-0002-4948-2835; CHEN, MAOSHAN/0000-0002-3827-4969; Li, Yingxiang/0000-0001-6671-2965; Wang, Jinpeng/0000-0003-1892-0246; Luo, Ruibang/0000-0001-9711-6533; Mount, Andrew/0000-0002-3376-1135; Steinberg, Christian E.W./0000-0002-3132-8901</t>
  </si>
  <si>
    <t>10.1038/nature11413</t>
  </si>
  <si>
    <t>WOS:000309446800030</t>
  </si>
  <si>
    <t>Yang, YS; Jia, XZ; Lu, QY; Cai, SL; Huang, XT; Yang, SH; Wood, C; Wang, YH; Zhou, JJ; Chen, YD; Yang, JS; Yang, WJ</t>
  </si>
  <si>
    <t>Yang, Yao-Shun; Jia, Xi-Zheng; Lu, Qian-Yun; Cai, Sun-Li; Huang, Xue-Ting; Yang, Shu-Hua; Wood, Chris; Wang, Yue-Hong; Zhou, Jiao-Jiao; Chen, Yi-Ding; Yang, Jin-Shu; Yang, Wei-Jun</t>
  </si>
  <si>
    <t>Exosomal DEK removes chemoradiotherapy resistance by triggering quiescence exit of breast cancer stem cells</t>
  </si>
  <si>
    <t>PREDICTS POOR-PROGNOSIS; PROTEIN; ONCOPROTEIN; GENE; DNA; OVEREXPRESSION; CHROMATIN; HETEROGENEITY; EXPRESSION; INHIBITOR</t>
  </si>
  <si>
    <t>Tumor therapeutics often target the primary tumor bulk but fail to eradicate therapy-resistant cancer stem cells (CSCs) in quiescent state. These can then become activated to initiate recurrence and/or metastasis beyond therapy. Here, we identified and isolated chemoradiotherapy-resistant CSCs in quiescent state with high capacity of tumor-initiation and tumorsphere formation from three types of breast tumors in mice. Experiments of knockdown and rescue revealed DEK, a nuclear protein, as essential for CSC activation. Exogenous DEK was then used to trigger quiescence exit of CSCs. ChIP-seq and ATAC-seq showed that DEK directly binds to chromatin, facilitating its genome-wide accessibility. The resulting epigenetic events upregulate the expression of cellular activation-related genes including MYC targets, whereas cellular quiescence-related genes including the p53 signaling pathway are silenced. However, twinned with DEK-induced activation, formerly resistant CSCs were then destroyed by chemotherapy in vitro. In mice, traditional chemoradiotherapy concurrent with the injection of DEK-containing exosomes resulted in eradication of primary tumors together with formerly resistant CSCs without recurrence or metastasis. Our findings advance knowledge of the mechanism of quiescent CSC activation and may provide novel clinical opportunities for removal of quiescence-linked therapy resistance.</t>
  </si>
  <si>
    <t>[Yang, Yao-Shun; Jia, Xi-Zheng; Lu, Qian-Yun; Cai, Sun-Li; Huang, Xue-Ting; Yang, Shu-Hua; Wood, Chris; Yang, Jin-Shu; Yang, Wei-Jun] Zhejiang Univ, Coll Life Sci, MOE Lab Biosyst Homeostasis &amp; Protect, Hangzhou 310058, Peoples R China; [Wang, Yue-Hong] Zhejiang Univ, Affiliated Hosp 1, Coll Med, Dept Resp Med, Hangzhou, Peoples R China; [Zhou, Jiao-Jiao; Chen, Yi-Ding] Zhejiang Univ, Affiliated Hosp 2, Coll Med, Dept Surg Oncol, Hangzhou, Peoples R China</t>
  </si>
  <si>
    <t>Zhejiang University; Zhejiang University; Zhejiang University</t>
  </si>
  <si>
    <t>Yang, WJ (corresponding author), Zhejiang Univ, Coll Life Sci, MOE Lab Biosyst Homeostasis &amp; Protect, Hangzhou 310058, Peoples R China.</t>
  </si>
  <si>
    <t>w_jyang@zju.edu.cn</t>
  </si>
  <si>
    <t>Wood, Christopher/0000-0002-5517-9496; Yang, Shuhua/0000-0002-1125-8088; Jia, Xi-Zheng/0000-0002-6656-0997; Cai, Sunli/0000-0003-3784-7048</t>
  </si>
  <si>
    <t>APR 29</t>
  </si>
  <si>
    <t>10.1038/s41388-022-02278-x</t>
  </si>
  <si>
    <t>WOS:000774697100001</t>
  </si>
  <si>
    <t>Alspaugh, JA</t>
  </si>
  <si>
    <t>Alspaugh, J. Andrew</t>
  </si>
  <si>
    <t>Virulence mechanisms and Cryptococcus neoformans pathogenesis</t>
  </si>
  <si>
    <t>Microbial pathogenesis; Virulence factor; Mycoses; Fungal infection</t>
  </si>
  <si>
    <t>EXTRACELLULAR VESICLES; CAPSULE; PROTEIN; CHITOSAN; GROWTH; CHITIN</t>
  </si>
  <si>
    <t>The human fungal pathogen Cryptococcus neoformans is able to rapidly and effectively adapt to varying conditions, favoring its survival in the environment and in the infected host. Many microbial phenotypes have been specifically correlated with virulence in this opportunistic pathogen, such as capsule production, melanin formation, and the secretion of various proteins. Additionally, cellular features such as the cell wall and morphogenesis play important roles in the interaction of this fungus with host immune recognition and response pathways. Survival in the face of host stress also requires maintaining RNA/DNA integrity. Additionally, aging and senescence of the fungal cells determines resistance to \host-derived\ stresses. New mechanisms regulating the expression of these \virulence-associated\ phenotypes have been recently explored. Importantly, human clinical studies are now confirming the roles of specific microbial factors in human infections. (C) 2014 Elsevier Inc. All rights reserved.</t>
  </si>
  <si>
    <t>[Alspaugh, J. Andrew] Duke Univ, Sch Med, Dept Mol Genet &amp; Microbiol, Dept Med, Durham, NC 27710 USA</t>
  </si>
  <si>
    <t>Alspaugh, JA (corresponding author), Duke Univ, Med Ctr, DUMC 102359,171 Hanes House, Durham, NC 27710 USA.</t>
  </si>
  <si>
    <t>andrew.alspaugh@duke.edu</t>
  </si>
  <si>
    <t>Alspaugh, Andrew/0000-0003-3009-627X</t>
  </si>
  <si>
    <t>10.1016/j.fgb.2014.09.004</t>
  </si>
  <si>
    <t>WOS:000356398000005</t>
  </si>
  <si>
    <t>Braunagel, SC; He, H; Ramamurthy, P; Summers, MD</t>
  </si>
  <si>
    <t>Transcription, translation, and cellular localization of three Autographa californica nuclear polyhedrosis virus structural proteins: ODV-E18, ODV-E35, and ODV-EC27</t>
  </si>
  <si>
    <t>CAPSID-ASSOCIATED PROTEIN; OPEN READING FRAME; ORGYIA-PSEUDOTSUGATA; IMMUNOCYTOCHEMICAL CHARACTERIZATION; NUCLEOTIDE-SEQUENCE; RIBONUCLEIC-ACID; GENETIC LOCATION; DNA-SEQUENCE; IDENTIFICATION; SIGNAL</t>
  </si>
  <si>
    <t>This paper identifies two structural proteins of the occluded derived viral envelope of Autographa californica nuclear polyhedrosis virus (AcMNPV): ODV-E18 and ODV-E35. In addition, we identify a protein, ODV-EC27, that Is incorporated into the capsid of occluded virus, which is not detected in budded virus. The genes for these proteins reside within the IE0 intron. The intron was sequenced, and five open reading frames (ORF) were identified. ORF 3 (genomic ORF 143) codes for the ODV envelope protein, ODV-E18. ORF 4 (genomic ORF 144) codes for ODV-EC27, and Western blot analyses locate this protein to both the ODV capsid and envelope. Transcripts for both ODV-E18 and ODV-EC27 initiate from conserved TAAG motifs, and transcripts are detected from 16 through 72 hr p.i, Antiserum to ODV-E18 recognizes a band of 18 kDa on Western blots of extracts from infected cells and bands of 18 and 35 kDa on Western blots of proteins from purified ODV envelope. N-terminal amino acid sequencing reveals that both ODV-E18 and ODV-E35 contain the same N-terminus. Antiserum to ODV-EC27 recognizes a protein of 27 kDa on Western blots of extracts from infected cells and bands of 27 and 35 kDa on Western blots of proteins from purified ODV. Using immunogold labeling techniques, ODV-E18 and/or ODV-E35 are detected in viral induced intranuclear microvesicles and are not detected in the plasma membrane, cytoplasmic membranes, or the nuclear envelope. Immunogold labeling using antisera to ODV-EC27 detects this protein on both the ODV envelope and capsid. (C) Academic Press, Inc.</t>
  </si>
  <si>
    <t>TEXAS A&amp;M UNIV,TEXAS AGR EXPT STN,COLLEGE STN,TX 77843; TEXAS A&amp;M UNIV,DEPT BIOCHEM &amp; BIOPHYS,COLLEGE STN,TX 77843; TEXAS A&amp;M UNIV,CTR ADV INVERTEBRATE MOL SCI,COLLEGE STN,TX 77843</t>
  </si>
  <si>
    <t>Texas A&amp;M University System; Texas A&amp;M University College Station; Texas A&amp;M AgriLife Research; Texas A&amp;M University System; Texas A&amp;M University College Station; Texas A&amp;M University System; Texas A&amp;M University College Station</t>
  </si>
  <si>
    <t>Braunagel, SC (corresponding author), TEXAS A&amp;M UNIV,DEPT ENTOMOL,COLLEGE STN,TX 77843, USA.</t>
  </si>
  <si>
    <t>10.1006/viro.1996.0401</t>
  </si>
  <si>
    <t>WOS:A1996VB37700010</t>
  </si>
  <si>
    <t>Dai, LJ; Ritchie, G; Bapty, B; Raymond, L; Quamme, GA</t>
  </si>
  <si>
    <t>Na+/Ca2+ exchanger in epithelial cells of the porcine cortical thick ascending limb</t>
  </si>
  <si>
    <t>AMERICAN JOURNAL OF PHYSIOLOGY-RENAL FLUID AND ELECTROLYTE PHYSIOLOGY</t>
  </si>
  <si>
    <t>intracellular calcium ion concentration; fluorescence determinations; polymerase chain reaction; hybridization; deoxyribonucleic acid sequence</t>
  </si>
  <si>
    <t>BASOLATERAL MEMBRANE-VESICLES; SODIUM-CALCIUM EXCHANGER; NA+-CA-2+ EXCHANGER; FUNCTIONAL EXPRESSION; PARATHYROID-HORMONE; PROXIMAL TUBULE; NA/CA EXCHANGE; DISTAL TUBULE; MUSCLE-CELLS; HELA-CELLS</t>
  </si>
  <si>
    <t>Intracellular Ca2+ concentration ([Ca2+](i)) plays an important role in the signal transduction processes within cortical thick ascending limb (CTAL) cells. Control of [Ca2+](i) was investigated in isolated CTAL cells with microfluorescent techniques. CTAL cells pretreated with ouabain to elevate intracellular Na+ concentration ([Na+](i)) had basal [Ca2+](i) of 86 +/- 2 nM. Removal of extracellular Na (Na-o(+)) or voltage depolarization with KCl (in the presence of Na-o(+)) resulted in a rapid and reversible maximal elevation of [Ca2+](i) (1,023 +/- 72 nM, n = 28), which was dependent on the presence of external Ca2+ (Ca-o(2+)). The rise in [Ca2+](i) was inhibited with La3+, Mg2+, amiloride, and bepridil. The increments of [Ca2+](i) with either removal of Na-o(+) or voltage depolarization were dependent on pretreatment with ouabain and increases in [Na+](i). The presence of a Na+/Ca2+ exchanger was confirmed with hybridization techniques, and the isoform was identified by sequencing the alternative splicing site within the intracellular loop. A gene transcript that encodes a portion of the intracellular loop of the renal Na+/Ca2+ exchanger was amplified from cortical tissue and single CTAL cells by reverse transcription-polymerase chain reaction, using primers flanking the alternative splicing site. Southern hybridization and DNA sequencing demonstrated the isoform contained exons B and D, which is characteristic of one isoform (NACA3) of the renal Na+/Ca2+ exchanger. The results provide both functional and molecular evidence for a Na+/Ca2+ exchanger in thick ascending limb cells of the porcine kidney.</t>
  </si>
  <si>
    <t>UNIV BRITISH COLUMBIA, VANCOUVER HOSP &amp; HLTH SCI CTR, DEPT MED, VANCOUVER, BC V6T 1W5, CANADA; UNIV BRITISH COLUMBIA, VANCOUVER HOSP &amp; HLTH SCI CTR, DEPT PSYCHIAT, VANCOUVER, BC V6T 1W5, CANADA</t>
  </si>
  <si>
    <t>University of British Columbia; University of British Columbia</t>
  </si>
  <si>
    <t>Raymond, Lynn A./R-6707-2016; Raymond, Lynn A/A-6664-2010</t>
  </si>
  <si>
    <t>Raymond, Lynn A./0000-0002-8610-1042; Raymond, Lynn A/0000-0002-8610-1042</t>
  </si>
  <si>
    <t>0363-6127</t>
  </si>
  <si>
    <t>F411</t>
  </si>
  <si>
    <t>F418</t>
  </si>
  <si>
    <t>10.1152/ajprenal.1996.270.3.F411</t>
  </si>
  <si>
    <t>WOS:A1996UA04800005</t>
  </si>
  <si>
    <t>Liu, CL; Xiang, XQ; Han, SQ; Lim, HY; Li, LR; Zhang, X; Ma, ZW; Yang, L; Guo, SL; Soo, R; Ren, BX; Wang, LZ; Goh, BC</t>
  </si>
  <si>
    <t>Liu, Cuiliu; Xiang, Xiaoqiang; Han, Shuangqing; Lim, Hannah Ying; Li, Lingrui; Zhang, Xing; Ma, Zhaowu; Yang, Li; Guo, Shuliang; Soo, Ross; Ren, Boxu; Wang, Lingzhi; Goh, Boon Cher</t>
  </si>
  <si>
    <t>Blood-based liquid biopsy: Insights into early detection and clinical management of lung cancer</t>
  </si>
  <si>
    <t>Liquid biopsy; Biomarkers; Lung cancer; Early detection; Clinical management</t>
  </si>
  <si>
    <t>CIRCULATING-TUMOR-CELLS; DNA METHYLATION; PROMOTER HYPERMETHYLATION; DIAGNOSTIC BIOMARKERS; PLASMA; PANEL; MUTATIONS; PREDICT; SERUM; EGFR</t>
  </si>
  <si>
    <t>Currently, early detection of lung cancer relies on the characterisation of images generated from computed tomography (CT). However, lung tissue biopsy, a highly invasive surgical procedure, is required to confirm CTderived diagnostic results with very high false-positive rates. Hence, a non-invasive or minimally invasive biomarkers is essential to complement the existing low-dose CT (LDCT) for early detection, improve responses to a certain treatment, predict cancer recurrence, and to evaluate prognosis. In the past decade, liquid biopsies (e.g., blood) have been demonstrated to be highly effective for lung cancer biomarker discovery. In this review, the roles of emerging liquid biopsy-derived biomarkers such as circulating nucleic acids, circulating tumour cells (CTCs), long non-coding RNA (lncRNA), and microRNA (miRNA), as well as exosomes, have been highlighted. The advantages and limitations of these blood-based minimally invasive biomarkers have been discussed. Furthermore, the current progress of the identified biomarkers for clinical management of lung cancer has been summarised. Finally, a potential strategy for the early detection of lung cancer, using a combination of LDCT scans and well-validated biomarkers, has been discussed.</t>
  </si>
  <si>
    <t>[Liu, Cuiliu; Han, Shuangqing; Li, Lingrui; Zhang, Xing; Ma, Zhaowu; Ren, Boxu] Yangtze Univ, Hlth Sci Ctr, Sch Basic Med, Jingzhou 434023, Peoples R China; [Xiang, Xiaoqiang] Fudan Univ, Sch Pharm, Dept Clin Pharm &amp; Pharm Adm, Shanghai 201203, Peoples R China; [Lim, Hannah Ying] Natl Univ Singapore, Fac Sci, Dept Pharm, Singapore 117543, Singapore; [Yang, Li; Guo, Shuliang] Chongqing Med Univ, Affiliated Hosp 1, Chongqing, Peoples R China; [Soo, Ross; Goh, Boon Cher] Natl Univ Canc Inst, Dept Haematol Oncol, Singapore 119228, Singapore; [Wang, Lingzhi; Goh, Boon Cher] Natl Univ Singapore, Canc Sci Inst Singapore, Singapore 117599, Singapore; [Wang, Lingzhi; Goh, Boon Cher] Natl Univ Singapore, Yong Loo Lin Sch Med, Dept Pharmacol, Singapore 117600, Singapore</t>
  </si>
  <si>
    <t>Yangtze University; Fudan University; National University of Singapore; Chongqing Medical University; National University of Singapore; National University of Singapore; National University of Singapore</t>
  </si>
  <si>
    <t>Ren, BX (corresponding author), Yangtze Univ, Hlth Sci Ctr, Sch Basic Med, Jingzhou 434023, Peoples R China.;Wang, LZ (corresponding author), Natl Univ Singapore, Canc Sci Inst Singapore, Singapore 117599, Singapore.;Wang, LZ (corresponding author), Natl Univ Singapore, Yong Loo Lin Sch Med, Dept Pharmacol, Singapore 117600, Singapore.</t>
  </si>
  <si>
    <t>boxuren188@163.com; csiwl@nus.edu.sg</t>
  </si>
  <si>
    <t>Ma, Zhaowu/GLN-5157-2022</t>
  </si>
  <si>
    <t>Ma, Zhaowu/0000-0001-7675-1845; Lim, Hannah/0000-0002-9776-9697</t>
  </si>
  <si>
    <t>10.1016/j.canlet.2021.10.013</t>
  </si>
  <si>
    <t>WOS:000712464800002</t>
  </si>
  <si>
    <t>Ghazizadeh, E; Naseri, Z; Jaafari, MR; Forozandeh-Moghadam, M; Hosseinkhani, S</t>
  </si>
  <si>
    <t>Ghazizadeh, Elham; Naseri, Zahra; Jaafari, Mahmoud Reza; Forozandeh-Moghadam, Mehdi; Hosseinkhani, Saman</t>
  </si>
  <si>
    <t>A fires novel report of exosomal electrochemical sensor for sensing micro RNAs by using multi covalent attachment p19 with high sensitivity</t>
  </si>
  <si>
    <t>Exosome; Natural spherical structure; Solid surface; MiR sensing; Electrochemical</t>
  </si>
  <si>
    <t>LABEL FREE DNA; DRUG-DELIVERY; PROTEIN P19; CANCER; COMPOSITE; PLASMA</t>
  </si>
  <si>
    <t>Exosomes are natural spherical phospholipids vesicles derived from cells. Dropping MCF-7 exosome (with high biomarkers as exosomal case) covalently onto the SCPE-GNP causes the sensor to be stable due to the electro-chemical induction of positive charges of different biomarkers with [Fe(CN)6](-3/-4) reactions. In the following, the covalent p19 connection with the biomarkers of exosome turns off the sensor. After adding the hybrid of miR21-probe, its tight coupling to p19 has reestablished the system. As a result, this sensor has been able to detect miR21 with high sensitivity and specificity. For the first time, the exosomal electrochemical properties were proven as the electrochemical amplifier bed. The limit of detection (LOD) was 1 a.M. due to the existence of various biomarkers for connecting covalent to p19. Electrochemical impedance (EIS) and differential pulse voltammetry (DPV) are used for miR sensing on the MCF-7 exosome-p19 composite. Transmission Electron Microscopy (TEM), Atomic Force Microscopy (AFM), Dynamic Light Scattering (DLS) and Ultraviolet Visible (UV) spectroscopic techniques are used to understand the interactions between each layer. These vesicles can be used as a natural source for biocompatible devices that are used in transfection using an electrochemical method at a cost-effective and high-performance basis.</t>
  </si>
  <si>
    <t>[Ghazizadeh, Elham; Naseri, Zahra] Mashhad Univ Med Sci, Sch Med, Dept Med Biotechnol, Mashhad, Iran; [Jaafari, Mahmoud Reza] Mashhad Univ Med Sci, Biotechnol Res Ctr, Nanotechnol Res Ctr, Sch Pharm, Mashhad, Iran; [Forozandeh-Moghadam, Mehdi] Tarbiat Modares Univ, Fac Med Sci, Dept Med Biotechnol, Tehran, Iran; [Hosseinkhani, Saman] Tarbiat Modares Univ, Fac Biol Sci, Dept Biochem, Tehran, Iran</t>
  </si>
  <si>
    <t>Mashhad University Medical Science; Mashhad University Medical Science; Tarbiat Modares University; Tarbiat Modares University</t>
  </si>
  <si>
    <t>Hosseinkhani, S (corresponding author), Tarbiat Modares Univ, Fac Biol Sci, Dept Biochem, Tehran, Iran.</t>
  </si>
  <si>
    <t>saman_h@modares.ac.ir</t>
  </si>
  <si>
    <t>Hosseinkhani, Saman/0000-0002-0345-7909</t>
  </si>
  <si>
    <t>10.1016/j.bios.2018.04.023</t>
  </si>
  <si>
    <t>WOS:000434750100010</t>
  </si>
  <si>
    <t>Tian, WQ; Yin, XM; Wang, LX; Wang, JD; Zhu, W; Cao, JP; Yang, HY</t>
  </si>
  <si>
    <t>Tian, Wenqian; Yin, Xiaoming; Wang, Longxiao; Wang, Jingdong; Zhu, Wei; Cao, Jianping; Yang, Hongying</t>
  </si>
  <si>
    <t>The key role of miR-21-regulated SOD2 in the medium-mediated bystander responses in human fibroblasts induced by alpha-irradiated keratinocytes</t>
  </si>
  <si>
    <t>Radiation-induced bystander effect; Fibroblasts; Keratinocytes; alpha-Particles; miR-21; SOD2</t>
  </si>
  <si>
    <t>INTERCELLULAR COMMUNICATION; IONIZING-RADIATION; OXIDATIVE STRESS; MAMMALIAN-CELLS; LET RADIATION; LUNG-CANCER; DNA-DAMAGE; INDUCTION; PARTICLES; EXOSOMES</t>
  </si>
  <si>
    <t>Radiation-induced bystander effect (RIBE) is well accepted in the radiation research field by now, but the underlying molecular mechanisms for better understanding this phenomenon caused by intercellular communication and intracellular signal transduction are still incomplete. Although our previous study has demonstrated an important role of miR-21 of unirradiated bystander cells in RIBEs, the direct evidence for the hypothesis that RIBE is epigenetically regulated is still limited and how miR-21 mediates RIBEs is unknown. Reactive oxygen species (ROS) have been demonstrated to be involved in RIBEs, however, the roles of anti-oxidative stress system of cells in RIBEs are unclear. Using transwell insert co-culture system, we investigated medium-mediated bystander responses in WS1 human fibroblasts after co-culture with HaCaT keratinocytes traversed by a-particles. Results showed that the ROS levels in unirradiated bystander WS1 cells were significantly elevated after 30 min of co-culture, and 53BP1 foci, a surrogate marker of DNA damage, were obviously induced after 3 h of co-culture. This indicates the occurrence of oxidative stress and DNA damage in bystander WS1 cells after co-culture with irradiated keratinocytes. Furthermore, the expression of miR-21 was increased in bystander WS1 cells, downregulation of miR-21 eliminated the bystander responses, overexpression of miR-21 alone could induce bystander-like oxidative stress and DNA damage in WS1 cells. These data indicate an important mediating role of miR-21 in RIBEs. In addition, MnSOD or SOD2 in WS1 cells was involved in the bystander effects, overexpression of SOD2 abolished the bystander oxidative stress and DNA damage, indicating that SOD2 was critical to the induction of RIBEs. Moreover, we found that miR-21 regulated SOD2, suggesting that miR-21 might mediate bystander responses through its regulation on SOD2. In conclusion, this study revealed a profound role of miR-21-regulated SOD2 of unirradiated WSI cells in bystander effects induced by a-irradiated HaCaT keratinocytes. (C) 2015 Elsevier B.V. All rights reserved.</t>
  </si>
  <si>
    <t>[Tian, Wenqian; Yin, Xiaoming; Wang, Longxiao; Wang, Jingdong; Zhu, Wei; Cao, Jianping; Yang, Hongying] Soochow Univ, Sch Radiat Med &amp; Protect, Coll Med, Suzhou 215123, Jiangsu, Peoples R China; [Tian, Wenqian; Yin, Xiaoming; Wang, Longxiao; Wang, Jingdong; Zhu, Wei; Cao, Jianping; Yang, Hongying] Jiangsu Higher Educ Inst, Collaborat Innovat Ctr Radiat Med, Suzhou 215123, Jiangsu, Peoples R China; [Yang, Hongying] Soochow Univ, Inst Radiotherapy &amp; Oncol, Suzhou 215123, Jiangsu, Peoples R China</t>
  </si>
  <si>
    <t>Yang, HY (corresponding author), Soochow Univ, Sch Radiat Med &amp; Protect, Coll Med, 199 Renal Rd,Suzhou Ind Pk, Suzhou 215123, Jiangsu, Peoples R China.</t>
  </si>
  <si>
    <t>yanghongying@suda.edu.cn</t>
  </si>
  <si>
    <t>10.1016/j.mrfmmm.2015.08.003</t>
  </si>
  <si>
    <t>WOS:000362306000009</t>
  </si>
  <si>
    <t>Janssen, MJ; Arcolino, FO; Schoor, P; Kok, RJ; Mastrobattista, E</t>
  </si>
  <si>
    <t>Janssen, Manoe J.; Arcolino, Fanny O.; Schoor, Perry; Kok, Robbert Jan; Mastrobattista, Enrico</t>
  </si>
  <si>
    <t>Gene based therapies for kidney regeneration</t>
  </si>
  <si>
    <t>EUROPEAN JOURNAL OF PHARMACOLOGY</t>
  </si>
  <si>
    <t>Kidney disease; Gene therapy; CRISPR/Cas9; Viral and non-viral vectors</t>
  </si>
  <si>
    <t>CELL-DERIVED MICROVESICLES; IN-VIVO; MOUSE MODEL; NAKED DNA; MUSCULAR-DYSTROPHY; NONVIRAL VECTORS; DRUG-DELIVERY; RENAL-FAILURE; DISEASE; VIRUS</t>
  </si>
  <si>
    <t>In this review we provide an overview of the expanding molecular toolbox that is available for gene based therapies and how these therapies can be used for a large variety of kidney diseases. Gene based therapies range from restoring gene function in genetic kidney diseases to steering complex molecular pathways in chronic kidney disorders, and can provide a treatment or cure for diseases that otherwise may not be targeted. This approach involves the delivery of recombinant DNA sequences harboring therapeutic genes to improve cell function and thereby promote kidney regeneration. Depending on the therapy, the recombinant DNA will express a gene that directly plays a role in the function of the cell (gene addition), that regulates the expression of an endogenous gene (gene regulation), or that even changes the DNA sequence of endogenous genes (gene editing). Some interventions involve permanent changes in the genome whereas others are only temporary and leave no trace. Efficient and safe delivery are important steps for all gene based therapies and also depend on the mode of action of the therapeutic gene. Here we provide examples on how the different methods can be used to treat various diseases, which technologies are now emerging (such as gene repair through CRISPR/Cas9) and what the opportunities, perspectives, potential and the limitations of these therapies are for the treatment of kidney diseases. (C) 2016 Elsevier B.V. All rights reserved.</t>
  </si>
  <si>
    <t>[Janssen, Manoe J.; Schoor, Perry] Univ Utrecht, Utrecht Inst Pharmaceut Sci, Dept Pharmaceut Sci, Div Pharmacol, NL-3508 TC Utrecht, Netherlands; [Arcolino, Fanny O.] Katholieke Univ Leuven, Grp Biomed Sci, Dept Dev &amp; Regenerat, Organ Syst Cluster, Leuven, Belgium; [Kok, Robbert Jan; Mastrobattista, Enrico] Univ Utrecht, Utrecht Inst Pharmaceut Sci, Dept Pharmaceut, NL-3508 TC Utrecht, Netherlands</t>
  </si>
  <si>
    <t>Utrecht University; KU Leuven; Utrecht University</t>
  </si>
  <si>
    <t>Janssen, MJ (corresponding author), Univ Utrecht, Utrecht Inst Pharmaceut Sci, Dept Pharmaceut Sci, Div Pharmacol, NL-3508 TC Utrecht, Netherlands.</t>
  </si>
  <si>
    <t>m.j.janssen1@un.nl</t>
  </si>
  <si>
    <t>Arcolino, Fanny Oliveira/L-2367-2018; Kok, Robbert/AAX-9863-2020; Janssen, Manoe/AAM-5579-2020; Mastrobattista, Enrico/O-6670-2016</t>
  </si>
  <si>
    <t>Arcolino, Fanny Oliveira/0000-0003-2207-9699; Kok, Robbert/0000-0003-4933-3968; Janssen, Manoe/0000-0002-0544-8096; Mastrobattista, Enrico/0000-0002-6745-2015</t>
  </si>
  <si>
    <t>0014-2999</t>
  </si>
  <si>
    <t>1879-0712</t>
  </si>
  <si>
    <t>10.1016/j.ejphar.2016.07.037</t>
  </si>
  <si>
    <t>WOS:000385531800013</t>
  </si>
  <si>
    <t>Lanfranco, R; Jana, PK; Tunesi, L; Cicuta, P; Mognetti, BM; Di Michele, L; Bruylants, G</t>
  </si>
  <si>
    <t>Lanfranco, Roberta; Jana, Pritam Kumar; Tunesi, Lucia; Cicuta, Pietro; Mognetti, Bortolo Matteo; Di Michele, Lorenzo; Bruylants, Gilles</t>
  </si>
  <si>
    <t>Kinetics of Nanoparticle-Membrane Adhesion Mediated by Multivalent Interactions</t>
  </si>
  <si>
    <t>EXTRACELLULAR VESICLES; DNA NANOSTRUCTURES; CELL-ADHESION; STRANDED-DNA; BINDING; COMMUNICATION; POLYMER; THERMODYNAMICS; HYBRIDIZATION; TRAFFICKING</t>
  </si>
  <si>
    <t>Multivalent adhesive interactions mediated by a large number of ligands and receptors underpin many biological processes, including cell adhesion and the uptake of particles, viruses, parasites, and nanomedical vectors. In materials science, multivalent interactions between colloidal particles have enabled unprecedented control over the phase behavior of self-assembled materials. Theoretical and experimental studies have pinpointed the relationship between equilibrium states and microscopic system parameters such as the ligand-receptor binding strength and their density. In regimes of strong interactions, however, kinetic factors are expected to slow down equilibration and lead to the emergence of long-lived out-of-equilibrium states that may significantly influence the outcome of self-assembly experiments and the adhesion of particles to biological membranes. Here we experimentally investigate the kinetics of adhesion of nanoparticles to biomimetic lipid membranes. Multivalent interactions are reproduced by strongly interacting DNA constructs, playing the role of both ligands and receptors. The rate of nanoparticle adhesion is investigated as a function of the surface density of membrane-anchored receptors and the bulk concentration of nanoparticles and is observed to decrease substantially in regimes where the number of available receptors is limited compared to the overall number of ligands. We attribute such peculiar behavior to the rapid sequestration of available receptors after initial nanoparticle adsorption. The experimental trends and the proposed interpretation are supported by numerical simulations.</t>
  </si>
  <si>
    <t>[Lanfranco, Roberta; Tunesi, Lucia; Cicuta, Pietro; Di Michele, Lorenzo] Univ Cambridge, Cavendish Lab, Biol &amp; Soft Syst, JJ Thomson Ave, Cambridge CB3 0HE, England; [Lanfranco, Roberta; Bruylants, Gilles] ULB, Engn Mol NanoSyst, 50 Av FD Roosevelt, B-1050 Brussels, Belgium; [Jana, Pritam Kumar; Mognetti, Bortolo Matteo] ULB, Interdisciplinary Ctr Nonlinear Phenomena &amp; Compl, Campus Plaine,CP 231,Blvd Triomphe, B-1050 Brussels, Belgium</t>
  </si>
  <si>
    <t>University of Cambridge; Universite Libre de Bruxelles; Universite Libre de Bruxelles</t>
  </si>
  <si>
    <t>Lanfranco, R; Di Michele, L (corresponding author), Univ Cambridge, Cavendish Lab, Biol &amp; Soft Syst, JJ Thomson Ave, Cambridge CB3 0HE, England.;Lanfranco, R; Bruylants, G (corresponding author), ULB, Engn Mol NanoSyst, 50 Av FD Roosevelt, B-1050 Brussels, Belgium.</t>
  </si>
  <si>
    <t>rl578@cam.ac.uk; ld389@cam.ac.uk; gbruylan@ulb.ac.be</t>
  </si>
  <si>
    <t>Di Michele, Lorenzo/K-2878-2015; Mognetti, Bortolo Matteo/C-6255-2008; Bruylants, Gilles/L-1372-2018; Jana, Pritam Kumar/AAD-9919-2022</t>
  </si>
  <si>
    <t>Di Michele, Lorenzo/0000-0002-1458-9747; Mognetti, Bortolo Matteo/0000-0002-7960-8224; Bruylants, Gilles/0000-0003-1752-5826; Jana, Pritam Kumar/0000-0001-6568-6734; Cicuta, Pietro/0000-0002-9193-8496</t>
  </si>
  <si>
    <t>10.1021/acs.langmuir.8b02707</t>
  </si>
  <si>
    <t>WOS:000458937400002</t>
  </si>
  <si>
    <t>Tarakanchikova, Y; Muslimov, A; Sergeev, I; Lepik, K; Yolshin, N; Goncharenko, A; Vasilyev, K; Eliseev, I; Bukatin, A; Sergeev, V; Pavlov, S; Popov, A; Meglinski, I; Afanasiev, B; Parakhonskiy, B; Sukhorukov, G; Gorin, D</t>
  </si>
  <si>
    <t>Tarakanchikova, Yana; Muslimov, Albert; Sergeev, Igor; Lepik, Kirill; Yolshin, Nikita; Goncharenko, Alexander; Vasilyev, Kirill; Eliseev, Igor; Bukatin, Anton; Sergeev, Vladislav; Pavlov, Sergey; Popov, Alexey; Meglinski, Igor; Afanasiev, Boris; Parakhonskiy, Bogdan; Sukhorukov, Gleb; Gorin, Dmitry</t>
  </si>
  <si>
    <t>A highly efficient and safe gene delivery platform based on polyelectrolyte core-shell nanoparticles for hard-to-transfect clinically relevant cell types</t>
  </si>
  <si>
    <t>CONSECUTIVELY ALTERNATING ADSORPTION; MESSENGER-RNA; CALCIUM-CARBONATE; EXTRACELLULAR VESICLES; NONVIRAL DELIVERY; THERAPY PROGRESS; MULTILAYER FILMS; DENDRITIC CELLS; VIRAL VECTORS; IN-VITRO</t>
  </si>
  <si>
    <t>While DNA and messenger RNA (mRNA) based therapies are currently changing the biomedical field, the delivery of genetic materials remains the key problem preventing the wide introduction of these methods into clinical practice. Therefore, the creation of new methods for intracellular gene delivery, particularly to hard-to-transfect, clinically relevant cell populations is a pressing issue. Here, we report on the design of a novel approach to format 50-150 nm calcium carbonate particles in the vaterite state and using them as a template for polymeric core-shell nanoparticles. We apply such core-shell nanoparticles as safe and efficient carriers for mRNA and pDNA. We prove that such nanocarriers are actively internalized by up to 99% of primary T-lymphocytes and exert minimal toxicity with the viability of &gt;90%. We demonstrate that these nanocarriers mediate more efficient transfection compared with the standard electroporation method (90% vs. 51% for mRNA and 62% vs. 39% for plasmid DNA) in primary human T-lymphocytes as a model of the hard to transfect type that is widely used in gene and cell therapy approaches. Importantly, these polymeric nanocarriers can be used in serum containing basic culture medium without special conditions and equipment, thus having potential for being introduced in clinical development. As a result, we have provided proof-of-principle that our nanosized containers represent a promising universal non-viral platform for efficient and safe gene delivery.</t>
  </si>
  <si>
    <t>[Tarakanchikova, Yana; Popov, Alexey; Meglinski, Igor] Univ Oulu, Optoelect &amp; Measurement Tech Res Unit, Oulu 90014, Finland; [Tarakanchikova, Yana; Muslimov, Albert; Goncharenko, Alexander; Eliseev, Igor; Bukatin, Anton] Alferov Univ, Nanobiotechnol Lab, St Petersburg 194021, Russia; [Tarakanchikova, Yana; Sukhorukov, Gleb] Peter Great St Petersburg Polytech Univ, St Petersburg 195251, Russia; [Tarakanchikova, Yana; Muslimov, Albert; Lepik, Kirill; Goncharenko, Alexander] QR Bio Ltd Liabil Co, St Petersburg 191119, Russia; [Sergeev, Igor; Gorin, Dmitry] Skolkovo Inst Sci &amp; Technol, Ctr Photon &amp; Quantum Mat 11, Moscow 143026, Russia; [Lepik, Kirill; Sergeev, Vladislav; Afanasiev, Boris] First IP Pavlov State Med Univ St Petersburg, St Petersburg 197022, Russia; [Yolshin, Nikita; Vasilyev, Kirill] Res Inst Influenza, St Petersburg 197376, Russia; [Pavlov, Sergey] Ioffe Inst, St Petersburg 194021, Russia; [Popov, Alexey] VTT Tech Res Ctr Finland, Kaitovayla 1, Oulu 90590, Finland; [Parakhonskiy, Bogdan] Univ Ghent, Fac Biosci Engn, B-9000 Ghent, Belgium; [Sukhorukov, Gleb] Queen Mary Univ London, Sch Engn &amp; Mat Sci, London E1 4NS, England; [Sukhorukov, Gleb; Gorin, Dmitry] Saratov NG Chernyshevskii State Univ, Educ Res Inst Nanostruct &amp; Biosyst, Saratov 410012, Russia</t>
  </si>
  <si>
    <t>University of Oulu; Peter the Great St. Petersburg Polytechnic University; Skolkovo Institute of Science &amp; Technology; Pavlov First Saint Petersburg State Medical University; Russian Academy of Sciences; St. Petersburg Scientific Centre of the Russian Academy of Sciences; Ioffe Physical Technical Institute; VTT Technical Research Center Finland; Ghent University; University of London; Queen Mary University London; Saratov State University</t>
  </si>
  <si>
    <t>Tarakanchikova, Y (corresponding author), Univ Oulu, Optoelect &amp; Measurement Tech Res Unit, Oulu 90014, Finland.;Tarakanchikova, Y (corresponding author), Alferov Univ, Nanobiotechnol Lab, St Petersburg 194021, Russia.;Tarakanchikova, Y (corresponding author), Peter Great St Petersburg Polytech Univ, St Petersburg 195251, Russia.;Tarakanchikova, Y (corresponding author), QR Bio Ltd Liabil Co, St Petersburg 191119, Russia.</t>
  </si>
  <si>
    <t>yana.tarakanchikova@gmail.com</t>
  </si>
  <si>
    <t>Sergeev, Igor/AAC-7296-2022; Parakhonskiy, Bogdan/E-8956-2012; Gorin, Dmitry A./D-8324-2013; Yolshin, Nikita/AAK-5806-2021; Eliseev, Igor E./E-2488-2014; Lepik, Kirill/AAN-7157-2021; Vasilev, Kirill/I-8895-2018; Sergeev, Vladislav/ABG-2652-2021</t>
  </si>
  <si>
    <t>Parakhonskiy, Bogdan/0000-0002-6481-3700; Gorin, Dmitry A./0000-0001-8760-615X; Eliseev, Igor E./0000-0002-3344-2513; Lepik, Kirill/0000-0002-4056-050X; Vasilev, Kirill/0000-0002-7750-9652; Muslimov, Albert/0000-0001-5736-2764; Popov, Alexey/0000-0002-1417-6715; Sergeev, Vladislav/0000-0002-2103-6737; Tarakanchikova, Yana/0000-0002-3671-2881</t>
  </si>
  <si>
    <t>10.1039/d0tb01359e</t>
  </si>
  <si>
    <t>WOS:000582937800013</t>
  </si>
  <si>
    <t>Darvish, A; Goyal, G; Aneja, R; Sundaram, RVK; Lee, K; Ahn, CW; Kim, KB; Vlahovska, PM; Kim, MJ</t>
  </si>
  <si>
    <t>Darvish, Armin; Goyal, Gaurav; Aneja, Rachna; Sundaram, Ramalingam V. K.; Lee, Kidan; Ahn, Chi Won; Kim, Ki-Bum; Vlahovska, Petia M.; Kim, Min Jun</t>
  </si>
  <si>
    <t>Nanoparticle mechanics: deformation detection via nanopore resistive pulse sensing</t>
  </si>
  <si>
    <t>SOLID-STATE NANOPORES; ELECTRIC-FIELDS; LIPID-BILAYERS; GIANT VESICLES; SYNTHETIC NANOPORE; MEMBRANE CURVATURE; SHAPED NANOPORES; SINGLE-PARTICLE; ELECTROPORATION; DNA</t>
  </si>
  <si>
    <t>Solid-state nanopores have been widely used in the past for single-particle analysis of nanoparticles, liposomes, exosomes and viruses. The shape of soft particles, particularly liposomes with a bilayer membrane, can greatly differ inside the nanopore compared to bulk solution as the electric field inside the nanopores can cause liposome electrodeformation. Such deformations can compromise size measurement and characterization of particles, but are often neglected in nanopore resistive pulse sensing. In this paper, we investigated the deformation of various liposomes inside nanopores. We observed a significant difference in resistive pulse characteristics between soft liposomes and rigid polystyrene nanoparticles especially at higher applied voltages. We used theoretical simulations to demonstrate that the difference can be explained by shape deformation of liposomes as they translocate through the nanopores. Comparing our results with the findings from electrodeformation experiments, we demonstrated that the rigidity of liposomes can be qualitatively compared using resistive pulse characteristics. This application of nanopores can provide new opportunities to study the mechanics at the nanoscale, to investigate properties of great value in fundamental biophysics and cellular mechanobiology, such as virus deformability and fusogenicity, and in applied sciences for designing novel drug/gene delivery systems.</t>
  </si>
  <si>
    <t>[Darvish, Armin; Goyal, Gaurav; Sundaram, Ramalingam V. K.; Kim, Min Jun] Drexel Univ, Sch Biomed Engn Sci &amp; Hlth Syst, Philadelphia, PA 19104 USA; [Darvish, Armin; Goyal, Gaurav; Kim, Min Jun] Drexel Univ, Dept Mech Engn &amp; Mech, Philadelphia, PA 19104 USA; [Aneja, Rachna; Sundaram, Ramalingam V. K.] Drexel Univ, Coll Med, Dept Biochem &amp; Mol Biol, Philadelphia, PA 19102 USA; [Lee, Kidan; Kim, Ki-Bum] Seoul Natl Univ, Dept Mat Sci &amp; Engn, Seoul 151742, South Korea; [Ahn, Chi Won] Korea Adv Inst Sci &amp; Technol, Natl Nanofab Ctr, Dept Nanostruct Mat Res, Daejeon 305806, South Korea; [Vlahovska, Petia M.] Brown Univ, Sch Engn, Providence, RI 02912 USA</t>
  </si>
  <si>
    <t>Drexel University; Drexel University; Drexel University; Seoul National University (SNU); Korea Advanced Institute of Science &amp; Technology (KAIST); Brown University</t>
  </si>
  <si>
    <t>Kim, MJ (corresponding author), Drexel Univ, Sch Biomed Engn Sci &amp; Hlth Syst, Philadelphia, PA 19104 USA.;Kim, MJ (corresponding author), Drexel Univ, Dept Mech Engn &amp; Mech, Philadelphia, PA 19104 USA.</t>
  </si>
  <si>
    <t>mkim@coe.drexel.edu</t>
  </si>
  <si>
    <t>Ahn, Chi Won/S-7882-2016; Vlahovska, Petia/V-4170-2019; Kalyana Sundaram, Ramalingam Venkat/T-7840-2018; Vlahovska, Petia/L-9950-2017; Kim, Sung Jae/K-5012-2012</t>
  </si>
  <si>
    <t>Vlahovska, Petia/0000-0001-7549-930X; Kalyana Sundaram, Ramalingam Venkat/0000-0002-0232-4186; KIM, MINJUN/0000-0002-0819-1644; Darvish, Armin/0000-0002-9202-2316</t>
  </si>
  <si>
    <t>10.1039/c6nr03371g</t>
  </si>
  <si>
    <t>WOS:000381417800011</t>
  </si>
  <si>
    <t>Wan, JJ; Yourshaw, M; Mamsa, H; Rudnik-Schoneborn, S; Menezes, MP; Hong, JE; Leong, DW; Senderek, J; Salman, MS; Chitayat, D; Seeman, P; von Moers, A; Graul-Neumann, L; Kornberg, AJ; Castro-Gago, M; Sobrido, MJ; Sanefuji, M; Shieh, PB; Salamon, N; Kim, RC; Vinters, HV; Chen, ZG; Zerres, K; Ryan, MM; Nelson, SF; Jen, JC</t>
  </si>
  <si>
    <t>Wan, Jijun; Yourshaw, Michael; Mamsa, Hafsa; Rudnik-Schoeneborn, Sabine; Menezes, Manoj P.; Hong, Ji Eun; Leong, Derek W.; Senderek, Jan; Salman, Michael S.; Chitayat, David; Seeman, Pavel; von Moers, Arpad; Graul-Neumann, Luitgard; Kornberg, Andrew J.; Castro-Gago, Manuel; Sobrido, Maria-Jesus; Sanefuji, Masafumi; Shieh, Perry B.; Salamon, Noriko; Kim, Ronald C.; Vinters, Harry V.; Chen, Zugen; Zerres, Klaus; Ryan, Monique M.; Nelson, Stanley F.; Jen, Joanna C.</t>
  </si>
  <si>
    <t>Mutations in the RNA exosome component gene EXOSC3 cause pontocerebellar hypoplasia and spinal motor neuron degeneration</t>
  </si>
  <si>
    <t>NATURE GENETICS</t>
  </si>
  <si>
    <t>HORN CELL DISEASE; CEREBELLAR HYPOPLASIA; HEXANUCLEOTIDE REPEAT; ATROPHY; GENOME; EXPANSION; FRAMEWORK; C9ORF72; TYPE-1; REGION</t>
  </si>
  <si>
    <t>RNA exosomes are multi-subunit complexes conserved throughout evolution(1) and are emerging as the major cellular machinery for processing, surveillance and turnover of a diverse spectrum of coding and noncoding RNA substrates essential for viability(2). By exome sequencing, we discovered recessive mutations in EXOSC3 (encoding exosome component 3) in four siblings with infantile spinal motor neuron disease, cerebellar atrophy, progressive microcephaly and profound global developmental delay, consistent with pontocerebellar hypoplasia type 1 (PCH1; MIM 607596)(3-6). We identified mutations in EXOSC3 in an additional 8 of 12 families with PCH1. Morpholino knockdown of exosc3 in zebrafish embryos caused embryonic maldevelopment, resulting in small brain size and poor motility, reminiscent of human clinical features, and these defects were largely rescued by co-injection with wild-type but not mutant exosc3 mRNA. These findings represent the first example of an RNA exosome core component gene that is responsible for a human disease and further implicate dysregulation of RNA processing in cerebellar and spinal motor neuron maldevelopment and degeneration.</t>
  </si>
  <si>
    <t>[Wan, Jijun; Mamsa, Hafsa; Hong, Ji Eun; Leong, Derek W.; Shieh, Perry B.; Vinters, Harry V.; Jen, Joanna C.] Univ Calif Los Angeles, Dept Neurol, Los Angeles, CA 90024 USA; [Yourshaw, Michael; Chen, Zugen; Nelson, Stanley F.] Univ Calif Los Angeles, Dept Human Genet, Los Angeles, CA USA; [Rudnik-Schoeneborn, Sabine; Zerres, Klaus] Univ Hosp Rhein Westfal TH RWTH Aachen, Fac Med, Inst Human Genet, Aachen, Germany; [Menezes, Manoj P.] Childrens Hosp Westmead, Inst Neurosci &amp; Muscle Res, Westmead, NSW, Australia; [Senderek, Jan] Univ Hosp RWTH Aachen, Fac Med, Inst Neuropathol, Aachen, Germany; [Salman, Michael S.] Childrens Hosp, Sect Pediat Neurol, Winnipeg, MB R3A 1S1, Canada; [Salman, Michael S.] Univ Manitoba, Dept Pediat &amp; Child Hlth, Winnipeg, MB R3T 2N2, Canada; [Chitayat, David] Univ Toronto, Mt Sinai Hosp, Dept Obstet &amp; Gynecol, Prenatal Diag &amp; Med Genet Program, Toronto, ON M5G 1X5, Canada; [Chitayat, David] Univ Toronto, Hosp Sick Children, Div Clin &amp; Metab Genet, Toronto, ON M5G 1X8, Canada; [Seeman, Pavel] Charles Univ Prague, Sch Med 2, Dept Child Neurol, DNA Lab, Prague, Czech Republic; [Seeman, Pavel] Univ Hosp Motol, Prague, Czech Republic; [von Moers, Arpad] Deutsch Rotes Kreuz DRK Kliniken Berlin Westend, Dept Pediat, Berlin, Germany; [Graul-Neumann, Luitgard] Charite, Inst Med &amp; Human Genet, D-13353 Berlin, Germany; [Kornberg, Andrew J.; Ryan, Monique M.] Univ Melbourne, Murdoch Childrens Res Inst, Royal Childrens Hosp, Melbourne, Qld, Australia; [Castro-Gago, Manuel] Univ Santiago de Compostela, Fac Med, Dept Pediat, Serv Neuropediat,Hosp Clin Univ, Santiago De Compostela, Spain; [Sobrido, Maria-Jesus] Clin Hosp Santiago de Compostela, Serv Galego Saude SERGAS, Fdn Publ Galega Med Xen, Santiago De Compostela, Spain; [Sobrido, Maria-Jesus] Inst Hlth Carlos III, Ctr Biomed Network Res Rare Dis CIBERER, Barcelona, Spain; [Sanefuji, Masafumi] Kyushu Univ, Grad Sch Med Sci, Fukuoka 812, Japan; [Salamon, Noriko] Univ Calif Los Angeles, Dept Radiol, Los Angeles, CA USA; [Kim, Ronald C.] Univ Calif Irvine, Dept Pathol, Irvine, CA 92717 USA; [Kim, Ronald C.] Univ Calif Irvine, Dept Neurol, Irvine, CA 92717 USA; [Vinters, Harry V.; Nelson, Stanley F.] Univ Calif Los Angeles, Dept Pathol &amp; Lab Med, Los Angeles, CA USA; [Nelson, Stanley F.] Univ Calif Los Angeles, Dept Psychiat, Los Angeles, CA USA</t>
  </si>
  <si>
    <t>University of California System; University of California Los Angeles; University of California System; University of California Los Angeles; University of Sydney; RWTH Aachen University; RWTH Aachen University Hospital; University of Manitoba; Children's Hospital Research Institute of Manitoba; University of Manitoba; University of Toronto; Sinai Health System Toronto; Lunenfeld Tanenbaum Research Institute; University of Toronto; Hospital for Sick Children (SickKids); Charles University Prague; Motol University Hospital; Free University of Berlin; Humboldt University of Berlin; Charite Universitatsmedizin Berlin; Murdoch Children's Research Institute; Royal Children's Hospital Brisbane; Royal Children's Hospital Melbourne; University of Melbourne; Complexo Hospitalario Universitario de Santiago de Compostela; Universidade de Santiago de Compostela; Complexo Hospitalario Universitario de Santiago de Compostela; CIBER - Centro de Investigacion Biomedica en Red; CIBERER; Kyushu University; University of California System; University of California Los Angeles; University of California System; University of California Irvine; University of California System; University of California Irvine; University of California System; University of California Los Angeles; University of California System; University of California Los Angeles</t>
  </si>
  <si>
    <t>Jen, JC (corresponding author), Univ Calif Los Angeles, Dept Neurol, Los Angeles, CA 90024 USA.</t>
  </si>
  <si>
    <t>jjen@ucla.edu</t>
  </si>
  <si>
    <t>Menezes, Manoj/K-6372-2012; Ryan, Monique Marie/AAG-9870-2019; Rudnik-Schöneborn, Sabine/F-8473-2015; Nelson, Stanley F/D-4771-2009; Senderek, Jan/F-8405-2015; Yourshaw, Michael/F-9807-2015</t>
  </si>
  <si>
    <t>Nelson, Stanley F/0000-0002-2082-3114; Senderek, Jan/0000-0002-8263-1783; Ryan, Monique/0000-0001-6397-1910; Yourshaw, Michael/0000-0001-7612-0437; Menezes, Manoj/0000-0003-3160-6112; Salman, Michael S./0000-0002-0564-7044</t>
  </si>
  <si>
    <t>1061-4036</t>
  </si>
  <si>
    <t>1546-1718</t>
  </si>
  <si>
    <t>U134</t>
  </si>
  <si>
    <t>10.1038/ng.2254</t>
  </si>
  <si>
    <t>WOS:000304551100020</t>
  </si>
  <si>
    <t>Ishikawa, Y; Wu, LNY; Genge, BR; Mwale, F; Wuthier, RE</t>
  </si>
  <si>
    <t>Effects of calcitonin and parathyroid hormone on calcification of primary cultures of chicken growth plate chondrocytes</t>
  </si>
  <si>
    <t>JOURNAL OF BONE AND MINERAL RESEARCH</t>
  </si>
  <si>
    <t>16th Annual Meeting of the American-Society-for-Bone-and-Mineral-Research</t>
  </si>
  <si>
    <t>SEP 09-13, 1994</t>
  </si>
  <si>
    <t>KANSAS CITY, MO</t>
  </si>
  <si>
    <t>ALKALINE-PHOSPHATASE ACTIVITY; PELVIC CARTILAGE INVITRO; EPIPHYSEAL CHONDROCYTES; OVARIECTOMIZED RATS; STIMULATES GROWTH; MATRIX VESICLES; FACTOR-BETA; BONE; SERUM; MINERALIZATION</t>
  </si>
  <si>
    <t>Few studies have been directed toward elucidating the action of calcitonin (CT) and parathyroid hormone (PLH) on growth plate chondrocytes, cells directly involved in longitudinal bone growth and provisional calcification, In this study, primary cultures of avian growth plate chondrocytes that calcify without the supplement of beta-glycerophosphate were used to investigate the effects of synthetic human CT and 1-34 bovine PTH on (1) cell division and growth; (2) the deposition of Ca2+ and inorganic phosphate (Pi); (3) the activity of alkaline phosphatase (AP), an enzyme long associated with the mineralization process; (4) the levels of proteoglycans; and (5) the synthesis of collagens, Added continually to preconfluent cultures from day 6 until hat-vest, CT (1-30 nM) and PTH (0.1-1.0 nM) increased mineral deposition; the maximal increase was seen between days 18-21 at 10 nM CT (175-260%) and 0.5 nM PTH (similar to 170-280%), both p &lt; 0.001, er had no significant effect on cellular protein, or AP-specific activity, whereas PTH increased cellular protein, DNA, proteoglycan, and collagen content of the cultures in a dosage-dependent manner, AP activity and levels of Type II and X collagens and fibronectin in the culture medium showed a biphasic response to PTH; maximal increases were seen at 0.5 nM between days 15-18, Longer exposure (days 21-27) to PTH at higher levels (5-10 nM) caused a marked decrease in AP activity but: a lesser decrease in the collagens, These results indicate that CT and PTH can act directly on chondrocytes to stimulate mineralization, but that PTH specifically stimulated cell division and synthesis of cellular and extracellular proteins by growth plate chondrocytes, The implications of these findings with regard to Ca2+ homeostasis and bone formation are discussed.</t>
  </si>
  <si>
    <t>UNIV S CAROLINA,DEPT CHEM &amp; BIOCHEM,COLUMBIA,SC 29208; UNIV S CAROLINA,SCH MED,COLUMBIA,SC 29208; MCGILL UNIV,SHRINERS HOSP,JOINT DIS LAB,MONTREAL,PQ,CANADA</t>
  </si>
  <si>
    <t>University of South Carolina; University of South Carolina System; University of South Carolina Columbia; University of South Carolina; University of South Carolina System; University of South Carolina Columbia; McGill University</t>
  </si>
  <si>
    <t>0884-0431</t>
  </si>
  <si>
    <t>10.1359/jbmr.1997.12.3.356</t>
  </si>
  <si>
    <t>WOS:A1997WN14800007</t>
  </si>
  <si>
    <t>Reimers, N; Pantel, K</t>
  </si>
  <si>
    <t>Reimers, Natalie; Pantel, Klaus</t>
  </si>
  <si>
    <t>Liquid biopsy: novel technologies and clinical applications</t>
  </si>
  <si>
    <t>CLINICAL CHEMISTRY AND LABORATORY MEDICINE</t>
  </si>
  <si>
    <t>2nd Strategic Conference of the European-Federation-for-Clinical-Chemistry-and-Laboratory-Medicine (EFLM)</t>
  </si>
  <si>
    <t>JUN 18-19, 2018</t>
  </si>
  <si>
    <t>Mannheim, GERMANY</t>
  </si>
  <si>
    <t>circulating tumor cells; liquid biopsy; minimal residual disease</t>
  </si>
  <si>
    <t>CIRCULATING TUMOR-CELLS; BREAST-CANCER PATIENTS; POOLED ANALYSIS; EDUCATED PLATELETS; IDENTIFICATION; EXOSOMES; CHALLENGES; DNA</t>
  </si>
  <si>
    <t>Liquid biopsy was introduced as a new diagnostic concept in 2010 for the analysis of circulating tumor cells (CTCs) and has been now extended to material (in particular DNA) released by tumor cells in the peripheral blood of cancer patients. Over the past decade, various methods have been developed to detect CTCs and ctDNA in the peripheral blood of cancer patients.</t>
  </si>
  <si>
    <t>[Pantel, Klaus] Univ Med Ctr Hamburg Eppendorf, Dept Tumor Biol, Martinistr 52, D-20246 Hamburg, Germany; [Reimers, Natalie] Univ Med Ctr Hamburg Eppendorf, Dept Tumor Biol, Hamburg, Germany</t>
  </si>
  <si>
    <t>University of Hamburg; University Medical Center Hamburg-Eppendorf; University of Hamburg; University Medical Center Hamburg-Eppendorf</t>
  </si>
  <si>
    <t>Pantel, K (corresponding author), Univ Med Ctr Hamburg Eppendorf, Dept Tumor Biol, Martinistr 52, D-20246 Hamburg, Germany.</t>
  </si>
  <si>
    <t>pantel@uke.de</t>
  </si>
  <si>
    <t>Reimers, Natalie/AGH-4499-2022</t>
  </si>
  <si>
    <t>Reimers, Natalie/0000-0002-4149-8672</t>
  </si>
  <si>
    <t>1434-6621</t>
  </si>
  <si>
    <t>1437-4331</t>
  </si>
  <si>
    <t>10.1515/cclm-2018-0610</t>
  </si>
  <si>
    <t>WOS:000460119400003</t>
  </si>
  <si>
    <t>Chandler, M; Ke, WN; Halman, JR; Panigaj, M; Afonin, KA</t>
  </si>
  <si>
    <t>Goncalves, G; Tobias, G</t>
  </si>
  <si>
    <t>Chandler, Morgan; Ke, Weina; Halman, Justin R.; Panigaj, Martin; Afonin, Kirill A.</t>
  </si>
  <si>
    <t>Reconfigurable Nucleic Acid Materials for Cancer Therapy</t>
  </si>
  <si>
    <t>NANOONCOLOGY: ENGINEERING NANOMATERIALS FOR CANCER THERAPY AND DIAGNOSIS</t>
  </si>
  <si>
    <t>Nanomedicine and Nanotoxicology</t>
  </si>
  <si>
    <t>RNA nanotechnology; Immunology; Drug delivery; Dynamic RNA nanoparticles; RNA self-assembly</t>
  </si>
  <si>
    <t>CELL-DERIVED EXOSOMES; IN-VITRO SELECTION; CYTOSOLIC DNA SENSOR; RNA NANOPARTICLES; CPG DNA; STRUCTURE PREDICTION; TARGETED TRANSPORT; PROSTATE-CANCER; SIRNA DELIVERY; APTAMER</t>
  </si>
  <si>
    <t>According to the WHO, we can expect the rise of around 24 million new cases of cancer per year by around 2030 worldwide, which is a 70% increase from 2012. The molecular key players leading to cancer are heterogeneous in respect to tissue origin and may vary from patient to patient, calling for an individualized approach. Nucleic acid biopolymers (DNA and RNA) lend themselves toward applications in personalized therapeutics with high programmability based on their primary structure of five building blocks as well as biocompatibility based on established roles and functional abilities in vivo. Based on the last decades of advances in synthetic methods and natural functions of RNA, various pathways for the regulation of gene expression and DNA/RNA protein binding pathways have been uncovered, leading to the development of novel nanoparticle formulations with governing design principles. For the translation of such approaches into the clinic, the immunogenicity, strategies for delivery, and integration of mechanisms for conditional activation of therapeutic nucleic acids are explored.</t>
  </si>
  <si>
    <t>[Chandler, Morgan; Ke, Weina; Halman, Justin R.; Afonin, Kirill A.] Univ North Carolina Charlotte, Dept Chem, Nanoscale Sci Program, Charlotte, NC 28223 USA; [Panigaj, Martin] Pavol Jozef Safarik Univ, Fac Sci, Inst Biol &amp; Ecol, Kosice 04154, Slovakia; [Afonin, Kirill A.] Univ North Carolina Charlotte, Ctr Biomed Engn &amp; Sci, Charlotte, NC 28223 USA</t>
  </si>
  <si>
    <t>University of North Carolina; University of North Carolina Charlotte; University of Pavol Jozef Safarik Kosice; University of North Carolina; University of North Carolina Charlotte</t>
  </si>
  <si>
    <t>Afonin, KA (corresponding author), Univ North Carolina Charlotte, Dept Chem, Nanoscale Sci Program, Charlotte, NC 28223 USA.</t>
  </si>
  <si>
    <t>kafonin@uncc.edu</t>
  </si>
  <si>
    <t>2194-0452</t>
  </si>
  <si>
    <t>2194-0460</t>
  </si>
  <si>
    <t>978-3-319-89878-0; 978-3-319-89877-3</t>
  </si>
  <si>
    <t>10.1007/978-3-319-89878-0_11</t>
  </si>
  <si>
    <t>10.1007/978-3-319-89878-0</t>
  </si>
  <si>
    <t>Oncology; Engineering, Biomedical; Nanoscience &amp; Nanotechnology</t>
  </si>
  <si>
    <t>Oncology; Engineering; Science &amp; Technology - Other Topics</t>
  </si>
  <si>
    <t>WOS:000444887200011</t>
  </si>
  <si>
    <t>Cressey, P; Bronstein, LG; Benmahmoudi, R; Rosilio, V; Regeard, C; Makky, A</t>
  </si>
  <si>
    <t>Cressey, Paul; Bronstein, Louis-Gabriel; Benmahmoudi, Rayene; Rosilio, Veronique; Regeard, Christophe; Makky, Ali</t>
  </si>
  <si>
    <t>Novel liposome-like assemblies composed of phospholipid-porphyrin conjugates with photothermal and photodynamic activities against bacterial biofilms</t>
  </si>
  <si>
    <t>Phospholipid-porphyrin conjugate; Photodynamic therapy; Photothermal therapy; Biofilm</t>
  </si>
  <si>
    <t>PSEUDOMONAS-AERUGINOSA; EXTRACELLULAR DNA; IN-VITRO; MECHANISMS; RESISTANCE; CONVERSION; PHOTOSENSITIZERS; THERAPY; RELEASE; MATRIX</t>
  </si>
  <si>
    <t>Phospholipid-Porphyrin (PL-Por) conjugates are unique building blocks that can self assemble into liposome-like structures with improved photophysical properties compared to their monomeric counterparts. The high packing density of porphyrin moieties enables these assemblies to exhibit high photothermal conversion efficiency as well as photodynamic activity. Thus, PL-Por conjugates assemblies can be used for photodynamic therapy (PDT) and photothermal therapy (PTT) applications against resistant bacteria and biofilms. In order to tune the PD/PT properties of such nanosystems, we developed six different supramolecular assemblies composed of newly synthesized PL-Por conjugates bearing either pheophorbide-a (PhxLPC) or pyropheophorbide-a (PyrxLPC) photosensitizers (PSs) for combined PDT/PTT against planktonic bacteria and their biofilms. In this study, the influence of the chemical structure of the phospholipid backbone as well as that of the PS on the photothermal conversion efficiency, the photodynamic activity and the stability of these assemblies in biological medium were determined. Then their antimicrobial efficiency was assessed on S. aureus and P. aeruginosa planktonic cultures and biofilms. The two studied systems show almost the same photothermal effect against planktonic cultures and biofilms of S. aureus and P. aeruginosa. However, PhxLPC vesicles exhibit superior photodynamic activity, making them the best combination for PTT/PDT. Such results highlight the higher potential of the photodynamic activity of PL-Por nanoassemblies compared to their photothermal conversion in combating bacterial infections.</t>
  </si>
  <si>
    <t>[Cressey, Paul; Bronstein, Louis-Gabriel; Benmahmoudi, Rayene; Rosilio, Veronique; Makky, Ali] Univ Paris Saclay, Inst Galien Paris Saclay, CNRS, F-92296 Chatenay Malabry, France; [Benmahmoudi, Rayene; Regeard, Christophe] Univ Paris Saclay, Inst Integrat Biol Cell I2BC, CEA, CNRS, F-91198 Gif Sur Yvette, France</t>
  </si>
  <si>
    <t>Centre National de la Recherche Scientifique (CNRS); UDICE-French Research Universities; Universite Paris Saclay; CEA; Centre National de la Recherche Scientifique (CNRS); UDICE-French Research Universities; Universite Paris Saclay</t>
  </si>
  <si>
    <t>Makky, A (corresponding author), Univ Paris Saclay, Inst Galien Paris Saclay, CNRS, F-92296 Chatenay Malabry, France.;Regeard, C (corresponding author), Univ Paris Saclay, Inst Integrat Biol Cell I2BC, CEA, CNRS, F-91198 Gif Sur Yvette, France.</t>
  </si>
  <si>
    <t>christophe.regeard@universite-paris-saclay.fr; ali.makky@universite-paris-saclay.fr</t>
  </si>
  <si>
    <t>10.1016/j.ijpharm.2022.121915</t>
  </si>
  <si>
    <t>WOS:000828403100004</t>
  </si>
  <si>
    <t>Ishihara, R; Tanabe, K; Inomata, S; Matsui, R; Kitane, R; Hosokawa, K; Maeda, M; Kikuchi, A</t>
  </si>
  <si>
    <t>Ishihara, Ryo; Tanabe, Kanta; Inomata, Shoko; Matsui, Ryo; Kitane, Ryoichi; Hosokawa, Kazuo; Maeda, Mizuo; Kikuchi, Akihiko</t>
  </si>
  <si>
    <t>Fabrication of Storable Surface-Functionalized Power-Free Microfluidic Chip for Sensitive MicroRNA Detection Utilizing Ultraviolet Grafting</t>
  </si>
  <si>
    <t>INDUSTRIAL &amp; ENGINEERING CHEMISTRY RESEARCH</t>
  </si>
  <si>
    <t>EXTRACELLULAR VESICLE DETECTION; FREE MICROCHIP; CANCER; POLYDIMETHYLSILOXANE; PHOSPHORYLCHOLINE; QUANTIFICATION; DIAGNOSIS</t>
  </si>
  <si>
    <t>Recently, circulating microRNAs (miRNAs) in body fluids have been reported as one of the cancer diagnostic biomarkers, and detection of miRNAs is expected to improve early cancer diagnosis. In this study, a surface-functionalized power-free (SF-PF) microchip for miRNA detection was fabricated by applying UV-light-induced graft polymerization of poly(2-aminoethyl methacrylate) to a poly(dimethylsiloxane) power-free microchip and by immobilizing capture probe DNA to the graft chains. The required time, sample volume, and limit of detection of miR-500a-3p were 18 min, 0.5 mu L, and 41 fmol/L, respectively. In addition, the SF-PF microchip could be stored at ambient temperature and humidity for at least 1 week.</t>
  </si>
  <si>
    <t>[Ishihara, Ryo; Tanabe, Kanta; Inomata, Shoko; Matsui, Ryo; Kitane, Ryoichi; Kikuchi, Akihiko] Tokyo Univ Sci, Dept Mat Sci &amp; Technol, Tokyo 1258585, Japan; [Hosokawa, Kazuo; Maeda, Mizuo] RIKEN, Cluster Pioneering Res, Bioengn Lab, Wako, Saitama 3510198, Japan</t>
  </si>
  <si>
    <t>Tokyo University of Science; RIKEN</t>
  </si>
  <si>
    <t>Ishihara, R (corresponding author), Tokyo Univ Sci, Dept Mat Sci &amp; Technol, Tokyo 1258585, Japan.</t>
  </si>
  <si>
    <t>r-ishihara@juntendo.ac.jp</t>
  </si>
  <si>
    <t>Ishihara, Ryo/0000-0003-4862-4843; KIKUCHI, Akihiko/0000-0002-7814-3656</t>
  </si>
  <si>
    <t>0888-5885</t>
  </si>
  <si>
    <t>10.1021/acs.iecr.0c00620</t>
  </si>
  <si>
    <t>WOS:000538521200020</t>
  </si>
  <si>
    <t>Hong, SL; Wan, YT; Tang, M; Pang, DW; Zhang, ZL</t>
  </si>
  <si>
    <t>Hong, Shao-Li; Wan, Ya-Tao; Tang, Man; Pang, Dai-Wen; Zhang, Zhi-Ling</t>
  </si>
  <si>
    <t>Multifunctional Screening Platform for the Highly Efficient Discovery of Aptamers with High Affinity and Specificity</t>
  </si>
  <si>
    <t>DNA APTAMERS; MICROFLUIDIC CHANNELS; NEXT-GENERATION; SSDNA APTAMER; CANCER-CELLS; SELECTION; SELEX; PROTEIN; CHIP; THERAPEUTICS</t>
  </si>
  <si>
    <t>Aptamers have attracted much attention as the next generation of affinity reagents. Unfortunately, the selection efficiency remains a critical bottleneck for the widespread application of aptamers. Herein, to accelerate aptamers discovery, a multifunctional microfluidic selection platform was developed, on which the selection efficiency was greatly improved and high-affinity and-specificity aptamers were generated within two round selections. The multifunctional screening platform, precisely manipulating magnetic beads on the micrometer scale, improved selection performance based on microfluidic continuous flow and enhanced the selection process control via in situ monitoring and real-time evaluation. This method could suppress similar to 50-fold nonspecific binding nucleic acids compared to the conventional methods, further eliminate weakly bound nucleic acids within 9 min, and simultaneously perform the negative selection and positive selection. And the selection effectiveness was in situ and real-time monitoring. Three aptamers showed high affinity and specificity toward mucin 1 (MUC1) with dissociation constants (K-d) in nanomolar range (from 22 to 65 nM). Furthermore, the selected aptamer was able to specially label cancer cells and efficiently capture exosomes with 64% capture efficiency. It demonstrated that the multifunctional screening platform was an efficient method to generate high-quality aptamers in a rapid and economic manner.</t>
  </si>
  <si>
    <t>[Hong, Shao-Li; Wan, Ya-Tao; Tang, Man; Pang, Dai-Wen; Zhang, Zhi-Ling] Wuhan Univ, Coll Chem &amp; Mol Sci, Key Lab Analyt Chem Biol &amp; Med, Minist Educ, Wuhan 430072, Peoples R China</t>
  </si>
  <si>
    <t>Zhang, ZL (corresponding author), Wuhan Univ, Coll Chem &amp; Mol Sci, Key Lab Analyt Chem Biol &amp; Med, Minist Educ, Wuhan 430072, Peoples R China.</t>
  </si>
  <si>
    <t>Zhang, Zhi-ling/0000-0001-7807-2264; Zhang, Zhi-Ling/0000-0001-7807-2264</t>
  </si>
  <si>
    <t>10.1021/acs.analchem.7b00684</t>
  </si>
  <si>
    <t>WOS:000404087600037</t>
  </si>
  <si>
    <t>Srivastava, S; Grizzle, WE</t>
  </si>
  <si>
    <t>Srivastava, Sudhir; Grizzle, William E.</t>
  </si>
  <si>
    <t>Biomarkers and the genetics of early neoplastic lesions</t>
  </si>
  <si>
    <t>CANCER BIOMARKERS</t>
  </si>
  <si>
    <t>Intraepithelial neoplasia; dysplasia; methylation; microsatellite instability; mutations; insertions; deletions; oncogenes; suppressor genes; aneuploidy; translocations; caretakers; gatekeepers; landscapers; mismatch repair genes; LOCDIR; epigenetics; immunoregulation; tumor associated fibroblasts; exosomes; angiogenesis; clonal selection; viral insertions; biomarkers; validation</t>
  </si>
  <si>
    <t>ENDOTHELIAL GROWTH-FACTOR; TUMOR-SUPPRESSOR GENES; DNA METHYLATION; BREAST-CANCER; MICROSATELLITE INSTABILITY; INTRAEPITHELIAL NEOPLASIA; ANALYTICAL VALIDATION; TRANSCRIPTION FACTORS; UNIPARENTAL DISOMY; PANCREATIC-CANCER</t>
  </si>
  <si>
    <t>It has become increasingly evident that the study of DNA is inadequate to explain many, if not most, aspects of the development and progression of neoplastic lesions from pre-invasive lesions to metastasis. Thus, the term genetic can no longer refer to just the study of the genome. Much of the action in genetic research now shifts to the methods by which the pre-mRNA from one gene is processed to yield multiple different proteins, different quantities of the same protein as well as other forms of regulating RNA. Thus, the age of post-transcriptional processing and epigenetic control of the transfer of information from the genome has arrived. The mechanisms of post-transcriptional processing and epigenetic control that must be characterized in greater detail including alternate splicing, regulation of mRNA degradation, RNA regulatory factors including those factors which extensively edit mRNAs, control of translation, and control of protein stability and degradation. This chapter reviews many of the processes that control information from the genome to proteins and how these factors lead from less than 40,000 genes to more than an order of magnitude increase more proteins which actually control the phenotypes of cells - normal or neoplastic. It is usually the products of genes (e. g., mRNA, microRNA and proteins) that are the molecular markers that will control translational research and ultimately, individualized (personal) medical approaches to disease. This chapter emphasizes how the process of neoplasia hijacks the normal processes of cellular operations, especially those processes that are important in the normal development of the organisms - including proliferation, cellular death, angiogenesis, cellular mobility and invasion, and immunoregulation to ensure neoplastic development, survival and progression. This chapter reviews the wide range of processes controlling the information that flows from the genome to proteins and emphasizes how molecular steps in pure processes can be used as biomarkers to study prevention, treatment and/or management of diseases.</t>
  </si>
  <si>
    <t>[Srivastava, Sudhir] NCI, NIH, Bethesda, MD 20892 USA; [Grizzle, William E.] Univ Alabama Birmingham, Div Anat Pathol, Dept Pathol, Birmingham, AL USA</t>
  </si>
  <si>
    <t>National Institutes of Health (NIH) - USA; NIH National Cancer Institute (NCI); University of Alabama System; University of Alabama Birmingham</t>
  </si>
  <si>
    <t>Srivastava, S (corresponding author), NCI, NIH, Bethesda, MD 20892 USA.</t>
  </si>
  <si>
    <t>ss1a@nih.gov</t>
  </si>
  <si>
    <t>1574-0153</t>
  </si>
  <si>
    <t>1875-8592</t>
  </si>
  <si>
    <t>1-6</t>
  </si>
  <si>
    <t>10.3233/CBM-2011-0204</t>
  </si>
  <si>
    <t>WOS:000297682300004</t>
  </si>
  <si>
    <t>Habiel, DM; Krepostman, N; Lilly, M; Cavassani, K; Coelho, AL; Shibata, T; Elenitoba-Johnson, K; Hogaboam, CM</t>
  </si>
  <si>
    <t>Habiel, David M.; Krepostman, Nicolas; Lilly, Michael; Cavassani, Karen; Coelho, Ana Lucia; Shibata, Takehiko; Elenitoba-Johnson, Kojo; Hogaboam, Cory M.</t>
  </si>
  <si>
    <t>Senescent stromal cell-induced divergence and therapeutic resistance in T cell acute lymphoblastic leukemia/lymphoma</t>
  </si>
  <si>
    <t>T cell acute lymphoblastic leukemia; senescent fibroblasts; T cell lymphoblastic lymphoma; oncogenesis; cancer microenvironment</t>
  </si>
  <si>
    <t>OXIDATIVE DNA-DAMAGE; TUMOR MICROENVIRONMENT; GENE-EXPRESSION; MISMATCH REPAIR; LYMPHOMA; FIBROBLASTS; CHILDHOOD; LEUKEMIA; INSTABILITY; CHILDREN</t>
  </si>
  <si>
    <t>T cell Acute Lymphoblastic Leukemia/Lymphoma (T-ALL/LBL) is a precursor T cell leukemia/lymphoma that represents approximately 15% of all childhood and 25% of adult acute lymphoblastic leukemia. Although a high cure rate is observed in children, therapy resistance is often observed in adults and mechanisms leading to this resistance remain elusive. Utilizing public gene expression datasets, a fibrotic signature was detected in T-LBL but not T-ALL biopsies. Further, using a T-ALL cell line, CCRF-CEM (CEM) cells, we show that CEM cells induce pulmonary remodeling in immunocompromised mice, suggesting potential interaction between these cells and lung fibroblasts. Co-culture studies suggested that fibroblasts-induced phenotypic and genotypic divergence in co-cultured CEM cells leading to diminished therapeutic responses in vitro. Senescent rather than proliferating stromal cells induced these effects in CEM cells, due, in part, to the enhanced production of oxidative radicals and exosomes containing miRNAs targeting BRCA1 and components of the Mismatch Repair pathway (MMR). Collectively, our studies demonstrate that there may be bidirectional interaction between leukemic cells and stroma, where leukemic cells induce stromal development in vivo and senescent stromal cells generates genomic alterations in the leukemic cells rendering them therapeutic resistant. Thus, targeting senescent stroma might prove beneficial in T-ALL/LBL patients.</t>
  </si>
  <si>
    <t>[Habiel, David M.; Coelho, Ana Lucia; Hogaboam, Cory M.] Cedars Sinai Med Ctr, Dept Med, Div Pulm &amp; Crit Care Med, Los Angeles, CA 90048 USA; [Habiel, David M.; Coelho, Ana Lucia; Hogaboam, Cory M.] Cedars Sinai Med Ctr, Womens Guild Lung Inst, Los Angeles, CA 90048 USA; [Krepostman, Nicolas; Lilly, Michael; Shibata, Takehiko] Univ Michigan, Sch Med, Dept Pathol, Ann Arbor, MI 48109 USA; [Cavassani, Karen] Cedars Sinai Med Ctr, SOCCI Canc Inst, Urol Oncol Res Program, Los Angeles, CA 90048 USA; [Elenitoba-Johnson, Kojo] Univ Penn, Perelman Sch Med, Dept Pathol &amp; Lab Med, Philadelphia, PA 19104 USA</t>
  </si>
  <si>
    <t>Cedars Sinai Medical Center; Cedars Sinai Medical Center; University of Michigan System; University of Michigan; Cedars Sinai Medical Center; University of Pennsylvania</t>
  </si>
  <si>
    <t>Habiel, DM (corresponding author), Cedars Sinai Med Ctr, Dept Med, Div Pulm &amp; Crit Care Med, Los Angeles, CA 90048 USA.;Habiel, DM (corresponding author), Cedars Sinai Med Ctr, Womens Guild Lung Inst, Los Angeles, CA 90048 USA.</t>
  </si>
  <si>
    <t>David.Habiel@cshs.org</t>
  </si>
  <si>
    <t>Hogaboam, Cory M./AAI-1433-2021</t>
  </si>
  <si>
    <t>Hogaboam, Cory M./0000-0003-3366-4850; Elenitoba-Johnson, Kojo/0000-0002-1082-1545</t>
  </si>
  <si>
    <t>DEC 13</t>
  </si>
  <si>
    <t>10.18632/oncotarget.13158</t>
  </si>
  <si>
    <t>WOS:000391352800125</t>
  </si>
  <si>
    <t>Kalem, MC; Panepinto, JC</t>
  </si>
  <si>
    <t>Kalem, Murat C.; Panepinto, John C.</t>
  </si>
  <si>
    <t>Long Non-Coding RNAs in Cryptococcus neoformans: Insights Into Fungal Pathogenesis</t>
  </si>
  <si>
    <t>lncRNA; cryptococcus; fungi; pathogenesis; genome</t>
  </si>
  <si>
    <t>EXTRACELLULAR VESICLES; PROTEIN; MECHANISM; EVOLUTION; REVEALS; COMPLEX; 3'-END</t>
  </si>
  <si>
    <t>Long non-coding RNAs (lncRNAs) are highly expressed and can modulate multiple cellular processes including transcription, splicing, translation, and many diverse signaling events. LncRNAs can act as sponges for miRNAs, RNA and DNA binding proteins, functioning as competitive endogenous RNAs. The contribution of lncRNAs to microbial pathogenesis is largely neglected in eukaryotic pathogens despite the abundance of RNA sequencing datasets encompassing conditions of stress, gene deletions and conditions that mimic the host environment. The human fungal pathogen Cryptococcus neoformans encodes 6975 (84%) protein-coding and 1359 (16%) non-protein-coding RNAs, of which 1182 (14.2%) are lncRNAs defined by a threshold of greater than 200 nucleotides in length. Here, we discuss the current state of knowledge in C. neoformans lncRNA biology. Utilizing existing RNA seq datasets, we examine trends in lncRNA expression and discuss potential implications for pathogenesis.</t>
  </si>
  <si>
    <t>[Kalem, Murat C.; Panepinto, John C.] SUNY Buffalo, Jacobs Sch Med &amp; Biomed Sci, Witebsky Ctr Microbial Pathogenesis &amp; Immunol, Dept Microbiol &amp; Immunol, Buffalo, NY USA</t>
  </si>
  <si>
    <t>State University of New York (SUNY) System; State University of New York (SUNY) Buffalo</t>
  </si>
  <si>
    <t>Kalem, MC; Panepinto, JC (corresponding author), SUNY Buffalo, Jacobs Sch Med &amp; Biomed Sci, Witebsky Ctr Microbial Pathogenesis &amp; Immunol, Dept Microbiol &amp; Immunol, Buffalo, NY USA.</t>
  </si>
  <si>
    <t>muratcankalem@gmail.com; jcp25@buffalo.edu</t>
  </si>
  <si>
    <t>Kalem, Murat Can/AAK-8644-2020</t>
  </si>
  <si>
    <t>Kalem, Murat Can/0000-0003-2415-7435</t>
  </si>
  <si>
    <t>10.3389/fcimb.2022.858317</t>
  </si>
  <si>
    <t>WOS:000778989900001</t>
  </si>
  <si>
    <t>Neri, L; Spezia, PG; Suraci, S; Macera, L; Scribano, S; Giusti, B; Focosi, D; Maggi, F; Giannecchini, S</t>
  </si>
  <si>
    <t>Neri, Lorenzo; Spezia, Pietro Giorgio; Suraci, Samuele; Macera, Lisa; Scribano, Stefano; Giusti, Betti; Focosi, Daniele; Maggi, Fabrizio; Giannecchini, Simone</t>
  </si>
  <si>
    <t>Torque teno virus microRNA detection in cerebrospinal fluids of patients with neurological pathologies</t>
  </si>
  <si>
    <t>Anelloviridae; Torque teno virus; MicroRNA expression; Cerebrospinal fluid; Central nervous system</t>
  </si>
  <si>
    <t>STEM-CELL TRANSPLANTATION; TT-VIRUS; TORQUETENOVIRUS TTV; HUMAN ANELLOVIRUSES; HUMAN VIROME; BLOOD; IMMUNOSUPPRESSION; REPLICATION; VESICLES; EXOSOMES</t>
  </si>
  <si>
    <t>Background: Torque teno virus (TTV) is a widespread anellovirus that establishes persistent infections in humans and represents the most abundant component of the human virome. TTV encodes microRNAs (miRNA) which are found both in viremic and not viremic subjects being potentially ideal tools for the virus to evade the immune system response and to maintain chronic infection in the host. Objective: To investigate TTV-DNA loads and TTV-miRNAs expression in cerebrospinal fluids (CSF) from subjects under analysis for the assessment of neurological diseases. Study design: Detection of TTV-DNA and TTV-miRNAs (e. g. miRNA t1a, t3b, and tth8) were carried out from CSF samples of 93 subjects with neurological diseases by using universal real-time PCR, real-time RT-PCR, and next-generation sequencing (NGS) analyses. Results: TTV-DNA was detected in 11 of 93 (12 %) CSFs with a mean TTV load of 155 copies/mL. Conversely, 29 CSF samples (31 %) were positive for at least one TTV-miRNA, while 15 (16 %) CSFs contained all the TTVmiRNAs examined. Overall, TTV-miRNA tth8 was detected in 62 % of samples, followed by TTV miRNA t3b (56 %), and t1a (29 %). Interestingly, TTV-miRNAs were found in CSF samples that were negative for the presence of TTV-DNA. Next-generation sequencing analysis carried out from 4 TTV-DNA negative CSF samples detected reads mapped in TTV-miRNA sequences region. Conclusions: These results shed novel light on the relationship between TTV and the central nervous system and make compelling furthered studies for investigating the potential role of TTV-miRNAs in neurological disorders.</t>
  </si>
  <si>
    <t>[Neri, Lorenzo; Suraci, Samuele; Scribano, Stefano; Giusti, Betti; Giannecchini, Simone] Univ Florence, Dept Expt &amp; Clin Med, Florence, Italy; [Spezia, Pietro Giorgio; Macera, Lisa] Univ Pisa, Dept Translat Res, Pisa, Italy; [Focosi, Daniele] Univ Hosp Pisa, North Western Tuscany Blood Bank, Pisa, Italy; [Maggi, Fabrizio] Univ Insubria, Dept Med &amp; Surg, Varese, Italy; [Maggi, Fabrizio] ASST Sette Laghi, Lab Clin Microbiol, Varese, Italy</t>
  </si>
  <si>
    <t>University of Florence; University of Pisa; University of Pisa; Azienda Ospedaliero Universitaria Pisana; University of Insubria</t>
  </si>
  <si>
    <t>Giannecchini, S (corresponding author), Univ Firenze, Dipartimento Med Sperimentale &amp; Clin, Viale Morgagni 48, I-50134 Florence, Italy.</t>
  </si>
  <si>
    <t>Focosi, Daniele/K-6609-2016; Maggi, Fabrizio/L-2974-2013; Giannecchini, Simone/K-2136-2016; Maggi, Fabrizio/AAU-5965-2021</t>
  </si>
  <si>
    <t>Focosi, Daniele/0000-0001-8811-195X; Maggi, Fabrizio/0000-0001-7489-5271; Giannecchini, Simone/0000-0003-3374-7621; Maggi, Fabrizio/0000-0001-7489-5271; Spezia, Pietro Giorgio/0000-0002-6743-014X</t>
  </si>
  <si>
    <t>10.1016/j.jcv.2020.104687</t>
  </si>
  <si>
    <t>WOS:000598717200016</t>
  </si>
  <si>
    <t>Barbagallo, D; Caponnetto, A; Cirnigliaro, M; Brex, D; Barbagallo, C; D'Angeli, F; Morrone, A; Caltabiano, R; Barbagallo, GM; Ragusa, M; Di Pietro, C; Hansen, TB; Purrello, M</t>
  </si>
  <si>
    <t>Barbagallo, Davide; Caponnetto, Angela; Cirnigliaro, Matilde; Brex, Duilia; Barbagallo, Cristina; D'Angeli, Floriana; Morrone, Antonio; Caltabiano, Rosario; Barbagallo, Giuseppe Maria; Ragusa, Marco; Di Pietro, Cinzia; Hansen, Thomas Birkballe; Purrello, Michele</t>
  </si>
  <si>
    <t>CircSMARCA5 Inhibits Migration of Glioblastoma Multiforme Cells by Regulating a Molecular Axis Involving Splicing Factors SRSF1/SRSF3/PTB</t>
  </si>
  <si>
    <t>circRNAs; glioblastoma multiforme; cell migration; splicing; RNA binding proteins</t>
  </si>
  <si>
    <t>CIRCULAR RNAS; MESSENGER-RNA; COLORECTAL-CANCER; IDENTIFICATION; BIOGENESIS; EXPRESSION; MICRORNA; ABUNDANT; BRAIN; DIAGNOSIS</t>
  </si>
  <si>
    <t>Circular RNAs (circRNAs) have recently emerged as a new class of RNAs, highly enriched in the brain and very stable within cells, exosomes and body fluids. To analyze their involvement in glioblastoma multiforme (GBM) pathogenesis, we assayed the expression of twelve circRNAs, physiologically enriched in several regions of the brain, through real-time PCR in a cohort of fifty-six GBM patient biopsies and seven normal brain parenchymas. We focused on hsa_circ_0001445 (circSMARCA5): it was significantly downregulated in GBM biopsies as compared to normal brain tissues (p-value &lt; 0.00001, student's t-test), contrary to its linear isoform counterpart that did not show any differential expression (p-value = 0.694, student's t-test). Analysis of a public dataset revealed a negative correlation between the expression of circSMARCA5 and glioma's histological grade, suggesting its potential negative role in the progression to malignancy. Overexpressing circSMARCA5 in U87MG cells significantly decreased their migration, but not their proliferation rate. In silico scanning of circSMARCA5 sequence revealed an enrichment in binding motifs for several RNA binding proteins (RBPs), specifically involved in splicing. Among them, serine and arginine rich splicing factor 1 (SRSF1), a splicing factor known to be a positive controller of cell migration and known to be overexpressed in GBM, was predicted to bind circSMARCA5 by three different prediction tools. Direct interaction between circSMARCA5 and SRSF1 is supported by enhanced UV crosslinking and immunoprecipitation (eCLIP) data for SRSF1 in K562 cells from Encyclopedia of DNA Elements (ENCODE). Consistently, U87MG overexpressing circSMARCA5 showed an increased expression of serine and arginine rich splicing factor 3 (SRSF3) RNA isoform containing exon 4, normally skipped in a SRSF1-dependent manner, resulting in a non-productive non-sense mediated decay (NMD) substrate. Interestingly, SRSF3 is known to interplay with two other splicing factors, polypyrimidine tract binding protein 1 (PTBP1) and polypyrimidine tract binding protein 2 (PTBP2), that positively regulate glioma cells migration. Collectively, our data show circSMARCA5 as a promising druggable tumor suppressor in GBM and suggest that it may exert its function by tethering the RBP SRSF1.</t>
  </si>
  <si>
    <t>[Barbagallo, Davide; Caponnetto, Angela; Cirnigliaro, Matilde; Brex, Duilia; Barbagallo, Cristina; D'Angeli, Floriana; Ragusa, Marco; Di Pietro, Cinzia; Purrello, Michele] Univ Catania, Sect Biol &amp; Genet, Dept Biomed &amp; Biotechnol Sci, I-95123 Catania, Italy; [Morrone, Antonio; Caltabiano, Rosario; Barbagallo, Giuseppe Maria] Univ Catania, Dept Med Surg Sci &amp; Adv Technol &amp; Biotechnol Sci, I-95123 Catania, Italy; [Barbagallo, Giuseppe Maria; Ragusa, Marco; Purrello, Michele] Univ Catania, Multidisciplinary Res Ctr Brain Tumors Diag &amp; The, I-95123 Catania, Italy; [Hansen, Thomas Birkballe] Aarhus Univ, Dept Mol Biol &amp; Genet MBG, DK-8000 Aarhus C, Denmark; [Hansen, Thomas Birkballe] Aarhus Univ, Interdisciplinary Nanosci Ctr iNANO, DK-8000 Aarhus C, Denmark</t>
  </si>
  <si>
    <t>University of Catania; University of Catania; University of Catania; Aarhus University; Aarhus University</t>
  </si>
  <si>
    <t>Purrello, M (corresponding author), Univ Catania, Sect Biol &amp; Genet, Dept Biomed &amp; Biotechnol Sci, I-95123 Catania, Italy.;Purrello, M (corresponding author), Univ Catania, Multidisciplinary Res Ctr Brain Tumors Diag &amp; The, I-95123 Catania, Italy.;Hansen, TB (corresponding author), Aarhus Univ, Dept Mol Biol &amp; Genet MBG, DK-8000 Aarhus C, Denmark.;Hansen, TB (corresponding author), Aarhus Univ, Interdisciplinary Nanosci Ctr iNANO, DK-8000 Aarhus C, Denmark.</t>
  </si>
  <si>
    <t>dbarbaga@unict.it; caponnettoangela@gmail.com; matildecirnigliaro@gmail.com; duiliabrex@gmail.com; barbagallocristina@gmail.com; floriana.dangeli@hotmail.it; morant592@libero.it; rosario.caltabiano@unict.it; gbarbagallo@unict.it; mragusa@unict.it; dipietro@unict.it; tbh@mbg.au.dk; purrello@unict.it</t>
  </si>
  <si>
    <t>Brex, Duilia/AAW-1813-2021; D'Angeli, Floriana/AAU-5570-2020; Caltabiano, Rosario/I-7583-2019; Barbagallo, Cristina/AAA-8871-2022; Ragusa, Marco/D-7691-2010; BARBAGALLO, DAVIDE/Q-2090-2016</t>
  </si>
  <si>
    <t>D'Angeli, Floriana/0000-0002-1831-0432; Caltabiano, Rosario/0000-0001-8591-8010; Barbagallo, Cristina/0000-0002-6769-4516; Ragusa, Marco/0000-0002-4282-920X; BARBAGALLO, Giuseppe Maria Vincenzo/0000-0002-7760-6700; Hansen, Thomas/0000-0002-7573-9657; BARBAGALLO, DAVIDE/0000-0001-5331-4554</t>
  </si>
  <si>
    <t>10.3390/ijms19020480</t>
  </si>
  <si>
    <t>WOS:000427527400164</t>
  </si>
  <si>
    <t>Andrianova, IA; Ponomareva, AA; Mordakhanova, ER; Le Minh, G; Daminova, AG; Nevzorova, TA; Rauova, L; Litvinov, RI; Weisel, JW</t>
  </si>
  <si>
    <t>Andrianova, Izabella A.; Ponomareva, Anastasiya A.; Mordakhanova, Elmira R.; Le Minh, Giang; Daminova, Amina G.; Nevzorova, Tatiana A.; Rauova, Lubica; Litvinov, Rustem I.; Weisel, John W.</t>
  </si>
  <si>
    <t>In systemic lupus erythematosus anti-dsDNA antibodies can promote thrombosis through direct platelet activation</t>
  </si>
  <si>
    <t>Systemic lupus erythematosus; Thrombosis; anti-dsDNA-antibodies; Platelet</t>
  </si>
  <si>
    <t>DNA ANTIBODIES; FC-RECEPTOR; PATHOGENESIS; HEPARIN; PATHWAY; SEPTIN; RISK; LINK; PF4</t>
  </si>
  <si>
    <t>Systemic lupus erythematosus (SLE) is associated with a high risk of venous and arterial thrombosis, not necessarily associated with prothrombotic antiphospholipid antibodies (Abs). Alternatively, thrombosis may be due to an increased titer of anti-dsDNA Abs that presumably promote thrombosis via direct platelet activation. Here, we investigated effects of purified anti-dsDNA Abs from the blood of SLE patients, alone or in a complex with dsDNA, on isolated normal human platelets. We showed that anti-dsDNA Abs and anti-dsDNA Ab/dsDNA complexes induced strong platelet activation assessed by enhanced P-selectin expression and dramatic morphological and ultrastructural changes. Electron microscopy revealed a significantly higher percentage of platelets that lost their discoid shape, formed multiple filopodia and had a shrunken body when treated with anti-dsDNA Abs or anti-dsDNA Ab/dsDNA complexes compared with control samples. In addition, these platelets activated with anti-dsDNA Ab/dsDNA complexes typically contained a reduced number of secretory alpha-granules that grouped in the middle and often merged into a solid electron dense area. Many activated platelets released plasma membrane-derived microvesicles and/or fell apart into subcellular cytoplasmic fragments. Confocal microscopy revealed that platelets treated with anti-dsDNA Ab/dsDNA complex had a heterogeneous distribution of septin2 compared with the homogeneous distribution in control platelets. Structural perturbations were concomitant with mitochondrial depolarization and a decreased content of platelet ATP, indicating energetic exhaustion. Most of the biochemical and morphological changes in platelets induced by anti-dsDNA Abs and anti-dsDNA Ab/dsDNA complexes were prevented by pre-treatment with a monoclonal mAb against Fc gamma RIIA. The aggregate of data indicates that anti-dsDNA Abs alone or in a complex with dsDNA strongly affect platelets via the Fc gamma RIIA receptor. The immune activation of platelets with antinuclear Abs may comprise a prothrombotic mechanism underlying a high risk of thrombotic complications in patients with SLE.</t>
  </si>
  <si>
    <t>Kazan Fed Univ, Inst Fundamental Med &amp; Biol, Kazan, Russia; Russian Acad Sci, Kazan Inst Biochem &amp; Biophys, Kazan Sci Ctr, Kazan, Russia; Childrens Hosp Philadelphia, Philadelphia, PA 19104 USA; Univ Penn, Perelman Sch Med, Philadelphia, PA 19104 USA</t>
  </si>
  <si>
    <t>Kazan Federal University; Russian Academy of Sciences; Kazan Scientific Centre of the Russian Academy of Sciences; Kazan Institute of Biochemistry &amp; Biophysics; University of Pennsylvania; Childrens Hospital of Philadelphia; University of Pennsylvania</t>
  </si>
  <si>
    <t>Weisel, JW (corresponding author), Univ Penn, Dept Cell &amp; Dev Biol, Perelman Sch Med, 421 Curie Blvd,BRB 2-3,Room 1154, Philadelphia, PA 19104 USA.</t>
  </si>
  <si>
    <t>izabella2d@gmail.com; na.ponomareva@mail.ru; elmira.m.m@yandex.ru; mrgiangleminh@gmail.com; aminochka_88@mail.ru; tnevzorova@mail.ru; lubica@email.chop.edu; litvinov@pennmedicine.upenn.edu; weisel@pennmedicine.upenn.edu</t>
  </si>
  <si>
    <t>Andrianova, Izabella/Y-8760-2018; Ponomareva, Anastasia A/I-4640-2014; Litvinov, Rustem/E-5291-2011</t>
  </si>
  <si>
    <t>Andrianova, Izabella/0000-0003-3973-3183; Litvinov, Rustem/0000-0003-0643-1496</t>
  </si>
  <si>
    <t>10.1016/j.jaut.2019.102355</t>
  </si>
  <si>
    <t>WOS:000514246200003</t>
  </si>
  <si>
    <t>Nanjundappa, RH; Wang, R; Xie, YF; Umeshappa, CS; Xiang, J</t>
  </si>
  <si>
    <t>Nanjundappa, Roopa Hebbandi; Wang, Rong; Xie, Yufeng; Umeshappa, Channakeshava Sokke; Xiang, Jim</t>
  </si>
  <si>
    <t>Novel CD8(+) T cell-based vaccine stimulates Gp120-specific CTL responses leading to therapeutic and long-term immunity in transgenic HLA-A2 mice</t>
  </si>
  <si>
    <t>T-cell vaccine; Gp120; CDR+ CTL; Long-term memory; Transgenic HLA-A2 mice</t>
  </si>
  <si>
    <t>PBL-SCID MICE; DENDRITIC CELLS; HIV-1 INFECTION; CLASS-I; LYMPHOCYTE RESPONSE; MEMORY; PROTECTION; IMMUNIZATION; REPLICATION; ANTIGEN</t>
  </si>
  <si>
    <t>The limitations of highly active anti-retroviral therapy have necessitated the development of alternative therapeutics for human immunodeficiency virus type-1 (HIV-1)-infected patients with dysfunctional dendritic cells (DCs) and CD4(+) T cell deficiency. We previously demonstrated that HIV-1 Gp120-specific T cell-based Gp120-Texo vaccine by using ConA-stimulated C57BL/6 (B6) mouse CD8(+) T(ConA-T) cells with uptake of pcDNA(Gp120)-transfected B6 mouse DC line DC2.4 (DC2.4(Gp120))-released exosomes (EXOGp120) was capable of stimulating DC and CD4(+) T cell-independent CD8(+) cytotoxic T lymphocyte (CTL) responses detected in wild-type B6 mice using non-specific PE-anti-CD44 and anti-IFN-gamma antibody staining by flow cytometry. To assess effectiveness of Gp120-Texo vaccine in transgenic (Tg) HLA-A2 mice mimicking the human situation, we constructed adenoviral vector AdV(Gp120) expressing HIV-1 GP120 by recombinant DNA technology, and generated Gp120-Texo vaccine by using Tg HLA-A2 mouse CD8(+) ConA-T cells with uptake of AdV(Gp120)-transfected HLA-A2 mouse bone marrow DC (DCGp120)-released EXOGp120. We then performed animal studies to assess Gp120-Texo-induced stimulation of Gp120-specific CTL responses and antitumor immunity in Tg HLA-A2 mice. We demonstrate that Gp120-Texo vaccine stimulates Gp120-specific CTL responses detected in Tg HLA-A2 mice using Gp120-specific PE-HLA-A2/Gp120 peptide (KLTPLCVTL) tetramer staining by flow cytometry. These Gp120-specific CTLs are capable of further differentiating into functional effectors with killing activity to Gp120 peptide-pulsed splenocytes in vivo. In addition, Gp120-Texo vaccine also induces Gp120-specific preventive, therapeutic (for 6 day tumor lung metastasis) and CD4(+) T cell-independent long-term immunity against B16 melanoma BL6-10(Gp120/A2Kb) expressing both Gp120 and A2Kb (alpha 1 and alpha 2 domains of HLA-A2 and alpha 3 domain of H-2K(b)) in Tg HLA-A2 mice. Taken together, the novel CD8(+) Gp120-Texo vaccine capable of stimulating efficient CD4(+) T cell-independent Gp120-specific CD8(+) CTL responses leading to therapeutic and long-term immunity in Tg HLA-A2 mice may represent a new immunotherapeutic vaccine for treatment of HIV-1 patients with CD4(+) T cell deficiency. (C) 2012 Elsevier Ltd. All rights reserved.</t>
  </si>
  <si>
    <t>[Nanjundappa, Roopa Hebbandi; Wang, Rong; Xie, Yufeng; Umeshappa, Channakeshava Sokke; Xiang, Jim] Univ Saskatchewan, Div Oncol, Saskatchewan Canc Agcy, Canc Res Unit, Saskatoon, SK, Canada</t>
  </si>
  <si>
    <t>University of Saskatchewan</t>
  </si>
  <si>
    <t>Xiang, J (corresponding author), Saskatoon Canc Ctr, 20 Campus Dr, Saskatoon, SK S7N 4H4, Canada.</t>
  </si>
  <si>
    <t>jim.xiang@saskcancer.ca</t>
  </si>
  <si>
    <t>10.1016/j.vaccine.2012.03.075</t>
  </si>
  <si>
    <t>WOS:000304741500005</t>
  </si>
  <si>
    <t>Sanches, PL; Souza, W; Gemini-Piperni, S; Rossi, AL; Scapin, S; Midlej, V; Sade, Y; Leme, AFP; Benchimol, M; Rocha, LA; Carias, RBV; Borojevic, R; Granjeiro, JM; Ribeiro, AR</t>
  </si>
  <si>
    <t>Sanches, P. L.; Souza, W.; Gemini-Piperni, S.; Rossi, A. L.; Scapin, S.; Midlej, V; Sade, Y.; Paes Leme, A. F.; Benchimol, M.; Rocha, L. A.; Carias, R. B., V; Borojevic, R.; Granjeiro, J. M.; Ribeiro, A. R.</t>
  </si>
  <si>
    <t>Rutile nano-bio-interactions mediate dissimilar intracellular destiny in human skin cells</t>
  </si>
  <si>
    <t>TITANIUM-DIOXIDE NANOPARTICLES; ZINC-OXIDE NANOPARTICLES; OXIDATIVE STRESS; DNA-DAMAGE; METAL-OXIDE; IN-VITRO; SAFETY; NANOMATERIALS; CYTOTOXICITY; DISPERSION</t>
  </si>
  <si>
    <t>The use of nanoparticles (NPs) in the healthcare market is growing exponentially, due to their unique physicochemical properties. Titanium dioxide nanoparticles (TiO2 NPs) are used in the formulation of sunscreens, due to their photoprotective capacity, but interactions of these particles with skin cells on the nanoscale are still unexplored. In the present study we aimed to determine whether the initial nano-biological interactions, namely the formation of a nano-bio-complex (other than the protein corona), can predict rutile internalization and intracellular trafficking in primary human fibroblasts and keratinocytes. Results showed no significant effect of NPs on fibroblast and keratinocyte viability, but cell proliferation was possibly compromised due to nano-bio-interactions. The bio-complex formation is dependent upon the chemistry of the biological media and NPs' physicochemical properties, facilitating NP internalization and triggering autophagy in both cell types. For the first time, we observed that the intracellular traffic of NPs is different when comparing the two skin cell models, and we detected NPs within multivesicular bodies (MVBs) of keratinocytes. These structures grant selected input of molecules involved in the biogenesis of exosomes, responsible for cell communication and, potentially, structural equilibrium in human tissues. Nanoparticle-mediated alterations of exosome quality, quantity and function can be another major source of nanotoxicity.</t>
  </si>
  <si>
    <t>[Sanches, P. L.; Souza, W.; Scapin, S.; Sade, Y.; Granjeiro, J. M.] Natl Inst Metrol Qual &amp; Technol, Directory Life Sci Appl Metrol, Av Nossa Senhora das Gracas 50, Xerem, RJ, Brazil; [Sanches, P. L.; Benchimol, M.; Granjeiro, J. M.; Ribeiro, A. R.] Univ Grande Rio, Postgrad Program Translat Biomed, Rua Prof Jose de Souza Herdy 1160, Duque De Caxias, Brazil; [Sanches, P. L.; Souza, W.; Gemini-Piperni, S.; Rocha, L. A.; Granjeiro, J. M.; Ribeiro, A. R.] IBTN, Brazilian Branch, Rio De Janeiro, Brazil; [Souza, W.; Granjeiro, J. M.; Ribeiro, A. R.] Natl Inst Metrol Qual &amp; Technol, Postgrad Program Biotechnol, Av Nossa Senhora das Gracas 50, Xerem, RJ, Brazil; [Gemini-Piperni, S.; Rossi, A. L.] Brazilian Ctr Res Phys, R Dr Xavier Sigaud 150, Rio De Janeiro, Brazil; [Midlej, V; Benchimol, M.] Univ Fed Rio de Janeiro, Inst Biofis Carlos Chagas Filho, Av Brg Trompowski, Rio De Janeiro, Brazil; [Paes Leme, A. F.] CNPEM, Lab Nacl Biociencias, R Giuseppe Maximo Scalfara 10000, Campinas, SP, Brazil; [Rocha, L. A.] Univ Estadual Paulista, Phys Dept, Av Engn Luiz Edmundo Carrijo Coube, Bauru, SP, Brazil; [Carias, R. B., V; Borojevic, R.] FASE, Fac Med, Ctr Regenerat Med, Av Barao do Rio Branco 1003, Petropolis, RJ, Brazil; [Granjeiro, J. M.] Fluminense Fed Univ, Dent Sch, R Miguel de Frias 9, Niteroi, RJ, Brazil</t>
  </si>
  <si>
    <t>Instituto Nacional de Metrologia, Qualidade e Tecnologia (INMETRO); Universidade do Grande Rio; Instituto Nacional de Metrologia, Qualidade e Tecnologia (INMETRO); Universidade Federal do Rio de Janeiro; Universidade Estadual Paulista; Universidade Federal Fluminense</t>
  </si>
  <si>
    <t>Ribeiro, AR (corresponding author), Univ Grande Rio, Postgrad Program Translat Biomed, Rua Prof Jose de Souza Herdy 1160, Duque De Caxias, Brazil.;Ribeiro, AR (corresponding author), IBTN, Brazilian Branch, Rio De Janeiro, Brazil.;Ribeiro, AR (corresponding author), Natl Inst Metrol Qual &amp; Technol, Postgrad Program Biotechnol, Av Nossa Senhora das Gracas 50, Xerem, RJ, Brazil.</t>
  </si>
  <si>
    <t>analopes0781@gmail.com</t>
  </si>
  <si>
    <t>Rossi, Andre L/E-8149-2013; Ribeiro, Ana/ABE-9964-2021; Rocha, Luis Augusto/AAF-1356-2021; De Souza, Wanderson/CAG-4583-2022; Ribeiro, Ana R L P/D-3165-2012; Midlej, Victor/AFU-1569-2022; Gemini Piperni, Sara/A-9858-2015; Rocha, Luis/A-8592-2008</t>
  </si>
  <si>
    <t>Rossi, Andre L/0000-0002-9920-4411; Ribeiro, Ana/0000-0003-1349-9595; De Souza, Wanderson/0000-0002-9632-4928; Ribeiro, Ana R L P/0000-0003-1349-9595; Gemini Piperni, Sara/0000-0002-7724-9491; do Valle Pereira Midlej, Victor/0000-0001-9294-6597; Rocha, Luis/0000-0002-7219-1518</t>
  </si>
  <si>
    <t>10.1039/c9na00078j</t>
  </si>
  <si>
    <t>WOS:000472766100011</t>
  </si>
  <si>
    <t>NAKAYAMA, K; KADOWAKI, T; OKAMOTO, K; YAMAMOTO, K</t>
  </si>
  <si>
    <t>CONSTRUCTION AND CHARACTERIZATION OF ARGININE-SPECIFIC CYSTEINE PROTEINASE (ARG-GINGIPAIN)-DEFICIENT MUTANTS OF PORPHYROMONAS-GINGIVALIS - EVIDENCE FOR SIGNIFICANT CONTRIBUTION OF ARG-GINGIPAIN TO VIRULENCE</t>
  </si>
  <si>
    <t>BLACK-PIGMENTED BACTEROIDES; EXTRACELLULAR MEMBRANE-VESICLES; TRYPSIN-LIKE-ENZYME; ESCHERICHIA-COLI; BIOCHEMICAL-CHARACTERIZATION; PROTEASE; GENE; DEGRADATION; PURIFICATION; DNA</t>
  </si>
  <si>
    <t>Arginine-specific cysteine proteinase (Arg-gingipain; formerly, argingipain) is one of the major extracellular proteinases produced by the oral anaerobic bacterium Porphyromonas gingivalis, To determine whether Arg-gingipain is important for periodontopathogenicity of the organism, Arg-gingipain-deficient mutants were constructed via gene disruption by use of suicide plasmid systems, First, Southern hybridization analyses suggested that two separate Arg-gingipain-encoding genes designated rgpA and rgpB existed on 12.5- and 7.8-kilobase pair HindIII chromosomal fragments of P. gingivalis ATCC33277, respectively, rgpA and rgpB single mutants were constructed by mobilization of a suicide plasmid, Then, an rgpA rgpB double mutant was isolated by electroporation with a second suicide plasmid, No proteolytic activity for Arg-gingipain was ob served in either the cell extract or the culture supernatant of the rgpA rgpB mutant, The chemiluminescence response of polymorphonuclear leukocytes, which is closely related to their bactericidal function, was not inhibited by the culture supernatant of the rgpA rgpB mutant, while the wild type parent showed a significant inhibition of the response, The result suggests that Arg-gingipain is responsible for disruption of the function of polymorphonuclear leukocytes, In addition, the rgpA rgpB double mutations caused a marked decrease in the hemagglutination of P. gingivalis, indicating that a major part of the hemagglutinin activity of the organism is associated with the two genes, These findings demonstrate that Arg-gingipain makes a significant contribution to the virulence of P. gingivalis.</t>
  </si>
  <si>
    <t>KYUSHU UNIV,FAC DENT,DEPT PHARMACOL,HIGASHI KU,FUKUOKA 812,JAPAN</t>
  </si>
  <si>
    <t>Kyushu University</t>
  </si>
  <si>
    <t>NAKAYAMA, K (corresponding author), KYUSHU UNIV,FAC DENT,DEPT MICROBIOL,HIGASHI KU,FUKUOKA 812,JAPAN.</t>
  </si>
  <si>
    <t>10.1074/jbc.270.40.23619</t>
  </si>
  <si>
    <t>WOS:A1995RY90900057</t>
  </si>
  <si>
    <t>Hisada, Y; Grover, SP; Maqsood, A; Houston, R; Ay, C; Noubouossie, DF; Cooley, BC; Wallen, H; Key, NS; Thalin, C; Farkas, AZ; Farkas, VJ; Tenekedjiev, K; Kolev, K; Mackman, N</t>
  </si>
  <si>
    <t>Hisada, Yohei; Grover, Steven P.; Maqsood, Anaum; Houston, Reaves; Ay, Cihan; Noubouossie, Denis F.; Cooley, Brian C.; Wallen, Hakan; Key, Nigel S.; Thalin, Charlotte; Farkas, Adam Z.; Farkas, Veronika J.; Tenekedjiev, Kiril; Kolev, Krasimir; Mackman, Nigel</t>
  </si>
  <si>
    <t>Neutrophils and neutrophil extracellular traps enhance venous thrombosis in mice bearing human pancreatic tumors</t>
  </si>
  <si>
    <t>CITRULLINATED HISTONE H3; DEEP-VEIN THROMBOSIS; TISSUE FACTOR; INNATE IMMUNITY; DNA TRAPS; COAGULATION; THROMBOEMBOLISM; RELEASE; MICROVESICLES; VALIDATION</t>
  </si>
  <si>
    <t>Pancreatic cancer is associated with a high incidence of venous thromboembolism. Neutrophils have been shown to contribute to thrombosis in part by releasing neutrophil extracellular traps (NET). A recent study showed that increased plasma levels of the NET biomarker, citrullinated histone H3 (H3Cit), are associated with venous thromboembolism in patients with pancreatic and lung cancer but not in those with other types of cancer, including breast cancer. In this study, we examined the contribution of neutrophils and NET to venous thrombosis in nude mice bearing human pancreatic tumors. We found that tumor-bearing mice had increased circulating neutrophil counts and levels of granulocyte-colony stimulating factor, neutrophil elastase, H3Cit and cell-free DNA compared with controls. In addition, thrombi from tumor-bearing mice contained increased levels of the neutrophil marker Ly6G, as well as higher levels of H3Cit and cell-free DNA. Thrombi from tumor-bearing mice also had denser fibrin with thinner fibers consistent with increased thrombin generation. Importantly, either neutrophil depletion or administration of DNase I reduced the thrombus size in tumor-bearing but not in control mice. Our results, together with clinical data, suggest that neutrophils and NET contribute to venous thrombosis in patients with pancreatic cancer.</t>
  </si>
  <si>
    <t>[Hisada, Yohei; Grover, Steven P.; Maqsood, Anaum; Houston, Reaves; Noubouossie, Denis F.; Key, Nigel S.; Mackman, Nigel] Univ N Carolina, Dept Med, Div Hematol &amp; Oncol, Chapel Hill, NC 27515 USA; [Ay, Cihan] Med Univ Vienna, Dept Med 1, Clin Div Hematol &amp; Hemostaseol, Vienna, Austria; [Cooley, Brian C.] Univ N Carolina, Dept Pathol &amp; Lab Med, Chapel Hill, NC 27515 USA; [Wallen, Hakan] Karolinska Inst, Danderyd Hosp, Div Cardiovasc Med, Dept Clin Sci, Stockholm, Sweden; [Thalin, Charlotte] Karolinska Inst, Div Internal Med, Danderyd Hosp, Dept Clin Sci, Stockholm, Sweden; [Farkas, Adam Z.; Farkas, Veronika J.; Kolev, Krasimir] Semmelweis Univ, Dept Med Biochem, Budapest, Hungary; [Tenekedjiev, Kiril] Univ Tasmania, Australian Maritime Coll, Launceston, Tas, Australia; [Tenekedjiev, Kiril] Nikola Vaptsarov Naval Acad, Dept Informat Technol, Varna, Bulgaria</t>
  </si>
  <si>
    <t>University of North Carolina; University of North Carolina Chapel Hill; Medical University of Vienna; University of North Carolina; University of North Carolina Chapel Hill; Danderyds Hospital; Karolinska Institutet; Danderyds Hospital; Karolinska Institutet; Semmelweis University; University of Tasmania; Nikola Vaptsarov Naval Academy</t>
  </si>
  <si>
    <t>Mackman, N (corresponding author), Univ N Carolina, Dept Med, Div Hematol &amp; Oncol, Chapel Hill, NC 27515 USA.</t>
  </si>
  <si>
    <t>Kolev, Krasimir/J-7648-2019; HISADA, YOHEI/I-1237-2019; Tenekedjiev, Kiril/D-8141-2012; Noubouossie, Denis/AAH-9064-2020; Kolev, Krasimir/A-3517-2008; Farkas, Ádám Zoltán/M-1783-2015</t>
  </si>
  <si>
    <t>Kolev, Krasimir/0000-0002-5612-004X; HISADA, YOHEI/0000-0001-9157-0524; Tenekedjiev, Kiril/0000-0003-3549-0671; Kolev, Krasimir/0000-0002-5612-004X; Mackman, Nigel/0000-0002-9170-7700</t>
  </si>
  <si>
    <t>10.3324/haematol.2019.217083</t>
  </si>
  <si>
    <t>WOS:000505041200037</t>
  </si>
  <si>
    <t>Taller, D; Richards, K; Slouka, Z; Senapati, S; Hill, R; Go, DB; Chang, HC</t>
  </si>
  <si>
    <t>Taller, Daniel; Richards, Katherine; Slouka, Zdenek; Senapati, Satyajyoti; Hill, Reginald; Go, David B.; Chang, Hsueh-Chia</t>
  </si>
  <si>
    <t>On-chip surface acoustic wave lysis and ion-exchange nanomembrane detection of exosomal RNA for pancreatic cancer study and diagnosis</t>
  </si>
  <si>
    <t>NANOPARTICLE TRACKING ANALYSIS; CHARGE INVERSION; VESICLES; MICRORNAS; CELLS; SERUM; DNA; ULTRACENTRIFUGATION; MICROPARTICLES; SEPARATION</t>
  </si>
  <si>
    <t>There has been increasing evidence that micro and messenger RNA derived from exosomes play important roles in pancreatic and other cancers. In this work, a microfluidics-based approach to the analysis of exosomal RNA is presented based on surface acoustic wave (SAW) exosome lysis and ion-exchange nanomembrane RNA sensing performed in conjunction on two separate chips. Using microRNA hsa-miR-550 as a model target and raw cell media from pancreatic cancer cell lines as a biological sample, SAW-based exosome lysis is shown to have a lysis rate of 38%, and an ion-exchange nanomembrane sensor is shown to have a limit of detection of 2 pM, with two decades of linear dynamic range. A universal calibration curve was derived for the membrane sensor and used to detect the target at a concentration of 13 pM in a SAWlysed sample, which translates to 14 target miRNA per exosome from the raw cell media. At a total analysis time of similar to 1.5 h, this approach is a significant improvement over existing methods that require two overnight steps and 13 h of processing time. The platform also requires much smaller sample volumes than existing technology (similar to 100 mu L as opposed to similar to mL) and operates with minimal sample loss, a distinct advantage for studies involving mouse models or other situations where the working fluid is scarce.</t>
  </si>
  <si>
    <t>[Taller, Daniel; Go, David B.] Univ Notre Dame, Dept Aerosp &amp; Mech Engn, Notre Dame, IN 46556 USA; [Taller, Daniel; Slouka, Zdenek; Senapati, Satyajyoti; Chang, Hsueh-Chia] Univ Notre Dame, Ctr Microfluid &amp; Med Diagnost, Notre Dame, IN 46556 USA; [Richards, Katherine; Hill, Reginald] Univ Notre Dame, Dept Biol Sci, Notre Dame, IN 46556 USA; [Slouka, Zdenek; Senapati, Satyajyoti; Go, David B.; Chang, Hsueh-Chia] Univ Notre Dame, Dept Chem &amp; Biomol Engn, Notre Dame, IN 46556 USA</t>
  </si>
  <si>
    <t>Go, DB (corresponding author), Univ Notre Dame, Dept Aerosp &amp; Mech Engn, Notre Dame, IN 46556 USA.</t>
  </si>
  <si>
    <t>dgo@nd.edu; hchang@nd.edu</t>
  </si>
  <si>
    <t>Go, David/A-7019-2013; Slouka, Zdenek/Y-9366-2019; Hill, Reginald/D-2270-2016; Chang, Hsueh-Chia/E-8048-2012</t>
  </si>
  <si>
    <t>Go, David/0000-0001-8948-1442; Chang, Hsueh-Chia/0000-0003-2147-9260</t>
  </si>
  <si>
    <t>10.1039/c5lc00036j</t>
  </si>
  <si>
    <t>WOS:000351493100007</t>
  </si>
  <si>
    <t>Proudfoot, D</t>
  </si>
  <si>
    <t>Proudfoot, Diane</t>
  </si>
  <si>
    <t>Calcium Signaling and Tissue Calcification</t>
  </si>
  <si>
    <t>COLD SPRING HARBOR PERSPECTIVES IN BIOLOGY</t>
  </si>
  <si>
    <t>SMOOTH-MUSCLE-CELLS; MATRIX GLA-PROTEIN; COMPUTED-TOMOGRAPHY ANGIOGRAPHY; CORONARY CT ANGIOGRAPHY; DNA-DAMAGE RESPONSE; VASCULAR CALCIFICATION; AORTIC-VALVE; SENSING RECEPTOR; ARTERIAL CALCIFICATION; EXTRACELLULAR CALCIUM</t>
  </si>
  <si>
    <t>Calcification is a regulated physiological process occurring in bones and teeth. However, calcification is commonly found in soft tissues in association with aging and in a variety of diseases. Over the last two decades, it has emerged that calcification occurring in diseased arteries is not simply an inevitable build-up of insoluble precipitates of calcium phosphate. In some cases, it is an active process in which transcription factors drive conversion of vascular cells to an osteoblast or chondrocyte-like phenotype, with the subsequent production of mineralizing matrix vesicles. Early studies of bone and cartilage calcification suggested roles for cellular calcium signaling in several of the processes involved in the regulation of bone calcification. Similarly, calcium signaling has recently been highlighted as an important component in the mechanisms regulating pathological calcification. The emerging hypothesis is that ectopic/pathological calcification occurs in tissues in which there is an imbalance in the regulatory mechanisms that actively prevent calcification. This review highlights the various ways that calcium signaling regulates tissue calcification, with a particular focus on pathological vascular calcification.</t>
  </si>
  <si>
    <t>[Proudfoot, Diane] Babraham Inst, Signalling Div, Cambridge CB22 3AT, England</t>
  </si>
  <si>
    <t>UK Research &amp; Innovation (UKRI); Biotechnology and Biological Sciences Research Council (BBSRC); Babraham Institute</t>
  </si>
  <si>
    <t>Proudfoot, D (corresponding author), Babraham Inst, Signalling Div, Cambridge CB22 3AT, England.</t>
  </si>
  <si>
    <t>diane.proudfoot@babraham.ac.uk</t>
  </si>
  <si>
    <t>1943-0264</t>
  </si>
  <si>
    <t>a035303</t>
  </si>
  <si>
    <t>10.1101/cshperspect.a035303</t>
  </si>
  <si>
    <t>WOS:000488612600005</t>
  </si>
  <si>
    <t>Yang, RL; Yu, TT; Kou, XX; Gao, X; Chen, CD; Liu, DW; Zhou, YH; Shi, ST</t>
  </si>
  <si>
    <t>Yang, Ruili; Yu, Tingting; Kou, Xiaoxing; Gao, Xiang; Chen, Chider; Liu, Dawei; Zhou, Yanheng; Shi, Songtao</t>
  </si>
  <si>
    <t>Tet1 and Tet2 maintain mesenchymal stem cell homeostasis via demethylation of the P2rX7 promoter</t>
  </si>
  <si>
    <t>EXTRACELLULAR VESICLES; BONE-FORMATION; POSTNATAL-DEVELOPMENT; SYSTEMIC-SCLEROSIS; DNA METHYLATION; MYELOID CANCERS; GENE-EXPRESSION; MAMMALIAN DNA; STROMAL CELLS; SELF-RENEWAL</t>
  </si>
  <si>
    <t>Ten-eleven translocation (Tet) family-mediated DNA oxidation represents an epigenetic modification capable of converting 5-methylcytosine (5-mC) to 5-hydroxymethylcytosine (5-hmC), which regulates various biological processes. However, it is unknown whether Tet family affects mesenchymal stem cells (MSCs) or the skeletal system. Here we show that depletion of Tet1 and Tet2 results in impaired self-renewal and differentiation of bone marrow MSCs (BMMSCs) and a significant osteopenia phenotype. Tet1 and Tet2 deficiency reduces demethylation of the P2rX7 promoter and downregulates exosome release, leading to intracellular accumulation of miR-297a-5p, miR-297b-5p, and miR-297c-5p. These miRNAs inhibit Runx2 signaling to impair BMMSC function. We show that overexpression of P2rX7 rescues the impaired BMMSCs and osteoporotic phenotype in Tet1 and Tet2 double knockout mice. These results indicate that Tet1 and Tet2 play a critical role in maintaining BMMSC and bone homeostasis through demethylation of P2rX7 to control exosome and miRNA release. This Tet/P2rX7/Runx2 cascade may serve as a target for the development of novel therapies for osteopenia disorders.</t>
  </si>
  <si>
    <t>[Yang, Ruili; Yu, Tingting; Kou, Xiaoxing; Liu, Dawei; Zhou, Yanheng] Peking Univ, Dept Orthodont, Sch &amp; Hosp Stomatol, 22 Zhongguancun South Ave, Beijing 100081, Peoples R China; [Yang, Ruili; Yu, Tingting; Kou, Xiaoxing; Gao, Xiang; Chen, Chider; Liu, Dawei; Shi, Songtao] Univ Penn, Sch Dent Med, Dept Anat &amp; Cell Biol, Philadelphia, PA 19104 USA; [Yang, Ruili; Zhou, Yanheng; Shi, Songtao] PKU Ind Pk, SinoUS Joint Res Ctr Oral Tissue Derived Stem Cel, Bldg 10 First Floor,Beiqing Rd, Beijing 102200, Peoples R China; [Gao, Xiang] Chongqing Med Univ, Coll Stomatol, Chongqing 401147, Peoples R China; [Gao, Xiang] Chongqing Med Univ, Chongqing Key Lab Oral Dis &amp; Biomed Sci, Chongqing 401147, Peoples R China</t>
  </si>
  <si>
    <t>Peking University; University of Pennsylvania; Chongqing Medical University; Chongqing Medical University</t>
  </si>
  <si>
    <t>Zhou, YH (corresponding author), Peking Univ, Dept Orthodont, Sch &amp; Hosp Stomatol, 22 Zhongguancun South Ave, Beijing 100081, Peoples R China.;Shi, ST (corresponding author), Univ Penn, Sch Dent Med, Dept Anat &amp; Cell Biol, Philadelphia, PA 19104 USA.;Zhou, YH; Shi, ST (corresponding author), PKU Ind Pk, SinoUS Joint Res Ctr Oral Tissue Derived Stem Cel, Bldg 10 First Floor,Beiqing Rd, Beijing 102200, Peoples R China.</t>
  </si>
  <si>
    <t>yanhengzhou@vip.163.com; songtaos@upenn.edu</t>
  </si>
  <si>
    <t>Zhou, Yanheng/ABG-5432-2021; , 许开源 18362929861 赛德阳光口腔/AFX-1820-2022; Chen, Chider/L-9880-2016</t>
  </si>
  <si>
    <t>Zhou, Yanheng/0000-0002-5610-9967; Chen, Chider/0000-0003-2899-1208; Yang, Ruili/0000-0002-3283-9893</t>
  </si>
  <si>
    <t>10.1038/s41467-018-04464-6</t>
  </si>
  <si>
    <t>WOS:000433889400001</t>
  </si>
  <si>
    <t>McCormack, A; Keating, DJ; Chegeni, N; Colella, A; Wang, JJ; Chataway, T</t>
  </si>
  <si>
    <t>McCormack, Amellia; Keating, Damien J.; Chegeni, Nusha; Colella, Alex; Wang, Jing Jing; Chataway, Tim</t>
  </si>
  <si>
    <t>Abundance of Synaptic Vesicle-Related Proteins in Alpha-Synuclein-Containing Protein Inclusions Suggests a Targeted Formation Mechanism</t>
  </si>
  <si>
    <t>NEUROTOXICITY RESEARCH</t>
  </si>
  <si>
    <t>Lewy body; Glial cytoplasmic inclusion; Parkinson's disease; Multiple system atrophy; Vesicle trafficking; Mass spectrometry</t>
  </si>
  <si>
    <t>MULTIPLE SYSTEM ATROPHY; MITOCHONDRIAL-DNA DELETIONS; PARKINSONS-DISEASE; LEWY BODIES; OXIDATIVE STRESS; BODY; IDENTIFICATION; EPIDEMIOLOGY; PURIFICATION; AGGREGATION</t>
  </si>
  <si>
    <t>Proteinaceous alpha-synuclein-containing inclusions are found in affected brain regions in patients with Parkinson's disease (PD), Dementia with Lewy bodies (DLB) and multiple system atrophy (MSA). These appear in neurons as Lewy bodies in both PD and DLB and as glial cytoplasmic inclusions (GCIs) in oligodendrocytes in MSA. The role they play in the pathology of the diseases is unknown, and relatively little is still known about their composition. By purifying the inclusions from the surrounding tissue and comprehensively analysing their protein composition, vital clues to the formation mechanism and role in the disease process may be found. In this study, Lewy bodies were purified from postmortem brain tissue from DLB cases (n = 2) and GCIs were purified from MSA cases (n = 5) using a recently improved purification method, and the purified inclusions were analysed by mass spectrometry. Twenty-one percent of the proteins found consistently in the GCIs and LBs were synaptic-vesicle related. Identified proteins included those associated with exosomes (CD9), clathrin-mediated endocytosis (clathrin, AP-2 complex, dynamin), retrograde transport (dynein, dynactin, spectrin) and synaptic vesicle fusion (synaptosomal-associated protein 25, vesicle-associated membrane protein 2, syntaxin-1). This suggests that the misfolded or excess alpha-synuclein may be targeted to inclusions via vesicle-mediated transport, which also explains the presence of the neuronal protein alpha-synuclein within GCIs.</t>
  </si>
  <si>
    <t>[McCormack, Amellia; Chegeni, Nusha; Colella, Alex; Chataway, Tim] Flinders Univ S Australia, Coll Med &amp; Publ Hlth, Hinders Prote Facil, Bedford Pk, SA 5042, Australia; [Keating, Damien J.] Flinders Univ S Australia, Coll Med &amp; Publ Hlth, Bedford Pk, SA 5042, Australia; [Colella, Alex; Wang, Jing Jing] Flinders Med Ctr, Dept Immunol, Bedford Pk, SA 5042, Australia; [Colella, Alex; Wang, Jing Jing] Flinders Univ S Australia, SA Pathol, Bedford Pk, SA 5042, Australia</t>
  </si>
  <si>
    <t>Flinders University South Australia; Flinders University South Australia; Flinders Medical Centre; Flinders University South Australia; SA Pathology</t>
  </si>
  <si>
    <t>Chataway, T (corresponding author), Flinders Univ S Australia, Coll Med &amp; Publ Hlth, Hinders Prote Facil, Bedford Pk, SA 5042, Australia.</t>
  </si>
  <si>
    <t>tim.chataway@flinders.edu.au</t>
  </si>
  <si>
    <t>Wang, Jing Jing/AAD-5385-2021</t>
  </si>
  <si>
    <t>Wang, Jing Jing/0000-0003-0114-5570; Chataway, Tim/0000-0003-0254-8099; Keating, Damien/0000-0002-0154-8305</t>
  </si>
  <si>
    <t>1029-8428</t>
  </si>
  <si>
    <t>1476-3524</t>
  </si>
  <si>
    <t>10.1007/s12640-019-00014-0</t>
  </si>
  <si>
    <t>WOS:000464857700008</t>
  </si>
  <si>
    <t>Frols, S; Dyall-Smith, M; Pfeifer, F</t>
  </si>
  <si>
    <t>Froels, Sabrina; Dyall-Smith, Mike; Pfeifer, Felicitas</t>
  </si>
  <si>
    <t>Biofilm formation by haloarchaea</t>
  </si>
  <si>
    <t>GAS VESICLE FORMATION; HALOBACTERIUM-HALOBIUM; HALOPHILIC ARCHAEON; NATRONOBACTERIUM-VACUOLATUM; PYROCOCCUS-FURIOSUS; MICROBIAL BIOFILMS; EXTRACELLULAR DNA; CELL-AGGREGATION; GENE-CLUSTER; PROTEIN GENE</t>
  </si>
  <si>
    <t>A fluorescence-based live-cell adhesion assay was used to examine biofilm formation by 20 different haloarchaea, including species of Halobacterium, Haloferax and Halorubrum, as well as novel natural isolates from an Antarctic salt lake. Thirteen of the 20 tested strains significantly adhered (P-value?&lt;?0.05) to a plastic surface. Examination of adherent cell layers on glass surfaces by differential interference contrast, fluorescence and confocal microscopy showed two types of biofilm structures. Carpet-like, multi-layered biofilms containing micro- and macrocolonies (up to 50 mu m in height) were formed by strains of Halobacterium salinarum and the Antarctic isolate t-ADL strain DL24. The second type of biofilm, characterized by large aggregates of cells adhering to surfaces, was formed by Haloferax volcanii DSM 3757T and Halorubrum lacusprofundi DL28. Staining of the biofilms formed by the strongly adhesive haloarchaeal strains revealed the presence of extracellular polymers, such as eDNA and glycoconjugates, substances previously shown to stabilize bacterial biofilms. For Hbt.?salinarum DSM 3754T and Hfx.?volcanii DSM 3757T, cells adhered within 1 day of culture and remained viable for at least 2 months in mature biofilms. Adherent cells of Hbt.?salinarum DSM 3754T showed several types of cellular appendages that could be involved in the initial attachment. Our results show that biofilm formation occurs in a surprisingly wide variety of haloarchaeal species.</t>
  </si>
  <si>
    <t>[Froels, Sabrina; Pfeifer, Felicitas] Tech Univ Darmstadt, Dept Biol, D-64287 Darmstadt, Germany; [Dyall-Smith, Mike] Charles Sturt Univ, Sch Biomed Sci, Wagga Wagga, NSW 2678, Australia</t>
  </si>
  <si>
    <t>Technical University of Darmstadt; Charles Sturt University</t>
  </si>
  <si>
    <t>Frols, S (corresponding author), Tech Univ Darmstadt, Dept Biol, Schnittspahnstr 10, D-64287 Darmstadt, Germany.</t>
  </si>
  <si>
    <t>froels@bio.tu-darmstadt.de</t>
  </si>
  <si>
    <t>Pfeifer, Felicitas/0000-0003-1631-1543</t>
  </si>
  <si>
    <t>10.1111/j.1462-2920.2012.02895.x</t>
  </si>
  <si>
    <t>WOS:000312155800007</t>
  </si>
  <si>
    <t>Zeng, Y; Shi, JZ; Xu, SR; Shi, R; Wu, TH; Li, HY; Xue, X; Zhu, YC; Chen, BB; Sang, Q; Wang, L</t>
  </si>
  <si>
    <t>Zeng, Yang; Shi, Juanzi; Xu, Shiru; Shi, Rong; Wu, Tonghua; Li, Hongyan; Xue, Xia; Zhu, Yuanchang; Chen, Biaobang; Sang, Qing; Wang, Lei</t>
  </si>
  <si>
    <t>Bi-allelic mutations in MOS cause female infertility characterized by preimplantation embryonic arrest</t>
  </si>
  <si>
    <t>HUMAN REPRODUCTION</t>
  </si>
  <si>
    <t>Mendelian disease; female infertility; preimplantation embryonic arrest; MOS proto-oncogene serine; threonine kinase; mutation; serinethreonine kinase; mitogen-activated protein kinase</t>
  </si>
  <si>
    <t>CYTOSTATIC FACTOR; MEIOTIC ARREST; PROTOONCOGENE PRODUCT; METAPHASE ARREST; MAPK PATHWAY; OOCYTES; KINASE; EMI2; INHIBITOR; RELEASE</t>
  </si>
  <si>
    <t>STUDY QUESTION Are mutations in MOS (MOS proto-oncogene, serine/threonine kinase) involved in early embryonic arrest in infertile women? SUMMARY ANSWER We identified mutations in MOS that may cause human female infertility characterized by preimplantation embryonic arrest (PREMBA), and the effects of the mutations in human embryonic kidney 293T (HEK293T cells) and mouse oocytes provided evidence for a causal relation between MOS and female infertility. WHAT IS KNOWN ALREADY MOS, an activator of mitogen-activated protein kinase, mediates germinal vesicle breakdown and metaphase II arrest. Female MOS knockout mice are viable but sterile. Thus, MOS seems to be an important part of the mammalian cell cycle mechanism that regulates female meiosis. STUDY DESIGN, SIZE, DURATION Whole-exome sequencing, bioinformatics filtering analysis and genetic analysis were performed to identify two different biallelic mutations in MOS in two independent families. The infertile patients presenting with early embryonic arrest were recruited from October 2018 to June 2020. PARTICIPANTS/MATERIALS, SETTING, METHODS The female patients diagnosed with primary infertility were recruited from the reproduction centres of local hospitals. Genomic DNA from the affected individuals, their family members and healthy controls was extracted from peripheral blood. We performed whole-exome sequencing in patients diagnosed with PREMBA. Functional effects of the mutations were investigated in HEK293T cells by western blotting and in mouse oocytes by microinjection and immunofluorescence. MAIN RESULTS AND THE ROLE OF CHANCE We identified the homozygous missense mutation c.285C&gt;A (p.(Asn95Lys)) and the compound heterozygous mutations c.467delG (p.(Gly156Alafs*18)) and c.956G&gt;A (p.(Arg319His)) in MOS in two independent patients. The mutations c.285C&gt;A (p.(Asn95Lys)) and c.467delG (p.(Gly156Alafs*18)) reduced the protein level of MOS, and all mutations reduced the ability of MOS to phosphorylate its downstream target, extracellular signal-regulated kinase1/2. In addition, the identified mutations reduced the capacity of exogenous human MOS to rescue the metaphase II exit phenotype, and the F-actin cytoskeleton of mouse oocytes was affected by the patient-derived mutations. LIMITATIONS, REASONS FOR CAUTION Owing to the lack of in vivo data from patient oocytes, the exact molecular mechanism affected by MOS mutations and leading to PREMBA is still unknown and should be further investigated using knock-out or knock-in mice. WIDER IMPLICATIONS OF THE FINDINGS We identified recessive mutations in MOS in two independent patients with the PREMBA phenotype. Our findings reveal the important role of MOS during human oocyte meiosis and embryonic development and suggest that mutations in MOS may be precise diagnostic markers for clinical genetic counselling. STUDY FUNDING/COMPETING INTEREST(S) This work was supported by the National Natural Science Foundation of China (81725006, 81822019, 81771581, 81971450, 81971382,82001538 and 82071642), the project supported by the Shanghai Municipal Science and Technology Major Project (2017SHZDZX01), the Project of the Shanghai Municipal Science and Technology Commission (19JC1411001), the Natural Science Foundation of Shanghai (19ZR1444500 and 21ZR1404800), the Shuguang Program of the Shanghai Education Development Foundation and the Shanghai Municipal Education Commission (18SG03), the Foundation of the Shanghai Health and Family Planning Commission (20154Y0162), the Capacity Building Planning Program for Shanghai Women and Children's Health Service and the collaborative innovation centre project construction for Shanghai Women and Children's Health. The authors have no conflicts of interest to declare.</t>
  </si>
  <si>
    <t>[Zeng, Yang; Sang, Qing; Wang, Lei] Fudan Univ, Childrens Hosp, Inst Pediat, Shanghai 200032, Peoples R China; [Zeng, Yang; Sang, Qing; Wang, Lei] Fudan Univ, Inst Biomed Sci, Shanghai 200032, Peoples R China; [Zeng, Yang; Sang, Qing; Wang, Lei] Fudan Univ, State Key Lab Genet Engn, Shanghai 200032, Peoples R China; [Shi, Juanzi; Shi, Rong; Xue, Xia] Northwest Womens &amp; Childrens Hosp, Reprod Ctr, Xian, Shaanxi, Peoples R China; [Xu, Shiru; Wu, Tonghua; Li, Hongyan; Zhu, Yuanchang] Shenzhen Zhongshan Urol Hosp, Fertil Ctr, Shenzhen, Guangdong, Peoples R China; [Chen, Biaobang] Fudan Univ, Shanghai Inst Biomed &amp; Pharmaceut Technol, NHC Key Lab Reprod Regulat, Shanghai, Peoples R China</t>
  </si>
  <si>
    <t>Sang, Q; Wang, L (corresponding author), Fudan Univ, Childrens Hosp, Inst Pediat, Shanghai 200032, Peoples R China.;Sang, Q; Wang, L (corresponding author), Fudan Univ, Inst Biomed Sci, Shanghai 200032, Peoples R China.;Sang, Q; Wang, L (corresponding author), Fudan Univ, State Key Lab Genet Engn, Shanghai 200032, Peoples R China.</t>
  </si>
  <si>
    <t>sangqing@fudan.edu.cn; wangleiwanglei@fudan.edu.cn</t>
  </si>
  <si>
    <t>0268-1161</t>
  </si>
  <si>
    <t>1460-2350</t>
  </si>
  <si>
    <t>10.1093/humrep/deab281</t>
  </si>
  <si>
    <t>WOS:000763007300021</t>
  </si>
  <si>
    <t>WU, LNY; GENGE, BR; ISHIKAWA, Y; WUTHIER, RE</t>
  </si>
  <si>
    <t>MODULATION OF CULTURED CHICKEN GROWTH PLATE CHONDROCYTES BY TRANSFORMING GROWTH FACTOR-BETA-1 AND BASIC FIBROBLAST GROWTH-FACTOR</t>
  </si>
  <si>
    <t>CHONDROCYTES; TGF-BETA-1; BFGF; COLLAGEN; FIBRONECTIN; ALKALINE PHOSPHATASE</t>
  </si>
  <si>
    <t>RABBIT COSTAL CHONDROCYTES; FACTOR-BETA; ALKALINE-PHOSPHATASE; MATRIX VESICLES; EPIPHYSEAL CARTILAGE; EXTRACELLULAR-MATRIX; DNA-SYNTHESIS; FACTOR-A; COLLAGEN; ASSOCIATION</t>
  </si>
  <si>
    <t>Expression of several cellular and matrix proteins which increase significantly during the maturation of growth plate cartilage has been shown to be affected by various endocrine and autocrine factors. In the studies reported here, transforming growth factor-beta (TGF-beta-1) and basic fibroblast growth factor (bFGF) were administered to primary cultures of avian growth plate chondrocytes at pre- or post-confluent stages to study the interplay that occurs between these factors in modulating chondrocytic phenotype. Added continuously to pre-confluent chondrocytes, TGF-beta-1 stimulated the cells to produce abundant extracellular matrix and multilayered cell growth; cell morphology was altered to a more spherical configuration. These effects were generally mimicked by bFGF, but cell shape was not affected. Administered together with TGF-beta-1, bFGF caused additive stimulation of protein synthesis, and alkaline phosphatase (AP) activity was markedly, but transiently enhanced. During this pre-confluent stage, TGF-beta-1 also increased fibronectin secretion into the culture medium. Added to post-confluent cells, TGF-beta-1 alone caused a dosage-dependent suppression of AP activity, but bFGF alone did not. Under these conditions, TGF-beta-1 and bFGF had little effect on general protein synthesis, but TGF-beta-1 alone caused large, dosage-dependent increases in synthesis of fibronectin, and to some extent type II and X collagens. Given together with bFGF, TGF-beta-1 synergistically increased secretion of fibronectin. These findings reveal that regulation of phenotypic expression in maturing growth plate chondrocytes involves complex interactions between growth factors that are determined by timing, level, continuity, and length of exposure.</t>
  </si>
  <si>
    <t>UNIV S CAROLINA, DEPT CHEM, COLUMBIA, SC 29208 USA</t>
  </si>
  <si>
    <t>10.1002/jcb.240490211</t>
  </si>
  <si>
    <t>WOS:A1992HZ93500010</t>
  </si>
  <si>
    <t>Schneider, R; McKeever, P; Kim, T; Graff, C; van Swieten, JC; Karydas, A; Boxer, A; Rosen, H; Miller, BL; Laforce, R; Galimberti, D; Masellis, M; Borroni, B; Zhang, ZL; Zinman, L; Rohrer, JD; Tartaglia, MC; Robertson, J</t>
  </si>
  <si>
    <t>Schneider, Raphael; McKeever, Paul; Kim, TaeHyung; Graff, Caroline; van Swieten, John Cornelis; Karydas, Anna; Boxer, Adam; Rosen, Howie; Miller, Bruce L.; Laforce, Robert, Jr.; Galimberti, Daniela; Masellis, Mario; Borroni, Barbara; Zhang, Zhaolei; Zinman, Lorne; Rohrer, Jonathan Daniel; Tartaglia, Maria Carmela; Robertson, Janice</t>
  </si>
  <si>
    <t>Genetic FTD Initiative GENFI</t>
  </si>
  <si>
    <t>Downregulation of exosomal miR-204-5p and miR-632 as a biomarker for FTD: a GENFI study</t>
  </si>
  <si>
    <t>JOURNAL OF NEUROLOGY NEUROSURGERY AND PSYCHIATRY</t>
  </si>
  <si>
    <t>FRONTOTEMPORAL LOBAR DEGENERATION; AMYOTROPHIC-LATERAL-SCLEROSIS; PROGRANULIN DEFICIENCY; COMPREHENSIVE ATLAS; ALZHEIMERS-DISEASE; NEURITE OUTGROWTH; DEMENTIA; CELLS; EXPRESSION; PATHWAYS</t>
  </si>
  <si>
    <t>Objective To determine whether exosomal microRNAs (miRNAs) in cerebrospinal fluid (CSF) of patients with frontotemporal dementia (FTD) can serve as diagnostic biomarkers, we assessed miRNA expression in the Genetic Frontotemporal Dementia Initiative (GENFI) cohort and in sporadic FTD. Methods GENFI participants were either carriers of a pathogenic mutation in progranulin, chromosome 9 open reading frame 72 or microtubule-associated protein tau or were at risk of carrying a mutation because a first-degree relative was a known symptomatic mutation carrier. Exosomes were isolated from CSF of 23 presymptomatic and 15 symptomatic mutation carriers and 11 healthy non-mutation carriers. Expression of 752 miRNAs was measured using quantitative PCR (qPCR) arrays and validated by qPCR using individual primers. MiRNAs found differentially expressed in symptomatic compared with presymptomatic mutation carriers were further evaluated in a cohort of 17 patients with sporadic FTD, 13 patients with sporadic Alzheimer's disease (AD) and 10 healthy controls (HCs) of similar age. Results In the GENFI cohort, miR-204-5p and miR-632 were significantly decreased in symptomatic compared with presymptomatic mutation carriers. Decrease of miR-204-5p and miR-632 revealed receiver operator characteristics with an area of 0.89 (90% CI 0.79 to 0.98) and 0.81 (90% CI 0.68 to 0.93), respectively, and when combined an area of 0.93 (90% CI 0.87 to 0.99). In sporadic FTD, only miR-632 was significantly decreased compared with AD and HCs. Decrease of miR-632 revealed an area of 0.90 (90% CI 0.81 to 0.98). Conclusions Exosomal miR-204-5p and miR-632 have potential as diagnostic biomarkers for genetic FTD and miR-632 also for sporadic FTD.</t>
  </si>
  <si>
    <t>[Schneider, Raphael; McKeever, Paul; Robertson, Janice] Univ Toronto, Dept Lab Med &amp; Pathobiol, Toronto, ON, Canada; [Schneider, Raphael; McKeever, Paul; Tartaglia, Maria Carmela; Robertson, Janice] Univ Toronto, Tanz Ctr Res Neurodegenerat Dis, Toronto, ON M5T 2S8, Canada; [Kim, TaeHyung] Univ Toronto, Dept Comp Sci, Toronto, ON, Canada; [Kim, TaeHyung; Zhang, Zhaolei] Univ Toronto, Donnelly Ctr Cellular &amp; Biomol Res, Toronto, ON, Canada; [Graff, Caroline] Karolinska Inst, Dept Neurobiol, Stockholm, Sweden; [van Swieten, John Cornelis] Erasmus MC, Dept Neurol, Rotterdam, Netherlands; [Karydas, Anna; Boxer, Adam; Rosen, Howie; Miller, Bruce L.] Univ Calif San Francisco, Dept Neurol, San Francisco, CA 94143 USA; [Laforce, Robert, Jr.] Univ Laval, Dept Sci Neurol, Quebec City, PQ, Canada; [Galimberti, Daniela] Univ Milan, Ctr Dino Ferrari, Fdn Ca Granda IRCCS Osped Policlin, Milan, Italy; [Masellis, Mario] Univ Toronto, LC Campbell Cognit Neurol Res Unit, Toronto, ON, Canada; [Masellis, Mario; Zinman, Lorne] Univ Toronto, Sunnybrook Hlth Sci Ctr, Toronto, ON, Canada; [Borroni, Barbara] Univ Brescia, Neurol Unit, Ctr Ageing Brain &amp; Neurodegenerat Disorders, Brescia, Italy; [Zhang, Zhaolei] Univ Toronto, Dept Mol Genet, Toronto, ON, Canada; [Rohrer, Jonathan Daniel] UCL, Dementia Res Ctr, London, England; [Tartaglia, Maria Carmela] Univ Hlth Network, Memory Clin, Toronto, ON, Canada</t>
  </si>
  <si>
    <t>University of Toronto; University of Toronto; University of Toronto; University of Toronto; Karolinska Institutet; Erasmus University Rotterdam; Erasmus MC; University of California System; University of California San Francisco; Laval University; IRCCS Ca Granda Ospedale Maggiore Policlinico; University of Milan; University of Toronto; University of Toronto; Sunnybrook Health Science Center; Sunnybrook Research Institute; University of Brescia; University of Toronto; University of London; University College London; University of Toronto; University Health Network Toronto</t>
  </si>
  <si>
    <t>Robertson, J (corresponding author), Univ Toronto, Tanz Ctr Res Neurodegenerat Dis, Toronto, ON M5T 2S8, Canada.</t>
  </si>
  <si>
    <t>jan.robertson@utoronto.ca</t>
  </si>
  <si>
    <t>Fumagalli, Giorgio G/L-8306-2013; Frisoni, Giovanni B/K-1360-2016; BENUSSI, LUISA/K-4409-2016; PRIONI, SARA/AAI-1353-2021; Bocchetta, Martina/T-4303-2019; Grisoli, Marina/AAR-1268-2021; graff, caroline/A-2545-2009; Schneider, Raphael/H-2782-2019; Rossi, Giacomina/I-2783-2012; Bocchetta, Martina/B-6331-2013; Redaelli, Veronica/AAC-2707-2019; Borroni, Barbara/AAN-4105-2020; Galimberti, Daniela/N-7209-2019; Rowe, James/C-3661-2013</t>
  </si>
  <si>
    <t>Fumagalli, Giorgio G/0000-0003-0687-7199; Frisoni, Giovanni B/0000-0002-6419-1753; BENUSSI, LUISA/0000-0003-2836-8141; PRIONI, SARA/0000-0001-9632-0591; Bocchetta, Martina/0000-0003-1814-5024; Grisoli, Marina/0000-0002-7663-446X; Schneider, Raphael/0000-0003-1776-2418; Rossi, Giacomina/0000-0001-6680-2725; Bocchetta, Martina/0000-0003-1814-5024; Redaelli, Veronica/0000-0001-7841-8560; Galimberti, Daniela/0000-0002-9284-5953; Maruta, Carolina/0000-0003-3359-379X; Graff, Caroline/0000-0002-9949-2951; Laforce, Robert Jr/0000-0002-2031-490X; Rowe, James/0000-0001-7216-8679; Rohrer, Jonathan/0000-0002-6155-8417; Miller, Bruce/0000-0002-2152-4220</t>
  </si>
  <si>
    <t>0022-3050</t>
  </si>
  <si>
    <t>1468-330X</t>
  </si>
  <si>
    <t>10.1136/jnnp-2017-317492</t>
  </si>
  <si>
    <t>Clinical Neurology; Psychiatry; Surgery</t>
  </si>
  <si>
    <t>Neurosciences &amp; Neurology; Psychiatry; Surgery</t>
  </si>
  <si>
    <t>WOS:000442475000017</t>
  </si>
  <si>
    <t>Bateman, A</t>
  </si>
  <si>
    <t>Bateman, Andrew</t>
  </si>
  <si>
    <t>Division of labour in a matrix, rather than phagocytosis or endosymbiosis, as a route for the origin of eukaryotic cells</t>
  </si>
  <si>
    <t>Eukaryotes; Eukaryogenesis; Evolution; Prokaryotes; Hypothesis; Matrix; Biofilm; Archaea; Bacteria; Mitochondria; Chromosomes; Membranes</t>
  </si>
  <si>
    <t>HORIZONTAL GENE-TRANSFER; BACTERIAL PROTOPLAST FUSION; GROUP-II INTRONS; ARCHAEBACTERIAL ORIGIN; EUBACTERIAL GENES; EXTRACELLULAR DNA; MEMBRANE-VESICLES; EVOLUTION; BIOFILMS; MITOCHONDRIA</t>
  </si>
  <si>
    <t>Two apparently irreconcilable models dominate research into the origin of eukaryotes. In one model, amitochondrial proto-eukaryotes emerged autogenously from the last universal common ancestor of all cells. Proto-eukaryotes subsequently acquired mitochondrial progenitors by the phagocytic capture of bacteria. In the second model, two prokaryotes, probably an archaeon and a bacterial cell, engaged in prokaryotic endosymbiosis, with the species resident within the host becoming the mitochondrial progenitor. Both models have limitations. A search was therefore undertaken for alternative routes towards the origin of eukaryotic cells. The question was addressed by considering classes of potential pathways from prokaryotic to eukaryotic cells based on considerations of cellular topology. Among the solutions identified, one, called here the third-space model, has not been widely explored. A version is presented in which an extracellular space (the third-space), serves as a proxy cytoplasm for mixed populations of archaea and bacteria to merge as a transitionary complex without obligatory endosymbiosis or phagocytosis and to form a precursor cell. Incipient nuclei and mitochondria diverge by division of labour. The third-space model can accommodate the reorganization of prokaryote-like genomes to a more eukaryote-like genome structure. Nuclei with multiple chromosomes and mitosis emerge as a natural feature of the model. The model is compatible with the loss of archaeal lipid biochemistry while retaining archaeal genes and provides a route for the development of membranous organelles such as the Golgi apparatus and endoplasmic reticulum. Advantages, limitations and variations of the third-space models are discussed.</t>
  </si>
  <si>
    <t>[Bateman, Andrew] McGill Univ, Dept Med, Div Expt Med, Glen Site Pavil E,1001 Blvd Decarie, Montreal, PQ H4A 3J1, Canada; [Bateman, Andrew] McGill Univ, Ctr Hlth, Res Inst, Ctr Translat Biol, Glen Site Pavil E,1001 Blvd Decarie, Montreal, PQ H4A 3J1, Canada</t>
  </si>
  <si>
    <t>Bateman, A (corresponding author), McGill Univ, Dept Med, Div Expt Med, Glen Site Pavil E,1001 Blvd Decarie, Montreal, PQ H4A 3J1, Canada.;Bateman, A (corresponding author), McGill Univ, Ctr Hlth, Res Inst, Ctr Translat Biol, Glen Site Pavil E,1001 Blvd Decarie, Montreal, PQ H4A 3J1, Canada.</t>
  </si>
  <si>
    <t>Andrew.bateman@mcgill.ca</t>
  </si>
  <si>
    <t>Bateman, Andrew/0000-0003-0597-769X</t>
  </si>
  <si>
    <t>10.1186/s13062-020-00260-9</t>
  </si>
  <si>
    <t>WOS:000531377000001</t>
  </si>
  <si>
    <t>Fiorillo, AA; Heier, CR; Huang, YF; Tully, CB; Punga, T; Punga, AR</t>
  </si>
  <si>
    <t>Fiorillo, Alyson A.; Heier, Christopher R.; Huang, Yu-Fang; Tully, Christopher B.; Punga, Tanel; Punga, Anna Rostedt</t>
  </si>
  <si>
    <t>Estrogen Receptor, Inflammatory, and FOXO Transcription Factors Regulate Expression of Myasthenia Gravis-Associated Circulating microRNAs</t>
  </si>
  <si>
    <t>microRNA; myasthenia gravis; estradiol; miR-21-5p; NF-kappa B; FOXO</t>
  </si>
  <si>
    <t>T-CELLS; KAPPA-B; THYMUS; ACTIVATION; MECHANISMS; MIR-150-5P; BINDING; MUSK</t>
  </si>
  <si>
    <t>MicroRNAs (miRNAs) are small non-coding RNA molecules that regulate important intracellular biological processes. In myasthenia gravis (MG), a disease-specific pattern of elevated circulating miRNAs has been found, and proposed as potential biomarkers. These elevated miRNAs include miR-150-5p, miR-21-5p, and miR-30e-5p in acetylcholine receptor antibody seropositive (AChR+) MG and miR-151a-3p, miR-423-5p, let-7a-5p, and let-7f-5p in muscle-specific tyrosine kinase antibody seropositive (MuSK+) MG. In this study, we examined the regulation of each of these miRNAs using chromatin immunoprecipitation sequencing (ChIP-seq) data from the Encyclopedia of DNA Elements (ENCODE) to gain insight into the transcription factor pathways that drive their expression in MG. Our aim was to look at the transcription factors that regulate miRNAs and then validate some of those in vivo with cell lines that have sufficient expression of these transcription factors This analysis revealed several transcription factor families that regulate MG-specific miRNAs including the Forkhead box or the FOXO proteins (FoxA1, FoxA2, FoxM1, FoxP2), AP-1, interferon regulatory factors (IRF1, IRF3, IRF4), and signal transducer and activator of transcription proteins (Stat1, Stat3, Stat5a). We also found binding sites for nuclear factor of activated T-cells (NFATC1), nuclear factor kappa-light-chain-enhancer of activated B cells (NF-kappa B), early growth response factor (EGR1), and the estrogen receptor 1 (ESR1). AChR+ MG miRNAs showed a stronger overall regulation by the FOXO transcription factors, and of this group, miR-21-5p, let-7a, and let 7f were found to possess ESR1 binding sites. Using a murine macrophage cell line, we found activation of NF-kappa B -mediated inflammation by LPS induced expression of miR-21-5p, miR-30e-5p, miR-423-5p, let-7a, and let-7f. Pre-treatment of cells with the anti-inflammatory drugs prednisone or deflazacort attenuated induction of inflammation-induced miRNAs. Interestingly, the activation of inflammation induced packaging of the AChR+-specific miRNAs miR-21-5p and miR-30e-5p into exosomes, suggesting a possible mechanism for the elevation of these miRNAs in MG patient serum. In conclusion, our study summarizes the regulatory transcription factors that drive expression of AChR+ and MuSK+ MG-associated miRNAs. Our findings of elevated miR-21-5p and miR-30e-5p expression in immune cells upon inflammatory stimulation and the suppressive effect of corticosteroids strengthens the putative role of these miRNAs in the MG autoimmune response.</t>
  </si>
  <si>
    <t>[Fiorillo, Alyson A.; Heier, Christopher R.; Tully, Christopher B.] Childrens Res Inst, Ctr Genet Med Res, Washington, DC USA; [Fiorillo, Alyson A.; Heier, Christopher R.] George Washington Univ, Genom &amp; Precis Med, Washington, DC USA; [Huang, Yu-Fang; Punga, Anna Rostedt] Uppsala Univ, Dept Neurosci Clin Neurophysiol, Uppsala, Sweden; [Punga, Tanel] Uppsala Univ, Dept Med Biochem &amp; Microbiol, Uppsala, Sweden</t>
  </si>
  <si>
    <t>George Washington University; Uppsala University; Uppsala University</t>
  </si>
  <si>
    <t>Punga, AR (corresponding author), Uppsala Univ, Dept Neurosci Clin Neurophysiol, Uppsala, Sweden.</t>
  </si>
  <si>
    <t>anna.rostedt.punga@neuro.uu.se</t>
  </si>
  <si>
    <t>Fiorillo, Alyson/0000-0003-3458-8036; Heier, Christopher/0000-0001-7914-2068</t>
  </si>
  <si>
    <t>10.3389/fimmu.2020.00151</t>
  </si>
  <si>
    <t>WOS:000523699300001</t>
  </si>
  <si>
    <t>Luo, AP; Zhou, XT; Shi, X; Zhao, YH; Men, Y; Chang, X; Chen, HY; Ding, F; Li, Y; Su, D; Xiao, ZF; Hui, ZG; Liu, ZH</t>
  </si>
  <si>
    <t>Luo, Aiping; Zhou, Xuantong; Shi, Xing; Zhao, Yahui; Men, Yu; Chang, Xiao; Chen, Hongyan; Ding, Fang; Li, Yi; Su, Dan; Xiao, Zefen; Hui, Zhouguang; Liu, Zhihua</t>
  </si>
  <si>
    <t>Exosome-derived miR-339-5p mediates radiosensitivity by targeting Cdc25A in locally advanced esophageal squamous cell carcinoma</t>
  </si>
  <si>
    <t>NEOADJUVANT CHEMORADIOTHERAPY; P53-INDUCIBLE MICRORNAS; PROGNOSTIC-SIGNIFICANCE; H2AX PHOSPHORYLATION; TUMOR-SUPPRESSOR; DOWN-REGULATION; DNA-DAMAGE; CANCER; STAGE; EXPRESSION</t>
  </si>
  <si>
    <t>Cancer cells associated with radioresistance are likely to give rise to local recurrence and distant metastatic relapse. However, it remains unclear whether specific miRNAs have direct roles in radioresistance and/or prognosis. In this study, we find that miR-339-5p promotes radiosensitivity, and is downregulated in radioresistant subpopulations of esophageal cancer cells. Notably, miR-339-5p was selectively secreted into blood via exosomes, and that higher serum miR-339-5p levels were positively associated with radiotherapy sensitivity and good survival. Moreover, miR-339-5p expression was downregulated in the T3/T4 stage compared with T1/T2 stage in esophageal squamous cell carcinoma (ESCC) patients (P = 0.04), and low miR-339-5p expression in tissue was significantly associated with poor overall survival (P = 0.036) and disease-free survival (P = 0.037). Overexpression of miR-339-5p enhanced radiosensitivity in vitro and in vivo. Mechanistically, miR-339-5p enhances radiosensitivity by targeting Cdc25A, and is transcriptionally regulated by Runx3. Correlations were observed between miR-339-5p levels and Cdc25A/Runx3 levels in tissue samples. Intriguingly, combined analysis of miR-339-5p expression with Runx3 increased the separation of the survival curves obtained for either gene alone in the TCGA datasets (P = 0.009). Overall, exosome-derived miR-339-5p mediates radiosensitivity through downregulation of Cdc25A, and predicts pathological response to preoperative radiotherapy in locally advanced ESCC, suggesting it could be a promising non-invasive biomarker for facilitating personalized treatments.</t>
  </si>
  <si>
    <t>[Luo, Aiping; Zhou, Xuantong; Zhao, Yahui; Chen, Hongyan; Ding, Fang; Li, Yi; Liu, Zhihua] Chinese Acad Med Sci, State Key Lab Mol Oncol, Natl Canc Ctr, Natl Clin Res Ctr Canc,Canc Hosp, Beijing 100021, Peoples R China; [Luo, Aiping; Zhou, Xuantong; Zhao, Yahui; Men, Yu; Chang, Xiao; Chen, Hongyan; Ding, Fang; Li, Yi; Xiao, Zefen; Hui, Zhouguang; Liu, Zhihua] Peking Union Med Coll, Beijing 100021, Peoples R China; [Shi, Xing] Chinese Acad Sci, Beijing Inst Genom, Key Lab Genome Sci &amp; Informat, Beijing 100101, Peoples R China; [Men, Yu; Chang, Xiao; Xiao, Zefen; Hui, Zhouguang] Chinese Acad Med Sci, Dept Radiotherapy, Natl Canc Ctr, Natl Clin Res Ctr Canc,Canc Hosp, Beijing 100021, Peoples R China; [Su, Dan] Zhejiang Canc Hosp, Dept Pathol, Hangzhou 310022, Zhejiang, Peoples R China</t>
  </si>
  <si>
    <t>Chinese Academy of Medical Sciences - Peking Union Medical College; Cancer Institute &amp; Hospital - CAMS; Chinese Academy of Medical Sciences - Peking Union Medical College; Peking Union Medical College; Chinese Academy of Sciences; Beijing Institute of Genomics, CAS; Chinese Academy of Medical Sciences - Peking Union Medical College; Cancer Institute &amp; Hospital - CAMS; Zhejiang Cancer Hospital</t>
  </si>
  <si>
    <t>Liu, ZH (corresponding author), Chinese Acad Med Sci, State Key Lab Mol Oncol, Natl Canc Ctr, Natl Clin Res Ctr Canc,Canc Hosp, Beijing 100021, Peoples R China.;Xiao, ZF; Hui, ZG; Liu, ZH (corresponding author), Peking Union Med Coll, Beijing 100021, Peoples R China.;Xiao, ZF; Hui, ZG (corresponding author), Chinese Acad Med Sci, Dept Radiotherapy, Natl Canc Ctr, Natl Clin Res Ctr Canc,Canc Hosp, Beijing 100021, Peoples R China.</t>
  </si>
  <si>
    <t>xiaozefen@sina.com; huizg@cicams.ac.cn; liuzh@cicams.ac.cn</t>
  </si>
  <si>
    <t>dong, wang/T-9093-2019</t>
  </si>
  <si>
    <t>Chang, Xiao/0000-0003-0560-2441; Xiao, Zefen/0000-0003-0503-6814; Zhao, Yahui/0000-0002-9613-1384</t>
  </si>
  <si>
    <t>10.1038/s41388-019-0771-0</t>
  </si>
  <si>
    <t>WOS:000472145900008</t>
  </si>
  <si>
    <t>Casalena, GA; Yu, LP; Gil, R; Rodriguez, S; Sosa, S; Janssen, W; Azeloglu, EU; Leventhal, JS; Daehn, IS</t>
  </si>
  <si>
    <t>Casalena, Gabriella A.; Yu, Liping; Gil, Roberto; Rodriguez, Samuel; Sosa, Shantel; Janssen, William; Azeloglu, Evren U.; Leventhal, Jeremy S.; Daehn, Ilse S.</t>
  </si>
  <si>
    <t>The diabetic microenvironment causes mitochondrial oxidative stress in glomerular endothelial cells and pathological crosstalk with podocytes</t>
  </si>
  <si>
    <t>Endothelial cells; Diabetes; Crosstalk; Podocytes; Mitochondria; ROS</t>
  </si>
  <si>
    <t>HIGH GLUCOSE; DNA-DAMAGE; KIDNEY-DISEASE; DYSFUNCTION; AUTOPHAGY; HYPERGLYCEMIA; MITOPHAGY; EXOSOMES; INJURY; NEPHROPATHY</t>
  </si>
  <si>
    <t>Background: In the setting of diabetes mellitus, mitochondrial dysfunction and oxidative stress are important pathogenic mechanisms causing end organ damage, including diabetic kidney disease (DKD), but mechanistic understanding at a cellular level remains obscure. In mouse models of DKD, glomerular endothelial cell (GEC) dysfunction precedes albuminuria and contributes to neighboring podocyte dysfunction, implicating GECs in breakdown of the glomerular filtration barrier. In the following studies we wished to explore the cellular mechanisms by which GECs become dysfunctional in the diabetic milieu, and the impact to neighboring podocytes. Methods: Mouse GECs were exposed to high glucose media (HG) or 2.5% v/v serum from diabetic mice or serum from non-diabetic controls, and evaluated for mitochondrial function (oxygen consumption), structure (electron microscopy), morphology (mitotracker), mitochondrial superoxide (mitoSOX), as well as accumulation of oxidized products (DNA lesion frequency (8-oxoG, endo-G), double strand breaks (gamma-H2AX), endothelial function (NOS activity), autophagy (LC3) and apoptotic cell death (Annexin/PI; caspase 3). Supernatant transfer experiments from GECs to podocytes were performed to establish the effects on podocyte survival and transwell experiments were performed to determine the effects in co-culture. Results: Diabetic serum specifically causes mitochondrial dysfunction and mitochondrial superoxide release in GECs. There is a rapid oxidation of mitochondrial DNA and loss of mitochondrial biogenesis without cell death. Many of these effects are blocked by mitoTEMPO a selective mitochondrial anti-oxidant. Secreted factors from dysfunctional GECs were sufficient to cause podocyte apoptosis in supernatant transfer experiments, or in co-culture but this did not occur when GECs had been previously treated with mitoTEMPO. Conclusion: Dissecting the impact of the diabetic environment on individual cell-types from the kidney glomerulus indicates that GECs become dysfunctional and pathological to neighboring podocytes by increased levels of mitochondrial superoxide in GEC. These studies indicate that GEC-signaling to podocytes contributes to the loss of the glomerular filtration barrier in DKD.</t>
  </si>
  <si>
    <t>[Casalena, Gabriella A.; Yu, Liping; Gil, Roberto; Rodriguez, Samuel; Sosa, Shantel; Azeloglu, Evren U.; Leventhal, Jeremy S.; Daehn, Ilse S.] Icahn Sch Med Mt Sinai, Dept Med, Div Nephrol, One Gustave Levy Pl,Box 1003, New York, NY 10029 USA; [Janssen, William] Icahn Sch Med Mt Sinai, Microscopy CoRE, New York, NY 10029 USA</t>
  </si>
  <si>
    <t>Icahn School of Medicine at Mount Sinai; Icahn School of Medicine at Mount Sinai</t>
  </si>
  <si>
    <t>Daehn, IS (corresponding author), Icahn Sch Med Mt Sinai, Dept Med, Div Nephrol, One Gustave Levy Pl,Box 1003, New York, NY 10029 USA.</t>
  </si>
  <si>
    <t>ilse.daehn@mssm.edu</t>
  </si>
  <si>
    <t>daehn, ilse/L-3883-2019</t>
  </si>
  <si>
    <t>daehn, ilse/0000-0001-9915-5376</t>
  </si>
  <si>
    <t>10.1186/s12964-020-00605-x</t>
  </si>
  <si>
    <t>WOS:000552058600002</t>
  </si>
  <si>
    <t>Agashe, R; Kurzrock, R</t>
  </si>
  <si>
    <t>Agashe, Ruchi; Kurzrock, Razelle</t>
  </si>
  <si>
    <t>Circulating Tumor Cells: From the Laboratory to the Cancer Clinic</t>
  </si>
  <si>
    <t>circulating tumor cells; ctDNA; cancer</t>
  </si>
  <si>
    <t>METASTATIC BREAST-CANCER; LIQUID BIOPSY; HER2 STATUS; DNA; ASSOCIATION; EXOSOMES; TRIAL</t>
  </si>
  <si>
    <t>Circulating tumor cells (CTCs) are cells that are shed from tumors into the bloodstream. Cell enrichment and isolation technology as well as molecular profiling via next-generation sequencing have allowed for a greater understanding of tumor cancer biology via the interrogation of CTCs. CTC detection can be used to predict cancer relapse, progression, and survival; evaluate treatment effectiveness; and explore the ex vivo functional impact of agents. Detection methods can be by either immunoaffinity (positive or negative enrichment strategies) or biophysical strategies. CTC characterization, which is performed by DNA, RNA, and/or protein techniques, can predict metastatic potential. Currently, CTC-derived explant models may mimic patient response to chemotherapy and help with studying druggable targets and testing treatments. The Food and Drug Administration has cleared a CTC blood test to enumerate CTCs derived from breast, prostate, and colorectal cancers. In conclusion, liquid biopsies via CTCs provide a non-invasive way to obtain important diagnostic, prognostic, and predictive information in patients with cancer.</t>
  </si>
  <si>
    <t>[Agashe, Ruchi; Kurzrock, Razelle] Univ Calif San Diego, Moores Canc Ctr, Ctr Personalized Canc Therapy, La Jolla, CA 92130 USA</t>
  </si>
  <si>
    <t>Kurzrock, R (corresponding author), Univ Calif San Diego, Moores Canc Ctr, Ctr Personalized Canc Therapy, La Jolla, CA 92130 USA.</t>
  </si>
  <si>
    <t>ruchi.agashe@yale.edu; rkurzrock@health.ucsd.edu</t>
  </si>
  <si>
    <t>Kurzrock, Razelle/0000-0003-4110-1214; Agashe, Ruchi/0000-0002-5433-5514</t>
  </si>
  <si>
    <t>10.3390/cancers12092361</t>
  </si>
  <si>
    <t>WOS:000580268900001</t>
  </si>
  <si>
    <t>DAINIAK, N; SORBA, S</t>
  </si>
  <si>
    <t>INTRACELLULAR REGULATION OF THE PRODUCTION AND RELEASE OF HUMAN ERYTHROID-DIRECTED LYMPHOKINES</t>
  </si>
  <si>
    <t>ERYTHROPOIESIS; LYMPHOKINES; MEMBRANE-BOUND GROWTH FACTORS</t>
  </si>
  <si>
    <t>EXTRACELLULAR MEMBRANE-VESICLES; GROWTH FACTOR-I; CYTOPLASM PROTEINS; MONONUCLEAR-CELLS; PERIPHERAL-BLOOD; LYMPHOCYTES-B; RESTING STATE; INVITRO; PROLIFERATION; GANGLIOSIDES</t>
  </si>
  <si>
    <t>Erythroid burst-promoting activity (BPA) is released from B lymphocytes in soluble (sBPA) and membrane-bound (mBPA) forms. To study intracellular processes involved in production of these physically separable factors, we measured their time course release into serum-free medium from B cells that were pulse-exposed for 5-240 min to nonmitogenic base medium or inhibitors of energy-dependent metabolism (2,4-dinitrophenol, sodium azide, and 2-deoxy-D-glucose), transcription and translation (actinomycin D and cycloheximide), replicative DNA synthesis (cytosine arabinoside), or posttranslational processing (monensin). mBPA and sBPA were initially detectable after 1 and 2 h, respectively. Maximum cumulative levels of 8 +/- 0.6 and 9 +/- 1.0 U/ml, respectively, were reached after 8 h. In contrast, cumulative mBPA and sBPA levels in medium prepared from cells treated with metabolic inhibitors were reduced by up to 90%. Both surface exfoliation and mBPA expression by intact plasma membranes were diminished. Whereas pulse-exposure to cytosine arabinoside had no effect, treatment with actinomycin D or Cycloheximide abolished BPA expression. Exposure to monensin reduced mBPA and sBPA levels to zero in a concentration- and time-dependent fashion. We conclude that production and release of BPA is an energy-dependent process, requiring mRNA synthesis and translation and posttranslational remodeling of the protein but not replicative DNA synthesis.</t>
  </si>
  <si>
    <t>UNIV CONNECTICUT,CTR HLTH,DEPT LAB MED,FARMINGTON,CT 06032; CONNECTICUT RED CROSS,FARMINGTON,CT 06032</t>
  </si>
  <si>
    <t>University of Connecticut; American Red Cross</t>
  </si>
  <si>
    <t>DAINIAK, N (corresponding author), UNIV CONNECTICUT,CTR HLTH,DEPT MED,263 FARMINGTON AVE,FARMINGTON,CT 06032, USA.</t>
  </si>
  <si>
    <t>10.1172/JCI114974</t>
  </si>
  <si>
    <t>WOS:A1991EQ97600029</t>
  </si>
  <si>
    <t>Hashimoto, S; Ochs, RL; Komiya, S; Lotz, M</t>
  </si>
  <si>
    <t>Linkage of chondrocyte apoptosis and cartilage degradation in human osteoarthritis</t>
  </si>
  <si>
    <t>ARTICULAR-CARTILAGE; MATRIX VESICLES; CELL-DEATH; EXTRACELLULAR-MATRIX; MICE; ICE</t>
  </si>
  <si>
    <t>Objective. To examine the occurrence of apoptosis in human osteoarthritis (OA) cartilage, and to determine its relationship to cartilage degradation. Methods. Knee cartilage was obtained from subjects at autopsy, from a tissue bank, and from OA patients undergoing total joint replacement surgery. Chondrocytes were isolated and the number of apoptotic cells was analyzed by flow cytometry. Apoptotic cells in cartilage sections were identified by the detection of DNA strand breaks. Electron microscopy was applied to demonstrate morphologic changes, and Safranin O staining was performed to analyze the relationship between apoptosis and proteoglycan depletion. Results. Flow cytometry on cell suspensions prepared from collagenase digests of cartilage showed that similar to 22.3% of OA chondrocytes and 4.8% of normal chondrocytes were undergoing apoptosis. Staining of cartilage sections demonstrated the presence of apoptotic cells in the superficial and middle zones. Cartilage areas that contained apoptotic cells showed proteoglycan depletion, and the number of apoptotic cells was significantly correlated with the OA grade. Conclusion. These observations demonstrate increased chondrocyte apoptosis in OA cartilage. Chondrocyte apoptosis and proteoglycan depletion are anatomically linked and may be mechanistically related.</t>
  </si>
  <si>
    <t>Scripps Res Inst, La Jolla, CA 92037 USA; Kurume Univ, Sch Med, Kurume, Fukuoka 830, Japan</t>
  </si>
  <si>
    <t>Scripps Research Institute; Kurume University</t>
  </si>
  <si>
    <t>Lotz, M (corresponding author), Scripps Res Inst, 10550 N Torrey Pines Rd,SBR7, La Jolla, CA 92037 USA.</t>
  </si>
  <si>
    <t>1529-0131</t>
  </si>
  <si>
    <t>10.1002/1529-0131(199809)41:9&lt;1632::AID-ART14&gt;3.0.CO;2-A</t>
  </si>
  <si>
    <t>WOS:000076066400013</t>
  </si>
  <si>
    <t>Lea, WA; Parnell, SC; Wallace, DP; Calvet, JP; Zelenchuk, LV; Alvarez, NS; Ward, CJ</t>
  </si>
  <si>
    <t>Lea, Wendy A.; Parnell, Stephen C.; Wallace, Darren P.; Calvet, James P.; Zelenchuk, Lesya V.; Alvarez, Nehemiah S.; Ward, Christopher J.</t>
  </si>
  <si>
    <t>Human-Specific Abnormal Alternative Splicing of Wild-Type PKD1 Induces Premature Termination of Polycystin-1</t>
  </si>
  <si>
    <t>polycystic kidney disease; kidney disease; genetic renal disease</t>
  </si>
  <si>
    <t>KIDNEY-DISEASE; EXTRACELLULAR DOMAIN; CYST FORMATION; TRIPLEX DNA; PROTEIN; GENE; EXPRESSION; MUTATIONS; SEQUENCE; IDENTIFICATION</t>
  </si>
  <si>
    <t>Background: The major form of autosomal dominant polycystic kidney disease is caused by heterozygous mutations in PKD1, the gene that encodes polycystin-1 (PC1). Unlike PKD1 genes in the mouse and most other mammals, human PKD1 is unusual in that it contains two long polypyrimidine tracts in introns 21 and 22 (2.5 kbp and 602 bp, respectively; 97% cytosine and thymine). Although these polypyrimidine tracts have been shown to form thermodynamically stable segments of triplex DNA that can cause DNA polymerase stalling and enhance the local mutation rate, the efficiency of transcription and splicing across these cytosine- and thymine-rich introns has been unexplored. Methods: We used RT-PCR and Western blotting (using an mAb to the N terminus) to probe splicing events over exons 20-24 in the mouse and human PKD1 genes as well as Nanopore sequencing to confirm the presence of multiple splice forms. Results: Analysis of PC1 indicates that humans, but not mice, have a smaller than expected protein product, which we call Trunc_PC1. The findings show that Trunc_PC1 is the protein product of abnormal differential splicing across introns 21 and 22 and that 28.8%-61.5% of PKD1 transcripts terminate early. Conclusions: The presence of polypyrimidine tracts decreases levels of full-length PKD1 mRNA from normal alleles. In heterozygous individuals, low levels of full-length PC1 may reduce polycystin signaling below a critical cystogenic threshold.</t>
  </si>
  <si>
    <t>[Lea, Wendy A.; Parnell, Stephen C.; Wallace, Darren P.; Calvet, James P.; Zelenchuk, Lesya V.; Ward, Christopher J.] Univ Kansas, Med Ctr, Jared Grantham Kidney Inst, Kansas City, KS 66206 USA; [Lea, Wendy A.; Wallace, Darren P.; Zelenchuk, Lesya V.; Ward, Christopher J.] Univ Kansas, Med Ctr, Dept Internal Med, Kansas City, KS 66206 USA; [Parnell, Stephen C.; Calvet, James P.; Ward, Christopher J.] Univ Kansas, Med Ctr, Dept Biochem &amp; Mol Biol, Kansas City, KS 66206 USA; [Wallace, Darren P.] Univ Kansas, Med Ctr, Dept Mol &amp; Integrat Physiol, Kansas City, KS 66206 USA; [Alvarez, Nehemiah S.] Univ Kansas, Med Ctr, Dept Pathol &amp; Lab Med, Kansas City, KS 66206 USA; [Alvarez, Nehemiah S.] De Novo Genom, Kansas City, KS USA</t>
  </si>
  <si>
    <t>University of Kansas; University of Kansas Medical Center; University of Kansas; University of Kansas Medical Center; University of Kansas; University of Kansas Medical Center; University of Kansas; University of Kansas Medical Center; University of Kansas; University of Kansas Medical Center</t>
  </si>
  <si>
    <t>Ward, CJ (corresponding author), Univ Kansas, Med Ctr, Div Nephrol &amp; Hypertens, Mail Stop 3018,3901 Rainbow Blvd, Kansas City, KS 66206 USA.</t>
  </si>
  <si>
    <t>cward6@kumc.edu</t>
  </si>
  <si>
    <t>Wallace, Darren/0000-0003-4616-7669</t>
  </si>
  <si>
    <t>10.1681/ASN.2018040442</t>
  </si>
  <si>
    <t>WOS:000448256700008</t>
  </si>
  <si>
    <t>Li, LQ; Zheng, YC; Zheng, Q; Jiang, JJ</t>
  </si>
  <si>
    <t>Li, Longqin; Zheng, Yichao; Zheng, Qi; Jiang, Jiaji</t>
  </si>
  <si>
    <t>Mechanism of inhibiting proliferation of hepatocellular carcinoma Hepa1-6 cells by embryonic stem cell-conditioned medium</t>
  </si>
  <si>
    <t>EXPERIMENTAL AND THERAPEUTIC MEDICINE</t>
  </si>
  <si>
    <t>embryonic stem cell conditioned medium; liver cancer; cell cycle; proliferation; microRNAs</t>
  </si>
  <si>
    <t>EXTRACELLULAR VESICLES; GENE; VACCINATION; APOPTOSIS; PFTK1</t>
  </si>
  <si>
    <t>The present study aimed to investigate the antiproliferative effect of embryonic stem cell-conditioned medium (ESC-CM) on the mouse liver cancer Hepa1-6 cells in vitro. Furthermore, in order to elucidate the underlying molecular mechanism, the microRNAs (miRNAs) in ESC-CM associated with the inhibition of Hepa1-6 proliferation were identified. Following the co-culture of ESC-CM and Hepa1-6 in Transwell chambers, the proliferation, cell cycle, apoptosis and associated protein expression were determined in Hepal-6 cells. Moreover, miRNA array analysis was employed to identify differentially expressed miRNAs. Based on the differentially expressed miRNAs, the target genes and potential associated signaling pathways were determined. Finally, RT-qPCR was conducted to confirm the above results. The ESC-CM inhibited Hepal-6 cell proliferation and increased the percentage of cells at G(1) phase and decreased the percentage of cells at the G(2)/M phase of the cell cycle. The expression of cyclin D1/cyclin-dependent kinase (CDK)4/CDK6 was decreased following co-culture, with no effect on cell apoptosis. Six significantly regulated miRNAs were identified and 423 putative target genes of these regulated miRNAs were predicted. Gene ontology analysis revealed the putative target genes to be associated with the 'DNA replication (GO: 0006260)' GO term, 'apoptosis' and 'signal transduction'. The Kyoto Encyclopedia of Genes and Genomes analysis indicated that deregulated miRNAs were enriched in the Wnt signaling (KEGG entry: Map 04310) and Hippo signaling pathways (KEGG entry: Map 04390), pathways associated with cancer. Overall, the present study demonstrated the inhibition of Hepa1-6 cell line proliferation upon treatment with ESC-CM, by decreasing cell cycle-associated protein cyclin D1/CDK4/CDK6 expression and arresting cells in G(1) phase of the cell cycle, with no effect on cell apoptosis. Furthermore, the inhibition of proliferation by ESC-CM may be mediated by miRNAs that affect cell cycle-associated mRNAs and the Wnt signaling pathway.</t>
  </si>
  <si>
    <t>[Li, Longqin; Zheng, Yichao; Zheng, Qi; Jiang, Jiaji] Fujian Med Univ, Liver Res Ctr, Affiliated Hosp 1, 20 Chazhong Rd, Fuzhou 350005, Fujian, Peoples R China</t>
  </si>
  <si>
    <t>Fujian Medical University</t>
  </si>
  <si>
    <t>Jiang, JJ (corresponding author), Fujian Med Univ, Liver Res Ctr, Affiliated Hosp 1, 20 Chazhong Rd, Fuzhou 350005, Fujian, Peoples R China.</t>
  </si>
  <si>
    <t>jiangjiaji2018@yeah.net</t>
  </si>
  <si>
    <t>1792-0981</t>
  </si>
  <si>
    <t>1792-1015</t>
  </si>
  <si>
    <t>10.3892/etm.2020.8527</t>
  </si>
  <si>
    <t>WOS:000523637100002</t>
  </si>
  <si>
    <t>Pisetsky, DS</t>
  </si>
  <si>
    <t>Pisetsky, David S.</t>
  </si>
  <si>
    <t>The Expression of HMGB1 on Microparticles Released during Cell Activation and Cell Death In Vitro and In Vivo</t>
  </si>
  <si>
    <t>MOLECULAR MEDICINE</t>
  </si>
  <si>
    <t>CHROMATIN PROTEIN HMGB1; 264.7 MACROPHAGE CELLS; EXTRACELLULAR RELEASE; STERILE INFLAMMATION; APOPTOTIC BODIES; ALARMIN HMGB1; NITRIC-OXIDE; DNA; PROMOTE; LIPOPOLYSACCHARIDE</t>
  </si>
  <si>
    <t>High mobility group box protein 1 (HMGB1) is a nonhistone nuclear protein that is a prototypic alarmin that can stimulate innate immunity and drive the pathogenesis of a wide range of inflammatory diseases. While HMGB1 can be released from both activated and dying cells, its biochemical and immunological properties differ depending on the release mechanism, resulting from redox changes and posttranslational modifications including acetylation. In addition to release of HMGB1, cell death is associated with the release of microparticles. Microparticles are small membrane-bound vesicles that contain cytoplasmic, nuclear and membrane components. Like HMGB1, microparticles display immunological activity and levels are elevated in diseases characterized by inflammation and vasculopathy. While studies have addressed the immunological effects of HMGB1 and microparticles independently, HMGB1, like other nuclear molecules, is a component of microparticles. Evidence for the physical association of HMGB1 comes from Western blot analysis of microparticles derived from RAW 264.7 macrophage cells stimulated by lipopolysaccharide (LPS) or induced to undergo apoptosis by treatment with etoposide or staurosporine in vitro. Analysis of microparticles in the blood of healthy volunteers receiving LPS shows the presence of HMGB1 as assessed by flow cytometry. Together, these findings indicate that HMGB1 can be a component of microparticles and may contribute to their activities. Furthermore, particle HMGB1 may represent a useful biomarker for in vivo events that may not be reflected by measurement of the total amount of HMGB1 in the blood.</t>
  </si>
  <si>
    <t>[Pisetsky, David S.] Duke Univ, Med Ctr, Durham, NC USA; [Pisetsky, David S.] Durham Vet Adm, Med Ctr, Med Res Serv, Durham, NC USA</t>
  </si>
  <si>
    <t>dpiset@acpud.duke.edu</t>
  </si>
  <si>
    <t>1076-1551</t>
  </si>
  <si>
    <t>1528-3658</t>
  </si>
  <si>
    <t>10.2119/molmed.2014.00014</t>
  </si>
  <si>
    <t>WOS:000334343100004</t>
  </si>
  <si>
    <t>FISCHER, I; SAPIRSTEIN, VS</t>
  </si>
  <si>
    <t>MOLECULAR-CLONING OF PLASMOLIPIN - CHARACTERIZATION OF A NOVEL PROTEOLIPID RESTRICTED TO BRAIN AND KIDNEY</t>
  </si>
  <si>
    <t>AMINO-ACID-SEQUENCES; MESSENGER-RNA; RAT-BRAIN; NUCLEOTIDE-SEQUENCES; COATED VESICLES; LIPID BILAYERS; NERVOUS-SYSTEM; BASIC-PROTEIN; GENE FAMILY; EXPRESSION</t>
  </si>
  <si>
    <t>Plasmolipin is an 18-kDa proteolipid protein found in kidney and brain, where it is restricted to the apical surface of tubular epithelial cells and to mammalian myelinated tracts, respectively (Sapirstein, V. S., Nolan, C. E., Stadler, I. I., and Fischer, I, (1992) J. Neurosci. Res. 31, 96-102; Cochary, E. F., Bizzozero, O. A., Sapirstein, V. S., Nolan, C. E., and Fischer, I. (1990) J. Neurochem. 55, 602-610). Addition of plasmolipin to lipid bilayers induces the formation of ion channels, which are voltage-dependent and K+-selective (Tosteson, M. T., and Sapirstein, V. S. (1981) J. Membr. Biol 63, 77-84). The present study describes the isolation and cloning of plasmolipin cDNA that includes the sequence of the complete coding region of the protein, the analysis of plasmolipin mRNA expression and a proposed model for its membrane structure. Northern blot analysis 1) shows that plasmolipin is encoded by a 1.7-kilobase mRNA, 2) confirms that the distribution of plasmolipin is restricted to kidney and brain, and 3) indicates that the expression of plasmolipin mRNA in cultured oligodendrocytes increases with cell maturation consistent with changes in the level of the protein. Restriction enzyme digestion of DNA followed by Southern blot analysis indicates that plasmolipin is encoded by a single gene. Sequence analysis of plasmolipin cDNA shows an open reading frame encoding a 157-amino acid protein of 17.4 kDa. The deduced amino acid sequence confirms the hydrophobic nature and high helical content of the protein and predicts a structure with four transmembrane domains similar to several other small hydrophobic proteins implicated in ion movement. The proposed model for membrane topology shows an enrichment of hydroxyl groups within two of the transmembrane domains and places cysteine residues near the extracellular membrane surface. Examination of protein sequence data bases reveals little overall homology with other proteins including proteolipids; however, three of the four transmembrane segments of plasmolipin show strong similarity with known membrane transport proteins. These results indicate that plasmolipin is an unique proteolipid protein that may participate in ion transport events specific to select membrane domains.</t>
  </si>
  <si>
    <t>NATHAN S KLINE INST PSYCHIAT RES,DIV NEUROBIOL,ORANGEBURG,NY 10962; MED COLL PENN,DEPT ANAT &amp; NEUROBIOL,PHILADELPHIA,PA 19129; NYU,DEPT PSYCHIAT,NEW YORK,NY 10016</t>
  </si>
  <si>
    <t>Nathan Kline Institute for Psychiatric Research; Drexel University; New York University</t>
  </si>
  <si>
    <t>Fischer, Itzhak/D-1080-2012</t>
  </si>
  <si>
    <t>Fischer, Itzhak/0000-0003-3187-8740; Fischer, Ilene/0000-0003-1517-7143</t>
  </si>
  <si>
    <t>WOS:A1994PQ49000060</t>
  </si>
  <si>
    <t>Adler, G; Blumwald, E; Bar-Zvi, D</t>
  </si>
  <si>
    <t>Adler, Guy; Blumwald, Eduardo; Bar-Zvi, Dudy</t>
  </si>
  <si>
    <t>The sugar beet gene encoding the sodium/proton exchanger 1 (BvNHX1) is regulated by a MYB transcription factor</t>
  </si>
  <si>
    <t>Abiotic stress; Arabidopsis; Beta vulgaris; MYB; NHX; Promoter activity; Sodium/proton exchanger; Sugar beet</t>
  </si>
  <si>
    <t>VACUOLAR NA+/H+ ANTIPORTER; SALT-STRESS; TONOPLAST VESICLES; ION HOMEOSTASIS; ABIOTIC STRESS; ABSCISIC-ACID; ARABIDOPSIS; EXPRESSION; TOLERANCE; RESPONSES</t>
  </si>
  <si>
    <t>Sodium/proton exchangers (NHX) are key players in the plant response to salinity and have a central role in establishing ion homeostasis. NHXs can be localized in the tonoplast or plasma membranes, where they exchange sodium ions for protons, resulting in sodium ions being removed from the cytosol into the vacuole or extracellular space. The expression of most plant NHX genes is modulated by exposure of the organisms to salt stress or water stress. We explored the regulation of the vacuolar NHX1 gene from the salt-tolerant sugar beet plant (BvNHX1) using Arabidopsis plants transformed with an array of constructs of BvHNX1::GUS, and the expression patterns were characterized using histological and quantitative assays. The 5' UTR of BvNHX1, including its intron, does not modulate the activity of the promoter. Serial deletions show that a 337 bp promoter fragment sufficed for driving activity that indistinguishable from that of the full-length (2,464 bp) promoter. Mutating four putative cis-acting elements within the 337 bp promoter fragment revealed that MYB transcription factor(s) are involved in the activation of the expression of BvNHX1 upon exposure to salt and water stresses. Gel mobility shift assay confirmed that the WT but not the mutated MYB binding site is bound by nuclear protein extracted from salt-stressed Beta vulgaris leaves.</t>
  </si>
  <si>
    <t>[Adler, Guy; Bar-Zvi, Dudy] Ben Gurion Univ Negev, Doris &amp; Bertie Black Ctr Bioenerget Life Sci, Dept Life Sci, IL-84105 Beer Sheva, Israel; [Blumwald, Eduardo] Univ Calif Davis, Dept Plant Sci, Davis, CA 95616 USA</t>
  </si>
  <si>
    <t>Ben Gurion University; University of California System; University of California Davis</t>
  </si>
  <si>
    <t>Bar-Zvi, D (corresponding author), Ben Gurion Univ Negev, Doris &amp; Bertie Black Ctr Bioenerget Life Sci, Dept Life Sci, IL-84105 Beer Sheva, Israel.</t>
  </si>
  <si>
    <t>barzvi@bgu.ac.il</t>
  </si>
  <si>
    <t>Blumwald, Eduardo/Y-2751-2019</t>
  </si>
  <si>
    <t>Bar-Zvi, Dudy/0000-0003-1546-1726</t>
  </si>
  <si>
    <t>10.1007/s00425-010-1160-7</t>
  </si>
  <si>
    <t>WOS:000277792700016</t>
  </si>
  <si>
    <t>Shimada, T; Fuji, K; Tamura, K; Kondo, M; Nishimura, M; Hara-Nishimura, I</t>
  </si>
  <si>
    <t>Vacuolar sorting receptor for seed storage proteins in Arabidopsis thaliana</t>
  </si>
  <si>
    <t>PRECURSOR-ACCUMULATING VESICLES; GOLGI-APPARATUS; CYSTEINE PROTEINASE; 2S ALBUMIN; T-DNA; TRANSPORT; PROPEPTIDE; SEQUENCE; CELLS; DETERMINANT</t>
  </si>
  <si>
    <t>The seeds of higher plants accumulate large quantities of storage protein. During seed maturation, storage protein precursors synthesized on rough endoplasmic reticulum are sorted to protein storage vacuoles, where they are converted into the mature forms and accumulated. Previous attempts to determine the sorting machinery for storage proteins have not been successful. Here we show that a type I membrane protein, AtVSR1/AtELP, of Arabidopsis functions as a sorting receptor for storage proteins. The atvsr1 mutant missorts storage proteins by secreting them from cells, resulting in an enlarged and electron-dense extracellular space in the seeds. The atvsr1 seeds have distorted cells and smaller protein storage vacuoles than do WT seeds, and atvsr1 seeds abnormally accumulate the precursors of two major storage proteins, 12S globulin and 2S albumin, together with the mature forms of these proteins. AtVSR1 was found to bind to the C-terminal peptide of 12S globulin in a Ca2+-dependent manner. These findings demonstrate a receptor-mediated transport of seed storage proteins to protein storage vacuoles in higher plants.</t>
  </si>
  <si>
    <t>Kyoto Univ, Grad Sch Sci, Sakyo Ku, Kyoto 6068502, Japan; Natl Inst Basic Biol, Dept Cell Biol, Okazaki, Aichi 4448585, Japan</t>
  </si>
  <si>
    <t>Kyoto University; National Institutes of Natural Sciences (NINS) - Japan; National Institute for Basic Biology (NIBB)</t>
  </si>
  <si>
    <t>Hara-Nishimura, I (corresponding author), Kyoto Univ, Grad Sch Sci, Sakyo Ku, Kyoto 6068502, Japan.</t>
  </si>
  <si>
    <t>Tamura, Kentaro/AAU-2354-2021</t>
  </si>
  <si>
    <t>Tamura, Kentaro/0000-0001-7387-2211</t>
  </si>
  <si>
    <t>10.1073/pnas.2530568100</t>
  </si>
  <si>
    <t>WOS:000187554600142</t>
  </si>
  <si>
    <t>van Swaay, D; Tang, TYD; Mann, S; de Mello, A</t>
  </si>
  <si>
    <t>van Swaay, Dirk; Tang, T. -Y. Dora; Mann, Stephen; de Mello, Andrew</t>
  </si>
  <si>
    <t>Microfluidic Formation of Membrane-Free Aqueous Coacervate Droplets in Water</t>
  </si>
  <si>
    <t>coacervate; microfluidics; microreactors; polymers; protocells</t>
  </si>
  <si>
    <t>COMPLEX COACERVATION; ARTIFICIAL CELLS; EXTRACELLULAR ENVIRONMENT; PROTOCELL MODELS; BREAKUP; MICRODROPLETS; EVOLUTION; PROSPECTS; VESICLES; DEVICE</t>
  </si>
  <si>
    <t>We report on the formation of coacervate droplets from poly(diallyldimethylammonium chloride) with either adenosine triphosphate or carboxymethyl-dextran using a microfluidic flow-focusing system. The formed droplets exhibit improved stability and narrower size distributions for both coacervate compositions when compared to the conventional vortex dispersion techniques. We also demonstrate the use of two parallel flow-focusing channels for the simultaneous formation and co-location of two distinct populations of coacervate droplets containing different DNA oligonucleotides, and that the populations can coexist in close proximity up to 48h without detectable exchange of genetic information. Our results show that the observed improvements in droplet stability and size distribution may be scaled with ease. In addition, the ability to encapsulate different materials into coacervate droplets using a microfluidic channel structure allows for their use as cell-mimicking compartments.</t>
  </si>
  <si>
    <t>[van Swaay, Dirk; de Mello, Andrew] ETH, Inst Chem &amp; Bioengn, CH-8093 Zurich, Switzerland; [Tang, T. -Y. Dora; Mann, Stephen] Univ Bristol, Ctr Protolife Res, Ctr Organized Matter, Sch Chem, Bristol BS8 1TS, Avon, England</t>
  </si>
  <si>
    <t>ETH Zurich; University of Bristol</t>
  </si>
  <si>
    <t>Mann, S (corresponding author), Univ Bristol, Ctr Protolife Res, Ctr Organized Matter, Sch Chem, Bristol BS8 1TS, Avon, England.</t>
  </si>
  <si>
    <t>s.mann@bristol.ac.uk; andrew.demello@chem.ethz.ch</t>
  </si>
  <si>
    <t>van Swaay, Dirk/H-6846-2012; Tang, Tsing- Young Dora/C-9039-2017; Mann, Stephen/D-1332-2012</t>
  </si>
  <si>
    <t>van Swaay, Dirk/0000-0001-8423-7192; Tang, Tsing- Young Dora/0000-0001-9030-6991; Mann, Stephen/0000-0003-3012-8964</t>
  </si>
  <si>
    <t>JUL 13</t>
  </si>
  <si>
    <t>10.1002/anie.201502886</t>
  </si>
  <si>
    <t>WOS:000358050300012</t>
  </si>
  <si>
    <t>Pellagatti, A; Armstrong, RN; Steeples, V; Sharma, E; Repapi, E; Singh, S; Sanchi, A; Radujkovic, A; Horn, P; Dolatshad, H; Roy, S; Broxholme, J; Lockstone, H; Taylor, S; Giagounidis, A; Vyas, P; Schuh, A; Hamblin, A; Papaemmanuil, E; Killick, S; Malcovati, L; Hennrich, ML; Gavin, AC; Ho, AD; Luft, T; Hellstrom-Lindberg, E; Cazzola, M; Smith, CWJ; Smith, S; Boultwood, J</t>
  </si>
  <si>
    <t>Pellagatti, Andrea; Armstrong, Richard N.; Steeples, Violetta; Sharma, Eshita; Repapi, Emmanouela; Singh, Shalini; Sanchi, Andrea; Radujkovic, Aleksandar; Horn, Patrick; Dolatshad, Hamid; Roy, Swagata; Broxholme, John; Lockstone, Helen; Taylor, Stephen; Giagounidis, Aristoteles; Vyas, Paresh; Schuh, Anna; Hamblin, Angela; Papaemmanuil, Elli; Killick, Sally; Malcovati, Luca; Hennrich, Marco L.; Gavin, Anne-Claude; Ho, Anthony D.; Luft, Thomas; Hellstrom-Lindberg, Eva; Cazzola, Mario; Smith, Christopher W. J.; Smith, Stephen; Boultwood, Jacqueline</t>
  </si>
  <si>
    <t>Impact of spliceosome mutations on RNA splicing in myelodysplasia: dysregulated genes/pathways and clinical associations</t>
  </si>
  <si>
    <t>SF3B1 MUTATIONS; R-LOOPS; CLONAL HEMATOPOIESIS; RING SIDEROBLASTS; RNA/DNA HYBRIDS; COHESIN COMPLEX; GENE; EXPRESSION; PROLIFERATION; PATHWAY</t>
  </si>
  <si>
    <t>SF3B1, SRSF2, and U2AF1 are the most frequently mutated splicing factor genes in the myelodysplastic syndromes (MDS). We have performed a comprehensive and systematic analysis to determine the effect of these commonly mutated splicing factors on pre-mRNA splicing in the bone marrow stem/progenitor cells and in the erythroid and myeloid precursors in splicing factor mutant MDS. Using RNA-seq, we determined the aberrantly spliced genes and dysregulated pathways in CD34(+) cells of 84 patients with MDS. Splicing factor mutations result in different alterations in splicing and largely affect different genes, but these converge in common dysregulated pathways and cellular processes, focused on RNA splicing, protein synthesis, and mitochondrial dysfunction, suggesting common mechanisms of action in MDS. Many of these dysregulated pathways and cellular processes can be linked to the known disease pathophysiology associated with splicing factor mutations in MDS, whereas several others have not been previously associated with MDS, such as sirtuin signaling. We identified aberrantly spliced events associated with clinical variables, and isoforms that independently predict survival in MDS and implicate dysregulation of focal adhesion and extracellular exosomes as drivers of poor survival. Aberrantly spliced genes and dysregulated pathways were identified in the MDS-affected lineages in splicing factor mutant MDS. Functional studies demonstrated that knockdown of the mitosis regulators SEPT2 and AKAP8, aberrantly spliced target genes of SF3B1 and SRSF2 mutations, respectively, led to impaired erythroid cell growth and differentiation. This study illuminates the effect of the common spliceosome mutations on the MDS phenotype and provides novel insights into disease pathophysiology.</t>
  </si>
  <si>
    <t>[Pellagatti, Andrea; Armstrong, Richard N.; Steeples, Violetta; Singh, Shalini; Sanchi, Andrea; Dolatshad, Hamid; Roy, Swagata; Boultwood, Jacqueline] Univ Oxford, Nuffield Div Clin Lab Sci, Radcliffe Dept Med, Oxford, England; [Pellagatti, Andrea; Armstrong, Richard N.; Steeples, Violetta; Singh, Shalini; Sanchi, Andrea; Dolatshad, Hamid; Roy, Swagata; Vyas, Paresh; Boultwood, Jacqueline] Haematol Theme Oxford Biomed Res Ctr, Oxford, England; [Sharma, Eshita; Broxholme, John; Lockstone, Helen] Univ Oxford, WIMM, Wellcome Trust Ctr Human Genet, Oxford, England; [Repapi, Emmanouela; Taylor, Stephen] Univ Oxford, WIMM, Computat Biol Res Grp, Oxford, England; [Radujkovic, Aleksandar; Horn, Patrick; Ho, Anthony D.; Luft, Thomas] Univ Hosp Heidelberg, Dept Internal Med 5, Heidelberg, Germany; [Giagounidis, Aristoteles] Marien Hosp, Clin Oncol Hematol &amp; Palliat Med, Dusseldorf, Germany; [Vyas, Paresh] Univ Oxford, WIMM, Mol Hematol Unit, MRC, Oxford, England; [Vyas, Paresh] Oxford Univ Hosp NHS Fdn Trust, Dept Hematol, Oxford, England; [Schuh, Anna; Hamblin, Angela] Oxford Univ Hosp NHS Fdn Trust, Mol Diagnost Ctr, Oxford, England; [Papaemmanuil, Elli] Mem Sloan Kettering Canc Ctr, Ctr Mol Oncol, Dept Epidemiol Biostat, 1275 York Ave, New York, NY 10021 USA; [Killick, Sally] Royal Bournemouth Hosp, Dept Haematol, Bournemouth, Dorset, England; [Malcovati, Luca; Cazzola, Mario] Univ Pavia, Dept Mol Med, Pavia, Italy; [Malcovati, Luca; Cazzola, Mario] Fdn IRCCS Policlin San Matteo, Dept Hematol Oncol, Pavia, Italy; [Hennrich, Marco L.; Gavin, Anne-Claude] European Mol Biol Lab, Struct &amp; Computat Biol Unit, Heidelberg, Germany; [Hellstrom-Lindberg, Eva] Karolinska Univ Hosp Huddinge, Ctr Hematol &amp; Regenerat Med, Stockholm, Sweden; [Smith, Christopher W. J.] Univ Cambridge, Dept Biochem, Cambridge, England; [Smith, Stephen] Univ Cambridge, Dept Pathol, Cambridge, England</t>
  </si>
  <si>
    <t>University of Oxford; University of Oxford; Wellcome Centre for Human Genetics; University of Oxford; Ruprecht Karls University Heidelberg; Marien Hospital Dusseldorf; St. Marien Hospital; University of Oxford; Oxford University Hospitals NHS Foundation Trust; Oxford University Hospitals NHS Foundation Trust; Memorial Sloan Kettering Cancer Center; University of Pavia; IRCCS Fondazione San Matteo; European Molecular Biology Laboratory (EMBL); Karolinska Institutet; Karolinska University Hospital; University of Cambridge; University of Cambridge</t>
  </si>
  <si>
    <t>Boultwood, J (corresponding author), Univ Oxford, John Radcliffe Hosp, Radcliffe Dept Med, Nuffield Div Clin Lab Sci,Bloodwise Mol Haematol, Oxford OX3 9DU, England.</t>
  </si>
  <si>
    <t>jacqueline.boultwood@ndcls.ox.ac.uk</t>
  </si>
  <si>
    <t>Giagounidis, Aristoteles/S-7097-2019; Giagounidis, Aristoteles/ABE-3927-2020; Malcovati, Luca/CAJ-1695-2022; Cazzola, Mario/AAQ-8854-2021; Smith, Stephen Paul/J-2885-2019</t>
  </si>
  <si>
    <t>Giagounidis, Aristoteles/0000-0003-4083-4109; Malcovati, Luca/0000-0002-1460-1611; Cazzola, Mario/0000-0001-6984-8817; Smith, Stephen Paul/0000-0001-7744-3238; Anna, schuh/0000-0002-3938-8490; Hennrich, Marco/0000-0003-2853-9748; Gavin, Anne-Claude/0000-0003-4917-2340; Pellagatti, Andrea/0000-0002-6122-0221; Dolatshad, Hamid/0000-0002-4724-1720; /0000-0001-8085-0731; Armstrong, Richard/0000-0001-7744-5890; Singh, Shalini/0000-0001-9300-3822</t>
  </si>
  <si>
    <t>10.1182/blood-2018-04-843771</t>
  </si>
  <si>
    <t>WOS:000445097300005</t>
  </si>
  <si>
    <t>Yang, HT; Sun, BB; Fan, LW; Ma, WY; Xu, K; Hall, SRR; Wang, ZX; Schmid, RA; Peng, RW; Marti, TM; Gao, W; Xu, JL; Yang, WW; Yao, F</t>
  </si>
  <si>
    <t>Yang, Haitang; Sun, Beibei; Fan, Liwen; Ma, Wenyan; Xu, Ke; Hall, Sean R. R.; Wang, Zhexin; Schmid, Ralph A.; Peng, Ren-Wang; Marti, Thomas M.; Gao, Wen; Xu, Jianlin; Yang, Weiwei; Yao, Feng</t>
  </si>
  <si>
    <t>Multi-scale integrative analyses identify THBS2+cancer-associated fibroblasts as a key orchestrator promoting aggressiveness in early-stage lung adenocarcinoma</t>
  </si>
  <si>
    <t>early-stage lung adenocarcinoma; THBS2; exosome; cancer-associated fibroblast; immunotherapy</t>
  </si>
  <si>
    <t>ADJUVANT CHEMOTHERAPY; GENE-EXPRESSION; DNA METHYLATION; MESSENGER-RNA; TUMOR-CELLS; CANCER; CLASSIFICATION; ASSOCIATION; SURVIVAL; RECURRENCE</t>
  </si>
  <si>
    <t>Rationale: Subsets of patients with early-stage lung adenocarcinoma (LUAD) have a poor post-surgical course after curative surgery. However, biomarkers stratifying this high-risk subset and molecular underpinnings underlying the aggressive phenotype remain unclear. Methods: We integrated bulk and single-cell transcriptomics, proteomics, secretome and spatial profiling of clinical early-stage LUAD samples to identify molecular underpinnings that promote the aggressive phenotype. Results: We identified and validated THBS2, at multi-omic levels, as a tumor size-independent biomarker that robustly predicted post-surgical survival in multiple independent clinical cohorts of early-stage LUAD. Furthermore, scRNA-seq data revealed that THBS2 is exclusively derived from a specific cancer-associated fibroblast (CAF) subset that is distinct from CAFs defined by classical markers. Interestingly, our data demonstrated that THBS2 was preferentially secreted via exosomes in early-stage LUAD tumors with high aggressiveness, and its levels in the peripheral plasma associated with short recurrence-free survival. Further characterization showed that THBS2-high early-stage LUAD was characterized by suppressed antitumor immunity. Specifically, beyond tumor cells, THBS2+ CAFs mainly interact with B and CD8+ T lymphocytes as well as macrophages within tumor microenvironment of early-stage LUAD, and THBS2-high LUAD was associated with decreased immune cell infiltrates but increased immune exhaustion marker. Clinically, high THBS2 expression predicted poor response to immunotherapies and short post-treatment survival of patients. Finally, THBS2 recombinant protein suppressed ex vivo T cells proliferation and promoted in vivo LUAD tumor growth and distant micro-metastasis. Conclusions: Our multi-level analyses uncovered tumor-specific THBS2+ CAFs as a key orchestrator promoting aggressiveness in early-stage LUAD.</t>
  </si>
  <si>
    <t>[Yang, Haitang; Fan, Liwen; Xu, Ke; Wang, Zhexin; Yao, Feng] Shanghai Jiao Tong Univ, Shanghai Chest Hosp, Dept Thorac Surg, Shanghai 200030, Peoples R China; [Sun, Beibei] Shanghai Jiao Tong Univ, Shanghai Chest Hosp, Inst Thorac Oncol, Shanghai 200030, Peoples R China; [Ma, Wenyan] Shanghai Jiao Tong Univ, Shanghai Chest Hosp, Clin Res Ctr, Shanghai 200030, Peoples R China; [Hall, Sean R. R.] Harvard Univ, Wyss Inst Biol Inspired Engn, Cambridge, MA 02138 USA; [Schmid, Ralph A.; Peng, Ren-Wang; Marti, Thomas M.] Univ Bern, Bern Univ Hosp, Dept BioMed Res DBMR, Div Gen Thorac Surg,Inselspital, CH-3010 Bern, Switzerland; [Gao, Wen] FuDan Univ, Dept Thorac Surg, Huadong Hosp, Shanghai, Peoples R China; [Xu, Jianlin] Jiao Tong Univ, Shanghai Chest Hosp, Dept Resp Med, Shanghai 200030, Peoples R China; [Yang, Weiwei] Univ Chinese Acad Sci, Sch Life Sci, Hangzhou Inst Adv Study, Hangzhou 310024, Peoples R China</t>
  </si>
  <si>
    <t>Shanghai Jiao Tong University; Shanghai Jiao Tong University; Shanghai Jiao Tong University; Harvard University; University of Bern; University Hospital of Bern; Fudan University; Shanghai Jiao Tong University; Chinese Academy of Sciences; University of Chinese Academy of Sciences, CAS</t>
  </si>
  <si>
    <t>Yao, F (corresponding author), Shanghai Jiao Tong Univ, Shanghai Chest Hosp, Dept Thorac Surg, Shanghai 200030, Peoples R China.;Xu, JL (corresponding author), Jiao Tong Univ, Shanghai Chest Hosp, Dept Resp Med, Shanghai 200030, Peoples R China.;Yang, WW (corresponding author), Univ Chinese Acad Sci, Sch Life Sci, Hangzhou Inst Adv Study, Hangzhou 310024, Peoples R China.</t>
  </si>
  <si>
    <t>xujianlin1018@163.com; wyang@sibcb.ac.cn; yaofeng@shsmu.edu.cn</t>
  </si>
  <si>
    <t>10.7150/thno.69590</t>
  </si>
  <si>
    <t>WOS:000786579800007</t>
  </si>
  <si>
    <t>Zhang, HF; Tang, K; Zhang, Y; Ma, RH; Ma, JW; Li, Y; Luo, SQ; Liang, XY; Ji, TT; Gu, ZC; Lu, JZ; He, W; Cao, XT; Wan, YH; Huang, B</t>
  </si>
  <si>
    <t>Zhang, Huafeng; Tang, Ke; Zhang, Yi; Ma, Ruihua; Ma, Jingwei; Li, Yong; Luo, Shunqun; Liang, Xiaoyu; Ji, Tiantian; Gu, Zhichao; Lu, Jinzhi; He, Wei; Cao, Xuetao; Wan, Yonghong; Huang, Bo</t>
  </si>
  <si>
    <t>Cell-free Tumor Microparticle Vaccines Stimulate Dendritic Cells via cGAS/STING Signaling</t>
  </si>
  <si>
    <t>I INTERFERON; IMMUNE-RESPONSES; T-CELLS; EXOSOMES; CANCER; INDUCTION; MACROPHAGES; REJECTION; ANTIGENS; IFN</t>
  </si>
  <si>
    <t>Tumor antigens and innate signals are vital considerations in developing new therapeutic or prophylactic antitumor vaccines. The role or requirement of intact tumor cells in the development of an effective tumor vaccine remains incompletely understood. This study reveals the mechanism by which tumor cell-derived microparticles (T-MP) can act as a cell-free tumor vaccine. Vaccinations with T-MPs give rise to prophylactic effects against the challenge of various tumor cell types, while T-MP-loaded dendritic cells (DC) also exhibit therapeutic effects in various tumor models. Such antitumor effects of T-MPs are perhaps attributable to their ability to generate immune signaling and to represent tumor antigens. Mechanically, T-MPs effectively transfer DNA fragments to DCs, leading to type I IFN production through the cGAS/STING-mediated DNA-sensing pathway. In turn, type I IFN promotes DC maturation and presentation of tumor antigens to T cells for antitumor immunity. These findings highlight a novel tumor cell-free vaccine strategy with potential clinical applications. (C) 2014 AACR.</t>
  </si>
  <si>
    <t>[Zhang, Huafeng; Tang, Ke; Zhang, Yi; Ma, Jingwei; Liang, Xiaoyu; Lu, Jinzhi; He, Wei; Cao, Xuetao; Huang, Bo] Chinese Acad Med Sci, State Key Lab Med Mol Biol, Beijing 100005, Peoples R China; [Zhang, Huafeng; Tang, Ke; Zhang, Yi; Ma, Jingwei; Liang, Xiaoyu; Lu, Jinzhi; He, Wei; Cao, Xuetao; Huang, Bo] Chinese Acad Med Sci, Inst Basic Med Sci, Dept Immunol, Beijing 100005, Peoples R China; [Zhang, Huafeng; Tang, Ke; Zhang, Yi; Ma, Jingwei; Liang, Xiaoyu; Lu, Jinzhi; He, Wei; Cao, Xuetao; Huang, Bo] Peking Union Med Coll, Beijing 100021, Peoples R China; [Ma, Ruihua; Li, Yong; Luo, Shunqun; Ji, Tiantian; Gu, Zhichao; Huang, Bo] Huazhong Univ Sci &amp; Technol, Tongji Med Coll, Dept Biochem &amp; Mol Biol, Wuhan 430074, Peoples R China; [Wan, Yonghong] McMaster Univ, Dept Pathol &amp; Mol Med, Hamilton, ON, Canada</t>
  </si>
  <si>
    <t>Chinese Academy of Medical Sciences - Peking Union Medical College; Chinese Academy of Medical Sciences - Peking Union Medical College; Institute of Basic Medical Sciences - CAMS; Chinese Academy of Medical Sciences - Peking Union Medical College; Peking Union Medical College; Huazhong University of Science &amp; Technology; McMaster University</t>
  </si>
  <si>
    <t>Huang, B (corresponding author), Chinese Acad Med Sci, 5 Dong Dan San Tiao, Beijing 100005, Peoples R China.</t>
  </si>
  <si>
    <t>tjhuangbo@hotmail.com</t>
  </si>
  <si>
    <t>Ma, Ruihua/K-2183-2019</t>
  </si>
  <si>
    <t>luo, shunqun/0000-0002-5728-2112; Li, Yong/0000-0001-8265-577X</t>
  </si>
  <si>
    <t>10.1158/2326-6066.CIR-14-0177</t>
  </si>
  <si>
    <t>WOS:000349422600011</t>
  </si>
  <si>
    <t>Gasparello, J; Papi, C; Allegretti, M; Giordani, E; Carboni, F; Zazza, S; Pescarmona, E; Romania, P; Giacomini, P; Scapoli, C; Gambari, R; Finotti, A</t>
  </si>
  <si>
    <t>Gasparello, Jessica; Papi, Chiara; Allegretti, Matteo; Giordani, Elena; Carboni, Fabio; Zazza, Settimio; Pescarmona, Edoardo; Romania, Paolo; Giacomini, Patrizio; Scapoli, Chiara; Gambari, Roberto; Finotti, Alessia</t>
  </si>
  <si>
    <t>A Distinctive microRNA (miRNA) Signature in the Blood of Colorectal Cancer (CRC) Patients at Surgery</t>
  </si>
  <si>
    <t>circulating miRNA; liquid biopsy; colorectal cancer; next generation sequencing; droplet digital PCR</t>
  </si>
  <si>
    <t>MUTATIONS; KRAS; DNA; PROLIFERATION; VALIDATION; EXPRESSION; BIOMARKERS; MIR-221; PLASMA</t>
  </si>
  <si>
    <t>Background: Liquid biopsy (LB) provides an examination of the peripheral blood of cancer patients for circulating tumor cells, cell-free nucleic acids and microRNAs (miRNAs) and is an established tool of precision medicine. Unlike most previous LB studies that focused on advanced metastatic colorectal cancer (CRC), we assessed miRNA dysregulation in blood samples obtained on the day of surgery from patients with primary CRC lesions but no clinical evidence of extra-colonic diffusion. In this study, plasma preparation included miRNAs associated to exosomes, but excluded large macrovesicles from the preparation. Methods: The miRNA profile in plasma isolated from a cohort of 35 CRC patients at the day of surgery was analyzed by Next Generation Sequencing (NGS) and further confirmed by droplet digital RT-PCR (dd-RT-PCR). Results: A miR-141-3p/miR-221-3p/miR-222-3p upregulation signature previously described in advanced CRC did not discriminate the analyzed early-CRC cohort from six tumor-free donors (Tf-D). In contrast, NGS-based miRNome analysis of a training cohort of five CRC and three tumor-free donors identified a novel, distinct nine miRNA signature comprising five up-regulated and four down-regulated miRNAs, six of which could be confirmed in the full CRC and tumor-free donor validation dataset by dd-RT-PCR. Additionally, aKRAS(Kirsten Rat Sarcoma Viral Oncogene Homolog) mutant status was correlated with the plasma content of three identified miRNAs. Conclusions: When the data obtained were comparatively evaluated, at least one of the miRNAs belonging to the signature list was found to be dysregulated in 34/35 (97.1%) of our early-CRC plasma samples. The miRNA list provides diagnostic markers as well as possible molecular targets for protocols focusing on microRNA therapeutics.</t>
  </si>
  <si>
    <t>[Gasparello, Jessica; Papi, Chiara; Scapoli, Chiara; Gambari, Roberto; Finotti, Alessia] Ferrara Univ, Dept Life Sci &amp; Biotechnol, I-44121 Ferrara, Italy; [Allegretti, Matteo; Giordani, Elena; Romania, Paolo; Giacomini, Patrizio] Regina Elena Inst Canc Res, IRCCS Ist Ricovero &amp; Cura Carattere Sci, Oncogen &amp; Epigenet, I-00144 Rome, Italy; [Carboni, Fabio; Zazza, Settimio] Regina Elena Inst Canc Res, IRCCS Ist Ricovero &amp; Cura Carattere Sci, Digest Surg, I-00144 Rome, Italy; [Pescarmona, Edoardo] Regina Elena Inst Canc Res, IRCCS Ist Ricovero &amp; Cura Carattere Sci, Pathol, I-00144 Rome, Italy</t>
  </si>
  <si>
    <t>University of Ferrara; Arcispedale Sant'Anna; IRCCS Istituti Fisioterapici Ospitalieri (IFO); IRCCS Regina Elena; IRCCS Istituti Fisioterapici Ospitalieri (IFO); IRCCS Regina Elena; IRCCS Istituti Fisioterapici Ospitalieri (IFO); IRCCS Regina Elena</t>
  </si>
  <si>
    <t>Gambari, R; Finotti, A (corresponding author), Ferrara Univ, Dept Life Sci &amp; Biotechnol, I-44121 Ferrara, Italy.</t>
  </si>
  <si>
    <t>gspjsc@unife.it; chiara.papi@unife.it; matteo.allegretti@ifo.gov.it; elena.giordani@ifo.gov.it; fabio.carboni@ifo.gov.it; settimio.zazza@ifo.gov.it; edoardo.pescarmona@ifo.gov.it; pabepabe@gmail.com; patrizio.giacomini@ifo.gov.it; chiara.scapoli@unife.it; gam@unife.it; alessia.finotti@unife.it</t>
  </si>
  <si>
    <t>Giacomini, Patrizio/K-5217-2016; Giordani, Elena/AAC-6646-2022; Allegretti, Matteo/K-3862-2018; Gasparello, Jessica/N-6975-2018; Finotti, Alessia/C-6268-2012</t>
  </si>
  <si>
    <t>Giacomini, Patrizio/0000-0001-6109-1709; Allegretti, Matteo/0000-0003-3398-8775; Gasparello, Jessica/0000-0001-8557-0739; Finotti, Alessia/0000-0002-7638-515X; Giordani, Elena/0000-0002-6445-4509; Carboni, Fabio/0000-0002-2634-4878; Papi, Chiara/0000-0001-9242-1766; Zazza, Settimio/0000-0002-0465-1383; Pescarmona, Edoardo/0000-0002-0443-9331</t>
  </si>
  <si>
    <t>10.3390/cancers12092410</t>
  </si>
  <si>
    <t>WOS:000580779600001</t>
  </si>
  <si>
    <t>Serrano-Heras, G; Diaz-Maroto, I; Castro-Robles, B; Carrion, B; Perona-Moratalla, AB; Gracia, J; Arteaga, S; Hernandez-Fernandez, F; Garcia-Garcia, J; Ayo-Martin, O; Segura, T</t>
  </si>
  <si>
    <t>Serrano-Heras, Gemma; Diaz-Maroto, Inmaculada; Castro-Robles, Beatriz; Carrion, Blanca; Perona-Moratalla, Ana B.; Gracia, Julia; Arteaga, Sandra; Hernandez-Fernandez, Francisco; Garcia-Garcia, Jorge; Ayo-Martin, Oscar; Segura, Tomas</t>
  </si>
  <si>
    <t>Isolation and Quantification of Blood Apoptotic Bodies, a Non-invasive Tool to Evaluate Apoptosis in Patients with Ischemic Stroke and Neurodegenerative Diseases</t>
  </si>
  <si>
    <t>BIOLOGICAL PROCEDURES ONLINE</t>
  </si>
  <si>
    <t>Apoptotic bodies; Plasma samples; Apoptosis; Biomarkers; Ischemic stroke; Multiple sclerosis; Parkinson's disease</t>
  </si>
  <si>
    <t>FLOW-CYTOMETRY; VESICLES; MICROVESICLES; NECROSIS; DNA; AUTOPHAGY; EXOSOMES</t>
  </si>
  <si>
    <t>Background: Improper regulation of apoptosis has been postulated as one of the main factors that contributes to the etiology and/or progression of several prevalent diseases, including ischemic stroke and neurodegenerative pathologies. Consequently, in the last few years, there has been an ever-growing interest in the in vivo study of apoptosis. The clinical application of the tissue sampling and imaging approaches to analyze apoptosis in neurological diseases is, however, limited. Since apoptotic bodies are membrane vesicles that are released from fragmented apoptotic cells, it follows that the presence of these vesicles in the bloodstream is likely due to the apoptotic death of cells in tissues. We therefore propose to use circulating apoptotic bodies as biomarkers for measuring apoptotic death in patients with ischemic stroke and neurodegenerative diseases. Results: Since there is no scientific literature establishing the most appropriate method for collecting and enumerating apoptotic bodies from human blood samples. Authors, here, describe a reproducible centrifugation-based method combined with flow cytometry analysis to isolate and quantify plasma apoptotic bodies of patients with ischemic stroke, multiple sclerosis, Parkinson's disease and also in healthy controls. Electron microscopy, dynamic light scattering and proteomic characterization in combination with flow cytometry studies revealed that our isolation method achieves notable recovery rates of highly-purified intact apoptotic bodies. Conclusions: This easy, minimally time consuming and effective procedure for isolating and quantifying plasma apoptotic bodies could help physicians to implement the use of such vesicles as a non-invasive tool to monitor apoptosis in patients with cerebrovascular and neurodegenerative diseases for prognostic purposes and for monitoring disease activity.</t>
  </si>
  <si>
    <t>[Serrano-Heras, Gemma; Castro-Robles, Beatriz; Carrion, Blanca; Arteaga, Sandra] Complejo Hosp Univ Albacete, Res Unit, Laurel S-N, Albacete 02008, Spain; [Diaz-Maroto, Inmaculada; Perona-Moratalla, Ana B.; Gracia, Julia; Hernandez-Fernandez, Francisco; Garcia-Garcia, Jorge; Ayo-Martin, Oscar; Segura, Tomas] Complejo Hosp Univ Albacete, Dept Neurol, Albacete, Spain; [Segura, Tomas] Univ Castilla La Mancha, Fac Med, Inst Invest Discapacidades Neurol IDINE, Albacete, Spain</t>
  </si>
  <si>
    <t>Universidad de Castilla-La Mancha</t>
  </si>
  <si>
    <t>Serrano-Heras, G (corresponding author), Complejo Hosp Univ Albacete, Res Unit, Laurel S-N, Albacete 02008, Spain.</t>
  </si>
  <si>
    <t>gemmas@sescam.jccm.es</t>
  </si>
  <si>
    <t>Garcia-García, Jorge/AFF-9149-2022; Hernández, Paco/ABH-2521-2020; Hernández-Fernández, Francisco/Q-8131-2017; Castro-Robles, Beatriz/ABE-2376-2020</t>
  </si>
  <si>
    <t>Garcia-García, Jorge/0000-0001-9867-9709; Hernández-Fernández, Francisco/0000-0001-6681-2683; Castro-Robles, Beatriz/0000-0001-6441-7735; Gracia Gil, Julia/0000-0002-1714-5711; Serrano-Heras, Gemma/0000-0001-9368-4832</t>
  </si>
  <si>
    <t>1480-9222</t>
  </si>
  <si>
    <t>10.1186/s12575-020-00130-8</t>
  </si>
  <si>
    <t>WOS:000560013800001</t>
  </si>
  <si>
    <t>Qian, RJ; Wang, K; Guo, YW; Li, HY; Zhu, ZY; Huang, XJ; Gong, CP; Gao, Y; Guo, R; Yang, B; Wang, CY; Jiang, DW; Lan, XL; An, R; Gao, ZR</t>
  </si>
  <si>
    <t>Qian, Ruijie; Wang, Kun; Guo, Yawen; Li, Hongyan; Zhu, Ziyang; Huang, Xiaojuan; Gong, Chengpeng; Gao, Yu; Guo, Rong; Yang, Biao; Wang, Chenyang; Jiang, Dawei; Lan, Xiaoli; An, Rui; Gao, Zairong</t>
  </si>
  <si>
    <t>Minimizing adverse effects of Cerenkov radiation induced photodynamic therapy with transformable photosensitizer-loaded nanovesicles</t>
  </si>
  <si>
    <t>Cerenkov radiation; Exosome coating; Nuclear medicine; Nanomedicine; Photodynamic therapy; Synergistic therapy; Breast cancer</t>
  </si>
  <si>
    <t>DNA-DAMAGE; CANCER; CELL; DELIVERY; DRUG; NANOPARTICLES; VESICLES; RADIOTHERAPY; EXOSOMES</t>
  </si>
  <si>
    <t>Background: Photodynamic therapy (PDT) is a promising antitumor strategy with fewer adverse effects and higher selectivity than conventional therapies. Recently, a series of reports have suggested that PDT induced by Cerenkov radiation (CR) (CR-PDT) has deeper tissue penetration than traditional PDT; however, the strategy of coupling radionuclides with photosensitizers may cause severe side effects. Methods: We designed tumor-targeting nanoparticles (I-131-EM@ALA) by loading 5-aminolevulinic acid (ALA) into an I-131-labeled exosome mimetic (EM) to achieve combined antitumor therapy. In addition to playing a radiotherapeutic role, I-131 served as an internal light source for the Cerenkov radiation (CR). Results: The drug-loaded nanoparticles effectively targeted tumors as confirmed by confocal imaging, flow cytometry, and small animal fluorescence imaging. In vitro and in vivo experiments demonstrated that I-131-EM@ALA produced a promising antitumor effect through the synergy of radiotherapy and CR-PDT. The nanoparticles killed tumor cells by inducing DNA damage and activating the lysosome-mitochondrial pathways. No obvious abnormalities in the hematology analyses, blood biochemistry, or histological examinations were observed during the treatment. Conclusions: We successfully engineered a nanocarrier coloaded with the radionuclide I-131 and a photosensitizer precursor for combined radiotherapy and PDT for the treatment of breast cancer. [GRAPHICS] .</t>
  </si>
  <si>
    <t>[Qian, Ruijie; Wang, Kun; Li, Hongyan; Zhu, Ziyang; Huang, Xiaojuan; Gong, Chengpeng; Gao, Yu; Guo, Rong; Yang, Biao; Wang, Chenyang; Jiang, Dawei; Lan, Xiaoli; An, Rui; Gao, Zairong] Huazhong Univ Sci &amp; Technol, Union Hosp, Tongji Med Coll, 1277 Jiefang Ave, Wuhan 430022, Peoples R China; [Qian, Ruijie; Wang, Kun; Li, Hongyan; Zhu, Ziyang; Gong, Chengpeng; Gao, Yu; Guo, Rong; Yang, Biao; Wang, Chenyang; Jiang, Dawei; Lan, Xiaoli; An, Rui; Gao, Zairong] Hubei Key Lab Mol Imaging, Wuhan 430022, Peoples R China; [Guo, Yawen] Huazhong Univ Sci &amp; Technol, Tongji Hosp, Dept Oncol, Tongji Med Coll, Wuhan, Peoples R China; [Huang, Xiaojuan] Zhejiang Univ, Sir Run Run Shaw Hosp, Dept Nucl Med, Sch Med, Hangzhou 310000, Peoples R China</t>
  </si>
  <si>
    <t>Huazhong University of Science &amp; Technology; Huazhong University of Science &amp; Technology; Zhejiang University</t>
  </si>
  <si>
    <t>An, R; Gao, ZR (corresponding author), Huazhong Univ Sci &amp; Technol, Union Hosp, Tongji Med Coll, 1277 Jiefang Ave, Wuhan 430022, Peoples R China.;An, R; Gao, ZR (corresponding author), Hubei Key Lab Mol Imaging, Wuhan 430022, Peoples R China.</t>
  </si>
  <si>
    <t>1975xh0577@hust.edu.cn; gaobonn@163.com</t>
  </si>
  <si>
    <t>Jiang, Dawei/J-6148-2019</t>
  </si>
  <si>
    <t>Jiang, Dawei/0000-0002-4072-0075; Guo, Rong/0000-0003-0000-2543</t>
  </si>
  <si>
    <t>10.1186/s12951-022-01401-0</t>
  </si>
  <si>
    <t>WOS:000818737800002</t>
  </si>
  <si>
    <t>Nake, A</t>
  </si>
  <si>
    <t>Nake, Admir</t>
  </si>
  <si>
    <t>THEORETICAL APPROACH- TO SELECT AN OPTIMAL NUMBER OF LABORATORY PROGNOSTIC BIOMARKERS OF CANCER</t>
  </si>
  <si>
    <t>INTERNATIONAL JOURNAL OF ECOSYSTEMS AND ECOLOGY SCIENCE-IJEES</t>
  </si>
  <si>
    <t>theoretical approach; select; optimal number; laboratory prognostic; biomarkers of cancer</t>
  </si>
  <si>
    <t>CIRCULATING TUMOR DNA; NEOVASCULARIZATION; EXPRESSION; CYCLOOXYGENASE-2; MESOTHELIOMA; THERAPIES; CARCINOMA; SURVIVAL</t>
  </si>
  <si>
    <t>Referred WHO (world health organization), cancer is a second cause of death globally. Difficulties of early diagnosis, a proper assessment of influential prognostic factors, have been and are still challenges and part of numerous studies. Aim: Strategic thinking to select classical and/or recent laboratory biomarkers to improve algorithms, protocols and clinical decision. Most mentioned prognostic factors are: a. the possibility of early diagnosis; b. features of progress of cancers in generally and separately such as histopatologically and histochemically subtypes, role of miRNA-s (non-coding RNA molecule), exosomes, the scale of neovascularity, hipercoagulability, different scale of inflammation, immune response, anemia of inflammation, release of ectopic hormonal substances out of feed-back mechanisms, alteration of electrolytes, location of the tumor; c. patients features (age, nutritional status, co morbidities, therapy resistance); d. features of healthcare system and populations; These numerous points of view bring the selection of different medical attitudes, protocols, lab or imagery biomarkers, medications, health counseling or evolution of multidisciplinary teams. Conclusions: 1. It's time for multivariate studies in Albania to redefine an optimal number of independent prognostic variables, notably, for cancers with poor prognosis including features of public health and individuals in our country based on concepts of P4 medicine and recently development of laboratories and health sciences, and their involvement in clinical decision making after validation process. 2. We can't screen cancer patients with laboratory biomarkers continuously, as we do with cardiac patients with Holter. Because of variable subtypes, chameleonic behavior of cancer cells, resistance to therapy, individual response, it's difficult to select the minimal number of prognostic examinations, but we can select optimal and appropriate numbers of them, according to each cancer and each TNM (tumor, nodus, metastasis) stage.</t>
  </si>
  <si>
    <t>[Nake, Admir] Univ Med, Tirana, Albania</t>
  </si>
  <si>
    <t>Nake, A (corresponding author), Univ Med, Tirana, Albania.</t>
  </si>
  <si>
    <t>adi.nake@yahoo.com</t>
  </si>
  <si>
    <t>Nake, Admir/W-8577-2019</t>
  </si>
  <si>
    <t>Nake, Admir/0000-0001-6621-4034</t>
  </si>
  <si>
    <t>2224-4980</t>
  </si>
  <si>
    <t>10.31407/ijees9420</t>
  </si>
  <si>
    <t>Environmental Sciences</t>
  </si>
  <si>
    <t>Environmental Sciences &amp; Ecology</t>
  </si>
  <si>
    <t>WOS:000506407000020</t>
  </si>
  <si>
    <t>Schutz, E; Urnovitz, HB; Iakoubov, L; Schulz-Schaeffer, W; Wemheuer, W; Brenig, B</t>
  </si>
  <si>
    <t>Bov-tA short interspersed nucleotide element sequences in circulating nucleic acids from sera of cattle with bovine spongiform encephalopathy (BSE) and sera of cattle exposed to BSE</t>
  </si>
  <si>
    <t>CLINICAL AND DIAGNOSTIC LABORATORY IMMUNOLOGY</t>
  </si>
  <si>
    <t>PLASMA; RNA; DNA; RELEASE; STABILITY; EVOLUTION; EXOSOMES; REPEAT; MARKER; GENES</t>
  </si>
  <si>
    <t>Circullating nucleic acids (CNA) are known to be enriched in repetitive DNA sequences in humans. Here, bovine sera CNA were analyzed to determine if cell stress-related short interspersed nucleotide elements: (SINEs) could be detected in sera from cattle associated with bovine spongiform encephalopathy (BSE,). Nucleic acids were extracted, amplified, cloned, and sequenced from the sera of protease-resistant prion protein (PrPres)-positive cattle (n = 2) and sera from BSE-cohort cows (n = 6); 150 out of 163 clones revealed the presence of, on average, an 80-bp sequence from the 3' region of Bov-tA SINE. A PCR protocol was developed that differentially identified SINE-associated CNA in BSE-exposed versus normal cattle. CNA were: extracted from a serum vesicular fraction after controlled blood collection and processing procedures. Sera from four confirmed cases of BSE, 137 BSE-exposed cohort animals associated with eight confirmed BSE cases, and 845 healthy, PrPres-negative, control cows were tested. All four sera from confirmed BSE cases were repeatedly reactive in the assay. BSE-exposed cohorts had a 100-fold higher occurrence of repeatedly reactive individuals per cohort (average = 63%; range = 33% to 91%), compared to healthy controls (average = 0.6%; P &lt; 0.001). This study shows that BSE-confirmed and cohort animals possess a unique profile of SINE-associated serum CNA that can be utilized as a marker that highly correlates to BSE exposure.</t>
  </si>
  <si>
    <t>Univ Gottingen, Inst Vet Med, D-37073 Gottingen, Germany; Chronix Biomed GmbH, D-37073 Gottingen, Germany; Chronix Biomed Inc, San Jose, CA 95112 USA; Univ Gottingen, Dept Neuropathol, D-37075 Gottingen, Germany</t>
  </si>
  <si>
    <t>University of Gottingen; University of Gottingen</t>
  </si>
  <si>
    <t>Brenig, B (corresponding author), Univ Gottingen, Inst Vet Med, Groner Landstr 2, D-37073 Gottingen, Germany.</t>
  </si>
  <si>
    <t>bbrenig@gwdg.de</t>
  </si>
  <si>
    <t>Schuetz, Ekkehard/H-3929-2013</t>
  </si>
  <si>
    <t>Brenig, Bertram/0000-0002-7635-9656; Iakoubov, Leonid/0000-0001-9666-2110</t>
  </si>
  <si>
    <t>1071-412X</t>
  </si>
  <si>
    <t>10.1128/CDLI.12.7.814-820.2005</t>
  </si>
  <si>
    <t>WOS:000231407600003</t>
  </si>
  <si>
    <t>Hakim, R; Covacu, R; Zachariadis, V; Frostell, A; Sankavaram, SR; Brundin, L; Svensson, M</t>
  </si>
  <si>
    <t>Hakim, Ramil; Covacu, Ruxandra; Zachariadis, Vasilios; Frostell, Arvid; Sankavaram, Sreenivasa Raghavan; Brundin, Lou; Svensson, Mikael</t>
  </si>
  <si>
    <t>Mesenchymal stem cells transplanted into spinal cord injury adopt immune cell-like characteristics</t>
  </si>
  <si>
    <t>Mesenchymal stem cells; Spinal cord injury; Cellular response; Transcriptional changes; Phenotypes; Differentiation; Proliferation; Graft survival</t>
  </si>
  <si>
    <t>PROMOTES FUNCTIONAL RECOVERY; DIPHTHERIA-TOXIN RECEPTOR; BONE-MARROW; STROMAL CELLS; GROWTH-FACTOR; ADIPOSE-TISSUE; EXTRACELLULAR VESICLES; INTRAVENOUS-INFUSION; RAT MODEL; KAPPA-B</t>
  </si>
  <si>
    <t>BackgroundMesenchymal stem cells (MSCs) and their cellular response to various stimuli have been characterized in great detail in culture conditions. In contrast, the cellular response of MSCs in an in vivo setting is still uncharted territory. In this study, we investigated the cellular response of MSCs following transplantation into spinal cord injury (SCI).MethodsMouse bone marrow-derived MSCs were transplanted 24h following severe contusion SCI in mice. As controls, MSCs transplanted to the uninjured spinal cord and non-transplanted MSCs were used. At 7days post transplantation, the MSCs were isolated from the SCI, and their global transcriptional changes, survival, differentiation, proliferation, apoptosis, and phenotypes were investigated using RNA sequencing, immunohistochemistry, and flow cytometry.ResultsMSCs transplanted into SCI downregulated genes related to cell-cycle regulation/progression, DNA metabolic/biosynthetic process, and DNA repair and upregulated genes related to immune system response, cytokine production/response, response to stress/stimuli, signal transduction and signaling pathways, apoptosis, and phagocytosis/endocytosis. MSCs maintained their surface expression of Sca1 and CD29 but upregulated expression of CD45 following transplantation. Transplanted MSCs maintained their surface expression of MHC-I but upregulated surface expression of MHC-II. Transplanted MSCs survived and proliferated to a low extent, did not express Caspase-3, and did not differentiate into neurons or astrocytes.ConclusionMSCs transplanted into SCI upregulate expression of CD45 and MHC-II and expression of genes related to cytokine production, phagocytosis/endocytosis, and immune cells/response and thereby adopt immune cell-like characteristics within the recipient.</t>
  </si>
  <si>
    <t>[Hakim, Ramil; Covacu, Ruxandra; Brundin, Lou] Karolinska Univ Hosp, Dept Neurol, S-17176 Stockholm, Sweden; [Covacu, Ruxandra; Sankavaram, Sreenivasa Raghavan] Karolinska Inst, Ctr Mol Med, S-17176 Stockholm, Sweden; [Hakim, Ramil; Covacu, Ruxandra; Frostell, Arvid; Sankavaram, Sreenivasa Raghavan; Brundin, Lou; Svensson, Mikael] Karolinska Inst, Dept Clin Neurosci, S-17176 Stockholm, Sweden; [Zachariadis, Vasilios] Karolinska Inst, Dept Oncol &amp; Pathol, S-17176 Stockholm, Sweden; [Hakim, Ramil; Frostell, Arvid; Brundin, Lou; Svensson, Mikael] Karolinska Univ Hosp, BioClinicum, Solnavagen 30, S-17164 Stockholm, Sweden; [Frostell, Arvid; Svensson, Mikael] Karolinska Univ Hosp, Dept Neurosurg, S-17176 Stockholm, Sweden</t>
  </si>
  <si>
    <t>Karolinska Institutet; Karolinska University Hospital; Karolinska Institutet; Karolinska Institutet; Karolinska Institutet; Karolinska Institutet; Karolinska University Hospital; Karolinska Institutet; Karolinska University Hospital</t>
  </si>
  <si>
    <t>Brundin, L (corresponding author), Karolinska Univ Hosp, Dept Neurol, S-17176 Stockholm, Sweden.;Brundin, L (corresponding author), Karolinska Inst, Dept Clin Neurosci, S-17176 Stockholm, Sweden.</t>
  </si>
  <si>
    <t>lou.brundin@ki.se</t>
  </si>
  <si>
    <t>Svensson, Mikael/F-8662-2012; Frostell, Arvid/ABG-5167-2021</t>
  </si>
  <si>
    <t>Svensson, Mikael/0000-0003-1179-7003; Brundin, Lou/0000-0003-4408-7817</t>
  </si>
  <si>
    <t>10.1186/s13287-019-1218-9</t>
  </si>
  <si>
    <t>WOS:000463652900001</t>
  </si>
  <si>
    <t>Bratulic, S; Gatto, F; Nielsen, J</t>
  </si>
  <si>
    <t>Bratulic, Sinisa; Gatto, Francesco; Nielsen, Jens</t>
  </si>
  <si>
    <t>The Translational Status of Cancer Liquid Biopsies</t>
  </si>
  <si>
    <t>REGENERATIVE ENGINEERING AND TRANSLATIONAL MEDICINE</t>
  </si>
  <si>
    <t>Cancer biomarkers; Diagnostic biomarkers; Prognostic biomarkers; Predictive biomarkers; Liquid biopsy; Precision medicine; Clinical oncology; Multiomics</t>
  </si>
  <si>
    <t>CIRCULATING TUMOR-CELLS; METASTATIC BREAST-CANCER; MOLECULAR URINE TEST; POTENTIAL PREDICTIVE BIOMARKERS; TRANSCRIPTASE MESSENGER-RNA; WHOLE GENOME AMPLIFICATION; PROGRESSION-FREE SURVIVAL; MULTIVARIATE INDEX ASSAY; GRADE PROSTATE-CANCER; WIDE DNA METHYLATION</t>
  </si>
  <si>
    <t>Precision oncology aims to tailor clinical decisions specifically to patients with the objective of improving treatment outcomes. This can be achieved by leveraging omics information for accurate molecular characterization of tumors. Tumor tissue biopsies are currently the main source of information for molecular profiling. However, biopsies are invasive and limited in resolving spatiotemporal heterogeneity in tumor tissues. Alternative non-invasive liquid biopsies can exploit patient's body fluids to access multiple layers of tumor-specific biological information (genomes, epigenomes, transcriptomes, proteomes, metabolomes, circulating tumor cells, and exosomes). Analysis and integration of these large and diverse datasets using statistical and machine learning approaches can yield important insights into tumor biology and lead to discovery of new diagnostic, predictive, and prognostic biomarkers. Translation of these new diagnostic tools into standard clinical practice could transform oncology, as demonstrated by a number of liquid biopsy assays already entering clinical use. In this review, we highlight successes and challenges facing the rapidly evolving field of cancer biomarker research. Lay Summary Precision oncology aims to tailor clinical decisions specifically to patients with the objective of improving treatment outcomes. The discovery of biomarkers for precision oncology has been accelerated by high-throughput experimental and computational methods, which can inform fine-grained characterization of tumors for clinical decision-making. Moreover, advances in the liquid biopsy field allow non-invasive sampling of patient's body fluids with the aim of analyzing circulating biomarkers, obviating the need for invasive tumor tissue biopsies. In this review, we highlight successes and challenges facing the rapidly evolving field of liquid biopsy cancer biomarker research.</t>
  </si>
  <si>
    <t>[Bratulic, Sinisa; Gatto, Francesco; Nielsen, Jens] Chalmers Univ Technol, Dept Biol &amp; Biological Engn, Kemivagen 10, Gothenburg, Sweden; [Gatto, Francesco] Elypta, Teknikringen 38, 11428 Stockholm, Sweden; [Nielsen, Jens] Chalmers Univ Technol, Wallenberg Centre Prot Res, Kemivagen 10, Gothenburg, Sweden; [Nielsen, Jens] KTH Royal Inst Technol, Sci Life Lab, Stockholm, Sweden; [Nielsen, Jens] Syst Univ Denmark, Novo Nord Fdn Ctr Biosustainabil, 2800 KGS Lyngby, Denmark; [Nielsen, Jens] Bioinnovat Inst, Ole Maaloes Vej 3, 2200 Copenhagen, DK, Denmark</t>
  </si>
  <si>
    <t>Chalmers University of Technology; Chalmers University of Technology; Royal Institute of Technology</t>
  </si>
  <si>
    <t>Nielsen, J (corresponding author), Chalmers Univ Technol, Dept Biol &amp; Biological Engn, Kemivagen 10, Gothenburg, Sweden.;Nielsen, J (corresponding author), Chalmers Univ Technol, Wallenberg Centre Prot Res, Kemivagen 10, Gothenburg, Sweden.;Nielsen, J (corresponding author), KTH Royal Inst Technol, Sci Life Lab, Stockholm, Sweden.;Nielsen, J (corresponding author), Syst Univ Denmark, Novo Nord Fdn Ctr Biosustainabil, 2800 KGS Lyngby, Denmark.;Nielsen, J (corresponding author), Bioinnovat Inst, Ole Maaloes Vej 3, 2200 Copenhagen, DK, Denmark.</t>
  </si>
  <si>
    <t>nielsenj@chalmers.se</t>
  </si>
  <si>
    <t>Bratulic, Sinisa/0000-0002-1663-2227</t>
  </si>
  <si>
    <t>2364-4133</t>
  </si>
  <si>
    <t>2364-4141</t>
  </si>
  <si>
    <t>10.1007/s40883-019-00141-2</t>
  </si>
  <si>
    <t>WOS:000698957500006</t>
  </si>
  <si>
    <t>Ansari, MA; Singh, VV; Dutta, S; Veettil, MV; Dutta, D; Chikoti, L; Lu, J; Everly, D; Chandran, B</t>
  </si>
  <si>
    <t>Ansari, Mairaj Ahmed; Singh, Vivek Vikram; Dutta, Sujoy; Veettil, Mohanan Valiya; Dutta, Dipanjan; Chikoti, Leela; Lu, Jie; Everly, David; Chandran, Bala</t>
  </si>
  <si>
    <t>Constitutive Interferon-Inducible Protein 16-Inflammasome Activation during Epstein-Barr Virus Latency I, II, and III in B and Epithelial Cells</t>
  </si>
  <si>
    <t>INNATE IMMUNE SENSOR; DNA-DAMAGE RESPONSE; IFI16; INFLAMMASOME; INFECTION; BINDING; AUTOANTIGEN; INHIBITION; EXPRESSION; APOPTOSIS</t>
  </si>
  <si>
    <t>Epstein-Barr virus (EBV), etiologically linked with human B-cell malignancies and nasopharyngeal carcinoma (NPC), establishes three types of latency that facilitate its episomal genome persistence and evasion of host immune responses. The innate inflammasome responses recognize the pathogen-associated molecular patterns which lead into the association of a cytoplasmic sensor such as NLRP3 and AIM2 proteins or nuclear interferon-inducible protein 16 (IFI16) with adaptor ASC protein (apoptosis-associated speck-like protein with a caspase recruitment domain) and effector procaspase-1, resulting in active caspase-1 formation which cleaves the proforms of inflammatory interleukin-1 beta (IL-1 beta), IL-18, and IL-33 cytokines. Whether inflammasome responses recognize and respond to EBV genome in the nuclei was not known. We observed evidence of inflammasome activation, such as the activation of caspase-1 and cleavage of pro-IL-1 beta, -IL-18, and -IL-33, in EBV latency I Raji cells, latency II NPC C666-1 cells, and latency III lymphoblastoid cell lines (LCL). Interaction between ASC with IFI16 but not with AIM2 or NLRP3 was detected in all three latencies and during EBV infection of primary human B cells. IFI16 and cleaved caspase-1, IL-1 beta, IL-18, and IL-33 were detected in the exosomes from Raji cells and LCL. Though EBV nuclear antigen 1 (EBNA1) and EBV-encoded small RNAs (EBERs) are common to all forms of EBV latency, caspase-1 cleavage was not detected in cells expressing EBNA1 alone, and blocking EBER transcription did not inhibit caspase-1 cleavage. In fluorescence in situ hybridization (FISH) analysis, IFI16 colocalized with the EBV genome in LCL and Raji cell nuclei. These studies demonstrated that constant sensing of latent EBV genome by IFI16 in all types of latency results in the constitutive induction of the inflammasome and IL-1 beta, IL-18, and IL-33 maturation.</t>
  </si>
  <si>
    <t>[Ansari, Mairaj Ahmed; Singh, Vivek Vikram; Dutta, Sujoy; Veettil, Mohanan Valiya; Dutta, Dipanjan; Chikoti, Leela; Everly, David; Chandran, Bala] Rosalind Franklin Univ Med &amp; Sci, HM Bligh Canc Res Labs, Dept Microbiol &amp; Immunol, Chicago Med Sch, N Chicago, IL USA; [Lu, Jie] Univ Penn, Dept Microbiol, Abramson Canc Ctr, Perelman Sch Med, Philadelphia, PA 19104 USA; [Lu, Jie] Univ Penn, Tumor Virol Program, Abramson Canc Ctr, Perelman Sch Med, Philadelphia, PA 19104 USA</t>
  </si>
  <si>
    <t>Chicago Medical School; Rosalind Franklin University Medical &amp; Science; University of Pennsylvania; University of Pennsylvania</t>
  </si>
  <si>
    <t>Chandran, B (corresponding author), Rosalind Franklin Univ Med &amp; Sci, HM Bligh Canc Res Labs, Dept Microbiol &amp; Immunol, Chicago Med Sch, N Chicago, IL USA.</t>
  </si>
  <si>
    <t>Veetil, Mohanan/0000-0002-4239-068X; ANSARI, MAIRAJ/0000-0003-0040-4147</t>
  </si>
  <si>
    <t>10.1128/JVI.00805-13</t>
  </si>
  <si>
    <t>WOS:000321590200031</t>
  </si>
  <si>
    <t>FOUAD, FM; MARSHALL, WD; FARRELL, PG; FITZGERALD, S</t>
  </si>
  <si>
    <t>ACUTE-PHASE PLASMA-PROTEIN RESPONSE TO CHOLERA INTOXICATION IN HEALTHY AND DIABETIC RATS</t>
  </si>
  <si>
    <t>JOURNAL OF TOXICOLOGY AND ENVIRONMENTAL HEALTH</t>
  </si>
  <si>
    <t>HEPATOCYTE CULTURES; ALPHA-AMANITIN; LIVER DNA; TOXIN; SECRETION; INSULIN; SERUM; BIOSYNTHESIS; PHALLOIDIN</t>
  </si>
  <si>
    <t>The aim of the present study is twofold: to establish the response of hepatic machinery of plasma protein biosynthesis to cholera intoxication, and to examine the same response of alloxan-diabetic hepatocytes with minimal capacity of synthesis of plasma proteins. Direct lesion of hepatic plasma membranes via ip administration of cholera toxin to male rats resulted in a typical acute-phase response (APR) of plasma proteins, which had regressed to levels similar to those of healthy controls approximately at 240 h postintoxication. The d 2 response to a single 0.16 mg/kg body weight dose was typified by a 23% reduction in the level of albumin, but a 6- and 24-fold increase in the levels of fibrinogen and alpha-1-acid glycoproteins, respectively This response was similar (in direction but not in magnitude) to the acute-phase reaction to a simple subcutaneous administration of carrageenan. The intoxication was accompanied by a massive leakage, into the peritoneal cavity, of plasma fluid, which embraced the complete profile of acute-phase reactants. A three-step mechanism is proposed to account for the observations as follows: (1) There is a rapid formation of a stable complex between subunit B of the toxin and ganglioside GM1 of hepatic plasma membrane. An APR is induced in response to the alteration(s) of hepatic plasma membranes. (2) The release, from the choleragen-membrane complex, of polypeptide Al and its subsequent penetration of the hepatic membrane result in both activation of adenylate cyclase and increased vascular permeability of hepatic membranes. This leads, in turn, to exudation of components of plasma fluid in the peritoneal cavity of intoxicated rats. An alternate rationale for this exudation is the slow leakage of plasma proteins out of the blood vascular system (possibly through microvesicles) into the peritoneal cavity of cholera intoxicated rats. The spectrum of acute-phase hepatic secretory components was mirrored in the corresponding peritoneal exudate. (3) The increased hepatic membrane flow provides the continued renewal of plasma membrane proteins required for its eventual repair by either endocytosis or sloughing off the toxin-bound membrane segments into the circulatory system, thus producing regression of APR. Livers of diabetic rats, an already established model in terms of APR, responded to ip administration of cholera toxin by increased biosynthesis of the identified plasma proteins and a marked reduction in total free-glucose in serum. Thus, innoculation of diabetic rats with cholera toxin resulted in the addition of the poorly controlled sugar residues onto polypeptide chains, a postribosomal process that is an alternative pathway for the metabolism of excess glucose.</t>
  </si>
  <si>
    <t>MCGILL UNIV, DEPT CHEM, ST ANNE DE BELLEVUE H9X 1C0, QUEBEC, CANADA</t>
  </si>
  <si>
    <t>FOUAD, FM (corresponding author), MCGILL UNIV, DEPT FOOD SCI &amp; AGR CHEM, ST ANNE DE BELLEVUE H9X 1C0, QUEBEC, CANADA.</t>
  </si>
  <si>
    <t>0098-4108</t>
  </si>
  <si>
    <t>Environmental Sciences; Public, Environmental &amp; Occupational Health; Toxicology</t>
  </si>
  <si>
    <t>Environmental Sciences &amp; Ecology; Public, Environmental &amp; Occupational Health; Toxicology</t>
  </si>
  <si>
    <t>WOS:A1993KH54200001</t>
  </si>
  <si>
    <t>Martin-Pardillos, A; Chiva, AV; Vargas, GB; Blanco, PH; Cid, RP; Guijarro, PJ; Hummer, S; Bejar Serrano, E; Rodriguez-Casanova, A; Diaz-Lagares, A; Castellvi, J; Miravet-Verde, S; Serrano, L; Lluch-Senar, M; Sebastian, V; Bribian, A; Lopez-Mascaraque, L; Lopez-Lopez, R; Cajal, SRY</t>
  </si>
  <si>
    <t>Martin-Pardillos, Ana; Valls Chiva, Angeles; Bande Vargas, Gemma; Hurtado Blanco, Pablo; Pineiro Cid, Roberto; Guijarro, Pedro J.; Hummer, Stefan; Bejar Serrano, Eva; Rodriguez-Casanova, Aitor; Diaz-Lagares, Angel; Castellvi, Josep; Miravet-Verde, Samuel; Serrano, Luis; Lluch-Senar, Maria; Sebastian, Victor; Bribian, Ana; Lopez-Mascaraque, Laura; Lopez-Lopez, Rafael; Ramon y Cajal, Santiago</t>
  </si>
  <si>
    <t>The role of clonal communication and heterogeneity in breast cancer</t>
  </si>
  <si>
    <t>Tumor; Breast; Cancer; Metastasis; Heterogeneity; Clone; Communication; Cooperation; MDA-MB-231</t>
  </si>
  <si>
    <t>DNA METHYLATION MICROARRAY; TUMOR HETEROGENEITY; INTRATUMOR HETEROGENEITY; CPG SITES; TGF-BETA; METASTASIS; EVOLUTION; CELLS; VALIDATION; GENOME</t>
  </si>
  <si>
    <t>BackgroundCancer is a rapidly evolving, multifactorial disease that accumulates numerous genetic and epigenetic alterations. This results in molecular and phenotypic heterogeneity within the tumor, the complexity of which is further amplified through specific interactions between cancer cells. We aimed to dissect the molecular mechanisms underlying the cooperation between different clones.MethodsWe produced clonal cell lines derived from the MDA-MB-231 breast cancer cell line, using the UbC-StarTrack system, which allowed tracking of multiple clones by color: GFP C3, mKO E10 and Sapphire D7. Characterization of these clones was performed by growth rate, cell metabolic activity, wound healing, invasion assays and genetic and epigenetic arrays. Tumorigenicity was tested by orthotopic and intravenous injections. Clonal cooperation was evaluated by medium complementation, co-culture and co-injection assays.ResultsCharacterization of these clones in vitro revealed clear genetic and epigenetic differences that affected growth rate, cell metabolic activity, morphology and cytokine expression among cell lines. In vivo, all clonal cell lines were able to form tumors; however, injection of an equal mix of the different clones led to tumors with very few mKO E10 cells. Additionally, the mKO E10 clonal cell line showed a significant inability to form lung metastases. These results confirm that even in stable cell lines heterogeneity is present. In vitro, the complementation of growth medium with medium or exosomes from parental or clonal cell lines increased the growth rate of the other clones. Complementation assays, co-growth and co-injection of mKO E10 and GFP C3 clonal cell lines increased the efficiency of invasion and migration.ConclusionsThese findings support a model where interplay between clones confers aggressiveness, and which may allow identification of the factors involved in cellular communication that could play a role in clonal cooperation and thus represent new targets for preventing tumor progression.</t>
  </si>
  <si>
    <t>[Martin-Pardillos, Ana; Valls Chiva, Angeles; Bande Vargas, Gemma; Guijarro, Pedro J.; Hummer, Stefan; Bejar Serrano, Eva; Ramon y Cajal, Santiago] Vall dHebron Res Inst, Translat Mol Pathol Grp, Barcelona, Spain; [Martin-Pardillos, Ana; Pineiro Cid, Roberto; Hummer, Stefan; Bejar Serrano, Eva; Diaz-Lagares, Angel; Ramon y Cajal, Santiago] CIBERONC Ctr Invest Biomed Red Canc, Madrid, Spain; [Hurtado Blanco, Pablo; Pineiro Cid, Roberto] Roche CHUS Joint Unit, Canc Modelling Lab, Santiago De Compostela, Spain; [Rodriguez-Casanova, Aitor; Diaz-Lagares, Angel; Lopez-Lopez, Rafael] Univ Clin Hosp Santiago CHUS, Hlth Res Inst Santiago IDIS, Translat Med Oncol Oncomet, Canc Epigen, Santiago De Compostela, Spain; [Castellvi, Josep; Ramon y Cajal, Santiago] Hosp Valle De Hebron, Anat Patol, Barcelona, Spain; [Miravet-Verde, Samuel; Serrano, Luis; Lluch-Senar, Maria] Inst Sci &amp; Technol, Ctr Genom Regulat CRG, EMBL CRG Syst Biol Res Unit, Barcelona, Spain; [Serrano, Luis] UPF, Barcelona, Spain; [Serrano, Luis] ICREA, Barcelona, Spain; [Sebastian, Victor] Univ Zaragoza, Aragon Inst Nanosci INA, Dept Chem Engn, Zaragoza, Spain; [Sebastian, Victor] CIBER BBN, Networking Res Ctr Bioengn Biomat &amp; Nanomed, Madrid, Spain; [Bribian, Ana; Lopez-Mascaraque, Laura] CSIC, Inst Cajal, Dept Mol Cellular &amp; Dev Neurobiol, Madrid, Spain; [Lopez-Lopez, Rafael] Univ Clin Hosp Santiago CHUS, Roche CHUS Joint Unit, Santiago De Compostela, Spain</t>
  </si>
  <si>
    <t>Autonomous University of Barcelona; Hospital Universitari Vall d'Hebron; Vall d'Hebron Institut de Recerca (VHIR); CIBER - Centro de Investigacion Biomedica en Red; CIBERONC; Hospital Universitari Vall d'Hebron; Barcelona Institute of Science &amp; Technology; Pompeu Fabra University; Centre de Regulacio Genomica (CRG); Pompeu Fabra University; ICREA; University of Zaragoza; CIBER - Centro de Investigacion Biomedica en Red; CIBERBBN; Consejo Superior de Investigaciones Cientificas (CSIC); CSIC - Instituto Cajal (IC)</t>
  </si>
  <si>
    <t>Martin-Pardillos, A; Cajal, SRY (corresponding author), Vall dHebron Res Inst, Translat Mol Pathol Grp, Barcelona, Spain.;Martin-Pardillos, A; Cajal, SRY (corresponding author), CIBERONC Ctr Invest Biomed Red Canc, Madrid, Spain.;Cajal, SRY (corresponding author), Hosp Valle De Hebron, Anat Patol, Barcelona, Spain.</t>
  </si>
  <si>
    <t>ana.martin@vhir.org; sramon@vhebron.net</t>
  </si>
  <si>
    <t>Castellvi, Josep/C-5092-2014; Lopez-Mascaraque, Laura/M-2448-2014; Hümmer, Stefan/J-9861-2013; Lluch, Maria/ABF-8435-2021; Senar, Maria Lluch/K-7848-2018; Sebastian, Victor/S-7160-2018; Piñeiro, Roberto/AAN-5561-2020; Serrano, Luis/B-3355-2013; Ramon y Cajal, Santiago/H-4955-2016; Miravet-Verde, Samuel/M-6781-2015</t>
  </si>
  <si>
    <t>Castellvi, Josep/0000-0001-5745-9996; Lopez-Mascaraque, Laura/0000-0002-7154-5687; Hümmer, Stefan/0000-0002-8184-3872; Senar, Maria Lluch/0000-0001-7568-4353; Piñeiro, Roberto/0000-0001-9479-139X; Serrano, Luis/0000-0002-5276-1392; Ramon y Cajal, Santiago/0000-0002-3867-1390; Martin Pardillos, Ana/0000-0003-1717-8465; /0000-0002-6873-5244; Miravet-Verde, Samuel/0000-0002-1542-5912; Guijarro Carrillo, Pedro Jesus/0000-0001-8341-592X</t>
  </si>
  <si>
    <t>10.1186/s12885-019-5883-y</t>
  </si>
  <si>
    <t>WOS:000474543800004</t>
  </si>
  <si>
    <t>Gatto, L; Franceschi, E; Di Nunno, V; Tosoni, A; Lodi, R; Brandes, AA</t>
  </si>
  <si>
    <t>Gatto, Lidia; Franceschi, Enrico; Di Nunno, Vincenzo; Tosoni, Alicia; Lodi, Raffaele; Brandes, Alba Ariela</t>
  </si>
  <si>
    <t>Liquid Biopsy in Glioblastoma Management: From Current Research to Future Perspectives</t>
  </si>
  <si>
    <t>Liquid biopsy; Glioblastoma; Biomarker; Circulating tumor cells; Circulating tumor DNA; Microvescicles; Circulating microRNA; Prognostic; Predictive</t>
  </si>
  <si>
    <t>CENTRAL-NERVOUS-SYSTEM; CIRCULATING TUMOR-CELLS; METASTATIC NICHE FORMATION; CEREBROSPINAL-FLUID; EXTRACELLULAR VESICLES; PERIPHERAL-BLOOD; MESSENGER-RNA; PROMOTER METHYLATION; MICRORNA SIGNATURE; MALIGNANT GLIOMAS</t>
  </si>
  <si>
    <t>Glioblastoma (GBM) is the most common primary tumor of the central nervous system. Arising from neuroepithelial glial cells, GBM is characterized by invasive behavior, extensive angiogenesis, and genetic heterogeneity that contributes to poor prognosis and treatment failure. Currently, there are several molecular biomarkers available to aid in diagnosis, prognosis, and predicting treatment outcomes; however, all require the biopsy of tumor tissue. Nevertheless, a tissue sample from a single location has its own limitations, including the risk related to the procedure and the difficulty of obtaining longitudinal samples to monitor treatment response and to fully capture the intratumoral heterogeneity of GBM. To date, there are no biomarkers in blood or cerebrospinal fluid for detection, follow-up, or prognostication of GBM. Liquid biopsy offers an attractive and minimally invasive solution to support different stages of GBM management, assess the molecular biology of the tumor, identify early recurrence and longitudinal genomic evolution, predict both prognosis and potential resistance to chemotherapy or radiotherapy, and allow patient selection for targeted therapies. The aim of this review is to describe the current knowledge regarding the application of liquid biopsy in glioblastoma, highlighting both benefits and obstacles to translation into clinical care. Implications for Practice To translate liquid biopsy into clinical practice, further prospective studies are required with larger cohorts to increase specificity and sensitivity. With the ever-growing interest in RNA nanotechnology, microRNAs may have a therapeutic role in brain tumors.</t>
  </si>
  <si>
    <t>[Gatto, Lidia; Franceschi, Enrico; Di Nunno, Vincenzo; Tosoni, Alicia; Brandes, Alba Ariela] Azienda Unita Sanit Locale USL Bologna, Dept Med Oncol, Bologna, Italy; [Lodi, Raffaele] Ist Ricovero &amp; Cura Carattere Sci IRCCS, Ist Sci Neurol Bologna, Bologna, Italy</t>
  </si>
  <si>
    <t>Fondazione IRCCS Istituto Nazionale Tumori Milan; IRCCS Istituto delle Scienze Neurologiche di Bologna (ISNB)</t>
  </si>
  <si>
    <t>Franceschi, E (corresponding author), Azienda Unita Sanit Locale USL Bologna, Dept Med Oncol, Bologna, Italy.</t>
  </si>
  <si>
    <t>enricofra@yahoo.it</t>
  </si>
  <si>
    <t>franceschi, enrico/AAW-4451-2021; Tosoni, Alicia/AAC-2627-2022; DI NUNNO, VINCENZO/AAW-4446-2021; Di Nunno, Vincenzo/Q-8253-2018</t>
  </si>
  <si>
    <t xml:space="preserve">franceschi, enrico/0000-0001-9332-4677; Tosoni, Alicia/0000-0001-8662-7055; DI NUNNO, VINCENZO/0000-0003-4441-9834; </t>
  </si>
  <si>
    <t>10.1002/onco.13858</t>
  </si>
  <si>
    <t>WOS:000664635900001</t>
  </si>
  <si>
    <t>Ray, DM; Spinelli, SL; Pollock, SJ; Murant, TI; O'Brien, JJ; Blumberg, N; Francis, CW; Taubman, MB; Phipps, RP</t>
  </si>
  <si>
    <t>Ray, Denise M.; Spinelli, Sherry L.; Pollock, Stephen J.; Murant, Thomas I.; O'Brien, Jamie J.; Blumberg, Neil; Francis, Charles W.; Taubman, Mark B.; Phipps, Richard P.</t>
  </si>
  <si>
    <t>Peroxisome proliferator-activated receptor gamma and retinoid X receptor transcription factors are released from activated human platelets and shed in microparticles</t>
  </si>
  <si>
    <t>microparticles; peroxisome proliferator-activated receptor gamma(PPAR gamma); platelets; retinoic X receptor (RXR); transcription factors</t>
  </si>
  <si>
    <t>EXPRESS PPAR-GAMMA; TISSUE-FACTOR; CD40 LIGAND; CELL-LINE; INFLAMMATION; MEMBRANE; MICROVESICLES; ALPHA; CHEMOKINES; MONOCYTES</t>
  </si>
  <si>
    <t>Peroxisome proliferator-activated receptor gamma (PPAR gamma) and its ligands are important regulators of lipid metabolism, inflammation, and diabetes. We previously demonstrated that anucleate human platelets express the transcription factor PPAR gamma and that PPAR gamma ligands blunt platelet activation. To further understand the nature of PPAR gamma in platelets, we determined the platelet PPARy isoform(s) and investigated the fate of PPAR gamma following platelet activation. Our studies demonstrated that human platelets contain only the PPAR gamma l isoform and after activation with thrombin,TRAP,ADP or collagen PPAR gamma is released from internal stores. PPAR gamma release was blocked by a cytoskeleton inhibitor, Latrunculin A. Platelet-released PPAR gamma was complexed with the retinoid X receptor (RXR) and retained its ability to bind DNA. Interestingly, the released PPAR gamma and RXR were microparticle associated and the released PPAR gamma/RXR complex retained DNA-binding ability. Additionally, a monocytic cell line,THP-1, is capable of internalizing PMPs. Further investigation following treatment of these cells with the PPAR gamma agonist, rosiglitazone and PMPs revealed a possible transcellular mechanism to attenuate THP-1 activation. These new findings are the first to demonstrate transcription factor release from platelets, revealing the complex spectrum of proteins expressed and expelled from platelets, and suggests that platelet PPAR gamma has an undiscovered role in human biology.</t>
  </si>
  <si>
    <t>[Spinelli, Sherry L.; Blumberg, Neil] Univ Rochester, Med Ctr, Lab Med, Rochester, NY 14642 USA; [Taubman, Mark B.] Univ Rochester, Med Ctr, Ctr Cellular &amp; Mol Cardiol, Rochester, NY 14642 USA</t>
  </si>
  <si>
    <t>Phipps, RP (corresponding author), Univ Rochester, Sch Med &amp; Dent, Lung &amp; Biol Dis Program, 601 Elmwood Ave,Box 850, Rochester, NY 14642 USA.</t>
  </si>
  <si>
    <t>richard_phipps@urmc.rochester.edu</t>
  </si>
  <si>
    <t>Pollock, Stephen/0000-0002-2091-1675; Bernard, Jamie/0000-0002-3800-2576</t>
  </si>
  <si>
    <t>2567-689X</t>
  </si>
  <si>
    <t>10.1160/TH07-05-0328</t>
  </si>
  <si>
    <t>WOS:000252670400012</t>
  </si>
  <si>
    <t>Gu, YY; Chen, CY; Mao, ZM; Bachman, H; Becker, R; Rufo, J; Wang, ZY; Zhang, PR; Mai, J; Yang, SJ; Zhang, JX; Zhao, SG; Ouyang, YS; Wong, DTW; Sadovsky, Y; Huang, TJ</t>
  </si>
  <si>
    <t>Gu, Yuyang; Chen, Chuyi; Mao, Zhangming; Bachman, Hunter; Becker, Ryan; Rufo, Joseph; Wang, Zeyu; Zhang, Peiran; Mai, John; Yang, Shujie; Zhang, Jinxin; Zhao, Shuaiguo; Ouyang, Yingshi; Wong, David T. W.; Sadovsky, Yoel; Huang, Tony Jun</t>
  </si>
  <si>
    <t>Acoustofluidic centrifuge for nanoparticle enrichment and separation</t>
  </si>
  <si>
    <t>MANIPULATION; EXOSOMES; PARTICLE; CHIP; BACTERIA; ARRAYS</t>
  </si>
  <si>
    <t>Liquid droplets have been studied for decades and have recently experienced renewed attention as a simplified model for numerous fascinating physical phenomena occurring on size scales from the cell nucleus to stellar black holes. Here, we present an acoustofluidic centrifugation technique that leverages an entanglement of acoustic wave actuation and the spin of a fluidic droplet to enable nanoparticle enrichment and separation. By combining acoustic streaming and droplet spinning, rapid (&lt;1 min) nanoparticle concentration and size-based separation are achieved with a resolution sufficient to identify and isolate exosome subpopulations. The underlying physical mechanisms have been characterized both numerically and experimentally, and the ability to process biological samples (including DNA segments and exosome subpopulations) has been successfully demonstrated. Together, this acoustofluidic centrifuge overcomes existing limitations in the manipulation of nanoscale (&lt;100 nm) bioparticles and can be valuable for various applications in the fields of biology, chemistry, engineering, material science, and medicine.</t>
  </si>
  <si>
    <t>[Gu, Yuyang; Chen, Chuyi; Bachman, Hunter; Rufo, Joseph; Wang, Zeyu; Zhang, Peiran; Yang, Shujie; Zhang, Jinxin; Zhao, Shuaiguo; Huang, Tony Jun] Duke Univ, Dept Mech Engn &amp; Mat Sci, Durham, NC 27708 USA; [Mao, Zhangming] Penn State Univ, Dept Engn Sci &amp; Mech, University Pk, PA 16801 USA; [Becker, Ryan] Duke Univ, Dept Biomed Engn, Durham, NC 27708 USA; [Mai, John] Univ Southern Calif, Alfred E Mann Inst Biomed Engn, Los Angeles, CA 90089 USA; [Ouyang, Yingshi; Sadovsky, Yoel] Univ Pittsburgh, Magee Womens Res Inst, Dept Obstet Gynecol &amp; Reprod Sci, Pittsburgh, PA 15213 USA; [Wong, David T. W.] Univ Calif Los Angeles, Sch Dent, Los Angeles, CA 90095 USA; [Wong, David T. W.] Univ Calif Los Angeles, Dept Otolaryngol Head &amp; Neck Surg, Los Angeles, CA 90095 USA; [Wong, David T. W.] Univ Calif Los Angeles, Dept Pathol, Los Angeles, CA 90024 USA; [Sadovsky, Yoel] Univ Pittsburgh, Sch Med, Pittsburgh, PA 15261 USA</t>
  </si>
  <si>
    <t>Duke University; Pennsylvania Commonwealth System of Higher Education (PCSHE); Pennsylvania State University; Pennsylvania State University - University Park; Duke University; University of Southern California; Pennsylvania Commonwealth System of Higher Education (PCSHE); University of Pittsburgh; Magee-Womens Research Institute; University of California System; University of California Los Angeles; University of California System; University of California Los Angeles; University of California System; University of California Los Angeles; Pennsylvania Commonwealth System of Higher Education (PCSHE); University of Pittsburgh</t>
  </si>
  <si>
    <t>Huang, Tony Jun/A-1546-2009; Zhang, Peiran/AAU-3950-2020; Mai, John/ABE-6329-2021; Yang, Shujie/AAC-8573-2019</t>
  </si>
  <si>
    <t>Huang, Tony Jun/0000-0003-1205-3313; Zhang, Peiran/0000-0002-3873-9949; Mai, John/0000-0001-8001-9120; Yang, Shujie/0000-0003-2626-3397; Becker, Ryan/0000-0002-0855-322X; Gu, Yuyang/0000-0002-6545-2521; Chen, Chuyi/0000-0001-5733-4261</t>
  </si>
  <si>
    <t>eabc0467</t>
  </si>
  <si>
    <t>10.1126/sciadv.abc0467</t>
  </si>
  <si>
    <t>WOS:000605159200009</t>
  </si>
  <si>
    <t>Schwartz, Z; Carney, DH; Crowther, RS; Ryaby, JT; Boyan, BD</t>
  </si>
  <si>
    <t>Thrombin peptide (TP508) treatment of rat growth plate cartilage cells promotes proliferation and retention of the chondrocytic phenotype while blocking terminal endochondral differentiation</t>
  </si>
  <si>
    <t>RESTING ZONE CHONDROCYTES; VITAMIN-D METABOLITES; DOWN-REGULATING RESPONSIVENESS; FACTOR-BETA; PHOSPHOLIPASE-A2 ACTIVITY; MATRIX VESICLES; INVITRO; MATURATION; 1,25-(OH)(2)D-3; EXPRESSION</t>
  </si>
  <si>
    <t>A synthetic peptide representing the receptor-binding domain of human thrombin (TP508, also known as Chrysalin((R))) accelerates fracture repair in rats via endochondral ossification and promotes repair of rabbit cartilage defects. To understand how this peptide might stimulate cartilage and hone formation, we employed an established in vitro model of growth plate cartilage regulation. Rat costochondral cartilage resting zone and growth zone chondrocytes were treated with 0, 0.07, 0.7, or 7 mug/ml TP508 or a scrambled peptide, TP508-SP. Proliferation ([H-3]-thymidine incorporation) was examined in pre-confluent cultures; effects on cell number, alkaline phosphatase activity, [S-35]-sulfate incorporation, and responsiveness to vitamin D metabolites were tested using confluent cultures. TP508 did not affect proliferation of resting zone cells but it caused a dose-dependent increase in cell number and DNA synthesis of growth zone cells. Alkaline phosphatase specific activity of resting zone cells was reduced by TP508, whereas [S-35]-sulfate incorporation was increased. Neither parameter was affected in growth zone cell cultures. TP508 treatment for 24 h did not induce resting zone cells to respond to 1alpha,25(OH)(2)D-3, either with respect to alkaline phosphatase activity or proteoglycan production. In contrast, TP508 treatment reduced the stimulatory effect of 24R,25(OH)(2)D-3 on alkaline phosphatase but it did not alter the stimulatory effect of 24R,25(OH)(2)D-3 on [S-35]sulfate incorporation. In cultures treated for 48, 72, or 140 h with TP508, 1alpha,25(OH)(2)D-3 restored alkaline phosphatase activity to control levels but did not stimulate activity over levels observed in untreated control cultures. The stimulatory effect of TP508 on [S-35]sulfate incorporation was evident up to 48 h post-confluence but at later time points, proteoglycan production was comparable to that seen in control cultures, control cultures challenged with 1alpha,25(OH)(2)D-3, and cultures treated with TP508 followed by 1alpha,25(OH)(2)D-3 TP508-SP had no effect on any of the parameters tested. These results indicate that TP508 exerts maturation specific effects on chondrocytes in the endochondral lineage, promoting cartilage extracellular matrix synthesis over endochondral differentiation in resting zone cells and proliferation over differentiation of growth zone cells. (C) 2004 Wiley-Liss, Inc.</t>
  </si>
  <si>
    <t>Georgia Tech &amp; Emory Univ, Georgia Inst Technol, Wallace H Coulter Dept Biomed Engn, Atlanta, GA 30332 USA; Univ Texas, Hlth Sci Ctr, Dept Periodont, San Antonio, TX 78284 USA; Hebrew Univ Jerusalem Hadassah Hosp &amp; Med Sch, Dept Periodont, Jerusalem, Israel; Univ Texas, Med Branch, Dept Human Biol Chem &amp; Genet, Galveston, TX 77550 USA; Chrysalis Biotechnol Inc, Galveston, TX USA; OrthoLog Corp, Tempe, AZ USA</t>
  </si>
  <si>
    <t>University System of Georgia; Georgia Institute of Technology; University of Texas System; University of Texas Health San Antonio; Hebrew University of Jerusalem; Hadassah University Medical Center; University of Texas System; University of Texas Medical Branch Galveston</t>
  </si>
  <si>
    <t>Boyan, BD (corresponding author), Georgia Tech &amp; Emory Univ, Georgia Inst Technol, Wallace H Coulter Dept Biomed Engn, 315 Ferst Dr,NW, Atlanta, GA 30332 USA.</t>
  </si>
  <si>
    <t>Barbara.Boyan@bme.gatech.edu</t>
  </si>
  <si>
    <t>10.1002/jcp.20145</t>
  </si>
  <si>
    <t>WOS:000226089400003</t>
  </si>
  <si>
    <t>Zhao, ZX; Li, CH; Zhou, LL; Zhao, DY; Weng, YH; Xia, XH; Huang, YY</t>
  </si>
  <si>
    <t>Zhao Zi-Xuan; Li Chun-Hui; Zhou Li-Li; Zhao De-Yao; Weng Yu-Hua; Xia Xin-Hua; Huang Yuan-Yu</t>
  </si>
  <si>
    <t>Delivery and Application Progresses of CRISPR/Cas Gene Editing System</t>
  </si>
  <si>
    <t>CRISPR/Cas; gene editing; drug delivery; gene therapy; gene detection</t>
  </si>
  <si>
    <t>NUCLEIC-ACID DETECTION; RNA; CRISPR-CAS9; PLATFORM; IDENTIFICATION; EXOSOMES; MUTATION; MONKEY</t>
  </si>
  <si>
    <t>CRISPR/Cas-based gene editing system is one of the newly-developed and promising biotechnologies. It shows broad application prospects for gene editing, DNA and RNA imaging, regulation of gene transcription, gene detection and disease diagnosis, establishing animal disease models, and improving crop, etc. In this review, we overviewed the background and development history of CRISPR / Cas systems, discussed recently investigated delivery methods including various nanocarriers, summarize the preclinical and clinical advances of CRISPR/Cas-based therapeutics, and introduced other application areas besides gene editing. Finally, we made an outlook on the challenges we need pay attention to, and the future application prospects of CRISPR/Cas technologies.</t>
  </si>
  <si>
    <t>[Zhao Zi-Xuan; Li Chun-Hui; Zhao De-Yao; Weng Yu-Hua; Huang Yuan-Yu] Beijing Inst Technol, Inst Engn Med, Key Lab Mol Med &amp; Biotherapy, Sch Life Sci,Adv Res Inst Multidisciplinary Sci, Beijing 100081, Peoples R China; [Zhou Li-Li; Xia Xin-Hua; Huang Yuan-Yu] Hunan Univ Chinese Med, Sch Pharm, Changsha 410208, Peoples R China; [Zhao De-Yao] Zhengzhou Univ, Dept Radiat Oncol, Affiliated Hosp 1, Zhengzhou 450000, Peoples R China</t>
  </si>
  <si>
    <t>Beijing Institute of Technology; Hunan University of Chinese Medicine; Zhengzhou University</t>
  </si>
  <si>
    <t>Huang, YY (corresponding author), Beijing Inst Technol, Inst Engn Med, Key Lab Mol Med &amp; Biotherapy, Sch Life Sci,Adv Res Inst Multidisciplinary Sci, Beijing 100081, Peoples R China.;Huang, YY (corresponding author), Hunan Univ Chinese Med, Sch Pharm, Changsha 410208, Peoples R China.</t>
  </si>
  <si>
    <t>yyhuang@bit.edu.cn</t>
  </si>
  <si>
    <t>Zhao, D./AAG-3691-2021</t>
  </si>
  <si>
    <t>10.16476/j.pibb.2019.0281</t>
  </si>
  <si>
    <t>WOS:000550849400002</t>
  </si>
  <si>
    <t>Schiller, M; Bekeredjian-Ding, I; Heyder, P; Blank, N; Ho, AD; Lorenz, HM</t>
  </si>
  <si>
    <t>Schiller, M.; Bekeredjian-Ding, I.; Heyder, P.; Blank, N.; Ho, A. D.; Lorenz, H-M</t>
  </si>
  <si>
    <t>Autoantigens are translocated into small apoptotic bodies during early stages of apoptosis</t>
  </si>
  <si>
    <t>apoptosis; apoptotic bodies; autoantigens; histones</t>
  </si>
  <si>
    <t>SYSTEMIC-LUPUS-ERYTHEMATOSUS; ACTIVATED HUMAN-LYMPHOCYTES; CELL-DERIVED EXOSOMES; DENDRITIC CELLS; PHAGOCYTOSIS; AUTOIMMUNITY; EXPRESSION; CLEARANCE; SLE; MICROPARTICLES</t>
  </si>
  <si>
    <t>A dysregulation of apoptosis or an ineffective clearance of apoptotic material is suspected to be involved in the pathogenesis of systemic lupus erythematodes. Subcellular fragments such as apoptotic bodies (ABs) have been recognized as modulators of intercellular communication and immune function. In this context, we have been interested whether nuclear and cytoplasmic antigens are relocated into ABs. In the present study, we characterized ABs isolated from apoptozing lymphoblasts. We found an accumulation of the linker-histone (histone 1) as well as the core-histones (histone 2A, histone 2B, histone 3, histone 4) in ABs. Further, they contained DNA, RNA and the ribonuclear protein La/SSB. Proteins such as cytochrome c, HSP 70, prohibitin, p53, nuclear matrix antigen or lamin B were excluded from ABs. The content of ABs differed from that observed in membrane microparticles isolated from viable cells. Formation of ABs occurred early during apoptosis. It was observed before DNA-degradation or phosphatidylserine exposure was detected. ABs were engulfed by monocyte-derived phagocytes. These findings suggest that immunogenic molecules are actively translocated into ABs followed by a rapid engulfment of the latter by environmental phagocytes. In autoimmune diseases, a defect in the clearance of ABs or AB formation may contribute to the development of autoimmunity.</t>
  </si>
  <si>
    <t>[Schiller, M.; Heyder, P.; Blank, N.; Ho, A. D.; Lorenz, H-M] Univ Heidelberg, Dept Med 5, D-69120 Heidelberg, Germany; [Bekeredjian-Ding, I.] Univ Heidelberg, Dept Med Microbiol &amp; Hyg, D-69120 Heidelberg, Germany</t>
  </si>
  <si>
    <t>Schiller, M (corresponding author), Univ Heidelberg, Dept Med 5, Neuenheimer Feld 410, D-69120 Heidelberg, Germany.</t>
  </si>
  <si>
    <t>Martin.Schiller@med.uni-heidelberg.de</t>
  </si>
  <si>
    <t>Serei, Virian D/B-4616-2015; Bekeredjian-Ding, Isabelle/I-6197-2013</t>
  </si>
  <si>
    <t>Bekeredjian-Ding, Isabelle/0000-0001-6646-5888</t>
  </si>
  <si>
    <t>10.1038/sj.cdd.4402239</t>
  </si>
  <si>
    <t>WOS:000251820900021</t>
  </si>
  <si>
    <t>Wang, JJ; Yao, YL; Wu, JH; Deng, ZY; Gu, T; Tang, X; Cheng, Y; Li, GX</t>
  </si>
  <si>
    <t>Wang, Jianjun; Yao, Yongliang; Wu, Jianhong; Deng, Zhiyong; Gu, Tao; Tang, Xin; Cheng, Yang; Li, Guangxin</t>
  </si>
  <si>
    <t>The mechanism of cytoskeleton protein beta-actin and cofilin-1 of macrophages infected by Mycobacterium avium</t>
  </si>
  <si>
    <t>Macrophage; M. avium; beta-actin; cofilin-1</t>
  </si>
  <si>
    <t>TUBERCULOSIS; EXOSOMES; GROWTH; ACTIVATION; EXPRESSION; MYCOPLASMA; PHAGOSOMES</t>
  </si>
  <si>
    <t>Cytoskeleton proteins and their regulation proteins could be influenced seriously in Mycobacterium tuberculosis infection host cells leading to the apoptosis of host cells. Macrophages infected by Mycobacterium avium were detected from cell morphology and genome levels to analyze changes of the cytoskeleton of M. avium infection macrophages. Then the expression of beta-actin, cofilin-1 proteins in M. avium infected macrophages were analyzed by western blotting, and the apoptosis of M. avium infection macrophages were tested by flow cytometry. Results indicated that the morphology and genomic DNA of M. avium infection macrophages were not damaged significantly. Meanwhile, beta-actin gene and its proteins in M. avium infection macrophages were both decreased, but its regulatory protein cofilin-1 was expressed conversely. Furthermore, macrophages could be induced to apoptosis due to M. avium infection by cytoskeleton changes. These findings contributed us to understand that macrophages infected by M. avium could be lead to apoptosis by regulating cytoskeleton protein beta-actin or its regulatory protein cofilin-1.</t>
  </si>
  <si>
    <t>[Wang, Jianjun; Yao, Yongliang; Wu, Jianhong; Deng, Zhiyong; Gu, Tao; Tang, Xin; Cheng, Yang] Jiangsu Univ, Kunshan Peoples Hosp 1, Dept Clin Lab, Kunshan 215300, Peoples R China; [Li, Guangxin] Chong Qing Canc Inst, Dept Pathol, Chongqing 400030, Peoples R China</t>
  </si>
  <si>
    <t>Jiangsu University</t>
  </si>
  <si>
    <t>Li, GX (corresponding author), Chong Qing Canc Inst, Dept Pathol, Chongqing 400030, Peoples R China.</t>
  </si>
  <si>
    <t>lgxin34147@126.com</t>
  </si>
  <si>
    <t>WOS:000373944000068</t>
  </si>
  <si>
    <t>Wilson-Robles, H; Miller, T; Jarvis, J; Terrell, J; Dewsbury, N; Kelly, T; Herzog, M; Bygott, T; Hardat, N; Michel, G</t>
  </si>
  <si>
    <t>Wilson-Robles, Heather; Miller, Tasha; Jarvis, Jill; Terrell, Jason; Dewsbury, Nathan; Kelly, Terry; Herzog, Marielle; Bygott, Thomas; Hardat, Nathalie; Michel, Gaetan</t>
  </si>
  <si>
    <t>Evaluation of nucleosome concentrations in healthy dogs and dogs with cancer</t>
  </si>
  <si>
    <t>CELL-FREE DNA; CORE PARTICLE; PLASMA; OSTEOSARCOMA; EXOSOMES; EDTA; H3.1</t>
  </si>
  <si>
    <t>Introduction Nucleosomes consist of small fragments of DNA wrapped around a histone octamer core. Diseases such as cancer or inflammation lead to cell death, which causes fragmentation and release of nucleosomes into the blood. The Nu.Q((TM))technology measures circulating nucleosome levels and exploits the different compositions of cancer derived nucleosomes in blood to detect and identify cancer even at early stages. The objectives of this study are to identify the optimal sample type for the Nu.Q((TM))H3.1 assay and to determine if it can accurately detect nucleosomes in the blood of healthy canines as well as those with cancer. Materials and methods Blood samples from healthy canine volunteers as well as dogs newly diagnosed with lymphoma were used. The blood was processed at a variety of times under a variety of conditions to determine the most reliable sample type and conditions, and to develop an appropriate processing strategy to ensure reliably accurate results. Results Nucleosomes could be detected using a variety of sample collection and processing protocols. Nucleosome signals were highest in EDTA plasma and serum samples and most consistent in plasma. Samples should be processed within an hour of collection. Experiments showed that samples were able to withstand several freeze thaw cycles. Processing time and tcollection tube type did affect nucleosome detection levels. Finally, significantly elevated concentrations of nucleosomes were seen in a small cohort of dogs that had been newly diagnosed with lymphoma. Conclusions When samples are collected and processed appropriately, the Nu.Q((TM))platform can reliably detect nucleosomes in the plasma of dogs. Further testing is underway to validate and optimize the Nu.Q((TM))platform for veterinary use.</t>
  </si>
  <si>
    <t>[Wilson-Robles, Heather; Miller, Tasha; Jarvis, Jill] Texas A&amp;M Univ, Coll Vet Med, Small Anim Clin Sci Dept, College Stn, TX 77843 USA; [Terrell, Jason; Dewsbury, Nathan; Kelly, Terry] Volit Amer &amp; Volit Vet Diagnost Dev, Austin, TX USA; [Herzog, Marielle; Bygott, Thomas; Hardat, Nathalie; Michel, Gaetan] Belgian Volit SPRL, Isnes, Belgium</t>
  </si>
  <si>
    <t>Texas A&amp;M University System; Texas A&amp;M University College Station</t>
  </si>
  <si>
    <t>Wilson-Robles, H (corresponding author), Texas A&amp;M Univ, Coll Vet Med, Small Anim Clin Sci Dept, College Stn, TX 77843 USA.</t>
  </si>
  <si>
    <t>hwilson@cvm.tamu.edu</t>
  </si>
  <si>
    <t>Wilson-Robles, Heather/D-4209-2016</t>
  </si>
  <si>
    <t>Wilson-Robles, Heather/0000-0002-6489-8468</t>
  </si>
  <si>
    <t>e0236228</t>
  </si>
  <si>
    <t>10.1371/journal.pone.0236228</t>
  </si>
  <si>
    <t>WOS:000567946300023</t>
  </si>
  <si>
    <t>Ligon, B; Yang, J; Morin, SB; Ruberti, MF; Steer, ML</t>
  </si>
  <si>
    <t>Ligon, B.; Yang, J.; Morin, S. B.; Ruberti, M. F.; Steer, M. L.</t>
  </si>
  <si>
    <t>Regulation of pancreatic islet cell survival and replication by gamma-aminobutyric acid</t>
  </si>
  <si>
    <t>DIABETOLOGIA</t>
  </si>
  <si>
    <t>apoptosis; beta cells; GABA; GABA B receptor; insulin secretion; islet mass; islet survival; pancreatic islets; proliferation</t>
  </si>
  <si>
    <t>SYNAPTIC-LIKE MICROVESICLES; BETA-CELLS; GLUTAMATE-DECARBOXYLASE; METABOTROPIC GLUTAMATE; GLUCOSE-INHIBITION; GLUCAGON-SECRETION; GABA(B) RECEPTORS; GROWTH; RELEASE; MASS</t>
  </si>
  <si>
    <t>Pancreatic islets have evolved remarkable, though poorly understood mechanisms to modify beta cell mass when nutrient intake fluctuates or cells are damaged. We hypothesised that appropriate and timely adjustments in cell number occur because beta cells release proliferative signals to surrounding cells when stimulated by nutrients and 'bleed' these growth factors upon injury. In rat pancreatic islets, we measured DNA content, insulin content, insulin secretion after treatment, immunoblots of apoptotic proteins and the uptake of nucleoside analogues to assess the ability of gamma-aminobutyric acid (GABA), which is highly concentrated in beta cells, to act as a growth and survival factor. This focus is supported by work from others demonstrating that GABA increases cell proliferation in the developing nervous system, acts as a survival factor for differentiated neurons and, interestingly, protects plants under stress. Our results show that DNA, insulin content and insulin secretion are higher in freshly isolated islets treated with GABA or GABA B receptor agonists. Exposure to GABA upregulated the anti-apoptotic protein B-cell chronic lymphocytic leukaemia XL and limited activation of caspase 3 in islets. The cellular proliferation rate in GABA-treated islets was twice that of untreated controls. We conclude that GABA serves diverse purposes in the islet, meeting a number of functional criteria to act as an endogenous co-regulator of beta cell mass.</t>
  </si>
  <si>
    <t>Mitokine Biosci, Hancock, ME 04640 USA; Tufts Univ, Sch Med, Dept Neurosci, Boston, MA 02111 USA; Tufts Univ, Sch Med, Dept Neurol, Boston, MA 02111 USA; Tufts Univ New England Med Ctr, Mol Cardiol Res Inst, Boston, MA 02111 USA; Tufts Univ New England Med Ctr, Dept Surg, Boston, MA USA</t>
  </si>
  <si>
    <t>Tufts University; Tufts University; Tufts Medical Center; Tufts Medical Center</t>
  </si>
  <si>
    <t>Ligon, B (corresponding author), Mitokine Biosci, POB 275, Hancock, ME 04640 USA.</t>
  </si>
  <si>
    <t>b.ligon@mitokine.com</t>
  </si>
  <si>
    <t>0012-186X</t>
  </si>
  <si>
    <t>1432-0428</t>
  </si>
  <si>
    <t>10.1007/s00125-007-0601-8</t>
  </si>
  <si>
    <t>WOS:000244687700010</t>
  </si>
  <si>
    <t>Singh, VV; Kerur, N; Bottero, V; Dutta, S; Chakraborty, S; Ansari, MA; Paudel, N; Chikoti, L; Chandran, B</t>
  </si>
  <si>
    <t>Singh, Vivek Vikram; Kerur, Nagaraj; Bottero, Virginie; Dutta, Sujoy; Chakraborty, Sayan; Ansari, Mairaj Ahmed; Paudel, Nitika; Chikoti, Leela; Chandran, Bala</t>
  </si>
  <si>
    <t>Kaposi's Sarcoma-Associated Herpesvirus Latency in Endothelial and B Cells Activates Gamma Interferon-Inducible Protein 16-Mediated Inflammasomes</t>
  </si>
  <si>
    <t>INNATE IMMUNE SENSOR; DNA-DAMAGE RESPONSE; NF-KAPPA-B; TARGET-CELLS; IN-VITRO; INFECTION; IFI16; GENE; EXPRESSION; CYTOKINES</t>
  </si>
  <si>
    <t>Kaposi's sarcoma-associated herpesvirus (KSHV) infections of endothelial and B cells are etiologically linked with Kaposi's sarcoma (KS) and primary effusion B-cell lymphoma (PEL), respectively. KS endothelial and PEL B cells carry multiple copies of the nuclear episomal latent KSHV genome and secrete a variety of inflammatory cytokines, including interleukin-1 beta (IL-1 beta) and IL-18. The maturation of IL-1 beta and IL-18 depends upon active caspase-1, which is regulated by a multiprotein inflammasome complex induced by sensing of danger signals. During primary KSHV infection of endothelial cells, acting as a nuclear pattern recognition receptor, gamma interferon-inducible protein 16 (IFI16) colocalized with the KSHV genome in the nuclei and interacted with ASC and procaspase-1 to form a functional inflammasome (Kerur N et al., Cell Host Microbe 9:363-375, 2011). Here, we demonstrate that endothelial telomerase-immortalized human umbilical cells (TIVE) supporting KSHV stable latency (TIVE-LTC cells) and PEL (cavity-based B-cell lymphoma 1 [BCBL-1]) cells show evidence of inflammasome activation, such as the activation of caspase-1 and cleavage of pro-IL-1 beta and pro-IL-18. Interaction of ASC with IFI16 but not with AIM2 or NOD-like receptor P3 (NLRP3) was detected. The KSHV latency-associated viral FLIP (vFLIP) gene induced the expression of IL-1 beta, IL-18, and caspase-1 mRNAs in an NF-kappa B-dependent manner. IFI16 and cleaved IL-1 beta were detected in the exosomes released from BCBL-1 cells. Exosomal release could be a KSHV-mediated strategy to subvert IL-1 beta functions. In fluorescent in situ hybridization analyses, IFI16 colocalized with multiple copies of the KSHV genome in BCBL-1 cells. IFI16 colocalization with ASC was also detected in lung PEL sections from patients. Taken together, these findings demonstrated the constant sensing of the latent KSHV genome by IFI16-mediated innate defense and unraveled a potential mechanism of inflammation induction associated with KS and PEL lesions.</t>
  </si>
  <si>
    <t>[Singh, Vivek Vikram; Kerur, Nagaraj; Bottero, Virginie; Dutta, Sujoy; Chakraborty, Sayan; Ansari, Mairaj Ahmed; Paudel, Nitika; Chikoti, Leela; Chandran, Bala] Rosalind Franklin Univ Med &amp; Sci, HM Bligh Canc Res Labs, Dept Microbiol &amp; Immunol, Chicago Med Sch, N Chicago, IL USA</t>
  </si>
  <si>
    <t>Chakraborty, Sayan/AAC-5622-2019</t>
  </si>
  <si>
    <t>Chakraborty, Sayan/0000-0002-5591-8164; ANSARI, MAIRAJ/0000-0003-0040-4147</t>
  </si>
  <si>
    <t>10.1128/JVI.03282-12</t>
  </si>
  <si>
    <t>WOS:000316671000027</t>
  </si>
  <si>
    <t>OTOGOTO, JI; KURAMITSU, HK</t>
  </si>
  <si>
    <t>ISOLATION AND CHARACTERIZATION OF THE PORPHYROMONAS-GINGIVALIS PRTT GENE, CODING FOR PROTEASE ACTIVITY</t>
  </si>
  <si>
    <t>BLACK-PIGMENTED BACTEROIDES; TRYPSIN-LIKE PROTEASE; EXTRACELLULAR MEMBRANE-VESICLES; SODIUM DODECYL-SULFATE; PURIFICATION; DEGRADATION; IMMUNOGLOBULINS; PROTEINASE; CLEAVAGE; ENZYME</t>
  </si>
  <si>
    <t>The prtT gene, coding for trypsinlike proteolytic activity, has been isolated from Porphyromonas gingivalis ATCC 53977. This gene is present immediately downstream from the sod gene on a 5.9-kb DNA fragment from the organism isolated in Escherichia coli. The complete nucleotide sequence of the gene was determined, and the deduced amino acid sequence of the enzyme corresponds to a 53.9-kDa protein with an estimated pl of 11.85. Gelatin-sodium dodecyl sulfate-polyacrylamide gel electrophoresis zymography also indicated a similar molecular size for the protease. The enzyme was purified to near homogeneity following anion-exchange and gel-filtration chromatography. The purified enzyme also exhibited a single protein species with a size of approximately 53 kDa. Enzyme activity was strongly dependent upon the presence of reducing agents (dithiothreitol, cysteine, and 2-mercaptoethanol) and was also stimulated in the presence of calcium ions. A comparison of the properties of the prtT gene product with comparable parameters of proteases previously purified from different strains of P. gingivalis suggested that the cloned protease represents a previously uncharacterized enzyme.</t>
  </si>
  <si>
    <t>UNIV TEXAS,HLTH SCI CTR,DEPT PEDIAT DENT,SAN ANTONIO,TX 78284</t>
  </si>
  <si>
    <t>University of Texas System; University of Texas Health San Antonio</t>
  </si>
  <si>
    <t>10.1128/IAI.61.1.117-123.1993</t>
  </si>
  <si>
    <t>WOS:A1993KF63600016</t>
  </si>
  <si>
    <t>Zhou, MH; Mao, YH; Yu, SL; Li, YP; Yin, R; Zhang, Q; Lu, TY; Sun, R; Lin, SF; Qian, YY; Xu, Y; Fan, H</t>
  </si>
  <si>
    <t>Zhou, Menghan; Mao, Yuhang; Yu, Shenling; Li, Yiping; Yin, Rong; Zhang, Qin; Lu, Tianyu; Sun, Rui; Lin, Shaofeng; Qian, Yanyan; Xu, Ying; Fan, Hong</t>
  </si>
  <si>
    <t>LINC00673 Represses CDKN2C and Promotes the Proliferation of Esophageal Squamous Cell Carcinoma Cells by EZH2-Mediated H3K27 Trimethylation</t>
  </si>
  <si>
    <t>ESCC; LINC00673; CDKN2C; cell cycle</t>
  </si>
  <si>
    <t>LONG NONCODING RNAS; EXTRACELLULAR VESICLES; TUMOR MICROENVIRONMENT; EZH2; OVEREXPRESSION; METHYLATIONS; EXPRESSION; GENES; DNMT1</t>
  </si>
  <si>
    <t>Long non-coding RNAs (lncRNAs), some of the most abundant epigenetic regulators, play an important role in esophageal squamous cell carcinoma (ESCC). In the current study, the functions and mechanisms of the lncRNA LINC00673 were investigated. The expression levels of LINC00673 and its potential target genes were assessed by quantitative real-time polymerase chain reaction (qPCR) in ESCC surgical specimens and ESCC cell lines. RNA fluorescencein situhybridization (RNA FISH) was employed to detect the subcellular location and the levels of LINC00673 in ESCC samples from patients with different survival times. LINC00673 function in ESCC carcinogenesis was also evaluatedin vivoandin vitro. Cell cycle synchronization was performed using serum withdrawal; the cell cycle was monitored by fluorescence analysis and cellular DNA was detected by flow cytometry. The molecular mechanisms underlying LINC00673 were exploredviaWestern blotting, chromatin immunoprecipitation (ChIP), and ChIP-PCR. Up-regulated LINC00673 was associated with poor prognosis in ESCC patients and promoted the proliferation of ESCC cells bothin vitroandin vivo. Compared to the control group, depletion of LINC00673 in ESCC cells arrested the cell cycle, at least, at the G1/S checkpoint. Knockdown of LINC00673 significantly enhanced posttranscriptional expression of CDKN2C, and histone 3 lysine 27 trimethylation (H3K27me3) was enriched at the promoter region ofCDKN2C. After inhibiting EZH2, the CDKN2C expression levels were increased. The present findings are the first to reveal that LINC00673 represses CDKN2C expression and promotes ESCC cell proliferation by elevating EZH2-mediated H3K27me3 levels. These data suggest that LINC00673 regulates the cell cycle in ESCC and that it is a promising target for clinical therapy.</t>
  </si>
  <si>
    <t>[Zhou, Menghan; Lu, Tianyu; Sun, Rui; Qian, Yanyan; Fan, Hong] Southeast Univ, Dept Med Genet &amp; Dev Biol, Key Lab Dev Genes &amp; Human Dis, Minist Educ,Med Sch, Nanjing, Peoples R China; [Zhou, Menghan; Mao, Yuhang; Yu, Shenling; Xu, Ying] Southeast Univ, Sch Life Sci &amp; Technol, Nanjing, Peoples R China; [Li, Yiping] Southeast Univ, Med Sch, Dept Pathol &amp; Pathophysiol, Nanjing, Peoples R China; [Yin, Rong; Zhang, Qin] Nanjing Med Univ, Jiangsu Key Lab Mol &amp; Translat Canc Res, Jiangsu Inst Canc Res,Dept Thorac Surg, Jiangsu Canc Hosp,Affiliated Canc Hosp, Nanjing, Peoples R China; [Lin, Shaofeng] Fujian Canc Hosp, Dept Pathol, Fuzhou, Peoples R China; [Lin, Shaofeng] Fujian Med Univ Canc Hosp, Fuzhou, Peoples R China</t>
  </si>
  <si>
    <t>Southeast University - China; Southeast University - China; Southeast University - China; Nanjing Medical University</t>
  </si>
  <si>
    <t>Fan, H (corresponding author), Southeast Univ, Dept Med Genet &amp; Dev Biol, Key Lab Dev Genes &amp; Human Dis, Minist Educ,Med Sch, Nanjing, Peoples R China.</t>
  </si>
  <si>
    <t>fanh@seu.edu.cn</t>
  </si>
  <si>
    <t>10.3389/fonc.2020.01546</t>
  </si>
  <si>
    <t>WOS:000567867200001</t>
  </si>
  <si>
    <t>Ishida, Y; Zhao, DW; Ohkuchi, A; Kuwata, T; Yoshitake, H; Yuge, K; Takizawa, T; Matsubara, S; Suzuki, M; Saito, S; Takizawa, T</t>
  </si>
  <si>
    <t>Ishida, Yoichi; Zhao, Dongwei; Ohkuchi, Akihide; Kuwata, Tomoyuki; Yoshitake, Hiroshi; Yuge, Kazuya; Takizawa, Takami; Matsubara, Shigeki; Suzuki, Mitsuaki; Saito, Shigeru; Takizawa, Toshihiro</t>
  </si>
  <si>
    <t>Maternal peripheral blood natural killer cells incorporate placenta-associated microRNAs during pregnancy</t>
  </si>
  <si>
    <t>microRNA; chromosome 19 microRNA cluster; mRNA; maternal peripheral blood; natural killer cell; human placenta</t>
  </si>
  <si>
    <t>NK CELLS; T-CELLS; IDENTIFICATION; ENVIRONMENT; ACTIVATION; REGULATORS; SIGNATURES; EVOLUTION; RESPONSES; EXOSOMES</t>
  </si>
  <si>
    <t>Although recent studies have demonstrated that microRNAs (miRNAs or miRs) regulate fundamental natural killer (NK) cellular processes, including cytotoxicity and cytokine production, little is known about the miRNA-gene regulatory relationships in maternal peripheral blood NK (pNK) cells during pregnancy. In the present study, to determine the roles of miRNAs within gene regulatory networks of maternal pNK cells, we performed comprehensive miRNA and gene expression profiling of maternal pNK cells using a combination of reverse transcription quantitative PCR (RT-qPCR)-based miRNA array and DNA microarray analyses and analyzed the differential expression levels between first-and third-trimester pNK cells. Furthermore, we constructed regulatory networks for miRNA-mediated gene expression in pNK cells during pregnancy by Ingenuity Pathway Analysis (IPA). PCR-based array analysis revealed that the placenta-derived miRNAs [chromosome 19 miRNA cluster (C19MC) miRNAs] were detected in pNK cells during pregnancy. Twenty-five miRNAs, including six C19MC miRNAs, were significantly upregulated in the third-compared to first-trimester pNK cells. The rapid clearance of C19MC miRNAs also occurred in the pNK cells following delivery. Nine miRNAs, including eight C19MC miRNAs, were significantly downregulated in the post-delivery pNK cells compared to those of the third-trimester. DNA microarray analysis identified 69 NK cell function-related genes that were differentially expressed between the first-and third-trimester pNK cells. On pathway and network analysis, the observed gene expression changes of pNK cells likely contribute to the increase in the cytotoxicity, as well as the cell cycle progression of third-compared to first-trimester pNK cells. Thirteen of the 69 NK cell function-related genes were significantly downregulated between the first-and third-trimester pNK cells. Nine of the 13 downregulated NK-function-associated genes were in silico target candidates of 12 upregulated miRNAs, including C19MC miRNA miR-512-3p. The results of this study suggest that the transfer of placental C19MC miRNAs into maternal pNK cells occurs during pregnancy. The present study provides new insight into maternal NK cell functions.</t>
  </si>
  <si>
    <t>[Ishida, Yoichi; Ohkuchi, Akihide; Kuwata, Tomoyuki; Matsubara, Shigeki; Suzuki, Mitsuaki] Jichi Med Univ, Dept Obstet &amp; Gynecol, Shimotsuke, Tochigi 3290498, Japan; [Ishida, Yoichi; Zhao, Dongwei; Yoshitake, Hiroshi; Yuge, Kazuya; Takizawa, Takami; Takizawa, Toshihiro] Nippon Med Sch, Grad Sch Med, Dept Mol Med &amp; Anat, Tokyo 1138602, Japan; [Saito, Shigeru] Toyama Univ, Fac Med, Dept Obstet &amp; Gynecol, Toyama 9300194, Japan</t>
  </si>
  <si>
    <t>Jichi Medical University; Nippon Medical School; University of Toyama</t>
  </si>
  <si>
    <t>Takizawa, T (corresponding author), Nippon Med Sch, Grad Sch Med, Dept Mol Med &amp; Anat, 1-1-5 Sendagi, Tokyo 1138602, Japan.</t>
  </si>
  <si>
    <t>t-takizawa@nms.ac.jp</t>
  </si>
  <si>
    <t>Matsubara, Shigeki/I-5821-2012</t>
  </si>
  <si>
    <t>Matsubara, Shigeki/0000-0003-4378-221X</t>
  </si>
  <si>
    <t>10.3892/ijmm.2015.2157</t>
  </si>
  <si>
    <t>WOS:000354081100004</t>
  </si>
  <si>
    <t>Kim, WH; Lee, JU; Jeon, MJ; Park, KH; Sim, SJ</t>
  </si>
  <si>
    <t>Kim, Woo Hyun; Lee, Jong Uk; Jeon, Myeong Jin; Park, Kyong Hwa; Sim, Sang Jun</t>
  </si>
  <si>
    <t>Three-dimensional hierarchical plasmonic nano-architecture based label-free surface-enhanced Raman spectroscopy detection of urinary exosomal miRNA for clinical diagnosis of prostate cancer</t>
  </si>
  <si>
    <t>Surface-enhanced Raman scattering (SERS); Exosomal miRNA; Label-free detection; Prostate cancer; Urine; Clinical diagnosis; 3D hierarchical nanostructure</t>
  </si>
  <si>
    <t>TUMOR-DERIVED EXOSOMES; CIRCULATING MIRNAS; MICRORNA DETECTION; BIOMARKERS; SERS; RNA; DNA; SENSITIVITY; BIOSENSOR; CAPTURE</t>
  </si>
  <si>
    <t>The urinary exosomal miRNAs are recently emerging prostate cancer (PC)-associated biomarkers for the early-stage diagnosis and prognosis due to their non-invasiveness, inherent stability and the representation of the status of the originated cells. However, developing a urinary exosomal miRNA detection method with high accuracy is challenging because of the low abundance and high sequence homology of miRNAs. Herein, we present a quantitative and label-free miRNA sensing platform using surface-enhanced Raman scattering (SERS) based on three-dimensional (3D) hierarchical plasmonic nano-architecture to detect urinary exosomal miRNAs. This hierarchical nanostructure is constructed by self-assembly between target-complementary DNA probes-conjugated gold nanoparticles and head-flocked gold nanopillars in the presence of the target miRNAs, creating numerous 3D plasmonic hot-spots inducing exceedingly high amplification of SERS signals. This 3D SERS biosensor achieved similar to 10 aM detection limits for the target miRNAs (miR-10a and miR-21), which is over 1000-fold more sensitive than previously reported miRNA sensors without the requirement of any labelling or pre-treatment steps. Finally, the clinical validation using urinary samples revealed that our 3D SERS sensor discriminates PC patients from healthy control with high diagnostic accuracy (0.93) based on the differential expression level of urinary exosomal miRNAs. These outputs demonstrate that our SERS sensor based on 3D hierarchical nano-architecture can offer facile, accurate and rapid methods to measure miRNA expression and is helpful for the diagnosis of various diseases.</t>
  </si>
  <si>
    <t>[Kim, Woo Hyun; Lee, Jong Uk; Jeon, Myeong Jin; Sim, Sang Jun] Korea Univ, Dept Chem &amp; Biol Engn, 145 Anam Ro, Seoul 02841, South Korea; [Lee, Jong Uk] Sunchon Natl Univ, Dept Chem Engn, 225 Jungang Ro, Sunchon, Jeollanam Do, South Korea; [Park, Kyong Hwa] Korea Univ, Coll Med, Dept Internal Med, Div Oncol Hematol, Seoul 02841, South Korea</t>
  </si>
  <si>
    <t>Korea University; Sunchon National University; Korea University; Korea University Medicine (KU Medicine)</t>
  </si>
  <si>
    <t>Sim, SJ (corresponding author), Korea Univ, Dept Chem &amp; Biol Engn, 145 Anam Ro, Seoul 02841, South Korea.</t>
  </si>
  <si>
    <t>10.1016/j.bios.2022.114116</t>
  </si>
  <si>
    <t>WOS:000820291000007</t>
  </si>
  <si>
    <t>Zhao, Q; Wang, YJ; Sun, BY; Wang, DQ; Li, G</t>
  </si>
  <si>
    <t>Zhao, Qiang; Wang, Yunjiao; Sun, Bangyong; Wang, Deqiang; Li, Gang</t>
  </si>
  <si>
    <t>Nanogap Electrode-Enabled Versatile Electrokinetic Manipulation of Nanometric Species in Fluids</t>
  </si>
  <si>
    <t>nanogap electrode; microfluidics; dielectrophoresis; nanomanipulation</t>
  </si>
  <si>
    <t>NANOPARTICLES; SEPARATION; POLY(DIMETHYLSILOXANE); DIELECTROPHORESIS; MICROPARTICLES; EXOSOMES; VIRUSES; DEVICE</t>
  </si>
  <si>
    <t>Noninvasive manipulation of nanoscopic species in liquids has attracted considerable attention due to its potential applications in diverse fields. Many sophisticated methodologies have been developed to control and study nanoscopic entities, but the low-power, cost-effective, and versatile manipulation of nanometer-sized objects in liquids remains challenging. Here, we present a dielectrophoretic (DEP) manipulation technique based on nanogap electrodes, with which the on-demand capturing, enriching, and sorting of nano-objects in microfluidic systems can be achieved. The dielectrophoretic control unit consists of a pair of swelling-induced nanogap electrodes crossing a microchannel, generating a steep electric field gradient and thus strong DEP force for the effective manipulation of nano-objects microfluidics. The trapping, enriching, and sorting of nanoparticles and DNAs were performed with this device to demonstrate its potential applications in micro/nanofluidics, which opens an alternative avenue for the non-invasive manipulation and characterization of nanoparticles such as DNA, proteins, and viruses.</t>
  </si>
  <si>
    <t>[Zhao, Qiang; Sun, Bangyong; Li, Gang] Chongqing Univ, Key Lab Optoelect Technol &amp; Syst, Minist Educ, Def Key Disciplines Lab Novel Micronano Devices &amp;, Chongqing 400044, Peoples R China; [Wang, Yunjiao; Wang, Deqiang] Chongqing Inst Green &amp; Intelligent Technol, Chongqing Key Lab Multiscale Mfg Technol, Chongqing 400714, Peoples R China</t>
  </si>
  <si>
    <t>Chongqing University; Chinese Academy of Sciences; Chongqing Institute of Green &amp; Intelligent Technology, CAS</t>
  </si>
  <si>
    <t>Li, G (corresponding author), Chongqing Univ, Key Lab Optoelect Technol &amp; Syst, Minist Educ, Def Key Disciplines Lab Novel Micronano Devices &amp;, Chongqing 400044, Peoples R China.;Wang, DQ (corresponding author), Chongqing Inst Green &amp; Intelligent Technol, Chongqing Key Lab Multiscale Mfg Technol, Chongqing 400714, Peoples R China.</t>
  </si>
  <si>
    <t>qiangzh@cqu.edu.cn; wangyunjiao@cigit.ac.cn; 20152602015@cqu.edu.cn; dqwang@cigit.ac.cn; gang_li@cqu.edu.cn</t>
  </si>
  <si>
    <t>Li, Gang/F-9143-2015</t>
  </si>
  <si>
    <t>Li, Gang/0000-0001-9805-4354</t>
  </si>
  <si>
    <t>10.3390/bios12070451</t>
  </si>
  <si>
    <t>WOS:000831996100001</t>
  </si>
  <si>
    <t>Zhang, Y; Wang, CM; Zhu, C; Ye, W; Gu, Q; Shu, CB; Feng, XP; Chen, X; Zhang, W; Shan, TL</t>
  </si>
  <si>
    <t>Zhang, Yu; Wang, Chunmei; Zhu, Ce; Ye, Wei; Gu, Qin; Shu, Chenbin; Feng, Xiping; Chen, Xi; Zhang, Wen; Shan, Tongling</t>
  </si>
  <si>
    <t>Redondoviridae infection regulates circRNAome in periodontitis</t>
  </si>
  <si>
    <t>JOURNAL OF MEDICAL VIROLOGY</t>
  </si>
  <si>
    <t>Redondoviridae; periodontitis; circular RNAs</t>
  </si>
  <si>
    <t>CIRCULAR RNA; EXOSOMES; ANGIOGENESIS; MICRORNAS; VEGF; HEALTH</t>
  </si>
  <si>
    <t>Redondoviridae is a recently identified family of DNA viruses associated with periodontitis. Circular RNAs (circRNAs) are novel endogenous, conserved noncoding RNAs contributing to the virus-related immune-inflammatory response. This study aimed to analyze the expression profiles of circRNAs in the gingival tissues of periodontitis patients with and without Redondoviridae-infection and healthy controls using high-throughput RNA sequencing combined with experimental validation. Out of 17 819 circRNAs, 175 were dysregulated. Functional annotation and enrichment analysis of the differential circRNA host genes demonstrated potential alterations in the molecular and cellular components and metabolism in individuals suffering from periodontitis with Redondoviridae infection. Moreover, axon guidance, lysine biosynthesis, and vascular endothelial growth factor signaling pathways were significantly enriched in Redondoviridae-infected gingivitis tissues. Furthermore, the key circRNAs (circCOL1A1, circAASS, circPTK2, circATP2B4, circDOCK1, circTTBK2, and circMCTP2) associated with the pathobiology of Redondoviridae-related periodontitis were identified by constructing circRNA-micro RNA (miRNA)-messenger RNA (mRNA) networks. Bioinformatics analyses demonstrated that abnormally expressed circRNAs might contribute to the etiopathogenesis and development of Redondoviridae-related periodontitis. This study's findings have enhanced the current understanding of the Redondoviridae-related periodontitis mechanism and provide insights into further applications for diagnostic markers and therapeutic uses.</t>
  </si>
  <si>
    <t>[Zhang, Yu; Zhu, Ce; Ye, Wei; Gu, Qin; Shu, Chenbin; Feng, Xiping; Chen, Xi] Shanghai Jiao Tong Univ, Shanghai Peoples Hosp 9, Coll Stomatol, Dept Prevent Dent,Sch Med, 639 Zhizaoju Rd, Shanghai 200011, Peoples R China; [Zhang, Yu; Zhu, Ce; Ye, Wei; Gu, Qin; Shu, Chenbin; Feng, Xiping; Chen, Xi] Natl Clin Res Ctr Oral Dis, Shanghai, Peoples R China; [Zhang, Yu; Zhu, Ce; Ye, Wei; Gu, Qin; Shu, Chenbin; Feng, Xiping; Chen, Xi] Shanghai Key Lab Stomatol, Shanghai, Peoples R China; [Zhang, Yu; Zhu, Ce; Ye, Wei; Gu, Qin; Shu, Chenbin; Feng, Xiping; Chen, Xi] Shanghai Res Inst Stomatol, Shanghai, Peoples R China; [Wang, Chunmei; Shan, Tongling] Chinese Acad Agr Sci, Shanghai Vet Res Inst, 518 Ziyue Rd, Shanghai 200241, Peoples R China; [Zhang, Wen] Jiangsu Univ, Coll Basic Med &amp; Med Technol, Sch Med, Zhenjiang, Jiangsu, Peoples R China</t>
  </si>
  <si>
    <t>Shanghai Jiao Tong University; Chinese Academy of Agricultural Sciences; Shanghai Veterinary Research Institute, CAAS; Jiangsu University</t>
  </si>
  <si>
    <t>Chen, X (corresponding author), Shanghai Jiao Tong Univ, Shanghai Peoples Hosp 9, Coll Stomatol, Dept Prevent Dent,Sch Med, 639 Zhizaoju Rd, Shanghai 200011, Peoples R China.;Shan, TL (corresponding author), Chinese Acad Agr Sci, Shanghai Vet Res Inst, 518 Ziyue Rd, Shanghai 200241, Peoples R China.;Zhang, W (corresponding author), Jiangsu Univ, Sch Med, 3 Yizheng Rd, Zhenjiang 212001, Jiangsu, Peoples R China.</t>
  </si>
  <si>
    <t>chenxi9h@126.com; zhangwen@ujs.edu.cn; shantongling@shvri.ac.cn</t>
  </si>
  <si>
    <t>Shan, Tongling/AFG-8328-2022</t>
  </si>
  <si>
    <t>Shan, Tongling/0000-0002-5329-6349; Chen, Xi/0000-0003-2647-7926; zhang, wen/0000-0002-9352-6153</t>
  </si>
  <si>
    <t>0146-6615</t>
  </si>
  <si>
    <t>1096-9071</t>
  </si>
  <si>
    <t>10.1002/jmv.27624</t>
  </si>
  <si>
    <t>WOS:000750186100001</t>
  </si>
  <si>
    <t>Tojima, T; Itofusa, R; Kamiguchi, H</t>
  </si>
  <si>
    <t>Tojima, Takuro; Itofusa, Rurika; Kamiguchi, Hiroyuki</t>
  </si>
  <si>
    <t>Steering Neuronal Growth Cones by Shifting the Imbalance between Exocytosis and Endocytosis</t>
  </si>
  <si>
    <t>axon guidance; Ca2+; endocytosis; exocytosis; growth cone</t>
  </si>
  <si>
    <t>SYNAPTIC VESICLE ENDOCYTOSIS; CLATHRIN-MEDIATED ENDOCYTOSIS; I PHOSPHATIDYLINOSITOL-4-PHOSPHATE 5-KINASES; CYCLIN-DEPENDENT KINASE-5; NEURITE OUTGROWTH; CELL-MIGRATION; AXON GUIDANCE; NERVE GROWTH; CALCIUM; CDK5</t>
  </si>
  <si>
    <t>Extracellular molecular cues guide migrating growth cones along specific routes during development of axon tracts. Such processes rely on asymmetric elevation of cytosolic Ca2+ concentrations across the growth cone that mediates its attractive or repulsive turning toward or away from the side with Ca2+ elevation, respectively. Downstream of these Ca2+ signals, localized activation of membrane trafficking steers the growth cone bidirectionally, with endocytosis driving repulsion and exocytosis causing attraction. However, it remains unclear how Ca2+ can differentially regulate these opposite membrane-trafficking events. Here, we show that growth cone turning depends on localized imbalance between exocytosis and endocytosis and identify Ca2+-dependent signaling pathways mediating such imbalance. In embryonic chicken dorsal root ganglion neurons, repulsive Ca2+ signals promote clathrin-mediated endocytosis through a 90 kDa splice variant of phosphatidylinositol-4-phosphate 5-kinase type-1 gamma (PIPKI gamma 90). In contrast, attractive Ca2+ signals facilitate exocytosis but suppress endocytosis via Ca2+/calmodulin-dependent protein kinase II (CaMKII) and cyclin-dependent kinase 5 (Cdk5) that can inactivate PIPKI gamma 90. Blocking CaMKII or Cdk5 leads to balanced activation of both exocytosis and endocytosis that causes straight growth cone migration even in the presence of guidance signals, whereas experimentally perturbing the balance restores the growth cone's turning response. Remarkably, the direction of this resumed turning depends on relative activities of exocytosis and endocytosis, but not on the type of guidance signals. Our results suggest that navigating growth cones can be redirected by shifting the imbalance between exocytosis and endocytosis, highlighting the importance of membrane-trafficking imbalance for axon guidance and, possibly, for polarized cell migration in general.</t>
  </si>
  <si>
    <t>[Tojima, Takuro; Itofusa, Rurika; Kamiguchi, Hiroyuki] RIKEN, Brain Sci Inst, Lab Neuronal Growth Mech, Wako, Saitama 3510198, Japan; [Tojima, Takuro] PRESTO, Japan Sci &amp; Technol Agcy, Kawaguchi, Saitama 3320012, Japan</t>
  </si>
  <si>
    <t>RIKEN; Japan Science &amp; Technology Agency (JST)</t>
  </si>
  <si>
    <t>Kamiguchi, H (corresponding author), RIKEN, Brain Sci Inst, Lab Neuronal Growth Mech, 2-1 Hirosawa, Wako, Saitama 3510198, Japan.</t>
  </si>
  <si>
    <t>kamiguchi@brain.riken.jp</t>
  </si>
  <si>
    <t>Kamiguchi, Hiroyuki/N-5409-2015; Tojima, Takuro/C-3667-2017</t>
  </si>
  <si>
    <t>Kamiguchi, Hiroyuki/0000-0003-1802-6324; Tojima, Takuro/0000-0002-9140-3205</t>
  </si>
  <si>
    <t>10.1523/JNEUROSCI.5261-13.2014</t>
  </si>
  <si>
    <t>WOS:000336895200013</t>
  </si>
  <si>
    <t>Abdouh, M; Gao, ZH; Arena, V; Arena, M; Burnier, MN; Arena, GO</t>
  </si>
  <si>
    <t>Abdouh, Mohamed; Gao, Zu-Hua; Arena, Vincenzo; Arena, Manuel; Burnier, Miguel N.; Arena, Goffredo Orazio</t>
  </si>
  <si>
    <t>Oncosuppressor-Mutated Cells as a Liquid Biopsy Test for Cancer-Screening</t>
  </si>
  <si>
    <t>MEMBRANE-VESICLES; TUMOR DNA; EXOSOMES; MICROVESICLES; METASTASIS; BIOGENESIS; ACTIVATION; PLASMA; PTEN</t>
  </si>
  <si>
    <t>We reported on the ability of immortalized or oncosuppressor-mutated cells (OMCs) to uptake circulating cancer-factors and give tumors when transplanted into mice. This led to the first biological based liquid biopsy test, which we called MATER-D platform. In the present study, we showed for the first time that a different type of OMCs (PTEN-deficient human epithelial MCF10A cells) turn malignant when exposed to cancer patient's sera, confirming the concept that different cells with diverse oncosuppressor mutations can uptake cancer factors and be used in biological based liquid biopsy tests. Our observations were confirmed in a large variety of solid and haematological malignancies. This test was able to detect dysplasia and carcinomas in situ lesions in different organs and circulating factors in cancer patients years after the removal of their lesions. To our knowledge, this ability is unique and not shared by other liquid biopsy platforms. Immunohistochemistry analysis of the xenotransplants revealed identical patterns of differentiation regardless of the cancer type, showing that differentiation through horizontal transfer might be dependent on the nature of the target cells rather than the type of cancer factors. These data strengthen the notion that OMC-based liquid biopsy tests might be promising platforms for cancer screening.</t>
  </si>
  <si>
    <t>[Abdouh, Mohamed; Burnier, Miguel N.; Arena, Goffredo Orazio] McGill Univ, Canc Res Program, Hlth Ctr, Res Inst, 1001 Decarie Blvd, Montreal, PQ H4A 3J1, Canada; [Gao, Zu-Hua] McGill Univ, Dept Pathol, Hlth Ctr, Res Inst, 1001 Decarie Blvd, Montreal, PQ H4A 3J1, Canada; [Arena, Vincenzo] Santo Bambino Hosp, Dept Obstet &amp; Gynecol, Via Torre del Vescovo 4, Catania, Italy; [Arena, Manuel] Univ Catania, Dept Surg Sci Organ Transplantat &amp; Adv Technol, Via Santa Sofia 84, Catania, Italy; [Arena, Goffredo Orazio] McGill Univ, St Mary Hosp, Dept Surg, 3830 Lacombe Ave, Montreal, PQ H3T 1M5, Canada</t>
  </si>
  <si>
    <t>McGill University; McGill University; University of Catania; McGill University</t>
  </si>
  <si>
    <t>Abdouh, Mohamed/0000-0003-0702-9335; Arena, Goffredo/0000-0002-5293-2972</t>
  </si>
  <si>
    <t>10.1038/s41598-019-38736-y</t>
  </si>
  <si>
    <t>WOS:000459094800065</t>
  </si>
  <si>
    <t>Ullah, R; Dar, S; Ahmad, T; de Renty, C; Usman, M; DePamphilis, ML; Faisal, A; Shahzad-ul-Hussan, S; Ullah, Z</t>
  </si>
  <si>
    <t>Ullah, Rahim; Dar, Saira; Ahmad, Tanvir; de Renty, Christelle; Usman, Mohammad; DePamphilis, Melvin L.; Faisal, Amir; Shahzad-ul-Hussan, Syed; Ullah, Zakir</t>
  </si>
  <si>
    <t>CDK1 inhibition facilitates formation of syncytiotrophoblasts and expression of human Chorionic Gonadotropin</t>
  </si>
  <si>
    <t>CDK1; Cyclin; Syncytiotrophoblast; Cell fusion; Placenta; hCG</t>
  </si>
  <si>
    <t>TROPHOBLAST STEM-CELLS; EXTRACELLULAR VESICLES; CYCLE EXIT; E-CADHERIN; FUSION; DIFFERENTIATION; DEGRADATION; P57(KIP2); PHOSPHORYLATION; PROLIFERATION</t>
  </si>
  <si>
    <t>Aims: The human placental syncytiotrophoblast (STB) cells play essential roles in embryo implantation and nutrient exchange between the mother and the fetus. STBs are polyploid which are formed by fusion of diploid cytotrophoblast (CTB) cells. Abnormality in STBs formation can result in pregnancy-related disorders. While a number of genes have been associated with CTB fusion the initial events that trigger cell fusion are not well understood. Primary objective of this study was to enhance our understanding about the molecular mechanism of placental cell fusion. Methods: FACS and microscopic analysis was used to optimize Forskolin-induced fusion of BeWo cells (surrogate of CTBs) and subsequently, changes in the expression of different cell cycle regulator genes were analyzed through Western blotting and qPCR. Immunohistochemistry was performed on the first trimester placental tissue sections to validate the results in the context of placental tissue. Effect of Cyclin Dependent Kinase 1 (CDK1) inhibitor, RO3306, on BeWo cell fusion was studied by microscopy and FACS, and by monitoring the expression of human Chorionic Gonadotropin (hCG) by Western blotting and qPCR. Results: The data showed that the placental cell fusion was associated with down regulation of CDK1 and its associated cyclin B, and significant decrease in DNA replication. Moreover, inhibition of CDK1 by an exogenous inhibitor induced placental cell fusion and expression of hCG. Conclusion: Here, we report that the placental cell fusion can be induced by inhibiting CDK1. This study has a high therapeutic significance to manage pregnancy related abnormalities.</t>
  </si>
  <si>
    <t>[Ullah, Rahim; Dar, Saira; Ahmad, Tanvir; Faisal, Amir; Shahzad-ul-Hussan, Syed; Ullah, Zakir] Lahore Univ Management Sci, SBA Sch Sci &amp; Engn, Dept Biol, DHA, Opposite Sect U, Lahore 54792, Pakistan; [de Renty, Christelle; DePamphilis, Melvin L.] Eunice Kennedy Shriver Natl Inst Child Hlth &amp; Hum, NIH, Bethesda, MD 20892 USA; [Usman, Mohammad] FMH Coll Med &amp; Dent, Lahore, Pakistan</t>
  </si>
  <si>
    <t>Lahore University of Management Sciences; National Institutes of Health (NIH) - USA; NIH Eunice Kennedy Shriver National Institute of Child Health &amp; Human Development (NICHD)</t>
  </si>
  <si>
    <t>Shahzad-ul-Hussan, S; Ullah, Z (corresponding author), Lahore Univ Management Sci, SBA Sch Sci &amp; Engn, Dept Biol, DHA, Opposite Sect U, Lahore 54792, Pakistan.</t>
  </si>
  <si>
    <t>shahzad.hussan@lums.edu.pk; zakir.ullah@kaust.edu.sa</t>
  </si>
  <si>
    <t>Faisal, Amir/AAE-8992-2020</t>
  </si>
  <si>
    <t>Faisal, Amir/0000-0002-7376-8286; Shahzad-ul-Hussan, Syed/0000-0001-7736-1072; Shams, Muhammad Usman/0000-0003-3029-8402</t>
  </si>
  <si>
    <t>10.1016/j.placenta.2018.05.003</t>
  </si>
  <si>
    <t>WOS:000436435000008</t>
  </si>
  <si>
    <t>Hekimoglu, H; Toprak, SF; Sozer, S</t>
  </si>
  <si>
    <t>Hekimoglu, Hilal; Toprak, Selin Fulya; Sozer, Selcuk</t>
  </si>
  <si>
    <t>JAK2V617F-Positive Endothelial Cells Induce Apoptosis and Release JAK2V617F-Positive Microparticles</t>
  </si>
  <si>
    <t>TURKISH JOURNAL OF HEMATOLOGY</t>
  </si>
  <si>
    <t>Endothelial cells; Microparticles; Extracellular genomic materials</t>
  </si>
  <si>
    <t>CIRCULATING MICROPARTICLES; MYELOPROLIFERATIVE NEOPLASMS; PROCOAGULANT MICROPARTICLES; ESSENTIAL THROMBOCYTHEMIA; THROMBOTIC DISEASE; PROGENITOR CELLS; MICROVESICLES; ACTIVATE; MUTATION; PLAYERS</t>
  </si>
  <si>
    <t>Objective: Philadelphia chromosome-negative myeloproliferative neoplasms (MPNs) have a high propensity for thrombosis, which has been attributed to increased blood counts, endothelial cell (EC) dysfunction, and inflammation. The presence of the JAK2V617F mutation in the ECs of MPN patients has been confirmed, but the consequences of EC involvement by JAK2V617F in the pathogenesis of thrombosis are unclear. Endothelial microparticles (EMPs) released from ECs play an important role in endothelial dysfunction and also in the intercellular exchange of biological signals and information. Several studies have revealed that patients with JAK2V617F and a thrombosis history have increased numbers of MPs in their circulation. Materials and Methods: The current study utilized a lentiviral transduction model of JAK2 wild type (JAK2wt) or JAK2V617F encoding green fluorescent protein (GFP) into human umbilical vein ECs to determine the effect of JAK2V617F on ECs. EC infected with JAK2V617F, JAK2WT, and only-GFP were tested after two days of culture. Results: The proteins of ECs that potentially play a role in the development of thrombosis, including endothelial protein C receptor, thrombomodulin, and tissue factor, were detected by flow cytometry analysis with no statistical significance. Increased annexin-V uptake of JAK2V617F and JAK2wt ECs compared to GFP-alone ECs was detected. The EMP production in the supernatants of the EC culture was investigated. Genotyping of the EMPs revealed the presence of genomic DNA and RNA fragments in EMP cargos. JAK2V617F-positive DNA was detected in EMPs released from JAK2V617F-infected ECs and EMPs were shown to carry the genotype of the cell of origin. Conclusion: JAK2V617F-positive EMPs were shown for the first time in the literature. This novel research provides the first evidence that EMPs might regulate neighboring and distant cells via their cargo materials. Thus, the direct effect of JAK2V617F on ECs and their functions suggests that different mechanisms might play a role in the pathogenesis of thrombosis in MPNs.</t>
  </si>
  <si>
    <t>[Hekimoglu, Hilal; Toprak, Selin Fulya; Sozer, Selcuk] Istanbul Univ, Aziz Sancar Inst Expt Med, Dept Genet, Istanbul, Turkey; [Hekimoglu, Hilal; Toprak, Selin Fulya] Istanbul Univ, Inst Hlth Sci, Istanbul, Turkey</t>
  </si>
  <si>
    <t>Istanbul University; Istanbul University</t>
  </si>
  <si>
    <t>Sozer, S (corresponding author), Istanbul Univ, Aziz Sancar Inst Expt Med, Dept Genet, Istanbul, Turkey.</t>
  </si>
  <si>
    <t>ssozer@istanbul.edu.tr</t>
  </si>
  <si>
    <t>Toprak, Selin Fulya/AGN-7978-2022</t>
  </si>
  <si>
    <t>Sozer Tokdemir, Selcuk/0000-0002-5035-4048; Hekimoglu, Hilal/0000-0002-6234-3469</t>
  </si>
  <si>
    <t>1300-7777</t>
  </si>
  <si>
    <t>1308-5263</t>
  </si>
  <si>
    <t>10.4274/tjh.galenos.2021.2021.0607</t>
  </si>
  <si>
    <t>WOS:000761303000002</t>
  </si>
  <si>
    <t>Yan, SQ; Chen, P; Zeng, XM; Zhang, X; Li, YW; Xia, Y; Wang, J; Dai, XF; Feng, XJ; Du, W; Liu, BF</t>
  </si>
  <si>
    <t>Yan, Shuangqian; Chen, Peng; Zeng, Xuemei; Zhang, Xian; Li, Yiwei; Xia, Yun; Wang, Jie; Dai, Xiaofang; Feng, Xiaojun; Du, Wei; Liu, Bi-Feng</t>
  </si>
  <si>
    <t>Integrated Multifunctional Electrochemistry Microchip for Highly Efficient Capture, Release, Lysis, and Analysis of Circulating Tumor Cells</t>
  </si>
  <si>
    <t>CANCER-PATIENTS; PURIFICATION; RECOGNITION; EXOSOMES; DEVICE; CHIP</t>
  </si>
  <si>
    <t>The circulating tumor cells (CTCs) in the blood allow the noninvasive analysis of metastatic mechanisms, cancer diagnosis, prognosis, disease monitoring, and precise therapy through liquid biopsies. However, there is no integrated and robust multifunctional microchip, which not only could highly efficient capture CTCs, but also fast release and lyse cells on one single chip without using other biochemical agents for downstream biomedical analysis. In this work, we integrated the three functions in one electrochemical microchip (echip) by intentionally designing a cactus-like, topologically structured conductive array consisted of a PDMS micropillar-array core and an electro-conductive gold coating layer with hierarchical structure. The echip presented a capture efficiency of 85-100% for different cell lines in both buffer solution and whole blood. Moreover, the validity of the echip was further evaluated by using non-small-cell lung cancer patient samples. The electrochemical released cells or lysed-cell solutions could be obtained within 10 min and have been successfully used for mutant detection by DNA sequencing or RT-PCR. The fast release at a relative low voltage (-1.2 V) was originating from an electrochemical cleavage of the Au-S bonds that immobilized antibody on the chip. The electrochemical lysis took place at a high voltage (20 V) with an admirable performance. Thus, the highly integrated multifunctional echip was well demonstrated and promised a significant application in the clinical field.</t>
  </si>
  <si>
    <t>[Yan, Shuangqian; Chen, Peng; Zeng, Xuemei; Zhang, Xian; Li, Yiwei; Xia, Yun; Wang, Jie; Feng, Xiaojun; Du, Wei; Liu, Bi-Feng] Huazhong Univ Sci &amp; Technol, Key Lab Biomed Photon,MOE, Wuhan Natl Lab Optoelect,Dept Biomed Engn,Coll Li, Hubei Bioinformat &amp; Mol Imaging Key Lab,Syst Biol, Wuhan 430074, Hubei, Peoples R China; [Dai, Xiaofang] Huazhong Univ Sci &amp; Technol, Tongji Med Coll, Canc Ctr, Wuhan 430074, Hubei, Peoples R China</t>
  </si>
  <si>
    <t>Liu, BF (corresponding author), Huazhong Univ Sci &amp; Technol, Key Lab Biomed Photon,MOE, Wuhan Natl Lab Optoelect,Dept Biomed Engn,Coll Li, Hubei Bioinformat &amp; Mol Imaging Key Lab,Syst Biol, Wuhan 430074, Hubei, Peoples R China.</t>
  </si>
  <si>
    <t>bfliu@mail.hust.edu.cn</t>
  </si>
  <si>
    <t>Wang, Jie/AAD-9715-2021</t>
  </si>
  <si>
    <t>Wang, Jie/0000-0003-2223-5794</t>
  </si>
  <si>
    <t>10.1021/acs.analchem.7b02469</t>
  </si>
  <si>
    <t>WOS:000416498100023</t>
  </si>
  <si>
    <t>Wang, QL; Zhuang, XY; Mu, JY; Deng, ZB; Jiang, H; Xiang, XY; Wang, BM; Yan, J; Miller, D; Zhang, HG</t>
  </si>
  <si>
    <t>Wang, Qilong; Zhuang, Xiaoying; Mu, Jingyao; Deng, Zhong-Bin; Jiang, Hong; Xiang, Xiaoyu; Wang, Baomei; Yan, Jun; Miller, Donald; Zhang, Huang-Ge</t>
  </si>
  <si>
    <t>Delivery of therapeutic agents by nanoparticles made of grapefruit-derived lipids</t>
  </si>
  <si>
    <t>DRUG-DELIVERY; T-CELLS; EXOSOMES; CANCER; PHARMACOKINETICS; CHEMOTHERAPY; SYSTEMS; BRAIN; RNA</t>
  </si>
  <si>
    <t>Although the use of nanotechnology for the delivery of a wide range of medical treatments has potential to reduce adverse effects associated with drug therapy, tissue-specific delivery remains challenging. Here we show that nanoparticles made of grapefruit-derived lipids, which we call grapefruit-derived nanovectors, can deliver chemotherapeutic agents, short interfering RNA, DNA expression vectors and proteins to different types of cells. We demonstrate the in vivo targeting specificity of grapefruit-derived nanovectors by co-delivering therapeutic agents with folic acid, which in turn leads to significantly increasing targeting efficiency to cells expressing folate receptors. The therapeutic potential of grapefruit-derived nanovectors was further demonstrated by enhancing the chemotherapeutic inhibition of tumour growth in two tumour animal models. Grapefruit-derived nanovectors are less toxic than nanoparticles made of synthetic lipids and, when injected intravenously into pregnant mice, do not pass the placental barrier, suggesting that they may be a useful tool for drug delivery.</t>
  </si>
  <si>
    <t>[Wang, Qilong; Jiang, Hong; Zhang, Huang-Ge] Louisville Vet Adm, Med Ctr, Louisville, KY 40206 USA; [Wang, Qilong; Zhuang, Xiaoying; Mu, Jingyao; Jiang, Hong; Xiang, Xiaoyu; Wang, Baomei; Zhang, Huang-Ge] Univ Louisville, Dept Microbiol &amp; Immunol, James Brown Canc Ctr, Louisville, KY 40202 USA; [Deng, Zhong-Bin; Yan, Jun; Miller, Donald] Univ Louisville, Dept Med, Louisville, KY 40202 USA</t>
  </si>
  <si>
    <t>Zhang, HG (corresponding author), Louisville Vet Adm, Med Ctr, Louisville, KY 40206 USA.</t>
  </si>
  <si>
    <t>H0Zhan17@louisville.edu</t>
  </si>
  <si>
    <t>Miller, Donald/0000-0002-7881-8801</t>
  </si>
  <si>
    <t>10.1038/ncomms2886</t>
  </si>
  <si>
    <t>WOS:000320589900063</t>
  </si>
  <si>
    <t>Zhang, Y; Sun, J; Lin, CC; Abemayor, E; Wang, MB; Wong, DTW</t>
  </si>
  <si>
    <t>Zhang, Yong; Sun, Jie; Lin, Chien-Chung; Abemayor, Elliot; Wang, Marilene B.; Wong, David T. W.</t>
  </si>
  <si>
    <t>The emerging landscape of salivary diagnostics</t>
  </si>
  <si>
    <t>PERIODONTOLOGY 2000</t>
  </si>
  <si>
    <t>FLIGHT MASS-SPECTROMETRY; PROMOTER HYPERMETHYLATION; MICRORNA EXPRESSION; CANCER STATISTICS; ORAL-CAVITY; BIOMARKERS; CELL; RNA; EXOSOMES; IDENTIFICATION</t>
  </si>
  <si>
    <t>Saliva contains a variety of biomolecules, including DNA, coding and noncoding RNA, proteins, metabolites and microbiota. The changes in the salivary levels of these molecular constituents can be used to develop markers for disease detection and risk assessment. Use of saliva as an early-detection tool is a promising approach because collection of saliva is easy and noninvasive. Here, we review recent developments in salivary diagnostics, accomplished using salivaomics approaches, including genomic, transcriptomic, proteomic, metabolomic and microbiomic technologies. Additionally, we illustrate the mechanisms of how diseases distal from the oralcavity can lead to the appearance of discriminatory biomarkers in saliva, and discuss the relevance of these markers for translational and clinical applications.</t>
  </si>
  <si>
    <t>Lin, Chien-Chung/T-1496-2019; Sun, Jie/M-9620-2013; sun, jie/H-8312-2018</t>
  </si>
  <si>
    <t xml:space="preserve">Lin, Chien-Chung/0000-0002-4739-5631; Sun, Jie/0000-0002-8368-3091; </t>
  </si>
  <si>
    <t>0906-6713</t>
  </si>
  <si>
    <t>1600-0757</t>
  </si>
  <si>
    <t>10.1111/prd.12099</t>
  </si>
  <si>
    <t>WOS:000366512400004</t>
  </si>
  <si>
    <t>Wang, YQ; Zhang, HB</t>
  </si>
  <si>
    <t>Wang, Yiqiang; Zhang, Hongbo</t>
  </si>
  <si>
    <t>Platelet-induced inhibition of tumor cell growth</t>
  </si>
  <si>
    <t>Platelet; Tumor; Cell cycle; Proliferation</t>
  </si>
  <si>
    <t>ACTIVATED PLATELETS; CANCER; METASTASIS; MECHANISMS; INFLAMMATION; MODULATION; EXOSOMES</t>
  </si>
  <si>
    <t>Background: Previous studies have suggested that platelets play a role in hematogenous metastasis of cancer cells by enhancing their survival in and extravasation from the bloodstream. We initiated studies to determine the effect of platelets on the proliferation of tumor cells. Methods: Intact platelets or platelet subfractions were prepared and used for co-culture with various tumor cell lines of different major histocompatibility complex (MHC) backgrounds. Proliferation of tumor cells was monitored using a colorigenic method; flow cytometry was used to measure apoptosis or the cell cycle in L1210 cells. Results: Co-culture of platelets with tumor cells inhibited proliferation of tumor cells in an MHC-independent manner; soluble factors released from platelets as well as physical contact between platelets and tumor cells were involved. Cell-cycle analysis showed that platelets inhibited proliferation mainly through arrest of the cell cycle and inhibition of DNA synthesis. Neither cytotoxicity nor apoptosis mechanisms dominate in the platelet-induced inhibition of tumor cell proliferation. Conclusion: We observed that murine platelets inhibit growth of tumor cells in vitro in an MHC-I-independent way, and this inhibition is not Limited to specific tumor types, nor is it dependent on cytotoxicity or apoptotic pathways; rather it relies on impairment of the cell cycle. (c) 2008 Elsevier Ltd. All rights reserved.</t>
  </si>
  <si>
    <t>[Wang, Yiqiang; Zhang, Hongbo] Shandong Eye Inst, Shandong Prov Key Lab Ophthalmol, State Key Lab Cultivat Base, Qingdao 266071, Peoples R China; [Wang, Yiqiang] Qingdao Univ, Coll Med, Dept Ophthalmol, Qingdao 266071, Peoples R China; [Wang, Yiqiang; Zhang, Hongbo] Qingdao Univ, Coll Med, Dept Immunol Program, Qingdao 266071, Peoples R China</t>
  </si>
  <si>
    <t>Shandong First Medical University &amp; Shandong Academy of Medical Sciences; Qingdao University; Qingdao University</t>
  </si>
  <si>
    <t>Wang, YQ (corresponding author), Shandong Eye Inst, Shandong Prov Key Lab Ophthalmol, State Key Lab Cultivat Base, 5 Yanerdao Rd, Qingdao 266071, Peoples R China.</t>
  </si>
  <si>
    <t>Yiqiangwang99@hotmail.com</t>
  </si>
  <si>
    <t>10.1016/j.thromres.2008.06.021</t>
  </si>
  <si>
    <t>WOS:000261583500020</t>
  </si>
  <si>
    <t>Siddaiah, R; Emery, L; Stephens, H; Donnelly, A; Erkinger, J; Wisecup, K; Hicks, SD; Kawasawa, YI; Oji-Mmuo, C; Amatya, S; Silveyra, P</t>
  </si>
  <si>
    <t>Siddaiah, Roopa; Emery, Lucy; Stephens, Heather; Donnelly, Ann; Erkinger, Jennifer; Wisecup, Kimberly; Hicks, Steven D.; Kawasawa, Yuka Imamura; Oji-Mmuo, Christiana; Amatya, Shaili; Silveyra, Patricia</t>
  </si>
  <si>
    <t>Early Salivary miRNA Expression in Extreme Low Gestational Age Newborns</t>
  </si>
  <si>
    <t>LIFE-BASEL</t>
  </si>
  <si>
    <t>miRNA; BPD; tracheal aspirate; saliva sample; chronic lung disease</t>
  </si>
  <si>
    <t>MICRORNA; PROLIFERATION; DIAGNOSTICS; PROMOTES; EXOSOMES; DISEASE; GENES; CELLS</t>
  </si>
  <si>
    <t>Background: MicroRNAs (miRNA) are small non-coding RNAs that regulate gene expression playing a key role in organogenesis. MiRNAs are studied in tracheal aspirates (TA) of preterm infants. However; this is difficult to obtain in infants who are not intubated. This study examines early salivary miRNA expression as non-invasive early biomarkers in extremely low gestational age newborns (ELGANs). Methods: Saliva was collected using DNA-genotek swabs, miRNAs were analyzed using RNA seq and RT PCR arrays. Salivary miRNA expression was compared to TA using RNA seq at 3 days of age, and longitudinal changes at 28 days of age were analyzed using RT PCR arrays in ELGANs. Results: Approximately 822 ng of RNA was extracted from saliva of 7 ELGANs; Of the 757 miRNAs isolated, 161 miRNAs had significant correlation in saliva and TA at 3 days of age (r = 0.97). Longitudinal miRNA analysis showed 29 miRNAs downregulated and 394 miRNAs upregulated at 28 days compared to 3 days of age (adjusted p &lt; 0.1). Bioinformatic analysis (Ingenuity Pathway Analysis) of differentially expressed miRNAs identified organismal injury and abnormalities and cellular development as the top physiological system development and cellular function. Conclusion: Salivary miRNA expression are source for early biomarkers of underlying pathophysiology in ELGANs.</t>
  </si>
  <si>
    <t>[Siddaiah, Roopa; Stephens, Heather; Wisecup, Kimberly; Hicks, Steven D.; Oji-Mmuo, Christiana; Amatya, Shaili] Penn State Hlth Childrens Hosp, Dept Pediat, Hershey, PA 17036 USA; [Emery, Lucy] Penn State Hlth Coll Med, Hershey, PA 17036 USA; [Donnelly, Ann; Erkinger, Jennifer] Penn State Hlth Childrens Hosp, Dept Resp Therapy, Hershey, PA 17036 USA; [Kawasawa, Yuka Imamura] Penn State Hlth Coll Med, Dept Pharmacol, Hershey, PA 17036 USA; [Kawasawa, Yuka Imamura] Penn State Hlth Coll Med, Dept Biochem &amp; Mol Biol, Hershey, PA 17036 USA; [Silveyra, Patricia] Indiana Univ, Sch Publ Hlth, Dept Environm &amp; Occupat Hlth, Bloomington, IN 47405 USA</t>
  </si>
  <si>
    <t>Pennsylvania Commonwealth System of Higher Education (PCSHE); Pennsylvania State University; Penn State Health; Pennsylvania Commonwealth System of Higher Education (PCSHE); Pennsylvania State University; Penn State Health; Pennsylvania Commonwealth System of Higher Education (PCSHE); Pennsylvania State University; Penn State Health; Pennsylvania Commonwealth System of Higher Education (PCSHE); Pennsylvania State University; Penn State Health; Pennsylvania Commonwealth System of Higher Education (PCSHE); Pennsylvania State University; Penn State Health; Indiana University System; Indiana University Bloomington</t>
  </si>
  <si>
    <t>Siddaiah, R (corresponding author), Penn State Hlth Childrens Hosp, Dept Pediat, Hershey, PA 17036 USA.</t>
  </si>
  <si>
    <t>rsiddaiah@pennstatehealth.psu.edu; lemery@pennstatehealth.psu.edu; hstephens@pennstatehealth.psu.edu; adonnelly@pennstatehealth.psu.edu; jerkinger@pennstatehealth.psu.edu; kwisecup@pennstatehealth.psu.edu; shicksl@pennstatehealth.psu.edu; yimamura@pennstatehealth.psu.edu; cjimmuo@pennstatehealth.psu.edu; samatya@pennstatehealth.psu.edu; psilveyr@iu.edu</t>
  </si>
  <si>
    <t>Silveyra, Patricia/A-7136-2018</t>
  </si>
  <si>
    <t>Silveyra, Patricia/0000-0001-7083-8915; Siddaiah, Roopa/0000-0001-9184-3908; Hicks, Steven/0000-0002-9579-6798</t>
  </si>
  <si>
    <t>2075-1729</t>
  </si>
  <si>
    <t>10.3390/life12040506</t>
  </si>
  <si>
    <t>Biology; Microbiology</t>
  </si>
  <si>
    <t>Life Sciences &amp; Biomedicine - Other Topics; Microbiology</t>
  </si>
  <si>
    <t>WOS:000785333700001</t>
  </si>
  <si>
    <t>Wang, W; Bartholomae, CC; Gabriel, R; Deichmann, A; Schmidt, M</t>
  </si>
  <si>
    <t>Federico, M</t>
  </si>
  <si>
    <t>Wang, Wei; Bartholomae, Cynthia C.; Gabriel, Richard; Deichmann, Annette; Schmidt, Manfred</t>
  </si>
  <si>
    <t>The LAM-PCR Method to Sequence LV Integration Sites</t>
  </si>
  <si>
    <t>LENTIVIRAL VECTORS AND EXOSOMES AS GENE AND PROTEIN DELIVERY TOOLS</t>
  </si>
  <si>
    <t>Gene therapy; Lentiviral vector; (nr)LAM-PCR; Clonality; Integration sites; Safety; Next generation sequencing (NGS); Double-barcoding strategy</t>
  </si>
  <si>
    <t>CELL GENE-THERAPY; VECTOR INTEGRATION; LENTIVIRAL VECTOR; SCID-X1; VIVO</t>
  </si>
  <si>
    <t>Integrating viral gene transfer vectors are commonly used gene delivery tools in clinical gene therapy trials providing stable integration and continuous gene expression of the transgene in the treated host cell. However, integration of the reverse-transcribed vector DNA into the host genome is a potentially mutagenic event that may directly contribute to unwanted side effects. A comprehensive and accurate analysis of the integration site (IS) repertoire is indispensable to study clonality in transduced cells obtained from patients undergoing gene therapy and to identify potential in vivo selection of affected cell clones. To date, next-generation sequencing (NGS) of vector-genome junctions allows sophisticated studies on the integration repertoire in vitro and in vivo. We have explored the use of the Illumina MiSeq Personal Sequencer platform to sequence vector ISs amplified by non-restrictive linear amplification-mediated PCR (nrLAMPCR) and LAM-PCR. MiSeq-based high-quality IS sequence retrieval is accomplished by the introduction of a double-barcode strategy that substantially minimizes the frequency of IS sequence collisions compared to the conventionally used single-barcode protocol. Here, we present an updated protocol of (nr)LAMPCR for the analysis of lentiviral IS using a double-barcode system and followed by deep sequencing using the MiSeq device.</t>
  </si>
  <si>
    <t>[Wang, Wei; Bartholomae, Cynthia C.; Gabriel, Richard; Deichmann, Annette; Schmidt, Manfred] Natl Ctr Tumor Dis, Dept Translat Oncol, Heidelberg, Germany; [Wang, Wei; Bartholomae, Cynthia C.; Gabriel, Richard; Deichmann, Annette; Schmidt, Manfred] German Canc Res Ctr, Heidelberg, Germany</t>
  </si>
  <si>
    <t>Helmholtz Association; German Cancer Research Center (DKFZ); Ruprecht Karls University Heidelberg; Helmholtz Association; German Cancer Research Center (DKFZ)</t>
  </si>
  <si>
    <t>Wang, W (corresponding author), Natl Ctr Tumor Dis, Dept Translat Oncol, Heidelberg, Germany.;Wang, W (corresponding author), German Canc Res Ctr, Heidelberg, Germany.</t>
  </si>
  <si>
    <t>978-1-4939-3753-0; 978-1-4939-3751-6</t>
  </si>
  <si>
    <t>10.1007/978-1-4939-3753-0_9</t>
  </si>
  <si>
    <t>10.1007/978-1-4939-3753-0</t>
  </si>
  <si>
    <t>WOS:000386788700010</t>
  </si>
  <si>
    <t>Cui, XL; Liu, Y; Sun, W; Ding, J; Bo, XC; Wang, HY</t>
  </si>
  <si>
    <t>Cui, Xiuliang; Liu, Yang; Sun, Wen; Ding, Jin; Bo, Xiaochen; Wang, Hongyang</t>
  </si>
  <si>
    <t>Comprehensive analysis of miRNA-gene regulatory network with clinical significance in human cancers</t>
  </si>
  <si>
    <t>SCIENCE CHINA-LIFE SCIENCES</t>
  </si>
  <si>
    <t>exosomal miRNA; biomarker; clinical significance; prognosis; TCGA</t>
  </si>
  <si>
    <t>MICRORNA; EXOSOMES; DATABASE; EXPRESSION; IDENTIFICATION; METASTASIS; PROTEIN; ROLES; RNA</t>
  </si>
  <si>
    <t>microRNAs (miRNAs), particularly the exosomal miRNAs have been widely used as biomarkers and promising therapeutic targets in cancer. However, a comprehensive analysis of miRNA-gene regulatory network with clinical significance remains scarce. The emergence of high-throughput multi-omics data over large, well-characterized patient cohorts provides an unprecedented opportunity to address this problem. Herein, we performed a clinic-centered analysis to identify cancer-associated miRNAs, miRNA-target axis. We first calculated the correlation among miRNA, mRNA and 75 unique clinico-pathological characteristics (CPCs) in 26 cancer types, and established an online resource (4CR). Interestingly, we found that the high expression of several DNA methylation-related enzymes was associated with adverse outcomes of cancer patients, and these genes were regulated by a cluster of miRNAs. Furthermore, by integrating exosomal miRNA and mRNA databases, we identified exosomal miRNA biomarkers for non-invasive cancer surveillance and therapy monitoring. Finally, we explored the role of CPC-related miRNAs for therapeutic effect prediction of drugs based on their shared targets. Our analysis pipeline illustrated the significance of clinic-centered analysis in miRNA-gene pair identification and provided helpful clues for future cancer studies.</t>
  </si>
  <si>
    <t>[Cui, Xiuliang; Ding, Jin; Wang, Hongyang] Natl Ctr Liver Canc, Shanghai 201805, Peoples R China; [Cui, Xiuliang; Sun, Wen; Ding, Jin; Wang, Hongyang] Shanghai Eastern Hepatobiliary Surg Hosp, Int Cooperat Lab Signal Transduct, Shanghai 200438, Peoples R China; [Bo, Xiaochen] Beijing Inst Radiat Med, Beijing 100850, Peoples R China; [Liu, Yang] Beijing 302 Hosp, Res Ctr Clin &amp; Translat Med, Beijing 100039, Peoples R China</t>
  </si>
  <si>
    <t>Naval Medical University; Academy of Military Medical Sciences - China; Fifth Medical Center of Chinese PLA General Hospital</t>
  </si>
  <si>
    <t>Wang, HY (corresponding author), Natl Ctr Liver Canc, Shanghai 201805, Peoples R China.;Wang, HY (corresponding author), Shanghai Eastern Hepatobiliary Surg Hosp, Int Cooperat Lab Signal Transduct, Shanghai 200438, Peoples R China.;Bo, XC (corresponding author), Beijing Inst Radiat Med, Beijing 100850, Peoples R China.</t>
  </si>
  <si>
    <t>boxiaoc@163.com; hywangk@vip.sina.com</t>
  </si>
  <si>
    <t>1674-7305</t>
  </si>
  <si>
    <t>1869-1889</t>
  </si>
  <si>
    <t>10.1007/s11427-019-9667-0</t>
  </si>
  <si>
    <t>WOS:000549600600008</t>
  </si>
  <si>
    <t>Ruan, YT; Lin, N; Ma, Q; Chen, RP; Zhang, Z; Wen, WH; Chen, H; Sun, J</t>
  </si>
  <si>
    <t>Ruan, Yuting; Lin, Nie; Ma, Qiang; Chen, Rongping; Zhang, Zhen; Wen, Weiheng; Chen, Hong; Sun, Jia</t>
  </si>
  <si>
    <t>Circulating LncRNAs Analysis in Patients with Type 2 Diabetes Reveals Novel Genes Influencing Glucose Metabolism and Islet beta-Cell Function</t>
  </si>
  <si>
    <t>LncRNA; Type 2 diabetes; Islet; beta-cell function; Insulin secretion</t>
  </si>
  <si>
    <t>LONG NONCODING RNAS; INSULIN-SECRETION; ENDOTHELIAL-CELLS; DNA METHYLATION; EXPRESSION; CANCER; PROLIFERATION; HOMEOSTASIS; DISRUPTION; REGULATORS</t>
  </si>
  <si>
    <t>Background/Aims: The islet is an important endocrine organ to secrete insulin to regulate the metabolism of glucose and maintain the stability of blood glucose. Long noncoding RNAs (lncRNAs) are involved in a variety of biological functions and play key roles in many diseases, including type 2 diabetes (T2D). The aim of this study was to determine whether lncRNA-p3134 is associated with glucose metabolism and insulin signaling in pancreatic beta cells. Methods: LncRNA microarray technology was used to identify the differentially expressed circulating lncRNAs in T2D patients. RT-PCR analyses were performed to determine the expression of lncRNA-p3134 in 30 pairs of diabetic and non-diabetic patients. The correlation of lncRNA-p3134 to clinical data from T2D patients was analyzed. LncRNA-p3134 was overexpressed in Min6 cells and db/db mice by adenovirus-mediated technology. CCK-8, TUNEL, Western blot, glucose-stimulated insulin secretion (GSIS), ELISAs and immunochemistry were performed to determine the effect of lncRNA-p3134 on proliferation, apoptosis and insulin secretion both in vitro and vivo. Results: The circulating level of lncRNA-p3134 was higher in diabetic patients than in non-diabetic controls and was correlated with fasting blood glucose and HOMA-beta levels. The lncRNA-p3134 had risen by 4 times in serum exosomes but nearly unchanged in exosome-free samples. The secretion of lncRNA-p3134 was dynamically modulated by glucose in both Min6 cells and isolated mouse islet cells. LncRNA-p3134 positively regulate GSIS through promoting of key regulators (Pdx-1, MafA, GLUT2 and Tcf7l2) in beta cells. In addition, the overexpression of lncRNA-p3134 resulted in a decreased apoptosis ratio and partially reversed the glucotoxicity effects on GSIS function in Min6 cells. The restoration of insulin synthesis and secretion the increase of the insulin positive cells areas by upregulation of lncRNA-p3134 in db/db mice confirmed the compensatory role of lncRNA-p3134 to preserve beta-cell function. Furthermore, a protective effect of lncRNA-p3134 on GSIS by positive modulation of PI3K/Akt/mTOR signaling was also confirmed. After blocking the PI3K/AKT signals with their specific inhibitor, the effect of overexpressed lncRNA-p3134 on insulin secretion was obviously attenuated. Conclusion: Taken together, the results of this study provide new insights into lncRNA-p3134 regulation in pancreatic beta cells and provide a better understanding of novel mechanism of glucose homeostasis. (C) 2018 The Author(s) Published by S. Karger AG, Basel</t>
  </si>
  <si>
    <t>[Ruan, Yuting; Lin, Nie; Ma, Qiang; Chen, Rongping; Zhang, Zhen; Wen, Weiheng; Chen, Hong; Sun, Jia] Southern Med Univ, Zhujiang Hosp, Dept Endocrinol, Guangzhou, Guangdong, Peoples R China</t>
  </si>
  <si>
    <t>Southern Medical University - China</t>
  </si>
  <si>
    <t>Chen, H; Sun, J (corresponding author), Southern Med Univ, Zhujiang Hosp, Dept Endocrinol, Guangzhou, Guangdong, Peoples R China.</t>
  </si>
  <si>
    <t>chenhong123@smu.edu.cn; sunjia@smu.edu.cn</t>
  </si>
  <si>
    <t>10.1159/000488434</t>
  </si>
  <si>
    <t>WOS:000431134000028</t>
  </si>
  <si>
    <t>Chiappini, C; De Rosa, E; Martinez, JO; Liu, X; Steele, J; Stevens, MM; Tasciotti, E</t>
  </si>
  <si>
    <t>Chiappini, C.; De Rosa, E.; Martinez, J. O.; Liu, X.; Steele, J.; Stevens, M. M.; Tasciotti, E.</t>
  </si>
  <si>
    <t>Biodegradable silicon nanoneedles delivering nucleic acids intracellularly induce localized in vivo neovascularization</t>
  </si>
  <si>
    <t>NATURE MATERIALS</t>
  </si>
  <si>
    <t>POROUS SILICON; GENE-TRANSFER; GROWTH-FACTORS; LIVING CELLS; DRUG-DELIVERY; ELECTROPORATION; PLATFORM; MICROVESICLES; RNA; THERAPEUTICS</t>
  </si>
  <si>
    <t>The controlled delivery of nucleic acids to selected tissues remains an inefficient process mired by low transfection efficacy, poor scalability because of varying efficiency with cell type and location, and questionable safety as a result of toxicity issues arising from the typical materials and procedures employed. High efficiency and minimal toxicity in vitro has been shown for intracellular delivery of nuclei acids by using nanoneedles, yet extending these characteristics to in vivo delivery has been difficult, as current interfacing strategies rely on complex equipment or active cell internalization through prolonged interfacing. Here, we show that a tunable array of biodegradable nanoneedles fabricated by metal-assisted chemical etching of silicon can access the cytosol to co-deliver DNA and siRNA with an efficiency greater than 90%, and that in vivo the nanoneedles transfect the VEGF-165 gene, inducing sustained neovascularization and a localized sixfold increase in blood perfusion in a target region of the muscle.</t>
  </si>
  <si>
    <t>[Chiappini, C.; Steele, J.; Stevens, M. M.] Univ London Imperial Coll Sci Technol &amp; Med, Dept Mat, London SW6 7PB, England; [Chiappini, C.; Steele, J.; Stevens, M. M.] Univ London Imperial Coll Sci Technol &amp; Med, Dept Bioengn, London SW6 7PB, England; [Chiappini, C.; Steele, J.; Stevens, M. M.] Univ London Imperial Coll Sci Technol &amp; Med, Inst Biomed Engn, London SW6 7PB, England; [De Rosa, E.; Martinez, J. O.; Liu, X.; Tasciotti, E.] Houston Methodist Res Inst, Dept Nanomed, Houston, TX 77030 USA</t>
  </si>
  <si>
    <t>Imperial College London; Imperial College London; Imperial College London; The Methodist Hospital System; The Methodist Hospital - Houston</t>
  </si>
  <si>
    <t>Stevens, MM (corresponding author), Univ London Imperial Coll Sci Technol &amp; Med, Dept Mat, London SW6 7PB, England.</t>
  </si>
  <si>
    <t>m.stevens@imperial.ac.uk; etasciotti@houstonmethodist.org</t>
  </si>
  <si>
    <t>Chiappini, Ciro/I-6256-2019; Tasciotti, Ennio/CAF-7476-2022; De Rosa, Enrica/N-3981-2017; Tasciotti, Ennio/J-8309-2015</t>
  </si>
  <si>
    <t>Chiappini, Ciro/0000-0002-9893-4359; De Rosa, Enrica/0000-0002-5832-4740; Stevens, Molly/0000-0002-7335-266X; Martinez, Jonathan/0000-0002-0517-366X; Steele, Joseph/0000-0002-7913-0531; Tasciotti, Ennio/0000-0003-1187-3205</t>
  </si>
  <si>
    <t>1476-1122</t>
  </si>
  <si>
    <t>1476-4660</t>
  </si>
  <si>
    <t>10.1038/NMAT4249</t>
  </si>
  <si>
    <t>Chemistry, Physical; Materials Science, Multidisciplinary; Physics, Applied; Physics, Condensed Matter</t>
  </si>
  <si>
    <t>Chemistry; Materials Science; Physics</t>
  </si>
  <si>
    <t>WOS:000353305700021</t>
  </si>
  <si>
    <t>Dong, Q; Jia, XN; Wang, YL; Wang, H; Liu, Q; Li, D; Wang, J; Wang, ER</t>
  </si>
  <si>
    <t>Dong, Qing; Jia, Xiuna; Wang, Yuling; Wang, Hao; Liu, Qiong; Li, Dan; Wang, Jin; Wang, Erkang</t>
  </si>
  <si>
    <t>Sensitive and selective detection of Mucin1 in pancreatic cancer using hybridization chain reaction with the assistance of Fe3O4@polydopamine nanocomposites</t>
  </si>
  <si>
    <t>Pancreatic cancer detection; Hybridization chain reaction; Imaging; Dopamine coated magnetic composites</t>
  </si>
  <si>
    <t>TUMOR; AMPLIFICATION; APTASENSOR; COMBINATION; BIOSENSOR; EXOSOMES; STRATEGY; NANORODS</t>
  </si>
  <si>
    <t>Pancreatic cancer is characterized as the worst for diagnosis lacking symptoms at the early stage, which results in a low overall survival rate. The frequently used techniques for pancreatic cancer diagnosis rely on imaging and biopsy, which have limitations in requiring experienced personnel to operate the expensive instruments and analyze the results. Therefore, there is a high demand to develop alternative tools or methods to detect pancreatic cancer. Herein, we propose a new strategy to enhance the detection sensitivity of pancreatic cancer cells both in biofluids and on tissues by combining the unique property of dopamine coated Fe3O4 nanoparticles (Fe3O4@DOP NPs) to specifically quench and separate free 6-carboxyfluorescein (FAM) labeled DNA (H-1-FAM/H-2-FAM), and the key feature of hybridization chain reaction (HCR) amplification. We have determined the limit of detection (LOD) to be 21 similar to 41 cells/mL for three different pancreatic cancer cell lines. It was also discovered that the fluorescence intensity of pancreatic cancer cells was significantly higher than that of HPDE-C7 and HepG-2 cells (control cell lines), which express lower MUC1 protein. Moreover, the HCR amplification system was used to identify the cancer cells on pancreatic tissue, which indicated the versatility of our strategy in clinical application. Therefore, the presented detection strategy shows good sensitivity, specificity and has great potential for the diagnosis of pancreatic cancer.</t>
  </si>
  <si>
    <t>[Dong, Qing; Wang, Hao; Wang, Erkang] Jilin Univ, Coll Chem, Changchun 130012, Jilin, Peoples R China; [Dong, Qing; Jia, Xiuna; Wang, Hao; Liu, Qiong; Li, Dan; Wang, Erkang] Chinese Acad Sci, Changchun Inst Appl Chem, State Key Lab Elect Chem, Changchun 130022, Jilin, Peoples R China; [Wang, Yuling] Macquarie Univ, Dept Mol Sci, ARC Ctr Excel Ience Nanoscale BioPhoton, Sydney, NSW 2109, Australia; [Wang, Jin] SUNY Stony Brook, Dept Chem &amp; Phys, Stony Brook, NY 11794 USA</t>
  </si>
  <si>
    <t>Jilin University; Chinese Academy of Sciences; Changchun Institute of Applied Chemistry, CAS; Macquarie University; State University of New York (SUNY) System; State University of New York (SUNY) Stony Brook</t>
  </si>
  <si>
    <t>Li, D (corresponding author), Chinese Acad Sci, Changchun Inst Appl Chem, State Key Lab Elect Chem, Changchun 130022, Jilin, Peoples R China.;Wang, J (corresponding author), SUNY Stony Brook, Dept Chem &amp; Phys, Stony Brook, NY 11794 USA.</t>
  </si>
  <si>
    <t>lidan@ciac.ac.cn; jin.wang.1@stonybrook.edu</t>
  </si>
  <si>
    <t>10.1186/s12951-022-01289-w</t>
  </si>
  <si>
    <t>WOS:000760206100001</t>
  </si>
  <si>
    <t>Conigliaro, A; Corrado, C; Fontana, S; Alessandro, R</t>
  </si>
  <si>
    <t>Edelstein, L; Smythies, J; Quesenberry, P; Noble, D</t>
  </si>
  <si>
    <t>Conigliaro, Alice; Corrado, Chiara; Fontana, Simona; Alessandro, Riccardo</t>
  </si>
  <si>
    <t>Exosome basic mechanisms</t>
  </si>
  <si>
    <t>EXOSOMES: A CLINICAL COMPENDIUM</t>
  </si>
  <si>
    <t>STRANDED GENOMIC DNA; MEDIATED ENDOCYTOSIS; LIQUID BIOPSIES; DENDRITIC CELLS; SECRETION; BIOGENESIS; RELEASE; VESICLES; SYNTENIN; KINASE</t>
  </si>
  <si>
    <t>[Conigliaro, Alice; Corrado, Chiara; Fontana, Simona; Alessandro, Riccardo] Univ Palermo, Dept Biomed Neurosci &amp; Adv Diagnost, Palermo, Italy</t>
  </si>
  <si>
    <t>University of Palermo</t>
  </si>
  <si>
    <t>Conigliaro, A (corresponding author), Univ Palermo, Dept Biomed Neurosci &amp; Adv Diagnost, Palermo, Italy.</t>
  </si>
  <si>
    <t>978-0-12-816054-1; 978-0-12-816053-4</t>
  </si>
  <si>
    <t>10.1016/B978-0-12-816053-4.00001-8</t>
  </si>
  <si>
    <t>10.1016/C2017-0-01516-1</t>
  </si>
  <si>
    <t>WOS:000533473600002</t>
  </si>
  <si>
    <t>Goncalves, CS; Avila, AR; de Souza, W; Motta, MCM; Cavalcanti, DP</t>
  </si>
  <si>
    <t>Goncalves, Camila Silva; Avila, Andrea Rodrigues; de Souza, Wanderley; Motta, Maria Cristina M.; Cavalcanti, Danielle Pereira</t>
  </si>
  <si>
    <t>Revisiting the Trypanosoma cruzi metacyclogenesis: morphological and ultrastructural analyses during cell differentiation</t>
  </si>
  <si>
    <t>PARASITES &amp; VECTORS</t>
  </si>
  <si>
    <t>Cell differentiation; 3D reconstruction; kDNA arrangement; Metacyclogenesis; Microscopy techniques; Trypanosoma cruzi; Ultrastructure</t>
  </si>
  <si>
    <t>LIFE-CYCLE; METACYCLIC TRYPOMASTIGOTES; EXTRACELLULAR VESICLES; TRIATOMA-INFESTANS; PROTEOMIC ANALYSIS; GENE-EXPRESSION; STRESS-RESPONSE; EPIMASTIGOTES; TRANSCRIPTION; MODULATION</t>
  </si>
  <si>
    <t>Background: Trypanosoma cruzi uses several strategies to survive in different hosts. A key step in the life-cycle of this parasite is metacyclogenesis, which involves various morphological, biochemical, and genetic changes that induce the differentiation of non-pathogenic epimastigotes into pathogenic metacyclic trypomastigotes. During metacyclogenesis, T. cruzi displays distinct morphologies and ultrastructural features, which have not been fully characterized. Results: We performed a temporal description of metacyclogenesis using different microscopy techniques that resulted in the identification of three intermediate forms of T. cruzi: intermediates I, II and III. Such classification was based on morphological and ultrastructural aspects as the location of the kinetoplast in relation to the nucleus, kinetoplast shape and kDNA topology. Furthermore, we suggested that metacyclic trypomastigotes derived from intermediate forms that had already detached from the substrate. We also found that changes in the kinetoplast morphology and kDNA arrangement occurred only after the repositioning of this structure toward the posterior region of the cell body. These changes occurred during the later stages of differentiation. In contrast, changes in the nucleus shape began as soon as metacyclogenesis was initiated, while changes in nuclear ultrastructure, such as the loss of the nucleolus, were only observed during later stages of differentiation. Finally, we found that kDNA networks of distinct T. cruzi forms present different patterns of DNA topology. Conclusions: Our study of T. cruzi metacyclogenesis revealed important aspects of the morphology and ultrastructure of this intriguing cell differentiation process. This research expands our understanding of this parasite's fascinating life-cycle. It also highlights the study of T. cruzi as an important and exciting model system for investigating diverse aspects of cellular, molecular, and evolutionary biology.</t>
  </si>
  <si>
    <t>[Goncalves, Camila Silva; de Souza, Wanderley; Motta, Maria Cristina M.] Univ Fed Rio de Janeiro, Inst Biofis Carlos Chagas Filho, Lab Ultraestrutura Celular Hertha Meyer, Rio de Janeiro, RJ, Brazil; [Goncalves, Camila Silva; Cavalcanti, Danielle Pereira] Inst Nacl Metrol Qualidade &amp; Tecnol Inmetro, Diretoria Metrol Aplicada Ciencias Vida, Lab Microbiol, Rio De Janeiro, RJ, Brazil; [Avila, Andrea Rodrigues] Fiocruz MS, Inst Carlos Chagas, Lab Regulacao Expressao Gen, Curitiba, PR, Brazil; [de Souza, Wanderley; Motta, Maria Cristina M.; Cavalcanti, Danielle Pereira] Univ Fed Rio de Janeiro, Inst Nacl Ciencia &amp; Tecnol Biol Estrutural &amp; Bioi, Rio De Janeiro, RJ, Brazil</t>
  </si>
  <si>
    <t>Universidade Federal do Rio de Janeiro; Instituto Nacional de Metrologia, Qualidade e Tecnologia (INMETRO); Fundacao Oswaldo Cruz; Universidade Federal do Rio de Janeiro</t>
  </si>
  <si>
    <t>Cavalcanti, DP (corresponding author), Inst Nacl Metrol Qualidade &amp; Tecnol Inmetro, Diretoria Metrol Aplicada Ciencias Vida, Lab Microbiol, Rio De Janeiro, RJ, Brazil.;Cavalcanti, DP (corresponding author), Univ Fed Rio de Janeiro, Inst Nacl Ciencia &amp; Tecnol Biol Estrutural &amp; Bioi, Rio De Janeiro, RJ, Brazil.</t>
  </si>
  <si>
    <t>dpcavalcanti@inmetro.gov.br</t>
  </si>
  <si>
    <t>Motta, Maria Cristina M/I-3140-2014; Cavalcanti, Danielle P/C-5959-2015</t>
  </si>
  <si>
    <t>Silva Goncalves, Camila/0000-0003-3302-313X</t>
  </si>
  <si>
    <t>1756-3305</t>
  </si>
  <si>
    <t>FEB 6</t>
  </si>
  <si>
    <t>10.1186/s13071-018-2664-4</t>
  </si>
  <si>
    <t>Parasitology; Tropical Medicine</t>
  </si>
  <si>
    <t>WOS:000424783500002</t>
  </si>
  <si>
    <t>Heilingloh, CS; Kummer, M; Muhl-Zurbes, P; Drassner, C; Daniel, C; Klewer, M; Steinkasserer, A</t>
  </si>
  <si>
    <t>Heilingloh, Christiane S.; Kummer, Mirko; Muehl-Zuerbes, Petra; Drassner, Christina; Daniel, Christoph; Klewer, Monika; Steinkasserer, Alexander</t>
  </si>
  <si>
    <t>L Particles Transmit Viral Proteins from Herpes Simplex Virus 1-Infected Mature Dendritic Cells to Uninfected Bystander Cells, Inducing CD83 Downmodulation</t>
  </si>
  <si>
    <t>HOST SHUTOFF PROTEIN; HUMAN CYTOMEGALOVIRUS; SOLUBLE FORM; MARKER CD83; T-CELLS; TYPE-1; INFECTION; MICROVESICLES; DEGRADATION; MEMBER</t>
  </si>
  <si>
    <t>Mature dendritic cells (mDCs) are known as the most potent antigen-presenting cells (APCs) since they are also able to prime/induce naive T cells. Thus, mDCs play a pivotal role during the induction of antiviral immune responses. Remarkably, the cell surface molecule CD83, which was shown to have costimulatory properties, is targeted by herpes simplex virus 1 (HSV-1) for viral immune escape. Infection of mDCs with HSV-1 results in downmodulation of CD83, resulting in reduced T cell stimulation. In this study, we report that not only infected mDCs but also uninfected bystander cells in an infected culture show a significant CD83 reduction. We demonstrate that this effect is independent of phagocytosis and transmissible from infected to uninfected mDCs. The presence of specific viral proteins found in these uninfected bystander cells led to the hypothesis that viral proteins are transferred from infected to uninfected cells via L particles. These L particles are generated during lytic replication in parallel with full virions, called H particles. L particles contain viral proteins but lack the viral capsid and DNA. Therefore, these particles are not infectious but are able to transfer several viral proteins. Incubation of mDCs with L particles indeed reduced CD83 expression on uninfected bystander DCs, providing for the first time evidence that functional viral proteins are transmitted via L particles from infected mDCs to uninfected bystander cells, thereby inducing CD83 downmodulation. IMPORTANCE HSV-1 has evolved a number of strategies to evade the host's immune system. Among others, HSV-1 infection of mDCs results in an inhibited T cell activation caused by degradation of CD83. Interestingly, CD83 is lost not only from HSV-1-infected mDCs but also from uninfected bystander cells. The release of so-called L particles, which contain several viral proteins but lack capsid and DNA, during infection is a common phenomenon observed among several viruses, such as human cytomegalovirus (HCMV), Epstein-Barr virus, and HSV-1. However, the detailed function of these particles is poorly understood. Here, we provide for the first time evidence that functional viral proteins can be transferred to uninfected bystander mDCs via L particles, revealing important biological functions of these particles during lytic replication. Therefore, the transfer of viral proteins by L particles to modulate uninfected bystander cells may represent an additional strategy for viral immune escape.</t>
  </si>
  <si>
    <t>[Heilingloh, Christiane S.; Kummer, Mirko; Muehl-Zuerbes, Petra; Drassner, Christina; Steinkasserer, Alexander] Univ Hosp Erlangen, Dept Immune Modulat, Erlangen, Germany; [Daniel, Christoph; Klewer, Monika] Univ Hosp Erlangen, Dept Pathol, Nephropathol, Erlangen, Germany</t>
  </si>
  <si>
    <t>University of Erlangen Nuremberg; University of Erlangen Nuremberg</t>
  </si>
  <si>
    <t>Heilingloh, CS (corresponding author), Univ Hosp Erlangen, Dept Immune Modulat, Erlangen, Germany.</t>
  </si>
  <si>
    <t>christiane.heilingloh@uk-erlangen.de</t>
  </si>
  <si>
    <t>Daniel, Christoph/AAK-2136-2021</t>
  </si>
  <si>
    <t>Daniel, Christoph/0000-0002-6803-4755</t>
  </si>
  <si>
    <t>10.1128/JVI.01517-15</t>
  </si>
  <si>
    <t>WOS:000363465900028</t>
  </si>
  <si>
    <t>Culham, DE; Henderson, J; Crane, RA; Wood, JM</t>
  </si>
  <si>
    <t>Osmosensor ProP of Escherichia coli responds to the concentration, chemistry, and molecular size of osmolytes in the proteoliposome lumen</t>
  </si>
  <si>
    <t>COMPATIBLE SOLUTE ACCUMULATION; PROTEIN-DNA INTERACTIONS; PROLINE PORTER-II; POLY(ETHYLENE GLYCOL); TRANSPORTER PROP; GLYCINE BETAINE; CORYNEBACTERIUM-GLUTAMICUM; UNILAMELLAR VESICLES; OSMOTIC ACTIVATION; STRESS</t>
  </si>
  <si>
    <t>Transporter ProP of Escherichia coli mediates the cellular accumulation of organic zwitterions in response to increased extracellular osmolality. We compared and characterized the osmoregulation of ProP activity in cells and proteoliposomes to define the osmotic shift-induced cellular change(s) to which ProP responds. ProP-(HiS)(6) activity in cells and proteoliposomes was correlated with medium osmolality, not osmotic shift, turgor pressure, or membrane strain. Both K-M and V-max for proline uptake via Prop-(HiS)6 increased with increasing medium osmolality, as would be expected if osmolality controls the proportions of transporter with inactive and active conformations. The osmolality yielding, half-maximal ProP-(HiS)6 activity was higher in proteoliposomes than in cells. The osmolality response of ProP is also attenuated in bacteria lacking soluble protein ProQ. Indeed, the catalytic constant (k(cat)) for ProP-(HiS)(6) in proteoliposomes approximated that of ProP in intact bacteria lacking ProQ. Thus. the proteoliposome system may replicate a primary osmosensory response that can be further amplified by ProQ. ProP(HiS)(6) is designated as an osmosensor because its activity is dependent on the osmolality, but not the composition, of the assay medium to which the cell surface is exposed. In contrast, ProP-(HiS)(6) activity was dependent on both the osmolality and the composition of the lumen in osmolyte-loaded proteoliposomes. For proteoliposomes containing inorganic salts, glucose, or poly(ethylene glycol) 503, transporter activity correlated with total lumenal cation concentration. In contrast, for proteoliposomes loaded with larger poly(ethylene glycol)s, the osmolality, the lumenal cation concentration, and the lumenal ionic strength at half-maximal transporter activity decreased systematically with poly(ethylene glycol) radius of gyration (range 0.8-1.8 nm). These data suggest that ProP-(HiS)(6) responds to osmotically induced changes in both cytoplasmic K+ levels and the concentration of cytoplasmic macromolecules.</t>
  </si>
  <si>
    <t>Univ Guelph, Dept Microbiol, Guelph, ON N1G 2W1, Canada; Univ Guelph, Guelph &amp; Waterloo Ctr Chem &amp; Biochem, Guelph, ON N1G 2W1, Canada</t>
  </si>
  <si>
    <t>Wood, JM (corresponding author), Univ Guelph, Dept Microbiol, Guelph, ON N1G 2W1, Canada.</t>
  </si>
  <si>
    <t>jwood@uoguelph.ca</t>
  </si>
  <si>
    <t>10.1021/bi0264364</t>
  </si>
  <si>
    <t>WOS:000180472900019</t>
  </si>
  <si>
    <t>Agnetti, L; Fondello, C; Arbe, MF; Glikin, GC; Finocchiaro, LME</t>
  </si>
  <si>
    <t>Agnetti, Lucrecia; Fondello, Chiara; Arbe, Maria Florencia; Glikin, Gerardo C.; Finocchiaro, Liliana M. E.</t>
  </si>
  <si>
    <t>Particulate mediators of the bystander effect linked to suicide and interferon-beta transgene expression in melanoma cells</t>
  </si>
  <si>
    <t>SURGERY ADJUVANT TREATMENTS; CYTOKINE-ENHANCED VACCINE; BREAST-CANCER CELLS; EXTRACELLULAR VESICLES; GENE-THERAPY; EXOSOMES; BLEOMYCIN; MELANOCYTES; DELIVERY; DNA</t>
  </si>
  <si>
    <t>In the context of comparative oncology, melanoma cells derived from companion animal tumors are good models for optimizing and predicting their in vivo response to therapeutic strategies. Here, we report that human, canine, and feline melanoma cells driven to death by bleomycin, interferon-beta gene, or herpes simplex virus thymidine kinase/ganciclovir suicide gene (SG) treatment significantly increased their internal granularity. This fact correlated with the release of a heterogeneous collection of nano- and micro-sized granules as revealed by transmission electron microscopy. While killing lipofected cells, the expressed transgenes and their derived products were incorporated into these granules that were isolated by differential centrifugation. These particulate factors (PFs) were able to transfer, in a dose- and time-dependent manner, appreciable levels of therapeutic genes, related proteins, and drugs. Thus, when recipient cells of SG-carrying PFs were exposed to ganciclovir, this prodrug was efficiently activated, eliminating them. These PFs kept the functionality of their cargo, even after being subjected to adverse conditions, such as the presence of DNase, freezing, or heating. Since our in vitro system did not include any of the immune mechanisms that could provide additional antitumor activity, the chemo-gene treatments amplified by these delivery bags of therapeutic agents offer a great clinical potential.</t>
  </si>
  <si>
    <t>[Agnetti, Lucrecia; Fondello, Chiara; Arbe, Maria Florencia; Glikin, Gerardo C.; Finocchiaro, Liliana M. E.] Univ Buenos Aires, Inst Oncol Angel H Roffo, Unidad Transferencia Genet, Buenos Aires, DF, Argentina</t>
  </si>
  <si>
    <t>University of Buenos Aires</t>
  </si>
  <si>
    <t>Finocchiaro, LME (corresponding author), Univ Buenos Aires, Inst Oncol Angel H Roffo, Unidad Transferencia Genet, Buenos Aires, DF, Argentina.</t>
  </si>
  <si>
    <t>gglikin@bg.fcen.uba.ar</t>
  </si>
  <si>
    <t>10.1038/s41434-020-0136-x</t>
  </si>
  <si>
    <t>WOS:000517861300001</t>
  </si>
  <si>
    <t>Pradier, A; Ettelaie, C</t>
  </si>
  <si>
    <t>Pradier, Amandine; Ettelaie, Camille</t>
  </si>
  <si>
    <t>The influence of exogenous tissue factor on the regulators of proliferation and apoptosis in endothelial cells</t>
  </si>
  <si>
    <t>JOURNAL OF VASCULAR RESEARCH</t>
  </si>
  <si>
    <t>tissue factor; factor VIIa; cell cycle; apoptosis; cyclin D; Bax protein; endothelial cell</t>
  </si>
  <si>
    <t>PLATELET-DERIVED MICROVESICLES; FACTOR VIIA; IN-VITRO; EXPRESSION; P27(KIP1); BINDING; GENE; ANGIOGENESIS; INHIBITION; ACTIVATION</t>
  </si>
  <si>
    <t>Background: The exposure of tissue factor (TF) at the site of injury or trauma is a rapid process that leads to the initiation of blood coagulation as well as homeostatic processes giving rise to vascular repair. Aims and Methods: By exposing human endothelial cells to combinations of exogenous TF and factor VIIa (FVIIa) in serum-free medium, the influence of TF concentrations on cellular proliferation and apoptosis was investigated. Results: Lower concentrations of TF resulted in increased cellular proliferation as well as upregulation of cyclin D1, downregulation of p21 and p27 and induction of tube formation in vitro. Conversely, incubation with higher concentrations of TF resulted in the activation of caspase3, expression of p53 and Bax, translocation of p53 into the nucleus and induction of DNA fragmentation. Incubation of the cells with TF/FVIIa led to a lower proliferation rate with additional upregulation in p27. Conclusions: TF seems to have a bifunctional role in determining the fate of endothelial cells, depending on the concentration and the interactions of this protein. The release of TF in the locality of the injured tissue makes this protein an ideal factor for ascertaining the level of injury and determining the fate of the cells.</t>
  </si>
  <si>
    <t>Univ Hull, Dept Biol Sci, Biomed Sect, Kingston Upon Hull HU6 7RX, N Humberside, England</t>
  </si>
  <si>
    <t>University of Hull</t>
  </si>
  <si>
    <t>Ettelaie, C (corresponding author), Univ Hull, Dept Biol Sci, Biomed Sect, Cottingham Rd, Kingston Upon Hull HU6 7RX, N Humberside, England.</t>
  </si>
  <si>
    <t>C.Ettelaie@hull.ac.uk</t>
  </si>
  <si>
    <t>1018-1172</t>
  </si>
  <si>
    <t>1423-0135</t>
  </si>
  <si>
    <t>10.1159/000109074</t>
  </si>
  <si>
    <t>Physiology; Peripheral Vascular Disease</t>
  </si>
  <si>
    <t>Physiology; Cardiovascular System &amp; Cardiology</t>
  </si>
  <si>
    <t>WOS:000251436500003</t>
  </si>
  <si>
    <t>Sahu, N; Agarwal, P; Grandi, F; Bruschi, M; Goodman, S; Amanatullah, D; Bhutani, N</t>
  </si>
  <si>
    <t>Sahu, Neety; Agarwal, Pranay; Grandi, Fiorella; Bruschi, Michela; Goodman, Stuart; Amanatullah, Derek; Bhutani, Nidhi</t>
  </si>
  <si>
    <t>Encapsulated Mesenchymal Stromal Cell Microbeads Promote Endogenous Regeneration of Osteoarthritic Cartilage Ex Vivo</t>
  </si>
  <si>
    <t>mesenchymal stromal cells; osteoarthritis; paracrine; regeneration; secretome</t>
  </si>
  <si>
    <t>STEM-CELLS; GENE-THERAPY; PROLIFERATION; INFLAMMATION; APOPTOSIS; EXOSOMES; SURFACE; LIGAND; REPAIR; KNEE</t>
  </si>
  <si>
    <t>The anti-inflammatory secretome of mesenchymal stromal cells (MSCs) is lucrative for the treatment of osteoarthritis (OA), a disease characterized by low-grade inflammation. However, the precise effects of the MSC secretome on patient-derived OA tissue is lacking. To investigate these effects, alginate encapsulated MSCs are co-cultured with patient-derived OA cartilage explants for 8 days. Proteoglycan distribution in OA cartilage explants examined by Safranin O staining is markedly improved when cultured with MSC microbeads as compared to control OA explants cultured alone. Total sulfated glycosaminoglycan (sGAG) content in OA explants is significantly increased upon co-culture with MSC microbeads on day 8. The sGAG released into the culture media is unchanged by the presence of MSC microbeads, suggesting de novo sGAG synthesis in OA explants. Co-culture with MSC microbeads increased the DNA content and Ki67(+) cells in OA explants, indicating proliferation. An increase in secreted cytokines IL-10, HGF, and sFAS assessed by multiplex cytokine assay, increased TIMP1 levels, and reduction in percent apoptotic cells in OA explants is noted. Together, data demonstrates that paracrine factors secreted by alginate encapsulated MSCs microbeads in response to OA cartilage, create an anabolic, proliferative, and anti-apoptotic microenvironment inducing endogenous regeneration in clinically relevant, patient-derived OA cartilage.</t>
  </si>
  <si>
    <t>[Sahu, Neety; Agarwal, Pranay; Bruschi, Michela; Goodman, Stuart; Amanatullah, Derek; Bhutani, Nidhi] Stanford Univ, Sch Med, Dept Orthopaed Surg, Stanford, CA 94305 USA; [Grandi, Fiorella] Univ Calif San Francisco, Gladstone Inst, Neurol Dis Inst, San Francisco, CA 94107 USA</t>
  </si>
  <si>
    <t>Stanford University; University of California System; University of California San Francisco; The J David Gladstone Institutes</t>
  </si>
  <si>
    <t>Bhutani, N (corresponding author), Stanford Univ, Sch Med, Dept Orthopaed Surg, Stanford, CA 94305 USA.</t>
  </si>
  <si>
    <t>nbhutani@stanford.edu</t>
  </si>
  <si>
    <t>Sahu, Neety/AAG-5153-2021</t>
  </si>
  <si>
    <t>Sahu, Neety/0000-0001-5355-0514; Amanatullah, Derek/0000-0002-6203-5853; Goodman, Stuart/0000-0002-1919-3717; Bruschi, Michela/0000-0002-0804-7511; Agarwal, Pranay/0000-0002-8870-9641; Grandi, Fiorella/0000-0002-1303-6710</t>
  </si>
  <si>
    <t>10.1002/adhm.202002118</t>
  </si>
  <si>
    <t>WOS:000606960100001</t>
  </si>
  <si>
    <t>Jiang, JL; Woulfe, DS; Papoutsakis, ET</t>
  </si>
  <si>
    <t>Jiang, Jinlin; Woulfe, Donna S.; Papoutsakis, Eleftherios T.</t>
  </si>
  <si>
    <t>Shear enhances thrombopoiesis and formation of microparticles that induce megakaryocytic differentiation of stem cells</t>
  </si>
  <si>
    <t>ENDOTHELIAL PROGENITOR CELLS; PLATELET PRODUCTION; CASPASE ACTIVATION; IN-VITRO; STRESS; APOPTOSIS; MICROVESICLES; PROLIFERATION; PATHWAY; MECHANISMS</t>
  </si>
  <si>
    <t>In vivo visualization of thrombopoiesis suggests an important role for shear flow in platelet biogenesis. In vitro, shear stress was shown to accelerate proplatelet formation from mature megakaryocytes (Mks). Yet, the role of biomechanical forces on Mk biology and platelet biogenesis remains largely unexplored. In this study, we investigated the impact of shear stress on Mk maturation and formation of platelet-like particles (PLPs), pro/preplatelets (PPTs), and Mk microparticles (MkMPs), and furthermore, we explored a physiological role for MkMPs. We found that shear accelerated DNA synthesis of immature Mks in an exposure time-and shear stress level-dependent manner. Both phosphatidylserine exposure and caspase-3 activation were enhanced by shear stress. Exposure to physiological shear dramatically increased generation of PLPs/PPTs and MkMPs by upto 10.8 and 47-fold, respectively. Caspase-3 inhibition reduced shear-induced PLP/PPT and MkMP formation. PLPs generated under shear flow displayed improved functionality as assessed by CD62P exposure and fibrinogen binding. Significantly, coculture of MkMPs with hematopoietic stem and progenitor cells promoted hematopoietic stem and progenitor cell differentiation to mature Mks synthesizing alpha-and dense-granules, and forming PPTs without exogenous thrombopoietin, thus identifying a novel and unexplored potential physiological role for MkMPs.</t>
  </si>
  <si>
    <t>[Jiang, Jinlin; Papoutsakis, Eleftherios T.] Univ Delaware, Dept Chem &amp; Biomol Engn, Newark, DE USA; [Jiang, Jinlin; Papoutsakis, Eleftherios T.] Univ Delaware, Delaware Biotechnol Inst, Newark, DE USA; [Woulfe, Donna S.; Papoutsakis, Eleftherios T.] Univ Delaware, Dept Biol Sci, Newark, DE USA</t>
  </si>
  <si>
    <t>Papoutsakis, ET (corresponding author), Delaware Biotechnol Inst, 15 Innovat Way, Newark, DE 19711 USA.</t>
  </si>
  <si>
    <t>Papoutsakis, Eleftherios/0000-0002-1077-1277</t>
  </si>
  <si>
    <t>10.1182/blood-2014-01-547927</t>
  </si>
  <si>
    <t>WOS:000342763500016</t>
  </si>
  <si>
    <t>Zhuang, GL; Wu, XM; Jiang, ZS; Kasman, I; Yao, J; Guan, YH; Oeh, J; Modrusan, Z; Bais, C; Sampath, D; Ferrara, N</t>
  </si>
  <si>
    <t>Zhuang, Guanglei; Wu, Xiumin; Jiang, Zhaoshi; Kasman, Ian; Yao, Jenny; Guan, Yinghui; Oeh, Jason; Modrusan, Zora; Bais, Carlos; Sampath, Deepak; Ferrara, Napoleone</t>
  </si>
  <si>
    <t>Tumour-secreted miR-9 promotes endothelial cell migration and angiogenesis by activating the JAK-STAT pathway</t>
  </si>
  <si>
    <t>angiogenesis; endothelium; JAK-STAT; microRNA; tumour</t>
  </si>
  <si>
    <t>GROWTH-FACTOR; CIRCULATING MICRORNAS; CANCER; MICROVESICLES; TARGETS; COMMUNICATION; SIGNATURES; MEDIATORS; RESOURCE; PLASMA</t>
  </si>
  <si>
    <t>Angiogenesis plays a crucial role during tumorigenesis and much progress has been recently made in elucidating the role of VEGF and other growth factors in the regulation of angiogenesis. Recently, microRNAs (miRNAs) have been shown to modulate a variety of physiogical and pathological processes. We identified a set of differentially expressed miRNAs in microvascular endothelial cells co-cultured with tumour cells. Unexpectedly, most miRNAs were derived from tumour cells, packaged intomicrovesicles (MVs), and then directly delivered to endothelial cells. Among these miRNAs, we focused on miR-9 due to the strong morphological changes induced in cultured endothelial cells. We found that exogenous miR-9 effectively reduced SOCS5 levels, leading to activated JAK-STAT pathway. This signalling cascade promoted endothelial cell migration and tumour angiogenesis. Remarkably, administration of anti-miR-9 or JAK inhibitors suppressed MV-induced cell migration in vitro and decreased tumour burden in vivo. Collectively, these observations suggest that tumour-secreted miRNAs participate in intercellular communication and function as a novel pro-angiogenic mechanism. The EMBO Journal (2012) 31, 3513-3523. doi: 10.1038/emboj.2012.183; Published online 6 July 2012 Subject Categories: RNA; molecular biology of disease</t>
  </si>
  <si>
    <t>[Zhuang, Guanglei; Wu, Xiumin; Jiang, Zhaoshi; Kasman, Ian; Yao, Jenny; Guan, Yinghui; Oeh, Jason; Modrusan, Zora; Bais, Carlos; Sampath, Deepak; Ferrara, Napoleone] Genentech Inc, San Francisco, CA 94080 USA</t>
  </si>
  <si>
    <t>Roche Holding; Genentech</t>
  </si>
  <si>
    <t>Ferrara, N (corresponding author), Genentech Inc, 1 DNA Way, San Francisco, CA 94080 USA.</t>
  </si>
  <si>
    <t>nf@gene.com</t>
  </si>
  <si>
    <t>Zhuang, Guanglei/K-6097-2013</t>
  </si>
  <si>
    <t>Zhuang, Guanglei/0000-0001-8141-5096</t>
  </si>
  <si>
    <t>10.1038/emboj.2012.183</t>
  </si>
  <si>
    <t>WOS:000308390700003</t>
  </si>
  <si>
    <t>Nielson, CM; Jacobs, JM; Orwoll, ES</t>
  </si>
  <si>
    <t>Nielson, Carrie M.; Jacobs, Jon M.; Orwoll, Eric S.</t>
  </si>
  <si>
    <t>Proteomic studies of bone and skeletal health outcomes</t>
  </si>
  <si>
    <t>Bone; Proteomics</t>
  </si>
  <si>
    <t>TARGETED PROTEOMICS; PLASMA PROTEOME; QUANTIFICATION; SPECTROMETRY; PROTEINS; IDENTIFICATION; CHROMATOGRAPHY; STRATEGY; EXOSOMES; BIOLOGY</t>
  </si>
  <si>
    <t>Proteins are an essential part of essentially all biological processes, and there is enormous variation in protein forms and concentrations that is not reflected in DNA or RNA. Recently there have been rapid advances in the ability to measure protein sequence, modification and concentration, particularly with methods based in mass spectrometry. Global measures of proteins in tissues or in the circulation provide a broad assessment of the proteome that can be extremely useful for discovery, and targeted proteomic measures can yield specific and sensitive assessments of specific peptides and proteins. While most proteomic measures are directed at the detection of consensus peptide sequences, mass spectrometry based proteomic methods also allow a detailed examination of the peptide sequence differences that result from genetic variants and that may have important effects on protein function. In evaluating proteomic data, a number of analytical considerations are important, including an understanding of missing data, the challenge of multiple testing and replication, and the use of rapidly evolving methods in systems biology. While proteomics has not yet had a major impact in skeletal research, interesting recent research has used these approaches in the study of bone cell biology and the discovery of biomarkers of skeletal disorders. Proteomics can be expected to have an increasing influence in the study of bone biology and pathophysiology.</t>
  </si>
  <si>
    <t>[Nielson, Carrie M.; Orwoll, Eric S.] Oregon Hlth &amp; Sci Univ, 3191 SW Sam Jackson Pk Rd, Portland, OR 97239 USA; [Jacobs, Jon M.] Pacific Northwest Natl Lab, Richland, WA 99352 USA</t>
  </si>
  <si>
    <t>Oregon Health &amp; Science University; United States Department of Energy (DOE); Pacific Northwest National Laboratory</t>
  </si>
  <si>
    <t>Orwoll, ES (corresponding author), Oregon Hlth &amp; Sci Univ, 3191 SW Sam Jackson Pk Rd, Portland, OR 97239 USA.</t>
  </si>
  <si>
    <t>orwoll@ohsu.edu</t>
  </si>
  <si>
    <t>1873-2763</t>
  </si>
  <si>
    <t>10.1016/j.bone.2019.03.032</t>
  </si>
  <si>
    <t>WOS:000477790000004</t>
  </si>
  <si>
    <t>Wei, YM; Hou, HX; Zhang, LS; Zhao, NH; Li, CW; Huo, JL; Liu, Y; Zhang, WX; Li, ZJ; Liu, DK; Han, ZB; Zhang, L; Song, BQ; Chi, Y; Han, ZC</t>
  </si>
  <si>
    <t>Wei, Yimeng; Hou, Huixing; Zhang, Leisheng; Zhao, Nianhuan; Li, Chengwen; Huo, Jiali; Liu, Ying; Zhang, Wenxia; Li, Zongjin; Liu, Dengke; Han, Zhibo; Zhang, Lei; Song, Baoquan; Chi, Ying; Han, Zhongchao</t>
  </si>
  <si>
    <t>JNKi- and DAC-programmed mesenchymal stem/stromal cells from hESCs facilitate hematopoiesis and alleviate hind limb ischemia</t>
  </si>
  <si>
    <t>Programming; MSCs; Hematopoiesis; Hind limb ischemia; hESCs</t>
  </si>
  <si>
    <t>EMBRYONIC STEM-CELLS; STROMAL CELLS; BONE-MARROW; GENERATION; EXOSOMES; PATHWAY</t>
  </si>
  <si>
    <t>BackgroundMesenchymal stem/stromal cells (MSCs) derived from human embryonic stem cells (hESCs) are attractive for their hematopoietic-supporting or potential therapeutic effects. However, procedures for high-effective and scalable generation of MSCs from hESCs within 2weeks are still unestablished, which also hinder the development and mechanism study of mesengenesis.MethodsIn this study, we aimed to establish a strategy for programming hESC differentiation into MSCs by practicing small-scale chemical compound screening. Then, we used flow cytometry, multi-lineage differentiation, and karyotype analyses to investigate the biological phenotypes of the derived hESC-MSCs. Also, to explore whether the derived cells had hematopoietic-supporting ability in vitro, we carried out the cobblestone formation and megakaryocytic differentiation experiments. To further evaluate the function of hESC-MSCs in vivo, we transplanted the cells into a mouse model with hind limb ischemia.ResultsBy simultaneous treatments with a JAK/STAT antagonist and a DNA methylation inhibitor, the efficiency of generating hESCs into CD73(+) hESC-MPCs could reach 60% within 7days. The derived cells further matured into hESC-MSCs, with comparable characteristics to those of adult MSCs in terms of surface markers, normal karyotype, and the potential for adipogenic, osteogenic, and chondrogenic differentiation. Functionally, hESC-MSCs had hematopoietic-supporting effects in vitro and could notably relieve symptoms of hind limb ischemia.ConclusionsIn the study, we established a high-efficient procedure for large-scale generation of MSCs from hESCs, which would be of great help for genesis and mechanism studies of MSCs. Meanwhile, the derived cells provide an alternative for translational clinical research.</t>
  </si>
  <si>
    <t>[Wei, Yimeng; Zhang, Leisheng; Li, Chengwen; Huo, Jiali; Liu, Ying; Zhang, Wenxia; Han, Zhibo; Zhang, Lei; Chi, Ying; Han, Zhongchao] Chinese Acad Med Sci, State Key Lab Expt Hematol, Inst Hematol, 288 Nanjing Rd, Tianjin 300020, Peoples R China; [Wei, Yimeng; Zhang, Leisheng; Li, Chengwen; Huo, Jiali; Liu, Ying; Zhang, Wenxia; Han, Zhibo; Zhang, Lei; Chi, Ying; Han, Zhongchao] Chinese Acad Med Sci, Blood Dis Hosp, 288 Nanjing Rd, Tianjin 300020, Peoples R China; [Wei, Yimeng; Zhang, Leisheng; Li, Chengwen; Huo, Jiali; Liu, Ying; Zhang, Wenxia; Han, Zhibo; Zhang, Lei; Chi, Ying; Han, Zhongchao] Peking Union Med Coll, 288 Nanjing Rd, Tianjin 300020, Peoples R China; [Hou, Huixing; Zhao, Nianhuan] Tianjin Med Univ, Dept Gastroenterol &amp; Hepatol, Gen Hosp, Tianjin 300052, Peoples R China; [Hou, Huixing; Zhang, Leisheng; Zhao, Nianhuan; Li, Zongjin] Nankai Univ, Sch Med, Tianjin 300071, Peoples R China; [Zhang, Leisheng; Li, Zongjin] Nankai Univ, Coll Life Sci, Postdoctoral Res Stn, Tianjin 300071, Peoples R China; [Zhang, Leisheng; Liu, Dengke] Tianjin Chase Sun Pharmaceut Co Ltd, Enterprise Postdoctoral Working Stn, Tianjin 301700, Peoples R China; [Zhang, Leisheng; Han, Zhongchao] Hlth Biotech Tianjin Stem Cell Res Inst Co Ltd, Precis Med Div, Tianjin 301700, Peoples R China; [Zhang, Leisheng; Han, Zhibo; Han, Zhongchao] Jiangxi Hlth Biotech Stem Cell Technol Co Ltd, Jiangxi Res Ctr Stem Cell Engn, Shangrao 334000, Peoples R China; [Song, Baoquan] Soochow Univ, Jiangsu Inst Hematol, Affiliated Hosp 1, Suzhou 215006, Peoples R China</t>
  </si>
  <si>
    <t>Chinese Academy of Medical Sciences - Peking Union Medical College; Institute of Hematology &amp; Blood Diseases Hospital - CAMS; Chinese Academy of Medical Sciences - Peking Union Medical College; Institute of Hematology &amp; Blood Diseases Hospital - CAMS; Chinese Academy of Medical Sciences - Peking Union Medical College; Peking Union Medical College; Tianjin Medical University; Nankai University; Nankai University; Soochow University - China</t>
  </si>
  <si>
    <t>Zhang, LS; Chi, Y; Han, ZC (corresponding author), Chinese Acad Med Sci, State Key Lab Expt Hematol, Inst Hematol, 288 Nanjing Rd, Tianjin 300020, Peoples R China.;Zhang, LS; Chi, Y; Han, ZC (corresponding author), Chinese Acad Med Sci, Blood Dis Hosp, 288 Nanjing Rd, Tianjin 300020, Peoples R China.;Zhang, LS; Chi, Y; Han, ZC (corresponding author), Peking Union Med Coll, 288 Nanjing Rd, Tianjin 300020, Peoples R China.;Song, BQ (corresponding author), Soochow Univ, Jiangsu Inst Hematol, Affiliated Hosp 1, Suzhou 215006, Peoples R China.</t>
  </si>
  <si>
    <t>leisheng_zhang@163.com; songbaoquan@126.com; caizhuying@126.com; hanzhongchao@hotmail.com</t>
  </si>
  <si>
    <t>Zhang, Leisheng/AAM-1258-2020; Xue, Fu-Shan/ADO-0664-2022; Li, Zongjin/G-3118-2010; Li, Zongjin/A-1115-2014; hou, hou/AHB-6907-2022</t>
  </si>
  <si>
    <t>Li, Zongjin/0000-0002-4603-3743; Li, Zongjin/0000-0002-4603-3743; Zhang, Leisheng/0000-0001-6540-0943; Zhang, Lei/0000-0001-7769-7377</t>
  </si>
  <si>
    <t>10.1186/s13287-019-1302-1</t>
  </si>
  <si>
    <t>WOS:000472941700004</t>
  </si>
  <si>
    <t>Lavado-Garcia, J; Cervera, L; Godia, F</t>
  </si>
  <si>
    <t>Lavado-Garcia, Jesus; Cervera, Laura; Godia, Francesc</t>
  </si>
  <si>
    <t>An Alternative Perfusion Approach for the Intensification of Virus-Like Particle Production in HEK293 Cultures</t>
  </si>
  <si>
    <t>bioreactor; perfusion; ATF; design of experiments; VLP; HFM</t>
  </si>
  <si>
    <t>TANGENTIAL FLOW FILTRATION; CELL-DENSITY CULTIVATIONS; TRANSIENT TRANSFECTION; GENE-EXPRESSION; VLP PRODUCTION; DECORATION; EXOSOMES; STRATEGY</t>
  </si>
  <si>
    <t>Virus-like particles (VLPs) have gained interest over the last years as recombinant vaccine formats, as they generate a strong immune response and present storage and distribution advantages compared to conventional vaccines. Therefore, VLPs are being regarded as potential vaccine candidates for several diseases. One requirement for their further clinical testing is the development of scalable processes and production platforms for cell-based viral particles. In this work, the extended gene expression (EGE) method, which consists in consecutive media replacements combined with cell retransfections, was successfully optimized and transferred to a bioreactor operating in perfusion. A process optimization using design of experiments (DoE) was carried out to obtain optimal values for the time of retransfection, the cell specific perfusion rate (CSPR) and transfected DNA concentration, improving 86.7% the previously reported EGE protocol in HEK293. Moreover, it was successfully implemented at 1.5L bioreactor using an ATF as cell retention system achieving concentrations of 6.8 center dot 10(10)VLP/mL. VLP interaction with the ATF hollow fibers was studied via confocal microscopy, field emission scanning electron microscopy, and nanoparticle tracking analysis to design a bioprocess capable of separating unassembled Gag monomers and concentrate VLPs in one step.</t>
  </si>
  <si>
    <t>[Lavado-Garcia, Jesus; Cervera, Laura; Godia, Francesc] Univ Autonoma Barcelona, Escola Engn, Grp Engn Cellular &amp; Bioproc, Barcelona, Spain</t>
  </si>
  <si>
    <t>Autonomous University of Barcelona</t>
  </si>
  <si>
    <t>Lavado-Garcia, J (corresponding author), Univ Autonoma Barcelona, Escola Engn, Grp Engn Cellular &amp; Bioproc, Barcelona, Spain.</t>
  </si>
  <si>
    <t>Lavado-García, Jesús/AAX-1460-2020</t>
  </si>
  <si>
    <t>Lavado-García, Jesús/0000-0001-9993-6332</t>
  </si>
  <si>
    <t>10.3389/fbioe.2020.00617</t>
  </si>
  <si>
    <t>WOS:000548400700001</t>
  </si>
  <si>
    <t>Bi, DD; Almpanis, A; Noel, A; Deng, YS; Schober, R</t>
  </si>
  <si>
    <t>Bi, Dadi; Almpanis, Apostolos; Noel, Adam; Deng, Yansha; Schober, Robert</t>
  </si>
  <si>
    <t>A Survey of Molecular Communication in Cell Biology: Establishing a New Hierarchy for Interdisciplinary Applications</t>
  </si>
  <si>
    <t>IEEE COMMUNICATIONS SURVEYS AND TUTORIALS</t>
  </si>
  <si>
    <t>Biology; Computer architecture; Chemicals; Sensors; Synthetic biology; Protocols; Tools; Cell biology; chemical reactions; diffusion; hierarchy; interdisciplinary applications; level; microfluidics; molecular communication; signaling pathways; synthetic biology</t>
  </si>
  <si>
    <t>DRUG-DELIVERY SYSTEMS; GAP-JUNCTION CHANNEL; MAGNETIC NANOPARTICLES; PHENOTYPIC HETEROGENEITY; BACTERIAL COMMUNICATION; EXTRACELLULAR VESICLES; INFORMATION CAPACITY; MICROFLUIDIC SYSTEMS; RECENT ADVANCEMENTS; ANALOG COMPUTATION</t>
  </si>
  <si>
    <t>Molecular communication (MC) engineering is inspired by the use of chemical signals as information carriers in cell biology. The biological nature of chemical signaling makes MC a promising methodology for interdisciplinary applications requiring communication between cells and other microscale devices. However, since the life sciences and communications engineering fields have distinct approaches to formulating and solving research problems, the mismatch between them can hinder the translation of research results and impede the development and implementation of interdisciplinary solutions. To bridge this gap, this survey proposes a novel communication hierarchy for MC signaling in cell biology and maps phenomena, contributions, and problems to the hierarchy. The hierarchy includes: 1) the physical propagation of cell signaling at the Physical Signal Propagation level; 2) the generation, reception, and biochemical pathways of molecular signals at the Physical and Chemical Signal Interaction level; 3) the quantification of physical signals, including macroscale observation and control methods, and conversion of signals to information at the Signal-Data Interface level; 4) the interpretation of information in cell signals and the realization of synthetic systems to store, process, and communicate molecular signals at the Local Data Abstraction level; and 5) applications relying on communication with MC signals at the Application level. To further demonstrate the proposed hierarchy, it is applied to case studies on quorum sensing, neuronal signaling, and communication via DNA. Finally, several open problems are identified for each level and the integration of multiple levels. The proposed hierarchy provides language for communication engineers to study and interface with biological systems, and also helps biologists to understand how communications engineering concepts can be exploited to interpret, control, and manipulate signaling in cell biology.</t>
  </si>
  <si>
    <t>[Bi, Dadi; Deng, Yansha] Kings Coll London, Dept Engn, London WC2R 2LS, England; [Almpanis, Apostolos; Noel, Adam] Univ Warwick, Sch Engn, Coventry CV4 7AL, W Midlands, England; [Schober, Robert] Friedrich Alexander Univ Erlangen Nurnberg, Inst Digital Commun, D-91058 Erlangen, Germany</t>
  </si>
  <si>
    <t>University of London; King's College London; University of Warwick; University of Erlangen Nuremberg</t>
  </si>
  <si>
    <t>Deng, YS (corresponding author), Kings Coll London, Dept Engn, London WC2R 2LS, England.</t>
  </si>
  <si>
    <t>dadi.bi@kcl.ac.uk; tolis.almpanis@warwick.ac.uk; adam.noel@warwick.ac.uk; yansha.deng@kcl.ac.uk; robert.schober@fau.de</t>
  </si>
  <si>
    <t>Noel, Adam/0000-0003-0508-6467; Almpanis, Apostolos/0000-0002-0381-1111</t>
  </si>
  <si>
    <t>1553-877X</t>
  </si>
  <si>
    <t>10.1109/COMST.2021.3066117</t>
  </si>
  <si>
    <t>Computer Science, Information Systems; Telecommunications</t>
  </si>
  <si>
    <t>Computer Science; Telecommunications</t>
  </si>
  <si>
    <t>WOS:000688449200004</t>
  </si>
  <si>
    <t>Leger, JL; Jougleux, JL; Savadogo, F; Pichaud, N; Boudreau, LH</t>
  </si>
  <si>
    <t>Leger, Jacob L.; Jougleux, Jean-Luc; Savadogo, Fanta; Pichaud, Nicolas; Boudreau, Luc H.</t>
  </si>
  <si>
    <t>Rapid isolation and purification of functional platelet mitochondria using a discontinuous Percoll gradient</t>
  </si>
  <si>
    <t>Mitochondria isolation; mitochondria membrane integrity; Percoll extraction method; platelet-derived microparticles; platelet-derived mitochondria</t>
  </si>
  <si>
    <t>RAT-BRAIN; MUSCLE; RELEASE; MICROPARTICLE; MICROVESICLES; RESPIRATION; CAPACITY; DISEASE; FIBERS; OXYGEN</t>
  </si>
  <si>
    <t>The isolation of mitochondria is gaining importance in experimental and clinical laboratory settings. The mitochondrion is known as the powerhouse of the cell as it produces the energy to power most cellular functions but is also involved in many cellular processes. Of interest, mitochondria and mitochondrial components (i.e. circular DNA, N-formylated peptides, cardiolipin) have been involved in several human inflammatory pathologies, such as cancer, Alzheimer's disease, Parkinson's disease, and rheumatoid arthritis. Therefore, stringent methods of isolation and purification of mitochondria are of the utmost importance in assessing mitochondrial-related diseases. While several mitochondrial isolation methods have been previously published, these techniques are aimed at yielding mitochondria from cells types other than platelets. In addition, little information is known on the number of platelet-derived microparticles that can contaminate the mitochondrial preparation or even the overall quality and integrity of the mitochondria. In this project, we provide an alternate purification method yielding mitochondria of high purity and integrity from human platelets. Using human platelets, flow cytometry and transmission electron microscopy experiments were performed to demonstrate that the Percoll gradient method yielded significantly purified mitochondria by removing platelet membrane debris. Mitochondrial respiration following the substrate-uncoupler-inhibitor-titration (SUIT) protocol was similar in both the purified and crude mitochondrial extraction methods. Finally, the cytochrome c effect and JC-1 staining did not exhibit a significant difference between the two methods, suggesting that the mitochondrial integrity was not affected. Our study suggests that the Percoll discontinuous gradient purifies viable platelet-derived mitochondria by removing platelet-derived debris, including microparticles, therefore confirming that this isolation method is ideal for studying the downstream effects of intact mitochondria in mitochondrial-related diseases.</t>
  </si>
  <si>
    <t>[Leger, Jacob L.; Jougleux, Jean-Luc; Savadogo, Fanta; Pichaud, Nicolas; Boudreau, Luc H.] Univ Moncton, Dept Chem &amp; Biochem, Moncton, NB E1A 3E9, Canada</t>
  </si>
  <si>
    <t>University of Moncton</t>
  </si>
  <si>
    <t>Boudreau, LH (corresponding author), Univ Moncton, Dept Chem &amp; Biochem, Moncton, NB E1A 3E9, Canada.</t>
  </si>
  <si>
    <t>luc.boudreau@umoncton.ca</t>
  </si>
  <si>
    <t>Pichaud, Nicolas/0000-0002-2820-8124; Boudreau, Luc H/0000-0002-3674-5026</t>
  </si>
  <si>
    <t>10.1080/09537104.2019.1609666</t>
  </si>
  <si>
    <t>MAY 2019</t>
  </si>
  <si>
    <t>WOS:000470504100001</t>
  </si>
  <si>
    <t>Steppert, P; Burgstaller, D; Klausberger, M; Kramberger, P; Tover, A; Berger, E; Nobauer, K; Razzazi-Fazeli, E; Jungbauer, A</t>
  </si>
  <si>
    <t>Steppert, Petra; Burgstaller, Daniel; Klausberger, Miriam; Kramberger, Petra; Tover, Andres; Berger, Eva; Nobauer, Katharina; Razzazi-Fazeli, Ebrahim; Jungbauer, Alois</t>
  </si>
  <si>
    <t>Separation of HIV-1 gag virus-like particles from vesicular particles impurities by hydroxyl-functionalized monoliths</t>
  </si>
  <si>
    <t>JOURNAL OF SEPARATION SCIENCE</t>
  </si>
  <si>
    <t>hydrophobic interaction chromatography; mixed mode chromatography; monoliths; viruses; virus-like particles</t>
  </si>
  <si>
    <t>HYDROPHOBIC INTERACTION CHROMATOGRAPHY; PERFORMANCE MEMBRANE CHROMATOGRAPHY; POLYMETHACRYLATE MONOLITHS; ENVELOPED VIRUSES; HOST PROTEINS; ION-EXCHANGE; PURIFICATION; CELL; VACCINES; MICROVESICLES</t>
  </si>
  <si>
    <t>The downstream processing of enveloped virus-like particles is very challenging because of the biophysical and structural similarity between correctly assembled particles and contaminating vesicular particles present in the feedstock. We used hydroxyl-functionalized polymethacrylate monoliths, providing hydrophobic and electrostatic binding contributions, for the purification of HIV-1 gag virus-like particles. The clarified culture supernatant was conditioned with ammonium sulfate and after membrane filtration loaded onto a 1 mL monolith. The binding capacity was 2 x 10(12)/mL monolith and was only limited by the pressure drop. By applying either a linear or a step gradient elution, to decrease the ammonium sulfate concentration, the majority of double-stranded DNA (88-90%) and host cell protein impurities (39-61%) could be removed while the particles could be separated into two fractions. Proteomic analysis and evaluation of the p24 concentration showed that one fraction contained majority of the HIV-1 gag and the other fraction was less contaminated with proteins originated from intracellular compartments. We were able to process up to 92 bed volumes of conditioned loading material within 3 h and eluted in average 7.3 x 10(11) particles per particle fraction, which is equivalent to 730 vaccination doses of 1 x 10(9) particles.</t>
  </si>
  <si>
    <t>[Steppert, Petra; Burgstaller, Daniel; Klausberger, Miriam; Jungbauer, Alois] Univ Nat Resources &amp; Life Sci, Dept Biotechnol, Muthgasse 18, A-1190 Vienna, Austria; [Kramberger, Petra] BIA Separat Doo, Ajdovscina, Slovakia; [Tover, Andres] Icosagen AS, Tartumaa, Estonia; [Berger, Eva; Jungbauer, Alois] Austrian Ctr Ind Biotechnol, Vienna, Austria; [Nobauer, Katharina; Razzazi-Fazeli, Ebrahim] Univ Vet Med Vienna, VetCore Facil Res, Vienna, Austria</t>
  </si>
  <si>
    <t>Jungbauer, A (corresponding author), Univ Nat Resources &amp; Life Sci, Dept Biotechnol, Muthgasse 18, A-1190 Vienna, Austria.</t>
  </si>
  <si>
    <t>Klausberger, Miriam/0000-0001-8409-454X; Steppert, Petra/0000-0002-0165-8045; Razzazi-Fazeli, Ebrahim/0000-0002-3343-0301; Jungbauer, Alois/0000-0001-8182-7728</t>
  </si>
  <si>
    <t>1615-9306</t>
  </si>
  <si>
    <t>1615-9314</t>
  </si>
  <si>
    <t>10.1002/jssc.201600765</t>
  </si>
  <si>
    <t>WOS:000397828000020</t>
  </si>
  <si>
    <t>Sha, S; Tan, J; Miao, YY; Zhang, Q</t>
  </si>
  <si>
    <t>Sha, Sha; Tan, Jin; Miao, Yuyang; Zhang, Qiang</t>
  </si>
  <si>
    <t>The Role of Autophagy in Hypoxia-Induced Neuroinflammation</t>
  </si>
  <si>
    <t>microglia; inflammation; inflammatory factors; signaling pathway</t>
  </si>
  <si>
    <t>ISCHEMIC BRAIN-INJURY; TOLL-LIKE RECEPTORS; GROUP BOX 1; ISCHEMIA/REPERFUSION INJURY; ACTIVATION; HMGB1; INFLAMMATION; MICROGLIA; PROTECTS; EXOSOMES</t>
  </si>
  <si>
    <t>Autophagy is a critical cytoprotective mechanism that takes a hand in innate or adaptive immune responses. Hypoxia is a common pathophysiological mechanism that can lead to systemic pathological reactions. In recent years, the impact of hypoxia on the central nervous system has attracted more attention. In the past, autophagy was thought to be directly involved in the apoptosis of nerve cells under hypoxia. An increasing amount of evidence shows that the neuroinflammatory response plays an indispensable role in the neural damage caused by hypoxia. There are many mechanisms related to the neuroinflammatory response induced by hypoxia, among which autophagy is an important aspect, but the role of autophagy is still unclear. This article focuses on how autophagy flux of central immune cells is modified under hypoxic conditions, and how this autophagy affects neuroinflammatory response.</t>
  </si>
  <si>
    <t>[Sha, Sha; Tan, Jin; Zhang, Qiang] Tianjin Med Univ Gen Hosp, Tianjin Geriatr Inst, Dept Geriatr, Anshan Rd 154, Tianjin 300052, Peoples R China; [Miao, Yuyang] Tianjin Med Univ, Tianjin, Peoples R China</t>
  </si>
  <si>
    <t>Zhang, Q (corresponding author), Tianjin Med Univ Gen Hosp, Tianjin Geriatr Inst, Dept Geriatr, Anshan Rd 154, Tianjin 300052, Peoples R China.</t>
  </si>
  <si>
    <t>zhangqiangyulv@163.com</t>
  </si>
  <si>
    <t>10.1089/dna.2020.6186</t>
  </si>
  <si>
    <t>WOS:000650332200001</t>
  </si>
  <si>
    <t>Lillehoj, HS; Jang, SI; Lee, SH; Lillehoj, EP</t>
  </si>
  <si>
    <t>Niewold, T</t>
  </si>
  <si>
    <t>Lillehoj, H. S.; Jang, S. I.; Lee, S. H.; Lillehoj, E. P.</t>
  </si>
  <si>
    <t>Avian coccidiosis as a prototype intestinal disease - host protective immunity and novel disease control strategies</t>
  </si>
  <si>
    <t>INTESTINAL HEALTH: KEY TO MAXIMISE GROWTH PERFORMANCE IN LIVESTOCK</t>
  </si>
  <si>
    <t>chicken; Eimeria; antibiotic; gut; disease</t>
  </si>
  <si>
    <t>PERIPHERAL-BLOOD LYMPHOCYTES; MESSENGER-RNA EXPRESSION; CELL-DERIVED EXOSOMES; CHICKEN MONOCLONAL-ANTIBODIES; EIMERIA-ACERVULINA INFECTION; SUBUNIT ANTIGEN VACCINATION; CD8(+) T-LYMPHOCYTES; DENDRITIC CELLS; DNA VACCINE; IFN-GAMMA</t>
  </si>
  <si>
    <t>Poultry meat consumption has increased globally by 50% since 2000, accounting for greater than 100 million tons in 2012. Multiple challenges confront the rising demand for poultry food products, including governmental restrictions on the use of antibiotic growth promoters and novel feedstuffs, high-density production conditions, waste management, and the emergence of infectious pathogens, particularly those that cause intestinal diseases. There is little doubt that in-feed antibiotics has dramatically increased the efficiency of commercial poultry production over the last 50 years. However, antibiotic usage in chickens has raised concerns regarding chemical residues in the poultry food products, and has directly led to the appearance of antibiotic resistance among avian pathogens that has the potential to be transferred to humans pathogens. Much interest, therefore, has focused on the development of alternative, antibiotic-free methods of commercial poultry production. Additionally, identification of new chicken genetic markers opens the door for the development of novel chicken breeds with increased resistance to infectious diseases through gene modifications and DNA-based selection strategies. This chapter addresses alternatives to antibiotics in the context of avian coccidiosis, a prototypical intestinal disease of chickens. First, the biology of Eimeria, the causative agent of coccidiosis, is briefly reviewed, followed by a summary of the chicken immune response to Eimeria infection, and finally an appraisal of recent advances in nontraditional coccidiosis control strategies.</t>
  </si>
  <si>
    <t>[Lillehoj, H. S.; Jang, S. I.; Lee, S. H.] ARS, Anim Biosci &amp; Biotechnol Lab, Beltsville Agr Res Ctr, USDA, Beltsville, MD 20705 USA; [Lillehoj, E. P.] Univ Maryland, Sch Med, Dept Pediat, Baltimore, MD 21201 USA</t>
  </si>
  <si>
    <t>United States Department of Agriculture (USDA); University System of Maryland; University of Maryland Baltimore</t>
  </si>
  <si>
    <t>Lillehoj, HS (corresponding author), ARS, Anim Biosci &amp; Biotechnol Lab, Beltsville Agr Res Ctr, USDA, Beltsville, MD 20705 USA.</t>
  </si>
  <si>
    <t>hyun.lillehoj@ars.usda.gov</t>
  </si>
  <si>
    <t>978-90-8686-792-9; 978-90-76998-91-6</t>
  </si>
  <si>
    <t>10.3920/978-90-8686-792-9_4</t>
  </si>
  <si>
    <t>10.3920/978-90-8686-792-9</t>
  </si>
  <si>
    <t>WOS:000385728900004</t>
  </si>
  <si>
    <t>Wong, DTW</t>
  </si>
  <si>
    <t>Wong, David T. W.</t>
  </si>
  <si>
    <t>Salivary Extracellular Noncoding RNA: Emerging Biomarkers for Molecular Diagnostics</t>
  </si>
  <si>
    <t>CLINICAL THERAPEUTICS</t>
  </si>
  <si>
    <t>biomarkers; body fluid; cancer; diagnostics; noninvasiveness; saliva</t>
  </si>
  <si>
    <t>SQUAMOUS-CELL CARCINOMA; TRANSCRIPTOMIC ANALYSES; GEL-ELECTROPHORESIS; PROTEOMIC ANALYSIS; MICRORNA MARKERS; EXOSOMES; IDENTIFICATION; STABILIZATION; PREVALIDATION; INTERLEUKIN-8</t>
  </si>
  <si>
    <t>Saliva is a complex body fluid that comprises secretions from the major and minor salivary glands, nourished by body's vasculature. Although many circulatory molecules (DNA, RNA, and proteins) can also be present in saliva, saliva harbors unique molecular constituents that can be discriminatory for oral and systemic disease screening and detection. Many studies have reported that salivary constituents can discriminate oral diseases (oral cancer and Sjogren's syndrome) and also systemic diseases (lung cancer, breast cancer, pancreatic cancer, and ovarian cancer). Noncoding RNAs (ncRNAs) are emerging new regulators of diverse biological functions, playing important roles in oncogenesis and tumor progression. Indeed, the short size of these molecules makes them stable in different body fluids such as urine, blood, and saliva, being not as susceptible as mRNAs to degradation by RNases. Here, the current status and clinical implications of the ncRNAs present in human saliva are reviewed for translational applications and basic biological research. The development of noninvasive salivary test (based on ncRNAs profiles) for disease detection could have effective applications into the clinical context with a translational significance as emerging molecular biomarkers for non-invasively disease detection, not only by reducing the cost to the health care system but also by benefitting patients. (C) 2015 Elsevier HS Journals, Inc. All rights reserved.</t>
  </si>
  <si>
    <t>[Wong, David T. W.] Univ Calif Los Angeles, David Geffen Sch Med, Jonnson Comprehens Canc Ctr, Sch Dent,Sch Engn,Dept Head &amp; Neck Surg,Div Oral, Los Angeles, CA 90095 USA</t>
  </si>
  <si>
    <t>UCLA Jonsson Comprehensive Cancer Center; University of California System; University of California Los Angeles; University of California Los Angeles Medical Center; David Geffen School of Medicine at UCLA</t>
  </si>
  <si>
    <t>Wong, DTW (corresponding author), Univ Calif Los Angeles, David Geffen Sch Med, Div Oral Biol, 10833 Le Conte Ave,73-017 CHS, Los Angeles, CA 90095 USA.</t>
  </si>
  <si>
    <t>0149-2918</t>
  </si>
  <si>
    <t>1879-114X</t>
  </si>
  <si>
    <t>10.1016/j.clinthera.2015.02.017</t>
  </si>
  <si>
    <t>WOS:000353252300009</t>
  </si>
  <si>
    <t>Yi, B; Cheng, H; Wyczechowska, D; Yu, QZ; Li, L; Ochoa, AC; Riker, AI; Xi, YG</t>
  </si>
  <si>
    <t>Yi, Bin; Cheng, Hao; Wyczechowska, Dorota; Yu, Qingzhao; Li Li; Ochoa, Augusto C.; Riker, Adam, I; Xi, Yaguang</t>
  </si>
  <si>
    <t>Sulindac Modulates the Response of Proficient MMR Colorectal Cancer to Anti-PD-L1 Immunotherapy</t>
  </si>
  <si>
    <t>TUMOR CELL-GROWTH; PD-L1; INSTABILITY; INHIBITION; MODEL; METABOLITE; EXOSOMES; PATHWAY; EVASION</t>
  </si>
  <si>
    <t>Immune-checkpoint inhibitor (ICI) therapy has been widely used to treat different human cancers, particularly advanced solid tumors. However, clinical studies have reported that ICI immunotherapy benefits only similar to 15% of patients with colorectal cancer, specifically those with tumors characterized by microsatellite instability (MSI), a molecular marker of defective DNA mismatch repair (dMMR). For the majority of patients with colorectal cancer who carry proficient MMR (pMMR), ICIs have shown little clinical benefit. In this study, we examined the efficacy of sulindac to enhance the response of pMMR colorectal cancer to anti-PD-L1 immunotherapy. Weutilized a CT26 syngeneic mouse tumor model to compare the inhibitory effects of PD-L1 antibody (Ab), sulindac, and their combination on pMMR colorectal cancer tumor growth. We found that mice treated with combination therapy showed a significant reduction in tumor volume, along with increased infiltration of CD8(+) T lymphocytes in the tumor tissues. We also demonstrated that sulindac could downregulate PD-L1 by blocking NF-kB signaling, which in turn led to a decrease in exosomal PD-L1. Notably, PD-L1 Ab can be bound and consumed by exosomal PD-L1 in the blood circulation. Therefore, in combination therapy, sulindac downregulating PD-L1 leads to increased availability of PD-L1 Ab, which potentially improves the overall efficacy of anti-PD-L1 therapy. We also show that low-dose sulindac does not appear to have a systemic inhibitory effect on prostaglandin E2 (PGE2). In conclusion, our findings provide unique insights into the mechanism of action and efficacy for sulindac as an immunomodulatory agent in combination with anti-PD-L1 therapy for the treatment of pMMR colorectal cancer.</t>
  </si>
  <si>
    <t>[Yi, Bin; Cheng, Hao; Xi, Yaguang] Louisiana State Univ, Sch Med, Dept Genet, Hlth Sci Ctr, New Orleans, LA USA; [Yi, Bin; Cheng, Hao; Wyczechowska, Dorota; Ochoa, Augusto C.; Xi, Yaguang] Louisiana State Univ, Hlth Sci Ctr, Stanley S Scott Canc Ctr, New Orleans, LA USA; [Yu, Qingzhao] Louisiana State Univ, Hlth Sci Ctr, Sch Publ Hlth, New Orleans, LA USA; [Li Li] Univ Queensland, Ochsner Clin Sch, St Lucia, Qld, Australia; [Li Li] Ochsner Clin Fdn, Inst Translat Res, New Orleans, LA USA; [Riker, Adam, I] Luminis Health, Geaton &amp; JoAnn DeCesaris Canc Inst, Anne Arundel Med Ctr, Annapolis, MD USA</t>
  </si>
  <si>
    <t>Louisiana State University System; Louisiana State University Health Sciences Center New Orleans; Louisiana State University System; Louisiana State University Health Sciences Center New Orleans; Louisiana State University System; Louisiana State University Health Sciences Center New Orleans; University of Queensland; Ochsner Health System</t>
  </si>
  <si>
    <t>Xi, YG (corresponding author), LSU Hlth Sci Ctr, 1700 Tulane Ave,Room 910, New Orleans, LA 70112 USA.</t>
  </si>
  <si>
    <t>yxi@lsuhsc.edu</t>
  </si>
  <si>
    <t>Xi, Yaguang/0000-0003-3681-9352</t>
  </si>
  <si>
    <t>10.1158/1535-7163.MCT-20-0934</t>
  </si>
  <si>
    <t>WOS:000670554300007</t>
  </si>
  <si>
    <t>Mohr, A; Lyons, M; Deedigan, L; Harte, T; Shaw, G; Howard, L; Barry, F; O'Brien, T; Zwacka, R</t>
  </si>
  <si>
    <t>Mohr, Andrea; Lyons, Mark; Deedigan, Laura; Harte, Tina; Shaw, Georgina; Howard, Linda; Barry, Frank; O'Brien, Tim; Zwacka, Ralf</t>
  </si>
  <si>
    <t>Mesenchymal stem cells expressing TRAIL lead to tumour growth inhibition in an experimental lung cancer model</t>
  </si>
  <si>
    <t>mesenchymal stem cells; TRAIL; lung cancer; apoptosis; adenovirus</t>
  </si>
  <si>
    <t>MARROW STROMAL CELLS; ADENOVIRAL VECTORS; BONE-MARROW; HORIZONTAL TRANSFER; GENE-TRANSFER; APOPTOSIS; MICROVESICLES; RESISTANCE; DELIVERY; PROLIFERATION</t>
  </si>
  <si>
    <t>Lung cancer is a major public health problem in the western world, and gene therapy strategies to tackle this disease systemically are often impaired by inefficient delivery of the vector to the tumour tissue. Some of the main factors inhibiting systemic delivery are found in the blood stream in the form of red and white blood cells (WBCs) and serum components. Mesenchymal stem cells (MSCs) have been shown to home to tumour sites and could potentially act as a shield and vehicle for a tumouricidal gene therapy vector. Here, we describe the ability of an adenoviral vector expressing TRAIL (Ad.TR) to transduce MSCs and show the apoptosis-inducing activity of these TRAIL-carrying MSCs on A549 lung carcinoma cells. Intriguingly, using MSCs transduced with Ad.enhanced-green-fluorescent-protein (EGFP) we could show transfer of viral DNA to cocultured A549 cells resulting in transgenic protein production in these cells, which was not inhibited by exposure of MSCs to human serum containing high levels of adenovirus neutralizing antibodies. Furthermore, Ad.TR-transduced MSCs were shown not to induce T-cell proliferation, which may have resulted in cytotoxic T-cell-mediated apoptosis induction in the Ad.TR-transduced MSCs. Apoptosis was also induced in A549 cells by Ad.TR-transduced MSCs in the presence of physiological concentrations of WBC, erythrocytes and sera from human donors that inhibit or neutralize adenovirus alone. Moreover, we could show tumour growth reduction with TRAIL-loaded MSCs in an A549 xenograft mouse model. This is the first study that demonstrates the potential therapeutic utility of Ad.TR-transduced MSCs in cancer cells and the stability of this vector in the context of the blood environment.</t>
  </si>
  <si>
    <t>[Mohr, Andrea; Deedigan, Laura; Zwacka, Ralf] Natl Univ Ireland, NCBES, Mol Therapeut Grp, Galway, Ireland; [Lyons, Mark; Harte, Tina; Shaw, Georgina; Howard, Linda; Barry, Frank; O'Brien, Tim; Zwacka, Ralf] Natl Univ Ireland, NCBES, REMEDI, Galway, Ireland; [O'Brien, Tim] Natl Univ Ireland, Dept Med, Galway, Ireland</t>
  </si>
  <si>
    <t>Ollscoil na Gaillimhe-University of Galway; Ollscoil na Gaillimhe-University of Galway; Ollscoil na Gaillimhe-University of Galway</t>
  </si>
  <si>
    <t>Zwacka, R (corresponding author), Natl Univ Ireland, NCBES, Mol Therapeut Grp, Univ Rd, Galway, Ireland.</t>
  </si>
  <si>
    <t>ralf.zwacka@nuigalway.ie</t>
  </si>
  <si>
    <t>Howard, Linda/B-2463-2009; O'Brien, Timothy/N-7112-2014; Barry, Frank P/K-5960-2013</t>
  </si>
  <si>
    <t>O'Brien, Timothy/0000-0001-9028-5481; HOWARD, LINDA/0000-0003-4760-7996; Mohr, Andrea/0000-0002-4295-0341; Zwacka, Ralf/0000-0003-2821-0387</t>
  </si>
  <si>
    <t>6B</t>
  </si>
  <si>
    <t>10.1111/j.1582-4934.2008.00317.x</t>
  </si>
  <si>
    <t>WOS:000262311700009</t>
  </si>
  <si>
    <t>Ryskaliyeva, A; Henry, C; Miranda, G; Faye, B; Konuspayeva, G; Martin, P</t>
  </si>
  <si>
    <t>Ryskaliyeva, Alma; Henry, Celine; Miranda, Guy; Faye, Bernard; Konuspayeva, Gaukhar; Martin, Patrice</t>
  </si>
  <si>
    <t>The main WAP isoform usually found in camel milk arises from the usage of an improbable intron cryptic splice site in the precursor to mRNA in which a GC-AG intron occurs</t>
  </si>
  <si>
    <t>BMC GENETICS</t>
  </si>
  <si>
    <t>Camel; Milk; Whey protein; Splicing; Genetic polymorphism</t>
  </si>
  <si>
    <t>WHEY ACIDIC PROTEIN; MAMMARY EPITHELIAL-CELLS; TAMMAR WALLABY; GENE; EXPRESSION; IDENTIFICATION; LACTATION; CLEAVAGE; SEQUENCE; CULTURE</t>
  </si>
  <si>
    <t>BackgroundWhey acidic protein (WAP) is a major protein identified in the milk of several mammalian species with cysteine-rich domains known as four-disulfide cores (4-DSC). The organization of the eutherian WAP genes is highly conserved through evolution. It has been proposed that WAP could play an important role in regulating the proliferation of mammary epithelial cells. A bacteriostatic activity was also reported. Conversely to the other mammalian species expressing WAP in their milk, camel WAP contains 4 additional amino acid residues at the beginning of the second 4-DSC domain, introducing a phosphorylation site. The aim of this study was to elucidate the origin of this specificity, which possibly impacts its physiological functions.ResultsUsing LC-ESI-MS, we identified in Camelus bactrianus from Kazakhstan a phosphorylated whey protein, exhibiting a molecular mass (12,596Da), 32Da higher than the original WAP (12,564Da) and co-eluting with WAP. cDNA sequencing revealed a transition G/A, which modifies an amino acid residue of the mature protein (V12M), accounting for the mass difference observed between WAP genetic variants. We also report the existence of two splicing variants of camel WAP precursors to mRNA, arising from an alternative usage of the canonical splice site recognized as such in the other mammalian species. However, the major camel WAP isoform results from the usage of an unlikely intron cryptic splice site, extending camel exon 3 upstream by 12-nucleotides encoding the 4 additional amino acid residues (VSSP) in which a potentially phosphorylable Serine residue occurs. Combining protein and cDNA sequences with genome data available (NCBI database), we report another feature of the camel WAP gene which displays a very rare GC-AG type intron. This result was confirmed by sequencing a genomic DNA fragment encompassing exon 3 to exon 4, suggesting for the GC donor site a compensatory effect in terms of consensus at the acceptor exon position.ConclusionsCombining proteomic and molecular biology approaches we report: the characterization of a new genetic variant of camel WAP, the usage of an unlikely intron cryptic splice site, and the occurrence of an extremely rare GC-AG type of intron.</t>
  </si>
  <si>
    <t>[Ryskaliyeva, Alma; Miranda, Guy; Martin, Patrice] Univ Paris Saclay, INRA, UMR GABI, AgroParisTech, F-78350 Jouy En Josas, France; [Henry, Celine] Univ Paris Saclay, INRA, PAPPSO, MICALIS Inst, F-78350 Jouy En Josas, France; [Faye, Bernard] CIRAD, UMR SELMET, F-34398 Montpellier 5, France; [Konuspayeva, Gaukhar] Al Farabi Kazakh Natl Univ, Biol Technol Dept, Alma Ata, Kazakhstan</t>
  </si>
  <si>
    <t>AgroParisTech; INRAE; UDICE-French Research Universities; Universite Paris Saclay; AgroParisTech; INRAE; UDICE-French Research Universities; Universite Paris Saclay; CIRAD; Al-Farabi Kazakh National University</t>
  </si>
  <si>
    <t>Martin, P (corresponding author), Univ Paris Saclay, INRA, UMR GABI, AgroParisTech, F-78350 Jouy En Josas, France.</t>
  </si>
  <si>
    <t>ringo_apple@mail.ru; patrice.martin@inra.fr</t>
  </si>
  <si>
    <t>Konuspayeva, Gaukhar/A-8484-2016; Ryskaliyeva, Alma/AAR-3009-2020; , faye/CAG-0441-2022</t>
  </si>
  <si>
    <t>Konuspayeva, Gaukhar/0000-0003-0171-3582; Henry, Celine/0000-0002-2355-1791</t>
  </si>
  <si>
    <t>1471-2156</t>
  </si>
  <si>
    <t>JAN 29</t>
  </si>
  <si>
    <t>10.1186/s12863-018-0704-x</t>
  </si>
  <si>
    <t>WOS:000457103800002</t>
  </si>
  <si>
    <t>Ayres, FM; Narita, M; Takahashi, M; Yano, T; Liu, A; Toba, K; Furukawa, T; Aizawa, Y</t>
  </si>
  <si>
    <t>Human dendritic cells mediate anti-tumor activity against hematopoietic tumor cells without direct contact and Fas/FasL killing pathway</t>
  </si>
  <si>
    <t>dendritic cells; hematopoietic tumor; tumor immunity; apoptosis; Fas/FasL</t>
  </si>
  <si>
    <t>APOPTOSIS-INDUCING LIGAND; ANTICANCER EFFECTOR FUNCTION; JAM TEST; CD40 LIGAND; FAS LIGAND; CYTOTOXICITY; ASSAY; IMMUNOTHERAPY; INVOLVEMENT; EXOSOMES</t>
  </si>
  <si>
    <t>During maturation, the capacity of dendritic cells (DCs) to uptake and process antigens becomes diminished while the expression of MHC molecules and costimulatory molecules is up-regulated. These phenotypic changes make DCs potent antigen presenting cells with the ability to initiate and modulate immune responses. Recent findings have shown that DCs can mediate direct cytotoxicity toward tumor cells. Here, we investigated the effect of monocyte derived DC (moDC) on hematopoietic tumor cells by assessing the uptake of [methyl-H-3]thymidine (H-3-TdR), JAM test (radiometric assay for DNA fragmentation) and Cr-51-release assay. We found that moDCs significantly inhibited the growth of 6 tumor cell lines and stimulated another 4 cell lines independently of the expression of Fas protein. MoDCs also inhibited the proliferation of tumor cells in transwell culture, including two cell lines that were driven to proliferate by direct contact with moDCs. Apoptosis, but not cytolysis, was detected in all the cell lines inhibited by moDCs. In contrast, no cytostatic or cytotoxic effect was detected on K562 cells (chronic myeloid leukemia) and BY94 cells (sporadic Burkitt's lymphoma). The inhibitory activity of moDCs on Fas-expressing tumor cells fully persisted after the neutralization of FasL. Accordingly, there was no detection of FasL protein or FasL mRNA expression in moDC. These results suggest that moDCs can mediate a direct anti-tumor activity against hematopoietic tumor cells through cytostasis in absence of contact or through apoptosis without triggering the Fas/FasL pathway.</t>
  </si>
  <si>
    <t>Niigata Univ, Sch Med, Dept Internal Med 1, Niigata 9518510, Japan; Niigata Univ, Div Bone Marrow Transplantat, Sch Med, Niigata 9518510, Japan; Niigata Univ, Dept Pathol 2, Sch Med, Niigata 9518510, Japan</t>
  </si>
  <si>
    <t>Niigata University; Niigata University; Niigata University</t>
  </si>
  <si>
    <t>Takahashi, M (corresponding author), Niigata Univ, Fac Med, Sch Hlth Sci, 2-746 Asahimachi, Niigata 9518518, Japan.</t>
  </si>
  <si>
    <t>matak@clg.niigata-u.ac.jp</t>
  </si>
  <si>
    <t>WOS:000220768500012</t>
  </si>
  <si>
    <t>Roy, J; Martin, GV; Giguere, JF; Belanger, D; Petrin, M; Tremblay, MJ</t>
  </si>
  <si>
    <t>HIV type 1 can act as an APC upon acquisition from the host cell of peptide-loaded HLA-DR and CD86 molecules</t>
  </si>
  <si>
    <t>HUMAN-IMMUNODEFICIENCY-VIRUS; HUMAN LYMPHOID-TISSUE; HUMAN T-CELLS; CLASS-II; ANTIGEN RECEPTOR; B-LYMPHOCYTES; PROTEINS; ACTIVATION; CD28; EXOSOMES</t>
  </si>
  <si>
    <t>It is well documented that a wide range of host-derived cell surface constituents is inserted within HIV type 1 (HIV-1) and located on the exterior of the virion. Although no virus-associated protein of host origin has been shown to be absolutely required for virus replication, studies have revealed that many of these proteins are functional and can affect several steps of the virus life cycle. In this study, we found that HIV-1 acquires peptide-loaded class II MHC (MHC-II) and the costimulatory CD86 molecules from the host cell. Moreover, we present evidence that virions bearing such peptide-loaded MHC-II and CD86 proteins can lead to activation of the transcription factors NF-kappa B and NF-AT in an Ag-specific human T cell line. A linear correlation was found between activation of NF-kappa B and the amount of peptide-loaded MHC-II molecules inserted within HIV-1. Finally, transcription of unintegrated and integrated HIV-1 DNA was promoted upon exposure of peptide-specific human T cells to viruses bearing both peptide-loaded MHC-II and CD86 proteins. These data suggest that HIV-1 can operate as an APC depending on the nature of virus-anchored host cell membrane components. It can be proposed that HIV-1 can manipulate one of its primary targets through the process of incorporation of host-derived proteins.</t>
  </si>
  <si>
    <t>CHU Laval, Lab Human Immunoretrovirol, Res Ctr Infect Dis, Quebec City, PQ G1V 4G2, Canada; Univ Laval, Fac Med, Quebec City, PQ G1K 7P4, Canada</t>
  </si>
  <si>
    <t>Tremblay, MJ (corresponding author), CHU Laval, Lab Human Immunoretrovirol, Res Ctr Infect Dis, 2705 Blvd Laurier,RC709, Quebec City, PQ G1V 4G2, Canada.</t>
  </si>
  <si>
    <t>michel.j.tremblay@crchul.ulaval.ca</t>
  </si>
  <si>
    <t>10.4049/jimmunol.174.8.4779</t>
  </si>
  <si>
    <t>WOS:000228234600043</t>
  </si>
  <si>
    <t>Beer, L; Seemann, R; Ristl, R; Ellinger, A; Kasiri, MM; Mitterbauer, A; Zimmermann, M; Gabriel, C; Gyongyosi, M; Klepetko, W; Mildner, M; Ankersmit, HJ</t>
  </si>
  <si>
    <t>Beer, Lucian; Seemann, Rudolf; Ristl, Robin; Ellinger, Adolf; Kasiri, Mohammad Mahdi; Mitterbauer, Andreas; Zimmermann, Matthias; Gabriel, Christian; Gyoengyoesi, Mariann; Klepetko, Walter; Mildner, Michael; Ankersmit, Hendrik Jan</t>
  </si>
  <si>
    <t>High dose ionizing radiation regulates micro RNA and gene expression changes in human peripheral blood mononuclear cells</t>
  </si>
  <si>
    <t>Microarray; MicroRNAs; Messenger RNA; Apoptosis; Mononuclear leukocytes; p53; Ionizing radiation</t>
  </si>
  <si>
    <t>INDUCED APOPTOSIS; HUMAN-LYMPHOCYTES; RESPONSES; MIRNA; CASPASE-3; PROFILES; EXOSOMES; VIVO; P53; IRRADIATION</t>
  </si>
  <si>
    <t>Background: High dose ionizing radiation (IR) induces potent toxic cell effects mediated by either direct DNA damage or the production of reactive oxygen species (ROS). IR-induced modulations in multiple biological processes have been proposed to be partly regulated by radiosensitive microRNA (miRNA). In order to gain new insights into the role of miRNAs in the regulation of biological processes after IR, we have investigated changes in mRNA and miRNA expression after high dose IR. Results: IR induced changes in the mRNA and miRNA profiles of human peripheral blood mononuclear cells (PBMCs). When comparing non-irradiated and irradiated samples, we detected a time-dependent increase in differentially expressed mRNAs and miRNAs, with the highest differences detectable 20 hours after exposure. Gene ontology analysis revealed that very early events (up to 4 hours) after irradiation were specifically associated with p53 signaling and apoptotic pathways, whereas a large number of diverse cellular processes were deregulated after 20 hours. Transcription factor analysis of all up-regulated genes confirmed the importance of p53 in the early post-irradiation phase. When analyzing miRNA expression, we found 177 miRNAs that were significantly regulated in the late post-irradiation phase. Integrating miRNA and target gene expression data, we found a significant negative correlation between miRNA-mRNA and identified hepatic leukemia factor (HLF) as a transcription factor down-regulated in the response to IR. These regulated miRNAs and the HLF target genes were involved in modulating radio-responsive pathways, such as apoptosis, the MAKP signaling pathway, endocytosis, and cytokine-cytokine interactions. Conclusion: Using a large dataset of mRNA and miRNA expression profiles, we describe the interplay of mRNAs and miRNAs in the regulation of gene expression in response to IR at a posttranscriptional level and their involvement in the modulation of radiation-induced biological pathways.</t>
  </si>
  <si>
    <t>[Beer, Lucian; Kasiri, Mohammad Mahdi; Mitterbauer, Andreas; Zimmermann, Matthias; Ankersmit, Hendrik Jan] Med Univ Vienna, Dept Thorac Surg, A-1090 Vienna, Austria; [Beer, Lucian; Kasiri, Mohammad Mahdi; Mitterbauer, Andreas; Zimmermann, Matthias; Klepetko, Walter; Ankersmit, Hendrik Jan] Med Univ Vienna, Christian Doppler Lab Cardiac &amp; Thorac Diag &amp; Reg, A-1090 Vienna, Austria; [Seemann, Rudolf] Med Univ Vienna, Univ Hosp Craniomaxillofacial &amp; Oral Surg, Vienna, Austria; [Ristl, Robin] Med Univ Vienna, Ctr Med Stat Informat &amp; Intelligent Syst, Sect Med Stat, Vienna, Austria; [Ellinger, Adolf] Med Univ Vienna, Ctr Anat &amp; Cell Biol, Dept Cell Biol &amp; Ultrastruct Res, Vienna, Austria; [Gabriel, Christian] Red Cross Blood Transfus Serv Upper Austria, Linz, Austria; [Gabriel, Christian] Austrian Cluster Tissue Regenerat, Linz, Austria; [Gyoengyoesi, Mariann] Med Univ Vienna, Dept Cardiol, Vienna, Austria; [Mildner, Michael] Med Univ Vienna, Dept Dermatol, Res Div Biol &amp; Pathobiol Skin, A-1090 Vienna, Austria</t>
  </si>
  <si>
    <t>Mildner, M (corresponding author), Med Univ Vienna, Dept Dermatol, Res Div Biol &amp; Pathobiol Skin, Lazarettgasse 14, A-1090 Vienna, Austria.</t>
  </si>
  <si>
    <t>Zimmermann, Matthias/AAE-9681-2020; Gabriel, Christian/A-1689-2014</t>
  </si>
  <si>
    <t>Gabriel, Christian/0000-0003-2043-9320; Zimmermann, Matthias/0000-0002-4610-7853; Ristl, Robin/0000-0002-4163-9236; Ankersmit, Hendrik Jan/0000-0002-8761-3517; Beer, Lucian/0000-0003-4388-7580; Mildner, Michael/0000-0002-6892-925X; Seemann, Rudolf/0000-0003-4234-4090</t>
  </si>
  <si>
    <t>10.1186/1471-2164-15-814</t>
  </si>
  <si>
    <t>WOS:000342463500003</t>
  </si>
  <si>
    <t>Akbarinejad, A; Hisey, CL; Martinez-Calderon, M; Low, J; Bryant, DT; Zhu, BC; Brewster, D; Chan, EWC; Ashraf, J; Wan, ZY; Artuyants, A; Blenkiron, C; Chamley, L; Barker, D; Williams, DE; Evans, CW; Pilkington, LI; Travas-Sejdic, J</t>
  </si>
  <si>
    <t>Akbarinejad, Alireza; Hisey, Colin Lee; Martinez-Calderon, Miguel; Low, Jeffery; Bryant, Devon T.; Zhu, Bicheng; Brewster, Diane; Chan, Eddie Wai Chi; Ashraf, Jesna; Wan, Ziyao; Artuyants, Anastasiia; Blenkiron, Cherie; Chamley, Larry; Barker, David; Williams, David E.; Evans, Clive W.; Pilkington, Lisa, I; Travas-Sejdic, Jadranka</t>
  </si>
  <si>
    <t>A Novel Electrochemically Switchable Conductive Polymer Interface for Controlled Capture and Release of Chemical and Biological Entities</t>
  </si>
  <si>
    <t>ADVANCED MATERIALS INTERFACES</t>
  </si>
  <si>
    <t>antibody; circulating tumor cells; conducting polymers; electrochemical release; electrospinning; femtosecond laser machining</t>
  </si>
  <si>
    <t>CIRCULATING TUMOR-CELLS; EFFICIENT CAPTURE; ANTIBODY; DNA; COMBINATION; RECOGNITION; FABRICATION; NANOFIBERS; HYDROGELS; DELIVERY</t>
  </si>
  <si>
    <t>Materials platforms that enable controlled isolation and subsequent release of chemical/biological entities are in great demand for a diverse range of practical applications. Current technologies lack good control and efficiency of the release, which is needed to preserve the captured targets of interest. Here, this need is addressed by providing a versatile, controllable, electrochemical capture/release interface. The interface consists of a highly porous electrospun membrane, electrodeposited with a thiol-functionalized 3,4-ethylenedioxythiophene (EDOT) conductive terpolymer, in which the thiol moiety undergoes oxidation/reduction cycles at moderate potentials (+1.0 and -0.8 V, respectively) to enable capture/release. The fast oxidative capture (1 min) and reductive release (2 min) of a model thiol molecule in a highly controllable manner, followed by successful capture/release of an antibody, are demonstrated. Then, femtosecond laser-patterning is used to fabricate an array of approximate to 30 mu m pores on the electrospun membrane, subsequently coated with the conducting terpolymer, enabling the highly efficient (&gt;90%), fast (20 min) and selective capture of MCF7 cancer cells with 33% release efficiency when polarized at -0.8 V. The released cells show a high level of viability, indicating the capture and release process does not affect cell survival.</t>
  </si>
  <si>
    <t>[Akbarinejad, Alireza; Bryant, Devon T.; Zhu, Bicheng; Brewster, Diane; Chan, Eddie Wai Chi; Ashraf, Jesna; Wan, Ziyao; Barker, David; Williams, David E.; Evans, Clive W.; Pilkington, Lisa, I; Travas-Sejdic, Jadranka] Univ Auckland, Polymer Biointerface Ctr, Sch Chem Sci, Auckland 1010, New Zealand; [Akbarinejad, Alireza; Zhu, Bicheng; Brewster, Diane; Williams, David E.; Travas-Sejdic, Jadranka] MacDiarmid Inst Adv Mat &amp; Nanotechnol, Wellington 6140, New Zealand; [Hisey, Colin Lee; Artuyants, Anastasiia; Blenkiron, Cherie; Chamley, Larry] Univ Auckland, Hub Extracellular Vesicles Invest HEVI, Dept Obstet &amp; Gynecol, Sch Med, Auckland 1010, New Zealand; [Martinez-Calderon, Miguel; Low, Jeffery] Univ Auckland, Dept Phys, Photon Factory, Auckland 1010, New Zealand; [Brewster, Diane] New Zealand Inst Plant &amp; Food Res Ltd, ScentianBio, Auckland 1025, New Zealand; [Blenkiron, Cherie] Univ Auckland, Dept Mol Med &amp; Pathol, Sch Med Sci, Auckland 1010, New Zealand; [Evans, Clive W.] Univ Auckland, Sch Biol Sci, Auckland 1010, New Zealand</t>
  </si>
  <si>
    <t>University of Auckland; Victoria University Wellington; University of Auckland; University of Auckland; New Zealand Institute for Plant &amp; Food Research Ltd; University of Auckland; University of Auckland</t>
  </si>
  <si>
    <t>Travas-Sejdic, J (corresponding author), Univ Auckland, Polymer Biointerface Ctr, Sch Chem Sci, Auckland 1010, New Zealand.;Travas-Sejdic, J (corresponding author), MacDiarmid Inst Adv Mat &amp; Nanotechnol, Wellington 6140, New Zealand.</t>
  </si>
  <si>
    <t>j.travas-sejdic@auckland.ac.nz</t>
  </si>
  <si>
    <t>Hisey, Colin L/J-3285-2016</t>
  </si>
  <si>
    <t>Hisey, Colin L/0000-0001-8732-3600; , Alireza/0000-0003-3662-5726; Zhu, Bicheng/0000-0003-1230-0863</t>
  </si>
  <si>
    <t>2196-7350</t>
  </si>
  <si>
    <t>10.1002/admi.202102475</t>
  </si>
  <si>
    <t>WOS:000770785800001</t>
  </si>
  <si>
    <t>Steens, J; Unger, K; Klar, L; Neureiter, A; Wieber, K; Hess, J; Jakob, HG; Klump, H; Klein, D</t>
  </si>
  <si>
    <t>Steens, Jennifer; Unger, Kristian; Klar, Lea; Neureiter, Anika; Wieber, Karolin; Hess, Julia; Jakob, Heinz G.; Klump, Hannes; Klein, Diana</t>
  </si>
  <si>
    <t>Direct conversion of human fibroblasts into therapeutically active vascular wall-typical mesenchymal stem cells</t>
  </si>
  <si>
    <t>Vascular wall; Adult stem cells; HOX code; Stem cell therapy; Lineage conversion; Fibroblast; Radioprotection</t>
  </si>
  <si>
    <t>UMBILICAL-CORD BLOOD; STROMAL CELLS; BONE-MARROW; CLINICAL-TRIALS; GENE-EXPRESSION; THERAPY; EXOSOMES; DOXYCYCLINE; GENERATION; MARKERS</t>
  </si>
  <si>
    <t>Cell-based therapies using adult stem cells are promising options for the treatment of a number of diseases including autoimmune and cardiovascular disorders. Among these, vascular wall-derived mesenchymal stem cells (VW-MSCs) might be particularly well suited for the protection and curative treatment of vascular damage because of their tissue-specific action. Here we report a novel method for the direct conversion of human skin fibroblasts towards MSCs using a VW-MSC-specific gene code (HOXB7, HOXC6 and HOXC8) that directs cell fate conversion bypassing pluripotency. This direct programming approach using either a self-inactivating (SIN) lentiviral vector expressing the VW-MSC-specific HOX-code or a tetracycline-controlled Tet-On system for doxycycline-inducible gene expressions of HOXB7, HOXC6 and HOXC8 successfully mediated the generation of VW-typical MSCs with classical MSC characteristics in vitro and in vivo. The induced VW-MSCs (iVW-MSCs) fulfilled all criteria of MSCs as defined by the International Society for Cellular Therapy (ISCT). In terms of multipotency and clonogenicity, which are important specific properties to discriminate MSCs from fibroblasts, iVW-MSCs behaved like primary ex vivo isolated VW-MSCs and shared similar molecular and DNA methylation signatures. With respect to their therapeutic potential, these cells suppressed lymphocyte proliferation in vitro, and protected mice against vascular damage in a mouse model of radiation-induced pneumopathy in vivo, as well as ex vivo cultured human lung tissue. The feasibility to obtain patient-specific VW-MSCs from fibroblasts in large amounts by a direct conversion into induced VW-MSCs could potentially open avenues towards novel, MSC-based therapies.</t>
  </si>
  <si>
    <t>[Steens, Jennifer; Klar, Lea; Wieber, Karolin; Klein, Diana] Univ Duisburg Essen, Univ Hosp Essen, Inst Cell Biol Canc Res, Fac Med, Virchowstr 173, D-45122 Essen, Germany; [Unger, Kristian; Hess, Julia] German Res Ctr Environm Hlth GmbH, Helmholtz Zentrum Munchen, Res Unit Radiat Cytogenet, Neuherberg, Germany; [Unger, Kristian; Hess, Julia] German Res Ctr Environm Hlth GmbH, Helmholtz Zentrum Munchen, Clin Cooperat Grp Personalized Radiotherapy Head, Neuherberg, Germany; [Unger, Kristian; Hess, Julia] Ludwig Maximilians Univ Munchen, Univ Hosp, Dept Radiat Oncol, Munich, Germany; [Neureiter, Anika; Klump, Hannes] Univ Duisburg Essen, Univ Hosp Essen, Inst Transfus Med, Essen, Germany; [Jakob, Heinz G.] Univ Duisburg Essen, West German Heart &amp; Vasc Ctr Essen, Dept Thorac &amp; Cardiovasc Surg, Essen, Germany</t>
  </si>
  <si>
    <t>University of Duisburg Essen; Helmholtz Association; Helmholtz-Center Munich - German Research Center for Environmental Health; Helmholtz Association; Helmholtz-Center Munich - German Research Center for Environmental Health; University of Munich; University of Duisburg Essen; University of Duisburg Essen</t>
  </si>
  <si>
    <t>Klein, D (corresponding author), Univ Duisburg Essen, Univ Hosp Essen, Inst Cell Biol Canc Res, Fac Med, Virchowstr 173, D-45122 Essen, Germany.</t>
  </si>
  <si>
    <t>Diana.Klein@uk-essen.de</t>
  </si>
  <si>
    <t>Klein, Diana/ABC-7916-2020; Klump, Hannes/B-5397-2018; Klein, Diana/AAB-5251-2020</t>
  </si>
  <si>
    <t>Klein, Diana/0000-0002-1770-443X; Klump, Hannes/0000-0003-3536-1212; Klein, Diana/0000-0002-1770-443X</t>
  </si>
  <si>
    <t>10.1007/s00018-019-03358-0</t>
  </si>
  <si>
    <t>WOS:000495743200002</t>
  </si>
  <si>
    <t>Kalyani, A; Jha, RM; Sharma, S</t>
  </si>
  <si>
    <t>Sharma, S</t>
  </si>
  <si>
    <t>Kalyani, Ananthamohan; Jha, Rakesh Mohan; Sharma, Shilpy</t>
  </si>
  <si>
    <t>Use of circulating nucleic acids, metabolites, and proteins as clinical biomarkers for earlier prognosis and diagnosis of disease</t>
  </si>
  <si>
    <t>PROGNOSTIC EPIGENETICS</t>
  </si>
  <si>
    <t>Translational Epigenetics Series</t>
  </si>
  <si>
    <t>MITOCHONDRIAL-DNA CONTENT; CELL-DERIVED EXOSOMES; PROSTATE-SPECIFIC ANTIGEN; BREAST-CANCER PATIENTS; SMALL NUCLEOLAR RNAS; LONG NONCODING RNAS; BARR-VIRUS DNA; MESSENGER-RNA; TUMOR-CELLS; EXTRACELLULAR VESICLES</t>
  </si>
  <si>
    <t>[Kalyani, Ananthamohan; Jha, Rakesh Mohan; Sharma, Shilpy] Savitribai Phule Pune Univ, Dept Biotechnol, Pune, Maharashtra, India</t>
  </si>
  <si>
    <t>Savitribai Phule Pune University</t>
  </si>
  <si>
    <t>Kalyani, A (corresponding author), Savitribai Phule Pune Univ, Dept Biotechnol, Pune, Maharashtra, India.</t>
  </si>
  <si>
    <t>978-0-12-814260-8; 978-0-12-814259-2</t>
  </si>
  <si>
    <t>10.1016/B978-0-12-814259-2.00005-4</t>
  </si>
  <si>
    <t>10.1016/C2017-0-00973-4</t>
  </si>
  <si>
    <t>WOS:000538759300004</t>
  </si>
  <si>
    <t>Lim, J; Kang, B; Son, HY; Mun, B; Huh, YM; Rho, HW; Kang, T; Moon, J; Lee, JJ; Seo, SB; Jang, S; Son, SU; Jung, J; Haam, S; Lim, EK</t>
  </si>
  <si>
    <t>Lim, Jaewoo; Kang, Byunghoon; Son, Hye Young; Mun, Byeonggeol; Huh, Yong-Min; Rho, Hyun Wook; Kang, Taejoon; Moon, Jeong; Lee, Jae-Jong; Seo, Seung Beom; Jang, Soojin; Son, Seong Uk; Jung, Juyeon; Haam, Seungjoo; Lim, Eun-Kyung</t>
  </si>
  <si>
    <t>Microfluidic device for one-step detection of breast cancer-derived exosomal mRNA in blood using signal-amplifiable 3D nanostructure</t>
  </si>
  <si>
    <t>Microfluidics; Biosensors; Point-of-care detection; Exosomal mRNA; Three-dimensional-nanostructured hydrogels</t>
  </si>
  <si>
    <t>EXTRACELLULAR VESICLE; ELECTROCHEMICAL DETECTION; LIQUID BIOPSY; CHIP; DNA; APTASENSOR; BIOMARKERS; MEMBRANE</t>
  </si>
  <si>
    <t>Metastasis attributed to approximately 90% of cancer-related deaths; hence, the detection of metastatic tumor-derived components in the blood assists in determining cancer recurrence and patient survival. Microfluidic-based sensors facilitate analysis of small fluid volumes and represent an accurate, rapid, and user-friendly method of field diagnoses. In this study, we have developed a microfluidic chip-based exosomal mRNA sensor (exoNA-sensing chip) for the one-step detection of exosomal ERBB2 in the blood by integrating a microfluidic chip and 3D-nanostructured hydrogels. The exoNA-sensing chip is a vacuum-driven power-free microfluidic chip that can accurately control the flow of trace fluids (&lt;100 mu L). The sensing part of the exoNA-sensing chip includes 3D-nanostructured hydrogels capable of detecting ERBB2 and a reference gene by amplifying a fluorescent signal via an enzyme-free catalytic hairpin assembly reaction at room temperature. This hydrogel offers a detection limit of 58.3 fM with good selectivity for target sequences. The performance of the exoNA-sensing chip was evaluated by testing in vitro and in vivo samples and was proven to be effective for cancer diagnosis and liquid biopsies.</t>
  </si>
  <si>
    <t>[Lim, Jaewoo; Kang, Byunghoon; Kang, Taejoon; Moon, Jeong; Seo, Seung Beom; Jang, Soojin; Son, Seong Uk; Jung, Juyeon; Lim, Eun-Kyung] Korea Res Inst Biosci &amp; Biotechnol KRIBB, Bionanotechnol Res Ctr, 125 Gwahak Ro, Daejeon 34141, South Korea; [Lim, Jaewoo; Jang, Soojin; Son, Seong Uk; Jung, Juyeon; Lim, Eun-Kyung] Univ Sci &amp; Technol, KRIBB Sch Biotechnol, Dept Nanobiotechnol, 125 Gwahak Ro, Daejeon 34113, South Korea; [Son, Hye Young; Huh, Yong-Min; Rho, Hyun Wook; Haam, Seungjoo] Yonsei Univ, Coll Med, Dept Radiol, 50-1 Yonsei Ro, Seoul 03772, South Korea; [Son, Hye Young; Huh, Yong-Min] Yonsei Univ, Coll Med, Severance Biomed Sci Inst, 50-1 Yonsei Ro, Seoul 03722, South Korea; [Mun, Byeonggeol] Yonsei Univ, Coll Engn, Dept Chem &amp; Biomol Engn, 50 Yonsei Ro, Seoul 03722, South Korea; [Huh, Yong-Min] YUHS KRIBB Med Convergence Res Inst, 50-1 Yonsei Ro, Seoul 03722, South Korea; [Moon, Jeong] Korea Adv Inst Sci &amp; Technol, Dept Chem &amp; Biomol Engn, BK 21 Program, 291 Daehak Ro, Daejeon 34141, South Korea; [Lee, Jae-Jong] Korea Inst Machinery &amp; Mat KIMM, Dept Nano Mfg Technol, 156 Gajeongbuk Ro, Daejeon 34103, South Korea; [Seo, Seung Beom] Pusan Natl Univ, Dept Cognomechatron Engn, 2 Busandaehak Ro 63beon Gil, Busan 46241, South Korea</t>
  </si>
  <si>
    <t>Korea Research Institute of Bioscience &amp; Biotechnology (KRIBB); Yonsei University; Yonsei University Health System; Yonsei University; Yonsei University Health System; Yonsei University; Korea Advanced Institute of Science &amp; Technology (KAIST); Korea Institute of Machinery &amp; Materials (KIMM); Pusan National University</t>
  </si>
  <si>
    <t>Lim, EK (corresponding author), Korea Res Inst Biosci &amp; Biotechnol KRIBB, Bionanotechnol Res Ctr, 125 Gwahak Ro, Daejeon 34141, South Korea.;Haam, S (corresponding author), Yonsei Univ, Coll Med, Dept Radiol, 50-1 Yonsei Ro, Seoul 03772, South Korea.</t>
  </si>
  <si>
    <t>haam@yonsei.ac.kr; eklim1112@kribb.re.kr</t>
  </si>
  <si>
    <t>Kang, Taejoon/AAS-1967-2020</t>
  </si>
  <si>
    <t>Kang, Taejoon/0000-0002-5387-6458; Lee, JaeJong/0000-0001-7684-2667; Huh, Yong-Min/0000-0002-9831-4475; SON, HYEYOUNG/0000-0001-5977-6784</t>
  </si>
  <si>
    <t>10.1016/j.bios.2021.113753</t>
  </si>
  <si>
    <t>WOS:000719370300008</t>
  </si>
  <si>
    <t>Chihnon-Sicard, B; Hofman, V; Chevallier, D; Cucchi, JM; Ilie, M; Dadone-Montaudie, B; Paul, F; Carpentier, X; Quintens, H; Bence-Gauchiez, C; Caselles, D; Rossant, J; Durand, M; Bertolotti, R</t>
  </si>
  <si>
    <t>Chihnon-Sicard, Berengere; Hofman, Veronique; Chevallier, Daniel; Cucchi, Jean-Michel; Ilie, Marius; Dadone-Montaudie, Berengere; Paul, Florence; Carpentier, Xavier; Quintens, Herve; Bence-Gauchiez, Coraline; Caselles, Didier; Rossant, Jacqueline; Durand, Matthieu; Bertolotti, Roger</t>
  </si>
  <si>
    <t>Age-related schwannomatosis with potential exosome-mediated contribution to prostate hyperplasia: a case report and mini-review</t>
  </si>
  <si>
    <t>THERAPEUTIC ADVANCES IN UROLOGY</t>
  </si>
  <si>
    <t>age-related schwannomatosis; chromosome 22 somatic loss; pathologic exosome-mediated intercellular communications; prostate hyperplasia</t>
  </si>
  <si>
    <t>CELL-DERIVED EXOSOMES; NEUROFIBROMATOSIS TYPE-2; VESICLES; TUMOR; GENERATION; MECHANISM; CANCER; REJUVENATION; ASSOCIATION; HALLMARKS</t>
  </si>
  <si>
    <t>A 72-year-old Caucasian man incurring a prostate hypertrophy presented with a right forearm nodule, the growth of which appeared to parallel the rise in his blood prostate-specific antigen (PSA) level. Echographic examination was consistent with a median-nerve schwannoma, and was confirmed upon magnetic resonance imaging (MRI). Excision of the nodule was readily performed without significant neural damage, and its schwannoma nature was confirmed upon immunohistochemistry analysis. Importantly, blood PSA dropped abruptly from approximate to 13 to approximate to 5 ng/ml within 2 months postschwannoma resection, a swift drastic reduction unachievable with oral dutasteride alone. However, 6 weeks later, a new nodule became apparent on the back of the left knee and was identified as a second schwannoma, thereby suggesting that its growth could have been stimulated by the resection of the first schwannoma, as previously described for vestibular schwannomas. The second schwannoma was in fact two: the bigger one was in the common fibular nerve and the smaller one in the tibial nerve. Both echography and MRI results were confirmed upon surgical resection of the bigger knee schwannoma. Although the third schwannoma has not yet been resected and formally characterized, we face a schwannomatosis case with an unexpected potential exosome-mediated stimulating effect on PSA secretion (PSA immunohistochemistry was negative on both schwannomas). On the other hand, preliminary genomic analysis showed a deficient balance for chromosome 22, the very chromosome carrying the three main genes involved in schwannomatosis. This age-related schwannomatosis case is thus discussed in light of the following: age-related DNA repair deficiency culminating in loss of chromosome/heterozygosity; CpG methylation/demethylation-based epigenetic aging; age-related functional decline of the immune system responsible for inefficient elimination of abnormal cells and subsequent tumorigenic cell turn-over; exosome-mediated pathologic intercellular communications; and prostate-invading brain neural progenitors as pathologic peripheral nervous system (PNS) cells.</t>
  </si>
  <si>
    <t>[Chevallier, Daniel; Durand, Matthieu] Cote dAzur Univ, Pasteur Univ Hosp 2, Dept Urol &amp; Kidney Transplantat, F-06001 Nice 1, France; [Chihnon-Sicard, Berengere] Cote dAzur Univ, Dept Plast &amp; Reconstruct Surg, Pasteur Univ Hosp 2, Nice, France; [Hofman, Veronique; Ilie, Marius] Cote dAzur Univ, Pasteur Univ Hosp 2, Lab Clin &amp; Expt Pathol, Nice, France; [Cucchi, Jean-Michel] Princess Grace Hosp, Diagnost Imaging Dept, Monaco, Monaco; [Dadone-Montaudie, Berengere] Cote dAzur Univ, Nice Univ Hosp, Lab Solid Tumors Genet, Nice, France; [Paul, Florence] Private Med Imaging Ctr 777, St Laurent Du Var, France; [Carpentier, Xavier; Quintens, Herve] Princess Grace Hosp, Dept Urol, Monaco, Monaco; [Bence-Gauchiez, Coraline] Princess Grace Hosp, Dept Pathol, Monaco, Monaco; [Caselles, Didier] Private Med Off, Nice, France; [Rossant, Jacqueline] Private Off Med Expertises, Nice, France; [Bertolotti, Roger] Cote dAzur Univ, Gene Therapy &amp; Regulat, Fac Med, Nice, France</t>
  </si>
  <si>
    <t>UDICE-French Research Universities; Universite Cote d'Azur; UDICE-French Research Universities; Universite Cote d'Azur; UDICE-French Research Universities; Universite Cote d'Azur; CHU Nice; UDICE-French Research Universities; Universite Cote d'Azur; UDICE-French Research Universities; Universite Cote d'Azur</t>
  </si>
  <si>
    <t>Chevallier, D (corresponding author), Cote dAzur Univ, Pasteur Univ Hosp 2, Dept Urol &amp; Kidney Transplantat, F-06001 Nice 1, France.</t>
  </si>
  <si>
    <t>chevallier.d@chu-nice.fr</t>
  </si>
  <si>
    <t>Dadone-Montaudié, Bérengère/AAI-3177-2021</t>
  </si>
  <si>
    <t>veronique, HOFMAN/0000-0003-0943-1627</t>
  </si>
  <si>
    <t>1756-2872</t>
  </si>
  <si>
    <t>1756-2880</t>
  </si>
  <si>
    <t>10.1177/1756287219875578</t>
  </si>
  <si>
    <t>WOS:000487942400001</t>
  </si>
  <si>
    <t>Sharma, U; Sun, F; Conine, CC; Reichholf, B; Kukreja, S; Herzog, VA; Ameres, SL; Rando, OJ</t>
  </si>
  <si>
    <t>Sharma, Upasna; Sun, Fengyun; Conine, Colin C.; Reichholf, Brian; Kukreja, Shweta; Herzog, Veronika A.; Ameres, Stefan L.; Rando, Oliver J.</t>
  </si>
  <si>
    <t>Small RNAs Are Trafficked from the Epididymis to Developing Mammalian Sperm</t>
  </si>
  <si>
    <t>EXTRACELLULAR VESICLES; FRAGMENTS; PROTEIN; PIRNAS; CELLS; DNA; PARAMUTATION; INHERITANCE; EXPRESSION; EFFICIENT</t>
  </si>
  <si>
    <t>The biogenesis of the RNA payload of mature sperm is of great interest, because RNAs delivered to the zygote at fertilization can affect early development. Here, we tested the hypothesis that small RNAs are trafficked to mammalian sperm during the process of post-testicular maturation in the epididymis. By characterizing small RNA dynamics during germ cell maturation in mice, we confirm and extend prior observations that sperm undergo a dramatic switch in the RNA payload from piRNAs to tRNA fragments (tRFs) upon exiting the testis and entering the epididymis. Small RNA delivery to sperm could be recapitulated in vitro by incubating testicular spermatozoa with caput epididymosomes. Finally, tissue-specific metabolic labeling of RNAs in intact mice definitively shows that mature sperm carry RNAs that were originally synthesized in the epididymal epithelium. These data demonstrate that soma-germline RNA transfer occurs in male mammals, most likely via vesicular transport from the epididymis to maturing sperm.</t>
  </si>
  <si>
    <t>[Sharma, Upasna; Sun, Fengyun; Conine, Colin C.; Kukreja, Shweta; Rando, Oliver J.] Univ Massachusetts, Sch Med, Dept Biochem &amp; Mol Pharmacol, Worcester, MA 01605 USA; [Reichholf, Brian; Herzog, Veronika A.; Ameres, Stefan L.] Inst Mol Biotechnol IMBA, Vienna Bioctr Campus, A-1030 Vienna, Austria</t>
  </si>
  <si>
    <t>University of Massachusetts System; University of Massachusetts Worcester; Vienna Biocenter (VBC); Institute of Molecular Biotechnology (IMBA)</t>
  </si>
  <si>
    <t>Rando, OJ (corresponding author), Univ Massachusetts, Sch Med, Dept Biochem &amp; Mol Pharmacol, Worcester, MA 01605 USA.</t>
  </si>
  <si>
    <t>oliver.rando@umassmed.edu</t>
  </si>
  <si>
    <t>Ameres, Stefan L./B-4046-2012; Kukreja, Shweta/AAX-8689-2021</t>
  </si>
  <si>
    <t>Ameres, Stefan L./0000-0002-8248-3098; Kukreja, Shweta/0000-0001-6794-9016; Conine, Colin/0000-0001-7915-0463; Rando, Oliver/0000-0003-1516-9397</t>
  </si>
  <si>
    <t>10.1016/j.devcel.2018.06.023</t>
  </si>
  <si>
    <t>WOS:000442143300008</t>
  </si>
  <si>
    <t>Zhao, LM; Purandare, B; Zhang, J; Hantash, BM</t>
  </si>
  <si>
    <t>Zhao, Longmei; Purandare, Bhamini; Zhang, Jian; Hantash, Basil M.</t>
  </si>
  <si>
    <t>beta 2-Microglobulin-free HLA-G activates natural killer cells by increasing cytotoxicity and proinflammatory cytokine production</t>
  </si>
  <si>
    <t>HUMAN IMMUNOLOGY</t>
  </si>
  <si>
    <t>TUMOR-DERIVED EXOSOMES; I ANTIGEN-EXPRESSION; MELANOMA-CELLS; NK CELLS; INHIBITORY RECEPTORS; CRYSTAL-STRUCTURE; GAMMA PRODUCTION; MESSENGER-RNA; KIR2DL4; BETA(2)-MICROGLOBULIN-FREE</t>
  </si>
  <si>
    <t>Human leukocyte antigen-G (HLA-G) is a nonclassical HLA class-I molecule and plays a role in tissue specific immunoregulation. Many studies have addressed functional aspects of beta 2-microglobulin (beta 2m)-associated HLA-G1. beta 2m-free HLA-G has been found in human placental cytotrophoblasts and pancreatic p cells although its function remains unclear. In the present study, we investigated the function of beta 2m-free HLA-G by transfecting HLA-G1 and -G3 into human beta 2m deficient rat pancreatic 3 cell carcinoma (BRIN-BD11) cells. RT-PCR and western blots studies confirmed high expression of HLA-G1 and -G3 in -G1 and -G3 transfectants, respectively. HLA-G1 and -G3 were detected mainly in intracellular compartments of BRIN-BD11 transductants by confocal fluorescent microscopy and flow cytometry. Functional analysis revealed that beta 2m-free HLA-G promoted xenogeneic cytotoxic lysis of BRIN-BD11 cells by natural killer (NK) cells and increased production of IL-1 beta, TNF-alpha, and IFN-gamma. Stimulation of cytotoxic lysis was impaired by blocking the MAPK and DNA-PKcs pathways in NK cells. Importantly, treatment with 33mAb, a KLR2DL4 receptor agonist, induced NM-mediated cytotoxic lysis of BRIN-BD11 cells transfected with a mock vector. Our data suggest that beta 2m-free HLA-G activates NK cells via engagement of KLR2DL4 receptors. (C) 2012 American Society for Histocompatibility and Immunogenetics. Published by Elsevier Inc. All rights reserved.</t>
  </si>
  <si>
    <t>[Zhao, Longmei; Purandare, Bhamini; Hantash, Basil M.] Escape Therapeut Inc, San Jose, CA 95138 USA; [Zhang, Jian; Hantash, Basil M.] Elixir Inst Regenerat Med, San Jose, CA 95138 USA; [Zhang, Jian] Shenzhen Inst Adv Technol, Shenzhen 518055, Peoples R China</t>
  </si>
  <si>
    <t>Chinese Academy of Sciences; Shenzhen Institute of Advanced Technology, CAS</t>
  </si>
  <si>
    <t>Hantash, BM (corresponding author), Escape Therapeut Inc, 5941 Opt Court, San Jose, CA 95138 USA.</t>
  </si>
  <si>
    <t>basil@escapetherapeutics.com</t>
  </si>
  <si>
    <t>0198-8859</t>
  </si>
  <si>
    <t>10.1016/j.humimm.2012.11.022</t>
  </si>
  <si>
    <t>WOS:000317025100006</t>
  </si>
  <si>
    <t>Ou, YH; Zou, S; Goh, WJ; Chong, SY; Venkatesan, G; Wacker, MG; Storm, G; Wang, JW; Czarny, B; Pastorin, G; Woon, ECY</t>
  </si>
  <si>
    <t>Ou, Yi-Hsuan; Zou, Shui; Goh, Wei Jiang; Chong, Suet Yen; Venkatesan, Gopalakrishnan; Wacker, Matthias G.; Storm, Gerrit; Wang, Jiong-Wei; Czarny, Bertrand; Pastorin, Giorgia; Woon, Esther C. Y.</t>
  </si>
  <si>
    <t>Micro cell vesicle technology (mCVT): a novel hybrid system of gene delivery for hard-to-transfect (HTT) cells</t>
  </si>
  <si>
    <t>DNA; NANOVESICLES; POLYPLEXES; EXOSOMES; THERAPY</t>
  </si>
  <si>
    <t>A hybrid gene delivery platform, micro Cell Vesicle Technology (mCVT), produced from the fusion of plasma membranes and cationic lipids, is presently used to improve the transfection efficiency of hard-to-transfect (HTT) cells. The plasma membrane components of mCVTs impart specificity in cellular uptake and reduce cytotoxicity in the transfection process, while the cationic lipids complex with the genetic material and provide structural integrity to mCVTs.</t>
  </si>
  <si>
    <t>[Ou, Yi-Hsuan; Zou, Shui; Goh, Wei Jiang; Venkatesan, Gopalakrishnan; Wacker, Matthias G.; Pastorin, Giorgia; Woon, Esther C. Y.] Natl Univ Singapore, Dept Pharm, Singapore, Singapore; [Goh, Wei Jiang; Pastorin, Giorgia] NUS Grad Sch Integrat Sci &amp; Engn, Ctr Lift Sci CeLS, Singapore, Singapore; [Chong, Suet Yen; Storm, Gerrit; Wang, Jiong-Wei] Natl Univ Singapore, Yong Loo Lin Sch Med, Dept Surg, Singapore, Singapore; [Chong, Suet Yen; Wang, Jiong-Wei] Natl Univ Heart Ctr Singapore NUHCS, Cardiovasc Res Inst CVRI, Singapore, Singapore; [Chong, Suet Yen; Wang, Jiong-Wei] Natl Univ Hlth Syst NUHS, Singapore, Singapore; [Wang, Jiong-Wei] Natl Univ Singapore, Yong Loo Lin Sch Med, Dept Physiol, Singapore, Singapore; [Czarny, Bertrand] Nanyang Technol Univ, Sch Mat Sci &amp; Engn, 50 Nanyang Ave, Singapore 639798, Singapore; [Czarny, Bertrand] Nanyang Technol Univ, Lee Kong Chian Sch Med LKCmed, 50 Nanyang Ave, Singapore 639798, Singapore; [Woon, Esther C. Y.] UCL, Sch Pharm, 29-39 Brunswick Sq, London WC1N 1AX, England; [Storm, Gerrit] Univ Utrecht, Fac Sci, Utrecht Inst Pharmaceut Sci, Dept Pharmaceut, Utrecht, Netherlands; [Storm, Gerrit] Univ Twente, Dept Biomat Sci &amp; Technol, Drienerlolaan 5, NL-7522 NB Enschede, Netherlands</t>
  </si>
  <si>
    <t>National University of Singapore; National University of Singapore; National University of Singapore; National University of Singapore; National University of Singapore; Nanyang Technological University &amp; National Institute of Education (NIE) Singapore; Nanyang Technological University; Nanyang Technological University &amp; National Institute of Education (NIE) Singapore; Nanyang Technological University; University of London; University College London; University of London School of Pharmacy; Utrecht University; University of Twente</t>
  </si>
  <si>
    <t>Pastorin, G; Woon, ECY (corresponding author), Natl Univ Singapore, Dept Pharm, Singapore, Singapore.;Pastorin, G (corresponding author), NUS Grad Sch Integrat Sci &amp; Engn, Ctr Lift Sci CeLS, Singapore, Singapore.;Wang, JW (corresponding author), Natl Univ Singapore, Yong Loo Lin Sch Med, Dept Surg, Singapore, Singapore.;Wang, JW (corresponding author), Natl Univ Heart Ctr Singapore NUHCS, Cardiovasc Res Inst CVRI, Singapore, Singapore.;Wang, JW (corresponding author), Natl Univ Hlth Syst NUHS, Singapore, Singapore.;Wang, JW (corresponding author), Natl Univ Singapore, Yong Loo Lin Sch Med, Dept Physiol, Singapore, Singapore.;Czarny, B (corresponding author), Nanyang Technol Univ, Sch Mat Sci &amp; Engn, 50 Nanyang Ave, Singapore 639798, Singapore.;Czarny, B (corresponding author), Nanyang Technol Univ, Lee Kong Chian Sch Med LKCmed, 50 Nanyang Ave, Singapore 639798, Singapore.;Woon, ECY (corresponding author), UCL, Sch Pharm, 29-39 Brunswick Sq, London WC1N 1AX, England.</t>
  </si>
  <si>
    <t>surwang@nus.edu.sg; bczarny@ntu.edu.sg; phapg@nus.edu.sg; dr.estherwoon@gmail.com</t>
  </si>
  <si>
    <t>Chong, Suet Yen/AAX-9483-2021; Wacker, Matthias/AFQ-4290-2022; Czarny, Bertrand/F-2001-2018; Venkatesan, Gopalakrishnan/ABI-5170-2020; Wang, Jiong-Wei/AAW-9118-2021</t>
  </si>
  <si>
    <t>Chong, Suet Yen/0000-0002-3627-4025; Wacker, Matthias/0000-0002-2789-6463; Czarny, Bertrand/0000-0002-9586-0913; Venkatesan, Gopalakrishnan/0000-0002-9520-473X; Wang, Jiong-Wei/0000-0001-7986-6082; Pastorin, Giorgia/0000-0002-2568-0626</t>
  </si>
  <si>
    <t>10.1039/d0nr03784b</t>
  </si>
  <si>
    <t>WOS:000571342700005</t>
  </si>
  <si>
    <t>He, DG; Hai, L; Wang, HZ; Wu, R; Li, HW</t>
  </si>
  <si>
    <t>He, Dinggeng; Hai, Luo; Wang, Huizhen; Wu, Ri; Li, Hung-Wing</t>
  </si>
  <si>
    <t>Enzyme-free quantification of exosomal microRNA by the target-triggered assembly of the polymer DNAzyme nanostructure</t>
  </si>
  <si>
    <t>CANCER; CELLS; AMPLIFICATION; MICROVESICLES; DISEASES; RNAS; DNA</t>
  </si>
  <si>
    <t>We herein report an efficient hybridization chain reaction (HCR)and DNAzyme-based enzyme-free signal amplification for the detection of specific exosomal miRNAs in the culture medium of cancer cells and serum samples from cancer patients via the target-triggered self-assembly of the polymer DNAzyme nanostructure.</t>
  </si>
  <si>
    <t>[He, Dinggeng; Li, Hung-Wing] Hong Kong Baptist Univ, Dept Chem, Kowloon Tong, Hong Kong, Peoples R China; [He, Dinggeng; Hai, Luo; Wang, Huizhen; Wu, Ri] Hunan Univ, Coll Chem &amp; Chem Engn, State Key Lab Chemo Biosensing &amp; Chemometr, Changsha 410082, Hunan, Peoples R China</t>
  </si>
  <si>
    <t>Li, HW (corresponding author), Hong Kong Baptist Univ, Dept Chem, Kowloon Tong, Hong Kong, Peoples R China.</t>
  </si>
  <si>
    <t>hwli@hkbu.edu.hk</t>
  </si>
  <si>
    <t>Hai, Luo/ABE-5483-2020</t>
  </si>
  <si>
    <t>10.1039/c7an01691c</t>
  </si>
  <si>
    <t>WOS:000424908000003</t>
  </si>
  <si>
    <t>Liu, L; Yang, RL; Cui, JX; Chen, P; Ri, HC; Sun, HZ; Piao, XF; Li, MS; Pu, QS; Quinto, M; Zhou, JL; Shang, HB; Li, DH</t>
  </si>
  <si>
    <t>Liu, Lu; Yang, Ruilin; Cui, Jiaxuan; Chen, Peng; Ri, Hyok Chol; Sun, Huaze; Piao, Xiangfan; Li, Minshu; Pu, Qiaosheng; Quinto, Maurizio; Zhou, John L.; Shang, Hai-Bo; Li, Donghao</t>
  </si>
  <si>
    <t>Circular Nonuniform Electric Field Gel Electrophoresis for the Separation and Concentration of Nanoparticles</t>
  </si>
  <si>
    <t>PINCHED FLOW FRACTIONATION; EXTRACELLULAR VESICLES; ENRICHMENT; CENTRIFUGATION; AGAROSE; BLOOD; SHAPE; DNA; CHROMATOGRAPHY; PARTICLES</t>
  </si>
  <si>
    <t>A circular nonuniform electric field strategy coupled with gel electrophoresis was proposed to control the precise separation and efficient concentration of nano- and microparticles. The circular nonuniform electric field has the feature of exponential increase in the electric field intensity along the radius, working with three functional zones of migration, acceleration, and concentration. The distribution form of electric field lines is regulated in functional zones to control the migration behaviors of particles for separation and concentration by altering the relative position of the ring electrode (outside) and rodlike electrode (inner). The circular nonuniform electric field promotes the target-type and high-precision separation of nanoparticles based on the difference in charge-to-size ratio. The concentration multiple of nanoparticles is also controlled randomly with the alternation of radius, taking advantage of vertical extrusion and concentric converging of the migration path. This work provides a brand new insight into the simultaneous separation and concentration of particles and is promising for developing a versatile tool for the separation and preparation of various samples instead of conventional methods.</t>
  </si>
  <si>
    <t>[Liu, Lu; Cui, Jiaxuan; Sun, Huaze; Shang, Hai-Bo; Li, Donghao] Yanbian Univ, Dept Chem, Yanji 133002, Jilin, Peoples R China; [Yang, Ruilin; Chen, Peng; Shang, Hai-Bo; Li, Donghao] Yanbian Univ, Coll Integrat Sci, Interdisciplinary Program Biol Funct Mol, Yanji 133002, Jilin, Peoples R China; [Ri, Hyok Chol] Yanbian Univ, Coll Pharm, Yanji 133002, Jilin, Peoples R China; [Piao, Xiangfan] Yanbian Univ, Sch Engn, Dept Elect, Yanji 133002, Jilin, Peoples R China; [Li, Minshu] Univ Copenhagen, Dept Pharm, DK-2100 Copenhagen, Denmark; [Pu, Qiaosheng] Lanzhou Univ, Dept Chem, State Key Lab Appl Organ Chem, Key Lab Nonferrous Met Chem &amp; Resources Utilizat, Lanzhou 730000, Gansu, Peoples R China; [Quinto, Maurizio] Univ Foggia, DAFNE Dept Agr Food Nat Resources &amp; Engn, I-71122 Foggia, Italy; [Zhou, John L.] Univ Technol Sydney, Ctr Green Technol, Sch Civil &amp; Environm Engn, Ultimo, NSW 2007, Australia</t>
  </si>
  <si>
    <t>Yanbian University; Yanbian University; Yanbian University; Yanbian University; University of Copenhagen; Lanzhou University; University of Foggia; University of Technology Sydney</t>
  </si>
  <si>
    <t>Shang, HB; Li, DH (corresponding author), Yanbian Univ, Dept Chem, Yanji 133002, Jilin, Peoples R China.;Shang, HB; Li, DH (corresponding author), Yanbian Univ, Coll Integrat Sci, Interdisciplinary Program Biol Funct Mol, Yanji 133002, Jilin, Peoples R China.</t>
  </si>
  <si>
    <t>hbshang@ybu.edu.cn; dhli@ybu.edu.cn</t>
  </si>
  <si>
    <t>Zhou, John L./E-7610-2011; Quinto, Maurizio/J-9382-2015</t>
  </si>
  <si>
    <t>Zhou, John L./0000-0003-1393-1608; Quinto, Maurizio/0000-0003-0412-6551; Pu, Qiaosheng/0000-0002-5241-7196</t>
  </si>
  <si>
    <t>10.1021/acs.analchem.2c01313</t>
  </si>
  <si>
    <t>WOS:000811939800001</t>
  </si>
  <si>
    <t>Darvishi, S; Pick, H; Lin, TE; Zhu, YD; Li, XY; Ho, PC; Girault, HH; Lesch, A</t>
  </si>
  <si>
    <t>Darvishi, Sorour; Pick, Horst; Lin, Tzu-En; Zhu, Yingdi; Li, Xiaoyun; Ho, Ping-Chih; Girault, Hubert H.; Lesch, Andreas</t>
  </si>
  <si>
    <t>Tape-Stripping Electrochemical Detection of Melanoma</t>
  </si>
  <si>
    <t>MICROSCOPY; TYROSINASE; CELLS; DIAGNOSIS; EXOSOMES; DNA</t>
  </si>
  <si>
    <t>A noninvasive electrochemical melanoma detection approach based on using adhesive tapes for collecting and fixing cells from a suspicious skin area and transferring the cells into a scanning electrochemical microscope (SECM) is presented. The adhesive layer collects the cells reproducibly and keeps them well adhered on the tape during experiments in an electrolyte solution. A melanoma biomarker, here the intracellular enzyme tyrosinase (TYR), was imaged on the tape-collected cells without further cell lysing using antibodies that were labeled with horseradish peroxidase (HRP). The HRP labels catalyzed the oxidation of a dissolved redox-active species, which was detected at a soft microelectrode, gently brushed in contact mode over the tape. The melanoma biomarker was first detected on tape-stripped samples with murine melanoma cells of different concentrations. Thereafter, increasing levels of TYR were recorded in cells that were collected from the skin of melanoma mouse models representing three different stages of tumor growth. Additionally, SECM results of tape-stripped different human melanoma cell lines were confirmed by previous studies based on traditionally fixed and permeabilized cells.</t>
  </si>
  <si>
    <t>[Darvishi, Sorour; Zhu, Yingdi; Girault, Hubert H.] EPFL, Lab Phys &amp; Analyt Electrochem, Rue Ind 17, CH-1950 Sion, Switzerland; [Pick, Horst] Ecole Polytech Fed Lausanne, Inst Chem Sci &amp; Engn, CH-1015 Lausanne, Switzerland; [Lin, Tzu-En] Natl Chiao Tung Univ, Coll Elect &amp; Comp Engn, Inst Biomed Engn, Hsinchu 30010, Taiwan; [Li, Xiaoyun; Ho, Ping-Chih] Univ Lausanne, Dept Oncol, Ch Boveresses 155, CH-1015 Epalinges, Switzerland; [Li, Xiaoyun; Ho, Ping-Chih] Univ Lausanne, Ludwig Inst Canc Res, Ch Boveresses 155, CH-1015 Epalinges, Switzerland; [Lesch, Andreas] Univ Bologna, Dept Ind Chem Toso Montanari, Viale Risorgimento 4, IT-40136 Bologna, Italy</t>
  </si>
  <si>
    <t>Ecole Polytechnique Federale de Lausanne; National Yang Ming Chiao Tung University; University of Lausanne; Ludwig Institute for Cancer Research; University of Lausanne; University of Bologna</t>
  </si>
  <si>
    <t>Girault, HH (corresponding author), EPFL, Lab Phys &amp; Analyt Electrochem, Rue Ind 17, CH-1950 Sion, Switzerland.;Lesch, A (corresponding author), Univ Bologna, Dept Ind Chem Toso Montanari, Viale Risorgimento 4, IT-40136 Bologna, Italy.</t>
  </si>
  <si>
    <t>hubert.girault@epfl.ch; andreas.lesch@unibo.it</t>
  </si>
  <si>
    <t>Lesch, Andreas/P-9126-2014; Darvishi, Sorour/AAY-6368-2020; Girault, Hubert/A-1568-2012</t>
  </si>
  <si>
    <t>Lesch, Andreas/0000-0002-4995-2251; Darvishi, Sorour/0000-0002-3156-1789; Girault, Hubert/0000-0001-5573-5774</t>
  </si>
  <si>
    <t>10.1021/acs.analchem.9b02819</t>
  </si>
  <si>
    <t>WOS:000491219900039</t>
  </si>
  <si>
    <t>Chang, JYH; Ladame, S</t>
  </si>
  <si>
    <t>Ladame, S; Chang, JYH</t>
  </si>
  <si>
    <t>Chang, Jason Y. H.; Ladame, Sylvain</t>
  </si>
  <si>
    <t>Diagnostic, prognostic, and predictive biomarkers for cancer</t>
  </si>
  <si>
    <t>BIOENGINEERING INNOVATIVE SOLUTIONS FOR CANCER</t>
  </si>
  <si>
    <t>CLINICAL UTILITY; EXOSOMES; MICRORNAS; HALLMARKS; DNA</t>
  </si>
  <si>
    <t>[Chang, Jason Y. H.] MIT, Koch Inst Integrat Canc Res, 77 Massachusetts Ave, Cambridge, MA 02139 USA; [Ladame, Sylvain] Imperial Coll London, Dept Bioengn, London, England</t>
  </si>
  <si>
    <t>Massachusetts Institute of Technology (MIT); Imperial College London</t>
  </si>
  <si>
    <t>Chang, JYH (corresponding author), MIT, Koch Inst Integrat Canc Res, 77 Massachusetts Ave, Cambridge, MA 02139 USA.</t>
  </si>
  <si>
    <t>978-0-12-813887-8; 978-0-12-813886-1</t>
  </si>
  <si>
    <t>10.1016/B978-0-12-813886-1.00001-2</t>
  </si>
  <si>
    <t>10.1016/C2017-0-00740-1</t>
  </si>
  <si>
    <t>Oncology; Engineering, Biomedical</t>
  </si>
  <si>
    <t>Oncology; Engineering</t>
  </si>
  <si>
    <t>WOS:000555694200002</t>
  </si>
  <si>
    <t>Cai, SL; Pataillot-Meakin, T; Shibakawa, A; Ren, R; Bevan, CL; Ladame, S; Ivanov, AP; Edel, JB</t>
  </si>
  <si>
    <t>Cai, Shenglin; Pataillot-Meakin, Thomas; Shibakawa, Akifumi; Ren, Ren; Bevan, Charlotte L.; Ladame, Sylvain; Ivanov, Aleksandar P.; Edel, Joshua B.</t>
  </si>
  <si>
    <t>Single-molecule amplification-free multiplexed detection of circulating microRNA cancer biomarkers from serum</t>
  </si>
  <si>
    <t>PROSTATE-CANCER; ELECTRONIC DETECTION; DNA; NANOPORES; EXOSOMES</t>
  </si>
  <si>
    <t>MicroRNAs (miRNAs) play essential roles in post-transcriptional gene expression and are also found freely circulating in bodily fluids such as blood. Dysregulated miRNA signatures have been associated with many diseases including cancer, and miRNA profiling from liquid biopsies offers a promising strategy for cancer diagnosis, prognosis and monitoring. Here, we develop size-encoded molecular probes that can be used for simultaneous electro-optical nanopore sensing of miRNAs, allowing for ultrasensitive, sequence-specific and multiplexed detection directly in unprocessed human serum, in sample volumes as small as 0.1 mu l. We show that this approach allows for femtomolar sensitivity and single-base mismatch selectivity. We demonstrate the ability to simultaneously monitor miRNAs (miR-141-3p and miR-375-3p) from prostate cancer patients with active disease and in remission. This technology can pave the way for next generation of minimally invasive diagnostic and companion diagnostic tests for cancer. miRNA profiling from patient blood can be used for cancer diagnosis. Here the authors present an electro-optical nanopore sensing platform which allows sensitive and specific miRNA detection directly in human serum and apply to monitoring of miR-141-3p and miR-375-3p in different stage of prostate cancer.</t>
  </si>
  <si>
    <t>[Cai, Shenglin; Pataillot-Meakin, Thomas; Ren, Ren; Ivanov, Aleksandar P.; Edel, Joshua B.] Imperial Coll London, Dept Chem, Mol Sci Res Hub, London W12 0BZ, England; [Pataillot-Meakin, Thomas; Ladame, Sylvain] Imperial Coll London, Dept Bioengn, Sir Michael Uren Hub, London W12 0BZ, England; [Pataillot-Meakin, Thomas; Shibakawa, Akifumi; Bevan, Charlotte L.] Hammersmith Hosp, Imperial Coll London, Dept Surg &amp; Canc, London, England</t>
  </si>
  <si>
    <t>Imperial College London; Imperial College London; Imperial College London</t>
  </si>
  <si>
    <t>Ivanov, AP; Edel, JB (corresponding author), Imperial Coll London, Dept Chem, Mol Sci Res Hub, London W12 0BZ, England.;Ladame, S (corresponding author), Imperial Coll London, Dept Bioengn, Sir Michael Uren Hub, London W12 0BZ, England.;Bevan, CL (corresponding author), Hammersmith Hosp, Imperial Coll London, Dept Surg &amp; Canc, London, England.</t>
  </si>
  <si>
    <t>charlotte.bevan@imperial.ac.uk; s.ladame@imperial.ac.uk; alex.ivanov@imperial.ac.uk; joshua.edel@imperial.ac.uk</t>
  </si>
  <si>
    <t>; Edel, Joshua/I-7699-2012; Bevan, Charlotte/K-2276-2012; Ivanov, Aleksandar/B-9431-2011</t>
  </si>
  <si>
    <t>Ladame, Sylvain/0000-0002-3358-9638; Ren, Ren/0000-0001-8288-8012; Pataillot-Meakin, Thomas/0000-0002-7619-5962; Edel, Joshua/0000-0001-5870-8659; Bevan, Charlotte/0000-0002-7533-0552; Cai, Shenglin/0000-0002-7815-6406; Ivanov, Aleksandar/0000-0003-1419-1381</t>
  </si>
  <si>
    <t>10.1038/s41467-021-23497-y</t>
  </si>
  <si>
    <t>WOS:000663747800005</t>
  </si>
  <si>
    <t>Bender, EC; Kraynak, CA; Huang, WB; Suggs, LJ</t>
  </si>
  <si>
    <t>Bender, Elizabeth C.; Kraynak, Chelsea A.; Huang, Wenbai; Suggs, Laura J.</t>
  </si>
  <si>
    <t>Cell-Inspired Biomaterials for Modulating Inflammation</t>
  </si>
  <si>
    <t>biomaterial; nanoparticle; macrophage; inflammation; cancer; cell-inspired</t>
  </si>
  <si>
    <t>FOREIGN-BODY REACTION; EXTRACELLULAR VESICLES; MACROPHAGE ACTIVATION; RHEUMATOID-ARTHRITIS; DNA NANOSTRUCTURES; MUSCLE INJURY; CPG DNA; NANOPARTICLES; DRUG; DELIVERY</t>
  </si>
  <si>
    <t>Impact statement Chronic inflammatory diseases and cancers are widespread health care concerns. Treatment plans for these diseases can be complicated and the outcomes are often mixed due to off-target effects. Current research efforts in immune engineering and biomaterials are focused on utilizing the body's native immune response to return to homeostasis as a therapeutic approach. This review collects many of the most current findings in the field as a resource for future research. Inflammation is a crucial part of wound healing and pathogen clearance. However, it can also play a role in exacerbating chronic diseases and cancer progression when not regulated properly. A subset of current innate immune engineering research is focused on how molecules such as lipids, proteins, and nucleic acids native to a healthy inflammatory response can be harnessed in the context of biomaterial design to promote healing, decrease disease severity, and prolong survival. The engineered biomaterials in this review inhibit inflammation by releasing anti-inflammatory cytokines, sequestering proinflammatory cytokines, and promoting phenotype switching of macrophages in chronic inflammatory disease models. Conversely, other biomaterials discussed here promote inflammation by mimicking pathogen invasion to inhibit tumor growth in cancer models. The form that these biomaterials take spans a spectrum from nanoparticles to large-scale hydrogels to surface coatings on medical devices. Cell-inspired molecules have been incorporated in a variety of creative ways, including loaded into or onto the surface of biomaterials or used as the biomaterials themselves.</t>
  </si>
  <si>
    <t>[Bender, Elizabeth C.; Kraynak, Chelsea A.; Huang, Wenbai; Suggs, Laura J.] Univ Texas Austin, Dept Biomed Engn, 1 Univ Stn,Stop C0800, Austin, TX 78712 USA; [Huang, Wenbai] Univ Texas Austin, Dept Kinesiol &amp; Hlth Educ, Austin, TX 78712 USA</t>
  </si>
  <si>
    <t>University of Texas System; University of Texas Austin; University of Texas System; University of Texas Austin</t>
  </si>
  <si>
    <t>Suggs, LJ (corresponding author), Univ Texas Austin, Dept Biomed Engn, 1 Univ Stn,Stop C0800, Austin, TX 78712 USA.</t>
  </si>
  <si>
    <t>suggs@utexas.edu</t>
  </si>
  <si>
    <t>10.1089/ten.teb.2020.0276</t>
  </si>
  <si>
    <t>WOS:000679484500001</t>
  </si>
  <si>
    <t>Zhang, L; Ding, GQ; Wei, LF; Pan, XS; Mei, LL; Zhang, YJ; Lu, YY</t>
  </si>
  <si>
    <t>Zhang, Lei; Ding, Gangqiang; Wei, Lanfen; Pan, Xieshang; Mei, Lingling; Zhang, Yanjun; Lu, Yiyu</t>
  </si>
  <si>
    <t>Establishment of a Novel Target-Based Real-Time Quantitative PCR Method for Acinetobacter baumannii Detection</t>
  </si>
  <si>
    <t>DIAGNOSTIC MOLECULAR PATHOLOGY</t>
  </si>
  <si>
    <t>Acinetobacter baumannii; bfs gene; bioinformatic analysis; QPCR</t>
  </si>
  <si>
    <t>BIOFILM FORMATION; MEMBRANE-VESICLES; EXTRACELLULAR DNA; EPIDEMIC STRAINS; ABIOTIC SURFACES; INFECTIONS; IDENTIFICATION; PATHOGEN; CELLS; RESISTANCE</t>
  </si>
  <si>
    <t>Biofilm formation is a well-known pathogenic mechanism in infections caused by Acinetobacter baumannii. Recently, a biofilm synthesis-associated gene has been found in A. baumannii ATCC19606. Bioinformatic analysis showed 2 transmembrane structures and an hmsS superfamily domain, which was related to biofilm formation. What is more, high homology sequences of the bfs gene were only present in A. baumannii spp., and the similarities of nucleotide sequences of the bfs gene from A. baumannii strains ATCC17978, ACICU, S1, AB307-0294, and AB0057 compared with the reported sequence of bfs (GenBank accession No.: NZ_GG704572) were all above 95%. The distribution and conservation of the bfs gene from clinically derived A. baumannii strains were verified through conventional polymerase chain reaction (PCR). After this, we established a bfs gene-based real-time quantitative PCR assay to detect A. baumannii. Species specificity and sensitivity assays were designed and validated. By using this method, all the A. baumannii strains separated from clinical samples were identified and showed good accordance with the results from biochemical identification. This study is the first report of developing a bfs gene-based quantitative polymerase chain reaction for rapid, stable, and specific detection of A. baumannii. This method can be applied to clinical laboratory diagnosis, and detection of A. baumannii present on medical instruments.</t>
  </si>
  <si>
    <t>[Zhang, Lei; Ding, Gangqiang; Wei, Lanfen; Pan, Xieshang; Mei, Lingling; Zhang, Yanjun; Lu, Yiyu] Ctr Dis Control &amp; Prevent Zhejiang Prov, Hangzhou 310051, Zhejiang, Peoples R China</t>
  </si>
  <si>
    <t>Zhang, YJ (corresponding author), Ctr Dis Control &amp; Prevent Zhejiang Prov, 630 Xin Cheng Rd, Hangzhou 310051, Zhejiang, Peoples R China.</t>
  </si>
  <si>
    <t>lzhang@cdc.zj.cn</t>
  </si>
  <si>
    <t>ding, gangqiang/AHD-5012-2022</t>
  </si>
  <si>
    <t>1052-9551</t>
  </si>
  <si>
    <t>1533-4066</t>
  </si>
  <si>
    <t>10.1097/PDM.0b013e31821bbb1e</t>
  </si>
  <si>
    <t>Biochemistry &amp; Molecular Biology; Biotechnology &amp; Applied Microbiology; Pathology</t>
  </si>
  <si>
    <t>WOS:000297253000008</t>
  </si>
  <si>
    <t>Schenkwein, D; Yla-Herttuala, S</t>
  </si>
  <si>
    <t>Schenkwein, Diana; Yla-Herttuala, Seppo</t>
  </si>
  <si>
    <t>Development of Lentiviral Vectors for Targeted Integration and Protein Delivery</t>
  </si>
  <si>
    <t>Integrase fusion protein; Targeted integration; Genomic safe harbor; Protein transduction; Vector production</t>
  </si>
  <si>
    <t>DNA INTEGRATION; GENE-THERAPY; SEQUENCE; GENERATION; SITES; CELLS; PCR</t>
  </si>
  <si>
    <t>The method in this chapter describes the design of human immunodeficiency virus type 1 (HIV-1) integrase (IN)-fusion proteins which we have developed to transport different proteins into the nuclei of lentiviral vector (LV)-transduced cells. The IN-fusion protein cDNA is incorporated into the LV packaging plasmid, which leads to its incorporation into vector particles as part of a large Gag Pol polyprotein. This specific feature of protein packaging enables also the incorporation of cytotoxic and proapoptotic proteins, such as frequently cutting endonucleases and P53. The vectors can hence be used for various protein transduction needs. An outline of the necessary methods is also given to study the functionality of a chosen IN-fusion protein in a cell culture assay.</t>
  </si>
  <si>
    <t>[Schenkwein, Diana; Yla-Herttuala, Seppo] Univ Eastern Finland, Dept Biotechnol &amp; Mol Med, AI Virtanen Inst Mol Sci, Kuopio, Finland</t>
  </si>
  <si>
    <t>University of Eastern Finland</t>
  </si>
  <si>
    <t>Schenkwein, D (corresponding author), Univ Eastern Finland, Dept Biotechnol &amp; Mol Med, AI Virtanen Inst Mol Sci, Kuopio, Finland.</t>
  </si>
  <si>
    <t>Yla-Herttuala, Seppo/0000-0001-7593-2708; Schenkwein, Diana/0000-0002-8854-8585</t>
  </si>
  <si>
    <t>10.1007/978-1-4939-3753-0_14</t>
  </si>
  <si>
    <t>WOS:000386788700015</t>
  </si>
  <si>
    <t>Zhou, SL; Lei, Y; Wang, P; Chen, JY; Zeng, LT; Qu, T; Maldonado, M; Huang, JH; Han, TT; Wen, ZA; Tian, ER; Meng, XQ; Zhong, Y; Gu, J</t>
  </si>
  <si>
    <t>Zhou, Shuling; Lei, Yu; Wang, Ping; Chen, Jianying; Zeng, Liting; Qu, Ting; Maldonado, Martin; Huang, Jihua; Han, Tingting; Wen, Zina; Tian, Erpo; Meng, Xiangqian; Zhong, Ying; Gu, Jiang</t>
  </si>
  <si>
    <t>Human Umbilical Cord Mesenchymal Stem Cells Encapsulated with Pluronic F-127 Enhance the Regeneration and Angiogenesis of Thin Endometrium in Rat via Local IL-1 beta Stimulation</t>
  </si>
  <si>
    <t>THICKNESS; PREGNANCY; FRESH; IVF; SCAFFOLDS; INFUSION; EXOSOMES; OUTCOMES; PCR</t>
  </si>
  <si>
    <t>Thin endometrium (&lt; 7 mm) could cause low clinical pregnancy, reduced live birth, increased spontaneous abortion, and decreased birth weight. However, the treatments for thin endometrium have not been well developed. In this study, we aim to determine the role of Pluronic F-127 (PF-127) encapsulation of human umbilical cord mesenchymal stem cells (hUC-MSCs) in the regeneration of thin endometrium and its underlying mechanism. Thin endometrium rat model was created by infusion of 95% ethanol. Thin endometrium modeled rat uterus were treated with saline, hUC-MSCs, PF-127, or hUC-MSCs plus PF-127 separately. Regenerated rat uterus was measured for gene expression levels of angiogenesis factors and histological morphology. Angiogenesis capacity of interleukin-1 beta (IL-1 beta)-primed hUC-MSCs was monitored via quantitative polymerase chain reaction (q-PCR), Luminex assay, and tube formation assay. Decreased endometrium thickness and gland number and increased inflammatory factor IL-1 beta were achieved in the thin endometrium rat model. Embedding of hUC-MSCs with PF-127 could prolong the hUC-MSCs retaining, which could further enhance endometrium thickness and gland number in the thin endometrium rat model via increasing angiogenesis capacity. Conditional medium derived from IL-1 beta-primed hUC-MSCs increased the concentration of angiogenesis factors (basic fibroblast growth factor (bFGF), vascular endothelial growth factors (VEGF), and hepatocyte growth factor (HGF)). Improvement in the thickness, number of glands, and newly generated blood vessels could be achieved by uterus endometrium treatment with PF-127 and hUC-MSCs transplantation. Local IL-1 beta stimulation-primed hUC-MSCs promoted the release of angiogenesis factors and may play a vital role on thin endometrium regeneration.</t>
  </si>
  <si>
    <t>[Zhou, Shuling; Lei, Yu; Wang, Ping; Chen, Jianying; Qu, Ting; Maldonado, Martin; Huang, Jihua; Han, Tingting] Jinxin Res Inst Reprod Med &amp; Genet, 66 Bisheng Rd, Chengdu 610066, Sichuan, Peoples R China; [Zhou, Shuling; Lei, Yu; Zeng, Liting; Gu, Jiang] Shantou Univ Med Coll, Collaborat &amp; Creat Ctr, Dept Pathol, 22 Xinling Rd, Shantou 515041, Guangdong, Peoples R China; [Wen, Zina; Tian, Erpo] Chengdu Xinan Gynecol Hosp, Dept Androl, 66 Bisheng Rd, Chengdu 610066, Sichuan, Peoples R China; [Meng, Xiangqian; Zhong, Ying] Chengdu Jinjiang Hosp Maternal &amp; Child Hlth Care, Dept Embryol, 3 San-guantang Rd, Chengdu 610066, Sichuan, Peoples R China; [Zhou, Shuling; Lei, Yu; Zeng, Liting; Gu, Jiang] Shantou Univ Med Coll, Collaborat &amp; Creat Ctr, Prov Key Lab Infect Dis &amp; Immunopathol, 22 Xinling Rd, Shantou 515041, Guangdong, Peoples R China</t>
  </si>
  <si>
    <t>Gu, J (corresponding author), Shantou Univ Med Coll, Collaborat &amp; Creat Ctr, Dept Pathol, 22 Xinling Rd, Shantou 515041, Guangdong, Peoples R China.;Zhong, Y (corresponding author), Chengdu Jinjiang Hosp Maternal &amp; Child Hlth Care, Dept Embryol, 3 San-guantang Rd, Chengdu 610066, Sichuan, Peoples R China.;Gu, J (corresponding author), Shantou Univ Med Coll, Collaborat &amp; Creat Ctr, Prov Key Lab Infect Dis &amp; Immunopathol, 22 Xinling Rd, Shantou 515041, Guangdong, Peoples R China.</t>
  </si>
  <si>
    <t>zhou-shuling@hotmail.com; 849986493@qq.com; 2669563521@qq.com; 874011354@qq.com; 745246753@qq.com; 543103775@qq.com; w12martin@yahoo.com.ar; 1920856277@qq.com; 591045188@qq.com; zina_wen357@163.com; tianep@jxr-fertility.com; 281623851@qq.com; zhongy@jxr-fertility.com; 2523381625@qq.com</t>
  </si>
  <si>
    <t>JUN 18</t>
  </si>
  <si>
    <t>10.1155/2022/7819234</t>
  </si>
  <si>
    <t>WOS:000817590700003</t>
  </si>
  <si>
    <t>Telleria, O; Alboniga, OE; Clos-Garcia, M; Nafria-Jimenez, B; Cubiella, J; Bujanda, L; Falcon-Perez, JM</t>
  </si>
  <si>
    <t>Telleria, Oiana; Alboniga, Oihane E.; Clos-Garcia, Marc; Nafria-Jimenez, Beatriz; Cubiella, Joaquin; Bujanda, Luis; Falcon-Perez, Juan Manuel</t>
  </si>
  <si>
    <t>A Comprehensive Metabolomics Analysis of Fecal Samples from Advanced Adenoma and Colorectal Cancer Patients</t>
  </si>
  <si>
    <t>untargeted metabolomics; colorectal cancer; faecal samples; biomarkers</t>
  </si>
  <si>
    <t>HUMAN COLON-CANCER; BIOMARKER DISCOVERY; ALCOHOL-CONSUMPTION; HEME OXYGENASE-1; DNA-DAMAGE; METABOLISM; INDUCTION; APOPTOSIS; CELLS; SPHINGOSINE</t>
  </si>
  <si>
    <t>Accurate diagnosis of colorectal cancer (CRC) still relies on invasive colonoscopy. Non-invasive methods are less sensitive in detecting the disease, particularly in the early stage. In the current work, a metabolomics analysis of fecal samples was carried out by ultra-high-performance liquid chromatography-tandem mass spectroscopy (UPLC-MS/MS). A total of 1380 metabolites were analyzed in a cohort of 120 fecal samples from patients with normal colonoscopy, advanced adenoma (AA) and CRC. Multivariate analysis revealed that metabolic profiles of CRC and AA patients were similar and could be clearly separated from control individuals. Among the 25 significant metabolites, sphingomyelins (SM), lactosylceramides (LacCer), secondary bile acids, polypeptides, formiminoglutamate, heme and cytidine-containing pyrimidines were found to be dysregulated in CRC patients. Supervised random forest (RF) and logistic regression algorithms were employed to build a CRC accurate predicted model consisting of the combination of hemoglobin (Hgb) and bilirubin E,E, lactosyl-N-palmitoyl-sphingosine, glycocholenate sulfate and STLVT with an accuracy, sensitivity and specificity of 91.67% (95% Confidence Interval (CI) 0.7753-0.9825), 0.7 and 1, respectively.</t>
  </si>
  <si>
    <t>[Telleria, Oiana; Falcon-Perez, Juan Manuel] CIBERehd, CIC bioGUNE BRTA, Exosomes Lab, Bizkaia Technol Pk, Bilbao 48160, Spain; [Alboniga, Oihane E.; Falcon-Perez, Juan Manuel] CIBERehd, CIC bioGUNE BRTA, Metabol Platform, Bizkaia Technol Pk, Bilbao 48160, Spain; [Clos-Garcia, Marc] LEITAT Technol Ctr, C de Innovacio 2, Terrassa 08225, Spain; [Nafria-Jimenez, Beatriz] Donostialdea Integrated Hlth Org, Osakidetza Basque Hlth Serv, Clin Biochem Dept, San Sebastian 20014, Spain; [Cubiella, Joaquin] Complexo Hosp Univ Ourense, Ctr Invest Biomed Red Enfermedades Hepat &amp; Digest, Inst Invest Sanitaria Galicia Sur, Dept Gastroenterol, Orense 32005, Spain; [Bujanda, Luis] Univ Pais Vasco UPV EHU, Ctr Invest Biomed Red Enfermedades Hepat &amp; Digest, Inst Biodonostia, Dept Gastroenterol,Hosp Donostia, San Sebastian 20014, Spain; [Falcon-Perez, Juan Manuel] Basque Fdn Sci, Ikerbasque, Bilbao 48011, Spain</t>
  </si>
  <si>
    <t>CIBER - Centro de Investigacion Biomedica en Red; CIBEREHD; CIBER - Centro de Investigacion Biomedica en Red; CIBEREHD; CIBER - Centro de Investigacion Biomedica en Red; CIBEREHD; Complexo Hospitalario Universitario de Ourense, Verin e O Barco de Valdeorras; CIBER - Centro de Investigacion Biomedica en Red; CIBEREHD; Instituto de Investigacion Sanitaria Biodonostia; University Hospital Donostia; University of Basque Country; Basque Foundation for Science</t>
  </si>
  <si>
    <t>Telleria, O; Falcon-Perez, JM (corresponding author), CIBERehd, CIC bioGUNE BRTA, Exosomes Lab, Bizkaia Technol Pk, Bilbao 48160, Spain.;Falcon-Perez, JM (corresponding author), CIBERehd, CIC bioGUNE BRTA, Metabol Platform, Bizkaia Technol Pk, Bilbao 48160, Spain.;Falcon-Perez, JM (corresponding author), Basque Fdn Sci, Ikerbasque, Bilbao 48011, Spain.</t>
  </si>
  <si>
    <t>oiana.tell@gmail.com; oalboniga@cicbiogune.es; marc.clos.garcia@sund.ku.dk; beatriz.nafriajimenez@osakidetza.eus; joaquin.cubiella.fernandez@sergas.es; luis.bujandafernandezdepierola@osakidetza.eus; jfalcon@cicbiogune.es</t>
  </si>
  <si>
    <t>CUBIELLA, JOAQUIN/G-7692-2017</t>
  </si>
  <si>
    <t>CUBIELLA, JOAQUIN/0000-0002-9994-4831; Falcon-Perez, Juan M/0000-0003-3133-0670</t>
  </si>
  <si>
    <t>10.3390/metabo12060550</t>
  </si>
  <si>
    <t>WOS:000817414000001</t>
  </si>
  <si>
    <t>Sukhacheva, TV; Serov, RA; Nizyaeva, NV; Burov, AA; Pavlovich, SV; Podurovskaya, YL; Samsonova, MV; Chernyaev, AL; Shchegolev, AI; Kim, AI; Bockeria, LA; Sukhikh, GT</t>
  </si>
  <si>
    <t>Sukhacheva, Tatyana V.; Serov, Roman A.; Nizyaeva, Natalia V.; Burov, Artem A.; Pavlovich, Stanislav V.; Podurovskaya, Yulia L.; Samsonova, Maria V.; Chernyaev, Andrey L.; Shchegolev, Aleksandr I.; Kim, Alexei I.; Bockeria, Leo A.; Sukhikh, Gennady T.</t>
  </si>
  <si>
    <t>Accelerated Growth, Differentiation, and Ploidy with Reduced Proliferation of Right Ventricular Cardiomyocytes in Children with Congenital Heart Defect Tetralogy of Fallot</t>
  </si>
  <si>
    <t>tetralogy of Fallot; children; cardiomyocytes; differentiation; ploidy; Cx43; gap junction; proliferation; ultrastructure; interstitial tissue</t>
  </si>
  <si>
    <t>MYOCYTE CELLULAR HYPERTROPHY; NUCLEAR-DNA CONTENT; CARDIAC MYOCYTES; OUTFLOW TRACT; AUTOPHAGIC DEGENERATION; POSTNATAL-DEVELOPMENT; ADULT; MUTATIONS; HYPERPLASIA; MYOCARDIUM</t>
  </si>
  <si>
    <t>The myocardium of children with tetralogy of Fallot (TF) undergoes hemodynamic overload and hypoxemia immediately after birth. Comparative analysis of changes in the ploidy and morphology of the right ventricular cardiomyocytes in children with TF in the first years of life demonstrated their significant increase compared with the control group. In children with TF, there was a predominantly diffuse distribution of Connexin43-containing gap junctions over the cardiomyocytes sarcolemma, which redistributed into the intercalated discs as cardiomyocytes differentiation increased. The number of Ki67-positive cardiomyocytes varied greatly and amounted to 7.0-1025.5/10(6) cardiomyocytes and also were decreased with increased myocytes differentiation. Ultrastructural signs of immaturity and proliferative activity of cardiomyocytes in children with TF were demonstrated. The proportion of interstitial tissue did not differ significantly from the control group. The myocardium of children with TF under six months of age was most sensitive to hypoxemia, it was manifested by a delay in the intercalated discs and myofibril assembly and the appearance of ultrastructural signs of dystrophic changes in the cardiomyocytes. Thus, the acceleration of ontogenetic growth and differentiation of the cardiomyocytes, but not the reactivation of their proliferation, was an adaptation of the immature myocardium of children with TF to hemodynamic overload and hypoxemia.</t>
  </si>
  <si>
    <t>[Sukhacheva, Tatyana V.; Serov, Roman A.; Kim, Alexei I.; Bockeria, Leo A.] Minist Hlth Russian Federat, AN Bakulev Natl Med Res Ctr Cardiovasc Surg, Moscow 121552, Russia; [Nizyaeva, Natalia V.; Burov, Artem A.; Pavlovich, Stanislav V.; Podurovskaya, Yulia L.; Shchegolev, Aleksandr I.; Sukhikh, Gennady T.] Minist Hlth Russian Federat, Natl Med Res Ctr Obstet Gynecol &amp; Perinatol, Moscow 117997, Russia; [Pavlovich, Stanislav V.; Sukhikh, Gennady T.] First Moscow State Med Univ, Fac Postgrad &amp; Adv Training Phys, Dept Obstet Gynecol &amp; Reproductol, Moscow 119991, Russia; [Samsonova, Maria V.; Chernyaev, Andrey L.] Fed Med Biol Agcy Russian Federat, Res Inst Pulmonol, Moscow 115682, Russia</t>
  </si>
  <si>
    <t>Ministry of Health of the Russian Federation; Russian Academy of Medical Sciences; Bakulev Scientific Center for Cardiovascular Surgery; Ministry of Health of the Russian Federation; Russian Academy of Medical Sciences; Research Center for Obstetrics, Gynecology &amp; Perinatology; Sechenov First Moscow State Medical University</t>
  </si>
  <si>
    <t>Sukhacheva, TV (corresponding author), Minist Hlth Russian Federat, AN Bakulev Natl Med Res Ctr Cardiovasc Surg, Moscow 121552, Russia.</t>
  </si>
  <si>
    <t>sukhachevat@gmail.com; seroroman@yandex.ru; niziaeva@gmail.com; a_burov@oparina4.ru; s_pavlovich@oparina4.ru; y_podurovskaya@oparina4.ru; samary@mail.ru; cheral12@gmail.com; ashegolev@oparina4.ru; aikim@bakulev.ru; leoan@bakulev.ru; sukhikh21@oparina4.ru</t>
  </si>
  <si>
    <t>serov, roman/0000-0002-7962-7273; Nizyaeva, Natalia/0000-0001-5592-5690; Burov, Artem/0000-0001-7374-9803; Shchyogolev, Alexandr/0000-0002-2111-1530; Samsonova, Maria/0000-0001-8170-1260; Cherniaev, Andrey/0000-0003-0973-9250</t>
  </si>
  <si>
    <t>10.3390/cells11010175</t>
  </si>
  <si>
    <t>WOS:000743952400001</t>
  </si>
  <si>
    <t>Yamaguchi, M; Hirouchi, T; Yoshioka, H; Watanabe, J; Kashiwakura, I</t>
  </si>
  <si>
    <t>Yamaguchi, Masaru; Hirouchi, Tokuhisa; Yoshioka, Haruhiko; Watanabe, Jun; Kashiwakura, Ikuo</t>
  </si>
  <si>
    <t>Diverse functions of the thrombopoietin receptor agonist romiplostim rescue individuals exposed to lethal radiation</t>
  </si>
  <si>
    <t>Lethal radiation; Radiomitigator; Acute radiation syndrome; Thrombopoietin receptor agonist; Romiplostim</t>
  </si>
  <si>
    <t>HEMATOPOIETIC STEM-CELLS; BONE-MARROW; STIMULATES HEMATOPOIESIS; EXTRACELLULAR VESICLES; PROTECTS MICE; DNA-DAMAGE; SURVIVAL; IRRADIATION; INJURY; COMBINATION</t>
  </si>
  <si>
    <t>In cases of radiological accidents, especially victims exposed to high-dose ionizing radiation, the administration of appropriate approved pharmaceutical drugs is the most rapid medical treatment. However, currently, there are no suitable candidates. The thrombopoietin receptor (TPOR) agonist romiplostim (RP) is a therapeutic agent for immune thrombocytopenia and has potential to respond to such victims. Here, we show that RP administration in mice exposed to lethal-dose radiation leads not only to the promotion of haematopoiesis in multiple organs, including the lungs but also a reduction in damage to organs and cells. RP also causes a rapid increase in the number of mesenchymal stem cells in the spleen. In addition, RP suppresses the expression of several miRNAs involved in radiation-induced leukemogenesis, suggesting the presence of targets other than TPOR. Among the currently approved pharmaceutical drugs, RP is the most suitable candidate for victims exposed to high-dose ionizing radiation.</t>
  </si>
  <si>
    <t>[Yamaguchi, Masaru; Kashiwakura, Ikuo] Hirosaki Univ, Grad Sch Hlth Sci, Dept Radiat Sci, 66-1 Hon Cho, Hirosaki, Aomori 0368564, Japan; [Hirouchi, Tokuhisa] Inst Environm Sci, Dept Radiobiol, 2-121 Hacchazawa, Aomori 0393213, Japan; [Yoshioka, Haruhiko; Watanabe, Jun] Hirosaki Univ, Grad Sch Hlth Sci, Dept Biosci &amp; Lab Med, 66-1 Hon Cho, Hirosaki, Aomori 0368564, Japan</t>
  </si>
  <si>
    <t>Kashiwakura, I (corresponding author), Hirosaki Univ, Grad Sch Hlth Sci, Dept Radiat Sci, 66-1 Hon Cho, Hirosaki, Aomori 0368564, Japan.</t>
  </si>
  <si>
    <t>ikashi@hirosaki-u.ac.jp</t>
  </si>
  <si>
    <t>10.1016/j.freeradbiomed.2019.03.023</t>
  </si>
  <si>
    <t>WOS:000465562600007</t>
  </si>
  <si>
    <t>Chandler, M; Johnson, B; Khisamutdinov, E; Dobrovolskaia, MA; Sztuba-Solinska, J; Salem, AK; Breyne, K; Chammas, R; Walter, NG; Contreras, LM; Guo, PX; Afonin, KA</t>
  </si>
  <si>
    <t>Chandler, Morgan; Johnson, Brittany; Khisamutdinov, Emil; Dobrovolskaia, Marina A.; Sztuba-Solinska, Joanna; Salem, Aliasger K.; Breyne, Koen; Chammas, Roger; Walter, Nils G.; Contreras, Lydia M.; Guo, Peixuan; Afonin, Kirill A.</t>
  </si>
  <si>
    <t>The International Society of RNA Nanotechnology and Nanomedicine (ISRNN): The Present and Future of the Burgeoning Field</t>
  </si>
  <si>
    <t>CHALLENGING CLINICAL TRANSLATION; EXTRACELLULAR VESICLES; SIRNA DELIVERY; BONE REGENERATION; EMERGING FIELD; ETHER LIPIDS; DNA; PROTEIN; LIGAND; IDENTIFICATION</t>
  </si>
  <si>
    <t>The International Society of RNA Nanotechnology and Nanomedicine (ISRNN) hosts an annual meeting series focused on presenting the latest research achievements involving RNA-based therapeutics and strategies, aiming to expand their current biomedical applications while overcoming the remaining challenges of the burgeoning field of RNA nanotechnology. The most recent online meeting hosted a series of engaging talks and discussions from an international cohort of leading nanotechnologists that focused on RNA modifications and modulation, dynamic RNA structures, overcoming delivery limitations using a variety of innovative platforms and approaches, and addressing the newly explored potential for immunomodulation with programmable nucleic acid nanoparticles. In this Nano Focus, we summarize the main discussion points, conclusions, and future directions identified during this two-day webinar as well as more recent advances to highlight and to accelerate this exciting field.</t>
  </si>
  <si>
    <t>[Chandler, Morgan] Univ North Carolina Charlotte, Dept Chem, Nanoscale Sci Program, Charlotte, NC 28223 USA; [Johnson, Brittany] Univ North Carolina Charlotte, Dept Biol Sci, Charlotte, NC 28223 USA; [Khisamutdinov, Emil] Ball State Univ, Dept Chem, Muncie, IN 47304 USA; [Dobrovolskaia, Marina A.] NCI, Frederick Natl Lab Canc Res, Canc Res Technol Program, Nanotechnol Characterizat Lab, Frederick, MD 21702 USA; [Sztuba-Solinska, Joanna] Auburn Univ, Dept Biol Sci, Auburn, AL 36849 USA; [Salem, Aliasger K.] Univ Iowa, Coll Pharm, Dept Pharmaceut Sci &amp; Expt Therapeut, Iowa City, IA 52242 USA; [Breyne, Koen] Massachusetts Gen Hosp, Dept Radiol, Dept Neurol &amp; Ctr Mol Imaging Res, Mol Neurogenet Unit, Boston, MA 02114 USA; [Breyne, Koen] Harvard Med Sch, Boston, MA 02115 USA; [Chammas, Roger] Univ North Carolina Charlotte, Dept Chem, Nanoscale Sci Program, Charlotte, NC 28223 USA; [Chammas, Roger] Univ Sao Paulo, Fac Med, Inst Canc Estado Sao Paulo, Dept Radiol &amp; Oncol,Ctr Invest Translac Oncol,ICE, BR-01246000 Sao Paulo, SP, Brazil; [Walter, Nils G.] Univ Michigan, Dept Chem, Single Mol Anal Grp, Ann Arbor, MI 48109 USA; [Walter, Nils G.] Univ Michigan, Ctr RNA Biomed, Ann Arbor, MI 48109 USA; [Contreras, Lydia M.] Univ Texas Austin, McKetta Dept Chem Engn, Austin, TX 78714 USA; [Contreras, Lydia M.] Univ Texas Austin, Dept Cellular &amp; Mol Biol, Austin, TX 78714 USA</t>
  </si>
  <si>
    <t>University of North Carolina; University of North Carolina Charlotte; University of North Carolina; University of North Carolina Charlotte; Ball State University; National Institutes of Health (NIH) - USA; NIH National Cancer Institute (NCI); Auburn University System; Auburn University; University of Iowa; Harvard University; Massachusetts General Hospital; Harvard University; Harvard Medical School; University of North Carolina; University of North Carolina Charlotte; Universidade de Sao Paulo; University of Michigan System; University of Michigan; University of Michigan System; University of Michigan; University of Texas System; University of Texas Austin; University of Texas System; University of Texas Austin</t>
  </si>
  <si>
    <t>Guo, PX (corresponding author), Ohio State Univ, Coll Pharm,Div Pharmaceut &amp; Pharmaceut Chem, James Comprehens Canc Ctr, Dorothy M Davis Heart &amp; Lung Res Inst,Ctr RNA Nan, Columbus, OH 43210 USA.;Afonin, KA (corresponding author), Univ North Carolina Charlotte, Dept Chem, Nanoscale Sci Program, Charlotte, NC 28223 USA.</t>
  </si>
  <si>
    <t>guo.1091@osu.edu; kafonin@uncc.edu</t>
  </si>
  <si>
    <t>Nanotechnology Characterization Lab, (NCL)/K-8454-2012; Chammas, Roger/A-8004-2011; Salem, Aliasger/J-3674-2012; Walter, Nils/G-7504-2016</t>
  </si>
  <si>
    <t>Chammas, Roger/0000-0003-0342-8726; Salem, Aliasger/0000-0002-1923-6633; Guo, Peixuan/0000-0001-5706-2833; Dobrovolskaia, Marina/0000-0002-4233-9227; Walter, Nils/0000-0002-7301-1275</t>
  </si>
  <si>
    <t>10.1021/acsnano.0c10240</t>
  </si>
  <si>
    <t>WOS:000747115200002</t>
  </si>
  <si>
    <t>Merien, F; Baranton, G; Perolat, P</t>
  </si>
  <si>
    <t>Invasion of vero cells and induction of apoptosis in macrophages by pathogenic Leptospira interrogans are correlated with virulence</t>
  </si>
  <si>
    <t>POLYMERASE CHAIN-REACTION; EXTRACELLULAR-MATRIX; SPHINGOMYELINASE-C; SHIGELLA-FLEXNERI; COATED VESICLES; SEROVAR HARDJO; DNA; ATTACHMENT; DIAGNOSIS; HEMOLYSIN</t>
  </si>
  <si>
    <t>Interactions of virulent Leptospira interrogans serovar icterohaemorrhagiae strain Verdun with Vero cells (African green monkey kidney fibroblasts) and a monocyte-macrophage-like cell line (J774A.1) were assayed by a double-fluorescence immunolabelling method. Infectivity profiles were investigated according to (i) the duration of contact between leptospires and eukaryotic cells and (ii) the number of in vitro passages after primary isolation from lethally infected guinea pigs. Comparative experiments were conducted with the corresponding high-passage avirulent variant and the saprophytic leptospire Leptospira biflexa Patoc I. In Vero cells, virulent leptospires were quickly internalized from 20 min postinfection, whereas avirulent and saprophytic strains remained extracellularly located. In addition, the virulent strain demonstrated an ability to actively invade the monocyte-macrophage-like J774A.1 cells during the early stages of contact and to induce programmed cell death, as shown by the detection of oligonucleosomes in a quantitative sandwich enzyme immunoassay. In both cellular systems, subsequent in vitro subcultures demonstrated a progressive decrease of the invasiveness, pointing out the necessity of using primocultures of Leptospira for virulence studies. Invasiveness of virulent leptospires was significantly inhibited with monodansylcadaverine, indicating that internalization was dependent on receptor-mediated endocytosis. Invasion of epithelial cells and induction of apoptosis in macrophages may be related to the pathogenicity of Leptospira, and both could contribute to its ability to survive in the host and to escape from the immune response.</t>
  </si>
  <si>
    <t>INST PASTEUR, LAB LEPTOSPIRES, NOURNEA 98845, NEW CALEDONIA; INST PASTEUR, UNITE BACTERIOL MOL &amp; MED, F-75724 PARIS 15, FRANCE</t>
  </si>
  <si>
    <t>Le Reseau International des Instituts Pasteur (RIIP); Institut Pasteur Paris</t>
  </si>
  <si>
    <t>10.1128/IAI.65.2.729-738.1997</t>
  </si>
  <si>
    <t>WOS:A1997WE90000055</t>
  </si>
  <si>
    <t>de Bruyns, A; Geiling, B; Dankort, D</t>
  </si>
  <si>
    <t>de Bruyns, Angeline; Geiling, Ben; Dankort, David</t>
  </si>
  <si>
    <t>Construction of Modular Lentiviral Vectors for Effective Gene Expression and Knockdown</t>
  </si>
  <si>
    <t>Gateway cloning; Lentiviral vectors; Short hairpin RNA (shRNA); Dual-luciferase reporter; shRNA triage; Design; Delivery; Lentivirus</t>
  </si>
  <si>
    <t>LIGATION-INDEPENDENT CLONING; SHORT-INTERFERING RNAS; SHORT HAIRPIN RNAS; IN-VITRO; DNA CLONING; SYSTEM; RECOMBINATION; PROTEIN</t>
  </si>
  <si>
    <t>Elucidating gene function is heavily reliant on the ability to modulate gene expression in biological model systems. Although transient expression systems can provide useful information about the biological outcome resulting from short-term gene overexpression or silencing, methods providing stable integration of desired expression constructs (cDNA or RNA interference) are often preferred for functional studies. To this end, lentiviral vectors offer the ability to deliver long-term and regulated gene expression to mammalian cells, including the expression of gene targeting small hairpin RNAs (shRNAmirs). Unfortunately, constructing vectors containing the desired combination of cDNAs, markers, and shRNAmirs can be cumbersome and time-consuming if using traditional sequence based restriction enzyme and ligation-dependent methods. Here we describe the use of a recombination based Gateway cloning strategy to rapidly and efficiently produce recombinant lentiviral vectors for the expression of one or more cDNAs with or without simultaneous shRNAmir expression. Additionally, we describe a luciferase-based approach to rapidly triage shRNAs for knockdown efficacy and specificity without the need to create stable shRNAmir expressing cells.</t>
  </si>
  <si>
    <t>[de Bruyns, Angeline; Geiling, Ben; Dankort, David] McGill Univ, Dept Biol, Montreal, PQ, Canada</t>
  </si>
  <si>
    <t>de Bruyns, A (corresponding author), McGill Univ, Dept Biol, Montreal, PQ, Canada.</t>
  </si>
  <si>
    <t>10.1007/978-1-4939-3753-0_1</t>
  </si>
  <si>
    <t>WOS:000386788700002</t>
  </si>
  <si>
    <t>Das, T; Simone, M; Ibugo, AI; Witting, PK; Manefield, M; Manos, J</t>
  </si>
  <si>
    <t>Das, Theerthankar; Simone, Martin; Ibugo, Amaye I.; Witting, Paul K.; Manefield, Mike; Manos, Jim</t>
  </si>
  <si>
    <t>Glutathione Enhances Antibiotic Efficiency and Effectiveness of DNase I in Disrupting Pseudomonas aeruginosa Biofilms While Also Inhibiting Pyocyanin Activity, Thus Facilitating Restoration of Cell Enzymatic Activity, Confluence and Viability</t>
  </si>
  <si>
    <t>glutathione; pyocyanin; oxidative stress; biofilm; P. aeruginosa; lung epithelial cells</t>
  </si>
  <si>
    <t>FIBROSIS EPIDEMIC STRAIN; EXTRACELLULAR DNA; GENE-EXPRESSION; MEMBRANE-VESICLES; VIRULENCE FACTORS; OXIDATIVE STRESS; ROLES; MECHANISM; PATHOGENESIS; RESISTANCE</t>
  </si>
  <si>
    <t>Pyocyanin secreted by Pseudomonas aeruginosa is a virulence factor that damages epithelial cells during infection through the action of reactive oxygen species, however, little is known about its direct effect on biofilms. We demonstrated that pyocyanin-producing P. aeruginosa strains (PA14WT, DKN370, AES-1R, and AES-2) formed robust biofilms in contrast to the poorly formed biofilms of the pyocyanin mutant PA14 1 phzA-G and the low pyocyanin producer AES-1M. Addition of DNase I and reduced glutathione (GSH) significantly reduced biofilm biomass of pyocyanin-producing strains (P &lt; 0.05) compared to non-pyocyanin producers. Subsequently we showed that a combined treatment comprising: GSH + DNase I + antibiotic, disrupted and reduced biofilm biomass up to 90% in cystic fibrosis isolates AES-1R, AES-2, LESB58, and LES431 and promoted lung epithelial cell (A549) recovery and growth. We also showed that exogenously added GSH restored A549 epithelial cell glutathione reductase activity in the presence of pyocyanin through recycling of GSSG to GSH and consequently increased total intracellular GSH levels, inhibiting oxidative stress, and facilitating cell growth and confluence. These outcomes indicate that GSH has multiple roles in facilitating a return to normal epithelial cell growth after insult by pyocyanin. With increased antibiotic resistance in many bacterial species, there is an urgency to establish novel antimicrobial agents. GSH is able to rapidly and comprehensively destroy P. aeruginosa associated biofilms while at a same time assisting in the recovery of host cells and re-growth of damaged tissue.</t>
  </si>
  <si>
    <t>[Das, Theerthankar; Manos, Jim] Univ Sydney, Sydney Med Sch, Dept Infect Dis &amp; Immunol, Sydney, NSW, Australia; [Das, Theerthankar; Ibugo, Amaye I.; Manefield, Mike] Univ New South Wales, Sch Biotechnol &amp; Biomol Sci, Sydney, NSW, Australia; [Simone, Martin; Witting, Paul K.] Univ Sydney, Sydney Med Sch, Discipline Pathol, Sydney, NSW, Australia</t>
  </si>
  <si>
    <t>University of Sydney; University of New South Wales Sydney; University of Sydney</t>
  </si>
  <si>
    <t>Das, T (corresponding author), Univ Sydney, Sydney Med Sch, Dept Infect Dis &amp; Immunol, Sydney, NSW, Australia.;Das, T (corresponding author), Univ New South Wales, Sch Biotechnol &amp; Biomol Sci, Sydney, NSW, Australia.</t>
  </si>
  <si>
    <t>das.ashishkumar@sydney.edu.au</t>
  </si>
  <si>
    <t>Witting, Paul/ABD-2053-2020; Witting, Paul/L-9786-2019</t>
  </si>
  <si>
    <t>Witting, Paul/0000-0003-2237-7004; Das, Theerthankar/0000-0003-0581-6060; Manos, Jim/0000-0002-5765-1563</t>
  </si>
  <si>
    <t>10.3389/fmicb.2017.02429</t>
  </si>
  <si>
    <t>WOS:000417918400001</t>
  </si>
  <si>
    <t>Shi, YZ; Zhao, HT; Nguyen, KT; Zhang, Y; Chin, LK; Zhu, TT; Yu, YF; Cai, H; Yap, PH; Liu, PY; Xiong, S; Zhang, JB; Qu, CW; Chan, CT; Liu, AQ</t>
  </si>
  <si>
    <t>Shi, Yuzhi; Zhao, Haitao; Kim Truc Nguyen; Zhang, Yi; Chin, Lip Ket; Zhu, Tongtong; Yu, Yefeng; Cai, Hong; Yap, Peng Huat; Liu, Patricia Yang; Xiong, Sha; Zhang, Jingbo; Qu, Cheng-Wei; Chan, Che Ting; Liu, Ai Qun</t>
  </si>
  <si>
    <t>Nanophotonic Array-Induced Dynamic Behavior for Label-Free Shape-Selective Bacteria Sieving</t>
  </si>
  <si>
    <t>shape sorting; optical binding; optical torques; silicon photonics; near field; light-matter interactions</t>
  </si>
  <si>
    <t>MANIPULATION; SEPARATION; NANOPARTICLES; TRANSPORT; EXOSOMES; VIRUSES; RANGE; CELLS; DNA</t>
  </si>
  <si>
    <t>Current particle sorting methods such as microfluidics, acoustics, and optics focus on exploiting the differences in the mass, size, refractive index, or fluorescence staining. However, there exist formidable challenges for them to sort label-free submicron particles with similar volume and refractive index yet distinct shapes. In this work, we report an optofluidic nanophotonic sawtooth array (ONSA) that generates sawtooth-like light fields through light coupling, paving the physical foundation for shape-selective sieving. Submicron particles interact with the coupled hotspots which impose different optical torques on the particles according to their shapes. Unstained S. aureus and E. coli are used as a model system to demonstrate this shape-selective sorting mechanism based on the torque-induced body dynamics, which was previously unattainable by other particle sorting technologies. More than 95% of S. aureus is retained within ONSA, while more than 97% of E. coli. is removed. This nanophotonic chip offers a paradigm shift in shape-selective sorting of submicron particles and expands the boundary of optofluidics-based particle manipulation.</t>
  </si>
  <si>
    <t>[Shi, Yuzhi; Zhao, Haitao; Kim Truc Nguyen; Chin, Lip Ket; Liu, Patricia Yang; Zhang, Jingbo; Liu, Ai Qun] Nanyang Technol Univ, Sch Elect &amp; Elect Engn, Singapore 639798, Singapore; [Zhang, Yi] Nanyang Technol Univ, Sch Mech &amp; Aerosp Engn, Singapore 639798, Singapore; [Zhu, Tongtong; Qu, Cheng-Wei] Natl Univ Singapore, Dept Elect &amp; Comp Engn, Singapore 117583, Singapore; [Zhu, Tongtong] Dalian Univ Technol, Sch Optoelect Engn &amp; Instrumentat Sci, Dalian 116024, Peoples R China; [Yu, Yefeng] Nanjing Univ Sci &amp; Technol, Sch Elect &amp; Opt Engn, Nanjing 210094, Jiangsu, Peoples R China; [Cai, Hong] ASTAR, Agcy Sci Technol &amp; Res, Inst Microelect, 2 Fusionopolis Way,08-02 Innovis Tower, Singapore 138634, Singapore; [Yap, Peng Huat] Nanyang Technol Univ, Lee Kong Chian Sch Med, Singapore 308232, Singapore; [Xiong, Sha] Cent S Univ, Sch Informat Sci &amp; Engn, Changsha 410083, Hunan, Peoples R China; [Qu, Cheng-Wei; Chan, Che Ting] Hong Kong Univ Sci &amp; Technol, Dept Phys, Clear Water Bay, Hong Kong, Peoples R China; [Qu, Cheng-Wei; Chan, Che Ting] Hong Kong Univ Sci &amp; Technol, Inst Adv Study, Clear Water Bay, Hong Kong, Peoples R China</t>
  </si>
  <si>
    <t>Nanyang Technological University &amp; National Institute of Education (NIE) Singapore; Nanyang Technological University; Nanyang Technological University &amp; National Institute of Education (NIE) Singapore; Nanyang Technological University; National University of Singapore; Dalian University of Technology; Nanjing University of Science &amp; Technology; Agency for Science Technology &amp; Research (ASTAR); Institute of Microelectronics (IME); Nanyang Technological University &amp; National Institute of Education (NIE) Singapore; Nanyang Technological University; Central South University; Hong Kong University of Science &amp; Technology; Hong Kong University of Science &amp; Technology</t>
  </si>
  <si>
    <t>Liu, AQ (corresponding author), Nanyang Technol Univ, Sch Elect &amp; Elect Engn, Singapore 639798, Singapore.;Zhang, Y (corresponding author), Nanyang Technol Univ, Sch Mech &amp; Aerosp Engn, Singapore 639798, Singapore.</t>
  </si>
  <si>
    <t>yi_zhang@ntu.edu.sg; eaqliu@ntu.edu.sg</t>
  </si>
  <si>
    <t>Zhu, Tongtong/AAC-6804-2019; Shi, Yuzhi/AGM-3241-2022; Chin, Lip Ket/AAT-1535-2020; Liu, Aiqun/A-5066-2011; Zhang, Yi/F-5817-2010</t>
  </si>
  <si>
    <t>Zhu, Tongtong/0000-0003-0295-0598; Chin, Lip Ket/0000-0001-9020-7782; Zhang, Yi/0000-0002-1239-3441; Chan, Che Ting/0000-0002-9335-8110; Zhao, Haitao/0000-0003-4462-0394</t>
  </si>
  <si>
    <t>10.1021/acsnano.9b06459</t>
  </si>
  <si>
    <t>WOS:000492801600116</t>
  </si>
  <si>
    <t>Nordin, F; Hamid, ZA; Chan, L; Farzaneh, F; Hamid, MKAA</t>
  </si>
  <si>
    <t>Nordin, Fazlina; Hamid, Zariyantey Abdul; Chan, Lucas; Farzaneh, Farzin; Hamid, M. K. Azaham A.</t>
  </si>
  <si>
    <t>Transient Expression of Green Fluorescent Protein in Integrase-Defective Lentiviral Vector-Transduced 293T Cell Line</t>
  </si>
  <si>
    <t>Integrase-defective lentiviral vector; D64 point mutation; Transduction efficiency; GFP reporter gene; U937 cell lines</t>
  </si>
  <si>
    <t>IN-VIVO; GENE-EXPRESSION; STEM-CELLS; EFFICIENT; INFECTION; VITRO; FIBROBLASTS; DELIVERY; DNA</t>
  </si>
  <si>
    <t>Non-integrating lentiviral vectors or also known as integrase-defective lentiviral (IDLV) hold a great promise for gene therapy application. They retain high transduction efficiency for efficient gene transfer in various cell types both in vitro and in vivo. IDLV is produced via a combined mutations introduced on the HIV-based lentiviral to disable their integration potency. Therefore, IDLV is considered safer than the wild-type integrase-proficient lentiviral vector as they could avoid the potential insertional mutagenesis associated with the nonspecific integration of transgene into target cell genome afforded by the wild-type vectors. Here we describe the system of IDLV which is produced through mutation in the integrase enzymes at the position of D64 located within the catalytic core domain. The efficiency of the IDLV in expressing the enhanced green fluorescent protein (GFP) reporter gene in transduced human monocyte (U937) cell lines was investigated. Expression of the transgene was driven by the spleen focus-forming virus (SFFV) LTRs. Transduction efficiency was studied using both the IDLV (ID-SFFV-GFP) and their wild-type counterparts (integrase-proficient SFFV-GFP). GFP expression was analyzed by fluorescence microscope and FAGS analysis. Based on the results, the number of the GFP-positive cells in ID-SFFV-GFP-transduced U937 cells decreased rapidly over time. The percentage of GFP-positive cells decreased from-50 % to almost 0, up to 10 days post-transduction. In wild-type SFFV-GFP-transduced cells, GFP expression is remained consistently at about 100%. These data confirmed that the transgene expression in the ID-SFFV-GFP-transduced cells is transient in dividing cells. The lack of an origin of replication due to mutation of integrase enzymes in the ID-SFFV-GFP virus vector has caused the progressive loss of the GFP expression in dividing cells. Integrase-defective lentivirus will be a suitable choice for safer clinical applications. It preserves the advantages of the wild-type lentiviral vectors but with the benefit of transgene expression without stable integration into host genome, therefore reducing the potential risk of insertional mutagenesis.</t>
  </si>
  <si>
    <t>[Nordin, Fazlina; Hamid, M. K. Azaham A.] Univ Kebangsaan Malaysia, Med Ctr, Cell Therapy Ctr, Kuala Lumpur, Malaysia; [Hamid, Zariyantey Abdul] Univ Kebangsaan Malaysia, Biomed Sci Programme, Sch Diagnost &amp; Appl Hlth Sci, Fac Hlth Sci, Kuala Lumpur, Malaysia; [Chan, Lucas; Farzaneh, Farzin] Kings Coll London, Dept Haematol Med, Sch Med, Rayne Inst, London, England</t>
  </si>
  <si>
    <t>Universiti Kebangsaan Malaysia; Universiti Kebangsaan Malaysia; University of London; King's College London</t>
  </si>
  <si>
    <t>Nordin, F (corresponding author), Univ Kebangsaan Malaysia, Med Ctr, Cell Therapy Ctr, Kuala Lumpur, Malaysia.</t>
  </si>
  <si>
    <t>10.1007/978-1-4939-3753-0_12</t>
  </si>
  <si>
    <t>WOS:000386788700013</t>
  </si>
  <si>
    <t>Nakayama, K; Yoshimura, F; Kadowaki, T; Yamamoto, K</t>
  </si>
  <si>
    <t>Involvement of arginine-specific cysteine proteinase (Arg-Gingipain) in fimbriation of Porphyromonas gingivalis</t>
  </si>
  <si>
    <t>EXTRACELLULAR MEMBRANE-VESICLES; ANAEROBE BACTEROIDES-GINGIVALIS; BLACK-PIGMENTED BACTEROIDES; TRYPSIN-LIKE-ENZYME; MOLECULAR-CLONING; PURIFICATION; PROTEASE; DNA; W50</t>
  </si>
  <si>
    <t>Arginine-specific cysteine proteinase (Arg-gingipain [RGP]), a major proteinase secreted from the oral anaerobic bacterium Porphyromonas gingivalis, is encoded by two separate genes (rgpA and rgpB) on the P. gingivalis chromosome and widely implicated as an important virulence factor in the pathogenesis of periodontal disease (K. Nakayama, T. Kadowaki, K. Okamoto, and K. Yamamoto, J. Biol. Chem. 270:23619-23626, 1995). In this study, we investigated the role of RGP in the formation of P. gingivalis fimbriae which are thought to mediate adhesion of the organism to the oral surface by use of the rgp mutants. Electron microscopic observation revealed that the rgpA rgpB double (RGP-null) mutant possessed very few fimbriae on the cell surface, whereas the number of fimbriae of the rgpA or rgpB mutant was similar to that of the wild-type parent strain, The rgpB(+) revertants that were isolated from the double mutant and recovered 20 to 40% of RGP activity of the wild-type parent possessed as many fimbriae as the wild-type parent, indicating that RGP significantly contributes to the fimbriation of P. gingivalis as well as to the degradation of various host proteins, disturbance of host defense mechanisms, and hemagglutination, Immunoblot analysis of cell extracts of these mutants with antifimbrilin antiserum revealed that the rgpA rgpB double mutant produced small amounts of two immunoreactive proteins with molecular masses of 45 and 43 kDa, corresponding to those of the precursor and mature forms of fimbrilin, respectively, The result suggests that RGP may function as a processing proteinase for fimbrilin maturation, In addition, a precursor form of the 75-kDa protein, one of the major outer membrane proteins of P. gingivalis, was accumulated in the rgpA rgpB double mutant but not in the single mutants and the revertants, suggesting an extensive role for RGP in the maturation of some of the cell surface proteins.</t>
  </si>
  <si>
    <t>KYUSHU UNIV,FAC DENT,DEPT PHARMACOL,FUKUOKA 812,JAPAN; AICHI GAKUIN UNIV,SCH DENT,DEPT MICROBIOL,NAGOYA,AICHI 464,JAPAN</t>
  </si>
  <si>
    <t>Kyushu University; Aichi Gakuin University</t>
  </si>
  <si>
    <t>Nakayama, K (corresponding author), KYUSHU UNIV,FAC DENT,DEPT MICROBIOL,FUKUOKA 812,JAPAN.</t>
  </si>
  <si>
    <t>10.1128/jb.178.10.2818-2824.1996</t>
  </si>
  <si>
    <t>WOS:A1996UL27500012</t>
  </si>
  <si>
    <t>Bossmann, SH</t>
  </si>
  <si>
    <t>Park, K</t>
  </si>
  <si>
    <t>Bossmann, Stefan H.</t>
  </si>
  <si>
    <t>Liquid biopsies for early cancer detection</t>
  </si>
  <si>
    <t>BIOMATERIALS FOR CANCER THERAPEUTICS: EVOLUTION AND INNOVATION, 2ND EDITION</t>
  </si>
  <si>
    <t>Woodhead Publishing Series in Biomaterials</t>
  </si>
  <si>
    <t>CIRCULATING TUMOR-CELLS; DNA METHYLATION; PROMOTER HYPERMETHYLATION; EXTRACELLULAR VESICLES; SUPPRESSOR GENES; NUCLEIC-ACIDS; LUNG-CANCER; K-RAS; BLOOD; BIOMARKERS</t>
  </si>
  <si>
    <t>[Bossmann, Stefan H.] Kansas State Univ, Dept Chem, Manhattan, KS 66506 USA; [Bossmann, Stefan H.] Kansas State Univ, Nanotechnol Innovat Ctr, Manhattan, KS 66506 USA; [Bossmann, Stefan H.] Kansas State Univ, Johnson Canc Res Ctr, Manhattan, KS 66506 USA</t>
  </si>
  <si>
    <t>Kansas State University; Kansas State University; Kansas State University</t>
  </si>
  <si>
    <t>Bossmann, SH (corresponding author), Kansas State Univ, Dept Chem, Manhattan, KS 66506 USA.;Bossmann, SH (corresponding author), Kansas State Univ, Nanotechnol Innovat Ctr, Manhattan, KS 66506 USA.;Bossmann, SH (corresponding author), Kansas State Univ, Johnson Canc Res Ctr, Manhattan, KS 66506 USA.</t>
  </si>
  <si>
    <t>2049-9485</t>
  </si>
  <si>
    <t>978-0-08-102984-8; 978-0-08-102983-1</t>
  </si>
  <si>
    <t>10.1016/B978-0-08-102983-1.00009-0</t>
  </si>
  <si>
    <t>10.1016/C2018-0-02147-7</t>
  </si>
  <si>
    <t>Oncology; Materials Science, Biomaterials</t>
  </si>
  <si>
    <t>Oncology; Materials Science</t>
  </si>
  <si>
    <t>WOS:000558253100010</t>
  </si>
  <si>
    <t>Layne, TR; Green, RA; Lewis, CA; Nogales, F; Cruz, TCD; Zehner, ZE; Seashols-Williams, SJ</t>
  </si>
  <si>
    <t>Layne, Tiffany R.; Green, Raquel A.; Lewis, Carolyn A.; Nogales, Francy; Dawson Cruz, Tracey C.; Zehner, Zendra E.; Seashols-Williams, Sarah J.</t>
  </si>
  <si>
    <t>microRNA Detection in Blood, Urine, Semen, and Saliva Stains After Compromising Treatments</t>
  </si>
  <si>
    <t>JOURNAL OF FORENSIC SCIENCES</t>
  </si>
  <si>
    <t>forensic science; serology; microRNA; miRNA; body fluid identification; blood; urine; semen; saliva; compromised samples</t>
  </si>
  <si>
    <t>RNA; DNA; BIOMARKERS; MARKERS; IDENTIFICATION; DEGRADATION; EXPRESSION; DIAGNOSIS; EXOSOMES; MODEL</t>
  </si>
  <si>
    <t>Evaluation of microRNA (miRNA) expression as a potential method for forensic body fluid identification has been the subject of investigation over the past several years. Because of their size and encapsulation within proteins and lipids, miRNAs are inherently less susceptible to degradation than other RNAs. In this work, blood, urine, semen, and saliva were exposed to environmental and chemical conditions mimicking sample compromise at the crime scene. For many treated samples, including 100% of blood samples, miRNAs remained detectable, comparable to the untreated control. Sample degradation varied by body fluid and treatment, with blood remarkably resistant, while semen and saliva are more susceptible to environmental insult. Body fluid identification using relative miRNA expression of blood and semen of the exposed samples was 100% and 94%, respectively. Given the overall robust results herein, the case is strengthened for the use of miRNAs as a molecular method for body fluid identification.</t>
  </si>
  <si>
    <t>[Layne, Tiffany R.; Green, Raquel A.; Lewis, Carolyn A.; Nogales, Francy; Dawson Cruz, Tracey C.; Seashols-Williams, Sarah J.] Virginia Commonwealth Univ, Dept Forens Sci, Box 843079, Richmond, VA 23284 USA; [Zehner, Zendra E.] Virginia Commonwealth Univ, Dept Biochem &amp; Mol Biol, Box 980614, Richmond, VA 23298 USA</t>
  </si>
  <si>
    <t>Virginia Commonwealth University; Virginia Commonwealth University</t>
  </si>
  <si>
    <t>Seashols-Williams, SJ (corresponding author), Virginia Commonwealth Univ, Dept Forens Sci, Box 843079, Richmond, VA 23284 USA.</t>
  </si>
  <si>
    <t>sseashols@vcu.edu</t>
  </si>
  <si>
    <t>Seashols-Williams, Sarah J/K-7455-2016</t>
  </si>
  <si>
    <t>Seashols-Williams, Sarah J/0000-0003-0093-8261; Layne, Tiffany/0000-0002-1199-5264</t>
  </si>
  <si>
    <t>0022-1198</t>
  </si>
  <si>
    <t>1556-4029</t>
  </si>
  <si>
    <t>10.1111/1556-4029.14113</t>
  </si>
  <si>
    <t>Medicine, Legal</t>
  </si>
  <si>
    <t>Legal Medicine</t>
  </si>
  <si>
    <t>WOS:000501482700029</t>
  </si>
  <si>
    <t>Abdouh, M; Zhou, SF; Arena, V; Arena, M; Lazaris, A; Onerheim, R; Metrakos, P; Arena, GO</t>
  </si>
  <si>
    <t>Abdouh, Mohamed; Zhou, Shufeng; Arena, Vincenzo; Arena, Manuel; Lazaris, Anthoula; Onerheim, Ronald; Metrakos, Peter; Arena, Goffredo Orazio</t>
  </si>
  <si>
    <t>Transfer of malignant trait to immortalized human cells following exposure to human cancer serum</t>
  </si>
  <si>
    <t>Human cancer serum; Transformation; Metastasis; HEK293</t>
  </si>
  <si>
    <t>EXOSOMES; TRANSFORMATION; PLASMA; GLIOBLASTOMA; FIBROBLASTS; MICRORNAS; TRANSPORT; ONCOGENE; VESICLES; DNA</t>
  </si>
  <si>
    <t>Background: Human cancer cells can transfer signaling molecules to neighboring and distant cells predisposing them to malignant transformation. This process might contribute to tumor progression and invasion through delivery of oncogenes or inhibitors of tumor suppressor genes, derived from the primary tumor cells, to susceptible target cells. The oncogenic potential of human cancer serum has been described in immortalized mouse fibroblasts but has not been shown yet in human cells. The objective of this study was to determine whether metastatic cancer patient sera have the ability to induce neoplastic transformation in immortalized human embryonic kidney (HEK293) cells, human embryonic stem cells (hESCs), human mesenchymal stem cells (hMSCs) and human adult liver fibroblasts (hALFs). Methods: Early passage HEK293 cells, hESCs, hMSCs and hALFs were exposed to cancer patient serum, or cancer cells-derived condition medium for 3 weeks. Treated cells were analyzed for cell proliferation and transformation both in vitro and in vivo. Results: HEK293 cells exposed to cancer serum increased their proliferative capability and displayed characteristics of transformed cells, as evaluated by in vitro anchorage-independent growth assay and in vivo tumorigenesis in immunodeficient mice. The same phenotypes were acquired when these cells were cultured in cancer cell line conditioned medium suggesting that the putative oncogenic factors present in the serum might derive directly from the primary tumor. Histopathological analyses revealed that the tumors arising from cancer patient serum and conditioned medium-treated HEK293 cells were poorly differentiated and displayed a high proliferative index. In contrast, neither of these phenomena was observed in treated hMSCs and hALFs. Intriguingly enough, hESC-treated cells maintained their self-renewal and differentiation potentials, as shown by in vitro sphere formation assay and in vivo development of teratomas in immunodeficient mice. Conclusion: Our results indicate that cancer patients serum is able to induce oncogenic transformation of HEK293 cells and maintain the self-renewal of hESCs. To our knowledge, this is the first study that demonstrates the oncogenic transformation potential of cancer patient serum on human cells. In depth characterization of this process and the molecular pathways involved are needed to confirm its validity and determine its potential use in cancer therapy.</t>
  </si>
  <si>
    <t>[Abdouh, Mohamed; Zhou, Shufeng; Lazaris, Anthoula; Metrakos, Peter; Arena, Goffredo Orazio] McGill Univ, Royal Victoria Hosp, Surg Res Labs, Montreal, PQ H3A 1A1, Canada; [Arena, Vincenzo] Santo Bambino Hosp, Dept Obstet &amp; Gynecol, Catania, Italy; [Arena, Manuel] Univ Catania, Dept Surg Sci Organ Transplantat &amp; Adv Technol, Catania, Italy; [Onerheim, Ronald] McGill Univ, St Marys Hosp, Dept Pathol, Montreal, PQ H3T 1M5, Canada; [Metrakos, Peter] McGill Univ, Hlth Ctr Multiorgan, Transplant Program, Montreal, PQ H3A 1A1, Canada; [Metrakos, Peter] Royal Victoria Hosp, Montreal, PQ H3A 1A1, Canada; [Arena, Goffredo Orazio] McGill Univ, St Mary Hosp, Dept Surg, Montreal, PQ H3T 1M5, Canada</t>
  </si>
  <si>
    <t>McGill University; Royal Victoria Hospital; University of Catania; McGill University; McGill University; McGill University; Royal Victoria Hospital; McGill University</t>
  </si>
  <si>
    <t>Arena, GO (corresponding author), McGill Univ, Royal Victoria Hosp, Surg Res Labs, 687 Pine Ave W, Montreal, PQ H3A 1A1, Canada.</t>
  </si>
  <si>
    <t>arena, goffredo/AAR-5283-2020; metrakos, peter/D-3726-2013</t>
  </si>
  <si>
    <t>Zhou, Shufeng/0000-0003-2715-9823; Abdouh, Mohamed/0000-0003-0702-9335; Arena, Goffredo/0000-0002-5293-2972</t>
  </si>
  <si>
    <t>10.1186/s13046-014-0086-5</t>
  </si>
  <si>
    <t>WOS:000344704300001</t>
  </si>
  <si>
    <t>Fung, BM; Tabibian, JH</t>
  </si>
  <si>
    <t>Fung, Brian M.; Tabibian, James H.</t>
  </si>
  <si>
    <t>Primary sclerosing cholangitis-associated cholangiocarcinoma: special considerations and best practices</t>
  </si>
  <si>
    <t>EXPERT REVIEW OF GASTROENTEROLOGY &amp; HEPATOLOGY</t>
  </si>
  <si>
    <t>Biliary tract cancer; biomarkers; cholangiocarcinoma; primary sclerosing cholangitis; surveillance</t>
  </si>
  <si>
    <t>IN-SITU HYBRIDIZATION; NATURAL-HISTORY; DETECTING CHOLANGIOCARCINOMA; EXTRACELLULAR VESICLES; ENDOSCOPIC ULTRASOUND; DOMINANT STRICTURES; BILIARY STRICTURES; DNA METHYLATION; DIAGNOSIS; CANCER</t>
  </si>
  <si>
    <t>Introduction: Primary sclerosing cholangitis (PSC) is a rare, heterogenous, chronic cholestatic liver disease that causes fibro-inflammatory destruction of the intra- and/or extrahepatic bile ducts. The disease course may be variable, though in many cases it ultimately leads to biliary cirrhosis and its associated complications. PSC is also associated with malignancies, in particular cholangiocarcinoma (CCA), a dreaded neoplasm of the biliary tract with a poor prognosis. Risk stratification and surveillance for this malignancy are important components of the care of patients with PSC. Areas covered: In this review, we discuss important considerations in the clinical epidemiology, risk factors, diagnosis, and surveillance of PSC-associated CCA. Expert opinion: Despite growing awareness of PSC, high-quality evidence regarding the management of PSC and its associated risk of CCA remains limited. Early diagnosis of PSC-associated CCA remains difficult, and treatment options are limited, especially when diagnosed at later stages. The recent introduction of recommendations for CCA surveillance will likely improve outcomes, though an optimal surveillance approach has yet to be validated prospectively. Further research is needed in the development of high-accuracy (and noninvasive) surveillance and diagnostic tools that may facilitate earlier diagnosis of CCA and potential disease cure.</t>
  </si>
  <si>
    <t>[Fung, Brian M.] Univ Arizona, Dept Med, Div Gastroenterol &amp; Hepatol, Coll Med Phoenix, Phoenix, AZ 85004 USA; [Tabibian, James H.] Olive View UCLA Med Ctr, Dept Med, Div Gastroenterol, 14445 Olive View Dr, Sylmar, CA 91342 USA; [Tabibian, James H.] Univ Calif Los Angeles, David Geffen Sch Med, Los Angeles, CA 90095 USA</t>
  </si>
  <si>
    <t>University of Arizona; University of California System; University of California Los Angeles; University of California System; University of California Los Angeles; University of California Los Angeles Medical Center; David Geffen School of Medicine at UCLA</t>
  </si>
  <si>
    <t>Fung, BM (corresponding author), Univ Arizona, Dept Med, Div Gastroenterol &amp; Hepatol, Coll Med Phoenix, Phoenix, AZ 85004 USA.</t>
  </si>
  <si>
    <t>brianfung@outlook.com</t>
  </si>
  <si>
    <t>Fung, Brian M./AAC-8749-2021</t>
  </si>
  <si>
    <t>Fung, Brian M./0000-0002-2558-5733; Tabibian, James/0000-0001-9104-1702</t>
  </si>
  <si>
    <t>1747-4124</t>
  </si>
  <si>
    <t>1747-4132</t>
  </si>
  <si>
    <t>MAY 4</t>
  </si>
  <si>
    <t>10.1080/17474124.2021.1900732</t>
  </si>
  <si>
    <t>WOS:000641525900001</t>
  </si>
  <si>
    <t>Butin-Israeli, V; Bui, TM; Wiesolek, HL; Mascarenhas, L; Lee, JJ; Mehl, LC; Knutson, KR; Adam, SA; Goldman, RD; Beyder, A; Wiesmuller, L; Hanauer, SB; Sumagin, R</t>
  </si>
  <si>
    <t>Butin-Israeli, Veronika; Bui, Triet M.; Wiesolek, Hannah L.; Mascarenhas, Lorraine; Lee, Joseph J.; Mehl, Lindsey C.; Knutson, Kaitlyn R.; Adam, Stephen A.; Goldman, Robert D.; Beyder, Arthur; Wiesmuller, Lisa; Hanauer, Stephen B.; Sumagin, Ronen</t>
  </si>
  <si>
    <t>Neutrophil-induced genomic instability impedes resolution of inflammation and wound healing</t>
  </si>
  <si>
    <t>BASE-EXCISION-REPAIR; DNA-DAMAGE; CELLULAR SENESCENCE; MISMATCH REPAIR; EXTRACELLULAR VESICLES; EMERGING ROLE; STEM-CELLS; LAMIN B1; CANCER; PATHWAYS</t>
  </si>
  <si>
    <t>Neutrophil (PMN) infiltration of the intestinal mucosa is a hallmark of tissue injury associated with inflammatory bowel diseases (IBDs). The pathological effects of PMNs are largely attributed to the release of soluble mediators and reactive oxygen species (ROS). We identified what we believe is a new, ROS-independent mechanism whereby activated tissue-infiltrating PMNs release microparticles armed with proinflammatory microRNAs (miR-23a and miR-155). Using IBD clinical samples, and in vitro and in vivo injury models, we show that PMN-derived miR-23a and miR-155 promote accumulation of double-strand breaks (DSBs) by inducing lamin B1-dependent replication fork collapse and inhibition of homologous recombination (HR) by targeting HR-regulator RAD51. DSB accumulation in injured epithelium led to impaired colonic healing and genomic instability. Targeted inhibition of miR-23a and miR-155 in cultured intestinal epithelial cells and in acutely injured mucosa decreased the detrimental effects of PMNs and enhanced tissue healing responses, suggesting that this approach can be used in therapies aimed at resolution of inflammation, in wound healing, and potentially to prevent neoplasia.</t>
  </si>
  <si>
    <t>[Butin-Israeli, Veronika; Bui, Triet M.; Wiesolek, Hannah L.; Mascarenhas, Lorraine; Lee, Joseph J.; Mehl, Lindsey C.; Sumagin, Ronen] Northwestern Univ, Dept Pathol, Feinberg Sch Med, Chicago, IL 60611 USA; [Knutson, Kaitlyn R.; Beyder, Arthur] Mayo Clin, Enter Neurosci Program, Div Gastroenterol &amp; Hepatol, Rochester, MN USA; [Adam, Stephen A.; Goldman, Robert D.] Northwestern Univ, Dept Cell &amp; Mol Biol, Feinberg Sch Med, Chicago, IL 60611 USA; [Beyder, Arthur] Mayo Clin, Dept Physiol &amp; Biomed Engn, Rochester, MN USA; [Wiesmuller, Lisa] Ulm Univ, Dept Obstet &amp; Gynecol, Ulm, Germany; [Hanauer, Stephen B.] Northwestern Mem Hosp, Chicago, IL 60611 USA</t>
  </si>
  <si>
    <t>Northwestern University; Feinberg School of Medicine; Mayo Clinic; Northwestern University; Feinberg School of Medicine; Mayo Clinic; Ulm University; Northwestern Memorial Hospital</t>
  </si>
  <si>
    <t>Butin-Israeli, V (corresponding author), NU, FSM, Dept Pathol, Tarry Bldg 3-711,300 East Super St, Chicago, IL 60611 USA.;Sumagin, R (corresponding author), NU, FSM, Dept Pathol, Tarry Bldg 3-707,300 East Super St, Chicago, IL 60611 USA.</t>
  </si>
  <si>
    <t>v-butin-israeli@northwestern.edu; ronen.sumagin@northwestern.edu</t>
  </si>
  <si>
    <t>Butin-Israeli, Veronika/AAQ-2391-2020</t>
  </si>
  <si>
    <t>Beyder, Arthur/0000-0002-9225-4854; Bui, Triet Minh/0000-0002-1092-9820; Adam, Stephen/0000-0003-3444-7655</t>
  </si>
  <si>
    <t>10.1172/JCI122085</t>
  </si>
  <si>
    <t>WOS:000457479300030</t>
  </si>
  <si>
    <t>Tosoian, JJ; Ross, AE; Sokoll, LJ; Partin, AW; Pavlovich, CP</t>
  </si>
  <si>
    <t>Tosoian, Jeffrey J.; Ross, Ashley E.; Sokoll, Lori J.; Partin, Alan W.; Pavlovich, Christian P.</t>
  </si>
  <si>
    <t>Urinary Biomarkers for Prostate Cancer</t>
  </si>
  <si>
    <t>UROLOGIC CLINICS OF NORTH AMERICA</t>
  </si>
  <si>
    <t>LONG NONCODING RNA; COENZYME-A RACEMASE; CPG ISLAND HYPERMETHYLATION; CELL-FREE DNA; PCA3 SCORE; EXTRACELLULAR VESICLES; RADICAL PROSTATECTOMY; CIRCULATING DNA; HEALTH INDEX; BIOCHEMICAL RECURRENCE</t>
  </si>
  <si>
    <t>In light of the overdiagnosis and overtreatment associated with widespread prostate-specific antigen based screening, controversy persists surrounding the detection and diagnosis of prostate cancer (PCa). Given its anatomic proximity to the prostate, urine has been proposed as a noninvasive substrate for prostatic biomarkers. With greater understanding of the molecular pathways of carcinogenesis and significant technological advances, the breadth of potential biomarkers is substantial. In this review, the authors aim to provide an evidence-based assessment of current and emerging urinary biomarkers used in the detection and prognostication of PCa and high-grade PCa, with particular attention on clinically relevant findings.</t>
  </si>
  <si>
    <t>[Tosoian, Jeffrey J.; Ross, Ashley E.; Partin, Alan W.; Pavlovich, Christian P.] Johns Hopkins Med Inst, Dept Urol, James Buchanan Brady Urol Inst, Baltimore, MD 21287 USA; [Sokoll, Lori J.] Johns Hopkins Med Inst, Dept Pathol, Baltimore, MD 21287 USA</t>
  </si>
  <si>
    <t>Tosoian, JJ (corresponding author), Johns Hopkins Univ Hosp, Dept Urol, Marburg 144,600 North Wolfe St, Baltimore, MD 21287 USA.</t>
  </si>
  <si>
    <t>jt@jhmi.edu</t>
  </si>
  <si>
    <t>Wei, John T/E-8967-2012; Tosoian, Jeffrey/O-1563-2019</t>
  </si>
  <si>
    <t>Tosoian, Jeffrey/0000-0002-7614-9931</t>
  </si>
  <si>
    <t>0094-0143</t>
  </si>
  <si>
    <t>1558-318X</t>
  </si>
  <si>
    <t>10.1016/j.ucl.2015.08.003</t>
  </si>
  <si>
    <t>WOS:000366960600005</t>
  </si>
  <si>
    <t>Ahmad, E; Ali, A; Nimisha; Sharma, AK; Apurva; Kumar, A; Dar, GM; Sattar, RSA; Verma, R; Mahajan, B; Saluja, SS</t>
  </si>
  <si>
    <t>Ahmad, Ejaj; Ali, Asgar; Nimisha; Sharma, Abhay Kumar; Apurva; Kumar, Arun; Dar, Ghulam Mehdi; Sattar, Real Sumayya Abdul; Verma, Renu; Mahajan, Bhawna; Saluja, Sundeep Singh</t>
  </si>
  <si>
    <t>Molecular markers in cancer</t>
  </si>
  <si>
    <t>Biomarkers; cfDNA; Diagnosis; Cancer; Prognosis; CTCs</t>
  </si>
  <si>
    <t>LONG NONCODING RNAS; CELL-FREE DNA; CIRCULATING TUMOR DNA; EPITHELIAL OVARIAN-CANCER; LUNG-CANCER; GASTRIC-CANCER; BREAST-CANCER; COLORECTAL-CANCER; MATRIX METALLOPROTEINASES; EXTRACELLULAR VESICLES</t>
  </si>
  <si>
    <t>Cancer remains a common health issue having significant socioeconomic burden worldwide. Despite the awareness campaigns, cancer cases continue to increase due to an aging population and lack of early detection biomarkers. Accordingly, much research has focused on non-traditional approaches which include novel imaging modalities and liquid biopsy. In addition, a considerable number of biomacromolecules as well as other biomarkers have been identified to further explore their potential use as diagnostic, prognostic and therapeutic tools. In this review, we provide an update on these new findings and explore their clinical application in cancer.</t>
  </si>
  <si>
    <t>[Ahmad, Ejaj; Ali, Asgar; Nimisha; Sharma, Abhay Kumar; Apurva; Kumar, Arun; Dar, Ghulam Mehdi; Sattar, Real Sumayya Abdul; Verma, Renu; Mahajan, Bhawna; Saluja, Sundeep Singh] Postgrad Inst Med Educ &amp; Res GIPMER, Govind Ballabh Pant, Cent Mol Lab, New Delhi 110002, India; [Mahajan, Bhawna] Postgrad Inst Med Educ &amp; Res GIPMER, Govind Ballabh Pant, Dept Biochem, New Delhi 110002, India; [Saluja, Sundeep Singh] Postgrad Inst Med Educ &amp; Res GIPMER, Govind Ballabh Pant, Dept GI Surg, New Delhi 110002, India</t>
  </si>
  <si>
    <t>Saluja, SS (corresponding author), Dept GI Surg GIPMER, PI Cent Mol Lab, 1 Jawaharlal Nehru Marge, New Delhi, India.</t>
  </si>
  <si>
    <t>sundeepsaluja@yahoo.co.in</t>
  </si>
  <si>
    <t>10.1016/j.cca.2022.05.029</t>
  </si>
  <si>
    <t>WOS:000813325700006</t>
  </si>
  <si>
    <t>Bignold, LP</t>
  </si>
  <si>
    <t>Bignold, Leon P.</t>
  </si>
  <si>
    <t>Genomic instabilities: kind, effects, and roles in the immortality of tumor cell populations</t>
  </si>
  <si>
    <t>PRINCIPLES OF TUMORS: A TRANSLATIONAL APPROACH TO FOUNDATIONS, 2ND EDITION</t>
  </si>
  <si>
    <t>HORIZONTAL TRANSFER; MECHANISMS; ANEUPLOIDY; DNA; HYPERMUTATION; PROGRESSION; RESISTANCE; EVOLUTION; MUTATION; EXOSOMES</t>
  </si>
  <si>
    <t>978-0-12-817329-9; 978-0-12-816920-9</t>
  </si>
  <si>
    <t>WOS:000796840000025</t>
  </si>
  <si>
    <t>Wayne, EC; Long, C; Haney, MJ; Batrakova, EV; Leisner, TM; Parise, LV; Kabanov, AV</t>
  </si>
  <si>
    <t>Wayne, Elizabeth C.; Long, Christian; Haney, Matthew J.; Batrakova, Elena V.; Leisner, Tina M.; Parise, Leslie V.; Kabanov, Alexander V.</t>
  </si>
  <si>
    <t>Targeted Delivery of siRNA Lipoplexes to Cancer Cells Using Macrophage Transient Horizontal Gene Transfer</t>
  </si>
  <si>
    <t>cancer; gene delivery; immunotherapy; macrophages; small interfering RNA (siRNA)</t>
  </si>
  <si>
    <t>MONOCYTE-DERIVED MACROPHAGES; TRAIL-COATED LEUKOCYTES; TUMOR; NANOCARRIERS; EXOSOMES; CIB1; DNA</t>
  </si>
  <si>
    <t>Delivery of nucleic acids into solid tumor environments remains a pressing challenge. This study examines the ability of macrophages to horizontally transfer small interfering RNA (siRNA) lipoplexes to cancer cells. Macrophages are a natural candidate for a drug carrier because of their ability to accumulate at high densities into many cancer types, including, breast, prostate, brain, and colon cancer. Here, it is demonstrated that macrophages can horizontally transfer siRNA to cancer cells during in vitro coculture. The amount of transfer can be dosed depending on the amount of siRNA loaded and total number of macrophages delivered. Macrophages loaded with calcium integrin binding protein-1 (CIB1)-siRNA result in decreased tumorsphere growth and decreased mRNA expression of CIB1 and KI67 in MDA-MB-468 human breast cancer cells. Adoptive transfer of macrophages transfected with CIB1-siRNA localizes to the orthotopic MDA-MB-468 tumor. Furthermore, it is reported that macrophage activation can modulate this transfer process as well as intracellular trafficking protein Rab27a. As macrophages are heavily involved in tumor progression, understanding how to use macrophages for drug delivery can substantially benefit the treatment of tumors.</t>
  </si>
  <si>
    <t>[Wayne, Elizabeth C.; Long, Christian; Haney, Matthew J.; Batrakova, Elena V.; Kabanov, Alexander V.] Univ North Carolina Chapel Hill, Eshelman Sch Pharm, Ctr Nanotechnol Drug Delivery, Chapel Hill, NC 27599 USA; [Wayne, Elizabeth C.; Long, Christian; Haney, Matthew J.; Batrakova, Elena V.; Kabanov, Alexander V.] Univ North Carolina Chapel Hill, Eshelman Sch Pharm, Div Pharmacoengn &amp; Mol Pharmacuet, Chapel Hill, NC 27599 USA; [Leisner, Tina M.; Parise, Leslie V.] Univ North Carolina Chapel Hill, Biochem &amp; Biophys, Chapel Hill, NC 27599 USA; [Kabanov, Alexander V.] Moscow MV Lomonosov State Univ, Fac Chem, Lab Chem Design Bionanomat, Moscow 119992, Russia</t>
  </si>
  <si>
    <t>Wayne, EC; Kabanov, AV (corresponding author), Univ North Carolina Chapel Hill, Eshelman Sch Pharm, Ctr Nanotechnol Drug Delivery, Chapel Hill, NC 27599 USA.;Wayne, EC; Kabanov, AV (corresponding author), Univ North Carolina Chapel Hill, Eshelman Sch Pharm, Div Pharmacoengn &amp; Mol Pharmacuet, Chapel Hill, NC 27599 USA.;Kabanov, AV (corresponding author), Moscow MV Lomonosov State Univ, Fac Chem, Lab Chem Design Bionanomat, Moscow 119992, Russia.</t>
  </si>
  <si>
    <t>ewayne@andrew.cmu.edu; kabanov@email.unc.edu</t>
  </si>
  <si>
    <t>Kabanov, Alexander/AAY-5751-2020; Ariel, Pablo/AGJ-4118-2022; , UNC Flow Cytometry Core/AGU-9839-2022; Kabanov, Alexander V/N-3356-2013</t>
  </si>
  <si>
    <t>Kabanov, Alexander/0000-0002-3665-946X; Kabanov, Alexander V/0000-0002-3665-946X; Wayne, Elizabeth/0000-0002-8526-9732; Long, Christian/0000-0001-9999-2350</t>
  </si>
  <si>
    <t>10.1002/advs.201900582</t>
  </si>
  <si>
    <t>WOS:000496253700022</t>
  </si>
  <si>
    <t>Brown, RB</t>
  </si>
  <si>
    <t>Brown, Ronald B.</t>
  </si>
  <si>
    <t>Sodium Toxicity in the Nutritional Epidemiology and Nutritional Immunology of COVID-19</t>
  </si>
  <si>
    <t>COVID-19; coronavirus; SARS-CoV-2; sodium toxicity; nutritional epidemiology; nutritional immunology; virology; pathophysiology; mucosal immune system; pulmonary edema</t>
  </si>
  <si>
    <t>CORONAVIRUS DISEASE 2019; HIGH-SALT INTAKE; CARDIOVASCULAR-DISEASE; MITOCHONDRIAL-DNA; EXTRACELLULAR VESICLES; SEASONAL-VARIATION; MIGRAINE HISTORY; SEVERE HEADACHE; INFLUENZA; INFECTION</t>
  </si>
  <si>
    <t>Dietary factors in the etiology of COVID-19 are understudied. High dietary sodium intake leading to sodium toxicity is associated with comorbid conditions of COVID-19 such as hypertension, kidney disease, stroke, pneumonia, obesity, diabetes, hepatic disease, cardiac arrhythmias, thrombosis, migraine, tinnitus, Bell's palsy, multiple sclerosis, systemic sclerosis, and polycystic ovary syndrome. This article synthesizes evidence from epidemiology, pathophysiology, immunology, and virology literature linking sodium toxicological mechanisms to COVID-19 and SARS-CoV-2 infection. Sodium toxicity is a modifiable disease determinant that impairs the mucociliary clearance of virion aggregates in nasal sinuses of the mucosal immune system, which may lead to SARS-CoV-2 infection and viral sepsis. In addition, sodium toxicity causes pulmonary edema associated with severe acute respiratory syndrome, as well as inflammatory immune responses and other symptoms of COVID-19 such as fever and nasal sinus congestion. Consequently, sodium toxicity potentially mediates the association of COVID-19 pathophysiology with SARS-CoV-2 infection. Sodium dietary intake also increases in the winter, when sodium losses through sweating are reduced, correlating with influenza-like illness outbreaks. Increased SARS-CoV-2 infections in lower socioeconomic classes and among people in government institutions are linked to the consumption of foods highly processed with sodium. Interventions to reduce COVID-19 morbidity and mortality through reduced-sodium diets should be explored further.</t>
  </si>
  <si>
    <t>[Brown, Ronald B.] Univ Waterloo, Sch Publ Hlth Sci, Waterloo, ON N2L 3G1, Canada</t>
  </si>
  <si>
    <t>Brown, RB (corresponding author), Univ Waterloo, Sch Publ Hlth Sci, Waterloo, ON N2L 3G1, Canada.</t>
  </si>
  <si>
    <t>r26brown@uwaterloo.ca</t>
  </si>
  <si>
    <t>Brown, Ronald/0000-0002-9473-2274</t>
  </si>
  <si>
    <t>10.3390/medicina57080739</t>
  </si>
  <si>
    <t>WOS:000689605000001</t>
  </si>
  <si>
    <t>Alvisi, G; Paolini, L; Contarini, A; Zambarda, C; Di Antonio, V; Colosini, A; Mercandelli, N; Timmoneri, M; Palu, G; Caimi, L; Ricotta, D; Radeghieri, A</t>
  </si>
  <si>
    <t>Alvisi, Gualtiero; Paolini, Lucia; Contarini, Andrea; Zambarda, Chiara; Di Antonio, Veronica; Colosini, Antonella; Mercandelli, Nicole; Timmoneri, Martina; Palu, Giorgio; Caimi, Luigi; Ricotta, Doris; Radeghieri, Annalisa</t>
  </si>
  <si>
    <t>Intersectin goes nuclear: secret life of an endocytic protein</t>
  </si>
  <si>
    <t>PROCESSIVITY FACTOR PPUL44; MAMMALIAN IMPORTIN-ALPHA; LOCALIZATION SIGNAL; DNA-BINDING; EXTRACELLULAR VESICLES; ADAPTER PROTEINS; C-TERMINUS; N-WASP; DOMAIN; CELLS</t>
  </si>
  <si>
    <t>Intersectin 1-short (ITSN1-s) is a 1220 amino acid ubiquitously expressed scaffold protein presenting a multidomain structure that allows to spatiotemporally regulate the functional interaction of a plethora of proteins. Besides its well-established role in endocytosis, ITSN1-s is involved in the regulation of cell signaling and is implicated in tumorigenesis processes, although the signaling pathways involved are still poorly understood. Here, we identify ITSN1-s as a nucleocytoplasmic trafficking protein. We show that, by binding to importin (IMP) alpha, a small fraction of ITSN1-s localizes in the cell nucleus at the steady state, where it preferentially associates with the nuclear envelope and interacts with lamin A/C. However, upon pharmacological ablation of chromosome region maintenance 1 (CRM-1)-dependent nuclear export pathway, the protein accumulates into the nucleus, thus revealing its moonlighting nature. Analysis of deletion mutants revealed that the coiled coil (CC) and Src homology (SH3) regions play the major role in its nucleocytoplasmic shuttling. While no evidence of nuclear localization signal (NLS) was detected in the CC region, a functional bipartite NLS was identified within the SH3D region of ITSN1-s (RKKNPGGWWEGELQARGKKRQIGW-1127), capable of conferring energy-dependent nuclear accumulation to reporter proteins and whose mutational ablation affects nuclear import of the whole SH3 region. Thus, ITSN1-s is an endocytic protein, which shuttles between the nucleus and the cytoplasm in a CRM-1- and IMP alpha-dependent fashion.</t>
  </si>
  <si>
    <t>[Alvisi, Gualtiero; Contarini, Andrea; Di Antonio, Veronica; Timmoneri, Martina; Palu, Giorgio] Univ Padua, Dept Mol Med, Padua, Italy; [Paolini, Lucia; Zambarda, Chiara; Colosini, Antonella; Mercandelli, Nicole; Caimi, Luigi; Ricotta, Doris; Radeghieri, Annalisa] Univ Brescia, Dept Mol &amp; Translat Med, Brescia, Italy</t>
  </si>
  <si>
    <t>University of Padua; University of Brescia</t>
  </si>
  <si>
    <t>Alvisi, G (corresponding author), Univ Padua, Dept Mol Med, Padua, Italy.;Radeghieri, A (corresponding author), Univ Brescia, Dept Mol &amp; Translat Med, Brescia, Italy.</t>
  </si>
  <si>
    <t>gualtiero.alvisi@unipd.it; annalisa.radeghieri@unibs.it</t>
  </si>
  <si>
    <t>DI ANTONIO, VERONICA/K-2416-2018; Di Antonio, Veronica/AFV-2377-2022; Radeghieri, Annalisa/E-4841-2016</t>
  </si>
  <si>
    <t>DI ANTONIO, VERONICA/0000-0002-0656-2130; Di Antonio, Veronica/0000-0002-0656-2130; Radeghieri, Annalisa/0000-0003-2737-1090; Paolini, Lucia/0000-0002-4410-5272; Alvisi, Gualtiero/0000-0002-8177-3616</t>
  </si>
  <si>
    <t>10.1042/BCJ20170897</t>
  </si>
  <si>
    <t>WOS:000432444200005</t>
  </si>
  <si>
    <t>Milk exosomal miRNAs: potential drivers of AMPK-to-mTORC1 switching in beta-cell de-differentiation of type 2 diabetes mellitus</t>
  </si>
  <si>
    <t>AMP-activated protein kinase; Beta-cell de-differentiation; Beta-cell metabolic switch; Diabetes mellitus type 2; Estrogen-related receptor gamma; Exosome; miRNA-148a; Mechanistic target of rapamycin complex 1; Pasteurized milk; Weaning</t>
  </si>
  <si>
    <t>CHAIN AMINO-ACIDS; BOVINE-MILK; INSULIN-RESISTANCE; DNA METHYLATION; GENE-EXPRESSION; EXTRACELLULAR VESICLES; FUNCTIONAL MATURATION; PANCREATIC-ISLETS; LIPID-METABOLISM; MESSENGER-RNA</t>
  </si>
  <si>
    <t>Type 2 diabetes mellitus (T2DM) steadily increases in prevalence since the 1950's, the period of widespread distribution of refrigerated pasteurized cow's milk. Whereas breastfeeding protects against the development of T2DM in later life, accumulating epidemiological evidence underlines the role of cow's milk consumption in T2DM. Recent studies in rodent models demonstrate that during the breastfeeding period pancreatic beta-cells are metabolically immature and preferentially proliferate by activation of mechanistic target of rapamycin complex 1 (mTORC1) and suppression of AMP-activated protein kinase (AMPK). Weaning determines a metabolic switch of beta-cells from a proliferating, immature phenotype with low insulin secretion to a differentiated mature phenotype with glucose-stimulated insulin secretion, less proliferation, reduced mTORC1- but increased AMPK activity. Translational evidence presented in this perspective implies for the first time that termination of milk miRNA transfer is the driver of this metabolic switch. miRNA-148a is a key inhibitor of AMPK and phosphatase and tensin homolog, crucial suppressors of mTORC1. beta-Cells of diabetic patients return to the postnatal phenotype with high mTORC1 and low AMPK activity, explained by continuous transfer of bovine milk miRNAs to the human milk consumer. Bovine milk miRNA-148a apparently promotes beta-cell de-differentiation to the immature mTORC1-high/AMPK-low phenotype with functional impairments in insulin secretion, increased mTORC1-driven endoplasmic reticulum stress, reduced autophagy and early beta-cell apoptosis. In contrast to pasteurized cow's milk, milk's miRNAs are inactivated by bacterial fermentation, boiling and ultra-heat treatment and are missing in current infant formula. Persistent milk miRNA signaling adds a new perspective to the pathogenesis of T2DM and explains the protective role of breastfeeding but the diabetogenic effect of continued milk miRNA signaling by persistent consumption of pasteurized cow's milk.</t>
  </si>
  <si>
    <t>10.1186/s12986-019-0412-1</t>
  </si>
  <si>
    <t>WOS:000501158300001</t>
  </si>
  <si>
    <t>Tsui, NBY; Wong, CSC; Chow, KCK; Lo, ESF; Cheng, YKY</t>
  </si>
  <si>
    <t>Tsui, Nancy B. Y.; Wong, Cesar S. C.; Chow, Katherine C. K.; Lo, Elena S. F.; Cheng, Yvonne K. Y.</t>
  </si>
  <si>
    <t>Investigation of biological factors influencing the placental mRNA profile in maternal plasma</t>
  </si>
  <si>
    <t>PRENATAL DIAGNOSIS</t>
  </si>
  <si>
    <t>FETAL DNA CLEARANCE; SYNCYTIAL KNOTS; DIGITAL PCR; SYNCYTIOTROPHOBLAST; MICROPARTICLES; PREECLAMPSIA; MICROVESICLES; EXPRESSION; MEMBRANE; CELLS</t>
  </si>
  <si>
    <t>Objective Circulating placental-derived RNA is useful for noninvasive prenatal investigation. However, in addition to placental gene expression, there are limited investigations on other biological parameters that may affect the circulating placental RNA profile. In this study, we explored two of these potential parameters. Methods We first demonstrated the existence of such biological parameters by comparing the relative levels of a panel of placental-derived transcripts between the placentas and maternal plasma by digital PCRs. We then compared the post-delivery clearance of the transcripts by serial plasma samples collected from pregnant women after delivery. We also studied the placental in vivo localization of the transcripts by in situ hybridization. Results There was an imperfect correlation of the transcript levels between the placentas and maternal plasma, with placenta-specific 4 (PLAC4) mRNA showing the largest discrepancy. Although PLAC4 mRNA showed a similar clearance half-life with other transcripts, we observed a preferential localization of PLAC4 mRNA around the villous surface. We speculated that this phenomenon might play a role in favoring the release of PLAC4 mRNA molecules into maternal plasma. Conclusion We revealed that in addition to expression levels in the placenta, other biological factors might interplay to determine the maternal plasma profile of placental-derived RNAs. (c) 2013 John Wiley &amp; Sons, Ltd.</t>
  </si>
  <si>
    <t>[Tsui, Nancy B. Y.; Chow, Katherine C. K.] Li Ka Shing Inst Hlth Sci, Ctr Res Circulating Fetal Nucle Acids, Hong Kong, Hong Kong, Peoples R China; [Tsui, Nancy B. Y.; Chow, Katherine C. K.; Lo, Elena S. F.] Chinese Univ Hong Kong, Dept Chem Pathol, Hong Kong, Hong Kong, Peoples R China; [Wong, Cesar S. C.] Hong Kong Polytech Univ, Dept Hlth Technol &amp; Informat, Hong Kong, Hong Kong, Peoples R China; [Cheng, Yvonne K. Y.] Chinese Univ Hong Kong, Hong Kong, Hong Kong, Peoples R China</t>
  </si>
  <si>
    <t>Chinese University of Hong Kong; Hong Kong Polytechnic University; Chinese University of Hong Kong</t>
  </si>
  <si>
    <t>Tsui, NBY (corresponding author), Li Ka Shing Inst Hlth Sci, Ctr Res Circulating Fetal Nucle Acids, Hong Kong, Hong Kong, Peoples R China.</t>
  </si>
  <si>
    <t>nancytsui.cuhk@gmail.com</t>
  </si>
  <si>
    <t>WONG, Sze Chuen Cesar/0000-0003-0058-140X</t>
  </si>
  <si>
    <t>0197-3851</t>
  </si>
  <si>
    <t>1097-0223</t>
  </si>
  <si>
    <t>10.1002/pd.4300</t>
  </si>
  <si>
    <t>Genetics &amp; Heredity; Obstetrics &amp; Gynecology</t>
  </si>
  <si>
    <t>WOS:000333020300008</t>
  </si>
  <si>
    <t>Fan, CM; Fast, VG; Tang, YW; Zhao, M; Turner, JF; Krishnamurthy, P; Rogers, JM; Valarmathi, MT; Yang, JF; Zhu, WQ; Zhang, JY</t>
  </si>
  <si>
    <t>Fan, Chengming; Fast, Vladimir G.; Tang, Yawen; Zhao, Meng; Turner, James F.; Krishnamurthy, Prasanna; Rogers, Jack M.; Valarmathi, Mani T.; Yang, Jinfu; Zhu, Wuqiang; Zhang, Jianyi</t>
  </si>
  <si>
    <t>Cardiomyocytes from CCND2-overexpressing human induced-pluripotent stem cells repopulate the myocardial scar in mice: A 6-month study</t>
  </si>
  <si>
    <t>JOURNAL OF MOLECULAR AND CELLULAR CARDIOLOGY</t>
  </si>
  <si>
    <t>Induced pluripotent stem cells; Cell cycle; Myocardial infarction; Heart failure</t>
  </si>
  <si>
    <t>CARDIAC REPAIR; DNA-SYNTHESIS; HEART; PROLIFERATION; ENGRAFTMENT; REMUSCULARIZATION; MATURATION; INFARCTION; EXOSOMES; PROMOTES</t>
  </si>
  <si>
    <t>Background: Cardiomyocytes that have been differentiated from CCND2-overexpressing human induced-pluripotent stem cells (hiPSC-CCND2(OE) CMs) can proliferate when transplanted into mouse hearts after myocardial infarction (MI). However, it is unknown whether remuscularization can replace the thin LV scar and if the large muscle graft can electrophysiologically synchronize to the recipient myocardium. Our objectives are to evaluate the structural and functional potential of hiPSC-CCND2(OE) CMs in replacing the LV thin scar. Methods: NOD/SCID mice were treated with hiPSC-CCND2(OE) CMs (i.e., the CCND2(OE) group), hiPSC-CCND2(WT) CMs (the CCND2(WT) group), or an equal volume of PBS immediately after experimentally-induced myocardial infarction. The treatments were administered to one site in the infarcted zone (IZ), two sites in the border zone (BZ), and a fourth group of animals underwent Sham surgery. Results: Six months later, engrafted cells occupied &gt;50% of the scarred region in CCND2(OE) animals, and exceeded the number of engrafted cells in CCND2(WT) animals by similar to 8-fold. Engrafted cells were also more common in the IZ than in the BZ for both cell-treatment groups. Measurements of cardiac function, infarct size, wall thickness, and cardiomyocyte hypertrophy were significantly improved in CCND2(OE) animals compared to animals from the CCND2(WT) or PBS-treatment groups. Measurements in the CCND2(WT) and PBS groups were similar, and markers for cell cycle activation and proliferation were significantly higher in hiPSC-CCND2(OE) CMs than in hiPSC-CCND2(WT) CMs. Optical mapping of action potential propagation indicated that the engrafted hiPSC-CCND2(OE) CMs were electrically coupled to each other and to the cells of the native myocardium. No evidence of tumor formation was observed in any animals. Conclusions: Six months after the transplantation, CCND2-overexpressing hiPSC-CMs proliferated and replaced &gt;50% of the myocardial scar tissue. The large graft hiPSC-CCND2(OE) CMs also electrically integrated with the host myocardium, which was accompanied by a significant improvement in LV function.</t>
  </si>
  <si>
    <t>[Fan, Chengming; Fast, Vladimir G.; Tang, Yawen; Zhao, Meng; Turner, James F.; Krishnamurthy, Prasanna; Rogers, Jack M.; Valarmathi, Mani T.; Zhu, Wuqiang; Zhang, Jianyi] Univ Alabama Birmingham, Dept Biomed Engn, Sch Med, Sch Engn, Birmingham, AL 35294 USA; [Fan, Chengming; Yang, Jinfu] Cent S Univ, Xiangya Hosp 2, Dept Cardiovasc Surg, Changsha, Hunan, Peoples R China</t>
  </si>
  <si>
    <t>University of Alabama System; University of Alabama Birmingham; Central South University</t>
  </si>
  <si>
    <t>Zhang, JY (corresponding author), Univ Alabama Birmingham, Dept Biomed Engn, 1670 Univ Blvd,VH G094J, Birmingham, AL 35233 USA.;Zhu, WQ (corresponding author), Univ Alabama Birmingham, Dept Biomed Engn, 1670 Univ Blvd,VH G094E, Birmingham, AL 35233 USA.</t>
  </si>
  <si>
    <t>wzhu@uab.edu; jayzhang@uab.edu</t>
  </si>
  <si>
    <t>Valarmathi, Mani T./AAJ-2180-2020</t>
  </si>
  <si>
    <t>KRISHNAMURTHY, PRASANNA/0000-0002-4842-6364; Fan, Chengming/0000-0003-0497-1798; zhao, meng/0000-0003-4303-2726</t>
  </si>
  <si>
    <t>0022-2828</t>
  </si>
  <si>
    <t>1095-8584</t>
  </si>
  <si>
    <t>10.1016/j.yjmcc.2019.09.011</t>
  </si>
  <si>
    <t>Cardiac &amp; Cardiovascular Systems; Cell Biology</t>
  </si>
  <si>
    <t>Cardiovascular System &amp; Cardiology; Cell Biology</t>
  </si>
  <si>
    <t>WOS:000502686600003</t>
  </si>
  <si>
    <t>Skovierova, H; Vidomanova, E; Skoviera, M; Tothova, B; Halasova, E; Strnadel, J</t>
  </si>
  <si>
    <t>Skovierova, H.; Vidomanova, E.; Skoviera, M.; Tothova, B.; Halasova, E.; Strnadel, J.</t>
  </si>
  <si>
    <t>Circulating tumor cells in lung carcinogenesis</t>
  </si>
  <si>
    <t>NEOPLASMA</t>
  </si>
  <si>
    <t>circulating tumor cells (CTCs); CTC clusters; lung cancer; metastases</t>
  </si>
  <si>
    <t>EPITHELIAL-MESENCHYMAL PLASTICITY; PANCREATIC-CANCER; TRANSITION; CLUSTERS; PROGRESSION; EXPRESSION; EXOSOMES; COPD; EMT; DNA</t>
  </si>
  <si>
    <t>Metastasis development causes death in over 90% of cancer patients, and understanding the underlying biological features has long been hindered by difficulties in studying the widespread cancerous lesions and the absence of reliable methods of isolating and detecting viable metastatic cells during disease progression. These problems have an adverse impact on developing new agents capable of blocking cancer spread. Circulating tumor cells (CTCs) have a crucial role in carcinogenesis, and this review presents advanced understanding of the characteristics of CTCs and CTC cluster metastatic properties. CTC analysis could well be more valuable for the biomarker profile than tissue biopsies, and herein we highlight current research findings which have the potential to improve clinical management of lung cancer patients. We also discuss problems in CTCs and CTC cluster biology, the limitations of detection methods and possible future diagnostic and therapeutic approaches for the study of circulating cells.</t>
  </si>
  <si>
    <t>[Skovierova, H.; Vidomanova, E.; Tothova, B.; Halasova, E.; Strnadel, J.] Comenius Univ, Jessenius Fac Med Martin, Biomed Ctr Martin, Bratislava, Slovakia; [Skoviera, M.] Lutheran Acad Martin, Martin, TN USA; [Halasova, E.] Comenius Univ, Jessenius Fac Med Martin, Dept Med Biol, Bratislava, Slovakia</t>
  </si>
  <si>
    <t>Comenius University Bratislava; Comenius University Bratislava</t>
  </si>
  <si>
    <t>Strnadel, J (corresponding author), Comenius Univ, Jessenius Fac Med Martin, Biomed Ctr Martin, Bratislava, Slovakia.</t>
  </si>
  <si>
    <t>jan.strnadel@jfmed.uniba.sk</t>
  </si>
  <si>
    <t>Halašová, Erika/X-8250-2018</t>
  </si>
  <si>
    <t>0028-2685</t>
  </si>
  <si>
    <t>1338-4317</t>
  </si>
  <si>
    <t>10.4149/neo_2018_180430N281</t>
  </si>
  <si>
    <t>WOS:000465159200001</t>
  </si>
  <si>
    <t>MIGNATTI, P; MORIMOTO, T; RIFKIN, DB</t>
  </si>
  <si>
    <t>BASIC FIBROBLAST GROWTH-FACTOR, A PROTEIN DEVOID OF SECRETORY SIGNAL SEQUENCE, IS RELEASED BY CELLS VIA A PATHWAY INDEPENDENT OF THE ENDOPLASMIC-RETICULUM GOLGI-COMPLEX</t>
  </si>
  <si>
    <t>CAPILLARY ENDOTHELIAL-CELLS; SUBENDOTHELIAL EXTRACELLULAR-MATRIX; PLASMINOGEN-ACTIVATOR PRODUCTION; FACTOR RECEPTOR; NUCLEOTIDE-SEQUENCE; PLASMA-MEMBRANE; ANGIOGENIC PROTEIN; VESICLE FORMATION; TYROSINE KINASE; DNA-SYNTHESIS</t>
  </si>
  <si>
    <t>Basic fibroblast growth factor (bFGF) modulates functions of a variety of cell types. Whereas bFGF is known to act extracellularly, the protein lacks a transient signal peptide. No defined mechanism for bFGF secretion has been characterized besides release from dead or injured cells. To study this problem we devised an experimental system to examine bFGF-mediated migration of isolated single cells. Under these conditions individual cells are not affected by bFGF derived from other cells. By this method we have previously shown that bFGF released by NIH 3T3 cells transfected with bFGF cDNA modulates migration in an autocrine manner. We have now examined the effects on cell motility of drugs or treatments known to affect various pathways of protein secretion. Drugs that block secretion via the endoplasmic reticulum (ER)-Golgi complex or via multidrug resistance proteins did not inhibit cell motility. Migration was enhanced by the calcium ionophore A23187, which stimulates exocytosis, and was inhibited by methylamine, serum-free, and low temperature (18-degrees-C) conditions, which block endo- and exocytosis. The reversal of these effects by the concomitant addition of affinity-purified anti-bFGF IgG or recombinant bFGF showed that the alterations in cell migration were mediated by changes in bFGF externalization. Thus bFGF can be released via a mechanism of exocytosis independent of the ER-Golgi pathway.</t>
  </si>
  <si>
    <t>NYU MED CTR,DEPT CELL BIOL,NEW YORK,NY 10016; RAYMOND &amp; BEVERLY SACKLER LABS,NEW YORK,NY 10016; NYU MED CTR,KAPLAN CANC CTR,NEW YORK,NY 10016; UNIV PAVIA,DIPARTIMENTO GENET &amp; MICROBIOL,I-27100 PAVIA,ITALY</t>
  </si>
  <si>
    <t>New York University; New York University; University of Pavia</t>
  </si>
  <si>
    <t>Mignatti, Paolo/0000-0002-8157-457X</t>
  </si>
  <si>
    <t>10.1002/jcp.1041510113</t>
  </si>
  <si>
    <t>WOS:A1992HM96000012</t>
  </si>
  <si>
    <t>Erturk, B; Karaca, E; Aykut, A; Durmaz, B; Guler, A; Buke, B; Yeniel, AO; Ergenoglu, AM; Ozkinay, F; Ozeren, M; Kazandi, M; Akercan, F; Sagol, S; Gunduz, C; Cogulu, O</t>
  </si>
  <si>
    <t>Erturk, Biray; Karaca, Emin; Aykut, Ayca; Durmaz, Burak; Guler, Ahmet; Buke, Baris; Yeniel, Ahmet Ozgur; Ergenoglu, Ahmet Mete; Ozkinay, Ferda; Ozeren, Mehmet; Kazandi, Mert; Akercan, Fuat; Sagol, Sermet; Gunduz, Cumhur; Cogulu, Ozgur</t>
  </si>
  <si>
    <t>Prenatal Evaluation of MicroRNA Expressions in Pregnancies with Down Syndrome</t>
  </si>
  <si>
    <t>ANEUPLOIDY DETECTION; SERUM MICRORNAS; DNA; TRISOMY-21; GENE; RNA; IDENTIFICATION; BIOMARKERS; EXOSOMES; PROFILE</t>
  </si>
  <si>
    <t>Background. Currently, the data available on the utility of miRNAs in noninvasive prenatal testing is insufficient in the literature. We evaluated the expression levels of 14 miRNAs located on chromosome 21 in maternal plasma and their utility in noninvasive prenatal testing of Down Syndrome. Method. A total of 56 patients underwent invasive prenatal testing; 23 cases were carrying Down Syndrome affected fetuses, and 33 control cases carrying unaffected, normal karyotype fetuses were included for comparison. Indications for invasive prenatal testing were advanced maternal age, increased risk of Down Syndrome in screening tests, and abnormal finding in the sonographic examination. In both the study and control groups, all the pregnant women were at 17th and 18th week of gestation. miRNA expression levels were measured using real-time RT-PCR. Results. Significantly increased maternal plasma levels of miR-3156 and miR-99a were found in the women carrying a fetus with Down Syndrome. Conclusion. Our results provide a basis for multicenter studies with larger sample groups and microRNA profiles, particularly with the microRNAs which were found to be variably expressed in our study. Through this clinical research, the utility of microRNAs in noninvasive prenatal testing can be better explored in future studies.</t>
  </si>
  <si>
    <t>[Erturk, Biray; Karaca, Emin; Aykut, Ayca; Durmaz, Burak; Ozkinay, Ferda; Cogulu, Ozgur] Ege Univ, Fac Med, Dept Med Genet, TR-35100 Izmir, Turkey; [Guler, Ahmet; Ozeren, Mehmet] Aegean Matern Teaching &amp; Training Hosp, Dept Obstet &amp; Gynecol, TR-35110 Izmir, Turkey; [Buke, Baris; Yeniel, Ahmet Ozgur; Ergenoglu, Ahmet Mete; Kazandi, Mert; Akercan, Fuat; Sagol, Sermet] Ege Univ, Fac Med, Dept Obstet &amp; Gynecol, TR-35100 Izmir, Turkey; [Gunduz, Cumhur] Ege Univ, Fac Med, Dept Med Biol, TR-35100 Izmir, Turkey</t>
  </si>
  <si>
    <t>Ege University; Izmir Tepecik Training &amp; Research Hospital; Ege University; Ege University</t>
  </si>
  <si>
    <t>Aykut, A (corresponding author), Ege Univ, Fac Med, Dept Med Genet, TR-35100 Izmir, Turkey.</t>
  </si>
  <si>
    <t>aycaaykut@hotmail.com</t>
  </si>
  <si>
    <t>Karahan, Süleyman Caner/AAL-5846-2021; OZEREN, MEHMET/ABI-7832-2020; Gunduz, Cumhur/GOP-0629-2022; Aykut, Ayca/B-1698-2018; AYKUT, Ayça/ABH-6257-2020; Gunduz, Cumhur/C-1243-2014</t>
  </si>
  <si>
    <t>OZEREN, MEHMET/0000-0002-4552-9042; Gunduz, Cumhur/0000-0002-6593-3237; AYKUT, Ayça/0000-0002-1460-0053; Gunduz, Cumhur/0000-0002-6593-3237; Yeniel, Ahmet Ozgur/0000-0002-5604-047X</t>
  </si>
  <si>
    <t>10.1155/2016/5312674</t>
  </si>
  <si>
    <t>WOS:000373461800001</t>
  </si>
  <si>
    <t>Hou, J; Kim, S; Sung, C; Choi, C</t>
  </si>
  <si>
    <t>Hou, Jingang; Kim, Sunchang; Sung, Changkeun; Choi, Chulhee</t>
  </si>
  <si>
    <t>Ginsenoside Rg3 Prevents Oxidative Stress-Induced Astrocytic Senescence and Ameliorates Senescence Paracrine Effects on Glioblastoma</t>
  </si>
  <si>
    <t>astrocytic senescence; ginsenosides; SASP; brain tumor; inflammation</t>
  </si>
  <si>
    <t>DNA-DAMAGE; IN-VITRO; DELIVERY; CELLS; BRAIN; EXOSOMES; CANCER; EXPRESSION; GROWTH; IL-6</t>
  </si>
  <si>
    <t>Senescent astrocytes in aging brain express senescence-associated secretory phenotype (SASP) and link with increased brain aging and its related diseases. In order to determine whether ginsenosides ameliorate the astrocytic senescence in vitro, human astrocytic CRT cells and primary rat astrocytes were used in the present study. Ginsenosides Rg1, Re, Rb1 and Rg3 (5 mu g/mL) could effectively prevent the astrocytic senescence induced by H2O2 exposure. However, these ginsenosides did not reverse the astrocytic senescence. Importantly, senescent astrocytes herein produce SASP. The expression of major components of SASP, IL-6 and IL-8, are greatly increased in senescent astrocytes. Ginsenoside Rg3 (10 mu g/mL) effectively suppressed the expressions of IL-6 and IL-8, which is associated with regulations of NF-kB and p38MAPK activation. In addition, after incubation with Rg3, conditioned medium from senescent astrocytic CRT cells significantly decreased the ability to promote the proliferation of astrocytoma U373-MG, U87-MG and U251-MG cells compared with non-treated senescent samples. Similar patterns were confirmed in chemotherapy-induced glioblastoma senescent cells. The present study explored a potential candidate for amelioration of astrocytic senescence and SASP in brain aging, which provided a basis for developing strategies to reduce the dark side of senescence in normal or pathological aging process.</t>
  </si>
  <si>
    <t>[Hou, Jingang; Kim, Sunchang] Intelligent Synthet Biol Ctr, Daejeon 34141, South Korea; [Kim, Sunchang] Korea Adv Inst Sci &amp; Technol, Dept Biol Sci, Daejeon 34141, South Korea; [Sung, Changkeun] Chungnam Natl Univ, Dept Food Sci &amp; Technol, Coll Agr &amp; Biotechnol, Daejeon 34141, South Korea; [Choi, Chulhee] Korea Adv Inst Sci &amp; Technol, Dept Bio &amp; Brain Engn, Daejeon 34141, South Korea</t>
  </si>
  <si>
    <t>Korea Advanced Institute of Science &amp; Technology (KAIST); Chungnam National University; Korea Advanced Institute of Science &amp; Technology (KAIST)</t>
  </si>
  <si>
    <t>Kim, S (corresponding author), Intelligent Synthet Biol Ctr, Daejeon 34141, South Korea.;Kim, S (corresponding author), Korea Adv Inst Sci &amp; Technol, Dept Biol Sci, Daejeon 34141, South Korea.</t>
  </si>
  <si>
    <t>houjingang1225@126.com; sunkim@kaist.ac.kr; kchsung@kaist.ac.kr; cchoi@kaist.ac.kr</t>
  </si>
  <si>
    <t>Kim, Sun Chang/C-2026-2011; Choi, Chulhee/C-1642-2011</t>
  </si>
  <si>
    <t>Choi, Chulhee/0000-0001-5542-9136; Sung, Changkeun/0000-0001-7929-9567</t>
  </si>
  <si>
    <t>10.3390/molecules22091516</t>
  </si>
  <si>
    <t>WOS:000411499400105</t>
  </si>
  <si>
    <t>Chen, Y; Corey, SJ; Kim, OV; Alber, MS</t>
  </si>
  <si>
    <t>Corey, SJ; Kimmel, M; Leonard, JN</t>
  </si>
  <si>
    <t>Chen, Yolande; Corey, Seth Joel; Kim, Oleg V.; Alber, Mark S.</t>
  </si>
  <si>
    <t>Systems Biology of Platelet-Vessel Wall Interactions</t>
  </si>
  <si>
    <t>SYSTEMS BIOLOGY APPROACH TO BLOOD</t>
  </si>
  <si>
    <t>Platelets; Blood vessels; Hemostasis; Thrombosis</t>
  </si>
  <si>
    <t>HUMAN BLOOD-PLATELETS; SURFACE-MEDIATED CONTROL; EXTRACELLULAR DNA TRAPS; DISAGGREGATION KINETICS; ACTIVATED PLATELETS; THROMBUS FORMATION; MULTISCALE MODEL; IN-VIVO; MEMBRANE-VESICLES; SOLUTE TRANSPORT</t>
  </si>
  <si>
    <t>Platelets are small, anucleated cells that participate in primary hemostasis by forming a hemostatic plug at the site of a blood vessel's breach, preventing blood loss. However, hemostatic events can lead to excessive thrombosis, resulting in life-threatening strokes, emboli, or infarction. Development of multi-scale models coupling processes at several scales and running predictive model simulations on powerful computer clusters can help interdisciplinary groups of researchers to suggest and test new patient-specific treatment strategies.</t>
  </si>
  <si>
    <t>[Chen, Yolande] Northwestern Univ, Feinberg Sch Med, RH Lurie Comprehens Canc Ctr, Chicago, IL 60611 USA; [Corey, Seth Joel] Northwestern Univ, Feinberg Sch Med, Dept Pediat &amp; Cell &amp; Mol Biol, Chicago, IL 60611 USA; [Corey, Seth Joel] Lurie Childrens Hosp Chicago, Chicago, IL USA; [Kim, Oleg V.; Alber, Mark S.] Univ Notre Dame, Dept Appl &amp; Computat Math &amp; Stat, Notre Dame, IN 46556 USA; [Alber, Mark S.] Indiana Univ Sch Med, Dept Med, Indianapolis, IN 46202 USA</t>
  </si>
  <si>
    <t>Northwestern University; Feinberg School of Medicine; Robert H. Lurie Comprehensive Cancer Center; Northwestern University; Feinberg School of Medicine; Ann &amp; Robert H. Lurie Children's Hospital of Chicago; University of Notre Dame; Indiana University System; Indiana University Bloomington</t>
  </si>
  <si>
    <t>Chen, Y (corresponding author), Northwestern Univ, Feinberg Sch Med, RH Lurie Comprehens Canc Ctr, Rm 5-220,303 E Super St, Chicago, IL 60611 USA.</t>
  </si>
  <si>
    <t>yolande-chen@northwestern.edu</t>
  </si>
  <si>
    <t>Alber, Mark/AAR-1280-2020</t>
  </si>
  <si>
    <t>978-1-4939-2095-2; 978-1-4939-2094-5</t>
  </si>
  <si>
    <t>10.1007/978-1-4939-2095-2_5</t>
  </si>
  <si>
    <t>10.1007/978-1-4939-2095-2</t>
  </si>
  <si>
    <t>Biology; Hematology; Medicine, Research &amp; Experimental</t>
  </si>
  <si>
    <t>Life Sciences &amp; Biomedicine - Other Topics; Hematology; Research &amp; Experimental Medicine</t>
  </si>
  <si>
    <t>WOS:000350414400006</t>
  </si>
  <si>
    <t>Sharma, S; Gimzewski, JK</t>
  </si>
  <si>
    <t>Dufrene, Y</t>
  </si>
  <si>
    <t>Sharma, Shivani; Gimzewski, James K.</t>
  </si>
  <si>
    <t>ATOMIC FORCE MICROSCOPY FOR MEDICINE</t>
  </si>
  <si>
    <t>LIFE AT THE NANOSCALE: ATOMIC FORCE MICROSCOPY OF LIVE CELLS</t>
  </si>
  <si>
    <t>TUMOR-DERIVED EXOSOMES; HUMAN SALIVA; DNA HYBRIDIZATION; CELLS; CANCER; RECOGNITION; NANOTECHNOLOGY; NANOMECHANICS; BIOMECHANICS; BIOGENESIS</t>
  </si>
  <si>
    <t>[Sharma, Shivani; Gimzewski, James K.] Univ Calif Los Angeles, Dept Chem &amp; Biochem, Los Angeles, CA 90024 USA; [Sharma, Shivani; Gimzewski, James K.] Univ Calif Los Angeles, Calif NanoSyst Inst, Los Angeles, CA 90024 USA; [Gimzewski, James K.] Natl Inst Mat Sci, Int Ctr Mat Nanoarchitecton Satellite MANA, Tsukuba, Ibaraki, Japan</t>
  </si>
  <si>
    <t>University of California System; University of California Los Angeles; University of California System; University of California Los Angeles; National Institute for Materials Science</t>
  </si>
  <si>
    <t>Sharma, S (corresponding author), Univ Calif Los Angeles, Dept Chem &amp; Biochem, 405 Hilgard Ave, Los Angeles, CA 90024 USA.</t>
  </si>
  <si>
    <t>gim@chem.ucla.edu</t>
  </si>
  <si>
    <t>gimzewski, james/0000-0003-4333-6957</t>
  </si>
  <si>
    <t>978-9-81426-797-7</t>
  </si>
  <si>
    <t>10.4032/9789814267977</t>
  </si>
  <si>
    <t>Cell Biology; Microscopy</t>
  </si>
  <si>
    <t>WOS:000297211500021</t>
  </si>
  <si>
    <t>Galkowski, D; Ratajczak, MZ; Kocki, J; Darzynkiewicz, Z</t>
  </si>
  <si>
    <t>Galkowski, Dariusz; Ratajczak, Mariusz Z.; Kocki, Janusz; Darzynkiewicz, Zbigniew</t>
  </si>
  <si>
    <t>Of Cytometry, Stem Cells and Fountain of Youth</t>
  </si>
  <si>
    <t>Stem cells; Very small embryonic-like stem cells; VSELs; Stem cell markers; Side population; Cancer stem cells; Aging; Regenerative medicine; Geroprotection</t>
  </si>
  <si>
    <t>STROMAL-VASCULAR FRACTION; LASER-SCANNING CYTOMETRY; EMBRYONIC-LIKE CELLS; NEURAL CREST CELLS; FLOW-CYTOMETRY; HYALURONIC-ACID; DNA-DAMAGE; BIOLOGICAL CHARACTERISTICS; EXTRACELLULAR VESICLES; HORIZONTAL TRANSFER</t>
  </si>
  <si>
    <t>Outlined are advances of cytometry applications to identify and sort stem cells, of laser scanning cytometry and ImageStream imaging instrumentation to further analyze morphometry of these cells, and of mass cytometry to classify a multitude of cellular markers in large cell populations. Reviewed are different types of stem cells, including potential candidates for cancer stem cells, with respect to their stemness, and other characteristics. Appraised is further progress in identification and isolation of the very small embryonic-like stem cells (VSELs) and their autogenous transplantation for tissue repair and geroprotection. Also assessed is a function of hyaluronic acid, the major stem cells niche component, as a guardian and controller of stem cells. Briefly appraised are recent advances and challenges in the application of stem cells in regenerative medicine and oncology and their future role in different disciplines of medicine, including geriatrics.</t>
  </si>
  <si>
    <t>[Galkowski, Dariusz] Praesum Healthcare Serv, Lake Worth, FL 33461 USA; [Ratajczak, Mariusz Z.] Univ Louisville, Stem Cell Inst, James Graham Brown Canc Ctr, Louisville, KY 40202 USA; [Kocki, Janusz] Med Univ Lublin, Dept Clin Genet, PL-20080 Lublin, Poland; [Darzynkiewicz, Zbigniew] New York Med Coll, Brander Canc Res Inst, Valhalla, NY 10595 USA; [Darzynkiewicz, Zbigniew] New York Med Coll, Dept Pathol, Valhalla, NY 10595 USA</t>
  </si>
  <si>
    <t>University of Louisville; Medical University of Lublin; New York Medical College; New York Medical College</t>
  </si>
  <si>
    <t>Darzynkiewicz, Z (corresponding author), New York Med Coll, Brander Canc Res Inst, Valhalla, NY 10595 USA.;Darzynkiewicz, Z (corresponding author), New York Med Coll, Dept Pathol, Valhalla, NY 10595 USA.</t>
  </si>
  <si>
    <t>z_darzynkiewicz@nymc.edu</t>
  </si>
  <si>
    <t>Ratajczak, Mariusz Z/I-2376-2014</t>
  </si>
  <si>
    <t>Ratajczak, Mariusz Z/0000-0002-0071-0198; Kocki, Janusz/0000-0002-9541-6353; Darzynkiewicz, Zbigniew/0000-0002-2040-7081</t>
  </si>
  <si>
    <t>1550-8943</t>
  </si>
  <si>
    <t>1558-6804</t>
  </si>
  <si>
    <t>10.1007/s12015-017-9733-5</t>
  </si>
  <si>
    <t>WOS:000404668600003</t>
  </si>
  <si>
    <t>Zhang, YQ; Rana, A; Stratton, Y; Czyzyk-Krzeska, MF; Esfandiari, L</t>
  </si>
  <si>
    <t>Zhang, Yuqian; Rana, Ankit; Stratton, Yiwen; Czyzyk-Krzeska, Maria F.; Esfandiari, Leyla</t>
  </si>
  <si>
    <t>Sequence-Specific Detection of MicroRNAs Related to Clear Cell Renal Cell Carcinoma at fM Concentration by an Electroosmotically Driven Nanopore-Based Device</t>
  </si>
  <si>
    <t>NANOPARTICLE-LIGAND DISTRIBUTIONS; SOLID-STATE NANOPORES; NUCLEIC-ACIDS; RT-PCR; DNA; CANCER; SERUM; MICROVESICLES; BIOMARKERS; DIAGNOSIS</t>
  </si>
  <si>
    <t>MicroRNAs (miRs) are small noncoding RNAs that play a critical role in gene regulation. Recently, traces of cancer related miRs have been identified in body fluids, which make them remarkable noninvasive biomarkers. In this study, a new nanopore-based detection scheme utilizing a borosilicate micropipette and an assay of complementary gamma-peptide nucleic acid (gamma-PNA) probes conjugated to polystyrene beads have been reported for the detection of miR-204 and miR-210 related to the clear cell Renal Cell Carcinoma (ccRCC). Electroosmotic flow (EOF) is induced as the driving force to transport PNA-beads harboring target miRs to the tip of the pore (sensing zone), which results in pore blockades with unique and easily distinguishable serrated shape electrical signals. The concentration detection limit is investigated to be 1 and 10 fM for miR-204 and miR-210, respectively. The EOF transport mechanism enables highly sensitive detection of molecules with low surface charge density with 97.6% detection accuracy compared to the conventional electrophoretically driven methods. Furthermore, resistive-pulse experiments are conducted to study the correlation of the particles' surface charge density with their translocation time and verify the detection principle.</t>
  </si>
  <si>
    <t>[Zhang, Yuqian; Rana, Ankit; Esfandiari, Leyla] Univ Cincinnati, Dept Elect Engn &amp; Comp Syst, Cincinnati, OH 45221 USA; [Stratton, Yiwen; Czyzyk-Krzeska, Maria F.] Univ Cincinnati, Dept Canc Biol, Cincinnati, OH 45267 USA; [Czyzyk-Krzeska, Maria F.] VA Res Serv, Dept Vet Affairs, Cincinnati, OH 45220 USA; [Esfandiari, Leyla] Univ Cincinnati, Dept Biomed Chem &amp; Environm Engn, Cincinnati, OH 45221 USA</t>
  </si>
  <si>
    <t>University of Cincinnati; University of Cincinnati; US Department of Veterans Affairs; Veterans Health Administration (VHA); Cincinnati VA Medical Center; University of Cincinnati</t>
  </si>
  <si>
    <t>Esfandiari, L (corresponding author), Univ Cincinnati, Dept Elect Engn &amp; Comp Syst, Cincinnati, OH 45221 USA.;Esfandiari, L (corresponding author), Univ Cincinnati, Dept Biomed Chem &amp; Environm Engn, Cincinnati, OH 45221 USA.</t>
  </si>
  <si>
    <t>Zhang, Yuqian/ABG-6799-2021</t>
  </si>
  <si>
    <t>Zhang, Yuqian/0000-0002-2800-6100</t>
  </si>
  <si>
    <t>SEP 5</t>
  </si>
  <si>
    <t>10.1021/acs.analchem.7b01944</t>
  </si>
  <si>
    <t>WOS:000410014900086</t>
  </si>
  <si>
    <t>Samanta, L; Sharma, R; Cui, ZH; Agarwal, A</t>
  </si>
  <si>
    <t>Samanta, Luna; Sharma, Rakesh; Cui, Zhihong; Agarwal, Ashok</t>
  </si>
  <si>
    <t>Proteomic analysis reveals dysregulated cell signaling in ejaculated spermatozoa from infertile men</t>
  </si>
  <si>
    <t>ASIAN JOURNAL OF ANDROLOGY</t>
  </si>
  <si>
    <t>androgen receptor; chaperone; immature sperm; infertile men; proteasome; spermatozoa</t>
  </si>
  <si>
    <t>INTRACYTOPLASMIC SPERM INJECTION; LIFE-HISTORY; DNA-DAMAGE; EXPRESSION; PROTEINS; PEROXIREDOXINS; IDENTIFICATION; SPERMATOGENESIS; MATURATION; EXOSOMES</t>
  </si>
  <si>
    <t>Dysfunctional sperm maturation is the primary reason for the poor sperm motility and morphology in infertile men. Spermatozoa from infertile men were fractioned on three-layer density gradient (80%, 60%, and 40%). Fraction 1 (F1) refers to the least mature stage having the lowest density, whereas the fraction 4 (F4) includes the most dense and morphologically mature motile spermatozoa. Fraction 2 (F2) and fraction 3 (F3) represent the intermediate stages. Proteins were extracted and separated by 1-dimensional gel. Bands were digested with trypsin and analyzed on a LTQ-Orbitrap Elite hybrid mass spectrometer system. Functional annotations of proteins were obtained using bioinformatics tools and pathway databases. A total of 1585 proteins were detected in the four fractions of spermatozoa. A dysregulated protein turnover and protein folding may lead to accumulation of defective proteins or proteins that otherwise would have been eliminated during the process of maturation, resulting in the impairment of sperm function. Aberrant chaperone expression may be a major contributing factor to the defective sperm function. Androgen receptor was predicted as a transcription regulator in one of the networks and the affected pathways were chaperone-mediated stress response, proteosomal pathway, and sperm function. The downregulation of key pathways and proteins which compromises the fertilizing potential of spermatozoa may provide insight into the mechanisms that lead to male infertility.</t>
  </si>
  <si>
    <t>[Samanta, Luna; Sharma, Rakesh; Cui, Zhihong; Agarwal, Ashok] Cleveland Clin, Amer Ctr Reprod Med, Cleveland, OH 44195 USA; [Samanta, Luna] Ravenshaw Univ, Dept Zool, Sch Life Sci, Cuttack 753003, Odisha, India; [Cui, Zhihong] Third Mil Med Univ, Inst Toxicol, Chongqing 400038, Peoples R China</t>
  </si>
  <si>
    <t>Cleveland Clinic Foundation; Ravenshaw University; Army Medical University</t>
  </si>
  <si>
    <t>Agarwal, A (corresponding author), Cleveland Clin, Amer Ctr Reprod Med, Cleveland, OH 44195 USA.</t>
  </si>
  <si>
    <t>agarwaa@ccf.org</t>
  </si>
  <si>
    <t>Samanta, Luna/H-4206-2019</t>
  </si>
  <si>
    <t>Samanta, Luna/0000-0002-2969-0071</t>
  </si>
  <si>
    <t>1008-682X</t>
  </si>
  <si>
    <t>1745-7262</t>
  </si>
  <si>
    <t>PMID 30381577</t>
  </si>
  <si>
    <t>10.4103/aja.aja_56_18</t>
  </si>
  <si>
    <t>Andrology; Urology &amp; Nephrology</t>
  </si>
  <si>
    <t>WOS:000463254700004</t>
  </si>
  <si>
    <t>Arenas-Hernandez, M; Romero, R; Gershater, M; Tao, L; Xu, Y; Garcia-Flores, V; Pusod, E; Miller, D; Galaz, J; Motomura, K; Schwenkel, G; Para, R; Gomez-Lopez, N</t>
  </si>
  <si>
    <t>Arenas-Hernandez, Marcia; Romero, Roberto; Gershater, Meyer; Tao, Li; Xu, Yi; Garcia-Flores, Valeria; Pusod, Errile; Miller, Derek; Galaz, Jose; Motomura, Kenichiro; Schwenkel, George; Para, Robert; Gomez-Lopez, Nardhy</t>
  </si>
  <si>
    <t>Specific innate immune cells uptake fetal antigen and display homeostatic phenotypes in the maternal circulation</t>
  </si>
  <si>
    <t>human; innate immune cells; maternal-fetal tolerance; mice; OVA; peripheral blood; pregnancy</t>
  </si>
  <si>
    <t>REGULATORY T-CELLS; SYNCYTIOTROPHOBLAST EXTRACELLULAR VESICLES; HUMAN POLYMORPHONUCLEAR NEUTROPHILS; MHC CLASS-II; NORMAL-PREGNANCY; SUPPRESSOR-CELLS; FREE DNA; PATERNAL ALLOANTIGENS; SPONTANEOUS-ABORTION; MESSENGER-RNA</t>
  </si>
  <si>
    <t>Pregnancy represents a period when the mother undergoes significant immunological changes to promote tolerance of the fetal semi-allograft. Such tolerance results from the exposure of the maternal immune system to fetal antigens (Ags), a process that has been widely investigated at the maternal-fetal interface and in the adjacent draining lymph nodes. However, the peripheral mechanisms of maternal-fetal crosstalk are poorly understood. Herein, we hypothesized that specific innate immune cells interact with fetal Ags in the maternal circulation. To test this hypothesis, a mouse model was utilized in which transgenic male mice expressing the chicken ovalbumin (OVA) Ag under the beta-actin promoter were allogeneically mated with wild-type females to allow for tracking of the fetal Ag. Fetal Ag-carrying Ly6G(+) and F4/80(+) cells were identified in the maternal circulation, where they were more abundant in the second half of pregnancy. Such innate immune cells displayed unique phenotypes: while Ly6G(+) cells expressed high levels of MHC-II and CD80 together with low levels of pro-inflammatory cytokines, F4/80(+) cells up-regulated the expression of CD86 as well as the anti-inflammatory cytokines IL-10 and TGF-beta. In vitro studies using allogeneic GFP(+) placental particles revealed that maternal peripheral Ly6G(+) and F4/80(+) cells phagocytose fetal Ags in mid and late murine pregnancy. Importantly, cytotrophoblast-derived particles were also engulfed in vitro by CD15(+) and CD14(+) cells from women in the second and third trimester, providing translational evidence that this process also occurs in humans. Collectively, this study demonstrates novel interactions between specific maternal circulating innate immune cells and fetal Ags, thereby shedding light on the systemic mechanisms of maternal-fetal crosstalk.</t>
  </si>
  <si>
    <t>[Arenas-Hernandez, Marcia; Romero, Roberto; Gershater, Meyer; Tao, Li; Xu, Yi; Garcia-Flores, Valeria; Pusod, Errile; Miller, Derek; Galaz, Jose; Motomura, Kenichiro; Schwenkel, George; Para, Robert; Gomez-Lopez, Nardhy] Eunice Kennedy Shriver Natl Inst Child Hlth &amp; Hum, Perinatol Res Branch, Div Obstet &amp; Maternal Fetal Med,, Div Intramural,NIH,US Dept HHS, Bethesda, MD USA; [Arenas-Hernandez, Marcia; Gershater, Meyer; Tao, Li; Xu, Yi; Garcia-Flores, Valeria; Pusod, Errile; Miller, Derek; Galaz, Jose; Motomura, Kenichiro; Schwenkel, George; Para, Robert; Gomez-Lopez, Nardhy] Wayne State Univ, Sch Med, Dept Obstet &amp; Gynecol, Detroit, MI 48201 USA; [Romero, Roberto] Univ Michigan, Dept Obstet &amp; Gynecol, Ann Arbor, MI 48109 USA; [Romero, Roberto] Michigan State Univ, Dept Epidemiol &amp; Biostat, E Lansing, MI 48824 USA; [Romero, Roberto] Wayne State Univ, Ctr Mol Med &amp; Genet, Detroit, MI USA; [Romero, Roberto] Detroit Med Ctr, Detroit, MI USA; [Gomez-Lopez, Nardhy] Wayne State Univ, Sch Med, Dept Biochem Microbiol &amp; Immunol, Detroit, MI USA</t>
  </si>
  <si>
    <t>National Institutes of Health (NIH) - USA; NIH Eunice Kennedy Shriver National Institute of Child Health &amp; Human Development (NICHD); Wayne State University; University of Michigan System; University of Michigan; Michigan State University; Wayne State University; Detroit Medical Center; Wayne State University</t>
  </si>
  <si>
    <t>Gomez-Lopez, N (corresponding author), Wayne State Univ, Dept Obstet &amp; Gynecol, Sch Med, Perinatol Res Branch,NICHD NIH DHHS, 275 E Hancock St, Detroit, MI 48201 USA.</t>
  </si>
  <si>
    <t>nardhy.gomez-lopez@wayne.edu</t>
  </si>
  <si>
    <t>Pusod, Errile/0000-0002-2333-4746</t>
  </si>
  <si>
    <t>10.1002/JLB.5HI0321-179RR</t>
  </si>
  <si>
    <t>WOS:000728663700001</t>
  </si>
  <si>
    <t>Ma, WJ; Zhan, YX; Zhang, YX; Xie, XP; Mao, CC; Lin, YF</t>
  </si>
  <si>
    <t>Ma, Wenjuan; Zhan, Yuxi; Zhang, Yuxin; Xie, Xueping; Mao, Chenchen; Lin, Yunfeng</t>
  </si>
  <si>
    <t>Enhanced Neural Regeneration with a Concomitant Treatment of Framework Nucleic Acid and Stem Cells in Spinal Cord Injury</t>
  </si>
  <si>
    <t>spinal cord injury; tetrahedral framework nucleic acid; neural stem cells; translation; regeneration; animal model</t>
  </si>
  <si>
    <t>TETRAHEDRAL DNA NANOSTRUCTURES; PROMOTES FUNCTIONAL RECOVERY; DEXAMETHASONE; EXPRESSION; EXOSOMES; METHYLPREDNISOLONE; TRANSPLANTATION; BEATTIE; NESTIN; MODEL</t>
  </si>
  <si>
    <t>Spinal cord injury (SCI), began with a primary injury including contusion and compression, is a common disease caused by various pathogenesis. Characterized disruption of axons and irreversible loss of neurons in SCI, and further damage in spinal cord tissue caused by following secondary injuries, such as the formation of glial scar and inflammation, makes it even harder to recover for affected patients. Tetrahedral framework nucleic acid (tFNA), which possesses the capability of promoting neuroprotection and neuroregeneration in vitro, might alleviate the injuries, and facilitate the neural tissue regeneration in experimental animal models of SCI. Here, we developed a concomitant treatment of tFNA and neural stem cells (NSCs) for the synergistic therapy in treating the injury of the spinal cord. We first observed that tFNA could promote cell proliferation of NSCs then verified that the concomitant treatment of tFNA and NSCs showed the neuroprotective actions by increasing the survival of transplanted NSCs. Furthermore, the recovery of motor function and the tissue regeneration in the lesion site of the spinal cord achieved the best performance in the SCI rats treated with the combination of tFNA and NSCs than others, and the formation of glial scar was the least. Our findings provide novel evidence of a promising strategy for synergistic treatment of SCI in the future.</t>
  </si>
  <si>
    <t>[Ma, Wenjuan; Zhan, Yuxi; Zhang, Yuxin; Xie, Xueping; Mao, Chenchen; Lin, Yunfeng] Sichuan Univ, West China Hosp Stomatol, Natl Clin Res Ctr Oral Dis, State Key Lab Oral Dis, Chengdu 610041, Peoples R China</t>
  </si>
  <si>
    <t>Lin, YF (corresponding author), Sichuan Univ, West China Hosp Stomatol, Natl Clin Res Ctr Oral Dis, State Key Lab Oral Dis, Chengdu 610041, Peoples R China.</t>
  </si>
  <si>
    <t>yunfenglin@scu.edu.cn</t>
  </si>
  <si>
    <t>Lin, Yunfeng/M-5438-2013; Lin, Yunfeng/H-3393-2011</t>
  </si>
  <si>
    <t>Lin, Yunfeng/0000-0003-1224-6561; Lin, Yunfeng/0000-0003-1224-6561</t>
  </si>
  <si>
    <t>10.1021/acsami.9b19079</t>
  </si>
  <si>
    <t>WOS:000508464500013</t>
  </si>
  <si>
    <t>Schafer, CA; Schafer, JJ; Yakob, M; Lima, P; Camargo, P; Wong, DTW</t>
  </si>
  <si>
    <t>Ligtenberg, AJM; Veerman, ECI</t>
  </si>
  <si>
    <t>Schafer, Christopher A.; Schafer, Jason J.; Yakob, Maha; Lima, Patricia; Camargo, Paulo; Wong, David T. W.</t>
  </si>
  <si>
    <t>Saliva Diagnostics: Utilizing Oral Fluids to Determine Health Status</t>
  </si>
  <si>
    <t>SALIVA: SECRETION AND FUNCTIONS</t>
  </si>
  <si>
    <t>Monographs in Oral Science</t>
  </si>
  <si>
    <t>SQUAMOUS-CELL CARCINOMA; DNA METHYLATION; NUCLEIC-ACIDS; EXOSOMES; CANCER; MICRORNAS; BIOMARKER; BIOGENESIS; MECHANISMS; PROTEINS</t>
  </si>
  <si>
    <t>Imagine a time where your health status could be available to you without the pain, discomfort and inconvenience of a physical examination. Distant vision of an inconceivable future or impending reality with potentially immeasurable impact? Recent advancements in the field of molecular diagnostics indicate this is not only possible, but closer than we think. Novel discoveries and substantial advancements have revealed that saliva may contain real-time information describing our overall physiological condition. Researchers are now reporting that, like blood and tissue biopsies, oral fluids could be a source of biochemical data capable of detecting certain diseases. What is even more intriguing is that this phenomenon not only applies to local disorders like oral cancer and Sjogren's syndrome, but distant pathologies like autoimmune, cardiovascular and metabolic diseases as well as viral/bacterial infections and even some cancers. These revelations have provided a foundation for the burgeoning field of salivary diagnostics and hence spurred the onset of investigations poised at deciphering the salivary milieu. This paper overviews salivary diagnostics from biomarker development to the multitude of techniques utilized in identifying saliva-based molecular indicators of disease. In doing so, we present oral fluids as an easily accessible noninvasive alternative to traditional diagnostic avenues and not just an essential component of the digestive process. Determining saliva as a credible means of evaluating health status represents a considerable leap forward in health care, one that could lead to enormous translational advantages and significant clinical opportunities. (C) 2014 S. Karger AG, Basel</t>
  </si>
  <si>
    <t>[Schafer, Christopher A.; Yakob, Maha; Lima, Patricia; Camargo, Paulo; Wong, David T. W.] Univ Calif Los Angeles, Sch Dent, Oral Head &amp; Neck Oncol Res Ctr, Los Angeles, CA 90095 USA; [Schafer, Jason J.] Thomas Jefferson Univ, Jefferson Sch Pharm, Dept Pharm Practice, Philadelphia, PA 19107 USA</t>
  </si>
  <si>
    <t>University of California System; University of California Los Angeles; Jefferson University</t>
  </si>
  <si>
    <t>Wong, DTW (corresponding author), Univ Calif Los Angeles, Sch Dent, Oral Head &amp; Neck Oncol Res Ctr, 10833 Le Conte Ave,CHS 73-034, Los Angeles, CA 90095 USA.</t>
  </si>
  <si>
    <t>caschafer1@ucla.edu; Jason.Schafer@jefferson.edu; myakob@ucla.edu; patyolima_1@hotmail.com; pcamargo@dentistry.ucla.edu; dtww@ucla.edu</t>
  </si>
  <si>
    <t>0077-0892</t>
  </si>
  <si>
    <t>978-3-318-02596-5; 978-3-318-02595-8</t>
  </si>
  <si>
    <t>10.1159/000358791</t>
  </si>
  <si>
    <t>WOS:000341360500009</t>
  </si>
  <si>
    <t>Glick, M</t>
  </si>
  <si>
    <t>Mechanism-Based Salivary Diagnostics: Oral-Systemic Connectivity</t>
  </si>
  <si>
    <t>ORAL-SYSTEMIC HEALTH CONNECTION: A GUIDE TO PATIENT CARE</t>
  </si>
  <si>
    <t>SQUAMOUS-CELL CARCINOMA; DNA METHYLATION; NUCLEIC-ACIDS; EXOSOMES; CANCER; BIOMARKER; MICRORNAS; BIOGENESIS; PROTEINS; PROTEOME</t>
  </si>
  <si>
    <t>Univ Calif Los Angeles, Sch Dent, Ctr Oral Head &amp; Neck Oncol Res, Los Angeles, CA 90024 USA</t>
  </si>
  <si>
    <t>Wong, DTW (corresponding author), Univ Calif Los Angeles, Sch Dent, Ctr Oral Head &amp; Neck Oncol Res, Los Angeles, CA 90024 USA.</t>
  </si>
  <si>
    <t>978-0-86715-650-8</t>
  </si>
  <si>
    <t>Dentistry, Oral Surgery &amp; Medicine; Primary Health Care</t>
  </si>
  <si>
    <t>Dentistry, Oral Surgery &amp; Medicine; General &amp; Internal Medicine</t>
  </si>
  <si>
    <t>WOS:000332802500004</t>
  </si>
  <si>
    <t>Liu, JM; Zhang, Y; Zhao, QW; Bo, ST; Zhao, JM; Luo, SH; Li, B; Yan, XH; Vadgama, P; Su, L; Ma, W; Wang, W; Zheng, L</t>
  </si>
  <si>
    <t>Liu, Jumei; Zhang, Ye; Zhao, Qianwen; Bo Situ; Zhao, Jiamin; Luo, Shihua; Li, Bo; Yan, Xiaohui; Vadgama, Pankaj; Su, Lei; Ma, Wen; Wang, Wen; Zheng, Lei</t>
  </si>
  <si>
    <t>Bifunctional aptamer-mediated catalytic hairpin assembly for the sensitive and homogenous detection of rare cancer cells</t>
  </si>
  <si>
    <t>Cancer cells; Catalytic hairpin assembly; Bifunctional aptamer; Fluorescent biosensor; Homogeneous detection</t>
  </si>
  <si>
    <t>CIRCULATING TUMOR-CELLS; MESSENGER-RNA; ELECTROCHEMICAL APTASENSOR; PERIPHERAL-BLOOD; DNA; AMPLIFICATION; NANOMACHINE; STRATEGY; EXOSOMES; COMPLEX</t>
  </si>
  <si>
    <t>The presence of cancer cells in body fluids confirms the occurrence of metastasis and guides treatment. A simple, fast, and homogeneous fluorescent method was developed to detect cancer cells based on catalytic hairpin assembly (CHA) and bifunctional aptamers. The bifunctional aptamer had a recognition domain for binding to target cancer cells and an initiator domain for triggering the CHA reaction. In the presence of target cells, the bifunctional aptamer was released from the inhibitor and initiated a cascade reaction of assembly and disassembly of the hairpins. Separation of the fluorophores from the quenchers produced fluorescence signals. The proposed strategy showed high specificity for discriminating normal cells and leukocytes, and the detection limit was 10 cells/mL, which was lower than that of previous aptasensors. This assay was further tested using four kinds of clinical samples spiked with target cells to confirm its applicability. We developed a simple, rapid, and cost-effective method for the detection of cancer cells that did not require purification, and the approach holds great potential for bioanalysis and early diagnosis. (C) 2018 Elsevier B.V. All rights reserved.</t>
  </si>
  <si>
    <t>[Liu, Jumei; Zhang, Ye; Zhao, Qianwen; Bo Situ; Luo, Shihua; Li, Bo; Wang, Wen; Zheng, Lei] Southern Med Univ, Nanfang Hosp, Guangdong Engn &amp; Technol Res Ctr Rapid Diagnost B, Dept Lab Med, Guangzhou 510515, Guangdong, Peoples R China; [Zhao, Jiamin] Southern Med Univ, Affiliated Foshan Matern &amp; Child Healthcare Hosp, Dept Lab Med, Foshan 528000, Guangdong, Peoples R China; [Yan, Xiaohui] Southern Med Univ, Nanfang Hosp, Clin Expt Res Ctr, Guangzhou 510515, Guangdong, Peoples R China; [Vadgama, Pankaj; Su, Lei; Wang, Wen] Queen Mary Univ London, Sch Engn &amp; Mat Sci, London E1 4NS, England; [Ma, Wen] Southern Med Univ, Shenzhen Hosp, Ctr Clin Lab, Shenzhen 518100, Guangdong, Peoples R China</t>
  </si>
  <si>
    <t>Southern Medical University - China; Southern Medical University - China; Southern Medical University - China; University of London; Queen Mary University London; Southern Medical University - China</t>
  </si>
  <si>
    <t>Zheng, L (corresponding author), Southern Med Univ, Nanfang Hosp, Guangdong Engn &amp; Technol Res Ctr Rapid Diagnost B, Dept Lab Med, Guangzhou 510515, Guangdong, Peoples R China.;Wang, W (corresponding author), Queen Mary Univ London, Sch Engn &amp; Mat Sci, London E1 4NS, England.</t>
  </si>
  <si>
    <t>wen.wang@qmul.ac.uk; nfyyzhenglei@sinu.edu.cn</t>
  </si>
  <si>
    <t>Vadgama, Pankaj/AAH-6798-2021; Su, Lei/AAA-8317-2021</t>
  </si>
  <si>
    <t>Su, Lei/0000-0002-7894-7881; Li, Bo/0000-0002-6129-321X; Liu, Jumei/0000-0002-8132-2989</t>
  </si>
  <si>
    <t>10.1016/j.aca.2018.04.068</t>
  </si>
  <si>
    <t>WOS:000436586000009</t>
  </si>
  <si>
    <t>Marycz, K; Kornicka, K; Marezdziak, M; Golonka, P; Nicpon, J</t>
  </si>
  <si>
    <t>Marycz, Krzysztof; Kornicka, Katarzyna; Marezdziak, Monika; Golonka, Pawel; Nicpon, Jakub</t>
  </si>
  <si>
    <t>Equine metabolic syndrome impairs adipose stem cells osteogenic differentiation by predominance of autophagy over selective mitophagy</t>
  </si>
  <si>
    <t>mitochondria; autophagy; mitophagy; mitochondria biogenesis; equine metabolic syndrome; adipose derived stem cells</t>
  </si>
  <si>
    <t>INSULIN-RESISTANCE; MULTILINEAGE DIFFERENTIATION; MITOCHONDRIAL BIOGENESIS; DIABETES-MELLITUS; DNA METHYLATION; UMBILICAL-CORD; IN-VITRO; HORSES; MICROVESICLES; EXPRESSION</t>
  </si>
  <si>
    <t>Adipose-derived mesenchymal stem cells (ASC) hold great promise in the treatment of many disorders including musculoskeletal system, cardiovascular and/or endocrine diseases. However, the cytophysiological condition of cells, used for engraftment seems to be fundamental factor that might determine the effectiveness of clinical therapy. In this study we investigated growth kinetics, senescence, accumulation of oxidative stress factors, mitochondrial biogenesis, autophagy and osteogenic differentiation potential of ASC isolated from horses suffered from equine metabolic syndrome (EMS). We demonstrated that EMS condition impairs multipotency/pluripotency in ASCs causes accumulation of reactive oxygen species and mitochondria deterioration. We found that, cytochrome c is released from mitochondria to the cytoplasm suggesting activation of intrinsic apoptotic pathway in those cells. Moreover, we observed up-regulation of p21 and decreased ratio of Bcl-2/BAX. Deteriorations in mitochondria structure caused alternations in osteogenic differentiation of ASC(EMS) resulting in their decreased proliferation rate and reduced expression of osteogenic markers BMP-2 and collagen type I. During osteogenic differentiation of ASC(EMS), we observed autophagic turnover as probably, an alternative way to generate adenosine triphosphate and amino acids required to increased protein synthesis during differentiation. Downregulation of PGC1 alpha, PARKIN and PDK4 in differentiated ASC(EMS) confirmed impairments in mitochondrial biogenesis and function. Hence, application of ASC(EMS) into endocrinological or ortophedical practice requires further investigation and analysis in the context of safeness of their application.</t>
  </si>
  <si>
    <t>[Marycz, Krzysztof; Kornicka, Katarzyna] Univ Environm &amp; Life Sci Wroclaw, Fac Biol &amp; Anim Sci, Electron Microscopy Lab, Wroclaw, Poland; [Marycz, Krzysztof; Kornicka, Katarzyna] Wroclaw Res Ctr EIT, Wroclaw, Poland; [Marezdziak, Monika] Univ Environm &amp; Life Sci Wroclaw, Fac Vet Med, Dept Anim Physiol &amp; Biostruct, Wroclaw, Poland; [Golonka, Pawel] Equine Clin Equivet, Gliwice, Poland; [Nicpon, Jakub] Univ Environm &amp; Life Sci Wroclaw, Dept Surg, Fac Vet Med, Wroclaw, Poland</t>
  </si>
  <si>
    <t>Wroclaw University of Environmental &amp; Life Sciences; Wroclaw University of Environmental &amp; Life Sciences; Wroclaw University of Environmental &amp; Life Sciences</t>
  </si>
  <si>
    <t>Marycz, K (corresponding author), Univ Environm &amp; Life Sci Wroclaw, Fac Biol &amp; Anim Sci, Electron Microscopy Lab, Wroclaw, Poland.;Marycz, K (corresponding author), Wroclaw Res Ctr EIT, Wroclaw, Poland.</t>
  </si>
  <si>
    <t>Marycz, Krzysztof/A-2249-2017; Nicpoń, Jakub/A-4955-2017</t>
  </si>
  <si>
    <t>Nicpon, Jakub/0000-0002-8168-6301</t>
  </si>
  <si>
    <t>10.1111/jcmm.12932</t>
  </si>
  <si>
    <t>WOS:000389152800018</t>
  </si>
  <si>
    <t>Snijders, C; de Nijs, L; Baker, DG; Hauger, RL; van den Hove, D; Kenis, G; Nievergelt, CM; Boks, MP; Vermetten, E; Gage, FH; Rutten, BPF</t>
  </si>
  <si>
    <t>Vermetten, E; Baker, DG; Risbrough, VB</t>
  </si>
  <si>
    <t>Snijders, Clara; de Nijs, Laurence; Baker, Dewleen G.; Hauger, Richard L.; van den Hove, Daniel; Kenis, Gunter; Nievergelt, Caroline M.; Boks, Marco P.; Vermetten, Eric; Gage, Fred H.; Rutten, Bart P. F.</t>
  </si>
  <si>
    <t>MicroRNAs in Post-traumatic Stress Disorder</t>
  </si>
  <si>
    <t>BEHAVIORAL NEUROBIOLOGY OF PTSD</t>
  </si>
  <si>
    <t>Current Topics in Behavioral Neurosciences</t>
  </si>
  <si>
    <t>Brain; Epigenetics; microRNA; Post-traumatic stress disorder; Review</t>
  </si>
  <si>
    <t>ALZHEIMERS-DISEASE; EPIGENETIC REGULATION; DNA METHYLATION; FEAR-EXTINCTION; MESSENGER-RNAS; BLOOD EXOSOMES; PTSD; AMYGDALA; FKBP5; POLYMORPHISMS</t>
  </si>
  <si>
    <t>Post-traumatic stress disorder (PTSD) is a psychiatric disorder that can develop following exposure to or witnessing of a (potentially) threatening event. A critical issue is to pinpoint the (neuro) biological mechanisms underlying the susceptibility to stress-related disorder such as PTSD, which develops in the minority of similar to 15% of individuals exposed to trauma. Over the last few years, a first wave of epigenetic studies has been performed in an attempt to identify the molecular underpinnings of the long-lasting behavioral and mental effects of trauma exposure. The potential roles of non-coding RNAs (ncRNAs) such as microRNAs (miRNAs) in moderating or mediating the impact of severe stress and trauma are increasingly gaining attention. To date, most studies focusing on the roles of miRNAs in PTSD have, however, been completed in animals, using cross-sectional study designs and focusing almost exclusively on subjects with susceptible phenotypes. Therefore, there is a strong need for new research comprising translational and cross-species approaches that use longitudinal designs for studying trajectories of change contrasting susceptible and resilient subjects. The present review offers a comprehensive overview of available studies of miRNAs in PTSD and discusses the current challenges, pitfalls, and future perspectives of this field.</t>
  </si>
  <si>
    <t>[Snijders, Clara; de Nijs, Laurence; van den Hove, Daniel; Kenis, Gunter; Rutten, Bart P. F.] Maastricht Univ, European Grad Sch Neurosci, Sch Mental Hlth &amp; Neurosci MHeNS,EURON, Dept Psychiat &amp; Neuropsychol,Fac Hlth Med &amp; Life, NL-6200 MD Maastricht, Netherlands; [Baker, Dewleen G.; Hauger, Richard L.; Nievergelt, Caroline M.] Univ Calif San Diego, Dept Psychiat, La Jolla, CA 92037 USA; [Baker, Dewleen G.; Hauger, Richard L.; Nievergelt, Caroline M.] VA Ctr Excellence Stress &amp; Mental Hlth, La Jolla, CA 92037 USA; [Baker, Dewleen G.; Hauger, Richard L.] VA San Diego Healthcare Syst, La Jolla, CA 92037 USA; [van den Hove, Daniel] Univ Wurzburg, Dept Psychiat Psychosomat &amp; Psychotherapy, Lab Translat Neurosci, D-97080 Wurzburg, Germany; [Boks, Marco P.] Univ Med Ctr Utrecht, Brain Ctr Rudolf Magnus, NL-3584 CG Utrecht, Netherlands; [Vermetten, Eric] Minist Def, Mil Mental Hlth Res Ctr, POB 90000, NL-3509 AA Utrecht, Netherlands; [Vermetten, Eric] Leiden Univ, Med Ctr, Dept Psychiat, NL-2333 ZA Leiden, Netherlands; [Vermetten, Eric] Arq Psychotrauma Res Grp, NL-1112 XE Diemen, Netherlands; [Gage, Fred H.] Salk Inst Biol Studies, Genet Lab, La Jolla, CA 92037 USA</t>
  </si>
  <si>
    <t>Maastricht University; University of California System; University of California San Diego; US Department of Veterans Affairs; Veterans Health Administration (VHA); VA San Diego Healthcare System; University of Wurzburg; Utrecht University; Utrecht University Medical Center; Leiden University; Leiden University Medical Center (LUMC); Leiden University - Excl LUMC; Arq Psychotrauma Expert Group; Salk Institute</t>
  </si>
  <si>
    <t>Rutten, BPF (corresponding author), Maastricht Univ, European Grad Sch Neurosci, Sch Mental Hlth &amp; Neurosci MHeNS,EURON, Dept Psychiat &amp; Neuropsychol,Fac Hlth Med &amp; Life, NL-6200 MD Maastricht, Netherlands.</t>
  </si>
  <si>
    <t>b.rutten@maastrichtuniversity.nl</t>
  </si>
  <si>
    <t>Vermetten, Eric/B-1335-2008; Snijders, Clara/AAY-3191-2020; Youssef, Nagy A/F-5869-2019; Baker, Dewleen/O-4957-2019</t>
  </si>
  <si>
    <t>Vermetten, Eric/0000-0003-0579-4404; Youssef, Nagy A/0000-0002-1922-9396; Baker, Dewleen/0000-0002-1736-9838; van den Hove, Daniel/0000-0003-4047-3198; Rutten, Bart/0000-0002-9834-6346</t>
  </si>
  <si>
    <t>1866-3370</t>
  </si>
  <si>
    <t>978-3-319-94824-9; 978-3-319-94823-2</t>
  </si>
  <si>
    <t>10.1007/7854_2017_32</t>
  </si>
  <si>
    <t>10.1007/978-3-319-94824-9</t>
  </si>
  <si>
    <t>Psychology, Biological; Behavioral Sciences; Neurosciences; Psychiatry</t>
  </si>
  <si>
    <t>Book Citation Index – Social Sciences &amp; Humanities (BKCI-SSH); Book Citation Index – Science (BKCI-S)</t>
  </si>
  <si>
    <t>Psychology; Behavioral Sciences; Neurosciences &amp; Neurology; Psychiatry</t>
  </si>
  <si>
    <t>WOS:000486443500003</t>
  </si>
  <si>
    <t>Pissarra, J; Pagniez, J; Petitdidier, E; Seveno, M; Vigy, O; Bras-Goncalves, R; Lemesre, JL; Holzmuller, P</t>
  </si>
  <si>
    <t>Pissarra, Joana; Pagniez, Juli; Petitdidier, Elodie; Seveno, Martial; Vigy, Oana; Bras-Goncalves, Rachel; Lemesre, Jean-Loup; Holzmuller, Philippe</t>
  </si>
  <si>
    <t>Proteomic Analysis of the Promastigote Secretome of Seven Leishmania Species</t>
  </si>
  <si>
    <t>leishmaniasis; Leishmania; promastigote; secretome; mass spectrometry</t>
  </si>
  <si>
    <t>DEVELOPMENTALLY-REGULATED PROTEINS; VIRULENCE FACTORS; MOONLIGHTING PROTEINS; FUNCTIONAL-ANALYSIS; DNA FRAGMENTATION; PARASITE; IDENTIFICATION; EXPRESSION; EXOSOMES; INFANTUM</t>
  </si>
  <si>
    <t>Leishmaniasis is one of the most impactful parasitic diseases worldwide, endangering the lives of 1 billion people every year. There are 20 different species of Leishmania able to infect humans, causing cutaneous (CL), visceral (VL), and/or mucocutaneous leishmaniasis (MCL). Leishmania parasites are known to secrete a plethora of proteins to establish infection and modulate the host's immune system. In this study, we analyzed using tandem mass spectrometry the total protein content of the secretomes produced by promastigote forms from seven Leishmania species grown in serum-free in vitro cultures. The core secretome shared by all seven Leishmania species corresponds to up to one-third of total secreted proteins, suggesting conserved mechanisms of adaptation to the vertebrate host. The relative abundance confirms the importance of known virulence factors and some proteins uniquely present in CL-or VL-causing species and may provide further insight regarding their pathogenesis. Bioinformatic analysis showed that most proteins were secreted via unconventional mechanisms, with an important role for vesicle based secretion for all species. Gene Ontology annotation and enrichment analyses showed a high level of functional conservation among species. This study contributes to the current knowledge on the biological significance of differently secreted proteins and provides new information on the correlation of Leishmania secretome to clinical outcomes and species-specific pathogenesis.</t>
  </si>
  <si>
    <t>[Pissarra, Joana; Pagniez, Juli; Petitdidier, Elodie; Bras-Goncalves, Rachel; Lemesre, Jean-Loup] Inst Rech Dev IRD, UMR INTERTRYP 177, F-34394 Montpellier, France; [Seveno, Martial] Univ Montpellier, CNRS, BCM, INSERM, F-34090 Montpellier, France; [Vigy, Oana] Univ Montpellier, CNRS, IGF, INSERM, F-34090 Montpellier, France; [Holzmuller, Philippe] Univ Montpellier I MUSE, UMR ASTRE, CIRAD, INRAE, F-34090 Montpellier, France</t>
  </si>
  <si>
    <t>Institut de Recherche pour le Developpement (IRD); Centre National de la Recherche Scientifique (CNRS); Institut National de la Sante et de la Recherche Medicale (Inserm); Universite de Montpellier; Centre National de la Recherche Scientifique (CNRS); Institut National de la Sante et de la Recherche Medicale (Inserm); Universite de Montpellier; CIRAD; INRAE; Universite de Montpellier</t>
  </si>
  <si>
    <t>Pissarra, J (corresponding author), Inst Rech Dev IRD, UMR INTERTRYP 177, F-34394 Montpellier, France.</t>
  </si>
  <si>
    <t>joana.s.pissarra@gmail.com</t>
  </si>
  <si>
    <t>; Bras-Goncalves, Rachel/I-8520-2016</t>
  </si>
  <si>
    <t>SEVENO, Martial/0000-0002-5000-8735; Pissarra, Joana/0000-0002-0506-8042; Bras-Goncalves, Rachel/0000-0002-3089-4530</t>
  </si>
  <si>
    <t>10.1021/acs.jproteome.1c00244</t>
  </si>
  <si>
    <t>WOS:000744097700005</t>
  </si>
  <si>
    <t>Morokoff, A; Jones, J; Nguyen, H; Ma, CK; Lasocki, A; Gaillard, F; Bennett, I; Luwor, R; Stylli, S; Paradiso, L; Koldej, R; Paldor, I; Molania, R; Speed, TP; Webb, A; Infusini, G; Li, JS; Malpas, C; Kalincik, T; Drummond, K; Siegal, T; Kaye, AH</t>
  </si>
  <si>
    <t>Morokoff, Andrew; Jones, Jordan; Nguyen, Hong; Ma, Chenkai; Lasocki, Arian; Gaillard, Frank; Bennett, Iwan; Luwor, Rod; Stylli, Stanley; Paradiso, Lucia; Koldej, Rachel; Paldor, Iddo; Molania, Ramyar; Speed, Terence P.; Webb, Andrew; Infusini, Guiseppe; Li, Jason; Malpas, Charles; Kalincik, Tomas; Drummond, Katharine; Siegal, Tali; Kaye, Andrew H.</t>
  </si>
  <si>
    <t>Serum microRNA is a biomarker for post-operative monitoring in glioma</t>
  </si>
  <si>
    <t>JOURNAL OF NEURO-ONCOLOGY</t>
  </si>
  <si>
    <t>Glioma; Glioblastoma; Biomarkers; miRNA; Liquid biopsy</t>
  </si>
  <si>
    <t>POTENTIAL NONINVASIVE BIOMARKERS; CIRCULATING TUMOR DNA; CEREBROSPINAL-FLUID; PERIPHERAL-BLOOD; GLIOBLASTOMA; EXPRESSION; SIGNATURE; DIAGNOSIS; IDENTIFICATION; EXOSOMES</t>
  </si>
  <si>
    <t>Purpose A circulating biomarker has potential to provide more accurate information for glioma progression post treatment, however no such biomarker is currently available. We aimed to discover a microRNA serum biomarker for longitudinal monitoring of glioma patients. Methods A prospectively collected cohort of 91 glioma patients and 17 healthy controls underwent pre and post-operative serum miRNA profiling using Nanostring (R). Differentially expressed miRNAs were discovered using a machine learning random forest analysis. Candidate miRNAs were then assessed by droplet digital PCR in 11 patients with multiple follow up samples and compared to tumor volume based on magnetic resonance imaging. Results A 9-gene miRNA signature was identified that could distinguish between glioma and healthy controls with 99.8% accuracy. Two miRNAs miR-223 and miR-320e, best demonstrated dynamic changes that correlated closely with tumor volume in LGG and GBM respectively. Importantly, miRNA levels did not increase in two cases of pseudo-progression, indicating the potential utility of this test in guiding treatment decisions. Conclusions We identified a highly accurate 9-miRNA signature associated with glioma serum. Additionally, we observed dynamic changes in specific miRNAs correlating with tumor volume over long-term follow up. These results support a large prospective validation study of serum miRNA biomarkers in glioma.</t>
  </si>
  <si>
    <t>[Morokoff, Andrew; Jones, Jordan; Nguyen, Hong; Ma, Chenkai; Bennett, Iwan; Luwor, Rod; Paradiso, Lucia; Drummond, Katharine; Kaye, Andrew H.] Univ Melbourne, Dept Surg, Parkville, Vic, Australia; [Morokoff, Andrew; Jones, Jordan; Stylli, Stanley; Paldor, Iddo; Drummond, Katharine] Royal Melbourne Hosp, Dept Neurosurg, Parkville, Vic, Australia; [Lasocki, Arian; Gaillard, Frank] Univ Melbourne, Dept Radiol, Parkville, Vic, Australia; [Koldej, Rachel] Univ Melbourne, Dept Med, Parkville, Vic, Australia; [Molania, Ramyar; Speed, Terence P.; Webb, Andrew; Infusini, Guiseppe] Walter &amp; Eliza Hall Inst Med Res, Parkville, Vic, Australia; [Li, Jason] Peter MacCallum Canc Ctr, Parkville, Vic, Australia; [Siegal, Tali] Rabin Med Ctr, Neurooncol, Davidoff Inst Oncol, Petah Tiqwa, Israel; [Malpas, Charles; Kalincik, Tomas] Royal Melbourne Hosp, Clin Outcomes Res Unit, Parkville, Vic, Australia; [Kaye, Andrew H.] Hadassah Hebrew Univ, Dept Neurosurg, Jerusalem, Israel; [Morokoff, Andrew] Univ Melbourne, Dept Surg, Royal Melbourne Hosp, Parkville, Vic 3050, Australia</t>
  </si>
  <si>
    <t>University of Melbourne; Royal Melbourne Hospital; University of Melbourne; University of Melbourne; Walter &amp; Eliza Hall Institute; Peter Maccallum Cancer Center; Rabin Medical Center; Royal Melbourne Hospital; Hebrew University of Jerusalem; Hadassah University Medical Center; Royal Melbourne Hospital; University of Melbourne</t>
  </si>
  <si>
    <t>Morokoff, A (corresponding author), Univ Melbourne, Dept Surg, Parkville, Vic, Australia.;Morokoff, A (corresponding author), Royal Melbourne Hosp, Dept Neurosurg, Parkville, Vic, Australia.;Morokoff, A (corresponding author), Univ Melbourne, Dept Surg, Royal Melbourne Hosp, Parkville, Vic 3050, Australia.</t>
  </si>
  <si>
    <t>morokoff@unimelb.edu.au</t>
  </si>
  <si>
    <t>Morokoff, Andrew/ABC-2783-2020; Ma, Chenkai/AAK-4261-2020</t>
  </si>
  <si>
    <t>Morokoff, Andrew/0000-0002-5159-3438; Ma, Chenkai/0000-0003-2172-7332; Koldej, Rachel/0000-0002-1627-8934; Malpas, Charles/0000-0003-0534-3718</t>
  </si>
  <si>
    <t>0167-594X</t>
  </si>
  <si>
    <t>1573-7373</t>
  </si>
  <si>
    <t>10.1007/s11060-020-03566-w</t>
  </si>
  <si>
    <t>WOS:000568795600001</t>
  </si>
  <si>
    <t>Beignon, AS; Mollier, K; Liard, C; Coutant, F; Munier, S; Riviere, J; Souque, P; Charneau, P</t>
  </si>
  <si>
    <t>Beignon, Anne-Sophie; Mollier, Karine; Liard, Christelle; Coutant, Frederic; Munier, Sandie; Riviere, Julie; Souque, Philippe; Charneau, Pierre</t>
  </si>
  <si>
    <t>Lentiviral Vector-Based Prime/Boost Vaccination against AIDS: Pilot Study Shows Protection against Simian Immunodeficiency Virus SIVmac251 Challenge in Macaques</t>
  </si>
  <si>
    <t>T-CELL RESPONSES; IMMUNE-RESPONSES; MAURITIAN CYNOMOLGUS; DENDRITIC CELLS; CANCER-IMMUNOTHERAPY; HIV-1 VACCINE; INFECTION; DNA; LIVE; IMMUNIZATION</t>
  </si>
  <si>
    <t>AIDS vaccination has a pressing need for more potent vaccination vectors capable of eliciting strong, diversified, and long-lasting cellular immune responses against human immunodeficiency virus (HIV). Lentiviral vectors have demonstrated efficiency not only as gene delivery vehicles for gene therapy applications but also as vaccination tools. This is likely due to their ability to transduce nondividing cells, including dendritic cells, enabling sustained endogenous antigen presentation and thus the induction of high proportions of specific cytotoxic T cells and long-lasting memory T cells. We show in a first proof-of-concept pilot study that a prime/boost vaccination strategy using lentiviral vectors pseudotyped with a glycoprotein G from two non-cross-reactive vesicular stomatitis virus serotypes elicited robust and broad cellular immune responses against the vector-encoded antigen, simian immunodeficiency virus (SIV) GAG, in cynomolgus macaques. Vaccination conferred strong protection against a massive intrarectal challenge with SIVmac251, as evidenced both by the reduction of viremia at the peak of acute infection (a mean of over 2 log 10 fold reduction) and by the full preservation of the CD28(+) CD95(+) memory CD4(+) T cells during the acute phase, a strong correlate of protection against pathogenesis. Although vaccinees continued to display lower viremia than control macaques during the early chronic phase, these differences were not statistically significant by day 50 postchallenge. A not-optimized SIV GAG antigen was chosen to show the strong potential of the lentiviral vector system for vaccination. Given that a stronger protection can be anticipated from a modern HIV-1 antigen design, gene transfer vectors derived from HIV-1 appear as promising candidates for vaccination against HIV-1 infection.</t>
  </si>
  <si>
    <t>[Beignon, Anne-Sophie; Liard, Christelle; Coutant, Frederic; Munier, Sandie; Souque, Philippe; Charneau, Pierre] Inst Pasteur, CNRS, URA 3015, F-75724 Paris, France; [Riviere, Julie] Univ Paris 05, Hop Necker Enfants Malad, INSERM, U768, Paris, France; [Mollier, Karine] Inst Pasteur BioTop, Paris, France</t>
  </si>
  <si>
    <t>Centre National de la Recherche Scientifique (CNRS); Le Reseau International des Instituts Pasteur (RIIP); Institut Pasteur Paris; Assistance Publique Hopitaux Paris (APHP); Hopital Universitaire Necker-Enfants Malades - APHP; Institut National de la Sante et de la Recherche Medicale (Inserm); UDICE-French Research Universities; Universite de Paris; Le Reseau International des Instituts Pasteur (RIIP); Institut Pasteur Paris; Universite de Lille - ISITE; Institut Pasteur Lille</t>
  </si>
  <si>
    <t>Charneau, P (corresponding author), Inst Pasteur, CNRS, URA 3015, 28 Rue Docteur Roux, F-75724 Paris, France.</t>
  </si>
  <si>
    <t>pierre.charneau@pasteur.fr</t>
  </si>
  <si>
    <t>Coutant, Frederic/P-8401-2015; CHARNEAU, Pierre/M-1565-2017; Coutant, Frederic/J-6336-2019; Munier, Sandie/F-6826-2016</t>
  </si>
  <si>
    <t>CHARNEAU, Pierre/0000-0003-1184-5773; Coutant, Frederic/0000-0003-2485-5284; Munier, Sandie/0000-0001-7819-128X; BEIGNON, Anne-Sophie/0000-0003-0863-983X</t>
  </si>
  <si>
    <t>10.1128/JVI.01284-09</t>
  </si>
  <si>
    <t>WOS:000270602300011</t>
  </si>
  <si>
    <t>Rossi, D; Spina, V; Bruscaggin, A; Gaidano, G</t>
  </si>
  <si>
    <t>Rossi, Davide; Spina, Valeria; Bruscaggin, Alessio; Gaidano, Gianluca</t>
  </si>
  <si>
    <t>Liquid biopsy in lymphoma</t>
  </si>
  <si>
    <t>B-CELL LYMPHOMA; CIRCULATING TUMOR DNA; RESIDUAL DISEASE DETECTION; PROGNOSTIC VALUE; HODGKIN; MYD88; MUTATIONS; CANCER; EVOLUTION; EXOSOMES</t>
  </si>
  <si>
    <t>[Rossi, Davide; Spina, Valeria; Bruscaggin, Alessio] Inst Oncol Res, Expt Hematol, Bellinzona, Switzerland; [Rossi, Davide] Oncol Inst Southern Switzerland, Hematol, Bellinzona, Switzerland; [Gaidano, Gianluca] Univ Piemonte Orientale, Dept Translat Med, Div Hematol, Novara, Italy</t>
  </si>
  <si>
    <t>Rossi, D (corresponding author), Inst Oncol Res, Expt Hematol, Bellinzona, Switzerland.;Rossi, D (corresponding author), Oncol Inst Southern Switzerland, Hematol, Bellinzona, Switzerland.</t>
  </si>
  <si>
    <t>davide.rossi@eoc.ch</t>
  </si>
  <si>
    <t>10.3324/haematol.2018.206177</t>
  </si>
  <si>
    <t>WOS:000462841300020</t>
  </si>
  <si>
    <t>Takahashi, H; Baba, Y; Yasui, T</t>
  </si>
  <si>
    <t>Takahashi, Hiromi; Baba, Yoshinobu; Yasui, Takao</t>
  </si>
  <si>
    <t>Oxide nanowire microfluidics addressing previously-unattainable analytical methods for biomolecules towards liquid biopsy</t>
  </si>
  <si>
    <t>LABEL-FREE DETECTION; CANCER-DERIVED EXOSOMES; CIRCULATING TUMOR-CELLS; EFFICIENT CAPTURE; DNA METHYLATION; REAL-TIME; SEPARATION; ARRAY; NANOWALL; NANOPILLAR</t>
  </si>
  <si>
    <t>Nanowire microfluidics using a combination of self-assembly and nanofabrication technologies is expected to be applied to various fields due to its unique properties. We have been working on the fabrication of nanowire microfluidic devices and the development of analytical methods for biomolecules using the unique phenomena generated by the devices. The results of our research are not just limited to the development of nanospace control with targeted dimensions in targeted arrangements with targeted materials/surfaces in targeted spatial locations/structures in microfluidic channels, but also cover a wide range of analytical methods for biomolecules (extraction, separation/isolation, and detection) that are impossible to achieve with conventional technologies. Specifically, we are working on the extraction technology the cancer-related microRNA extraction method in urine, the separation technology the ultrafast and non-equilibrium separation method for biomolecules, and the detection technology the highly sensitive electrical measurement method. These research studies are not just limited to the development of biomolecule analysis technology using nanotechnology, but are also opening up a new academic field in analytical chemistry that may lead to the discovery of new pretreatment, separation, and detection principles.</t>
  </si>
  <si>
    <t>[Takahashi, Hiromi; Baba, Yoshinobu; Yasui, Takao] Nagoya Univ, Grad Sch Engn, Dept Biomol Engn, Chikusa Ku, Furo Cho, Nagoya, Aichi 4648603, Japan; [Baba, Yoshinobu; Yasui, Takao] Nagoya Univ, Inst Innovat Future Soc, Inst Nano Life Syst, Chikusa Ku, Furo Cho, Nagoya, Aichi 4648603, Japan; [Baba, Yoshinobu] Natl Inst Quantum Sci &amp; Technol, Inst Quantum Life Sci, Inage Ku, Anagawa 4-9-1, Chiba 2638555, Japan; [Yasui, Takao] PRESTO, Japan Sci &amp; Technol Agcy JST, 4-1-8 Honcho, Kawaguchi, Saitama 3320012, Japan</t>
  </si>
  <si>
    <t>Nagoya University; Nagoya University; National Institutes for Quantum Science &amp; Technology; Japan Science &amp; Technology Agency (JST)</t>
  </si>
  <si>
    <t>Yasui, T (corresponding author), Nagoya Univ, Grad Sch Engn, Dept Biomol Engn, Chikusa Ku, Furo Cho, Nagoya, Aichi 4648603, Japan.;Yasui, T (corresponding author), Nagoya Univ, Inst Innovat Future Soc, Inst Nano Life Syst, Chikusa Ku, Furo Cho, Nagoya, Aichi 4648603, Japan.;Yasui, T (corresponding author), PRESTO, Japan Sci &amp; Technol Agcy JST, 4-1-8 Honcho, Kawaguchi, Saitama 3320012, Japan.</t>
  </si>
  <si>
    <t>yasui@chembio.nagoya-u.ac.jp</t>
  </si>
  <si>
    <t>Yasui, Takao/AHA-8445-2022</t>
  </si>
  <si>
    <t>DEC 9</t>
  </si>
  <si>
    <t>10.1039/d1cc05096f</t>
  </si>
  <si>
    <t>WOS:000722707600001</t>
  </si>
  <si>
    <t>Jiang, XL; He, S; Lie, Q; Qian, CY; Liu, ZQ; Luo, DY</t>
  </si>
  <si>
    <t>Jiang, Xiaoli; He, Song; Lie, Qiang; Qian, Caiyun; Liu, Zhuoqi; Luo, Daya</t>
  </si>
  <si>
    <t>Exosomal microRNA remodels the tumor microenvironment</t>
  </si>
  <si>
    <t>Endogenous; Exogenous; Exosome; microRNA; Tumor microenvironment</t>
  </si>
  <si>
    <t>MULTIPLE-MYELOMA CELLS; BOVINE-MILK EXOSOMES; BREAST-CANCER CELLS; OVARIAN-CANCER; DENDRITIC CELLS; DNA VIRUSES; STEM-CELLS; CARCINOMA; ANGIOGENESIS; PROGRESSION</t>
  </si>
  <si>
    <t>Tumor occurrence, progression and metastasis depend on the crosstalk between tumor cells and stromal cells and on extrinsic factors outside the tumor microenvironment. Exosomal microRNA (miRNA) not only is involved in communications within the tumor microenvironment but also mediates communications between the extrinsic environment and tumor microenvironment. However, most reviews have been limited to the role of endogenous exosomal miRNA in remodeling the tumor microenvironment. Hence, we herein review the role of endogenous exosomal miRNA in mediating intercellular crosstalk within the tumor microenvironment, inducing the formation of the premetastatic niche. To place our vision outside the microenvironment, we also summarize for the first time the most recent studies regarding how exogenous miRNA derived from milk, plants and microbes influences the tumor microenvironment. Furthermore, to improve the value of exosomal miRNA in cancer research and clinical applications, we also provide some novel ideas for future research based on the comprehensive role of exosomal miRNA in remodeling the tumor microenvironment.</t>
  </si>
  <si>
    <t>[Jiang, Xiaoli; Qian, Caiyun; Liu, Zhuoqi; Luo, Daya] Nanchang Univ, Sch Basic Med Sci, Dept Biochem &amp; Mol Biol, Nanchang, Jiangxi, Peoples R China; [He, Song] Nanchang Univ, Queen Mary Sch, Sch Med, Nanchang, Jiangxi, Peoples R China; [Lie, Qiang] Nanchang Univ, Sch Med, Clin Med Coll 1, Nanchang, Jiangxi, Peoples R China; [Luo, Daya] Nanchang Univ, Jiangxi Prov Key Lab Tumor Pathogens &amp; Mol Pathol, Nanchang, Jiangxi, Peoples R China</t>
  </si>
  <si>
    <t>Nanchang University; Nanchang University; Nanchang University; Nanchang University</t>
  </si>
  <si>
    <t>Liu, ZQ; Luo, DY (corresponding author), Nanchang Univ, Sch Basic Med Sci, Dept Biochem &amp; Mol Biol, Nanchang, Jiangxi, Peoples R China.;Luo, DY (corresponding author), Nanchang Univ, Jiangxi Prov Key Lab Tumor Pathogens &amp; Mol Pathol, Nanchang, Jiangxi, Peoples R China.</t>
  </si>
  <si>
    <t>liuzhuoqi@ncu.cdu.cn; luodaya@ncu.edu.cn</t>
  </si>
  <si>
    <t>Liu, Qiang/AAG-7415-2019; Hu, Song/AFT-2230-2022</t>
  </si>
  <si>
    <t>Liu, Qiang/0000-0003-4690-8447</t>
  </si>
  <si>
    <t>DEC 22</t>
  </si>
  <si>
    <t>e4196</t>
  </si>
  <si>
    <t>10.7717/peerj.4196</t>
  </si>
  <si>
    <t>WOS:000419184400008</t>
  </si>
  <si>
    <t>Wang, L; Xie, YF; Ahmed, KA; Ahmed, S; Sami, A; Chibbar, R; Xu, QY; Kane, SE; Hao, SG; Mulligan, SJ; Xiang, J</t>
  </si>
  <si>
    <t>Wang, Lu; Xie, Yufeng; Ahmed, Khawaja Ashfaque; Ahmed, Shahid; Sami, Amer; Chibbar, Rajni; Xu, Qingyong; Kane, Susan E.; Hao, Siguo; Mulligan, Sean J.; Xiang, Jim</t>
  </si>
  <si>
    <t>Exosomal pMHC-I complex targets T cell-based vaccine to directly stimulate CTL responses leading to antitumor immunity in transgenic FVBneuN and HLA-A2/HER2 mice and eradicating trastuzumab-resistant tumor in athymic nude mice</t>
  </si>
  <si>
    <t>BREAST CANCER RESEARCH AND TREATMENT</t>
  </si>
  <si>
    <t>HER2; T cell-based vaccine; Trastuzumab resistance; Transgenic HLA-A2/HER2 mice</t>
  </si>
  <si>
    <t>BREAST-CANCER; CARCINOEMBRYONIC-ANTIGEN; DENDRITIC CELLS; HER-2/NEU PROTOONCOGENE; RELEASED EXOSOMES; DNA VACCINATION; B16 MELANOMA; CD8(+) T; THERAPY; IMMUNOTHERAPY</t>
  </si>
  <si>
    <t>One of the major obstacles in human epidermal growth factor receptor 2 (HER2)-specific trastuzumab antibody immunotherapy of HER2-positive breast cancer is the development of trastuzumab resistance, warranting the search for other therapeutic strategies. Using mouse models, we previously demonstrated that ovalbumin (OVA)-specific dendritic cell (DC)-released exosome (EXOOVA)-targeted CD4(+) T cell-based (OVA-T-EXO) vaccine stimulates efficient cytotoxic T lymphocyte (CTL) responses via exosomal peptide/major histocompatibility complex (pMHC)-I, exosomal CD80 and endogenous IL-2 signaling; and long-term CTL memory by means of via endogenous CD40L signaling. In this study, using two-photon microscopy, we provide the first visual evidence on targeting OVA-T-EXO to cognate CD8(+) T cells in vivo via exosomal pMHC-I complex. We prepared HER2/neu-specific Neu-T-EXO and HER2-T-EXO vaccines using adenoviral vector (AdVneu and AdV(HER2))-transfected DC (DCneu and DCHER2)-released EXOs (EXOneu and EXOHER2), and assessed their stimulatory effects on HER2/neu-specific CTL responses and antitumor immunity. We demonstrate that Neu-T-EXO vaccine is capable of stimulating efficient neu-specific CTL responses, leading to protective immunity against neu-expressing Tg1-1 breast cancer in all 6/6 transgenic (Tg) FVBneuN mice with neu-specific self-immune tolerance. We also demonstrate that HER2-T-EXO vaccine is capable of inducing HER2-specific CTL responses and protective immunity against transgene HLA-A2(+)HER2(+) BL6-10(A2/HER2) B16 melanoma in 2/8 double Tg HLA-A2/HER2 mice with HER2-specific self-immune tolerance. The remaining 6/8 mice had significantly prolonged survival. Furthermore, we demonstrate that HER2-T-EXO vaccine stimulates responses of CD8(+) T cells capable of not only inducing killing activity to HLA-A2(+)HER2(+) BL6-10A2/HER2 melanoma and trastuzumab-resistant BT474(A2) breast cancer cells in vitro but also eradicating 6-day palpable HER2(+) BT474(A2) breast cancer (3-4 mm in diameter) in athymic nude mice. Therefore, the novel T cell-based HER2-T-EXO vaccine may provide a new therapeutic alternative for women with HER2(+) breast cancer, especially for trastuzumab-resistant HER2(+) breast cancer patients.</t>
  </si>
  <si>
    <t>[Wang, Lu; Xie, Yufeng; Ahmed, Khawaja Ashfaque; Xiang, Jim] Saskatchewan Canc Agcy, Canc Res Unit, Saskatoon, SK, Canada; [Ahmed, Shahid; Sami, Amer] Univ Saskatchewan, Dept Oncol, Saskatoon, SK S7N 3R2, Canada; [Chibbar, Rajni; Xu, Qingyong] Univ Saskatchewan, Dept Pathol, Saskatoon, SK S7N 3R2, Canada; [Kane, Susan E.] City Hope Natl Med Ctr, Beckman Res Inst, Duarte, CA USA; [Hao, Siguo] Jiao Tong Univ, Xinhua Hosp, Shanghai 200030, Peoples R China; [Mulligan, Sean J.] Univ Saskatchewan, Coll Med, Dept Physiol, Saskatoon, SK S7N 3R2, Canada; [Xiang, Jim] Saskatoon Canc Ctr, Saskatoon, SK S7N 4H4, Canada</t>
  </si>
  <si>
    <t>University of Saskatchewan; University of Saskatchewan; University of Saskatchewan; City of Hope; Beckman Research Institute of City of Hope; Shanghai Jiao Tong University; University of Saskatchewan; University of Saskatchewan; University Saskatchewan Affiliates</t>
  </si>
  <si>
    <t>Mulligan, SJ (corresponding author), Univ Saskatchewan, Coll Med, Dept Physiol, Saskatoon, SK S7N 3R2, Canada.</t>
  </si>
  <si>
    <t>sean.mulligan@usask.ca; jim.xiang@saskcancer.ca</t>
  </si>
  <si>
    <t>Ahmed, Shahid/GPK-2366-2022; xu, qingyong/AAS-8545-2020</t>
  </si>
  <si>
    <t>xu, qingyong/0000-0003-0579-1924; Ahmed, Khawaja Ashfaque/0000-0001-6376-6036</t>
  </si>
  <si>
    <t>0167-6806</t>
  </si>
  <si>
    <t>10.1007/s10549-013-2626-7</t>
  </si>
  <si>
    <t>WOS:000323245200007</t>
  </si>
  <si>
    <t>Rodriguez, LS; Barreto, A; Franco, MA; Angel, J</t>
  </si>
  <si>
    <t>Rodriguez, Luz-Stella; Barreto, Alfonso; Franco, Manuel A.; Angel, Juana</t>
  </si>
  <si>
    <t>Immunomodulators Released During Rotavirus Infection of Polarized Caco-2 Cells</t>
  </si>
  <si>
    <t>VIRAL IMMUNOLOGY</t>
  </si>
  <si>
    <t>INTESTINAL EPITHELIAL-CELLS; HEAT-SHOCK PROTEINS; GROWTH-FACTOR-BETA; DENDRITIC CELLS; IMMUNE-RESPONSE; GENE-EXPRESSION; DNA VACCINE; T-CELLS; CYTOKINE; EXOSOMES</t>
  </si>
  <si>
    <t>Rotavirus preferentially replicates in enterocytes and danger signals'' released by these cells are likely to modulate viral immunity. As a model of these events, we studied selected immunomodulators released during rotavirus infection of polarized Caco-2 cells grown in transwell cultures (TW). At early time points post-infection the virus was detected mainly in the apical side of the TWs, but this tendency was progressively lost concomitantly with disruption of the cell monolayer and cell death. Rotavirus-infected cells released IL-8, PGE(2), small quantities of TGF-beta 1, and the constitutive and inducible heat shock proteins HSC70 and HSP70, but not IL-1 beta, IL-6, IL-10, IL-12p70, or TNF-alpha. This set of immunomodulators is known to induce a non-inflammatory (non-Th-1) immune response, and may be determining, in part, the relatively low T-cell immune response observed in blood samples after RV infection.</t>
  </si>
  <si>
    <t>[Rodriguez, Luz-Stella; Barreto, Alfonso; Franco, Manuel A.; Angel, Juana] Pontificia Univ Javeriana, Inst Human Genet, Fac Med, Bogota, Colombia; [Barreto, Alfonso] Pontificia Univ Javeriana, Dept Microbiol, Fac Ciencias, Bogota, Colombia</t>
  </si>
  <si>
    <t>Pontificia Universidad Javeriana; Pontificia Universidad Javeriana</t>
  </si>
  <si>
    <t>Angel, J (corresponding author), Pontificia Univ Javeriana, Inst Human Genet, Fac Med, Carrera 7 40-62, Bogota, Colombia.</t>
  </si>
  <si>
    <t>jangel@javeriana.edu.co</t>
  </si>
  <si>
    <t>Barreto, Alfonso/AAF-2963-2019; CORTES, Manuel Antonio FRANCO/M-7517-2014; Angel, Juana/O-2908-2014</t>
  </si>
  <si>
    <t>CORTES, Manuel Antonio FRANCO/0000-0002-0265-0563; Angel, Juana/0000-0001-6623-5337; Jaramillo Garcia, Luis Fernando/0000-0003-2909-9318; Rodriguez C., Luz-Stella/0000-0003-4990-5807; Barreto, Alfonso/0000-0001-8491-2952</t>
  </si>
  <si>
    <t>0882-8245</t>
  </si>
  <si>
    <t>1557-8976</t>
  </si>
  <si>
    <t>10.1089/vim.2008.0110</t>
  </si>
  <si>
    <t>Immunology; Virology</t>
  </si>
  <si>
    <t>WOS:000265984500003</t>
  </si>
  <si>
    <t>PMID</t>
  </si>
  <si>
    <t>Title</t>
  </si>
  <si>
    <t>Citation</t>
  </si>
  <si>
    <t>First Author</t>
  </si>
  <si>
    <t>Journal/Book</t>
  </si>
  <si>
    <t>Create Date</t>
  </si>
  <si>
    <t>PMCID</t>
  </si>
  <si>
    <t>NIHMS ID</t>
  </si>
  <si>
    <t>Jeppesen DK, Fenix AM, Franklin JL, Higginbotham JN, Zhang Q, Zimmerman LJ, Liebler DC, Ping J, Liu Q, Evans R, Fissell WH, Patton JG, Rome LH, Burnette DT, Coffey RJ.</t>
  </si>
  <si>
    <t>Cell. 2019 Apr 4;177(2):428-445.e18. doi: 10.1016/j.cell.2019.02.029.</t>
  </si>
  <si>
    <t>Jeppesen DK</t>
  </si>
  <si>
    <t>Cell</t>
  </si>
  <si>
    <t>PMC6664447</t>
  </si>
  <si>
    <t>NIHMS1525273</t>
  </si>
  <si>
    <t>Zhao M, Liu S, Wang C, Wang Y, Wan M, Liu F, Gong M, Yuan Y, Chen Y, Cheng J, Lu Y, Liu J.</t>
  </si>
  <si>
    <t>ACS Nano. 2021 Jan 26;15(1):1519-1538. doi: 10.1021/acsnano.0c08947. Epub 2020 Dec 28.</t>
  </si>
  <si>
    <t>Zhao M</t>
  </si>
  <si>
    <t>ACS Nano</t>
  </si>
  <si>
    <t>The biology and function of exosomes in cancer</t>
  </si>
  <si>
    <t>Kalluri R.</t>
  </si>
  <si>
    <t>J Clin Invest. 2016 Apr 1;126(4):1208-15. doi: 10.1172/JCI81135. Epub 2016 Apr 1.</t>
  </si>
  <si>
    <t>Kalluri R</t>
  </si>
  <si>
    <t>J Clin Invest</t>
  </si>
  <si>
    <t>PMC4811149</t>
  </si>
  <si>
    <t>10.1172/JCI81135</t>
  </si>
  <si>
    <t>Exosomes: key players in cancer and potential therapeutic strategy</t>
  </si>
  <si>
    <t>Dai J, Su Y, Zhong S, Cong L, Liu B, Yang J, Tao Y, He Z, Chen C, Jiang Y.</t>
  </si>
  <si>
    <t>Signal Transduct Target Ther. 2020 Aug 5;5(1):145. doi: 10.1038/s41392-020-00261-0.</t>
  </si>
  <si>
    <t>Dai J</t>
  </si>
  <si>
    <t>Signal Transduct Target Ther</t>
  </si>
  <si>
    <t>PMC7406508</t>
  </si>
  <si>
    <t>10.1038/s41392-020-00261-0</t>
  </si>
  <si>
    <t>Mitophagy and Quality Control Mechanisms in Mitochondrial Maintenance</t>
  </si>
  <si>
    <t>Pickles S, Vigié P, Youle RJ.</t>
  </si>
  <si>
    <t>Curr Biol. 2018 Feb 19;28(4):R170-R185. doi: 10.1016/j.cub.2018.01.004.</t>
  </si>
  <si>
    <t>Pickles S</t>
  </si>
  <si>
    <t>Curr Biol</t>
  </si>
  <si>
    <t>PMC7255410</t>
  </si>
  <si>
    <t>NIHMS931945</t>
  </si>
  <si>
    <t>10.1016/j.cub.2018.01.004</t>
  </si>
  <si>
    <t>Progress, opportunity, and perspective on exosome isolation - efforts for efficient exosome-based theranostics</t>
  </si>
  <si>
    <t>Yang D, Zhang W, Zhang H, Zhang F, Chen L, Ma L, Larcher LM, Chen S, Liu N, Zhao Q, Tran PHL, Chen C, Veedu RN, Wang T.</t>
  </si>
  <si>
    <t>Theranostics. 2020 Feb 19;10(8):3684-3707. doi: 10.7150/thno.41580. eCollection 2020.</t>
  </si>
  <si>
    <t>Yang D</t>
  </si>
  <si>
    <t>Theranostics</t>
  </si>
  <si>
    <t>PMC7069071</t>
  </si>
  <si>
    <t>10.7150/thno.41580</t>
  </si>
  <si>
    <t>Advances in Hypoxia-Inducible Factor Biology</t>
  </si>
  <si>
    <t>Choudhry H, Harris AL.</t>
  </si>
  <si>
    <t>Cell Metab. 2018 Feb 6;27(2):281-298. doi: 10.1016/j.cmet.2017.10.005. Epub 2017 Nov 9.</t>
  </si>
  <si>
    <t>Choudhry H</t>
  </si>
  <si>
    <t>Cell Metab</t>
  </si>
  <si>
    <t>10.1016/j.cmet.2017.10.005</t>
  </si>
  <si>
    <t>In 't Veld SGJG, Wurdinger T.</t>
  </si>
  <si>
    <t>Blood. 2019 May 30;133(22):2359-2364. doi: 10.1182/blood-2018-12-852830. Epub 2019 Mar 4.</t>
  </si>
  <si>
    <t>In 't Veld SGJG</t>
  </si>
  <si>
    <t>Blood</t>
  </si>
  <si>
    <t>Exosome-based liquid biopsies in cancer: opportunities and challenges</t>
  </si>
  <si>
    <t>Yu W, Hurley J, Roberts D, Chakrabortty SK, Enderle D, Noerholm M, Breakefield XO, Skog JK.</t>
  </si>
  <si>
    <t>Ann Oncol. 2021 Apr;32(4):466-477. doi: 10.1016/j.annonc.2021.01.074. Epub 2021 Feb 4.</t>
  </si>
  <si>
    <t>Yu W</t>
  </si>
  <si>
    <t>Ann Oncol</t>
  </si>
  <si>
    <t>PMC8268076</t>
  </si>
  <si>
    <t>NIHMS1720092</t>
  </si>
  <si>
    <t>10.1016/j.annonc.2021.01.074</t>
  </si>
  <si>
    <t>Extracellular vesicles in obesity and diabetes mellitus</t>
  </si>
  <si>
    <t>Pardo F, Villalobos-Labra R, Sobrevia B, Toledo F, Sobrevia L.</t>
  </si>
  <si>
    <t>Mol Aspects Med. 2018 Apr;60:81-91. doi: 10.1016/j.mam.2017.11.010. Epub 2017 Nov 26.</t>
  </si>
  <si>
    <t>Pardo F</t>
  </si>
  <si>
    <t>Mol Aspects Med</t>
  </si>
  <si>
    <t>10.1016/j.mam.2017.11.010</t>
  </si>
  <si>
    <t>Zhang T, Ma S, Lv J, Wang X, Afewerky HK, Li H, Lu Y.</t>
  </si>
  <si>
    <t>Ageing Res Rev. 2021 Jul;68:101321. doi: 10.1016/j.arr.2021.101321. Epub 2021 Mar 13.</t>
  </si>
  <si>
    <t>Zhang T</t>
  </si>
  <si>
    <t>Ageing Res Rev</t>
  </si>
  <si>
    <t>Release mechanisms of major DAMPs</t>
  </si>
  <si>
    <t>Murao A, Aziz M, Wang H, Brenner M, Wang P.</t>
  </si>
  <si>
    <t>Apoptosis. 2021 Apr;26(3-4):152-162. doi: 10.1007/s10495-021-01663-3. Epub 2021 Mar 13.</t>
  </si>
  <si>
    <t>Murao A</t>
  </si>
  <si>
    <t>Apoptosis</t>
  </si>
  <si>
    <t>PMC8016797</t>
  </si>
  <si>
    <t>10.1007/s10495-021-01663-3</t>
  </si>
  <si>
    <t>The significance of exosomes in the development and treatment of hepatocellular carcinoma</t>
  </si>
  <si>
    <t>Li X, Li C, Zhang L, Wu M, Cao K, Jiang F, Chen D, Li N, Li W.</t>
  </si>
  <si>
    <t>Mol Cancer. 2020 Jan 4;19(1):1. doi: 10.1186/s12943-019-1085-0.</t>
  </si>
  <si>
    <t>Li X</t>
  </si>
  <si>
    <t>Mol Cancer</t>
  </si>
  <si>
    <t>PMC6942270</t>
  </si>
  <si>
    <t>10.1186/s12943-019-1085-0</t>
  </si>
  <si>
    <t>Emerging roles of exosomal miRNAs in diabetes mellitus</t>
  </si>
  <si>
    <t>He X, Kuang G, Wu Y, Ou C.</t>
  </si>
  <si>
    <t>Clin Transl Med. 2021 Jun;11(6):e468. doi: 10.1002/ctm2.468.</t>
  </si>
  <si>
    <t>He X</t>
  </si>
  <si>
    <t>Clin Transl Med</t>
  </si>
  <si>
    <t>PMC8236118</t>
  </si>
  <si>
    <t>10.1002/ctm2.468</t>
  </si>
  <si>
    <t>Lazo S, Noren Hooten N, Green J, Eitan E, Mode NA, Liu QR, Zonderman AB, Ezike N, Mattson MP, Ghosh P, Evans MK.</t>
  </si>
  <si>
    <t>Aging Cell. 2021 Jan;20(1):e13283. doi: 10.1111/acel.13283. Epub 2020 Dec 23.</t>
  </si>
  <si>
    <t>Lazo S</t>
  </si>
  <si>
    <t>Aging Cell</t>
  </si>
  <si>
    <t>PMC7811845</t>
  </si>
  <si>
    <t>Exosomes in gastric cancer: roles, mechanisms, and applications</t>
  </si>
  <si>
    <t>Fu M, Gu J, Jiang P, Qian H, Xu W, Zhang X.</t>
  </si>
  <si>
    <t>Mol Cancer. 2019 Mar 15;18(1):41. doi: 10.1186/s12943-019-1001-7.</t>
  </si>
  <si>
    <t>Fu M</t>
  </si>
  <si>
    <t>PMC6419325</t>
  </si>
  <si>
    <t>10.1186/s12943-019-1001-7</t>
  </si>
  <si>
    <t>Review of the Isolation, Characterization, Biological Function, and Multifarious Therapeutic Approaches of Exosomes</t>
  </si>
  <si>
    <t>Gurunathan S, Kang MH, Jeyaraj M, Qasim M, Kim JH.</t>
  </si>
  <si>
    <t>Cells. 2019 Apr 3;8(4):307. doi: 10.3390/cells8040307.</t>
  </si>
  <si>
    <t>Gurunathan S</t>
  </si>
  <si>
    <t>Cells</t>
  </si>
  <si>
    <t>PMC6523673</t>
  </si>
  <si>
    <t>10.3390/cells8040307</t>
  </si>
  <si>
    <t>Mycko MP, Baranzini SE.</t>
  </si>
  <si>
    <t>Mult Scler. 2020 Apr;26(5):599-604. doi: 10.1177/1352458519879303. Epub 2020 Jan 22.</t>
  </si>
  <si>
    <t>Mycko MP</t>
  </si>
  <si>
    <t>Mult Scler</t>
  </si>
  <si>
    <t>PMC7160025</t>
  </si>
  <si>
    <t>NIHMS1539545</t>
  </si>
  <si>
    <t>Liquid biopsy for brain tumors</t>
  </si>
  <si>
    <t>Shankar GM, Balaj L, Stott SL, Nahed B, Carter BS.</t>
  </si>
  <si>
    <t>Expert Rev Mol Diagn. 2017 Oct;17(10):943-947. doi: 10.1080/14737159.2017.1374854. Epub 2017 Sep 6.</t>
  </si>
  <si>
    <t>Shankar GM</t>
  </si>
  <si>
    <t>Expert Rev Mol Diagn</t>
  </si>
  <si>
    <t>PMC5856481</t>
  </si>
  <si>
    <t>NIHMS948207</t>
  </si>
  <si>
    <t>10.1080/14737159.2017.1374854</t>
  </si>
  <si>
    <t>Zhang H, Freitas D, Kim HS, Fabijanic K, Li Z, Chen H, Mark MT, Molina H, Martin AB, Bojmar L, Fang J, Rampersaud S, Hoshino A, Matei I, Kenific CM, Nakajima M, Mutvei AP, Sansone P, Buehring W, Wang H, Jimenez JP, Cohen-Gould L, Paknejad N, Brendel M, Manova-Todorova K, Magalhães A, Ferreira JA, Osório H, Silva AM, Massey A, Cubillos-Ruiz JR, Galletti G, Giannakakou P, Cuervo AM, Blenis J, Schwartz R, Brady MS, Peinado H, Bromberg J, Matsui H, Reis CA, Lyden D.</t>
  </si>
  <si>
    <t>Nat Cell Biol. 2018 Mar;20(3):332-343. doi: 10.1038/s41556-018-0040-4. Epub 2018 Feb 19.</t>
  </si>
  <si>
    <t>Zhang H</t>
  </si>
  <si>
    <t>Nat Cell Biol</t>
  </si>
  <si>
    <t>PMC5931706</t>
  </si>
  <si>
    <t>NIHMS958357</t>
  </si>
  <si>
    <t>ISG15 in cancer: Beyond ubiquitin-like protein</t>
  </si>
  <si>
    <t>Han HG, Moon HW, Jeon YJ.</t>
  </si>
  <si>
    <t>Cancer Lett. 2018 Dec 1;438:52-62. doi: 10.1016/j.canlet.2018.09.007. Epub 2018 Sep 11.</t>
  </si>
  <si>
    <t>Han HG</t>
  </si>
  <si>
    <t>Cancer Lett</t>
  </si>
  <si>
    <t>10.1016/j.canlet.2018.09.007</t>
  </si>
  <si>
    <t>Urine biopsy technologies: Cancer and beyond</t>
  </si>
  <si>
    <t>Chen CK, Liao J, Li MS, Khoo BL.</t>
  </si>
  <si>
    <t>Theranostics. 2020 Jun 22;10(17):7872-7888. doi: 10.7150/thno.44634. eCollection 2020.</t>
  </si>
  <si>
    <t>Chen CK</t>
  </si>
  <si>
    <t>PMC7359094</t>
  </si>
  <si>
    <t>10.7150/thno.44634</t>
  </si>
  <si>
    <t>DNA in extracellular vesicles: biological and clinical aspects</t>
  </si>
  <si>
    <t>Elzanowska J, Semira C, Costa-Silva B.</t>
  </si>
  <si>
    <t>Mol Oncol. 2021 Jun;15(6):1701-1714. doi: 10.1002/1878-0261.12777. Epub 2020 Aug 19.</t>
  </si>
  <si>
    <t>Elzanowska J</t>
  </si>
  <si>
    <t>Mol Oncol</t>
  </si>
  <si>
    <t>PMC8169445</t>
  </si>
  <si>
    <t>10.1002/1878-0261.12777</t>
  </si>
  <si>
    <t>Role of Exosomes in the Regulation of T-cell Mediated Immune Responses and in Autoimmune Disease</t>
  </si>
  <si>
    <t>Anel A, Gallego-Lleyda A, de Miguel D, Naval J, Martínez-Lostao L.</t>
  </si>
  <si>
    <t>Cells. 2019 Feb 12;8(2):154. doi: 10.3390/cells8020154.</t>
  </si>
  <si>
    <t>Anel A</t>
  </si>
  <si>
    <t>PMC6406439</t>
  </si>
  <si>
    <t>10.3390/cells8020154</t>
  </si>
  <si>
    <t>Extracellular vesicles in cancer - implications for future improvements in cancer care</t>
  </si>
  <si>
    <t>Xu R, Rai A, Chen M, Suwakulsiri W, Greening DW, Simpson RJ.</t>
  </si>
  <si>
    <t>Nat Rev Clin Oncol. 2018 Oct;15(10):617-638. doi: 10.1038/s41571-018-0036-9.</t>
  </si>
  <si>
    <t>Xu R</t>
  </si>
  <si>
    <t>Nat Rev Clin Oncol</t>
  </si>
  <si>
    <t>10.1038/s41571-018-0036-9</t>
  </si>
  <si>
    <t>Extracellular Vesicle-Mediated Communication Within Host-Parasite Interactions</t>
  </si>
  <si>
    <t>Wu Z, Wang L, Li J, Wang L, Wu Z, Sun X.</t>
  </si>
  <si>
    <t>Front Immunol. 2019 Jan 15;9:3066. doi: 10.3389/fimmu.2018.03066. eCollection 2018.</t>
  </si>
  <si>
    <t>Wu Z</t>
  </si>
  <si>
    <t>Front Immunol</t>
  </si>
  <si>
    <t>PMC6340962</t>
  </si>
  <si>
    <t>10.3389/fimmu.2018.03066</t>
  </si>
  <si>
    <t>Exosomes and Other Extracellular Vesicles in HPV Transmission and Carcinogenesis</t>
  </si>
  <si>
    <t>Guenat D, Hermetet F, Prétet JL, Mougin C.</t>
  </si>
  <si>
    <t>Viruses. 2017 Aug 7;9(8):211. doi: 10.3390/v9080211.</t>
  </si>
  <si>
    <t>Guenat D</t>
  </si>
  <si>
    <t>Viruses</t>
  </si>
  <si>
    <t>PMC5580468</t>
  </si>
  <si>
    <t>10.3390/v9080211</t>
  </si>
  <si>
    <t>The Exosome-Derived Biomarker in Atherosclerosis and Its Clinical Application</t>
  </si>
  <si>
    <t>Lu M, Yuan S, Li S, Li L, Liu M, Wan S.</t>
  </si>
  <si>
    <t>J Cardiovasc Transl Res. 2019 Feb;12(1):68-74. doi: 10.1007/s12265-018-9796-y. Epub 2018 May 25.</t>
  </si>
  <si>
    <t>Lu M</t>
  </si>
  <si>
    <t>J Cardiovasc Transl Res</t>
  </si>
  <si>
    <t>10.1007/s12265-018-9796-y</t>
  </si>
  <si>
    <t>Bioactive DNA from extracellular vesicles and particles</t>
  </si>
  <si>
    <t>Malkin EZ, Bratman SV.</t>
  </si>
  <si>
    <t>Cell Death Dis. 2020 Jul 27;11(7):584. doi: 10.1038/s41419-020-02803-4.</t>
  </si>
  <si>
    <t>Malkin EZ</t>
  </si>
  <si>
    <t>Cell Death Dis</t>
  </si>
  <si>
    <t>PMC7385258</t>
  </si>
  <si>
    <t>10.1038/s41419-020-02803-4</t>
  </si>
  <si>
    <t>The functions and clinical application potential of exosomes derived from adipose mesenchymal stem cells: a comprehensive review</t>
  </si>
  <si>
    <t>Hong P, Yang H, Wu Y, Li K, Tang Z.</t>
  </si>
  <si>
    <t>Stem Cell Res Ther. 2019 Aug 7;10(1):242. doi: 10.1186/s13287-019-1358-y.</t>
  </si>
  <si>
    <t>Hong P</t>
  </si>
  <si>
    <t>Stem Cell Res Ther</t>
  </si>
  <si>
    <t>PMC6686455</t>
  </si>
  <si>
    <t>10.1186/s13287-019-1358-y</t>
  </si>
  <si>
    <t>Molecular Mechanisms of mtDNA-Mediated Inflammation</t>
  </si>
  <si>
    <t>De Gaetano A, Solodka K, Zanini G, Selleri V, Mattioli AV, Nasi M, Pinti M.</t>
  </si>
  <si>
    <t>Cells. 2021 Oct 26;10(11):2898. doi: 10.3390/cells10112898.</t>
  </si>
  <si>
    <t>De Gaetano A</t>
  </si>
  <si>
    <t>PMC8616383</t>
  </si>
  <si>
    <t>10.3390/cells10112898</t>
  </si>
  <si>
    <t>Extracellular Vesicles (Exosomes) as Immunosuppressive Mediating Variables in Tumor and Chronic Inflammatory Microenvironments</t>
  </si>
  <si>
    <t>Awadasseid A, Wu Y, Zhang W.</t>
  </si>
  <si>
    <t>Cells. 2021 Sep 24;10(10):2533. doi: 10.3390/cells10102533.</t>
  </si>
  <si>
    <t>Awadasseid A</t>
  </si>
  <si>
    <t>PMC8533882</t>
  </si>
  <si>
    <t>10.3390/cells10102533</t>
  </si>
  <si>
    <t>Yokoi A, Villar-Prados A, Oliphint PA, Zhang J, Song X, De Hoff P, Morey R, Liu J, Roszik J, Clise-Dwyer K, Burks JK, O'Halloran TJ, Laurent LC, Sood AK.</t>
  </si>
  <si>
    <t>Sci Adv. 2019 Nov 20;5(11):eaax8849. doi: 10.1126/sciadv.aax8849. eCollection 2019 Nov.</t>
  </si>
  <si>
    <t>Yokoi A</t>
  </si>
  <si>
    <t>Sci Adv</t>
  </si>
  <si>
    <t>PMC6867874</t>
  </si>
  <si>
    <t>Fan Z, Xiao K, Lin J, Liao Y, Huang X.</t>
  </si>
  <si>
    <t>Small. 2019 Nov;15(47):e1903761. doi: 10.1002/smll.201903761. Epub 2019 Oct 15.</t>
  </si>
  <si>
    <t>Fan Z</t>
  </si>
  <si>
    <t>Small</t>
  </si>
  <si>
    <t>Sansone P, Savini C, Kurelac I, Chang Q, Amato LB, Strillacci A, Stepanova A, Iommarini L, Mastroleo C, Daly L, Galkin A, Thakur BK, Soplop N, Uryu K, Hoshino A, Norton L, Bonafé M, Cricca M, Gasparre G, Lyden D, Bromberg J.</t>
  </si>
  <si>
    <t>Proc Natl Acad Sci U S A. 2017 Oct 24;114(43):E9066-E9075. doi: 10.1073/pnas.1704862114. Epub 2017 Oct 11.</t>
  </si>
  <si>
    <t>Sansone P</t>
  </si>
  <si>
    <t>Proc Natl Acad Sci U S A</t>
  </si>
  <si>
    <t>PMC5664494</t>
  </si>
  <si>
    <t>Bitto NJ, Cheng L, Johnston EL, Pathirana R, Phan TK, Poon IKH, O'Brien-Simpson NM, Hill AF, Stinear TP, Kaparakis-Liaskos M.</t>
  </si>
  <si>
    <t>J Extracell Vesicles. 2021 Apr;10(6):e12080. doi: 10.1002/jev2.12080. Epub 2021 Apr 1.</t>
  </si>
  <si>
    <t>Bitto NJ</t>
  </si>
  <si>
    <t>J Extracell Vesicles</t>
  </si>
  <si>
    <t>PMC8015888</t>
  </si>
  <si>
    <t>λ-DNA- and Aptamer-Mediated Sorting and Analysis of Extracellular Vesicles</t>
  </si>
  <si>
    <t>Liu C, Zhao J, Tian F, Chang J, Zhang W, Sun J.</t>
  </si>
  <si>
    <t>J Am Chem Soc. 2019 Mar 6;141(9):3817-3821. doi: 10.1021/jacs.9b00007. Epub 2019 Feb 22.</t>
  </si>
  <si>
    <t>Liu C</t>
  </si>
  <si>
    <t>J Am Chem Soc</t>
  </si>
  <si>
    <t>Zhao F, Zheng T, Gong W, Wu J, Xie H, Li W, Zhang R, Liu P, Liu J, Wu X, Zhao Y, Ren J.</t>
  </si>
  <si>
    <t>Cell Death Dis. 2021 Aug 27;12(9):815. doi: 10.1038/s41419-021-04101-z.</t>
  </si>
  <si>
    <t>Zhao F</t>
  </si>
  <si>
    <t>PMC8397775</t>
  </si>
  <si>
    <t>Sterzenbach U, Putz U, Low LH, Silke J, Tan SS, Howitt J.</t>
  </si>
  <si>
    <t>Mol Ther. 2017 Jun 7;25(6):1269-1278. doi: 10.1016/j.ymthe.2017.03.030. Epub 2017 Apr 13.</t>
  </si>
  <si>
    <t>Sterzenbach U</t>
  </si>
  <si>
    <t>Mol Ther</t>
  </si>
  <si>
    <t>PMC5474961</t>
  </si>
  <si>
    <t>Zhang D, Lee H, Zhu Z, Minhas JK, Jin Y.</t>
  </si>
  <si>
    <t>Am J Physiol Lung Cell Mol Physiol. 2017 Jan 1;312(1):L110-L121. doi: 10.1152/ajplung.00423.2016. Epub 2016 Nov 23.</t>
  </si>
  <si>
    <t>Zhang D</t>
  </si>
  <si>
    <t>Am J Physiol Lung Cell Mol Physiol</t>
  </si>
  <si>
    <t>PMC5283929</t>
  </si>
  <si>
    <t>Takahashi A, Okada R, Nagao K, Kawamata Y, Hanyu A, Yoshimoto S, Takasugi M, Watanabe S, Kanemaki MT, Obuse C, Hara E.</t>
  </si>
  <si>
    <t>Nat Commun. 2017 May 16;8:15287. doi: 10.1038/ncomms15287.</t>
  </si>
  <si>
    <t>Takahashi A</t>
  </si>
  <si>
    <t>Nat Commun</t>
  </si>
  <si>
    <t>PMC5440838</t>
  </si>
  <si>
    <t>Xi L, Peng M, Liu S, Liu Y, Wan X, Hou Y, Qin Y, Yang L, Chen S, Zeng H, Teng Y, Cui X, Liu M.</t>
  </si>
  <si>
    <t>J Extracell Vesicles. 2021 Sep;10(11):e12146. doi: 10.1002/jev2.12146.</t>
  </si>
  <si>
    <t>Xi L</t>
  </si>
  <si>
    <t>PMC8452512</t>
  </si>
  <si>
    <t>Alzheimer's disease pathology propagation by exosomes containing toxic amyloid-beta oligomers</t>
  </si>
  <si>
    <t>Sardar Sinha M, Ansell-Schultz A, Civitelli L, Hildesjö C, Larsson M, Lannfelt L, Ingelsson M, Hallbeck M.</t>
  </si>
  <si>
    <t>Acta Neuropathol. 2018 Jul;136(1):41-56. doi: 10.1007/s00401-018-1868-1. Epub 2018 Jun 13.</t>
  </si>
  <si>
    <t>Sardar Sinha M</t>
  </si>
  <si>
    <t>Acta Neuropathol</t>
  </si>
  <si>
    <t>PMC6015111</t>
  </si>
  <si>
    <t>10.1007/s00401-018-1868-1</t>
  </si>
  <si>
    <t>Wang T, Jian Z, Baskys A, Yang J, Li J, Guo H, Hei Y, Xian P, He Z, Li Z, Li N, Long Q.</t>
  </si>
  <si>
    <t>Biomaterials. 2020 Oct;257:120264. doi: 10.1016/j.biomaterials.2020.120264. Epub 2020 Jul 28.</t>
  </si>
  <si>
    <t>Wang T</t>
  </si>
  <si>
    <t>Biomaterials</t>
  </si>
  <si>
    <t>Simon B, Bolumar D, Amadoz A, Jimenez-Almazán J, Valbuena D, Vilella F, Moreno I.</t>
  </si>
  <si>
    <t>Genes (Basel). 2020 Feb 17;11(2):203. doi: 10.3390/genes11020203.</t>
  </si>
  <si>
    <t>Simon B</t>
  </si>
  <si>
    <t>Genes (Basel)</t>
  </si>
  <si>
    <t>PMC7074575</t>
  </si>
  <si>
    <t>Bernard V, Kim DU, San Lucas FA, Castillo J, Allenson K, Mulu FC, Stephens BM, Huang J, Semaan A, Guerrero PA, Kamyabi N, Zhao J, Hurd MW, Koay EJ, Taniguchi CM, Herman JM, Javle M, Wolff R, Katz M, Varadhachary G, Maitra A, Alvarez HA.</t>
  </si>
  <si>
    <t>Gastroenterology. 2019 Jan;156(1):108-118.e4. doi: 10.1053/j.gastro.2018.09.022. Epub 2018 Sep 19.</t>
  </si>
  <si>
    <t>Bernard V</t>
  </si>
  <si>
    <t>Gastroenterology</t>
  </si>
  <si>
    <t>PMC6434712</t>
  </si>
  <si>
    <t>NIHMS1009738</t>
  </si>
  <si>
    <t>STING induces LC3B lipidation onto single-membrane vesicles via the V-ATPase and ATG16L1-WD40 domain</t>
  </si>
  <si>
    <t>Fischer TD, Wang C, Padman BS, Lazarou M, Youle RJ.</t>
  </si>
  <si>
    <t>J Cell Biol. 2020 Dec 7;219(12):e202009128. doi: 10.1083/jcb.202009128.</t>
  </si>
  <si>
    <t>Fischer TD</t>
  </si>
  <si>
    <t>J Cell Biol</t>
  </si>
  <si>
    <t>PMC7716379</t>
  </si>
  <si>
    <t>10.1083/jcb.202009128</t>
  </si>
  <si>
    <t>Németh A, Orgovan N, Sódar BW, Osteikoetxea X, Pálóczi K, Szabó-Taylor KÉ, Vukman KV, Kittel Á, Turiák L, Wiener Z, Tóth S, Drahos L, Vékey K, Horvath R, Buzás EI.</t>
  </si>
  <si>
    <t>Sci Rep. 2017 Aug 15;7(1):8202. doi: 10.1038/s41598-017-08392-1.</t>
  </si>
  <si>
    <t>Németh A</t>
  </si>
  <si>
    <t>Sci Rep</t>
  </si>
  <si>
    <t>PMC5557920</t>
  </si>
  <si>
    <t>Autoantibody-mediated impairment of DNASE1L3 activity in sporadic systemic lupus erythematosus</t>
  </si>
  <si>
    <t>Hartl J, Serpas L, Wang Y, Rashidfarrokhi A, Perez OA, Sally B, Sisirak V, Soni C, Khodadadi-Jamayran A, Tsirigos A, Caiello I, Bracaglia C, Volpi S, Ghiggeri GM, Chida AS, Sanz I, Kim MY, Belmont HM, Silverman GJ, Clancy RM, Izmirly PM, Buyon JP, Reizis B.</t>
  </si>
  <si>
    <t>J Exp Med. 2021 May 3;218(5):e20201138. doi: 10.1084/jem.20201138.</t>
  </si>
  <si>
    <t>Hartl J</t>
  </si>
  <si>
    <t>J Exp Med</t>
  </si>
  <si>
    <t>PMC8020718</t>
  </si>
  <si>
    <t>10.1084/jem.20201138</t>
  </si>
  <si>
    <t>The role of exosomes from BALF in lung disease</t>
  </si>
  <si>
    <t>Liu Z, Yan J, Tong L, Liu S, Zhang Y.</t>
  </si>
  <si>
    <t>J Cell Physiol. 2022 Jan;237(1):161-168. doi: 10.1002/jcp.30553. Epub 2021 Aug 13.</t>
  </si>
  <si>
    <t>Liu Z</t>
  </si>
  <si>
    <t>J Cell Physiol</t>
  </si>
  <si>
    <t>PMC9292261</t>
  </si>
  <si>
    <t>10.1002/jcp.30553</t>
  </si>
  <si>
    <t>Lee D, Wee KW, Kim H, Han SI, Kwak S, Yoon DS, Lee JH.</t>
  </si>
  <si>
    <t>J Vis Exp. 2020 Apr 29;(158). doi: 10.3791/61292.</t>
  </si>
  <si>
    <t>Lee D</t>
  </si>
  <si>
    <t>J Vis Exp</t>
  </si>
  <si>
    <t>Extracellular Vesicles-The Next Frontier in Endocrinology</t>
  </si>
  <si>
    <t>Das Gupta A, Krawczynska N, Nelson ER.</t>
  </si>
  <si>
    <t>Endocrinology. 2021 Sep 1;162(9):bqab133. doi: 10.1210/endocr/bqab133.</t>
  </si>
  <si>
    <t>Das Gupta A</t>
  </si>
  <si>
    <t>Endocrinology</t>
  </si>
  <si>
    <t>PMC8294678</t>
  </si>
  <si>
    <t>10.1210/endocr/bqab133</t>
  </si>
  <si>
    <t>Double-stranded DNA in exosomes: a novel biomarker in cancer detection</t>
  </si>
  <si>
    <t>Thakur BK, Zhang H, Becker A, Matei I, Huang Y, Costa-Silva B, Zheng Y, Hoshino A, Brazier H, Xiang J, Williams C, Rodriguez-Barrueco R, Silva JM, Zhang W, Hearn S, Elemento O, Paknejad N, Manova-Todorova K, Welte K, Bromberg J, Peinado H, Lyden D.</t>
  </si>
  <si>
    <t>Cell Res. 2014 Jun;24(6):766-9. doi: 10.1038/cr.2014.44. Epub 2014 Apr 8.</t>
  </si>
  <si>
    <t>Thakur BK</t>
  </si>
  <si>
    <t>Cell Res</t>
  </si>
  <si>
    <t>PMC4042169</t>
  </si>
  <si>
    <t>10.1038/cr.2014.44</t>
  </si>
  <si>
    <t>Huang X, Yuan T, Tschannen M, Sun Z, Jacob H, Du M, Liang M, Dittmar RL, Liu Y, Liang M, Kohli M, Thibodeau SN, Boardman L, Wang L.</t>
  </si>
  <si>
    <t>BMC Genomics. 2013 May 10;14:319. doi: 10.1186/1471-2164-14-319.</t>
  </si>
  <si>
    <t>Huang X</t>
  </si>
  <si>
    <t>BMC Genomics</t>
  </si>
  <si>
    <t>PMC3653748</t>
  </si>
  <si>
    <t>Aucamp J, Bronkhorst AJ, Badenhorst CP, Pretorius PJ.</t>
  </si>
  <si>
    <t>Cell Mol Life Sci. 2016 Dec;73(23):4355-4381. doi: 10.1007/s00018-016-2370-3. Epub 2016 Sep 20.</t>
  </si>
  <si>
    <t>Aucamp J</t>
  </si>
  <si>
    <t>Cell Mol Life Sci</t>
  </si>
  <si>
    <t>Extracellular vesicles in cancer diagnostics and therapeutics</t>
  </si>
  <si>
    <t>Shehzad A, Islam SU, Shahzad R, Khan S, Lee YS.</t>
  </si>
  <si>
    <t>Pharmacol Ther. 2021 Jul;223:107806. doi: 10.1016/j.pharmthera.2021.107806. Epub 2021 Jan 17.</t>
  </si>
  <si>
    <t>Shehzad A</t>
  </si>
  <si>
    <t>Pharmacol Ther</t>
  </si>
  <si>
    <t>10.1016/j.pharmthera.2021.107806</t>
  </si>
  <si>
    <t>Isolation of DNA from exosomes</t>
  </si>
  <si>
    <t>Spada S, Rudqvist NP, Wennerberg E.</t>
  </si>
  <si>
    <t>Methods Enzymol. 2020;636:173-183. doi: 10.1016/bs.mie.2020.01.012. Epub 2020 Feb 17.</t>
  </si>
  <si>
    <t>Spada S</t>
  </si>
  <si>
    <t>Methods Enzymol</t>
  </si>
  <si>
    <t>10.1016/bs.mie.2020.01.012</t>
  </si>
  <si>
    <t>Extracellular vesicles and their roles in stem cell biology</t>
  </si>
  <si>
    <t>Hur YH, Cerione RA, Antonyak MA.</t>
  </si>
  <si>
    <t>Stem Cells. 2020 Apr;38(4):469-476. doi: 10.1002/stem.3140. Epub 2020 Jan 10.</t>
  </si>
  <si>
    <t>Hur YH</t>
  </si>
  <si>
    <t>Stem Cells</t>
  </si>
  <si>
    <t>PMC7703835</t>
  </si>
  <si>
    <t>NIHMS1575523</t>
  </si>
  <si>
    <t>10.1002/stem.3140</t>
  </si>
  <si>
    <t>J or H mtDNA haplogroups in retinal pigment epithelial cells: Effects on cell physiology, cargo in extracellular vesicles, and differential uptake of such vesicles by naïve recipient cells</t>
  </si>
  <si>
    <t>Nicholson C, Ishii M, Annamalai B, Chandler K, Chwa M, Kenney MC, Shah N, Rohrer B.</t>
  </si>
  <si>
    <t>Biochim Biophys Acta Gen Subj. 2021 Apr;1865(4):129798. doi: 10.1016/j.bbagen.2020.129798. Epub 2020 Nov 18.</t>
  </si>
  <si>
    <t>Nicholson C</t>
  </si>
  <si>
    <t>Biochim Biophys Acta Gen Subj</t>
  </si>
  <si>
    <t>PMC8396072</t>
  </si>
  <si>
    <t>NIHMS1733735</t>
  </si>
  <si>
    <t>Macedo-da-Silva J, Santiago VF, Rosa-Fernandes L, Marinho CRF, Palmisano G.</t>
  </si>
  <si>
    <t>Mol Immunol. 2021 Jul;135:226-246. doi: 10.1016/j.molimm.2021.04.017. Epub 2021 Apr 29.</t>
  </si>
  <si>
    <t>Macedo-da-Silva J</t>
  </si>
  <si>
    <t>Mol Immunol</t>
  </si>
  <si>
    <t>Castillo J, Bernard V, San Lucas FA, Allenson K, Capello M, Kim DU, Gascoyne P, Mulu FC, Stephens BM, Huang J, Wang H, Momin AA, Jacamo RO, Katz M, Wolff R, Javle M, Varadhachary G, Wistuba II, Hanash S, Maitra A, Alvarez H.</t>
  </si>
  <si>
    <t>Ann Oncol. 2018 Jan 1;29(1):223-229. doi: 10.1093/annonc/mdx542.</t>
  </si>
  <si>
    <t>Castillo J</t>
  </si>
  <si>
    <t>PMC6248757</t>
  </si>
  <si>
    <t>The Roles of Exosomes in Immunoregulation and Autoimmune Thyroid Diseases</t>
  </si>
  <si>
    <t>Zou J, Peng H, Liu Y.</t>
  </si>
  <si>
    <t>Front Immunol. 2021 Nov 15;12:757674. doi: 10.3389/fimmu.2021.757674. eCollection 2021.</t>
  </si>
  <si>
    <t>Zou J</t>
  </si>
  <si>
    <t>PMC8634671</t>
  </si>
  <si>
    <t>10.3389/fimmu.2021.757674</t>
  </si>
  <si>
    <t>Chennakrishnaiah S, Meehan B, D'Asti E, Montermini L, Lee TH, Karatzas N, Buchanan M, Tawil N, Choi D, Divangahi M, Basik M, Rak J.</t>
  </si>
  <si>
    <t>J Thromb Haemost. 2018 Sep;16(9):1800-1813. doi: 10.1111/jth.14222. Epub 2018 Aug 16.</t>
  </si>
  <si>
    <t>Chennakrishnaiah S</t>
  </si>
  <si>
    <t>J Thromb Haemost</t>
  </si>
  <si>
    <t>Recruitment of RNA molecules by connexin RNA-binding motifs: Implication in RNA and DNA transport through microvesicles and exosomes</t>
  </si>
  <si>
    <t>Varela-Eirin M, Varela-Vazquez A, Rodríguez-Candela Mateos M, Vila-Sanjurjo A, Fonseca E, Mascareñas JL, Eugenio Vázquez M, Mayan MD.</t>
  </si>
  <si>
    <t>Biochim Biophys Acta Mol Cell Res. 2017 Apr;1864(4):728-736. doi: 10.1016/j.bbamcr.2017.02.001. Epub 2017 Feb 4.</t>
  </si>
  <si>
    <t>Varela-Eirin M</t>
  </si>
  <si>
    <t>Biochim Biophys Acta Mol Cell Res</t>
  </si>
  <si>
    <t>10.1016/j.bbamcr.2017.02.001</t>
  </si>
  <si>
    <t>Extracellular Vesicles in Oncology: from Immune Suppression to Immunotherapy</t>
  </si>
  <si>
    <t>Srivastava A, Rathore S, Munshi A, Ramesh R.</t>
  </si>
  <si>
    <t>AAPS J. 2021 Feb 14;23(2):30. doi: 10.1208/s12248-021-00554-4.</t>
  </si>
  <si>
    <t>Srivastava A</t>
  </si>
  <si>
    <t>AAPS J</t>
  </si>
  <si>
    <t>PMC7882565</t>
  </si>
  <si>
    <t>10.1208/s12248-021-00554-4</t>
  </si>
  <si>
    <t>The role of Extracellular Vesicles during CNS development</t>
  </si>
  <si>
    <t>Bahram Sangani N, Gomes AR, Curfs LMG, Reutelingsperger CP.</t>
  </si>
  <si>
    <t>Prog Neurobiol. 2021 Oct;205:102124. doi: 10.1016/j.pneurobio.2021.102124. Epub 2021 Jul 24.</t>
  </si>
  <si>
    <t>Bahram Sangani N</t>
  </si>
  <si>
    <t>Prog Neurobiol</t>
  </si>
  <si>
    <t>10.1016/j.pneurobio.2021.102124</t>
  </si>
  <si>
    <t>Extracellular vesicle interplay in cardiovascular pathophysiology</t>
  </si>
  <si>
    <t>Saheera S, Jani VP, Witwer KW, Kutty S.</t>
  </si>
  <si>
    <t>Am J Physiol Heart Circ Physiol. 2021 May 1;320(5):H1749-H1761. doi: 10.1152/ajpheart.00925.2020. Epub 2021 Mar 5.</t>
  </si>
  <si>
    <t>Saheera S</t>
  </si>
  <si>
    <t>Am J Physiol Heart Circ Physiol</t>
  </si>
  <si>
    <t>PMC8163654</t>
  </si>
  <si>
    <t>10.1152/ajpheart.00925.2020</t>
  </si>
  <si>
    <t>Extracellular vesicles and atherosclerotic disease</t>
  </si>
  <si>
    <t>Chistiakov DA, Orekhov AN, Bobryshev YV.</t>
  </si>
  <si>
    <t>Cell Mol Life Sci. 2015 Jul;72(14):2697-708. doi: 10.1007/s00018-015-1906-2. Epub 2015 Apr 17.</t>
  </si>
  <si>
    <t>Chistiakov DA</t>
  </si>
  <si>
    <t>10.1007/s00018-015-1906-2</t>
  </si>
  <si>
    <t>Cathcart N, Chen JIL.</t>
  </si>
  <si>
    <t>Anal Chem. 2020 Jun 2;92(11):7373-7381. doi: 10.1021/acs.analchem.0c00711. Epub 2020 May 19.</t>
  </si>
  <si>
    <t>Cathcart N</t>
  </si>
  <si>
    <t>Anal Chem</t>
  </si>
  <si>
    <t>Microvesicles and exosomes for intracardiac communication</t>
  </si>
  <si>
    <t>Sluijter JP, Verhage V, Deddens JC, van den Akker F, Doevendans PA.</t>
  </si>
  <si>
    <t>Cardiovasc Res. 2014 May 1;102(2):302-11. doi: 10.1093/cvr/cvu022. Epub 2014 Jan 30.</t>
  </si>
  <si>
    <t>Sluijter JP</t>
  </si>
  <si>
    <t>Cardiovasc Res</t>
  </si>
  <si>
    <t>10.1093/cvr/cvu022</t>
  </si>
  <si>
    <t>McGough IJ, Vincent JP.</t>
  </si>
  <si>
    <t>Development. 2016 Jul 15;143(14):2482-93. doi: 10.1242/dev.126516.</t>
  </si>
  <si>
    <t>McGough IJ</t>
  </si>
  <si>
    <t>Development</t>
  </si>
  <si>
    <t>Microparticles in cancer</t>
  </si>
  <si>
    <t>Rak J.</t>
  </si>
  <si>
    <t>Semin Thromb Hemost. 2010 Nov;36(8):888-906. doi: 10.1055/s-0030-1267043. Epub 2010 Nov 3.</t>
  </si>
  <si>
    <t>Rak J</t>
  </si>
  <si>
    <t>Semin Thromb Hemost</t>
  </si>
  <si>
    <t>The existence and function of mitochondrial component in extracellular vesicles</t>
  </si>
  <si>
    <t>Liu D, Dong Z, Wang J, Tao Y, Sun X, Yao X.</t>
  </si>
  <si>
    <t>Mitochondrion. 2020 Sep;54:122-127. doi: 10.1016/j.mito.2020.08.005. Epub 2020 Aug 28.</t>
  </si>
  <si>
    <t>Liu D</t>
  </si>
  <si>
    <t>Mitochondrion</t>
  </si>
  <si>
    <t>10.1016/j.mito.2020.08.005</t>
  </si>
  <si>
    <t>Baysa A, Fedorov A, Kondratov K, Ruusalepp A, Minasian S, Galagudza M, Popov M, Kurapeev D, Yakovlev A, Valen G, Kostareva A, Vaage J, Stensløkken KO.</t>
  </si>
  <si>
    <t>J Cardiovasc Transl Res. 2019 Jun;12(3):184-192. doi: 10.1007/s12265-018-9848-3. Epub 2018 Dec 12.</t>
  </si>
  <si>
    <t>Baysa A</t>
  </si>
  <si>
    <t>Kooijmans SAA, Schiffelers RM, Zarovni N, Vago R.</t>
  </si>
  <si>
    <t>Pharmacol Res. 2016 Sep;111:487-500. doi: 10.1016/j.phrs.2016.07.006. Epub 2016 Jul 6.</t>
  </si>
  <si>
    <t>Kooijmans SAA</t>
  </si>
  <si>
    <t>Pharmacol Res</t>
  </si>
  <si>
    <t>Wang L, Sun Z, Wang H.</t>
  </si>
  <si>
    <t>J Cell Biochem. 2021 Jul;122(7):760-769. doi: 10.1002/jcb.29904. Epub 2021 Feb 16.</t>
  </si>
  <si>
    <t>Wang L</t>
  </si>
  <si>
    <t>J Cell Biochem</t>
  </si>
  <si>
    <t>Extracellular Vesicles as Messengers in Atherosclerosis</t>
  </si>
  <si>
    <t>Peng M, Liu X, Xu G.</t>
  </si>
  <si>
    <t>J Cardiovasc Transl Res. 2020 Apr;13(2):121-130. doi: 10.1007/s12265-019-09923-z. Epub 2019 Oct 29.</t>
  </si>
  <si>
    <t>Peng M</t>
  </si>
  <si>
    <t>10.1007/s12265-019-09923-z</t>
  </si>
  <si>
    <t>Extracellular Vesicle-Mediated Communication between the Glioblastoma and Its Microenvironment</t>
  </si>
  <si>
    <t>Matarredona ER, Pastor AM.</t>
  </si>
  <si>
    <t>Cells. 2019 Dec 30;9(1):96. doi: 10.3390/cells9010096.</t>
  </si>
  <si>
    <t>Matarredona ER</t>
  </si>
  <si>
    <t>PMC7017035</t>
  </si>
  <si>
    <t>10.3390/cells9010096</t>
  </si>
  <si>
    <t>Choi D, Rak J, Gho YS.</t>
  </si>
  <si>
    <t>Methods Mol Biol. 2021;2261:193-206. doi: 10.1007/978-1-0716-1186-9_11.</t>
  </si>
  <si>
    <t>Choi D</t>
  </si>
  <si>
    <t>Methods Mol Biol</t>
  </si>
  <si>
    <t>Extracellular Vesicles in Viral Infections of the Nervous System</t>
  </si>
  <si>
    <t>Kutchy NA, Peeples ES, Sil S, Liao K, Chivero ET, Hu G, Buch S.</t>
  </si>
  <si>
    <t>Viruses. 2020 Jun 28;12(7):700. doi: 10.3390/v12070700.</t>
  </si>
  <si>
    <t>Kutchy NA</t>
  </si>
  <si>
    <t>PMC7411781</t>
  </si>
  <si>
    <t>10.3390/v12070700</t>
  </si>
  <si>
    <t>Exosomes in head and neck cancer: Roles, mechanisms and applications</t>
  </si>
  <si>
    <t>Cao J, Zhang M, Xie F, Lou J, Zhou X, Zhang L, Fang M, Zhou F.</t>
  </si>
  <si>
    <t>Cancer Lett. 2020 Dec 1;494:7-16. doi: 10.1016/j.canlet.2020.07.005. Epub 2020 Aug 8.</t>
  </si>
  <si>
    <t>Cao J</t>
  </si>
  <si>
    <t>10.1016/j.canlet.2020.07.005</t>
  </si>
  <si>
    <t>Safdar A, Tarnopolsky MA.</t>
  </si>
  <si>
    <t>Cold Spring Harb Perspect Med. 2018 Mar 1;8(3):a029827. doi: 10.1101/cshperspect.a029827.</t>
  </si>
  <si>
    <t>Safdar A</t>
  </si>
  <si>
    <t>Cold Spring Harb Perspect Med</t>
  </si>
  <si>
    <t>PMC5830902</t>
  </si>
  <si>
    <t>Conigliaro A, Fontana S, Raimondo S, Alessandro R.</t>
  </si>
  <si>
    <t>Adv Exp Med Biol. 2017;998:23-43. doi: 10.1007/978-981-10-4397-0_2.</t>
  </si>
  <si>
    <t>Conigliaro A</t>
  </si>
  <si>
    <t>Adv Exp Med Biol</t>
  </si>
  <si>
    <t>Extracellular Vesicles: New Players in Lung Immunity</t>
  </si>
  <si>
    <t>Fujita Y, Kadota T, Araya J, Ochiya T, Kuwano K.</t>
  </si>
  <si>
    <t>Am J Respir Cell Mol Biol. 2018 May;58(5):560-565. doi: 10.1165/rcmb.2017-0293TR.</t>
  </si>
  <si>
    <t>Fujita Y</t>
  </si>
  <si>
    <t>Am J Respir Cell Mol Biol</t>
  </si>
  <si>
    <t>10.1165/rcmb.2017-0293TR</t>
  </si>
  <si>
    <t>Li H, Feng Y, Zheng X, Jia M, Mei Z, Wang Y, Zhang Z, Zhou M, Li C.</t>
  </si>
  <si>
    <t>J Control Release. 2022 Jan;341:16-30. doi: 10.1016/j.jconrel.2021.11.019. Epub 2021 Nov 16.</t>
  </si>
  <si>
    <t>Li H</t>
  </si>
  <si>
    <t>J Control Release</t>
  </si>
  <si>
    <t>Exosomes in Allergic Airway Diseases</t>
  </si>
  <si>
    <t>Hough KP, Deshane JS.</t>
  </si>
  <si>
    <t>Curr Allergy Asthma Rep. 2019 Mar 22;19(5):26. doi: 10.1007/s11882-019-0857-3.</t>
  </si>
  <si>
    <t>Hough KP</t>
  </si>
  <si>
    <t>Curr Allergy Asthma Rep</t>
  </si>
  <si>
    <t>PMC7117871</t>
  </si>
  <si>
    <t>NIHMS1566551</t>
  </si>
  <si>
    <t>10.1007/s11882-019-0857-3</t>
  </si>
  <si>
    <t>DNA Associated with Circulating Exosomes as a Biomarker for Glioma</t>
  </si>
  <si>
    <t>Vaidya M, Sugaya K.</t>
  </si>
  <si>
    <t>Genes (Basel). 2020 Oct 29;11(11):1276. doi: 10.3390/genes11111276.</t>
  </si>
  <si>
    <t>Vaidya M</t>
  </si>
  <si>
    <t>PMC7692052</t>
  </si>
  <si>
    <t>10.3390/genes11111276</t>
  </si>
  <si>
    <t>Extracellular Vesicles in the Intrauterine Environment: Challenges and Potential Functions</t>
  </si>
  <si>
    <t>Nguyen HP, Simpson RJ, Salamonsen LA, Greening DW.</t>
  </si>
  <si>
    <t>Biol Reprod. 2016 Nov;95(5):109. doi: 10.1095/biolreprod.116.143503. Epub 2016 Sep 21.</t>
  </si>
  <si>
    <t>Nguyen HP</t>
  </si>
  <si>
    <t>Biol Reprod</t>
  </si>
  <si>
    <t>PMC5333933</t>
  </si>
  <si>
    <t>10.1095/biolreprod.116.143503</t>
  </si>
  <si>
    <t>Extracellular vesicles: their role in cancer biology and epithelial-mesenchymal transition</t>
  </si>
  <si>
    <t>Gopal SK, Greening DW, Rai A, Chen M, Xu R, Shafiq A, Mathias RA, Zhu HJ, Simpson RJ.</t>
  </si>
  <si>
    <t>Biochem J. 2017 Jan 1;474(1):21-45. doi: 10.1042/BCJ20160006.</t>
  </si>
  <si>
    <t>Gopal SK</t>
  </si>
  <si>
    <t>Biochem J</t>
  </si>
  <si>
    <t>10.1042/BCJ20160006</t>
  </si>
  <si>
    <t>Cell-to-cell communication: microRNAs as hormones</t>
  </si>
  <si>
    <t>Bayraktar R, Van Roosbroeck K, Calin GA.</t>
  </si>
  <si>
    <t>Mol Oncol. 2017 Dec;11(12):1673-1686. doi: 10.1002/1878-0261.12144. Epub 2017 Oct 26.</t>
  </si>
  <si>
    <t>Bayraktar R</t>
  </si>
  <si>
    <t>PMC5709614</t>
  </si>
  <si>
    <t>10.1002/1878-0261.12144</t>
  </si>
  <si>
    <t>Extracellular vesicles and intercellular communication within the nervous system</t>
  </si>
  <si>
    <t>Zappulli V, Friis KP, Fitzpatrick Z, Maguire CA, Breakefield XO.</t>
  </si>
  <si>
    <t>J Clin Invest. 2016 Apr 1;126(4):1198-207. doi: 10.1172/JCI81134. Epub 2016 Apr 1.</t>
  </si>
  <si>
    <t>Zappulli V</t>
  </si>
  <si>
    <t>PMC4811121</t>
  </si>
  <si>
    <t>10.1172/JCI81134</t>
  </si>
  <si>
    <t>Foetoplacental communication via extracellular vesicles in normal pregnancy and preeclampsia</t>
  </si>
  <si>
    <t>Chiarello DI, Salsoso R, Toledo F, Mate A, Vázquez CM, Sobrevia L.</t>
  </si>
  <si>
    <t>Mol Aspects Med. 2018 Apr;60:69-80. doi: 10.1016/j.mam.2017.12.002. Epub 2017 Dec 13.</t>
  </si>
  <si>
    <t>Chiarello DI</t>
  </si>
  <si>
    <t>10.1016/j.mam.2017.12.002</t>
  </si>
  <si>
    <t>Chen J, Zhang Q, Liu D, Liu Z.</t>
  </si>
  <si>
    <t>Metabolism. 2021 Sep;122:154834. doi: 10.1016/j.metabol.2021.154834. Epub 2021 Jul 2.</t>
  </si>
  <si>
    <t>Chen J</t>
  </si>
  <si>
    <t>Metabolism</t>
  </si>
  <si>
    <t>Seo N, Nakamura J, Kaneda T, Tateno H, Shimoda A, Ichiki T, Furukawa K, Hirabayashi J, Akiyoshi K, Shiku H.</t>
  </si>
  <si>
    <t>J Extracell Vesicles. 2022 Mar;11(3):e12205. doi: 10.1002/jev2.12205.</t>
  </si>
  <si>
    <t>Seo N</t>
  </si>
  <si>
    <t>PMC8920962</t>
  </si>
  <si>
    <t>Lamichhane TN, Raiker RS, Jay SM.</t>
  </si>
  <si>
    <t>Mol Pharm. 2015 Oct 5;12(10):3650-7. doi: 10.1021/acs.molpharmaceut.5b00364. Epub 2015 Sep 23.</t>
  </si>
  <si>
    <t>Lamichhane TN</t>
  </si>
  <si>
    <t>Mol Pharm</t>
  </si>
  <si>
    <t>PMC4826735</t>
  </si>
  <si>
    <t>NIHMS774013</t>
  </si>
  <si>
    <t>Microfluidic systems for cancer diagnostics</t>
  </si>
  <si>
    <t>Garcia-Cordero JL, Maerkl SJ.</t>
  </si>
  <si>
    <t>Curr Opin Biotechnol. 2020 Oct;65:37-44. doi: 10.1016/j.copbio.2019.11.022. Epub 2019 Dec 28.</t>
  </si>
  <si>
    <t>Garcia-Cordero JL</t>
  </si>
  <si>
    <t>Curr Opin Biotechnol</t>
  </si>
  <si>
    <t>10.1016/j.copbio.2019.11.022</t>
  </si>
  <si>
    <t>Castellano JJ, Canals J, Han B, Díaz T, Monzo M, Navarro A.</t>
  </si>
  <si>
    <t>Methods Mol Biol. 2021;2348:285-304. doi: 10.1007/978-1-0716-1581-2_20.</t>
  </si>
  <si>
    <t>Castellano JJ</t>
  </si>
  <si>
    <t>Extracellular Vesicles in Glioma: From Diagnosis to Therapy</t>
  </si>
  <si>
    <t>Basu B, Ghosh MK.</t>
  </si>
  <si>
    <t>Bioessays. 2019 Jul;41(7):e1800245. doi: 10.1002/bies.201800245. Epub 2019 Jun 12.</t>
  </si>
  <si>
    <t>Basu B</t>
  </si>
  <si>
    <t>Bioessays</t>
  </si>
  <si>
    <t>10.1002/bies.201800245</t>
  </si>
  <si>
    <t>Johnny on the Spot-Chronic Inflammation Is Driven by HMGB1</t>
  </si>
  <si>
    <t>Gorgulho CM, Romagnoli GG, Bharthi R, Lotze MT.</t>
  </si>
  <si>
    <t>Front Immunol. 2019 Jul 11;10:1561. doi: 10.3389/fimmu.2019.01561. eCollection 2019.</t>
  </si>
  <si>
    <t>Gorgulho CM</t>
  </si>
  <si>
    <t>PMC6660267</t>
  </si>
  <si>
    <t>10.3389/fimmu.2019.01561</t>
  </si>
  <si>
    <t>The role of exosomal noncoding RNAs in cancer</t>
  </si>
  <si>
    <t>Xie Y, Dang W, Zhang S, Yue W, Yang L, Zhai X, Yan Q, Lu J.</t>
  </si>
  <si>
    <t>Mol Cancer. 2019 Mar 9;18(1):37. doi: 10.1186/s12943-019-0984-4.</t>
  </si>
  <si>
    <t>Xie Y</t>
  </si>
  <si>
    <t>PMC6408816</t>
  </si>
  <si>
    <t>10.1186/s12943-019-0984-4</t>
  </si>
  <si>
    <t>Exosomes as agents of change in the cardiovascular system</t>
  </si>
  <si>
    <t>Poe AJ, Knowlton AA.</t>
  </si>
  <si>
    <t>J Mol Cell Cardiol. 2017 Oct;111:40-50. doi: 10.1016/j.yjmcc.2017.08.002. Epub 2017 Aug 3.</t>
  </si>
  <si>
    <t>Poe AJ</t>
  </si>
  <si>
    <t>J Mol Cell Cardiol</t>
  </si>
  <si>
    <t>PMC5600701</t>
  </si>
  <si>
    <t>NIHMS898718</t>
  </si>
  <si>
    <t>10.1016/j.yjmcc.2017.08.002</t>
  </si>
  <si>
    <t>Emerging Roles of Exosomes in T1DM</t>
  </si>
  <si>
    <t>Pang H, Luo S, Xiao Y, Xia Y, Li X, Huang G, Xie Z, Zhou Z.</t>
  </si>
  <si>
    <t>Front Immunol. 2020 Nov 26;11:593348. doi: 10.3389/fimmu.2020.593348. eCollection 2020.</t>
  </si>
  <si>
    <t>Pang H</t>
  </si>
  <si>
    <t>PMC7725901</t>
  </si>
  <si>
    <t>10.3389/fimmu.2020.593348</t>
  </si>
  <si>
    <t>Regulation of lymphangiogenesis by extracellular vesicles in cancer metastasis</t>
  </si>
  <si>
    <t>Wang CA, Tsai SJ.</t>
  </si>
  <si>
    <t>Exp Biol Med (Maywood). 2021 Oct;246(19):2048-2056. doi: 10.1177/15353702211021022. Epub 2021 Jun 18.</t>
  </si>
  <si>
    <t>Wang CA</t>
  </si>
  <si>
    <t>Exp Biol Med (Maywood)</t>
  </si>
  <si>
    <t>PMC8524766</t>
  </si>
  <si>
    <t>10.1177/15353702211021022</t>
  </si>
  <si>
    <t>Quantification of mtDNA in extracellular vesicles</t>
  </si>
  <si>
    <t>Soltesz B, Nagy B.</t>
  </si>
  <si>
    <t>Methods Enzymol. 2020;645:119-140. doi: 10.1016/bs.mie.2020.07.005. Epub 2020 Aug 5.</t>
  </si>
  <si>
    <t>Soltesz B</t>
  </si>
  <si>
    <t>10.1016/bs.mie.2020.07.005</t>
  </si>
  <si>
    <t>Exosomes and tumor-mediated immune suppression</t>
  </si>
  <si>
    <t>Whiteside TL.</t>
  </si>
  <si>
    <t>J Clin Invest. 2016 Apr 1;126(4):1216-23. doi: 10.1172/JCI81136. Epub 2016 Feb 29.</t>
  </si>
  <si>
    <t>Whiteside TL</t>
  </si>
  <si>
    <t>PMC4811135</t>
  </si>
  <si>
    <t>10.1172/JCI81136</t>
  </si>
  <si>
    <t>New insights into extracellular vesicle biogenesis and function</t>
  </si>
  <si>
    <t>Latifkar A, Hur YH, Sanchez JC, Cerione RA, Antonyak MA.</t>
  </si>
  <si>
    <t>J Cell Sci. 2019 Jul 1;132(13):jcs222406. doi: 10.1242/jcs.222406.</t>
  </si>
  <si>
    <t>Latifkar A</t>
  </si>
  <si>
    <t>J Cell Sci</t>
  </si>
  <si>
    <t>PMC6633391</t>
  </si>
  <si>
    <t>10.1242/jcs.222406</t>
  </si>
  <si>
    <t>Extracellular vesicles compartment in liquid biopsies: Clinical application</t>
  </si>
  <si>
    <t>Garcia-Romero N, Esteban-Rubio S, Rackov G, Carrión-Navarro J, Belda-Iniesta C, Ayuso-Sacido A.</t>
  </si>
  <si>
    <t>Mol Aspects Med. 2018 Apr;60:27-37. doi: 10.1016/j.mam.2017.11.009. Epub 2017 Nov 26.</t>
  </si>
  <si>
    <t>Garcia-Romero N</t>
  </si>
  <si>
    <t>10.1016/j.mam.2017.11.009</t>
  </si>
  <si>
    <t>Exosomal Induction of Tumor Innervation</t>
  </si>
  <si>
    <t>Vermeer PD.</t>
  </si>
  <si>
    <t>Cancer Res. 2019 Jul 15;79(14):3529-3535. doi: 10.1158/0008-5472.CAN-18-3995. Epub 2019 May 14.</t>
  </si>
  <si>
    <t>Vermeer PD</t>
  </si>
  <si>
    <t>Cancer Res</t>
  </si>
  <si>
    <t>PMC6635078</t>
  </si>
  <si>
    <t>NIHMS1526806</t>
  </si>
  <si>
    <t>10.1158/0008-5472.CAN-18-3995</t>
  </si>
  <si>
    <t>Large extracellular vesicles: Size matters in tumor progression</t>
  </si>
  <si>
    <t>Ciardiello C, Migliorino R, Leone A, Budillon A.</t>
  </si>
  <si>
    <t>Cytokine Growth Factor Rev. 2020 Feb;51:69-74. doi: 10.1016/j.cytogfr.2019.12.007. Epub 2019 Dec 31.</t>
  </si>
  <si>
    <t>Ciardiello C</t>
  </si>
  <si>
    <t>Cytokine Growth Factor Rev</t>
  </si>
  <si>
    <t>10.1016/j.cytogfr.2019.12.007</t>
  </si>
  <si>
    <t>Recent Advances in the Use of Exosomes in Sjögren's Syndrome</t>
  </si>
  <si>
    <t>Huang Y, Li R, Ye S, Lin S, Yin G, Xie Q.</t>
  </si>
  <si>
    <t>Front Immunol. 2020 Aug 6;11:1509. doi: 10.3389/fimmu.2020.01509. eCollection 2020.</t>
  </si>
  <si>
    <t>Huang Y</t>
  </si>
  <si>
    <t>PMC7438915</t>
  </si>
  <si>
    <t>10.3389/fimmu.2020.01509</t>
  </si>
  <si>
    <t>Exosomes and their implications in central nervous system tumor biology</t>
  </si>
  <si>
    <t>Mrowczynski OD, Zacharia BE, Connor JR.</t>
  </si>
  <si>
    <t>Prog Neurobiol. 2019 Jan;172:71-83. doi: 10.1016/j.pneurobio.2018.06.006. Epub 2018 Jul 9.</t>
  </si>
  <si>
    <t>Mrowczynski OD</t>
  </si>
  <si>
    <t>10.1016/j.pneurobio.2018.06.006</t>
  </si>
  <si>
    <t>Different gDNA content in the subpopulations of prostate cancer extracellular vesicles: apoptotic bodies, microvesicles, and exosomes</t>
  </si>
  <si>
    <t>Lázaro-Ibáñez E, Sanz-Garcia A, Visakorpi T, Escobedo-Lucea C, Siljander P, Ayuso-Sacido A, Yliperttula M.</t>
  </si>
  <si>
    <t>Prostate. 2014 Oct;74(14):1379-90. doi: 10.1002/pros.22853. Epub 2014 Aug 11.</t>
  </si>
  <si>
    <t>Lázaro-Ibáñez E</t>
  </si>
  <si>
    <t>Prostate</t>
  </si>
  <si>
    <t>PMC4312964</t>
  </si>
  <si>
    <t>Circulating Y-RNAs in Extracellular Vesicles and Ribonucleoprotein Complexes; Implications for the Immune System</t>
  </si>
  <si>
    <t>Driedonks TAP, Nolte-'t Hoen ENM.</t>
  </si>
  <si>
    <t>Front Immunol. 2019 Jan 15;9:3164. doi: 10.3389/fimmu.2018.03164. eCollection 2018.</t>
  </si>
  <si>
    <t>Driedonks TAP</t>
  </si>
  <si>
    <t>PMC6340977</t>
  </si>
  <si>
    <t>10.3389/fimmu.2018.03164</t>
  </si>
  <si>
    <t>Exosomes in disease and regeneration: biological functions, diagnostics, and beneficial effects</t>
  </si>
  <si>
    <t>Lin Y, Anderson JD, Rahnama LMA, Gu SV, Knowlton AA.</t>
  </si>
  <si>
    <t>Am J Physiol Heart Circ Physiol. 2020 Dec 1;319(6):H1162-H1180. doi: 10.1152/ajpheart.00075.2020. Epub 2020 Sep 28.</t>
  </si>
  <si>
    <t>Lin Y</t>
  </si>
  <si>
    <t>PMC7792703</t>
  </si>
  <si>
    <t>10.1152/ajpheart.00075.2020</t>
  </si>
  <si>
    <t>Tumor-derived exosomes: Potential biomarker or therapeutic target in breast cancer?</t>
  </si>
  <si>
    <t>Hesari A, Golrokh Moghadam SA, Siasi A, Rahmani M, Behboodi N, Rastgar-Moghadam A, Ferns GA, Ghasemi F, Avan A.</t>
  </si>
  <si>
    <t>J Cell Biochem. 2018 Jun;119(6):4236-4240. doi: 10.1002/jcb.26364. Epub 2018 Mar 7.</t>
  </si>
  <si>
    <t>Hesari A</t>
  </si>
  <si>
    <t>10.1002/jcb.26364</t>
  </si>
  <si>
    <t>Blood-Based Biomarkers for Metabolic Syndrome</t>
  </si>
  <si>
    <t>O'Neill S, Bohl M, Gregersen S, Hermansen K, O'Driscoll L.</t>
  </si>
  <si>
    <t>Trends Endocrinol Metab. 2016 Jun;27(6):363-374. doi: 10.1016/j.tem.2016.03.012. Epub 2016 Apr 14.</t>
  </si>
  <si>
    <t>O'Neill S</t>
  </si>
  <si>
    <t>Trends Endocrinol Metab</t>
  </si>
  <si>
    <t>10.1016/j.tem.2016.03.012</t>
  </si>
  <si>
    <t>Exosomal biomarkers for cancer diagnosis and patient monitoring</t>
  </si>
  <si>
    <t>Makler A, Asghar W.</t>
  </si>
  <si>
    <t>Expert Rev Mol Diagn. 2020 Apr;20(4):387-400. doi: 10.1080/14737159.2020.1731308. Epub 2020 Feb 20.</t>
  </si>
  <si>
    <t>Makler A</t>
  </si>
  <si>
    <t>PMC7071954</t>
  </si>
  <si>
    <t>NIHMS1567517</t>
  </si>
  <si>
    <t>10.1080/14737159.2020.1731308</t>
  </si>
  <si>
    <t>Salivary Exosomes: Emerging Roles in Systemic Disease</t>
  </si>
  <si>
    <t>Han Y, Jia L, Zheng Y, Li W.</t>
  </si>
  <si>
    <t>Int J Biol Sci. 2018 Apr 30;14(6):633-643. doi: 10.7150/ijbs.25018. eCollection 2018.</t>
  </si>
  <si>
    <t>Han Y</t>
  </si>
  <si>
    <t>Int J Biol Sci</t>
  </si>
  <si>
    <t>PMC6001649</t>
  </si>
  <si>
    <t>10.7150/ijbs.25018</t>
  </si>
  <si>
    <t>Yaşa B, Şahin O, Öcüt E, Seven M, Sözer S.</t>
  </si>
  <si>
    <t>Reprod Sci. 2021 Feb;28(2):562-569. doi: 10.1007/s43032-020-00321-4. Epub 2020 Sep 23.</t>
  </si>
  <si>
    <t>Yaşa B</t>
  </si>
  <si>
    <t>Reprod Sci</t>
  </si>
  <si>
    <t>Therapy resistance mediated by exosomes</t>
  </si>
  <si>
    <t>Steinbichler TB, Dudás J, Skvortsov S, Ganswindt U, Riechelmann H, Skvortsova II.</t>
  </si>
  <si>
    <t>Mol Cancer. 2019 Mar 30;18(1):58. doi: 10.1186/s12943-019-0970-x.</t>
  </si>
  <si>
    <t>Steinbichler TB</t>
  </si>
  <si>
    <t>PMC6441190</t>
  </si>
  <si>
    <t>10.1186/s12943-019-0970-x</t>
  </si>
  <si>
    <t>The Role of Extracellular Vesicles: An Epigenetic View of the Cancer Microenvironment</t>
  </si>
  <si>
    <t>Qian Z, Shen Q, Yang X, Qiu Y, Zhang W.</t>
  </si>
  <si>
    <t>Biomed Res Int. 2015;2015:649161. doi: 10.1155/2015/649161. Epub 2015 Oct 25.</t>
  </si>
  <si>
    <t>Qian Z</t>
  </si>
  <si>
    <t>Biomed Res Int</t>
  </si>
  <si>
    <t>PMC4637039</t>
  </si>
  <si>
    <t>10.1155/2015/649161</t>
  </si>
  <si>
    <t>Extracellular vesicles shed by glioma cells: pathogenic role and clinical value</t>
  </si>
  <si>
    <t>Chistiakov DA, Chekhonin VP.</t>
  </si>
  <si>
    <t>Tumour Biol. 2014 Sep;35(9):8425-38. doi: 10.1007/s13277-014-2262-9. Epub 2014 Jun 27.</t>
  </si>
  <si>
    <t>Tumour Biol</t>
  </si>
  <si>
    <t>10.1007/s13277-014-2262-9</t>
  </si>
  <si>
    <t>Exosomes and their role in CNS viral infections</t>
  </si>
  <si>
    <t>Sampey GC, Meyering SS, Zadeh MA, Saifuddin M, Hakami RM, Kashanchi F.</t>
  </si>
  <si>
    <t>J Neurovirol. 2014 Jun;20(3):199-208. doi: 10.1007/s13365-014-0238-6. Epub 2014 Feb 28.</t>
  </si>
  <si>
    <t>Sampey GC</t>
  </si>
  <si>
    <t>J Neurovirol</t>
  </si>
  <si>
    <t>PMC4378677</t>
  </si>
  <si>
    <t>NIHMS571314</t>
  </si>
  <si>
    <t>10.1007/s13365-014-0238-6</t>
  </si>
  <si>
    <t>Prattichizzo F, Micolucci L, Cricca M, De Carolis S, Mensà E, Ceriello A, Procopio AD, Bonafè M, Olivieri F.</t>
  </si>
  <si>
    <t>Mech Ageing Dev. 2017 Dec;168:44-53. doi: 10.1016/j.mad.2017.02.008. Epub 2017 Mar 1.</t>
  </si>
  <si>
    <t>Prattichizzo F</t>
  </si>
  <si>
    <t>Mech Ageing Dev</t>
  </si>
  <si>
    <t>Hagey DW, Kordes M, Görgens A, Mowoe MO, Nordin JZ, Moro CF, Löhr JM, El Andaloussi S.</t>
  </si>
  <si>
    <t>J Extracell Vesicles. 2021 Oct;10(12):e12142. doi: 10.1002/jev2.12142.</t>
  </si>
  <si>
    <t>Hagey DW</t>
  </si>
  <si>
    <t>PMC8485184</t>
  </si>
  <si>
    <t>LTB(4) and 5-oxo-ETE from extracellular vesicles stimulate neutrophils in granulomatosis with polyangiitis</t>
  </si>
  <si>
    <t>Surmiak M, Gielicz A, Stojkov D, Szatanek R, Wawrzycka-Adamczyk K, Yousefi S, Simon HU, Sanak M.</t>
  </si>
  <si>
    <t>J Lipid Res. 2020 Jan;61(1):1-9. doi: 10.1194/jlr.M092072. Epub 2019 Nov 18.</t>
  </si>
  <si>
    <t>Surmiak M</t>
  </si>
  <si>
    <t>J Lipid Res</t>
  </si>
  <si>
    <t>PMC6939603</t>
  </si>
  <si>
    <t>Therapeutic applications of extracellular vesicles: clinical promise and open questions</t>
  </si>
  <si>
    <t>György B, Hung ME, Breakefield XO, Leonard JN.</t>
  </si>
  <si>
    <t>Annu Rev Pharmacol Toxicol. 2015;55:439-464. doi: 10.1146/annurev-pharmtox-010814-124630. Epub 2014 Oct 3.</t>
  </si>
  <si>
    <t>György B</t>
  </si>
  <si>
    <t>Annu Rev Pharmacol Toxicol</t>
  </si>
  <si>
    <t>PMC4445965</t>
  </si>
  <si>
    <t>NIHMS688759</t>
  </si>
  <si>
    <t>10.1146/annurev-pharmtox-010814-124630</t>
  </si>
  <si>
    <t>Placental extracellular vesicles retain biological activity after short-term storage (14 days) at 4 °C or room temperature</t>
  </si>
  <si>
    <t>Su C, Tang Y, Shen F, Kang M, Groom K, Wise M, Chamley L, Chen Q.</t>
  </si>
  <si>
    <t>Placenta. 2021 Nov;115:115-120. doi: 10.1016/j.placenta.2021.09.017. Epub 2021 Sep 24.</t>
  </si>
  <si>
    <t>Su C</t>
  </si>
  <si>
    <t>Placenta</t>
  </si>
  <si>
    <t>Fowler CD.</t>
  </si>
  <si>
    <t>J Neurosci. 2019 Nov 20;39(47):9262-9268. doi: 10.1523/JNEUROSCI.0146-18.2019.</t>
  </si>
  <si>
    <t>Fowler CD</t>
  </si>
  <si>
    <t>J Neurosci</t>
  </si>
  <si>
    <t>PMC6867818</t>
  </si>
  <si>
    <t>Exosomal miRNAs: novel players in viral infection</t>
  </si>
  <si>
    <t>Nahand JS, Mahjoubin-Tehran M, Moghoofei M, Pourhanifeh MH, Mirzaei HR, Asemi Z, Khatami A, Bokharaei-Salim F, Mirzaei H, Hamblin MR.</t>
  </si>
  <si>
    <t>Epigenomics. 2020 Feb;12(4):353-370. doi: 10.2217/epi-2019-0192. Epub 2020 Feb 25.</t>
  </si>
  <si>
    <t>Nahand JS</t>
  </si>
  <si>
    <t>Epigenomics</t>
  </si>
  <si>
    <t>PMC7713899</t>
  </si>
  <si>
    <t>10.2217/epi-2019-0192</t>
  </si>
  <si>
    <t>Exosomes in tumor microenvironment: novel transporters and biomarkers</t>
  </si>
  <si>
    <t>Wang Z, Chen JQ, Liu JL, Tian L.</t>
  </si>
  <si>
    <t>J Transl Med. 2016 Oct 19;14(1):297. doi: 10.1186/s12967-016-1056-9.</t>
  </si>
  <si>
    <t>Wang Z</t>
  </si>
  <si>
    <t>J Transl Med</t>
  </si>
  <si>
    <t>PMC5070309</t>
  </si>
  <si>
    <t>10.1186/s12967-016-1056-9</t>
  </si>
  <si>
    <t>Dynamic nanoassembly-based drug delivery system (DNDDS): Learning from nature</t>
  </si>
  <si>
    <t>Hu X, Li F, Xia F, Wang Q, Lin P, Wei M, Gong L, Low LE, Lee JY, Ling D.</t>
  </si>
  <si>
    <t>Adv Drug Deliv Rev. 2021 Aug;175:113830. doi: 10.1016/j.addr.2021.113830. Epub 2021 Jun 15.</t>
  </si>
  <si>
    <t>Hu X</t>
  </si>
  <si>
    <t>Adv Drug Deliv Rev</t>
  </si>
  <si>
    <t>10.1016/j.addr.2021.113830</t>
  </si>
  <si>
    <t>Microvesicles and intercellular communication in the context of parasitism</t>
  </si>
  <si>
    <t>Barteneva NS, Maltsev N, Vorobjev IA.</t>
  </si>
  <si>
    <t>Front Cell Infect Microbiol. 2013 Sep 6;3:49. doi: 10.3389/fcimb.2013.00049. eCollection 2013.</t>
  </si>
  <si>
    <t>Barteneva NS</t>
  </si>
  <si>
    <t>Front Cell Infect Microbiol</t>
  </si>
  <si>
    <t>PMC3764926</t>
  </si>
  <si>
    <t>10.3389/fcimb.2013.00049</t>
  </si>
  <si>
    <t>Exploiting Exosomes in Cancer Liquid Biopsies and Drug Delivery</t>
  </si>
  <si>
    <t>Fitts CA, Ji N, Li Y, Tan C.</t>
  </si>
  <si>
    <t>Adv Healthc Mater. 2019 Mar;8(6):e1801268. doi: 10.1002/adhm.201801268. Epub 2019 Jan 21.</t>
  </si>
  <si>
    <t>Fitts CA</t>
  </si>
  <si>
    <t>Adv Healthc Mater</t>
  </si>
  <si>
    <t>10.1002/adhm.201801268</t>
  </si>
  <si>
    <t>Potential Novel Biomarkers in Chronic Graft-Versus-Host Disease</t>
  </si>
  <si>
    <t>Crossland RE, Perutelli F, Bogunia-Kubik K, Mooney N, Milutin Gašperov N, Pučić-Baković M, Greinix H, Weber D, Holler E, Pulanić D, Wolff D, Dickinson AM, Inngjerdingen M, Grce M.</t>
  </si>
  <si>
    <t>Front Immunol. 2020 Dec 23;11:602547. doi: 10.3389/fimmu.2020.602547. eCollection 2020.</t>
  </si>
  <si>
    <t>Crossland RE</t>
  </si>
  <si>
    <t>PMC7786047</t>
  </si>
  <si>
    <t>10.3389/fimmu.2020.602547</t>
  </si>
  <si>
    <t>Accurate and Nonpurified Identification of Extracellular Vesicles Using Dual-Binding Recognition Mode</t>
  </si>
  <si>
    <t>Sun W, Wang Y, Zhu Z, Wang Y, Zhang M, Jiang L, Liu S, Yu J, Huang J.</t>
  </si>
  <si>
    <t>Anal Chem. 2021 Sep 14;93(36):12383-12390. doi: 10.1021/acs.analchem.1c02259. Epub 2021 Aug 27.</t>
  </si>
  <si>
    <t>Sun W</t>
  </si>
  <si>
    <t>10.1021/acs.analchem.1c02259</t>
  </si>
  <si>
    <t>Wang X, Weidling I, Koppel S, Menta B, Perez Ortiz J, Kalani A, Wilkins HM, Swerdlow RH.</t>
  </si>
  <si>
    <t>Mitochondrion. 2020 Nov;55:100-110. doi: 10.1016/j.mito.2020.09.006. Epub 2020 Sep 24.</t>
  </si>
  <si>
    <t>Wang X</t>
  </si>
  <si>
    <t>PMC7669644</t>
  </si>
  <si>
    <t>NIHMS1631964</t>
  </si>
  <si>
    <t>Formation, contents, functions of exosomes and their potential in lung cancer diagnostics and therapeutics</t>
  </si>
  <si>
    <t>Xia Z, Qing B, Wang W, Gu L, Chen H, Yuan Y.</t>
  </si>
  <si>
    <t>Thorac Cancer. 2021 Dec;12(23):3088-3100. doi: 10.1111/1759-7714.14217. Epub 2021 Nov 4.</t>
  </si>
  <si>
    <t>Xia Z</t>
  </si>
  <si>
    <t>Thorac Cancer</t>
  </si>
  <si>
    <t>PMC8636224</t>
  </si>
  <si>
    <t>10.1111/1759-7714.14217</t>
  </si>
  <si>
    <t>Lathwal S, Yerneni SS, Boye S, Muza UL, Takahashi S, Sugimoto N, Lederer A, Das SR, Campbell PG, Matyjaszewski K.</t>
  </si>
  <si>
    <t>Proc Natl Acad Sci U S A. 2021 Jan 12;118(2):e2020241118. doi: 10.1073/pnas.2020241118.</t>
  </si>
  <si>
    <t>Lathwal S</t>
  </si>
  <si>
    <t>PMC7812758</t>
  </si>
  <si>
    <t>Brambilla D, Sola L, Ferretti AM, Chiodi E, Zarovni N, Fortunato D, Criscuoli M, Dolo V, Giusti I, Murdica V, Kluszczyńska K, Czernek L, Düchler M, Vago R, Chiari M.</t>
  </si>
  <si>
    <t>Anal Chem. 2021 Apr 6;93(13):5476-5483. doi: 10.1021/acs.analchem.0c05194. Epub 2021 Mar 26.</t>
  </si>
  <si>
    <t>Brambilla D</t>
  </si>
  <si>
    <t>Tumor-derived exosomes in cancer progression and treatment failure</t>
  </si>
  <si>
    <t>Yu S, Cao H, Shen B, Feng J.</t>
  </si>
  <si>
    <t>Oncotarget. 2015 Nov 10;6(35):37151-68. doi: 10.18632/oncotarget.6022.</t>
  </si>
  <si>
    <t>Yu S</t>
  </si>
  <si>
    <t>Oncotarget</t>
  </si>
  <si>
    <t>PMC4741921</t>
  </si>
  <si>
    <t>10.18632/oncotarget.6022</t>
  </si>
  <si>
    <t>Tumor-derived exosomes and microvesicles in head and neck cancer: implications for tumor biology and biomarker discovery</t>
  </si>
  <si>
    <t>Principe S, Hui AB, Bruce J, Sinha A, Liu FF, Kislinger T.</t>
  </si>
  <si>
    <t>Proteomics. 2013 May;13(10-11):1608-23. doi: 10.1002/pmic.201200533.</t>
  </si>
  <si>
    <t>Principe S</t>
  </si>
  <si>
    <t>Proteomics</t>
  </si>
  <si>
    <t>10.1002/pmic.201200533</t>
  </si>
  <si>
    <t>Semcheddine F, El Islem Guissi N, Liu W, Tayyaba, Gang L, Jiang H, Wang X.</t>
  </si>
  <si>
    <t>Mater Horiz. 2021 Oct 4;8(10):2771-2784. doi: 10.1039/d1mh00880c.</t>
  </si>
  <si>
    <t>Semcheddine F</t>
  </si>
  <si>
    <t>Mater Horiz</t>
  </si>
  <si>
    <t>Clancy JW, Sheehan CS, Boomgarden AC, D'Souza-Schorey C.</t>
  </si>
  <si>
    <t>Cell Rep. 2022 Mar 1;38(9):110443. doi: 10.1016/j.celrep.2022.110443.</t>
  </si>
  <si>
    <t>Clancy JW</t>
  </si>
  <si>
    <t>Cell Rep</t>
  </si>
  <si>
    <t>Biology, Pathophysiological Role, and Clinical Implications of Exosomes: A Critical Appraisal</t>
  </si>
  <si>
    <t>Jan AT, Rahman S, Khan S, Tasduq SA, Choi I.</t>
  </si>
  <si>
    <t>Cells. 2019 Jan 29;8(2):99. doi: 10.3390/cells8020099.</t>
  </si>
  <si>
    <t>Jan AT</t>
  </si>
  <si>
    <t>PMC6406279</t>
  </si>
  <si>
    <t>10.3390/cells8020099</t>
  </si>
  <si>
    <t>Tumor exosomes: cellular postmen of cancer diagnosis and personalized therapy</t>
  </si>
  <si>
    <t>Sharma A, Khatun Z, Shiras A.</t>
  </si>
  <si>
    <t>Nanomedicine (Lond). 2016 Feb;11(4):421-37. doi: 10.2217/nnm.15.210. Epub 2016 Jan 19.</t>
  </si>
  <si>
    <t>Sharma A</t>
  </si>
  <si>
    <t>Nanomedicine (Lond)</t>
  </si>
  <si>
    <t>10.2217/nnm.15.210</t>
  </si>
  <si>
    <t>Tumor-derived microparticles in tumor immunology and immunotherapy</t>
  </si>
  <si>
    <t>Ma J, Zhang H, Tang K, Huang B.</t>
  </si>
  <si>
    <t>Eur J Immunol. 2020 Nov;50(11):1653-1662. doi: 10.1002/eji.202048548. Epub 2020 Oct 28.</t>
  </si>
  <si>
    <t>Ma J</t>
  </si>
  <si>
    <t>Eur J Immunol</t>
  </si>
  <si>
    <t>PMC7702100</t>
  </si>
  <si>
    <t>10.1002/eji.202048548</t>
  </si>
  <si>
    <t>Exosomes in cancer: Small transporters with big functions</t>
  </si>
  <si>
    <t>Li X, Wang Y, Wang Q, Liu Y, Bao W, Wu S.</t>
  </si>
  <si>
    <t>Cancer Lett. 2018 Oct 28;435:55-65. doi: 10.1016/j.canlet.2018.07.037. Epub 2018 Jul 31.</t>
  </si>
  <si>
    <t>10.1016/j.canlet.2018.07.037</t>
  </si>
  <si>
    <t>Circulating exosomes in obstructive sleep apnea as phenotypic biomarkers and mechanistic messengers of end-organ morbidity</t>
  </si>
  <si>
    <t>Khalyfa A, Kheirandish-Gozal L, Gozal D.</t>
  </si>
  <si>
    <t>Respir Physiol Neurobiol. 2018 Oct;256:143-156. doi: 10.1016/j.resp.2017.06.004. Epub 2017 Jul 1.</t>
  </si>
  <si>
    <t>Khalyfa A</t>
  </si>
  <si>
    <t>Respir Physiol Neurobiol</t>
  </si>
  <si>
    <t>PMC5748374</t>
  </si>
  <si>
    <t>NIHMS893253</t>
  </si>
  <si>
    <t>10.1016/j.resp.2017.06.004</t>
  </si>
  <si>
    <t>Martín-Cófreces NB, Torralba D, Lozano-Prieto M, Fernández-Gallego N, Sánchez-Madrid F.</t>
  </si>
  <si>
    <t>Methods Mol Biol. 2021;2346:91-104. doi: 10.1007/7651_2020_320.</t>
  </si>
  <si>
    <t>Martín-Cófreces NB</t>
  </si>
  <si>
    <t>The potential of endurance exercise-derived exosomes to treat metabolic diseases</t>
  </si>
  <si>
    <t>Safdar A, Saleem A, Tarnopolsky MA.</t>
  </si>
  <si>
    <t>Nat Rev Endocrinol. 2016 Sep;12(9):504-17. doi: 10.1038/nrendo.2016.76. Epub 2016 May 27.</t>
  </si>
  <si>
    <t>Nat Rev Endocrinol</t>
  </si>
  <si>
    <t>10.1038/nrendo.2016.76</t>
  </si>
  <si>
    <t>Discovery of Double-Stranded Genomic DNA in Circulating Exosomes</t>
  </si>
  <si>
    <t>Kalluri R, LeBleu VS.</t>
  </si>
  <si>
    <t>Cold Spring Harb Symp Quant Biol. 2016;81:275-280. doi: 10.1101/sqb.2016.81.030932. Epub 2017 Apr 19.</t>
  </si>
  <si>
    <t>Cold Spring Harb Symp Quant Biol</t>
  </si>
  <si>
    <t>10.1101/sqb.2016.81.030932</t>
  </si>
  <si>
    <t>Extracellular vesicles: Novel mediator for cell to cell communications in liver pathogenesis</t>
  </si>
  <si>
    <t>Devhare PB, Ray RB.</t>
  </si>
  <si>
    <t>Mol Aspects Med. 2018 Apr;60:115-122. doi: 10.1016/j.mam.2017.11.001. Epub 2017 Nov 11.</t>
  </si>
  <si>
    <t>Devhare PB</t>
  </si>
  <si>
    <t>PMC5856598</t>
  </si>
  <si>
    <t>NIHMS919754</t>
  </si>
  <si>
    <t>10.1016/j.mam.2017.11.001</t>
  </si>
  <si>
    <t>Extracellular vesicle transfer of cancer pathogenic components</t>
  </si>
  <si>
    <t>Fujita Y, Yoshioka Y, Ochiya T.</t>
  </si>
  <si>
    <t>Cancer Sci. 2016 Apr;107(4):385-90. doi: 10.1111/cas.12896. Epub 2016 Mar 18.</t>
  </si>
  <si>
    <t>Cancer Sci</t>
  </si>
  <si>
    <t>PMC4832849</t>
  </si>
  <si>
    <t>10.1111/cas.12896</t>
  </si>
  <si>
    <t>Exosomal microRNAs derived from mesenchymal stem cells: cell-to-cell messages</t>
  </si>
  <si>
    <t>Asgarpour K, Shojaei Z, Amiri F, Ai J, Mahjoubin-Tehran M, Ghasemi F, ArefNezhad R, Hamblin MR, Mirzaei H.</t>
  </si>
  <si>
    <t>Cell Commun Signal. 2020 Sep 11;18(1):149. doi: 10.1186/s12964-020-00650-6.</t>
  </si>
  <si>
    <t>Asgarpour K</t>
  </si>
  <si>
    <t>Cell Commun Signal</t>
  </si>
  <si>
    <t>PMC7488404</t>
  </si>
  <si>
    <t>10.1186/s12964-020-00650-6</t>
  </si>
  <si>
    <t>Liquid Biopsies, What We Do Not Know (Yet)</t>
  </si>
  <si>
    <t>Bardelli A, Pantel K.</t>
  </si>
  <si>
    <t>Cancer Cell. 2017 Feb 13;31(2):172-179. doi: 10.1016/j.ccell.2017.01.002.</t>
  </si>
  <si>
    <t>Bardelli A</t>
  </si>
  <si>
    <t>Cancer Cell</t>
  </si>
  <si>
    <t>10.1016/j.ccell.2017.01.002</t>
  </si>
  <si>
    <t>Expanding Neutrophil Horizons: New Concepts in Inflammation</t>
  </si>
  <si>
    <t>Chatfield SM, Thieblemont N, Witko-Sarsat V.</t>
  </si>
  <si>
    <t>J Innate Immun. 2018;10(5-6):422-431. doi: 10.1159/000493101. Epub 2018 Sep 26.</t>
  </si>
  <si>
    <t>Chatfield SM</t>
  </si>
  <si>
    <t>J Innate Immun</t>
  </si>
  <si>
    <t>PMC6785650</t>
  </si>
  <si>
    <t>10.1159/000493101</t>
  </si>
  <si>
    <t>Herpesviruses hijack host exosomes for viral pathogenesis</t>
  </si>
  <si>
    <t>Sadeghipour S, Mathias RA.</t>
  </si>
  <si>
    <t>Semin Cell Dev Biol. 2017 Jul;67:91-100. doi: 10.1016/j.semcdb.2017.03.005. Epub 2017 Apr 26.</t>
  </si>
  <si>
    <t>Sadeghipour S</t>
  </si>
  <si>
    <t>Semin Cell Dev Biol</t>
  </si>
  <si>
    <t>10.1016/j.semcdb.2017.03.005</t>
  </si>
  <si>
    <t>Exosome-based strategies for Diagnosis and Therapy</t>
  </si>
  <si>
    <t>Urbanelli L, Buratta S, Sagini K, Ferrara G, Lanni M, Emiliani C.</t>
  </si>
  <si>
    <t>Recent Pat CNS Drug Discov. 2015;10(1):10-27. doi: 10.2174/1574889810666150702124059.</t>
  </si>
  <si>
    <t>Urbanelli L</t>
  </si>
  <si>
    <t>Recent Pat CNS Drug Discov</t>
  </si>
  <si>
    <t>10.2174/1574889810666150702124059</t>
  </si>
  <si>
    <t>Circulating microparticles: square the circle</t>
  </si>
  <si>
    <t>Barteneva NS, Fasler-Kan E, Bernimoulin M, Stern JN, Ponomarev ED, Duckett L, Vorobjev IA.</t>
  </si>
  <si>
    <t>BMC Cell Biol. 2013 Apr 22;14:23. doi: 10.1186/1471-2121-14-23.</t>
  </si>
  <si>
    <t>BMC Cell Biol</t>
  </si>
  <si>
    <t>PMC3651414</t>
  </si>
  <si>
    <t>10.1186/1471-2121-14-23</t>
  </si>
  <si>
    <t>Carvalho AS, Baeta H, Silva BC, Moraes MCS, Bodo C, Beck HC, Rodriguez MS, Saraswat M, Pandey A, Matthiesen R.</t>
  </si>
  <si>
    <t>Front Biosci (Landmark Ed). 2020 Jan 1;25(3):398-436. doi: 10.2741/4811.</t>
  </si>
  <si>
    <t>Carvalho AS</t>
  </si>
  <si>
    <t>Front Biosci (Landmark Ed)</t>
  </si>
  <si>
    <t>Extracellular Vesicles as Biomarkers and Therapeutic Targets in Breast Cancer</t>
  </si>
  <si>
    <t>Sadovska L, Eglītis J, Linē A.</t>
  </si>
  <si>
    <t>Anticancer Res. 2015 Dec;35(12):6379-90.</t>
  </si>
  <si>
    <t>Sadovska L</t>
  </si>
  <si>
    <t>Anticancer Res</t>
  </si>
  <si>
    <t>Role of Exosomes in Human Retroviral Mediated Disorders</t>
  </si>
  <si>
    <t>Anderson M, Kashanchi F, Jacobson S.</t>
  </si>
  <si>
    <t>J Neuroimmune Pharmacol. 2018 Sep;13(3):279-291. doi: 10.1007/s11481-018-9784-7. Epub 2018 Apr 14.</t>
  </si>
  <si>
    <t>Anderson M</t>
  </si>
  <si>
    <t>J Neuroimmune Pharmacol</t>
  </si>
  <si>
    <t>10.1007/s11481-018-9784-7</t>
  </si>
  <si>
    <t>Tang KD, Wan Y, Zhang X, Bozyk N, Vasani S, Kenny L, Punyadeera C.</t>
  </si>
  <si>
    <t>Mol Diagn Ther. 2021 Jul;25(4):505-515. doi: 10.1007/s40291-021-00538-2. Epub 2021 Jun 2.</t>
  </si>
  <si>
    <t>Tang KD</t>
  </si>
  <si>
    <t>Mol Diagn Ther</t>
  </si>
  <si>
    <t>Extracellular vesicles in obesity and its associated inflammation</t>
  </si>
  <si>
    <t>Kumar V, Kiran S, Kumar S, Singh UP.</t>
  </si>
  <si>
    <t>Int Rev Immunol. 2022;41(1):30-44. doi: 10.1080/08830185.2021.1964497. Epub 2021 Aug 23.</t>
  </si>
  <si>
    <t>Kumar V</t>
  </si>
  <si>
    <t>Int Rev Immunol</t>
  </si>
  <si>
    <t>PMC8770589</t>
  </si>
  <si>
    <t>NIHMS1760223</t>
  </si>
  <si>
    <t>10.1080/08830185.2021.1964497</t>
  </si>
  <si>
    <t>Exosome DNA: Critical regulator of tumor immunity and a diagnostic biomarker</t>
  </si>
  <si>
    <t>Sharma A, Johnson A.</t>
  </si>
  <si>
    <t>J Cell Physiol. 2020 Mar;235(3):1921-1932. doi: 10.1002/jcp.29153. Epub 2019 Sep 11.</t>
  </si>
  <si>
    <t>10.1002/jcp.29153</t>
  </si>
  <si>
    <t>Exosomes: Key mediators of metastasis and pre-metastatic niche formation</t>
  </si>
  <si>
    <t>Lobb RJ, Lima LG, Möller A.</t>
  </si>
  <si>
    <t>Semin Cell Dev Biol. 2017 Jul;67:3-10. doi: 10.1016/j.semcdb.2017.01.004. Epub 2017 Jan 8.</t>
  </si>
  <si>
    <t>Lobb RJ</t>
  </si>
  <si>
    <t>10.1016/j.semcdb.2017.01.004</t>
  </si>
  <si>
    <t>Role of exosomes in myocardial remodeling</t>
  </si>
  <si>
    <t>Waldenström A, Ronquist G.</t>
  </si>
  <si>
    <t>Circ Res. 2014 Jan 17;114(2):315-24. doi: 10.1161/CIRCRESAHA.114.300584.</t>
  </si>
  <si>
    <t>Waldenström A</t>
  </si>
  <si>
    <t>Circ Res</t>
  </si>
  <si>
    <t>10.1161/CIRCRESAHA.114.300584</t>
  </si>
  <si>
    <t>Chattapadhyaya S, Haldar S, Banerjee S.</t>
  </si>
  <si>
    <t>J Cell Physiol. 2020 Mar;235(3):2619-2630. doi: 10.1002/jcp.29166. Epub 2019 Sep 9.</t>
  </si>
  <si>
    <t>Chattapadhyaya S</t>
  </si>
  <si>
    <t>Vesiduction: the fourth way of HGT</t>
  </si>
  <si>
    <t>Soler N, Forterre P.</t>
  </si>
  <si>
    <t>Environ Microbiol. 2020 Jul;22(7):2457-2460. doi: 10.1111/1462-2920.15056. Epub 2020 Jun 14.</t>
  </si>
  <si>
    <t>Soler N</t>
  </si>
  <si>
    <t>Environ Microbiol</t>
  </si>
  <si>
    <t>10.1111/1462-2920.15056</t>
  </si>
  <si>
    <t>Blesa A, Berenguer J.</t>
  </si>
  <si>
    <t>Methods Mol Biol. 2020;2075:209-221. doi: 10.1007/978-1-4939-9877-7_15.</t>
  </si>
  <si>
    <t>Blesa A</t>
  </si>
  <si>
    <t>Delivery of microRNAs by Extracellular Vesicles in Viral Infections: Could the News be Packaged?</t>
  </si>
  <si>
    <t>Yoshikawa FSY, Teixeira FME, Sato MN, Oliveira LMDS.</t>
  </si>
  <si>
    <t>Cells. 2019 Jun 18;8(6):611. doi: 10.3390/cells8060611.</t>
  </si>
  <si>
    <t>Yoshikawa FSY</t>
  </si>
  <si>
    <t>PMC6627707</t>
  </si>
  <si>
    <t>10.3390/cells8060611</t>
  </si>
  <si>
    <t>Review: Fetal-maternal communication via extracellular vesicles - Implications for complications of pregnancies</t>
  </si>
  <si>
    <t>Adam S, Elfeky O, Kinhal V, Dutta S, Lai A, Jayabalan N, Nuzhat Z, Palma C, Rice GE, Salomon C.</t>
  </si>
  <si>
    <t>Placenta. 2017 Jun;54:83-88. doi: 10.1016/j.placenta.2016.12.001. Epub 2016 Dec 5.</t>
  </si>
  <si>
    <t>Adam S</t>
  </si>
  <si>
    <t>10.1016/j.placenta.2016.12.001</t>
  </si>
  <si>
    <t>Schwager SC, Bordeleau F, Zhang J, Antonyak MA, Cerione RA, Reinhart-King CA.</t>
  </si>
  <si>
    <t>Am J Physiol Cell Physiol. 2019 Jul 1;317(1):C82-C92. doi: 10.1152/ajpcell.00418.2018. Epub 2019 Apr 24.</t>
  </si>
  <si>
    <t>Schwager SC</t>
  </si>
  <si>
    <t>Am J Physiol Cell Physiol</t>
  </si>
  <si>
    <t>PMC6689748</t>
  </si>
  <si>
    <t>Sharifi H, Shafiee A, Molavi G, Razi E, Mousavi N, Sarvizadeh M, Taghizadeh M.</t>
  </si>
  <si>
    <t>J Cell Biochem. 2019 Oct;120(10):16307-16315. doi: 10.1002/jcb.29018. Epub 2019 May 24.</t>
  </si>
  <si>
    <t>Sharifi H</t>
  </si>
  <si>
    <t>Zhang L, Lin TV, Yuan Q, Sadoul R, Lam TT, Bordey A.</t>
  </si>
  <si>
    <t>J Neurosci. 2021 Apr 28;41(17):3799-3807. doi: 10.1523/JNEUROSCI.0766-20.2021. Epub 2021 Mar 19.</t>
  </si>
  <si>
    <t>Zhang L</t>
  </si>
  <si>
    <t>PMC8084316</t>
  </si>
  <si>
    <t>Placental microparticles, DNA, and RNA in preeclampsia</t>
  </si>
  <si>
    <t>Rusterholz C, Messerli M, Hoesli I, Hahn S.</t>
  </si>
  <si>
    <t>Hypertens Pregnancy. 2011;30(3):364-75. doi: 10.3109/10641951003599571. Epub 2010 Dec 21.</t>
  </si>
  <si>
    <t>Rusterholz C</t>
  </si>
  <si>
    <t>Hypertens Pregnancy</t>
  </si>
  <si>
    <t>10.3109/10641951003599571</t>
  </si>
  <si>
    <t>Elashiry M, Elsayed R, Cutler CW.</t>
  </si>
  <si>
    <t>Cells. 2021 Dec 30;11(1):115. doi: 10.3390/cells11010115.</t>
  </si>
  <si>
    <t>Elashiry M</t>
  </si>
  <si>
    <t>PMC8750541</t>
  </si>
  <si>
    <t>Zhou M, Li C, Wang B, Huang L.</t>
  </si>
  <si>
    <t>Anal Methods. 2021 Sep 16;13(35):4001-4007. doi: 10.1039/d1ay00854d.</t>
  </si>
  <si>
    <t>Zhou M</t>
  </si>
  <si>
    <t>Anal Methods</t>
  </si>
  <si>
    <t>Noncoding RNA Surveillance: The Ends Justify the Means</t>
  </si>
  <si>
    <t>Belair C, Sim S, Wolin SL.</t>
  </si>
  <si>
    <t>Chem Rev. 2018 Apr 25;118(8):4422-4447. doi: 10.1021/acs.chemrev.7b00462. Epub 2017 Oct 12.</t>
  </si>
  <si>
    <t>Belair C</t>
  </si>
  <si>
    <t>Chem Rev</t>
  </si>
  <si>
    <t>PMC8071604</t>
  </si>
  <si>
    <t>NIHMS1690073</t>
  </si>
  <si>
    <t>10.1021/acs.chemrev.7b00462</t>
  </si>
  <si>
    <t>Choi D, Montermini L, Jeong H, Sharma S, Meehan B, Rak J.</t>
  </si>
  <si>
    <t>ACS Nano. 2019 Sep 24;13(9):10499-10511. doi: 10.1021/acsnano.9b04480. Epub 2019 Sep 10.</t>
  </si>
  <si>
    <t>Targeted therapeutic delivery using engineered exosomes and its applications in cardiovascular diseases</t>
  </si>
  <si>
    <t>Xitong D, Xiaorong Z.</t>
  </si>
  <si>
    <t>Gene. 2016 Jan 10;575(2 Pt 2):377-384. doi: 10.1016/j.gene.2015.08.067. Epub 2015 Sep 2.</t>
  </si>
  <si>
    <t>Xitong D</t>
  </si>
  <si>
    <t>Gene</t>
  </si>
  <si>
    <t>10.1016/j.gene.2015.08.067</t>
  </si>
  <si>
    <t>Extracellular vesicle communication pathways as regulatory targets of oncogenic transformation</t>
  </si>
  <si>
    <t>Choi D, Lee TH, Spinelli C, Chennakrishnaiah S, D'Asti E, Rak J.</t>
  </si>
  <si>
    <t>Semin Cell Dev Biol. 2017 Jul;67:11-22. doi: 10.1016/j.semcdb.2017.01.003. Epub 2017 Jan 8.</t>
  </si>
  <si>
    <t>10.1016/j.semcdb.2017.01.003</t>
  </si>
  <si>
    <t>RNA-regulatory exosome complex confers cellular survival to promote erythropoiesis</t>
  </si>
  <si>
    <t>Mehta C, Fraga de Andrade I, Matson DR, Dewey CN, Bresnick EH.</t>
  </si>
  <si>
    <t>Nucleic Acids Res. 2021 Sep 20;49(16):9007-9025. doi: 10.1093/nar/gkab367.</t>
  </si>
  <si>
    <t>Mehta C</t>
  </si>
  <si>
    <t>Nucleic Acids Res</t>
  </si>
  <si>
    <t>PMC8450083</t>
  </si>
  <si>
    <t>10.1093/nar/gkab367</t>
  </si>
  <si>
    <t>Inhibition of oncogenic epidermal growth factor receptor kinase triggers release of exosome-like extracellular vesicles and impacts their phosphoprotein and DNA content</t>
  </si>
  <si>
    <t>Montermini L, Meehan B, Garnier D, Lee WJ, Lee TH, Guha A, Al-Nedawi K, Rak J.</t>
  </si>
  <si>
    <t>J Biol Chem. 2015 Oct 2;290(40):24534-46. doi: 10.1074/jbc.M115.679217. Epub 2015 Aug 13.</t>
  </si>
  <si>
    <t>Montermini L</t>
  </si>
  <si>
    <t>J Biol Chem</t>
  </si>
  <si>
    <t>PMC4591833</t>
  </si>
  <si>
    <t>miR-210 transferred by lung cancer cell-derived exosomes may act as proangiogenic factor in cancer-associated fibroblasts by modulating JAK2/STAT3 pathway</t>
  </si>
  <si>
    <t>Fan J, Xu G, Chang Z, Zhu L, Yao J.</t>
  </si>
  <si>
    <t>Clin Sci (Lond). 2020 Apr 17;134(7):807-825. doi: 10.1042/CS20200039.</t>
  </si>
  <si>
    <t>Fan J</t>
  </si>
  <si>
    <t>Clin Sci (Lond)</t>
  </si>
  <si>
    <t>10.1042/CS20200039</t>
  </si>
  <si>
    <t>Extracellular vesicles in the biology of brain tumour stem cells--Implications for inter-cellular communication, therapy and biomarker development</t>
  </si>
  <si>
    <t>Nakano I, Garnier D, Minata M, Rak J.</t>
  </si>
  <si>
    <t>Semin Cell Dev Biol. 2015 Apr;40:17-26. doi: 10.1016/j.semcdb.2015.02.011. Epub 2015 Feb 23.</t>
  </si>
  <si>
    <t>Nakano I</t>
  </si>
  <si>
    <t>10.1016/j.semcdb.2015.02.011</t>
  </si>
  <si>
    <t>Microvesicles as novel biomarkers and therapeutic targets in transplantation medicine</t>
  </si>
  <si>
    <t>Fleissner F, Goerzig Y, Haverich A, Thum T.</t>
  </si>
  <si>
    <t>Am J Transplant. 2012 Feb;12(2):289-97. doi: 10.1111/j.1600-6143.2011.03790.x. Epub 2011 Nov 14.</t>
  </si>
  <si>
    <t>Fleissner F</t>
  </si>
  <si>
    <t>Am J Transplant</t>
  </si>
  <si>
    <t>10.1111/j.1600-6143.2011.03790.x</t>
  </si>
  <si>
    <t>Emerging local delivery strategies to enhance bone regeneration</t>
  </si>
  <si>
    <t>Elangovan S, Gajendrareddy P, Ravindran S, Salem AK.</t>
  </si>
  <si>
    <t>Biomed Mater. 2020 Nov 21;15(6):062001. doi: 10.1088/1748-605X/aba446.</t>
  </si>
  <si>
    <t>Elangovan S</t>
  </si>
  <si>
    <t>Biomed Mater</t>
  </si>
  <si>
    <t>10.1088/1748-605X/aba446</t>
  </si>
  <si>
    <t>Lu Z, Shi Y, Ma Y, Jia B, Li X, Guan X, Li Z.</t>
  </si>
  <si>
    <t>Anal Chem. 2022 Jul 5;94(26):9466-9471. doi: 10.1021/acs.analchem.2c01872. Epub 2022 Jun 22.</t>
  </si>
  <si>
    <t>Lu Z</t>
  </si>
  <si>
    <t>He D, Ho SL, Chan HN, Wang H, Hai L, He X, Wang K, Li HW.</t>
  </si>
  <si>
    <t>Anal Chem. 2019 Feb 19;91(4):2768-2775. doi: 10.1021/acs.analchem.8b04509. Epub 2019 Jan 29.</t>
  </si>
  <si>
    <t>He D</t>
  </si>
  <si>
    <t>New insight into isolation, identification techniques and medical applications of exosomes</t>
  </si>
  <si>
    <t>Yang XX, Sun C, Wang L, Guo XL.</t>
  </si>
  <si>
    <t>J Control Release. 2019 Aug 28;308:119-129. doi: 10.1016/j.jconrel.2019.07.021. Epub 2019 Jul 17.</t>
  </si>
  <si>
    <t>Yang XX</t>
  </si>
  <si>
    <t>10.1016/j.jconrel.2019.07.021</t>
  </si>
  <si>
    <t>Rasmussen NS, Nielsen CT, Nielsen CH, Jacobsen S.</t>
  </si>
  <si>
    <t>Clin Exp Immunol. 2021 Apr;204(1):64-77. doi: 10.1111/cei.13569. Epub 2021 Jan 25.</t>
  </si>
  <si>
    <t>Rasmussen NS</t>
  </si>
  <si>
    <t>Clin Exp Immunol</t>
  </si>
  <si>
    <t>PMC7944362</t>
  </si>
  <si>
    <t>The characterization of exosomes from fibrosarcoma cell and the useful usage of Dynamic Light Scattering (DLS) for their evaluation</t>
  </si>
  <si>
    <t>Lyu TS, Ahn Y, Im YJ, Kim SS, Lee KH, Kim J, Choi Y, Lee D, Kang E, Jin G, Hwang J, Lee SI, Cho JA.</t>
  </si>
  <si>
    <t>PLoS One. 2021 Jan 26;16(1):e0231994. doi: 10.1371/journal.pone.0231994. eCollection 2021.</t>
  </si>
  <si>
    <t>Lyu TS</t>
  </si>
  <si>
    <t>PLoS One</t>
  </si>
  <si>
    <t>PMC7837462</t>
  </si>
  <si>
    <t>10.1371/journal.pone.0231994</t>
  </si>
  <si>
    <t>PLoS One. 2020 Feb 24;15(2):e0229309. doi: 10.1371/journal.pone.0229309. eCollection 2020.</t>
  </si>
  <si>
    <t>PMC7039433</t>
  </si>
  <si>
    <t>Andrade LNS, Otake AH, Cardim SGB, da Silva FI, Ikoma Sakamoto MM, Furuya TK, Uno M, Pasini FS, Chammas R.</t>
  </si>
  <si>
    <t>Sci Rep. 2019 Oct 9;9(1):14482. doi: 10.1038/s41598-019-50848-z.</t>
  </si>
  <si>
    <t>Andrade LNS</t>
  </si>
  <si>
    <t>PMC6785560</t>
  </si>
  <si>
    <t>Hauser P, Wang S, Didenko VV.</t>
  </si>
  <si>
    <t>Methods Mol Biol. 2017;1554:193-200. doi: 10.1007/978-1-4939-6759-9_12.</t>
  </si>
  <si>
    <t>Hauser P</t>
  </si>
  <si>
    <t>Abramowicz A, Łabaj W, Mika J, Szołtysek K, Ślęzak-Prochazka I, Mielańczyk Ł, Story MD, Pietrowska M, Polański A, Widłak P.</t>
  </si>
  <si>
    <t>Radiat Res. 2020 Aug 1;194(2):133-142. doi: 10.1667/RADE-20-00007.</t>
  </si>
  <si>
    <t>Abramowicz A</t>
  </si>
  <si>
    <t>Radiat Res</t>
  </si>
  <si>
    <t>Exosomes provide unappreciated carrier effects that assist transfers of their miRNAs to targeted cells; I. They are 'The Elephant in the Room'</t>
  </si>
  <si>
    <t>Askenase PW.</t>
  </si>
  <si>
    <t>RNA Biol. 2021 Nov;18(11):2038-2053. doi: 10.1080/15476286.2021.1885189. Epub 2021 May 4.</t>
  </si>
  <si>
    <t>Askenase PW</t>
  </si>
  <si>
    <t>RNA Biol</t>
  </si>
  <si>
    <t>PMC8582996</t>
  </si>
  <si>
    <t>10.1080/15476286.2021.1885189</t>
  </si>
  <si>
    <t>Jeon H, Kang SK, Lee MS.</t>
  </si>
  <si>
    <t>PLoS One. 2020 Jul 7;15(7):e0235793. doi: 10.1371/journal.pone.0235793. eCollection 2020.</t>
  </si>
  <si>
    <t>Jeon H</t>
  </si>
  <si>
    <t>PMC7340315</t>
  </si>
  <si>
    <t>10.1371/journal.pone.0235793</t>
  </si>
  <si>
    <t>Biological functions and clinical applications of exosomal long non-coding RNAs in cancer</t>
  </si>
  <si>
    <t>Wang Y, Zhang M, Zhou F.</t>
  </si>
  <si>
    <t>J Cell Mol Med. 2020 Oct;24(20):11656-11666. doi: 10.1111/jcmm.15873. Epub 2020 Sep 14.</t>
  </si>
  <si>
    <t>Wang Y</t>
  </si>
  <si>
    <t>J Cell Mol Med</t>
  </si>
  <si>
    <t>PMC7578871</t>
  </si>
  <si>
    <t>10.1111/jcmm.15873</t>
  </si>
  <si>
    <t>Microfluidics for exosome isolation and analysis: enabling liquid biopsy for personalized medicine</t>
  </si>
  <si>
    <t>Contreras-Naranjo JC, Wu HJ, Ugaz VM.</t>
  </si>
  <si>
    <t>Lab Chip. 2017 Oct 25;17(21):3558-3577. doi: 10.1039/c7lc00592j.</t>
  </si>
  <si>
    <t>Contreras-Naranjo JC</t>
  </si>
  <si>
    <t>Lab Chip</t>
  </si>
  <si>
    <t>PMC5656537</t>
  </si>
  <si>
    <t>NIHMS903616</t>
  </si>
  <si>
    <t>10.1039/c7lc00592j</t>
  </si>
  <si>
    <t>Intercellular communication by extracellular vesicles and their microRNAs in asthma</t>
  </si>
  <si>
    <t>Fujita Y, Yoshioka Y, Ito S, Araya J, Kuwano K, Ochiya T.</t>
  </si>
  <si>
    <t>Clin Ther. 2014 Jun 1;36(6):873-81. doi: 10.1016/j.clinthera.2014.05.006. Epub 2014 Jun 6.</t>
  </si>
  <si>
    <t>Clin Ther</t>
  </si>
  <si>
    <t>10.1016/j.clinthera.2014.05.006</t>
  </si>
  <si>
    <t>Acoustoelectronic nanotweezers enable dynamic and large-scale control of nanomaterials</t>
  </si>
  <si>
    <t>Zhang P, Rufo J, Chen C, Xia J, Tian Z, Zhang L, Hao N, Zhong Z, Gu Y, Chakrabarty K, Huang TJ.</t>
  </si>
  <si>
    <t>Nat Commun. 2021 Jun 22;12(1):3844. doi: 10.1038/s41467-021-24101-z.</t>
  </si>
  <si>
    <t>Zhang P</t>
  </si>
  <si>
    <t>PMC8219664</t>
  </si>
  <si>
    <t>10.1038/s41467-021-24101-z</t>
  </si>
  <si>
    <t>Novel Epigenetic Biomarkers in Pregnancy-Related Disorders and Cancers</t>
  </si>
  <si>
    <t>Karin-Kujundzic V, Sola IM, Predavec N, Potkonjak A, Somen E, Mioc P, Serman A, Vranic S, Serman L.</t>
  </si>
  <si>
    <t>Cells. 2019 Nov 18;8(11):1459. doi: 10.3390/cells8111459.</t>
  </si>
  <si>
    <t>Karin-Kujundzic V</t>
  </si>
  <si>
    <t>PMC6912400</t>
  </si>
  <si>
    <t>10.3390/cells8111459</t>
  </si>
  <si>
    <t>Exosomes in cancer: small particle, big player</t>
  </si>
  <si>
    <t>Zhang X, Yuan X, Shi H, Wu L, Qian H, Xu W.</t>
  </si>
  <si>
    <t>J Hematol Oncol. 2015 Jul 10;8:83. doi: 10.1186/s13045-015-0181-x.</t>
  </si>
  <si>
    <t>Zhang X</t>
  </si>
  <si>
    <t>J Hematol Oncol</t>
  </si>
  <si>
    <t>PMC4496882</t>
  </si>
  <si>
    <t>10.1186/s13045-015-0181-x</t>
  </si>
  <si>
    <t>Tumor-derived exosomes: Potential biomarkers and therapeutic target in the treatment of colorectal cancer</t>
  </si>
  <si>
    <t>Mousavi S, Moallem R, Hassanian SM, Sadeghzade M, Mardani R, Ferns GA, Khazaei M, Avan A.</t>
  </si>
  <si>
    <t>J Cell Physiol. 2019 Aug;234(8):12422-12432. doi: 10.1002/jcp.28080. Epub 2019 Jan 13.</t>
  </si>
  <si>
    <t>Mousavi S</t>
  </si>
  <si>
    <t>10.1002/jcp.28080</t>
  </si>
  <si>
    <t>Exosomal microRNA communication between tissues during organogenesis</t>
  </si>
  <si>
    <t>Hayashi T, Hoffman MP.</t>
  </si>
  <si>
    <t>RNA Biol. 2017 Dec 2;14(12):1683-1689. doi: 10.1080/15476286.2017.1361098. Epub 2017 Sep 29.</t>
  </si>
  <si>
    <t>Hayashi T</t>
  </si>
  <si>
    <t>PMC5731799</t>
  </si>
  <si>
    <t>10.1080/15476286.2017.1361098</t>
  </si>
  <si>
    <t>The Multifunctionality of Exosomes; from the Garbage Bin of the Cell to a Next Generation Gene and Cellular Therapy</t>
  </si>
  <si>
    <t>Shrivastava S, Morris KV.</t>
  </si>
  <si>
    <t>Genes (Basel). 2021 Jan 27;12(2):173. doi: 10.3390/genes12020173.</t>
  </si>
  <si>
    <t>Shrivastava S</t>
  </si>
  <si>
    <t>PMC7912150</t>
  </si>
  <si>
    <t>10.3390/genes12020173</t>
  </si>
  <si>
    <t>Thermophoretic Detection of Exosomal microRNAs by Nanoflares</t>
  </si>
  <si>
    <t>Zhao J, Liu C, Li Y, Ma Y, Deng J, Li L, Sun J.</t>
  </si>
  <si>
    <t>J Am Chem Soc. 2020 Mar 18;142(11):4996-5001. doi: 10.1021/jacs.9b13960. Epub 2020 Mar 6.</t>
  </si>
  <si>
    <t>Zhao J</t>
  </si>
  <si>
    <t>10.1021/jacs.9b13960</t>
  </si>
  <si>
    <t>Therapeutic angiogenesis using stem cell-derived extracellular vesicles: an emerging approach for treatment of ischemic diseases</t>
  </si>
  <si>
    <t>Bian X, Ma K, Zhang C, Fu X.</t>
  </si>
  <si>
    <t>Stem Cell Res Ther. 2019 Jun 3;10(1):158. doi: 10.1186/s13287-019-1276-z.</t>
  </si>
  <si>
    <t>Bian X</t>
  </si>
  <si>
    <t>PMC6545721</t>
  </si>
  <si>
    <t>10.1186/s13287-019-1276-z</t>
  </si>
  <si>
    <t>Placental Exosomes During Gestation: Liquid Biopsies Carrying Signals for the Regulation of Human Parturition</t>
  </si>
  <si>
    <t>Salomon C, Nuzhat Z, Dixon CL, Menon R.</t>
  </si>
  <si>
    <t>Curr Pharm Des. 2018;24(9):974-982. doi: 10.2174/1381612824666180125164429.</t>
  </si>
  <si>
    <t>Salomon C</t>
  </si>
  <si>
    <t>Curr Pharm Des</t>
  </si>
  <si>
    <t>10.2174/1381612824666180125164429</t>
  </si>
  <si>
    <t>Alharbi M, Sharma S, Guanzon D, Lai A, Zuñiga F, Shiddiky MJA, Yamauchi Y, Salas-Burgos A, He Y, Pejovic T, Winters C, Morgan T, Perrin L, Hooper JD, Salomon C.</t>
  </si>
  <si>
    <t>Nanomedicine. 2020 Aug;28:102207. doi: 10.1016/j.nano.2020.102207. Epub 2020 Apr 23.</t>
  </si>
  <si>
    <t>Alharbi M</t>
  </si>
  <si>
    <t>Nanomedicine</t>
  </si>
  <si>
    <t>Jin D, Peng XX, Qin Y, Wu P, Lu H, Wang L, Huang J, Li Y, Zhang Y, Zhang GJ, Yang F.</t>
  </si>
  <si>
    <t>Anal Chem. 2020 Jul 21;92(14):9877-9886. doi: 10.1021/acs.analchem.0c01387. Epub 2020 Jul 2.</t>
  </si>
  <si>
    <t>Jin D</t>
  </si>
  <si>
    <t>Flow cytometric analysis of circulating microparticles in plasma</t>
  </si>
  <si>
    <t>Orozco AF, Lewis DE.</t>
  </si>
  <si>
    <t>Cytometry A. 2010 Jun;77(6):502-14. doi: 10.1002/cyto.a.20886.</t>
  </si>
  <si>
    <t>Orozco AF</t>
  </si>
  <si>
    <t>Cytometry A</t>
  </si>
  <si>
    <t>PMC2919894</t>
  </si>
  <si>
    <t>NIHMS215173</t>
  </si>
  <si>
    <t>10.1002/cyto.a.20886</t>
  </si>
  <si>
    <t>Mitochondria as extracellular vesicle cargo in aging</t>
  </si>
  <si>
    <t>Noren Hooten N, Evans MK.</t>
  </si>
  <si>
    <t>Aging (Albany NY). 2021 Jul 20;13(14):17957-17958. doi: 10.18632/aging.203358. Epub 2021 Jul 20.</t>
  </si>
  <si>
    <t>Noren Hooten N</t>
  </si>
  <si>
    <t>Aging (Albany NY)</t>
  </si>
  <si>
    <t>PMC8351693</t>
  </si>
  <si>
    <t>10.18632/aging.203358</t>
  </si>
  <si>
    <t>Protein phosphorylation and its role in the regulation of Annexin A2 function</t>
  </si>
  <si>
    <t>Grindheim AK, Saraste J, Vedeler A.</t>
  </si>
  <si>
    <t>Biochim Biophys Acta Gen Subj. 2017 Nov;1861(11 Pt A):2515-2529. doi: 10.1016/j.bbagen.2017.08.024. Epub 2017 Sep 1.</t>
  </si>
  <si>
    <t>Grindheim AK</t>
  </si>
  <si>
    <t>10.1016/j.bbagen.2017.08.024</t>
  </si>
  <si>
    <t>The emerging roles of tumor-derived exosomes in hematological malignancies</t>
  </si>
  <si>
    <t>Boyiadzis M, Whiteside TL.</t>
  </si>
  <si>
    <t>Leukemia. 2017 Jun;31(6):1259-1268. doi: 10.1038/leu.2017.91. Epub 2017 Mar 21.</t>
  </si>
  <si>
    <t>Boyiadzis M</t>
  </si>
  <si>
    <t>Leukemia</t>
  </si>
  <si>
    <t>10.1038/leu.2017.91</t>
  </si>
  <si>
    <t>Yerneni SS, Lathwal S, Shrestha P, Shirwan H, Matyjaszewski K, Weiss L, Yolcu ES, Campbell PG, Das SR.</t>
  </si>
  <si>
    <t>ACS Nano. 2019 Sep 24;13(9):10555-10565. doi: 10.1021/acsnano.9b04651. Epub 2019 Aug 27.</t>
  </si>
  <si>
    <t>Yerneni SS</t>
  </si>
  <si>
    <t>PMC6800810</t>
  </si>
  <si>
    <t>NIHMS1050380</t>
  </si>
  <si>
    <t>Li P, Yu X, Han W, Kong Y, Bao W, Zhang J, Zhang W, Gu Y.</t>
  </si>
  <si>
    <t>ACS Sens. 2019 May 24;4(5):1433-1441. doi: 10.1021/acssensors.9b00621. Epub 2019 May 6.</t>
  </si>
  <si>
    <t>Li P</t>
  </si>
  <si>
    <t>ACS Sens</t>
  </si>
  <si>
    <t>Cardiomyocyte microvesicles contain DNA/RNA and convey biological messages to target cells</t>
  </si>
  <si>
    <t>Waldenström A, Gennebäck N, Hellman U, Ronquist G.</t>
  </si>
  <si>
    <t>PLoS One. 2012;7(4):e34653. doi: 10.1371/journal.pone.0034653. Epub 2012 Apr 10.</t>
  </si>
  <si>
    <t>PMC3323564</t>
  </si>
  <si>
    <t>Potential biomarkers of exosomal cargo in endocrine signaling</t>
  </si>
  <si>
    <t>Zduriencikova M, Gronesova P, Cholujova D, Sedlak J.</t>
  </si>
  <si>
    <t>Endocr Regul. 2015 Jul;49(3):141-50. doi: 10.4149/endo_2015_03_141.</t>
  </si>
  <si>
    <t>Zduriencikova M</t>
  </si>
  <si>
    <t>Endocr Regul</t>
  </si>
  <si>
    <t>10.4149/endo_2015_03_141</t>
  </si>
  <si>
    <t>Extracellular vesicle-associated repetitive element DNAs as candidate osteosarcoma biomarkers</t>
  </si>
  <si>
    <t>Cambier L, Stachelek K, Triska M, Jubran R, Huang M, Li W, Zhang J, Li J, Cobrinik D.</t>
  </si>
  <si>
    <t>Sci Rep. 2021 Jan 8;11(1):94. doi: 10.1038/s41598-020-77398-z.</t>
  </si>
  <si>
    <t>Cambier L</t>
  </si>
  <si>
    <t>PMC7794510</t>
  </si>
  <si>
    <t>Martelli F, Macera L, Spezia PG, Medici C, Pistello M, Guasti D, Romagnoli P, Maggi F, Giannecchini S.</t>
  </si>
  <si>
    <t>Virol J. 2018 Sep 20;15(1):145. doi: 10.1186/s12985-018-1055-y.</t>
  </si>
  <si>
    <t>Martelli F</t>
  </si>
  <si>
    <t>Virol J</t>
  </si>
  <si>
    <t>PMC6149034</t>
  </si>
  <si>
    <t>[Generation of blood circulating DNA: the sources, peculiarities of circulation and structure]</t>
  </si>
  <si>
    <t>Bryzgunova OE, Laktionov PP.</t>
  </si>
  <si>
    <t>Biomed Khim. 2015 Jul-Aug;61(4):409-26. doi: 10.18097/PBMC20156104409.</t>
  </si>
  <si>
    <t>Bryzgunova OE</t>
  </si>
  <si>
    <t>Biomed Khim</t>
  </si>
  <si>
    <t>10.18097/PBMC20156104409</t>
  </si>
  <si>
    <t>Erozenci LA, Böttger F, Bijnsdorp IV, Jimenez CR.</t>
  </si>
  <si>
    <t>FEBS Lett. 2019 Jul;593(13):1580-1597. doi: 10.1002/1873-3468.13487.</t>
  </si>
  <si>
    <t>Erozenci LA</t>
  </si>
  <si>
    <t>FEBS Lett</t>
  </si>
  <si>
    <t>Glycomics of prostate cancer: updates</t>
  </si>
  <si>
    <t>Tkac J, Bertok T, Hires M, Jane E, Lorencova L, Kasak P.</t>
  </si>
  <si>
    <t>Expert Rev Proteomics. 2019 Jan;16(1):65-76. doi: 10.1080/14789450.2019.1549993. Epub 2018 Nov 27.</t>
  </si>
  <si>
    <t>Tkac J</t>
  </si>
  <si>
    <t>Expert Rev Proteomics</t>
  </si>
  <si>
    <t>PMC7116386</t>
  </si>
  <si>
    <t>EMS103703</t>
  </si>
  <si>
    <t>10.1080/14789450.2019.1549993</t>
  </si>
  <si>
    <t>Tumor-derived microvesicles: shedding light on novel microenvironment modulators and prospective cancer biomarkers</t>
  </si>
  <si>
    <t>D'Souza-Schorey C, Clancy JW.</t>
  </si>
  <si>
    <t>Genes Dev. 2012 Jun 15;26(12):1287-99. doi: 10.1101/gad.192351.112.</t>
  </si>
  <si>
    <t>D'Souza-Schorey C</t>
  </si>
  <si>
    <t>Genes Dev</t>
  </si>
  <si>
    <t>PMC3387656</t>
  </si>
  <si>
    <t>10.1101/gad.192351.112</t>
  </si>
  <si>
    <t>Wang L, Li Y, Guan X, Zhao J, Shen L, Liu J.</t>
  </si>
  <si>
    <t>Mol Cancer. 2018 Aug 23;17(1):128. doi: 10.1186/s12943-018-0876-z.</t>
  </si>
  <si>
    <t>PMC6108141</t>
  </si>
  <si>
    <t>Aucamp J, Bronkhorst AJ, Pretorius PJ.</t>
  </si>
  <si>
    <t>Adv Exp Med Biol. 2016;924:91-95. doi: 10.1007/978-3-319-42044-8_17.</t>
  </si>
  <si>
    <t>Wen J, Ma Z, Livingston MJ, Zhang W, Yuan Y, Guo C, Liu Y, Fu P, Dong Z.</t>
  </si>
  <si>
    <t>Am J Physiol Renal Physiol. 2020 Oct 1;319(4):F664-F673. doi: 10.1152/ajprenal.00292.2020. Epub 2020 Jul 27.</t>
  </si>
  <si>
    <t>Wen J</t>
  </si>
  <si>
    <t>Am J Physiol Renal Physiol</t>
  </si>
  <si>
    <t>PMC7642884</t>
  </si>
  <si>
    <t>Mesenchymal stem cell-derived extracellular vesicles affect disease outcomes via transfer of microRNAs</t>
  </si>
  <si>
    <t>Qiu G, Zheng G, Ge M, Wang J, Huang R, Shu Q, Xu J.</t>
  </si>
  <si>
    <t>Stem Cell Res Ther. 2018 Nov 21;9(1):320. doi: 10.1186/s13287-018-1069-9.</t>
  </si>
  <si>
    <t>Qiu G</t>
  </si>
  <si>
    <t>PMC6249826</t>
  </si>
  <si>
    <t>10.1186/s13287-018-1069-9</t>
  </si>
  <si>
    <t>Gao X, Teng X, Dai Y, Li J.</t>
  </si>
  <si>
    <t>ACS Sens. 2021 Oct 22;6(10):3611-3620. doi: 10.1021/acssensors.1c01163. Epub 2021 Oct 11.</t>
  </si>
  <si>
    <t>Gao X</t>
  </si>
  <si>
    <t>RNA Exosome and Non-coding RNA-Coupled Mechanisms in AID-Mediated Genomic Alterations</t>
  </si>
  <si>
    <t>Laffleur B, Basu U, Lim J.</t>
  </si>
  <si>
    <t>J Mol Biol. 2017 Oct 27;429(21):3230-3241. doi: 10.1016/j.jmb.2016.12.021. Epub 2017 Jan 7.</t>
  </si>
  <si>
    <t>Laffleur B</t>
  </si>
  <si>
    <t>J Mol Biol</t>
  </si>
  <si>
    <t>PMC5500447</t>
  </si>
  <si>
    <t>NIHMS841770</t>
  </si>
  <si>
    <t>10.1016/j.jmb.2016.12.021</t>
  </si>
  <si>
    <t>Body Fluids-Derived Exosomes: Paving the Novel Road to Lung Cancer Diagnosis and Therapy</t>
  </si>
  <si>
    <t>Sun Y, Li L, Wang L, Liu J.</t>
  </si>
  <si>
    <t>Anticancer Agents Med Chem. 2017;17(13):1734-1740. doi: 10.2174/1871520617666170327112815.</t>
  </si>
  <si>
    <t>Sun Y</t>
  </si>
  <si>
    <t>Anticancer Agents Med Chem</t>
  </si>
  <si>
    <t>10.2174/1871520617666170327112815</t>
  </si>
  <si>
    <t>Emerging role of extracellular vesicles as a senescence-associated secretory phenotype: Insights into the pathophysiology of lung diseases</t>
  </si>
  <si>
    <t>Kadota T, Fujita Y, Yoshioka Y, Araya J, Kuwano K, Ochiya T.</t>
  </si>
  <si>
    <t>Mol Aspects Med. 2018 Apr;60:92-103. doi: 10.1016/j.mam.2017.11.005. Epub 2017 Nov 20.</t>
  </si>
  <si>
    <t>Kadota T</t>
  </si>
  <si>
    <t>10.1016/j.mam.2017.11.005</t>
  </si>
  <si>
    <t>Progress and potential of exosome analysis for early pancreatic cancer detection</t>
  </si>
  <si>
    <t>Erb U, Zöller M.</t>
  </si>
  <si>
    <t>Expert Rev Mol Diagn. 2016 Jul;16(7):757-67. doi: 10.1080/14737159.2016.1187563. Epub 2016 Jun 1.</t>
  </si>
  <si>
    <t>Erb U</t>
  </si>
  <si>
    <t>10.1080/14737159.2016.1187563</t>
  </si>
  <si>
    <t>Microvesicles as mediators of intercellular communication in cancer--the emerging science of cellular 'debris'</t>
  </si>
  <si>
    <t>Lee TH, D'Asti E, Magnus N, Al-Nedawi K, Meehan B, Rak J.</t>
  </si>
  <si>
    <t>Semin Immunopathol. 2011 Sep;33(5):455-67. doi: 10.1007/s00281-011-0250-3. Epub 2011 Feb 12.</t>
  </si>
  <si>
    <t>Lee TH</t>
  </si>
  <si>
    <t>Semin Immunopathol</t>
  </si>
  <si>
    <t>10.1007/s00281-011-0250-3</t>
  </si>
  <si>
    <t>Epididymosomes, prostasomes, and liposomes: their roles in mammalian male reproductive physiology</t>
  </si>
  <si>
    <t>Sullivan R, Saez F.</t>
  </si>
  <si>
    <t>Reproduction. 2013 Jun 14;146(1):R21-35. doi: 10.1530/REP-13-0058. Print 2013 Jul.</t>
  </si>
  <si>
    <t>Sullivan R</t>
  </si>
  <si>
    <t>Reproduction</t>
  </si>
  <si>
    <t>10.1530/REP-13-0058</t>
  </si>
  <si>
    <t>Nishimura T, Oyama T, Hu HT, Fujioka T, Hanawa-Suetsugu K, Ikeda K, Yamada S, Kawana H, Saigusa D, Ikeda H, Kurata R, Oono-Yakura K, Kitamata M, Kida K, Hikita T, Mizutani K, Yasuhara K, Mimori-Kiyosue Y, Oneyama C, Kurimoto K, Hosokawa Y, Aoki J, Takai Y, Arita M, Suetsugu S.</t>
  </si>
  <si>
    <t>Dev Cell. 2021 Mar 22;56(6):842-859.e8. doi: 10.1016/j.devcel.2021.02.029.</t>
  </si>
  <si>
    <t>Nishimura T</t>
  </si>
  <si>
    <t>Dev Cell</t>
  </si>
  <si>
    <t>Kang T, Zhu J, Luo X, Jia W, Wu P, Cai C.</t>
  </si>
  <si>
    <t>Anal Chem. 2021 Feb 2;93(4):2519-2526. doi: 10.1021/acs.analchem.0c04561. Epub 2021 Jan 6.</t>
  </si>
  <si>
    <t>Kang T</t>
  </si>
  <si>
    <t>Yang L, Yin X, An B, Li F.</t>
  </si>
  <si>
    <t>Anal Chem. 2021 Jan 26;93(3):1709-1716. doi: 10.1021/acs.analchem.0c04308. Epub 2020 Dec 28.</t>
  </si>
  <si>
    <t>Yang L</t>
  </si>
  <si>
    <t>Choice of selectable marker affects recombinant protein expression in cells and exosomes</t>
  </si>
  <si>
    <t>Guo C, Fordjour FK, Tsai SJ, Morrell JC, Gould SJ.</t>
  </si>
  <si>
    <t>J Biol Chem. 2021 Jul;297(1):100838. doi: 10.1016/j.jbc.2021.100838. Epub 2021 May 27.</t>
  </si>
  <si>
    <t>Guo C</t>
  </si>
  <si>
    <t>PMC8258971</t>
  </si>
  <si>
    <t>10.1016/j.jbc.2021.100838</t>
  </si>
  <si>
    <t>Circulating Hybrid Cells Join the Fray of Circulating Cellular Biomarkers</t>
  </si>
  <si>
    <t>Sutton TL, Walker BS, Wong MH.</t>
  </si>
  <si>
    <t>Cell Mol Gastroenterol Hepatol. 2019;8(4):595-607. doi: 10.1016/j.jcmgh.2019.07.002. Epub 2019 Jul 15.</t>
  </si>
  <si>
    <t>Sutton TL</t>
  </si>
  <si>
    <t>Cell Mol Gastroenterol Hepatol</t>
  </si>
  <si>
    <t>PMC6889578</t>
  </si>
  <si>
    <t>10.1016/j.jcmgh.2019.07.002</t>
  </si>
  <si>
    <t>Iliev D, Strandskog G, Nepal A, Aspar A, Olsen R, Jørgensen J, Wolfson D, Ahluwalia BS, Handzhiyski J, Mironova R.</t>
  </si>
  <si>
    <t>FEBS J. 2018 Aug;285(16):3114-3133. doi: 10.1111/febs.14601. Epub 2018 Jul 12.</t>
  </si>
  <si>
    <t>Iliev D</t>
  </si>
  <si>
    <t>FEBS J</t>
  </si>
  <si>
    <t>Wan S, Zhang L, Wang S, Liu Y, Wu C, Cui C, Sun H, Shi M, Jiang Y, Li L, Qiu L, Tan W.</t>
  </si>
  <si>
    <t>J Am Chem Soc. 2017 Apr 19;139(15):5289-5292. doi: 10.1021/jacs.7b00319. Epub 2017 Apr 7.</t>
  </si>
  <si>
    <t>Wan S</t>
  </si>
  <si>
    <t>PMC5516796</t>
  </si>
  <si>
    <t>NIHMS877114</t>
  </si>
  <si>
    <t>Exosome proteomics reveals transcriptional regulator proteins with potential to mediate downstream pathways</t>
  </si>
  <si>
    <t>Ung TH, Madsen HJ, Hellwinkel JE, Lencioni AM, Graner MW.</t>
  </si>
  <si>
    <t>Cancer Sci. 2014 Nov;105(11):1384-92. doi: 10.1111/cas.12534. Epub 2014 Oct 9.</t>
  </si>
  <si>
    <t>Ung TH</t>
  </si>
  <si>
    <t>PMC4454399</t>
  </si>
  <si>
    <t>NIHMS695015</t>
  </si>
  <si>
    <t>10.1111/cas.12534</t>
  </si>
  <si>
    <t>Fang C, Li Y, Hu S, Wang H, Chen X, Zhu X.</t>
  </si>
  <si>
    <t>Anal Chem. 2021 Jun 22;93(24):8414-8422. doi: 10.1021/acs.analchem.1c00211. Epub 2021 Jun 11.</t>
  </si>
  <si>
    <t>Fang C</t>
  </si>
  <si>
    <t>MicroRNA-126 engineered muscle-derived stem cells attenuates cavernosa injury-induced erectile dysfunction in rats</t>
  </si>
  <si>
    <t>Zou Z, Chai M, Guo F, Fu X, Lan Y, Cao S, Liu J, Tian L, An G.</t>
  </si>
  <si>
    <t>Aging (Albany NY). 2021 May 23;13(10):14399-14415. doi: 10.18632/aging.203057. Epub 2021 May 23.</t>
  </si>
  <si>
    <t>Zou Z</t>
  </si>
  <si>
    <t>PMC8202866</t>
  </si>
  <si>
    <t>10.18632/aging.203057</t>
  </si>
  <si>
    <t>Gong Y, Kong T, Ren X, Chen J, Lin S, Zhang Y, Li S.</t>
  </si>
  <si>
    <t>PLoS Pathog. 2020 May 20;16(5):e1008366. doi: 10.1371/journal.ppat.1008366. eCollection 2020 May.</t>
  </si>
  <si>
    <t>Gong Y</t>
  </si>
  <si>
    <t>PLoS Pathog</t>
  </si>
  <si>
    <t>PMC7266354</t>
  </si>
  <si>
    <t>Neutrophil derived microvesicles: emerging role of a key mediator to the immune response</t>
  </si>
  <si>
    <t>Johnson BL III, Kuethe JW, Caldwell CC.</t>
  </si>
  <si>
    <t>Endocr Metab Immune Disord Drug Targets. 2014;14(3):210-7. doi: 10.2174/1871530314666140722083717.</t>
  </si>
  <si>
    <t>Johnson BL III</t>
  </si>
  <si>
    <t>Endocr Metab Immune Disord Drug Targets</t>
  </si>
  <si>
    <t>PMC4267953</t>
  </si>
  <si>
    <t>NIHMS632610</t>
  </si>
  <si>
    <t>Exosomes: a role for naturally occurring nanovesicles in cancer growth, diagnosis and treatment</t>
  </si>
  <si>
    <t>Srivastava A, Filant J, Moxley KM, Sood A, McMeekin S, Ramesh R.</t>
  </si>
  <si>
    <t>Curr Gene Ther. 2015;15(2):182-92. doi: 10.2174/1566523214666141224100612.</t>
  </si>
  <si>
    <t>Curr Gene Ther</t>
  </si>
  <si>
    <t>Dou R, Zhang X, Xu X, Wang P, Yan B.</t>
  </si>
  <si>
    <t>Mol Immunol. 2021 Nov;139:106-114. doi: 10.1016/j.molimm.2021.08.015. Epub 2021 Aug 28.</t>
  </si>
  <si>
    <t>Dou R</t>
  </si>
  <si>
    <t>Mo LJ, Song M, Huang QH, Guan H, Liu XD, Xie DF, Huang B, Huang RX, Zhou PK.</t>
  </si>
  <si>
    <t>Br J Cancer. 2018 Aug;119(4):492-502. doi: 10.1038/s41416-018-0192-9. Epub 2018 Jul 24.</t>
  </si>
  <si>
    <t>Mo LJ</t>
  </si>
  <si>
    <t>Br J Cancer</t>
  </si>
  <si>
    <t>PMC6134031</t>
  </si>
  <si>
    <t>Zhao L, Sun R, He P, Zhang X.</t>
  </si>
  <si>
    <t>Anal Chem. 2019 Nov 19;91(22):14773-14779. doi: 10.1021/acs.analchem.9b04282. Epub 2019 Nov 8.</t>
  </si>
  <si>
    <t>Zhao L</t>
  </si>
  <si>
    <t>Tumor circulome in the liquid biopsies for cancer diagnosis and prognosis</t>
  </si>
  <si>
    <t>Wu J, Hu S, Zhang L, Xin J, Sun C, Wang L, Ding K, Wang B.</t>
  </si>
  <si>
    <t>Theranostics. 2020 Mar 15;10(10):4544-4556. doi: 10.7150/thno.40532. eCollection 2020.</t>
  </si>
  <si>
    <t>Wu J</t>
  </si>
  <si>
    <t>PMC7150480</t>
  </si>
  <si>
    <t>10.7150/thno.40532</t>
  </si>
  <si>
    <t>Mangiapane G, Parolini I, Conte K, Malfatti MC, Corsi J, Sanchez M, Pietrantoni A, D'Agostino VG, Tell G.</t>
  </si>
  <si>
    <t>J Biol Chem. 2021 Jan-Jun;296:100569. doi: 10.1016/j.jbc.2021.100569. Epub 2021 Mar 19.</t>
  </si>
  <si>
    <t>Mangiapane G</t>
  </si>
  <si>
    <t>PMC8080531</t>
  </si>
  <si>
    <t>Ma C, Xu W, Yang Q, Liu W, Xiang Q, Chen J, Zhang Q, Liu Y, Wu K, Wu J.</t>
  </si>
  <si>
    <t>J Virol. 2020 May 18;94(11):e01800-19. doi: 10.1128/JVI.01800-19. Print 2020 May 18.</t>
  </si>
  <si>
    <t>Ma C</t>
  </si>
  <si>
    <t>J Virol</t>
  </si>
  <si>
    <t>PMC7269441</t>
  </si>
  <si>
    <t>Potential of cancer cell-derived exosomes in clinical application: a review of recent research advances</t>
  </si>
  <si>
    <t>Sun Y, Liu J.</t>
  </si>
  <si>
    <t>Clin Ther. 2014 Jun 1;36(6):863-72. doi: 10.1016/j.clinthera.2014.04.018. Epub 2014 May 23.</t>
  </si>
  <si>
    <t>10.1016/j.clinthera.2014.04.018</t>
  </si>
  <si>
    <t>Refining Cancer Management Using Integrated Liquid Biopsy</t>
  </si>
  <si>
    <t>Qiu J, Xu J, Zhang K, Gu W, Nie L, Wang G, Luo Y.</t>
  </si>
  <si>
    <t>Theranostics. 2020 Jan 16;10(5):2374-2384. doi: 10.7150/thno.40677. eCollection 2020.</t>
  </si>
  <si>
    <t>Qiu J</t>
  </si>
  <si>
    <t>PMC7019147</t>
  </si>
  <si>
    <t>10.7150/thno.40677</t>
  </si>
  <si>
    <t>Exosome Derived from ADSCs Attenuates Ultraviolet B-mediated Photoaging in Human Dermal Fibroblasts</t>
  </si>
  <si>
    <t>Gao W, Wang X, Si Y, Pang J, Liu H, Li S, Ding Q, Wang Y.</t>
  </si>
  <si>
    <t>Photochem Photobiol. 2021 Jul;97(4):795-804. doi: 10.1111/php.13370. Epub 2021 Jan 21.</t>
  </si>
  <si>
    <t>Gao W</t>
  </si>
  <si>
    <t>Photochem Photobiol</t>
  </si>
  <si>
    <t>10.1111/php.13370</t>
  </si>
  <si>
    <t>Yang S, Che SP, Kurywchak P, Tavormina JL, Gansmo LB, Correa de Sampaio P, Tachezy M, Bockhorn M, Gebauer F, Haltom AR, Melo SA, LeBleu VS, Kalluri R.</t>
  </si>
  <si>
    <t>Cancer Biol Ther. 2017 Mar 4;18(3):158-165. doi: 10.1080/15384047.2017.1281499. Epub 2017 Jan 25.</t>
  </si>
  <si>
    <t>Yang S</t>
  </si>
  <si>
    <t>Cancer Biol Ther</t>
  </si>
  <si>
    <t>PMC5389423</t>
  </si>
  <si>
    <t>The emerging roles of exosomes in the modulation of immune responses in cancer</t>
  </si>
  <si>
    <t>Kurywchak P, Tavormina J, Kalluri R.</t>
  </si>
  <si>
    <t>Genome Med. 2018 Mar 26;10(1):23. doi: 10.1186/s13073-018-0535-4.</t>
  </si>
  <si>
    <t>Kurywchak P</t>
  </si>
  <si>
    <t>Genome Med</t>
  </si>
  <si>
    <t>PMC5868069</t>
  </si>
  <si>
    <t>10.1186/s13073-018-0535-4</t>
  </si>
  <si>
    <t>Sinha S, Mannerström B, Seppänen-Kaijansinkko R, Kaur S.</t>
  </si>
  <si>
    <t>J Vis Exp. 2020 Feb 1;(156). doi: 10.3791/60705.</t>
  </si>
  <si>
    <t>Sinha S</t>
  </si>
  <si>
    <t>Kanno S, Hirano S, Sakamoto T, Furuyama A, Takase H, Kato H, Fukuta M, Aoki Y.</t>
  </si>
  <si>
    <t>Sci Rep. 2020 Dec 11;10(1):21795. doi: 10.1038/s41598-020-78464-2.</t>
  </si>
  <si>
    <t>Kanno S</t>
  </si>
  <si>
    <t>PMC7733512</t>
  </si>
  <si>
    <t>Kimura N, Maeki M, Ishida A, Tani H, Tokeshi M.</t>
  </si>
  <si>
    <t>ACS Appl Bio Mater. 2021 Feb 15;4(2):1783-1793. doi: 10.1021/acsabm.0c01519. Epub 2021 Jan 12.</t>
  </si>
  <si>
    <t>Kimura N</t>
  </si>
  <si>
    <t>ACS Appl Bio Mater</t>
  </si>
  <si>
    <t>Lai A, Elfeky O, Rice GE, Salomon C.</t>
  </si>
  <si>
    <t>Methods Mol Biol. 2018;1710:131-138. doi: 10.1007/978-1-4939-7498-6_10.</t>
  </si>
  <si>
    <t>Lai A</t>
  </si>
  <si>
    <t>Goulielmaki E, Ioannidou A, Tsekrekou M, Stratigi K, Poutakidou IK, Gkirtzimanaki K, Aivaliotis M, Evangelou K, Topalis P, Altmüller J, Gorgoulis VG, Chatzinikolaou G, Garinis GA.</t>
  </si>
  <si>
    <t>Nat Commun. 2020 Jan 2;11(1):42. doi: 10.1038/s41467-019-13894-9.</t>
  </si>
  <si>
    <t>Goulielmaki E</t>
  </si>
  <si>
    <t>PMC6940362</t>
  </si>
  <si>
    <t>Extraction of mRNA from Stalled Ribosomes by the Ski Complex</t>
  </si>
  <si>
    <t>Zinoviev A, Ayupov RK, Abaeva IS, Hellen CUT, Pestova TV.</t>
  </si>
  <si>
    <t>Mol Cell. 2020 Mar 19;77(6):1340-1349.e6. doi: 10.1016/j.molcel.2020.01.011. Epub 2020 Jan 31.</t>
  </si>
  <si>
    <t>Zinoviev A</t>
  </si>
  <si>
    <t>Mol Cell</t>
  </si>
  <si>
    <t>PMC7934606</t>
  </si>
  <si>
    <t>NIHMS1569344</t>
  </si>
  <si>
    <t>10.1016/j.molcel.2020.01.011</t>
  </si>
  <si>
    <t>Isolation and quantification of microRNAs from urinary exosomes/microvesicles for biomarker discovery</t>
  </si>
  <si>
    <t>Lv LL, Cao Y, Liu D, Xu M, Liu H, Tang RN, Ma KL, Liu BC.</t>
  </si>
  <si>
    <t>Int J Biol Sci. 2013 Oct 12;9(10):1021-31. doi: 10.7150/ijbs.6100. eCollection 2013.</t>
  </si>
  <si>
    <t>Lv LL</t>
  </si>
  <si>
    <t>PMC3831115</t>
  </si>
  <si>
    <t>10.7150/ijbs.6100</t>
  </si>
  <si>
    <t>Zhu N, Li G, Zhou J, Zhang Y, Kang K, Ying B, Yi Q, Wu Y.</t>
  </si>
  <si>
    <t>J Mater Chem B. 2021 Mar 14;9(10):2483-2493. doi: 10.1039/d1tb00046b. Epub 2021 Mar 3.</t>
  </si>
  <si>
    <t>Zhu N</t>
  </si>
  <si>
    <t>J Mater Chem B</t>
  </si>
  <si>
    <t>Vardaki I, Corn P, Gentile E, Song JH, Madan N, Hoang A, Parikh N, Guerra L, Lee YC, Lin SC, Yu G, Santos E, Melancon MP, Troncoso P, Navone N, Gallick GE, Efstathiou E, Subudhi SK, Lin SH, Logothetis CJ, Panaretakis T.</t>
  </si>
  <si>
    <t>Clin Cancer Res. 2021 Jun 1;27(11):3253-3264. doi: 10.1158/1078-0432.CCR-20-4790. Epub 2021 Mar 22.</t>
  </si>
  <si>
    <t>Vardaki I</t>
  </si>
  <si>
    <t>Clin Cancer Res</t>
  </si>
  <si>
    <t>PMC8172463</t>
  </si>
  <si>
    <t>NIHMS1688140</t>
  </si>
  <si>
    <t>Marki A, Buscher K, Lorenzini C, Meyer M, Saigusa R, Fan Z, Yeh YT, Hartmann N, Dan JM, Kiosses WB, Golden GJ, Ganesan R, Winkels H, Orecchioni M, McArdle S, Mikulski Z, Altman Y, Bui J, Kronenberg M, Chien S, Esko JD, Nizet V, Smalley D, Roth J, Ley K.</t>
  </si>
  <si>
    <t>J Exp Med. 2021 Mar 1;218(3):e20200551. doi: 10.1084/jem.20200551.</t>
  </si>
  <si>
    <t>Marki A</t>
  </si>
  <si>
    <t>PMC7721910</t>
  </si>
  <si>
    <t>Li B, Pan W, Liu C, Guo J, Shen J, Feng J, Luo T, Situ B, Zhang Y, An T, Xu C, Zheng W, Zheng L.</t>
  </si>
  <si>
    <t>ACS Sens. 2020 Jul 24;5(7):2052-2060. doi: 10.1021/acssensors.0c00513. Epub 2020 Jul 14.</t>
  </si>
  <si>
    <t>Li B</t>
  </si>
  <si>
    <t>[Characteristics of exosomes andmicroparticles discovered in human tears]</t>
  </si>
  <si>
    <t>Grigor'eva AE, Tamkovich SN, Eremina AV, Tupikin AE, Kabilov MR, Chernykh VV, Vlassov VV, Laktionov PP, Ryabchikova EI.</t>
  </si>
  <si>
    <t>Biomed Khim. 2016 Jan-Feb;62(1):99-106. doi: 10.18097/PBMC20166201099.</t>
  </si>
  <si>
    <t>Grigor'eva AE</t>
  </si>
  <si>
    <t>10.18097/PBMC20166201099</t>
  </si>
  <si>
    <t>Konishi H, Hayashi M, Taniguchi K, Nakamura M, Kuranaga Y, Ito Y, Kondo Y, Sasaki H, Terai Y, Akao Y, Ohmichi M.</t>
  </si>
  <si>
    <t>Cancer Biol Ther. 2020 Dec 1;21(12):1128-1135. doi: 10.1080/15384047.2020.1838031. Epub 2020 Nov 16.</t>
  </si>
  <si>
    <t>Konishi H</t>
  </si>
  <si>
    <t>PMC7722788</t>
  </si>
  <si>
    <t>Higuchi ML, Kawakami JT, Ikegami RN, Reis MM, Pereira JJ, Ianni BM, Buck P, Oliveira LMDS, Santos MHH, Hajjar LA, Bocchi EA.</t>
  </si>
  <si>
    <t>Front Cell Infect Microbiol. 2018 Nov 21;8:412. doi: 10.3389/fcimb.2018.00412. eCollection 2018.</t>
  </si>
  <si>
    <t>Higuchi ML</t>
  </si>
  <si>
    <t>PMC6259288</t>
  </si>
  <si>
    <t>Pisetsky DS, Gauley J, Ullal AJ.</t>
  </si>
  <si>
    <t>Immunol Res. 2011 Apr;49(1-3):227-34. doi: 10.1007/s12026-010-8184-8.</t>
  </si>
  <si>
    <t>Pisetsky DS</t>
  </si>
  <si>
    <t>Immunol Res</t>
  </si>
  <si>
    <t>PMC3724471</t>
  </si>
  <si>
    <t>NIHMS488669</t>
  </si>
  <si>
    <t>Hough KP, Trevor JL, Strenkowski JG, Wang Y, Chacko BK, Tousif S, Chanda D, Steele C, Antony VB, Dokland T, Ouyang X, Zhang J, Duncan SR, Thannickal VJ, Darley-Usmar VM, Deshane JS.</t>
  </si>
  <si>
    <t>Redox Biol. 2018 Sep;18:54-64. doi: 10.1016/j.redox.2018.06.009. Epub 2018 Jun 25.</t>
  </si>
  <si>
    <t>Redox Biol</t>
  </si>
  <si>
    <t>PMC6031096</t>
  </si>
  <si>
    <t>Yuan QL, Zhang YG, Chen Q.</t>
  </si>
  <si>
    <t>Anat Rec (Hoboken). 2020 Jun;303(6):1735-1742. doi: 10.1002/ar.24186. Epub 2019 Jun 17.</t>
  </si>
  <si>
    <t>Yuan QL</t>
  </si>
  <si>
    <t>Anat Rec (Hoboken)</t>
  </si>
  <si>
    <t>PMC8327470</t>
  </si>
  <si>
    <t>NIHMS1728331</t>
  </si>
  <si>
    <t>The glia doctrine: addressing the role of glial cells in healthy brain ageing</t>
  </si>
  <si>
    <t>Nagelhus EA, Amiry-Moghaddam M, Bergersen LH, Bjaalie JG, Eriksson J, Gundersen V, Leergaard TB, Morth JP, Storm-Mathisen J, Torp R, Walhovd KB, Tønjum T.</t>
  </si>
  <si>
    <t>Mech Ageing Dev. 2013 Oct;134(10):449-59. doi: 10.1016/j.mad.2013.10.001. Epub 2013 Oct 17.</t>
  </si>
  <si>
    <t>Nagelhus EA</t>
  </si>
  <si>
    <t>Transmembrane Domains Mediate Intra- and Extracellular Trafficking of Epstein-Barr Virus Latent Membrane Protein 1</t>
  </si>
  <si>
    <t>Nkosi D, Howell LA, Cheerathodi MR, Hurwitz SN, Tremblay DC, Liu X, Meckes DG Jr.</t>
  </si>
  <si>
    <t>J Virol. 2018 Aug 16;92(17):e00280-18. doi: 10.1128/JVI.00280-18. Print 2018 Sep 1.</t>
  </si>
  <si>
    <t>Nkosi D</t>
  </si>
  <si>
    <t>PMC6096814</t>
  </si>
  <si>
    <t>10.1128/JVI.00280-18</t>
  </si>
  <si>
    <t>Apolipoprotein E4 genotype compromises brain exosome production</t>
  </si>
  <si>
    <t>Peng KY, Pérez-González R, Alldred MJ, Goulbourne CN, Morales-Corraliza J, Saito M, Saito M, Ginsberg SD, Mathews PM, Levy E.</t>
  </si>
  <si>
    <t>Brain. 2019 Jan 1;142(1):163-175. doi: 10.1093/brain/awy289.</t>
  </si>
  <si>
    <t>Peng KY</t>
  </si>
  <si>
    <t>Brain</t>
  </si>
  <si>
    <t>PMC6308312</t>
  </si>
  <si>
    <t>10.1093/brain/awy289</t>
  </si>
  <si>
    <t>Elucidation of leak-resistance DNA hybridization chain reaction with universality and extensibility</t>
  </si>
  <si>
    <t>Li S, Li P, Ge M, Wang H, Cheng Y, Li G, Huang Q, He H, Cao C, Lin D, Yang L.</t>
  </si>
  <si>
    <t>Nucleic Acids Res. 2020 Mar 18;48(5):2220-2231. doi: 10.1093/nar/gkaa016.</t>
  </si>
  <si>
    <t>Li S</t>
  </si>
  <si>
    <t>PMC7049695</t>
  </si>
  <si>
    <t>10.1093/nar/gkaa016</t>
  </si>
  <si>
    <t>Isolation and Characterization of Salivary Exosomes for Cancer Biomarker Discovery</t>
  </si>
  <si>
    <t>Trevisan França de Lima L, Müller Bark J, Rasheduzzaman M, Weeramange CE, Punyadeera C.</t>
  </si>
  <si>
    <t>Methods Mol Biol. 2022;2504:101-112. doi: 10.1007/978-1-0716-2341-1_8.</t>
  </si>
  <si>
    <t>Trevisan França de Lima L</t>
  </si>
  <si>
    <t>10.1007/978-1-0716-2341-1_8</t>
  </si>
  <si>
    <t>Digestion of Chromatin in Apoptotic Cell Microparticles Prevents Autoimmunity</t>
  </si>
  <si>
    <t>Sisirak V, Sally B, D'Agati V, Martinez-Ortiz W, Özçakar ZB, David J, Rashidfarrokhi A, Yeste A, Panea C, Chida AS, Bogunovic M, Ivanov II, Quintana FJ, Sanz I, Elkon KB, Tekin M, Yalçınkaya F, Cardozo TJ, Clancy RM, Buyon JP, Reizis B.</t>
  </si>
  <si>
    <t>Cell. 2016 Jun 30;166(1):88-101. doi: 10.1016/j.cell.2016.05.034. Epub 2016 Jun 9.</t>
  </si>
  <si>
    <t>Sisirak V</t>
  </si>
  <si>
    <t>PMC5030815</t>
  </si>
  <si>
    <t>NIHMS785615</t>
  </si>
  <si>
    <t>10.1016/j.cell.2016.05.034</t>
  </si>
  <si>
    <t>Sun Y, Jin H, Jiang X, Gui R.</t>
  </si>
  <si>
    <t>Anal Chem. 2020 Feb 4;92(3):2866-2875. doi: 10.1021/acs.analchem.9b05583. Epub 2020 Jan 13.</t>
  </si>
  <si>
    <t>Robust profiling of microRNAs and isomiRs in human plasma exosomes across 46 individuals</t>
  </si>
  <si>
    <t>Karlsen TA, Aae TF, Brinchmann JE.</t>
  </si>
  <si>
    <t>Sci Rep. 2019 Dec 27;9(1):19999. doi: 10.1038/s41598-019-56593-7.</t>
  </si>
  <si>
    <t>Karlsen TA</t>
  </si>
  <si>
    <t>PMC6934752</t>
  </si>
  <si>
    <t>10.1038/s41598-019-56593-7</t>
  </si>
  <si>
    <t>Vaidya M, Bacchus M, Sugaya K.</t>
  </si>
  <si>
    <t>PLoS One. 2018 May 22;13(5):e0197782. doi: 10.1371/journal.pone.0197782. eCollection 2018.</t>
  </si>
  <si>
    <t>PMC5963750</t>
  </si>
  <si>
    <t>Xiao D, Li X, Rouchka EC, Waigel S, Zacharias W, McMasters KM, Hao H.</t>
  </si>
  <si>
    <t>Exp Cell Res. 2020 Jan 1;386(1):111690. doi: 10.1016/j.yexcr.2019.111690. Epub 2019 Oct 31.</t>
  </si>
  <si>
    <t>Xiao D</t>
  </si>
  <si>
    <t>Exp Cell Res</t>
  </si>
  <si>
    <t>PMC6911827</t>
  </si>
  <si>
    <t>NIHMS1542869</t>
  </si>
  <si>
    <t>Membrane Particles Derived From Adipose Tissue Mesenchymal Stromal Cells Improve Endothelial Cell Barrier Integrity</t>
  </si>
  <si>
    <t>Merino A, Sablik M, Korevaar SS, López-Iglesias C, Ortiz-Virumbrales M, Baan CC, Lombardo E, Hoogduijn MJ.</t>
  </si>
  <si>
    <t>Front Immunol. 2021 Apr 7;12:650522. doi: 10.3389/fimmu.2021.650522. eCollection 2021.</t>
  </si>
  <si>
    <t>Merino A</t>
  </si>
  <si>
    <t>PMC8058477</t>
  </si>
  <si>
    <t>10.3389/fimmu.2021.650522</t>
  </si>
  <si>
    <t>Kwon YM, Patra AK, Chiura HX, Kim SJ.</t>
  </si>
  <si>
    <t>Microbiologyopen. 2019 Aug;8(8):e00808. doi: 10.1002/mbo3.808. Epub 2019 Feb 22.</t>
  </si>
  <si>
    <t>Kwon YM</t>
  </si>
  <si>
    <t>Microbiologyopen</t>
  </si>
  <si>
    <t>PMC6692529</t>
  </si>
  <si>
    <t>Release of bulk cell free DNA during physical exercise occurs independent of extracellular vesicles</t>
  </si>
  <si>
    <t>Helmig S, Frühbeis C, Krämer-Albers EM, Simon P, Tug S.</t>
  </si>
  <si>
    <t>Eur J Appl Physiol. 2015 Nov;115(11):2271-80. doi: 10.1007/s00421-015-3207-8. Epub 2015 Jul 1.</t>
  </si>
  <si>
    <t>Helmig S</t>
  </si>
  <si>
    <t>Eur J Appl Physiol</t>
  </si>
  <si>
    <t>Zhang W, Lu S, Pu D, Zhang H, Yang L, Zeng P, Su F, Chen Z, Guo M, Gu Y, Luo Y, Hu H, Lu Y, Chen F, Gao Y.</t>
  </si>
  <si>
    <t>BMC Med Genomics. 2019 Nov 4;12(1):151. doi: 10.1186/s12920-019-0590-8.</t>
  </si>
  <si>
    <t>Zhang W</t>
  </si>
  <si>
    <t>BMC Med Genomics</t>
  </si>
  <si>
    <t>PMC6829814</t>
  </si>
  <si>
    <t>Cellular signaling cross-talk between different cardiac cell populations: an insight into the role of exosomes in the heart diseases and therapy</t>
  </si>
  <si>
    <t>Nguyen BY, Azam T, Wang X.</t>
  </si>
  <si>
    <t>Am J Physiol Heart Circ Physiol. 2021 Apr 1;320(4):H1213-H1234. doi: 10.1152/ajpheart.00718.2020. Epub 2021 Jan 29.</t>
  </si>
  <si>
    <t>Nguyen BY</t>
  </si>
  <si>
    <t>PMC8260388</t>
  </si>
  <si>
    <t>10.1152/ajpheart.00718.2020</t>
  </si>
  <si>
    <t>Golan-Gerstl R, Elbaum Shiff Y, Moshayoff V, Schecter D, Leshkowitz D, Reif S.</t>
  </si>
  <si>
    <t>Mol Nutr Food Res. 2017 Oct;61(10). doi: 10.1002/mnfr.201700009. Epub 2017 Jul 31.</t>
  </si>
  <si>
    <t>Golan-Gerstl R</t>
  </si>
  <si>
    <t>Mol Nutr Food Res</t>
  </si>
  <si>
    <t>Extracellular Vesicles of the Hyperthermophilic Archaeon "Thermococcus onnurineus" NA1T</t>
  </si>
  <si>
    <t>Choi DH, Kwon YM, Chiura HX, Yang EC, Bae SS, Kang SG, Lee JH, Yoon HS, Kim SJ.</t>
  </si>
  <si>
    <t>Appl Environ Microbiol. 2015 Jul;81(14):4591-9. doi: 10.1128/AEM.00428-15. Epub 2015 May 1.</t>
  </si>
  <si>
    <t>Choi DH</t>
  </si>
  <si>
    <t>Appl Environ Microbiol</t>
  </si>
  <si>
    <t>PMC4551206</t>
  </si>
  <si>
    <t>Huber J, Griffin MF, Longaker MT, Quarto N.</t>
  </si>
  <si>
    <t>Tissue Eng Part B Rev. 2022 Feb;28(1):101-113. doi: 10.1089/ten.TEB.2020.0246. Epub 2021 Mar 9.</t>
  </si>
  <si>
    <t>Huber J</t>
  </si>
  <si>
    <t>Tissue Eng Part B Rev</t>
  </si>
  <si>
    <t>PMC8892957</t>
  </si>
  <si>
    <t>10.1089/ten.TEB.2020.0246</t>
  </si>
  <si>
    <t>Wang X, Shang H, Ma C, Chen L.</t>
  </si>
  <si>
    <t>Anal Chem. 2021 Jun 22;93(24):8493-8500. doi: 10.1021/acs.analchem.1c00796. Epub 2021 Jun 10.</t>
  </si>
  <si>
    <t>Chahar HS, Corsello T, Kudlicki AS, Komaravelli N, Casola A.</t>
  </si>
  <si>
    <t>Sci Rep. 2018 Jan 10;8(1):387. doi: 10.1038/s41598-017-18672-5.</t>
  </si>
  <si>
    <t>Chahar HS</t>
  </si>
  <si>
    <t>PMC5762922</t>
  </si>
  <si>
    <t>Noren Hooten N, Byappanahalli AM, Vannoy M, Omoniyi V, Evans MK.</t>
  </si>
  <si>
    <t>Theranostics. 2022 May 24;12(9):4459-4476. doi: 10.7150/thno.72676. eCollection 2022.</t>
  </si>
  <si>
    <t>PMC9169362</t>
  </si>
  <si>
    <t>Tran F, Boedicker JQ.</t>
  </si>
  <si>
    <t>J Bacteriol. 2019 Mar 13;201(7):e00430-18. doi: 10.1128/JB.00430-18. Print 2019 Apr 1.</t>
  </si>
  <si>
    <t>Tran F</t>
  </si>
  <si>
    <t>J Bacteriol</t>
  </si>
  <si>
    <t>PMC6416910</t>
  </si>
  <si>
    <t>EXOSC10 is required for RPA assembly and controlled DNA end resection at DNA double-strand breaks</t>
  </si>
  <si>
    <t>Domingo-Prim J, Endara-Coll M, Bonath F, Jimeno S, Prados-Carvajal R, Friedländer MR, Huertas P, Visa N.</t>
  </si>
  <si>
    <t>Nat Commun. 2019 May 13;10(1):2135. doi: 10.1038/s41467-019-10153-9.</t>
  </si>
  <si>
    <t>Domingo-Prim J</t>
  </si>
  <si>
    <t>PMC6513946</t>
  </si>
  <si>
    <t>10.1038/s41467-019-10153-9</t>
  </si>
  <si>
    <t>Al-Mayah AH, Bright SJ, Bowler DA, Slijepcevic P, Goodwin E, Kadhim MA.</t>
  </si>
  <si>
    <t>Radiat Res. 2017 Jan;187(1):98-106. doi: 10.1667/RR14201.1. Epub 2016 Dec 13.</t>
  </si>
  <si>
    <t>Al-Mayah AH</t>
  </si>
  <si>
    <t>Liu H, Tian Y, Xue C, Niu Q, Chen C, Yan X.</t>
  </si>
  <si>
    <t>J Extracell Vesicles. 2022 Apr;11(4):e12206. doi: 10.1002/jev2.12206.</t>
  </si>
  <si>
    <t>Liu H</t>
  </si>
  <si>
    <t>PMC8977970</t>
  </si>
  <si>
    <t>Intracellular and exosomal microRNAome profiling of human vascular smooth muscle cells during replicative senescence</t>
  </si>
  <si>
    <t>Nguyen DDN, Zain SM, Kamarulzaman MH, Low TY, Chilian WM, Pan Y, Ting KN, Hamid A, Abdul Kadir A, Pung YF.</t>
  </si>
  <si>
    <t>Am J Physiol Heart Circ Physiol. 2021 Oct 1;321(4):H770-H783. doi: 10.1152/ajpheart.00058.2021. Epub 2021 Sep 10.</t>
  </si>
  <si>
    <t>Nguyen DDN</t>
  </si>
  <si>
    <t>10.1152/ajpheart.00058.2021</t>
  </si>
  <si>
    <t>Silva BM, Prados-Rosales R, Espadas-Moreno J, Wolf JM, Luque-Garcia JL, Gonçalves T, Casadevall A.</t>
  </si>
  <si>
    <t>Med Mycol. 2014 Feb;52(2):202-10. doi: 10.1093/mmy/myt003. Epub 2013 Dec 22.</t>
  </si>
  <si>
    <t>Silva BM</t>
  </si>
  <si>
    <t>Med Mycol</t>
  </si>
  <si>
    <t>PMC4294692</t>
  </si>
  <si>
    <t>NIHMS653863</t>
  </si>
  <si>
    <t>Liao G, Liu X, Yang X, Wang Q, Geng X, Zou L, Liu Y, Li S, Zheng Y, Wang K.</t>
  </si>
  <si>
    <t>Mikrochim Acta. 2020 Mar 30;187(4):251. doi: 10.1007/s00604-020-4183-1.</t>
  </si>
  <si>
    <t>Liao G</t>
  </si>
  <si>
    <t>Mikrochim Acta</t>
  </si>
  <si>
    <t>Exosomal secretion may be a self-protective mechanism of its source cells under environmental stress: A study on human bronchial epithelial cells treated with hydroquinone</t>
  </si>
  <si>
    <t>He Z, Li Y, Lian Z, Liu J, Xian H, Jiang R, Hu Z, Fang D, Hu D.</t>
  </si>
  <si>
    <t>J Appl Toxicol. 2021 Feb;41(2):265-275. doi: 10.1002/jat.4043. Epub 2020 Jul 28.</t>
  </si>
  <si>
    <t>He Z</t>
  </si>
  <si>
    <t>J Appl Toxicol</t>
  </si>
  <si>
    <t>10.1002/jat.4043</t>
  </si>
  <si>
    <t>Reich CF 3rd, Pisetsky DS.</t>
  </si>
  <si>
    <t>Exp Cell Res. 2009 Mar 10;315(5):760-8. doi: 10.1016/j.yexcr.2008.12.014. Epub 2008 Dec 30.</t>
  </si>
  <si>
    <t>Reich CF 3rd</t>
  </si>
  <si>
    <t>Massive Release of CD9+ Microvesicles in Human Immunodeficiency Virus Infection, Regardless of Virologic Control</t>
  </si>
  <si>
    <t>Poveda E, Tabernilla A, Fitzgerald W, Salgado-Barreira Á, Grandal M, Pérez A, Mariño A, Álvarez H, Valcarce N, González-García J, Bernardino JI, Gutierrez F, Fujioka H, Crespo M, Ruiz-Mateos E, Margolis L, Lederman MM, Freeman ML.</t>
  </si>
  <si>
    <t>J Infect Dis. 2022 Mar 15;225(6):1040-1049. doi: 10.1093/infdis/jiaa375.</t>
  </si>
  <si>
    <t>Poveda E</t>
  </si>
  <si>
    <t>J Infect Dis</t>
  </si>
  <si>
    <t>PMC8922002</t>
  </si>
  <si>
    <t>Cancer-derived exosomic microRNAs shape the immune system within the tumor microenvironment: State of the art</t>
  </si>
  <si>
    <t>Fanini F, Fabbri M.</t>
  </si>
  <si>
    <t>Semin Cell Dev Biol. 2017 Jul;67:23-28. doi: 10.1016/j.semcdb.2016.12.004. Epub 2016 Dec 9.</t>
  </si>
  <si>
    <t>Fanini F</t>
  </si>
  <si>
    <t>PMC5466544</t>
  </si>
  <si>
    <t>NIHMS837454</t>
  </si>
  <si>
    <t>10.1016/j.semcdb.2016.12.004</t>
  </si>
  <si>
    <t>DNA Origami-Platelet Adducts: Nanoconstruct Binding without Platelet Activation</t>
  </si>
  <si>
    <t>Roka-Moiia Y, Walawalkar V, Liu Y, Italiano JE, Slepian MJ, Taylor RE.</t>
  </si>
  <si>
    <t>Bioconjug Chem. 2022 Jul 20;33(7):1295-1310. doi: 10.1021/acs.bioconjchem.2c00197. Epub 2022 Jun 22.</t>
  </si>
  <si>
    <t>Roka-Moiia Y</t>
  </si>
  <si>
    <t>Bioconjug Chem</t>
  </si>
  <si>
    <t>10.1021/acs.bioconjchem.2c00197</t>
  </si>
  <si>
    <t>Singh KP, Maremanda KP, Li D, Rahman I.</t>
  </si>
  <si>
    <t>BMC Med Genomics. 2020 Sep 10;13(1):128. doi: 10.1186/s12920-020-00748-3.</t>
  </si>
  <si>
    <t>Singh KP</t>
  </si>
  <si>
    <t>PMC7488025</t>
  </si>
  <si>
    <t>Gap junctional protein Cx43 is involved in the communication between extracellular vesicles and mammalian cells</t>
  </si>
  <si>
    <t>Soares AR, Martins-Marques T, Ribeiro-Rodrigues T, Ferreira JV, Catarino S, Pinho MJ, Zuzarte M, Isabel Anjo S, Manadas B, P G Sluijter J, Pereira P, Girao H.</t>
  </si>
  <si>
    <t>Sci Rep. 2015 Aug 19;5:13243. doi: 10.1038/srep13243.</t>
  </si>
  <si>
    <t>Soares AR</t>
  </si>
  <si>
    <t>PMC4541155</t>
  </si>
  <si>
    <t>10.1038/srep13243</t>
  </si>
  <si>
    <t>Sina AA, Lin TY, Vaidyanathan R, Wang Z, Dey S, Wang J, Behren A, Wuethrich A, Carrascosa LG, Trau M.</t>
  </si>
  <si>
    <t>Nanoscale Horiz. 2020 Sep 1;5(9):1317-1323. doi: 10.1039/d0nh00258e. Epub 2020 Jun 12.</t>
  </si>
  <si>
    <t>Sina AA</t>
  </si>
  <si>
    <t>Nanoscale Horiz</t>
  </si>
  <si>
    <t>Naqvi I, Gunaratne R, McDade JE, Moreno A, Rempel RE, Rouse DC, Herrera SG, Pisetsky DS, Lee J, White RR, Sullenger BA.</t>
  </si>
  <si>
    <t>Mol Ther. 2018 Apr 4;26(4):1020-1031. doi: 10.1016/j.ymthe.2018.02.018. Epub 2018 Feb 23.</t>
  </si>
  <si>
    <t>Naqvi I</t>
  </si>
  <si>
    <t>PMC6079560</t>
  </si>
  <si>
    <t>Tarnopolsky MA, Kerkhof J, Stuart A, Bujak A, Nilsson MI, Hettinga B, May L, Rupar CA, Sadikovic B.</t>
  </si>
  <si>
    <t>FASEB J. 2020 Jul;34(7):9297-9306. doi: 10.1096/fj.202000463R. Epub 2020 May 22.</t>
  </si>
  <si>
    <t>Tarnopolsky MA</t>
  </si>
  <si>
    <t>FASEB J</t>
  </si>
  <si>
    <t>Exosomes as cell-derivative carriers in the diagnosis and treatment of central nervous system diseases</t>
  </si>
  <si>
    <t>Shetgaonkar GG, Marques SM, DCruz CEM, Vibhavari RJA, Kumar L, Shirodkar RK.</t>
  </si>
  <si>
    <t>Drug Deliv Transl Res. 2022 May;12(5):1047-1079. doi: 10.1007/s13346-021-01026-0. Epub 2021 Aug 7.</t>
  </si>
  <si>
    <t>Shetgaonkar GG</t>
  </si>
  <si>
    <t>Drug Deliv Transl Res</t>
  </si>
  <si>
    <t>PMC8942947</t>
  </si>
  <si>
    <t>10.1007/s13346-021-01026-0</t>
  </si>
  <si>
    <t>Identification of double-stranded genomic DNA spanning all chromosomes with mutated KRAS and p53 DNA in the serum exosomes of patients with pancreatic cancer</t>
  </si>
  <si>
    <t>Kahlert C, Melo SA, Protopopov A, Tang J, Seth S, Koch M, Zhang J, Weitz J, Chin L, Futreal A, Kalluri R.</t>
  </si>
  <si>
    <t>J Biol Chem. 2014 Feb 14;289(7):3869-75. doi: 10.1074/jbc.C113.532267. Epub 2014 Jan 7.</t>
  </si>
  <si>
    <t>Kahlert C</t>
  </si>
  <si>
    <t>PMC3924256</t>
  </si>
  <si>
    <t>García-Romero N, Madurga R, Rackov G, Palacín-Aliana I, Núñez-Torres R, Asensi-Puig A, Carrión-Navarro J, Esteban-Rubio S, Peinado H, González-Neira A, González-Rumayor V, Belda-Iniesta C, Ayuso-Sacido A.</t>
  </si>
  <si>
    <t>J Transl Med. 2019 Mar 11;17(1):75. doi: 10.1186/s12967-019-1825-3.</t>
  </si>
  <si>
    <t>García-Romero N</t>
  </si>
  <si>
    <t>PMC6419425</t>
  </si>
  <si>
    <t>Dong H, Chen H, Jiang J, Zhang H, Cai C, Shen Q.</t>
  </si>
  <si>
    <t>Anal Chem. 2018 Apr 3;90(7):4507-4513. doi: 10.1021/acs.analchem.7b04863. Epub 2018 Mar 15.</t>
  </si>
  <si>
    <t>Dong H</t>
  </si>
  <si>
    <t>[Extraction and identification of exosomes from drug-resistant breast cancer cells and their potential role in cell-to-cell drug-resistance transfer]</t>
  </si>
  <si>
    <t>Xu J, Li W, Zhong S, Li X, Chen Z, Hu Q, Tang J, Zhao J.</t>
  </si>
  <si>
    <t>Zhonghua Zhong Liu Za Zhi. 2014 Mar;36(3):165-70.</t>
  </si>
  <si>
    <t>Xu J</t>
  </si>
  <si>
    <t>Zhonghua Zhong Liu Za Zhi</t>
  </si>
  <si>
    <t>Magnetic-Based Microfluidic Device for On-Chip Isolation and Detection of Tumor-Derived Exosomes</t>
  </si>
  <si>
    <t>Xu H, Liao C, Zuo P, Liu Z, Ye BC.</t>
  </si>
  <si>
    <t>Anal Chem. 2018 Nov 20;90(22):13451-13458. doi: 10.1021/acs.analchem.8b03272. Epub 2018 Oct 3.</t>
  </si>
  <si>
    <t>Xu H</t>
  </si>
  <si>
    <t>10.1021/acs.analchem.8b03272</t>
  </si>
  <si>
    <t>Yeast RNA exosome activity is necessary for maintaining cell wall stability through proper protein glycosylation</t>
  </si>
  <si>
    <t>Novačić A, Beauvais V, Oskomić M, Štrbac L, Dantec AL, Rahmouni AR, Stuparević I.</t>
  </si>
  <si>
    <t>Mol Biol Cell. 2021 Mar 1;32(5):363-375. doi: 10.1091/mbc.E20-08-0544-T. Epub 2021 Jan 13.</t>
  </si>
  <si>
    <t>Novačić A</t>
  </si>
  <si>
    <t>Mol Biol Cell</t>
  </si>
  <si>
    <t>PMC8098854</t>
  </si>
  <si>
    <t>10.1091/mbc.E20-08-0544-T</t>
  </si>
  <si>
    <t>RNA-containing exosomes in human nasal secretions</t>
  </si>
  <si>
    <t>Lässer C, O'Neil SE, Ekerljung L, Ekström K, Sjöstrand M, Lötvall J.</t>
  </si>
  <si>
    <t>Am J Rhinol Allergy. 2011 Mar-Apr;25(2):89-93. doi: 10.2500/ajra.2011.25.3573. Epub 2010 Dec 17.</t>
  </si>
  <si>
    <t>Lässer C</t>
  </si>
  <si>
    <t>Am J Rhinol Allergy</t>
  </si>
  <si>
    <t>10.2500/ajra.2011.25.3573</t>
  </si>
  <si>
    <t>An integrated microfluidic system for on-chip enrichment and quantification of circulating extracellular vesicles from whole blood</t>
  </si>
  <si>
    <t>Chen YS, Ma YD, Chen C, Shiesh SC, Lee GB.</t>
  </si>
  <si>
    <t>Lab Chip. 2019 Oct 7;19(19):3305-3315. doi: 10.1039/c9lc00624a. Epub 2019 Sep 9.</t>
  </si>
  <si>
    <t>Chen YS</t>
  </si>
  <si>
    <t>10.1039/c9lc00624a</t>
  </si>
  <si>
    <t>Interactions between exosomes from breast cancer cells and primary mammary epithelial cells leads to generation of reactive oxygen species which induce DNA damage response, stabilization of p53 and autophagy in epithelial cells</t>
  </si>
  <si>
    <t>Dutta S, Warshall C, Bandyopadhyay C, Dutta D, Chandran B.</t>
  </si>
  <si>
    <t>PLoS One. 2014 May 15;9(5):e97580. doi: 10.1371/journal.pone.0097580. eCollection 2014.</t>
  </si>
  <si>
    <t>Dutta S</t>
  </si>
  <si>
    <t>PMC4022578</t>
  </si>
  <si>
    <t>He F, Liu H, Guo X, Yin BC, Ye BC.</t>
  </si>
  <si>
    <t>Anal Chem. 2017 Dec 5;89(23):12968-12975. doi: 10.1021/acs.analchem.7b03919. Epub 2017 Nov 21.</t>
  </si>
  <si>
    <t>He F</t>
  </si>
  <si>
    <t>Wang Y, Li Q, Shi H, Tang K, Qiao L, Yu G, Ding C, Yu S.</t>
  </si>
  <si>
    <t>Lab Chip. 2020 Dec 15;20(24):4632-4637. doi: 10.1039/d0lc00677g.</t>
  </si>
  <si>
    <t>Bhat A, Sharma A, Bharti AC.</t>
  </si>
  <si>
    <t>Nanomedicine (Lond). 2018 Sep;13(17):2127-2138. doi: 10.2217/nnm-2018-0143. Epub 2018 Sep 28.</t>
  </si>
  <si>
    <t>Bhat A</t>
  </si>
  <si>
    <t>Giovannelli I, Clausi V, Nukuzuma S, Della Malva N, Nosi D, Giannecchini S.</t>
  </si>
  <si>
    <t>Virus Res. 2016 Feb 2;213:269-273. doi: 10.1016/j.virusres.2015.11.026. Epub 2016 Jan 4.</t>
  </si>
  <si>
    <t>Giovannelli I</t>
  </si>
  <si>
    <t>Virus Res</t>
  </si>
  <si>
    <t>Al-Mayah A, Bright S, Chapman K, Irons S, Luo P, Carter D, Goodwin E, Kadhim M.</t>
  </si>
  <si>
    <t>Mutat Res. 2015 Feb;772:38-45. doi: 10.1016/j.mrfmmm.2014.12.007. Epub 2014 Dec 30.</t>
  </si>
  <si>
    <t>Al-Mayah A</t>
  </si>
  <si>
    <t>Mutat Res</t>
  </si>
  <si>
    <t>Mechanism and clinical value of exosomes and exosomal contents in regulating solid tumor radiosensitivity</t>
  </si>
  <si>
    <t>Sun H, Sun R, Song X, Gu W, Shao Y.</t>
  </si>
  <si>
    <t>J Transl Med. 2022 Apr 28;20(1):189. doi: 10.1186/s12967-022-03392-w.</t>
  </si>
  <si>
    <t>Sun H</t>
  </si>
  <si>
    <t>PMC9052527</t>
  </si>
  <si>
    <t>10.1186/s12967-022-03392-w</t>
  </si>
  <si>
    <t>Zeming KK, Salafi T, Shikha S, Zhang Y.</t>
  </si>
  <si>
    <t>Nat Commun. 2018 Mar 28;9(1):1254. doi: 10.1038/s41467-018-03596-z.</t>
  </si>
  <si>
    <t>Zeming KK</t>
  </si>
  <si>
    <t>PMC5871788</t>
  </si>
  <si>
    <t>Zhang XW, Liu MX, He MQ, Chen S, Yu YL, Wang JH.</t>
  </si>
  <si>
    <t>Anal Chem. 2021 Apr 27;93(16):6437-6445. doi: 10.1021/acs.analchem.1c00152. Epub 2021 Apr 12.</t>
  </si>
  <si>
    <t>Zhang XW</t>
  </si>
  <si>
    <t>Freudenmann LK, Mayer C, Rodemann HP, Dittmann K.</t>
  </si>
  <si>
    <t>Exp Cell Res. 2019 Oct 1;383(1):111498. doi: 10.1016/j.yexcr.2019.111498. Epub 2019 Jul 11.</t>
  </si>
  <si>
    <t>Freudenmann LK</t>
  </si>
  <si>
    <t>Miranda KC, Bond DT, McKee M, Skog J, Păunescu TG, Da Silva N, Brown D, Russo LM.</t>
  </si>
  <si>
    <t>Kidney Int. 2010 Jul;78(2):191-9. doi: 10.1038/ki.2010.106. Epub 2010 Apr 28.</t>
  </si>
  <si>
    <t>Miranda KC</t>
  </si>
  <si>
    <t>Kidney Int</t>
  </si>
  <si>
    <t>PMC4451567</t>
  </si>
  <si>
    <t>NIHMS693897</t>
  </si>
  <si>
    <t>Bansal S, Limaye AP, Lee J, Fleming T, Poulson C, Omar A, Hachem R, Bharat A, Bremner RM, Smith MA, Mohanakumar T.</t>
  </si>
  <si>
    <t>Transpl Immunol. 2021 Dec;69:101480. doi: 10.1016/j.trim.2021.101480. Epub 2021 Oct 5.</t>
  </si>
  <si>
    <t>Bansal S</t>
  </si>
  <si>
    <t>Transpl Immunol</t>
  </si>
  <si>
    <t>Potentiality of Exosomal Proteins as Novel Cancer Biomarkers for Liquid Biopsy</t>
  </si>
  <si>
    <t>Hu C, Jiang W, Lv M, Fan S, Lu Y, Wu Q, Pi J.</t>
  </si>
  <si>
    <t>Front Immunol. 2022 Jun 9;13:792046. doi: 10.3389/fimmu.2022.792046. eCollection 2022.</t>
  </si>
  <si>
    <t>Hu C</t>
  </si>
  <si>
    <t>PMC9218252</t>
  </si>
  <si>
    <t>10.3389/fimmu.2022.792046</t>
  </si>
  <si>
    <t>Exosomes from high glucose-treated macrophages activate glomerular mesangial cells via TGF-β1/Smad3 pathway in vivo and in vitro</t>
  </si>
  <si>
    <t>Zhu QJ, Zhu M, Xu XX, Meng XM, Wu YG.</t>
  </si>
  <si>
    <t>FASEB J. 2019 Aug;33(8):9279-9290. doi: 10.1096/fj.201802427RRR. Epub 2019 Jun 4.</t>
  </si>
  <si>
    <t>Zhu QJ</t>
  </si>
  <si>
    <t>Bone marrow mesenchymal stem cell-derived exosomal miR-206 promotes osteoblast proliferation and differentiation in osteoarthritis by reducing Elf3</t>
  </si>
  <si>
    <t>Huang Y, Zhang X, Zhan J, Yan Z, Chen D, Xue X, Pan X.</t>
  </si>
  <si>
    <t>J Cell Mol Med. 2021 Aug;25(16):7734-7745. doi: 10.1111/jcmm.16654. Epub 2021 Jun 23.</t>
  </si>
  <si>
    <t>PMC8358849</t>
  </si>
  <si>
    <t>10.1111/jcmm.16654</t>
  </si>
  <si>
    <t>Breyne K, Ughetto S, Rufino-Ramos D, Mahjoum S, Grandell EA, de Almeida LP, Breakefield XO.</t>
  </si>
  <si>
    <t>Commun Biol. 2022 May 19;5(1):485. doi: 10.1038/s42003-022-03440-7.</t>
  </si>
  <si>
    <t>Breyne K</t>
  </si>
  <si>
    <t>Commun Biol</t>
  </si>
  <si>
    <t>PMC9120435</t>
  </si>
  <si>
    <t>Huang YJ, Cao J, Lee CY, Wu YM.</t>
  </si>
  <si>
    <t>Stem Cell Res Ther. 2021 Nov 12;12(1):568. doi: 10.1186/s13287-021-02641-x.</t>
  </si>
  <si>
    <t>Huang YJ</t>
  </si>
  <si>
    <t>PMC8588641</t>
  </si>
  <si>
    <t>Multiplex Biomarker Screening Assay for Urinary Extracellular Vesicles Study: A Targeted Label-Free Proteomic Approach</t>
  </si>
  <si>
    <t>Chutipongtanate S, Greis KD.</t>
  </si>
  <si>
    <t>Sci Rep. 2018 Oct 9;8(1):15039. doi: 10.1038/s41598-018-33280-7.</t>
  </si>
  <si>
    <t>Chutipongtanate S</t>
  </si>
  <si>
    <t>PMC6177456</t>
  </si>
  <si>
    <t>10.1038/s41598-018-33280-7</t>
  </si>
  <si>
    <t>Wang S, Zhang L, Wan S, Cansiz S, Cui C, Liu Y, Cai R, Hong C, Teng IT, Shi M, Wu Y, Dong Y, Tan W.</t>
  </si>
  <si>
    <t>ACS Nano. 2017 Apr 25;11(4):3943-3949. doi: 10.1021/acsnano.7b00373. Epub 2017 Mar 20.</t>
  </si>
  <si>
    <t>Wang S</t>
  </si>
  <si>
    <t>PMC5518691</t>
  </si>
  <si>
    <t>NIHMS877117</t>
  </si>
  <si>
    <t>Tian Q, He C, Liu G, Zhao Y, Hui L, Mu Y, Tang R, Luo Y, Zheng S, Wang B.</t>
  </si>
  <si>
    <t>Anal Chem. 2018 Jun 5;90(11):6556-6562. doi: 10.1021/acs.analchem.8b00189. Epub 2018 May 8.</t>
  </si>
  <si>
    <t>Tian Q</t>
  </si>
  <si>
    <t>Lu J, Wang M, Han Y, Deng Y, Zeng Y, Li C, Yang J, Li G.</t>
  </si>
  <si>
    <t>Anal Chem. 2022 Mar 29;94(12):5055-5061. doi: 10.1021/acs.analchem.1c05222. Epub 2022 Mar 15.</t>
  </si>
  <si>
    <t>Lu J</t>
  </si>
  <si>
    <t>Identification of low-dose radiation-induced exosomal circ-METRN and miR-4709-3p/GRB14/PDGFRα pathway as a key regulatory mechanism in Glioblastoma progression and radioresistance: Functional validation and clinical theranostic significance</t>
  </si>
  <si>
    <t>Wang X, Cao Q, Shi Y, Wu X, Mi Y, Liu K, Kan Q, Fan R, Liu Z, Zhang M.</t>
  </si>
  <si>
    <t>Int J Biol Sci. 2021 Mar 2;17(4):1061-1078. doi: 10.7150/ijbs.57168. eCollection 2021.</t>
  </si>
  <si>
    <t>PMC8040305</t>
  </si>
  <si>
    <t>Liu H, Kang M, Wang J, Blenkiron C, Lee A, Wise M, Chamley L, Chen Q.</t>
  </si>
  <si>
    <t>Placenta. 2018 Dec;72-73:41-47. doi: 10.1016/j.placenta.2018.10.009. Epub 2018 Oct 30.</t>
  </si>
  <si>
    <t>Exosomal transmission of functional aquaporin 2 in kidney cortical collecting duct cells</t>
  </si>
  <si>
    <t>Street JM, Birkhoff W, Menzies RI, Webb DJ, Bailey MA, Dear JW.</t>
  </si>
  <si>
    <t>J Physiol. 2011 Dec 15;589(Pt 24):6119-27. doi: 10.1113/jphysiol.2011.220277. Epub 2011 Oct 24.</t>
  </si>
  <si>
    <t>Street JM</t>
  </si>
  <si>
    <t>J Physiol</t>
  </si>
  <si>
    <t>PMC3286690</t>
  </si>
  <si>
    <t>10.1113/jphysiol.2011.220277</t>
  </si>
  <si>
    <t>Self-Assembly of Microparticles by Supramolecular Homopolymerization of One Component DNA Molecule</t>
  </si>
  <si>
    <t>Zeng J, Fu W, Qi Z, Zhu Q, He H, Huang C, Zuo H, Mao C.</t>
  </si>
  <si>
    <t>Small. 2019 Jun;15(26):e1805552. doi: 10.1002/smll.201805552. Epub 2019 Feb 8.</t>
  </si>
  <si>
    <t>Zeng J</t>
  </si>
  <si>
    <t>10.1002/smll.201805552</t>
  </si>
  <si>
    <t>Chen C, Zong S, Liu Y, Wang Z, Zhang Y, Chen B, Cui Y.</t>
  </si>
  <si>
    <t>Small. 2019 Oct;15(43):e1901014. doi: 10.1002/smll.201901014. Epub 2019 Sep 3.</t>
  </si>
  <si>
    <t>Chen C</t>
  </si>
  <si>
    <t>Heineck DP, Lewis JM, Heller MJ.</t>
  </si>
  <si>
    <t>Electrophoresis. 2017 Jun;38(11):1475-1482. doi: 10.1002/elps.201600563.</t>
  </si>
  <si>
    <t>Heineck DP</t>
  </si>
  <si>
    <t>Electrophoresis</t>
  </si>
  <si>
    <t>Stimulation of Mononuclear Cells Through Toll-Like Receptor 9 Induces Release of Microvesicles Expressing Double-Stranded DNA and Galectin 3-Binding Protein in an Interferon-α-Dependent Manner</t>
  </si>
  <si>
    <t>Rasmussen NS, Nielsen CT, Jacobsen S, Nielsen CH.</t>
  </si>
  <si>
    <t>Front Immunol. 2019 Oct 11;10:2391. doi: 10.3389/fimmu.2019.02391. eCollection 2019.</t>
  </si>
  <si>
    <t>PMC6797593</t>
  </si>
  <si>
    <t>Modulation of cellular function through immune-activated exosomes</t>
  </si>
  <si>
    <t>Pulliam L, Gupta A.</t>
  </si>
  <si>
    <t>DNA Cell Biol. 2015 Jul;34(7):459-63. doi: 10.1089/dna.2015.2884. Epub 2015 May 6.</t>
  </si>
  <si>
    <t>Pulliam L</t>
  </si>
  <si>
    <t>DNA Cell Biol</t>
  </si>
  <si>
    <t>PMC4504252</t>
  </si>
  <si>
    <t>10.1089/dna.2015.2884</t>
  </si>
  <si>
    <t>Molecular mechanism to recruit galectin-3 into multivesicular bodies for polarized exosomal secretion</t>
  </si>
  <si>
    <t>Bänfer S, Schneider D, Dewes J, Strauss MT, Freibert SA, Heimerl T, Maier UG, Elsässer HP, Jungmann R, Jacob R.</t>
  </si>
  <si>
    <t>Proc Natl Acad Sci U S A. 2018 May 8;115(19):E4396-E4405. doi: 10.1073/pnas.1718921115. Epub 2018 Apr 23.</t>
  </si>
  <si>
    <t>Bänfer S</t>
  </si>
  <si>
    <t>PMC5948969</t>
  </si>
  <si>
    <t>10.1073/pnas.1718921115</t>
  </si>
  <si>
    <t>Yeast Sirtuin Family Members Maintain Transcription Homeostasis to Ensure Genome Stability</t>
  </si>
  <si>
    <t>Feldman JL, Peterson CL.</t>
  </si>
  <si>
    <t>Cell Rep. 2019 Jun 4;27(10):2978-2989.e5. doi: 10.1016/j.celrep.2019.05.009.</t>
  </si>
  <si>
    <t>Feldman JL</t>
  </si>
  <si>
    <t>PMC6640630</t>
  </si>
  <si>
    <t>NIHMS1531056</t>
  </si>
  <si>
    <t>10.1016/j.celrep.2019.05.009</t>
  </si>
  <si>
    <t>The exosome and heterochromatin: multilevel regulation of gene silencing</t>
  </si>
  <si>
    <t>Coy S, Vasiljeva L.</t>
  </si>
  <si>
    <t>Adv Exp Med Biol. 2010;702:105-21.</t>
  </si>
  <si>
    <t>Coy S</t>
  </si>
  <si>
    <t>Sha L, Bo B, Yang F, Li J, Cao Y, Zhao J.</t>
  </si>
  <si>
    <t>Anal Chem. 2022 Jun 21;94(24):8748-8755. doi: 10.1021/acs.analchem.2c01318. Epub 2022 Jun 1.</t>
  </si>
  <si>
    <t>Sha L</t>
  </si>
  <si>
    <t>Xu S, Wang J, Ding N, Hu W, Zhang X, Wang B, Hua J, Wei W, Zhu Q.</t>
  </si>
  <si>
    <t>RNA Biol. 2015;12(12):1355-63. doi: 10.1080/15476286.2015.1100795.</t>
  </si>
  <si>
    <t>Xu S</t>
  </si>
  <si>
    <t>PMC4829325</t>
  </si>
  <si>
    <t>Yerneni SS, Lathwal S, Cuthbert J, Kapil K, Szczepaniak G, Jeong J, Das SR, Campbell PG, Matyjaszewski K.</t>
  </si>
  <si>
    <t>Biomacromolecules. 2022 Apr 11;23(4):1713-1722. doi: 10.1021/acs.biomac.1c01636. Epub 2022 Mar 18.</t>
  </si>
  <si>
    <t>Biomacromolecules</t>
  </si>
  <si>
    <t>Zhang HM, Li Q, Zhu X, Liu W, Hu H, Liu T, Cheng F, You Y, Zhong Z, Zou P, Li Q, Chen Z, Guo AY.</t>
  </si>
  <si>
    <t>Cancer Res. 2016 May 15;76(10):2901-11. doi: 10.1158/0008-5472.CAN-15-2120. Epub 2016 Mar 24.</t>
  </si>
  <si>
    <t>Zhang HM</t>
  </si>
  <si>
    <t>The role of the Arabidopsis Exosome in siRNA-independent silencing of heterochromatic loci</t>
  </si>
  <si>
    <t>Shin JH, Wang HL, Lee J, Dinwiddie BL, Belostotsky DA, Chekanova JA.</t>
  </si>
  <si>
    <t>PLoS Genet. 2013 Mar;9(3):e1003411. doi: 10.1371/journal.pgen.1003411. Epub 2013 Mar 28.</t>
  </si>
  <si>
    <t>Shin JH</t>
  </si>
  <si>
    <t>PLoS Genet</t>
  </si>
  <si>
    <t>PMC3610620</t>
  </si>
  <si>
    <t>10.1371/journal.pgen.1003411</t>
  </si>
  <si>
    <t>Autophagy and exosomes in the aged retinal pigment epithelium: possible relevance to drusen formation and age-related macular degeneration</t>
  </si>
  <si>
    <t>Wang AL, Lukas TJ, Yuan M, Du N, Tso MO, Neufeld AH.</t>
  </si>
  <si>
    <t>PLoS One. 2009;4(1):e4160. doi: 10.1371/journal.pone.0004160. Epub 2009 Jan 8.</t>
  </si>
  <si>
    <t>Wang AL</t>
  </si>
  <si>
    <t>PMC2612751</t>
  </si>
  <si>
    <t>Contribution of vesicle-protected extracellular DNA to horizontal gene transfer in Thermus spp</t>
  </si>
  <si>
    <t>Int Microbiol. 2015 Sep;18(3):177-87. doi: 10.2436/20.1501.01.248.</t>
  </si>
  <si>
    <t>Int Microbiol</t>
  </si>
  <si>
    <t>He N, Thippabhotla S, Zhong C, Greenberg Z, Xu L, Pessetto Z, Godwin AK, Zeng Y, He M.</t>
  </si>
  <si>
    <t>Commun Biol. 2022 Jul 4;5(1):660. doi: 10.1038/s42003-022-03598-0.</t>
  </si>
  <si>
    <t>He N</t>
  </si>
  <si>
    <t>PMC9253007</t>
  </si>
  <si>
    <t>Surface plasmon resonance biosensor using hydrogel-AuNP supramolecular spheres for determination of prostate cancer-derived exosomes</t>
  </si>
  <si>
    <t>Chen W, Li J, Wei X, Fan Y, Qian H, Li S, Xiang Y, Ding S.</t>
  </si>
  <si>
    <t>Mikrochim Acta. 2020 Oct 6;187(11):590. doi: 10.1007/s00604-020-04573-4.</t>
  </si>
  <si>
    <t>Chen W</t>
  </si>
  <si>
    <t>10.1007/s00604-020-04573-4</t>
  </si>
  <si>
    <t>Xiong Y, Tang Y, Fan F, Zeng Y, Li C, Zhou G, Hu Z, Zhang L, Liu Z.</t>
  </si>
  <si>
    <t>Transl Res. 2020 Jan;215:1-16. doi: 10.1016/j.trsl.2019.07.013. Epub 2019 Aug 10.</t>
  </si>
  <si>
    <t>Xiong Y</t>
  </si>
  <si>
    <t>Transl Res</t>
  </si>
  <si>
    <t>EXOSC9 depletion attenuates P-body formation, stress resistance, and tumorigenicity of cancer cells</t>
  </si>
  <si>
    <t>Yoshino S, Matsui Y, Fukui Y, Seki M, Yamaguchi K, Kanamori A, Saitoh Y, Shimamura T, Suzuki Y, Furukawa Y, Kaneko S, Seiki M, Murakami Y, Inoue JI, Sakamoto T.</t>
  </si>
  <si>
    <t>Sci Rep. 2020 Jun 9;10(1):9275. doi: 10.1038/s41598-020-66455-2.</t>
  </si>
  <si>
    <t>Yoshino S</t>
  </si>
  <si>
    <t>PMC7283315</t>
  </si>
  <si>
    <t>10.1038/s41598-020-66455-2</t>
  </si>
  <si>
    <t>Shao H, Chung J, Lee K, Balaj L, Min C, Carter BS, Hochberg FH, Breakefield XO, Lee H, Weissleder R.</t>
  </si>
  <si>
    <t>Nat Commun. 2015 May 11;6:6999. doi: 10.1038/ncomms7999.</t>
  </si>
  <si>
    <t>Shao H</t>
  </si>
  <si>
    <t>PMC4430127</t>
  </si>
  <si>
    <t>NIHMS675122</t>
  </si>
  <si>
    <t>Expression profiling of exosomal miRNAs derived from human esophageal cancer cells by Solexa high-throughput sequencing</t>
  </si>
  <si>
    <t>Liao J, Liu R, Yin L, Pu Y.</t>
  </si>
  <si>
    <t>Int J Mol Sci. 2014 Sep 2;15(9):15530-51. doi: 10.3390/ijms150915530.</t>
  </si>
  <si>
    <t>Liao J</t>
  </si>
  <si>
    <t>Int J Mol Sci</t>
  </si>
  <si>
    <t>PMC4200790</t>
  </si>
  <si>
    <t>10.3390/ijms150915530</t>
  </si>
  <si>
    <t>Shurtleff MJ, Yao J, Qin Y, Nottingham RM, Temoche-Diaz MM, Schekman R, Lambowitz AM.</t>
  </si>
  <si>
    <t>Proc Natl Acad Sci U S A. 2017 Oct 24;114(43):E8987-E8995. doi: 10.1073/pnas.1712108114. Epub 2017 Oct 10.</t>
  </si>
  <si>
    <t>Shurtleff MJ</t>
  </si>
  <si>
    <t>PMC5663387</t>
  </si>
  <si>
    <t>The present and future of prostate cancer urine biomarkers</t>
  </si>
  <si>
    <t>Rigau M, Olivan M, Garcia M, Sequeiros T, Montes M, Colás E, Llauradó M, Planas J, Torres Id, Morote J, Cooper C, Reventós J, Clark J, Doll A.</t>
  </si>
  <si>
    <t>Int J Mol Sci. 2013 Jun 17;14(6):12620-49. doi: 10.3390/ijms140612620.</t>
  </si>
  <si>
    <t>Rigau M</t>
  </si>
  <si>
    <t>PMC3709804</t>
  </si>
  <si>
    <t>10.3390/ijms140612620</t>
  </si>
  <si>
    <t>Heparanase regulates secretion, composition, and function of tumor cell-derived exosomes</t>
  </si>
  <si>
    <t>Thompson CA, Purushothaman A, Ramani VC, Vlodavsky I, Sanderson RD.</t>
  </si>
  <si>
    <t>J Biol Chem. 2013 Apr 5;288(14):10093-10099. doi: 10.1074/jbc.C112.444562. Epub 2013 Feb 21.</t>
  </si>
  <si>
    <t>Thompson CA</t>
  </si>
  <si>
    <t>PMC3617250</t>
  </si>
  <si>
    <t>10.1074/jbc.C112.444562</t>
  </si>
  <si>
    <t>Feiler MS, Strobel B, Freischmidt A, Helferich AM, Kappel J, Brewer BM, Li D, Thal DR, Walther P, Ludolph AC, Danzer KM, Weishaupt JH.</t>
  </si>
  <si>
    <t>J Cell Biol. 2015 Nov 23;211(4):897-911. doi: 10.1083/jcb.201504057.</t>
  </si>
  <si>
    <t>Feiler MS</t>
  </si>
  <si>
    <t>PMC4657165</t>
  </si>
  <si>
    <t>Microparticles as antigenic targets of antibodies to DNA and nucleosomes in systemic lupus erythematosus</t>
  </si>
  <si>
    <t>Ullal AJ, Reich CF 3rd, Clowse M, Criscione-Schreiber LG, Tochacek M, Monestier M, Pisetsky DS.</t>
  </si>
  <si>
    <t>J Autoimmun. 2011 May;36(3-4):173-80. doi: 10.1016/j.jaut.2011.02.001. Epub 2011 Mar 3.</t>
  </si>
  <si>
    <t>Ullal AJ</t>
  </si>
  <si>
    <t>J Autoimmun</t>
  </si>
  <si>
    <t>10.1016/j.jaut.2011.02.001</t>
  </si>
  <si>
    <t>Hong Y, Truong AD, Vu TH, Lee S, Heo J, Kang S, Lillehoj HS, Hong YH.</t>
  </si>
  <si>
    <t>Dev Comp Immunol. 2022 May;130:104368. doi: 10.1016/j.dci.2022.104368. Epub 2022 Jan 29.</t>
  </si>
  <si>
    <t>Hong Y</t>
  </si>
  <si>
    <t>Dev Comp Immunol</t>
  </si>
  <si>
    <t>Li Y, Huang L, Chen Y, Shi Y, Ze Y, Yao Y.</t>
  </si>
  <si>
    <t>Int J Radiat Oncol Biol Phys. 2022 May 1;113(1):192-202. doi: 10.1016/j.ijrobp.2022.01.036. Epub 2022 Feb 23.</t>
  </si>
  <si>
    <t>Li Y</t>
  </si>
  <si>
    <t>Int J Radiat Oncol Biol Phys</t>
  </si>
  <si>
    <t>Galindo-Hernandez O, Serna-Marquez N, Castillo-Sanchez R, Salazar EP.</t>
  </si>
  <si>
    <t>Prostaglandins Leukot Essent Fatty Acids. 2014 Dec;91(6):299-310. doi: 10.1016/j.plefa.2014.09.002. Epub 2014 Sep 28.</t>
  </si>
  <si>
    <t>Galindo-Hernandez O</t>
  </si>
  <si>
    <t>Prostaglandins Leukot Essent Fatty Acids</t>
  </si>
  <si>
    <t>Hao D, Li Y, Zhao G, Zhang M.</t>
  </si>
  <si>
    <t>Thorac Cancer. 2019 Oct;10(10):1962-1972. doi: 10.1111/1759-7714.13175. Epub 2019 Aug 23.</t>
  </si>
  <si>
    <t>Hao D</t>
  </si>
  <si>
    <t>PMC6775022</t>
  </si>
  <si>
    <t>Branched, dendritic, and hyperbranched polymers in liquid biopsy device design</t>
  </si>
  <si>
    <t>Poellmann MJ, Rawding P, Kim D, Bu J, Kim Y, Hong S.</t>
  </si>
  <si>
    <t>Wiley Interdiscip Rev Nanomed Nanobiotechnol. 2022 May;14(3):e1770. doi: 10.1002/wnan.1770. Epub 2022 Jan 4.</t>
  </si>
  <si>
    <t>Poellmann MJ</t>
  </si>
  <si>
    <t>Wiley Interdiscip Rev Nanomed Nanobiotechnol</t>
  </si>
  <si>
    <t>10.1002/wnan.1770</t>
  </si>
  <si>
    <t>Liu W, Ota M, Tabushi M, Takahashi Y, Takakura Y.</t>
  </si>
  <si>
    <t>J Control Release. 2022 May;345:433-442. doi: 10.1016/j.jconrel.2022.03.016. Epub 2022 Mar 14.</t>
  </si>
  <si>
    <t>Liu W</t>
  </si>
  <si>
    <t>Morishita M, Takahashi Y, Matsumoto A, Nishikawa M, Takakura Y.</t>
  </si>
  <si>
    <t>Biomaterials. 2016 Dec;111:55-65. doi: 10.1016/j.biomaterials.2016.09.031. Epub 2016 Oct 3.</t>
  </si>
  <si>
    <t>Morishita M</t>
  </si>
  <si>
    <t>Two distinct populations of exosomes are released from LIM1863 colon carcinoma cell-derived organoids</t>
  </si>
  <si>
    <t>Tauro BJ, Greening DW, Mathias RA, Mathivanan S, Ji H, Simpson RJ.</t>
  </si>
  <si>
    <t>Mol Cell Proteomics. 2013 Mar;12(3):587-98. doi: 10.1074/mcp.M112.021303. Epub 2012 Dec 10.</t>
  </si>
  <si>
    <t>Tauro BJ</t>
  </si>
  <si>
    <t>Mol Cell Proteomics</t>
  </si>
  <si>
    <t>PMC3591653</t>
  </si>
  <si>
    <t>10.1074/mcp.M112.021303</t>
  </si>
  <si>
    <t>Gao H, Wang X, Lin C, An Z, Yu J, Cao H, Fan Y, Liang X.</t>
  </si>
  <si>
    <t>Biol Chem. 2020 Feb 25;401(3):367-376. doi: 10.1515/hsz-2019-0219.</t>
  </si>
  <si>
    <t>Gao H</t>
  </si>
  <si>
    <t>Biol Chem</t>
  </si>
  <si>
    <t>Guo Q, Yu Y, Zhang H, Cai C, Shen Q.</t>
  </si>
  <si>
    <t>Anal Chem. 2020 Apr 7;92(7):5302-5310. doi: 10.1021/acs.analchem.9b05849. Epub 2020 Mar 17.</t>
  </si>
  <si>
    <t>Guo Q</t>
  </si>
  <si>
    <t>The circulating exosomal microRNAs related to albuminuria in patients with diabetic nephropathy</t>
  </si>
  <si>
    <t>Kim H, Bae YU, Jeon JS, Noh H, Park HK, Byun DW, Han DC, Ryu S, Kwon SH.</t>
  </si>
  <si>
    <t>J Transl Med. 2019 Jul 22;17(1):236. doi: 10.1186/s12967-019-1983-3.</t>
  </si>
  <si>
    <t>Kim H</t>
  </si>
  <si>
    <t>PMC6647278</t>
  </si>
  <si>
    <t>10.1186/s12967-019-1983-3</t>
  </si>
  <si>
    <t>Effect of 5-aza-2'-deoxycytidine on immune-associated proteins in exosomes from hepatoma</t>
  </si>
  <si>
    <t>Xiao WH, Sanren GW, Zhu JH, Li QW, Kang HR, Wang RL, Song LP, Ye M.</t>
  </si>
  <si>
    <t>World J Gastroenterol. 2010 May 21;16(19):2371-7. doi: 10.3748/wjg.v16.i19.2371.</t>
  </si>
  <si>
    <t>Xiao WH</t>
  </si>
  <si>
    <t>World J Gastroenterol</t>
  </si>
  <si>
    <t>PMC2874141</t>
  </si>
  <si>
    <t>Muscle Releases Alpha-Sarcoglycan Positive Extracellular Vesicles Carrying miRNAs in the Bloodstream</t>
  </si>
  <si>
    <t>Guescini M, Canonico B, Lucertini F, Maggio S, Annibalini G, Barbieri E, Luchetti F, Papa S, Stocchi V.</t>
  </si>
  <si>
    <t>PLoS One. 2015 May 8;10(5):e0125094. doi: 10.1371/journal.pone.0125094. eCollection 2015.</t>
  </si>
  <si>
    <t>Guescini M</t>
  </si>
  <si>
    <t>PMC4425492</t>
  </si>
  <si>
    <t>10.1371/journal.pone.0125094</t>
  </si>
  <si>
    <t>Spencer DM, Dye JR, Piantadosi CA, Pisetsky DS.</t>
  </si>
  <si>
    <t>Exp Cell Res. 2018 Feb 15;363(2):151-159. doi: 10.1016/j.yexcr.2017.12.024. Epub 2017 Dec 29.</t>
  </si>
  <si>
    <t>Spencer DM</t>
  </si>
  <si>
    <t>Plasma-derived exosomes contribute to inflammation via the TLR9-NF-κB pathway in chronic heart failure patients</t>
  </si>
  <si>
    <t>Ye W, Tang X, Yang Z, Liu C, Zhang X, Jin J, Lyu J.</t>
  </si>
  <si>
    <t>Mol Immunol. 2017 Jul;87:114-121. doi: 10.1016/j.molimm.2017.03.011. Epub 2017 Apr 25.</t>
  </si>
  <si>
    <t>Ye W</t>
  </si>
  <si>
    <t>Tu M, Wei F, Yang J, Wong D.</t>
  </si>
  <si>
    <t>J Vis Exp. 2015 Jan 23;(95):52439. doi: 10.3791/52439.</t>
  </si>
  <si>
    <t>Tu M</t>
  </si>
  <si>
    <t>PMC4354565</t>
  </si>
  <si>
    <t>Sheller-Miller S, Urrabaz-Garza R, Saade G, Menon R.</t>
  </si>
  <si>
    <t>J Reprod Immunol. 2017 Sep;123:3-11. doi: 10.1016/j.jri.2017.08.003. Epub 2017 Aug 24.</t>
  </si>
  <si>
    <t>Sheller-Miller S</t>
  </si>
  <si>
    <t>J Reprod Immunol</t>
  </si>
  <si>
    <t>PMC5632595</t>
  </si>
  <si>
    <t>NIHMS902631</t>
  </si>
  <si>
    <t>García-Romero N, Rackov G, Belda-Iniesta C, Ayuso-Sacido Á.</t>
  </si>
  <si>
    <t>Methods Mol Biol. 2017;1660:397-406. doi: 10.1007/978-1-4939-7253-1_33.</t>
  </si>
  <si>
    <t>Exosomes from human CD34(+) stem cells mediate their proangiogenic paracrine activity</t>
  </si>
  <si>
    <t>Sahoo S, Klychko E, Thorne T, Misener S, Schultz KM, Millay M, Ito A, Liu T, Kamide C, Agrawal H, Perlman H, Qin G, Kishore R, Losordo DW.</t>
  </si>
  <si>
    <t>Circ Res. 2011 Sep 16;109(7):724-8. doi: 10.1161/CIRCRESAHA.111.253286. Epub 2011 Aug 11.</t>
  </si>
  <si>
    <t>Sahoo S</t>
  </si>
  <si>
    <t>PMC3201702</t>
  </si>
  <si>
    <t>NIHMS322377</t>
  </si>
  <si>
    <t>10.1161/CIRCRESAHA.111.253286</t>
  </si>
  <si>
    <t>Exosomes are natural carriers of exogenous siRNA to human cells in vitro</t>
  </si>
  <si>
    <t>Shtam TA, Kovalev RA, Varfolomeeva EY, Makarov EM, Kil YV, Filatov MV.</t>
  </si>
  <si>
    <t>Cell Commun Signal. 2013 Nov 18;11:88. doi: 10.1186/1478-811X-11-88.</t>
  </si>
  <si>
    <t>Shtam TA</t>
  </si>
  <si>
    <t>PMC3895799</t>
  </si>
  <si>
    <t>10.1186/1478-811X-11-88</t>
  </si>
  <si>
    <t>Targeted Mass Spectrometry-Based Proteomics Method to Quantify Placental Extracellular Vesicles</t>
  </si>
  <si>
    <t>Lai A, Palma C, Salas A, Carrion F, Salomon C.</t>
  </si>
  <si>
    <t>Methods Mol Biol. 2022;2504:79-89. doi: 10.1007/978-1-0716-2341-1_6.</t>
  </si>
  <si>
    <t>10.1007/978-1-0716-2341-1_6</t>
  </si>
  <si>
    <t>Endothelial cells require miR-214 to secrete exosomes that suppress senescence and induce angiogenesis in human and mouse endothelial cells</t>
  </si>
  <si>
    <t>van Balkom BW, de Jong OG, Smits M, Brummelman J, den Ouden K, de Bree PM, van Eijndhoven MA, Pegtel DM, Stoorvogel W, Würdinger T, Verhaar MC.</t>
  </si>
  <si>
    <t>Blood. 2013 May 9;121(19):3997-4006, S1-15. doi: 10.1182/blood-2013-02-478925. Epub 2013 Mar 26.</t>
  </si>
  <si>
    <t>van Balkom BW</t>
  </si>
  <si>
    <t>10.1182/blood-2013-02-478925</t>
  </si>
  <si>
    <t>Ono R, Yasuhiko Y, Aisaki KI, Kitajima S, Kanno J, Hirabayashi Y.</t>
  </si>
  <si>
    <t>Commun Biol. 2019 Feb 8;2:57. doi: 10.1038/s42003-019-0300-2. eCollection 2019.</t>
  </si>
  <si>
    <t>Ono R</t>
  </si>
  <si>
    <t>PMC6368560</t>
  </si>
  <si>
    <t>Hu K, McKay PF, Samnuan K, Najer A, Blakney AK, Che J, O'Driscoll G, Cihova M, Stevens MM, Shattock RJ.</t>
  </si>
  <si>
    <t>J Extracell Vesicles. 2022 Mar;11(3):e12199. doi: 10.1002/jev2.12199.</t>
  </si>
  <si>
    <t>Hu K</t>
  </si>
  <si>
    <t>PMC8888812</t>
  </si>
  <si>
    <t>Prostasomes are heterogeneous regarding size and appearance but affiliated to one DNA-containing exosome family</t>
  </si>
  <si>
    <t>Ronquist GK, Larsson A, Stavreus-Evers A, Ronquist G.</t>
  </si>
  <si>
    <t>Prostate. 2012 Dec 1;72(16):1736-45. doi: 10.1002/pros.22526. Epub 2012 Apr 26.</t>
  </si>
  <si>
    <t>Ronquist GK</t>
  </si>
  <si>
    <t>Nozaki T, Sasaki Y, Fukuda I, Isumi M, Nakamoto K, Onodera T, Masutani M.</t>
  </si>
  <si>
    <t>Biochem Biophys Res Commun. 2018 May 15;499(3):410-415. doi: 10.1016/j.bbrc.2018.03.073. Epub 2018 Mar 22.</t>
  </si>
  <si>
    <t>Nozaki T</t>
  </si>
  <si>
    <t>Biochem Biophys Res Commun</t>
  </si>
  <si>
    <t>Massively parallel sequencing of human urinary exosome/microvesicle RNA reveals a predominance of non-coding RNA</t>
  </si>
  <si>
    <t>Miranda KC, Bond DT, Levin JZ, Adiconis X, Sivachenko A, Russ C, Brown D, Nusbaum C, Russo LM.</t>
  </si>
  <si>
    <t>PLoS One. 2014 May 9;9(5):e96094. doi: 10.1371/journal.pone.0096094. eCollection 2014.</t>
  </si>
  <si>
    <t>PMC4015934</t>
  </si>
  <si>
    <t>Kanada M, Bachmann MH, Hardy JW, Frimannson DO, Bronsart L, Wang A, Sylvester MD, Schmidt TL, Kaspar RL, Butte MJ, Matin AC, Contag CH.</t>
  </si>
  <si>
    <t>Proc Natl Acad Sci U S A. 2015 Mar 24;112(12):E1433-42. doi: 10.1073/pnas.1418401112. Epub 2015 Feb 23.</t>
  </si>
  <si>
    <t>Kanada M</t>
  </si>
  <si>
    <t>PMC4378439</t>
  </si>
  <si>
    <t>Rarely at rest: RNA helicases and their busy contributions to RNA degradation, regulation and quality control</t>
  </si>
  <si>
    <t>Hardwick SW, Luisi BF.</t>
  </si>
  <si>
    <t>RNA Biol. 2013 Jan;10(1):56-70. doi: 10.4161/rna.22270. Epub 2012 Oct 12.</t>
  </si>
  <si>
    <t>Hardwick SW</t>
  </si>
  <si>
    <t>PMC3590238</t>
  </si>
  <si>
    <t>10.4161/rna.22270</t>
  </si>
  <si>
    <t>Antisense ribosomal siRNAs inhibit RNA polymerase I-directed transcription in C. elegans</t>
  </si>
  <si>
    <t>Liao S, Chen X, Xu T, Jin Q, Xu Z, Xu D, Zhou X, Zhu C, Guang S, Feng X.</t>
  </si>
  <si>
    <t>Nucleic Acids Res. 2021 Sep 20;49(16):9194-9210. doi: 10.1093/nar/gkab662.</t>
  </si>
  <si>
    <t>Liao S</t>
  </si>
  <si>
    <t>PMC8450093</t>
  </si>
  <si>
    <t>10.1093/nar/gkab662</t>
  </si>
  <si>
    <t>Cell-autonomous FLT3L shedding via ADAM10 mediates conventional dendritic cell development in mouse spleen</t>
  </si>
  <si>
    <t>Fujita K, Chakarov S, Kobayashi T, Sakamoto K, Voisin B, Duan K, Nakagawa T, Horiuchi K, Amagai M, Ginhoux F, Nagao K.</t>
  </si>
  <si>
    <t>Proc Natl Acad Sci U S A. 2019 Jul 16;116(29):14714-14723. doi: 10.1073/pnas.1818907116. Epub 2019 Jul 1.</t>
  </si>
  <si>
    <t>Fujita K</t>
  </si>
  <si>
    <t>PMC6642353</t>
  </si>
  <si>
    <t>10.1073/pnas.1818907116</t>
  </si>
  <si>
    <t>Obstructive sleep apnoea syndrome, endothelial function and markers of endothelialization. Changes after CPAP</t>
  </si>
  <si>
    <t>Muñoz-Hernandez R, Vallejo-Vaz AJ, Sanchez Armengol A, Moreno-Luna R, Caballero-Eraso C, Macher HC, Villar J, Merino AM, Castell J, Capote F, Stiefel P.</t>
  </si>
  <si>
    <t>PLoS One. 2015 Mar 27;10(3):e0122091. doi: 10.1371/journal.pone.0122091. eCollection 2015.</t>
  </si>
  <si>
    <t>Muñoz-Hernandez R</t>
  </si>
  <si>
    <t>PMC4376903</t>
  </si>
  <si>
    <t>10.1371/journal.pone.0122091</t>
  </si>
  <si>
    <t>Exosomes Derived from Human Placental Mesenchymal Stromal Cells Carrying AntagomiR-4450 Alleviate Intervertebral Disc Degeneration Through Upregulation of ZNF121</t>
  </si>
  <si>
    <t>Yuan Q, Wang X, Liu L, Cai Y, Zhao X, Ma H, Zhang Y.</t>
  </si>
  <si>
    <t>Stem Cells Dev. 2020 Aug;29(16):1038-1058. doi: 10.1089/scd.2020.0083. Epub 2020 Jul 27.</t>
  </si>
  <si>
    <t>Yuan Q</t>
  </si>
  <si>
    <t>Stem Cells Dev</t>
  </si>
  <si>
    <t>10.1089/scd.2020.0083</t>
  </si>
  <si>
    <t>Liquid Biopsy: Is There an Advantage to Analyzing Circulating Exosomal DNA Compared to cfDNA or Are They the Same?</t>
  </si>
  <si>
    <t>Kahlert C.</t>
  </si>
  <si>
    <t>Cancer Res. 2019 May 15;79(10):2462-2465. doi: 10.1158/0008-5472.CAN-19-0019. Epub 2019 May 1.</t>
  </si>
  <si>
    <t>10.1158/0008-5472.CAN-19-0019</t>
  </si>
  <si>
    <t>Functional prostate-specific membrane antigen is enriched in exosomes from prostate cancer cells</t>
  </si>
  <si>
    <t>Liu T, Mendes DE, Berkman CE.</t>
  </si>
  <si>
    <t>Int J Oncol. 2014 Mar;44(3):918-22. doi: 10.3892/ijo.2014.2256. Epub 2014 Jan 10.</t>
  </si>
  <si>
    <t>Liu T</t>
  </si>
  <si>
    <t>Int J Oncol</t>
  </si>
  <si>
    <t>PMC3928468</t>
  </si>
  <si>
    <t>10.3892/ijo.2014.2256</t>
  </si>
  <si>
    <t>Wang X, Berkowicz A, King K, Menta B, Gabrielli AP, Novikova L, Troutwine B, Pleen J, Wilkins HM, Swerdlow RH.</t>
  </si>
  <si>
    <t>Mitochondrion. 2022 May;64:136-144. doi: 10.1016/j.mito.2022.04.001. Epub 2022 Apr 6.</t>
  </si>
  <si>
    <t>PMC9035121</t>
  </si>
  <si>
    <t>NIHMS1797321</t>
  </si>
  <si>
    <t>Liquid biopsy for cancer diagnosis and screening - The promise and challenges</t>
  </si>
  <si>
    <t>Thorat MA.</t>
  </si>
  <si>
    <t>Ann Clin Biochem. 2019 Jul;56(4):420-423. doi: 10.1177/0004563219837592. Epub 2019 Apr 11.</t>
  </si>
  <si>
    <t>Thorat MA</t>
  </si>
  <si>
    <t>Ann Clin Biochem</t>
  </si>
  <si>
    <t>10.1177/0004563219837592</t>
  </si>
  <si>
    <t>Sha J, Arbesman J, Harter ML.</t>
  </si>
  <si>
    <t>Pigment Cell Melanoma Res. 2020 Sep;33(5):671-684. doi: 10.1111/pcmr.12888. Epub 2020 Jun 8.</t>
  </si>
  <si>
    <t>Sha J</t>
  </si>
  <si>
    <t>Pigment Cell Melanoma Res</t>
  </si>
  <si>
    <t>Cell Infectivity in relation to bovine leukemia virus gp51 and p24 in bovine milk exosomes</t>
  </si>
  <si>
    <t>Yamada T, Shigemura H, Ishiguro N, Inoshima Y.</t>
  </si>
  <si>
    <t>PLoS One. 2013 Oct 17;8(10):e77359. doi: 10.1371/journal.pone.0077359. eCollection 2013.</t>
  </si>
  <si>
    <t>Yamada T</t>
  </si>
  <si>
    <t>PMC3798320</t>
  </si>
  <si>
    <t>Abad E, Lyakhovich A.</t>
  </si>
  <si>
    <t>ChemMedChem. 2022 Feb 16;17(4):e202100642. doi: 10.1002/cmdc.202100642. Epub 2021 Dec 9.</t>
  </si>
  <si>
    <t>Abad E</t>
  </si>
  <si>
    <t>ChemMedChem</t>
  </si>
  <si>
    <t>Circulating tumour cells in the -omics era: how far are we from achieving the 'singularity'?</t>
  </si>
  <si>
    <t>Visal TH, den Hollander P, Cristofanilli M, Mani SA.</t>
  </si>
  <si>
    <t>Br J Cancer. 2022 Jul;127(2):173-184. doi: 10.1038/s41416-022-01768-9. Epub 2022 Mar 10.</t>
  </si>
  <si>
    <t>Visal TH</t>
  </si>
  <si>
    <t>PMC9296521</t>
  </si>
  <si>
    <t>10.1038/s41416-022-01768-9</t>
  </si>
  <si>
    <t>Ma X, Yao M, Gao Y, Yue Y, Li Y, Zhang T, Nie G, Zhao X, Liang X.</t>
  </si>
  <si>
    <t>Adv Sci (Weinh). 2022 Aug;9(23):e2106031. doi: 10.1002/advs.202106031. Epub 2022 Jun 17.</t>
  </si>
  <si>
    <t>Ma X</t>
  </si>
  <si>
    <t>Adv Sci (Weinh)</t>
  </si>
  <si>
    <t>PMC9376809</t>
  </si>
  <si>
    <t>Membrane protected apoptotic trophoblast microparticles contain nucleic acids: relevance to preeclampsia</t>
  </si>
  <si>
    <t>Orozco AF, Jorgez CJ, Horne C, Marquez-Do DA, Chapman MR, Rodgers JR, Bischoff FZ, Lewis DE.</t>
  </si>
  <si>
    <t>Am J Pathol. 2008 Dec;173(6):1595-608. doi: 10.2353/ajpath.2008.080414. Epub 2008 Oct 30.</t>
  </si>
  <si>
    <t>Am J Pathol</t>
  </si>
  <si>
    <t>PMC2626372</t>
  </si>
  <si>
    <t>10.2353/ajpath.2008.080414</t>
  </si>
  <si>
    <t>Rizwan MN, Ma Y, Nenkov M, Jin L, Schröder DC, Westermann M, Gaßler N, Chen Y.</t>
  </si>
  <si>
    <t>Mol Carcinog. 2022 Mar;61(3):269-280. doi: 10.1002/mc.23378. Epub 2021 Dec 12.</t>
  </si>
  <si>
    <t>Rizwan MN</t>
  </si>
  <si>
    <t>Mol Carcinog</t>
  </si>
  <si>
    <t>Exosomal HIF1α supports invasive potential of nasopharyngeal carcinoma-associated LMP1-positive exosomes</t>
  </si>
  <si>
    <t>Aga M, Bentz GL, Raffa S, Torrisi MR, Kondo S, Wakisaka N, Yoshizaki T, Pagano JS, Shackelford J.</t>
  </si>
  <si>
    <t>Oncogene. 2014 Sep 11;33(37):4613-22. doi: 10.1038/onc.2014.66. Epub 2014 Mar 24.</t>
  </si>
  <si>
    <t>Aga M</t>
  </si>
  <si>
    <t>Oncogene</t>
  </si>
  <si>
    <t>PMC4162459</t>
  </si>
  <si>
    <t>NIHMS560269</t>
  </si>
  <si>
    <t>Xia Y, Wang L, Li J, Chen X, Lan J, Yan A, Lei Y, Yang S, Yang H, Chen J.</t>
  </si>
  <si>
    <t>Anal Chem. 2018 Aug 7;90(15):8969-8976. doi: 10.1021/acs.analchem.8b01143. Epub 2018 Jul 18.</t>
  </si>
  <si>
    <t>Xia Y</t>
  </si>
  <si>
    <t>Feneberg E, Steinacker P, Lehnert S, Schneider A, Walther P, Thal DR, Linsenmeier M, Ludolph AC, Otto M.</t>
  </si>
  <si>
    <t>Amyotroph Lateral Scler Frontotemporal Degener. 2014 Sep;15(5-6):351-6. doi: 10.3109/21678421.2014.905606. Epub 2014 May 16.</t>
  </si>
  <si>
    <t>Feneberg E</t>
  </si>
  <si>
    <t>Amyotroph Lateral Scler Frontotemporal Degener</t>
  </si>
  <si>
    <t>Human T-lymphotropic virus type 1-infected cells secrete exosomes that contain Tax protein</t>
  </si>
  <si>
    <t>Jaworski E, Narayanan A, Van Duyne R, Shabbeer-Meyering S, Iordanskiy S, Saifuddin M, Das R, Afonso PV, Sampey GC, Chung M, Popratiloff A, Shrestha B, Sehgal M, Jain P, Vertes A, Mahieux R, Kashanchi F.</t>
  </si>
  <si>
    <t>J Biol Chem. 2014 Aug 8;289(32):22284-305. doi: 10.1074/jbc.M114.549659. Epub 2014 Jun 17.</t>
  </si>
  <si>
    <t>Jaworski E</t>
  </si>
  <si>
    <t>PMC4139239</t>
  </si>
  <si>
    <t>A hybridization chain reaction based assay for fluorometric determination of exosomes using magnetic nanoparticles and both aptamers and antibody as recognition elements</t>
  </si>
  <si>
    <t>Shi L, Ba L, Xiong Y, Peng G.</t>
  </si>
  <si>
    <t>Mikrochim Acta. 2019 Nov 16;186(12):796. doi: 10.1007/s00604-019-3823-9.</t>
  </si>
  <si>
    <t>Shi L</t>
  </si>
  <si>
    <t>10.1007/s00604-019-3823-9</t>
  </si>
  <si>
    <t>Characterization of urinary exosomal release of aquaporin-1 and -2 after renal ischemia-reperfusion in rats</t>
  </si>
  <si>
    <t>Asvapromtada S, Sonoda H, Kinouchi M, Oshikawa S, Takahashi S, Hoshino Y, Sinlapadeelerdkul T, Yokota-Ikeda N, Matsuzaki T, Ikeda M.</t>
  </si>
  <si>
    <t>Am J Physiol Renal Physiol. 2018 Apr 1;314(4):F584-F601. doi: 10.1152/ajprenal.00184.2017. Epub 2017 Dec 13.</t>
  </si>
  <si>
    <t>Asvapromtada S</t>
  </si>
  <si>
    <t>10.1152/ajprenal.00184.2017</t>
  </si>
  <si>
    <t>The properties of microparticles from RAW 264.7 macrophage cells undergoing in vitro activation or apoptosis</t>
  </si>
  <si>
    <t>Spencer DM, Gauley J, Pisetsky DS.</t>
  </si>
  <si>
    <t>Innate Immun. 2014 Apr;20(3):239-48. doi: 10.1177/1753425913492552. Epub 2013 Jul 9.</t>
  </si>
  <si>
    <t>Innate Immun</t>
  </si>
  <si>
    <t>PMC4165519</t>
  </si>
  <si>
    <t>NIHMS624079</t>
  </si>
  <si>
    <t>10.1177/1753425913492552</t>
  </si>
  <si>
    <t>The human ZC3H3 and RBM26/27 proteins are critical for PAXT-mediated nuclear RNA decay</t>
  </si>
  <si>
    <t>Silla T, Schmid M, Dou Y, Garland W, Milek M, Imami K, Johnsen D, Polak P, Andersen JS, Selbach M, Landthaler M, Jensen TH.</t>
  </si>
  <si>
    <t>Nucleic Acids Res. 2020 Mar 18;48(5):2518-2530. doi: 10.1093/nar/gkz1238.</t>
  </si>
  <si>
    <t>Silla T</t>
  </si>
  <si>
    <t>PMC7049725</t>
  </si>
  <si>
    <t>10.1093/nar/gkz1238</t>
  </si>
  <si>
    <t>The exosome component Rrp6 is required for RNA polymerase II termination at specific targets of the Nrd1-Nab3 pathway</t>
  </si>
  <si>
    <t>Fox MJ, Gao H, Smith-Kinnaman WR, Liu Y, Mosley AL.</t>
  </si>
  <si>
    <t>PLoS Genet. 2015 Feb 13;11(2):e1004999. doi: 10.1371/journal.pgen.1004999. eCollection 2015.</t>
  </si>
  <si>
    <t>Fox MJ</t>
  </si>
  <si>
    <t>PMC4378619</t>
  </si>
  <si>
    <t>10.1371/journal.pgen.1004999</t>
  </si>
  <si>
    <t>Secretion of active membrane type 1 matrix metalloproteinase (MMP-14) into extracellular space in microvesicular exosomes</t>
  </si>
  <si>
    <t>Hakulinen J, Sankkila L, Sugiyama N, Lehti K, Keski-Oja J.</t>
  </si>
  <si>
    <t>J Cell Biochem. 2008 Dec 1;105(5):1211-8. doi: 10.1002/jcb.21923.</t>
  </si>
  <si>
    <t>Hakulinen J</t>
  </si>
  <si>
    <t>10.1002/jcb.21923</t>
  </si>
  <si>
    <t>Kadhim M, Tuncay Cagatay S, Elbakrawy EM.</t>
  </si>
  <si>
    <t>Int J Radiat Biol. 2022;98(3):410-420. doi: 10.1080/09553002.2021.1980630. Epub 2021 Oct 21.</t>
  </si>
  <si>
    <t>Kadhim M</t>
  </si>
  <si>
    <t>Int J Radiat Biol</t>
  </si>
  <si>
    <t>Possible role of exosomes containing RNA in mediating nontargeted effect of ionizing radiation</t>
  </si>
  <si>
    <t>Al-Mayah AH, Irons SL, Pink RC, Carter DR, Kadhim MA.</t>
  </si>
  <si>
    <t>Radiat Res. 2012 May;177(5):539-45. doi: 10.1667/rr2868.1.</t>
  </si>
  <si>
    <t>10.1667/rr2868.1</t>
  </si>
  <si>
    <t>Macrophages discriminate glycosylation patterns of apoptotic cell-derived microparticles</t>
  </si>
  <si>
    <t>Bilyy RO, Shkandina T, Tomin A, Muñoz LE, Franz S, Antonyuk V, Kit YY, Zirngibl M, Fürnrohr BG, Janko C, Lauber K, Schiller M, Schett G, Stoika RS, Herrmann M.</t>
  </si>
  <si>
    <t>J Biol Chem. 2012 Jan 2;287(1):496-503. doi: 10.1074/jbc.M111.273144. Epub 2011 Nov 10.</t>
  </si>
  <si>
    <t>Bilyy RO</t>
  </si>
  <si>
    <t>PMC3249103</t>
  </si>
  <si>
    <t>10.1074/jbc.M111.273144</t>
  </si>
  <si>
    <t>Tumor-derived microvesicles promote regulatory T cell expansion and induce apoptosis in tumor-reactive activated CD8+ T lymphocytes</t>
  </si>
  <si>
    <t>Wieckowski EU, Visus C, Szajnik M, Szczepanski MJ, Storkus WJ, Whiteside TL.</t>
  </si>
  <si>
    <t>J Immunol. 2009 Sep 15;183(6):3720-30. doi: 10.4049/jimmunol.0900970. Epub 2009 Aug 19.</t>
  </si>
  <si>
    <t>Wieckowski EU</t>
  </si>
  <si>
    <t>J Immunol</t>
  </si>
  <si>
    <t>PMC3721354</t>
  </si>
  <si>
    <t>NIHMS489248</t>
  </si>
  <si>
    <t>Zhang Y, Wang D, Yue S, Lu Y, Yang C, Fang J, Xu Z.</t>
  </si>
  <si>
    <t>ACS Sens. 2019 Dec 27;4(12):3210-3218. doi: 10.1021/acssensors.9b01644. Epub 2019 Dec 17.</t>
  </si>
  <si>
    <t>Zhang Y</t>
  </si>
  <si>
    <t>Oncogenic KIT-containing exosomes increase gastrointestinal stromal tumor cell invasion</t>
  </si>
  <si>
    <t>Atay S, Banskota S, Crow J, Sethi G, Rink L, Godwin AK.</t>
  </si>
  <si>
    <t>Proc Natl Acad Sci U S A. 2014 Jan 14;111(2):711-6. doi: 10.1073/pnas.1310501111. Epub 2013 Dec 30.</t>
  </si>
  <si>
    <t>Atay S</t>
  </si>
  <si>
    <t>PMC3896203</t>
  </si>
  <si>
    <t>10.1073/pnas.1310501111</t>
  </si>
  <si>
    <t>Nanoparticle tracking analysis monitors microvesicle and exosome secretion from immune cells</t>
  </si>
  <si>
    <t>Soo CY, Song Y, Zheng Y, Campbell EC, Riches AC, Gunn-Moore F, Powis SJ.</t>
  </si>
  <si>
    <t>Immunology. 2012 Jun;136(2):192-7. doi: 10.1111/j.1365-2567.2012.03569.x.</t>
  </si>
  <si>
    <t>Soo CY</t>
  </si>
  <si>
    <t>PMC3403268</t>
  </si>
  <si>
    <t>10.1111/j.1365-2567.2012.03569.x</t>
  </si>
  <si>
    <t>Jiang J, Woulfe DS, Papoutsakis ET.</t>
  </si>
  <si>
    <t>Blood. 2014 Sep 25;124(13):2094-103. doi: 10.1182/blood-2014-01-547927. Epub 2014 Jun 19.</t>
  </si>
  <si>
    <t>Jiang J</t>
  </si>
  <si>
    <t>PMC4186538</t>
  </si>
  <si>
    <t>Consistent high concentration of the viral microRNA BART17 in plasma samples from nasopharyngeal carcinoma patients--evidence of non-exosomal transport</t>
  </si>
  <si>
    <t>Gourzones C, Ferrand FR, Amiel C, Vérillaud B, Barat A, Guérin M, Gattolliat CH, Gelin A, Klibi J, Chaaben AB, Schneider V, Guemira F, Guigay J, Lang P, Jimenez-Pailhes AS, Busson P.</t>
  </si>
  <si>
    <t>Virol J. 2013 Apr 16;10:119. doi: 10.1186/1743-422X-10-119.</t>
  </si>
  <si>
    <t>Gourzones C</t>
  </si>
  <si>
    <t>PMC3685608</t>
  </si>
  <si>
    <t>Zeng X, Zhang YD, Ma RY, Chen YJ, Xiang XM, Hou DY, Li XH, Huang H, Li T, Duan CY.</t>
  </si>
  <si>
    <t>Mil Med Res. 2022 May 27;9(1):25. doi: 10.1186/s40779-022-00383-2.</t>
  </si>
  <si>
    <t>Zeng X</t>
  </si>
  <si>
    <t>Mil Med Res</t>
  </si>
  <si>
    <t>PMC9137164</t>
  </si>
  <si>
    <t>The role of antigen specificity in the binding of murine monoclonal anti-DNA antibodies to microparticles from apoptotic cells</t>
  </si>
  <si>
    <t>Ullal AJ, Marion TN, Pisetsky DS.</t>
  </si>
  <si>
    <t>Clin Immunol. 2014 Oct;154(2):178-87. doi: 10.1016/j.clim.2014.05.007. Epub 2014 May 27.</t>
  </si>
  <si>
    <t>Clin Immunol</t>
  </si>
  <si>
    <t>PMC4440675</t>
  </si>
  <si>
    <t>NIHMS681345</t>
  </si>
  <si>
    <t>10.1016/j.clim.2014.05.007</t>
  </si>
  <si>
    <t>Exosomes packaging APOBEC3G confer human immunodeficiency virus resistance to recipient cells</t>
  </si>
  <si>
    <t>Khatua AK, Taylor HE, Hildreth JE, Popik W.</t>
  </si>
  <si>
    <t>J Virol. 2009 Jan;83(2):512-21. doi: 10.1128/JVI.01658-08. Epub 2008 Nov 5.</t>
  </si>
  <si>
    <t>Khatua AK</t>
  </si>
  <si>
    <t>PMC2612372</t>
  </si>
  <si>
    <t>Investigation of Förster resonance energy transfer (FRET) and competition of fluorescent dyes on DNA microparticles</t>
  </si>
  <si>
    <t>Kim J, Lee JS, Lee JB.</t>
  </si>
  <si>
    <t>Int J Mol Sci. 2015 Apr 8;16(4):7738-47. doi: 10.3390/ijms16047738.</t>
  </si>
  <si>
    <t>Kim J</t>
  </si>
  <si>
    <t>PMC4425046</t>
  </si>
  <si>
    <t>10.3390/ijms16047738</t>
  </si>
  <si>
    <t>New type of outer membrane vesicle produced by the Gram-negative bacterium Shewanella vesiculosa M7T: implications for DNA content</t>
  </si>
  <si>
    <t>Pérez-Cruz C, Carrión O, Delgado L, Martinez G, López-Iglesias C, Mercade E.</t>
  </si>
  <si>
    <t>Appl Environ Microbiol. 2013 Mar;79(6):1874-81. doi: 10.1128/AEM.03657-12. Epub 2013 Jan 11.</t>
  </si>
  <si>
    <t>Pérez-Cruz C</t>
  </si>
  <si>
    <t>PMC3592255</t>
  </si>
  <si>
    <t>10.1128/AEM.03657-12</t>
  </si>
  <si>
    <t>Neo SH, Chung KY, Quek JM, Too HP.</t>
  </si>
  <si>
    <t>Sci Rep. 2017 Nov 30;7(1):16686. doi: 10.1038/s41598-017-16960-8.</t>
  </si>
  <si>
    <t>Neo SH</t>
  </si>
  <si>
    <t>PMC5709463</t>
  </si>
  <si>
    <t>Urinary excretion pattern of exosomal aquaporin-2 in rats that received gentamicin</t>
  </si>
  <si>
    <t>Abdeen A, Sonoda H, El-Shawarby R, Takahashi S, Ikeda M.</t>
  </si>
  <si>
    <t>Am J Physiol Renal Physiol. 2014 Dec 1;307(11):F1227-37. doi: 10.1152/ajprenal.00140.2014. Epub 2014 Oct 22.</t>
  </si>
  <si>
    <t>Abdeen A</t>
  </si>
  <si>
    <t>10.1152/ajprenal.00140.2014</t>
  </si>
  <si>
    <t>Wang H, Zeng J, Huang J, Cheng H, Chen B, Hu X, He X, Zhou Y, Wang K.</t>
  </si>
  <si>
    <t>Angew Chem Int Ed Engl. 2022 May 2;61(19):e202116932. doi: 10.1002/anie.202116932. Epub 2022 Mar 11.</t>
  </si>
  <si>
    <t>Wang H</t>
  </si>
  <si>
    <t>Angew Chem Int Ed Engl</t>
  </si>
  <si>
    <t>Emerging on-chip electrokinetic based technologies for purification of circulating cancer biomarkers towards liquid biopsy: A review</t>
  </si>
  <si>
    <t>Shi L, Esfandiari L.</t>
  </si>
  <si>
    <t>Electrophoresis. 2022 Jan;43(1-2):288-308. doi: 10.1002/elps.202100234. Epub 2021 Nov 28.</t>
  </si>
  <si>
    <t>10.1002/elps.202100234</t>
  </si>
  <si>
    <t>Exosome release of ADAM15 and the functional implications of human macrophage-derived ADAM15 exosomes</t>
  </si>
  <si>
    <t>Lee HD, Koo BH, Kim YH, Jeon OH, Kim DS.</t>
  </si>
  <si>
    <t>FASEB J. 2012 Jul;26(7):3084-95. doi: 10.1096/fj.11-201681. Epub 2012 Apr 13.</t>
  </si>
  <si>
    <t>Lee HD</t>
  </si>
  <si>
    <t>10.1096/fj.11-201681</t>
  </si>
  <si>
    <t>Cell-free tumor microparticle vaccines stimulate dendritic cells via cGAS/STING signaling</t>
  </si>
  <si>
    <t>Zhang H, Tang K, Zhang Y, Ma R, Ma J, Li Y, Luo S, Liang X, Ji T, Gu Z, Lu J, He W, Cao X, Wan Y, Huang B.</t>
  </si>
  <si>
    <t>Cancer Immunol Res. 2015 Feb;3(2):196-205. doi: 10.1158/2326-6066.CIR-14-0177. Epub 2014 Dec 4.</t>
  </si>
  <si>
    <t>Cancer Immunol Res</t>
  </si>
  <si>
    <t>Processive RNA decay by the exosome: merits of a quantitative Bayesian sampling approach</t>
  </si>
  <si>
    <t>Niederberger T, Hartung S, Hopfner KP, Tresch A.</t>
  </si>
  <si>
    <t>RNA Biol. 2011 Jan-Feb;8(1):55-60. doi: 10.4161/rna.8.1.14067. Epub 2011 Jan 1.</t>
  </si>
  <si>
    <t>Niederberger T</t>
  </si>
  <si>
    <t>PMC3127079</t>
  </si>
  <si>
    <t>10.4161/rna.8.1.14067</t>
  </si>
  <si>
    <t>Liu W, Huang Y, Li Z, Li L, Zhao Y, Li M.</t>
  </si>
  <si>
    <t>Anal Chem. 2022 Mar 8;94(9):3840-3848. doi: 10.1021/acs.analchem.1c04741. Epub 2022 Feb 18.</t>
  </si>
  <si>
    <t>Gezer U, Özgür E, Cetinkaya M, Isin M, Dalay N.</t>
  </si>
  <si>
    <t>Cell Biol Int. 2014 Sep;38(9):1076-9. doi: 10.1002/cbin.10301. Epub 2014 May 13.</t>
  </si>
  <si>
    <t>Gezer U</t>
  </si>
  <si>
    <t>Cell Biol Int</t>
  </si>
  <si>
    <t>Dysregulated HIC1 and RassF1A expression in vitro alters the cell cytoskeleton and exosomal Piwi-interacting RNA</t>
  </si>
  <si>
    <t>Sun CY, Chen GD, He BC, Fu WE, Lee CH, Leu YW, Hsiao SH.</t>
  </si>
  <si>
    <t>Biochem Biophys Res Commun. 2022 Feb 26;594:109-116. doi: 10.1016/j.bbrc.2022.01.065. Epub 2022 Jan 19.</t>
  </si>
  <si>
    <t>Sun CY</t>
  </si>
  <si>
    <t>Kao CY, Papoutsakis ET.</t>
  </si>
  <si>
    <t>Sci Adv. 2018 Nov 7;4(11):eaau6762. doi: 10.1126/sciadv.aau6762. eCollection 2018 Nov.</t>
  </si>
  <si>
    <t>Kao CY</t>
  </si>
  <si>
    <t>PMC6221511</t>
  </si>
  <si>
    <t>Exosomes bind to autotaxin and act as a physiological delivery mechanism to stimulate LPA receptor signalling in cells</t>
  </si>
  <si>
    <t>Jethwa SA, Leah EJ, Zhang Q, Bright NA, Oxley D, Bootman MD, Rudge SA, Wakelam MJ.</t>
  </si>
  <si>
    <t>J Cell Sci. 2016 Oct 15;129(20):3948-3957. doi: 10.1242/jcs.184424. Epub 2016 Aug 24.</t>
  </si>
  <si>
    <t>Jethwa SA</t>
  </si>
  <si>
    <t>PMC5087657</t>
  </si>
  <si>
    <t>10.1242/jcs.184424</t>
  </si>
  <si>
    <t>Total internal reflection-based single-vesicle in situ quantitative and stoichiometric analysis of tumor-derived exosomal microRNAs for diagnosis and treatment monitoring</t>
  </si>
  <si>
    <t>He D, Wang H, Ho SL, Chan HN, Hai L, He X, Wang K, Li HW.</t>
  </si>
  <si>
    <t>Theranostics. 2019 Jun 9;9(15):4494-4507. doi: 10.7150/thno.33683. eCollection 2019.</t>
  </si>
  <si>
    <t>PMC6599656</t>
  </si>
  <si>
    <t>10.7150/thno.33683</t>
  </si>
  <si>
    <t>Specific transfection of inflamed brain by macrophages: a new therapeutic strategy for neurodegenerative diseases</t>
  </si>
  <si>
    <t>Haney MJ, Zhao Y, Harrison EB, Mahajan V, Ahmed S, He Z, Suresh P, Hingtgen SD, Klyachko NL, Mosley RL, Gendelman HE, Kabanov AV, Batrakova EV.</t>
  </si>
  <si>
    <t>PLoS One. 2013 Apr 19;8(4):e61852. doi: 10.1371/journal.pone.0061852. Print 2013.</t>
  </si>
  <si>
    <t>Haney MJ</t>
  </si>
  <si>
    <t>PMC3631190</t>
  </si>
  <si>
    <t>Chen J, Xie M, Shi M, Yuan K, Wu Y, Meng HM, Qu L, Li Z.</t>
  </si>
  <si>
    <t>Anal Chem. 2022 Feb 1;94(4):2227-2235. doi: 10.1021/acs.analchem.1c04916. Epub 2022 Jan 14.</t>
  </si>
  <si>
    <t>Circulating endothelial cells and procoagulant microparticles in patients with glioblastoma: prognostic value</t>
  </si>
  <si>
    <t>Reynés G, Vila V, Fleitas T, Reganon E, Font de Mora J, Jordá M, Martínez-Sales V.</t>
  </si>
  <si>
    <t>PLoS One. 2013 Jul 29;8(7):e69034. doi: 10.1371/journal.pone.0069034. Print 2013.</t>
  </si>
  <si>
    <t>Reynés G</t>
  </si>
  <si>
    <t>PMC3726739</t>
  </si>
  <si>
    <t>10.1371/journal.pone.0069034</t>
  </si>
  <si>
    <t>Efficient inhibition of infectious prions multiplication and release by targeting the exosomal pathway</t>
  </si>
  <si>
    <t>Vilette D, Laulagnier K, Huor A, Alais S, Simoes S, Maryse R, Provansal M, Lehmann S, Andreoletti O, Schaeffer L, Raposo G, Leblanc P.</t>
  </si>
  <si>
    <t>Cell Mol Life Sci. 2015 Nov;72(22):4409-27. doi: 10.1007/s00018-015-1945-8. Epub 2015 Jun 6.</t>
  </si>
  <si>
    <t>Vilette D</t>
  </si>
  <si>
    <t>10.1007/s00018-015-1945-8</t>
  </si>
  <si>
    <t>Olcum S, Cermak N, Wasserman SC, Christine KS, Atsumi H, Payer KR, Shen W, Lee J, Belcher AM, Bhatia SN, Manalis SR.</t>
  </si>
  <si>
    <t>Proc Natl Acad Sci U S A. 2014 Jan 28;111(4):1310-5. doi: 10.1073/pnas.1318602111. Epub 2014 Jan 13.</t>
  </si>
  <si>
    <t>Olcum S</t>
  </si>
  <si>
    <t>PMC3910582</t>
  </si>
  <si>
    <t>Wang YM, Liu JW, Adkins GB, Shen W, Trinh MP, Duan LY, Jiang JH, Zhong W.</t>
  </si>
  <si>
    <t>Anal Chem. 2017 Nov 21;89(22):12327-12333. doi: 10.1021/acs.analchem.7b03335. Epub 2017 Nov 7.</t>
  </si>
  <si>
    <t>Wang YM</t>
  </si>
  <si>
    <t>PMC5705088</t>
  </si>
  <si>
    <t>NIHMS920739</t>
  </si>
  <si>
    <t>Fan W, Han P, Feng Q, Sun Y, Ren W, Lawson T, Liu C.</t>
  </si>
  <si>
    <t>Anal Chem. 2022 Feb 1;94(4):2172-2179. doi: 10.1021/acs.analchem.1c04636. Epub 2022 Jan 19.</t>
  </si>
  <si>
    <t>Fan W</t>
  </si>
  <si>
    <t>Subcellular localization of RNA degrading proteins and protein complexes in prokaryotes</t>
  </si>
  <si>
    <t>Evguenieva-Hackenberg E, Roppelt V, Lassek C, Klug G.</t>
  </si>
  <si>
    <t>RNA Biol. 2011 Jan-Feb;8(1):49-54. doi: 10.4161/rna.8.1.14066. Epub 2011 Jan 1.</t>
  </si>
  <si>
    <t>Evguenieva-Hackenberg E</t>
  </si>
  <si>
    <t>PMC3127078</t>
  </si>
  <si>
    <t>10.4161/rna.8.1.14066</t>
  </si>
  <si>
    <t>The long noncoding RNA NEAT1_1 is seemingly dispensable for normal tissue homeostasis and cancer cell growth</t>
  </si>
  <si>
    <t>Adriaens C, Rambow F, Bervoets G, Silla T, Mito M, Chiba T, Asahara H, Hirose T, Nakagawa S, Jensen TH, Marine JC.</t>
  </si>
  <si>
    <t>RNA. 2019 Dec;25(12):1681-1695. doi: 10.1261/rna.071456.119. Epub 2019 Sep 24.</t>
  </si>
  <si>
    <t>Adriaens C</t>
  </si>
  <si>
    <t>PMC6859857</t>
  </si>
  <si>
    <t>10.1261/rna.071456.119</t>
  </si>
  <si>
    <t>Zhang Y, Chen J, Yang H, Yin W, Li C, Xu Y, Liu SY, Dai Z, Zou X.</t>
  </si>
  <si>
    <t>Anal Chem. 2022 Jul 12;94(27):9665-9673. doi: 10.1021/acs.analchem.2c00974. Epub 2022 Jun 27.</t>
  </si>
  <si>
    <t>Structural basis for RNA surveillance by the human nuclear exosome targeting (NEXT) complex</t>
  </si>
  <si>
    <t>Puno MR, Lima CD.</t>
  </si>
  <si>
    <t>Cell. 2022 Jun 9;185(12):2132-2147.e26. doi: 10.1016/j.cell.2022.04.016.</t>
  </si>
  <si>
    <t>Puno MR</t>
  </si>
  <si>
    <t>PMC9210550</t>
  </si>
  <si>
    <t>NIHMS1799041</t>
  </si>
  <si>
    <t>10.1016/j.cell.2022.04.016</t>
  </si>
  <si>
    <t>Cao S, Wu Y, Albert Reece E, Xu C, Shen WB, Kaushal S, Yang P.</t>
  </si>
  <si>
    <t>Commun Biol. 2022 Jul 1;5(1):648. doi: 10.1038/s42003-022-03614-3.</t>
  </si>
  <si>
    <t>Cao S</t>
  </si>
  <si>
    <t>PMC9249756</t>
  </si>
  <si>
    <t>Involvement of Elf3 on Smad3 activation-dependent injuries in podocytes and excretion of urinary exosome in diabetic nephropathy</t>
  </si>
  <si>
    <t>Sakurai A, Ono H, Ochi A, Matsuura M, Yoshimoto S, Kishi S, Murakami T, Tominaga T, Nagai K, Abe H, Doi T.</t>
  </si>
  <si>
    <t>PLoS One. 2019 May 31;14(5):e0216788. doi: 10.1371/journal.pone.0216788. eCollection 2019.</t>
  </si>
  <si>
    <t>Sakurai A</t>
  </si>
  <si>
    <t>PMC6544199</t>
  </si>
  <si>
    <t>10.1371/journal.pone.0216788</t>
  </si>
  <si>
    <t>Haque S, Vaiselbuh SR.</t>
  </si>
  <si>
    <t>Cancer Genet. 2022 Jan;260-261:57-64. doi: 10.1016/j.cancergen.2021.07.004. Epub 2021 Aug 1.</t>
  </si>
  <si>
    <t>Haque S</t>
  </si>
  <si>
    <t>Cancer Genet</t>
  </si>
  <si>
    <t>Cheng S, Kong Q, Hu X, Zhang C, Xian Y.</t>
  </si>
  <si>
    <t>Anal Chem. 2022 Jan 18;94(2):1085-1091. doi: 10.1021/acs.analchem.1c04122. Epub 2022 Jan 4.</t>
  </si>
  <si>
    <t>Cheng S</t>
  </si>
  <si>
    <t>Dendritic cells release HLA-B-associated transcript-3 positive exosomes to regulate natural killer function</t>
  </si>
  <si>
    <t>Simhadri VR, Reiners KS, Hansen HP, Topolar D, Simhadri VL, Nohroudi K, Kufer TA, Engert A, Pogge von Strandmann E.</t>
  </si>
  <si>
    <t>PLoS One. 2008;3(10):e3377. doi: 10.1371/journal.pone.0003377. Epub 2008 Oct 13.</t>
  </si>
  <si>
    <t>Simhadri VR</t>
  </si>
  <si>
    <t>PMC2566590</t>
  </si>
  <si>
    <t>Koch R, Demant M, Aung T, Diering N, Cicholas A, Chapuy B, Wenzel D, Lahmann M, Güntsch A, Kiecke C, Becker S, Hupfeld T, Venkataramani V, Ziepert M, Opitz L, Klapper W, Trümper L, Wulf GG.</t>
  </si>
  <si>
    <t>Blood. 2014 Apr 3;123(14):2189-98. doi: 10.1182/blood-2013-08-523886. Epub 2014 Feb 21.</t>
  </si>
  <si>
    <t>Koch R</t>
  </si>
  <si>
    <t>Lee TH, Chennakrishnaiah S, Audemard E, Montermini L, Meehan B, Rak J.</t>
  </si>
  <si>
    <t>Biochem Biophys Res Commun. 2014 Aug 22;451(2):295-301. doi: 10.1016/j.bbrc.2014.07.109. Epub 2014 Jul 30.</t>
  </si>
  <si>
    <t>Stimulated human mast cells secrete mitochondrial components that have autocrine and paracrine inflammatory actions</t>
  </si>
  <si>
    <t>Zhang B, Asadi S, Weng Z, Sismanopoulos N, Theoharides TC.</t>
  </si>
  <si>
    <t>PLoS One. 2012;7(12):e49767. doi: 10.1371/journal.pone.0049767. Epub 2012 Dec 17.</t>
  </si>
  <si>
    <t>Zhang B</t>
  </si>
  <si>
    <t>PMC3524249</t>
  </si>
  <si>
    <t>10.1371/journal.pone.0049767</t>
  </si>
  <si>
    <t>The Chromatin Remodeler ISW1 Is a Quality Control Factor that Surveys Nuclear mRNP Biogenesis</t>
  </si>
  <si>
    <t>Babour A, Shen Q, Dos-Santos J, Murray S, Gay A, Challal D, Fasken M, Palancade B, Corbett A, Libri D, Mellor J, Dargemont C.</t>
  </si>
  <si>
    <t>Cell. 2016 Nov 17;167(5):1201-1214.e15. doi: 10.1016/j.cell.2016.10.048.</t>
  </si>
  <si>
    <t>Babour A</t>
  </si>
  <si>
    <t>10.1016/j.cell.2016.10.048</t>
  </si>
  <si>
    <t>Induction of type I IFN is a physiological immune reaction to apoptotic cell-derived membrane microparticles</t>
  </si>
  <si>
    <t>Schiller M, Parcina M, Heyder P, Foermer S, Ostrop J, Leo A, Heeg K, Herrmann M, Lorenz HM, Bekeredjian-Ding I.</t>
  </si>
  <si>
    <t>J Immunol. 2012 Aug 15;189(4):1747-56. doi: 10.4049/jimmunol.1100631. Epub 2012 Jul 11.</t>
  </si>
  <si>
    <t>Schiller M</t>
  </si>
  <si>
    <t>10.4049/jimmunol.1100631</t>
  </si>
  <si>
    <t>HIV Pol inhibits HIV budding and mediates the severe budding defect of Gag-Pol</t>
  </si>
  <si>
    <t>Gan X, Gould SJ.</t>
  </si>
  <si>
    <t>PLoS One. 2012;7(1):e29421. doi: 10.1371/journal.pone.0029421. Epub 2012 Jan 3.</t>
  </si>
  <si>
    <t>Gan X</t>
  </si>
  <si>
    <t>PMC3250436</t>
  </si>
  <si>
    <t>10.1371/journal.pone.0029421</t>
  </si>
  <si>
    <t>Improvement of cloned embryos development by co-culturing with parthenotes: a possible role of exosomes/microvesicles for embryos paracrine communication</t>
  </si>
  <si>
    <t>Saadeldin IM, Kim SJ, Choi YB, Lee BC.</t>
  </si>
  <si>
    <t>Cell Reprogram. 2014 Jun;16(3):223-34. doi: 10.1089/cell.2014.0003. Epub 2014 Apr 28.</t>
  </si>
  <si>
    <t>Saadeldin IM</t>
  </si>
  <si>
    <t>Cell Reprogram</t>
  </si>
  <si>
    <t>PMC4030698</t>
  </si>
  <si>
    <t>10.1089/cell.2014.0003</t>
  </si>
  <si>
    <t>Su MJ, Aldawsari H, Amiji M.</t>
  </si>
  <si>
    <t>Sci Rep. 2016 Jul 22;6:30110. doi: 10.1038/srep30110.</t>
  </si>
  <si>
    <t>Su MJ</t>
  </si>
  <si>
    <t>PMC4957091</t>
  </si>
  <si>
    <t>Soma-to-germline transmission of RNA in mice xenografted with human tumour cells: possible transport by exosomes</t>
  </si>
  <si>
    <t>Cossetti C, Lugini L, Astrologo L, Saggio I, Fais S, Spadafora C.</t>
  </si>
  <si>
    <t>PLoS One. 2014 Jul 3;9(7):e101629. doi: 10.1371/journal.pone.0101629. eCollection 2014.</t>
  </si>
  <si>
    <t>Cossetti C</t>
  </si>
  <si>
    <t>PMC4081593</t>
  </si>
  <si>
    <t>Lim JW, Mathias RA, Kapp EA, Layton MJ, Faux MC, Burgess AW, Ji H, Simpson RJ.</t>
  </si>
  <si>
    <t>Electrophoresis. 2012 Jul;33(12):1873-80. doi: 10.1002/elps.201100687.</t>
  </si>
  <si>
    <t>Lim JW</t>
  </si>
  <si>
    <t>Solakoglu Ö, Steinbach B, Götz W, Heydecke G, Schwarzenbach H.</t>
  </si>
  <si>
    <t>BMC Oral Health. 2022 Jan 30;22(1):24. doi: 10.1186/s12903-021-02036-7.</t>
  </si>
  <si>
    <t>Solakoglu Ö</t>
  </si>
  <si>
    <t>BMC Oral Health</t>
  </si>
  <si>
    <t>PMC8802434</t>
  </si>
  <si>
    <t>MT1-MMP recognition by ERM proteins and its implication in CD44 shedding</t>
  </si>
  <si>
    <t>Terawaki S, Kitano K, Aoyama M, Mori T, Hakoshima T.</t>
  </si>
  <si>
    <t>Genes Cells. 2015 Oct;20(10):847-59. doi: 10.1111/gtc.12276. Epub 2015 Aug 20.</t>
  </si>
  <si>
    <t>Terawaki S</t>
  </si>
  <si>
    <t>Genes Cells</t>
  </si>
  <si>
    <t>10.1111/gtc.12276</t>
  </si>
  <si>
    <t>Garnier Y, Claude L, Hermand P, Sachou E, Claes A, Desplan K, Chahim B, Roger PM, Martino F, Colin Y, Le Van Kim C, Baccini V, Romana M.</t>
  </si>
  <si>
    <t>Br J Haematol. 2022 Mar;196(5):1159-1169. doi: 10.1111/bjh.18019. Epub 2022 Jan 6.</t>
  </si>
  <si>
    <t>Garnier Y</t>
  </si>
  <si>
    <t>Br J Haematol</t>
  </si>
  <si>
    <t>Increased levels of platelet activation markers are positively associated with carotid wall thickness and other atherosclerotic risk factors in obese patients</t>
  </si>
  <si>
    <t>Csongrádi É, Nagy B Jr, Fulop T, Varga Z, Karányi Z, Magyar MT, Oláh L, Papp M, Facskó A, Kappelmayer J, Paragh G, Káplár M.</t>
  </si>
  <si>
    <t>Thromb Haemost. 2011 Oct;106(4):683-92. doi: 10.1160/TH11-01-0030. Epub 2011 Aug 25.</t>
  </si>
  <si>
    <t>Csongrádi É</t>
  </si>
  <si>
    <t>Thromb Haemost</t>
  </si>
  <si>
    <t>10.1160/TH11-01-0030</t>
  </si>
  <si>
    <t>Sequences within RNA coding for HIV-1 Gag p17 are efficiently targeted to exosomes</t>
  </si>
  <si>
    <t>Columba Cabezas S, Federico M.</t>
  </si>
  <si>
    <t>Cell Microbiol. 2013 Mar;15(3):412-29. doi: 10.1111/cmi.12046. Epub 2012 Nov 7.</t>
  </si>
  <si>
    <t>Columba Cabezas S</t>
  </si>
  <si>
    <t>Cell Microbiol</t>
  </si>
  <si>
    <t>10.1111/cmi.12046</t>
  </si>
  <si>
    <t>Increased levels of circulating microparticles in primary Sjögren's syndrome, systemic lupus erythematosus and rheumatoid arthritis and relation with disease activity</t>
  </si>
  <si>
    <t>Sellam J, Proulle V, Jüngel A, Ittah M, Miceli Richard C, Gottenberg JE, Toti F, Benessiano J, Gay S, Freyssinet JM, Mariette X.</t>
  </si>
  <si>
    <t>Arthritis Res Ther. 2009;11(5):R156. doi: 10.1186/ar2833. Epub 2009 Oct 15.</t>
  </si>
  <si>
    <t>Sellam J</t>
  </si>
  <si>
    <t>Arthritis Res Ther</t>
  </si>
  <si>
    <t>PMC2787287</t>
  </si>
  <si>
    <t>10.1186/ar2833</t>
  </si>
  <si>
    <t>Nuclease expression by Staphylococcus aureus facilitates escape from neutrophil extracellular traps</t>
  </si>
  <si>
    <t>Berends ET, Horswill AR, Haste NM, Monestier M, Nizet V, von Köckritz-Blickwede M.</t>
  </si>
  <si>
    <t>J Innate Immun. 2010;2(6):576-86. doi: 10.1159/000319909. Epub 2010 Sep 10.</t>
  </si>
  <si>
    <t>Berends ET</t>
  </si>
  <si>
    <t>PMC2982853</t>
  </si>
  <si>
    <t>10.1159/000319909</t>
  </si>
  <si>
    <t>Exosome Cofactors Connect Transcription Termination to RNA Processing by Guiding Terminated Transcripts to the Appropriate Exonuclease within the Nuclear Exosome</t>
  </si>
  <si>
    <t>Kim K, Heo DH, Kim I, Suh JY, Kim M.</t>
  </si>
  <si>
    <t>J Biol Chem. 2016 Jun 17;291(25):13229-42. doi: 10.1074/jbc.M116.715771. Epub 2016 Apr 13.</t>
  </si>
  <si>
    <t>Kim K</t>
  </si>
  <si>
    <t>PMC4933236</t>
  </si>
  <si>
    <t>10.1074/jbc.M116.715771</t>
  </si>
  <si>
    <t>Exosome-related multi-pass transmembrane protein TSAP6 is a target of rhomboid protease RHBDD1-induced proteolysis</t>
  </si>
  <si>
    <t>Wan C, Fu J, Wang Y, Miao S, Song W, Wang L.</t>
  </si>
  <si>
    <t>PLoS One. 2012;7(5):e37452. doi: 10.1371/journal.pone.0037452. Epub 2012 May 18.</t>
  </si>
  <si>
    <t>Wan C</t>
  </si>
  <si>
    <t>PMC3356283</t>
  </si>
  <si>
    <t>10.1371/journal.pone.0037452</t>
  </si>
  <si>
    <t>Genome-wide localization of exosome components to active promoters and chromatin insulators in Drosophila</t>
  </si>
  <si>
    <t>Lim SJ, Boyle PJ, Chinen M, Dale RK, Lei EP.</t>
  </si>
  <si>
    <t>Nucleic Acids Res. 2013 Mar 1;41(5):2963-80. doi: 10.1093/nar/gkt037. Epub 2013 Jan 28.</t>
  </si>
  <si>
    <t>Lim SJ</t>
  </si>
  <si>
    <t>PMC3597698</t>
  </si>
  <si>
    <t>10.1093/nar/gkt037</t>
  </si>
  <si>
    <t>Unexpected gain of function for the scaffolding protein plectin due to mislocalization in pancreatic cancer</t>
  </si>
  <si>
    <t>Shin SJ, Smith JA, Rezniczek GA, Pan S, Chen R, Brentnall TA, Wiche G, Kelly KA.</t>
  </si>
  <si>
    <t>Proc Natl Acad Sci U S A. 2013 Nov 26;110(48):19414-9. doi: 10.1073/pnas.1309720110. Epub 2013 Nov 11.</t>
  </si>
  <si>
    <t>Shin SJ</t>
  </si>
  <si>
    <t>PMC3845200</t>
  </si>
  <si>
    <t>10.1073/pnas.1309720110</t>
  </si>
  <si>
    <t>Lespagnol A, Duflaut D, Beekman C, Blanc L, Fiucci G, Marine JC, Vidal M, Amson R, Telerman A.</t>
  </si>
  <si>
    <t>Cell Death Differ. 2008 Nov;15(11):1723-33. doi: 10.1038/cdd.2008.104. Epub 2008 Jul 11.</t>
  </si>
  <si>
    <t>Lespagnol A</t>
  </si>
  <si>
    <t>Cell Death Differ</t>
  </si>
  <si>
    <t>Structure and regulation of the nuclear exosome targeting complex guides RNA substrates to the exosome</t>
  </si>
  <si>
    <t>Gerlach P, Garland W, Lingaraju M, Salerno-Kochan A, Bonneau F, Basquin J, Jensen TH, Conti E.</t>
  </si>
  <si>
    <t>Mol Cell. 2022 Jul 7;82(13):2505-2518.e7. doi: 10.1016/j.molcel.2022.04.011. Epub 2022 Jun 9.</t>
  </si>
  <si>
    <t>Gerlach P</t>
  </si>
  <si>
    <t>PMC9278407</t>
  </si>
  <si>
    <t>10.1016/j.molcel.2022.04.011</t>
  </si>
  <si>
    <t>Microparticles and microscopic structures in three fractions of fresh cerebrospinal fluid in schizophrenia: case report of twins</t>
  </si>
  <si>
    <t>Mobarrez F, Nybom R, Johansson V, Hultman CM, Wallén H, Landén M, Wetterberg L.</t>
  </si>
  <si>
    <t>Schizophr Res. 2013 Jan;143(1):192-7. doi: 10.1016/j.schres.2012.10.030. Epub 2012 Nov 20.</t>
  </si>
  <si>
    <t>Mobarrez F</t>
  </si>
  <si>
    <t>Schizophr Res</t>
  </si>
  <si>
    <t>10.1016/j.schres.2012.10.030</t>
  </si>
  <si>
    <t>Culture on a fragmin/protamine-coated plate suppresses the collagen type IαI and TGF-β1 mRNA expression of rat hepatic stellate RI-T cells</t>
  </si>
  <si>
    <t>Sekiguchi H, Hemmi N, Maki T, Ozawa A, Kadowaki E, Kamiie J, Yamamoto M, Arishima K, Sakaue M.</t>
  </si>
  <si>
    <t>J Vet Med Sci. 2013;75(5):553-9. doi: 10.1292/jvms.12-0396. Epub 2012 Dec 14.</t>
  </si>
  <si>
    <t>Sekiguchi H</t>
  </si>
  <si>
    <t>J Vet Med Sci</t>
  </si>
  <si>
    <t>10.1292/jvms.12-0396</t>
  </si>
  <si>
    <t>A role for Lsmlp in response to ultraviolet-radiation damage in Saccharomyces cerevisiae</t>
  </si>
  <si>
    <t>Spicakova T, McCann K, Brown JM.</t>
  </si>
  <si>
    <t>Radiat Res. 2008 Oct;170(4):411-21. doi: 10.1667/rr1477.1.</t>
  </si>
  <si>
    <t>Spicakova T</t>
  </si>
  <si>
    <t>PMC2597385</t>
  </si>
  <si>
    <t>NIHMS72632</t>
  </si>
  <si>
    <t>10.1667/rr1477.1</t>
  </si>
  <si>
    <t>Sandiford OA, Donnelly RJ, El-Far MH, Burgmeyer LM, Sinha G, Pamarthi SH, Sherman LS, Ferrer AI, DeVore DE, Patel SA, Naaldijk Y, Alonso S, Barak P, Bryan M, Ponzio NM, Narayanan R, Etchegaray JP, Kumar R, Rameshwar P.</t>
  </si>
  <si>
    <t>Cancer Res. 2021 Mar 15;81(6):1567-1582. doi: 10.1158/0008-5472.CAN-20-2434. Epub 2021 Jan 26.</t>
  </si>
  <si>
    <t>Sandiford OA</t>
  </si>
  <si>
    <t>Communication in tiny packages: Exosomes as means of tumor-stroma communication</t>
  </si>
  <si>
    <t>Daßler-Plenker J, Küttner V, Egeblad M.</t>
  </si>
  <si>
    <t>Biochim Biophys Acta Rev Cancer. 2020 Apr;1873(2):188340. doi: 10.1016/j.bbcan.2020.188340. Epub 2020 Jan 8.</t>
  </si>
  <si>
    <t>Daßler-Plenker J</t>
  </si>
  <si>
    <t>Biochim Biophys Acta Rev Cancer</t>
  </si>
  <si>
    <t>10.1016/j.bbcan.2020.188340</t>
  </si>
  <si>
    <t>Barnabas GD, Bahar-Shany K, Sapoznik S, Helpman L, Kadan Y, Beiner M, Weitzner O, Arbib N, Korach J, Perri T, Katz G, Blecher A, Brandt B, Friedman E, Stockheim D, Jakobson-Setton A, Eitan R, Armon S, Brand H, Zadok O, Aviel-Ronen S, Harel M, Geiger T, Levanon K.</t>
  </si>
  <si>
    <t>Mol Cell Proteomics. 2019 May;18(5):865-875. doi: 10.1074/mcp.RA119.001362. Epub 2019 Feb 13.</t>
  </si>
  <si>
    <t>Barnabas GD</t>
  </si>
  <si>
    <t>PMC6495259</t>
  </si>
  <si>
    <t>Zangari J, Ilie M, Rouaud F, Signetti L, Ohanna M, Didier R, Roméo B, Goldoni D, Nottet N, Staedel C, Gal J, Mari B, Mograbi B, Hofman P, Brest P.</t>
  </si>
  <si>
    <t>Nucleic Acids Res. 2017 Apr 20;45(7):4131-4141. doi: 10.1093/nar/gkw1284.</t>
  </si>
  <si>
    <t>Zangari J</t>
  </si>
  <si>
    <t>PMC5397191</t>
  </si>
  <si>
    <t>Marcoux G, Magron A, Sut C, Laroche A, Laradi S, Hamzeh-Cognasse H, Allaeys I, Cabon O, Julien AS, Garraud O, Cognasse F, Boilard E.</t>
  </si>
  <si>
    <t>Transfusion. 2019 Jul;59(7):2403-2414. doi: 10.1111/trf.15300. Epub 2019 Apr 11.</t>
  </si>
  <si>
    <t>Marcoux G</t>
  </si>
  <si>
    <t>Transfusion</t>
  </si>
  <si>
    <t>Epigenetics and Communication Mechanisms in Microglia Activation with a View on Technological Approaches</t>
  </si>
  <si>
    <t>Petralla S, De Chirico F, Miti A, Tartagni O, Massenzio F, Poeta E, Virgili M, Zuccheri G, Monti B.</t>
  </si>
  <si>
    <t>Biomolecules. 2021 Feb 18;11(2):306. doi: 10.3390/biom11020306.</t>
  </si>
  <si>
    <t>Petralla S</t>
  </si>
  <si>
    <t>Biomolecules</t>
  </si>
  <si>
    <t>PMC7923060</t>
  </si>
  <si>
    <t>10.3390/biom11020306</t>
  </si>
  <si>
    <t>RNA delivery by extracellular vesicles in mammalian cells and its applications</t>
  </si>
  <si>
    <t>O'Brien K, Breyne K, Ughetto S, Laurent LC, Breakefield XO.</t>
  </si>
  <si>
    <t>Nat Rev Mol Cell Biol. 2020 Oct;21(10):585-606. doi: 10.1038/s41580-020-0251-y. Epub 2020 May 26.</t>
  </si>
  <si>
    <t>O'Brien K</t>
  </si>
  <si>
    <t>Nat Rev Mol Cell Biol</t>
  </si>
  <si>
    <t>PMC7249041</t>
  </si>
  <si>
    <t>10.1038/s41580-020-0251-y</t>
  </si>
  <si>
    <t>Hur JY, Kim HJ, Lee JS, Choi CM, Lee JC, Jung MK, Pack CG, Lee KY.</t>
  </si>
  <si>
    <t>Mol Cancer. 2018 Jan 27;17(1):15. doi: 10.1186/s12943-018-0772-6.</t>
  </si>
  <si>
    <t>Hur JY</t>
  </si>
  <si>
    <t>PMC5787306</t>
  </si>
  <si>
    <t>Liang S, Xu H, Ye BC.</t>
  </si>
  <si>
    <t>Langmuir. 2022 Jan 11;38(1):299-308. doi: 10.1021/acs.langmuir.1c02500. Epub 2021 Dec 22.</t>
  </si>
  <si>
    <t>Liang S</t>
  </si>
  <si>
    <t>Langmuir</t>
  </si>
  <si>
    <t>Liquid biopsy: a step forward towards precision medicine in urologic malignancies</t>
  </si>
  <si>
    <t>Di Meo A, Bartlett J, Cheng Y, Pasic MD, Yousef GM.</t>
  </si>
  <si>
    <t>Mol Cancer. 2017 Apr 14;16(1):80. doi: 10.1186/s12943-017-0644-5.</t>
  </si>
  <si>
    <t>Di Meo A</t>
  </si>
  <si>
    <t>PMC5391592</t>
  </si>
  <si>
    <t>10.1186/s12943-017-0644-5</t>
  </si>
  <si>
    <t>Molecular and Functional Diversity of Distinct Subpopulations of the Stressed Insulin-Secreting Cell's Vesiculome</t>
  </si>
  <si>
    <t>Giri KR, de Beaurepaire L, Jegou D, Lavy M, Mosser M, Dupont A, Fleurisson R, Dubreil L, Collot M, Van Endert P, Bach JM, Mignot G, Bosch S.</t>
  </si>
  <si>
    <t>Front Immunol. 2020 Sep 30;11:1814. doi: 10.3389/fimmu.2020.01814. eCollection 2020.</t>
  </si>
  <si>
    <t>Giri KR</t>
  </si>
  <si>
    <t>PMC7556286</t>
  </si>
  <si>
    <t>10.3389/fimmu.2020.01814</t>
  </si>
  <si>
    <t>Diamond JM, Vanpouille-Box C, Spada S, Rudqvist NP, Chapman JR, Ueberheide BM, Pilones KA, Sarfraz Y, Formenti SC, Demaria S.</t>
  </si>
  <si>
    <t>Cancer Immunol Res. 2018 Aug;6(8):910-920. doi: 10.1158/2326-6066.CIR-17-0581. Epub 2018 Jun 15.</t>
  </si>
  <si>
    <t>Diamond JM</t>
  </si>
  <si>
    <t>PMC6072562</t>
  </si>
  <si>
    <t>NIHMS975967</t>
  </si>
  <si>
    <t>YgfZ contributes to secretion of cytotoxic necrotizing factor 1 into outer-membrane vesicles in Escherichia coli</t>
  </si>
  <si>
    <t>Yu H, Kim KS.</t>
  </si>
  <si>
    <t>Microbiology (Reading). 2012 Mar;158(Pt 3):612-621. doi: 10.1099/mic.0.054122-0. Epub 2011 Dec 15.</t>
  </si>
  <si>
    <t>Yu H</t>
  </si>
  <si>
    <t>Microbiology (Reading)</t>
  </si>
  <si>
    <t>PMC3352114</t>
  </si>
  <si>
    <t>10.1099/mic.0.054122-0</t>
  </si>
  <si>
    <t>Development of a magnetic bead-based method for the collection of circulating extracellular vesicles</t>
  </si>
  <si>
    <t>Shih CL, Chong KY, Hsu SC, Chien HJ, Ma CT, Chang JW, Yu CJ, Chiou CC.</t>
  </si>
  <si>
    <t>N Biotechnol. 2016 Jan 25;33(1):116-22. doi: 10.1016/j.nbt.2015.09.003. Epub 2015 Sep 26.</t>
  </si>
  <si>
    <t>Shih CL</t>
  </si>
  <si>
    <t>N Biotechnol</t>
  </si>
  <si>
    <t>10.1016/j.nbt.2015.09.003</t>
  </si>
  <si>
    <t>Liquid biopsy in head and neck squamous cell carcinoma: circulating tumor cells, circulating tumor DNA, and exosomes</t>
  </si>
  <si>
    <t>Yang WY, Feng LF, Meng X, Chen R, Xu WH, Hou J, Xu T, Zhang L.</t>
  </si>
  <si>
    <t>Expert Rev Mol Diagn. 2020 Dec;20(12):1213-1227. doi: 10.1080/14737159.2020.1855977. Epub 2020 Dec 30.</t>
  </si>
  <si>
    <t>Yang WY</t>
  </si>
  <si>
    <t>10.1080/14737159.2020.1855977</t>
  </si>
  <si>
    <t>Leal AC, Mizurini DM, Gomes T, Rochael NC, Saraiva EM, Dias MS, Werneck CC, Sielski MS, Vicente CP, Monteiro RQ.</t>
  </si>
  <si>
    <t>Sci Rep. 2017 Jul 25;7(1):6438. doi: 10.1038/s41598-017-06893-7.</t>
  </si>
  <si>
    <t>Leal AC</t>
  </si>
  <si>
    <t>PMC5526939</t>
  </si>
  <si>
    <t>Chen R, Huang H, Liu H, Xi J, Ning J, Zeng W, Shen C, Zhang T, Yu G, Xu Q, Chen X, Wang J, Lu F.</t>
  </si>
  <si>
    <t>Small. 2019 Sep;15(38):e1902686. doi: 10.1002/smll.201902686. Epub 2019 Jul 4.</t>
  </si>
  <si>
    <t>Chen R</t>
  </si>
  <si>
    <t>Dependence of intracellular and exosomal microRNAs on viral E6/E7 oncogene expression in HPV-positive tumor cells</t>
  </si>
  <si>
    <t>Honegger A, Schilling D, Bastian S, Sponagel J, Kuryshev V, Sültmann H, Scheffner M, Hoppe-Seyler K, Hoppe-Seyler F.</t>
  </si>
  <si>
    <t>PLoS Pathog. 2015 Mar 11;11(3):e1004712. doi: 10.1371/journal.ppat.1004712. eCollection 2015 Mar.</t>
  </si>
  <si>
    <t>Honegger A</t>
  </si>
  <si>
    <t>PMC4356518</t>
  </si>
  <si>
    <t>10.1371/journal.ppat.1004712</t>
  </si>
  <si>
    <t>Advances in microfluidics for lipid nanoparticles and extracellular vesicles and applications in drug delivery systems</t>
  </si>
  <si>
    <t>Maeki M, Kimura N, Sato Y, Harashima H, Tokeshi M.</t>
  </si>
  <si>
    <t>Adv Drug Deliv Rev. 2018 Mar 15;128:84-100. doi: 10.1016/j.addr.2018.03.008. Epub 2018 Mar 19.</t>
  </si>
  <si>
    <t>Maeki M</t>
  </si>
  <si>
    <t>10.1016/j.addr.2018.03.008</t>
  </si>
  <si>
    <t>Kalamvoki M, Du T, Roizman B.</t>
  </si>
  <si>
    <t>Proc Natl Acad Sci U S A. 2014 Nov 18;111(46):E4991-6. doi: 10.1073/pnas.1419338111. Epub 2014 Nov 3.</t>
  </si>
  <si>
    <t>Kalamvoki M</t>
  </si>
  <si>
    <t>PMC4246290</t>
  </si>
  <si>
    <t>Mutation of SIMPLE in Charcot-Marie-Tooth 1C alters production of exosomes</t>
  </si>
  <si>
    <t>Zhu H, Guariglia S, Yu RY, Li W, Brancho D, Peinado H, Lyden D, Salzer J, Bennett C, Chow CW.</t>
  </si>
  <si>
    <t>Mol Biol Cell. 2013 Jun;24(11):1619-37, S1-3. doi: 10.1091/mbc.E12-07-0544. Epub 2013 Apr 10.</t>
  </si>
  <si>
    <t>Zhu H</t>
  </si>
  <si>
    <t>PMC3667717</t>
  </si>
  <si>
    <t>10.1091/mbc.E12-07-0544</t>
  </si>
  <si>
    <t>Liu B, Jin Y, Yang J, Han Y, Shan H, Qiu M, Zhao X, Liu A, Jin Y, Yin Y.</t>
  </si>
  <si>
    <t>J Extracell Vesicles. 2022 May;11(5):e12223. doi: 10.1002/jev2.12223.</t>
  </si>
  <si>
    <t>Liu B</t>
  </si>
  <si>
    <t>PMC9122834</t>
  </si>
  <si>
    <t>Extracellular vesicles as a novel source of biomarkers in liquid biopsies for monitoring cancer progression and drug resistance</t>
  </si>
  <si>
    <t>Vasconcelos MH, Caires HR, Ābols A, Xavier CPR, Linē A.</t>
  </si>
  <si>
    <t>Drug Resist Updat. 2019 Dec;47:100647. doi: 10.1016/j.drup.2019.100647. Epub 2019 Oct 15.</t>
  </si>
  <si>
    <t>Vasconcelos MH</t>
  </si>
  <si>
    <t>Drug Resist Updat</t>
  </si>
  <si>
    <t>10.1016/j.drup.2019.100647</t>
  </si>
  <si>
    <t>Zhang J, Shi J, Zhang H, Zhu Y, Liu W, Zhang K, Zhang Z.</t>
  </si>
  <si>
    <t>J Extracell Vesicles. 2020 Oct;10(1):e12025. doi: 10.1002/jev2.12025. Epub 2020 Nov 11.</t>
  </si>
  <si>
    <t>Zhang J</t>
  </si>
  <si>
    <t>PMC7710127</t>
  </si>
  <si>
    <t>ccf-mtDNA as a Potential Link Between the Brain and Immune System in Neuro-Immunological Disorders</t>
  </si>
  <si>
    <t>Gambardella S, Limanaqi F, Ferese R, Biagioni F, Campopiano R, Centonze D, Fornai F.</t>
  </si>
  <si>
    <t>Front Immunol. 2019 May 9;10:1064. doi: 10.3389/fimmu.2019.01064. eCollection 2019.</t>
  </si>
  <si>
    <t>Gambardella S</t>
  </si>
  <si>
    <t>PMC6520662</t>
  </si>
  <si>
    <t>10.3389/fimmu.2019.01064</t>
  </si>
  <si>
    <t>Sensing of latent EBV infection through exosomal transfer of 5'pppRNA</t>
  </si>
  <si>
    <t>Baglio SR, van Eijndhoven MA, Koppers-Lalic D, Berenguer J, Lougheed SM, Gibbs S, Léveillé N, Rinkel RN, Hopmans ES, Swaminathan S, Verkuijlen SA, Scheffer GL, van Kuppeveld FJ, de Gruijl TD, Bultink IE, Jordanova ES, Hackenberg M, Piersma SR, Knol JC, Voskuyl AE, Wurdinger T, Jiménez CR, Middeldorp JM, Pegtel DM.</t>
  </si>
  <si>
    <t>Proc Natl Acad Sci U S A. 2016 Feb 2;113(5):E587-96. doi: 10.1073/pnas.1518130113. Epub 2016 Jan 14.</t>
  </si>
  <si>
    <t>Baglio SR</t>
  </si>
  <si>
    <t>PMC4747727</t>
  </si>
  <si>
    <t>Reconstitution of S. cerevisiae RNA Exosome Complexes Using Recombinantly Expressed Proteins</t>
  </si>
  <si>
    <t>Zinder JC, Lima CD.</t>
  </si>
  <si>
    <t>Methods Mol Biol. 2020;2062:427-448. doi: 10.1007/978-1-4939-9822-7_21.</t>
  </si>
  <si>
    <t>Zinder JC</t>
  </si>
  <si>
    <t>PMC8596991</t>
  </si>
  <si>
    <t>NIHMS1750567</t>
  </si>
  <si>
    <t>10.1007/978-1-4939-9822-7_21</t>
  </si>
  <si>
    <t>The 5' external transcribed spacer in mouse ribosomal RNA contains two cleavage sites</t>
  </si>
  <si>
    <t>Kent T, Lapik YR, Pestov DG.</t>
  </si>
  <si>
    <t>RNA. 2009 Jan;15(1):14-20. doi: 10.1261/rna.1384709. Epub 2008 Nov 24.</t>
  </si>
  <si>
    <t>Kent T</t>
  </si>
  <si>
    <t>PMC2612764</t>
  </si>
  <si>
    <t>10.1261/rna.1384709</t>
  </si>
  <si>
    <t>Wu N, Zhang XY, Xia J, Li X, Yang T, Wang JH.</t>
  </si>
  <si>
    <t>ACS Nano. 2021 Dec 28;15(12):19522-19534. doi: 10.1021/acsnano.1c06429. Epub 2021 Nov 23.</t>
  </si>
  <si>
    <t>Wu N</t>
  </si>
  <si>
    <t>Shrivastava S, Ray RM, Holguin L, Echavarria L, Grepo N, Scott TA, Burnett J, Morris KV.</t>
  </si>
  <si>
    <t>Nat Commun. 2021 Sep 20;12(1):5541. doi: 10.1038/s41467-021-25839-2.</t>
  </si>
  <si>
    <t>PMC8452652</t>
  </si>
  <si>
    <t>Chromatin modifier HUSH co-operates with RNA decay factor NEXT to restrict transposable element expression</t>
  </si>
  <si>
    <t>Garland W, Müller I, Wu M, Schmid M, Imamura K, Rib L, Sandelin A, Helin K, Jensen TH.</t>
  </si>
  <si>
    <t>Mol Cell. 2022 May 5;82(9):1691-1707.e8. doi: 10.1016/j.molcel.2022.03.004. Epub 2022 Mar 28.</t>
  </si>
  <si>
    <t>Garland W</t>
  </si>
  <si>
    <t>10.1016/j.molcel.2022.03.004</t>
  </si>
  <si>
    <t>Increased activity of procoagulant factors in patients with small cell lung cancer</t>
  </si>
  <si>
    <t>Pedersen S, Kristensen AF, Falkmer U, Christiansen G, Kristensen SR.</t>
  </si>
  <si>
    <t>PLoS One. 2021 Jul 21;16(7):e0253613. doi: 10.1371/journal.pone.0253613. eCollection 2021.</t>
  </si>
  <si>
    <t>Pedersen S</t>
  </si>
  <si>
    <t>PMC8294523</t>
  </si>
  <si>
    <t>10.1371/journal.pone.0253613</t>
  </si>
  <si>
    <t>Kunkel GH, Chaturvedi P, Tyagi SC.</t>
  </si>
  <si>
    <t>Heart Fail Rev. 2016 Sep;21(5):499-517. doi: 10.1007/s10741-016-9561-8.</t>
  </si>
  <si>
    <t>Kunkel GH</t>
  </si>
  <si>
    <t>Heart Fail Rev</t>
  </si>
  <si>
    <t>PMC4985491</t>
  </si>
  <si>
    <t>NIHMS792848</t>
  </si>
  <si>
    <t>Serum Extracellular Vesicles Retard H9C2 Cell Senescence by Suppressing miR-34a Expression</t>
  </si>
  <si>
    <t>Liu Y, Liu Z, Xie Y, Zhao C, Xu J.</t>
  </si>
  <si>
    <t>J Cardiovasc Transl Res. 2019 Feb;12(1):45-50. doi: 10.1007/s12265-018-9847-4. Epub 2018 Nov 29.</t>
  </si>
  <si>
    <t>Liu Y</t>
  </si>
  <si>
    <t>10.1007/s12265-018-9847-4</t>
  </si>
  <si>
    <t>ISGylation controls exosome secretion by promoting lysosomal degradation of MVB proteins</t>
  </si>
  <si>
    <t>Villarroya-Beltri C, Baixauli F, Mittelbrunn M, Fernández-Delgado I, Torralba D, Moreno-Gonzalo O, Baldanta S, Enrich C, Guerra S, Sánchez-Madrid F.</t>
  </si>
  <si>
    <t>Nat Commun. 2016 Nov 24;7:13588. doi: 10.1038/ncomms13588.</t>
  </si>
  <si>
    <t>Villarroya-Beltri C</t>
  </si>
  <si>
    <t>PMC5123068</t>
  </si>
  <si>
    <t>10.1038/ncomms13588</t>
  </si>
  <si>
    <t>Bitto NJ, Chapman R, Pidot S, Costin A, Lo C, Choi J, D'Cruze T, Reynolds EC, Dashper SG, Turnbull L, Whitchurch CB, Stinear TP, Stacey KJ, Ferrero RL.</t>
  </si>
  <si>
    <t>Sci Rep. 2017 Aug 1;7(1):7072. doi: 10.1038/s41598-017-07288-4.</t>
  </si>
  <si>
    <t>PMC5539193</t>
  </si>
  <si>
    <t>Zhang Y, Wu Y, Luo S, Yang C, Zhong G, Huang G, Zhang X, Li B, Liu C, Li L, Yan X, Zheng L, Situ B.</t>
  </si>
  <si>
    <t>ACS Sens. 2022 Apr 22;7(4):1075-1085. doi: 10.1021/acssensors.1c02717. Epub 2022 Mar 21.</t>
  </si>
  <si>
    <t>SNCA Hypomethylation in Rapid Eye Movement Sleep Behavior Disorder Is a Potential Biomarker for Parkinson's Disease</t>
  </si>
  <si>
    <t>Zhao A, Li Y, Niu M, Li G, Luo N, Zhou L, Kang W, Liu J.</t>
  </si>
  <si>
    <t>J Parkinsons Dis. 2020;10(3):1023-1031. doi: 10.3233/JPD-201912.</t>
  </si>
  <si>
    <t>Zhao A</t>
  </si>
  <si>
    <t>J Parkinsons Dis</t>
  </si>
  <si>
    <t>10.3233/JPD-201912</t>
  </si>
  <si>
    <t>Rikkert LG, van der Pol E, van Leeuwen TG, Nieuwland R, Coumans FAW.</t>
  </si>
  <si>
    <t>Cytometry A. 2018 Dec;93(12):1207-1212. doi: 10.1002/cyto.a.23641.</t>
  </si>
  <si>
    <t>Rikkert LG</t>
  </si>
  <si>
    <t>PMC6590195</t>
  </si>
  <si>
    <t>Tandem affinity purification of exosome and replication factor C complexes from the non-human infectious kinetoplastid parasite Crithidia fasciculata</t>
  </si>
  <si>
    <t>Kipandula W, Smith TK, MacNeill SA.</t>
  </si>
  <si>
    <t>Mol Biochem Parasitol. 2017 Oct;217:19-22. doi: 10.1016/j.molbiopara.2017.08.004. Epub 2017 Aug 24.</t>
  </si>
  <si>
    <t>Kipandula W</t>
  </si>
  <si>
    <t>Mol Biochem Parasitol</t>
  </si>
  <si>
    <t>10.1016/j.molbiopara.2017.08.004</t>
  </si>
  <si>
    <t>Splicing factor Spf30 assists exosome-mediated gene silencing in fission yeast</t>
  </si>
  <si>
    <t>Bernard P, Drogat J, Dheur S, Genier S, Javerzat JP.</t>
  </si>
  <si>
    <t>Mol Cell Biol. 2010 Mar;30(5):1145-57. doi: 10.1128/MCB.01317-09. Epub 2009 Dec 22.</t>
  </si>
  <si>
    <t>Bernard P</t>
  </si>
  <si>
    <t>Mol Cell Biol</t>
  </si>
  <si>
    <t>PMC2820897</t>
  </si>
  <si>
    <t>10.1128/MCB.01317-09</t>
  </si>
  <si>
    <t>Synergy of Peptide-Nucleic Acid and Spherical Nucleic Acid Enabled Quantitative and Specific Detection of Tumor Exosomal MicroRNA</t>
  </si>
  <si>
    <t>Liu L, Lu H, Shi R, Peng XX, Xiang Q, Wang B, Wan QQ, Sun Y, Yang F, Zhang GJ.</t>
  </si>
  <si>
    <t>Anal Chem. 2019 Oct 15;91(20):13198-13205. doi: 10.1021/acs.analchem.9b03622. Epub 2019 Oct 4.</t>
  </si>
  <si>
    <t>Liu L</t>
  </si>
  <si>
    <t>10.1021/acs.analchem.9b03622</t>
  </si>
  <si>
    <t>Tumor-derived exosomes are enriched in ΔNp73, which promotes oncogenic potential in acceptor cells and correlates with patient survival</t>
  </si>
  <si>
    <t>Soldevilla B, Rodríguez M, San Millán C, García V, Fernández-Periañez R, Gil-Calderón B, Martín P, García-Grande A, Silva J, Bonilla F, Domínguez G.</t>
  </si>
  <si>
    <t>Hum Mol Genet. 2014 Jan 15;23(2):467-78. doi: 10.1093/hmg/ddt437. Epub 2013 Sep 18.</t>
  </si>
  <si>
    <t>Soldevilla B</t>
  </si>
  <si>
    <t>Hum Mol Genet</t>
  </si>
  <si>
    <t>10.1093/hmg/ddt437</t>
  </si>
  <si>
    <t>Formation and release of arrestin domain-containing protein 1-mediated microvesicles (ARMMs) at plasma membrane by recruitment of TSG101 protein</t>
  </si>
  <si>
    <t>Nabhan JF, Hu R, Oh RS, Cohen SN, Lu Q.</t>
  </si>
  <si>
    <t>Proc Natl Acad Sci U S A. 2012 Mar 13;109(11):4146-51. doi: 10.1073/pnas.1200448109. Epub 2012 Feb 6.</t>
  </si>
  <si>
    <t>Nabhan JF</t>
  </si>
  <si>
    <t>PMC3306724</t>
  </si>
  <si>
    <t>10.1073/pnas.1200448109</t>
  </si>
  <si>
    <t>Neural cell-derived plasma exosome protein abnormalities implicate mitochondrial impairment in first episodes of psychosis</t>
  </si>
  <si>
    <t>Goetzl EJ, Srihari VH, Guloksuz S, Ferrara M, Tek C, Heninger GR.</t>
  </si>
  <si>
    <t>FASEB J. 2021 Feb;35(2):e21339. doi: 10.1096/fj.202002519R.</t>
  </si>
  <si>
    <t>Goetzl EJ</t>
  </si>
  <si>
    <t>10.1096/fj.202002519R</t>
  </si>
  <si>
    <t>Pegtel DM, Cosmopoulos K, Thorley-Lawson DA, van Eijndhoven MA, Hopmans ES, Lindenberg JL, de Gruijl TD, Würdinger T, Middeldorp JM.</t>
  </si>
  <si>
    <t>Proc Natl Acad Sci U S A. 2010 Apr 6;107(14):6328-33. doi: 10.1073/pnas.0914843107. Epub 2010 Mar 18.</t>
  </si>
  <si>
    <t>Pegtel DM</t>
  </si>
  <si>
    <t>PMC2851954</t>
  </si>
  <si>
    <t>Human macrophages induce CD4(+)Foxp3(+) regulatory T cells via binding and re-release of TGF-β</t>
  </si>
  <si>
    <t>Schmidt A, Zhang XM, Joshi RN, Iqbal S, Wahlund C, Gabrielsson S, Harris RA, Tegnér J.</t>
  </si>
  <si>
    <t>Immunol Cell Biol. 2016 Sep;94(8):747-62. doi: 10.1038/icb.2016.34. Epub 2016 May 10.</t>
  </si>
  <si>
    <t>Schmidt A</t>
  </si>
  <si>
    <t>Immunol Cell Biol</t>
  </si>
  <si>
    <t>10.1038/icb.2016.34</t>
  </si>
  <si>
    <t>Monitoring Extracellular Vesicle Cargo Active Uptake by Imaging Flow Cytometry</t>
  </si>
  <si>
    <t>Ofir-Birin Y, Abou Karam P, Rudik A, Giladi T, Porat Z, Regev-Rudzki N.</t>
  </si>
  <si>
    <t>Front Immunol. 2018 May 24;9:1011. doi: 10.3389/fimmu.2018.01011. eCollection 2018.</t>
  </si>
  <si>
    <t>Ofir-Birin Y</t>
  </si>
  <si>
    <t>PMC5976745</t>
  </si>
  <si>
    <t>Tortolici F, Vumbaca S, Incocciati B, Dayal R, Aquilano K, Giovanetti A, Rufini S.</t>
  </si>
  <si>
    <t>Cells. 2021 Jan 8;10(1):107. doi: 10.3390/cells10010107.</t>
  </si>
  <si>
    <t>Tortolici F</t>
  </si>
  <si>
    <t>PMC7827279</t>
  </si>
  <si>
    <t>Profiling circulating tumour cells and other biomarkers of invasive cancers</t>
  </si>
  <si>
    <t>Poudineh M, Sargent EH, Pantel K, Kelley SO.</t>
  </si>
  <si>
    <t>Nat Biomed Eng. 2018 Feb;2(2):72-84. doi: 10.1038/s41551-018-0190-5. Epub 2018 Feb 6.</t>
  </si>
  <si>
    <t>Poudineh M</t>
  </si>
  <si>
    <t>Nat Biomed Eng</t>
  </si>
  <si>
    <t>10.1038/s41551-018-0190-5</t>
  </si>
  <si>
    <t>Sukriti S, Choudhary MC, Maras JS, Sharma S, Thangariyal S, Singh A, Das S, Islam M, Sharma S, Trehanpati N, Gupta E, Sarin SK.</t>
  </si>
  <si>
    <t>J Viral Hepat. 2019 Jan;26(1):211-214. doi: 10.1111/jvh.12995. Epub 2018 Oct 25.</t>
  </si>
  <si>
    <t>Sukriti S</t>
  </si>
  <si>
    <t>J Viral Hepat</t>
  </si>
  <si>
    <t>Dysregulated Expression of the Nuclear Exosome Targeting Complex Component Rbm7 in Nonhematopoietic Cells Licenses the Development of Fibrosis</t>
  </si>
  <si>
    <t>Fukushima K, Satoh T, Sugihara F, Sato Y, Okamoto T, Mitsui Y, Yoshio S, Li S, Nojima S, Motooka D, Nakamura S, Kida H, Standley DM, Morii E, Kanto T, Yanagita M, Matsuura Y, Nagasawa T, Kumanogoh A, Akira S.</t>
  </si>
  <si>
    <t>Immunity. 2020 Mar 17;52(3):542-556.e13. doi: 10.1016/j.immuni.2020.02.007.</t>
  </si>
  <si>
    <t>Fukushima K</t>
  </si>
  <si>
    <t>Immunity</t>
  </si>
  <si>
    <t>10.1016/j.immuni.2020.02.007</t>
  </si>
  <si>
    <t>Maire CL, Fuh MM, Kaulich K, Fita KD, Stevic I, Heiland DH, Welsh JA, Jones JC, Görgens A, Ricklefs T, Dührsen L, Sauvigny T, Joosse SA, Reifenberger G, Pantel K, Glatzel M, Miklosi AG, Felce JH, Caselli M, Pereno V, Reimer R, Schlüter H, Westphal M, Schüller U, Lamszus K, Ricklefs FL.</t>
  </si>
  <si>
    <t>Neuro Oncol. 2021 Jul 1;23(7):1087-1099. doi: 10.1093/neuonc/noab012.</t>
  </si>
  <si>
    <t>Maire CL</t>
  </si>
  <si>
    <t>Neuro Oncol</t>
  </si>
  <si>
    <t>PMC8673443</t>
  </si>
  <si>
    <t>Identification of an inhibitory budding signal that blocks the release of HIV particles and exosome/microvesicle proteins</t>
  </si>
  <si>
    <t>Mol Biol Cell. 2011 Mar 15;22(6):817-30. doi: 10.1091/mbc.E10-07-0625. Epub 2011 Jan 19.</t>
  </si>
  <si>
    <t>PMC3057706</t>
  </si>
  <si>
    <t>10.1091/mbc.E10-07-0625</t>
  </si>
  <si>
    <t>Sisquella X, Ofir-Birin Y, Pimentel MA, Cheng L, Abou Karam P, Sampaio NG, Penington JS, Connolly D, Giladi T, Scicluna BJ, Sharples RA, Waltmann A, Avni D, Schwartz E, Schofield L, Porat Z, Hansen DS, Papenfuss AT, Eriksson EM, Gerlic M, Hill AF, Bowie AG, Regev-Rudzki N.</t>
  </si>
  <si>
    <t>Nat Commun. 2017 Dec 7;8(1):1985. doi: 10.1038/s41467-017-02083-1.</t>
  </si>
  <si>
    <t>Sisquella X</t>
  </si>
  <si>
    <t>PMC5719353</t>
  </si>
  <si>
    <t>Haque S, Sinha N, Ranjit S, Midde NM, Kashanchi F, Kumar S.</t>
  </si>
  <si>
    <t>Sci Rep. 2017 Nov 23;7(1):16120. doi: 10.1038/s41598-017-16301-9.</t>
  </si>
  <si>
    <t>PMC5701054</t>
  </si>
  <si>
    <t>Alqurashi H, Ortega Asencio I, Lambert DW.</t>
  </si>
  <si>
    <t>Tissue Eng Part B Rev. 2021 Oct;27(5):530-538. doi: 10.1089/ten.TEB.2020.0222. Epub 2020 Dec 3.</t>
  </si>
  <si>
    <t>Alqurashi H</t>
  </si>
  <si>
    <t>10.1089/ten.TEB.2020.0222</t>
  </si>
  <si>
    <t>Removal of eDNA from fabrics using a novel laundry DNase revealed using high-resolution imaging</t>
  </si>
  <si>
    <t>Yau HCL, Malekpour AK, Momin NG, Morales-García AL, Willats WGT, Lant NJ, Jones CY.</t>
  </si>
  <si>
    <t>Sci Rep. 2021 Nov 2;11(1):21542. doi: 10.1038/s41598-021-98939-0.</t>
  </si>
  <si>
    <t>Yau HCL</t>
  </si>
  <si>
    <t>PMC8563969</t>
  </si>
  <si>
    <t>10.1038/s41598-021-98939-0</t>
  </si>
  <si>
    <t>Stemness Potency of Human Gingival Cells-Application in Anticancer Therapies and Clinical Trials</t>
  </si>
  <si>
    <t>Stefańska K, Mehr K, Wieczorkiewicz M, Kulus M, Angelova Volponi A, Shibli JA, Mozdziak P, Skowroński MT, Antosik P, Jaśkowski JM, Piotrowska-Kempisty H, Kempisty B, Dyszkiewicz-Konwińska M.</t>
  </si>
  <si>
    <t>Cells. 2020 Aug 18;9(8):1916. doi: 10.3390/cells9081916.</t>
  </si>
  <si>
    <t>Stefańska K</t>
  </si>
  <si>
    <t>PMC7464983</t>
  </si>
  <si>
    <t>10.3390/cells9081916</t>
  </si>
  <si>
    <t>Targeting Tumor-derived Exosomes Expressing CD73: New Opportunities in the Pathogenesis and Treatment of Cancer</t>
  </si>
  <si>
    <t>Nooshabadi VT, Arab S.</t>
  </si>
  <si>
    <t>Curr Mol Med. 2021;21(6):476-483. doi: 10.2174/1566524020666201120142953.</t>
  </si>
  <si>
    <t>Nooshabadi VT</t>
  </si>
  <si>
    <t>Curr Mol Med</t>
  </si>
  <si>
    <t>10.2174/1566524020666201120142953</t>
  </si>
  <si>
    <t>Yan W, Li T, Yin T, Hou Z, Qu K, Wang N, Durkan C, Dong L, Qiu J, Gregersen H, Wang G.</t>
  </si>
  <si>
    <t>Theranostics. 2020 Aug 29;10(23):10712-10728. doi: 10.7150/thno.46143. eCollection 2020.</t>
  </si>
  <si>
    <t>Yan W</t>
  </si>
  <si>
    <t>PMC7482821</t>
  </si>
  <si>
    <t>Tong M, Johansson C, Xiao F, Stone PR, James JL, Chen Q, Cree LM, Chamley LW.</t>
  </si>
  <si>
    <t>Sci Rep. 2017 Nov 29;7(1):16556. doi: 10.1038/s41598-017-16448-5.</t>
  </si>
  <si>
    <t>Tong M</t>
  </si>
  <si>
    <t>PMC5707355</t>
  </si>
  <si>
    <t>Extracellular vesicles and cardiovascular system: Biomarkers and Cardioprotective Effectors</t>
  </si>
  <si>
    <t>Femminò S, Penna C, Margarita S, Comità S, Brizzi MF, Pagliaro P.</t>
  </si>
  <si>
    <t>Vascul Pharmacol. 2020 Dec;135:106790. doi: 10.1016/j.vph.2020.106790. Epub 2020 Aug 28.</t>
  </si>
  <si>
    <t>Femminò S</t>
  </si>
  <si>
    <t>Vascul Pharmacol</t>
  </si>
  <si>
    <t>10.1016/j.vph.2020.106790</t>
  </si>
  <si>
    <t>Sulforaphane Inhibits Autophagy and Induces Exosome-Mediated Paracrine Senescence via Regulating mTOR/TFE3</t>
  </si>
  <si>
    <t>Zheng K, Ma J, Wang Y, He Z, Deng K.</t>
  </si>
  <si>
    <t>Mol Nutr Food Res. 2020 Jul;64(14):e1901231. doi: 10.1002/mnfr.201901231. Epub 2020 Jun 10.</t>
  </si>
  <si>
    <t>Zheng K</t>
  </si>
  <si>
    <t>10.1002/mnfr.201901231</t>
  </si>
  <si>
    <t>microRNA as a systemic intervention in the specific breast cancer subtypes with C-MYC impacts; introducing subtype-based appraisal tool</t>
  </si>
  <si>
    <t>Pourteimoor V, Paryan M, Mohammadi-Yeganeh S.</t>
  </si>
  <si>
    <t>J Cell Physiol. 2018 Aug;233(8):5655-5669. doi: 10.1002/jcp.26399. Epub 2018 Feb 27.</t>
  </si>
  <si>
    <t>Pourteimoor V</t>
  </si>
  <si>
    <t>10.1002/jcp.26399</t>
  </si>
  <si>
    <t>Targets, pitfalls and reference materials for liquid biopsy tests in cancer diagnostics</t>
  </si>
  <si>
    <t>Geeurickx E, Hendrix A.</t>
  </si>
  <si>
    <t>Mol Aspects Med. 2020 Apr;72:100828. doi: 10.1016/j.mam.2019.10.005. Epub 2019 Nov 8.</t>
  </si>
  <si>
    <t>Geeurickx E</t>
  </si>
  <si>
    <t>10.1016/j.mam.2019.10.005</t>
  </si>
  <si>
    <t>Increased IgG on cell-derived plasma microparticles in systemic lupus erythematosus is associated with autoantibodies and complement activation</t>
  </si>
  <si>
    <t>Nielsen CT, Østergaard O, Stener L, Iversen LV, Truedsson L, Gullstrand B, Jacobsen S, Heegaard NH.</t>
  </si>
  <si>
    <t>Arthritis Rheum. 2012 Apr;64(4):1227-36. doi: 10.1002/art.34381. Epub 2012 Jan 11.</t>
  </si>
  <si>
    <t>Nielsen CT</t>
  </si>
  <si>
    <t>Arthritis Rheum</t>
  </si>
  <si>
    <t>10.1002/art.34381</t>
  </si>
  <si>
    <t>Exosomal circRNA derived from gastric tumor promotes white adipose browning by targeting the miR-133/PRDM16 pathway</t>
  </si>
  <si>
    <t>Zhang H, Zhu L, Bai M, Liu Y, Zhan Y, Deng T, Yang H, Sun W, Wang X, Zhu K, Fan Q, Li J, Ying G, Ba Y.</t>
  </si>
  <si>
    <t>Int J Cancer. 2019 May 15;144(10):2501-2515. doi: 10.1002/ijc.31977. Epub 2019 Jan 4.</t>
  </si>
  <si>
    <t>Int J Cancer</t>
  </si>
  <si>
    <t>10.1002/ijc.31977</t>
  </si>
  <si>
    <t>Garnier D, Meehan B, Kislinger T, Daniel P, Sinha A, Abdulkarim B, Nakano I, Rak J.</t>
  </si>
  <si>
    <t>Neuro Oncol. 2018 Jan 22;20(2):236-248. doi: 10.1093/neuonc/nox142.</t>
  </si>
  <si>
    <t>Garnier D</t>
  </si>
  <si>
    <t>PMC5777501</t>
  </si>
  <si>
    <t>Diabetic nephropathy induces changes in the proteome of human urinary exosomes as revealed by label-free comparative analysis</t>
  </si>
  <si>
    <t>Zubiri I, Posada-Ayala M, Sanz-Maroto A, Calvo E, Martin-Lorenzo M, Gonzalez-Calero L, de la Cuesta F, Lopez JA, Fernandez-Fernandez B, Ortiz A, Vivanco F, Alvarez-Llamas G.</t>
  </si>
  <si>
    <t>J Proteomics. 2014 Jan 16;96:92-102. doi: 10.1016/j.jprot.2013.10.037. Epub 2013 Nov 7.</t>
  </si>
  <si>
    <t>Zubiri I</t>
  </si>
  <si>
    <t>J Proteomics</t>
  </si>
  <si>
    <t>10.1016/j.jprot.2013.10.037</t>
  </si>
  <si>
    <t>Gliomas Interact with Non-glioma Brain Cells via Extracellular Vesicles</t>
  </si>
  <si>
    <t>Gao X, Zhang Z, Mashimo T, Shen B, Nyagilo J, Wang H, Wang Y, Liu Z, Mulgaonkar A, Hu XL, Piccirillo SGM, Eskiocak U, Davé DP, Qin S, Yang Y, Sun X, Fu YX, Zong H, Sun W, Bachoo RM, Ge WP.</t>
  </si>
  <si>
    <t>Cell Rep. 2020 Feb 25;30(8):2489-2500.e5. doi: 10.1016/j.celrep.2020.01.089.</t>
  </si>
  <si>
    <t>10.1016/j.celrep.2020.01.089</t>
  </si>
  <si>
    <t>Proinflammatory Stimulation of Toll-Like Receptor 9 with High Dose CpG ODN 1826 Impairs Endothelial Regeneration and Promotes Atherosclerosis in Mice</t>
  </si>
  <si>
    <t>Krogmann AO, Lüsebrink E, Steinmetz M, Asdonk T, Lahrmann C, Lütjohann D, Nickenig G, Zimmer S.</t>
  </si>
  <si>
    <t>PLoS One. 2016 Jan 11;11(1):e0146326. doi: 10.1371/journal.pone.0146326. eCollection 2016.</t>
  </si>
  <si>
    <t>Krogmann AO</t>
  </si>
  <si>
    <t>PMC4709087</t>
  </si>
  <si>
    <t>10.1371/journal.pone.0146326</t>
  </si>
  <si>
    <t>Abe T, Nakashima C, Sato A, Harada Y, Sueoka E, Kimura S, Kawaguchi A, Sueoka-Aragane N.</t>
  </si>
  <si>
    <t>PLoS One. 2020 Jul 7;15(7):e0235611. doi: 10.1371/journal.pone.0235611. eCollection 2020.</t>
  </si>
  <si>
    <t>Abe T</t>
  </si>
  <si>
    <t>PMC7340299</t>
  </si>
  <si>
    <t>10.1371/journal.pone.0235611</t>
  </si>
  <si>
    <t>Qiu B, Xu X, Yi P, Hao Y.</t>
  </si>
  <si>
    <t>J Cell Mol Med. 2020 Sep;24(18):10855-10865. doi: 10.1111/jcmm.15714. Epub 2020 Aug 9.</t>
  </si>
  <si>
    <t>Qiu B</t>
  </si>
  <si>
    <t>PMC7521270</t>
  </si>
  <si>
    <t>Rabas N, Palmer S, Mitchell L, Ismail S, Gohlke A, Riley JS, Tait SWG, Gammage P, Soares LL, Macpherson IR, Norman JC.</t>
  </si>
  <si>
    <t>J Cell Biol. 2021 Dec 6;220(12):e202006049. doi: 10.1083/jcb.202006049. Epub 2021 Oct 8.</t>
  </si>
  <si>
    <t>Rabas N</t>
  </si>
  <si>
    <t>PMC8641410</t>
  </si>
  <si>
    <t>Vignesh R, Sjölander A, Venkatraman G, Rayala SK, Aradhyam GK.</t>
  </si>
  <si>
    <t>Biochem J. 2021 Jun 25;478(12):2265-2283. doi: 10.1042/BCJ20210016.</t>
  </si>
  <si>
    <t>Vignesh R</t>
  </si>
  <si>
    <t>Hsp70 binds to PrPC in the process of PrPC release via exosomes from THP-1 monocytes</t>
  </si>
  <si>
    <t>Wang GH, Zhou XM, Bai Y, Yin XM, Yang LF, Zhao D.</t>
  </si>
  <si>
    <t>Cell Biol Int. 2011 Jun;35(6):553-8. doi: 10.1042/CBI20090391.</t>
  </si>
  <si>
    <t>Wang GH</t>
  </si>
  <si>
    <t>10.1042/CBI20090391</t>
  </si>
  <si>
    <t>Eslami-S Z, Cortés-Hernández LE, Cayrefourcq L, Alix-Panabières C.</t>
  </si>
  <si>
    <t>Cold Spring Harb Perspect Med. 2020 Jun 1;10(6):a037333. doi: 10.1101/cshperspect.a037333.</t>
  </si>
  <si>
    <t>Eslami-S Z</t>
  </si>
  <si>
    <t>PMC7263091</t>
  </si>
  <si>
    <t>Acoustofluidic Salivary Exosome Isolation: A Liquid Biopsy Compatible Approach for Human Papillomavirus-Associated Oropharyngeal Cancer Detection</t>
  </si>
  <si>
    <t>Wang Z, Li F, Rufo J, Chen C, Yang S, Li L, Zhang J, Cheng J, Kim Y, Wu M, Abemayor E, Tu M, Chia D, Spruce R, Batis N, Mehanna H, Wong DTW, Huang TJ.</t>
  </si>
  <si>
    <t>J Mol Diagn. 2020 Jan;22(1):50-59. doi: 10.1016/j.jmoldx.2019.08.004.</t>
  </si>
  <si>
    <t>J Mol Diagn</t>
  </si>
  <si>
    <t>PMC6943372</t>
  </si>
  <si>
    <t>Extracellular vesicles in gastrointestinal cancer in conjunction with microbiota: On the border of Kingdoms</t>
  </si>
  <si>
    <t>Barteneva NS, Baiken Y, Fasler-Kan E, Alibek K, Wang S, Maltsev N, Ponomarev ED, Sautbayeva Z, Kauanova S, Moore A, Beglinger C, Vorobjev IA.</t>
  </si>
  <si>
    <t>Biochim Biophys Acta Rev Cancer. 2017 Dec;1868(2):372-393. doi: 10.1016/j.bbcan.2017.06.005. Epub 2017 Jun 29.</t>
  </si>
  <si>
    <t>10.1016/j.bbcan.2017.06.005</t>
  </si>
  <si>
    <t>Current Advances and Future Perspectives of Cerebrospinal Fluid Biopsy in Midline Brain Malignancies</t>
  </si>
  <si>
    <t>Pan Y, Long W, Liu Q.</t>
  </si>
  <si>
    <t>Curr Treat Options Oncol. 2019 Nov 29;20(12):88. doi: 10.1007/s11864-019-0689-3.</t>
  </si>
  <si>
    <t>Pan Y</t>
  </si>
  <si>
    <t>Curr Treat Options Oncol</t>
  </si>
  <si>
    <t>10.1007/s11864-019-0689-3</t>
  </si>
  <si>
    <t>Self-DNA Sensing Fuels HIV-1-Associated Inflammation</t>
  </si>
  <si>
    <t>Heil M, Brockmeyer NH.</t>
  </si>
  <si>
    <t>Trends Mol Med. 2019 Nov;25(11):941-954. doi: 10.1016/j.molmed.2019.06.004. Epub 2019 Jul 9.</t>
  </si>
  <si>
    <t>Heil M</t>
  </si>
  <si>
    <t>Trends Mol Med</t>
  </si>
  <si>
    <t>10.1016/j.molmed.2019.06.004</t>
  </si>
  <si>
    <t>The tumor suppressor PTEN is exported in exosomes and has phosphatase activity in recipient cells</t>
  </si>
  <si>
    <t>Putz U, Howitt J, Doan A, Goh CP, Low LH, Silke J, Tan SS.</t>
  </si>
  <si>
    <t>Sci Signal. 2012 Sep 25;5(243):ra70. doi: 10.1126/scisignal.2003084.</t>
  </si>
  <si>
    <t>Putz U</t>
  </si>
  <si>
    <t>Sci Signal</t>
  </si>
  <si>
    <t>McAndrews KM, Che SPY, LeBleu VS, Kalluri R.</t>
  </si>
  <si>
    <t>J Biol Chem. 2021 Jan-Jun;296:100523. doi: 10.1016/j.jbc.2021.100523. Epub 2021 Mar 9.</t>
  </si>
  <si>
    <t>McAndrews KM</t>
  </si>
  <si>
    <t>PMC8042450</t>
  </si>
  <si>
    <t>Cationic microparticle [poly(D,L-lactide-co-glycolide)]-coated DNA vaccination induces a long-term immune response against foot and mouth disease in guinea pigs</t>
  </si>
  <si>
    <t>Reddy KS, Rashmi BR, Dechamma HJ, Gopalakrishna S, Banumathi N, Suryanarayana VV, Reddy GR.</t>
  </si>
  <si>
    <t>J Gene Med. 2012 May;14(5):348-52. doi: 10.1002/jgm.2622.</t>
  </si>
  <si>
    <t>Reddy KS</t>
  </si>
  <si>
    <t>J Gene Med</t>
  </si>
  <si>
    <t>10.1002/jgm.2622</t>
  </si>
  <si>
    <t>Progenitor function in self-renewing human epidermis is maintained by the exosome</t>
  </si>
  <si>
    <t>Mistry DS, Chen Y, Sen GL.</t>
  </si>
  <si>
    <t>Cell Stem Cell. 2012 Jul 6;11(1):127-35. doi: 10.1016/j.stem.2012.04.022.</t>
  </si>
  <si>
    <t>Mistry DS</t>
  </si>
  <si>
    <t>Cell Stem Cell</t>
  </si>
  <si>
    <t>PMC3392610</t>
  </si>
  <si>
    <t>NIHMS377252</t>
  </si>
  <si>
    <t>10.1016/j.stem.2012.04.022</t>
  </si>
  <si>
    <t>Neuberger EWI, Hillen B, Mayr K, Simon P, Krämer-Albers EM, Brahmer A.</t>
  </si>
  <si>
    <t>Genes (Basel). 2021 Apr 2;12(4):522. doi: 10.3390/genes12040522.</t>
  </si>
  <si>
    <t>Neuberger EWI</t>
  </si>
  <si>
    <t>PMC8065814</t>
  </si>
  <si>
    <t>Utilising extracellular vesicles for early cancer diagnostics: benefits, challenges and recommendations for the future</t>
  </si>
  <si>
    <t>Pink RC, Beaman EM, Samuel P, Brooks SA, Carter DRF.</t>
  </si>
  <si>
    <t>Br J Cancer. 2022 Feb;126(3):323-330. doi: 10.1038/s41416-021-01668-4. Epub 2022 Jan 10.</t>
  </si>
  <si>
    <t>Pink RC</t>
  </si>
  <si>
    <t>PMC8810954</t>
  </si>
  <si>
    <t>10.1038/s41416-021-01668-4</t>
  </si>
  <si>
    <t>Isolation of circulating microRNAs from microvesicles found in human plasma</t>
  </si>
  <si>
    <t>Quackenbush JF, Cassidy PB, Pfeffer LM, Boucher KM, Hawkes JE, Pfeffer SR, Kopelovich L, Leachman SA.</t>
  </si>
  <si>
    <t>Methods Mol Biol. 2014;1102:641-53. doi: 10.1007/978-1-62703-727-3_34.</t>
  </si>
  <si>
    <t>Quackenbush JF</t>
  </si>
  <si>
    <t>10.1007/978-1-62703-727-3_34</t>
  </si>
  <si>
    <t>The roles of small extracellular vesicles in lung cancer: Molecular pathology, mechanisms, diagnostics, and therapeutics</t>
  </si>
  <si>
    <t>Liu Y, Xia Y, Smollar J, Mao W, Wan Y.</t>
  </si>
  <si>
    <t>Biochim Biophys Acta Rev Cancer. 2021 Aug;1876(1):188539. doi: 10.1016/j.bbcan.2021.188539. Epub 2021 Apr 20.</t>
  </si>
  <si>
    <t>10.1016/j.bbcan.2021.188539</t>
  </si>
  <si>
    <t>Jeyaram A, Lamichhane TN, Wang S, Zou L, Dahal E, Kronstadt SM, Levy D, Parajuli B, Knudsen DR, Chao W, Jay SM.</t>
  </si>
  <si>
    <t>Mol Ther. 2020 Mar 4;28(3):975-985. doi: 10.1016/j.ymthe.2019.12.007. Epub 2019 Dec 24.</t>
  </si>
  <si>
    <t>Jeyaram A</t>
  </si>
  <si>
    <t>PMC7054713</t>
  </si>
  <si>
    <t>Weiss C, Kornicka-Grabowska K, Mularczyk M, Siwinska N, Marycz K.</t>
  </si>
  <si>
    <t>Stem Cell Rev Rep. 2020 Dec;16(6):1343-1355. doi: 10.1007/s12015-020-10035-4.</t>
  </si>
  <si>
    <t>Weiss C</t>
  </si>
  <si>
    <t>Stem Cell Rev Rep</t>
  </si>
  <si>
    <t>PMC7667134</t>
  </si>
  <si>
    <t>Extracellular Vesicles in NAFLD/ALD: From Pathobiology to Therapy</t>
  </si>
  <si>
    <t>Hernández A, Arab JP, Reyes D, Lapitz A, Moshage H, Bañales JM, Arrese M.</t>
  </si>
  <si>
    <t>Cells. 2020 Mar 27;9(4):817. doi: 10.3390/cells9040817.</t>
  </si>
  <si>
    <t>Hernández A</t>
  </si>
  <si>
    <t>PMC7226735</t>
  </si>
  <si>
    <t>10.3390/cells9040817</t>
  </si>
  <si>
    <t>Achreja A, Meurs N, Nagrath D.</t>
  </si>
  <si>
    <t>Methods Mol Biol. 2020;2088:205-221. doi: 10.1007/978-1-0716-0159-4_10.</t>
  </si>
  <si>
    <t>Achreja A</t>
  </si>
  <si>
    <t>PMC7387122</t>
  </si>
  <si>
    <t>NIHMS1607650</t>
  </si>
  <si>
    <t>Erkan EP, Saydam O.</t>
  </si>
  <si>
    <t>Curr Cancer Drug Targets. 2016;16(1):34-42. doi: 10.2174/1568009615666150923115439.</t>
  </si>
  <si>
    <t>Erkan EP</t>
  </si>
  <si>
    <t>Curr Cancer Drug Targets</t>
  </si>
  <si>
    <t>Wu D, Yan J, Shen X, Sun Y, Thulin M, Cai Y, Wik L, Shen Q, Oelrich J, Qian X, Dubois KL, Ronquist KG, Nilsson M, Landegren U, Kamali-Moghaddam M.</t>
  </si>
  <si>
    <t>Nat Commun. 2019 Aug 26;10(1):3854. doi: 10.1038/s41467-019-11486-1.</t>
  </si>
  <si>
    <t>Wu D</t>
  </si>
  <si>
    <t>PMC6710248</t>
  </si>
  <si>
    <t>San Lucas FA, Allenson K, Bernard V, Castillo J, Kim DU, Ellis K, Ehli EA, Davies GE, Petersen JL, Li D, Wolff R, Katz M, Varadhachary G, Wistuba I, Maitra A, Alvarez H.</t>
  </si>
  <si>
    <t>Ann Oncol. 2016 Apr;27(4):635-41. doi: 10.1093/annonc/mdv604. Epub 2015 Dec 17.</t>
  </si>
  <si>
    <t>San Lucas FA</t>
  </si>
  <si>
    <t>PMC4803451</t>
  </si>
  <si>
    <t>[Glycosyl-phosphatidylinositol-anchored interleukin-2 expressed on tumor-derived exosomes induces anti-tumor immune response]</t>
  </si>
  <si>
    <t>Zhang JM, Wu XH, Zhang X, Zhang Y, Luo CL.</t>
  </si>
  <si>
    <t>Zhonghua Zhong Liu Za Zhi. 2011 Aug;33(8):564-9.</t>
  </si>
  <si>
    <t>Zhang JM</t>
  </si>
  <si>
    <t>Carolis S, Pellegrini A, Santini D, Ceccarelli C, De Leo A, Alessandrini F, Arienti C, Pignatta S, Tesei A, Mantovani V, Zamagni C, Taffurelli M, Sansone P, Bonafé M, Cricca M.</t>
  </si>
  <si>
    <t>Future Microbiol. 2018 Feb;13:187-194. doi: 10.2217/fmb-2017-0145. Epub 2017 Oct 4.</t>
  </si>
  <si>
    <t>Carolis S</t>
  </si>
  <si>
    <t>Future Microbiol</t>
  </si>
  <si>
    <t>Strategies for the use of Extracellular Vesicles for the Delivery of Therapeutics</t>
  </si>
  <si>
    <t>Sil S, Dagur RS, Liao K, Peeples ES, Hu G, Periyasamy P, Buch S.</t>
  </si>
  <si>
    <t>J Neuroimmune Pharmacol. 2020 Sep;15(3):422-442. doi: 10.1007/s11481-019-09873-y. Epub 2019 Aug 27.</t>
  </si>
  <si>
    <t>Sil S</t>
  </si>
  <si>
    <t>PMC7044028</t>
  </si>
  <si>
    <t>NIHMS1055567</t>
  </si>
  <si>
    <t>10.1007/s11481-019-09873-y</t>
  </si>
  <si>
    <t>The nuclear exosome is active and important during budding yeast meiosis</t>
  </si>
  <si>
    <t>Frenk S, Oxley D, Houseley J.</t>
  </si>
  <si>
    <t>PLoS One. 2014 Sep 11;9(9):e107648. doi: 10.1371/journal.pone.0107648. eCollection 2014.</t>
  </si>
  <si>
    <t>Frenk S</t>
  </si>
  <si>
    <t>PMC4161446</t>
  </si>
  <si>
    <t>10.1371/journal.pone.0107648</t>
  </si>
  <si>
    <t>Choi EB, Hong SW, Kim DK, Jeon SG, Kim KR, Cho SH, Gho YS, Jee YK, Kim YK.</t>
  </si>
  <si>
    <t>Allergy. 2014 Apr;69(4):517-26. doi: 10.1111/all.12374.</t>
  </si>
  <si>
    <t>Choi EB</t>
  </si>
  <si>
    <t>In silico identification of plant miRNAs in mammalian breast milk exosomes--a small step forward?</t>
  </si>
  <si>
    <t>Lukasik A, Zielenkiewicz P.</t>
  </si>
  <si>
    <t>PLoS One. 2014 Jun 16;9(6):e99963. doi: 10.1371/journal.pone.0099963. eCollection 2014.</t>
  </si>
  <si>
    <t>Lukasik A</t>
  </si>
  <si>
    <t>PMC4059707</t>
  </si>
  <si>
    <t>10.1371/journal.pone.0099963</t>
  </si>
  <si>
    <t>Schneegans S, Lück L, Besler K, Bluhm L, Stadler JC, Staub J, Greinert R, Volkmer B, Kubista M, Gebhardt C, Sartori A, Irwin D, Serkkola E, Af Hällström T, Lianidou E, Sprenger-Haussels M, Hussong M, Mohr P, Schneider SW, Shaffer J, Pantel K, Wikman H.</t>
  </si>
  <si>
    <t>Mol Oncol. 2020 May;14(5):1001-1015. doi: 10.1002/1878-0261.12669. Epub 2020 Apr 4.</t>
  </si>
  <si>
    <t>Schneegans S</t>
  </si>
  <si>
    <t>PMC7191195</t>
  </si>
  <si>
    <t>Induction of HIF-1α by HIV-1 Infection in CD4(+) T Cells Promotes Viral Replication and Drives Extracellular Vesicle-Mediated Inflammation</t>
  </si>
  <si>
    <t>Duette G, Pereyra Gerber P, Rubione J, Perez PS, Landay AL, Crowe SM, Liao Z, Witwer KW, Holgado MP, Salido J, Geffner J, Sued O, Palmer CS, Ostrowski M.</t>
  </si>
  <si>
    <t>mBio. 2018 Sep 11;9(5):e00757-18. doi: 10.1128/mBio.00757-18.</t>
  </si>
  <si>
    <t>Duette G</t>
  </si>
  <si>
    <t>mBio</t>
  </si>
  <si>
    <t>PMC6134101</t>
  </si>
  <si>
    <t>Tri-snRNP-associated proteins interact with subunits of the TRAMP and nuclear exosome complexes, linking RNA decay and pre-mRNA splicing</t>
  </si>
  <si>
    <t>Nag A, Steitz JA.</t>
  </si>
  <si>
    <t>RNA Biol. 2012 Mar;9(3):334-42. doi: 10.4161/rna.19431. Epub 2012 Mar 1.</t>
  </si>
  <si>
    <t>Nag A</t>
  </si>
  <si>
    <t>PMC3384585</t>
  </si>
  <si>
    <t>10.4161/rna.19431</t>
  </si>
  <si>
    <t>Stem cell-derived mitochondria transplantation: A promising therapy for mitochondrial encephalomyopathy</t>
  </si>
  <si>
    <t>Liu K, Zhou Z, Pan M, Zhang L.</t>
  </si>
  <si>
    <t>CNS Neurosci Ther. 2021 Jul;27(7):733-742. doi: 10.1111/cns.13618. Epub 2021 Feb 3.</t>
  </si>
  <si>
    <t>Liu K</t>
  </si>
  <si>
    <t>CNS Neurosci Ther</t>
  </si>
  <si>
    <t>PMC8193690</t>
  </si>
  <si>
    <t>10.1111/cns.13618</t>
  </si>
  <si>
    <t>Pulze L, Bassani B, Gini E, D'Antona P, Grimaldi A, Luini A, Marino F, Noonan DM, Tettamanti G, Valvassori R, de Eguileor M.</t>
  </si>
  <si>
    <t>Clin Exp Immunol. 2016 Mar;183(3):469-79. doi: 10.1111/cei.12730. Epub 2015 Dec 8.</t>
  </si>
  <si>
    <t>Pulze L</t>
  </si>
  <si>
    <t>PMC4750596</t>
  </si>
  <si>
    <t>Ebrahimkhani S, Vafaee F, Young PE, Hur SSJ, Hawke S, Devenney E, Beadnall H, Barnett MH, Suter CM, Buckland ME.</t>
  </si>
  <si>
    <t>Sci Rep. 2017 Oct 30;7(1):14293. doi: 10.1038/s41598-017-14301-3.</t>
  </si>
  <si>
    <t>Ebrahimkhani S</t>
  </si>
  <si>
    <t>PMC5662562</t>
  </si>
  <si>
    <t>Genetic Mutation and Exosome Signature of Human Papilloma Virus Associated Oropharyngeal Cancer</t>
  </si>
  <si>
    <t>Kannan A, Hertweck KL, Philley JV, Wells RB, Dasgupta S.</t>
  </si>
  <si>
    <t>Sci Rep. 2017 Apr 6;7:46102. doi: 10.1038/srep46102.</t>
  </si>
  <si>
    <t>Kannan A</t>
  </si>
  <si>
    <t>PMC5382706</t>
  </si>
  <si>
    <t>10.1038/srep46102</t>
  </si>
  <si>
    <t>Myeloid Responses to Extracellular Vesicles in Health and Disease</t>
  </si>
  <si>
    <t>Makhijani P, McGaha TL.</t>
  </si>
  <si>
    <t>Front Immunol. 2022 Mar 7;13:818538. doi: 10.3389/fimmu.2022.818538. eCollection 2022.</t>
  </si>
  <si>
    <t>Makhijani P</t>
  </si>
  <si>
    <t>PMC8934876</t>
  </si>
  <si>
    <t>10.3389/fimmu.2022.818538</t>
  </si>
  <si>
    <t>Reshaping the tumor microenvironment: extracellular vesicles as messengers of cancer cells</t>
  </si>
  <si>
    <t>Bhatta B, Cooks T.</t>
  </si>
  <si>
    <t>Carcinogenesis. 2020 Nov 13;41(11):1461-1470. doi: 10.1093/carcin/bgaa107.</t>
  </si>
  <si>
    <t>Bhatta B</t>
  </si>
  <si>
    <t>Carcinogenesis</t>
  </si>
  <si>
    <t>10.1093/carcin/bgaa107</t>
  </si>
  <si>
    <t>Exosomes in chronic inflammatory skin diseases and skin tumors</t>
  </si>
  <si>
    <t>Wang WM, Wu C, Jin HZ.</t>
  </si>
  <si>
    <t>Exp Dermatol. 2019 Mar;28(3):213-218. doi: 10.1111/exd.13857.</t>
  </si>
  <si>
    <t>Wang WM</t>
  </si>
  <si>
    <t>Exp Dermatol</t>
  </si>
  <si>
    <t>10.1111/exd.13857</t>
  </si>
  <si>
    <t>Jeon H, Lee J, Lee S, Kang SK, Park SJ, Yoo SM, Lee MS.</t>
  </si>
  <si>
    <t>Front Immunol. 2019 Apr 24;10:876. doi: 10.3389/fimmu.2019.00876. eCollection 2019.</t>
  </si>
  <si>
    <t>PMC6491682</t>
  </si>
  <si>
    <t>Jiang MJ, Chen YY, Dai JJ, Gu DN, Mei Z, Liu FR, Huang Q, Tian L.</t>
  </si>
  <si>
    <t>Mol Cancer. 2020 Mar 30;19(1):68. doi: 10.1186/s12943-020-01178-6.</t>
  </si>
  <si>
    <t>Jiang MJ</t>
  </si>
  <si>
    <t>PMC7104536</t>
  </si>
  <si>
    <t>Ben-Hur S, Biton M, Regev-Rudzki N.</t>
  </si>
  <si>
    <t>Proteomics. 2019 Jan;19(1-2):e1800170. doi: 10.1002/pmic.201800170. Epub 2018 Nov 30.</t>
  </si>
  <si>
    <t>Ben-Hur S</t>
  </si>
  <si>
    <t>McAndrews KM, Xiao F, Chronopoulos A, LeBleu VS, Kugeratski FG, Kalluri R.</t>
  </si>
  <si>
    <t>Life Sci Alliance. 2021 Jul 19;4(9):e202000875. doi: 10.26508/lsa.202000875. Print 2021 Sep.</t>
  </si>
  <si>
    <t>Life Sci Alliance</t>
  </si>
  <si>
    <t>PMC8321670</t>
  </si>
  <si>
    <t>Liquid biopsy in lung cancer: significance in diagnostics, prediction, and treatment monitoring</t>
  </si>
  <si>
    <t>Li W, Liu JB, Hou LK, Yu F, Zhang J, Wu W, Tang XM, Sun F, Lu HM, Deng J, Bai J, Li J, Wu CY, Lin QL, Lv ZW, Wang GR, Jiang GX, Ma YS, Fu D.</t>
  </si>
  <si>
    <t>Mol Cancer. 2022 Jan 20;21(1):25. doi: 10.1186/s12943-022-01505-z.</t>
  </si>
  <si>
    <t>Li W</t>
  </si>
  <si>
    <t>PMC8772097</t>
  </si>
  <si>
    <t>10.1186/s12943-022-01505-z</t>
  </si>
  <si>
    <t>Pleomorphic bacteria-like structures in human blood represent non-living membrane vesicles and protein particles</t>
  </si>
  <si>
    <t>Martel J, Wu CY, Huang PR, Cheng WY, Young JD.</t>
  </si>
  <si>
    <t>Sci Rep. 2017 Sep 6;7(1):10650. doi: 10.1038/s41598-017-10479-8.</t>
  </si>
  <si>
    <t>Martel J</t>
  </si>
  <si>
    <t>PMC5587737</t>
  </si>
  <si>
    <t>10.1038/s41598-017-10479-8</t>
  </si>
  <si>
    <t>Current and emerging biomarkers in tumors of the central nervous system: Possible diagnostic, prognostic and therapeutic applications</t>
  </si>
  <si>
    <t>Khan IN, Ullah N, Hussein D, Saini KS.</t>
  </si>
  <si>
    <t>Semin Cancer Biol. 2018 Oct;52(Pt 1):85-102. doi: 10.1016/j.semcancer.2017.07.004. Epub 2017 Jul 31.</t>
  </si>
  <si>
    <t>Khan IN</t>
  </si>
  <si>
    <t>Semin Cancer Biol</t>
  </si>
  <si>
    <t>10.1016/j.semcancer.2017.07.004</t>
  </si>
  <si>
    <t>Hemin binding protein C is found in outer membrane vesicles and protects Bartonella henselae against toxic concentrations of hemin</t>
  </si>
  <si>
    <t>Roden JA, Wells DH, Chomel BB, Kasten RW, Koehler JE.</t>
  </si>
  <si>
    <t>Infect Immun. 2012 Mar;80(3):929-42. doi: 10.1128/IAI.05769-11. Epub 2012 Jan 9.</t>
  </si>
  <si>
    <t>Roden JA</t>
  </si>
  <si>
    <t>Infect Immun</t>
  </si>
  <si>
    <t>PMC3294634</t>
  </si>
  <si>
    <t>10.1128/IAI.05769-11</t>
  </si>
  <si>
    <t>Antisense RNA polymerase II divergent transcripts are P-TEFb dependent and substrates for the RNA exosome</t>
  </si>
  <si>
    <t>Flynn RA, Almada AE, Zamudio JR, Sharp PA.</t>
  </si>
  <si>
    <t>Proc Natl Acad Sci U S A. 2011 Jun 28;108(26):10460-5. doi: 10.1073/pnas.1106630108. Epub 2011 Jun 13.</t>
  </si>
  <si>
    <t>Flynn RA</t>
  </si>
  <si>
    <t>PMC3127934</t>
  </si>
  <si>
    <t>10.1073/pnas.1106630108</t>
  </si>
  <si>
    <t>Briand J, Garnier D, Nadaradjane A, Clément-Colmou K, Potiron V, Supiot S, Bougras-Cartron G, Frenel JS, Heymann D, Vallette FM, Cartron PF.</t>
  </si>
  <si>
    <t>Epigenomics. 2020 Mar;12(5):397-408. doi: 10.2217/epi-2019-0193. Epub 2020 Apr 8.</t>
  </si>
  <si>
    <t>Briand J</t>
  </si>
  <si>
    <t>Extracellular vesicles derived from mesenchymal stromal cells: a therapeutic option in respiratory diseases?</t>
  </si>
  <si>
    <t>Abreu SC, Weiss DJ, Rocco PR.</t>
  </si>
  <si>
    <t>Stem Cell Res Ther. 2016 Apr 14;7(1):53. doi: 10.1186/s13287-016-0317-0.</t>
  </si>
  <si>
    <t>Abreu SC</t>
  </si>
  <si>
    <t>PMC4831172</t>
  </si>
  <si>
    <t>10.1186/s13287-016-0317-0</t>
  </si>
  <si>
    <t>Chen F, Chu L, Li J, Shi Y, Xu B, Gu J, Yao X, Tian M, Yang X, Sun X.</t>
  </si>
  <si>
    <t>Thorac Cancer. 2020 Mar;11(3):570-580. doi: 10.1111/1759-7714.13295. Epub 2020 Jan 10.</t>
  </si>
  <si>
    <t>Chen F</t>
  </si>
  <si>
    <t>PMC7049507</t>
  </si>
  <si>
    <t>Cyclic Stretch Force Induces Periodontal Ligament Cells to Secrete Exosomes That Suppress IL-1β Production Through the Inhibition of the NF-κB Signaling Pathway in Macrophages</t>
  </si>
  <si>
    <t>Wang Z, Maruyama K, Sakisaka Y, Suzuki S, Tada H, Suto M, Saito M, Yamada S, Nemoto E.</t>
  </si>
  <si>
    <t>Front Immunol. 2019 Jun 20;10:1310. doi: 10.3389/fimmu.2019.01310. eCollection 2019.</t>
  </si>
  <si>
    <t>PMC6595474</t>
  </si>
  <si>
    <t>Ko J, Wang Y, Carlson JCT, Marquard A, Gungabeesoon J, Charest A, Weitz D, Pittet MJ, Weissleder R.</t>
  </si>
  <si>
    <t>Adv Biosyst. 2020 Dec;4(12):e1900307. doi: 10.1002/adbi.201900307. Epub 2020 Mar 12.</t>
  </si>
  <si>
    <t>Ko J</t>
  </si>
  <si>
    <t>Adv Biosyst</t>
  </si>
  <si>
    <t>PMC8491538</t>
  </si>
  <si>
    <t>NIHMS1743711</t>
  </si>
  <si>
    <t>Hayashi T, Lombaert IM, Hauser BR, Patel VN, Hoffman MP.</t>
  </si>
  <si>
    <t>Dev Cell. 2017 Jan 9;40(1):95-103. doi: 10.1016/j.devcel.2016.12.001. Epub 2016 Dec 29.</t>
  </si>
  <si>
    <t>PMC6720111</t>
  </si>
  <si>
    <t>NIHMS1046444</t>
  </si>
  <si>
    <t>Immunoregulatory Effects of Mitochondria Transferred by Extracellular Vesicles</t>
  </si>
  <si>
    <t>She Z, Xie M, Hun M, Abdirahman AS, Li C, Wu F, Luo S, Wan W, Wen C, Tian J.</t>
  </si>
  <si>
    <t>Front Immunol. 2021 Feb 9;11:628576. doi: 10.3389/fimmu.2020.628576. eCollection 2020.</t>
  </si>
  <si>
    <t>She Z</t>
  </si>
  <si>
    <t>PMC7900141</t>
  </si>
  <si>
    <t>10.3389/fimmu.2020.628576</t>
  </si>
  <si>
    <t>Kamyabi N, Abbasgholizadeh R, Maitra A, Ardekani A, Biswal SL, Grande-Allen KJ.</t>
  </si>
  <si>
    <t>Biomed Microdevices. 2020 Mar 11;22(2):23. doi: 10.1007/s10544-020-00483-7.</t>
  </si>
  <si>
    <t>Kamyabi N</t>
  </si>
  <si>
    <t>Biomed Microdevices</t>
  </si>
  <si>
    <t>Zeng A, Wei Z, Yan W, Yin J, Huang X, Zhou X, Li R, Shen F, Wu W, Wang X, You Y.</t>
  </si>
  <si>
    <t>Cancer Lett. 2018 Nov 1;436:10-21. doi: 10.1016/j.canlet.2018.08.004. Epub 2018 Aug 10.</t>
  </si>
  <si>
    <t>Zeng A</t>
  </si>
  <si>
    <t>Clinical Applications of Extracellular Vesicles in the Diagnosis and Treatment of Traumatic Brain Injury</t>
  </si>
  <si>
    <t>Beard K, Meaney DF, Issadore D.</t>
  </si>
  <si>
    <t>J Neurotrauma. 2020 Oct 1;37(19):2045-2056. doi: 10.1089/neu.2020.6990. Epub 2020 Jun 2.</t>
  </si>
  <si>
    <t>Beard K</t>
  </si>
  <si>
    <t>J Neurotrauma</t>
  </si>
  <si>
    <t>PMC7502684</t>
  </si>
  <si>
    <t>10.1089/neu.2020.6990</t>
  </si>
  <si>
    <t>The insights of Let-7 miRNAs in oncogenesis and stem cell potency</t>
  </si>
  <si>
    <t>Sun X, Liu J, Xu C, Tang SC, Ren H.</t>
  </si>
  <si>
    <t>J Cell Mol Med. 2016 Sep;20(9):1779-88. doi: 10.1111/jcmm.12861. Epub 2016 Apr 21.</t>
  </si>
  <si>
    <t>Sun X</t>
  </si>
  <si>
    <t>PMC4988292</t>
  </si>
  <si>
    <t>10.1111/jcmm.12861</t>
  </si>
  <si>
    <t>Li Y, Deng J, Han Z, Liu C, Tian F, Xu R, Han D, Zhang S, Sun J.</t>
  </si>
  <si>
    <t>J Am Chem Soc. 2021 Jan 27;143(3):1290-1295. doi: 10.1021/jacs.0c12016. Epub 2021 Jan 17.</t>
  </si>
  <si>
    <t>Extracellular vesicles and immunogenic stress in cancer</t>
  </si>
  <si>
    <t>Wu Q, Zhang H, Sun S, Wang L, Sun S.</t>
  </si>
  <si>
    <t>Cell Death Dis. 2021 Oct 1;12(10):894. doi: 10.1038/s41419-021-04171-z.</t>
  </si>
  <si>
    <t>Wu Q</t>
  </si>
  <si>
    <t>PMC8486873</t>
  </si>
  <si>
    <t>10.1038/s41419-021-04171-z</t>
  </si>
  <si>
    <t>The crosstalk of telomere dysfunction and inflammation through cell-free TERRA containing exosomes</t>
  </si>
  <si>
    <t>Wang Z, Lieberman PM.</t>
  </si>
  <si>
    <t>RNA Biol. 2016 Aug 2;13(8):690-5. doi: 10.1080/15476286.2016.1203503. Epub 2016 Jun 28.</t>
  </si>
  <si>
    <t>PMC4993293</t>
  </si>
  <si>
    <t>10.1080/15476286.2016.1203503</t>
  </si>
  <si>
    <t>Baseline serum exosome-derived miRNAs predict HBeAg seroconversion in chronic hepatitis B patients treated with peginterferon</t>
  </si>
  <si>
    <t>Hu Q, Wang Q, Zhang Y, Tao S, Zhang X, Liu X, Li X, Jiang X, Huang C, Xu W, Qi X, Chen L, Li Q, Huang Y.</t>
  </si>
  <si>
    <t>J Med Virol. 2021 Aug;93(8):4939-4948. doi: 10.1002/jmv.26916. Epub 2021 Mar 25.</t>
  </si>
  <si>
    <t>Hu Q</t>
  </si>
  <si>
    <t>J Med Virol</t>
  </si>
  <si>
    <t>10.1002/jmv.26916</t>
  </si>
  <si>
    <t>Balaj L, Atai NA, Chen W, Mu D, Tannous BA, Breakefield XO, Skog J, Maguire CA.</t>
  </si>
  <si>
    <t>Sci Rep. 2015 May 19;5:10266. doi: 10.1038/srep10266.</t>
  </si>
  <si>
    <t>Balaj L</t>
  </si>
  <si>
    <t>PMC4437317</t>
  </si>
  <si>
    <t>Chen X, Jia M, Liu L, Qiu X, Zhang H, Yu X, Gu W, Qing G, Li Q, Hu X, Wang R, Zhao X, Zhang L, Wang X, Durkan C, Wang N, Wang G, Luo Y.</t>
  </si>
  <si>
    <t>Small. 2020 Oct;16(40):e2002800. doi: 10.1002/smll.202002800. Epub 2020 Sep 2.</t>
  </si>
  <si>
    <t>Chen X</t>
  </si>
  <si>
    <t>Detection of Gram-negative bacterial outer membrane vesicles using DNA aptamers</t>
  </si>
  <si>
    <t>Shin HS, Gedi V, Kim JK, Lee DK.</t>
  </si>
  <si>
    <t>Sci Rep. 2019 Sep 11;9(1):13167. doi: 10.1038/s41598-019-49755-0.</t>
  </si>
  <si>
    <t>Shin HS</t>
  </si>
  <si>
    <t>PMC6739373</t>
  </si>
  <si>
    <t>10.1038/s41598-019-49755-0</t>
  </si>
  <si>
    <t>Galindo-Hernandez O, Gonzales-Vazquez C, Cortes-Reynosa P, Reyes-Uribe E, Chavez-Ocaña S, Reyes-Hernandez O, Sierra-Martinez M, Salazar EP.</t>
  </si>
  <si>
    <t>Tumour Biol. 2015 Dec;36(12):9649-59. doi: 10.1007/s13277-015-3711-9. Epub 2015 Jul 7.</t>
  </si>
  <si>
    <t>Monitoring Therapy Efficiency in Cancer through Extracellular Vesicles</t>
  </si>
  <si>
    <t>Stevic I, Buescher G, Ricklefs FL.</t>
  </si>
  <si>
    <t>Cells. 2020 Jan 6;9(1):130. doi: 10.3390/cells9010130.</t>
  </si>
  <si>
    <t>Stevic I</t>
  </si>
  <si>
    <t>PMC7017260</t>
  </si>
  <si>
    <t>10.3390/cells9010130</t>
  </si>
  <si>
    <t>Yu T, Wang X, Zhi T, Zhang J, Wang Y, Nie E, Zhou F, You Y, Liu N.</t>
  </si>
  <si>
    <t>Cancer Lett. 2018 Oct 1;433:210-220. doi: 10.1016/j.canlet.2018.06.041. Epub 2018 Jul 6.</t>
  </si>
  <si>
    <t>Yu T</t>
  </si>
  <si>
    <t>Cheng A, Choi D, Lora M, Shum-Tim D, Rak J, Colmegna I.</t>
  </si>
  <si>
    <t>Stem Cell Res Ther. 2020 Dec 14;11(1):539. doi: 10.1186/s13287-020-02050-6.</t>
  </si>
  <si>
    <t>Cheng A</t>
  </si>
  <si>
    <t>PMC7734842</t>
  </si>
  <si>
    <t>Li Z, Meng X, Wu P, Zha C, Han B, Li L, Sun N, Qi T, Qin J, Zhang Y, Tian K, Li S, Yang C, Ren L, Ming J, Wang P, Song Y, Jiang C, Cai J.</t>
  </si>
  <si>
    <t>Cancer Immunol Res. 2021 Dec;9(12):1383-1399. doi: 10.1158/2326-6066.CIR-21-0258. Epub 2021 Oct 19.</t>
  </si>
  <si>
    <t>Li Z</t>
  </si>
  <si>
    <t>The Role of Mesenchymal Stromal Cells-Derived Small Extracellular Vesicles in Diabetes and Its Chronic Complications</t>
  </si>
  <si>
    <t>Li FX, Lin X, Xu F, Shan SK, Guo B, Lei LM, Zheng MH, Wang Y, Xu QS, Yuan LQ.</t>
  </si>
  <si>
    <t>Front Endocrinol (Lausanne). 2021 Dec 20;12:780974. doi: 10.3389/fendo.2021.780974. eCollection 2021.</t>
  </si>
  <si>
    <t>Li FX</t>
  </si>
  <si>
    <t>Front Endocrinol (Lausanne)</t>
  </si>
  <si>
    <t>PMC8721875</t>
  </si>
  <si>
    <t>10.3389/fendo.2021.780974</t>
  </si>
  <si>
    <t>Munagala R, Aqil F, Jeyabalan J, Gupta RC.</t>
  </si>
  <si>
    <t>Cancer Lett. 2016 Feb 1;371(1):48-61. doi: 10.1016/j.canlet.2015.10.020. Epub 2015 Nov 18.</t>
  </si>
  <si>
    <t>Munagala R</t>
  </si>
  <si>
    <t>PMC4706492</t>
  </si>
  <si>
    <t>NIHMS739340</t>
  </si>
  <si>
    <t>Molecular basis for coordinating transcription termination with noncoding RNA degradation</t>
  </si>
  <si>
    <t>Tudek A, Porrua O, Kabzinski T, Lidschreiber M, Kubicek K, Fortova A, Lacroute F, Vanacova S, Cramer P, Stefl R, Libri D.</t>
  </si>
  <si>
    <t>Mol Cell. 2014 Aug 7;55(3):467-81. doi: 10.1016/j.molcel.2014.05.031. Epub 2014 Jul 24.</t>
  </si>
  <si>
    <t>Tudek A</t>
  </si>
  <si>
    <t>PMC4186968</t>
  </si>
  <si>
    <t>10.1016/j.molcel.2014.05.031</t>
  </si>
  <si>
    <t>Relationships between PROMPT and gene expression</t>
  </si>
  <si>
    <t>Lloret-Llinares M, Mapendano CK, Martlev LH, Lykke-Andersen S, Jensen TH.</t>
  </si>
  <si>
    <t>RNA Biol. 2016;13(1):6-14. doi: 10.1080/15476286.2015.1109769.</t>
  </si>
  <si>
    <t>Lloret-Llinares M</t>
  </si>
  <si>
    <t>PMC4829278</t>
  </si>
  <si>
    <t>10.1080/15476286.2015.1109769</t>
  </si>
  <si>
    <t>Wu Q, Wang H, Gong K, Shang J, Liu X, Wang F.</t>
  </si>
  <si>
    <t>Anal Chem. 2019 Aug 6;91(15):10172-10179. doi: 10.1021/acs.analchem.9b02181. Epub 2019 Jul 19.</t>
  </si>
  <si>
    <t>Mao W, Wen Y, Lei H, Lu R, Wang S, Wang Y, Chen R, Gu Y, Zhu L, Abhange KK, Quinn ZJ, Chen Y, Xue F, Zheng M, Wan Y.</t>
  </si>
  <si>
    <t>Anal Chem. 2019 Nov 5;91(21):13729-13736. doi: 10.1021/acs.analchem.9b03064. Epub 2019 Oct 15.</t>
  </si>
  <si>
    <t>Mao W</t>
  </si>
  <si>
    <t>Extracellular membrane vesicles in the three domains of life and beyond</t>
  </si>
  <si>
    <t>Gill S, Catchpole R, Forterre P.</t>
  </si>
  <si>
    <t>FEMS Microbiol Rev. 2019 May 1;43(3):273-303. doi: 10.1093/femsre/fuy042.</t>
  </si>
  <si>
    <t>Gill S</t>
  </si>
  <si>
    <t>FEMS Microbiol Rev</t>
  </si>
  <si>
    <t>PMC6524685</t>
  </si>
  <si>
    <t>10.1093/femsre/fuy042</t>
  </si>
  <si>
    <t>A SUMO-dependent interaction between Senataxin and the exosome, disrupted in the neurodegenerative disease AOA2, targets the exosome to sites of transcription-induced DNA damage</t>
  </si>
  <si>
    <t>Richard P, Feng S, Manley JL.</t>
  </si>
  <si>
    <t>Genes Dev. 2013 Oct 15;27(20):2227-32. doi: 10.1101/gad.224923.113. Epub 2013 Oct 8.</t>
  </si>
  <si>
    <t>Richard P</t>
  </si>
  <si>
    <t>PMC3814643</t>
  </si>
  <si>
    <t>10.1101/gad.224923.113</t>
  </si>
  <si>
    <t>Release of extracellular vesicles containing small RNAs from the eggs of Schistosoma japonicum</t>
  </si>
  <si>
    <t>Zhu S, Wang S, Lin Y, Jiang P, Cui X, Wang X, Zhang Y, Pan W.</t>
  </si>
  <si>
    <t>Parasit Vectors. 2016 Nov 8;9(1):574. doi: 10.1186/s13071-016-1845-2.</t>
  </si>
  <si>
    <t>Zhu S</t>
  </si>
  <si>
    <t>Parasit Vectors</t>
  </si>
  <si>
    <t>PMC5101684</t>
  </si>
  <si>
    <t>10.1186/s13071-016-1845-2</t>
  </si>
  <si>
    <t>Dogrammatzis C, Saleh S, Deighan C, Kalamvoki M.</t>
  </si>
  <si>
    <t>J Virol. 2021 Feb 24;95(6):e02357-20. doi: 10.1128/JVI.02357-20. Print 2021 Feb 24.</t>
  </si>
  <si>
    <t>Dogrammatzis C</t>
  </si>
  <si>
    <t>PMC8094966</t>
  </si>
  <si>
    <t>Metagenome analysis using serum extracellular vesicles identified distinct microbiota in asthmatics</t>
  </si>
  <si>
    <t>Lee JH, Choi JP, Yang J, Won HK, Park CS, Song WJ, Kwon HS, Kim TB, Kim YK, Park HS, Cho YS.</t>
  </si>
  <si>
    <t>Sci Rep. 2020 Sep 15;10(1):15125. doi: 10.1038/s41598-020-72242-w.</t>
  </si>
  <si>
    <t>Lee JH</t>
  </si>
  <si>
    <t>PMC7492258</t>
  </si>
  <si>
    <t>10.1038/s41598-020-72242-w</t>
  </si>
  <si>
    <t>Recent advances on the role of tumor exosomes in immunosuppression and disease progression</t>
  </si>
  <si>
    <t>Filipazzi P, Bürdek M, Villa A, Rivoltini L, Huber V.</t>
  </si>
  <si>
    <t>Semin Cancer Biol. 2012 Aug;22(4):342-9. doi: 10.1016/j.semcancer.2012.02.005. Epub 2012 Feb 19.</t>
  </si>
  <si>
    <t>Filipazzi P</t>
  </si>
  <si>
    <t>10.1016/j.semcancer.2012.02.005</t>
  </si>
  <si>
    <t>Zhang K, Yue Y, Wu S, Liu W, Shi J, Zhang Z.</t>
  </si>
  <si>
    <t>ACS Sens. 2019 May 24;4(5):1245-1251. doi: 10.1021/acssensors.9b00060. Epub 2019 Apr 29.</t>
  </si>
  <si>
    <t>Zhang K</t>
  </si>
  <si>
    <t>Cadonic IG, Ikert H, Craig PM.</t>
  </si>
  <si>
    <t>Comp Biochem Physiol Part D Genomics Proteomics. 2020 Jun;34:100661. doi: 10.1016/j.cbd.2020.100661. Epub 2020 Feb 4.</t>
  </si>
  <si>
    <t>Cadonic IG</t>
  </si>
  <si>
    <t>Comp Biochem Physiol Part D Genomics Proteomics</t>
  </si>
  <si>
    <t>Qambrani A, Rehman FU, Tanziela T, Shaikh S, Semcheddine F, Du T, Liu W, Jiang H, Wang X.</t>
  </si>
  <si>
    <t>Biomed Mater. 2021 Feb 25;16(2):025026. doi: 10.1088/1748-605X/abaaa2.</t>
  </si>
  <si>
    <t>Qambrani A</t>
  </si>
  <si>
    <t>Zhang Y, Huang M, Jiang L, Li T, Wang J, Zhao L, Zhou J.</t>
  </si>
  <si>
    <t>Biochem Biophys Res Commun. 2022 May 7;603:130-137. doi: 10.1016/j.bbrc.2022.03.006. Epub 2022 Mar 2.</t>
  </si>
  <si>
    <t>Natural-Killer-Derived Extracellular Vesicles: Immune Sensors and Interactors</t>
  </si>
  <si>
    <t>Federici C, Shahaj E, Cecchetti S, Camerini S, Casella M, Iessi E, Camisaschi C, Paolino G, Calvieri S, Ferro S, Cova A, Squarcina P, Bertuccini L, Iosi F, Huber V, Lugini L.</t>
  </si>
  <si>
    <t>Front Immunol. 2020 Mar 13;11:262. doi: 10.3389/fimmu.2020.00262. eCollection 2020.</t>
  </si>
  <si>
    <t>Federici C</t>
  </si>
  <si>
    <t>PMC7082405</t>
  </si>
  <si>
    <t>10.3389/fimmu.2020.00262</t>
  </si>
  <si>
    <t>Deschamps T, Kalamvoki M.</t>
  </si>
  <si>
    <t>J Virol. 2018 Aug 29;92(18):e01102-18. doi: 10.1128/JVI.01102-18. Print 2018 Sep 15.</t>
  </si>
  <si>
    <t>Deschamps T</t>
  </si>
  <si>
    <t>PMC6146713</t>
  </si>
  <si>
    <t>Tumor-Derived Extracellular Vesicles as a Novel Source of Protein Biomarkers for Cancer Diagnosis and Monitoring</t>
  </si>
  <si>
    <t>Ruhen O, Meehan K.</t>
  </si>
  <si>
    <t>Proteomics. 2019 Jan;19(1-2):e1800155. doi: 10.1002/pmic.201800155. Epub 2019 Jan 10.</t>
  </si>
  <si>
    <t>Ruhen O</t>
  </si>
  <si>
    <t>10.1002/pmic.201800155</t>
  </si>
  <si>
    <t>The DNA-binding protein HU is a molecular glue that attaches bacteria to extracellular DNA in biofilms</t>
  </si>
  <si>
    <t>Thakur B, Arora K, Gupta A, Guptasarma P.</t>
  </si>
  <si>
    <t>J Biol Chem. 2021 Jan-Jun;296:100532. doi: 10.1016/j.jbc.2021.100532. Epub 2021 Mar 11.</t>
  </si>
  <si>
    <t>Thakur B</t>
  </si>
  <si>
    <t>PMC8063757</t>
  </si>
  <si>
    <t>10.1016/j.jbc.2021.100532</t>
  </si>
  <si>
    <t>Shen W, Guo K, Adkins GB, Jiang Q, Liu Y, Sedano S, Duan Y, Yan W, Wang SE, Bergersen K, Worth D, Wilson EH, Zhong W.</t>
  </si>
  <si>
    <t>Angew Chem Int Ed Engl. 2018 Nov 26;57(48):15675-15680. doi: 10.1002/anie.201806901. Epub 2018 Oct 30.</t>
  </si>
  <si>
    <t>Shen W</t>
  </si>
  <si>
    <t>PMC6246790</t>
  </si>
  <si>
    <t>NIHMS993379</t>
  </si>
  <si>
    <t>Sterile inflammation of endothelial cell-derived apoptotic bodies is mediated by interleukin-1α</t>
  </si>
  <si>
    <t>Berda-Haddad Y, Robert S, Salers P, Zekraoui L, Farnarier C, Dinarello CA, Dignat-George F, Kaplanski G.</t>
  </si>
  <si>
    <t>Proc Natl Acad Sci U S A. 2011 Dec 20;108(51):20684-9. doi: 10.1073/pnas.1116848108. Epub 2011 Dec 5.</t>
  </si>
  <si>
    <t>Berda-Haddad Y</t>
  </si>
  <si>
    <t>PMC3251090</t>
  </si>
  <si>
    <t>10.1073/pnas.1116848108</t>
  </si>
  <si>
    <t>Badawy AA, El-Magd MA, AlSadrah SA.</t>
  </si>
  <si>
    <t>Integr Cancer Ther. 2018 Dec;17(4):1235-1246. doi: 10.1177/1534735418786000. Epub 2018 Jul 10.</t>
  </si>
  <si>
    <t>Badawy AA</t>
  </si>
  <si>
    <t>Integr Cancer Ther</t>
  </si>
  <si>
    <t>PMC6247558</t>
  </si>
  <si>
    <t>Lee DH, Yoon H, Park S, Kim JS, Ahn YH, Kwon K, Lee D, Kim KH.</t>
  </si>
  <si>
    <t>Sci Rep. 2018 Oct 2;8(1):14707. doi: 10.1038/s41598-018-32900-6.</t>
  </si>
  <si>
    <t>Lee DH</t>
  </si>
  <si>
    <t>PMC6168539</t>
  </si>
  <si>
    <t>Deng F, Ratri A, Deighan C, Daaboul G, Geiger PC, Christenson LK.</t>
  </si>
  <si>
    <t>J Vis Exp. 2022 Jan 10;(179):10.3791/62988. doi: 10.3791/62988.</t>
  </si>
  <si>
    <t>Deng F</t>
  </si>
  <si>
    <t>PMC8968924</t>
  </si>
  <si>
    <t>NIHMS1784125</t>
  </si>
  <si>
    <t>The incorporation of 5-fluorouracil into RNA affects the ribonucleolytic activity of the exosome subunit Rrp6</t>
  </si>
  <si>
    <t>Silverstein RA, González de Valdivia E, Visa N.</t>
  </si>
  <si>
    <t>Mol Cancer Res. 2011 Mar;9(3):332-40. doi: 10.1158/1541-7786.MCR-10-0084. Epub 2011 Feb 2.</t>
  </si>
  <si>
    <t>Silverstein RA</t>
  </si>
  <si>
    <t>Mol Cancer Res</t>
  </si>
  <si>
    <t>10.1158/1541-7786.MCR-10-0084</t>
  </si>
  <si>
    <t>Rodriguez BV, Kuehn MJ.</t>
  </si>
  <si>
    <t>Sci Rep. 2020 Oct 26;10(1):18293. doi: 10.1038/s41598-020-75108-3.</t>
  </si>
  <si>
    <t>Rodriguez BV</t>
  </si>
  <si>
    <t>PMC7589478</t>
  </si>
  <si>
    <t>Zhang Y, Jin X, Liang J, Guo Y, Sun G, Zeng X, Yin H.</t>
  </si>
  <si>
    <t>Sci Adv. 2019 Jul 24;5(7):eaav1564. doi: 10.1126/sciadv.aav1564. eCollection 2019 Jul.</t>
  </si>
  <si>
    <t>PMC6656539</t>
  </si>
  <si>
    <t>Strategies to Enhance Extracellular Vesicle Production</t>
  </si>
  <si>
    <t>Hahm J, Kim J, Park J.</t>
  </si>
  <si>
    <t>Tissue Eng Regen Med. 2021 Aug;18(4):513-524. doi: 10.1007/s13770-021-00364-x. Epub 2021 Jul 18.</t>
  </si>
  <si>
    <t>Hahm J</t>
  </si>
  <si>
    <t>Tissue Eng Regen Med</t>
  </si>
  <si>
    <t>PMC8325751</t>
  </si>
  <si>
    <t>10.1007/s13770-021-00364-x</t>
  </si>
  <si>
    <t>Ravlić S, Brgles M, Hiršl L, Jonjić S, Halassy B.</t>
  </si>
  <si>
    <t>Viruses. 2021 Dec 10;13(12):2481. doi: 10.3390/v13122481.</t>
  </si>
  <si>
    <t>Ravlić S</t>
  </si>
  <si>
    <t>PMC8706497</t>
  </si>
  <si>
    <t>Gebremedhn S, Gad A, Aglan HS, Laurincik J, Prochazka R, Salilew-Wondim D, Hoelker M, Schellander K, Tesfaye D.</t>
  </si>
  <si>
    <t>Sci Rep. 2020 Sep 25;10(1):15824. doi: 10.1038/s41598-020-72706-z.</t>
  </si>
  <si>
    <t>Gebremedhn S</t>
  </si>
  <si>
    <t>PMC7519046</t>
  </si>
  <si>
    <t>Extracellular vesicles: Vehicles of en bloc viral transmission</t>
  </si>
  <si>
    <t>Altan-Bonnet N, Perales C, Domingo E.</t>
  </si>
  <si>
    <t>Virus Res. 2019 May;265:143-149. doi: 10.1016/j.virusres.2019.03.023. Epub 2019 Mar 27.</t>
  </si>
  <si>
    <t>Altan-Bonnet N</t>
  </si>
  <si>
    <t>10.1016/j.virusres.2019.03.023</t>
  </si>
  <si>
    <t>Zheng J, Yu L, Chen W, Lu X, Fan X.</t>
  </si>
  <si>
    <t>Sci Rep. 2018 Feb 12;8(1):2832. doi: 10.1038/s41598-018-21113-6.</t>
  </si>
  <si>
    <t>Zheng J</t>
  </si>
  <si>
    <t>PMC5809479</t>
  </si>
  <si>
    <t>Tissue factor expression in neutrophil extracellular traps and neutrophil derived microparticles in antineutrophil cytoplasmic antibody associated vasculitis may promote thromboinflammation and the thrombophilic state associated with the disease</t>
  </si>
  <si>
    <t>Kambas K, Chrysanthopoulou A, Vassilopoulos D, Apostolidou E, Skendros P, Girod A, Arelaki S, Froudarakis M, Nakopoulou L, Giatromanolaki A, Sidiropoulos P, Koffa M, Boumpas DT, Ritis K, Mitroulis I.</t>
  </si>
  <si>
    <t>Ann Rheum Dis. 2014 Oct;73(10):1854-63. doi: 10.1136/annrheumdis-2013-203430. Epub 2013 Jul 19.</t>
  </si>
  <si>
    <t>Kambas K</t>
  </si>
  <si>
    <t>Ann Rheum Dis</t>
  </si>
  <si>
    <t>10.1136/annrheumdis-2013-203430</t>
  </si>
  <si>
    <t>Mannerström B, Kornilov R, Abu-Shahba AG, Chowdhury IM, Sinha S, Seppänen-Kaijansinkko R, Kaur S.</t>
  </si>
  <si>
    <t>Epigenetics. 2019 Apr;14(4):352-364. doi: 10.1080/15592294.2019.1585177. Epub 2019 Mar 24.</t>
  </si>
  <si>
    <t>Mannerström B</t>
  </si>
  <si>
    <t>Epigenetics</t>
  </si>
  <si>
    <t>PMC6557543</t>
  </si>
  <si>
    <t>Champagne-Jorgensen K, Jose TA, Stanisz AM, Mian MF, Hynes AP, Bienenstock J.</t>
  </si>
  <si>
    <t>Gut Microbes. 2021 Jan-Dec;13(1):1993583. doi: 10.1080/19490976.2021.1993583.</t>
  </si>
  <si>
    <t>Champagne-Jorgensen K</t>
  </si>
  <si>
    <t>Gut Microbes</t>
  </si>
  <si>
    <t>PMC8583084</t>
  </si>
  <si>
    <t>Nandakumar R, Tschismarov R, Meissner F, Prabakaran T, Krissanaprasit A, Farahani E, Zhang BC, Assil S, Martin A, Bertrams W, Holm CK, Ablasser A, Klause T, Thomsen MK, Schmeck B, Howard KA, Henry T, Gothelf KV, Decker T, Paludan SR.</t>
  </si>
  <si>
    <t>Nat Microbiol. 2019 Apr;4(4):701-713. doi: 10.1038/s41564-019-0367-z. Epub 2019 Feb 25.</t>
  </si>
  <si>
    <t>Nandakumar R</t>
  </si>
  <si>
    <t>Nat Microbiol</t>
  </si>
  <si>
    <t>PMC6433288</t>
  </si>
  <si>
    <t>EMS81206</t>
  </si>
  <si>
    <t>Aqil F, Munagala R, Jeyabalan J, Agrawal AK, Gupta R.</t>
  </si>
  <si>
    <t>AAPS J. 2017 Nov;19(6):1691-1702. doi: 10.1208/s12248-017-0154-9. Epub 2017 Oct 18.</t>
  </si>
  <si>
    <t>Aqil F</t>
  </si>
  <si>
    <t>Thippabhotla S, Zhong C, He M.</t>
  </si>
  <si>
    <t>Sci Rep. 2019 Sep 10;9(1):13012. doi: 10.1038/s41598-019-49671-3.</t>
  </si>
  <si>
    <t>Thippabhotla S</t>
  </si>
  <si>
    <t>PMC6736862</t>
  </si>
  <si>
    <t>The complex, bidirectional role of extracellular vesicles in infection</t>
  </si>
  <si>
    <t>White JR, Dauros-Singorenko P, Hong J, Vanholsbeeck F, Phillips A, Swift S.</t>
  </si>
  <si>
    <t>Biochem Soc Trans. 2021 Apr 30;49(2):881-891. doi: 10.1042/BST20200788.</t>
  </si>
  <si>
    <t>White JR</t>
  </si>
  <si>
    <t>Biochem Soc Trans</t>
  </si>
  <si>
    <t>PMC8106493</t>
  </si>
  <si>
    <t>10.1042/BST20200788</t>
  </si>
  <si>
    <t>Membrane vesicles from a Dietzia bacterium containing multiple cargoes and their roles in iron delivery</t>
  </si>
  <si>
    <t>Wang M, Nie Y, Wu XL.</t>
  </si>
  <si>
    <t>Environ Microbiol. 2021 Feb;23(2):1009-1019. doi: 10.1111/1462-2920.15278. Epub 2020 Oct 22.</t>
  </si>
  <si>
    <t>Wang M</t>
  </si>
  <si>
    <t>Scribano S, Guerrini M, Arvia R, Guasti D, Nardini P, Romagnoli P, Giannecchini S.</t>
  </si>
  <si>
    <t>J Clin Virol. 2020 Jul;128:104435. doi: 10.1016/j.jcv.2020.104435. Epub 2020 May 19.</t>
  </si>
  <si>
    <t>Scribano S</t>
  </si>
  <si>
    <t>J Clin Virol</t>
  </si>
  <si>
    <t>10.1016/j.jcv.2020.104435</t>
  </si>
  <si>
    <t>Loss of exosomal miR-148b from cancer-associated fibroblasts promotes endometrial cancer cell invasion and cancer metastasis</t>
  </si>
  <si>
    <t>Li BL, Lu W, Qu JJ, Ye L, Du GQ, Wan XP.</t>
  </si>
  <si>
    <t>J Cell Physiol. 2019 Mar;234(3):2943-2953. doi: 10.1002/jcp.27111. Epub 2018 Aug 26.</t>
  </si>
  <si>
    <t>Li BL</t>
  </si>
  <si>
    <t>10.1002/jcp.27111</t>
  </si>
  <si>
    <t>Heat shock improves Sca-1+ stem cell survival and directs ischemic cardiomyocytes toward a prosurvival phenotype via exosomal transfer: a critical role for HSF1/miR-34a/HSP70 pathway</t>
  </si>
  <si>
    <t>Feng Y, Huang W, Meng W, Jegga AG, Wang Y, Cai W, Kim HW, Pasha Z, Wen Z, Rao F, Modi RM, Yu X, Ashraf M.</t>
  </si>
  <si>
    <t>Stem Cells. 2014 Feb;32(2):462-72. doi: 10.1002/stem.1571.</t>
  </si>
  <si>
    <t>Feng Y</t>
  </si>
  <si>
    <t>PMC5517317</t>
  </si>
  <si>
    <t>NIHMS531911</t>
  </si>
  <si>
    <t>10.1002/stem.1571</t>
  </si>
  <si>
    <t>CHK1 regulates NF-κB signaling upon DNA damage in p53- deficient cells and associated tumor-derived microvesicles</t>
  </si>
  <si>
    <t>Carroll BL, Pulkoski-Gross MJ, Hannun YA, Obeid LM.</t>
  </si>
  <si>
    <t>Oncotarget. 2016 Apr 5;7(14):18159-70. doi: 10.18632/oncotarget.7566.</t>
  </si>
  <si>
    <t>Carroll BL</t>
  </si>
  <si>
    <t>PMC4951279</t>
  </si>
  <si>
    <t>Wang D, Zhao C, Xu F, Zhang A, Jin M, Zhang K, Liu L, Hua Q, Zhao J, Liu J, Yang H, Huang G.</t>
  </si>
  <si>
    <t>Theranostics. 2021 Jan 1;11(6):2860-2875. doi: 10.7150/thno.51797. eCollection 2021.</t>
  </si>
  <si>
    <t>Wang D</t>
  </si>
  <si>
    <t>PMC7806469</t>
  </si>
  <si>
    <t>Kalani A, Kamat PK, Kalani K, Tyagi N.</t>
  </si>
  <si>
    <t>Metab Brain Dis. 2015 Apr;30(2):427-35. doi: 10.1007/s11011-014-9537-0. Epub 2014 May 1.</t>
  </si>
  <si>
    <t>Kalani A</t>
  </si>
  <si>
    <t>Metab Brain Dis</t>
  </si>
  <si>
    <t>PMC4216637</t>
  </si>
  <si>
    <t>NIHMS592099</t>
  </si>
  <si>
    <t>Yerneni SS, Solomon T, Smith J, Campbell PG.</t>
  </si>
  <si>
    <t>Biochim Biophys Acta Gen Subj. 2022 Feb;1866(2):130069. doi: 10.1016/j.bbagen.2021.130069. Epub 2021 Dec 11.</t>
  </si>
  <si>
    <t>Liquid biopsies in pancreatic cancer</t>
  </si>
  <si>
    <t>Kamyabi N, Bernard V, Maitra A.</t>
  </si>
  <si>
    <t>Expert Rev Anticancer Ther. 2019 Oct;19(10):869-878. doi: 10.1080/14737140.2019.1670063. Epub 2019 Sep 26.</t>
  </si>
  <si>
    <t>Expert Rev Anticancer Ther</t>
  </si>
  <si>
    <t>PMC6824837</t>
  </si>
  <si>
    <t>NIHMS1540689</t>
  </si>
  <si>
    <t>10.1080/14737140.2019.1670063</t>
  </si>
  <si>
    <t>Tissue factor-containing microparticles released from mesangial cells in response to high glucose and AGE induce tube formation in microvascular cells</t>
  </si>
  <si>
    <t>Ettelaie C, Su S, Li C, Collier ME.</t>
  </si>
  <si>
    <t>Microvasc Res. 2008 Nov;76(3):152-60. doi: 10.1016/j.mvr.2008.07.007. Epub 2008 Aug 5.</t>
  </si>
  <si>
    <t>Ettelaie C</t>
  </si>
  <si>
    <t>Microvasc Res</t>
  </si>
  <si>
    <t>10.1016/j.mvr.2008.07.007</t>
  </si>
  <si>
    <t>Tumor-derived exosomal miR-619-5p promotes tumor angiogenesis and metastasis through the inhibition of RCAN1.4</t>
  </si>
  <si>
    <t>Kim DH, Park S, Kim H, Choi YJ, Kim SY, Sung KJ, Sung YH, Choi CM, Yun M, Yi YS, Lee CW, Kim SY, Lee JC, Rho JK.</t>
  </si>
  <si>
    <t>Cancer Lett. 2020 Apr 10;475:2-13. doi: 10.1016/j.canlet.2020.01.023. Epub 2020 Jan 28.</t>
  </si>
  <si>
    <t>Kim DH</t>
  </si>
  <si>
    <t>10.1016/j.canlet.2020.01.023</t>
  </si>
  <si>
    <t>Hattori Y, Shimada T, Yasui T, Kaji N, Baba Y.</t>
  </si>
  <si>
    <t>Anal Chem. 2019 May 21;91(10):6514-6521. doi: 10.1021/acs.analchem.8b05538. Epub 2019 May 3.</t>
  </si>
  <si>
    <t>Hattori Y</t>
  </si>
  <si>
    <t>Accumulation of microbial DNAs promotes to islet inflammation and β cell abnormalities in obesity in mice</t>
  </si>
  <si>
    <t>Gao H, Luo Z, Ji Y, Tang K, Jin Z, Ly C, Sears DD, Mahata S, Ying W.</t>
  </si>
  <si>
    <t>Nat Commun. 2022 Jan 28;13(1):565. doi: 10.1038/s41467-022-28239-2.</t>
  </si>
  <si>
    <t>PMC8799656</t>
  </si>
  <si>
    <t>Todkar K, Chikhi L, Desjardins V, El-Mortada F, Pépin G, Germain M.</t>
  </si>
  <si>
    <t>Nat Commun. 2021 Mar 30;12(1):1971. doi: 10.1038/s41467-021-21984-w.</t>
  </si>
  <si>
    <t>Todkar K</t>
  </si>
  <si>
    <t>PMC8009912</t>
  </si>
  <si>
    <t>The fate of damaged mitochondrial DNA in the cell</t>
  </si>
  <si>
    <t>Liao S, Chen L, Song Z, He H.</t>
  </si>
  <si>
    <t>Biochim Biophys Acta Mol Cell Res. 2022 May;1869(5):119233. doi: 10.1016/j.bbamcr.2022.119233. Epub 2022 Feb 5.</t>
  </si>
  <si>
    <t>10.1016/j.bbamcr.2022.119233</t>
  </si>
  <si>
    <t>Xiong Y, Xiong Y, Zhang H, Zhao Y, Han K, Zhang J, Zhao D, Yu Z, Geng Z, Wang L, Wang Y, Luan X.</t>
  </si>
  <si>
    <t>Front Immunol. 2021 Nov 23;12:780897. doi: 10.3389/fimmu.2021.780897. eCollection 2021.</t>
  </si>
  <si>
    <t>PMC8649962</t>
  </si>
  <si>
    <t>Proteomic analysis identifies endoribouclease EhL-PSP and EhRRP41 exosome protein as novel interactors of EhCAF1 deadenylase</t>
  </si>
  <si>
    <t>López-Rosas I, Marchat LA, Olvera BG, Guillen N, Weber C, Hernández de la Cruz O, Ruíz-García E, Astudillo-de la Vega H, López-Camarillo C.</t>
  </si>
  <si>
    <t>J Proteomics. 2014 Dec 5;111:59-73. doi: 10.1016/j.jprot.2014.06.019. Epub 2014 Jul 2.</t>
  </si>
  <si>
    <t>López-Rosas I</t>
  </si>
  <si>
    <t>10.1016/j.jprot.2014.06.019</t>
  </si>
  <si>
    <t>Casadei L, Choudhury A, Sarchet P, Mohana Sundaram P, Lopez G, Braggio D, Balakirsky G, Pollock R, Prakash S.</t>
  </si>
  <si>
    <t>J Extracell Vesicles. 2021 Feb;10(4):e12062. doi: 10.1002/jev2.12062. Epub 2021 Feb 16.</t>
  </si>
  <si>
    <t>Casadei L</t>
  </si>
  <si>
    <t>PMC7887429</t>
  </si>
  <si>
    <t>Ding X, Ma M, Teng J, Teng RK, Zhou S, Yin J, Fonkem E, Huang JH, Wu E, Wang X.</t>
  </si>
  <si>
    <t>Oncotarget. 2015 Sep 15;6(27):24178-91. doi: 10.18632/oncotarget.4680.</t>
  </si>
  <si>
    <t>Ding X</t>
  </si>
  <si>
    <t>PMC4695178</t>
  </si>
  <si>
    <t>Matsumoto A, Takahashi Y, Ariizumi R, Nishikawa M, Takakura Y.</t>
  </si>
  <si>
    <t>Biomaterials. 2019 Dec;225:119518. doi: 10.1016/j.biomaterials.2019.119518. Epub 2019 Sep 25.</t>
  </si>
  <si>
    <t>Matsumoto A</t>
  </si>
  <si>
    <t>Desideri E, Ciccarone F, Ciriolo MR, Fratantonio D.</t>
  </si>
  <si>
    <t>Free Radic Biol Med. 2021 Aug 20;172:508-520. doi: 10.1016/j.freeradbiomed.2021.06.030. Epub 2021 Jun 29.</t>
  </si>
  <si>
    <t>Desideri E</t>
  </si>
  <si>
    <t>Free Radic Biol Med</t>
  </si>
  <si>
    <t>Jena SR, Nayak J, Kumar S, Kar S, Dixit A, Samanta L.</t>
  </si>
  <si>
    <t>Mol Reprod Dev. 2021 Jan;88(1):96-112. doi: 10.1002/mrd.23445. Epub 2020 Dec 20.</t>
  </si>
  <si>
    <t>Jena SR</t>
  </si>
  <si>
    <t>Mol Reprod Dev</t>
  </si>
  <si>
    <t>Pinto DO, Al Sharif S, Mensah G, Cowen M, Khatkar P, Erickson J, Branscome H, Lattanze T, DeMarino C, Alem F, Magni R, Zhou W, Alais S, Dutartre H, El-Hage N, Mahieux R, Liotta LA, Kashanchi F.</t>
  </si>
  <si>
    <t>Retrovirology. 2021 Feb 23;18(1):6. doi: 10.1186/s12977-021-00550-8.</t>
  </si>
  <si>
    <t>Pinto DO</t>
  </si>
  <si>
    <t>Retrovirology</t>
  </si>
  <si>
    <t>PMC7901226</t>
  </si>
  <si>
    <t>Liquid Biopsies in Oncology and the Current Regulatory Landscape</t>
  </si>
  <si>
    <t>Strotman LN, Millner LM, Valdes R Jr, Linder MW.</t>
  </si>
  <si>
    <t>Mol Diagn Ther. 2016 Oct;20(5):429-36. doi: 10.1007/s40291-016-0220-5.</t>
  </si>
  <si>
    <t>Strotman LN</t>
  </si>
  <si>
    <t>10.1007/s40291-016-0220-5</t>
  </si>
  <si>
    <t>Extracellular vesicles: the next generation of biomarkers for liquid biopsy-based prostate cancer diagnosis</t>
  </si>
  <si>
    <t>Pang B, Zhu Y, Ni J, Thompson J, Malouf D, Bucci J, Graham P, Li Y.</t>
  </si>
  <si>
    <t>Theranostics. 2020 Jan 16;10(5):2309-2326. doi: 10.7150/thno.39486. eCollection 2020.</t>
  </si>
  <si>
    <t>Pang B</t>
  </si>
  <si>
    <t>PMC7019149</t>
  </si>
  <si>
    <t>10.7150/thno.39486</t>
  </si>
  <si>
    <t>Cephalosporinases associated with outer membrane vesicles released by Bacteroides spp. protect gut pathogens and commensals against β-lactam antibiotics</t>
  </si>
  <si>
    <t>Stentz R, Horn N, Cross K, Salt L, Brearley C, Livermore DM, Carding SR.</t>
  </si>
  <si>
    <t>J Antimicrob Chemother. 2015 Mar;70(3):701-9. doi: 10.1093/jac/dku466. Epub 2014 Nov 27.</t>
  </si>
  <si>
    <t>Stentz R</t>
  </si>
  <si>
    <t>J Antimicrob Chemother</t>
  </si>
  <si>
    <t>PMC4319488</t>
  </si>
  <si>
    <t>10.1093/jac/dku466</t>
  </si>
  <si>
    <t>Tang Q, Zhang X, Zhang W, Zhao S, Chen Y.</t>
  </si>
  <si>
    <t>Biochim Biophys Acta Biomembr. 2017 May;1859(5):756-766. doi: 10.1016/j.bbamem.2017.01.013. Epub 2017 Jan 12.</t>
  </si>
  <si>
    <t>Tang Q</t>
  </si>
  <si>
    <t>Biochim Biophys Acta Biomembr</t>
  </si>
  <si>
    <t>Yang J, McDowell A, Kim EK, Seo H, Yum K, Lee WH, Jee YK, Kim YK.</t>
  </si>
  <si>
    <t>Exp Mol Med. 2019 Aug 1;51(8):1-11. doi: 10.1038/s12276-019-0288-1.</t>
  </si>
  <si>
    <t>Yang J</t>
  </si>
  <si>
    <t>Exp Mol Med</t>
  </si>
  <si>
    <t>PMC6802649</t>
  </si>
  <si>
    <t>Chen R, Zhao X, Wang Y, Xie Y, Liu J.</t>
  </si>
  <si>
    <t>Sci Rep. 2017 Jan 18;7:40783. doi: 10.1038/srep40783.</t>
  </si>
  <si>
    <t>PMC5241686</t>
  </si>
  <si>
    <t>De novo DNA methylation induced by circulating extracellular vesicles from acute coronary syndrome patients</t>
  </si>
  <si>
    <t>Schiano C, Balbi C, Burrello J, Ruocco A, Infante T, Fiorito C, Panella S, Barile L, Mauro C, Vassalli G, Napoli C.</t>
  </si>
  <si>
    <t>Atherosclerosis. 2022 Aug;354:41-52. doi: 10.1016/j.atherosclerosis.2022.06.1026. Epub 2022 Jul 6.</t>
  </si>
  <si>
    <t>Schiano C</t>
  </si>
  <si>
    <t>Atherosclerosis</t>
  </si>
  <si>
    <t>10.1016/j.atherosclerosis.2022.06.1026</t>
  </si>
  <si>
    <t>Outer membrane vesicles of a human commensal mediate immune regulation and disease protection</t>
  </si>
  <si>
    <t>Shen Y, Giardino Torchia ML, Lawson GW, Karp CL, Ashwell JD, Mazmanian SK.</t>
  </si>
  <si>
    <t>Cell Host Microbe. 2012 Oct 18;12(4):509-20. doi: 10.1016/j.chom.2012.08.004. Epub 2012 Sep 20.</t>
  </si>
  <si>
    <t>Shen Y</t>
  </si>
  <si>
    <t>Cell Host Microbe</t>
  </si>
  <si>
    <t>PMC3895402</t>
  </si>
  <si>
    <t>NIHMS404287</t>
  </si>
  <si>
    <t>10.1016/j.chom.2012.08.004</t>
  </si>
  <si>
    <t>Chennakrishnaiah S, Tsering T, Gregory C, Tawil N, Spinelli C, Montermini L, Karatzas N, Aprikian S, Choi D, Klewes L, Mai S, Rak J.</t>
  </si>
  <si>
    <t>Sci Rep. 2020 May 22;10(1):8532. doi: 10.1038/s41598-020-65640-7.</t>
  </si>
  <si>
    <t>PMC7244541</t>
  </si>
  <si>
    <t>Cheng M, Dietz L, Gong Y, Eichler F, Nammour J, Ng C, Grimm D, Maguire CA.</t>
  </si>
  <si>
    <t>Hum Gene Ther. 2021 Dec;32(23-24):1457-1470. doi: 10.1089/hum.2021.122.</t>
  </si>
  <si>
    <t>Cheng M</t>
  </si>
  <si>
    <t>Hum Gene Ther</t>
  </si>
  <si>
    <t>PMC8742275</t>
  </si>
  <si>
    <t>Wan Y, Maurer M, He HZ, Xia YQ, Hao SJ, Zhang WL, Yee NS, Zheng SY.</t>
  </si>
  <si>
    <t>Lab Chip. 2019 Jul 9;19(14):2346-2355. doi: 10.1039/c8lc01359d.</t>
  </si>
  <si>
    <t>Wan Y</t>
  </si>
  <si>
    <t>PMC6669184</t>
  </si>
  <si>
    <t>NIHMS1038106</t>
  </si>
  <si>
    <t>Zhang Y, Xu J, Liu S, Lim M, Zhao S, Cui K, Zhang K, Wang L, Ji Q, Han Z, Kong D, Li Z, Liu N.</t>
  </si>
  <si>
    <t>Theranostics. 2019 Sep 21;9(23):6976-6990. doi: 10.7150/thno.35305. eCollection 2019.</t>
  </si>
  <si>
    <t>PMC6815953</t>
  </si>
  <si>
    <t>Cheng AN, Cheng LC, Kuo CL, Lo YK, Chou HY, Chen CH, Wang YH, Chuang TH, Cheng SJ, Lee AY.</t>
  </si>
  <si>
    <t>J Immunother Cancer. 2020 Dec;8(2):e001372. doi: 10.1136/jitc-2020-001372.</t>
  </si>
  <si>
    <t>Cheng AN</t>
  </si>
  <si>
    <t>J Immunother Cancer</t>
  </si>
  <si>
    <t>PMC7713199</t>
  </si>
  <si>
    <t>Lavado-García J, González-Domínguez I, Cervera L, Jorge I, Vázquez J, Gòdia F.</t>
  </si>
  <si>
    <t>J Proteome Res. 2020 Nov 6;19(11):4516-4532. doi: 10.1021/acs.jproteome.0c00581. Epub 2020 Oct 5.</t>
  </si>
  <si>
    <t>Lavado-García J</t>
  </si>
  <si>
    <t>J Proteome Res</t>
  </si>
  <si>
    <t>PMC7640977</t>
  </si>
  <si>
    <t>Identification of E6/E7-Dependent MicroRNAs in HPV-Positive Cancer Cells</t>
  </si>
  <si>
    <t>Honegger A, Schilling D, Sültmann H, Hoppe-Seyler K, Hoppe-Seyler F.</t>
  </si>
  <si>
    <t>Methods Mol Biol. 2018;1699:119-134. doi: 10.1007/978-1-4939-7435-1_10.</t>
  </si>
  <si>
    <t>10.1007/978-1-4939-7435-1_10</t>
  </si>
  <si>
    <t>Puhka M, Takatalo M, Nordberg ME, Valkonen S, Nandania J, Aatonen M, Yliperttula M, Laitinen S, Velagapudi V, Mirtti T, Kallioniemi O, Rannikko A, Siljander PR, Af Hällström TM.</t>
  </si>
  <si>
    <t>Theranostics. 2017 Aug 23;7(16):3824-3841. doi: 10.7150/thno.19890. eCollection 2017.</t>
  </si>
  <si>
    <t>Puhka M</t>
  </si>
  <si>
    <t>PMC5667407</t>
  </si>
  <si>
    <t>Microenvironment-induced PTEN loss by exosomal microRNA primes brain metastasis outgrowth</t>
  </si>
  <si>
    <t>Zhang L, Zhang S, Yao J, Lowery FJ, Zhang Q, Huang WC, Li P, Li M, Wang X, Zhang C, Wang H, Ellis K, Cheerathodi M, McCarty JH, Palmieri D, Saunus J, Lakhani S, Huang S, Sahin AA, Aldape KD, Steeg PS, Yu D.</t>
  </si>
  <si>
    <t>Nature. 2015 Nov 5;527(7576):100-104. doi: 10.1038/nature15376. Epub 2015 Oct 19.</t>
  </si>
  <si>
    <t>Nature</t>
  </si>
  <si>
    <t>PMC4819404</t>
  </si>
  <si>
    <t>NIHMS769849</t>
  </si>
  <si>
    <t>10.1038/nature15376</t>
  </si>
  <si>
    <t>Oieni J, Levy L, Letko Khait N, Yosef L, Schoen B, Fliman M, Shalom-Luxenburg H, Malkah Dayan N, D'Atri D, Cohen Anavy N, Machluf M.</t>
  </si>
  <si>
    <t>Methods. 2020 May 1;177:126-134. doi: 10.1016/j.ymeth.2019.11.013. Epub 2019 Nov 30.</t>
  </si>
  <si>
    <t>Oieni J</t>
  </si>
  <si>
    <t>Methods</t>
  </si>
  <si>
    <t>Alkandari SA, Bhardwaj RG, Ellepola A, Karched M.</t>
  </si>
  <si>
    <t>PLoS One. 2020 Nov 20;15(11):e0227657. doi: 10.1371/journal.pone.0227657. eCollection 2020.</t>
  </si>
  <si>
    <t>Alkandari SA</t>
  </si>
  <si>
    <t>PMC7679012</t>
  </si>
  <si>
    <t>Rrp6p controls mRNA poly(A) tail length and its decoration with poly(A) binding proteins</t>
  </si>
  <si>
    <t>Schmid M, Poulsen MB, Olszewski P, Pelechano V, Saguez C, Gupta I, Steinmetz LM, Moore C, Jensen TH.</t>
  </si>
  <si>
    <t>Mol Cell. 2012 Jul 27;47(2):267-80. doi: 10.1016/j.molcel.2012.05.005. Epub 2012 Jun 7.</t>
  </si>
  <si>
    <t>Schmid M</t>
  </si>
  <si>
    <t>PMC3408791</t>
  </si>
  <si>
    <t>NIHMS376912</t>
  </si>
  <si>
    <t>10.1016/j.molcel.2012.05.005</t>
  </si>
  <si>
    <t>Campos CDM, Childers K, Gamage SST, Wijerathne H, Zhao Z, Soper SA.</t>
  </si>
  <si>
    <t>Annu Rev Anal Chem (Palo Alto Calif). 2021 Jul 27;14(1):207-229. doi: 10.1146/annurev-anchem-091520-093931.</t>
  </si>
  <si>
    <t>Campos CDM</t>
  </si>
  <si>
    <t>Annu Rev Anal Chem (Palo Alto Calif)</t>
  </si>
  <si>
    <t>PMC8601690</t>
  </si>
  <si>
    <t>NIHMS1754934</t>
  </si>
  <si>
    <t>Wu W, Wu D, Yan W, Wang Y, You J, Wan X, Xi D, Luo X, Han M, Ning Q.</t>
  </si>
  <si>
    <t>J Infect Dis. 2021 Feb 24;223(4):686-698. doi: 10.1093/infdis/jiaa399.</t>
  </si>
  <si>
    <t>Wu W</t>
  </si>
  <si>
    <t>Ubiquitination as a Mechanism To Transport Soluble Mycobacterial and Eukaryotic Proteins to Exosomes</t>
  </si>
  <si>
    <t>Smith VL, Jackson L, Schorey JS.</t>
  </si>
  <si>
    <t>J Immunol. 2015 Sep 15;195(6):2722-30. doi: 10.4049/jimmunol.1403186. Epub 2015 Aug 5.</t>
  </si>
  <si>
    <t>Smith VL</t>
  </si>
  <si>
    <t>PMC5706551</t>
  </si>
  <si>
    <t>NIHMS707727</t>
  </si>
  <si>
    <t>10.4049/jimmunol.1403186</t>
  </si>
  <si>
    <t>Kim JH, Kim HR, Lee BR, Choi ES, In SI, Kim E.</t>
  </si>
  <si>
    <t>Int J Nanomedicine. 2015 Aug 31;10:5513-27. doi: 10.2147/IJN.S89593. eCollection 2015.</t>
  </si>
  <si>
    <t>Kim JH</t>
  </si>
  <si>
    <t>Int J Nanomedicine</t>
  </si>
  <si>
    <t>PMC4560511</t>
  </si>
  <si>
    <t>Retana Moreira L, Rodríguez Serrano F, Osuna A.</t>
  </si>
  <si>
    <t>PLoS Negl Trop Dis. 2019 Feb 21;13(2):e0007163. doi: 10.1371/journal.pntd.0007163. eCollection 2019 Feb.</t>
  </si>
  <si>
    <t>Retana Moreira L</t>
  </si>
  <si>
    <t>PLoS Negl Trop Dis</t>
  </si>
  <si>
    <t>PMC6383987</t>
  </si>
  <si>
    <t>Exosomes derived from mesenchymal stem cells suppress angiogenesis by down-regulating VEGF expression in breast cancer cells</t>
  </si>
  <si>
    <t>Lee JK, Park SR, Jung BK, Jeon YK, Lee YS, Kim MK, Kim YG, Jang JY, Kim CW.</t>
  </si>
  <si>
    <t>PLoS One. 2013 Dec 31;8(12):e84256. doi: 10.1371/journal.pone.0084256. eCollection 2013.</t>
  </si>
  <si>
    <t>Lee JK</t>
  </si>
  <si>
    <t>PMC3877259</t>
  </si>
  <si>
    <t>10.1371/journal.pone.0084256</t>
  </si>
  <si>
    <t>Tubita V, Segui-Barber J, Lozano JJ, Banon-Maneus E, Rovira J, Cucchiari D, Moya-Rull D, Oppenheimer F, Del Portillo H, Campistol JM, Diekmann F, Ramirez-Bajo MJ, Revuelta I.</t>
  </si>
  <si>
    <t>Sci Rep. 2019 Aug 1;9(1):11177. doi: 10.1038/s41598-019-47581-y.</t>
  </si>
  <si>
    <t>Tubita V</t>
  </si>
  <si>
    <t>PMC6672014</t>
  </si>
  <si>
    <t>Mbagwu S, Walch M, Filgueira L, Mantel PY.</t>
  </si>
  <si>
    <t>Methods Mol Biol. 2017;1660:377-388. doi: 10.1007/978-1-4939-7253-1_31.</t>
  </si>
  <si>
    <t>Mbagwu S</t>
  </si>
  <si>
    <t>Habier J, May P, Heintz-Buschart A, Ghosal A, Wienecke-Baldacchino AK, Nolte-'t Hoen ENM, Wilmes P, Fritz JV.</t>
  </si>
  <si>
    <t>Methods Mol Biol. 2018;1737:213-230. doi: 10.1007/978-1-4939-7634-8_13.</t>
  </si>
  <si>
    <t>Habier J</t>
  </si>
  <si>
    <t>MYCN recruits the nuclear exosome complex to RNA polymerase II to prevent transcription-replication conflicts</t>
  </si>
  <si>
    <t>Papadopoulos D, Solvie D, Baluapuri A, Endres T, Ha SA, Herold S, Kalb J, Giansanti C, Schülein-Völk C, Ade CP, Schneider C, Gaballa A, Vos S, Fischer U, Dobbelstein M, Wolf E, Eilers M.</t>
  </si>
  <si>
    <t>Mol Cell. 2022 Jan 6;82(1):159-176.e12. doi: 10.1016/j.molcel.2021.11.002. Epub 2021 Nov 29.</t>
  </si>
  <si>
    <t>Papadopoulos D</t>
  </si>
  <si>
    <t>10.1016/j.molcel.2021.11.002</t>
  </si>
  <si>
    <t>Ecological significance of extracellular vesicles in modulating host-virus interactions during algal blooms</t>
  </si>
  <si>
    <t>Schatz D, Schleyer G, Saltvedt MR, Sandaa RA, Feldmesser E, Vardi A.</t>
  </si>
  <si>
    <t>ISME J. 2021 Dec;15(12):3714-3721. doi: 10.1038/s41396-021-01018-5. Epub 2021 Jun 4.</t>
  </si>
  <si>
    <t>Schatz D</t>
  </si>
  <si>
    <t>ISME J</t>
  </si>
  <si>
    <t>PMC8630046</t>
  </si>
  <si>
    <t>10.1038/s41396-021-01018-5</t>
  </si>
  <si>
    <t>Fracture Healing and the Underexposed Role of Extracellular Vesicle-Based Cross Talk</t>
  </si>
  <si>
    <t>Qiao Z, Greven J, Horst K, Pfeifer R, Kobbe P, Pape HC, Hildebrand F.</t>
  </si>
  <si>
    <t>Shock. 2018 May;49(5):486-496. doi: 10.1097/SHK.0000000000001002.</t>
  </si>
  <si>
    <t>Qiao Z</t>
  </si>
  <si>
    <t>Shock</t>
  </si>
  <si>
    <t>10.1097/SHK.0000000000001002</t>
  </si>
  <si>
    <t>Extracellular vesicle signalling in atherosclerosis</t>
  </si>
  <si>
    <t>Charla E, Mercer J, Maffia P, Nicklin SA.</t>
  </si>
  <si>
    <t>Cell Signal. 2020 Nov;75:109751. doi: 10.1016/j.cellsig.2020.109751. Epub 2020 Aug 26.</t>
  </si>
  <si>
    <t>Charla E</t>
  </si>
  <si>
    <t>Cell Signal</t>
  </si>
  <si>
    <t>PMC7534042</t>
  </si>
  <si>
    <t>10.1016/j.cellsig.2020.109751</t>
  </si>
  <si>
    <t>Lucchetti D, Zurlo IV, Colella F, Ricciardi-Tenore C, Di Salvatore M, Tortora G, De Maria R, Giuliante F, Cassano A, Basso M, Crucitti A, Laurenzana I, Artemi G, Sgambato A.</t>
  </si>
  <si>
    <t>Sci Rep. 2021 Nov 22;11(1):22686. doi: 10.1038/s41598-021-01668-7.</t>
  </si>
  <si>
    <t>Lucchetti D</t>
  </si>
  <si>
    <t>PMC8608842</t>
  </si>
  <si>
    <t>M2 Macrophage-Derived Exosomes Promote Cell Migration and Invasion in Colon Cancer</t>
  </si>
  <si>
    <t>Lan J, Sun L, Xu F, Liu L, Hu F, Song D, Hou Z, Wu W, Luo X, Wang J, Yuan X, Hu J, Wang G.</t>
  </si>
  <si>
    <t>Cancer Res. 2019 Jan 1;79(1):146-158. doi: 10.1158/0008-5472.CAN-18-0014. Epub 2018 Nov 6.</t>
  </si>
  <si>
    <t>Lan J</t>
  </si>
  <si>
    <t>10.1158/0008-5472.CAN-18-0014</t>
  </si>
  <si>
    <t>An Rrp6-like protein positively regulates noncoding RNA levels and DNA methylation in Arabidopsis</t>
  </si>
  <si>
    <t>Zhang H, Tang K, Qian W, Duan CG, Wang B, Zhang H, Wang P, Zhu X, Lang Z, Yang Y, Zhu JK.</t>
  </si>
  <si>
    <t>Mol Cell. 2014 May 8;54(3):418-30. doi: 10.1016/j.molcel.2014.03.019. Epub 2014 Apr 10.</t>
  </si>
  <si>
    <t>PMC4023806</t>
  </si>
  <si>
    <t>NIHMS577893</t>
  </si>
  <si>
    <t>10.1016/j.molcel.2014.03.019</t>
  </si>
  <si>
    <t>Inflammatory microenvironment remodelling by tumour cells after radiotherapy</t>
  </si>
  <si>
    <t>McLaughlin M, Patin EC, Pedersen M, Wilkins A, Dillon MT, Melcher AA, Harrington KJ.</t>
  </si>
  <si>
    <t>Nat Rev Cancer. 2020 Apr;20(4):203-217. doi: 10.1038/s41568-020-0246-1. Epub 2020 Mar 11.</t>
  </si>
  <si>
    <t>McLaughlin M</t>
  </si>
  <si>
    <t>Nat Rev Cancer</t>
  </si>
  <si>
    <t>10.1038/s41568-020-0246-1</t>
  </si>
  <si>
    <t>The use of minimally invasive biomarkers for the diagnosis and prognosis of hepatocellular carcinoma</t>
  </si>
  <si>
    <t>Trevisan França de Lima L, Broszczak D, Zhang X, Bridle K, Crawford D, Punyadeera C.</t>
  </si>
  <si>
    <t>Biochim Biophys Acta Rev Cancer. 2020 Dec;1874(2):188451. doi: 10.1016/j.bbcan.2020.188451. Epub 2020 Oct 14.</t>
  </si>
  <si>
    <t>10.1016/j.bbcan.2020.188451</t>
  </si>
  <si>
    <t>Exosome-derived ENO1 regulates integrin α6β4 expression and promotes hepatocellular carcinoma growth and metastasis</t>
  </si>
  <si>
    <t>Jiang K, Dong C, Yin Z, Li R, Mao J, Wang C, Zhang J, Gao Z, Liang R, Wang Q, Wang L.</t>
  </si>
  <si>
    <t>Cell Death Dis. 2020 Nov 12;11(11):972. doi: 10.1038/s41419-020-03179-1.</t>
  </si>
  <si>
    <t>Jiang K</t>
  </si>
  <si>
    <t>PMC7661725</t>
  </si>
  <si>
    <t>10.1038/s41419-020-03179-1</t>
  </si>
  <si>
    <t>Extracellular Vesicles in Hepatobiliary Malignancies</t>
  </si>
  <si>
    <t>Lapitz A, Arbelaiz A, Olaizola P, Aranburu A, Bujanda L, Perugorria MJ, Banales JM.</t>
  </si>
  <si>
    <t>Front Immunol. 2018 Oct 12;9:2270. doi: 10.3389/fimmu.2018.02270. eCollection 2018.</t>
  </si>
  <si>
    <t>Lapitz A</t>
  </si>
  <si>
    <t>PMC6194158</t>
  </si>
  <si>
    <t>10.3389/fimmu.2018.02270</t>
  </si>
  <si>
    <t>Torralba D, Baixauli F, Villarroya-Beltri C, Fernández-Delgado I, Latorre-Pellicer A, Acín-Pérez R, Martín-Cófreces NB, Jaso-Tamame ÁL, Iborra S, Jorge I, González-Aseguinolaza G, Garaude J, Vicente-Manzanares M, Enríquez JA, Mittelbrunn M, Sánchez-Madrid F.</t>
  </si>
  <si>
    <t>Nat Commun. 2018 Jul 9;9(1):2658. doi: 10.1038/s41467-018-05077-9.</t>
  </si>
  <si>
    <t>Torralba D</t>
  </si>
  <si>
    <t>PMC6037695</t>
  </si>
  <si>
    <t>Biogenesis and function of extracellular vesicles in pathophysiological processes of skeletal muscle atrophy</t>
  </si>
  <si>
    <t>Wang W, Li M, Chen Z, Xu L, Chang M, Wang K, Deng C, Gu Y, Zhou S, Shen Y, Tao F, Sun H.</t>
  </si>
  <si>
    <t>Biochem Pharmacol. 2022 Apr;198:114954. doi: 10.1016/j.bcp.2022.114954. Epub 2022 Feb 12.</t>
  </si>
  <si>
    <t>Wang W</t>
  </si>
  <si>
    <t>Biochem Pharmacol</t>
  </si>
  <si>
    <t>10.1016/j.bcp.2022.114954</t>
  </si>
  <si>
    <t>Moving towards improved vaccines for Toxoplasma gondii</t>
  </si>
  <si>
    <t>Li Y, Zhou H.</t>
  </si>
  <si>
    <t>Expert Opin Biol Ther. 2018 Mar;18(3):273-280. doi: 10.1080/14712598.2018.1413086. Epub 2017 Dec 8.</t>
  </si>
  <si>
    <t>Expert Opin Biol Ther</t>
  </si>
  <si>
    <t>10.1080/14712598.2018.1413086</t>
  </si>
  <si>
    <t>Proteomics characterization of exosome cargo</t>
  </si>
  <si>
    <t>Schey KL, Luther JM, Rose KL.</t>
  </si>
  <si>
    <t>Methods. 2015 Oct 1;87:75-82. doi: 10.1016/j.ymeth.2015.03.018. Epub 2015 Mar 31.</t>
  </si>
  <si>
    <t>Schey KL</t>
  </si>
  <si>
    <t>PMC4591097</t>
  </si>
  <si>
    <t>NIHMS681458</t>
  </si>
  <si>
    <t>10.1016/j.ymeth.2015.03.018</t>
  </si>
  <si>
    <t>Evidence of the Mechanism by Which Polyomaviruses Exploit the Extracellular Vesicle Delivery System during Infection</t>
  </si>
  <si>
    <t>Giannecchini S.</t>
  </si>
  <si>
    <t>Viruses. 2020 May 27;12(6):585. doi: 10.3390/v12060585.</t>
  </si>
  <si>
    <t>Giannecchini S</t>
  </si>
  <si>
    <t>PMC7354590</t>
  </si>
  <si>
    <t>10.3390/v12060585</t>
  </si>
  <si>
    <t>The role of extracellular vesicles throughout normal pregnancy and in relation to oral bacteria</t>
  </si>
  <si>
    <t>Tanai A, Okamura H.</t>
  </si>
  <si>
    <t>J Oral Biosci. 2021 Mar;63(1):14-22. doi: 10.1016/j.job.2021.01.006. Epub 2021 Jan 23.</t>
  </si>
  <si>
    <t>Tanai A</t>
  </si>
  <si>
    <t>J Oral Biosci</t>
  </si>
  <si>
    <t>10.1016/j.job.2021.01.006</t>
  </si>
  <si>
    <t>Phan TK, Fonseka P, Tixeira R, Pathan M, Ang CS, Ozkocak DC, Mathivanan S, Poon IKH.</t>
  </si>
  <si>
    <t>Proteomics. 2021 Jul;21(13-14):e2000097. doi: 10.1002/pmic.202000097. Epub 2021 Apr 19.</t>
  </si>
  <si>
    <t>Phan TK</t>
  </si>
  <si>
    <t>Mesenchymal stromal cells-derived extracellular vesicles alleviate systemic sclerosis via miR-29a-3p</t>
  </si>
  <si>
    <t>Rozier P, Maumus M, Maria ATJ, Toupet K, Lai-Kee-Him J, Jorgensen C, Guilpain P, Noël D.</t>
  </si>
  <si>
    <t>J Autoimmun. 2021 Jul;121:102660. doi: 10.1016/j.jaut.2021.102660. Epub 2021 May 19.</t>
  </si>
  <si>
    <t>Rozier P</t>
  </si>
  <si>
    <t>10.1016/j.jaut.2021.102660</t>
  </si>
  <si>
    <t>Beazer JD, Patanapirunhakit P, Gill JMR, Graham D, Karlsson H, Ljunggren S, Mulder MT, Freeman DJ.</t>
  </si>
  <si>
    <t>Clin Sci (Lond). 2020 Nov 27;134(22):2977-2986. doi: 10.1042/CS20200892.</t>
  </si>
  <si>
    <t>Beazer JD</t>
  </si>
  <si>
    <t>TRAMP complex enhances RNA degradation by the nuclear exosome component Rrp6</t>
  </si>
  <si>
    <t>Callahan KP, Butler JS.</t>
  </si>
  <si>
    <t>J Biol Chem. 2010 Feb 5;285(6):3540-3547. doi: 10.1074/jbc.M109.058396. Epub 2009 Dec 2.</t>
  </si>
  <si>
    <t>Callahan KP</t>
  </si>
  <si>
    <t>PMC2823493</t>
  </si>
  <si>
    <t>10.1074/jbc.M109.058396</t>
  </si>
  <si>
    <t>Ko J, Wang Y, Sheng K, Weitz DA, Weissleder R.</t>
  </si>
  <si>
    <t>ACS Nano. 2021 Mar 23;15(3):5631-5638. doi: 10.1021/acsnano.1c00782. Epub 2021 Mar 9.</t>
  </si>
  <si>
    <t>PMC8742254</t>
  </si>
  <si>
    <t>NIHMS1764358</t>
  </si>
  <si>
    <t>Highly-purified exosomes and shed microvesicles isolated from the human colon cancer cell line LIM1863 by sequential centrifugal ultrafiltration are biochemically and functionally distinct</t>
  </si>
  <si>
    <t>Xu R, Greening DW, Rai A, Ji H, Simpson RJ.</t>
  </si>
  <si>
    <t>Methods. 2015 Oct 1;87:11-25. doi: 10.1016/j.ymeth.2015.04.008. Epub 2015 Apr 16.</t>
  </si>
  <si>
    <t>10.1016/j.ymeth.2015.04.008</t>
  </si>
  <si>
    <t>Delivery of Oligonucleotide Therapeutics: Chemical Modifications, Lipid Nanoparticles, and Extracellular Vesicles</t>
  </si>
  <si>
    <t>Bost JP, Barriga H, Holme MN, Gallud A, Maugeri M, Gupta D, Lehto T, Valadi H, Esbjörner EK, Stevens MM, El-Andaloussi S.</t>
  </si>
  <si>
    <t>ACS Nano. 2021 Sep 28;15(9):13993-14021. doi: 10.1021/acsnano.1c05099. Epub 2021 Sep 10.</t>
  </si>
  <si>
    <t>Bost JP</t>
  </si>
  <si>
    <t>PMC8482762</t>
  </si>
  <si>
    <t>10.1021/acsnano.1c05099</t>
  </si>
  <si>
    <t>Quantification of Circulating Cell Free Mitochondrial DNA in Extracellular Vesicles with PicoGreen™ in Liquid Biopsies: Fast Assessment of Disease/Trauma Severity</t>
  </si>
  <si>
    <t>Marcatti M, Saada J, Okereke I, Wade CE, Bossmann SH, Motamedi M, Szczesny B.</t>
  </si>
  <si>
    <t>Cells. 2021 Apr 6;10(4):819. doi: 10.3390/cells10040819.</t>
  </si>
  <si>
    <t>Marcatti M</t>
  </si>
  <si>
    <t>PMC8067453</t>
  </si>
  <si>
    <t>Hu M, Guo G, Huang Q, Cheng C, Xu R, Li A, Liu N, Liu S.</t>
  </si>
  <si>
    <t>Cell Death Dis. 2018 Mar 2;9(3):357. doi: 10.1038/s41419-018-0392-5.</t>
  </si>
  <si>
    <t>Hu M</t>
  </si>
  <si>
    <t>PMC5834521</t>
  </si>
  <si>
    <t>Joncas FH, Lucien F, Rouleau M, Morin F, Leong HS, Pouliot F, Fradet Y, Gilbert C, Toren P.</t>
  </si>
  <si>
    <t>Prostate. 2019 Nov;79(15):1767-1776. doi: 10.1002/pros.23901. Epub 2019 Sep 2.</t>
  </si>
  <si>
    <t>Joncas FH</t>
  </si>
  <si>
    <t>Global view on the metabolism of RNA poly(A) tails in yeast Saccharomyces cerevisiae</t>
  </si>
  <si>
    <t>Tudek A, Krawczyk PS, Mroczek S, Tomecki R, Turtola M, Matylla-Kulińska K, Jensen TH, Dziembowski A.</t>
  </si>
  <si>
    <t>Nat Commun. 2021 Aug 16;12(1):4951. doi: 10.1038/s41467-021-25251-w.</t>
  </si>
  <si>
    <t>PMC8367983</t>
  </si>
  <si>
    <t>10.1038/s41467-021-25251-w</t>
  </si>
  <si>
    <t>Peres da Silva R, Longo LGV, Cunha JPCD, Sobreira TJP, Rodrigues ML, Faoro H, Goldenberg S, Alves LR, Puccia R.</t>
  </si>
  <si>
    <t>Cells. 2019 Jul 23;8(7):765. doi: 10.3390/cells8070765.</t>
  </si>
  <si>
    <t>Peres da Silva R</t>
  </si>
  <si>
    <t>PMC6678485</t>
  </si>
  <si>
    <t>Palomares KT, Parobchak N, Ithier MC, Aleksunes LM, Castaño PM, So M, Faro R, Heller D, Wang B, Rosen T.</t>
  </si>
  <si>
    <t>Reprod Sci. 2021 Jan;28(1):252-262. doi: 10.1007/s43032-020-00283-7. Epub 2020 Aug 11.</t>
  </si>
  <si>
    <t>Palomares KT</t>
  </si>
  <si>
    <t>Semen Exosomes Promote Transcriptional Silencing of HIV-1 by Disrupting NF-κB/Sp1/Tat Circuitry</t>
  </si>
  <si>
    <t>Welch JL, Kaddour H, Schlievert PM, Stapleton JT, Okeoma CM.</t>
  </si>
  <si>
    <t>J Virol. 2018 Oct 12;92(21):e00731-18. doi: 10.1128/JVI.00731-18. Print 2018 Nov 1.</t>
  </si>
  <si>
    <t>Welch JL</t>
  </si>
  <si>
    <t>PMC6189507</t>
  </si>
  <si>
    <t>The effect of combined IL10 siRNA and CpG ODN as pathogen-mimicking microparticles on Th1/Th2 cytokine balance in dendritic cells and protective immunity against B cell lymphoma</t>
  </si>
  <si>
    <t>Pradhan P, Qin H, Leleux JA, Gwak D, Sakamaki I, Kwak LW, Roy K.</t>
  </si>
  <si>
    <t>Biomaterials. 2014 Jul;35(21):5491-504. doi: 10.1016/j.biomaterials.2014.03.039. Epub 2014 Apr 8.</t>
  </si>
  <si>
    <t>Pradhan P</t>
  </si>
  <si>
    <t>PMC4747034</t>
  </si>
  <si>
    <t>NIHMS585197</t>
  </si>
  <si>
    <t>10.1016/j.biomaterials.2014.03.039</t>
  </si>
  <si>
    <t>Cell-secreted signals shape lymphoma identity</t>
  </si>
  <si>
    <t>Gloghini A, Bongarzone I.</t>
  </si>
  <si>
    <t>Semin Cancer Biol. 2015 Oct;34:81-91. doi: 10.1016/j.semcancer.2015.02.001. Epub 2015 Mar 30.</t>
  </si>
  <si>
    <t>Gloghini A</t>
  </si>
  <si>
    <t>10.1016/j.semcancer.2015.02.001</t>
  </si>
  <si>
    <t>Secreted retrovirus-like GAG-domain-containing protein PEG10 is regulated by UBE3A and is involved in Angelman syndrome pathophysiology</t>
  </si>
  <si>
    <t>Pandya NJ, Wang C, Costa V, Lopatta P, Meier S, Zampeta FI, Punt AM, Mientjes E, Grossen P, Distler T, Tzouros M, Martí Y, Banfai B, Patsch C, Rasmussen S, Hoener M, Berrera M, Kremer T, Dunkley T, Ebeling M, Distel B, Elgersma Y, Jagasia R.</t>
  </si>
  <si>
    <t>Cell Rep Med. 2021 Aug 17;2(8):100360. doi: 10.1016/j.xcrm.2021.100360. eCollection 2021 Aug 17.</t>
  </si>
  <si>
    <t>Pandya NJ</t>
  </si>
  <si>
    <t>Cell Rep Med</t>
  </si>
  <si>
    <t>PMC8385294</t>
  </si>
  <si>
    <t>10.1016/j.xcrm.2021.100360</t>
  </si>
  <si>
    <t>Kim D, Kim TH, Wu G, Park BK, Ha JH, Kim YS, Lee K, Lee Y, Kwon HJ.</t>
  </si>
  <si>
    <t>PLoS One. 2016 Mar 8;11(3):e0150677. doi: 10.1371/journal.pone.0150677. eCollection 2016.</t>
  </si>
  <si>
    <t>Kim D</t>
  </si>
  <si>
    <t>PMC4783063</t>
  </si>
  <si>
    <t>Role of Extracellular Vesicles in Cellular Cross Talk in Malaria</t>
  </si>
  <si>
    <t>Babatunde KA, Yesodha Subramanian B, Ahouidi AD, Martinez Murillo P, Walch M, Mantel PY.</t>
  </si>
  <si>
    <t>Front Immunol. 2020 Jan 31;11:22. doi: 10.3389/fimmu.2020.00022. eCollection 2020.</t>
  </si>
  <si>
    <t>Babatunde KA</t>
  </si>
  <si>
    <t>PMC7005784</t>
  </si>
  <si>
    <t>10.3389/fimmu.2020.00022</t>
  </si>
  <si>
    <t>Zavan L, Bitto NJ, Johnston EL, Greening DW, Kaparakis-Liaskos M.</t>
  </si>
  <si>
    <t>Proteomics. 2019 Jan;19(1-2):e1800209. doi: 10.1002/pmic.201800209. Epub 2018 Dec 17.</t>
  </si>
  <si>
    <t>Zavan L</t>
  </si>
  <si>
    <t>An miRNA fingerprint using neural-enriched extracellular vesicles from blood plasma: towards a biomarker for amyotrophic lateral sclerosis/motor neuron disease</t>
  </si>
  <si>
    <t>Banack SA, Dunlop RA, Cox PA.</t>
  </si>
  <si>
    <t>Open Biol. 2020 Jun;10(6):200116. doi: 10.1098/rsob.200116. Epub 2020 Jun 24.</t>
  </si>
  <si>
    <t>Banack SA</t>
  </si>
  <si>
    <t>Open Biol</t>
  </si>
  <si>
    <t>PMC7333885</t>
  </si>
  <si>
    <t>10.1098/rsob.200116</t>
  </si>
  <si>
    <t>Cancer extracellular vesicles as novel regulators of NK cell response</t>
  </si>
  <si>
    <t>Soriani A, Vulpis E, Cuollo L, Santoni A, Zingoni A.</t>
  </si>
  <si>
    <t>Cytokine Growth Factor Rev. 2020 Feb;51:19-26. doi: 10.1016/j.cytogfr.2019.11.007. Epub 2019 Nov 30.</t>
  </si>
  <si>
    <t>Soriani A</t>
  </si>
  <si>
    <t>10.1016/j.cytogfr.2019.11.007</t>
  </si>
  <si>
    <t>Exosomes released from M. tuberculosis infected cells can suppress IFN-γ mediated activation of naïve macrophages</t>
  </si>
  <si>
    <t>Singh PP, LeMaire C, Tan JC, Zeng E, Schorey JS.</t>
  </si>
  <si>
    <t>PLoS One. 2011 Apr 14;6(4):e18564. doi: 10.1371/journal.pone.0018564.</t>
  </si>
  <si>
    <t>Singh PP</t>
  </si>
  <si>
    <t>PMC3077381</t>
  </si>
  <si>
    <t>10.1371/journal.pone.0018564</t>
  </si>
  <si>
    <t>Diagnostic performance of various liquid biopsy methods in detecting colorectal cancer: A meta-analysis</t>
  </si>
  <si>
    <t>Zhu Y, Yang T, Wu Q, Yang X, Hao J, Deng X, Yang S, Gu C, Wang Z.</t>
  </si>
  <si>
    <t>Cancer Med. 2020 Aug;9(16):5699-5707. doi: 10.1002/cam4.3276. Epub 2020 Jul 6.</t>
  </si>
  <si>
    <t>Zhu Y</t>
  </si>
  <si>
    <t>Cancer Med</t>
  </si>
  <si>
    <t>PMC7433831</t>
  </si>
  <si>
    <t>10.1002/cam4.3276</t>
  </si>
  <si>
    <t>Quantitative proteomics and dynamic imaging of the nucleolus reveal distinct responses to UV and ionizing radiation</t>
  </si>
  <si>
    <t>Moore HM, Bai B, Boisvert FM, Latonen L, Rantanen V, Simpson JC, Pepperkok R, Lamond AI, Laiho M.</t>
  </si>
  <si>
    <t>Mol Cell Proteomics. 2011 Oct;10(10):M111.009241. doi: 10.1074/mcp.M111.009241. Epub 2011 Jul 21.</t>
  </si>
  <si>
    <t>Moore HM</t>
  </si>
  <si>
    <t>PMC3205868</t>
  </si>
  <si>
    <t>10.1074/mcp.M111.009241</t>
  </si>
  <si>
    <t>Intracellular and extracellular microRNA: An update on localization and biological role</t>
  </si>
  <si>
    <t>Makarova JA, Shkurnikov MU, Wicklein D, Lange T, Samatov TR, Turchinovich AA, Tonevitsky AG.</t>
  </si>
  <si>
    <t>Prog Histochem Cytochem. 2016 Nov;51(3-4):33-49. doi: 10.1016/j.proghi.2016.06.001. Epub 2016 Jun 25.</t>
  </si>
  <si>
    <t>Makarova JA</t>
  </si>
  <si>
    <t>Prog Histochem Cytochem</t>
  </si>
  <si>
    <t>10.1016/j.proghi.2016.06.001</t>
  </si>
  <si>
    <t>Ty1 gag enhances the stability and nuclear export of Ty1 mRNA</t>
  </si>
  <si>
    <t>Checkley MA, Mitchell JA, Eizenstat LD, Lockett SJ, Garfinkel DJ.</t>
  </si>
  <si>
    <t>Traffic. 2013 Jan;14(1):57-69. doi: 10.1111/tra.12013. Epub 2012 Oct 17.</t>
  </si>
  <si>
    <t>Checkley MA</t>
  </si>
  <si>
    <t>Traffic</t>
  </si>
  <si>
    <t>PMC3548082</t>
  </si>
  <si>
    <t>NIHMS409570</t>
  </si>
  <si>
    <t>10.1111/tra.12013</t>
  </si>
  <si>
    <t>Sadri Nahand J, Bokharaei-Salim F, Karimzadeh M, Moghoofei M, Karampoor S, Mirzaei HR, Tabibzadeh A, Jafari A, Ghaderi A, Asemi Z, Mirzaei H, Hamblin MR.</t>
  </si>
  <si>
    <t>HIV Med. 2020 Apr;21(4):246-278. doi: 10.1111/hiv.12822. Epub 2019 Nov 22.</t>
  </si>
  <si>
    <t>Sadri Nahand J</t>
  </si>
  <si>
    <t>HIV Med</t>
  </si>
  <si>
    <t>PMC7069804</t>
  </si>
  <si>
    <t>NIHMS1054959</t>
  </si>
  <si>
    <t>Munagala R, Aqil F, Jeyabalan J, Kandimalla R, Wallen M, Tyagi N, Wilcher S, Yan J, Schultz DJ, Spencer W, Gupta RC.</t>
  </si>
  <si>
    <t>Cancer Lett. 2021 May 1;505:58-72. doi: 10.1016/j.canlet.2021.02.011. Epub 2021 Feb 18.</t>
  </si>
  <si>
    <t>PMC8005491</t>
  </si>
  <si>
    <t>NIHMS1678378</t>
  </si>
  <si>
    <t>Isolation of extracellular vesicles for proteomic profiling</t>
  </si>
  <si>
    <t>Choi DS, Gho YS.</t>
  </si>
  <si>
    <t>Methods Mol Biol. 2015;1295:167-77. doi: 10.1007/978-1-4939-2550-6_14.</t>
  </si>
  <si>
    <t>Choi DS</t>
  </si>
  <si>
    <t>Cavallari C, Ranghino A, Tapparo M, Cedrino M, Figliolini F, Grange C, Giannachi V, Garneri P, Deregibus MC, Collino F, Rispoli P, Camussi G, Brizzi MF.</t>
  </si>
  <si>
    <t>Sci Rep. 2017 Aug 15;7(1):8180. doi: 10.1038/s41598-017-08250-0.</t>
  </si>
  <si>
    <t>Cavallari C</t>
  </si>
  <si>
    <t>PMC5557987</t>
  </si>
  <si>
    <t>Transglutaminase type 2-dependent selective recruitment of proteins into exosomes under stressful cellular conditions</t>
  </si>
  <si>
    <t>Diaz-Hidalgo L, Altuntas S, Rossin F, D'Eletto M, Marsella C, Farrace MG, Falasca L, Antonioli M, Fimia GM, Piacentini M.</t>
  </si>
  <si>
    <t>Biochim Biophys Acta. 2016 Aug;1863(8):2084-92. doi: 10.1016/j.bbamcr.2016.05.005. Epub 2016 May 8.</t>
  </si>
  <si>
    <t>Diaz-Hidalgo L</t>
  </si>
  <si>
    <t>Biochim Biophys Acta</t>
  </si>
  <si>
    <t>10.1016/j.bbamcr.2016.05.005</t>
  </si>
  <si>
    <t>Extracellular Vesicle Associated Non-Coding RNAs in Lung Infections and Injury</t>
  </si>
  <si>
    <t>Kwok ZH, Ni K, Jin Y.</t>
  </si>
  <si>
    <t>Cells. 2021 Apr 21;10(5):965. doi: 10.3390/cells10050965.</t>
  </si>
  <si>
    <t>Kwok ZH</t>
  </si>
  <si>
    <t>PMC8143102</t>
  </si>
  <si>
    <t>10.3390/cells10050965</t>
  </si>
  <si>
    <t>Luo L, Yan C, Fuchi N, Kodama Y, Zhang X, Shinji G, Miura K, Sasaki H, Li TS.</t>
  </si>
  <si>
    <t>Stem Cell Res Ther. 2021 Jul 22;12(1):422. doi: 10.1186/s13287-021-02504-5.</t>
  </si>
  <si>
    <t>Luo L</t>
  </si>
  <si>
    <t>PMC8296737</t>
  </si>
  <si>
    <t>Montaner-Tarbes S, Pujol M, Jabbar T, Hawes P, Chapman D, Portillo HD, Fraile L, Sánchez-Cordón PJ, Dixon L, Montoya M.</t>
  </si>
  <si>
    <t>Viruses. 2019 Sep 20;11(10):882. doi: 10.3390/v11100882.</t>
  </si>
  <si>
    <t>Montaner-Tarbes S</t>
  </si>
  <si>
    <t>PMC6832119</t>
  </si>
  <si>
    <t>Xie J, Wu C.</t>
  </si>
  <si>
    <t>Anal Methods. 2021 Oct 8;13(38):4437-4441. doi: 10.1039/d1ay01294k.</t>
  </si>
  <si>
    <t>Xie J</t>
  </si>
  <si>
    <t>Dansako H, Ueda Y, Satoh S, Kato N.</t>
  </si>
  <si>
    <t>FASEB J. 2021 Jun;35(6):e21680. doi: 10.1096/fj.202002678R.</t>
  </si>
  <si>
    <t>Dansako H</t>
  </si>
  <si>
    <t>Luo Z, Ji Y, Gao H, Gomes Dos Reis FC, Bandyopadhyay G, Jin Z, Ly C, Chang YJ, Zhang D, Kumar D, Ying W.</t>
  </si>
  <si>
    <t>Gastroenterology. 2021 Feb;160(3):863-874. doi: 10.1053/j.gastro.2020.10.042. Epub 2020 Nov 2.</t>
  </si>
  <si>
    <t>Luo Z</t>
  </si>
  <si>
    <t>PMC7878308</t>
  </si>
  <si>
    <t>NIHMS1643020</t>
  </si>
  <si>
    <t>Modulating secreted components of tumor microenvironment: A masterstroke in tumor therapeutics</t>
  </si>
  <si>
    <t>Patel H, Nilendu P, Jahagirdar D, Pal JK, Sharma NK.</t>
  </si>
  <si>
    <t>Cancer Biol Ther. 2018 Jan 2;19(1):3-12. doi: 10.1080/15384047.2017.1394538. Epub 2017 Dec 8.</t>
  </si>
  <si>
    <t>Patel H</t>
  </si>
  <si>
    <t>PMC5790373</t>
  </si>
  <si>
    <t>10.1080/15384047.2017.1394538</t>
  </si>
  <si>
    <t>Small nucleolar RNAs: continuing identification of novel members and increasing diversity of their molecular mechanisms of action</t>
  </si>
  <si>
    <t>Bergeron D, Fafard-Couture É, Scott MS.</t>
  </si>
  <si>
    <t>Biochem Soc Trans. 2020 Apr 29;48(2):645-656. doi: 10.1042/BST20191046.</t>
  </si>
  <si>
    <t>Bergeron D</t>
  </si>
  <si>
    <t>PMC7200641</t>
  </si>
  <si>
    <t>10.1042/BST20191046</t>
  </si>
  <si>
    <t>Involvement of small extracellular vesicle-derived TIE-1 in the chemoresistance of ovarian cancer cells</t>
  </si>
  <si>
    <t>Misawa T, Toyoshima M, Kitatani K, Ishibashi M, Hasegawa-Minato J, Shigeta S, Yaegashi N.</t>
  </si>
  <si>
    <t>Cancer Treat Res Commun. 2021;27:100364. doi: 10.1016/j.ctarc.2021.100364. Epub 2021 Mar 28.</t>
  </si>
  <si>
    <t>Misawa T</t>
  </si>
  <si>
    <t>Cancer Treat Res Commun</t>
  </si>
  <si>
    <t>10.1016/j.ctarc.2021.100364</t>
  </si>
  <si>
    <t>Anticoli S, Aricò E, Arenaccio C, Manfredi F, Chiozzini C, Olivetta E, Ferrantelli F, Lattanzi L, D'Urso MT, Proietti E, Federico M.</t>
  </si>
  <si>
    <t>J Mol Med (Berl). 2018 Feb;96(2):211-221. doi: 10.1007/s00109-017-1617-2. Epub 2017 Dec 27.</t>
  </si>
  <si>
    <t>Anticoli S</t>
  </si>
  <si>
    <t>J Mol Med (Berl)</t>
  </si>
  <si>
    <t>Li Y, Bax C, Patel J, Vazquez T, Ravishankar A, Bashir MM, Grinnell M, Diaz D, Werth VP.</t>
  </si>
  <si>
    <t>Theranostics. 2021 May 21;11(15):7144-7158. doi: 10.7150/thno.59152. eCollection 2021.</t>
  </si>
  <si>
    <t>PMC8210592</t>
  </si>
  <si>
    <t>Extracellular vesicle microRNA in early versus late pregnancy with birth outcomes in the MADRES study</t>
  </si>
  <si>
    <t>Howe CG, Foley HB, Kennedy EM, Eckel SP, Chavez TA, Faham D, Grubbs BH, Al-Marayati L, Lerner D, Suglia S, Bastain TM, Marsit CJ, Breton CV.</t>
  </si>
  <si>
    <t>Epigenetics. 2022 Mar;17(3):269-285. doi: 10.1080/15592294.2021.1899887. Epub 2021 Mar 18.</t>
  </si>
  <si>
    <t>Howe CG</t>
  </si>
  <si>
    <t>PMC8920187</t>
  </si>
  <si>
    <t>10.1080/15592294.2021.1899887</t>
  </si>
  <si>
    <t>Role of Tumor-Derived Extracellular Vesicles in Glioblastoma</t>
  </si>
  <si>
    <t>Chen Y, Jin Y, Wu N.</t>
  </si>
  <si>
    <t>Cells. 2021 Feb 28;10(3):512. doi: 10.3390/cells10030512.</t>
  </si>
  <si>
    <t>Chen Y</t>
  </si>
  <si>
    <t>PMC7997231</t>
  </si>
  <si>
    <t>10.3390/cells10030512</t>
  </si>
  <si>
    <t>Caeiro LD, Alba-Soto CD, Rizzi M, Solana ME, Rodriguez G, Chidichimo AM, Rodriguez ME, Sánchez DO, Levy GV, Tekiel V.</t>
  </si>
  <si>
    <t>PLoS Negl Trop Dis. 2018 May 4;12(5):e0006475. doi: 10.1371/journal.pntd.0006475. eCollection 2018 May.</t>
  </si>
  <si>
    <t>Caeiro LD</t>
  </si>
  <si>
    <t>PMC5955593</t>
  </si>
  <si>
    <t>Clinical utility of emerging biomarkers in prostate cancer liquid biopsies</t>
  </si>
  <si>
    <t>Boerrigter E, Groen LN, Van Erp NP, Verhaegh GW, Schalken JA.</t>
  </si>
  <si>
    <t>Expert Rev Mol Diagn. 2020 Feb;20(2):219-230. doi: 10.1080/14737159.2019.1675515. Epub 2019 Oct 11.</t>
  </si>
  <si>
    <t>Boerrigter E</t>
  </si>
  <si>
    <t>10.1080/14737159.2019.1675515</t>
  </si>
  <si>
    <t>Park KS, Svennerholm K, Crescitelli R, Lässer C, Gribonika I, Lötvall J.</t>
  </si>
  <si>
    <t>J Extracell Vesicles. 2021 Jul;10(9):e12120. doi: 10.1002/jev2.12120. Epub 2021 Jul 3.</t>
  </si>
  <si>
    <t>Park KS</t>
  </si>
  <si>
    <t>PMC8254025</t>
  </si>
  <si>
    <t>Zhang S, Dong Y, Wang Y, Sun W, Wei M, Yuan L, Yang G.</t>
  </si>
  <si>
    <t>Nano Lett. 2021 Oct 27;21(20):8563-8570. doi: 10.1021/acs.nanolett.1c01817. Epub 2021 Oct 14.</t>
  </si>
  <si>
    <t>Zhang S</t>
  </si>
  <si>
    <t>Nano Lett</t>
  </si>
  <si>
    <t>Extracellular vesicles in blood, milk and body fluids of the female and male urogenital tract and with special regard to reproduction</t>
  </si>
  <si>
    <t>Foster BP, Balassa T, Benen TD, Dominovic M, Elmadjian GK, Florova V, Fransolet MD, Kestlerova A, Kmiecik G, Kostadinova IA, Kyvelidou C, Meggyes M, Mincheva MN, Moro L, Pastuschek J, Spoldi V, Wandernoth P, Weber M, Toth B, Markert UR.</t>
  </si>
  <si>
    <t>Crit Rev Clin Lab Sci. 2016 Dec;53(6):379-95. doi: 10.1080/10408363.2016.1190682. Epub 2016 Jul 23.</t>
  </si>
  <si>
    <t>Foster BP</t>
  </si>
  <si>
    <t>Crit Rev Clin Lab Sci</t>
  </si>
  <si>
    <t>10.1080/10408363.2016.1190682</t>
  </si>
  <si>
    <t>Bracht JWP, Gimenez-Capitan A, Huang CY, Potie N, Pedraz-Valdunciel C, Warren S, Rosell R, Molina-Vila MA.</t>
  </si>
  <si>
    <t>Sci Rep. 2021 Feb 12;11(1):3712. doi: 10.1038/s41598-021-83132-0.</t>
  </si>
  <si>
    <t>Bracht JWP</t>
  </si>
  <si>
    <t>PMC7881020</t>
  </si>
  <si>
    <t>Choi Y, Kwon Y, Kim DK, Jeon J, Jang SC, Wang T, Ban M, Kim MH, Jeon SG, Kim MS, Choi CS, Jee YK, Gho YS, Ryu SH, Kim YK.</t>
  </si>
  <si>
    <t>Sci Rep. 2015 Oct 29;5:15878. doi: 10.1038/srep15878.</t>
  </si>
  <si>
    <t>Choi Y</t>
  </si>
  <si>
    <t>PMC4625370</t>
  </si>
  <si>
    <t>Urine-Derived Stem Cells Facilitate Endogenous Spermatogenesis Restoration of Busulfan-Induced Nonobstructive Azoospermic Mice by Paracrine Exosomes</t>
  </si>
  <si>
    <t>Deng C, Xie Y, Zhang C, Ouyang B, Chen H, Lv L, Yao J, Liang X, Zhang Y, Sun X, Deng C, Liu G.</t>
  </si>
  <si>
    <t>Stem Cells Dev. 2019 Oct 1;28(19):1322-1333. doi: 10.1089/scd.2019.0026. Epub 2019 Sep 9.</t>
  </si>
  <si>
    <t>Deng C</t>
  </si>
  <si>
    <t>10.1089/scd.2019.0026</t>
  </si>
  <si>
    <t>Kim SY, Yi DY.</t>
  </si>
  <si>
    <t>Exp Mol Med. 2020 Aug;52(8):1288-1297. doi: 10.1038/s12276-020-0470-5. Epub 2020 Aug 3.</t>
  </si>
  <si>
    <t>Kim SY</t>
  </si>
  <si>
    <t>PMC8080581</t>
  </si>
  <si>
    <t>Dense Transposon Integration Reveals Essential Cleavage and Polyadenylation Factors Promote Heterochromatin Formation</t>
  </si>
  <si>
    <t>Lee SY, Hung S, Esnault C, Pathak R, Johnson KR, Bankole O, Yamashita A, Zhang H, Levin HL.</t>
  </si>
  <si>
    <t>Cell Rep. 2020 Feb 25;30(8):2686-2698.e8. doi: 10.1016/j.celrep.2020.01.094.</t>
  </si>
  <si>
    <t>Lee SY</t>
  </si>
  <si>
    <t>10.1016/j.celrep.2020.01.094</t>
  </si>
  <si>
    <t>Campos A, Salomon C, Bustos R, Díaz J, Martínez S, Silva V, Reyes C, Díaz-Valdivia N, Varas-Godoy M, Lobos-González L, Quest AF.</t>
  </si>
  <si>
    <t>Nanomedicine (Lond). 2018 Oct;13(20):2597-2609. doi: 10.2217/nnm-2018-0094. Epub 2018 Oct 19.</t>
  </si>
  <si>
    <t>Campos A</t>
  </si>
  <si>
    <t>Dong J, Sakai K, Koma Y, Watanabe J, Liu K, Maruyama H, Sakaguchi K, Hibi H.</t>
  </si>
  <si>
    <t>Biochem Biophys Res Commun. 2021 Oct 20;575:28-35. doi: 10.1016/j.bbrc.2021.08.046. Epub 2021 Aug 23.</t>
  </si>
  <si>
    <t>Dong J</t>
  </si>
  <si>
    <t>Isolation and Characterization of Human Adipocyte-Derived Extracellular Vesicles using Filtration and Ultracentrifugation</t>
  </si>
  <si>
    <t>Akbar N, Pinnick KE, Paget D, Choudhury RP.</t>
  </si>
  <si>
    <t>J Vis Exp. 2021 Apr 19;(170). doi: 10.3791/61979.</t>
  </si>
  <si>
    <t>Akbar N</t>
  </si>
  <si>
    <t>10.3791/61979</t>
  </si>
  <si>
    <t>Allen ER, Lempke SL, Miller MM, Bush DM, Braswell BG, Estes CL, Benedict EL, Mahon AR, Sabo SL, Greenlee-Wacker MC.</t>
  </si>
  <si>
    <t>J Leukoc Biol. 2020 Dec;108(6):1841-1850. doi: 10.1002/JLB.3AB0320-156R. Epub 2020 May 25.</t>
  </si>
  <si>
    <t>Allen ER</t>
  </si>
  <si>
    <t>J Leukoc Biol</t>
  </si>
  <si>
    <t>PMC7686018</t>
  </si>
  <si>
    <t>NIHMS1614166</t>
  </si>
  <si>
    <t>Chalapathi D, Padmanabhan S, Manjithaya R, Narayana C.</t>
  </si>
  <si>
    <t>J Phys Chem B. 2020 Dec 3;124(48):10952-10960. doi: 10.1021/acs.jpcb.0c06910. Epub 2020 Oct 23.</t>
  </si>
  <si>
    <t>Chalapathi D</t>
  </si>
  <si>
    <t>J Phys Chem B</t>
  </si>
  <si>
    <t>Kadota T, Yoshioka Y, Fujita Y, Araya J, Minagawa S, Hara H, Miyamoto A, Suzuki S, Fujimori S, Kohno T, Fujii T, Kishi K, Kuwano K, Ochiya T.</t>
  </si>
  <si>
    <t>Am J Respir Cell Mol Biol. 2020 Nov;63(5):623-636. doi: 10.1165/rcmb.2020-0002OC.</t>
  </si>
  <si>
    <t>Dinh TK, Fendler W, Chałubińska-Fendler J, Acharya SS, O'Leary C, Deraska PV, D'Andrea AD, Chowdhury D, Kozono D.</t>
  </si>
  <si>
    <t>Radiat Oncol. 2016 Apr 27;11:61. doi: 10.1186/s13014-016-0636-4.</t>
  </si>
  <si>
    <t>Dinh TK</t>
  </si>
  <si>
    <t>Radiat Oncol</t>
  </si>
  <si>
    <t>PMC4847218</t>
  </si>
  <si>
    <t>Silencing of human papillomavirus (HPV) E6/E7 oncogene expression affects both the contents and the amounts of extracellular microvesicles released from HPV-positive cancer cells</t>
  </si>
  <si>
    <t>Honegger A, Leitz J, Bulkescher J, Hoppe-Seyler K, Hoppe-Seyler F.</t>
  </si>
  <si>
    <t>Int J Cancer. 2013 Oct 1;133(7):1631-42. doi: 10.1002/ijc.28164. Epub 2013 Apr 30.</t>
  </si>
  <si>
    <t>10.1002/ijc.28164</t>
  </si>
  <si>
    <t>Zhang W, Jiang L, Diefenbach RJ, Campbell DH, Walsh BJ, Packer NH, Wang Y.</t>
  </si>
  <si>
    <t>ACS Sens. 2020 Mar 27;5(3):764-771. doi: 10.1021/acssensors.9b02377. Epub 2020 Mar 17.</t>
  </si>
  <si>
    <t>Zaborowska M, Vazirisani F, Shah FA, Firdaus R, Omar O, Ekström K, Trobos M, Thomsen P.</t>
  </si>
  <si>
    <t>Biomaterials. 2021 Nov;278:121158. doi: 10.1016/j.biomaterials.2021.121158. Epub 2021 Sep 28.</t>
  </si>
  <si>
    <t>Zaborowska M</t>
  </si>
  <si>
    <t>Roy JW, Taylor CA, Beauregard AP, Dhadi SR, Ayre DC, Fry S, Chacko S, Wajnberg G, Joy AP, Mai-Thi NN, Crapoulet N, Barnett DA, Ghosh A, Lewis SM, Ouellette RJ.</t>
  </si>
  <si>
    <t>Sci Rep. 2021 Apr 13;11(1):8085. doi: 10.1038/s41598-021-87526-y.</t>
  </si>
  <si>
    <t>Roy JW</t>
  </si>
  <si>
    <t>PMC8044196</t>
  </si>
  <si>
    <t>Chronic-plus-binge alcohol intake induces production of proinflammatory mtDNA-enriched extracellular vesicles and steatohepatitis via ASK1/p38MAPKα-dependent mechanisms</t>
  </si>
  <si>
    <t>Ma J, Cao H, Rodrigues RM, Xu M, Ren T, He Y, Hwang S, Feng D, Ren R, Yang P, Liangpunsakul S, Sun J, Gao B.</t>
  </si>
  <si>
    <t>JCI Insight. 2020 Jul 23;5(14):e136496. doi: 10.1172/jci.insight.136496.</t>
  </si>
  <si>
    <t>JCI Insight</t>
  </si>
  <si>
    <t>PMC7453887</t>
  </si>
  <si>
    <t>Extracellular Vesicles from Pseudomonas aeruginosa Suppress MHC-Related Molecules in Human Lung Macrophages</t>
  </si>
  <si>
    <t>Armstrong DA, Lee MK, Hazlett HF, Dessaint JA, Mellinger DL, Aridgides DS, Hendricks GM, Abdalla MAK, Christensen BC, Ashare A.</t>
  </si>
  <si>
    <t>Immunohorizons. 2020 Aug 20;4(8):508-519. doi: 10.4049/immunohorizons.2000026.</t>
  </si>
  <si>
    <t>Armstrong DA</t>
  </si>
  <si>
    <t>Immunohorizons</t>
  </si>
  <si>
    <t>PMC7728166</t>
  </si>
  <si>
    <t>NIHMS1648737</t>
  </si>
  <si>
    <t>10.4049/immunohorizons.2000026</t>
  </si>
  <si>
    <t>Extracellular Vesicles from Wharton's Jelly Mesenchymal Stem Cells Suppress CD4 Expressing T Cells Through Transforming Growth Factor Beta and Adenosine Signaling in a Canine Model</t>
  </si>
  <si>
    <t>Crain SK, Robinson SR, Thane KE, Davis AM, Meola DM, Barton BA, Yang VK, Hoffman AM.</t>
  </si>
  <si>
    <t>Stem Cells Dev. 2019 Feb 1;28(3):212-226. doi: 10.1089/scd.2018.0097. Epub 2019 Jan 14.</t>
  </si>
  <si>
    <t>Crain SK</t>
  </si>
  <si>
    <t>10.1089/scd.2018.0097</t>
  </si>
  <si>
    <t>Tamura R, Balabanova A, Frakes SA, Bargmann A, Grimm J, Koch TH, Yin H.</t>
  </si>
  <si>
    <t>J Med Chem. 2019 Feb 28;62(4):1959-1970. doi: 10.1021/acs.jmedchem.8b01508. Epub 2019 Feb 13.</t>
  </si>
  <si>
    <t>Tamura R</t>
  </si>
  <si>
    <t>J Med Chem</t>
  </si>
  <si>
    <t>[Effects of 5-aza-2'-deoxycytidine on the amount of exosomes and secreted immuno-associated proteins by hepatoma cells]</t>
  </si>
  <si>
    <t>Sanrengaowa, Wu Y, Xiao WH.</t>
  </si>
  <si>
    <t>Zhonghua Zhong Liu Za Zhi. 2009 Jul;31(7):495-9.</t>
  </si>
  <si>
    <t>Sanrengaowa</t>
  </si>
  <si>
    <t>Microfluidic platforms for extracellular vesicle isolation, analysis and therapy in cancer</t>
  </si>
  <si>
    <t>Abreu CM, Costa-Silva B, Reis RL, Kundu SC, Caballero D.</t>
  </si>
  <si>
    <t>Lab Chip. 2022 Mar 15;22(6):1093-1125. doi: 10.1039/d2lc00006g.</t>
  </si>
  <si>
    <t>Abreu CM</t>
  </si>
  <si>
    <t>10.1039/d2lc00006g</t>
  </si>
  <si>
    <t>Zhang H, Deng T, Ge S, Liu Y, Bai M, Zhu K, Fan Q, Li J, Ning T, Tian F, Li H, Sun W, Ying G, Ba Y.</t>
  </si>
  <si>
    <t>Oncogene. 2019 Apr;38(15):2844-2859. doi: 10.1038/s41388-018-0619-z. Epub 2018 Dec 13.</t>
  </si>
  <si>
    <t>PMC6484761</t>
  </si>
  <si>
    <t>A new class of genic nuclear RNA species in Arabidopsis</t>
  </si>
  <si>
    <t>van Wonterghem M, Thieffry A, Boyd M, Bornholdt J, Brodersen P.</t>
  </si>
  <si>
    <t>FEBS Lett. 2018 Feb;592(4):631-643. doi: 10.1002/1873-3468.12981. Epub 2018 Feb 6.</t>
  </si>
  <si>
    <t>van Wonterghem M</t>
  </si>
  <si>
    <t>10.1002/1873-3468.12981</t>
  </si>
  <si>
    <t>Joerger-Messerli MS, Oppliger B, Spinelli M, Thomi G, di Salvo I, Schneider P, Schoeberlein A.</t>
  </si>
  <si>
    <t>Cell Transplant. 2018 Jan;27(1):168-180. doi: 10.1177/0963689717738256.</t>
  </si>
  <si>
    <t>Joerger-Messerli MS</t>
  </si>
  <si>
    <t>Cell Transplant</t>
  </si>
  <si>
    <t>PMC6434490</t>
  </si>
  <si>
    <t>SUMOylated Senataxin functions in genome stability, RNA degradation, and stress granule disassembly, and is linked with inherited ataxia and motor neuron disease</t>
  </si>
  <si>
    <t>Bennett CL, La Spada AR.</t>
  </si>
  <si>
    <t>Mol Genet Genomic Med. 2021 Dec;9(12):e1745. doi: 10.1002/mgg3.1745. Epub 2021 Jul 14.</t>
  </si>
  <si>
    <t>Bennett CL</t>
  </si>
  <si>
    <t>Mol Genet Genomic Med</t>
  </si>
  <si>
    <t>PMC8683630</t>
  </si>
  <si>
    <t>10.1002/mgg3.1745</t>
  </si>
  <si>
    <t>Mesenchymal Stem Cell-Derived Extracellular Vesicles Attenuate Radiation-Induced Lung Injury via miRNA-214-3p</t>
  </si>
  <si>
    <t>Lei X, He N, Zhu L, Zhou M, Zhang K, Wang C, Huang H, Chen S, Li Y, Liu Q, Han Z, Guo Z, Han Z, Li Z.</t>
  </si>
  <si>
    <t>Antioxid Redox Signal. 2021 Oct 10;35(11):849-862. doi: 10.1089/ars.2019.7965. Epub 2020 Aug 7.</t>
  </si>
  <si>
    <t>Lei X</t>
  </si>
  <si>
    <t>Antioxid Redox Signal</t>
  </si>
  <si>
    <t>Chen J, Xu Y, Wang X, Liu D, Yang F, Zhu X, Lu Y, Xing W.</t>
  </si>
  <si>
    <t>Lab Chip. 2019 Jan 29;19(3):432-443. doi: 10.1039/c8lc01193a.</t>
  </si>
  <si>
    <t>Intercellular Transmission of Naked Viruses through Extracellular Vesicles: Focus on Polyomaviruses</t>
  </si>
  <si>
    <t>Helle F, Handala L, Bentz M, Duverlie G, Brochot E.</t>
  </si>
  <si>
    <t>Viruses. 2020 Sep 26;12(10):1086. doi: 10.3390/v12101086.</t>
  </si>
  <si>
    <t>Helle F</t>
  </si>
  <si>
    <t>PMC7599864</t>
  </si>
  <si>
    <t>10.3390/v12101086</t>
  </si>
  <si>
    <t>Harshyne LA, Hooper KM, Andrews EG, Nasca BJ, Kenyon LC, Andrews DW, Hooper DC.</t>
  </si>
  <si>
    <t>Cancer Immunol Immunother. 2015 Mar;64(3):299-309. doi: 10.1007/s00262-014-1622-z. Epub 2014 Nov 14.</t>
  </si>
  <si>
    <t>Harshyne LA</t>
  </si>
  <si>
    <t>Cancer Immunol Immunother</t>
  </si>
  <si>
    <t>Rooj AK, Mineo M, Godlewski J.</t>
  </si>
  <si>
    <t>Brain Tumor Pathol. 2016 Apr;33(2):77-88. doi: 10.1007/s10014-016-0259-3. Epub 2016 Mar 11.</t>
  </si>
  <si>
    <t>Rooj AK</t>
  </si>
  <si>
    <t>Brain Tumor Pathol</t>
  </si>
  <si>
    <t>PMC4853899</t>
  </si>
  <si>
    <t>NIHMS768123</t>
  </si>
  <si>
    <t>In Vivo Tracking of Mesenchymal Stem Cell-Derived Extracellular Vesicles Improving Mitochondrial Function in Renal Ischemia-Reperfusion Injury</t>
  </si>
  <si>
    <t>Cao H, Cheng Y, Gao H, Zhuang J, Zhang W, Bian Q, Wang F, Du Y, Li Z, Kong D, Ding D, Wang Y.</t>
  </si>
  <si>
    <t>ACS Nano. 2020 Apr 28;14(4):4014-4026. doi: 10.1021/acsnano.9b08207. Epub 2020 Apr 3.</t>
  </si>
  <si>
    <t>Cao H</t>
  </si>
  <si>
    <t>Noncoding RNA transcription targets AID to divergently transcribed loci in B cells</t>
  </si>
  <si>
    <t>Pefanis E, Wang J, Rothschild G, Lim J, Chao J, Rabadan R, Economides AN, Basu U.</t>
  </si>
  <si>
    <t>Nature. 2014 Oct 16;514(7522):389-93. doi: 10.1038/nature13580. Epub 2014 Aug 6.</t>
  </si>
  <si>
    <t>Pefanis E</t>
  </si>
  <si>
    <t>PMC4372240</t>
  </si>
  <si>
    <t>NIHMS670222</t>
  </si>
  <si>
    <t>10.1038/nature13580</t>
  </si>
  <si>
    <t>Hashizume S, Nakano M, Kubota K, Sato S, Himuro N, Kobayashi E, Takaoka A, Fujimiya M.</t>
  </si>
  <si>
    <t>Sci Rep. 2021 Nov 8;11(1):21848. doi: 10.1038/s41598-021-01318-y.</t>
  </si>
  <si>
    <t>Hashizume S</t>
  </si>
  <si>
    <t>PMC8575875</t>
  </si>
  <si>
    <t>CircHivep2 contributes to microglia activation and inflammation via miR-181a-5p/SOCS2 signalling in mice with kainic acid-induced epileptic seizures</t>
  </si>
  <si>
    <t>Xiaoying G, Guo M, Jie L, Yanmei Z, Ying C, Shengjie S, Haiyan G, Feixiang S, Sihua Q, Jiahang S.</t>
  </si>
  <si>
    <t>J Cell Mol Med. 2020 Nov;24(22):12980-12993. doi: 10.1111/jcmm.15894. Epub 2020 Oct 1.</t>
  </si>
  <si>
    <t>Xiaoying G</t>
  </si>
  <si>
    <t>PMC7701587</t>
  </si>
  <si>
    <t>10.1111/jcmm.15894</t>
  </si>
  <si>
    <t>Noncoding RNA processing by DIS3 regulates chromosomal architecture and somatic hypermutation in B cells</t>
  </si>
  <si>
    <t>Laffleur B, Lim J, Zhang W, Chen Y, Pefanis E, Bizarro J, Batista CR, Wu L, Economides AN, Wang J, Basu U.</t>
  </si>
  <si>
    <t>Nat Genet. 2021 Feb;53(2):230-242. doi: 10.1038/s41588-020-00772-0. Epub 2021 Feb 1.</t>
  </si>
  <si>
    <t>Nat Genet</t>
  </si>
  <si>
    <t>PMC8011275</t>
  </si>
  <si>
    <t>NIHMS1682446</t>
  </si>
  <si>
    <t>10.1038/s41588-020-00772-0</t>
  </si>
  <si>
    <t>Yang R, Yu T, Kou X, Gao X, Chen C, Liu D, Zhou Y, Shi S.</t>
  </si>
  <si>
    <t>Nat Commun. 2018 Jun 1;9(1):2143. doi: 10.1038/s41467-018-04464-6.</t>
  </si>
  <si>
    <t>Yang R</t>
  </si>
  <si>
    <t>PMC5984622</t>
  </si>
  <si>
    <t>Li P, Wang J, Gao M, Wang J, Ma Y, Gu Y.</t>
  </si>
  <si>
    <t>Anal Chem. 2021 Jul 20;93(28):9860-9868. doi: 10.1021/acs.analchem.1c01712. Epub 2021 Jul 12.</t>
  </si>
  <si>
    <t>Casadei L, Calore F, Braggio DA, Zewdu A, Deshmukh AA, Fadda P, Lopez G, Wabitsch M, Song C, Leight JL, Grignol VP, Lev D, Croce CM, Pollock RE.</t>
  </si>
  <si>
    <t>Cancer Res. 2019 Oct 1;79(19):4911-4922. doi: 10.1158/0008-5472.CAN-19-0203. Epub 2019 Aug 6.</t>
  </si>
  <si>
    <t>PMC6774856</t>
  </si>
  <si>
    <t>NIHMS1536985</t>
  </si>
  <si>
    <t>Qin Y, Guo Z, Huang H, Zhu L, Dong S, Zhu YG, Cui L, Huang Q.</t>
  </si>
  <si>
    <t>Environ Sci Technol. 2022 May 3;56(9):5653-5663. doi: 10.1021/acs.est.1c08654. Epub 2022 Apr 19.</t>
  </si>
  <si>
    <t>Qin Y</t>
  </si>
  <si>
    <t>Environ Sci Technol</t>
  </si>
  <si>
    <t>The role of the Cer1 transposon in horizontal transfer of transgenerational memory</t>
  </si>
  <si>
    <t>Moore RS, Kaletsky R, Lesnik C, Cota V, Blackman E, Parsons LR, Gitai Z, Murphy CT.</t>
  </si>
  <si>
    <t>Cell. 2021 Sep 2;184(18):4697-4712.e18. doi: 10.1016/j.cell.2021.07.022. Epub 2021 Aug 6.</t>
  </si>
  <si>
    <t>Moore RS</t>
  </si>
  <si>
    <t>PMC8812995</t>
  </si>
  <si>
    <t>NIHMS1755712</t>
  </si>
  <si>
    <t>10.1016/j.cell.2021.07.022</t>
  </si>
  <si>
    <t>Li S, Liu Q, Geng Z, Li K, Zhao T, Liu P.</t>
  </si>
  <si>
    <t>Anal Chem. 2021 May 25;93(20):7405-7412. doi: 10.1021/acs.analchem.0c02107. Epub 2021 May 11.</t>
  </si>
  <si>
    <t>Emami A, Talaei-Khozani T, Tavanafar S, Zareifard N, Azarpira N, Vojdani Z.</t>
  </si>
  <si>
    <t>J Transl Med. 2020 Sep 22;18(1):361. doi: 10.1186/s12967-020-02525-3.</t>
  </si>
  <si>
    <t>Emami A</t>
  </si>
  <si>
    <t>PMC7510292</t>
  </si>
  <si>
    <t>Nakayama-Imaohji H, Hirota K, Yamasaki H, Yoneda S, Nariya H, Suzuki M, Secher T, Miyake Y, Oswald E, Hayashi T, Kuwahara T.</t>
  </si>
  <si>
    <t>PLoS One. 2016 Feb 9;11(2):e0148887. doi: 10.1371/journal.pone.0148887. eCollection 2016.</t>
  </si>
  <si>
    <t>Nakayama-Imaohji H</t>
  </si>
  <si>
    <t>PMC4747536</t>
  </si>
  <si>
    <t>Yu L, Liu S, Wang C, Zhang C, Wen Y, Zhang K, Chen S, Huang H, Liu Y, Wu L, Han Z, Chen X, Li Z, Liu N.</t>
  </si>
  <si>
    <t>Stem Cell Res Ther. 2021 Jul 2;12(1):379. doi: 10.1186/s13287-021-02460-0.</t>
  </si>
  <si>
    <t>Yu L</t>
  </si>
  <si>
    <t>PMC8254253</t>
  </si>
  <si>
    <t>Distinct roles of non-canonical poly(A) polymerases in RNA metabolism</t>
  </si>
  <si>
    <t>San Paolo S, Vanacova S, Schenk L, Scherrer T, Blank D, Keller W, Gerber AP.</t>
  </si>
  <si>
    <t>PLoS Genet. 2009 Jul;5(7):e1000555. doi: 10.1371/journal.pgen.1000555. Epub 2009 Jul 10.</t>
  </si>
  <si>
    <t>San Paolo S</t>
  </si>
  <si>
    <t>PMC2700272</t>
  </si>
  <si>
    <t>10.1371/journal.pgen.1000555</t>
  </si>
  <si>
    <t>Dabrafenib treatment in a patient with BRAF V600E ganglioglioma: circulating exosome-derived cancer RNA supports treatment choice and clinical monitoring</t>
  </si>
  <si>
    <t>Pasqualetti F, Restante G, Gonnelli A, Rofi E, Molinari A, Crucitta S, Paiar F, Rudà R, Danesi R, Soffietti R, Del Re M.</t>
  </si>
  <si>
    <t>Neuro Oncol. 2019 Dec 17;21(12):1610-1611. doi: 10.1093/neuonc/noz157.</t>
  </si>
  <si>
    <t>Pasqualetti F</t>
  </si>
  <si>
    <t>PMC6917399</t>
  </si>
  <si>
    <t>10.1093/neuonc/noz157</t>
  </si>
  <si>
    <t>Germline mutation of RPS20, encoding a ribosomal protein, causes predisposition to hereditary nonpolyposis colorectal carcinoma without DNA mismatch repair deficiency</t>
  </si>
  <si>
    <t>Nieminen TT, O'Donohue MF, Wu Y, Lohi H, Scherer SW, Paterson AD, Ellonen P, Abdel-Rahman WM, Valo S, Mecklin JP, Järvinen HJ, Gleizes PE, Peltomäki P.</t>
  </si>
  <si>
    <t>Gastroenterology. 2014 Sep;147(3):595-598.e5. doi: 10.1053/j.gastro.2014.06.009. Epub 2014 Jun 15.</t>
  </si>
  <si>
    <t>Nieminen TT</t>
  </si>
  <si>
    <t>PMC4155505</t>
  </si>
  <si>
    <t>10.1053/j.gastro.2014.06.009</t>
  </si>
  <si>
    <t>Nguyen B, Wong NC, Semple T, Clark M, Wong SQ, Leslie C, Mirzai B, Millward M, Meehan K, Lim AM.</t>
  </si>
  <si>
    <t>Sci Rep. 2021 Feb 17;11(1):4016. doi: 10.1038/s41598-021-83436-1.</t>
  </si>
  <si>
    <t>Nguyen B</t>
  </si>
  <si>
    <t>PMC7889887</t>
  </si>
  <si>
    <t>Associations between maternal lifetime stressors and negative events in pregnancy and breast milk-derived extracellular vesicle microRNAs in the programming of intergenerational stress mechanisms (PRISM) pregnancy cohort</t>
  </si>
  <si>
    <t>Bozack AK, Colicino E, Rodosthenous R, Bloomquist TR, Baccarelli AA, Wright RO, Wright RJ, Lee AG.</t>
  </si>
  <si>
    <t>Epigenetics. 2021 Apr;16(4):389-404. doi: 10.1080/15592294.2020.1805677. Epub 2020 Aug 25.</t>
  </si>
  <si>
    <t>Bozack AK</t>
  </si>
  <si>
    <t>PMC7996083</t>
  </si>
  <si>
    <t>10.1080/15592294.2020.1805677</t>
  </si>
  <si>
    <t>Synthetic microparticles conjugated with VEGF(165) improve the survival of endothelial progenitor cells via microRNA-17 inhibition</t>
  </si>
  <si>
    <t>Aday S, Zoldan J, Besnier M, Carreto L, Saif J, Fernandes R, Santos T, Bernardino L, Langer R, Emanueli C, Ferreira L.</t>
  </si>
  <si>
    <t>Nat Commun. 2017 Sep 29;8(1):747. doi: 10.1038/s41467-017-00746-7.</t>
  </si>
  <si>
    <t>Aday S</t>
  </si>
  <si>
    <t>PMC5622042</t>
  </si>
  <si>
    <t>10.1038/s41467-017-00746-7</t>
  </si>
  <si>
    <t>Tawil N, Bassawon R, Meehan B, Nehme A, Montermini L, Gayden T, De Jay N, Spinelli C, Chennakrishnaiah S, Choi D, Adnani L, Zeinieh M, Jabado N, Kleinman CL, Witcher M, Riazalhosseini Y, Key NS, Schiff D, Grover SP, Mackman N, Couturier CP, Petrecca K, Suvà ML, Patel A, Tirosh I, Najafabadi H, Rak J.</t>
  </si>
  <si>
    <t>Blood Adv. 2021 Mar 23;5(6):1682-1694. doi: 10.1182/bloodadvances.2020002998.</t>
  </si>
  <si>
    <t>Tawil N</t>
  </si>
  <si>
    <t>Blood Adv</t>
  </si>
  <si>
    <t>PMC7993100</t>
  </si>
  <si>
    <t>DDX60, a DEXD/H box helicase, is a novel antiviral factor promoting RIG-I-like receptor-mediated signaling</t>
  </si>
  <si>
    <t>Miyashita M, Oshiumi H, Matsumoto M, Seya T.</t>
  </si>
  <si>
    <t>Mol Cell Biol. 2011 Sep;31(18):3802-19. doi: 10.1128/MCB.01368-10. Epub 2011 Jul 26.</t>
  </si>
  <si>
    <t>Miyashita M</t>
  </si>
  <si>
    <t>PMC3165724</t>
  </si>
  <si>
    <t>10.1128/MCB.01368-10</t>
  </si>
  <si>
    <t>The potential role of miRNAs and exosomes in chemotherapy in ovarian cancer</t>
  </si>
  <si>
    <t>Alharbi M, Zuñiga F, Elfeky O, Guanzon D, Lai A, Rice GE, Perrin L, Hooper J, Salomon C.</t>
  </si>
  <si>
    <t>Endocr Relat Cancer. 2018 Dec 1;25(12):R663-R685. doi: 10.1530/ERC-18-0019.</t>
  </si>
  <si>
    <t>Endocr Relat Cancer</t>
  </si>
  <si>
    <t>10.1530/ERC-18-0019</t>
  </si>
  <si>
    <t>Liu J, Cvirkaite-Krupovic V, Commere PH, Yang Y, Zhou F, Forterre P, Shen Y, Krupovic M.</t>
  </si>
  <si>
    <t>ISME J. 2021 Oct;15(10):2892-2905. doi: 10.1038/s41396-021-00984-0. Epub 2021 Apr 26.</t>
  </si>
  <si>
    <t>Liu J</t>
  </si>
  <si>
    <t>PMC8443754</t>
  </si>
  <si>
    <t>Xu D, Wang Y, Zhou K, Wu J, Zhang Z, Zhang J, Yu Z, Liu L, Liu X, Li B, Zheng J.</t>
  </si>
  <si>
    <t>Biosci Rep. 2020 Dec 23;40(12):BSR20201087. doi: 10.1042/BSR20201087.</t>
  </si>
  <si>
    <t>Xu D</t>
  </si>
  <si>
    <t>Biosci Rep</t>
  </si>
  <si>
    <t>PMC7724614</t>
  </si>
  <si>
    <t>Liquid biopsy in ovarian cancer: recent advances in circulating extracellular vesicle detection for early diagnosis and monitoring progression</t>
  </si>
  <si>
    <t>Chang L, Ni J, Zhu Y, Pang B, Graham P, Zhang H, Li Y.</t>
  </si>
  <si>
    <t>Theranostics. 2019 May 31;9(14):4130-4140. doi: 10.7150/thno.34692. eCollection 2019.</t>
  </si>
  <si>
    <t>Chang L</t>
  </si>
  <si>
    <t>PMC6592165</t>
  </si>
  <si>
    <t>10.7150/thno.34692</t>
  </si>
  <si>
    <t>Nishiyama K, Takaki T, Sugiyama M, Fukuda I, Aiso M, Mukai T, Odamaki T, Xiao JZ, Osawa R, Okada N.</t>
  </si>
  <si>
    <t>Appl Environ Microbiol. 2020 Sep 17;86(19):e01464-20. doi: 10.1128/AEM.01464-20. Print 2020 Sep 17.</t>
  </si>
  <si>
    <t>Nishiyama K</t>
  </si>
  <si>
    <t>PMC7499026</t>
  </si>
  <si>
    <t>Cross talk of combined gene and cell therapy in ischemic heart disease: role of exosomal microRNA transfer</t>
  </si>
  <si>
    <t>Ong SG, Lee WH, Huang M, Dey D, Kodo K, Sanchez-Freire V, Gold JD, Wu JC.</t>
  </si>
  <si>
    <t>Circulation. 2014 Sep 9;130(11 Suppl 1):S60-9. doi: 10.1161/CIRCULATIONAHA.113.007917.</t>
  </si>
  <si>
    <t>Ong SG</t>
  </si>
  <si>
    <t>Circulation</t>
  </si>
  <si>
    <t>PMC4862832</t>
  </si>
  <si>
    <t>NIHMS784279</t>
  </si>
  <si>
    <t>10.1161/CIRCULATIONAHA.113.007917</t>
  </si>
  <si>
    <t>A translational perspective on epigenetics in allergic diseases</t>
  </si>
  <si>
    <t>Tost J.</t>
  </si>
  <si>
    <t>J Allergy Clin Immunol. 2018 Sep;142(3):715-726. doi: 10.1016/j.jaci.2018.07.009.</t>
  </si>
  <si>
    <t>Tost J</t>
  </si>
  <si>
    <t>J Allergy Clin Immunol</t>
  </si>
  <si>
    <t>10.1016/j.jaci.2018.07.009</t>
  </si>
  <si>
    <t>Epididymal specific, selenium-independent GPX5 protects cells from oxidative stress-induced lipid peroxidation and DNA mutation</t>
  </si>
  <si>
    <t>Taylor A, Robson A, Houghton BC, Jepson CA, Ford WC, Frayne J.</t>
  </si>
  <si>
    <t>Hum Reprod. 2013 Sep;28(9):2332-42. doi: 10.1093/humrep/det237. Epub 2013 May 21.</t>
  </si>
  <si>
    <t>Taylor A</t>
  </si>
  <si>
    <t>Hum Reprod</t>
  </si>
  <si>
    <t>10.1093/humrep/det237</t>
  </si>
  <si>
    <t>Liquid Biopsy Strategies to Distinguish Progression from Pseudoprogression and Radiation Necrosis in Glioblastomas</t>
  </si>
  <si>
    <t>Yekula A, Muralidharan K, Rosh ZS, Youngkin AE, Kang KM, Balaj L, Carter BS.</t>
  </si>
  <si>
    <t>Adv Biosyst. 2020 Dec;4(12):e2000029. doi: 10.1002/adbi.202000029. Epub 2020 Jun 2.</t>
  </si>
  <si>
    <t>Yekula A</t>
  </si>
  <si>
    <t>PMC7708392</t>
  </si>
  <si>
    <t>NIHMS1602186</t>
  </si>
  <si>
    <t>10.1002/adbi.202000029</t>
  </si>
  <si>
    <t>Somatic copy number aberrations in metastatic patients: The promise of liquid biopsies</t>
  </si>
  <si>
    <t>Baldacchino S, Grech G.</t>
  </si>
  <si>
    <t>Semin Cancer Biol. 2020 Feb;60:302-310. doi: 10.1016/j.semcancer.2019.12.014. Epub 2019 Dec 28.</t>
  </si>
  <si>
    <t>Baldacchino S</t>
  </si>
  <si>
    <t>10.1016/j.semcancer.2019.12.014</t>
  </si>
  <si>
    <t>Yoo JY, Rho M, You YA, Kwon EJ, Kim MH, Kym S, Jee YK, Kim YK, Kim YJ.</t>
  </si>
  <si>
    <t>Exp Mol Med. 2016 Feb 5;48(2):e208. doi: 10.1038/emm.2015.110.</t>
  </si>
  <si>
    <t>Yoo JY</t>
  </si>
  <si>
    <t>PMC4892867</t>
  </si>
  <si>
    <t>Transfer of MicroRNA via Macrophage-Derived Extracellular Vesicles Promotes Proneural-to-Mesenchymal Transition in Glioma Stem Cells</t>
  </si>
  <si>
    <t>Zhang Z, Xu J, Chen Z, Wang H, Xue H, Yang C, Guo Q, Qi Y, Guo X, Qian M, Wang S, Qiu W, Gao X, Zhao R, Guo X, Li G.</t>
  </si>
  <si>
    <t>Cancer Immunol Res. 2020 Jul;8(7):966-981. doi: 10.1158/2326-6066.CIR-19-0759. Epub 2020 Apr 29.</t>
  </si>
  <si>
    <t>Zhang Z</t>
  </si>
  <si>
    <t>10.1158/2326-6066.CIR-19-0759</t>
  </si>
  <si>
    <t>Sun L, Meckes DG Jr.</t>
  </si>
  <si>
    <t>Sci Rep. 2021 Jun 14;11(1):12477. doi: 10.1038/s41598-021-92012-6.</t>
  </si>
  <si>
    <t>Sun L</t>
  </si>
  <si>
    <t>PMC8203679</t>
  </si>
  <si>
    <t>HucMSC exosome-delivered 14-3-3ζ alleviates ultraviolet radiation-induced photodamage via SIRT1 pathway modulation</t>
  </si>
  <si>
    <t>Wu P, Zhang B, Han X, Sun Y, Sun Z, Li L, Zhou X, Jin Q, Fu P, Xu W, Qian H.</t>
  </si>
  <si>
    <t>Aging (Albany NY). 2021 Apr 21;13(8):11542-11563. doi: 10.18632/aging.202851. Epub 2021 Apr 21.</t>
  </si>
  <si>
    <t>Wu P</t>
  </si>
  <si>
    <t>PMC8109102</t>
  </si>
  <si>
    <t>10.18632/aging.202851</t>
  </si>
  <si>
    <t>Targeted inhibition of SIRT6 via engineered exosomes impairs tumorigenesis and metastasis in prostate cancer</t>
  </si>
  <si>
    <t>Han Q, Xie QR, Li F, Cheng Y, Wu T, Zhang Y, Lu X, Wong AST, Sha J, Xia W.</t>
  </si>
  <si>
    <t>Theranostics. 2021 Apr 26;11(13):6526-6541. doi: 10.7150/thno.53886. eCollection 2021.</t>
  </si>
  <si>
    <t>Han Q</t>
  </si>
  <si>
    <t>PMC8120217</t>
  </si>
  <si>
    <t>10.7150/thno.53886</t>
  </si>
  <si>
    <t>Liquid biopsy in the era of immuno-oncology: is it ready for prime-time use for cancer patients?</t>
  </si>
  <si>
    <t>Hofman P, Heeke S, Alix-Panabières C, Pantel K.</t>
  </si>
  <si>
    <t>Ann Oncol. 2019 Sep 1;30(9):1448-1459. doi: 10.1093/annonc/mdz196.</t>
  </si>
  <si>
    <t>Hofman P</t>
  </si>
  <si>
    <t>10.1093/annonc/mdz196</t>
  </si>
  <si>
    <t>Binenbaum Y, Fridman E, Yaari Z, Milman N, Schroeder A, Ben David G, Shlomi T, Gil Z.</t>
  </si>
  <si>
    <t>Cancer Res. 2018 Sep 15;78(18):5287-5299. doi: 10.1158/0008-5472.CAN-18-0124. Epub 2018 Jul 24.</t>
  </si>
  <si>
    <t>Binenbaum Y</t>
  </si>
  <si>
    <t>Clark K, Zhang S, Barthe S, Kumar P, Pivetti C, Kreutzberg N, Reed C, Wang Y, Paxton Z, Farmer D, Guo F, Wang A.</t>
  </si>
  <si>
    <t>Cells. 2019 Nov 23;8(12):1497. doi: 10.3390/cells8121497.</t>
  </si>
  <si>
    <t>Clark K</t>
  </si>
  <si>
    <t>PMC6952942</t>
  </si>
  <si>
    <t>Comprehensive characterization of hepatocyte-derived extracellular vesicles identifies direct miRNA-based regulation of hepatic stellate cells and DAMP-based hepatic macrophage IL-1β and IL-17 upregulation in alcoholic hepatitis mice</t>
  </si>
  <si>
    <t>Eguchi A, Yan R, Pan SQ, Wu R, Kim J, Chen Y, Ansong C, Smith RD, Tempaku M, Ohno-Machado L, Takei Y, Feldstein AE, Tsukamoto H.</t>
  </si>
  <si>
    <t>J Mol Med (Berl). 2020 Jul;98(7):1021-1034. doi: 10.1007/s00109-020-01926-7. Epub 2020 Jun 18.</t>
  </si>
  <si>
    <t>Eguchi A</t>
  </si>
  <si>
    <t>PMC7810220</t>
  </si>
  <si>
    <t>NIHMS1658484</t>
  </si>
  <si>
    <t>Novel Markers for Liquid Biopsies in Cancer Management: Circulating Platelets and Extracellular Vesicles</t>
  </si>
  <si>
    <t>Corvigno S, Johnson AM, Wong KK, Cho MS, Afshar-Kharghan V, Menter DG, Sood AK.</t>
  </si>
  <si>
    <t>Mol Cancer Ther. 2022 Jul 5;21(7):1067-1075. doi: 10.1158/1535-7163.MCT-22-0087.</t>
  </si>
  <si>
    <t>Corvigno S</t>
  </si>
  <si>
    <t>Mol Cancer Ther</t>
  </si>
  <si>
    <t>10.1158/1535-7163.MCT-22-0087</t>
  </si>
  <si>
    <t>Paproski RJ, Jovel J, Wong GK, Lewis JD, Zemp RJ.</t>
  </si>
  <si>
    <t>Cancer Res. 2017 Jan 1;77(1):3-13. doi: 10.1158/0008-5472.CAN-15-3231. Epub 2016 Oct 28.</t>
  </si>
  <si>
    <t>Paproski RJ</t>
  </si>
  <si>
    <t>Charoenviriyakul C, Takahashi Y, Morishita M, Nishikawa M, Takakura Y.</t>
  </si>
  <si>
    <t>Mol Pharm. 2018 Mar 5;15(3):1073-1080. doi: 10.1021/acs.molpharmaceut.7b00950. Epub 2018 Feb 6.</t>
  </si>
  <si>
    <t>Charoenviriyakul C</t>
  </si>
  <si>
    <t>A Novel Epigenetic Silencing Pathway Involving the Highly Conserved 5'-3' Exoribonuclease Dhp1/Rat1/Xrn2 in Schizosaccharomyces pombe</t>
  </si>
  <si>
    <t>Tucker JF, Ohle C, Schermann G, Bendrin K, Zhang W, Fischer T, Zhang K.</t>
  </si>
  <si>
    <t>PLoS Genet. 2016 Feb 18;12(2):e1005873. doi: 10.1371/journal.pgen.1005873. eCollection 2016 Feb.</t>
  </si>
  <si>
    <t>Tucker JF</t>
  </si>
  <si>
    <t>PMC4758730</t>
  </si>
  <si>
    <t>10.1371/journal.pgen.1005873</t>
  </si>
  <si>
    <t>DNA methylation-mediated repression of exosomal miR-652-5p expression promotes oesophageal squamous cell carcinoma aggressiveness by targeting PARG and VEGF pathways</t>
  </si>
  <si>
    <t>Gao P, Wang D, Liu M, Chen S, Yang Z, Zhang J, Wang H, Niu Y, Wang W, Yang J, Sun G.</t>
  </si>
  <si>
    <t>PLoS Genet. 2020 Apr 28;16(4):e1008592. doi: 10.1371/journal.pgen.1008592. eCollection 2020 Apr.</t>
  </si>
  <si>
    <t>Gao P</t>
  </si>
  <si>
    <t>PMC7188198</t>
  </si>
  <si>
    <t>10.1371/journal.pgen.1008592</t>
  </si>
  <si>
    <t>Salaud C, Alvarez-Arenas A, Geraldo F, Belmonte-Beitia J, Calvo GF, Gratas C, Pecqueur C, Garnier D, Pérez-Garcià V, Vallette FM, Oliver L.</t>
  </si>
  <si>
    <t>Biochem Biophys Res Commun. 2020 Nov 26;533(1):139-147. doi: 10.1016/j.bbrc.2020.08.101. Epub 2020 Sep 15.</t>
  </si>
  <si>
    <t>Salaud C</t>
  </si>
  <si>
    <t>Kyung Lee M, Armstrong DA, Hazlett HF, Dessaint JA, Mellinger DL, Aridgides DS, Christensen BC, Ashare A.</t>
  </si>
  <si>
    <t>Epigenetics. 2021 Nov;16(11):1187-1200. doi: 10.1080/15592294.2020.1853318. Epub 2020 Dec 31.</t>
  </si>
  <si>
    <t>Kyung Lee M</t>
  </si>
  <si>
    <t>PMC8813072</t>
  </si>
  <si>
    <t>In vitro cultured human endometrial cells release extracellular vesicles that can be uptaken by spermatozoa</t>
  </si>
  <si>
    <t>Murdica V, Giacomini E, Makieva S, Zarovni N, Candiani M, Salonia A, Vago R, Viganò P.</t>
  </si>
  <si>
    <t>Sci Rep. 2020 Jun 1;10(1):8856. doi: 10.1038/s41598-020-65517-9.</t>
  </si>
  <si>
    <t>Murdica V</t>
  </si>
  <si>
    <t>PMC7264351</t>
  </si>
  <si>
    <t>10.1038/s41598-020-65517-9</t>
  </si>
  <si>
    <t>Mangino G, Iuliano M, Carlomagno S, Bernardini N, Rosa P, Chiantore MV, Skroza N, Calogero A, Potenza C, Romeo G.</t>
  </si>
  <si>
    <t>Exp Dermatol. 2019 Sep;28(9):1066-1073. doi: 10.1111/exd.14015.</t>
  </si>
  <si>
    <t>Mangino G</t>
  </si>
  <si>
    <t>Modulation of exosome-mediated mRNA turnover by interaction of GTP-binding protein 1 (GTPBP1) with its target mRNAs</t>
  </si>
  <si>
    <t>Woo KC, Kim TD, Lee KH, Kim DY, Kim S, Lee HR, Kang HJ, Chung SJ, Senju S, Nishimura Y, Kim KT.</t>
  </si>
  <si>
    <t>FASEB J. 2011 Aug;25(8):2757-69. doi: 10.1096/fj.10-178715. Epub 2011 Apr 22.</t>
  </si>
  <si>
    <t>Woo KC</t>
  </si>
  <si>
    <t>10.1096/fj.10-178715</t>
  </si>
  <si>
    <t>Schwartz RE, Shokhirev MN, Andrade LR, Gutkind JS, Iglesias-Bartolome R, Shadel GS.</t>
  </si>
  <si>
    <t>Aging (Albany NY). 2021 Feb 12;13(4):4747-4777. doi: 10.18632/aging.202658. Epub 2021 Feb 12.</t>
  </si>
  <si>
    <t>Schwartz RE</t>
  </si>
  <si>
    <t>PMC7950289</t>
  </si>
  <si>
    <t>10.18632/aging.202658</t>
  </si>
  <si>
    <t>Parvovirus B19V Nonstructural Protein NS1 Induces Double-Stranded Deoxyribonucleic Acid Autoantibodies and End-Organ Damage in Nonautoimmune Mice</t>
  </si>
  <si>
    <t>Puttaraksa K, Pirttinen H, Karvonen K, Nykky J, Naides SJ, Gilbert L.</t>
  </si>
  <si>
    <t>J Infect Dis. 2019 Apr 16;219(9):1418-1429. doi: 10.1093/infdis/jiy614.</t>
  </si>
  <si>
    <t>Puttaraksa K</t>
  </si>
  <si>
    <t>PMC6468957</t>
  </si>
  <si>
    <t>10.1093/infdis/jiy614</t>
  </si>
  <si>
    <t>Extracellular vesicle miR-7977 is involved in hematopoietic dysfunction of mesenchymal stromal cells via poly(rC) binding protein 1 reduction in myeloid neoplasms</t>
  </si>
  <si>
    <t>Horiguchi H, Kobune M, Kikuchi S, Yoshida M, Murata M, Murase K, Iyama S, Takada K, Sato T, Ono K, Hashimoto A, Tatekoshi A, Kamihara Y, Kawano Y, Miyanishi K, Sawada N, Kato J.</t>
  </si>
  <si>
    <t>Haematologica. 2016 Apr;101(4):437-47. doi: 10.3324/haematol.2015.134932. Epub 2016 Jan 22.</t>
  </si>
  <si>
    <t>Horiguchi H</t>
  </si>
  <si>
    <t>Haematologica</t>
  </si>
  <si>
    <t>PMC5004399</t>
  </si>
  <si>
    <t>10.3324/haematol.2015.134932</t>
  </si>
  <si>
    <t>Role of Extracellular Vesicles in the Diagnosis and Pathogenesis of Barrett's Esophagus: A Mini-Review</t>
  </si>
  <si>
    <t>Zhang Q, Bansal A.</t>
  </si>
  <si>
    <t>Dig Dis Sci. 2021 Mar;66(3):705-713. doi: 10.1007/s10620-020-06250-1. Epub 2020 Apr 10.</t>
  </si>
  <si>
    <t>Zhang Q</t>
  </si>
  <si>
    <t>Dig Dis Sci</t>
  </si>
  <si>
    <t>10.1007/s10620-020-06250-1</t>
  </si>
  <si>
    <t>The Roles of Extracellular Vesicles in Malignant Melanoma</t>
  </si>
  <si>
    <t>Cheng YC, Chang YA, Chen YJ, Sung HM, Bogeski I, Su HL, Hsu YL, Wang HD.</t>
  </si>
  <si>
    <t>Cells. 2021 Oct 14;10(10):2740. doi: 10.3390/cells10102740.</t>
  </si>
  <si>
    <t>Cheng YC</t>
  </si>
  <si>
    <t>PMC8535053</t>
  </si>
  <si>
    <t>10.3390/cells10102740</t>
  </si>
  <si>
    <t>MicroRNA expression profile in extracellular vesicles derived from ALV-J infected chicken semen</t>
  </si>
  <si>
    <t>Chen S, Liao L, Zhao Q, Zhang X, Li H, Lin W, Chen F, Xie Q.</t>
  </si>
  <si>
    <t>Virus Res. 2020 Sep;286:198083. doi: 10.1016/j.virusres.2020.198083. Epub 2020 Jul 1.</t>
  </si>
  <si>
    <t>Chen S</t>
  </si>
  <si>
    <t>10.1016/j.virusres.2020.198083</t>
  </si>
  <si>
    <t>Jones E, Stentz R, Telatin A, Savva GM, Booth C, Baker D, Rudder S, Knight SC, Noble A, Carding SR.</t>
  </si>
  <si>
    <t>Genes (Basel). 2021 Oct 18;12(10):1636. doi: 10.3390/genes12101636.</t>
  </si>
  <si>
    <t>Jones E</t>
  </si>
  <si>
    <t>PMC8535827</t>
  </si>
  <si>
    <t>Zabegina L, Nazarova I, Nikiforova N, Slyusarenko M, Sidina E, Knyazeva M, Tsyrlina E, Novikov S, Reva S, Malek A.</t>
  </si>
  <si>
    <t>Cells. 2021 Sep 9;10(9):2372. doi: 10.3390/cells10092372.</t>
  </si>
  <si>
    <t>Zabegina L</t>
  </si>
  <si>
    <t>PMC8467918</t>
  </si>
  <si>
    <t>Reátegui E, van der Vos KE, Lai CP, Zeinali M, Atai NA, Aldikacti B, Floyd FP Jr, H Khankhel A, Thapar V, Hochberg FH, Sequist LV, Nahed BV, S Carter B, Toner M, Balaj L, T Ting D, Breakefield XO, Stott SL.</t>
  </si>
  <si>
    <t>Nat Commun. 2018 Jan 12;9(1):175. doi: 10.1038/s41467-017-02261-1.</t>
  </si>
  <si>
    <t>Reátegui E</t>
  </si>
  <si>
    <t>PMC5766611</t>
  </si>
  <si>
    <t>Zhao Y, Haney MJ, Fallon JK, Rodriguez M, Swain CJ, Arzt CJ, Smith PC, Loop MS, Harrison EB, El-Hage N, Batrakova EV.</t>
  </si>
  <si>
    <t>Cells. 2022 Jun 15;11(12):1933. doi: 10.3390/cells11121933.</t>
  </si>
  <si>
    <t>Zhao Y</t>
  </si>
  <si>
    <t>PMC9222008</t>
  </si>
  <si>
    <t>Philley JV, Kannan A, Qin W, Sauter ER, Ikebe M, Hertweck KL, Troyer DA, Semmes OJ, Dasgupta S.</t>
  </si>
  <si>
    <t>J Cell Physiol. 2016 Jun;231(6):1364-74. doi: 10.1002/jcp.25240. Epub 2015 Nov 24.</t>
  </si>
  <si>
    <t>Philley JV</t>
  </si>
  <si>
    <t>PMC5741292</t>
  </si>
  <si>
    <t>NIHMS920580</t>
  </si>
  <si>
    <t>Peroxiredoxin 1, a Novel HBx-Interacting Protein, Interacts with Exosome Component 5 and Negatively Regulates Hepatitis B Virus (HBV) Propagation through Degradation of HBV RNA</t>
  </si>
  <si>
    <t>Deng L, Gan X, Ito M, Chen M, Aly HH, Matsui C, Abe T, Watashi K, Wakita T, Suzuki T, Okamoto T, Matsuura Y, Mizokami M, Shoji I, Hotta H.</t>
  </si>
  <si>
    <t>J Virol. 2019 Mar 5;93(6):e02203-18. doi: 10.1128/JVI.02203-18. Print 2019 Mar 15.</t>
  </si>
  <si>
    <t>Deng L</t>
  </si>
  <si>
    <t>PMC6401444</t>
  </si>
  <si>
    <t>10.1128/JVI.02203-18</t>
  </si>
  <si>
    <t>microRNA-19b-3p-containing extracellular vesicles derived from macrophages promote the development of atherosclerosis by targeting JAZF1</t>
  </si>
  <si>
    <t>Wang Q, Dong Y, Wang H.</t>
  </si>
  <si>
    <t>J Cell Mol Med. 2022 Jan;26(1):48-59. doi: 10.1111/jcmm.16938. Epub 2021 Dec 14.</t>
  </si>
  <si>
    <t>Wang Q</t>
  </si>
  <si>
    <t>PMC8742201</t>
  </si>
  <si>
    <t>10.1111/jcmm.16938</t>
  </si>
  <si>
    <t>Kanada M, Kim BD, Hardy JW, Ronald JA, Bachmann MH, Bernard MP, Perez GI, Zarea AA, Ge TJ, Withrow A, Ibrahim SA, Toomajian V, Gambhir SS, Paulmurugan R, Contag CH.</t>
  </si>
  <si>
    <t>Mol Cancer Ther. 2019 Dec;18(12):2331-2342. doi: 10.1158/1535-7163.MCT-19-0299. Epub 2019 Aug 26.</t>
  </si>
  <si>
    <t>PMC6891168</t>
  </si>
  <si>
    <t>NIHMS1537971</t>
  </si>
  <si>
    <t>A bell-shaped pattern of urinary aquaporin-2-bearing extracellular vesicle release in an experimental model of nephronophthisis</t>
  </si>
  <si>
    <t>Mikoda N, Sonoda H, Oshikawa S, Hoshino Y, Matsuzaki T, Ikeda M.</t>
  </si>
  <si>
    <t>Physiol Rep. 2019 May;7(9):e14092. doi: 10.14814/phy2.14092.</t>
  </si>
  <si>
    <t>Mikoda N</t>
  </si>
  <si>
    <t>Physiol Rep</t>
  </si>
  <si>
    <t>PMC6509436</t>
  </si>
  <si>
    <t>10.14814/phy2.14092</t>
  </si>
  <si>
    <t>Zhou C, Zhang Y, Yan R, Huang L, Mellor AL, Yang Y, Chen X, Wei W, Wu X, Yu L, Liang L, Zhang D, Wu S, Wang W.</t>
  </si>
  <si>
    <t>Cell Death Differ. 2021 Feb;28(2):715-729. doi: 10.1038/s41418-020-00618-6. Epub 2020 Sep 14.</t>
  </si>
  <si>
    <t>Zhou C</t>
  </si>
  <si>
    <t>PMC7862304</t>
  </si>
  <si>
    <t>Mann J, Reeves HL, Feldstein AE.</t>
  </si>
  <si>
    <t>Gut. 2018 Dec;67(12):2204-2212. doi: 10.1136/gutjnl-2017-315846. Epub 2018 Sep 3.</t>
  </si>
  <si>
    <t>Mann J</t>
  </si>
  <si>
    <t>Gut</t>
  </si>
  <si>
    <t>Circulating biomarkers in patients with glioblastoma</t>
  </si>
  <si>
    <t>Müller Bark J, Kulasinghe A, Chua B, Day BW, Punyadeera C.</t>
  </si>
  <si>
    <t>Br J Cancer. 2020 Feb;122(3):295-305. doi: 10.1038/s41416-019-0603-6. Epub 2019 Oct 31.</t>
  </si>
  <si>
    <t>Müller Bark J</t>
  </si>
  <si>
    <t>PMC7000822</t>
  </si>
  <si>
    <t>10.1038/s41416-019-0603-6</t>
  </si>
  <si>
    <t>Recessive mutations in CAKUT and VACTERL association</t>
  </si>
  <si>
    <t>Westland R, Sanna-Cherchi S.</t>
  </si>
  <si>
    <t>Kidney Int. 2014 Jun;85(6):1253-5. doi: 10.1038/ki.2013.495.</t>
  </si>
  <si>
    <t>Westland R</t>
  </si>
  <si>
    <t>10.1038/ki.2013.495</t>
  </si>
  <si>
    <t>APE1 shRNA-loaded cancer stem cell-derived extracellular vesicles reverse Erlotinib resistance in non-small cell lung cancer via the IL-6/STAT3 signalling</t>
  </si>
  <si>
    <t>Tang CH, Qin L, Gao YC, Chen TY, Xu K, Liu T, Ren T.</t>
  </si>
  <si>
    <t>Clin Transl Med. 2022 May;12(5):e876. doi: 10.1002/ctm2.876.</t>
  </si>
  <si>
    <t>Tang CH</t>
  </si>
  <si>
    <t>PMC9126360</t>
  </si>
  <si>
    <t>10.1002/ctm2.876</t>
  </si>
  <si>
    <t>Klump J, Phillipp U, Follo M, Eremin A, Lehmann H, Nestel S, von Bubnoff N, Nazarenko I.</t>
  </si>
  <si>
    <t>Nanomedicine. 2018 Apr;14(3):875-882. doi: 10.1016/j.nano.2017.12.009. Epub 2017 Dec 27.</t>
  </si>
  <si>
    <t>Klump J</t>
  </si>
  <si>
    <t>Hallal S, Russell BP, Wei H, Lee MYT, Toon CW, Sy J, Shivalingam B, Buckland ME, Kaufman KL.</t>
  </si>
  <si>
    <t>Proteomics. 2019 Jan;19(1-2):e1800157. doi: 10.1002/pmic.201800157.</t>
  </si>
  <si>
    <t>Hallal S</t>
  </si>
  <si>
    <t>Hypoxia preconditioned renal tubular epithelial cell-derived extracellular vesicles alleviate renal ischaemia-reperfusion injury mediated by the HIF-1α/Rab22 pathway and potentially affected by microRNAs</t>
  </si>
  <si>
    <t>Zhang L, Liu H, Xu K, Ling Z, Huang Y, Hu Q, Lu K, Liu C, Wang Y, Liu N, Zhang X, Xu B, Wu J, Chen S, Zhang G, Chen M.</t>
  </si>
  <si>
    <t>Int J Biol Sci. 2019 May 7;15(6):1161-1176. doi: 10.7150/ijbs.32004. eCollection 2019.</t>
  </si>
  <si>
    <t>PMC6567810</t>
  </si>
  <si>
    <t>10.7150/ijbs.32004</t>
  </si>
  <si>
    <t>STIM1/ORAI1-mediated Ca2+ Influx Regulates Enolase-1 Exteriorization</t>
  </si>
  <si>
    <t>Didiasova M, Zakrzewicz D, Magdolen V, Nagaraj C, Bálint Z, Rohde M, Preissner KT, Wygrecka M.</t>
  </si>
  <si>
    <t>J Biol Chem. 2015 May 8;290(19):11983-99. doi: 10.1074/jbc.M114.598425. Epub 2015 Mar 24.</t>
  </si>
  <si>
    <t>Didiasova M</t>
  </si>
  <si>
    <t>PMC4424336</t>
  </si>
  <si>
    <t>10.1074/jbc.M114.598425</t>
  </si>
  <si>
    <t>Extracellular vesicles from myelodysplastic mesenchymal stromal cells induce DNA damage and mutagenesis of hematopoietic stem cells through miRNA transfer</t>
  </si>
  <si>
    <t>Meunier M, Guttin A, Ancelet S, Laurin D, Zannoni J, Lefebvre C, Tondeur S, Persoons V, Pezet M, Pernet-Gallay K, Chuffart F, Rousseaux S, Testard Q, Thevenon J, Jouzier C, Deleuze JF, Laulagnier K, Sadoul R, Chatellard C, Hainaut P, Polack B, Cahn JY, Issartel JP, Park S.</t>
  </si>
  <si>
    <t>Leukemia. 2020 Aug;34(8):2249-2253. doi: 10.1038/s41375-020-0738-8. Epub 2020 Feb 12.</t>
  </si>
  <si>
    <t>Meunier M</t>
  </si>
  <si>
    <t>10.1038/s41375-020-0738-8</t>
  </si>
  <si>
    <t>Insights into new mechanisms and models of cancer stem cell multidrug resistance</t>
  </si>
  <si>
    <t>Garcia-Mayea Y, Mir C, Masson F, Paciucci R, LLeonart ME.</t>
  </si>
  <si>
    <t>Semin Cancer Biol. 2020 Feb;60:166-180. doi: 10.1016/j.semcancer.2019.07.022. Epub 2019 Jul 29.</t>
  </si>
  <si>
    <t>Garcia-Mayea Y</t>
  </si>
  <si>
    <t>10.1016/j.semcancer.2019.07.022</t>
  </si>
  <si>
    <t>Nguyen B, Meehan K, Pereira MR, Mirzai B, Lim SH, Leslie C, Clark M, Sader C, Friedland P, Lindsay A, Tang C, Millward M, Gray ES, Lim AM.</t>
  </si>
  <si>
    <t>Sci Rep. 2020 Apr 8;10(1):6083. doi: 10.1038/s41598-020-63180-8.</t>
  </si>
  <si>
    <t>PMC7142128</t>
  </si>
  <si>
    <t>Circulating small extracellular vesicles increase after an acute bout of moderate-intensity exercise in pregnant compared to non-pregnant women</t>
  </si>
  <si>
    <t>Mohammad S, Hutchinson KA, da Silva DF, Bhattacharjee J, McInnis K, Burger D, Adamo KB.</t>
  </si>
  <si>
    <t>Sci Rep. 2021 Jun 16;11(1):12615. doi: 10.1038/s41598-021-92180-5.</t>
  </si>
  <si>
    <t>Mohammad S</t>
  </si>
  <si>
    <t>PMC8209031</t>
  </si>
  <si>
    <t>10.1038/s41598-021-92180-5</t>
  </si>
  <si>
    <t>Rajkumar AP, Hye A, Lange J, Manesh YR, Ballard C, Fladby T, Aarsland D.</t>
  </si>
  <si>
    <t>Am J Geriatr Psychiatry. 2021 Jun;29(6):573-584. doi: 10.1016/j.jagp.2020.10.012. Epub 2020 Oct 27.</t>
  </si>
  <si>
    <t>Rajkumar AP</t>
  </si>
  <si>
    <t>Am J Geriatr Psychiatry</t>
  </si>
  <si>
    <t>Morrison KE, Stenson AF, Marx-Rattner R, Carter S, Michopoulos V, Gillespie CF, Powers A, Huang W, Kane MA, Jovanovic T, Bale TL.</t>
  </si>
  <si>
    <t>Biol Psychiatry. 2022 Feb 1;91(3):273-282. doi: 10.1016/j.biopsych.2021.08.003. Epub 2021 Aug 17.</t>
  </si>
  <si>
    <t>Morrison KE</t>
  </si>
  <si>
    <t>Biol Psychiatry</t>
  </si>
  <si>
    <t>PMC9219961</t>
  </si>
  <si>
    <t>NIHMS1751643</t>
  </si>
  <si>
    <t>Casarotto E, Sproviero D, Corridori E, Gagliani MC, Cozzi M, Chierichetti M, Cristofani R, Ferrari V, Galbiati M, Mina F, Piccolella M, Rusmini P, Tedesco B, Gagliardi S, Cortese K, Cereda C, Poletti A, Crippa V.</t>
  </si>
  <si>
    <t>Cells. 2022 Feb 2;11(3):516. doi: 10.3390/cells11030516.</t>
  </si>
  <si>
    <t>Casarotto E</t>
  </si>
  <si>
    <t>PMC8833957</t>
  </si>
  <si>
    <t>Sung CY, Huang CC, Chen YS, Hsu KF, Lee GB.</t>
  </si>
  <si>
    <t>Lab Chip. 2021 Nov 25;21(23):4660-4671. doi: 10.1039/d1lc00663k.</t>
  </si>
  <si>
    <t>Sung CY</t>
  </si>
  <si>
    <t>Herrera Sanchez MB, Previdi S, Bruno S, Fonsato V, Deregibus MC, Kholia S, Petrillo S, Tolosano E, Critelli R, Spada M, Romagnoli R, Salizzoni M, Tetta C, Camussi G.</t>
  </si>
  <si>
    <t>Stem Cell Res Ther. 2017 Jul 27;8(1):176. doi: 10.1186/s13287-017-0628-9.</t>
  </si>
  <si>
    <t>Herrera Sanchez MB</t>
  </si>
  <si>
    <t>PMC5531104</t>
  </si>
  <si>
    <t>Cellular uptake of extracellular nucleosomes induces innate immune responses by binding and activating cGMP-AMP synthase (cGAS)</t>
  </si>
  <si>
    <t>Wang H, Zang C, Ren M, Shang M, Wang Z, Peng X, Zhang Q, Wen X, Xi Z, Zhou C.</t>
  </si>
  <si>
    <t>Sci Rep. 2020 Sep 21;10(1):15385. doi: 10.1038/s41598-020-72393-w.</t>
  </si>
  <si>
    <t>PMC7505961</t>
  </si>
  <si>
    <t>10.1038/s41598-020-72393-w</t>
  </si>
  <si>
    <t>Seo W, Gao Y, He Y, Sun J, Xu H, Feng D, Park SH, Cho YE, Guillot A, Ren T, Wu R, Wang J, Kim SJ, Hwang S, Liangpunsakul S, Yang Y, Niu J, Gao B.</t>
  </si>
  <si>
    <t>J Hepatol. 2019 Nov;71(5):1000-1011. doi: 10.1016/j.jhep.2019.06.018. Epub 2019 Jul 4.</t>
  </si>
  <si>
    <t>Seo W</t>
  </si>
  <si>
    <t>J Hepatol</t>
  </si>
  <si>
    <t>PMC6801025</t>
  </si>
  <si>
    <t>NIHMS1534341</t>
  </si>
  <si>
    <t>de Mendonça M, Rocha KC, de Sousa É, Pereira BMV, Oyama LM, Rodrigues AC.</t>
  </si>
  <si>
    <t>Am J Physiol Endocrinol Metab. 2020 Sep 1;319(3):E579-E591. doi: 10.1152/ajpendo.00172.2020. Epub 2020 Aug 3.</t>
  </si>
  <si>
    <t>de Mendonça M</t>
  </si>
  <si>
    <t>Am J Physiol Endocrinol Metab</t>
  </si>
  <si>
    <t>Liao TL, Chen YM, Tang KT, Chen PK, Liu HJ, Chen DY.</t>
  </si>
  <si>
    <t>Sci Rep. 2021 Aug 3;11(1):15676. doi: 10.1038/s41598-021-95028-0.</t>
  </si>
  <si>
    <t>Liao TL</t>
  </si>
  <si>
    <t>PMC8333426</t>
  </si>
  <si>
    <t>Extracellular vesicles from human urine-derived stem cells inhibit glucocorticoid-induced osteonecrosis of the femoral head by transporting and releasing pro-angiogenic DMBT1 and anti-apoptotic TIMP1</t>
  </si>
  <si>
    <t>Chen CY, Du W, Rao SS, Tan YJ, Hu XK, Luo MJ, Ou QF, Wu PF, Qing LM, Cao ZM, Yin H, Yue T, Zhan CH, Huang J, Zhang Y, Liu YW, Wang ZX, Liu ZZ, Cao J, Liu JH, Hong CG, He ZH, Yang JX, Tang SY, Tang JY, Xie H.</t>
  </si>
  <si>
    <t>Acta Biomater. 2020 Jul 15;111:208-220. doi: 10.1016/j.actbio.2020.05.020. Epub 2020 May 22.</t>
  </si>
  <si>
    <t>Chen CY</t>
  </si>
  <si>
    <t>Acta Biomater</t>
  </si>
  <si>
    <t>10.1016/j.actbio.2020.05.020</t>
  </si>
  <si>
    <t>Srivastava A, Amreddy N, Babu A, Panneerselvam J, Mehta M, Muralidharan R, Chen A, Zhao YD, Razaq M, Riedinger N, Kim H, Liu S, Wu S, Abdel-Mageed AB, Munshi A, Ramesh R.</t>
  </si>
  <si>
    <t>Sci Rep. 2016 Dec 12;6:38541. doi: 10.1038/srep38541.</t>
  </si>
  <si>
    <t>PMC5150529</t>
  </si>
  <si>
    <t>Distinct expression profile of HCMV encoded miRNAs in plasma from oral lichen planus patients</t>
  </si>
  <si>
    <t>Ding M, Wang X, Wang C, Liu X, Zen K, Wang W, Zhang CY, Zhang C.</t>
  </si>
  <si>
    <t>J Transl Med. 2017 Jun 7;15(1):133. doi: 10.1186/s12967-017-1222-8.</t>
  </si>
  <si>
    <t>Ding M</t>
  </si>
  <si>
    <t>PMC5463403</t>
  </si>
  <si>
    <t>10.1186/s12967-017-1222-8</t>
  </si>
  <si>
    <t>Coras R, Narasimhan R, Guma M.</t>
  </si>
  <si>
    <t>Transl Res. 2018 Nov;201:1-12. doi: 10.1016/j.trsl.2018.07.004. Epub 2018 Jul 19.</t>
  </si>
  <si>
    <t>Coras R</t>
  </si>
  <si>
    <t>PMC6309446</t>
  </si>
  <si>
    <t>NIHMS1000990</t>
  </si>
  <si>
    <t>Storci G, De Carolis S, Papi A, Bacalini MG, Gensous N, Marasco E, Tesei A, Fabbri F, Arienti C, Zanoni M, Sarnelli A, Santi S, Olivieri F, Mensà E, Latini S, Ferracin M, Salvioli S, Garagnani P, Franceschi C, Bonafè M.</t>
  </si>
  <si>
    <t>Cell Death Differ. 2019 Sep;26(9):1845-1858. doi: 10.1038/s41418-018-0255-8. Epub 2019 Jan 8.</t>
  </si>
  <si>
    <t>Storci G</t>
  </si>
  <si>
    <t>PMC6748076</t>
  </si>
  <si>
    <t>Elevating microRNA-1-3p shuttled by cancer-associated fibroblasts-derived extracellular vesicles suppresses breast cancer progression and metastasis by inhibiting GLIS1</t>
  </si>
  <si>
    <t>Tao S, Li H, Ma X, Ma Y, He J, Gao Y, Li J.</t>
  </si>
  <si>
    <t>Cancer Gene Ther. 2021 Jun;28(6):634-648. doi: 10.1038/s41417-020-00244-x. Epub 2020 Nov 5.</t>
  </si>
  <si>
    <t>Tao S</t>
  </si>
  <si>
    <t>Cancer Gene Ther</t>
  </si>
  <si>
    <t>10.1038/s41417-020-00244-x</t>
  </si>
  <si>
    <t>Lucero R, Zappulli V, Sammarco A, Murillo OD, Cheah PS, Srinivasan S, Tai E, Ting DT, Wei Z, Roth ME, Laurent LC, Krichevsky AM, Breakefield XO, Milosavljevic A.</t>
  </si>
  <si>
    <t>Cell Rep. 2020 Feb 18;30(7):2065-2074.e4. doi: 10.1016/j.celrep.2020.01.073.</t>
  </si>
  <si>
    <t>Lucero R</t>
  </si>
  <si>
    <t>PMC7148092</t>
  </si>
  <si>
    <t>NIHMS1563647</t>
  </si>
  <si>
    <t>Luo Q, Xian P, Wang T, Wu S, Sun T, Wang W, Wang B, Yang H, Yang Y, Wang H, Liu W, Long Q.</t>
  </si>
  <si>
    <t>Theranostics. 2021 Apr 3;11(12):5986-6005. doi: 10.7150/thno.58632. eCollection 2021.</t>
  </si>
  <si>
    <t>Luo Q</t>
  </si>
  <si>
    <t>PMC8058724</t>
  </si>
  <si>
    <t>Asghari M, Cao X, Mateescu B, van Leeuwen D, Aslan MK, Stavrakis S, deMello AJ.</t>
  </si>
  <si>
    <t>ACS Nano. 2020 Jan 28;14(1):422-433. doi: 10.1021/acsnano.9b06123. Epub 2019 Dec 9.</t>
  </si>
  <si>
    <t>Asghari M</t>
  </si>
  <si>
    <t>Ambient pH Alters the Protein Content of Outer Membrane Vesicles, Driving Host Development in a Beneficial Symbiosis</t>
  </si>
  <si>
    <t>Lynch JB, Schwartzman JA, Bennett BD, McAnulty SJ, Knop M, Nyholm SV, Ruby EG.</t>
  </si>
  <si>
    <t>J Bacteriol. 2019 Sep 20;201(20):e00319-19. doi: 10.1128/JB.00319-19. Print 2019 Oct 15.</t>
  </si>
  <si>
    <t>Lynch JB</t>
  </si>
  <si>
    <t>PMC6755730</t>
  </si>
  <si>
    <t>10.1128/JB.00319-19</t>
  </si>
  <si>
    <t>Effect of various dialysis modalities on intradialytic hemodynamics, tissue injury and patient discomfort in chronic dialysis patients: design of a randomized cross-over study (HOLLANT)</t>
  </si>
  <si>
    <t>Rootjes PA, Nubé MJ, de Roij van Zuijdewijn CLM, Wijngaarden G, Grooteman MPC.</t>
  </si>
  <si>
    <t>BMC Nephrol. 2021 Apr 15;22(1):131. doi: 10.1186/s12882-021-02331-z.</t>
  </si>
  <si>
    <t>Rootjes PA</t>
  </si>
  <si>
    <t>BMC Nephrol</t>
  </si>
  <si>
    <t>PMC8047527</t>
  </si>
  <si>
    <t>10.1186/s12882-021-02331-z</t>
  </si>
  <si>
    <t>Elevated GnRH receptor expression plus GnRH agonist treatment inhibits the growth of a subset of papillomavirus 18-immortalized human prostate cells</t>
  </si>
  <si>
    <t>Morgan K, Stavrou E, Leighton SP, Miller N, Sellar R, Millar RP.</t>
  </si>
  <si>
    <t>Prostate. 2011 Jun 15;71(9):915-28. doi: 10.1002/pros.21308. Epub 2010 Dec 6.</t>
  </si>
  <si>
    <t>Morgan K</t>
  </si>
  <si>
    <t>Rabelo Melo F, Santosh Martin S, Sommerhoff CP, Pejler G.</t>
  </si>
  <si>
    <t>Cell Death Dis. 2019 Sep 10;10(9):659. doi: 10.1038/s41419-019-1879-4.</t>
  </si>
  <si>
    <t>Rabelo Melo F</t>
  </si>
  <si>
    <t>PMC6736983</t>
  </si>
  <si>
    <t>Wan Y, Liu B, Lei H, Zhang B, Wang Y, Huang H, Chen S, Feng Y, Zhu L, Gu Y, Zhang Q, Ma H, Zheng SY.</t>
  </si>
  <si>
    <t>Ann Oncol. 2018 Dec 1;29(12):2379-2383. doi: 10.1093/annonc/mdy458.</t>
  </si>
  <si>
    <t>PMC6311950</t>
  </si>
  <si>
    <t>Almanza G, Rodvold JJ, Tsui B, Jepsen K, Carter H, Zanetti M.</t>
  </si>
  <si>
    <t>Sci Rep. 2018 Dec 4;8(1):17581. doi: 10.1038/s41598-018-35968-2.</t>
  </si>
  <si>
    <t>Almanza G</t>
  </si>
  <si>
    <t>PMC6279829</t>
  </si>
  <si>
    <t>Role of Porphyromonas gingivalis outer membrane vesicles in oral mucosal transmission of HIV</t>
  </si>
  <si>
    <t>Dong XH, Ho MH, Liu B, Hildreth J, Dash C, Goodwin JS, Balasubramaniam M, Chen CH, Xie H.</t>
  </si>
  <si>
    <t>Sci Rep. 2018 Jun 11;8(1):8812. doi: 10.1038/s41598-018-27284-6.</t>
  </si>
  <si>
    <t>Dong XH</t>
  </si>
  <si>
    <t>PMC5995904</t>
  </si>
  <si>
    <t>10.1038/s41598-018-27284-6</t>
  </si>
  <si>
    <t>Mesenchymal stem cell-derived extracellular vesicles reduce senescence and extend health span in mouse models of aging</t>
  </si>
  <si>
    <t>Dorronsoro A, Santiago FE, Grassi D, Zhang T, Lai RC, McGowan SJ, Angelini L, Lavasani M, Corbo L, Lu A, Brooks RW, Garcia-Contreras M, Stolz DB, Amelio A, Boregowda SV, Fallahi M, Reich A, Ricordi C, Phinney DG, Huard J, Lim SK, Niedernhofer LJ, Robbins PD.</t>
  </si>
  <si>
    <t>Aging Cell. 2021 Apr;20(4):e13337. doi: 10.1111/acel.13337. Epub 2021 Mar 16.</t>
  </si>
  <si>
    <t>Dorronsoro A</t>
  </si>
  <si>
    <t>PMC8045949</t>
  </si>
  <si>
    <t>10.1111/acel.13337</t>
  </si>
  <si>
    <t>Functional Advantages of Porphyromonas gingivalis Vesicles</t>
  </si>
  <si>
    <t>Ho MH, Chen CH, Goodwin JS, Wang BY, Xie H.</t>
  </si>
  <si>
    <t>PLoS One. 2015 Apr 21;10(4):e0123448. doi: 10.1371/journal.pone.0123448. eCollection 2015.</t>
  </si>
  <si>
    <t>Ho MH</t>
  </si>
  <si>
    <t>PMC4405273</t>
  </si>
  <si>
    <t>10.1371/journal.pone.0123448</t>
  </si>
  <si>
    <t>Extracellular vesicles from neurons promote neural induction of stem cells through cyclin D1</t>
  </si>
  <si>
    <t>Song L, Tian X, Schekman R.</t>
  </si>
  <si>
    <t>J Cell Biol. 2021 Sep 6;220(9):e202101075. doi: 10.1083/jcb.202101075. Epub 2021 Jul 26.</t>
  </si>
  <si>
    <t>Song L</t>
  </si>
  <si>
    <t>PMC8313409</t>
  </si>
  <si>
    <t>10.1083/jcb.202101075</t>
  </si>
  <si>
    <t>RASSF1C oncogene elicits amoeboid invasion, cancer stemness, and extracellular vesicle release via a SRC/Rho axis</t>
  </si>
  <si>
    <t>Tognoli ML, Vlahov N, Steenbeek S, Grawenda AM, Eyres M, Cano-Rodriguez D, Scrace S, Kartsonaki C, von Kriegsheim A, Willms E, Wood MJ, Rots MG, van Rheenen J, O'Neill E, Pankova D.</t>
  </si>
  <si>
    <t>EMBO J. 2021 Oct 18;40(20):e107680. doi: 10.15252/embj.2021107680. Epub 2021 Sep 17.</t>
  </si>
  <si>
    <t>Tognoli ML</t>
  </si>
  <si>
    <t>EMBO J</t>
  </si>
  <si>
    <t>PMC8521318</t>
  </si>
  <si>
    <t>10.15252/embj.2021107680</t>
  </si>
  <si>
    <t>Wang Q, Yu J, Kadungure T, Beyene J, Zhang H, Lu Q.</t>
  </si>
  <si>
    <t>Nat Commun. 2018 Mar 6;9(1):960. doi: 10.1038/s41467-018-03390-x.</t>
  </si>
  <si>
    <t>PMC5840177</t>
  </si>
  <si>
    <t>ESC-sEVs Rejuvenate Aging Hippocampal NSCs by Transferring SMADs to Regulate the MYT1-Egln3-Sirt1 Axis</t>
  </si>
  <si>
    <t>Hu G, Xia Y, Chen B, Zhang J, Gong L, Chen Y, Li Q, Wang Y, Deng Z.</t>
  </si>
  <si>
    <t>Mol Ther. 2021 Jan 6;29(1):103-120. doi: 10.1016/j.ymthe.2020.09.037. Epub 2020 Oct 1.</t>
  </si>
  <si>
    <t>Hu G</t>
  </si>
  <si>
    <t>PMC7791087</t>
  </si>
  <si>
    <t>10.1016/j.ymthe.2020.09.037</t>
  </si>
  <si>
    <t>Turunen J, Tejesvi MV, Paalanne N, Hekkala J, Lindgren O, Kaakinen M, Pokka T, Kaisanlahti A, Reunanen J, Tapiainen T.</t>
  </si>
  <si>
    <t>Sci Rep. 2021 Sep 30;11(1):19449. doi: 10.1038/s41598-021-98951-4.</t>
  </si>
  <si>
    <t>Turunen J</t>
  </si>
  <si>
    <t>PMC8484610</t>
  </si>
  <si>
    <t>Zhuang J, Tan J, Wu C, Zhang J, Liu T, Fan C, Li J, Zhang Y.</t>
  </si>
  <si>
    <t>Nucleic Acids Res. 2020 Sep 18;48(16):8870-8882. doi: 10.1093/nar/gkaa683.</t>
  </si>
  <si>
    <t>Zhuang J</t>
  </si>
  <si>
    <t>PMC7498310</t>
  </si>
  <si>
    <t>Cho H, Lee WH, Kim YK, Kim KS.</t>
  </si>
  <si>
    <t>Biochem Biophys Res Commun. 2020 Mar 12;523(3):602-607. doi: 10.1016/j.bbrc.2020.01.014. Epub 2020 Jan 12.</t>
  </si>
  <si>
    <t>Cho H</t>
  </si>
  <si>
    <t>Exome Array Analysis Identifies Variants in SPOCD1 and BTN3A2 That Affect Risk for Gastric Cancer</t>
  </si>
  <si>
    <t>Zhu M, Yan C, Ren C, Huang X, Zhu X, Gu H, Wang M, Wang S, Gao Y, Ji Y, Miao X, Yang M, Chen J, Du J, Huang T, Jiang Y, Dai J, Ma H, Zhou J, Wang Z, Hu Z, Ji G, Zhang Z, Shen H, Shi Y, Jin G.</t>
  </si>
  <si>
    <t>Gastroenterology. 2017 Jun;152(8):2011-2021. doi: 10.1053/j.gastro.2017.02.017. Epub 2017 Feb 27.</t>
  </si>
  <si>
    <t>Zhu M</t>
  </si>
  <si>
    <t>10.1053/j.gastro.2017.02.017</t>
  </si>
  <si>
    <t>Mammalian retrovirus-like protein PEG10 packages its own mRNA and can be pseudotyped for mRNA delivery</t>
  </si>
  <si>
    <t>Segel M, Lash B, Song J, Ladha A, Liu CC, Jin X, Mekhedov SL, Macrae RK, Koonin EV, Zhang F.</t>
  </si>
  <si>
    <t>Science. 2021 Aug 20;373(6557):882-889. doi: 10.1126/science.abg6155.</t>
  </si>
  <si>
    <t>Segel M</t>
  </si>
  <si>
    <t>Science</t>
  </si>
  <si>
    <t>PMC8431961</t>
  </si>
  <si>
    <t>NIHMS1736872</t>
  </si>
  <si>
    <t>10.1126/science.abg6155</t>
  </si>
  <si>
    <t>Engineering Extracellular Vesicles to Target Pancreatic Tissue In Vivo</t>
  </si>
  <si>
    <t>Komuro H, Kawai-Harada Y, Aminova S, Pascual N, Malik A, Contag CH, Harada M.</t>
  </si>
  <si>
    <t>Nanotheranostics. 2021 Apr 15;5(4):378-390. doi: 10.7150/ntno.54879. eCollection 2021.</t>
  </si>
  <si>
    <t>Komuro H</t>
  </si>
  <si>
    <t>Nanotheranostics</t>
  </si>
  <si>
    <t>PMC8077969</t>
  </si>
  <si>
    <t>10.7150/ntno.54879</t>
  </si>
  <si>
    <t>Abdelhamed S, Butler JT, Doron B, Halse A, Nemecek E, Wilmarth PA, Marks DL, Chang BH, Horton T, Kurre P.</t>
  </si>
  <si>
    <t>EMBO Rep. 2019 Jul;20(7):e47546. doi: 10.15252/embr.201847546. Epub 2019 Jun 17.</t>
  </si>
  <si>
    <t>Abdelhamed S</t>
  </si>
  <si>
    <t>EMBO Rep</t>
  </si>
  <si>
    <t>PMC6607014</t>
  </si>
  <si>
    <t>Chan JC, Morgan CP, Adrian Leu N, Shetty A, Cisse YM, Nugent BM, Morrison KE, Jašarević E, Huang W, Kanyuch N, Rodgers AB, Bhanu NV, Berger DS, Garcia BA, Ament S, Kane M, Neill Epperson C, Bale TL.</t>
  </si>
  <si>
    <t>Nat Commun. 2020 Mar 20;11(1):1499. doi: 10.1038/s41467-020-15305-w.</t>
  </si>
  <si>
    <t>Chan JC</t>
  </si>
  <si>
    <t>PMC7083921</t>
  </si>
  <si>
    <t>Pasini L, Notarangelo M, Vagheggini A, Burgio MA, Crinò L, Chiadini E, Prochowski AI, Delmonte A, Ulivi P, D'Agostino VG.</t>
  </si>
  <si>
    <t>Mol Oncol. 2021 Sep;15(9):2423-2438. doi: 10.1002/1878-0261.12976. Epub 2021 May 20.</t>
  </si>
  <si>
    <t>Pasini L</t>
  </si>
  <si>
    <t>PMC8410558</t>
  </si>
  <si>
    <t>Bitto NJ, Zavan L, Johnston EL, Stinear TP, Hill AF, Kaparakis-Liaskos M.</t>
  </si>
  <si>
    <t>Microbiol Spectr. 2021 Dec 22;9(3):e0127321. doi: 10.1128/Spectrum.01273-21. Epub 2021 Dec 22.</t>
  </si>
  <si>
    <t>Microbiol Spectr</t>
  </si>
  <si>
    <t>PMC8694105</t>
  </si>
  <si>
    <t>Min XL, Zou H, Yan J, Lyu Q, He X, Shang FF.</t>
  </si>
  <si>
    <t>Metab Brain Dis. 2022 Aug;37(6):1977-1987. doi: 10.1007/s11011-022-01025-1. Epub 2022 Jun 14.</t>
  </si>
  <si>
    <t>Min XL</t>
  </si>
  <si>
    <t>DNA-methylation-mediated silencing of miR-486-5p promotes colorectal cancer proliferation and migration through activation of PLAGL2/IGF2/β-catenin signal pathways</t>
  </si>
  <si>
    <t>Liu X, Chen X, Zeng K, Xu M, He B, Pan Y, Sun H, Pan B, Xu X, Xu T, Hu X, Wang S.</t>
  </si>
  <si>
    <t>Cell Death Dis. 2018 Oct 10;9(10):1037. doi: 10.1038/s41419-018-1105-9.</t>
  </si>
  <si>
    <t>Liu X</t>
  </si>
  <si>
    <t>PMC6180105</t>
  </si>
  <si>
    <t>Regulation of HIV-Gag expression and targeting to the endolysosomal/secretory pathway by the luminal domain of lysosomal-associated membrane protein (LAMP-1) enhance Gag-specific immune response</t>
  </si>
  <si>
    <t>Godinho RM, Matassoli FL, Lucas CG, Rigato PO, Gonçalves JL, Sato MN, Maciel M Jr, Peçanha LM, August JT, Marques ET Jr, de Arruda LB.</t>
  </si>
  <si>
    <t>PLoS One. 2014 Jun 16;9(6):e99887. doi: 10.1371/journal.pone.0099887. eCollection 2014.</t>
  </si>
  <si>
    <t>Godinho RM</t>
  </si>
  <si>
    <t>PMC4059647</t>
  </si>
  <si>
    <t>10.1371/journal.pone.0099887</t>
  </si>
  <si>
    <t>Effects of an acute exercise bout in hypoxia on extracellular vesicle release in healthy and prediabetic subjects</t>
  </si>
  <si>
    <t>Warnier G, De Groote E, Britto FA, Delcorte O, Nederveen JP, Nilsson MI, Pierreux CE, Tarnopolsky MA, Deldicque L.</t>
  </si>
  <si>
    <t>Am J Physiol Regul Integr Comp Physiol. 2022 Feb 1;322(2):R112-R122. doi: 10.1152/ajpregu.00220.2021. Epub 2021 Dec 15.</t>
  </si>
  <si>
    <t>Warnier G</t>
  </si>
  <si>
    <t>Am J Physiol Regul Integr Comp Physiol</t>
  </si>
  <si>
    <t>10.1152/ajpregu.00220.2021</t>
  </si>
  <si>
    <t>CARHSP1 is required for effective tumor necrosis factor alpha mRNA stabilization and localizes to processing bodies and exosomes</t>
  </si>
  <si>
    <t>Pfeiffer JR, McAvoy BL, Fecteau RE, Deleault KM, Brooks SA.</t>
  </si>
  <si>
    <t>Mol Cell Biol. 2011 Jan;31(2):277-86. doi: 10.1128/MCB.00775-10. Epub 2010 Nov 15.</t>
  </si>
  <si>
    <t>Pfeiffer JR</t>
  </si>
  <si>
    <t>PMC3019981</t>
  </si>
  <si>
    <t>10.1128/MCB.00775-10</t>
  </si>
  <si>
    <t>Ramshani Z, Zhang C, Richards K, Chen L, Xu G, Stiles BL, Hill R, Senapati S, Go DB, Chang HC.</t>
  </si>
  <si>
    <t>Commun Biol. 2019 May 20;2:189. doi: 10.1038/s42003-019-0435-1. eCollection 2019.</t>
  </si>
  <si>
    <t>Ramshani Z</t>
  </si>
  <si>
    <t>PMC6527557</t>
  </si>
  <si>
    <t>Keup C, Suryaprakash V, Storbeck M, Hoffmann O, Kimmig R, Kasimir-Bauer S.</t>
  </si>
  <si>
    <t>Cells. 2021 Jan 21;10(2):212. doi: 10.3390/cells10020212.</t>
  </si>
  <si>
    <t>Keup C</t>
  </si>
  <si>
    <t>PMC7912374</t>
  </si>
  <si>
    <t>Long Non-Coding RNAs in the Tumor Immune Microenvironment: Biological Properties and Therapeutic Potential</t>
  </si>
  <si>
    <t>Pi YN, Qi WC, Xia BR, Lou G, Jin WL.</t>
  </si>
  <si>
    <t>Front Immunol. 2021 Jul 6;12:697083. doi: 10.3389/fimmu.2021.697083. eCollection 2021.</t>
  </si>
  <si>
    <t>Pi YN</t>
  </si>
  <si>
    <t>PMC8290853</t>
  </si>
  <si>
    <t>10.3389/fimmu.2021.697083</t>
  </si>
  <si>
    <t>Tan SK, Pastori C, Penas C, Komotar RJ, Ivan ME, Wahlestedt C, Ayad NG.</t>
  </si>
  <si>
    <t>Mol Cancer. 2018 Mar 20;17(1):74. doi: 10.1186/s12943-018-0822-0.</t>
  </si>
  <si>
    <t>Tan SK</t>
  </si>
  <si>
    <t>PMC5861620</t>
  </si>
  <si>
    <t>Exosomal microRNA Biomarkers: Emerging Frontiers in Colorectal and Other Human Cancers</t>
  </si>
  <si>
    <t>Tovar-Camargo OA, Toden S, Goel A.</t>
  </si>
  <si>
    <t>Expert Rev Mol Diagn. 2016;16(5):553-67. doi: 10.1586/14737159.2016.1156535. Epub 2016 Mar 16.</t>
  </si>
  <si>
    <t>Tovar-Camargo OA</t>
  </si>
  <si>
    <t>PMC4935983</t>
  </si>
  <si>
    <t>NIHMS798268</t>
  </si>
  <si>
    <t>10.1586/14737159.2016.1156535</t>
  </si>
  <si>
    <t>Armacki M, Polaschek S, Waldenmaier M, Morawe M, Ruhland C, Schmid R, Lechel A, Tharehalli U, Steup C, Bektas Y, Li H, Kraus JM, Kestler HA, Kruger S, Ormanns S, Walther P, Eiseler T, Seufferlein T.</t>
  </si>
  <si>
    <t>Gastroenterology. 2020 Sep;159(3):1019-1035.e22. doi: 10.1053/j.gastro.2020.05.052. Epub 2020 May 22.</t>
  </si>
  <si>
    <t>Armacki M</t>
  </si>
  <si>
    <t>Rodosthenous RS, Kloog I, Colicino E, Zhong J, Herrera LA, Vokonas P, Schwartz J, Baccarelli AA, Prada D.</t>
  </si>
  <si>
    <t>Environ Res. 2018 Nov;167:640-649. doi: 10.1016/j.envres.2018.09.002. Epub 2018 Sep 5.</t>
  </si>
  <si>
    <t>Rodosthenous RS</t>
  </si>
  <si>
    <t>Environ Res</t>
  </si>
  <si>
    <t>PMC6173640</t>
  </si>
  <si>
    <t>NIHMS1506426</t>
  </si>
  <si>
    <t>RRP41L, a putative core subunit of the exosome, plays an important role in seed germination and early seedling growth in Arabidopsis</t>
  </si>
  <si>
    <t>Yang M, Zhang B, Jia J, Yan C, Habaike A, Han Y.</t>
  </si>
  <si>
    <t>Plant Physiol. 2013 Jan;161(1):165-78. doi: 10.1104/pp.112.206706. Epub 2012 Nov 6.</t>
  </si>
  <si>
    <t>Yang M</t>
  </si>
  <si>
    <t>Plant Physiol</t>
  </si>
  <si>
    <t>PMC3532249</t>
  </si>
  <si>
    <t>10.1104/pp.112.206706</t>
  </si>
  <si>
    <t>Circulating Mitochondrial DNA and Inter-Organelle Contact Sites in Aging and Associated Conditions</t>
  </si>
  <si>
    <t>Picca A, Guerra F, Calvani R, Romano R, Coelho-Junior HJ, Damiano FP, Bucci C, Marzetti E.</t>
  </si>
  <si>
    <t>Cells. 2022 Feb 15;11(4):675. doi: 10.3390/cells11040675.</t>
  </si>
  <si>
    <t>Picca A</t>
  </si>
  <si>
    <t>PMC8870554</t>
  </si>
  <si>
    <t>10.3390/cells11040675</t>
  </si>
  <si>
    <t>Concentration of cell-free DNA in different tumor types</t>
  </si>
  <si>
    <t>Bryzgunova OE, Konoshenko MY, Laktionov PP.</t>
  </si>
  <si>
    <t>Expert Rev Mol Diagn. 2021 Jan;21(1):63-75. doi: 10.1080/14737159.2020.1860021. Epub 2020 Dec 21.</t>
  </si>
  <si>
    <t>10.1080/14737159.2020.1860021</t>
  </si>
  <si>
    <t>Editorial: The Role of Nuclear Molecules in the Pathogenesis of Autoimmune Disease</t>
  </si>
  <si>
    <t>Pisetsky DS, Voll R, Buzas EI.</t>
  </si>
  <si>
    <t>Front Immunol. 2021 Aug 5;12:737923. doi: 10.3389/fimmu.2021.737923. eCollection 2021.</t>
  </si>
  <si>
    <t>PMC8375264</t>
  </si>
  <si>
    <t>10.3389/fimmu.2021.737923</t>
  </si>
  <si>
    <t>Exosomal DMBT1 from human urine-derived stem cells facilitates diabetic wound repair by promoting angiogenesis</t>
  </si>
  <si>
    <t>Chen CY, Rao SS, Ren L, Hu XK, Tan YJ, Hu Y, Luo J, Liu YW, Yin H, Huang J, Cao J, Wang ZX, Liu ZZ, Liu HM, Tang SY, Xu R, Xie H.</t>
  </si>
  <si>
    <t>Theranostics. 2018 Feb 7;8(6):1607-1623. doi: 10.7150/thno.22958. eCollection 2018.</t>
  </si>
  <si>
    <t>PMC5858170</t>
  </si>
  <si>
    <t>10.7150/thno.22958</t>
  </si>
  <si>
    <t>Hu J, Sheng Y, Kwak KJ, Shi J, Yu B, Lee LJ.</t>
  </si>
  <si>
    <t>Nat Commun. 2017 Nov 22;8(1):1683. doi: 10.1038/s41467-017-01942-1.</t>
  </si>
  <si>
    <t>Hu J</t>
  </si>
  <si>
    <t>PMC5698315</t>
  </si>
  <si>
    <t>Monoubiquitination of Cancer Stem Cell Marker CD133 at Lysine 848 Regulates Its Secretion and Promotes Cell Migration</t>
  </si>
  <si>
    <t>Yang F, Xing Y, Li Y, Chen X, Jiang J, Ai Z, Wei Y.</t>
  </si>
  <si>
    <t>Mol Cell Biol. 2018 Jul 16;38(15):e00024-18. doi: 10.1128/MCB.00024-18. Print 2018 Aug 1.</t>
  </si>
  <si>
    <t>Yang F</t>
  </si>
  <si>
    <t>PMC6048314</t>
  </si>
  <si>
    <t>10.1128/MCB.00024-18</t>
  </si>
  <si>
    <t>Cancer diagnosis: from tumor to liquid biopsy and beyond</t>
  </si>
  <si>
    <t>Vaidyanathan R, Soon RH, Zhang P, Jiang K, Lim CT.</t>
  </si>
  <si>
    <t>Lab Chip. 2018 Dec 18;19(1):11-34. doi: 10.1039/c8lc00684a.</t>
  </si>
  <si>
    <t>Vaidyanathan R</t>
  </si>
  <si>
    <t>10.1039/c8lc00684a</t>
  </si>
  <si>
    <t>Cai J, Han Y, Ren H, Chen C, He D, Zhou L, Eisner GM, Asico LD, Jose PA, Zeng C.</t>
  </si>
  <si>
    <t>J Mol Cell Biol. 2013 Aug;5(4):227-38. doi: 10.1093/jmcb/mjt011. Epub 2013 Apr 11.</t>
  </si>
  <si>
    <t>Cai J</t>
  </si>
  <si>
    <t>J Mol Cell Biol</t>
  </si>
  <si>
    <t>PMC3733418</t>
  </si>
  <si>
    <t>Kanuma T, Yamamoto T, Kobiyama K, Moriishi E, Masuta Y, Kusakabe T, Ozasa K, Kuroda E, Jounai N, Ishii KJ.</t>
  </si>
  <si>
    <t>J Immunol. 2017 Jun 15;198(12):4707-4715. doi: 10.4049/jimmunol.1600731. Epub 2017 May 15.</t>
  </si>
  <si>
    <t>Kanuma T</t>
  </si>
  <si>
    <t>Ferrantelli F, Chiozzini C, Manfredi F, Leone P, Spada M, Di Virgilio A, Giovannelli A, Sanchez M, Cara A, Michelini Z, Federico M.</t>
  </si>
  <si>
    <t>Viruses. 2022 Feb 6;14(2):329. doi: 10.3390/v14020329.</t>
  </si>
  <si>
    <t>Ferrantelli F</t>
  </si>
  <si>
    <t>PMC8879411</t>
  </si>
  <si>
    <t>Liquid Biopsies Using Plasma Exosomal Nucleic Acids and Plasma Cell-Free DNA Compared with Clinical Outcomes of Patients with Advanced Cancers</t>
  </si>
  <si>
    <t>Möhrmann L, Huang HJ, Hong DS, Tsimberidou AM, Fu S, Piha-Paul SA, Subbiah V, Karp DD, Naing A, Krug A, Enderle D, Priewasser T, Noerholm M, Eitan E, Coticchia C, Stoll G, Jordan LM, Eng C, Kopetz ES, Skog J, Meric-Bernstam F, Janku F.</t>
  </si>
  <si>
    <t>Clin Cancer Res. 2018 Jan 1;24(1):181-188. doi: 10.1158/1078-0432.CCR-17-2007. Epub 2017 Oct 19.</t>
  </si>
  <si>
    <t>Möhrmann L</t>
  </si>
  <si>
    <t>PMC5754253</t>
  </si>
  <si>
    <t>NIHMS913973</t>
  </si>
  <si>
    <t>10.1158/1078-0432.CCR-17-2007</t>
  </si>
  <si>
    <t>Compound heterozygosity of low-frequency promoter deletions and rare loss-of-function mutations in TXNL4A causes Burn-McKeown syndrome</t>
  </si>
  <si>
    <t>Wieczorek D, Newman WG, Wieland T, Berulava T, Kaffe M, Falkenstein D, Beetz C, Graf E, Schwarzmayr T, Douzgou S, Clayton-Smith J, Daly SB, Williams SG, Bhaskar SS, Urquhart JE, Anderson B, O'Sullivan J, Boute O, Gundlach J, Czeschik JC, van Essen AJ, Hazan F, Park S, Hing A, Kuechler A, Lohmann DR, Ludwig KU, Mangold E, Steenpaß L, Zeschnigk M, Lemke JR, Lourenco CM, Hehr U, Prott EC, Waldenberger M, Böhmer AC, Horsthemke B, O'Keefe RT, Meitinger T, Burn J, Lüdecke HJ, Strom TM.</t>
  </si>
  <si>
    <t>Am J Hum Genet. 2014 Dec 4;95(6):698-707. doi: 10.1016/j.ajhg.2014.10.014. Epub 2014 Nov 26.</t>
  </si>
  <si>
    <t>Wieczorek D</t>
  </si>
  <si>
    <t>Am J Hum Genet</t>
  </si>
  <si>
    <t>PMC4259969</t>
  </si>
  <si>
    <t>10.1016/j.ajhg.2014.10.014</t>
  </si>
  <si>
    <t>Evidence for the fusion of extracellular vesicles with/without DNA to form specific structures in fertilized chicken eggs, mice and rats</t>
  </si>
  <si>
    <t>Lee BC, Lee HS, Yun JE, Kim HA.</t>
  </si>
  <si>
    <t>Micron. 2013 Jan;44:468-74. doi: 10.1016/j.micron.2012.10.005. Epub 2012 Oct 22.</t>
  </si>
  <si>
    <t>Lee BC</t>
  </si>
  <si>
    <t>Micron</t>
  </si>
  <si>
    <t>10.1016/j.micron.2012.10.005</t>
  </si>
  <si>
    <t>Metaproteomics reveals associations between microbiome and intestinal extracellular vesicle proteins in pediatric inflammatory bowel disease</t>
  </si>
  <si>
    <t>Zhang X, Deeke SA, Ning Z, Starr AE, Butcher J, Li J, Mayne J, Cheng K, Liao B, Li L, Singleton R, Mack D, Stintzi A, Figeys D.</t>
  </si>
  <si>
    <t>Nat Commun. 2018 Jul 20;9(1):2873. doi: 10.1038/s41467-018-05357-4.</t>
  </si>
  <si>
    <t>PMC6054643</t>
  </si>
  <si>
    <t>10.1038/s41467-018-05357-4</t>
  </si>
  <si>
    <t>SnRNA sequencing defines signaling by RBC-derived extracellular vesicles in the murine heart</t>
  </si>
  <si>
    <t>Valkov N, Das A, Tucker NR, Li G, Salvador AM, Chaffin MD, Pereira De Oliveira Junior G, Kur I, Gokulnath P, Ziegler O, Yeri A, Lu S, Khamesra A, Xiao C, Rodosthenous R, Srinivasan S, Toxavidis V, Tigges J, Laurent LC, Momma S, Kitchen R, Ellinor P, Ghiran I, Das S.</t>
  </si>
  <si>
    <t>Life Sci Alliance. 2021 Oct 18;4(12):e202101048. doi: 10.26508/lsa.202101048. Print 2021 Dec.</t>
  </si>
  <si>
    <t>Valkov N</t>
  </si>
  <si>
    <t>PMC8548207</t>
  </si>
  <si>
    <t>10.26508/lsa.202101048</t>
  </si>
  <si>
    <t>Zbtb7a induction in alveolar macrophages is implicated in anti-HLA-mediated lung allograft rejection</t>
  </si>
  <si>
    <t>Nayak DK, Zhou F, Xu M, Huang J, Tsuji M, Yu J, Hachem R, Gelman AE, Bremner RM, Smith MA, Mohanakumar T.</t>
  </si>
  <si>
    <t>Sci Transl Med. 2017 Jul 12;9(398):eaal1243. doi: 10.1126/scitranslmed.aal1243.</t>
  </si>
  <si>
    <t>Nayak DK</t>
  </si>
  <si>
    <t>Sci Transl Med</t>
  </si>
  <si>
    <t>PMC5846477</t>
  </si>
  <si>
    <t>NIHMS947434</t>
  </si>
  <si>
    <t>10.1126/scitranslmed.aal1243</t>
  </si>
  <si>
    <t>Yang T, He R, Li G, Liang J, Zhao L, Zhao X, Li L, Wang P.</t>
  </si>
  <si>
    <t>Neurosci Lett. 2021 Jul 27;758:136004. doi: 10.1016/j.neulet.2021.136004. Epub 2021 Jun 8.</t>
  </si>
  <si>
    <t>Yang T</t>
  </si>
  <si>
    <t>Neurosci Lett</t>
  </si>
  <si>
    <t>Disruption of the Pseudomonas aeruginosa Tat system perturbs PQS-dependent quorum sensing and biofilm maturation through lack of the Rieske cytochrome bc1 sub-unit</t>
  </si>
  <si>
    <t>Soh EY, Smith F, Gimenez MR, Yang L, Vejborg RM, Fletcher M, Halliday N, Bleves S, Heeb S, Cámara M, Givskov M, Hardie KR, Tolker-Nielsen T, Ize B, Williams P.</t>
  </si>
  <si>
    <t>PLoS Pathog. 2021 Aug 30;17(8):e1009425. doi: 10.1371/journal.ppat.1009425. eCollection 2021 Aug.</t>
  </si>
  <si>
    <t>Soh EY</t>
  </si>
  <si>
    <t>PMC8432897</t>
  </si>
  <si>
    <t>Wang JH, Forterre AV, Zhao J, Frimannsson DO, Delcayre A, Antes TJ, Efron B, Jeffrey SS, Pegram MD, Matin AC.</t>
  </si>
  <si>
    <t>Mol Cancer Ther. 2018 May;17(5):1133-1142. doi: 10.1158/1535-7163.MCT-17-0827. Epub 2018 Feb 26.</t>
  </si>
  <si>
    <t>Wang JH</t>
  </si>
  <si>
    <t>PMC5932266</t>
  </si>
  <si>
    <t>NIHMS944186</t>
  </si>
  <si>
    <t>Future of Liquid Biopsies With Growing Technological and Bioinformatics Studies: Opportunities and Challenges in Discovering Tumor Heterogeneity With Single-Cell Level Analysis</t>
  </si>
  <si>
    <t>Ramalingam N, Jeffrey SS.</t>
  </si>
  <si>
    <t>Cancer J. 2018 Mar/Apr;24(2):104-108. doi: 10.1097/PPO.0000000000000308.</t>
  </si>
  <si>
    <t>Ramalingam N</t>
  </si>
  <si>
    <t>Cancer J</t>
  </si>
  <si>
    <t>PMC5880298</t>
  </si>
  <si>
    <t>NIHMS938590</t>
  </si>
  <si>
    <t>10.1097/PPO.0000000000000308</t>
  </si>
  <si>
    <t>Protein transmission in neurodegenerative disease</t>
  </si>
  <si>
    <t>Peng C, Trojanowski JQ, Lee VM.</t>
  </si>
  <si>
    <t>Nat Rev Neurol. 2020 Apr;16(4):199-212. doi: 10.1038/s41582-020-0333-7. Epub 2020 Mar 23.</t>
  </si>
  <si>
    <t>Peng C</t>
  </si>
  <si>
    <t>Nat Rev Neurol</t>
  </si>
  <si>
    <t>PMC9242841</t>
  </si>
  <si>
    <t>NIHMS1685119</t>
  </si>
  <si>
    <t>10.1038/s41582-020-0333-7</t>
  </si>
  <si>
    <t>Cervical cancer is addicted to SIRT1 disarming the AIM2 antiviral defense</t>
  </si>
  <si>
    <t>So D, Shin HW, Kim J, Lee M, Myeong J, Chun YS, Park JW.</t>
  </si>
  <si>
    <t>Oncogene. 2018 Sep;37(38):5191-5204. doi: 10.1038/s41388-018-0339-4. Epub 2018 May 29.</t>
  </si>
  <si>
    <t>So D</t>
  </si>
  <si>
    <t>10.1038/s41388-018-0339-4</t>
  </si>
  <si>
    <t>Prostasomal DNA characterization and transfer into human sperm</t>
  </si>
  <si>
    <t>Ronquist GK, Larsson A, Ronquist G, Isaksson A, Hreinsson J, Carlsson L, Stavreus-Evers A.</t>
  </si>
  <si>
    <t>Mol Reprod Dev. 2011 Jul;78(7):467-76. doi: 10.1002/mrd.21327. Epub 2011 Jun 2.</t>
  </si>
  <si>
    <t>Tracing the origins of extracellular DNA in bacterial biofilms: story of death and predation to community benefit</t>
  </si>
  <si>
    <t>Campoccia D, Montanaro L, Arciola CR.</t>
  </si>
  <si>
    <t>Biofouling. 2021 Oct-Nov;37(9-10):1022-1039. doi: 10.1080/08927014.2021.2002987. Epub 2021 Nov 25.</t>
  </si>
  <si>
    <t>Campoccia D</t>
  </si>
  <si>
    <t>Biofouling</t>
  </si>
  <si>
    <t>10.1080/08927014.2021.2002987</t>
  </si>
  <si>
    <t>Ramayanti O, Verkuijlen SAWM, Novianti P, Scheepbouwer C, Misovic B, Koppers-Lalic D, van Weering J, Beckers L, Adham M, Martorelli D, Middeldorp JM, Pegtel DM.</t>
  </si>
  <si>
    <t>Int J Cancer. 2019 May 15;144(10):2555-2566. doi: 10.1002/ijc.31967. Epub 2018 Dec 6.</t>
  </si>
  <si>
    <t>Ramayanti O</t>
  </si>
  <si>
    <t>PMC6587801</t>
  </si>
  <si>
    <t>Bacterial vesicles in marine ecosystems</t>
  </si>
  <si>
    <t>Biller SJ, Schubotz F, Roggensack SE, Thompson AW, Summons RE, Chisholm SW.</t>
  </si>
  <si>
    <t>Science. 2014 Jan 10;343(6167):183-6. doi: 10.1126/science.1243457.</t>
  </si>
  <si>
    <t>Biller SJ</t>
  </si>
  <si>
    <t>Yang Z, LaRiviere MJ, Ko J, Till JE, Christensen T, Yee SS, Black TA, Tien K, Lin A, Shen H, Bhagwat N, Herman D, Adallah A, O'Hara MH, Vollmer CM, Katona BW, Stanger BZ, Issadore D, Carpenter EL.</t>
  </si>
  <si>
    <t>Clin Cancer Res. 2020 Jul 1;26(13):3248-3258. doi: 10.1158/1078-0432.CCR-19-3313. Epub 2020 Apr 16.</t>
  </si>
  <si>
    <t>Yang Z</t>
  </si>
  <si>
    <t>PMC7334066</t>
  </si>
  <si>
    <t>NIHMS1582582</t>
  </si>
  <si>
    <t>Proteomic analysis of exosomes secreted by human mesothelioma cells</t>
  </si>
  <si>
    <t>Hegmans JP, Bard MP, Hemmes A, Luider TM, Kleijmeer MJ, Prins JB, Zitvogel L, Burgers SA, Hoogsteden HC, Lambrecht BN.</t>
  </si>
  <si>
    <t>Am J Pathol. 2004 May;164(5):1807-15. doi: 10.1016/S0002-9440(10)63739-X.</t>
  </si>
  <si>
    <t>Hegmans JP</t>
  </si>
  <si>
    <t>PMC1615654</t>
  </si>
  <si>
    <t>10.1016/S0002-9440(10)63739-X</t>
  </si>
  <si>
    <t>Saada J, McAuley RJ, Marcatti M, Tang TZ, Motamedi M, Szczesny B.</t>
  </si>
  <si>
    <t>J Biol Chem. 2022 Jan;298(1):101523. doi: 10.1016/j.jbc.2021.101523. Epub 2021 Dec 23.</t>
  </si>
  <si>
    <t>Saada J</t>
  </si>
  <si>
    <t>PMC8753185</t>
  </si>
  <si>
    <t>PARP1-cGAS-NF-κB pathway of proinflammatory macrophage activation by extracellular vesicles released during Trypanosoma cruzi infection and Chagas disease</t>
  </si>
  <si>
    <t>Choudhuri S, Garg NJ.</t>
  </si>
  <si>
    <t>PLoS Pathog. 2020 Apr 21;16(4):e1008474. doi: 10.1371/journal.ppat.1008474. eCollection 2020 Apr.</t>
  </si>
  <si>
    <t>Choudhuri S</t>
  </si>
  <si>
    <t>PMC7173744</t>
  </si>
  <si>
    <t>Xie Y, Wu J, Xu A, Ahmeqd S, Sami A, Chibbar R, Freywald A, Zheng C, Xiang J.</t>
  </si>
  <si>
    <t>Vaccine. 2018 Mar 7;36(11):1414-1422. doi: 10.1016/j.vaccine.2018.01.078. Epub 2018 Feb 5.</t>
  </si>
  <si>
    <t>Vaccine</t>
  </si>
  <si>
    <t>Drees EEE, Roemer MGM, Groenewegen NJ, Perez-Boza J, van Eijndhoven MAJ, Prins LI, Verkuijlen SAWM, Tran XM, Driessen J, Zwezerijnen GJC, Stathi P, Mol K, Karregat JJJP, Kalantidou A, Vallés-Martí A, Molenaar TJ, Aparicio-Puerta E, van Dijk E, Ylstra B, Groothuis-Oudshoorn CGM, Hackenberg M, de Jong D, Zijlstra JM, Pegtel DM.</t>
  </si>
  <si>
    <t>J Extracell Vesicles. 2021 Jul;10(9):e12121. doi: 10.1002/jev2.12121. Epub 2021 Jul 15.</t>
  </si>
  <si>
    <t>Drees EEE</t>
  </si>
  <si>
    <t>PMC8282992</t>
  </si>
  <si>
    <t>The Role of Liquid Biopsies in Pediatric Brain Tumors</t>
  </si>
  <si>
    <t>Tang K, Gardner S, Snuderl M.</t>
  </si>
  <si>
    <t>J Neuropathol Exp Neurol. 2020 Sep 1;79(9):934-940. doi: 10.1093/jnen/nlaa068.</t>
  </si>
  <si>
    <t>Tang K</t>
  </si>
  <si>
    <t>J Neuropathol Exp Neurol</t>
  </si>
  <si>
    <t>PMC8453615</t>
  </si>
  <si>
    <t>10.1093/jnen/nlaa068</t>
  </si>
  <si>
    <t>Multifaceted roles of extracellular DNA in bacterial physiology</t>
  </si>
  <si>
    <t>Vorkapic D, Pressler K, Schild S.</t>
  </si>
  <si>
    <t>Curr Genet. 2016 Feb;62(1):71-9. doi: 10.1007/s00294-015-0514-x. Epub 2015 Sep 2.</t>
  </si>
  <si>
    <t>Vorkapic D</t>
  </si>
  <si>
    <t>Curr Genet</t>
  </si>
  <si>
    <t>PMC4723616</t>
  </si>
  <si>
    <t>10.1007/s00294-015-0514-x</t>
  </si>
  <si>
    <t>Ricklefs FL, Alayo Q, Krenzlin H, Mahmoud AB, Speranza MC, Nakashima H, Hayes JL, Lee K, Balaj L, Passaro C, Rooj AK, Krasemann S, Carter BS, Chen CC, Steed T, Treiber J, Rodig S, Yang K, Nakano I, Lee H, Weissleder R, Breakefield XO, Godlewski J, Westphal M, Lamszus K, Freeman GJ, Bronisz A, Lawler SE, Chiocca EA.</t>
  </si>
  <si>
    <t>Sci Adv. 2018 Mar 7;4(3):eaar2766. doi: 10.1126/sciadv.aar2766. eCollection 2018 Mar.</t>
  </si>
  <si>
    <t>Ricklefs FL</t>
  </si>
  <si>
    <t>PMC5842038</t>
  </si>
  <si>
    <t>Sequencing the next generation of glioblastomas</t>
  </si>
  <si>
    <t>Jovčevska I.</t>
  </si>
  <si>
    <t>Crit Rev Clin Lab Sci. 2018 Jun;55(4):264-282. doi: 10.1080/10408363.2018.1462759. Epub 2018 Apr 18.</t>
  </si>
  <si>
    <t>Jovčevska I</t>
  </si>
  <si>
    <t>10.1080/10408363.2018.1462759</t>
  </si>
  <si>
    <t>Usman WM, Pham TC, Kwok YY, Vu LT, Ma V, Peng B, Chan YS, Wei L, Chin SM, Azad A, He AB, Leung AYH, Yang M, Shyh-Chang N, Cho WC, Shi J, Le MTN.</t>
  </si>
  <si>
    <t>Nat Commun. 2018 Jun 15;9(1):2359. doi: 10.1038/s41467-018-04791-8.</t>
  </si>
  <si>
    <t>Usman WM</t>
  </si>
  <si>
    <t>PMC6004015</t>
  </si>
  <si>
    <t>Weick EM, Puno MR, Januszyk K, Zinder JC, DiMattia MA, Lima CD.</t>
  </si>
  <si>
    <t>Cell. 2018 Jun 14;173(7):1663-1677.e21. doi: 10.1016/j.cell.2018.05.041.</t>
  </si>
  <si>
    <t>Weick EM</t>
  </si>
  <si>
    <t>PMC6124691</t>
  </si>
  <si>
    <t>NIHMS1500107</t>
  </si>
  <si>
    <t>Programmable Aggregation of Artificial Cells with DNA Signals</t>
  </si>
  <si>
    <t>Qiu H, Li F, Du Y, Li R, Hyun JY, Lee SY, Choi JH.</t>
  </si>
  <si>
    <t>ACS Synth Biol. 2021 Jun 18;10(6):1268-1276. doi: 10.1021/acssynbio.0c00550. Epub 2021 May 18.</t>
  </si>
  <si>
    <t>Qiu H</t>
  </si>
  <si>
    <t>ACS Synth Biol</t>
  </si>
  <si>
    <t>10.1021/acssynbio.0c00550</t>
  </si>
  <si>
    <t>Miyata K, Imai Y, Hori S, Nishio M, Loo TM, Okada R, Yang L, Nakadai T, Maruyama R, Fujii R, Ueda K, Jiang L, Zheng H, Toyokuni S, Sakata T, Shirahige K, Kojima R, Nakayama M, Oshima M, Nagayama S, Seimiya H, Hirota T, Saya H, Hara E, Takahashi A.</t>
  </si>
  <si>
    <t>Proc Natl Acad Sci U S A. 2021 Aug 31;118(35):e2025647118. doi: 10.1073/pnas.2025647118.</t>
  </si>
  <si>
    <t>Miyata K</t>
  </si>
  <si>
    <t>PMC8536346</t>
  </si>
  <si>
    <t>Wisler JR, Singh K, McCarty A, Harkless R, Karpurapu M, Hernandez E, Mukherjee D, Abouhashem AS, Christman JW, Sen CK.</t>
  </si>
  <si>
    <t>Shock. 2022 Jun 1;57(6):218-227. doi: 10.1097/SHK.0000000000001928.</t>
  </si>
  <si>
    <t>Wisler JR</t>
  </si>
  <si>
    <t>Small extracellular particles with big potential for horizontal gene transfer: membrane vesicles and gene transfer agents</t>
  </si>
  <si>
    <t>Grüll MP, Mulligan ME, Lang AS.</t>
  </si>
  <si>
    <t>FEMS Microbiol Lett. 2018 Oct 1;365(19). doi: 10.1093/femsle/fny192.</t>
  </si>
  <si>
    <t>Grüll MP</t>
  </si>
  <si>
    <t>FEMS Microbiol Lett</t>
  </si>
  <si>
    <t>10.1093/femsle/fny192</t>
  </si>
  <si>
    <t>Baba T, Yoshida T, Tanabe Y, Nishimura T, Morishita S, Gotoh N, Hirao A, Hanayama R, Mukaida N.</t>
  </si>
  <si>
    <t>Cell Death Dis. 2021 Mar 26;12(4):322. doi: 10.1038/s41419-021-03587-x.</t>
  </si>
  <si>
    <t>Baba T</t>
  </si>
  <si>
    <t>PMC7997981</t>
  </si>
  <si>
    <t>What about the males? the C. elegans sexually dimorphic nervous system and a CRISPR-based tool to study males in a hermaphroditic species</t>
  </si>
  <si>
    <t>Walsh JD, Boivin O, Barr MM.</t>
  </si>
  <si>
    <t>J Neurogenet. 2020 Sep-Dec;34(3-4):323-334. doi: 10.1080/01677063.2020.1789978. Epub 2020 Jul 10.</t>
  </si>
  <si>
    <t>Walsh JD</t>
  </si>
  <si>
    <t>J Neurogenet</t>
  </si>
  <si>
    <t>PMC7796903</t>
  </si>
  <si>
    <t>NIHMS1639780</t>
  </si>
  <si>
    <t>10.1080/01677063.2020.1789978</t>
  </si>
  <si>
    <t>Whole-exome resequencing reveals recessive mutations in TRAP1 in individuals with CAKUT and VACTERL association</t>
  </si>
  <si>
    <t>Saisawat P, Kohl S, Hilger AC, Hwang DY, Yung Gee H, Dworschak GC, Tasic V, Pennimpede T, Natarajan S, Sperry E, Matassa DS, Stajić N, Bogdanovic R, de Blaauw I, Marcelis CL, Wijers CH, Bartels E, Schmiedeke E, Schmidt D, Märzheuser S, Grasshoff-Derr S, Holland-Cunz S, Ludwig M, Nöthen MM, Draaken M, Brosens E, Heij H, Tibboel D, Herrmann BG, Solomon BD, de Klein A, van Rooij IA, Esposito F, Reutter HM, Hildebrandt F.</t>
  </si>
  <si>
    <t>Kidney Int. 2014 Jun;85(6):1310-7. doi: 10.1038/ki.2013.417. Epub 2013 Oct 23.</t>
  </si>
  <si>
    <t>Saisawat P</t>
  </si>
  <si>
    <t>PMC3997628</t>
  </si>
  <si>
    <t>NIHMS526467</t>
  </si>
  <si>
    <t>10.1038/ki.2013.417</t>
  </si>
  <si>
    <t>Podgornaya OI, Vasilyeva IN, Bespalov VG.</t>
  </si>
  <si>
    <t>Adv Exp Med Biol. 2016;924:85-89. doi: 10.1007/978-3-319-42044-8_16.</t>
  </si>
  <si>
    <t>Podgornaya OI</t>
  </si>
  <si>
    <t>Retrovirus-like Gag Protein Arc1 Binds RNA and Traffics across Synaptic Boutons</t>
  </si>
  <si>
    <t>Ashley J, Cordy B, Lucia D, Fradkin LG, Budnik V, Thomson T.</t>
  </si>
  <si>
    <t>Cell. 2018 Jan 11;172(1-2):262-274.e11. doi: 10.1016/j.cell.2017.12.022.</t>
  </si>
  <si>
    <t>Ashley J</t>
  </si>
  <si>
    <t>PMC5793882</t>
  </si>
  <si>
    <t>NIHMS932799</t>
  </si>
  <si>
    <t>10.1016/j.cell.2017.12.022</t>
  </si>
  <si>
    <t>RNA at DNA Double-Strand Breaks: The Challenge of Dealing with DNA:RNA Hybrids</t>
  </si>
  <si>
    <t>Domingo-Prim J, Bonath F, Visa N.</t>
  </si>
  <si>
    <t>Bioessays. 2020 May;42(5):e1900225. doi: 10.1002/bies.201900225. Epub 2020 Feb 27.</t>
  </si>
  <si>
    <t>10.1002/bies.201900225</t>
  </si>
  <si>
    <t>Poly(acrylic acid)-Coated Iron Oxide Nanoparticles interact with mononuclear phagocytes and decrease platelet aggregation</t>
  </si>
  <si>
    <t>Villegas MG, Ceballos MT, Urquijo J, Torres EY, Ortiz-Reyes BL, Arnache-Olmos OL, López MR.</t>
  </si>
  <si>
    <t>Cell Immunol. 2019 Apr;338:51-62. doi: 10.1016/j.cellimm.2019.03.005. Epub 2019 Mar 26.</t>
  </si>
  <si>
    <t>Villegas MG</t>
  </si>
  <si>
    <t>Cell Immunol</t>
  </si>
  <si>
    <t>10.1016/j.cellimm.2019.03.005</t>
  </si>
  <si>
    <t>Glucocerebrosidase reduces the spread of protein aggregation in a Drosophila melanogaster model of neurodegeneration by regulating proteins trafficked by extracellular vesicles</t>
  </si>
  <si>
    <t>Jewett KA, Thomas RE, Phan CQ, Lin B, Milstein G, Yu S, Bettcher LF, Neto FC, Djukovic D, Raftery D, Pallanck LJ, Davis MY.</t>
  </si>
  <si>
    <t>PLoS Genet. 2021 Feb 4;17(2):e1008859. doi: 10.1371/journal.pgen.1008859. eCollection 2021 Feb.</t>
  </si>
  <si>
    <t>Jewett KA</t>
  </si>
  <si>
    <t>PMC7888665</t>
  </si>
  <si>
    <t>10.1371/journal.pgen.1008859</t>
  </si>
  <si>
    <t>Haney MJ, Klyachko NL, Harrison EB, Zhao Y, Kabanov AV, Batrakova EV.</t>
  </si>
  <si>
    <t>Adv Healthc Mater. 2019 Jun;8(11):e1801271. doi: 10.1002/adhm.201801271. Epub 2019 Apr 18.</t>
  </si>
  <si>
    <t>PMC6584948</t>
  </si>
  <si>
    <t>NIHMS1026691</t>
  </si>
  <si>
    <t>Tumor-derived extracellular vesicles containing microRNA-1290 promote immune escape of cancer cells through the Grhl2/ZEB1/PD-L1 axis in gastric cancer</t>
  </si>
  <si>
    <t>Liang Y, Liu Y, Zhang Q, Zhang H, Du J.</t>
  </si>
  <si>
    <t>Transl Res. 2021 May;231:102-112. doi: 10.1016/j.trsl.2020.12.003. Epub 2020 Dec 13.</t>
  </si>
  <si>
    <t>Liang Y</t>
  </si>
  <si>
    <t>10.1016/j.trsl.2020.12.003</t>
  </si>
  <si>
    <t>Label-free detection and manipulation of single biological nanoparticles</t>
  </si>
  <si>
    <t>DeSantis MC, Cheng W.</t>
  </si>
  <si>
    <t>Wiley Interdiscip Rev Nanomed Nanobiotechnol. 2016 Sep;8(5):717-29. doi: 10.1002/wnan.1392. Epub 2016 Feb 5.</t>
  </si>
  <si>
    <t>DeSantis MC</t>
  </si>
  <si>
    <t>PMC5538576</t>
  </si>
  <si>
    <t>NIHMS885248</t>
  </si>
  <si>
    <t>10.1002/wnan.1392</t>
  </si>
  <si>
    <t>Applications of DNA-Based Liquid Biopsy for Central Nervous System Neoplasms</t>
  </si>
  <si>
    <t>Wang J, Bettegowda C.</t>
  </si>
  <si>
    <t>J Mol Diagn. 2017 Jan;19(1):24-34. doi: 10.1016/j.jmoldx.2016.08.007. Epub 2016 Nov 15.</t>
  </si>
  <si>
    <t>Wang J</t>
  </si>
  <si>
    <t>10.1016/j.jmoldx.2016.08.007</t>
  </si>
  <si>
    <t>Soler N, Marguet E, Verbavatz JM, Forterre P.</t>
  </si>
  <si>
    <t>Res Microbiol. 2008 Jun;159(5):390-9. doi: 10.1016/j.resmic.2008.04.015. Epub 2008 Jun 25.</t>
  </si>
  <si>
    <t>Res Microbiol</t>
  </si>
  <si>
    <t>Balaj L, Lessard R, Dai L, Cho YJ, Pomeroy SL, Breakefield XO, Skog J.</t>
  </si>
  <si>
    <t>Nat Commun. 2011 Feb 1;2:180. doi: 10.1038/ncomms1180.</t>
  </si>
  <si>
    <t>PMC3040683</t>
  </si>
  <si>
    <t>NIHMS270621</t>
  </si>
  <si>
    <t>Activating mutations in PTPN3 promote cholangiocarcinoma cell proliferation and migration and are associated with tumor recurrence in patients</t>
  </si>
  <si>
    <t>Gao Q, Zhao YJ, Wang XY, Guo WJ, Gao S, Wei L, Shi JY, Shi GM, Wang ZC, Zhang YN, Shi YH, Ding J, Ding ZB, Ke AW, Dai Z, Wu FZ, Wang H, Qiu ZP, Chen ZA, Zhang ZF, Qiu SJ, Zhou J, He XH, Fan J.</t>
  </si>
  <si>
    <t>Gastroenterology. 2014 May;146(5):1397-407. doi: 10.1053/j.gastro.2014.01.062. Epub 2014 Feb 4.</t>
  </si>
  <si>
    <t>Gao Q</t>
  </si>
  <si>
    <t>10.1053/j.gastro.2014.01.062</t>
  </si>
  <si>
    <t>Transferred BCR/ABL DNA from K562 extracellular vesicles causes chronic myeloid leukemia in immunodeficient mice</t>
  </si>
  <si>
    <t>Cai J, Wu G, Tan X, Han Y, Chen C, Li C, Wang N, Zou X, Chen X, Zhou F, He D, Zhou L, Jose PA, Zeng C.</t>
  </si>
  <si>
    <t>PLoS One. 2014 Aug 18;9(8):e105200. doi: 10.1371/journal.pone.0105200. eCollection 2014.</t>
  </si>
  <si>
    <t>PMC4136837</t>
  </si>
  <si>
    <t>DNA Hydrogelation-Enhanced Imaging Ellipsometry for Sensing Exosomal microRNAs with a Tunable Detection Range</t>
  </si>
  <si>
    <t>Zou L, Wu Z, Liu X, Zheng Y, Mei W, Wang Q, Yang X, Wang K.</t>
  </si>
  <si>
    <t>Anal Chem. 2020 Sep 1;92(17):11953-11959. doi: 10.1021/acs.analchem.0c02345. Epub 2020 Aug 10.</t>
  </si>
  <si>
    <t>Zou L</t>
  </si>
  <si>
    <t>10.1021/acs.analchem.0c02345</t>
  </si>
  <si>
    <t>Ulz P, Heitzer E, Geigl JB, Speicher MR.</t>
  </si>
  <si>
    <t>Int J Cancer. 2017 Sep 1;141(5):887-896. doi: 10.1002/ijc.30759. Epub 2017 May 25.</t>
  </si>
  <si>
    <t>Ulz P</t>
  </si>
  <si>
    <t>Autographa californica multiple nucleopolyhedrovirus ac76 is involved in intranuclear microvesicle formation</t>
  </si>
  <si>
    <t>Hu Z, Yuan M, Wu W, Liu C, Yang K, Pang Y.</t>
  </si>
  <si>
    <t>J Virol. 2010 Aug;84(15):7437-47. doi: 10.1128/JVI.02103-09. Epub 2010 May 19.</t>
  </si>
  <si>
    <t>Hu Z</t>
  </si>
  <si>
    <t>PMC2897645</t>
  </si>
  <si>
    <t>Mitochondrial DNA in innate immune responses against infectious diseases</t>
  </si>
  <si>
    <t>Das P, Chakrabarti O.</t>
  </si>
  <si>
    <t>Biochem Soc Trans. 2020 Dec 18;48(6):2823-2838. doi: 10.1042/BST20200687.</t>
  </si>
  <si>
    <t>Das P</t>
  </si>
  <si>
    <t>10.1042/BST20200687</t>
  </si>
  <si>
    <t>Combination of bone morphogenetic protein-2 plasmid DNA with chemokine CXCL12 creates an additive effect on bone formation onset and volume</t>
  </si>
  <si>
    <t>Wegman F, Poldervaart MT, van der Helm YJ, Oner FC, Dhert WJ, Alblas J.</t>
  </si>
  <si>
    <t>Eur Cell Mater. 2015 Jul 27;30:1-10; discussion 10-1. doi: 10.22203/ecm.v030a01.</t>
  </si>
  <si>
    <t>Wegman F</t>
  </si>
  <si>
    <t>Eur Cell Mater</t>
  </si>
  <si>
    <t>10.22203/ecm.v030a01</t>
  </si>
  <si>
    <t>Ski2-like RNA helicase structures: common themes and complex assemblies</t>
  </si>
  <si>
    <t>Johnson SJ, Jackson RN.</t>
  </si>
  <si>
    <t>RNA Biol. 2013 Jan;10(1):33-43. doi: 10.4161/rna.22101. Epub 2012 Sep 20.</t>
  </si>
  <si>
    <t>Johnson SJ</t>
  </si>
  <si>
    <t>PMC3590235</t>
  </si>
  <si>
    <t>10.4161/rna.22101</t>
  </si>
  <si>
    <t>Giordano L, Gregory AD, Pérez Verdaguer M, Ware SA, Harvey H, DeVallance E, Brzoska T, Sundd P, Zhang Y, Sciurba FC, Shapiro SD, Kaufman BA.</t>
  </si>
  <si>
    <t>Cells. 2022 Jan 22;11(3):369. doi: 10.3390/cells11030369.</t>
  </si>
  <si>
    <t>Giordano L</t>
  </si>
  <si>
    <t>PMC8834490</t>
  </si>
  <si>
    <t>Generation of full-length cDNA recombinant vectors for the transient expression of human fibronectin in mammalian cell lines</t>
  </si>
  <si>
    <t>Dufour S, Gutman A, Bois F, Lamb N, Thiery JP, Kornblihtt AR.</t>
  </si>
  <si>
    <t>Exp Cell Res. 1991 Apr;193(2):331-8. doi: 10.1016/0014-4827(91)90104-3.</t>
  </si>
  <si>
    <t>Dufour S</t>
  </si>
  <si>
    <t>10.1016/0014-4827(91)90104-3</t>
  </si>
  <si>
    <t>Biological Functions and Current Advances in Isolation and Detection Strategies for Exosome Nanovesicles</t>
  </si>
  <si>
    <t>Boriachek K, Islam MN, Möller A, Salomon C, Nguyen NT, Hossain MSA, Yamauchi Y, Shiddiky MJA.</t>
  </si>
  <si>
    <t>Small. 2018 Feb;14(6). doi: 10.1002/smll.201702153. Epub 2017 Dec 28.</t>
  </si>
  <si>
    <t>Boriachek K</t>
  </si>
  <si>
    <t>10.1002/smll.201702153</t>
  </si>
  <si>
    <t>Home and Away: The Role of Non-Coding RNA in Intracellular and Intercellular DNA Damage Response</t>
  </si>
  <si>
    <t>Shaw A, Gullerova M.</t>
  </si>
  <si>
    <t>Genes (Basel). 2021 Sep 23;12(10):1475. doi: 10.3390/genes12101475.</t>
  </si>
  <si>
    <t>Shaw A</t>
  </si>
  <si>
    <t>PMC8535248</t>
  </si>
  <si>
    <t>10.3390/genes12101475</t>
  </si>
  <si>
    <t>Development of LNA Gapmer Oligonucleotide-Based Therapy for ALS/FTD Caused by the C9orf72 Repeat Expansion</t>
  </si>
  <si>
    <t>Sathyaprakash C, Manzano R, Varela MA, Hashimoto Y, Wood MJA, Talbot K, Aoki Y.</t>
  </si>
  <si>
    <t>Methods Mol Biol. 2020;2176:185-208. doi: 10.1007/978-1-0716-0771-8_14.</t>
  </si>
  <si>
    <t>Sathyaprakash C</t>
  </si>
  <si>
    <t>10.1007/978-1-0716-0771-8_14</t>
  </si>
  <si>
    <t>Jain HV, Takeda K, Tami C, Verthelyi D, Beaucage SL.</t>
  </si>
  <si>
    <t>Bioorg Med Chem. 2013 Oct 15;21(20):6224-32. doi: 10.1016/j.bmc.2013.04.071. Epub 2013 May 7.</t>
  </si>
  <si>
    <t>Jain HV</t>
  </si>
  <si>
    <t>Bioorg Med Chem</t>
  </si>
  <si>
    <t>Podolich O, Kukharenko O, Haidak A, Zaets I, Zaika L, Storozhuk O, Palchikovska L, Orlovska I, Reva O, Borisova T, Khirunenko L, Sosnin M, Rabbow E, Kravchenko V, Skoryk M, Kremenskoy M, Demets R, Olsson-Francis K, Kozyrovska N, de Vera JP.</t>
  </si>
  <si>
    <t>Astrobiology. 2019 Feb;19(2):183-196. doi: 10.1089/ast.2017.1746. Epub 2018 Nov 28.</t>
  </si>
  <si>
    <t>Podolich O</t>
  </si>
  <si>
    <t>Astrobiology</t>
  </si>
  <si>
    <t>Burns JR.</t>
  </si>
  <si>
    <t>Small. 2021 Jun;17(25):e2100136. doi: 10.1002/smll.202100136. Epub 2021 May 7.</t>
  </si>
  <si>
    <t>Burns JR</t>
  </si>
  <si>
    <t>The role of liquid biopsies in prostate cancer management</t>
  </si>
  <si>
    <t>Kim CJ, Dong L, Amend SR, Cho YK, Pienta KJ.</t>
  </si>
  <si>
    <t>Lab Chip. 2021 Sep 7;21(17):3263-3288. doi: 10.1039/d1lc00485a. Epub 2021 Aug 4.</t>
  </si>
  <si>
    <t>Kim CJ</t>
  </si>
  <si>
    <t>10.1039/d1lc00485a</t>
  </si>
  <si>
    <t>Asada K, Ito K, Yui D, Tagaya H, Yokota T.</t>
  </si>
  <si>
    <t>Sci Rep. 2018 Jun 4;8(1):8551. doi: 10.1038/s41598-018-26487-1.</t>
  </si>
  <si>
    <t>Asada K</t>
  </si>
  <si>
    <t>PMC5986806</t>
  </si>
  <si>
    <t>Adaptation of mycoplasmas to antimicrobial agents: Acholeplasma laidlawii extracellular vesicles mediate the export of ciprofloxacin and a mutant gene related to the antibiotic target</t>
  </si>
  <si>
    <t>Medvedeva ES, Baranova NB, Mouzykantov AA, Grigorieva TY, Davydova MN, Trushin MV, Chernova OA, Chernov VM.</t>
  </si>
  <si>
    <t>ScientificWorldJournal. 2014 Jan 29;2014:150615. doi: 10.1155/2014/150615. eCollection 2014.</t>
  </si>
  <si>
    <t>Medvedeva ES</t>
  </si>
  <si>
    <t>ScientificWorldJournal</t>
  </si>
  <si>
    <t>PMC3925563</t>
  </si>
  <si>
    <t>Yang Q, Wei B, Peng C, Wang L, Li C.</t>
  </si>
  <si>
    <t>Curr Res Transl Med. 2022 Jan;70(1):103315. doi: 10.1016/j.retram.2021.103315. Epub 2021 Nov 24.</t>
  </si>
  <si>
    <t>Yang Q</t>
  </si>
  <si>
    <t>Curr Res Transl Med</t>
  </si>
  <si>
    <t>Lingering Questions about Enhancer RNA and Enhancer Transcription-Coupled Genomic Instability</t>
  </si>
  <si>
    <t>Rothschild G, Basu U.</t>
  </si>
  <si>
    <t>Trends Genet. 2017 Feb;33(2):143-154. doi: 10.1016/j.tig.2016.12.002. Epub 2017 Jan 10.</t>
  </si>
  <si>
    <t>Rothschild G</t>
  </si>
  <si>
    <t>Trends Genet</t>
  </si>
  <si>
    <t>PMC5291171</t>
  </si>
  <si>
    <t>NIHMS842755</t>
  </si>
  <si>
    <t>10.1016/j.tig.2016.12.002</t>
  </si>
  <si>
    <t>Liu X, Kang X, Lei C, Ren W, Liu C.</t>
  </si>
  <si>
    <t>Anal Chem. 2022 Mar 8;94(9):3987-3996. doi: 10.1021/acs.analchem.1c05124. Epub 2022 Feb 22.</t>
  </si>
  <si>
    <t>Ultrasensitive Exosomal MicroRNA Detection with a Supercharged DNA Framework Nanolabel</t>
  </si>
  <si>
    <t>Liu N, Lu H, Liu L, Ni W, Yao Q, Zhang GJ, Yang F.</t>
  </si>
  <si>
    <t>Anal Chem. 2021 Apr 13;93(14):5917-5923. doi: 10.1021/acs.analchem.1c00295. Epub 2021 Apr 2.</t>
  </si>
  <si>
    <t>Liu N</t>
  </si>
  <si>
    <t>10.1021/acs.analchem.1c00295</t>
  </si>
  <si>
    <t>Quantitative and Qualitative Analysis of Blood-based Liquid Biopsies to Inform Clinical Decision-making in Prostate Cancer</t>
  </si>
  <si>
    <t>Casanova-Salas I, Athie A, Boutros PC, Del Re M, Miyamoto DT, Pienta KJ, Posadas EM, Sowalsky AG, Stenzl A, Wyatt AW, Mateo J.</t>
  </si>
  <si>
    <t>Eur Urol. 2021 Jun;79(6):762-771. doi: 10.1016/j.eururo.2020.12.037. Epub 2021 Jan 7.</t>
  </si>
  <si>
    <t>Casanova-Salas I</t>
  </si>
  <si>
    <t>Eur Urol</t>
  </si>
  <si>
    <t>PMC8941682</t>
  </si>
  <si>
    <t>NIHMS1662262</t>
  </si>
  <si>
    <t>10.1016/j.eururo.2020.12.037</t>
  </si>
  <si>
    <t>Multifunctional DNA dendrimer nanostructures for biomedical applications</t>
  </si>
  <si>
    <t>Liu L, Han L, Wu Q, Sun Y, Li K, Liu Y, Liu H, Luo E.</t>
  </si>
  <si>
    <t>J Mater Chem B. 2021 Jun 30;9(25):4991-5007. doi: 10.1039/d1tb00689d.</t>
  </si>
  <si>
    <t>10.1039/d1tb00689d</t>
  </si>
  <si>
    <t>Reconstitution, activities, and structure of the eukaryotic RNA exosome</t>
  </si>
  <si>
    <t>Liu Q, Greimann JC, Lima CD.</t>
  </si>
  <si>
    <t>Cell. 2006 Dec 15;127(6):1223-37. doi: 10.1016/j.cell.2006.10.037.</t>
  </si>
  <si>
    <t>Liu Q</t>
  </si>
  <si>
    <t>10.1016/j.cell.2006.10.037</t>
  </si>
  <si>
    <t>Kalniņa Z, Meistere I, Kikuste I, Tolmanis I, Zayakin P, Linē A.</t>
  </si>
  <si>
    <t>World J Gastroenterol. 2015 Nov 7;21(41):11636-53. doi: 10.3748/wjg.v21.i41.11636.</t>
  </si>
  <si>
    <t>Kalniņa Z</t>
  </si>
  <si>
    <t>PMC4631966</t>
  </si>
  <si>
    <t>Lehmann BD, Paine MS, Brooks AM, McCubrey JA, Renegar RH, Wang R, Terrian DM.</t>
  </si>
  <si>
    <t>Cancer Res. 2008 Oct 1;68(19):7864-71. doi: 10.1158/0008-5472.CAN-07-6538.</t>
  </si>
  <si>
    <t>Lehmann BD</t>
  </si>
  <si>
    <t>PMC3845029</t>
  </si>
  <si>
    <t>NIHMS65000</t>
  </si>
  <si>
    <t>Current and Emerging Applications of Droplet Digital PCR in Oncology: An Updated Review</t>
  </si>
  <si>
    <t>Olmedillas-López S, Olivera-Salazar R, García-Arranz M, García-Olmo D.</t>
  </si>
  <si>
    <t>Mol Diagn Ther. 2022 Jan;26(1):61-87. doi: 10.1007/s40291-021-00562-2. Epub 2021 Nov 13.</t>
  </si>
  <si>
    <t>Olmedillas-López S</t>
  </si>
  <si>
    <t>10.1007/s40291-021-00562-2</t>
  </si>
  <si>
    <t>Characterization of eDNA from the clinical strain Acinetobacter baumannii AIIMS 7 and its role in biofilm formation</t>
  </si>
  <si>
    <t>Sahu PK, Iyer PS, Oak AM, Pardesi KR, Chopade BA.</t>
  </si>
  <si>
    <t>ScientificWorldJournal. 2012;2012:973436. doi: 10.1100/2012/973436. Epub 2012 Apr 19.</t>
  </si>
  <si>
    <t>Sahu PK</t>
  </si>
  <si>
    <t>PMC3346689</t>
  </si>
  <si>
    <t>Liquid biopsies</t>
  </si>
  <si>
    <t>Lianidou E, Pantel K.</t>
  </si>
  <si>
    <t>Genes Chromosomes Cancer. 2019 Apr;58(4):219-232. doi: 10.1002/gcc.22695.</t>
  </si>
  <si>
    <t>Lianidou E</t>
  </si>
  <si>
    <t>Genes Chromosomes Cancer</t>
  </si>
  <si>
    <t>10.1002/gcc.22695</t>
  </si>
  <si>
    <t>Circulating tumor markers: harmonizing the yin and yang of CTCs and ctDNA for precision medicine</t>
  </si>
  <si>
    <t>Batth IS, Mitra A, Manier S, Ghobrial IM, Menter D, Kopetz S, Li S.</t>
  </si>
  <si>
    <t>Ann Oncol. 2017 Mar 1;28(3):468-477. doi: 10.1093/annonc/mdw619.</t>
  </si>
  <si>
    <t>Batth IS</t>
  </si>
  <si>
    <t>PMC6246190</t>
  </si>
  <si>
    <t>10.1093/annonc/mdw619</t>
  </si>
  <si>
    <t>The role of bacterial outer membrane vesicles for intra- and interspecies delivery</t>
  </si>
  <si>
    <t>Berleman J, Auer M.</t>
  </si>
  <si>
    <t>Environ Microbiol. 2013 Feb;15(2):347-54. doi: 10.1111/1462-2920.12048. Epub 2012 Dec 11.</t>
  </si>
  <si>
    <t>Berleman J</t>
  </si>
  <si>
    <t>10.1111/1462-2920.12048</t>
  </si>
  <si>
    <t>Mechanisms of mitochondrial DNA escape and its relationship with different metabolic diseases</t>
  </si>
  <si>
    <t>Pérez-Treviño P, Velásquez M, García N.</t>
  </si>
  <si>
    <t>Biochim Biophys Acta Mol Basis Dis. 2020 Jun 1;1866(6):165761. doi: 10.1016/j.bbadis.2020.165761. Epub 2020 Mar 10.</t>
  </si>
  <si>
    <t>Pérez-Treviño P</t>
  </si>
  <si>
    <t>Biochim Biophys Acta Mol Basis Dis</t>
  </si>
  <si>
    <t>10.1016/j.bbadis.2020.165761</t>
  </si>
  <si>
    <t>Potocytosis and cellular exit of complexes as cellular pathways for gene delivery by polycations</t>
  </si>
  <si>
    <t>Grosse S, Aron Y, Thévenot G, François D, Monsigny M, Fajac I.</t>
  </si>
  <si>
    <t>J Gene Med. 2005 Oct;7(10):1275-86. doi: 10.1002/jgm.772.</t>
  </si>
  <si>
    <t>Grosse S</t>
  </si>
  <si>
    <t>10.1002/jgm.772</t>
  </si>
  <si>
    <t>Hellenbrand KM, Forsythe KM, Rivera-Rivas JJ, Czuprynski CJ, Aulik NA.</t>
  </si>
  <si>
    <t>Microb Pathog. 2013 Jan;54:67-75. doi: 10.1016/j.micpath.2012.09.007. Epub 2012 Sep 27.</t>
  </si>
  <si>
    <t>Hellenbrand KM</t>
  </si>
  <si>
    <t>Microb Pathog</t>
  </si>
  <si>
    <t>PMC7125803</t>
  </si>
  <si>
    <t>DNAzyme-based probe for circulating microRNA detection in peripheral blood</t>
  </si>
  <si>
    <t>Shao G, Ji S, Wu A, Liu C, Wang M, Zhang P, Jiao Q, Kang Y.</t>
  </si>
  <si>
    <t>Drug Des Devel Ther. 2015 Nov 16;9:6109-17. doi: 10.2147/DDDT.S89560. eCollection 2015.</t>
  </si>
  <si>
    <t>Shao G</t>
  </si>
  <si>
    <t>Drug Des Devel Ther</t>
  </si>
  <si>
    <t>PMC4655907</t>
  </si>
  <si>
    <t>10.2147/DDDT.S89560</t>
  </si>
  <si>
    <t>Cloning and characterization of the cDNA coding for a polymyositis-scleroderma overlap syndrome-related nucleolar 100-kD protein</t>
  </si>
  <si>
    <t>Blüthner M, Bautz FA.</t>
  </si>
  <si>
    <t>J Exp Med. 1992 Oct 1;176(4):973-80. doi: 10.1084/jem.176.4.973.</t>
  </si>
  <si>
    <t>Blüthner M</t>
  </si>
  <si>
    <t>PMC2119404</t>
  </si>
  <si>
    <t>10.1084/jem.176.4.973</t>
  </si>
  <si>
    <t>Smolina N, Khudiakov A, Knyazeva A, Zlotina A, Sukhareva K, Kondratov K, Gogvadze V, Zhivotovsky B, Sejersen T, Kostareva A.</t>
  </si>
  <si>
    <t>Biochim Biophys Acta Mol Basis Dis. 2020 Jun 1;1866(6):165745. doi: 10.1016/j.bbadis.2020.165745. Epub 2020 Feb 25.</t>
  </si>
  <si>
    <t>Smolina N</t>
  </si>
  <si>
    <t>Mutation analysis of the flp operon in Actinobacillus actinomycetemcomitans</t>
  </si>
  <si>
    <t>Wang Y, Chen C.</t>
  </si>
  <si>
    <t>Gene. 2005 May 23;351:61-71. doi: 10.1016/j.gene.2005.02.010. Epub 2005 Apr 14.</t>
  </si>
  <si>
    <t>10.1016/j.gene.2005.02.010</t>
  </si>
  <si>
    <t>Functional expression of the polymeric immunoglobulin receptor from cloned cDNA in fibroblasts</t>
  </si>
  <si>
    <t>Deitcher DL, Neutra MR, Mostov KE.</t>
  </si>
  <si>
    <t>J Cell Biol. 1986 Mar;102(3):911-9. doi: 10.1083/jcb.102.3.911.</t>
  </si>
  <si>
    <t>Deitcher DL</t>
  </si>
  <si>
    <t>PMC2114126</t>
  </si>
  <si>
    <t>10.1083/jcb.102.3.911</t>
  </si>
  <si>
    <t>The Long Terminal Repeat Retrotransposons Tf1 and Tf2 of Schizosaccharomyces pombe</t>
  </si>
  <si>
    <t>Esnault C, Levin HL.</t>
  </si>
  <si>
    <t>Microbiol Spectr. 2015 Aug;3(4):10.1128/microbiolspec.MDNA3-0040-2014. doi: 10.1128/microbiolspec.MDNA3-0040-2014.</t>
  </si>
  <si>
    <t>Esnault C</t>
  </si>
  <si>
    <t>PMC6388632</t>
  </si>
  <si>
    <t>NIHMS1013367</t>
  </si>
  <si>
    <t>10.1128/microbiolspec.MDNA3-0040-2014</t>
  </si>
  <si>
    <t>de Wit S, Rossi E, Weber S, Tamminga M, Manicone M, Swennenhuis JF, Groothuis-Oudshoorn CGM, Vidotto R, Facchinetti A, Zeune LL, Schuuring E, Zamarchi R, Hiltermann TJN, Speicher MR, Heitzer E, Terstappen LWMM, Groen HJM.</t>
  </si>
  <si>
    <t>Int J Cancer. 2019 Jun 15;144(12):3127-3137. doi: 10.1002/ijc.32056. Epub 2019 Jan 28.</t>
  </si>
  <si>
    <t>de Wit S</t>
  </si>
  <si>
    <t>5'-YRNA fragments derived by processing of transcripts from specific YRNA genes and pseudogenes are abundant in human serum and plasma</t>
  </si>
  <si>
    <t>Dhahbi JM, Spindler SR, Atamna H, Boffelli D, Mote P, Martin DI.</t>
  </si>
  <si>
    <t>Physiol Genomics. 2013 Nov 1;45(21):990-8. doi: 10.1152/physiolgenomics.00129.2013. Epub 2013 Sep 10.</t>
  </si>
  <si>
    <t>Dhahbi JM</t>
  </si>
  <si>
    <t>Physiol Genomics</t>
  </si>
  <si>
    <t>10.1152/physiolgenomics.00129.2013</t>
  </si>
  <si>
    <t>"Exolysosomes," enzyme-containing vesicles in the ecdysial space of molting crabs</t>
  </si>
  <si>
    <t>Compère P, Bouchtia H, Thiry M, Goffinet G.</t>
  </si>
  <si>
    <t>J Struct Biol. 1997 Aug;119(3):247-59. doi: 10.1006/jsbi.1997.3876.</t>
  </si>
  <si>
    <t>Compère P</t>
  </si>
  <si>
    <t>J Struct Biol</t>
  </si>
  <si>
    <t>Werner B, Yuwono N, Duggan J, Liu D, David C, Srirangan S, Provan P; INOVATe Investigators, DeFazio A, Arora V, Farrell R, Lee YC, Warton K, Ford C.</t>
  </si>
  <si>
    <t>Gynecol Oncol. 2021 Sep;162(3):720-727. doi: 10.1016/j.ygyno.2021.06.028. Epub 2021 Jul 5.</t>
  </si>
  <si>
    <t>Werner B</t>
  </si>
  <si>
    <t>Gynecol Oncol</t>
  </si>
  <si>
    <t>Global methylation patterns in primary plasma cell leukemia</t>
  </si>
  <si>
    <t>Todoerti K, Calice G, Trino S, Simeon V, Lionetti M, Manzoni M, Fabris S, Barbieri M, Pompa A, Baldini L, Bollati V, Zoppoli P, Neri A, Musto P.</t>
  </si>
  <si>
    <t>Leuk Res. 2018 Oct;73:95-102. doi: 10.1016/j.leukres.2018.09.007. Epub 2018 Sep 18.</t>
  </si>
  <si>
    <t>Todoerti K</t>
  </si>
  <si>
    <t>Leuk Res</t>
  </si>
  <si>
    <t>10.1016/j.leukres.2018.09.007</t>
  </si>
  <si>
    <t>Characterization of a cDNA encoding a cysteine-rich cell surface protein located in the flagellar pocket of the protozoan Trypanosoma brucei</t>
  </si>
  <si>
    <t>Lee MG, Bihain BE, Russell DG, Deckelbaum RJ, Van der Ploeg LH.</t>
  </si>
  <si>
    <t>Mol Cell Biol. 1990 Sep;10(9):4506-17. doi: 10.1128/mcb.10.9.4506-4517.1990.</t>
  </si>
  <si>
    <t>Lee MG</t>
  </si>
  <si>
    <t>PMC361037</t>
  </si>
  <si>
    <t>10.1128/mcb.10.9.4506-4517.1990</t>
  </si>
  <si>
    <t>1Alpha,25-(OH)2D3 acts in the early phase of osteoblast differentiation to enhance mineralization via accelerated production of mature matrix vesicles</t>
  </si>
  <si>
    <t>Woeckel VJ, Alves RD, Swagemakers SM, Eijken M, Chiba H, van der Eerden BC, van Leeuwen JP.</t>
  </si>
  <si>
    <t>J Cell Physiol. 2010 Nov;225(2):593-600. doi: 10.1002/jcp.22244.</t>
  </si>
  <si>
    <t>Woeckel VJ</t>
  </si>
  <si>
    <t>10.1002/jcp.22244</t>
  </si>
  <si>
    <t>DNA-binding vesicles released from the surface of a competence-deficient mutant of Haemophilus influenzae</t>
  </si>
  <si>
    <t>Concino MF, Goodgal SH.</t>
  </si>
  <si>
    <t>J Bacteriol. 1982 Oct;152(1):441-50. doi: 10.1128/jb.152.1.441-450.1982.</t>
  </si>
  <si>
    <t>Concino MF</t>
  </si>
  <si>
    <t>PMC221438</t>
  </si>
  <si>
    <t>10.1128/jb.152.1.441-450.1982</t>
  </si>
  <si>
    <t>Cis-interactions between non-coding ribosomal spacers dependent on RNAP-II separate RNAP-I and RNAP-III transcription domains</t>
  </si>
  <si>
    <t>Mayan M, Aragón L.</t>
  </si>
  <si>
    <t>Cell Cycle. 2010 Nov 1;9(21):4328-37. doi: 10.4161/cc.9.21.13591. Epub 2010 Nov 11.</t>
  </si>
  <si>
    <t>Mayan M</t>
  </si>
  <si>
    <t>Cell Cycle</t>
  </si>
  <si>
    <t>10.4161/cc.9.21.13591</t>
  </si>
  <si>
    <t>CD47-dependent immunomodulatory and angiogenic activities of extracellular vesicles produced by T cells</t>
  </si>
  <si>
    <t>Kaur S, Singh SP, Elkahloun AG, Wu W, Abu-Asab MS, Roberts DD.</t>
  </si>
  <si>
    <t>Matrix Biol. 2014 Jul;37:49-59. doi: 10.1016/j.matbio.2014.05.007. Epub 2014 Jun 2.</t>
  </si>
  <si>
    <t>Kaur S</t>
  </si>
  <si>
    <t>Matrix Biol</t>
  </si>
  <si>
    <t>PMC6176487</t>
  </si>
  <si>
    <t>NIHMS622580</t>
  </si>
  <si>
    <t>10.1016/j.matbio.2014.05.007</t>
  </si>
  <si>
    <t>Rainey K, Michalek SM, Wen ZT, Wu H.</t>
  </si>
  <si>
    <t>Appl Environ Microbiol. 2019 Feb 20;85(5):e02247-18. doi: 10.1128/AEM.02247-18. Print 2019 Mar 1.</t>
  </si>
  <si>
    <t>Rainey K</t>
  </si>
  <si>
    <t>PMC6384114</t>
  </si>
  <si>
    <t>Intragenic DNA methylation prevents spurious transcription initiation</t>
  </si>
  <si>
    <t>Neri F, Rapelli S, Krepelova A, Incarnato D, Parlato C, Basile G, Maldotti M, Anselmi F, Oliviero S.</t>
  </si>
  <si>
    <t>Nature. 2017 Mar 2;543(7643):72-77. doi: 10.1038/nature21373. Epub 2017 Feb 22.</t>
  </si>
  <si>
    <t>Neri F</t>
  </si>
  <si>
    <t>10.1038/nature21373</t>
  </si>
  <si>
    <t>Sun HY, McNally MT, Jackson VE, Grossberg SE.</t>
  </si>
  <si>
    <t>J Virol Methods. 2006 Nov;137(2):304-8. doi: 10.1016/j.jviromet.2006.07.003. Epub 2006 Aug 21.</t>
  </si>
  <si>
    <t>Sun HY</t>
  </si>
  <si>
    <t>J Virol Methods</t>
  </si>
  <si>
    <t>PMC2575689</t>
  </si>
  <si>
    <t>NIHMS74078</t>
  </si>
  <si>
    <t>Calreticulin on the mouse egg surface mediates transmembrane signaling linked to cell cycle resumption</t>
  </si>
  <si>
    <t>Tutuncu L, Stein P, Ord TS, Jorgez CJ, Williams CJ.</t>
  </si>
  <si>
    <t>Dev Biol. 2004 Jun 1;270(1):246-60. doi: 10.1016/j.ydbio.2004.02.008.</t>
  </si>
  <si>
    <t>Tutuncu L</t>
  </si>
  <si>
    <t>Dev Biol</t>
  </si>
  <si>
    <t>10.1016/j.ydbio.2004.02.008</t>
  </si>
  <si>
    <t>Trf4 targets ncRNAs from telomeric and rDNA spacer regions and functions in rDNA copy number control</t>
  </si>
  <si>
    <t>Houseley J, Kotovic K, El Hage A, Tollervey D.</t>
  </si>
  <si>
    <t>EMBO J. 2007 Dec 12;26(24):4996-5006. doi: 10.1038/sj.emboj.7601921. Epub 2007 Nov 15.</t>
  </si>
  <si>
    <t>Houseley J</t>
  </si>
  <si>
    <t>PMC2080816</t>
  </si>
  <si>
    <t>10.1038/sj.emboj.7601921</t>
  </si>
  <si>
    <t>Silvestro EM, Nakano V, Arana-Chavez VE, Marques MV, Avila-Campos MJ.</t>
  </si>
  <si>
    <t>FEMS Microbiol Lett. 2006 Apr;257(2):189-94. doi: 10.1111/j.1574-6968.2006.00162.x.</t>
  </si>
  <si>
    <t>Silvestro EM</t>
  </si>
  <si>
    <t>The PMC2NT domain of the catalytic exosome subunit Rrp6p provides the interface for binding with its cofactor Rrp47p, a nucleic acid-binding protein</t>
  </si>
  <si>
    <t>Stead JA, Costello JL, Livingstone MJ, Mitchell P.</t>
  </si>
  <si>
    <t>Nucleic Acids Res. 2007;35(16):5556-67. doi: 10.1093/nar/gkm614. Epub 2007 Aug 17.</t>
  </si>
  <si>
    <t>Stead JA</t>
  </si>
  <si>
    <t>PMC2018643</t>
  </si>
  <si>
    <t>10.1093/nar/gkm614</t>
  </si>
  <si>
    <t>Discrimination of RNA from DNA by polynucleotide phosphorylase</t>
  </si>
  <si>
    <t>Unciuleac MC, Shuman S.</t>
  </si>
  <si>
    <t>Biochemistry. 2013 Sep 24;52(38):6702-11. doi: 10.1021/bi401041v. Epub 2013 Sep 11.</t>
  </si>
  <si>
    <t>Unciuleac MC</t>
  </si>
  <si>
    <t>Biochemistry</t>
  </si>
  <si>
    <t>PMC3791318</t>
  </si>
  <si>
    <t>NIHMS523983</t>
  </si>
  <si>
    <t>10.1021/bi401041v</t>
  </si>
  <si>
    <t>Liquid Biopsy in Primary Brain Tumors: Looking for Stardust!</t>
  </si>
  <si>
    <t>Fontanilles M, Duran-Peña A, Idbaih A.</t>
  </si>
  <si>
    <t>Curr Neurol Neurosci Rep. 2018 Mar 9;18(3):13. doi: 10.1007/s11910-018-0820-z.</t>
  </si>
  <si>
    <t>Fontanilles M</t>
  </si>
  <si>
    <t>Curr Neurol Neurosci Rep</t>
  </si>
  <si>
    <t>10.1007/s11910-018-0820-z</t>
  </si>
  <si>
    <t>Renelli M, Matias V, Lo RY, Beveridge TJ.</t>
  </si>
  <si>
    <t>Microbiology (Reading). 2004 Jul;150(Pt 7):2161-2169. doi: 10.1099/mic.0.26841-0.</t>
  </si>
  <si>
    <t>Renelli M</t>
  </si>
  <si>
    <t>Eosinophil extracellular DNA trap cell death mediates lytic release of free secretion-competent eosinophil granules in humans</t>
  </si>
  <si>
    <t>Ueki S, Melo RC, Ghiran I, Spencer LA, Dvorak AM, Weller PF.</t>
  </si>
  <si>
    <t>Blood. 2013 Mar 14;121(11):2074-83. doi: 10.1182/blood-2012-05-432088. Epub 2013 Jan 9.</t>
  </si>
  <si>
    <t>Ueki S</t>
  </si>
  <si>
    <t>PMC3596967</t>
  </si>
  <si>
    <t>10.1182/blood-2012-05-432088</t>
  </si>
  <si>
    <t>D'Addario CA, Lanier GM, Jacob C, Bauer N, Hewes JL, Bhadra A, Gupte SA.</t>
  </si>
  <si>
    <t>Physiol Rep. 2022 May;10(10):e15282. doi: 10.14814/phy2.15282.</t>
  </si>
  <si>
    <t>D'Addario CA</t>
  </si>
  <si>
    <t>PMC9114656</t>
  </si>
  <si>
    <t>Liquid Biopsy in Head and Neck Cancer: Promises and Challenges</t>
  </si>
  <si>
    <t>Nonaka T, Wong DTW.</t>
  </si>
  <si>
    <t>J Dent Res. 2018 Jun;97(6):701-708. doi: 10.1177/0022034518762071. Epub 2018 Mar 7.</t>
  </si>
  <si>
    <t>Nonaka T</t>
  </si>
  <si>
    <t>J Dent Res</t>
  </si>
  <si>
    <t>PMC5960882</t>
  </si>
  <si>
    <t>10.1177/0022034518762071</t>
  </si>
  <si>
    <t>Ram seminal vesicle microsome-catalyzed activation of benzidine and related compounds: dissociation of mutagenesis from peroxidase-catalyzed formation of DNA-reactive material</t>
  </si>
  <si>
    <t>Petry TW, Eling TE, Chiu AL, Josephy PD.</t>
  </si>
  <si>
    <t>Carcinogenesis. 1988 Jan;9(1):51-7. doi: 10.1093/carcin/9.1.51.</t>
  </si>
  <si>
    <t>Petry TW</t>
  </si>
  <si>
    <t>10.1093/carcin/9.1.51</t>
  </si>
  <si>
    <t>Streptococcus mutans extracellular DNA is upregulated during growth in biofilms, actively released via membrane vesicles, and influenced by components of the protein secretion machinery</t>
  </si>
  <si>
    <t>Liao S, Klein MI, Heim KP, Fan Y, Bitoun JP, Ahn SJ, Burne RA, Koo H, Brady LJ, Wen ZT.</t>
  </si>
  <si>
    <t>J Bacteriol. 2014 Jul;196(13):2355-66. doi: 10.1128/JB.01493-14. Epub 2014 Apr 18.</t>
  </si>
  <si>
    <t>PMC4054167</t>
  </si>
  <si>
    <t>Post-translational regulation of macrophage apoprotein E production</t>
  </si>
  <si>
    <t>Mazzone T, Pustelnikas L, Reardon CA.</t>
  </si>
  <si>
    <t>J Biol Chem. 1992 Jan 15;267(2):1081-7.</t>
  </si>
  <si>
    <t>Mazzone T</t>
  </si>
  <si>
    <t>The role of the VPS4A-exosome pathway in the intrinsic egress route of a DNA-binding anticancer drug</t>
  </si>
  <si>
    <t>Chen VY, Posada MM, Blazer LL, Zhao T, Rosania GR.</t>
  </si>
  <si>
    <t>Pharm Res. 2006 Aug;23(8):1687-95. doi: 10.1007/s11095-006-9043-0.</t>
  </si>
  <si>
    <t>Chen VY</t>
  </si>
  <si>
    <t>Pharm Res</t>
  </si>
  <si>
    <t>The copines, a novel class of C2 domain-containing, calcium-dependent, phospholipid-binding proteins conserved from Paramecium to humans</t>
  </si>
  <si>
    <t>Creutz CE, Tomsig JL, Snyder SL, Gautier MC, Skouri F, Beisson J, Cohen J.</t>
  </si>
  <si>
    <t>J Biol Chem. 1998 Jan 16;273(3):1393-402. doi: 10.1074/jbc.273.3.1393.</t>
  </si>
  <si>
    <t>Creutz CE</t>
  </si>
  <si>
    <t>10.1074/jbc.273.3.1393</t>
  </si>
  <si>
    <t>Evidence for distinct DNA- and RNA-based mechanisms of 5-fluorouracil cytotoxicity in Saccharomyces cerevisiae</t>
  </si>
  <si>
    <t>Hoskins J, Scott Butler J.</t>
  </si>
  <si>
    <t>Yeast. 2007 Oct;24(10):861-70. doi: 10.1002/yea.1516.</t>
  </si>
  <si>
    <t>Hoskins J</t>
  </si>
  <si>
    <t>Yeast</t>
  </si>
  <si>
    <t>10.1002/yea.1516</t>
  </si>
  <si>
    <t>Antibiotics Stimulate Formation of Vesicles in Staphylococcus aureus in both Phage-Dependent and -Independent Fashions and via Different Routes</t>
  </si>
  <si>
    <t>Andreoni F, Toyofuku M, Menzi C, Kalawong R, Mairpady Shambat S, François P, Zinkernagel AS, Eberl L.</t>
  </si>
  <si>
    <t>Antimicrob Agents Chemother. 2019 Jan 29;63(2):e01439-18. doi: 10.1128/AAC.01439-18. Print 2019 Feb.</t>
  </si>
  <si>
    <t>Andreoni F</t>
  </si>
  <si>
    <t>Antimicrob Agents Chemother</t>
  </si>
  <si>
    <t>PMC6355553</t>
  </si>
  <si>
    <t>Properties of an intergenic terminator and start site switch that regulate IMD2 transcription in yeast</t>
  </si>
  <si>
    <t>Jenks MH, O'Rourke TW, Reines D.</t>
  </si>
  <si>
    <t>Mol Cell Biol. 2008 Jun;28(12):3883-93. doi: 10.1128/MCB.00380-08. Epub 2008 Apr 21.</t>
  </si>
  <si>
    <t>Jenks MH</t>
  </si>
  <si>
    <t>PMC2423123</t>
  </si>
  <si>
    <t>10.1128/MCB.00380-08</t>
  </si>
  <si>
    <t>Upton HE, Ferguson L, Temoche-Diaz MM, Liu XM, Pimentel SC, Ingolia NT, Schekman R, Collins K.</t>
  </si>
  <si>
    <t>Proc Natl Acad Sci U S A. 2021 Oct 19;118(42):e2107900118. doi: 10.1073/pnas.2107900118.</t>
  </si>
  <si>
    <t>Upton HE</t>
  </si>
  <si>
    <t>PMC8594491</t>
  </si>
  <si>
    <t>Gaudin M, Krupovic M, Marguet E, Gauliard E, Cvirkaite-Krupovic V, Le Cam E, Oberto J, Forterre P.</t>
  </si>
  <si>
    <t>Environ Microbiol. 2014 Apr;16(4):1167-75. doi: 10.1111/1462-2920.12235. Epub 2013 Aug 27.</t>
  </si>
  <si>
    <t>Gaudin M</t>
  </si>
  <si>
    <t>Macrophage extracellular trap formation promoted by platelet activation is a key mediator of rhabdomyolysis-induced acute kidney injury</t>
  </si>
  <si>
    <t>Okubo K, Kurosawa M, Kamiya M, Urano Y, Suzuki A, Yamamoto K, Hase K, Homma K, Sasaki J, Miyauchi H, Hoshino T, Hayashi M, Mayadas TN, Hirahashi J.</t>
  </si>
  <si>
    <t>Nat Med. 2018 Feb;24(2):232-238. doi: 10.1038/nm.4462. Epub 2018 Jan 8.</t>
  </si>
  <si>
    <t>Okubo K</t>
  </si>
  <si>
    <t>Nat Med</t>
  </si>
  <si>
    <t>10.1038/nm.4462</t>
  </si>
  <si>
    <t>Zhou X, Ravichandran GC, Zhang P, Yang Y, Zeng Y.</t>
  </si>
  <si>
    <t>Lab Chip. 2019 Dec 21;19(24):4104-4116. doi: 10.1039/c9lc00932a. Epub 2019 Nov 13.</t>
  </si>
  <si>
    <t>Zhou X</t>
  </si>
  <si>
    <t>PMC6894176</t>
  </si>
  <si>
    <t>NIHMS1059839</t>
  </si>
  <si>
    <t>Replication of lactate dehydrogenase-elevating virus in macrophages. 1. Evidence for cytocidal replication</t>
  </si>
  <si>
    <t>Ritzi DM, Holth M, Smith MS, Swart WJ, Cafruny WA, Plagemann GW, Stueckemann JA.</t>
  </si>
  <si>
    <t>J Gen Virol. 1982 Apr;59(Pt 2):245-62. doi: 10.1099/0022-1317-59-2-245.</t>
  </si>
  <si>
    <t>Ritzi DM</t>
  </si>
  <si>
    <t>J Gen Virol</t>
  </si>
  <si>
    <t>10.1099/0022-1317-59-2-245</t>
  </si>
  <si>
    <t>Long noncoding RNAs biomarker-based cancer assessment</t>
  </si>
  <si>
    <t>Sarfi M, Abbastabar M, Khalili E.</t>
  </si>
  <si>
    <t>J Cell Physiol. 2019 Aug;234(10):16971-16986. doi: 10.1002/jcp.28417. Epub 2019 Mar 5.</t>
  </si>
  <si>
    <t>Sarfi M</t>
  </si>
  <si>
    <t>10.1002/jcp.28417</t>
  </si>
  <si>
    <t>Regulation of unsaturated fatty acid biosynthesis in Saccharomyces: the endoplasmic reticulum membrane protein, Mga2p, a transcription activator of the OLE1 gene, regulates the stability of the OLE1 mRNA through exosome-mediated mechanisms</t>
  </si>
  <si>
    <t>Kandasamy P, Vemula M, Oh CS, Chellappa R, Martin CE.</t>
  </si>
  <si>
    <t>J Biol Chem. 2004 Aug 27;279(35):36586-92. doi: 10.1074/jbc.M401557200. Epub 2004 Jun 25.</t>
  </si>
  <si>
    <t>Kandasamy P</t>
  </si>
  <si>
    <t>10.1074/jbc.M401557200</t>
  </si>
  <si>
    <t>Pervasive transcription of the mitochondrial genome in Candida albicans is revealed in mutants lacking the mtEXO RNase complex</t>
  </si>
  <si>
    <t>Łabędzka-Dmoch K, Kolondra A, Karpińska MA, Dębek S, Grochowska J, Grochowski M, Piątkowski J, Hoang Diu Bui T, Golik P.</t>
  </si>
  <si>
    <t>RNA Biol. 2021 Oct 15;18(sup1):303-317. doi: 10.1080/15476286.2021.1943929. Epub 2021 Jul 7.</t>
  </si>
  <si>
    <t>Łabędzka-Dmoch K</t>
  </si>
  <si>
    <t>PMC8677008</t>
  </si>
  <si>
    <t>10.1080/15476286.2021.1943929</t>
  </si>
  <si>
    <t>Circulating tumor DNA as an early cancer detection tool</t>
  </si>
  <si>
    <t>Campos-Carrillo A, Weitzel JN, Sahoo P, Rockne R, Mokhnatkin JV, Murtaza M, Gray SW, Goetz L, Goel A, Schork N, Slavin TP.</t>
  </si>
  <si>
    <t>Pharmacol Ther. 2020 Mar;207:107458. doi: 10.1016/j.pharmthera.2019.107458. Epub 2019 Dec 18.</t>
  </si>
  <si>
    <t>Campos-Carrillo A</t>
  </si>
  <si>
    <t>PMC6957244</t>
  </si>
  <si>
    <t>NIHMS1547191</t>
  </si>
  <si>
    <t>10.1016/j.pharmthera.2019.107458</t>
  </si>
  <si>
    <t>Björn E, Nygren Y, Nguyen TT, Ericson C, Nöjd M, Naredi P.</t>
  </si>
  <si>
    <t>Anal Biochem. 2007 Apr 1;363(1):135-42. doi: 10.1016/j.ab.2007.01.006. Epub 2007 Jan 10.</t>
  </si>
  <si>
    <t>Björn E</t>
  </si>
  <si>
    <t>Anal Biochem</t>
  </si>
  <si>
    <t>Surface morphology of Saccinobaculus (Oxymonadida): implications for character evolution and function in oxymonads</t>
  </si>
  <si>
    <t>Carpenter KJ, Waller RF, Keeling PJ.</t>
  </si>
  <si>
    <t>Protist. 2008 Apr;159(2):209-21. doi: 10.1016/j.protis.2007.09.002. Epub 2007 Nov 19.</t>
  </si>
  <si>
    <t>Carpenter KJ</t>
  </si>
  <si>
    <t>Protist</t>
  </si>
  <si>
    <t>10.1016/j.protis.2007.09.002</t>
  </si>
  <si>
    <t>Turnbull L, Toyofuku M, Hynen AL, Kurosawa M, Pessi G, Petty NK, Osvath SR, Cárcamo-Oyarce G, Gloag ES, Shimoni R, Omasits U, Ito S, Yap X, Monahan LG, Cavaliere R, Ahrens CH, Charles IG, Nomura N, Eberl L, Whitchurch CB.</t>
  </si>
  <si>
    <t>Nat Commun. 2016 Apr 14;7:11220. doi: 10.1038/ncomms11220.</t>
  </si>
  <si>
    <t>Turnbull L</t>
  </si>
  <si>
    <t>PMC4834629</t>
  </si>
  <si>
    <t>Al Amir Dache Z, Otandault A, Tanos R, Pastor B, Meddeb R, Sanchez C, Arena G, Lasorsa L, Bennett A, Grange T, El Messaoudi S, Mazard T, Prevostel C, Thierry AR.</t>
  </si>
  <si>
    <t>FASEB J. 2020 Mar;34(3):3616-3630. doi: 10.1096/fj.201901917RR. Epub 2020 Jan 19.</t>
  </si>
  <si>
    <t>Al Amir Dache Z</t>
  </si>
  <si>
    <t>The association of the human PM/Scl-75 autoantigen with the exosome is dependent on a newly identified N terminus</t>
  </si>
  <si>
    <t>Raijmakers R, Egberts WV, van Venrooij WJ, Pruijn GJ.</t>
  </si>
  <si>
    <t>J Biol Chem. 2003 Aug 15;278(33):30698-704. doi: 10.1074/jbc.M302488200. Epub 2003 Jun 4.</t>
  </si>
  <si>
    <t>Raijmakers R</t>
  </si>
  <si>
    <t>10.1074/jbc.M302488200</t>
  </si>
  <si>
    <t>Sandgren S, Wittrup A, Cheng F, Jönsson M, Eklund E, Busch S, Belting M.</t>
  </si>
  <si>
    <t>J Biol Chem. 2004 Apr 23;279(17):17951-6. doi: 10.1074/jbc.M311440200. Epub 2004 Feb 11.</t>
  </si>
  <si>
    <t>Sandgren S</t>
  </si>
  <si>
    <t>Gao P, Wei R, Chen Y, Liu X, Zhang J, Pan W, Li N, Tang B.</t>
  </si>
  <si>
    <t>Anal Chem. 2021 Oct 12;93(40):13734-13741. doi: 10.1021/acs.analchem.1c03545. Epub 2021 Oct 4.</t>
  </si>
  <si>
    <t>Jiang Y, Kong Q, Roland KL, Curtiss R 3rd.</t>
  </si>
  <si>
    <t>Int J Med Microbiol. 2014 May;304(3-4):431-43. doi: 10.1016/j.ijmm.2014.02.006. Epub 2014 Feb 19.</t>
  </si>
  <si>
    <t>Jiang Y</t>
  </si>
  <si>
    <t>Int J Med Microbiol</t>
  </si>
  <si>
    <t>PMC4285460</t>
  </si>
  <si>
    <t>NIHMS651840</t>
  </si>
  <si>
    <t>Identification of virulence genes in the crucifer anthracnose fungus Colletotrichum higginsianum by insertional mutagenesis</t>
  </si>
  <si>
    <t>Liu L, Zhao D, Zheng L, Hsiang T, Wei Y, Fu Y, Huang J.</t>
  </si>
  <si>
    <t>Microb Pathog. 2013 Nov;64:6-17. doi: 10.1016/j.micpath.2013.06.001. Epub 2013 Jun 24.</t>
  </si>
  <si>
    <t>10.1016/j.micpath.2013.06.001</t>
  </si>
  <si>
    <t>The anterograde transport of the human neuropeptide Y2 receptor is regulated by a subtype specific mechanism mediated by the C-terminus</t>
  </si>
  <si>
    <t>Walther C, Lotze J, Beck-Sickinger AG, Mörl K.</t>
  </si>
  <si>
    <t>Neuropeptides. 2012 Dec;46(6):335-43. doi: 10.1016/j.npep.2012.08.011. Epub 2012 Sep 26.</t>
  </si>
  <si>
    <t>Walther C</t>
  </si>
  <si>
    <t>Neuropeptides</t>
  </si>
  <si>
    <t>10.1016/j.npep.2012.08.011</t>
  </si>
  <si>
    <t>Current Perspectives on Circulating Tumor DNA, Precision Medicine, and Personalized Clinical Management of Cancer</t>
  </si>
  <si>
    <t>Oliveira KCS, Ramos IB, Silva JMC, Barra WF, Riggins GJ, Palande V, Pinho CT, Frenkel-Morgenstern M, Santos SEB, Assumpcao PP, Burbano RR, Calcagno DQ.</t>
  </si>
  <si>
    <t>Mol Cancer Res. 2020 Apr;18(4):517-528. doi: 10.1158/1541-7786.MCR-19-0768. Epub 2020 Jan 29.</t>
  </si>
  <si>
    <t>Oliveira KCS</t>
  </si>
  <si>
    <t>10.1158/1541-7786.MCR-19-0768</t>
  </si>
  <si>
    <t>Further evidence of an intravesicular Ca2+- pump in odontoblasts from rat incisors</t>
  </si>
  <si>
    <t>Granström G.</t>
  </si>
  <si>
    <t>Arch Oral Biol. 1984;29(8):599-606. doi: 10.1016/0003-9969(84)90128-6.</t>
  </si>
  <si>
    <t>Granström G</t>
  </si>
  <si>
    <t>Arch Oral Biol</t>
  </si>
  <si>
    <t>10.1016/0003-9969(84)90128-6</t>
  </si>
  <si>
    <t>Sadikot RT, Bedi B, Li J, Yeligar SM.</t>
  </si>
  <si>
    <t>Alcohol. 2019 Nov;80:65-72. doi: 10.1016/j.alcohol.2018.08.006. Epub 2018 Aug 22.</t>
  </si>
  <si>
    <t>Sadikot RT</t>
  </si>
  <si>
    <t>Alcohol</t>
  </si>
  <si>
    <t>PMC6640089</t>
  </si>
  <si>
    <t>NIHMS1504385</t>
  </si>
  <si>
    <t>Rrp47 and the function of the Sas10/C1D domain</t>
  </si>
  <si>
    <t>Mitchell P.</t>
  </si>
  <si>
    <t>Biochem Soc Trans. 2010 Aug;38(4):1088-92. doi: 10.1042/BST0381088.</t>
  </si>
  <si>
    <t>Mitchell P</t>
  </si>
  <si>
    <t>10.1042/BST0381088</t>
  </si>
  <si>
    <t>A protein subunit of human RNase P, Rpp14, and its interacting partner, OIP2, have 3'--&gt;5' exoribonuclease activity</t>
  </si>
  <si>
    <t>Jiang T, Altman S.</t>
  </si>
  <si>
    <t>Proc Natl Acad Sci U S A. 2002 Apr 16;99(8):5295-300. doi: 10.1073/pnas.072083699. Epub 2002 Apr 2.</t>
  </si>
  <si>
    <t>Jiang T</t>
  </si>
  <si>
    <t>PMC122763</t>
  </si>
  <si>
    <t>10.1073/pnas.072083699</t>
  </si>
  <si>
    <t>Cloning of a complementary DNA coding for the 100-kD antigenic protein of the PM-Scl autoantigen</t>
  </si>
  <si>
    <t>Ge Q, Frank MB, O'Brien C, Targoff IN.</t>
  </si>
  <si>
    <t>J Clin Invest. 1992 Aug;90(2):559-70. doi: 10.1172/JCI115895.</t>
  </si>
  <si>
    <t>Ge Q</t>
  </si>
  <si>
    <t>PMC443135</t>
  </si>
  <si>
    <t>10.1172/JCI115895</t>
  </si>
  <si>
    <t>Purification of Functional Platelet Mitochondria Using a Discontinuous Percoll Gradient</t>
  </si>
  <si>
    <t>Léger JL, Pichaud N, Boudreau LH.</t>
  </si>
  <si>
    <t>Methods Mol Biol. 2021;2276:57-66. doi: 10.1007/978-1-0716-1266-8_4.</t>
  </si>
  <si>
    <t>Léger JL</t>
  </si>
  <si>
    <t>10.1007/978-1-0716-1266-8_4</t>
  </si>
  <si>
    <t>Coupled liquid biopsy and bioinformatics for pancreatic cancer early detection and precision prognostication</t>
  </si>
  <si>
    <t>Hou J, Li X, Xie KP.</t>
  </si>
  <si>
    <t>Mol Cancer. 2021 Feb 16;20(1):34. doi: 10.1186/s12943-021-01309-7.</t>
  </si>
  <si>
    <t>Hou J</t>
  </si>
  <si>
    <t>PMC7888169</t>
  </si>
  <si>
    <t>10.1186/s12943-021-01309-7</t>
  </si>
  <si>
    <t>Thyroid organoid formation in simulated microgravity: influence of keratinocyte growth factor</t>
  </si>
  <si>
    <t>Martin A, Zhou A, Gordon RE, Henderson SC, Schwartz AE, Schwartz AE, Friedman EW, Davies TF.</t>
  </si>
  <si>
    <t>Thyroid. 2000 Jun;10(6):481-7. doi: 10.1089/thy.2000.10.481.</t>
  </si>
  <si>
    <t>Martin A</t>
  </si>
  <si>
    <t>Thyroid</t>
  </si>
  <si>
    <t>Fiorito C, Palacios C, Golemba M, Bratanich A, Argüelles MB, Fazio A, Bertellotti M, Lombardo D.</t>
  </si>
  <si>
    <t>Dis Aquat Organ. 2015 Oct 16;116(2):157-63. doi: 10.3354/dao02918.</t>
  </si>
  <si>
    <t>Fiorito C</t>
  </si>
  <si>
    <t>Dis Aquat Organ</t>
  </si>
  <si>
    <t>Sanchez-Torres V, Maeda T, Wood TK.</t>
  </si>
  <si>
    <t>Biochem Biophys Res Commun. 2010 Oct 15;401(2):197-202. doi: 10.1016/j.bbrc.2010.09.026. Epub 2010 Sep 15.</t>
  </si>
  <si>
    <t>Sanchez-Torres V</t>
  </si>
  <si>
    <t>PMC2956837</t>
  </si>
  <si>
    <t>NIHMS235586</t>
  </si>
  <si>
    <t>Characterization of a Tn4351-generated hemin uptake mutant of Porphyromonas gingivalis: evidence for the coordinate regulation of virulence factors by hemin</t>
  </si>
  <si>
    <t>Genco CA, Simpson W, Forng RY, Egal M, Odusanya BM.</t>
  </si>
  <si>
    <t>Infect Immun. 1995 Jul;63(7):2459-66. doi: 10.1128/iai.63.7.2459-2466.1995.</t>
  </si>
  <si>
    <t>Genco CA</t>
  </si>
  <si>
    <t>PMC173328</t>
  </si>
  <si>
    <t>10.1128/iai.63.7.2459-2466.1995</t>
  </si>
  <si>
    <t>The expansion of activated naive DNA autoreactive B cells and its association with disease activity in systemic lupus erythematosus patients</t>
  </si>
  <si>
    <t>Wangriatisak K, Thanadetsuntorn C, Krittayapoositpot T, Leepiyasakulchai C, Suangtamai T, Ngamjanyaporn P, Khowawisetsut L, Khaenam P, Setthaudom C, Pisitkun P, Chootong P.</t>
  </si>
  <si>
    <t>Arthritis Res Ther. 2021 Jul 6;23(1):179. doi: 10.1186/s13075-021-02557-0.</t>
  </si>
  <si>
    <t>Wangriatisak K</t>
  </si>
  <si>
    <t>PMC8259008</t>
  </si>
  <si>
    <t>10.1186/s13075-021-02557-0</t>
  </si>
  <si>
    <t>Identification of two collagen domains within the bullous pemphigoid autoantigen, BP180</t>
  </si>
  <si>
    <t>Giudice GJ, Squiquera HL, Elias PM, Diaz LA.</t>
  </si>
  <si>
    <t>J Clin Invest. 1991 Feb;87(2):734-8. doi: 10.1172/JCI115054.</t>
  </si>
  <si>
    <t>Giudice GJ</t>
  </si>
  <si>
    <t>PMC296367</t>
  </si>
  <si>
    <t>Integral membrane glycoprotein properties of the prohormone pro-transforming growth factor-alpha</t>
  </si>
  <si>
    <t>Teixidó J, Gilmore R, Lee DC, Massagué J.</t>
  </si>
  <si>
    <t>Nature. 1987 Apr 30-May 6;326(6116):883-5. doi: 10.1038/326883a0.</t>
  </si>
  <si>
    <t>Teixidó J</t>
  </si>
  <si>
    <t>10.1038/326883a0</t>
  </si>
  <si>
    <t>Determination of key residues for catalysis and RNA cleavage specificity: one mutation turns RNase II into a "SUPER-ENZYME"</t>
  </si>
  <si>
    <t>Barbas A, Matos RG, Amblar M, López-Viñas E, Gomez-Puertas P, Arraiano CM.</t>
  </si>
  <si>
    <t>J Biol Chem. 2009 Jul 31;284(31):20486-98. doi: 10.1074/jbc.M109.020693. Epub 2009 May 19.</t>
  </si>
  <si>
    <t>Barbas A</t>
  </si>
  <si>
    <t>PMC2742813</t>
  </si>
  <si>
    <t>10.1074/jbc.M109.020693</t>
  </si>
  <si>
    <t>Erk1/2 inhibit synaptic vesicle exocytosis through L-type calcium channels</t>
  </si>
  <si>
    <t>Subramanian J, Morozov A.</t>
  </si>
  <si>
    <t>J Neurosci. 2011 Mar 23;31(12):4755-64. doi: 10.1523/JNEUROSCI.6594-10.2011.</t>
  </si>
  <si>
    <t>Subramanian J</t>
  </si>
  <si>
    <t>PMC3065322</t>
  </si>
  <si>
    <t>NIHMS281999</t>
  </si>
  <si>
    <t>10.1523/JNEUROSCI.6594-10.2011</t>
  </si>
  <si>
    <t>Gao H, Jin Z, Tang K, Ji Y, Suarez J, Suarez JA, Cunha E Rocha K, Zhang D, Dillmann WH, Mahata SK, Ying W.</t>
  </si>
  <si>
    <t>J Am Heart Assoc. 2022 Feb 15;11(4):e024561. doi: 10.1161/JAHA.121.024561. Epub 2022 Feb 3.</t>
  </si>
  <si>
    <t>J Am Heart Assoc</t>
  </si>
  <si>
    <t>PMC9245808</t>
  </si>
  <si>
    <t>SLC30A3 (ZnT3) oligomerization by dityrosine bonds regulates its subcellular localization and metal transport capacity</t>
  </si>
  <si>
    <t>Salazar G, Falcon-Perez JM, Harrison R, Faundez V.</t>
  </si>
  <si>
    <t>PLoS One. 2009 Jun 12;4(6):e5896. doi: 10.1371/journal.pone.0005896.</t>
  </si>
  <si>
    <t>Salazar G</t>
  </si>
  <si>
    <t>PMC2690824</t>
  </si>
  <si>
    <t>10.1371/journal.pone.0005896</t>
  </si>
  <si>
    <t>Clinical validity of saliva and novel technology for cancer detection</t>
  </si>
  <si>
    <t>Kaczor-Urbanowicz KE, Wei F, Rao SL, Kim J, Shin H, Cheng J, Tu M, Wong DTW, Kim Y.</t>
  </si>
  <si>
    <t>Biochim Biophys Acta Rev Cancer. 2019 Aug;1872(1):49-59. doi: 10.1016/j.bbcan.2019.05.007. Epub 2019 May 30.</t>
  </si>
  <si>
    <t>Kaczor-Urbanowicz KE</t>
  </si>
  <si>
    <t>PMC6692231</t>
  </si>
  <si>
    <t>NIHMS1531671</t>
  </si>
  <si>
    <t>10.1016/j.bbcan.2019.05.007</t>
  </si>
  <si>
    <t>Rapid identification of chemical genetic interactions in Saccharomyces cerevisiae</t>
  </si>
  <si>
    <t>Dilworth D, Nelson CJ.</t>
  </si>
  <si>
    <t>J Vis Exp. 2015 Apr 5;(98):e52345. doi: 10.3791/52345.</t>
  </si>
  <si>
    <t>Dilworth D</t>
  </si>
  <si>
    <t>PMC4401395</t>
  </si>
  <si>
    <t>10.3791/52345</t>
  </si>
  <si>
    <t>Thiam HR, Wong SL, Qiu R, Kittisopikul M, Vahabikashi A, Goldman AE, Goldman RD, Wagner DD, Waterman CM.</t>
  </si>
  <si>
    <t>Proc Natl Acad Sci U S A. 2020 Mar 31;117(13):7326-7337. doi: 10.1073/pnas.1909546117. Epub 2020 Mar 13.</t>
  </si>
  <si>
    <t>Thiam HR</t>
  </si>
  <si>
    <t>PMC7132277</t>
  </si>
  <si>
    <t>Endocytosis-like protein uptake in the bacterium Gemmata obscuriglobus</t>
  </si>
  <si>
    <t>Lonhienne TG, Sagulenko E, Webb RI, Lee KC, Franke J, Devos DP, Nouwens A, Carroll BJ, Fuerst JA.</t>
  </si>
  <si>
    <t>Proc Natl Acad Sci U S A. 2010 Jul 20;107(29):12883-8. doi: 10.1073/pnas.1001085107. Epub 2010 Jun 21.</t>
  </si>
  <si>
    <t>Lonhienne TG</t>
  </si>
  <si>
    <t>PMC2919973</t>
  </si>
  <si>
    <t>10.1073/pnas.1001085107</t>
  </si>
  <si>
    <t>Li X, Rout P, Xu R, Pan L, Tchounwou PB, Ma Y, Liu YM.</t>
  </si>
  <si>
    <t>Anal Chem. 2018 Nov 20;90(22):13663-13669. doi: 10.1021/acs.analchem.8b04008. Epub 2018 Nov 6.</t>
  </si>
  <si>
    <t>PMC6311092</t>
  </si>
  <si>
    <t>NIHMS997986</t>
  </si>
  <si>
    <t>Changes in retinal pigment epithelium related to cigarette smoke: possible relevance to smoking as a risk factor for age-related macular degeneration</t>
  </si>
  <si>
    <t>Wang AL, Lukas TJ, Yuan M, Du N, Handa JT, Neufeld AH.</t>
  </si>
  <si>
    <t>PLoS One. 2009;4(4):e5304. doi: 10.1371/journal.pone.0005304. Epub 2009 Apr 24.</t>
  </si>
  <si>
    <t>PMC2669185</t>
  </si>
  <si>
    <t>Human dis3p, which binds to either GTP- or GDP-Ran, complements Saccharomyces cerevisiae dis3</t>
  </si>
  <si>
    <t>Shiomi T, Fukushima K, Suzuki N, Nakashima N, Noguchi E, Nishimoto T.</t>
  </si>
  <si>
    <t>J Biochem. 1998 May;123(5):883-90. doi: 10.1093/oxfordjournals.jbchem.a022020.</t>
  </si>
  <si>
    <t>Shiomi T</t>
  </si>
  <si>
    <t>J Biochem</t>
  </si>
  <si>
    <t>10.1093/oxfordjournals.jbchem.a022020</t>
  </si>
  <si>
    <t>The UL20 gene of herpes simplex virus 1 encodes a function necessary for viral egress</t>
  </si>
  <si>
    <t>Baines JD, Ward PL, Campadelli-Fiume G, Roizman B.</t>
  </si>
  <si>
    <t>J Virol. 1991 Dec;65(12):6414-24. doi: 10.1128/JVI.65.12.6414-6424.1991.</t>
  </si>
  <si>
    <t>Baines JD</t>
  </si>
  <si>
    <t>PMC250678</t>
  </si>
  <si>
    <t>Functional and structural stability of the epidermal growth factor receptor in detergent micelles and phospholipid nanodiscs</t>
  </si>
  <si>
    <t>Mi LZ, Grey MJ, Nishida N, Walz T, Lu C, Springer TA.</t>
  </si>
  <si>
    <t>Biochemistry. 2008 Sep 30;47(39):10314-23. doi: 10.1021/bi801006s. Epub 2008 Sep 5.</t>
  </si>
  <si>
    <t>Mi LZ</t>
  </si>
  <si>
    <t>PMC2658769</t>
  </si>
  <si>
    <t>NIHMS85909</t>
  </si>
  <si>
    <t>10.1021/bi801006s</t>
  </si>
  <si>
    <t>A novel DNA tweezers-based nanobiosensor for multiple detections of circulating exosomal microRNAs in breast cancer</t>
  </si>
  <si>
    <t>Agahi M, Rahaie M.</t>
  </si>
  <si>
    <t>Anal Biochem. 2022 Aug 15;651:114697. doi: 10.1016/j.ab.2022.114697. Epub 2022 Apr 26.</t>
  </si>
  <si>
    <t>Agahi M</t>
  </si>
  <si>
    <t>10.1016/j.ab.2022.114697</t>
  </si>
  <si>
    <t>Microvesicle-mediated RNA molecule delivery system using monocytes/macrophages</t>
  </si>
  <si>
    <t>Akao Y, Iio A, Itoh T, Noguchi S, Itoh Y, Ohtsuki Y, Naoe T.</t>
  </si>
  <si>
    <t>Mol Ther. 2011 Feb;19(2):395-9. doi: 10.1038/mt.2010.254. Epub 2010 Nov 23.</t>
  </si>
  <si>
    <t>Akao Y</t>
  </si>
  <si>
    <t>PMC3034851</t>
  </si>
  <si>
    <t>10.1038/mt.2010.254</t>
  </si>
  <si>
    <t>Patients with antibodies to both PmScl and dsDNA</t>
  </si>
  <si>
    <t>Warner NZ, Greidinger EL.</t>
  </si>
  <si>
    <t>J Rheumatol. 2004 Nov;31(11):2169-74.</t>
  </si>
  <si>
    <t>Warner NZ</t>
  </si>
  <si>
    <t>J Rheumatol</t>
  </si>
  <si>
    <t>A novel mechanism of rapid nuclear neutrophil extracellular trap formation in response to Staphylococcus aureus</t>
  </si>
  <si>
    <t>Pilsczek FH, Salina D, Poon KK, Fahey C, Yipp BG, Sibley CD, Robbins SM, Green FH, Surette MG, Sugai M, Bowden MG, Hussain M, Zhang K, Kubes P.</t>
  </si>
  <si>
    <t>J Immunol. 2010 Dec 15;185(12):7413-25. doi: 10.4049/jimmunol.1000675. Epub 2010 Nov 22.</t>
  </si>
  <si>
    <t>Pilsczek FH</t>
  </si>
  <si>
    <t>Latent transforming growth factor-beta is produced by chondrocytes and activated by extracellular matrix vesicles upon exposure to 1,25-(OH)2D3</t>
  </si>
  <si>
    <t>Boyan BD, Schwartz Z, Park-Snyder S, Dean DD, Yang F, Twardzik D, Bonewald LF.</t>
  </si>
  <si>
    <t>J Biol Chem. 1994 Nov 11;269(45):28374-81.</t>
  </si>
  <si>
    <t>Boyan BD</t>
  </si>
  <si>
    <t>Pivotal role for the mTOR pathway in the formation of neutrophil extracellular traps via regulation of autophagy</t>
  </si>
  <si>
    <t>Itakura A, McCarty OJ.</t>
  </si>
  <si>
    <t>Am J Physiol Cell Physiol. 2013 Aug 1;305(3):C348-54. doi: 10.1152/ajpcell.00108.2013. Epub 2013 May 29.</t>
  </si>
  <si>
    <t>Itakura A</t>
  </si>
  <si>
    <t>PMC3742850</t>
  </si>
  <si>
    <t>10.1152/ajpcell.00108.2013</t>
  </si>
  <si>
    <t>Misrouting of tyrosinase with a truncated cytoplasmic tail as a result of the murine platinum (cp) mutation</t>
  </si>
  <si>
    <t>Beermann F, Orlow SJ, Boissy RE, Schmidt A, Boissy YL, Lamoreux ML.</t>
  </si>
  <si>
    <t>Exp Eye Res. 1995 Nov;61(5):599-607. doi: 10.1016/s0014-4835(05)80053-3.</t>
  </si>
  <si>
    <t>Beermann F</t>
  </si>
  <si>
    <t>Exp Eye Res</t>
  </si>
  <si>
    <t>10.1016/s0014-4835(05)80053-3</t>
  </si>
  <si>
    <t>Gene transfer mediated by cationic lipids: lack of a correlation between lipid mixing and transfection</t>
  </si>
  <si>
    <t>Stegmann T, Legendre JY.</t>
  </si>
  <si>
    <t>Biochim Biophys Acta. 1997 Apr 3;1325(1):71-9. doi: 10.1016/s0005-2736(96)00241-6.</t>
  </si>
  <si>
    <t>Stegmann T</t>
  </si>
  <si>
    <t>10.1016/s0005-2736(96)00241-6</t>
  </si>
  <si>
    <t>Simultaneous Detection of Bladder Cancer Exosomal MicroRNAs Based on Inorganic Nanoflare and DNAzyme Walker</t>
  </si>
  <si>
    <t>Zhang X, Wei X, Qi J, Shen J, Xu J, Gong G, Wei Y, Yang J, Zhu Q, Bai T, Guo Z, Qu X, Zhu Y.</t>
  </si>
  <si>
    <t>Anal Chem. 2022 Mar 22;94(11):4787-4793. doi: 10.1021/acs.analchem.1c05588. Epub 2022 Mar 11.</t>
  </si>
  <si>
    <t>10.1021/acs.analchem.1c05588</t>
  </si>
  <si>
    <t>Circulating biomarkers in malignant melanoma</t>
  </si>
  <si>
    <t>Alegre E, Sammamed M, Fernández-Landázuri S, Zubiri L, González Á.</t>
  </si>
  <si>
    <t>Adv Clin Chem. 2015;69:47-89. doi: 10.1016/bs.acc.2014.12.002. Epub 2015 Feb 7.</t>
  </si>
  <si>
    <t>Alegre E</t>
  </si>
  <si>
    <t>Adv Clin Chem</t>
  </si>
  <si>
    <t>10.1016/bs.acc.2014.12.002</t>
  </si>
  <si>
    <t>Cloning of novel kinectin splice variants with alternative C-termini: structure, distribution and evolution of mouse kinectin</t>
  </si>
  <si>
    <t>Leung E, Print CG, Parry DA, Closey DN, Lockhart PJ, Skinner SJ, Batchelor DC, Krissansen GW.</t>
  </si>
  <si>
    <t>Immunol Cell Biol. 1996 Oct;74(5):421-33. doi: 10.1038/icb.1996.72.</t>
  </si>
  <si>
    <t>Leung E</t>
  </si>
  <si>
    <t>10.1038/icb.1996.72</t>
  </si>
  <si>
    <t>Exosome component 1 cleaves single-stranded DNA and sensitizes human kidney renal clear cell carcinoma cells to poly(ADP-ribose) polymerase inhibitor</t>
  </si>
  <si>
    <t>Liu Q, Xiao Q, Sun Z, Wang B, Wang L, Wang N, Wang K, Song C, Yang Q.</t>
  </si>
  <si>
    <t>Elife. 2021 Jun 23;10:e69454. doi: 10.7554/eLife.69454.</t>
  </si>
  <si>
    <t>Elife</t>
  </si>
  <si>
    <t>PMC8260222</t>
  </si>
  <si>
    <t>10.7554/eLife.69454</t>
  </si>
  <si>
    <t>The final step in the formation of 25S rRNA in Saccharomyces cerevisiae is performed by 5'--&gt;3' exonucleases</t>
  </si>
  <si>
    <t>Geerlings TH, Vos JC, Raué HA.</t>
  </si>
  <si>
    <t>RNA. 2000 Dec;6(12):1698-703. doi: 10.1017/s1355838200001540.</t>
  </si>
  <si>
    <t>Geerlings TH</t>
  </si>
  <si>
    <t>PMC1370040</t>
  </si>
  <si>
    <t>10.1017/s1355838200001540</t>
  </si>
  <si>
    <t>PI3K, Rho, and ROCK play a key role in hypoxia-induced ATP release and ATP-stimulated angiogenic responses in pulmonary artery vasa vasorum endothelial cells</t>
  </si>
  <si>
    <t>Woodward HN, Anwar A, Riddle S, Taraseviciene-Stewart L, Fragoso M, Stenmark KR, Gerasimovskaya EV.</t>
  </si>
  <si>
    <t>Am J Physiol Lung Cell Mol Physiol. 2009 Nov;297(5):L954-64. doi: 10.1152/ajplung.00038.2009. Epub 2009 Aug 14.</t>
  </si>
  <si>
    <t>Woodward HN</t>
  </si>
  <si>
    <t>PMC2777489</t>
  </si>
  <si>
    <t>10.1152/ajplung.00038.2009</t>
  </si>
  <si>
    <t>The Rough Guide to Monocytes in Malaria Infection</t>
  </si>
  <si>
    <t>Ortega-Pajares A, Rogerson SJ.</t>
  </si>
  <si>
    <t>Front Immunol. 2018 Dec 7;9:2888. doi: 10.3389/fimmu.2018.02888. eCollection 2018.</t>
  </si>
  <si>
    <t>Ortega-Pajares A</t>
  </si>
  <si>
    <t>PMC6292935</t>
  </si>
  <si>
    <t>10.3389/fimmu.2018.02888</t>
  </si>
  <si>
    <t>Mutational analysis demonstrates that ClC-4 and ClC-5 directly mediate plasma membrane currents</t>
  </si>
  <si>
    <t>Friedrich T, Breiderhoff T, Jentsch TJ.</t>
  </si>
  <si>
    <t>J Biol Chem. 1999 Jan 8;274(2):896-902. doi: 10.1074/jbc.274.2.896.</t>
  </si>
  <si>
    <t>Friedrich T</t>
  </si>
  <si>
    <t>10.1074/jbc.274.2.896</t>
  </si>
  <si>
    <t>Platelets release mitochondria serving as substrate for bactericidal group IIA-secreted phospholipase A2 to promote inflammation</t>
  </si>
  <si>
    <t>Boudreau LH, Duchez AC, Cloutier N, Soulet D, Martin N, Bollinger J, Paré A, Rousseau M, Naika GS, Lévesque T, Laflamme C, Marcoux G, Lambeau G, Farndale RW, Pouliot M, Hamzeh-Cognasse H, Cognasse F, Garraud O, Nigrovic PA, Guderley H, Lacroix S, Thibault L, Semple JW, Gelb MH, Boilard E.</t>
  </si>
  <si>
    <t>Blood. 2014 Oct 2;124(14):2173-83. doi: 10.1182/blood-2014-05-573543. Epub 2014 Jul 31.</t>
  </si>
  <si>
    <t>Boudreau LH</t>
  </si>
  <si>
    <t>PMC4260364</t>
  </si>
  <si>
    <t>What's on the Outside Matters: The Role of the Extracellular Polymeric Substance of Gram-negative Biofilms in Evading Host Immunity and as a Target for Therapeutic Intervention</t>
  </si>
  <si>
    <t>Gunn JS, Bakaletz LO, Wozniak DJ.</t>
  </si>
  <si>
    <t>J Biol Chem. 2016 Jun 10;291(24):12538-12546. doi: 10.1074/jbc.R115.707547. Epub 2016 Apr 21.</t>
  </si>
  <si>
    <t>Gunn JS</t>
  </si>
  <si>
    <t>PMC4933457</t>
  </si>
  <si>
    <t>10.1074/jbc.R115.707547</t>
  </si>
  <si>
    <t>Subcellular distribution and life cycle of Epstein-Barr virus in keratinocytes of oral hairy leukoplakia</t>
  </si>
  <si>
    <t>Rabanus JP, Greenspan D, Petersen V, Leser U, Wolf H, Greenspan JS.</t>
  </si>
  <si>
    <t>Am J Pathol. 1991 Jul;139(1):185-97.</t>
  </si>
  <si>
    <t>Rabanus JP</t>
  </si>
  <si>
    <t>PMC1886136</t>
  </si>
  <si>
    <t>Synaptotagmin I is involved in the regulation of cortical granule exocytosis in the sea urchin</t>
  </si>
  <si>
    <t>Leguia M, Conner S, Berg L, Wessel GM.</t>
  </si>
  <si>
    <t>Mol Reprod Dev. 2006 Jul;73(7):895-905. doi: 10.1002/mrd.20454.</t>
  </si>
  <si>
    <t>Leguia M</t>
  </si>
  <si>
    <t>10.1002/mrd.20454</t>
  </si>
  <si>
    <t>Mining the Giardia lamblia genome for new cyst wall proteins</t>
  </si>
  <si>
    <t>Sun CH, McCaffery JM, Reiner DS, Gillin FD.</t>
  </si>
  <si>
    <t>J Biol Chem. 2003 Jun 13;278(24):21701-8. doi: 10.1074/jbc.M302023200. Epub 2003 Apr 9.</t>
  </si>
  <si>
    <t>Sun CH</t>
  </si>
  <si>
    <t>10.1074/jbc.M302023200</t>
  </si>
  <si>
    <t>Identification of a putative surfactant convertase in rat lung as a secreted serine carboxylesterase</t>
  </si>
  <si>
    <t>Barr F, Clark H, Hawgood S.</t>
  </si>
  <si>
    <t>Am J Physiol. 1998 Mar;274(3):L404-10. doi: 10.1152/ajplung.1998.274.3.L404.</t>
  </si>
  <si>
    <t>Barr F</t>
  </si>
  <si>
    <t>Am J Physiol</t>
  </si>
  <si>
    <t>10.1152/ajplung.1998.274.3.L404</t>
  </si>
  <si>
    <t>Targeting type Iγ phosphatidylinositol phosphate kinase overcomes oxaliplatin resistance in colorectal cancer</t>
  </si>
  <si>
    <t>Yu M, Wang H, Zhao W, Ge X, Huang W, Lin F, Tang W, Li A, Liu S, Li RK, Jiang SH, Xue J.</t>
  </si>
  <si>
    <t>Theranostics. 2022 May 20;12(9):4386-4398. doi: 10.7150/thno.69863. eCollection 2022.</t>
  </si>
  <si>
    <t>Yu M</t>
  </si>
  <si>
    <t>PMC9169372</t>
  </si>
  <si>
    <t>Kellner-Weibel G, Geng YJ, Rothblat GH.</t>
  </si>
  <si>
    <t>Atherosclerosis. 1999 Oct;146(2):309-19. doi: 10.1016/s0021-9150(99)00155-0.</t>
  </si>
  <si>
    <t>Kellner-Weibel G</t>
  </si>
  <si>
    <t>10.1016/s0021-9150(99)00155-0</t>
  </si>
  <si>
    <t>Assembly of the postsynaptic apparatus</t>
  </si>
  <si>
    <t>Apel ED, Merlie JP.</t>
  </si>
  <si>
    <t>Curr Opin Neurobiol. 1995 Feb;5(1):62-7. doi: 10.1016/0959-4388(95)80088-3.</t>
  </si>
  <si>
    <t>Apel ED</t>
  </si>
  <si>
    <t>Curr Opin Neurobiol</t>
  </si>
  <si>
    <t>10.1016/0959-4388(95)80088-3</t>
  </si>
  <si>
    <t>Human mitochondrial degradosome prevents harmful mitochondrial R loops and mitochondrial genome instability</t>
  </si>
  <si>
    <t>Silva S, Camino LP, Aguilera A.</t>
  </si>
  <si>
    <t>Proc Natl Acad Sci U S A. 2018 Oct 23;115(43):11024-11029. doi: 10.1073/pnas.1807258115. Epub 2018 Oct 9.</t>
  </si>
  <si>
    <t>Silva S</t>
  </si>
  <si>
    <t>PMC6205488</t>
  </si>
  <si>
    <t>10.1073/pnas.1807258115</t>
  </si>
  <si>
    <t>Genomic analysis of the unfolded protein response in Arabidopsis shows its connection to important cellular processes</t>
  </si>
  <si>
    <t>Martínez IM, Chrispeels MJ.</t>
  </si>
  <si>
    <t>Plant Cell. 2003 Feb;15(2):561-76. doi: 10.1105/tpc.007609.</t>
  </si>
  <si>
    <t>Martínez IM</t>
  </si>
  <si>
    <t>Plant Cell</t>
  </si>
  <si>
    <t>PMC141221</t>
  </si>
  <si>
    <t>10.1105/tpc.007609</t>
  </si>
  <si>
    <t>Liquid biopsy at the frontier of detection, prognosis and progression monitoring in colorectal cancer</t>
  </si>
  <si>
    <t>Zhou H, Zhu L, Song J, Wang G, Li P, Li W, Luo P, Sun X, Wu J, Liu Y, Zhu S, Zhang Y.</t>
  </si>
  <si>
    <t>Mol Cancer. 2022 Mar 25;21(1):86. doi: 10.1186/s12943-022-01556-2.</t>
  </si>
  <si>
    <t>Zhou H</t>
  </si>
  <si>
    <t>PMC8951719</t>
  </si>
  <si>
    <t>10.1186/s12943-022-01556-2</t>
  </si>
  <si>
    <t>Rhee SJ, Kim H, Lee Y, Lee HJ, Park CHK, Yang J, Kim YK, Ahn YM.</t>
  </si>
  <si>
    <t>Sci Rep. 2021 Jul 7;11(1):13987. doi: 10.1038/s41598-021-93112-z.</t>
  </si>
  <si>
    <t>Rhee SJ</t>
  </si>
  <si>
    <t>PMC8263754</t>
  </si>
  <si>
    <t>Paramount levels of ergothioneine transporter SLC22A4 mRNA in boar seminal vesicles and cross-species analysis of ergothioneine and glutathione in seminal plasma</t>
  </si>
  <si>
    <t>Nikodemus D, Lazic D, Bach M, Bauer T, Pfeiffer C, Wiltzer L, Lain E, Schömig E, Gründemann D.</t>
  </si>
  <si>
    <t>J Physiol Pharmacol. 2011 Aug;62(4):411-9.</t>
  </si>
  <si>
    <t>Nikodemus D</t>
  </si>
  <si>
    <t>J Physiol Pharmacol</t>
  </si>
  <si>
    <t>A new yeast poly(A) polymerase complex involved in RNA quality control</t>
  </si>
  <si>
    <t>Vanácová S, Wolf J, Martin G, Blank D, Dettwiler S, Friedlein A, Langen H, Keith G, Keller W.</t>
  </si>
  <si>
    <t>PLoS Biol. 2005 Jun;3(6):e189. doi: 10.1371/journal.pbio.0030189. Epub 2005 Apr 19.</t>
  </si>
  <si>
    <t>Vanácová S</t>
  </si>
  <si>
    <t>PLoS Biol</t>
  </si>
  <si>
    <t>PMC1079787</t>
  </si>
  <si>
    <t>10.1371/journal.pbio.0030189</t>
  </si>
  <si>
    <t>A prototypic lysine methyltransferase 4 from archaea with degenerate sequence specificity methylates chromatin proteins Sul7d and Cren7 in different patterns</t>
  </si>
  <si>
    <t>Niu Y, Xia Y, Wang S, Li J, Niu C, Li X, Zhao Y, Xiong H, Li Z, Lou H, Cao Q.</t>
  </si>
  <si>
    <t>J Biol Chem. 2013 May 10;288(19):13728-40. doi: 10.1074/jbc.M113.452979. Epub 2013 Mar 25.</t>
  </si>
  <si>
    <t>Niu Y</t>
  </si>
  <si>
    <t>PMC3650410</t>
  </si>
  <si>
    <t>10.1074/jbc.M113.452979</t>
  </si>
  <si>
    <t>Regulation of telomere metabolism by the RNA processing protein Xrn1</t>
  </si>
  <si>
    <t>Cesena D, Cassani C, Rizzo E, Lisby M, Bonetti D, Longhese MP.</t>
  </si>
  <si>
    <t>Nucleic Acids Res. 2017 Apr 20;45(7):3860-3874. doi: 10.1093/nar/gkx072.</t>
  </si>
  <si>
    <t>Cesena D</t>
  </si>
  <si>
    <t>PMC5397203</t>
  </si>
  <si>
    <t>10.1093/nar/gkx072</t>
  </si>
  <si>
    <t>Extracellular vesicles derived from Acholeplasma laidlawii PG8</t>
  </si>
  <si>
    <t>Chernov VM, Chernova OA, Mouzykantov AA, Efimova IR, Shaymardanova GF, Medvedeva ES, Trushin MV.</t>
  </si>
  <si>
    <t>ScientificWorldJournal. 2011 May 26;11:1120-30. doi: 10.1100/tsw.2011.109.</t>
  </si>
  <si>
    <t>Chernov VM</t>
  </si>
  <si>
    <t>PMC5719990</t>
  </si>
  <si>
    <t>The spherulites(TM): a promising carrier for oligonucleotide delivery</t>
  </si>
  <si>
    <t>Mignet N, Brun A, Degert C, Delord B, Roux D, Hélène C, Laversanne R, François JC.</t>
  </si>
  <si>
    <t>Nucleic Acids Res. 2000 Aug 15;28(16):3134-42. doi: 10.1093/nar/28.16.3134.</t>
  </si>
  <si>
    <t>Mignet N</t>
  </si>
  <si>
    <t>PMC108452</t>
  </si>
  <si>
    <t>10.1093/nar/28.16.3134</t>
  </si>
  <si>
    <t>Identification and characterization of syntenin binding protein in the black tiger shrimp Penaeus monodon</t>
  </si>
  <si>
    <t>Tonganunt M, Phongdara A, Chotigeat W, Fujise K.</t>
  </si>
  <si>
    <t>J Biotechnol. 2005 Nov 4;120(2):135-45. doi: 10.1016/j.jbiotec.2005.06.006. Epub 2005 Aug 1.</t>
  </si>
  <si>
    <t>Tonganunt M</t>
  </si>
  <si>
    <t>J Biotechnol</t>
  </si>
  <si>
    <t>10.1016/j.jbiotec.2005.06.006</t>
  </si>
  <si>
    <t>Mutant LYS2 mRNAs retained and degraded in the nucleus of Saccharomyces cerevisiae</t>
  </si>
  <si>
    <t>Das B, Das S, Sherman F.</t>
  </si>
  <si>
    <t>Proc Natl Acad Sci U S A. 2006 Jul 18;103(29):10871-6. doi: 10.1073/pnas.0604562103. Epub 2006 Jul 10.</t>
  </si>
  <si>
    <t>Das B</t>
  </si>
  <si>
    <t>PMC1544141</t>
  </si>
  <si>
    <t>10.1073/pnas.0604562103</t>
  </si>
  <si>
    <t>Bioactive Plasma Mitochondrial DNA Is Associated With Disease Progression in Scleroderma-Associated Interstitial Lung Disease</t>
  </si>
  <si>
    <t>Ryu C, Walia A, Ortiz V, Perry C, Woo S, Reeves BC, Sun H, Winkler J, Kanyo JE, Wang W, Vukmirovic M, Ristic N, Stratton EA, Meena SR, Minasyan M, Kurbanov D, Liu X, Lam TT, Farina G, Gomez JL, Gulati M, Herzog EL.</t>
  </si>
  <si>
    <t>Arthritis Rheumatol. 2020 Nov;72(11):1905-1915. doi: 10.1002/art.41418. Epub 2020 Oct 8.</t>
  </si>
  <si>
    <t>Ryu C</t>
  </si>
  <si>
    <t>Arthritis Rheumatol</t>
  </si>
  <si>
    <t>PMC8081728</t>
  </si>
  <si>
    <t>NIHMS1692604</t>
  </si>
  <si>
    <t>Serum autoantibody to the nucleolar antigen PM-Scl. Clinical and immunogenetic associations</t>
  </si>
  <si>
    <t>Oddis CV, Okano Y, Rudert WA, Trucco M, Duquesnoy RJ, Medsger TA Jr.</t>
  </si>
  <si>
    <t>Arthritis Rheum. 1992 Oct;35(10):1211-7. doi: 10.1002/art.1780351014.</t>
  </si>
  <si>
    <t>Oddis CV</t>
  </si>
  <si>
    <t>10.1002/art.1780351014</t>
  </si>
  <si>
    <t>PD-L1 (B7-H1) Competes with the RNA Exosome to Regulate the DNA Damage Response and Can Be Targeted to Sensitize to Radiation or Chemotherapy</t>
  </si>
  <si>
    <t>Tu X, Qin B, Zhang Y, Zhang C, Kahila M, Nowsheen S, Yin P, Yuan J, Pei H, Li H, Yu J, Song Z, Zhou Q, Zhao F, Liu J, Zhang C, Dong H, Mutter RW, Lou Z.</t>
  </si>
  <si>
    <t>Mol Cell. 2019 Jun 20;74(6):1215-1226.e4. doi: 10.1016/j.molcel.2019.04.005. Epub 2019 Apr 30.</t>
  </si>
  <si>
    <t>Tu X</t>
  </si>
  <si>
    <t>PMC6737939</t>
  </si>
  <si>
    <t>NIHMS1043985</t>
  </si>
  <si>
    <t>10.1016/j.molcel.2019.04.005</t>
  </si>
  <si>
    <t>Cytoplasmic decay of intergenic transcripts in Saccharomyces cerevisiae</t>
  </si>
  <si>
    <t>Thompson DM, Parker R.</t>
  </si>
  <si>
    <t>Mol Cell Biol. 2007 Jan;27(1):92-101. doi: 10.1128/MCB.01023-06. Epub 2006 Oct 30.</t>
  </si>
  <si>
    <t>Thompson DM</t>
  </si>
  <si>
    <t>PMC1800667</t>
  </si>
  <si>
    <t>10.1128/MCB.01023-06</t>
  </si>
  <si>
    <t>Analysis of the DNA sequence of a 34,038 bp region on the left arm of yeast chromosome XV</t>
  </si>
  <si>
    <t>Rad MR, Habbig B, Jansen G, Hattenhorst U, Kroll M, Hollenberg CP.</t>
  </si>
  <si>
    <t>Yeast. 1997 Mar 15;13(3):281-6. doi: 10.1002/(sici)1097-0061(19970315)13:3&lt;281::aid-yea74&gt;3.0.co;2-e.</t>
  </si>
  <si>
    <t>Rad MR</t>
  </si>
  <si>
    <t>10.1002/(sici)1097-0061(19970315)13:3&lt;281::aid-yea74&gt;3.0.co;2-e</t>
  </si>
  <si>
    <t>Novel Autoantigens Associated with Lupus Nephritis</t>
  </si>
  <si>
    <t>Onishi S, Adnan E, Ishizaki J, Miyazaki T, Tanaka Y, Matsumoto T, Suemori K, Shudou M, Okura T, Takeda H, Sawasaki T, Yasukawa M, Hasegawa H.</t>
  </si>
  <si>
    <t>PLoS One. 2015 Jun 22;10(6):e0126564. doi: 10.1371/journal.pone.0126564. eCollection 2015.</t>
  </si>
  <si>
    <t>Onishi S</t>
  </si>
  <si>
    <t>PMC4476694</t>
  </si>
  <si>
    <t>10.1371/journal.pone.0126564</t>
  </si>
  <si>
    <t>Virulence factors of Actinobacillus actinomycetemcomitans</t>
  </si>
  <si>
    <t>Fives-Taylor PM, Meyer DH, Mintz KP, Brissette C.</t>
  </si>
  <si>
    <t>Periodontol 2000. 1999 Jun;20:136-67. doi: 10.1111/j.1600-0757.1999.tb00161.x.</t>
  </si>
  <si>
    <t>Fives-Taylor PM</t>
  </si>
  <si>
    <t>Periodontol 2000</t>
  </si>
  <si>
    <t>10.1111/j.1600-0757.1999.tb00161.x</t>
  </si>
  <si>
    <t>Changes in the biochemical taste of cytoplasmic and cell-free DNA are major fuels for inflamm-aging</t>
  </si>
  <si>
    <t>Storci G, De Carolis S, Olivieri F, Bonafè M.</t>
  </si>
  <si>
    <t>Semin Immunol. 2018 Dec;40:6-16. doi: 10.1016/j.smim.2018.08.003. Epub 2018 Sep 15.</t>
  </si>
  <si>
    <t>Semin Immunol</t>
  </si>
  <si>
    <t>10.1016/j.smim.2018.08.003</t>
  </si>
  <si>
    <t>Transcription termination and RNA degradation contribute to silencing of RNA polymerase II transcription within heterochromatin</t>
  </si>
  <si>
    <t>Vasiljeva L, Kim M, Terzi N, Soares LM, Buratowski S.</t>
  </si>
  <si>
    <t>Mol Cell. 2008 Feb 15;29(3):313-23. doi: 10.1016/j.molcel.2008.01.011.</t>
  </si>
  <si>
    <t>Vasiljeva L</t>
  </si>
  <si>
    <t>10.1016/j.molcel.2008.01.011</t>
  </si>
  <si>
    <t>Glycine-extended gastrin induces matrix metalloproteinase-1- and -3-mediated invasion of human colon cancer cells through type I collagen gel and Matrigel</t>
  </si>
  <si>
    <t>Baba M, Itoh K, Tatsuta M.</t>
  </si>
  <si>
    <t>Int J Cancer. 2004 Aug 10;111(1):23-31. doi: 10.1002/ijc.20207.</t>
  </si>
  <si>
    <t>Baba M</t>
  </si>
  <si>
    <t>10.1002/ijc.20207</t>
  </si>
  <si>
    <t>Autographa californica nucleopolyhedrovirus infection results in Sf9 cell cycle arrest at G2/M phase</t>
  </si>
  <si>
    <t>Braunagel SC, Parr R, Belyavskyi M, Summers MD.</t>
  </si>
  <si>
    <t>Virology. 1998 Apr 25;244(1):195-211. doi: 10.1006/viro.1998.9097.</t>
  </si>
  <si>
    <t>Braunagel SC</t>
  </si>
  <si>
    <t>Ermap, a gene coding for a novel erythroid specific adhesion/receptor membrane protein</t>
  </si>
  <si>
    <t>Ye TZ, Gordon CT, Lai YH, Fujiwara Y, Peters LL, Perkins AC, Chui DH.</t>
  </si>
  <si>
    <t>Gene. 2000 Jan 25;242(1-2):337-45. doi: 10.1016/s0378-1119(99)00516-8.</t>
  </si>
  <si>
    <t>Ye TZ</t>
  </si>
  <si>
    <t>10.1016/s0378-1119(99)00516-8</t>
  </si>
  <si>
    <t>C1D is a major autoantibody target in patients with the polymyositis-scleroderma overlap syndrome</t>
  </si>
  <si>
    <t>Schilders G, Egberts WV, Raijmakers R, Pruijn GJ.</t>
  </si>
  <si>
    <t>Arthritis Rheum. 2007 Jul;56(7):2449-54. doi: 10.1002/art.22710.</t>
  </si>
  <si>
    <t>Schilders G</t>
  </si>
  <si>
    <t>10.1002/art.22710</t>
  </si>
  <si>
    <t>A histidine residue in the extracellular N-terminal domain of the GABA(A) receptor alpha5 subunit regulates sensitivity to inhibition by zinc</t>
  </si>
  <si>
    <t>Fisher JL.</t>
  </si>
  <si>
    <t>Neuropharmacology. 2002 Jun;42(7):922-8. doi: 10.1016/s0028-3908(02)00050-3.</t>
  </si>
  <si>
    <t>Fisher JL</t>
  </si>
  <si>
    <t>Neuropharmacology</t>
  </si>
  <si>
    <t>10.1016/s0028-3908(02)00050-3</t>
  </si>
  <si>
    <t>Cloning and expression studies of cDNA for a novel Xenopus cadherin (XmN-cadherin), expressed maternally and later neural-specifically in embryogenesis</t>
  </si>
  <si>
    <t>Tashiro K, Tooi O, Nakamura H, Koga C, Ito Y, Hikasa H, Shiokawa K.</t>
  </si>
  <si>
    <t>Mech Dev. 1996 Feb;54(2):161-71. doi: 10.1016/0925-4773(95)00469-6.</t>
  </si>
  <si>
    <t>Tashiro K</t>
  </si>
  <si>
    <t>Mech Dev</t>
  </si>
  <si>
    <t>10.1016/0925-4773(95)00469-6</t>
  </si>
  <si>
    <t>Enhancer of Rudimentary Cooperates with Conserved RNA-Processing Factors to Promote Meiotic mRNA Decay and Facultative Heterochromatin Assembly</t>
  </si>
  <si>
    <t>Sugiyama T, Thillainadesan G, Chalamcharla VR, Meng Z, Balachandran V, Dhakshnamoorthy J, Zhou M, Grewal SIS.</t>
  </si>
  <si>
    <t>Mol Cell. 2016 Mar 3;61(5):747-759. doi: 10.1016/j.molcel.2016.01.029.</t>
  </si>
  <si>
    <t>Sugiyama T</t>
  </si>
  <si>
    <t>PMC4791967</t>
  </si>
  <si>
    <t>NIHMS757627</t>
  </si>
  <si>
    <t>10.1016/j.molcel.2016.01.029</t>
  </si>
  <si>
    <t>An Interaction between RRP6 and SU(VAR)3-9 Targets RRP6 to Heterochromatin and Contributes to Heterochromatin Maintenance in Drosophila melanogaster</t>
  </si>
  <si>
    <t>Eberle AB, Jordán-Pla A, Gañez-Zapater A, Hessle V, Silberberg G, von Euler A, Silverstein RA, Visa N.</t>
  </si>
  <si>
    <t>PLoS Genet. 2015 Sep 21;11(9):e1005523. doi: 10.1371/journal.pgen.1005523. eCollection 2015 Sep.</t>
  </si>
  <si>
    <t>Eberle AB</t>
  </si>
  <si>
    <t>PMC4577213</t>
  </si>
  <si>
    <t>10.1371/journal.pgen.1005523</t>
  </si>
  <si>
    <t>Regulation of isthmic Fgf8 signal by sprouty2</t>
  </si>
  <si>
    <t>Suzuki-Hirano A, Sato T, Nakamura H.</t>
  </si>
  <si>
    <t>Development. 2005 Jan;132(2):257-65. doi: 10.1242/dev.01581. Epub 2004 Dec 8.</t>
  </si>
  <si>
    <t>Suzuki-Hirano A</t>
  </si>
  <si>
    <t>10.1242/dev.01581</t>
  </si>
  <si>
    <t>Brain tumor microvesicles: insights into intercellular communication in the nervous system</t>
  </si>
  <si>
    <t>van der Vos KE, Balaj L, Skog J, Breakefield XO.</t>
  </si>
  <si>
    <t>Cell Mol Neurobiol. 2011 Aug;31(6):949-59. doi: 10.1007/s10571-011-9697-y. Epub 2011 May 8.</t>
  </si>
  <si>
    <t>van der Vos KE</t>
  </si>
  <si>
    <t>Cell Mol Neurobiol</t>
  </si>
  <si>
    <t>PMC3702172</t>
  </si>
  <si>
    <t>NIHMS477855</t>
  </si>
  <si>
    <t>Membrane vesicles released by Avibacterium paragallinarum contain putative virulence factors</t>
  </si>
  <si>
    <t>Ramón Rocha MO, García-González O, Pérez-Méndez A, Ibarra-Caballero J, Pérez-Márquez VM, Vaca S, Negrete-Abascal E.</t>
  </si>
  <si>
    <t>FEMS Microbiol Lett. 2006 Apr;257(1):63-8. doi: 10.1111/j.1574-6968.2006.00154.x.</t>
  </si>
  <si>
    <t>Ramón Rocha MO</t>
  </si>
  <si>
    <t>10.1111/j.1574-6968.2006.00154.x</t>
  </si>
  <si>
    <t>Dis3, implicated in mitotic control, binds directly to Ran and enhances the GEF activity of RCC1</t>
  </si>
  <si>
    <t>Noguchi E, Hayashi N, Azuma Y, Seki T, Nakamura M, Nakashima N, Yanagida M, He X, Mueller U, Sazer S, Nishimoto T.</t>
  </si>
  <si>
    <t>EMBO J. 1996 Oct 15;15(20):5595-605.</t>
  </si>
  <si>
    <t>Noguchi E</t>
  </si>
  <si>
    <t>PMC452304</t>
  </si>
  <si>
    <t>Trf4 and Trf5 proteins of Saccharomyces cerevisiae exhibit poly(A) RNA polymerase activity but no DNA polymerase activity</t>
  </si>
  <si>
    <t>Haracska L, Johnson RE, Prakash L, Prakash S.</t>
  </si>
  <si>
    <t>Mol Cell Biol. 2005 Nov;25(22):10183-9. doi: 10.1128/MCB.25.22.10183-10189.2005.</t>
  </si>
  <si>
    <t>Haracska L</t>
  </si>
  <si>
    <t>PMC1280283</t>
  </si>
  <si>
    <t>10.1128/MCB.25.22.10183-10189.2005</t>
  </si>
  <si>
    <t>Distinct activities of several RNase J proteins in methanogenic archaea</t>
  </si>
  <si>
    <t>Levy S, Portnoy V, Admon J, Schuster G.</t>
  </si>
  <si>
    <t>RNA Biol. 2011 Nov-Dec;8(6):1073-83. doi: 10.4161/rna.8.6.16604. Epub 2011 Nov 1.</t>
  </si>
  <si>
    <t>Levy S</t>
  </si>
  <si>
    <t>10.4161/rna.8.6.16604</t>
  </si>
  <si>
    <t>Molecular cloning and characterization of an intracellular chloride channel in the proximal tubule cell line, LLC-PK1</t>
  </si>
  <si>
    <t>Dowland LK, Luyckx VA, Enck AH, Leclercq B, Yu AS.</t>
  </si>
  <si>
    <t>J Biol Chem. 2000 Dec 1;275(48):37765-73. doi: 10.1074/jbc.M004840200.</t>
  </si>
  <si>
    <t>Dowland LK</t>
  </si>
  <si>
    <t>10.1074/jbc.M004840200</t>
  </si>
  <si>
    <t>The Plasmodium falciparum protein Pfg27 is dispensable for gametocyte and gamete production, but contributes to cell integrity during gametocytogenesis</t>
  </si>
  <si>
    <t>Olivieri A, Camarda G, Bertuccini L, van de Vegte-Bolmer M, Luty AJ, Sauerwein R, Alano P.</t>
  </si>
  <si>
    <t>Mol Microbiol. 2009 Jul;73(2):180-93. doi: 10.1111/j.1365-2958.2009.06762.x. Epub 2009 Jun 30.</t>
  </si>
  <si>
    <t>Olivieri A</t>
  </si>
  <si>
    <t>Mol Microbiol</t>
  </si>
  <si>
    <t>10.1111/j.1365-2958.2009.06762.x</t>
  </si>
  <si>
    <t>Molecular evidence for distinct modes of nutrient acquisition between visceral and neurotropic schistosomes of birds</t>
  </si>
  <si>
    <t>Leontovyč R, Young ND, Korhonen PK, Hall RS, Bulantová J, Jeřábková V, Kašný M, Gasser RB, Horák P.</t>
  </si>
  <si>
    <t>Sci Rep. 2019 Feb 4;9(1):1347. doi: 10.1038/s41598-018-37669-2.</t>
  </si>
  <si>
    <t>Leontovyč R</t>
  </si>
  <si>
    <t>PMC6362228</t>
  </si>
  <si>
    <t>10.1038/s41598-018-37669-2</t>
  </si>
  <si>
    <t>Prostatic expression of hensin, a protein implicated in epithelial terminal differentiation</t>
  </si>
  <si>
    <t>Ma JF, Takito J, Vijayakumar S, Peehl DM, Olsson CA, Al-Awqati Q.</t>
  </si>
  <si>
    <t>Prostate. 2001 Sep 15;49(1):9-18. doi: 10.1002/pros.1113.</t>
  </si>
  <si>
    <t>Ma JF</t>
  </si>
  <si>
    <t>10.1002/pros.1113</t>
  </si>
  <si>
    <t>Transcriptional activation of the rat vesicular monoamine transporter 2 promoter in gastric epithelial cells: regulation by gastrin</t>
  </si>
  <si>
    <t>Watson F, Kiernan RS, Deavall DG, Varro A, Dimaline R.</t>
  </si>
  <si>
    <t>J Biol Chem. 2001 Mar 9;276(10):7661-71. doi: 10.1074/jbc.M006697200. Epub 2000 Dec 11.</t>
  </si>
  <si>
    <t>Watson F</t>
  </si>
  <si>
    <t>10.1074/jbc.M006697200</t>
  </si>
  <si>
    <t>Neuronal properties of a thyroid C-cell line: partial repression by dexamethasone and retinoic acid</t>
  </si>
  <si>
    <t>Russo AF, Lanigan TM, Sullivan BE.</t>
  </si>
  <si>
    <t>Mol Endocrinol. 1992 Feb;6(2):207-18. doi: 10.1210/mend.6.2.1569964.</t>
  </si>
  <si>
    <t>Russo AF</t>
  </si>
  <si>
    <t>Mol Endocrinol</t>
  </si>
  <si>
    <t>10.1210/mend.6.2.1569964</t>
  </si>
  <si>
    <t>Neutrophil Extracellular Traps: Villains and Targets in Arterial, Venous, and Cancer-Associated Thrombosis</t>
  </si>
  <si>
    <t>Thålin C, Hisada Y, Lundström S, Mackman N, Wallén H.</t>
  </si>
  <si>
    <t>Arterioscler Thromb Vasc Biol. 2019 Sep;39(9):1724-1738. doi: 10.1161/ATVBAHA.119.312463. Epub 2019 Jul 18.</t>
  </si>
  <si>
    <t>Thålin C</t>
  </si>
  <si>
    <t>Arterioscler Thromb Vasc Biol</t>
  </si>
  <si>
    <t>PMC6703916</t>
  </si>
  <si>
    <t>NIHMS1532487</t>
  </si>
  <si>
    <t>10.1161/ATVBAHA.119.312463</t>
  </si>
  <si>
    <t>Liquid biopsy for early diagnosis of non-small cell lung carcinoma: recent research and detection technologies</t>
  </si>
  <si>
    <t>Chang L, Li J, Zhang R.</t>
  </si>
  <si>
    <t>Biochim Biophys Acta Rev Cancer. 2022 May;1877(3):188729. doi: 10.1016/j.bbcan.2022.188729. Epub 2022 Apr 15.</t>
  </si>
  <si>
    <t>10.1016/j.bbcan.2022.188729</t>
  </si>
  <si>
    <t>Synaptotagmin I-DeltaC2B. A novel synaptotagmin isoform with a single C2 domain in the bovine adrenal medulla</t>
  </si>
  <si>
    <t>Hewitt EW, Tao JX, Strasser JE, Cutler DF, Dean GE.</t>
  </si>
  <si>
    <t>Biochim Biophys Acta. 2002 Mar 19;1561(1):76-90. doi: 10.1016/s0005-2736(01)00459-x.</t>
  </si>
  <si>
    <t>Hewitt EW</t>
  </si>
  <si>
    <t>10.1016/s0005-2736(01)00459-x</t>
  </si>
  <si>
    <t>The fission yeast dis3+ gene encodes a 110-kDa essential protein implicated in mitotic control</t>
  </si>
  <si>
    <t>Kinoshita N, Goebl M, Yanagida M.</t>
  </si>
  <si>
    <t>Mol Cell Biol. 1991 Dec;11(12):5839-47. doi: 10.1128/mcb.11.12.5839-5847.1991.</t>
  </si>
  <si>
    <t>Kinoshita N</t>
  </si>
  <si>
    <t>PMC361730</t>
  </si>
  <si>
    <t>10.1128/mcb.11.12.5839-5847.1991</t>
  </si>
  <si>
    <t>Trichomonas vaginalis origins, molecular pathobiology and clinical considerations</t>
  </si>
  <si>
    <t>Hirt RP, Sherrard J.</t>
  </si>
  <si>
    <t>Curr Opin Infect Dis. 2015 Feb;28(1):72-9. doi: 10.1097/QCO.0000000000000128.</t>
  </si>
  <si>
    <t>Hirt RP</t>
  </si>
  <si>
    <t>Curr Opin Infect Dis</t>
  </si>
  <si>
    <t>10.1097/QCO.0000000000000128</t>
  </si>
  <si>
    <t>Early screening and diagnosis strategies of pancreatic cancer: a comprehensive review</t>
  </si>
  <si>
    <t>Yang J, Xu R, Wang C, Qiu J, Ren B, You L.</t>
  </si>
  <si>
    <t>Cancer Commun (Lond). 2021 Dec;41(12):1257-1274. doi: 10.1002/cac2.12204. Epub 2021 Jul 31.</t>
  </si>
  <si>
    <t>Cancer Commun (Lond)</t>
  </si>
  <si>
    <t>PMC8696234</t>
  </si>
  <si>
    <t>10.1002/cac2.12204</t>
  </si>
  <si>
    <t>Persistent nonproductive infection of Epstein-Barr virus-transformed human B lymphocytes by human immunodeficiency virus type 1</t>
  </si>
  <si>
    <t>Dahl KE, Burrage T, Jones F, Miller G.</t>
  </si>
  <si>
    <t>J Virol. 1990 Apr;64(4):1771-83. doi: 10.1128/JVI.64.4.1771-1783.1990.</t>
  </si>
  <si>
    <t>Dahl KE</t>
  </si>
  <si>
    <t>PMC249315</t>
  </si>
  <si>
    <t>10.1128/JVI.64.4.1771-1783.1990</t>
  </si>
  <si>
    <t>Heterologous transmembrane and cytoplasmic domains direct functional chimeric influenza virus hemagglutinins into the endocytic pathway</t>
  </si>
  <si>
    <t>Roth MG, Doyle C, Sambrook J, Gething MJ.</t>
  </si>
  <si>
    <t>J Cell Biol. 1986 Apr;102(4):1271-83. doi: 10.1083/jcb.102.4.1271.</t>
  </si>
  <si>
    <t>Roth MG</t>
  </si>
  <si>
    <t>PMC2114161</t>
  </si>
  <si>
    <t>10.1083/jcb.102.4.1271</t>
  </si>
  <si>
    <t>Extracellular TNFR1 release requires the calcium-dependent formation of a nucleobindin 2-ARTS-1 complex</t>
  </si>
  <si>
    <t>Islam A, Adamik B, Hawari FI, Ma G, Rouhani FN, Zhang J, Levine SJ.</t>
  </si>
  <si>
    <t>J Biol Chem. 2006 Mar 10;281(10):6860-73. doi: 10.1074/jbc.M509397200. Epub 2006 Jan 5.</t>
  </si>
  <si>
    <t>Islam A</t>
  </si>
  <si>
    <t>10.1074/jbc.M509397200</t>
  </si>
  <si>
    <t>Mycobacterium smegmatis HelY Is an RNA-Activated ATPase/dATPase and 3'-to-5' Helicase That Unwinds 3'-Tailed RNA Duplexes and RNA:DNA Hybrids</t>
  </si>
  <si>
    <t>Uson ML, Ordonez H, Shuman S.</t>
  </si>
  <si>
    <t>J Bacteriol. 2015 Oct;197(19):3057-65. doi: 10.1128/JB.00418-15. Epub 2015 Jul 13.</t>
  </si>
  <si>
    <t>Uson ML</t>
  </si>
  <si>
    <t>PMC4560288</t>
  </si>
  <si>
    <t>10.1128/JB.00418-15</t>
  </si>
  <si>
    <t>Autosomal recessive polycystic kidney disease: characterization of human peritoneal and cystic kidney cells in vitro</t>
  </si>
  <si>
    <t>Hjelle JT, Waters DC, Golinska BT, Steidley KR, Burmeister V, Caughey R, Ketel B, McCarroll DR, Olsson PJ, Prior RB, et al.</t>
  </si>
  <si>
    <t>Am J Kidney Dis. 1990 Feb;15(2):123-36. doi: 10.1016/s0272-6386(12)80509-9.</t>
  </si>
  <si>
    <t>Hjelle JT</t>
  </si>
  <si>
    <t>Am J Kidney Dis</t>
  </si>
  <si>
    <t>10.1016/s0272-6386(12)80509-9</t>
  </si>
  <si>
    <t>The cDNA structure and expression analysis of the genes for the cysteine proteinase inhibitor cystatin C and for beta 2-microglobulin in rat brain</t>
  </si>
  <si>
    <t>Cole T, Dickson PW, Esnard F, Averill S, Risbridger GP, Gauthier F, Schreiber G.</t>
  </si>
  <si>
    <t>Eur J Biochem. 1989 Dec 8;186(1-2):35-42. doi: 10.1111/j.1432-1033.1989.tb15174.x.</t>
  </si>
  <si>
    <t>Cole T</t>
  </si>
  <si>
    <t>Eur J Biochem</t>
  </si>
  <si>
    <t>10.1111/j.1432-1033.1989.tb15174.x</t>
  </si>
  <si>
    <t>Caveolin-1 in extracellular matrix vesicles secreted from osteoblasts</t>
  </si>
  <si>
    <t>Sawada N, Taketani Y, Amizuka N, Ichikawa M, Ogawa C, Nomoto K, Nashiki K, Sato T, Arai H, Isshiki M, Segawa H, Yamamoto H, Miyamoto K, Takeda E.</t>
  </si>
  <si>
    <t>Bone. 2007 Jul;41(1):52-8. doi: 10.1016/j.bone.2007.02.030. Epub 2007 Mar 14.</t>
  </si>
  <si>
    <t>Sawada N</t>
  </si>
  <si>
    <t>Bone</t>
  </si>
  <si>
    <t>10.1016/j.bone.2007.02.030</t>
  </si>
  <si>
    <t>Molecular characterization and identification of target protein of an important vesicle trafficking gene AlRab7 from a salt excreting halophyte Aeluropus lagopoides</t>
  </si>
  <si>
    <t>Rajan N, Agarwal P, Patel K, Sanadhya P, Khedia J, Agarwal PK.</t>
  </si>
  <si>
    <t>DNA Cell Biol. 2015 Feb;34(2):83-91. doi: 10.1089/dna.2014.2592. Epub 2014 Nov 19.</t>
  </si>
  <si>
    <t>Rajan N</t>
  </si>
  <si>
    <t>PMC4308824</t>
  </si>
  <si>
    <t>The fission yeast CENP-B protein Abp1 prevents pervasive transcription of repetitive DNA elements</t>
  </si>
  <si>
    <t>Daulny A, Mejía-Ramírez E, Reina O, Rosado-Lugo J, Aguilar-Arnal L, Auer H, Zaratiegui M, Azorin F.</t>
  </si>
  <si>
    <t>Biochim Biophys Acta. 2016 Oct;1859(10):1314-21. doi: 10.1016/j.bbagrm.2016.06.009. Epub 2016 Jun 23.</t>
  </si>
  <si>
    <t>Daulny A</t>
  </si>
  <si>
    <t>PMC5391875</t>
  </si>
  <si>
    <t>NIHMS849578</t>
  </si>
  <si>
    <t>10.1016/j.bbagrm.2016.06.009</t>
  </si>
  <si>
    <t>Differential effects of acute and chronic exercise on plasticity-related genes in the rat hippocampus revealed by microarray</t>
  </si>
  <si>
    <t>Molteni R, Ying Z, Gómez-Pinilla F.</t>
  </si>
  <si>
    <t>Eur J Neurosci. 2002 Sep;16(6):1107-16. doi: 10.1046/j.1460-9568.2002.02158.x.</t>
  </si>
  <si>
    <t>Molteni R</t>
  </si>
  <si>
    <t>Eur J Neurosci</t>
  </si>
  <si>
    <t>10.1046/j.1460-9568.2002.02158.x</t>
  </si>
  <si>
    <t>MS-Based Biomarker Discovery in Bronchoalveolar Lavage Fluid for Lung Cancer</t>
  </si>
  <si>
    <t>Matthiesen R.</t>
  </si>
  <si>
    <t>Proteomics Clin Appl. 2020 Jan;14(1):e1900077. doi: 10.1002/prca.201900077. Epub 2019 Nov 12.</t>
  </si>
  <si>
    <t>Matthiesen R</t>
  </si>
  <si>
    <t>Proteomics Clin Appl</t>
  </si>
  <si>
    <t>10.1002/prca.201900077</t>
  </si>
  <si>
    <t>Szczesny B, Marcatti M, Ahmad A, Montalbano M, Brunyánszki A, Bibli SI, Papapetropoulos A, Szabo C.</t>
  </si>
  <si>
    <t>Sci Rep. 2018 Jan 17;8(1):914. doi: 10.1038/s41598-018-19216-1.</t>
  </si>
  <si>
    <t>Szczesny B</t>
  </si>
  <si>
    <t>PMC5772643</t>
  </si>
  <si>
    <t>Albanese J, Dainiak N.</t>
  </si>
  <si>
    <t>Stem Cells. 1997;15 Suppl 2:49-57. doi: 10.1002/stem.5530150709.</t>
  </si>
  <si>
    <t>Albanese J</t>
  </si>
  <si>
    <t>10.1002/stem.5530150709</t>
  </si>
  <si>
    <t>Virulence of a Porphyromonas gingivalis W83 mutant defective in the prtH gene</t>
  </si>
  <si>
    <t>Fletcher HM, Schenkein HA, Morgan RM, Bailey KA, Berry CR, Macrina FL.</t>
  </si>
  <si>
    <t>Infect Immun. 1995 Apr;63(4):1521-8. doi: 10.1128/iai.63.4.1521-1528.1995.</t>
  </si>
  <si>
    <t>Fletcher HM</t>
  </si>
  <si>
    <t>PMC173184</t>
  </si>
  <si>
    <t>10.1128/iai.63.4.1521-1528.1995</t>
  </si>
  <si>
    <t>Otolith matrix proteins OMP-1 and Otolin-1 are necessary for normal otolith growth and their correct anchoring onto the sensory maculae</t>
  </si>
  <si>
    <t>Murayama E, Herbomel P, Kawakami A, Takeda H, Nagasawa H.</t>
  </si>
  <si>
    <t>Mech Dev. 2005 Jun;122(6):791-803. doi: 10.1016/j.mod.2005.03.002.</t>
  </si>
  <si>
    <t>Murayama E</t>
  </si>
  <si>
    <t>10.1016/j.mod.2005.03.002</t>
  </si>
  <si>
    <t>A unique spacer domain of synaptotagmin IV is essential for Golgi localization</t>
  </si>
  <si>
    <t>Fukuda M, Ibata K, Mikoshiba K.</t>
  </si>
  <si>
    <t>J Neurochem. 2001 May;77(3):730-40. doi: 10.1046/j.1471-4159.2001.00266.x.</t>
  </si>
  <si>
    <t>Fukuda M</t>
  </si>
  <si>
    <t>J Neurochem</t>
  </si>
  <si>
    <t>10.1046/j.1471-4159.2001.00266.x</t>
  </si>
  <si>
    <t>Essential stations in the intracellular pathway of cytotoxic bovine seminal ribonuclease</t>
  </si>
  <si>
    <t>Bracale A, Spalletti-Cernia D, Mastronicola M, Castaldi F, Mannucci R, Nitsch L, D'Alessio G.</t>
  </si>
  <si>
    <t>Biochem J. 2002 Mar 15;362(Pt 3):553-60. doi: 10.1042/0264-6021:3620553.</t>
  </si>
  <si>
    <t>Bracale A</t>
  </si>
  <si>
    <t>PMC1222418</t>
  </si>
  <si>
    <t>10.1042/0264-6021:3620553</t>
  </si>
  <si>
    <t>The biology and clinical potential of circulating tumor cells</t>
  </si>
  <si>
    <t>Lozar T, Gersak K, Cemazar M, Kuhar CG, Jesenko T.</t>
  </si>
  <si>
    <t>Radiol Oncol. 2019 May 8;53(2):131-147. doi: 10.2478/raon-2019-0024.</t>
  </si>
  <si>
    <t>Lozar T</t>
  </si>
  <si>
    <t>Radiol Oncol</t>
  </si>
  <si>
    <t>PMC6572494</t>
  </si>
  <si>
    <t>10.2478/raon-2019-0024</t>
  </si>
  <si>
    <t>Enhanced biofilm formation by Escherichia coli LPS mutants defective in Hep biosynthesis</t>
  </si>
  <si>
    <t>Nakao R, Ramstedt M, Wai SN, Uhlin BE.</t>
  </si>
  <si>
    <t>PLoS One. 2012;7(12):e51241. doi: 10.1371/journal.pone.0051241. Epub 2012 Dec 28.</t>
  </si>
  <si>
    <t>Nakao R</t>
  </si>
  <si>
    <t>PMC3532297</t>
  </si>
  <si>
    <t>Kim JW, Wieckowski E, Taylor DD, Reichert TE, Watkins S, Whiteside TL.</t>
  </si>
  <si>
    <t>Clin Cancer Res. 2005 Feb 1;11(3):1010-20.</t>
  </si>
  <si>
    <t>Kim JW</t>
  </si>
  <si>
    <t>Impact of Non-Coding RNAs on Chemotherapeutic Resistance in Oral Cancer</t>
  </si>
  <si>
    <t>Yamaguchi K, Yamamoto T, Chikuda J, Shirota T, Yamamoto Y.</t>
  </si>
  <si>
    <t>Biomolecules. 2022 Feb 9;12(2):284. doi: 10.3390/biom12020284.</t>
  </si>
  <si>
    <t>Yamaguchi K</t>
  </si>
  <si>
    <t>PMC8961659</t>
  </si>
  <si>
    <t>10.3390/biom12020284</t>
  </si>
  <si>
    <t>Aptamers targeting amyloidogenic proteins and their emerging role in neurodegenerative diseases</t>
  </si>
  <si>
    <t>Murakami K, Izuo N, Bitan G.</t>
  </si>
  <si>
    <t>J Biol Chem. 2022 Jan;298(1):101478. doi: 10.1016/j.jbc.2021.101478. Epub 2021 Dec 9.</t>
  </si>
  <si>
    <t>Murakami K</t>
  </si>
  <si>
    <t>PMC8728582</t>
  </si>
  <si>
    <t>10.1016/j.jbc.2021.101478</t>
  </si>
  <si>
    <t>Andrianova IA, Ponomareva AA, Mordakhanova ER, Le Minh G, Daminova AG, Nevzorova TA, Rauova L, Litvinov RI, Weisel JW.</t>
  </si>
  <si>
    <t>J Autoimmun. 2020 Feb;107:102355. doi: 10.1016/j.jaut.2019.102355. Epub 2019 Nov 12.</t>
  </si>
  <si>
    <t>Andrianova IA</t>
  </si>
  <si>
    <t>Identification and analysis of an Autographa californica nuclear polyhedrosis virus structural protein of the occlusion-derived virus envelope: ODV-E56</t>
  </si>
  <si>
    <t>Braunagel SC, Elton DM, Ma H, Summers MD.</t>
  </si>
  <si>
    <t>Virology. 1996 Mar 1;217(1):97-110. doi: 10.1006/viro.1996.0097.</t>
  </si>
  <si>
    <t>10.1006/viro.1996.0097</t>
  </si>
  <si>
    <t>Intergenic RNA mainly derives from nascent transcripts of known genes</t>
  </si>
  <si>
    <t>Agostini F, Zagalak J, Attig J, Ule J, Luscombe NM.</t>
  </si>
  <si>
    <t>Genome Biol. 2021 May 5;22(1):136. doi: 10.1186/s13059-021-02350-x.</t>
  </si>
  <si>
    <t>Agostini F</t>
  </si>
  <si>
    <t>Genome Biol</t>
  </si>
  <si>
    <t>PMC8097831</t>
  </si>
  <si>
    <t>10.1186/s13059-021-02350-x</t>
  </si>
  <si>
    <t>Secretion and assembly of zona pellucida glycoproteins by growing mouse oocytes microinjected with epitope-tagged cDNAs for mZP2 and mZP3</t>
  </si>
  <si>
    <t>Qi H, Williams Z, Wassarman PM.</t>
  </si>
  <si>
    <t>Mol Biol Cell. 2002 Feb;13(2):530-41. doi: 10.1091/mbc.01-09-0440.</t>
  </si>
  <si>
    <t>Qi H</t>
  </si>
  <si>
    <t>PMC65647</t>
  </si>
  <si>
    <t>10.1091/mbc.01-09-0440</t>
  </si>
  <si>
    <t>Production and mechanism of secretion of interleukin-1beta from the marine fish gilthead seabream</t>
  </si>
  <si>
    <t>Pelegrín P, Chaves-Pozo E, Mulero V, Meseguer J.</t>
  </si>
  <si>
    <t>Dev Comp Immunol. 2004 Mar;28(3):229-37. doi: 10.1016/j.dci.2003.08.002.</t>
  </si>
  <si>
    <t>Pelegrín P</t>
  </si>
  <si>
    <t>Fail-safe transcriptional termination for protein-coding genes in S. cerevisiae</t>
  </si>
  <si>
    <t>Rondón AG, Mischo HE, Kawauchi J, Proudfoot NJ.</t>
  </si>
  <si>
    <t>Mol Cell. 2009 Oct 9;36(1):88-98. doi: 10.1016/j.molcel.2009.07.028.</t>
  </si>
  <si>
    <t>Rondón AG</t>
  </si>
  <si>
    <t>PMC2779338</t>
  </si>
  <si>
    <t>10.1016/j.molcel.2009.07.028</t>
  </si>
  <si>
    <t>Global role for polyadenylation-assisted nuclear RNA degradation in posttranscriptional gene silencing</t>
  </si>
  <si>
    <t>Wang SW, Stevenson AL, Kearsey SE, Watt S, Bähler J.</t>
  </si>
  <si>
    <t>Mol Cell Biol. 2008 Jan;28(2):656-65. doi: 10.1128/MCB.01531-07. Epub 2007 Nov 19.</t>
  </si>
  <si>
    <t>Wang SW</t>
  </si>
  <si>
    <t>PMC2223409</t>
  </si>
  <si>
    <t>10.1128/MCB.01531-07</t>
  </si>
  <si>
    <t>Functional analysis and intracellular localization of the human menkes protein (MNK) stably expressed from a cDNA construct in Chinese hamster ovary cells (CHO-K1)</t>
  </si>
  <si>
    <t>La Fontaine S, Firth SD, Lockhart PJ, Brooks H, Parton RG, Camakaris J, Mercer JF.</t>
  </si>
  <si>
    <t>Hum Mol Genet. 1998 Aug;7(8):1293-300. doi: 10.1093/hmg/7.8.1293.</t>
  </si>
  <si>
    <t>La Fontaine S</t>
  </si>
  <si>
    <t>10.1093/hmg/7.8.1293</t>
  </si>
  <si>
    <t>Identification and characterization of the gene encoding a second proteolipid subunit of human vacuolar H(+)-ATPase (ATP6F)</t>
  </si>
  <si>
    <t>Nishigori H, Yamada S, Tomura H, Fernald AA, Le Beau MM, Takeuchi T, Takeda J.</t>
  </si>
  <si>
    <t>Genomics. 1998 Jun 1;50(2):222-8. doi: 10.1006/geno.1998.5310.</t>
  </si>
  <si>
    <t>Nishigori H</t>
  </si>
  <si>
    <t>Genomics</t>
  </si>
  <si>
    <t>10.1006/geno.1998.5310</t>
  </si>
  <si>
    <t>Identification of altered exosomal microRNAs and mRNAs in Alzheimer's disease</t>
  </si>
  <si>
    <t>Su L, Li R, Zhang Z, Liu J, Du J, Wei H.</t>
  </si>
  <si>
    <t>Ageing Res Rev. 2022 Jan;73:101497. doi: 10.1016/j.arr.2021.101497. Epub 2021 Oct 26.</t>
  </si>
  <si>
    <t>Su L</t>
  </si>
  <si>
    <t>10.1016/j.arr.2021.101497</t>
  </si>
  <si>
    <t>Methods for assessing feline immunodeficiency virus infection, infectivity and purification</t>
  </si>
  <si>
    <t>Ammersbach M, Bienzle D.</t>
  </si>
  <si>
    <t>Vet Immunol Immunopathol. 2011 Oct 15;143(3-4):202-14. doi: 10.1016/j.vetimm.2011.06.004. Epub 2011 Jun 12.</t>
  </si>
  <si>
    <t>Ammersbach M</t>
  </si>
  <si>
    <t>Vet Immunol Immunopathol</t>
  </si>
  <si>
    <t>10.1016/j.vetimm.2011.06.004</t>
  </si>
  <si>
    <t>Elastin: relation of protein and gene structure to disease</t>
  </si>
  <si>
    <t>Rosenbloom J.</t>
  </si>
  <si>
    <t>Lab Invest. 1984 Dec;51(6):605-23.</t>
  </si>
  <si>
    <t>Rosenbloom J</t>
  </si>
  <si>
    <t>Lab Invest</t>
  </si>
  <si>
    <t>Stimulation of phosphatidylserine biosynthesis and facilitation of UV-induced apoptosis in Chinese hamster ovary cells overexpressing phospholipid scramblase 1</t>
  </si>
  <si>
    <t>Yu A, McMaster CR, Byers DM, Ridgway ND, Cook HW.</t>
  </si>
  <si>
    <t>J Biol Chem. 2003 Mar 14;278(11):9706-14. doi: 10.1074/jbc.M204614200. Epub 2002 Dec 30.</t>
  </si>
  <si>
    <t>Yu A</t>
  </si>
  <si>
    <t>10.1074/jbc.M204614200</t>
  </si>
  <si>
    <t>Cloning and characterization of a novel insulin-regulated membrane aminopeptidase from Glut4 vesicles</t>
  </si>
  <si>
    <t>Keller SR, Scott HM, Mastick CC, Aebersold R, Lienhard GE.</t>
  </si>
  <si>
    <t>J Biol Chem. 1995 Oct 6;270(40):23612-8. doi: 10.1074/jbc.270.40.23612.</t>
  </si>
  <si>
    <t>Keller SR</t>
  </si>
  <si>
    <t>10.1074/jbc.270.40.23612</t>
  </si>
  <si>
    <t>The polymyositis-scleroderma autoantigen interacts with the helix-loop-helix proteins E12 and E47</t>
  </si>
  <si>
    <t>Kho CJ, Huggins GS, Endege WO, Patterson C, Jain MK, Lee ME, Haber E.</t>
  </si>
  <si>
    <t>J Biol Chem. 1997 May 16;272(20):13426-31. doi: 10.1074/jbc.272.20.13426.</t>
  </si>
  <si>
    <t>Kho CJ</t>
  </si>
  <si>
    <t>10.1074/jbc.272.20.13426</t>
  </si>
  <si>
    <t>Toutfaire M, Bauwens E, Debacq-Chainiaux F.</t>
  </si>
  <si>
    <t>Biochem Pharmacol. 2017 Oct 15;142:1-12. doi: 10.1016/j.bcp.2017.04.011. Epub 2017 Apr 10.</t>
  </si>
  <si>
    <t>Toutfaire M</t>
  </si>
  <si>
    <t>A novel assay identifies transcript elongation roles for the Nup84 complex and RNA processing factors</t>
  </si>
  <si>
    <t>Tous C, Rondón AG, García-Rubio M, González-Aguilera C, Luna R, Aguilera A.</t>
  </si>
  <si>
    <t>EMBO J. 2011 May 18;30(10):1953-64. doi: 10.1038/emboj.2011.109. Epub 2011 Apr 8.</t>
  </si>
  <si>
    <t>Tous C</t>
  </si>
  <si>
    <t>PMC3098481</t>
  </si>
  <si>
    <t>10.1038/emboj.2011.109</t>
  </si>
  <si>
    <t>Implementing Liquid Biopsies in Clinical Trials: State of Affairs, Opportunities, and Challenges</t>
  </si>
  <si>
    <t>Lustberg MB, Stover DG, Chalmers JJ.</t>
  </si>
  <si>
    <t>Cancer J. 2018 Mar/Apr;24(2):61-64. doi: 10.1097/PPO.0000000000000309.</t>
  </si>
  <si>
    <t>Lustberg MB</t>
  </si>
  <si>
    <t>PMC5880324</t>
  </si>
  <si>
    <t>NIHMS938589</t>
  </si>
  <si>
    <t>10.1097/PPO.0000000000000309</t>
  </si>
  <si>
    <t>Duplication of 10 nucleotides in the erythroid band 3 (AE1) gene in a kindred with hereditary spherocytosis and band 3 protein deficiency (band 3PRAGUE)</t>
  </si>
  <si>
    <t>Jarolim P, Rubin HL, Liu SC, Cho MR, Brabec V, Derick LH, Yi SJ, Saad ST, Alper S, Brugnara C, et al.</t>
  </si>
  <si>
    <t>J Clin Invest. 1994 Jan;93(1):121-30. doi: 10.1172/JCI116935.</t>
  </si>
  <si>
    <t>Jarolim P</t>
  </si>
  <si>
    <t>PMC293744</t>
  </si>
  <si>
    <t>Herpes simplex virus type 1 glycoprotein K is not essential for infectious virus production in actively replicating cells but is required for efficient envelopment and translocation of infectious virions from the cytoplasm to the extracellular space</t>
  </si>
  <si>
    <t>Jayachandra S, Baghian A, Kousoulas KG.</t>
  </si>
  <si>
    <t>J Virol. 1997 Jul;71(7):5012-24. doi: 10.1128/JVI.71.7.5012-5024.1997.</t>
  </si>
  <si>
    <t>Jayachandra S</t>
  </si>
  <si>
    <t>PMC191734</t>
  </si>
  <si>
    <t>10.1128/JVI.71.7.5012-5024.1997</t>
  </si>
  <si>
    <t>Cell surface proteoglycans modulate net synthesis and secretion of macrophage apolipoprotein E</t>
  </si>
  <si>
    <t>Lucas M, Mazzone T.</t>
  </si>
  <si>
    <t>J Biol Chem. 1996 Jun 7;271(23):13454-60. doi: 10.1074/jbc.271.23.13454.</t>
  </si>
  <si>
    <t>Lucas M</t>
  </si>
  <si>
    <t>10.1074/jbc.271.23.13454</t>
  </si>
  <si>
    <t>Interaction profiling identifies the human nuclear exosome targeting complex</t>
  </si>
  <si>
    <t>Lubas M, Christensen MS, Kristiansen MS, Domanski M, Falkenby LG, Lykke-Andersen S, Andersen JS, Dziembowski A, Jensen TH.</t>
  </si>
  <si>
    <t>Mol Cell. 2011 Aug 19;43(4):624-37. doi: 10.1016/j.molcel.2011.06.028.</t>
  </si>
  <si>
    <t>Lubas M</t>
  </si>
  <si>
    <t>10.1016/j.molcel.2011.06.028</t>
  </si>
  <si>
    <t>Reduced RNA turnover as a driver of cellular senescence</t>
  </si>
  <si>
    <t>Mullani N, Porozhan Y, Mangelinck A, Rachez C, Costallat M, Batsché E, Goodhardt M, Cenci G, Mann C, Muchardt C.</t>
  </si>
  <si>
    <t>Life Sci Alliance. 2021 Jan 14;4(3):e202000809. doi: 10.26508/lsa.202000809. Print 2021 Mar.</t>
  </si>
  <si>
    <t>Mullani N</t>
  </si>
  <si>
    <t>PMC7812316</t>
  </si>
  <si>
    <t>10.26508/lsa.202000809</t>
  </si>
  <si>
    <t>Differential requirements for FGF3, FGF8 and FGF10 during inner ear development</t>
  </si>
  <si>
    <t>Zelarayan LC, Vendrell V, Alvarez Y, Domínguez-Frutos E, Theil T, Alonso MT, Maconochie M, Schimmang T.</t>
  </si>
  <si>
    <t>Dev Biol. 2007 Aug 15;308(2):379-91. doi: 10.1016/j.ydbio.2007.05.033. Epub 2007 Jun 2.</t>
  </si>
  <si>
    <t>Zelarayan LC</t>
  </si>
  <si>
    <t>10.1016/j.ydbio.2007.05.033</t>
  </si>
  <si>
    <t>Breakthrough Technologies Reshape the Ewing Sarcoma Molecular Landscape</t>
  </si>
  <si>
    <t>Salguero-Aranda C, Amaral AT, Olmedo-Pelayo J, Diaz-Martin J, Álava E.</t>
  </si>
  <si>
    <t>Cells. 2020 Mar 26;9(4):804. doi: 10.3390/cells9040804.</t>
  </si>
  <si>
    <t>Salguero-Aranda C</t>
  </si>
  <si>
    <t>PMC7226764</t>
  </si>
  <si>
    <t>10.3390/cells9040804</t>
  </si>
  <si>
    <t>Potential clinical utility of liquid biopsies in ovarian cancer</t>
  </si>
  <si>
    <t>Zhu JW, Charkhchi P, Akbari MR.</t>
  </si>
  <si>
    <t>Mol Cancer. 2022 May 11;21(1):114. doi: 10.1186/s12943-022-01588-8.</t>
  </si>
  <si>
    <t>Zhu JW</t>
  </si>
  <si>
    <t>PMC9092780</t>
  </si>
  <si>
    <t>10.1186/s12943-022-01588-8</t>
  </si>
  <si>
    <t>Cellular microvesicle pathways can be targeted to transfer genetic information between non-immune cells</t>
  </si>
  <si>
    <t>Skinner AM, O'Neill SL, Kurre P.</t>
  </si>
  <si>
    <t>PLoS One. 2009 Jul 13;4(7):e6219. doi: 10.1371/journal.pone.0006219.</t>
  </si>
  <si>
    <t>Skinner AM</t>
  </si>
  <si>
    <t>PMC2704871</t>
  </si>
  <si>
    <t>10.1371/journal.pone.0006219</t>
  </si>
  <si>
    <t>Vignolini T, Macera L, Antonelli G, Pistello M, Maggi F, Giannecchini S.</t>
  </si>
  <si>
    <t>Virus Res. 2016 Jun 2;217:18-22. doi: 10.1016/j.virusres.2016.03.003. Epub 2016 Mar 6.</t>
  </si>
  <si>
    <t>Vignolini T</t>
  </si>
  <si>
    <t>Clathrin heavy chain functions in sorting and secretion of lysosomal enzymes in Dictyostelium discoideum</t>
  </si>
  <si>
    <t>Ruscetti T, Cardelli JA, Niswonger ML, O'Halloran TJ.</t>
  </si>
  <si>
    <t>J Cell Biol. 1994 Jul;126(2):343-52. doi: 10.1083/jcb.126.2.343.</t>
  </si>
  <si>
    <t>Ruscetti T</t>
  </si>
  <si>
    <t>PMC2200034</t>
  </si>
  <si>
    <t>10.1083/jcb.126.2.343</t>
  </si>
  <si>
    <t>van der Ree MH, Jansen L, Kruize Z, van Nuenen AC, van Dort KA, Takkenberg RB, Reesink HW, Kootstra NA.</t>
  </si>
  <si>
    <t>J Infect Dis. 2017 May 1;215(9):1421-1429. doi: 10.1093/infdis/jix140.</t>
  </si>
  <si>
    <t>van der Ree MH</t>
  </si>
  <si>
    <t>Id Boufker H, Lagneaux L, Fayyad-Kazan H, Badran B, Najar M, Wiedig M, Ghanem G, Laurent G, Body JJ, Journé F.</t>
  </si>
  <si>
    <t>Bone. 2011 Dec;49(6):1219-31. doi: 10.1016/j.bone.2011.08.013. Epub 2011 Aug 26.</t>
  </si>
  <si>
    <t>Id Boufker H</t>
  </si>
  <si>
    <t>Future perspectives of uveal melanoma blood based biomarkers</t>
  </si>
  <si>
    <t>Beasley AB, Chen FK, Isaacs TW, Gray ES.</t>
  </si>
  <si>
    <t>Br J Cancer. 2022 Jun;126(11):1511-1528. doi: 10.1038/s41416-022-01723-8. Epub 2022 Feb 21.</t>
  </si>
  <si>
    <t>Beasley AB</t>
  </si>
  <si>
    <t>PMC9130512</t>
  </si>
  <si>
    <t>10.1038/s41416-022-01723-8</t>
  </si>
  <si>
    <t>Metabolic regulation of IMD2 transcription and an unusual DNA element that generates short transcripts</t>
  </si>
  <si>
    <t>Kopcewicz KA, O'Rourke TW, Reines D.</t>
  </si>
  <si>
    <t>Mol Cell Biol. 2007 Apr;27(8):2821-9. doi: 10.1128/MCB.02159-06. Epub 2007 Feb 12.</t>
  </si>
  <si>
    <t>Kopcewicz KA</t>
  </si>
  <si>
    <t>PMC1899919</t>
  </si>
  <si>
    <t>10.1128/MCB.02159-06</t>
  </si>
  <si>
    <t>The scavenger mRNA decapping enzyme DcpS is a member of the HIT family of pyrophosphatases</t>
  </si>
  <si>
    <t>Liu H, Rodgers ND, Jiao X, Kiledjian M.</t>
  </si>
  <si>
    <t>EMBO J. 2002 Sep 2;21(17):4699-708. doi: 10.1093/emboj/cdf448.</t>
  </si>
  <si>
    <t>PMC126188</t>
  </si>
  <si>
    <t>10.1093/emboj/cdf448</t>
  </si>
  <si>
    <t>Frye BC, Halfter S, Djudjaj S, Muehlenberg P, Weber S, Raffetseder U, En-Nia A, Knott H, Baron JM, Dooley S, Bernhagen J, Mertens PR.</t>
  </si>
  <si>
    <t>EMBO Rep. 2009 Jul;10(7):783-9. doi: 10.1038/embor.2009.81. Epub 2009 May 29.</t>
  </si>
  <si>
    <t>Frye BC</t>
  </si>
  <si>
    <t>PMC2690452</t>
  </si>
  <si>
    <t>Mechanism of cell entry and toxicity of an affinity- purified lectin from Ricinus communis and its differential effects on normal and virus-transformed fibroblasts</t>
  </si>
  <si>
    <t>Nicolson GL, Lacorbiere M, Hunter TR.</t>
  </si>
  <si>
    <t>Cancer Res. 1975 Jan;35(1):144-55.</t>
  </si>
  <si>
    <t>Nicolson GL</t>
  </si>
  <si>
    <t>The herpes simplex virus type 1 glycoprotein D (gD) cytoplasmic terminus and full-length gE are not essential and do not function in a redundant manner for cytoplasmic virion envelopment and egress</t>
  </si>
  <si>
    <t>Lee HC, Chouljenko VN, Chouljenko DV, Boudreaux MJ, Kousoulas KG.</t>
  </si>
  <si>
    <t>J Virol. 2009 Jun;83(12):6115-24. doi: 10.1128/JVI.00128-09. Epub 2009 Apr 8.</t>
  </si>
  <si>
    <t>Lee HC</t>
  </si>
  <si>
    <t>PMC2687392</t>
  </si>
  <si>
    <t>10.1128/JVI.00128-09</t>
  </si>
  <si>
    <t>Endothelin-converting enzymes degrade intracellular β-amyloid produced within the endosomal/lysosomal pathway and autophagosomes</t>
  </si>
  <si>
    <t>Pacheco-Quinto J, Eckman EA.</t>
  </si>
  <si>
    <t>J Biol Chem. 2013 Feb 22;288(8):5606-15. doi: 10.1074/jbc.M112.422964. Epub 2013 Jan 2.</t>
  </si>
  <si>
    <t>Pacheco-Quinto J</t>
  </si>
  <si>
    <t>PMC3581387</t>
  </si>
  <si>
    <t>10.1074/jbc.M112.422964</t>
  </si>
  <si>
    <t>A pyrophosphatase activity associated with purified HIV-1 particles</t>
  </si>
  <si>
    <t>Ducloux C, Mougel M, Goldschmidt V, Didierlaurent L, Marquet R, Isel C.</t>
  </si>
  <si>
    <t>Biochimie. 2012 Dec;94(12):2498-507. doi: 10.1016/j.biochi.2012.06.025. Epub 2012 Jul 3.</t>
  </si>
  <si>
    <t>Ducloux C</t>
  </si>
  <si>
    <t>Biochimie</t>
  </si>
  <si>
    <t>10.1016/j.biochi.2012.06.025</t>
  </si>
  <si>
    <t>Utility of Liquid Biopsy Analysis in Detection of Hepatocellular Carcinoma, Determination of Prognosis, and Disease Monitoring: A Systematic Review</t>
  </si>
  <si>
    <t>Chen VL, Xu D, Wicha MS, Lok AS, Parikh ND.</t>
  </si>
  <si>
    <t>Clin Gastroenterol Hepatol. 2020 Dec;18(13):2879-2902.e9. doi: 10.1016/j.cgh.2020.04.019. Epub 2020 Apr 11.</t>
  </si>
  <si>
    <t>Chen VL</t>
  </si>
  <si>
    <t>Clin Gastroenterol Hepatol</t>
  </si>
  <si>
    <t>PMC7554087</t>
  </si>
  <si>
    <t>NIHMS1584208</t>
  </si>
  <si>
    <t>10.1016/j.cgh.2020.04.019</t>
  </si>
  <si>
    <t>Guidi R, Levi L, Rouf SF, Puiac S, Rhen M, Frisan T.</t>
  </si>
  <si>
    <t>Cell Microbiol. 2013 Dec;15(12):2034-50. doi: 10.1111/cmi.12172. Epub 2013 Aug 11.</t>
  </si>
  <si>
    <t>Guidi R</t>
  </si>
  <si>
    <t>Alix (ALG-2-interacting protein X), a protein involved in apoptosis, binds to endophilins and induces cytoplasmic vacuolization</t>
  </si>
  <si>
    <t>Chatellard-Causse C, Blot B, Cristina N, Torch S, Missotten M, Sadoul R.</t>
  </si>
  <si>
    <t>J Biol Chem. 2002 Aug 9;277(32):29108-15. doi: 10.1074/jbc.M204019200. Epub 2002 May 28.</t>
  </si>
  <si>
    <t>Chatellard-Causse C</t>
  </si>
  <si>
    <t>10.1074/jbc.M204019200</t>
  </si>
  <si>
    <t>Acetylated histones contribute to the immunostimulatory potential of neutrophil extracellular traps in systemic lupus erythematosus</t>
  </si>
  <si>
    <t>Pieterse E, Hofstra J, Berden J, Herrmann M, Dieker J, van der Vlag J.</t>
  </si>
  <si>
    <t>Clin Exp Immunol. 2015 Jan;179(1):68-74. doi: 10.1111/cei.12359.</t>
  </si>
  <si>
    <t>Pieterse E</t>
  </si>
  <si>
    <t>PMC4260898</t>
  </si>
  <si>
    <t>10.1111/cei.12359</t>
  </si>
  <si>
    <t>Establishment and characterization of two divergent cell lines derived from a human chromophobe renal cell carcinoma</t>
  </si>
  <si>
    <t>Gerharz CD, Moll R, Störkel S, Ramp U, Hildebrandt B, Molsberger G, Koldovsky P, Gabbert HE.</t>
  </si>
  <si>
    <t>Am J Pathol. 1995 Apr;146(4):953-62.</t>
  </si>
  <si>
    <t>Gerharz CD</t>
  </si>
  <si>
    <t>PMC1869263</t>
  </si>
  <si>
    <t>Visualization of gap junction mobility in living cells</t>
  </si>
  <si>
    <t>Windoffer R, Beile B, Leibold A, Thomas S, Wilhelm U, Leube RE.</t>
  </si>
  <si>
    <t>Cell Tissue Res. 2000 Mar;299(3):347-62. doi: 10.1007/s004419900162.</t>
  </si>
  <si>
    <t>Windoffer R</t>
  </si>
  <si>
    <t>Cell Tissue Res</t>
  </si>
  <si>
    <t>10.1007/s004419900162</t>
  </si>
  <si>
    <t>Pericentromeric repetitive ncRNA regulates chromatin interaction and inflammatory gene expression</t>
  </si>
  <si>
    <t>Miyata K, Takahashi A.</t>
  </si>
  <si>
    <t>Nucleus. 2022 Dec;13(1):74-78. doi: 10.1080/19491034.2022.2034269.</t>
  </si>
  <si>
    <t>Nucleus</t>
  </si>
  <si>
    <t>PMC8855862</t>
  </si>
  <si>
    <t>10.1080/19491034.2022.2034269</t>
  </si>
  <si>
    <t>Traumatic Brain Injury-Induced Acute Lung Injury: Evidence for Activation and Inhibition of a Neural-Respiratory-Inflammasome Axis</t>
  </si>
  <si>
    <t>Kerr NA, de Rivero Vaccari JP, Abbassi S, Kaur H, Zambrano R, Wu S, Dietrich WD, Keane RW.</t>
  </si>
  <si>
    <t>J Neurotrauma. 2018 Sep 1;35(17):2067-2076. doi: 10.1089/neu.2017.5430. Epub 2018 Jun 8.</t>
  </si>
  <si>
    <t>Kerr NA</t>
  </si>
  <si>
    <t>PMC6098413</t>
  </si>
  <si>
    <t>10.1089/neu.2017.5430</t>
  </si>
  <si>
    <t>Nerlich A, Mieth M, Letsiou E, Fatykhova D, Zscheppang K, Imai-Matsushima A, Meyer TF, Paasch L, Mitchell TJ, Tönnies M, Bauer TT, Schneider P, Neudecker J, Rückert JC, Eggeling S, Schimek M, Witzenrath M, Suttorp N, Hippenstiel S, Hocke AC.</t>
  </si>
  <si>
    <t>Sci Rep. 2018 Jan 9;8(1):182. doi: 10.1038/s41598-017-18468-7.</t>
  </si>
  <si>
    <t>Nerlich A</t>
  </si>
  <si>
    <t>PMC5760655</t>
  </si>
  <si>
    <t>An evolutionarily conserved fission yeast protein, Ned1, implicated in normal nuclear morphology and chromosome stability, interacts with Dis3, Pim1/RCC1 and an essential nucleoporin</t>
  </si>
  <si>
    <t>Tange Y, Hirata A, Niwa O.</t>
  </si>
  <si>
    <t>J Cell Sci. 2002 Nov 15;115(Pt 22):4375-85. doi: 10.1242/jcs.00135.</t>
  </si>
  <si>
    <t>Tange Y</t>
  </si>
  <si>
    <t>10.1242/jcs.00135</t>
  </si>
  <si>
    <t>Synaptotagmin V and IX isoforms control Ca2+ -dependent insulin exocytosis</t>
  </si>
  <si>
    <t>Iezzi M, Kouri G, Fukuda M, Wollheim CB.</t>
  </si>
  <si>
    <t>J Cell Sci. 2004 Jul 1;117(Pt 15):3119-27. doi: 10.1242/jcs.01179. Epub 2004 Jun 9.</t>
  </si>
  <si>
    <t>Iezzi M</t>
  </si>
  <si>
    <t>10.1242/jcs.01179</t>
  </si>
  <si>
    <t>Internalization of gonadotropin-releasing hormone receptors (GnRHRs): does arrestin binding to the C-terminal tail target GnRHRs for dynamin-dependent internalization?</t>
  </si>
  <si>
    <t>Hislop JN, Caunt CJ, Sedgley KR, Kelly E, Mundell S, Green LD, McArdle CA.</t>
  </si>
  <si>
    <t>J Mol Endocrinol. 2005 Aug;35(1):177-89. doi: 10.1677/jme.1.01809.</t>
  </si>
  <si>
    <t>Hislop JN</t>
  </si>
  <si>
    <t>J Mol Endocrinol</t>
  </si>
  <si>
    <t>10.1677/jme.1.01809</t>
  </si>
  <si>
    <t>Genetic analyses led to the discovery of a super-active mutant of the RNA polymerase I</t>
  </si>
  <si>
    <t>Darrière T, Pilsl M, Sarthou MK, Chauvier A, Genty T, Audibert S, Dez C, Léger-Silvestre I, Normand C, Henras AK, Kwapisz M, Calvo O, Fernández-Tornero C, Tschochner H, Gadal O.</t>
  </si>
  <si>
    <t>PLoS Genet. 2019 May 28;15(5):e1008157. doi: 10.1371/journal.pgen.1008157. eCollection 2019 May.</t>
  </si>
  <si>
    <t>Darrière T</t>
  </si>
  <si>
    <t>PMC6555540</t>
  </si>
  <si>
    <t>10.1371/journal.pgen.1008157</t>
  </si>
  <si>
    <t>alpha v beta3-dependent cross-presentation of matrix metalloproteinase-2 by melanoma cells gives rise to a new tumor antigen</t>
  </si>
  <si>
    <t>Godefroy E, Moreau-Aubry A, Diez E, Dreno B, Jotereau F, Guilloux Y.</t>
  </si>
  <si>
    <t>J Exp Med. 2005 Jul 4;202(1):61-72. doi: 10.1084/jem.20042138.</t>
  </si>
  <si>
    <t>Godefroy E</t>
  </si>
  <si>
    <t>PMC2212908</t>
  </si>
  <si>
    <t>10.1084/jem.20042138</t>
  </si>
  <si>
    <t>Structure of the RBM7-ZCCHC8 core of the NEXT complex reveals connections to splicing factors</t>
  </si>
  <si>
    <t>Falk S, Finogenova K, Melko M, Benda C, Lykke-Andersen S, Jensen TH, Conti E.</t>
  </si>
  <si>
    <t>Nat Commun. 2016 Dec 1;7:13573. doi: 10.1038/ncomms13573.</t>
  </si>
  <si>
    <t>Falk S</t>
  </si>
  <si>
    <t>PMC5146272</t>
  </si>
  <si>
    <t>10.1038/ncomms13573</t>
  </si>
  <si>
    <t>SV2C is a synaptic vesicle protein with an unusually restricted localization: anatomy of a synaptic vesicle protein family</t>
  </si>
  <si>
    <t>Janz R, Südhof TC.</t>
  </si>
  <si>
    <t>Neuroscience. 1999;94(4):1279-90. doi: 10.1016/s0306-4522(99)00370-x.</t>
  </si>
  <si>
    <t>Janz R</t>
  </si>
  <si>
    <t>Neuroscience</t>
  </si>
  <si>
    <t>10.1016/s0306-4522(99)00370-x</t>
  </si>
  <si>
    <t>Novel rabphilin-3-like protein associates with insulin-containing granules in pancreatic beta cells</t>
  </si>
  <si>
    <t>Wang J, Takeuchi T, Yokota H, Izumi T.</t>
  </si>
  <si>
    <t>J Biol Chem. 1999 Oct 1;274(40):28542-8. doi: 10.1074/jbc.274.40.28542.</t>
  </si>
  <si>
    <t>10.1074/jbc.274.40.28542</t>
  </si>
  <si>
    <t>Oldrini B, Vaquero-Siguero N, Mu Q, Kroon P, Zhang Y, Galán-Ganga M, Bao Z, Wang Z, Liu H, Sa JK, Zhao J, Kim H, Rodriguez-Perales S, Nam DH, Verhaak RGW, Rabadan R, Jiang T, Wang J, Squatrito M.</t>
  </si>
  <si>
    <t>Nat Commun. 2020 Aug 4;11(1):3883. doi: 10.1038/s41467-020-17717-0.</t>
  </si>
  <si>
    <t>Oldrini B</t>
  </si>
  <si>
    <t>PMC7403430</t>
  </si>
  <si>
    <t>Taylor DD, Gerçel-Taylor C.</t>
  </si>
  <si>
    <t>Br J Cancer. 2005 Jan 31;92(2):305-11. doi: 10.1038/sj.bjc.6602316.</t>
  </si>
  <si>
    <t>Taylor DD</t>
  </si>
  <si>
    <t>PMC2361848</t>
  </si>
  <si>
    <t>Multivesicular body sorting and the exosomal pathway are required for the release of rat hepatitis E virus from infected cells</t>
  </si>
  <si>
    <t>Primadharsini PP, Nagashima S, Takahashi M, Kobayashi T, Nishiyama T, Nishizawa T, Yasuda J, Mulyanto, Okamoto H.</t>
  </si>
  <si>
    <t>Virus Res. 2020 Mar;278:197868. doi: 10.1016/j.virusres.2020.197868. Epub 2020 Jan 18.</t>
  </si>
  <si>
    <t>Primadharsini PP</t>
  </si>
  <si>
    <t>10.1016/j.virusres.2020.197868</t>
  </si>
  <si>
    <t>CML28 is a broadly immunogenic antigen, which is overexpressed in tumor cells</t>
  </si>
  <si>
    <t>Yang XF, Wu CJ, Chen L, Alyea EP, Canning C, Kantoff P, Soiffer RJ, Dranoff G, Ritz J.</t>
  </si>
  <si>
    <t>Cancer Res. 2002 Oct 1;62(19):5517-5522.</t>
  </si>
  <si>
    <t>Yang XF</t>
  </si>
  <si>
    <t>PMC4762257</t>
  </si>
  <si>
    <t>NIHMS759631</t>
  </si>
  <si>
    <t>Construction and expression of dendritic cell nucleic acid vaccine containing CML28 gene in human dendritic cells</t>
  </si>
  <si>
    <t>Zhang DH, Zhou HS, Wang YY, Liu WL, Huang ZQ, Tan H.</t>
  </si>
  <si>
    <t>Zhongguo Shi Yan Xue Ye Xue Za Zhi. 2005 Aug;13(4):631-6.</t>
  </si>
  <si>
    <t>Zhang DH</t>
  </si>
  <si>
    <t>Zhongguo Shi Yan Xue Ye Xue Za Zhi</t>
  </si>
  <si>
    <t>Recombinant Hepatitis E Viruses Harboring Tags in the ORF1 Protein</t>
  </si>
  <si>
    <t>Szkolnicka D, Pollán A, Da Silva N, Oechslin N, Gouttenoire J, Moradpour D.</t>
  </si>
  <si>
    <t>J Virol. 2019 Sep 12;93(19):e00459-19. doi: 10.1128/JVI.00459-19. Print 2019 Oct 1.</t>
  </si>
  <si>
    <t>Szkolnicka D</t>
  </si>
  <si>
    <t>PMC6744232</t>
  </si>
  <si>
    <t>10.1128/JVI.00459-19</t>
  </si>
  <si>
    <t>Tengda L, Shuping L, Mingli G, Jie G, Yun L, Weiwei Z, Anmei D.</t>
  </si>
  <si>
    <t>Melanoma Res. 2018 Aug;28(4):295-303. doi: 10.1097/CMR.0000000000000450.</t>
  </si>
  <si>
    <t>Tengda L</t>
  </si>
  <si>
    <t>Melanoma Res</t>
  </si>
  <si>
    <t>Differentiation-associated Na+-dependent inorganic phosphate cotransporter (DNPI) is a vesicular glutamate transporter in endocrine glutamatergic systems</t>
  </si>
  <si>
    <t>Hayashi M, Otsuka M, Morimoto R, Hirota S, Yatsushiro S, Takeda J, Yamamoto A, Moriyama Y.</t>
  </si>
  <si>
    <t>J Biol Chem. 2001 Nov 16;276(46):43400-6. doi: 10.1074/jbc.M106244200. Epub 2001 Sep 10.</t>
  </si>
  <si>
    <t>Hayashi M</t>
  </si>
  <si>
    <t>10.1074/jbc.M106244200</t>
  </si>
  <si>
    <t>A source of the single-stranded DNA substrate for activation-induced deaminase during somatic hypermutation</t>
  </si>
  <si>
    <t>Wang X, Fan M, Kalis S, Wei L, Scharff MD.</t>
  </si>
  <si>
    <t>Nat Commun. 2014 Jun 13;5:4137. doi: 10.1038/ncomms5137.</t>
  </si>
  <si>
    <t>PMC4154566</t>
  </si>
  <si>
    <t>NIHMS596806</t>
  </si>
  <si>
    <t>10.1038/ncomms5137</t>
  </si>
  <si>
    <t>Liquid biopsy: a step closer to transform diagnosis, prognosis and future of cancer treatments</t>
  </si>
  <si>
    <t>Lone SN, Nisar S, Masoodi T, Singh M, Rizwan A, Hashem S, El-Rifai W, Bedognetti D, Batra SK, Haris M, Bhat AA, Macha MA.</t>
  </si>
  <si>
    <t>Mol Cancer. 2022 Mar 18;21(1):79. doi: 10.1186/s12943-022-01543-7.</t>
  </si>
  <si>
    <t>Lone SN</t>
  </si>
  <si>
    <t>PMC8932066</t>
  </si>
  <si>
    <t>10.1186/s12943-022-01543-7</t>
  </si>
  <si>
    <t>PARP inhibitors in advanced prostate cancer: when to use them?</t>
  </si>
  <si>
    <t>Díaz-Mejía N, García-Illescas D, Morales-Barrera R, Suarez C, Planas J, Maldonado X, Carles J, Mateo J.</t>
  </si>
  <si>
    <t>Endocr Relat Cancer. 2021 Jul 15;28(8):T79-T93. doi: 10.1530/ERC-21-0133.</t>
  </si>
  <si>
    <t>Díaz-Mejía N</t>
  </si>
  <si>
    <t>10.1530/ERC-21-0133</t>
  </si>
  <si>
    <t>In vivo expression of transcripts encoding the Glvr-1 phosphate transporter/retrovirus receptor during bone development</t>
  </si>
  <si>
    <t>Palmer G, Zhao J, Bonjour J, Hofstetter W, Caverzasio J.</t>
  </si>
  <si>
    <t>Bone. 1999 Jan;24(1):1-7. doi: 10.1016/s8756-3282(98)00151-3.</t>
  </si>
  <si>
    <t>Palmer G</t>
  </si>
  <si>
    <t>10.1016/s8756-3282(98)00151-3</t>
  </si>
  <si>
    <t>The relevance of contact-independent cell-to-cell transfer of TDP-43 and SOD1 in amyotrophic lateral sclerosis</t>
  </si>
  <si>
    <t>Hanspal MA, Dobson CM, Yerbury JJ, Kumita JR.</t>
  </si>
  <si>
    <t>Biochim Biophys Acta Mol Basis Dis. 2017 Nov;1863(11):2762-2771. doi: 10.1016/j.bbadis.2017.07.007. Epub 2017 Jul 13.</t>
  </si>
  <si>
    <t>Hanspal MA</t>
  </si>
  <si>
    <t>PMC6565888</t>
  </si>
  <si>
    <t>10.1016/j.bbadis.2017.07.007</t>
  </si>
  <si>
    <t>Identification and characterization of rain, a novel Ras-interacting protein with a unique subcellular localization</t>
  </si>
  <si>
    <t>Mitin NY, Ramocki MB, Zullo AJ, Der CJ, Konieczny SF, Taparowsky EJ.</t>
  </si>
  <si>
    <t>J Biol Chem. 2004 May 21;279(21):22353-61. doi: 10.1074/jbc.M312867200. Epub 2004 Mar 18.</t>
  </si>
  <si>
    <t>Mitin NY</t>
  </si>
  <si>
    <t>10.1074/jbc.M312867200</t>
  </si>
  <si>
    <t>Clathrin-mediated endocytosis of Na+,K+-ATPase in response to parathyroid hormone requires ERK-dependent phosphorylation of Ser-11 within the alpha1-subunit</t>
  </si>
  <si>
    <t>Khundmiri SJ, Bertorello AM, Delamere NA, Lederer ED.</t>
  </si>
  <si>
    <t>J Biol Chem. 2004 Apr 23;279(17):17418-27. doi: 10.1074/jbc.M311715200. Epub 2004 Feb 19.</t>
  </si>
  <si>
    <t>Khundmiri SJ</t>
  </si>
  <si>
    <t>10.1074/jbc.M311715200</t>
  </si>
  <si>
    <t>CLC-5 and KIF3B interact to facilitate CLC-5 plasma membrane expression, endocytosis, and microtubular transport: relevance to pathophysiology of Dent's disease</t>
  </si>
  <si>
    <t>Reed AA, Loh NY, Terryn S, Lippiat JD, Partridge C, Galvanovskis J, Williams SE, Jouret F, Wu FT, Courtoy PJ, Nesbit MA, Rorsman P, Devuyst O, Ashcroft FM, Thakker RV.</t>
  </si>
  <si>
    <t>Am J Physiol Renal Physiol. 2010 Feb;298(2):F365-80. doi: 10.1152/ajprenal.00038.2009. Epub 2009 Nov 25.</t>
  </si>
  <si>
    <t>Reed AA</t>
  </si>
  <si>
    <t>PMC2822520</t>
  </si>
  <si>
    <t>10.1152/ajprenal.00038.2009</t>
  </si>
  <si>
    <t>RNAi triggered by specialized machinery silences developmental genes and retrotransposons</t>
  </si>
  <si>
    <t>Yamanaka S, Mehta S, Reyes-Turcu FE, Zhuang F, Fuchs RT, Rong Y, Robb GB, Grewal SI.</t>
  </si>
  <si>
    <t>Nature. 2013 Jan 24;493(7433):557-60. doi: 10.1038/nature11716. Epub 2012 Nov 14.</t>
  </si>
  <si>
    <t>Yamanaka S</t>
  </si>
  <si>
    <t>PMC3554839</t>
  </si>
  <si>
    <t>NIHMS417954</t>
  </si>
  <si>
    <t>10.1038/nature11716</t>
  </si>
  <si>
    <t>Molecular characteristics of mammalian and insect amino acid transporters: implications for amino acid homeostasis</t>
  </si>
  <si>
    <t>Castagna M, Shayakul C, Trotti D, Sacchi VF, Harvey WR, Hediger MA.</t>
  </si>
  <si>
    <t>J Exp Biol. 1997 Jan;200(Pt 2):269-86. doi: 10.1242/jeb.200.2.269.</t>
  </si>
  <si>
    <t>Castagna M</t>
  </si>
  <si>
    <t>J Exp Biol</t>
  </si>
  <si>
    <t>10.1242/jeb.200.2.269</t>
  </si>
  <si>
    <t>CALEB/NGC interacts with the Golgi-associated protein PIST</t>
  </si>
  <si>
    <t>Hassel B, Schreff M, Stube EM, Blaich U, Schumacher S.</t>
  </si>
  <si>
    <t>J Biol Chem. 2003 Oct 10;278(41):40136-43. doi: 10.1074/jbc.M305577200. Epub 2003 Jul 28.</t>
  </si>
  <si>
    <t>Hassel B</t>
  </si>
  <si>
    <t>10.1074/jbc.M305577200</t>
  </si>
  <si>
    <t>Smalheiser NR, Gomes OL.</t>
  </si>
  <si>
    <t>Biol Direct. 2014 Dec 4;10:27. doi: 10.1186/s13062-014-0027-4.</t>
  </si>
  <si>
    <t>Smalheiser NR</t>
  </si>
  <si>
    <t>Biol Direct</t>
  </si>
  <si>
    <t>PMC4258305</t>
  </si>
  <si>
    <t>Molecular Profiling of Liquid Biopsy Samples for Precision Medicine</t>
  </si>
  <si>
    <t>Campos CDM, Jackson JM, Witek MA, Soper SA.</t>
  </si>
  <si>
    <t>Cancer J. 2018 Mar/Apr;24(2):93-103. doi: 10.1097/PPO.0000000000000311.</t>
  </si>
  <si>
    <t>PMC5880307</t>
  </si>
  <si>
    <t>NIHMS939228</t>
  </si>
  <si>
    <t>10.1097/PPO.0000000000000311</t>
  </si>
  <si>
    <t>Applications of tunable resistive pulse sensing</t>
  </si>
  <si>
    <t>Weatherall E, Willmott GR.</t>
  </si>
  <si>
    <t>Analyst. 2015 May 21;140(10):3318-34. doi: 10.1039/c4an02270j. Epub 2015 Mar 4.</t>
  </si>
  <si>
    <t>Weatherall E</t>
  </si>
  <si>
    <t>Analyst</t>
  </si>
  <si>
    <t>10.1039/c4an02270j</t>
  </si>
  <si>
    <t>Chaput N, Schartz NE, André F, Taïeb J, Novault S, Bonnaventure P, Aubert N, Bernard J, Lemonnier F, Merad M, Adema G, Adams M, Ferrantini M, Carpentier AF, Escudier B, Tursz T, Angevin E, Zitvogel L.</t>
  </si>
  <si>
    <t>J Immunol. 2004 Feb 15;172(4):2137-46. doi: 10.4049/jimmunol.172.4.2137.</t>
  </si>
  <si>
    <t>Chaput N</t>
  </si>
  <si>
    <t>Mitton E, Gohr CM, McNally MT, Rosenthal AK.</t>
  </si>
  <si>
    <t>Biochem Biophys Res Commun. 2009 Oct 23;388(3):533-8. doi: 10.1016/j.bbrc.2009.08.038. Epub 2009 Aug 11.</t>
  </si>
  <si>
    <t>Mitton E</t>
  </si>
  <si>
    <t>PMC2754773</t>
  </si>
  <si>
    <t>NIHMS141425</t>
  </si>
  <si>
    <t>Renaissance of traditional DNA transfer strategies for improvement of industrial lactic acid bacteria</t>
  </si>
  <si>
    <t>Bron PA, Marcelli B, Mulder J, van der Els S, Morawska LP, Kuipers OP, Kok J, Kleerebezem M.</t>
  </si>
  <si>
    <t>Curr Opin Biotechnol. 2019 Apr;56:61-68. doi: 10.1016/j.copbio.2018.09.004. Epub 2018 Oct 11.</t>
  </si>
  <si>
    <t>Bron PA</t>
  </si>
  <si>
    <t>10.1016/j.copbio.2018.09.004</t>
  </si>
  <si>
    <t>Thankam FG, Huynh J, Fang W, Chen Y, Agrawal DK.</t>
  </si>
  <si>
    <t>J Tissue Eng Regen Med. 2022 Apr;16(4):396-408. doi: 10.1002/term.3289. Epub 2022 Feb 10.</t>
  </si>
  <si>
    <t>Thankam FG</t>
  </si>
  <si>
    <t>J Tissue Eng Regen Med</t>
  </si>
  <si>
    <t>Le TM, Morimoto N, Ly NTM, Mitsui T, Notodihardjo SC, Ogino S, Arata J, Kakudo N, Kusumoto K.</t>
  </si>
  <si>
    <t>Stem Cell Rev Rep. 2021 Apr;17(2):662-672. doi: 10.1007/s12015-020-10071-0. Epub 2020 Oct 31.</t>
  </si>
  <si>
    <t>Le TM</t>
  </si>
  <si>
    <t>PMC8036216</t>
  </si>
  <si>
    <t>Inaba M, Yawata A, Koshino I, Sato K, Takeuchi M, Takakuwa Y, Manno S, Yawata Y, Kanzaki A, Sakai J, Ban A, Ono K, Maede Y.</t>
  </si>
  <si>
    <t>J Clin Invest. 1996 Apr 15;97(8):1804-17. doi: 10.1172/JCI118610.</t>
  </si>
  <si>
    <t>Inaba M</t>
  </si>
  <si>
    <t>PMC507248</t>
  </si>
  <si>
    <t>TP53 mutation detected in circulating exosomal DNA is associated with prognosis of patients with hepatocellular carcinoma</t>
  </si>
  <si>
    <t>Li Y, Wu J, Li E, Xiao Z, Lei J, Zhou F, Yin X, Hu D, Mao Y, Wu L, Wenjun L.</t>
  </si>
  <si>
    <t>Cancer Biol Ther. 2022 Dec 31;23(1):439-445. doi: 10.1080/15384047.2022.2094666.</t>
  </si>
  <si>
    <t>PMC9354767</t>
  </si>
  <si>
    <t>10.1080/15384047.2022.2094666</t>
  </si>
  <si>
    <t>Retinal degeneration in tulp1-/- mice: vesicular accumulation in the interphotoreceptor matrix</t>
  </si>
  <si>
    <t>Hagstrom SA, Duyao M, North MA, Li T.</t>
  </si>
  <si>
    <t>Invest Ophthalmol Vis Sci. 1999 Nov;40(12):2795-802.</t>
  </si>
  <si>
    <t>Hagstrom SA</t>
  </si>
  <si>
    <t>Invest Ophthalmol Vis Sci</t>
  </si>
  <si>
    <t>Differential expression of miR-145 in children with Kawasaki disease</t>
  </si>
  <si>
    <t>Shimizu C, Kim J, Stepanowsky P, Trinh C, Lau HD, Akers JC, Chen C, Kanegaye JT, Tremoulet A, Ohno-Machado L, Burns JC.</t>
  </si>
  <si>
    <t>PLoS One. 2013;8(3):e58159. doi: 10.1371/journal.pone.0058159. Epub 2013 Mar 6.</t>
  </si>
  <si>
    <t>Shimizu C</t>
  </si>
  <si>
    <t>PMC3590129</t>
  </si>
  <si>
    <t>10.1371/journal.pone.0058159</t>
  </si>
  <si>
    <t>Li L, Zuo X, Liu D, Luo H, Zhang H, Peng Q, Wang G, Zhu H.</t>
  </si>
  <si>
    <t>Rheumatology (Oxford). 2022 May 30;61(6):2672-2681. doi: 10.1093/rheumatology/keab753.</t>
  </si>
  <si>
    <t>Li L</t>
  </si>
  <si>
    <t>Rheumatology (Oxford)</t>
  </si>
  <si>
    <t>Circulating biomarkers for gliomas</t>
  </si>
  <si>
    <t>Westphal M, Lamszus K.</t>
  </si>
  <si>
    <t>Nat Rev Neurol. 2015 Oct;11(10):556-66. doi: 10.1038/nrneurol.2015.171. Epub 2015 Sep 15.</t>
  </si>
  <si>
    <t>Westphal M</t>
  </si>
  <si>
    <t>10.1038/nrneurol.2015.171</t>
  </si>
  <si>
    <t>The Present and Future of Liquid Biopsies in Non-Small Cell Lung Cancer: Combining Four Biosources for Diagnosis, Prognosis, Prediction, and Disease Monitoring</t>
  </si>
  <si>
    <t>Bracht JWP, Mayo-de-Las-Casas C, Berenguer J, Karachaliou N, Rosell R.</t>
  </si>
  <si>
    <t>Curr Oncol Rep. 2018 Jul 20;20(9):70. doi: 10.1007/s11912-018-0720-z.</t>
  </si>
  <si>
    <t>Curr Oncol Rep</t>
  </si>
  <si>
    <t>10.1007/s11912-018-0720-z</t>
  </si>
  <si>
    <t>A functional interface at the rDNA connects rRNA synthesis, pre-rRNA processing and nucleolar surveillance in budding yeast</t>
  </si>
  <si>
    <t>Leporé N, Lafontaine DL.</t>
  </si>
  <si>
    <t>PLoS One. 2011;6(9):e24962. doi: 10.1371/journal.pone.0024962. Epub 2011 Sep 19.</t>
  </si>
  <si>
    <t>Leporé N</t>
  </si>
  <si>
    <t>PMC3176313</t>
  </si>
  <si>
    <t>10.1371/journal.pone.0024962</t>
  </si>
  <si>
    <t>BM-MSC-derived exosomes alleviate radiation-induced bone loss by restoring the function of recipient BM-MSCs and activating Wnt/β-catenin signaling</t>
  </si>
  <si>
    <t>Zuo R, Liu M, Wang Y, Li J, Wang W, Wu J, Sun C, Li B, Wang Z, Lan W, Zhang C, Shi C, Zhou Y.</t>
  </si>
  <si>
    <t>Stem Cell Res Ther. 2019 Jan 15;10(1):30. doi: 10.1186/s13287-018-1121-9.</t>
  </si>
  <si>
    <t>Zuo R</t>
  </si>
  <si>
    <t>PMC6334443</t>
  </si>
  <si>
    <t>Identification of Autographa californica nucleopolyhedrovirus ac93 as a core gene and its requirement for intranuclear microvesicle formation and nuclear egress of nucleocapsids</t>
  </si>
  <si>
    <t>Yuan M, Huang Z, Wei D, Hu Z, Yang K, Pang Y.</t>
  </si>
  <si>
    <t>J Virol. 2011 Nov;85(22):11664-74. doi: 10.1128/JVI.05275-11. Epub 2011 Aug 31.</t>
  </si>
  <si>
    <t>Yuan M</t>
  </si>
  <si>
    <t>PMC3209287</t>
  </si>
  <si>
    <t>Craniofacial cartilage morphogenesis requires zebrafish col11a1 activity</t>
  </si>
  <si>
    <t>Baas D, Malbouyres M, Haftek-Terreau Z, Le Guellec D, Ruggiero F.</t>
  </si>
  <si>
    <t>Matrix Biol. 2009 Oct;28(8):490-502. doi: 10.1016/j.matbio.2009.07.004. Epub 2009 Jul 26.</t>
  </si>
  <si>
    <t>Baas D</t>
  </si>
  <si>
    <t>10.1016/j.matbio.2009.07.004</t>
  </si>
  <si>
    <t>Bioenergetic Crosstalk between Mesenchymal Stem Cells and various Ocular Cells through the intercellular trafficking of Mitochondria</t>
  </si>
  <si>
    <t>Jiang D, Chen FX, Zhou H, Lu YY, Tan H, Yu SJ, Yuan J, Liu H, Meng W, Jin ZB.</t>
  </si>
  <si>
    <t>Theranostics. 2020 Jun 5;10(16):7260-7272. doi: 10.7150/thno.46332. eCollection 2020.</t>
  </si>
  <si>
    <t>Jiang D</t>
  </si>
  <si>
    <t>PMC7330858</t>
  </si>
  <si>
    <t>10.7150/thno.46332</t>
  </si>
  <si>
    <t>Boda E, Rigamonti AE, Bollati V.</t>
  </si>
  <si>
    <t>Curr Opin Pharmacol. 2020 Feb;50:61-66. doi: 10.1016/j.coph.2019.12.003. Epub 2019 Dec 30.</t>
  </si>
  <si>
    <t>Boda E</t>
  </si>
  <si>
    <t>Curr Opin Pharmacol</t>
  </si>
  <si>
    <t>Hisada Y, Mackman N.</t>
  </si>
  <si>
    <t>Hematology Am Soc Hematol Educ Program. 2019 Dec 6;2019(1):182-186. doi: 10.1182/hematology.2019000025.</t>
  </si>
  <si>
    <t>Hisada Y</t>
  </si>
  <si>
    <t>Hematology Am Soc Hematol Educ Program</t>
  </si>
  <si>
    <t>PMC6913477</t>
  </si>
  <si>
    <t>10.1182/hematology.2019000025</t>
  </si>
  <si>
    <t>Plasma DNA Analysis in Prostate Cancer: Opportunities for Improving Clinical Management</t>
  </si>
  <si>
    <t>Wu A, Attard G.</t>
  </si>
  <si>
    <t>Clin Chem. 2019 Jan;65(1):100-107. doi: 10.1373/clinchem.2018.287250. Epub 2018 Dec 11.</t>
  </si>
  <si>
    <t>Wu A</t>
  </si>
  <si>
    <t>Clin Chem</t>
  </si>
  <si>
    <t>10.1373/clinchem.2018.287250</t>
  </si>
  <si>
    <t>The archaeal DnaG protein needs Csl4 for binding to the exosome and enhances its interaction with adenine-rich RNAs</t>
  </si>
  <si>
    <t>Hou L, Klug G, Evguenieva-Hackenberg E.</t>
  </si>
  <si>
    <t>RNA Biol. 2013 Mar;10(3):415-24. doi: 10.4161/rna.23450. Epub 2013 Jan 16.</t>
  </si>
  <si>
    <t>Hou L</t>
  </si>
  <si>
    <t>PMC3672285</t>
  </si>
  <si>
    <t>10.4161/rna.23450</t>
  </si>
  <si>
    <t>Recent Progress on Liquid Biopsy Analysis using Surface-Enhanced Raman Spectroscopy</t>
  </si>
  <si>
    <t>Zhang Y, Mi X, Tan X, Xiang R.</t>
  </si>
  <si>
    <t>Theranostics. 2019 Jan 1;9(2):491-525. doi: 10.7150/thno.29875. eCollection 2019.</t>
  </si>
  <si>
    <t>PMC6376192</t>
  </si>
  <si>
    <t>10.7150/thno.29875</t>
  </si>
  <si>
    <t>Wang N, Tan HY, Li S, Feng Y.</t>
  </si>
  <si>
    <t>Theranostics. 2017 Jun 2;7(8):2325-2338. doi: 10.7150/thno.18225. eCollection 2017.</t>
  </si>
  <si>
    <t>Wang N</t>
  </si>
  <si>
    <t>PMC5505064</t>
  </si>
  <si>
    <t>Overcoming multidrug resistance via photodestruction of ABCG2-rich extracellular vesicles sequestering photosensitive chemotherapeutics</t>
  </si>
  <si>
    <t>Goler-Baron V, Assaraf YG.</t>
  </si>
  <si>
    <t>PLoS One. 2012;7(4):e35487. doi: 10.1371/journal.pone.0035487. Epub 2012 Apr 18.</t>
  </si>
  <si>
    <t>Goler-Baron V</t>
  </si>
  <si>
    <t>PMC3329466</t>
  </si>
  <si>
    <t>10.1371/journal.pone.0035487</t>
  </si>
  <si>
    <t>RRP6/EXOSC10 is required for the repair of DNA double-strand breaks by homologous recombination</t>
  </si>
  <si>
    <t>Marin-Vicente C, Domingo-Prim J, Eberle AB, Visa N.</t>
  </si>
  <si>
    <t>J Cell Sci. 2015 Mar 15;128(6):1097-107. doi: 10.1242/jcs.158733. Epub 2015 Jan 27.</t>
  </si>
  <si>
    <t>Marin-Vicente C</t>
  </si>
  <si>
    <t>10.1242/jcs.158733</t>
  </si>
  <si>
    <t>The role of microRNA in nutritional control</t>
  </si>
  <si>
    <t>Nolte-'t Hoen EN, Van Rooij E, Bushell M, Zhang CY, Dashwood RH, James WP, Harris C, Baltimore D.</t>
  </si>
  <si>
    <t>J Intern Med. 2015 Aug;278(2):99-109. doi: 10.1111/joim.12372. Epub 2015 May 19.</t>
  </si>
  <si>
    <t>Nolte-'t Hoen EN</t>
  </si>
  <si>
    <t>J Intern Med</t>
  </si>
  <si>
    <t>10.1111/joim.12372</t>
  </si>
  <si>
    <t>Characterization of native and reconstituted exosome complexes from the hyperthermophilic archaeon Sulfolobus solfataricus</t>
  </si>
  <si>
    <t>Walter P, Klein F, Lorentzen E, Ilchmann A, Klug G, Evguenieva-Hackenberg E.</t>
  </si>
  <si>
    <t>Mol Microbiol. 2006 Nov;62(4):1076-89. doi: 10.1111/j.1365-2958.2006.05393.x.</t>
  </si>
  <si>
    <t>Walter P</t>
  </si>
  <si>
    <t>10.1111/j.1365-2958.2006.05393.x</t>
  </si>
  <si>
    <t>Zhang S, Weng T, Cheruba E, Guo T, Chan H, Sze SK, Koh CG.</t>
  </si>
  <si>
    <t>J Proteome Res. 2017 Feb 3;16(2):698-711. doi: 10.1021/acs.jproteome.6b00748. Epub 2016 Dec 28.</t>
  </si>
  <si>
    <t>Archaeal DnaG contains a conserved N-terminal RNA-binding domain and enables tailing of rRNA by the exosome</t>
  </si>
  <si>
    <t>Nucleic Acids Res. 2014 Nov 10;42(20):12691-706. doi: 10.1093/nar/gku969. Epub 2014 Oct 17.</t>
  </si>
  <si>
    <t>PMC4227792</t>
  </si>
  <si>
    <t>10.1093/nar/gku969</t>
  </si>
  <si>
    <t>Gene expression and extracellular matrix ultrastructure of a mineralizing chondrocyte cell culture system</t>
  </si>
  <si>
    <t>Gerstenfeld LC, Landis WJ.</t>
  </si>
  <si>
    <t>J Cell Biol. 1991 Feb;112(3):501-13. doi: 10.1083/jcb.112.3.501.</t>
  </si>
  <si>
    <t>Gerstenfeld LC</t>
  </si>
  <si>
    <t>PMC2288833</t>
  </si>
  <si>
    <t>The fission yeast HIRA histone chaperone is required for promoter silencing and the suppression of cryptic antisense transcripts</t>
  </si>
  <si>
    <t>Anderson HE, Wardle J, Korkut SV, Murton HE, López-Maury L, Bähler J, Whitehall SK.</t>
  </si>
  <si>
    <t>Mol Cell Biol. 2009 Sep;29(18):5158-67. doi: 10.1128/MCB.00698-09. Epub 2009 Jul 20.</t>
  </si>
  <si>
    <t>Anderson HE</t>
  </si>
  <si>
    <t>PMC2738286</t>
  </si>
  <si>
    <t>10.1128/MCB.00698-09</t>
  </si>
  <si>
    <t>Nuclear RNA surveillance in Saccharomyces cerevisiae: Trf4p-dependent polyadenylation of nascent hypomethylated tRNA and an aberrant form of 5S rRNA</t>
  </si>
  <si>
    <t>Kadaba S, Wang X, Anderson JT.</t>
  </si>
  <si>
    <t>RNA. 2006 Mar;12(3):508-21. doi: 10.1261/rna.2305406. Epub 2006 Jan 23.</t>
  </si>
  <si>
    <t>Kadaba S</t>
  </si>
  <si>
    <t>PMC1383588</t>
  </si>
  <si>
    <t>10.1261/rna.2305406</t>
  </si>
  <si>
    <t>Zhang G, Fang X, Guo X, Li L, Luo R, Xu F, Yang P, Zhang L, Wang X, Qi H, Xiong Z, Que H, Xie Y, Holland PW, Paps J, Zhu Y, Wu F, Chen Y, Wang J, Peng C, Meng J, Yang L, Liu J, Wen B, Zhang N, Huang Z, Zhu Q, Feng Y, Mount A, Hedgecock D, Xu Z, Liu Y, Domazet-Lošo T, Du Y, Sun X, Zhang S, Liu B, Cheng P, Jiang X, Li J, Fan D, Wang W, Fu W, Wang T, Wang B, Zhang J, Peng Z, Li Y, Li N, Wang J, Chen M, He Y, Tan F, Song X, Zheng Q, Huang R, Yang H, Du X, Chen L, Yang M, Gaffney PM, Wang S, Luo L, She Z, Ming Y, Huang W, Zhang S, Huang B, Zhang Y, Qu T, Ni P, Miao G, Wang J, Wang Q, Steinberg CE, Wang H, Li N, Qian L, Zhang G, Li Y, Yang H, Liu X, Wang J, Yin Y, Wang J.</t>
  </si>
  <si>
    <t>Nature. 2012 Oct 4;490(7418):49-54. doi: 10.1038/nature11413. Epub 2012 Sep 19.</t>
  </si>
  <si>
    <t>Zhang G</t>
  </si>
  <si>
    <t>Pan R, Hu K, Jia R, Rotenberg SA, Jiang D, Mirkin MV.</t>
  </si>
  <si>
    <t>J Am Chem Soc. 2020 Mar 25;142(12):5778-5784. doi: 10.1021/jacs.9b13796. Epub 2020 Mar 12.</t>
  </si>
  <si>
    <t>Pan R</t>
  </si>
  <si>
    <t>The multi-factorial nature of clinical multidrug resistance in cancer</t>
  </si>
  <si>
    <t>Assaraf YG, Brozovic A, Gonçalves AC, Jurkovicova D, Linē A, Machuqueiro M, Saponara S, Sarmento-Ribeiro AB, Xavier CPR, Vasconcelos MH.</t>
  </si>
  <si>
    <t>Drug Resist Updat. 2019 Sep;46:100645. doi: 10.1016/j.drup.2019.100645. Epub 2019 Sep 17.</t>
  </si>
  <si>
    <t>Assaraf YG</t>
  </si>
  <si>
    <t>10.1016/j.drup.2019.100645</t>
  </si>
  <si>
    <t>Oxygen-glucose deprivation increases the enzymatic activity and the microvesicle-mediated release of ectonucleotidases in the cells composing the blood-brain barrier</t>
  </si>
  <si>
    <t>Ceruti S, Colombo L, Magni G, Viganò F, Boccazzi M, Deli MA, Sperlágh B, Abbracchio MP, Kittel A.</t>
  </si>
  <si>
    <t>Neurochem Int. 2011 Aug;59(2):259-71. doi: 10.1016/j.neuint.2011.05.013. Epub 2011 Jun 6.</t>
  </si>
  <si>
    <t>Ceruti S</t>
  </si>
  <si>
    <t>Neurochem Int</t>
  </si>
  <si>
    <t>10.1016/j.neuint.2011.05.013</t>
  </si>
  <si>
    <t>Yamada H, Yatsushiro S, Yamamoto A, Hayashi M, Nishi T, Futai M, Yamaguchi A, Moriyama Y.</t>
  </si>
  <si>
    <t>J Neurochem. 1997 Oct;69(4):1491-8. doi: 10.1046/j.1471-4159.1997.69041491.x.</t>
  </si>
  <si>
    <t>Yamada H</t>
  </si>
  <si>
    <t>10.1046/j.1471-4159.1997.69041491.x</t>
  </si>
  <si>
    <t>Nevalainen T, Autio A, Puhka M, Jylhä M, Hurme M.</t>
  </si>
  <si>
    <t>Exp Gerontol. 2021 Jan;143:111119. doi: 10.1016/j.exger.2020.111119. Epub 2020 Oct 18.</t>
  </si>
  <si>
    <t>Nevalainen T</t>
  </si>
  <si>
    <t>Exp Gerontol</t>
  </si>
  <si>
    <t>Dumbbell Hybridization Chain Reaction Based Electrochemical Biosensor for Ultrasensitive Detection of Exosomal miRNA</t>
  </si>
  <si>
    <t>Miao P, Tang Y.</t>
  </si>
  <si>
    <t>Anal Chem. 2020 Sep 1;92(17):12026-12032. doi: 10.1021/acs.analchem.0c02654. Epub 2020 Aug 11.</t>
  </si>
  <si>
    <t>Miao P</t>
  </si>
  <si>
    <t>10.1021/acs.analchem.0c02654</t>
  </si>
  <si>
    <t>Silica nanoparticles administered at the maximum tolerated dose induce genotoxic effects through an inflammatory reaction while gold nanoparticles do not</t>
  </si>
  <si>
    <t>Downs TR, Crosby ME, Hu T, Kumar S, Sullivan A, Sarlo K, Reeder B, Lynch M, Wagner M, Mills T, Pfuhler S.</t>
  </si>
  <si>
    <t>Mutat Res. 2012 Jun 14;745(1-2):38-50. doi: 10.1016/j.mrgentox.2012.03.012. Epub 2012 Apr 6.</t>
  </si>
  <si>
    <t>Downs TR</t>
  </si>
  <si>
    <t>10.1016/j.mrgentox.2012.03.012</t>
  </si>
  <si>
    <t>Epstein-Barr virus latent membrane protein 1 promotes concentration in multivesicular bodies of fibroblast growth factor 2 and its release through exosomes</t>
  </si>
  <si>
    <t>Ceccarelli S, Visco V, Raffa S, Wakisaka N, Pagano JS, Torrisi MR.</t>
  </si>
  <si>
    <t>Int J Cancer. 2007 Oct 1;121(7):1494-506. doi: 10.1002/ijc.22844.</t>
  </si>
  <si>
    <t>Ceccarelli S</t>
  </si>
  <si>
    <t>10.1002/ijc.22844</t>
  </si>
  <si>
    <t>Mitochondria and microbiota dysfunction in COVID-19 pathogenesis</t>
  </si>
  <si>
    <t>Saleh J, Peyssonnaux C, Singh KK, Edeas M.</t>
  </si>
  <si>
    <t>Mitochondrion. 2020 Sep;54:1-7. doi: 10.1016/j.mito.2020.06.008. Epub 2020 Jun 20.</t>
  </si>
  <si>
    <t>Saleh J</t>
  </si>
  <si>
    <t>PMC7837003</t>
  </si>
  <si>
    <t>10.1016/j.mito.2020.06.008</t>
  </si>
  <si>
    <t>RNA degradation by the exosome is promoted by a nuclear polyadenylation complex</t>
  </si>
  <si>
    <t>LaCava J, Houseley J, Saveanu C, Petfalski E, Thompson E, Jacquier A, Tollervey D.</t>
  </si>
  <si>
    <t>Cell. 2005 Jun 3;121(5):713-24. doi: 10.1016/j.cell.2005.04.029.</t>
  </si>
  <si>
    <t>LaCava J</t>
  </si>
  <si>
    <t>10.1016/j.cell.2005.04.029</t>
  </si>
  <si>
    <t>Inhibition of hepatitis B virus replication by the host zinc finger antiviral protein</t>
  </si>
  <si>
    <t>Mao R, Nie H, Cai D, Zhang J, Liu H, Yan R, Cuconati A, Block TM, Guo JT, Guo H.</t>
  </si>
  <si>
    <t>PLoS Pathog. 2013;9(7):e1003494. doi: 10.1371/journal.ppat.1003494. Epub 2013 Jul 11.</t>
  </si>
  <si>
    <t>Mao R</t>
  </si>
  <si>
    <t>PMC3708887</t>
  </si>
  <si>
    <t>10.1371/journal.ppat.1003494</t>
  </si>
  <si>
    <t>High-affinity peptide ligand LXY30 for targeting α3β1 integrin in non-small cell lung cancer</t>
  </si>
  <si>
    <t>Xiao W, Ma W, Wei S, Li Q, Liu R, Carney RP, Yang K, Lee J, Nyugen A, Yoneda KY, Lam KS, Li T.</t>
  </si>
  <si>
    <t>J Hematol Oncol. 2019 Jun 10;12(1):56. doi: 10.1186/s13045-019-0740-7.</t>
  </si>
  <si>
    <t>Xiao W</t>
  </si>
  <si>
    <t>PMC6558829</t>
  </si>
  <si>
    <t>Re RN, Cook JL.</t>
  </si>
  <si>
    <t>Am J Physiol Heart Circ Physiol. 2009 Sep;297(3):H893-901. doi: 10.1152/ajpheart.00414.2009. Epub 2009 Jul 10.</t>
  </si>
  <si>
    <t>Re RN</t>
  </si>
  <si>
    <t>PMC2755987</t>
  </si>
  <si>
    <t>The exosome of Trypanosoma brucei</t>
  </si>
  <si>
    <t>Estévez AM, Kempf T, Clayton C.</t>
  </si>
  <si>
    <t>EMBO J. 2001 Jul 16;20(14):3831-9. doi: 10.1093/emboj/20.14.3831.</t>
  </si>
  <si>
    <t>Estévez AM</t>
  </si>
  <si>
    <t>PMC125547</t>
  </si>
  <si>
    <t>10.1093/emboj/20.14.3831</t>
  </si>
  <si>
    <t>Dissecting mechanisms of nuclear mRNA surveillance in THO/sub2 complex mutants</t>
  </si>
  <si>
    <t>Rougemaille M, Gudipati RK, Olesen JR, Thomsen R, Seraphin B, Libri D, Jensen TH.</t>
  </si>
  <si>
    <t>EMBO J. 2007 May 2;26(9):2317-26. doi: 10.1038/sj.emboj.7601669. Epub 2007 Apr 5.</t>
  </si>
  <si>
    <t>Rougemaille M</t>
  </si>
  <si>
    <t>PMC1864968</t>
  </si>
  <si>
    <t>10.1038/sj.emboj.7601669</t>
  </si>
  <si>
    <t>Regulation of NAB2 mRNA 3'-end formation requires the core exosome and the Trf4p component of the TRAMP complex</t>
  </si>
  <si>
    <t>Roth KM, Byam J, Fang F, Butler JS.</t>
  </si>
  <si>
    <t>RNA. 2009 Jun;15(6):1045-58. doi: 10.1261/rna.709609. Epub 2009 Apr 15.</t>
  </si>
  <si>
    <t>Roth KM</t>
  </si>
  <si>
    <t>PMC2685527</t>
  </si>
  <si>
    <t>10.1261/rna.709609</t>
  </si>
  <si>
    <t>Zhong F, Zhou N, Wu K, Guo Y, Tan W, Zhang H, Zhang X, Geng G, Pan T, Luo H, Zhang Y, Xu Z, Liu J, Liu B, Gao W, Liu C, Ren L, Li J, Zhou J, Zhang H.</t>
  </si>
  <si>
    <t>Nucleic Acids Res. 2015 Dec 2;43(21):10474-91. doi: 10.1093/nar/gkv954. Epub 2015 Sep 23.</t>
  </si>
  <si>
    <t>Zhong F</t>
  </si>
  <si>
    <t>PMC4666397</t>
  </si>
  <si>
    <t>Liquid biopsy technologies for hematological diseases</t>
  </si>
  <si>
    <t>Fu Y, Zhang Y, Khoo BL.</t>
  </si>
  <si>
    <t>Med Res Rev. 2021 Jan;41(1):246-274. doi: 10.1002/med.21731. Epub 2020 Sep 14.</t>
  </si>
  <si>
    <t>Fu Y</t>
  </si>
  <si>
    <t>Med Res Rev</t>
  </si>
  <si>
    <t>10.1002/med.21731</t>
  </si>
  <si>
    <t>A quantitative 14-3-3 interaction screen connects the nuclear exosome targeting complex to the DNA damage response</t>
  </si>
  <si>
    <t>Blasius M, Wagner SA, Choudhary C, Bartek J, Jackson SP.</t>
  </si>
  <si>
    <t>Genes Dev. 2014 Sep 15;28(18):1977-82. doi: 10.1101/gad.246272.114. Epub 2014 Sep 4.</t>
  </si>
  <si>
    <t>Blasius M</t>
  </si>
  <si>
    <t>PMC4173157</t>
  </si>
  <si>
    <t>10.1101/gad.246272.114</t>
  </si>
  <si>
    <t>Perfumo A, Elsaesser A, Littmann S, Foster RA, Kuypers MM, Cockell CS, Kminek G.</t>
  </si>
  <si>
    <t>FEMS Microbiol Ecol. 2014 Dec;90(3):869-82. doi: 10.1111/1574-6941.12443. Epub 2014 Nov 4.</t>
  </si>
  <si>
    <t>Perfumo A</t>
  </si>
  <si>
    <t>FEMS Microbiol Ecol</t>
  </si>
  <si>
    <t>Flocculation in Saccharomyces cerevisiae is regulated by RNA/DNA helicase Sen1p</t>
  </si>
  <si>
    <t>Singh V, Azad GK, Sariki SK, Tomar RS.</t>
  </si>
  <si>
    <t>FEBS Lett. 2015 Oct 7;589(20 Pt B):3165-74. doi: 10.1016/j.febslet.2015.09.006. Epub 2015 Sep 10.</t>
  </si>
  <si>
    <t>Singh V</t>
  </si>
  <si>
    <t>10.1016/j.febslet.2015.09.006</t>
  </si>
  <si>
    <t>The dental plaque biofilm matrix</t>
  </si>
  <si>
    <t>Jakubovics NS, Goodman SD, Mashburn-Warren L, Stafford GP, Cieplik F.</t>
  </si>
  <si>
    <t>Periodontol 2000. 2021 Jun;86(1):32-56. doi: 10.1111/prd.12361. Epub 2021 Mar 10.</t>
  </si>
  <si>
    <t>Jakubovics NS</t>
  </si>
  <si>
    <t>10.1111/prd.12361</t>
  </si>
  <si>
    <t>Post-transcriptional control of cellular differentiation by the RNA exosome complex</t>
  </si>
  <si>
    <t>Fraga de Andrade I, Mehta C, Bresnick EH.</t>
  </si>
  <si>
    <t>Nucleic Acids Res. 2020 Dec 2;48(21):11913-11928. doi: 10.1093/nar/gkaa883.</t>
  </si>
  <si>
    <t>Fraga de Andrade I</t>
  </si>
  <si>
    <t>PMC7708067</t>
  </si>
  <si>
    <t>10.1093/nar/gkaa883</t>
  </si>
  <si>
    <t>RNA Exosome Complex-Mediated Control of Redox Status in Pluripotent Stem Cells</t>
  </si>
  <si>
    <t>Skamagki M, Zhang C, Ross CA, Ananthanarayanan A, Liu Z, Mu Q, Basu U, Wang J, Zhao R, Li H, Kim K.</t>
  </si>
  <si>
    <t>Stem Cell Reports. 2017 Oct 10;9(4):1053-1061. doi: 10.1016/j.stemcr.2017.08.024.</t>
  </si>
  <si>
    <t>Skamagki M</t>
  </si>
  <si>
    <t>Stem Cell Reports</t>
  </si>
  <si>
    <t>PMC5639470</t>
  </si>
  <si>
    <t>10.1016/j.stemcr.2017.08.024</t>
  </si>
  <si>
    <t>Depletion of the yeast nuclear exosome subunit Rrp6 results in accumulation of polyadenylated RNAs in a discrete domain within the nucleolus</t>
  </si>
  <si>
    <t>Carneiro T, Carvalho C, Braga J, Rino J, Milligan L, Tollervey D, Carmo-Fonseca M.</t>
  </si>
  <si>
    <t>Mol Cell Biol. 2007 Jun;27(11):4157-65. doi: 10.1128/MCB.00120-07. Epub 2007 Apr 2.</t>
  </si>
  <si>
    <t>Carneiro T</t>
  </si>
  <si>
    <t>PMC1900014</t>
  </si>
  <si>
    <t>10.1128/MCB.00120-07</t>
  </si>
  <si>
    <t>The Saccharomyces cerevisiae small GTPase, Gsp1p/Ran, is involved in 3' processing of 7S-to-5.8S rRNA and in degradation of the excised 5'-A0 fragment of 35S pre-rRNA, both of which are carried out by the exosome</t>
  </si>
  <si>
    <t>Suzuki N, Noguchi E, Nakashima N, Oki M, Ohba T, Tartakoff A, Ohishi M, Nishimoto T.</t>
  </si>
  <si>
    <t>Genetics. 2001 Jun;158(2):613-25. doi: 10.1093/genetics/158.2.613.</t>
  </si>
  <si>
    <t>Suzuki N</t>
  </si>
  <si>
    <t>Genetics</t>
  </si>
  <si>
    <t>PMC1461697</t>
  </si>
  <si>
    <t>10.1093/genetics/158.2.613</t>
  </si>
  <si>
    <t>A role for the exosome in the in vivo degradation of unstable mRNAs</t>
  </si>
  <si>
    <t>Haile S, Estevez AM, Clayton C.</t>
  </si>
  <si>
    <t>RNA. 2003 Dec;9(12):1491-501. doi: 10.1261/rna.5940703.</t>
  </si>
  <si>
    <t>Haile S</t>
  </si>
  <si>
    <t>PMC1370503</t>
  </si>
  <si>
    <t>10.1261/rna.5940703</t>
  </si>
  <si>
    <t>RNA Exosome Regulates AID DNA Mutator Activity in the B Cell Genome</t>
  </si>
  <si>
    <t>Pefanis E, Basu U.</t>
  </si>
  <si>
    <t>Adv Immunol. 2015;127:257-308. doi: 10.1016/bs.ai.2015.04.002. Epub 2015 May 14.</t>
  </si>
  <si>
    <t>Adv Immunol</t>
  </si>
  <si>
    <t>PMC4478610</t>
  </si>
  <si>
    <t>NIHMS701148</t>
  </si>
  <si>
    <t>10.1016/bs.ai.2015.04.002</t>
  </si>
  <si>
    <t>Nop53p interacts with 5.8S rRNA co-transcriptionally, and regulates processing of pre-rRNA by the exosome</t>
  </si>
  <si>
    <t>Granato DC, Machado-Santelli GM, Oliveira CC.</t>
  </si>
  <si>
    <t>FEBS J. 2008 Aug;275(16):4164-78. doi: 10.1111/j.1742-4658.2008.06565.x. Epub 2008 Jul 9.</t>
  </si>
  <si>
    <t>Granato DC</t>
  </si>
  <si>
    <t>10.1111/j.1742-4658.2008.06565.x</t>
  </si>
  <si>
    <t>Zhao J, Ma S, Xu Y, Si X, Yao H, Huang Z, Zhang Y, Yu H, Tang Z, Song W, Chen X.</t>
  </si>
  <si>
    <t>Biomaterials. 2021 Jan;268:120542. doi: 10.1016/j.biomaterials.2020.120542. Epub 2020 Nov 21.</t>
  </si>
  <si>
    <t>Gentili M, Kowal J, Tkach M, Satoh T, Lahaye X, Conrad C, Boyron M, Lombard B, Durand S, Kroemer G, Loew D, Dalod M, Théry C, Manel N.</t>
  </si>
  <si>
    <t>Science. 2015 Sep 11;349(6253):1232-6. doi: 10.1126/science.aab3628. Epub 2015 Jul 30.</t>
  </si>
  <si>
    <t>Gentili M</t>
  </si>
  <si>
    <t>Contribution of Trf4/5 and the nuclear exosome to genome stability through regulation of histone mRNA levels in Saccharomyces cerevisiae</t>
  </si>
  <si>
    <t>Reis CC, Campbell JL.</t>
  </si>
  <si>
    <t>Genetics. 2007 Mar;175(3):993-1010. doi: 10.1534/genetics.106.065987. Epub 2006 Dec 18.</t>
  </si>
  <si>
    <t>Reis CC</t>
  </si>
  <si>
    <t>PMC1840065</t>
  </si>
  <si>
    <t>10.1534/genetics.106.065987</t>
  </si>
  <si>
    <t>Circulating Tumor Cells in Prostate Cancer: From Discovery to Clinical Utility</t>
  </si>
  <si>
    <t>Pantel K, Hille C, Scher HI.</t>
  </si>
  <si>
    <t>Clin Chem. 2019 Jan;65(1):87-99. doi: 10.1373/clinchem.2018.287102.</t>
  </si>
  <si>
    <t>Pantel K</t>
  </si>
  <si>
    <t>10.1373/clinchem.2018.287102</t>
  </si>
  <si>
    <t>Structural and biochemical characterization of CRN-5 and Rrp46: an exosome component participating in apoptotic DNA degradation</t>
  </si>
  <si>
    <t>Yang CC, Wang YT, Hsiao YY, Doudeva LG, Kuo PH, Chow SY, Yuan HS.</t>
  </si>
  <si>
    <t>RNA. 2010 Sep;16(9):1748-59. doi: 10.1261/rna.2180810. Epub 2010 Jul 21.</t>
  </si>
  <si>
    <t>Yang CC</t>
  </si>
  <si>
    <t>PMC2924534</t>
  </si>
  <si>
    <t>10.1261/rna.2180810</t>
  </si>
  <si>
    <t>Polarized release of T-cell-receptor-enriched microvesicles at the immunological synapse</t>
  </si>
  <si>
    <t>Choudhuri K, Llodrá J, Roth EW, Tsai J, Gordo S, Wucherpfennig KW, Kam LC, Stokes DL, Dustin ML.</t>
  </si>
  <si>
    <t>Nature. 2014 Mar 6;507(7490):118-23. doi: 10.1038/nature12951. Epub 2014 Feb 2.</t>
  </si>
  <si>
    <t>Choudhuri K</t>
  </si>
  <si>
    <t>PMC3949170</t>
  </si>
  <si>
    <t>NIHMS548208</t>
  </si>
  <si>
    <t>10.1038/nature12951</t>
  </si>
  <si>
    <t>Secretory phospholipase A2 generates the novel lipid mediator lysophosphatidic acid in membrane microvesicles shed from activated cells</t>
  </si>
  <si>
    <t>Fourcade O, Simon MF, Viodé C, Rugani N, Leballe F, Ragab A, Fournié B, Sarda L, Chap H.</t>
  </si>
  <si>
    <t>Cell. 1995 Mar 24;80(6):919-27. doi: 10.1016/0092-8674(95)90295-3.</t>
  </si>
  <si>
    <t>Fourcade O</t>
  </si>
  <si>
    <t>10.1016/0092-8674(95)90295-3</t>
  </si>
  <si>
    <t>Yang X, Li H, Sun H, Fan H, Hu Y, Liu M, Li X, Tang H.</t>
  </si>
  <si>
    <t>J Virol. 2017 Apr 28;91(10):e01919-16. doi: 10.1128/JVI.01919-16. Print 2017 May 15.</t>
  </si>
  <si>
    <t>Yang X</t>
  </si>
  <si>
    <t>PMC5411615</t>
  </si>
  <si>
    <t>Selection of the highly replicative and partially multidrug resistant rtS78T HBV polymerase mutation during TDF-ETV combination therapy</t>
  </si>
  <si>
    <t>Shirvani-Dastgerdi E, Winer BY, Celià-Terrassa T, Kang Y, Tabernero D, Yagmur E, Rodríguez-Frías F, Gregori J, Luedde T, Trautwein C, Ploss A, Tacke F.</t>
  </si>
  <si>
    <t>J Hepatol. 2017 Aug;67(2):246-254. doi: 10.1016/j.jhep.2017.03.027. Epub 2017 Apr 7.</t>
  </si>
  <si>
    <t>Shirvani-Dastgerdi E</t>
  </si>
  <si>
    <t>PMC6016549</t>
  </si>
  <si>
    <t>NIHMS970414</t>
  </si>
  <si>
    <t>10.1016/j.jhep.2017.03.027</t>
  </si>
  <si>
    <t>Wang HD, Allard P.</t>
  </si>
  <si>
    <t>J Exp Zool A Ecol Integr Physiol. 2022 Jan;337(1):70-74. doi: 10.1002/jez.2465. Epub 2021 Apr 26.</t>
  </si>
  <si>
    <t>Wang HD</t>
  </si>
  <si>
    <t>J Exp Zool A Ecol Integr Physiol</t>
  </si>
  <si>
    <t>PMC8546026</t>
  </si>
  <si>
    <t>NIHMS1707755</t>
  </si>
  <si>
    <t>Oxidation-Specific Epitopes in Non-Alcoholic Fatty Liver Disease</t>
  </si>
  <si>
    <t>Hendrikx T, Binder CJ.</t>
  </si>
  <si>
    <t>Front Endocrinol (Lausanne). 2020 Dec 9;11:607011. doi: 10.3389/fendo.2020.607011. eCollection 2020.</t>
  </si>
  <si>
    <t>Hendrikx T</t>
  </si>
  <si>
    <t>PMC7756077</t>
  </si>
  <si>
    <t>10.3389/fendo.2020.607011</t>
  </si>
  <si>
    <t>Tumor-Educated Platelets as a Noninvasive Biomarker Source for Cancer Detection and Progression Monitoring</t>
  </si>
  <si>
    <t>Best MG, Wesseling P, Wurdinger T.</t>
  </si>
  <si>
    <t>Cancer Res. 2018 Jul 1;78(13):3407-3412. doi: 10.1158/0008-5472.CAN-18-0887. Epub 2018 Jun 19.</t>
  </si>
  <si>
    <t>Best MG</t>
  </si>
  <si>
    <t>10.1158/0008-5472.CAN-18-0887</t>
  </si>
  <si>
    <t>EXOSC8 mutations alter mRNA metabolism and cause hypomyelination with spinal muscular atrophy and cerebellar hypoplasia</t>
  </si>
  <si>
    <t>Boczonadi V, Müller JS, Pyle A, Munkley J, Dor T, Quartararo J, Ferrero I, Karcagi V, Giunta M, Polvikoski T, Birchall D, Princzinger A, Cinnamon Y, Lützkendorf S, Piko H, Reza M, Florez L, Santibanez-Koref M, Griffin H, Schuelke M, Elpeleg O, Kalaydjieva L, Lochmüller H, Elliott DJ, Chinnery PF, Edvardson S, Horvath R.</t>
  </si>
  <si>
    <t>Nat Commun. 2014 Jul 3;5:4287. doi: 10.1038/ncomms5287.</t>
  </si>
  <si>
    <t>Boczonadi V</t>
  </si>
  <si>
    <t>PMC4102769</t>
  </si>
  <si>
    <t>10.1038/ncomms5287</t>
  </si>
  <si>
    <t>Nuclear surveillance and degradation of hypomodified initiator tRNAMet in S. cerevisiae</t>
  </si>
  <si>
    <t>Kadaba S, Krueger A, Trice T, Krecic AM, Hinnebusch AG, Anderson J.</t>
  </si>
  <si>
    <t>Genes Dev. 2004 Jun 1;18(11):1227-40. doi: 10.1101/gad.1183804. Epub 2004 May 14.</t>
  </si>
  <si>
    <t>PMC420349</t>
  </si>
  <si>
    <t>10.1101/gad.1183804</t>
  </si>
  <si>
    <t>Cotranscriptional recruitment of RNA exosome cofactors Rrp47p and Mpp6p and two distinct Trf-Air-Mtr4 polyadenylation (TRAMP) complexes assists the exonuclease Rrp6p in the targeting and degradation of an aberrant messenger ribonucleoprotein particle (mRNP) in yeast</t>
  </si>
  <si>
    <t>Stuparevic I, Mosrin-Huaman C, Hervouet-Coste N, Remenaric M, Rahmouni AR.</t>
  </si>
  <si>
    <t>J Biol Chem. 2013 Nov 1;288(44):31816-29. doi: 10.1074/jbc.M113.491290. Epub 2013 Sep 18.</t>
  </si>
  <si>
    <t>Stuparevic I</t>
  </si>
  <si>
    <t>PMC3814775</t>
  </si>
  <si>
    <t>10.1074/jbc.M113.491290</t>
  </si>
  <si>
    <t>An RNA Metabolism and Surveillance Quartet in the Major Histocompatibility Complex</t>
  </si>
  <si>
    <t>Zhou D, Lai M, Luo A, Yu CY.</t>
  </si>
  <si>
    <t>Cells. 2019 Aug 30;8(9):1008. doi: 10.3390/cells8091008.</t>
  </si>
  <si>
    <t>Zhou D</t>
  </si>
  <si>
    <t>PMC6769589</t>
  </si>
  <si>
    <t>10.3390/cells8091008</t>
  </si>
  <si>
    <t>Arabidopsis AtRRP44A is the functional homolog of Rrp44/Dis3, an exosome component, is essential for viability and is required for RNA processing and degradation</t>
  </si>
  <si>
    <t>Kumakura N, Otsuki H, Tsuzuki M, Takeda A, Watanabe Y.</t>
  </si>
  <si>
    <t>PLoS One. 2013 Nov 7;8(11):e79219. doi: 10.1371/journal.pone.0079219. eCollection 2013.</t>
  </si>
  <si>
    <t>Kumakura N</t>
  </si>
  <si>
    <t>PMC3820695</t>
  </si>
  <si>
    <t>10.1371/journal.pone.0079219</t>
  </si>
  <si>
    <t>Soluble PD-L1 generated by endogenous retroelement exaptation is a receptor antagonist</t>
  </si>
  <si>
    <t>Ng KW, Attig J, Young GR, Ottina E, Papamichos SI, Kotsianidis I, Kassiotis G.</t>
  </si>
  <si>
    <t>Elife. 2019 Nov 15;8:e50256. doi: 10.7554/eLife.50256.</t>
  </si>
  <si>
    <t>Ng KW</t>
  </si>
  <si>
    <t>PMC6877088</t>
  </si>
  <si>
    <t>10.7554/eLife.50256</t>
  </si>
  <si>
    <t>Polyadenylation linked to transcription termination directs the processing of snoRNA precursors in yeast</t>
  </si>
  <si>
    <t>Grzechnik P, Kufel J.</t>
  </si>
  <si>
    <t>Mol Cell. 2008 Oct 24;32(2):247-58. doi: 10.1016/j.molcel.2008.10.003.</t>
  </si>
  <si>
    <t>Grzechnik P</t>
  </si>
  <si>
    <t>PMC2593888</t>
  </si>
  <si>
    <t>10.1016/j.molcel.2008.10.003</t>
  </si>
  <si>
    <t>Expression of Streptococcus mutans wall-associated protein A gene in Chinese hamster ovary cells: prospect for a dental caries DNA vaccine</t>
  </si>
  <si>
    <t>Han TK, Yoder S, Cao C, Ugen KE, Dao ML.</t>
  </si>
  <si>
    <t>DNA Cell Biol. 2001 Sep;20(9):595-601. doi: 10.1089/104454901317095016.</t>
  </si>
  <si>
    <t>Han TK</t>
  </si>
  <si>
    <t>Han Z, Liu X, Chen X, Zhou X, Du T, Roizman B, Zhou G.</t>
  </si>
  <si>
    <t>Proc Natl Acad Sci U S A. 2016 Feb 16;113(7):E894-901. doi: 10.1073/pnas.1525674113. Epub 2016 Feb 1.</t>
  </si>
  <si>
    <t>Han Z</t>
  </si>
  <si>
    <t>PMC4763765</t>
  </si>
  <si>
    <t>Genome-wide mRNA surveillance is coupled to mRNA export</t>
  </si>
  <si>
    <t>Hieronymus H, Yu MC, Silver PA.</t>
  </si>
  <si>
    <t>Genes Dev. 2004 Nov 1;18(21):2652-62. doi: 10.1101/gad.1241204. Epub 2004 Oct 15.</t>
  </si>
  <si>
    <t>Hieronymus H</t>
  </si>
  <si>
    <t>PMC525545</t>
  </si>
  <si>
    <t>10.1101/gad.1241204</t>
  </si>
  <si>
    <t>An exosome-like complex in Sulfolobus solfataricus</t>
  </si>
  <si>
    <t>Evguenieva-Hackenberg E, Walter P, Hochleitner E, Lottspeich F, Klug G.</t>
  </si>
  <si>
    <t>EMBO Rep. 2003 Sep;4(9):889-93. doi: 10.1038/sj.embor.embor929. Epub 2003 Aug 29.</t>
  </si>
  <si>
    <t>PMC1326366</t>
  </si>
  <si>
    <t>10.1038/sj.embor.embor929</t>
  </si>
  <si>
    <t>Cotranscriptional recruitment of yeast TRAMP complex to intronic sequences promotes optimal pre-mRNA splicing</t>
  </si>
  <si>
    <t>Kong KY, Tang HM, Pan K, Huang Z, Lee TH, Hinnebusch AG, Jin DY, Wong CM.</t>
  </si>
  <si>
    <t>Nucleic Acids Res. 2014 Jan;42(1):643-60. doi: 10.1093/nar/gkt888. Epub 2013 Oct 3.</t>
  </si>
  <si>
    <t>Kong KY</t>
  </si>
  <si>
    <t>PMC3874199</t>
  </si>
  <si>
    <t>10.1093/nar/gkt888</t>
  </si>
  <si>
    <t>Bastos N, Melo SA.</t>
  </si>
  <si>
    <t>Methods Mol Biol. 2018;1733:137-143. doi: 10.1007/978-1-4939-7601-0_11.</t>
  </si>
  <si>
    <t>Bastos N</t>
  </si>
  <si>
    <t>Phosphocreatine, an intracellular high-energy compound, is found in the extracellular fluid of the seminal vesicles in mice and rats</t>
  </si>
  <si>
    <t>Lee HJ, Fillers WS, Iyengar MR.</t>
  </si>
  <si>
    <t>Proc Natl Acad Sci U S A. 1988 Oct;85(19):7265-9. doi: 10.1073/pnas.85.19.7265.</t>
  </si>
  <si>
    <t>Lee HJ</t>
  </si>
  <si>
    <t>PMC282166</t>
  </si>
  <si>
    <t>10.1073/pnas.85.19.7265</t>
  </si>
  <si>
    <t>Forterre P, Krupovic M, Raymann K, Soler N.</t>
  </si>
  <si>
    <t>Microbiol Spectr. 2014 Dec;2(6). doi: 10.1128/microbiolspec.PLAS-0027-2014.</t>
  </si>
  <si>
    <t>Forterre P</t>
  </si>
  <si>
    <t>An AP-3-dependent mechanism drives synaptic-like microvesicle biogenesis in pancreatic islet beta-cells</t>
  </si>
  <si>
    <t>Suckow AT, Craige B, Faundez V, Cain WJ, Chessler SD.</t>
  </si>
  <si>
    <t>Am J Physiol Endocrinol Metab. 2010 Jul;299(1):E23-32. doi: 10.1152/ajpendo.00664.2009. Epub 2010 May 4.</t>
  </si>
  <si>
    <t>Suckow AT</t>
  </si>
  <si>
    <t>PMC2904044</t>
  </si>
  <si>
    <t>10.1152/ajpendo.00664.2009</t>
  </si>
  <si>
    <t>Rrp47 functions in RNA surveillance and stable RNA processing when divorced from the exoribonuclease and exosome-binding domains of Rrp6</t>
  </si>
  <si>
    <t>Garland W, Feigenbutz M, Turner M, Mitchell P.</t>
  </si>
  <si>
    <t>RNA. 2013 Dec;19(12):1659-68. doi: 10.1261/rna.039388.113. Epub 2013 Oct 8.</t>
  </si>
  <si>
    <t>PMC3884647</t>
  </si>
  <si>
    <t>10.1261/rna.039388.113</t>
  </si>
  <si>
    <t>Zinc signals in neutrophil granulocytes are required for the formation of neutrophil extracellular traps</t>
  </si>
  <si>
    <t>Hasan R, Rink L, Haase H.</t>
  </si>
  <si>
    <t>Innate Immun. 2013 Jun;19(3):253-64. doi: 10.1177/1753425912458815. Epub 2012 Sep 24.</t>
  </si>
  <si>
    <t>Hasan R</t>
  </si>
  <si>
    <t>10.1177/1753425912458815</t>
  </si>
  <si>
    <t>Csak T, Bala S, Lippai D, Satishchandran A, Catalano D, Kodys K, Szabo G.</t>
  </si>
  <si>
    <t>Liver Int. 2015 Feb;35(2):532-41. doi: 10.1111/liv.12633. Epub 2014 Jul 28.</t>
  </si>
  <si>
    <t>Csak T</t>
  </si>
  <si>
    <t>Liver Int</t>
  </si>
  <si>
    <t>PMC4289469</t>
  </si>
  <si>
    <t>NIHMS613239</t>
  </si>
  <si>
    <t>A novel approach to stabilize fetal cell-free DNA fraction in maternal blood samples for extended period of time</t>
  </si>
  <si>
    <t>Fernando MR, Jiang C, Krzyzanowski GD, Somer-Shely T, Ryan WL.</t>
  </si>
  <si>
    <t>PLoS One. 2018 Dec 6;13(12):e0208508. doi: 10.1371/journal.pone.0208508. eCollection 2018.</t>
  </si>
  <si>
    <t>Fernando MR</t>
  </si>
  <si>
    <t>PMC6283530</t>
  </si>
  <si>
    <t>10.1371/journal.pone.0208508</t>
  </si>
  <si>
    <t>Fail-safe transcription termination: Because one is never enough</t>
  </si>
  <si>
    <t>Lemay JF, Bachand F.</t>
  </si>
  <si>
    <t>RNA Biol. 2015;12(9):927-32. doi: 10.1080/15476286.2015.1073433.</t>
  </si>
  <si>
    <t>Lemay JF</t>
  </si>
  <si>
    <t>PMC4615224</t>
  </si>
  <si>
    <t>10.1080/15476286.2015.1073433</t>
  </si>
  <si>
    <t>TGF-β suppression of HBV RNA through AID-dependent recruitment of an RNA exosome complex</t>
  </si>
  <si>
    <t>Liang G, Liu G, Kitamura K, Wang Z, Chowdhury S, Monjurul AM, Wakae K, Koura M, Shimadu M, Kinoshita K, Muramatsu M.</t>
  </si>
  <si>
    <t>PLoS Pathog. 2015 Apr 2;11(4):e1004780. doi: 10.1371/journal.ppat.1004780. eCollection 2015 Apr.</t>
  </si>
  <si>
    <t>Liang G</t>
  </si>
  <si>
    <t>PMC4383551</t>
  </si>
  <si>
    <t>10.1371/journal.ppat.1004780</t>
  </si>
  <si>
    <t>RNA degradation paths in a 12-subunit nuclear exosome complex</t>
  </si>
  <si>
    <t>Makino DL, Schuch B, Stegmann E, Baumgärtner M, Basquin C, Conti E.</t>
  </si>
  <si>
    <t>Nature. 2015 Aug 6;524(7563):54-8. doi: 10.1038/nature14865. Epub 2015 Jul 29.</t>
  </si>
  <si>
    <t>Makino DL</t>
  </si>
  <si>
    <t>10.1038/nature14865</t>
  </si>
  <si>
    <t>Mechanism of noncoding RNA-associated N(6)-methyladenosine recognition by an RNA processing complex during IgH DNA recombination</t>
  </si>
  <si>
    <t>Nair L, Zhang W, Laffleur B, Jha MK, Lim J, Lee H, Wu L, Alvarez NS, Liu ZP, Munteanu EL, Swayne T, Hanna JH, Ding L, Rothschild G, Basu U.</t>
  </si>
  <si>
    <t>Mol Cell. 2021 Oct 7;81(19):3949-3964.e7. doi: 10.1016/j.molcel.2021.07.037. Epub 2021 Aug 26.</t>
  </si>
  <si>
    <t>Nair L</t>
  </si>
  <si>
    <t>PMC8571800</t>
  </si>
  <si>
    <t>NIHMS1736812</t>
  </si>
  <si>
    <t>10.1016/j.molcel.2021.07.037</t>
  </si>
  <si>
    <t>Antisense RNA stabilization induces transcriptional gene silencing via histone deacetylation in S. cerevisiae</t>
  </si>
  <si>
    <t>Camblong J, Iglesias N, Fickentscher C, Dieppois G, Stutz F.</t>
  </si>
  <si>
    <t>Cell. 2007 Nov 16;131(4):706-17. doi: 10.1016/j.cell.2007.09.014.</t>
  </si>
  <si>
    <t>Camblong J</t>
  </si>
  <si>
    <t>10.1016/j.cell.2007.09.014</t>
  </si>
  <si>
    <t>Air2p is critical for the assembly and RNA-binding of the TRAMP complex and the KOW domain of Mtr4p is crucial for exosome activation</t>
  </si>
  <si>
    <t>Holub P, Lalakova J, Cerna H, Pasulka J, Sarazova M, Hrazdilova K, Arce MS, Hobor F, Stefl R, Vanacova S.</t>
  </si>
  <si>
    <t>Nucleic Acids Res. 2012 Jul;40(12):5679-93. doi: 10.1093/nar/gks223. Epub 2012 Mar 8.</t>
  </si>
  <si>
    <t>Holub P</t>
  </si>
  <si>
    <t>PMC3384339</t>
  </si>
  <si>
    <t>10.1093/nar/gks223</t>
  </si>
  <si>
    <t>Zheng Q, Zhao J, Yu H, Zong H, He X, Zhao Y, Li Y, Wang Y, Bao Y, Li Y, Chen B, Guo W, Wang Y, Chen Z, Zhao Y, Wang L, He X, Huang S.</t>
  </si>
  <si>
    <t>Hepatology. 2020 Jan;71(1):259-274. doi: 10.1002/hep.30805. Epub 2019 Aug 12.</t>
  </si>
  <si>
    <t>Zheng Q</t>
  </si>
  <si>
    <t>Hepatology</t>
  </si>
  <si>
    <t>Exonucleolysis is required for nuclear mRNA quality control in yeast THO mutants</t>
  </si>
  <si>
    <t>Assenholt J, Mouaikel J, Andersen KR, Brodersen DE, Libri D, Jensen TH.</t>
  </si>
  <si>
    <t>RNA. 2008 Nov;14(11):2305-13. doi: 10.1261/rna.1108008. Epub 2008 Sep 29.</t>
  </si>
  <si>
    <t>Assenholt J</t>
  </si>
  <si>
    <t>PMC2578857</t>
  </si>
  <si>
    <t>10.1261/rna.1108008</t>
  </si>
  <si>
    <t>Comprehensive characterization of the rRNA metabolism-related genes in human cancer</t>
  </si>
  <si>
    <t>Cui K, Liu C, Li X, Zhang Q, Li Y.</t>
  </si>
  <si>
    <t>Oncogene. 2020 Jan;39(4):786-800. doi: 10.1038/s41388-019-1026-9. Epub 2019 Sep 23.</t>
  </si>
  <si>
    <t>Cui K</t>
  </si>
  <si>
    <t>10.1038/s41388-019-1026-9</t>
  </si>
  <si>
    <t>Exonuclease domain mutants of yeast DIS3 display genome instability</t>
  </si>
  <si>
    <t>Milbury KL, Paul B, Lari A, Fowler C, Montpetit B, Stirling PC.</t>
  </si>
  <si>
    <t>Nucleus. 2019 Dec;10(1):21-32. doi: 10.1080/19491034.2019.1578600.</t>
  </si>
  <si>
    <t>Milbury KL</t>
  </si>
  <si>
    <t>PMC6380420</t>
  </si>
  <si>
    <t>10.1080/19491034.2019.1578600</t>
  </si>
  <si>
    <t>Requirement of fission yeast Cid14 in polyadenylation of rRNAs</t>
  </si>
  <si>
    <t>Win TZ, Draper S, Read RL, Pearce J, Norbury CJ, Wang SW.</t>
  </si>
  <si>
    <t>Mol Cell Biol. 2006 Mar;26(5):1710-21. doi: 10.1128/MCB.26.5.1710-1721.2006.</t>
  </si>
  <si>
    <t>Win TZ</t>
  </si>
  <si>
    <t>PMC1430263</t>
  </si>
  <si>
    <t>10.1128/MCB.26.5.1710-1721.2006</t>
  </si>
  <si>
    <t>Structural basis of 3' end RNA recognition and exoribonucleolytic cleavage by an exosome RNase PH core</t>
  </si>
  <si>
    <t>Lorentzen E, Conti E.</t>
  </si>
  <si>
    <t>Mol Cell. 2005 Nov 11;20(3):473-81. doi: 10.1016/j.molcel.2005.10.020.</t>
  </si>
  <si>
    <t>Lorentzen E</t>
  </si>
  <si>
    <t>10.1016/j.molcel.2005.10.020</t>
  </si>
  <si>
    <t>Mutations in EXOSC2 are associated with a novel syndrome characterised by retinitis pigmentosa, progressive hearing loss, premature ageing, short stature, mild intellectual disability and distinctive gestalt</t>
  </si>
  <si>
    <t>Di Donato N, Neuhann T, Kahlert AK, Klink B, Hackmann K, Neuhann I, Novotna B, Schallner J, Krause C, Glass IA, Parnell SE, Benet-Pages A, Nissen AM, Berger W, Altmüller J, Thiele H, Weber BH, Schrock E, Dobyns WB, Bier A, Rump A.</t>
  </si>
  <si>
    <t>J Med Genet. 2016 Jun;53(6):419-25. doi: 10.1136/jmedgenet-2015-103511. Epub 2016 Feb 3.</t>
  </si>
  <si>
    <t>Di Donato N</t>
  </si>
  <si>
    <t>J Med Genet</t>
  </si>
  <si>
    <t>10.1136/jmedgenet-2015-103511</t>
  </si>
  <si>
    <t>The mammalian SKIV2L RNA exosome is essential for early B cell development</t>
  </si>
  <si>
    <t>Yang K, Han J, Gill JG, Park JY, Sathe MN, Gattineni J, Wright T, Wysocki C, de la Morena MT, Yan N.</t>
  </si>
  <si>
    <t>Sci Immunol. 2022 Jun 3;7(72):eabn2888. doi: 10.1126/sciimmunol.abn2888. Epub 2022 Jun 3.</t>
  </si>
  <si>
    <t>Yang K</t>
  </si>
  <si>
    <t>Sci Immunol</t>
  </si>
  <si>
    <t>PMC9376044</t>
  </si>
  <si>
    <t>NIHMS1824325</t>
  </si>
  <si>
    <t>10.1126/sciimmunol.abn2888</t>
  </si>
  <si>
    <t>Future directions for precision oncology in prostate cancer</t>
  </si>
  <si>
    <t>Mizuno K, Beltran H.</t>
  </si>
  <si>
    <t>Prostate. 2022 Aug;82 Suppl 1:S86-S96. doi: 10.1002/pros.24354.</t>
  </si>
  <si>
    <t>Mizuno K</t>
  </si>
  <si>
    <t>10.1002/pros.24354</t>
  </si>
  <si>
    <t>Surveillance of nuclear-restricted pre-ribosomes within a subnucleolar region of Saccharomyces cerevisiae</t>
  </si>
  <si>
    <t>Dez C, Houseley J, Tollervey D.</t>
  </si>
  <si>
    <t>EMBO J. 2006 Apr 5;25(7):1534-46. doi: 10.1038/sj.emboj.7601035. Epub 2006 Mar 16.</t>
  </si>
  <si>
    <t>Dez C</t>
  </si>
  <si>
    <t>PMC1440318</t>
  </si>
  <si>
    <t>10.1038/sj.emboj.7601035</t>
  </si>
  <si>
    <t>Structural analysis of the yeast exosome Rrp6p-Rrp47p complex by small-angle X-ray scattering</t>
  </si>
  <si>
    <t>Dedic E, Seweryn P, Jonstrup AT, Flygaard RK, Fedosova NU, Hoffmann SV, Boesen T, Brodersen DE.</t>
  </si>
  <si>
    <t>Biochem Biophys Res Commun. 2014 Jul 18;450(1):634-40. doi: 10.1016/j.bbrc.2014.06.032. Epub 2014 Jun 14.</t>
  </si>
  <si>
    <t>Dedic E</t>
  </si>
  <si>
    <t>10.1016/j.bbrc.2014.06.032</t>
  </si>
  <si>
    <t>The exosome-binding factors Rrp6 and Rrp47 form a composite surface for recruiting the Mtr4 helicase</t>
  </si>
  <si>
    <t>Schuch B, Feigenbutz M, Makino DL, Falk S, Basquin C, Mitchell P, Conti E.</t>
  </si>
  <si>
    <t>EMBO J. 2014 Dec 1;33(23):2829-46. doi: 10.15252/embj.201488757. Epub 2014 Oct 15.</t>
  </si>
  <si>
    <t>Schuch B</t>
  </si>
  <si>
    <t>PMC4282559</t>
  </si>
  <si>
    <t>10.15252/embj.201488757</t>
  </si>
  <si>
    <t>Genetic interactions suggest multiple distinct roles of the arch and core helicase domains of Mtr4 in Rrp6 and exosome function</t>
  </si>
  <si>
    <t>Klauer AA, van Hoof A.</t>
  </si>
  <si>
    <t>Nucleic Acids Res. 2013 Jan 7;41(1):533-41. doi: 10.1093/nar/gks1013. Epub 2012 Nov 9.</t>
  </si>
  <si>
    <t>Klauer AA</t>
  </si>
  <si>
    <t>PMC3592479</t>
  </si>
  <si>
    <t>10.1093/nar/gks1013</t>
  </si>
  <si>
    <t>A novel role for HMGB1 in TLR9-mediated inflammatory responses to CpG-DNA</t>
  </si>
  <si>
    <t>Ivanov S, Dragoi AM, Wang X, Dallacosta C, Louten J, Musco G, Sitia G, Yap GS, Wan Y, Biron CA, Bianchi ME, Wang H, Chu WM.</t>
  </si>
  <si>
    <t>Blood. 2007 Sep 15;110(6):1970-81. doi: 10.1182/blood-2006-09-044776. Epub 2007 Jun 4.</t>
  </si>
  <si>
    <t>Ivanov S</t>
  </si>
  <si>
    <t>PMC1976374</t>
  </si>
  <si>
    <t>10.1182/blood-2006-09-044776</t>
  </si>
  <si>
    <t>Cryptic pol II transcripts are degraded by a nuclear quality control pathway involving a new poly(A) polymerase</t>
  </si>
  <si>
    <t>Wyers F, Rougemaille M, Badis G, Rousselle JC, Dufour ME, Boulay J, Régnault B, Devaux F, Namane A, Séraphin B, Libri D, Jacquier A.</t>
  </si>
  <si>
    <t>Cell. 2005 Jun 3;121(5):725-37. doi: 10.1016/j.cell.2005.04.030.</t>
  </si>
  <si>
    <t>Wyers F</t>
  </si>
  <si>
    <t>10.1016/j.cell.2005.04.030</t>
  </si>
  <si>
    <t>A link between nuclear RNA surveillance, the human exosome and RNA polymerase II transcriptional termination</t>
  </si>
  <si>
    <t>de Almeida SF, García-Sacristán A, Custódio N, Carmo-Fonseca M.</t>
  </si>
  <si>
    <t>Nucleic Acids Res. 2010 Dec;38(22):8015-26. doi: 10.1093/nar/gkq703. Epub 2010 Aug 10.</t>
  </si>
  <si>
    <t>de Almeida SF</t>
  </si>
  <si>
    <t>PMC3001075</t>
  </si>
  <si>
    <t>10.1093/nar/gkq703</t>
  </si>
  <si>
    <t>Identification and characterization of a novel secretory granule calcium-binding protein from the early branching eukaryote Giardia lamblia</t>
  </si>
  <si>
    <t>Touz MC, Gottig N, Nash TE, Lujan HD.</t>
  </si>
  <si>
    <t>J Biol Chem. 2002 Dec 27;277(52):50557-63. doi: 10.1074/jbc.M202558200. Epub 2002 Sep 26.</t>
  </si>
  <si>
    <t>Touz MC</t>
  </si>
  <si>
    <t>10.1074/jbc.M202558200</t>
  </si>
  <si>
    <t>Fluoride at non-toxic dose affects odontoblast gene expression in vitro</t>
  </si>
  <si>
    <t>Wurtz T, Houari S, Mauro N, MacDougall M, Peters H, Berdal A.</t>
  </si>
  <si>
    <t>Toxicology. 2008 Jul 10;249(1):26-34. doi: 10.1016/j.tox.2008.04.013. Epub 2008 Apr 25.</t>
  </si>
  <si>
    <t>Wurtz T</t>
  </si>
  <si>
    <t>10.1016/j.tox.2008.04.013</t>
  </si>
  <si>
    <t>Transgenerational epigenetic inheritance requires a much deeper analysis</t>
  </si>
  <si>
    <t>Sharma A.</t>
  </si>
  <si>
    <t>Trends Mol Med. 2015 May;21(5):269-70. doi: 10.1016/j.molmed.2015.02.010. Epub 2015 Mar 17.</t>
  </si>
  <si>
    <t>10.1016/j.molmed.2015.02.010</t>
  </si>
  <si>
    <t>Pei Y, Ge Y, Zhang X, Li Y.</t>
  </si>
  <si>
    <t>Mikrochim Acta. 2021 Jan 26;188(2):51. doi: 10.1007/s00604-021-04716-1.</t>
  </si>
  <si>
    <t>Pei Y</t>
  </si>
  <si>
    <t>The exosome subunit Rrp43p is required for the efficient maturation of 5.8S, 18S and 25S rRNA</t>
  </si>
  <si>
    <t>Zanchin NI, Goldfarb DS.</t>
  </si>
  <si>
    <t>Nucleic Acids Res. 1999 Mar 1;27(5):1283-8. doi: 10.1093/nar/27.5.1283.</t>
  </si>
  <si>
    <t>Zanchin NI</t>
  </si>
  <si>
    <t>PMC148313</t>
  </si>
  <si>
    <t>10.1093/nar/27.5.1283</t>
  </si>
  <si>
    <t>A yeast exosome cofactor, Mpp6, functions in RNA surveillance and in the degradation of noncoding RNA transcripts</t>
  </si>
  <si>
    <t>Milligan L, Decourty L, Saveanu C, Rappsilber J, Ceulemans H, Jacquier A, Tollervey D.</t>
  </si>
  <si>
    <t>Mol Cell Biol. 2008 Sep;28(17):5446-57. doi: 10.1128/MCB.00463-08. Epub 2008 Jun 30.</t>
  </si>
  <si>
    <t>Milligan L</t>
  </si>
  <si>
    <t>PMC2519741</t>
  </si>
  <si>
    <t>10.1128/MCB.00463-08</t>
  </si>
  <si>
    <t>Short-chain fatty acid receptor GPR41-mediated activation of sympathetic neurons involves synapsin 2b phosphorylation</t>
  </si>
  <si>
    <t>Inoue D, Kimura I, Wakabayashi M, Tsumoto H, Ozawa K, Hara T, Takei Y, Hirasawa A, Ishihama Y, Tsujimoto G.</t>
  </si>
  <si>
    <t>FEBS Lett. 2012 May 21;586(10):1547-54. doi: 10.1016/j.febslet.2012.04.021. Epub 2012 Apr 21.</t>
  </si>
  <si>
    <t>Inoue D</t>
  </si>
  <si>
    <t>10.1016/j.febslet.2012.04.021</t>
  </si>
  <si>
    <t>Liang Y, Xiao M, Wu D, Lin Y, Liu L, He J, Zhang G, Peng LM, Zhang Z.</t>
  </si>
  <si>
    <t>ACS Nano. 2020 Jul 28;14(7):8866-8874. doi: 10.1021/acsnano.0c03523. Epub 2020 Jun 25.</t>
  </si>
  <si>
    <t>Time to focus on circulating nucleic acids for diagnosis and monitoring of gliomas: A systematic review of their role as biomarkers</t>
  </si>
  <si>
    <t>Díaz Méndez AB, Tremante E, Regazzo G, Brandner S, Rizzo MG.</t>
  </si>
  <si>
    <t>Neuropathol Appl Neurobiol. 2021 Jun;47(4):471-487. doi: 10.1111/nan.12691. Epub 2021 Jan 29.</t>
  </si>
  <si>
    <t>Díaz Méndez AB</t>
  </si>
  <si>
    <t>Neuropathol Appl Neurobiol</t>
  </si>
  <si>
    <t>10.1111/nan.12691</t>
  </si>
  <si>
    <t>Adeniji N, Dhanasekaran R.</t>
  </si>
  <si>
    <t>Hepatol Commun. 2021 Dec;5(12):1972-1986. doi: 10.1002/hep4.1823. Epub 2021 Sep 17.</t>
  </si>
  <si>
    <t>Adeniji N</t>
  </si>
  <si>
    <t>Hepatol Commun</t>
  </si>
  <si>
    <t>PMC8631096</t>
  </si>
  <si>
    <t>The nuclear RNA surveillance machinery: the link between ncRNAs and genome structure in budding yeast?</t>
  </si>
  <si>
    <t>Houseley J, Tollervey D.</t>
  </si>
  <si>
    <t>Biochim Biophys Acta. 2008 Apr;1779(4):239-46. doi: 10.1016/j.bbagrm.2007.12.008. Epub 2008 Jan 3.</t>
  </si>
  <si>
    <t>10.1016/j.bbagrm.2007.12.008</t>
  </si>
  <si>
    <t>Sensitive, Highly Stable, and Anti-Fouling Electrode with Hexanethiol and Poly-A Modification for Exosomal microRNA Detection</t>
  </si>
  <si>
    <t>Chen G, Chen W, Xu L, Jin H, Sun W, Lan J, Wu F, Zhang X, Zhang J, Chen J.</t>
  </si>
  <si>
    <t>Anal Chem. 2022 Apr 5;94(13):5382-5391. doi: 10.1021/acs.analchem.2c00069. Epub 2022 Mar 24.</t>
  </si>
  <si>
    <t>Chen G</t>
  </si>
  <si>
    <t>10.1021/acs.analchem.2c00069</t>
  </si>
  <si>
    <t>Structure of the nuclear exosome component Rrp6p reveals an interplay between the active site and the HRDC domain</t>
  </si>
  <si>
    <t>Midtgaard SF, Assenholt J, Jonstrup AT, Van LB, Jensen TH, Brodersen DE.</t>
  </si>
  <si>
    <t>Proc Natl Acad Sci U S A. 2006 Aug 8;103(32):11898-903. doi: 10.1073/pnas.0604731103. Epub 2006 Aug 1.</t>
  </si>
  <si>
    <t>Midtgaard SF</t>
  </si>
  <si>
    <t>PMC2131688</t>
  </si>
  <si>
    <t>10.1073/pnas.0604731103</t>
  </si>
  <si>
    <t>5-fluorouracil enhances exosome-dependent accumulation of polyadenylated rRNAs</t>
  </si>
  <si>
    <t>Fang F, Hoskins J, Butler JS.</t>
  </si>
  <si>
    <t>Mol Cell Biol. 2004 Dec;24(24):10766-76. doi: 10.1128/MCB.24.24.10766-10776.2004.</t>
  </si>
  <si>
    <t>Fang F</t>
  </si>
  <si>
    <t>PMC533989</t>
  </si>
  <si>
    <t>10.1128/MCB.24.24.10766-10776.2004</t>
  </si>
  <si>
    <t>The exosome cofactor Rrp47 is critical for the stability and normal expression of its associated exoribonuclease Rrp6 in Saccharomyces cerevisiae</t>
  </si>
  <si>
    <t>Feigenbutz M, Garland W, Turner M, Mitchell P.</t>
  </si>
  <si>
    <t>PLoS One. 2013 Nov 5;8(11):e80752. doi: 10.1371/journal.pone.0080752. eCollection 2013.</t>
  </si>
  <si>
    <t>Feigenbutz M</t>
  </si>
  <si>
    <t>PMC3818262</t>
  </si>
  <si>
    <t>10.1371/journal.pone.0080752</t>
  </si>
  <si>
    <t>Singh N, Huang L, Wang DB, Shao N, Zhang XE.</t>
  </si>
  <si>
    <t>Anal Chem. 2020 Aug 4;92(15):10569-10577. doi: 10.1021/acs.analchem.0c01464. Epub 2020 Jul 14.</t>
  </si>
  <si>
    <t>Singh N</t>
  </si>
  <si>
    <t>High-throughput sequencing of human plasma RNA by using thermostable group II intron reverse transcriptases</t>
  </si>
  <si>
    <t>Qin Y, Yao J, Wu DC, Nottingham RM, Mohr S, Hunicke-Smith S, Lambowitz AM.</t>
  </si>
  <si>
    <t>RNA. 2016 Jan;22(1):111-28. doi: 10.1261/rna.054809.115. Epub 2015 Nov 9.</t>
  </si>
  <si>
    <t>PMC4691826</t>
  </si>
  <si>
    <t>10.1261/rna.054809.115</t>
  </si>
  <si>
    <t>Sexually dimorphic behavior, neuronal activity, and gene expression in Chd8-mutant mice</t>
  </si>
  <si>
    <t>Jung H, Park H, Choi Y, Kang H, Lee E, Kweon H, Roh JD, Ellegood J, Choi W, Kang J, Rhim I, Choi SY, Bae M, Kim SG, Lee J, Chung C, Yoo T, Park H, Kim Y, Ha S, Um SM, Mo S, Kwon Y, Mah W, Bae YC, Kim H, Lerch JP, Paik SB, Kim E.</t>
  </si>
  <si>
    <t>Nat Neurosci. 2018 Sep;21(9):1218-1228. doi: 10.1038/s41593-018-0208-z. Epub 2018 Aug 13.</t>
  </si>
  <si>
    <t>Jung H</t>
  </si>
  <si>
    <t>Nat Neurosci</t>
  </si>
  <si>
    <t>10.1038/s41593-018-0208-z</t>
  </si>
  <si>
    <t>Gene expression profile in human trabecular meshwork from patients with primary open-angle glaucoma</t>
  </si>
  <si>
    <t>Liu Y, Allingham RR, Qin X, Layfield D, Dellinger AE, Gibson J, Wheeler J, Ashley-Koch AE, Stamer WD, Hauser MA.</t>
  </si>
  <si>
    <t>Invest Ophthalmol Vis Sci. 2013 Sep 27;54(9):6382-9. doi: 10.1167/iovs.13-12128.</t>
  </si>
  <si>
    <t>PMC3787658</t>
  </si>
  <si>
    <t>10.1167/iovs.13-12128</t>
  </si>
  <si>
    <t>Contributions of Trf4p- and Trf5p-dependent polyadenylation to the processing and degradative functions of the yeast nuclear exosome</t>
  </si>
  <si>
    <t>Egecioglu DE, Henras AK, Chanfreau GF.</t>
  </si>
  <si>
    <t>RNA. 2006 Jan;12(1):26-32. doi: 10.1261/rna.2207206.</t>
  </si>
  <si>
    <t>Egecioglu DE</t>
  </si>
  <si>
    <t>PMC1370882</t>
  </si>
  <si>
    <t>10.1261/rna.2207206</t>
  </si>
  <si>
    <t>Export and secretion of the lipoprotein pullulanase by Klebsiella pneumoniae</t>
  </si>
  <si>
    <t>d'Enfert C, Chapon C, Pugsley AP.</t>
  </si>
  <si>
    <t>Mol Microbiol. 1987 Jul;1(1):107-16. doi: 10.1111/j.1365-2958.1987.tb00534.x.</t>
  </si>
  <si>
    <t>d'Enfert C</t>
  </si>
  <si>
    <t>10.1111/j.1365-2958.1987.tb00534.x</t>
  </si>
  <si>
    <t>Bognar Z, Csabai TJ, Pallinger E, Balassa T, Farkas N, Schmidt J, Görgey E, Berta G, Szekeres-Bartho J, Bodis J.</t>
  </si>
  <si>
    <t>J Reprod Immunol. 2019 Apr;132:21-28. doi: 10.1016/j.jri.2019.02.003. Epub 2019 Mar 4.</t>
  </si>
  <si>
    <t>Bognar Z</t>
  </si>
  <si>
    <t>Hyaluronan export through plasma membranes depends on concurrent K+ efflux by K(ir) channels</t>
  </si>
  <si>
    <t>Hagenfeld D, Borkenhagen B, Schulz T, Schillers H, Schumacher U, Prehm P.</t>
  </si>
  <si>
    <t>PLoS One. 2012;7(6):e39096. doi: 10.1371/journal.pone.0039096. Epub 2012 Jun 11.</t>
  </si>
  <si>
    <t>Hagenfeld D</t>
  </si>
  <si>
    <t>PMC3372488</t>
  </si>
  <si>
    <t>10.1371/journal.pone.0039096</t>
  </si>
  <si>
    <t>The extravesicular domain of synaptotagmin-1 is released with the latent fibroblast growth factor-1 homodimer in response to heat shock</t>
  </si>
  <si>
    <t>Tarantini F, LaVallee T, Jackson A, Gamble S, Mouta Carreira C, Garfinkel S, Burgess WH, Maciag T.</t>
  </si>
  <si>
    <t>J Biol Chem. 1998 Aug 28;273(35):22209-16. doi: 10.1074/jbc.273.35.22209.</t>
  </si>
  <si>
    <t>Tarantini F</t>
  </si>
  <si>
    <t>10.1074/jbc.273.35.22209</t>
  </si>
  <si>
    <t>Effects of the extracellular matrix on fetal choroid plexus epithelial cells: changes in morphology and multicellular organization do not affect gene expression</t>
  </si>
  <si>
    <t>Thomas T, Stadler E, Dziadek M.</t>
  </si>
  <si>
    <t>Exp Cell Res. 1992 Nov;203(1):198-213. doi: 10.1016/0014-4827(92)90056-e.</t>
  </si>
  <si>
    <t>Thomas T</t>
  </si>
  <si>
    <t>10.1016/0014-4827(92)90056-e</t>
  </si>
  <si>
    <t>RNA exosome-regulated long non-coding RNA transcription controls super-enhancer activity</t>
  </si>
  <si>
    <t>Pefanis E, Wang J, Rothschild G, Lim J, Kazadi D, Sun J, Federation A, Chao J, Elliott O, Liu ZP, Economides AN, Bradner JE, Rabadan R, Basu U.</t>
  </si>
  <si>
    <t>Cell. 2015 May 7;161(4):774-89. doi: 10.1016/j.cell.2015.04.034.</t>
  </si>
  <si>
    <t>PMC4428671</t>
  </si>
  <si>
    <t>NIHMS684099</t>
  </si>
  <si>
    <t>10.1016/j.cell.2015.04.034</t>
  </si>
  <si>
    <t>Godefroid M, Svensson MV, Cambier P, Uzureau S, Mirabella A, De Bolle X, Van Cutsem P, Widmalm G, Letesson JJ.</t>
  </si>
  <si>
    <t>FEMS Immunol Med Microbiol. 2010 Aug;59(3):364-77. doi: 10.1111/j.1574-695X.2010.00689.x. Epub 2010 Apr 20.</t>
  </si>
  <si>
    <t>Godefroid M</t>
  </si>
  <si>
    <t>FEMS Immunol Med Microbiol</t>
  </si>
  <si>
    <t>Conserved factor Dhp1/Rat1/Xrn2 triggers premature transcription termination and nucleates heterochromatin to promote gene silencing</t>
  </si>
  <si>
    <t>Chalamcharla VR, Folco HD, Dhakshnamoorthy J, Grewal SI.</t>
  </si>
  <si>
    <t>Proc Natl Acad Sci U S A. 2015 Dec 22;112(51):15548-55. doi: 10.1073/pnas.1522127112. Epub 2015 Dec 2.</t>
  </si>
  <si>
    <t>Chalamcharla VR</t>
  </si>
  <si>
    <t>PMC4697380</t>
  </si>
  <si>
    <t>10.1073/pnas.1522127112</t>
  </si>
  <si>
    <t>The RNA exosome targets the AID cytidine deaminase to both strands of transcribed duplex DNA substrates</t>
  </si>
  <si>
    <t>Basu U, Meng FL, Keim C, Grinstein V, Pefanis E, Eccleston J, Zhang T, Myers D, Wasserman CR, Wesemann DR, Januszyk K, Gregory RI, Deng H, Lima CD, Alt FW.</t>
  </si>
  <si>
    <t>Cell. 2011 Feb 4;144(3):353-63. doi: 10.1016/j.cell.2011.01.001. Epub 2011 Jan 20.</t>
  </si>
  <si>
    <t>Basu U</t>
  </si>
  <si>
    <t>PMC3065114</t>
  </si>
  <si>
    <t>NIHMS271788</t>
  </si>
  <si>
    <t>10.1016/j.cell.2011.01.001</t>
  </si>
  <si>
    <t>SMUG1 Promotes Telomere Maintenance through Telomerase RNA Processing</t>
  </si>
  <si>
    <t>Kroustallaki P, Lirussi L, Carracedo S, You P, Esbensen QY, Götz A, Jobert L, Alsøe L, Sætrom P, Gagos S, Nilsen H.</t>
  </si>
  <si>
    <t>Cell Rep. 2019 Aug 13;28(7):1690-1702.e10. doi: 10.1016/j.celrep.2019.07.040.</t>
  </si>
  <si>
    <t>Kroustallaki P</t>
  </si>
  <si>
    <t>10.1016/j.celrep.2019.07.040</t>
  </si>
  <si>
    <t>Segregation of autoantibodies with disease in monozygotic twin pairs discordant for systemic sclerosis. Three further cases</t>
  </si>
  <si>
    <t>McHugh NJ, Harvey GR, Whyte J, Dorsey JK.</t>
  </si>
  <si>
    <t>Arthritis Rheum. 1995 Dec;38(12):1845-50. doi: 10.1002/art.1780381219.</t>
  </si>
  <si>
    <t>McHugh NJ</t>
  </si>
  <si>
    <t>10.1002/art.1780381219</t>
  </si>
  <si>
    <t>Autocrine/paracrine stimulation of purinergic receptors in osteoblasts: contribution of vesicular ATP release</t>
  </si>
  <si>
    <t>Romanello M, Codognotto A, Bicego M, Pines A, Tell G, D'Andrea P.</t>
  </si>
  <si>
    <t>Biochem Biophys Res Commun. 2005 Jun 17;331(4):1429-38. doi: 10.1016/j.bbrc.2005.03.246.</t>
  </si>
  <si>
    <t>Romanello M</t>
  </si>
  <si>
    <t>SKIV2L mutations cause syndromic diarrhea, or trichohepatoenteric syndrome</t>
  </si>
  <si>
    <t>Fabre A, Charroux B, Martinez-Vinson C, Roquelaure B, Odul E, Sayar E, Smith H, Colomb V, Andre N, Hugot JP, Goulet O, Lacoste C, Sarles J, Royet J, Levy N, Badens C.</t>
  </si>
  <si>
    <t>Am J Hum Genet. 2012 Apr 6;90(4):689-92. doi: 10.1016/j.ajhg.2012.02.009. Epub 2012 Mar 22.</t>
  </si>
  <si>
    <t>Fabre A</t>
  </si>
  <si>
    <t>PMC3322239</t>
  </si>
  <si>
    <t>10.1016/j.ajhg.2012.02.009</t>
  </si>
  <si>
    <t>RNA cleavage products generated by antisense oligonucleotides and siRNAs are processed by the RNA surveillance machinery</t>
  </si>
  <si>
    <t>Lima WF, De Hoyos CL, Liang XH, Crooke ST.</t>
  </si>
  <si>
    <t>Nucleic Acids Res. 2016 Apr 20;44(7):3351-63. doi: 10.1093/nar/gkw065. Epub 2016 Feb 3.</t>
  </si>
  <si>
    <t>Lima WF</t>
  </si>
  <si>
    <t>PMC4838368</t>
  </si>
  <si>
    <t>10.1093/nar/gkw065</t>
  </si>
  <si>
    <t>Sethuraman A, Brown M, Krutilina R, Wu ZH, Seagroves TN, Pfeffer LM, Fan M.</t>
  </si>
  <si>
    <t>Breast Cancer Res. 2018 Oct 1;20(1):117. doi: 10.1186/s13058-018-1046-3.</t>
  </si>
  <si>
    <t>Sethuraman A</t>
  </si>
  <si>
    <t>Breast Cancer Res</t>
  </si>
  <si>
    <t>PMC6167787</t>
  </si>
  <si>
    <t>Nip7p interacts with Nop8p, an essential nucleolar protein required for 60S ribosome biogenesis, and the exosome subunit Rrp43p</t>
  </si>
  <si>
    <t>Mol Cell Biol. 1999 Feb;19(2):1518-25. doi: 10.1128/MCB.19.2.1518.</t>
  </si>
  <si>
    <t>PMC116080</t>
  </si>
  <si>
    <t>10.1128/MCB.19.2.1518</t>
  </si>
  <si>
    <t>Assembly of the yeast exoribonuclease Rrp6 with its associated cofactor Rrp47 occurs in the nucleus and is critical for the controlled expression of Rrp47</t>
  </si>
  <si>
    <t>Feigenbutz M, Jones R, Besong TM, Harding SE, Mitchell P.</t>
  </si>
  <si>
    <t>J Biol Chem. 2013 May 31;288(22):15959-70. doi: 10.1074/jbc.M112.445759. Epub 2013 Apr 11.</t>
  </si>
  <si>
    <t>PMC3668751</t>
  </si>
  <si>
    <t>10.1074/jbc.M112.445759</t>
  </si>
  <si>
    <t>The cryo-EM structure of a ribosome-Ski2-Ski3-Ski8 helicase complex</t>
  </si>
  <si>
    <t>Schmidt C, Kowalinski E, Shanmuganathan V, Defenouillère Q, Braunger K, Heuer A, Pech M, Namane A, Berninghausen O, Fromont-Racine M, Jacquier A, Conti E, Becker T, Beckmann R.</t>
  </si>
  <si>
    <t>Science. 2016 Dec 16;354(6318):1431-1433. doi: 10.1126/science.aaf7520.</t>
  </si>
  <si>
    <t>Schmidt C</t>
  </si>
  <si>
    <t>10.1126/science.aaf7520</t>
  </si>
  <si>
    <t>Brameyer S, Plener L, Müller A, Klingl A, Wanner G, Jung K.</t>
  </si>
  <si>
    <t>J Bacteriol. 2018 Jul 10;200(15):e00740-17. doi: 10.1128/JB.00740-17. Print 2018 Aug 1.</t>
  </si>
  <si>
    <t>Brameyer S</t>
  </si>
  <si>
    <t>PMC6040191</t>
  </si>
  <si>
    <t>Wang L, Lv J, Guo C, Li H, Xiong C.</t>
  </si>
  <si>
    <t>Biotechnol Appl Biochem. 2014 May-Jun;61(3):342-8. doi: 10.1002/bab.1172. Epub 2014 Mar 24.</t>
  </si>
  <si>
    <t>Biotechnol Appl Biochem</t>
  </si>
  <si>
    <t>Exome sequencing in a family with intellectual disability, early onset spasticity, and cerebellar atrophy detects a novel mutation in EXOSC3</t>
  </si>
  <si>
    <t>Zanni G, Scotton C, Passarelli C, Fang M, Barresi S, Dallapiccola B, Wu B, Gualandi F, Ferlini A, Bertini E, Wei W.</t>
  </si>
  <si>
    <t>Neurogenetics. 2013 Nov;14(3-4):247-50. doi: 10.1007/s10048-013-0371-z. Epub 2013 Aug 24.</t>
  </si>
  <si>
    <t>Zanni G</t>
  </si>
  <si>
    <t>Neurogenetics</t>
  </si>
  <si>
    <t>10.1007/s10048-013-0371-z</t>
  </si>
  <si>
    <t>Giovannelli I, Martelli F, Repice A, Massacesi L, Azzi A, Giannecchini S.</t>
  </si>
  <si>
    <t>J Neurovirol. 2015 Dec;21(6):666-70. doi: 10.1007/s13365-015-0325-3. Epub 2015 Feb 13.</t>
  </si>
  <si>
    <t>E3-ubiquitin ligase Nedd4 determines the fate of AID-associated RNA polymerase II in B cells</t>
  </si>
  <si>
    <t>Sun J, Keim CD, Wang J, Kazadi D, Oliver PM, Rabadan R, Basu U.</t>
  </si>
  <si>
    <t>Genes Dev. 2013 Aug 15;27(16):1821-33. doi: 10.1101/gad.210211.112.</t>
  </si>
  <si>
    <t>Sun J</t>
  </si>
  <si>
    <t>PMC3759698</t>
  </si>
  <si>
    <t>10.1101/gad.210211.112</t>
  </si>
  <si>
    <t>Cold shock proteins: from cellular mechanisms to pathophysiology and disease</t>
  </si>
  <si>
    <t>Lindquist JA, Mertens PR.</t>
  </si>
  <si>
    <t>Cell Commun Signal. 2018 Sep 26;16(1):63. doi: 10.1186/s12964-018-0274-6.</t>
  </si>
  <si>
    <t>Lindquist JA</t>
  </si>
  <si>
    <t>PMC6158828</t>
  </si>
  <si>
    <t>10.1186/s12964-018-0274-6</t>
  </si>
  <si>
    <t>Chromatin Dynamics and the RNA Exosome Function in Concert to Regulate Transcriptional Homeostasis</t>
  </si>
  <si>
    <t>Rege M, Subramanian V, Zhu C, Hsieh TH, Weiner A, Friedman N, Clauder-Münster S, Steinmetz LM, Rando OJ, Boyer LA, Peterson CL.</t>
  </si>
  <si>
    <t>Cell Rep. 2015 Nov 24;13(8):1610-22. doi: 10.1016/j.celrep.2015.10.030. Epub 2015 Nov 12.</t>
  </si>
  <si>
    <t>Rege M</t>
  </si>
  <si>
    <t>PMC4662874</t>
  </si>
  <si>
    <t>NIHMS731410</t>
  </si>
  <si>
    <t>10.1016/j.celrep.2015.10.030</t>
  </si>
  <si>
    <t>Uropathogenic E. coli (UPEC) Infection Induces Proliferation through Enhancer of Zeste Homologue 2 (EZH2)</t>
  </si>
  <si>
    <t>Ting K, Aitken KJ, Penna F, Samiei AN, Sidler M, Jiang JX, Ibrahim F, Tolg C, Delgado-Olguin P, Rosenblum N, Bägli DJ.</t>
  </si>
  <si>
    <t>PLoS One. 2016 Mar 10;11(3):e0149118. doi: 10.1371/journal.pone.0149118. eCollection 2016.</t>
  </si>
  <si>
    <t>Ting K</t>
  </si>
  <si>
    <t>PMC4786126</t>
  </si>
  <si>
    <t>Substrate specificity of the TRAMP nuclear surveillance complexes</t>
  </si>
  <si>
    <t>Delan-Forino C, Spanos C, Rappsilber J, Tollervey D.</t>
  </si>
  <si>
    <t>Nat Commun. 2020 Jun 19;11(1):3122. doi: 10.1038/s41467-020-16965-4.</t>
  </si>
  <si>
    <t>Delan-Forino C</t>
  </si>
  <si>
    <t>PMC7305330</t>
  </si>
  <si>
    <t>10.1038/s41467-020-16965-4</t>
  </si>
  <si>
    <t>The significance of programmed cell death or apoptosis and matrix vesicles in atherogenesis</t>
  </si>
  <si>
    <t>Stehbens WE.</t>
  </si>
  <si>
    <t>Cell Mol Biol (Noisy-le-grand). 2000 Feb;46(1):99-110.</t>
  </si>
  <si>
    <t>Stehbens WE</t>
  </si>
  <si>
    <t>Cell Mol Biol (Noisy-le-grand)</t>
  </si>
  <si>
    <t>The Prospect and Challenges to the Flow of Liquid Biopsy in Africa</t>
  </si>
  <si>
    <t>Temilola DO, Wium M, Coulidiati TH, Adeola HA, Carbone GM, Catapano CV, Zerbini LF.</t>
  </si>
  <si>
    <t>Cells. 2019 Aug 9;8(8):862. doi: 10.3390/cells8080862.</t>
  </si>
  <si>
    <t>Temilola DO</t>
  </si>
  <si>
    <t>PMC6721679</t>
  </si>
  <si>
    <t>10.3390/cells8080862</t>
  </si>
  <si>
    <t>Contribution of domain structure to the RNA 3' end processing and degradation functions of the nuclear exosome subunit Rrp6p</t>
  </si>
  <si>
    <t>Phillips S, Butler JS.</t>
  </si>
  <si>
    <t>RNA. 2003 Sep;9(9):1098-107. doi: 10.1261/rna.5560903.</t>
  </si>
  <si>
    <t>Phillips S</t>
  </si>
  <si>
    <t>PMC1370474</t>
  </si>
  <si>
    <t>10.1261/rna.5560903</t>
  </si>
  <si>
    <t>Bimodal expression of PHO84 is modulated by early termination of antisense transcription</t>
  </si>
  <si>
    <t>Castelnuovo M, Rahman S, Guffanti E, Infantino V, Stutz F, Zenklusen D.</t>
  </si>
  <si>
    <t>Nat Struct Mol Biol. 2013 Jul;20(7):851-8. doi: 10.1038/nsmb.2598. Epub 2013 Jun 16.</t>
  </si>
  <si>
    <t>Castelnuovo M</t>
  </si>
  <si>
    <t>Nat Struct Mol Biol</t>
  </si>
  <si>
    <t>PMC4972572</t>
  </si>
  <si>
    <t>CAMS4085</t>
  </si>
  <si>
    <t>10.1038/nsmb.2598</t>
  </si>
  <si>
    <t>Differential control of interleukin-6 mRNA levels by cellular distribution of YB-1</t>
  </si>
  <si>
    <t>Kang S, Lee TA, Ra EA, Lee E, Choi Hj, Lee S, Park B.</t>
  </si>
  <si>
    <t>PLoS One. 2014 Nov 14;9(11):e112754. doi: 10.1371/journal.pone.0112754. eCollection 2014.</t>
  </si>
  <si>
    <t>Kang S</t>
  </si>
  <si>
    <t>PMC4232504</t>
  </si>
  <si>
    <t>10.1371/journal.pone.0112754</t>
  </si>
  <si>
    <t>Tavoosidana G, Ronquist G, Darmanis S, Yan J, Carlsson L, Wu D, Conze T, Ek P, Semjonow A, Eltze E, Larsson A, Landegren UD, Kamali-Moghaddam M.</t>
  </si>
  <si>
    <t>Proc Natl Acad Sci U S A. 2011 May 24;108(21):8809-14. doi: 10.1073/pnas.1019330108. Epub 2011 May 9.</t>
  </si>
  <si>
    <t>Tavoosidana G</t>
  </si>
  <si>
    <t>PMC3102389</t>
  </si>
  <si>
    <t>Cellular uptake of amelogenin, and its localization to CD63, and Lamp1-positive vesicles</t>
  </si>
  <si>
    <t>Shapiro JL, Wen X, Okamoto CT, Wang HJ, Lyngstadaas SP, Goldberg M, Snead ML, Paine ML.</t>
  </si>
  <si>
    <t>Cell Mol Life Sci. 2007 Jan;64(2):244-56. doi: 10.1007/s00018-006-6429-4.</t>
  </si>
  <si>
    <t>Shapiro JL</t>
  </si>
  <si>
    <t>10.1007/s00018-006-6429-4</t>
  </si>
  <si>
    <t>An ultrastructural investigation of cytomegalovirus replication in murine hepatocytes</t>
  </si>
  <si>
    <t>Papadimitriou JM, Shellam GR, Robertson TA.</t>
  </si>
  <si>
    <t>J Gen Virol. 1984 Nov;65 ( Pt 11):1979-90. doi: 10.1099/0022-1317-65-11-1979.</t>
  </si>
  <si>
    <t>Papadimitriou JM</t>
  </si>
  <si>
    <t>10.1099/0022-1317-65-11-1979</t>
  </si>
  <si>
    <t>Mutation (D472Y) in the type 3 repeat domain of cartilage oligomeric matrix protein affects its early vesicle trafficking in endoplasmic reticulum and induces apoptosis</t>
  </si>
  <si>
    <t>Hashimoto Y, Tomiyama T, Yamano Y, Mori H.</t>
  </si>
  <si>
    <t>Am J Pathol. 2003 Jul;163(1):101-10. doi: 10.1016/S0002-9440(10)63634-6.</t>
  </si>
  <si>
    <t>Hashimoto Y</t>
  </si>
  <si>
    <t>PMC1868176</t>
  </si>
  <si>
    <t>10.1016/S0002-9440(10)63634-6</t>
  </si>
  <si>
    <t>An extracellular matrix-based mechanism of rapid neutrophil extracellular trap formation in response to Candida albicans</t>
  </si>
  <si>
    <t>Byrd AS, O'Brien XM, Johnson CM, Lavigne LM, Reichner JS.</t>
  </si>
  <si>
    <t>J Immunol. 2013 Apr 15;190(8):4136-48. doi: 10.4049/jimmunol.1202671. Epub 2013 Mar 15.</t>
  </si>
  <si>
    <t>Byrd AS</t>
  </si>
  <si>
    <t>PMC3622194</t>
  </si>
  <si>
    <t>NIHMS446903</t>
  </si>
  <si>
    <t>Nanoplasmonic sensors for detecting circulating cancer biomarkers</t>
  </si>
  <si>
    <t>Ferhan AR, Jackman JA, Park JH, Cho NJ, Kim DH.</t>
  </si>
  <si>
    <t>Adv Drug Deliv Rev. 2018 Feb 1;125:48-77. doi: 10.1016/j.addr.2017.12.004. Epub 2017 Dec 14.</t>
  </si>
  <si>
    <t>Ferhan AR</t>
  </si>
  <si>
    <t>10.1016/j.addr.2017.12.004</t>
  </si>
  <si>
    <t>Autoantibodies to nucleolar antigens in systemic scleroderma: clinical correlations</t>
  </si>
  <si>
    <t>Błaszczyk M, Jarzabek-Chorzelska M, Jabłońska S, Chorzelski T, Kołacińska-Strasz Z, Beutner EH, Kumar V.</t>
  </si>
  <si>
    <t>Br J Dermatol. 1990 Oct;123(4):421-30. doi: 10.1111/j.1365-2133.1990.tb01445.x.</t>
  </si>
  <si>
    <t>Błaszczyk M</t>
  </si>
  <si>
    <t>Br J Dermatol</t>
  </si>
  <si>
    <t>10.1111/j.1365-2133.1990.tb01445.x</t>
  </si>
  <si>
    <t>Evolution of the shell coat and yolk in amniotes: a marsupial perspective</t>
  </si>
  <si>
    <t>Menkhorst E, Nation A, Cui S, Selwood L.</t>
  </si>
  <si>
    <t>J Exp Zool B Mol Dev Evol. 2009 Sep 15;312(6):625-38. doi: 10.1002/jez.b.21235.</t>
  </si>
  <si>
    <t>Menkhorst E</t>
  </si>
  <si>
    <t>J Exp Zool B Mol Dev Evol</t>
  </si>
  <si>
    <t>Dynamin 2 mutations associated with human diseases impair clathrin-mediated receptor endocytosis</t>
  </si>
  <si>
    <t>Bitoun M, Durieux AC, Prudhon B, Bevilacqua JA, Herledan A, Sakanyan V, Urtizberea A, Cartier L, Romero NB, Guicheney P.</t>
  </si>
  <si>
    <t>Hum Mutat. 2009 Oct;30(10):1419-27. doi: 10.1002/humu.21086.</t>
  </si>
  <si>
    <t>Bitoun M</t>
  </si>
  <si>
    <t>Hum Mutat</t>
  </si>
  <si>
    <t>10.1002/humu.21086</t>
  </si>
  <si>
    <t>Zhang A, Li M, Wang B, Klein JD, Price SR, Wang XH.</t>
  </si>
  <si>
    <t>J Cachexia Sarcopenia Muscle. 2018 Aug;9(4):755-770. doi: 10.1002/jcsm.12296. Epub 2018 Mar 26.</t>
  </si>
  <si>
    <t>Zhang A</t>
  </si>
  <si>
    <t>J Cachexia Sarcopenia Muscle</t>
  </si>
  <si>
    <t>PMC6104113</t>
  </si>
  <si>
    <t>The PolyA tail length of yeast histone mRNAs varies during the cell cycle and is influenced by Sen1p and Rrp6p</t>
  </si>
  <si>
    <t>Beggs S, James TC, Bond U.</t>
  </si>
  <si>
    <t>Nucleic Acids Res. 2012 Mar;40(6):2700-11. doi: 10.1093/nar/gkr1108. Epub 2011 Nov 28.</t>
  </si>
  <si>
    <t>Beggs S</t>
  </si>
  <si>
    <t>PMC3315300</t>
  </si>
  <si>
    <t>10.1093/nar/gkr1108</t>
  </si>
  <si>
    <t>An innovative targeted therapy for fluoroscopy-induced chronic radiation dermatitis</t>
  </si>
  <si>
    <t>Wei KC, Lai SF, Huang WL, Yang KC, Lai PC, Wei WJ, Chang TH, Huang YC, Tsai YC, Lin SC, Lin SJ, Lin SC.</t>
  </si>
  <si>
    <t>J Mol Med (Berl). 2022 Jan;100(1):135-146. doi: 10.1007/s00109-021-02146-3. Epub 2021 Oct 23.</t>
  </si>
  <si>
    <t>Wei KC</t>
  </si>
  <si>
    <t>PMC8724166</t>
  </si>
  <si>
    <t>10.1007/s00109-021-02146-3</t>
  </si>
  <si>
    <t>Membrane-derived microvesicles: important and underappreciated mediators of cell-to-cell communication</t>
  </si>
  <si>
    <t>Ratajczak J, Wysoczynski M, Hayek F, Janowska-Wieczorek A, Ratajczak MZ.</t>
  </si>
  <si>
    <t>Leukemia. 2006 Sep;20(9):1487-95. doi: 10.1038/sj.leu.2404296. Epub 2006 Jul 20.</t>
  </si>
  <si>
    <t>Ratajczak J</t>
  </si>
  <si>
    <t>10.1038/sj.leu.2404296</t>
  </si>
  <si>
    <t>The anti-cancer drug 5-fluorouracil affects cell cycle regulators and potential regulatory long non-coding RNAs in yeast</t>
  </si>
  <si>
    <t>Xie B, Becker E, Stuparevic I, Wery M, Szachnowski U, Morillon A, Primig M.</t>
  </si>
  <si>
    <t>RNA Biol. 2019 Jun;16(6):727-741. doi: 10.1080/15476286.2019.1581596. Epub 2019 Mar 20.</t>
  </si>
  <si>
    <t>Xie B</t>
  </si>
  <si>
    <t>PMC6546400</t>
  </si>
  <si>
    <t>10.1080/15476286.2019.1581596</t>
  </si>
  <si>
    <t>A role for DIS3L2 over natural nonsense-mediated mRNA decay targets in human cells</t>
  </si>
  <si>
    <t>da Costa PJ, Menezes J, Saramago M, García-Moreno JF, Santos HA, Gama-Carvalho M, Arraiano CM, Viegas SC, Romão L.</t>
  </si>
  <si>
    <t>Biochem Biophys Res Commun. 2019 Oct 22;518(4):664-671. doi: 10.1016/j.bbrc.2019.08.105. Epub 2019 Aug 26.</t>
  </si>
  <si>
    <t>da Costa PJ</t>
  </si>
  <si>
    <t>10.1016/j.bbrc.2019.08.105</t>
  </si>
  <si>
    <t>Microprocessor, Setx, Xrn2, and Rrp6 co-operate to induce premature termination of transcription by RNAPII</t>
  </si>
  <si>
    <t>Wagschal A, Rousset E, Basavarajaiah P, Contreras X, Harwig A, Laurent-Chabalier S, Nakamura M, Chen X, Zhang K, Meziane O, Boyer F, Parrinello H, Berkhout B, Terzian C, Benkirane M, Kiernan R.</t>
  </si>
  <si>
    <t>Cell. 2012 Sep 14;150(6):1147-57. doi: 10.1016/j.cell.2012.08.004.</t>
  </si>
  <si>
    <t>Wagschal A</t>
  </si>
  <si>
    <t>PMC3595997</t>
  </si>
  <si>
    <t>EMS51877</t>
  </si>
  <si>
    <t>10.1016/j.cell.2012.08.004</t>
  </si>
  <si>
    <t>Gene-dosage dependent overexpression at the 13q amplicon identifies DIS3 as candidate oncogene in colorectal cancer progression</t>
  </si>
  <si>
    <t>de Groen FL, Krijgsman O, Tijssen M, Vriend LE, Ylstra B, Hooijberg E, Meijer GA, Steenbergen RD, Carvalho B.</t>
  </si>
  <si>
    <t>Genes Chromosomes Cancer. 2014 Apr;53(4):339-48. doi: 10.1002/gcc.22144. Epub 2014 Jan 29.</t>
  </si>
  <si>
    <t>de Groen FL</t>
  </si>
  <si>
    <t>10.1002/gcc.22144</t>
  </si>
  <si>
    <t>The SKIV2L RNA exosome limits activation of the RIG-I-like receptors</t>
  </si>
  <si>
    <t>Eckard SC, Rice GI, Fabre A, Badens C, Gray EE, Hartley JL, Crow YJ, Stetson DB.</t>
  </si>
  <si>
    <t>Nat Immunol. 2014 Sep;15(9):839-45. doi: 10.1038/ni.2948. Epub 2014 Jul 27.</t>
  </si>
  <si>
    <t>Eckard SC</t>
  </si>
  <si>
    <t>Nat Immunol</t>
  </si>
  <si>
    <t>PMC4139417</t>
  </si>
  <si>
    <t>NIHMS609228</t>
  </si>
  <si>
    <t>10.1038/ni.2948</t>
  </si>
  <si>
    <t>Mutagenesis analysis of the zinc-finger antiviral protein</t>
  </si>
  <si>
    <t>Wang X, Lv F, Gao G.</t>
  </si>
  <si>
    <t>Retrovirology. 2010 Mar 13;7:19. doi: 10.1186/1742-4690-7-19.</t>
  </si>
  <si>
    <t>PMC2847535</t>
  </si>
  <si>
    <t>10.1186/1742-4690-7-19</t>
  </si>
  <si>
    <t>Apoptotic chondrocytes from osteoarthrotic human articular cartilage and abnormal calcification of subchondral bone</t>
  </si>
  <si>
    <t>Kourí JB, Aguilera JM, Reyes J, Lozoya KA, González S.</t>
  </si>
  <si>
    <t>J Rheumatol. 2000 Apr;27(4):1005-19.</t>
  </si>
  <si>
    <t>Kourí JB</t>
  </si>
  <si>
    <t>Pushing beyond the Envelope: the Potential Roles of OprF in Pseudomonas aeruginosa Biofilm Formation and Pathogenicity</t>
  </si>
  <si>
    <t>Cassin EK, Tseng BS.</t>
  </si>
  <si>
    <t>J Bacteriol. 2019 Aug 22;201(18):e00050-19. doi: 10.1128/JB.00050-19. Print 2019 Sep 15.</t>
  </si>
  <si>
    <t>Cassin EK</t>
  </si>
  <si>
    <t>PMC6707909</t>
  </si>
  <si>
    <t>10.1128/JB.00050-19</t>
  </si>
  <si>
    <t>The yeast cytoplasmic LsmI/Pat1p complex protects mRNA 3' termini from partial degradation</t>
  </si>
  <si>
    <t>He W, Parker R.</t>
  </si>
  <si>
    <t>Genetics. 2001 Aug;158(4):1445-55. doi: 10.1093/genetics/158.4.1445.</t>
  </si>
  <si>
    <t>He W</t>
  </si>
  <si>
    <t>PMC1461746</t>
  </si>
  <si>
    <t>10.1093/genetics/158.4.1445</t>
  </si>
  <si>
    <t>IT'S 2 for the price of 1: Multifaceted ITS2 processing machines in RNA and DNA maintenance</t>
  </si>
  <si>
    <t>Pillon MC, Lo YH, Stanley RE.</t>
  </si>
  <si>
    <t>DNA Repair (Amst). 2019 Sep;81:102653. doi: 10.1016/j.dnarep.2019.102653. Epub 2019 Jul 8.</t>
  </si>
  <si>
    <t>Pillon MC</t>
  </si>
  <si>
    <t>DNA Repair (Amst)</t>
  </si>
  <si>
    <t>PMC6764878</t>
  </si>
  <si>
    <t>NIHMS1534917</t>
  </si>
  <si>
    <t>10.1016/j.dnarep.2019.102653</t>
  </si>
  <si>
    <t>Accumulation of unstable promoter-associated transcripts upon loss of the nuclear exosome subunit Rrp6p in Saccharomyces cerevisiae</t>
  </si>
  <si>
    <t>Davis CA, Ares M Jr.</t>
  </si>
  <si>
    <t>Proc Natl Acad Sci U S A. 2006 Feb 28;103(9):3262-7. doi: 10.1073/pnas.0507783103. Epub 2006 Feb 16.</t>
  </si>
  <si>
    <t>Davis CA</t>
  </si>
  <si>
    <t>PMC1413877</t>
  </si>
  <si>
    <t>10.1073/pnas.0507783103</t>
  </si>
  <si>
    <t>Gulf War Illness: Mechanisms Underlying Brain Dysfunction and Promising Therapeutic Strategies</t>
  </si>
  <si>
    <t>Dickey B, Madhu LN, Shetty AK.</t>
  </si>
  <si>
    <t>Pharmacol Ther. 2021 Apr;220:107716. doi: 10.1016/j.pharmthera.2020.107716. Epub 2020 Oct 24.</t>
  </si>
  <si>
    <t>Dickey B</t>
  </si>
  <si>
    <t>PMC8011829</t>
  </si>
  <si>
    <t>NIHMS1673789</t>
  </si>
  <si>
    <t>10.1016/j.pharmthera.2020.107716</t>
  </si>
  <si>
    <t>Carbon Nanotube Field-Effect Transistor Biosensor for Ultrasensitive and Label-Free Detection of Breast Cancer Exosomal miRNA21</t>
  </si>
  <si>
    <t>Li T, Liang Y, Li J, Yu Y, Xiao MM, Ni W, Zhang Z, Zhang GJ.</t>
  </si>
  <si>
    <t>Anal Chem. 2021 Nov 23;93(46):15501-15507. doi: 10.1021/acs.analchem.1c03573. Epub 2021 Nov 8.</t>
  </si>
  <si>
    <t>Li T</t>
  </si>
  <si>
    <t>10.1021/acs.analchem.1c03573</t>
  </si>
  <si>
    <t>Molecular structure and function of autoantigens in systemic sclerosis</t>
  </si>
  <si>
    <t>Lee B, Craft JE.</t>
  </si>
  <si>
    <t>Int Rev Immunol. 1995;12(2-4):129-44. doi: 10.3109/08830189509056708.</t>
  </si>
  <si>
    <t>Lee B</t>
  </si>
  <si>
    <t>10.3109/08830189509056708</t>
  </si>
  <si>
    <t>Chen L, Yang R, Hu X, Xiang X, Yu S, Wu X.</t>
  </si>
  <si>
    <t>Virus Res. 2013 May;173(2):404-14. doi: 10.1016/j.virusres.2012.12.016. Epub 2013 Jan 5.</t>
  </si>
  <si>
    <t>Chen L</t>
  </si>
  <si>
    <t>The molecular architecture of the TRAMP complex reveals the organization and interplay of its two catalytic activities</t>
  </si>
  <si>
    <t>Falk S, Weir JR, Hentschel J, Reichelt P, Bonneau F, Conti E.</t>
  </si>
  <si>
    <t>Mol Cell. 2014 Sep 18;55(6):856-867. doi: 10.1016/j.molcel.2014.07.020. Epub 2014 Aug 28.</t>
  </si>
  <si>
    <t>10.1016/j.molcel.2014.07.020</t>
  </si>
  <si>
    <t>Long-term epigenetic alterations in a rat model of Gulf War Illness</t>
  </si>
  <si>
    <t>Pierce LM, Kurata WE, Matsumoto KW, Clark ME, Farmer DM.</t>
  </si>
  <si>
    <t>Neurotoxicology. 2016 Jul;55:20-32. doi: 10.1016/j.neuro.2016.05.007. Epub 2016 May 11.</t>
  </si>
  <si>
    <t>Pierce LM</t>
  </si>
  <si>
    <t>Neurotoxicology</t>
  </si>
  <si>
    <t>10.1016/j.neuro.2016.05.007</t>
  </si>
  <si>
    <t>Verhamme DT, Arents JC, Postma PW, Crielaard W, Hellingwerf KJ.</t>
  </si>
  <si>
    <t>Microbiology (Reading). 2001 Dec;147(Pt 12):3345-52. doi: 10.1099/00221287-147-12-3345.</t>
  </si>
  <si>
    <t>Verhamme DT</t>
  </si>
  <si>
    <t>Secretory granules are recaptured largely intact after stimulated exocytosis in cultured endocrine cells</t>
  </si>
  <si>
    <t>Taraska JW, Perrais D, Ohara-Imaizumi M, Nagamatsu S, Almers W.</t>
  </si>
  <si>
    <t>Proc Natl Acad Sci U S A. 2003 Feb 18;100(4):2070-5. doi: 10.1073/pnas.0337526100. Epub 2003 Jan 21.</t>
  </si>
  <si>
    <t>Taraska JW</t>
  </si>
  <si>
    <t>PMC149960</t>
  </si>
  <si>
    <t>10.1073/pnas.0337526100</t>
  </si>
  <si>
    <t>The mRNA encoding the yeast ARE-binding protein Cth2 is generated by a novel 3' processing pathway</t>
  </si>
  <si>
    <t>Ciais D, Bohnsack MT, Tollervey D.</t>
  </si>
  <si>
    <t>Nucleic Acids Res. 2008 May;36(9):3075-84. doi: 10.1093/nar/gkn160. Epub 2008 Apr 8.</t>
  </si>
  <si>
    <t>Ciais D</t>
  </si>
  <si>
    <t>PMC2396412</t>
  </si>
  <si>
    <t>10.1093/nar/gkn160</t>
  </si>
  <si>
    <t>Generation of reelin-positive marginal zone cells from the caudomedial wall of telencephalic vesicles</t>
  </si>
  <si>
    <t>Takiguchi-Hayashi K, Sekiguchi M, Ashigaki S, Takamatsu M, Hasegawa H, Suzuki-Migishima R, Yokoyama M, Nakanishi S, Tanabe Y.</t>
  </si>
  <si>
    <t>J Neurosci. 2004 Mar 3;24(9):2286-95. doi: 10.1523/JNEUROSCI.4671-03.2004.</t>
  </si>
  <si>
    <t>Takiguchi-Hayashi K</t>
  </si>
  <si>
    <t>PMC6730420</t>
  </si>
  <si>
    <t>10.1523/JNEUROSCI.4671-03.2004</t>
  </si>
  <si>
    <t>Hehl AB, Marti M, Köhler P.</t>
  </si>
  <si>
    <t>Mol Biol Cell. 2000 May;11(5):1789-800. doi: 10.1091/mbc.11.5.1789.</t>
  </si>
  <si>
    <t>Hehl AB</t>
  </si>
  <si>
    <t>PMC14884</t>
  </si>
  <si>
    <t>Chemical inhibition of PAPD5/7 rescues telomerase function and hematopoiesis in dyskeratosis congenita</t>
  </si>
  <si>
    <t>Shukla S, Jeong HC, Sturgeon CM, Parker R, Batista LFZ.</t>
  </si>
  <si>
    <t>Blood Adv. 2020 Jun 23;4(12):2717-2722. doi: 10.1182/bloodadvances.2020001848.</t>
  </si>
  <si>
    <t>Shukla S</t>
  </si>
  <si>
    <t>PMC7322949</t>
  </si>
  <si>
    <t>10.1182/bloodadvances.2020001848</t>
  </si>
  <si>
    <t>Posttranscriptional modulation of TERC by PAPD5 inhibition rescues hematopoietic development in dyskeratosis congenita</t>
  </si>
  <si>
    <t>Fok WC, Shukla S, Vessoni AT, Brenner KA, Parker R, Sturgeon CM, Batista LFZ.</t>
  </si>
  <si>
    <t>Blood. 2019 Mar 21;133(12):1308-1312. doi: 10.1182/blood-2018-11-885368. Epub 2019 Feb 6.</t>
  </si>
  <si>
    <t>Fok WC</t>
  </si>
  <si>
    <t>PMC6428664</t>
  </si>
  <si>
    <t>10.1182/blood-2018-11-885368</t>
  </si>
  <si>
    <t>Regulation of the conserved 3'-5' exoribonuclease EXOSC10/Rrp6 during cell division, development and cancer</t>
  </si>
  <si>
    <t>Stuparević I, Novačić A, Rahmouni AR, Fernandez A, Lamb N, Primig M.</t>
  </si>
  <si>
    <t>Biol Rev Camb Philos Soc. 2021 Aug;96(4):1092-1113. doi: 10.1111/brv.12693. Epub 2021 Feb 18.</t>
  </si>
  <si>
    <t>Stuparević I</t>
  </si>
  <si>
    <t>Biol Rev Camb Philos Soc</t>
  </si>
  <si>
    <t>10.1111/brv.12693</t>
  </si>
  <si>
    <t>Current and Future Trends on Diagnosis and Prognosis of Glioblastoma: From Molecular Biology to Proteomics</t>
  </si>
  <si>
    <t>Silantyev AS, Falzone L, Libra M, Gurina OI, Kardashova KS, Nikolouzakis TK, Nosyrev AE, Sutton CW, Mitsias PD, Tsatsakis A.</t>
  </si>
  <si>
    <t>Cells. 2019 Aug 9;8(8):863. doi: 10.3390/cells8080863.</t>
  </si>
  <si>
    <t>Silantyev AS</t>
  </si>
  <si>
    <t>PMC6721640</t>
  </si>
  <si>
    <t>10.3390/cells8080863</t>
  </si>
  <si>
    <t>Purification and properties of African swine fever virus</t>
  </si>
  <si>
    <t>Carrascosa AL, del Val M, Santarén JF, Viñuela E.</t>
  </si>
  <si>
    <t>J Virol. 1985 May;54(2):337-44. doi: 10.1128/JVI.54.2.337-344.1985.</t>
  </si>
  <si>
    <t>Carrascosa AL</t>
  </si>
  <si>
    <t>PMC254802</t>
  </si>
  <si>
    <t>10.1128/JVI.54.2.337-344.1985</t>
  </si>
  <si>
    <t>Neutrophils, from marrow to microbes</t>
  </si>
  <si>
    <t>Borregaard N.</t>
  </si>
  <si>
    <t>Immunity. 2010 Nov 24;33(5):657-70. doi: 10.1016/j.immuni.2010.11.011.</t>
  </si>
  <si>
    <t>Borregaard N</t>
  </si>
  <si>
    <t>10.1016/j.immuni.2010.11.011</t>
  </si>
  <si>
    <t>ncRNAs associated with drug resistance and the therapy of digestive system neoplasms</t>
  </si>
  <si>
    <t>Feng W, Su Z, Yin Q, Zong W, Shen X, Ju S.</t>
  </si>
  <si>
    <t>J Cell Physiol. 2019 Nov;234(11):19143-19157. doi: 10.1002/jcp.28551. Epub 2019 Apr 2.</t>
  </si>
  <si>
    <t>Feng W</t>
  </si>
  <si>
    <t>10.1002/jcp.28551</t>
  </si>
  <si>
    <t>Differential marker protein expression specifies rarefaction zone-containing human Adark spermatogonia</t>
  </si>
  <si>
    <t>von Kopylow K, Staege H, Spiess AN, Schulze W, Will H, Primig M, Kirchhoff C.</t>
  </si>
  <si>
    <t>Reproduction. 2012 Jan 1;143(1):45-57. doi: 10.1530/REP-11-0290. Epub 2011 Nov 1.</t>
  </si>
  <si>
    <t>von Kopylow K</t>
  </si>
  <si>
    <t>10.1530/REP-11-0290</t>
  </si>
  <si>
    <t>Odontoblast differentiation of human dental pulp cells in explant cultures</t>
  </si>
  <si>
    <t>Couble ML, Farges JC, Bleicher F, Perrat-Mabillon B, Boudeulle M, Magloire H.</t>
  </si>
  <si>
    <t>Calcif Tissue Int. 2000 Feb;66(2):129-38. doi: 10.1007/pl00005833.</t>
  </si>
  <si>
    <t>Couble ML</t>
  </si>
  <si>
    <t>Calcif Tissue Int</t>
  </si>
  <si>
    <t>10.1007/pl00005833</t>
  </si>
  <si>
    <t>Characterization of otoconin-95, the major protein of murine otoconia, provides insights into the formation of these inner ear biominerals</t>
  </si>
  <si>
    <t>Verpy E, Leibovici M, Petit C.</t>
  </si>
  <si>
    <t>Proc Natl Acad Sci U S A. 1999 Jan 19;96(2):529-34. doi: 10.1073/pnas.96.2.529.</t>
  </si>
  <si>
    <t>Verpy E</t>
  </si>
  <si>
    <t>PMC15170</t>
  </si>
  <si>
    <t>10.1073/pnas.96.2.529</t>
  </si>
  <si>
    <t>Homozygous EXOSC3 mutation c.92G→C, p.G31A is a founder mutation causing severe pontocerebellar hypoplasia type 1 among the Czech Roma</t>
  </si>
  <si>
    <t>Schwabova J, Brozkova DS, Petrak B, Mojzisova M, Pavlickova K, Haberlova J, Mrazkova L, Hedvicakova P, Hornofova L, Kaluzova M, Fencl F, Krutova M, Zamecnik J, Seeman P.</t>
  </si>
  <si>
    <t>J Neurogenet. 2013 Dec;27(4):163-9. doi: 10.3109/01677063.2013.814651. Epub 2013 Jul 25.</t>
  </si>
  <si>
    <t>Schwabova J</t>
  </si>
  <si>
    <t>10.3109/01677063.2013.814651</t>
  </si>
  <si>
    <t>Contributions of glycosaminoglycan binding and clustering to the biological uptake of the nonamphipathic cell-penetrating peptide WR9</t>
  </si>
  <si>
    <t>Ziegler A, Seelig J.</t>
  </si>
  <si>
    <t>Biochemistry. 2011 May 31;50(21):4650-64. doi: 10.1021/bi1019429. Epub 2011 May 3.</t>
  </si>
  <si>
    <t>Ziegler A</t>
  </si>
  <si>
    <t>SWAP-70 associates transiently with macropinosomes</t>
  </si>
  <si>
    <t>Oberbanscheidt P, Balkow S, Kühnl J, Grabbe S, Bähler M.</t>
  </si>
  <si>
    <t>Eur J Cell Biol. 2007 Jan;86(1):13-24. doi: 10.1016/j.ejcb.2006.08.005. Epub 2006 Oct 12.</t>
  </si>
  <si>
    <t>Oberbanscheidt P</t>
  </si>
  <si>
    <t>Eur J Cell Biol</t>
  </si>
  <si>
    <t>10.1016/j.ejcb.2006.08.005</t>
  </si>
  <si>
    <t>Barriers to gene delivery using synthetic vectors</t>
  </si>
  <si>
    <t>Read ML, Logan A, Seymour LW.</t>
  </si>
  <si>
    <t>Adv Genet. 2005;53:19-46.</t>
  </si>
  <si>
    <t>Read ML</t>
  </si>
  <si>
    <t>Adv Genet</t>
  </si>
  <si>
    <t>Myosin Va enhances secretion of herpes simplex virus 1 virions and cell surface expression of viral glycoproteins</t>
  </si>
  <si>
    <t>Roberts KL, Baines JD.</t>
  </si>
  <si>
    <t>J Virol. 2010 Oct;84(19):9889-96. doi: 10.1128/JVI.00732-10. Epub 2010 Jul 14.</t>
  </si>
  <si>
    <t>Roberts KL</t>
  </si>
  <si>
    <t>PMC2937760</t>
  </si>
  <si>
    <t>10.1128/JVI.00732-10</t>
  </si>
  <si>
    <t>Perturbation of mRNP biogenesis reveals a dynamic landscape of the Rrp6-dependent surveillance machinery trafficking along the yeast genome</t>
  </si>
  <si>
    <t>Moreau K, Le Dantec A, Mosrin-Huaman C, Bigot Y, Piégu B, Rahmouni AR.</t>
  </si>
  <si>
    <t>RNA Biol. 2019 Jul;16(7):879-889. doi: 10.1080/15476286.2019.1593745. Epub 2019 Apr 21.</t>
  </si>
  <si>
    <t>Moreau K</t>
  </si>
  <si>
    <t>PMC6546349</t>
  </si>
  <si>
    <t>10.1080/15476286.2019.1593745</t>
  </si>
  <si>
    <t>Air1 zinc knuckles 4 and 5 and a conserved IWRXY motif are critical for the function and integrity of the Trf4/5-Air1/2-Mtr4 polyadenylation (TRAMP) RNA quality control complex</t>
  </si>
  <si>
    <t>Fasken MB, Leung SW, Banerjee A, Kodani MO, Chavez R, Bowman EA, Purohit MK, Rubinson ME, Rubinson EH, Corbett AH.</t>
  </si>
  <si>
    <t>J Biol Chem. 2011 Oct 28;286(43):37429-45. doi: 10.1074/jbc.M111.271494. Epub 2011 Aug 30.</t>
  </si>
  <si>
    <t>Fasken MB</t>
  </si>
  <si>
    <t>PMC3199490</t>
  </si>
  <si>
    <t>10.1074/jbc.M111.271494</t>
  </si>
  <si>
    <t>Accumulation of Epstein-Barr virus (EBV) BMRF1 protein EA-D during latent EBV activation of Burkitt's lymphoma cell line Raji</t>
  </si>
  <si>
    <t>Ohashi M, Horie K, Hoshikawa Y, Nagata K, Osaki M, Ito H, Sairenji T.</t>
  </si>
  <si>
    <t>Microbes Infect. 2007 Feb;9(2):150-9. doi: 10.1016/j.micinf.2006.11.001. Epub 2006 Nov 29.</t>
  </si>
  <si>
    <t>Ohashi M</t>
  </si>
  <si>
    <t>Microbes Infect</t>
  </si>
  <si>
    <t>10.1016/j.micinf.2006.11.001</t>
  </si>
  <si>
    <t>Liu S, Liu D, Chen C, Hamamura K, Moshaverinia A, Yang R, Liu Y, Jin Y, Shi S.</t>
  </si>
  <si>
    <t>Cell Metab. 2015 Oct 6;22(4):606-18. doi: 10.1016/j.cmet.2015.08.018. Epub 2015 Sep 10.</t>
  </si>
  <si>
    <t>Liu S</t>
  </si>
  <si>
    <t>PMC4731233</t>
  </si>
  <si>
    <t>NIHMS719008</t>
  </si>
  <si>
    <t>Circulating Exosomal microRNAs as Predictive Biomarkers of Neoadjuvant Chemotherapy Response in Breast Cancer</t>
  </si>
  <si>
    <t>Todorova VK, Byrum SD, Gies AJ, Haynie C, Smith H, Reyna NS, Makhoul I.</t>
  </si>
  <si>
    <t>Curr Oncol. 2022 Jan 28;29(2):613-630. doi: 10.3390/curroncol29020055.</t>
  </si>
  <si>
    <t>Todorova VK</t>
  </si>
  <si>
    <t>Curr Oncol</t>
  </si>
  <si>
    <t>PMC8870357</t>
  </si>
  <si>
    <t>10.3390/curroncol29020055</t>
  </si>
  <si>
    <t>ETL, a novel seven-transmembrane receptor that is developmentally regulated in the heart. ETL is a member of the secretin family and belongs to the epidermal growth factor-seven-transmembrane subfamily</t>
  </si>
  <si>
    <t>Nechiporuk T, Urness LD, Keating MT.</t>
  </si>
  <si>
    <t>J Biol Chem. 2001 Feb 9;276(6):4150-7. doi: 10.1074/jbc.M004814200. Epub 2000 Oct 24.</t>
  </si>
  <si>
    <t>Nechiporuk T</t>
  </si>
  <si>
    <t>10.1074/jbc.M004814200</t>
  </si>
  <si>
    <t>Deep sequencing shows multiple oligouridylations are required for 3' to 5' degradation of histone mRNAs on polyribosomes</t>
  </si>
  <si>
    <t>Slevin MK, Meaux S, Welch JD, Bigler R, Miliani de Marval PL, Su W, Rhoads RE, Prins JF, Marzluff WF.</t>
  </si>
  <si>
    <t>Mol Cell. 2014 Mar 20;53(6):1020-30. doi: 10.1016/j.molcel.2014.02.027.</t>
  </si>
  <si>
    <t>Slevin MK</t>
  </si>
  <si>
    <t>PMC4403670</t>
  </si>
  <si>
    <t>NIHMS583776</t>
  </si>
  <si>
    <t>10.1016/j.molcel.2014.02.027</t>
  </si>
  <si>
    <t>Ocádiz R, Orozco E, Carrillo E, Quintas LI, Ortega-López J, García-Pérez RM, Sánchez T, Castillo-Juárez BA, García-Rivera G, Rodríguez MA.</t>
  </si>
  <si>
    <t>Cell Microbiol. 2005 Feb;7(2):221-32. doi: 10.1111/j.1462-5822.2004.00453.x.</t>
  </si>
  <si>
    <t>Ocádiz R</t>
  </si>
  <si>
    <t>EXOSC4 functions as a potential oncogene in development and progression of colorectal cancer</t>
  </si>
  <si>
    <t>Pan Y, Tong JHM, Kang W, Lung RWM, Chak WP, Chung LY, Wu F, Li H, Yu J, Chan AWH, To KF.</t>
  </si>
  <si>
    <t>Mol Carcinog. 2018 Dec;57(12):1780-1791. doi: 10.1002/mc.22896. Epub 2018 Sep 21.</t>
  </si>
  <si>
    <t>10.1002/mc.22896</t>
  </si>
  <si>
    <t>Ohyashiki K, Umezu T, Katagiri S, Kobayashi C, Azuma K, Tauchi T, Okabe S, Fukuoka Y, Ohyashiki JH.</t>
  </si>
  <si>
    <t>Int J Mol Sci. 2016 Apr 15;17(4):570. doi: 10.3390/ijms17040570.</t>
  </si>
  <si>
    <t>Ohyashiki K</t>
  </si>
  <si>
    <t>PMC4849026</t>
  </si>
  <si>
    <t>Vacuolar H+ ATPase expression and activity is required for Rab27B-dependent invasive growth and metastasis of breast cancer</t>
  </si>
  <si>
    <t>Hendrix A, Sormunen R, Westbroek W, Lambein K, Denys H, Sys G, Braems G, Van den Broecke R, Cocquyt V, Gespach C, Bracke M, De Wever O.</t>
  </si>
  <si>
    <t>Int J Cancer. 2013 Aug 15;133(4):843-54. doi: 10.1002/ijc.28079. Epub 2013 Mar 7.</t>
  </si>
  <si>
    <t>Hendrix A</t>
  </si>
  <si>
    <t>10.1002/ijc.28079</t>
  </si>
  <si>
    <t>Isolation and enrichment of circulating biomarkers for cancer screening, detection, and diagnostics</t>
  </si>
  <si>
    <t>Hyun KA, Kim J, Gwak H, Jung HI.</t>
  </si>
  <si>
    <t>Analyst. 2016 Jan 21;141(2):382-92. doi: 10.1039/c5an01762a.</t>
  </si>
  <si>
    <t>Hyun KA</t>
  </si>
  <si>
    <t>10.1039/c5an01762a</t>
  </si>
  <si>
    <t>Veitch S, Njock MS, Chandy M, Siraj MA, Chi L, Mak H, Yu K, Rathnakumar K, Perez-Romero CA, Chen Z, Alibhai FJ, Gustafson D, Raju S, Wu R, Zarrin Khat D, Wang Y, Caballero A, Meagher P, Lau E, Pepic L, Cheng HS, Galant NJ, Howe KL, Li RK, Connelly KA, Husain M, Delgado-Olguin P, Fish JE.</t>
  </si>
  <si>
    <t>Cardiovasc Diabetol. 2022 Feb 24;21(1):31. doi: 10.1186/s12933-022-01458-z.</t>
  </si>
  <si>
    <t>Veitch S</t>
  </si>
  <si>
    <t>Cardiovasc Diabetol</t>
  </si>
  <si>
    <t>PMC8876371</t>
  </si>
  <si>
    <t>Insulin-like growth factor-II/mannose 6-phosphate receptor is incapable of activating GTP-binding proteins in response to mannose 6-phosphate, but capable in response to insulin-like growth factor-II</t>
  </si>
  <si>
    <t>Okamoto T, Nishimoto I, Murayama Y, Ohkuni Y, Ogata E.</t>
  </si>
  <si>
    <t>Biochem Biophys Res Commun. 1990 May 16;168(3):1201-10. doi: 10.1016/0006-291x(90)91156-m.</t>
  </si>
  <si>
    <t>Okamoto T</t>
  </si>
  <si>
    <t>10.1016/0006-291x(90)91156-m</t>
  </si>
  <si>
    <t>Pucciarelli MG, Prieto AI, Casadesús J, Garcı A-Del Portillo F.</t>
  </si>
  <si>
    <t>Microbiology (Reading). 2002 Apr;148(Pt 4):1171-1182. doi: 10.1099/00221287-148-4-1171.</t>
  </si>
  <si>
    <t>Pucciarelli MG</t>
  </si>
  <si>
    <t>Complementation of P37 (F13L gene) knock-out in vaccinia virus by a cell line expressing the gene constitutively</t>
  </si>
  <si>
    <t>Borrego B, Lorenzo MM, Blasco R.</t>
  </si>
  <si>
    <t>J Gen Virol. 1999 Feb;80 ( Pt 2):425-432. doi: 10.1099/0022-1317-80-2-425.</t>
  </si>
  <si>
    <t>Borrego B</t>
  </si>
  <si>
    <t>10.1099/0022-1317-80-2-425</t>
  </si>
  <si>
    <t>Selective intracellular retention of extracellular matrix proteins and chaperones associated with pseudoachondroplasia</t>
  </si>
  <si>
    <t>Vranka J, Mokashi A, Keene DR, Tufa S, Corson G, Sussman M, Horton WA, Maddox K, Sakai L, Bächinger HP.</t>
  </si>
  <si>
    <t>Matrix Biol. 2001 Nov;20(7):439-50. doi: 10.1016/s0945-053x(01)00148-2.</t>
  </si>
  <si>
    <t>Vranka J</t>
  </si>
  <si>
    <t>10.1016/s0945-053x(01)00148-2</t>
  </si>
  <si>
    <t>Hwang S, He Y, Xiang X, Seo W, Kim SJ, Ma J, Ren T, Park SH, Zhou Z, Feng D, Kunos G, Gao B.</t>
  </si>
  <si>
    <t>Hepatology. 2020 Aug;72(2):412-429. doi: 10.1002/hep.31031. Epub 2020 Mar 16.</t>
  </si>
  <si>
    <t>Hwang S</t>
  </si>
  <si>
    <t>PMC7210045</t>
  </si>
  <si>
    <t>NIHMS1059207</t>
  </si>
  <si>
    <t>The spacer peptide between human immunodeficiency virus capsid and nucleocapsid proteins is essential for ordered assembly and viral infectivity</t>
  </si>
  <si>
    <t>Kräusslich HG, Fäcke M, Heuser AM, Konvalinka J, Zentgraf H.</t>
  </si>
  <si>
    <t>J Virol. 1995 Jun;69(6):3407-19. doi: 10.1128/JVI.69.6.3407-3419.1995.</t>
  </si>
  <si>
    <t>Kräusslich HG</t>
  </si>
  <si>
    <t>PMC189053</t>
  </si>
  <si>
    <t>10.1128/JVI.69.6.3407-3419.1995</t>
  </si>
  <si>
    <t>CHE-14, a protein with a sterol-sensing domain, is required for apical sorting in C. elegans ectodermal epithelial cells</t>
  </si>
  <si>
    <t>Michaux G, Gansmuller A, Hindelang C, Labouesse M.</t>
  </si>
  <si>
    <t>Curr Biol. 2000 Sep 21;10(18):1098-107. doi: 10.1016/s0960-9822(00)00695-3.</t>
  </si>
  <si>
    <t>Michaux G</t>
  </si>
  <si>
    <t>10.1016/s0960-9822(00)00695-3</t>
  </si>
  <si>
    <t>Chen X, Xu Y, Jiang L, Tan Q.</t>
  </si>
  <si>
    <t>Thorac Cancer. 2021 May;12(10):1549-1557. doi: 10.1111/1759-7714.13939. Epub 2021 Mar 23.</t>
  </si>
  <si>
    <t>PMC8107034</t>
  </si>
  <si>
    <t>Dissecting miRNA facilitated physiology and function in human breast cancer for therapeutic intervention</t>
  </si>
  <si>
    <t>Sengupta D, Deb M, Kar S, Pradhan N, Parbin S, Kirtana R, Singh SP, Suma SG, Niharika, Roy A, Manna S, Saha P, Chakraborty P, Dash S, Kausar C, Patra SK.</t>
  </si>
  <si>
    <t>Semin Cancer Biol. 2021 Jul;72:46-64. doi: 10.1016/j.semcancer.2020.05.017. Epub 2020 Jun 1.</t>
  </si>
  <si>
    <t>Sengupta D</t>
  </si>
  <si>
    <t>10.1016/j.semcancer.2020.05.017</t>
  </si>
  <si>
    <t>Olivieri F, Albertini MC, Orciani M, Ceka A, Cricca M, Procopio AD, Bonafè M.</t>
  </si>
  <si>
    <t>Oncotarget. 2015 Nov 3;6(34):35509-21. doi: 10.18632/oncotarget.5899.</t>
  </si>
  <si>
    <t>Olivieri F</t>
  </si>
  <si>
    <t>PMC4742121</t>
  </si>
  <si>
    <t>Johnson K, Hashimoto S, Lotz M, Pritzker K, Goding J, Terkeltaub R.</t>
  </si>
  <si>
    <t>Arthritis Rheum. 2001 May;44(5):1071-81. doi: 10.1002/1529-0131(200105)44:5&lt;1071::AID-ANR187&gt;3.0.CO;2-3.</t>
  </si>
  <si>
    <t>Johnson K</t>
  </si>
  <si>
    <t>10.1002/1529-0131(200105)44:5&lt;1071::AID-ANR187&gt;3.0.CO;2-3</t>
  </si>
  <si>
    <t>Execution of the meiotic noncoding RNA expression program and the onset of gametogenesis in yeast require the conserved exosome subunit Rrp6</t>
  </si>
  <si>
    <t>Lardenois A, Liu Y, Walther T, Chalmel F, Evrard B, Granovskaia M, Chu A, Davis RW, Steinmetz LM, Primig M.</t>
  </si>
  <si>
    <t>Proc Natl Acad Sci U S A. 2011 Jan 18;108(3):1058-63. doi: 10.1073/pnas.1016459108. Epub 2010 Dec 13.</t>
  </si>
  <si>
    <t>Lardenois A</t>
  </si>
  <si>
    <t>PMC3024698</t>
  </si>
  <si>
    <t>10.1073/pnas.1016459108</t>
  </si>
  <si>
    <t>Endoribonucleases--enzymes gaining spotlight in mRNA metabolism</t>
  </si>
  <si>
    <t>Li WM, Barnes T, Lee CH.</t>
  </si>
  <si>
    <t>FEBS J. 2010 Feb;277(3):627-41. doi: 10.1111/j.1742-4658.2009.07488.x. Epub 2009 Dec 4.</t>
  </si>
  <si>
    <t>Li WM</t>
  </si>
  <si>
    <t>10.1111/j.1742-4658.2009.07488.x</t>
  </si>
  <si>
    <t>The Role of Liquid Biopsy Analytes in Diagnosis, Treatment and Prognosis of Colorectal Cancer</t>
  </si>
  <si>
    <t>He J, Xi N, Han Z, Luo W, Shen J, Wang S, Li J, Guo Z, Cheng H.</t>
  </si>
  <si>
    <t>Front Endocrinol (Lausanne). 2022 Jun 30;13:875442. doi: 10.3389/fendo.2022.875442. eCollection 2022.</t>
  </si>
  <si>
    <t>He J</t>
  </si>
  <si>
    <t>PMC9279561</t>
  </si>
  <si>
    <t>10.3389/fendo.2022.875442</t>
  </si>
  <si>
    <t>Cyclophilin C-associated protein/Mac-2 binding protein colocalizes with calnexin and regulates the expression of tissue transglutaminase</t>
  </si>
  <si>
    <t>Kong W, Lin BW, Li S, Longaker MT, Lorenz HP.</t>
  </si>
  <si>
    <t>J Cell Physiol. 2010 Apr;223(1):151-7. doi: 10.1002/jcp.22020.</t>
  </si>
  <si>
    <t>Kong W</t>
  </si>
  <si>
    <t>10.1002/jcp.22020</t>
  </si>
  <si>
    <t>Marré J, Traver EC, Jose AM.</t>
  </si>
  <si>
    <t>Proc Natl Acad Sci U S A. 2016 Nov 1;113(44):12496-12501. doi: 10.1073/pnas.1608959113. Epub 2016 Oct 17.</t>
  </si>
  <si>
    <t>Marré J</t>
  </si>
  <si>
    <t>PMC5098612</t>
  </si>
  <si>
    <t>Incorporation of ophiobolin a into novel chemoembolization particles for cancer cell treatment</t>
  </si>
  <si>
    <t>Morrison R, Gardiner C, Evidente A, Kiss R, Townley H.</t>
  </si>
  <si>
    <t>Pharm Res. 2014 Oct;31(10):2904-17. doi: 10.1007/s11095-014-1386-3. Epub 2014 May 3.</t>
  </si>
  <si>
    <t>Morrison R</t>
  </si>
  <si>
    <t>RNA unwinding by the Trf4/Air2/Mtr4 polyadenylation (TRAMP) complex</t>
  </si>
  <si>
    <t>Jia H, Wang X, Anderson JT, Jankowsky E.</t>
  </si>
  <si>
    <t>Proc Natl Acad Sci U S A. 2012 May 8;109(19):7292-7. doi: 10.1073/pnas.1201085109. Epub 2012 Apr 24.</t>
  </si>
  <si>
    <t>Jia H</t>
  </si>
  <si>
    <t>PMC3358879</t>
  </si>
  <si>
    <t>10.1073/pnas.1201085109</t>
  </si>
  <si>
    <t>Global analysis of mRNA decay in Halobacterium salinarum NRC-1 at single-gene resolution using DNA microarrays</t>
  </si>
  <si>
    <t>Hundt S, Zaigler A, Lange C, Soppa J, Klug G.</t>
  </si>
  <si>
    <t>J Bacteriol. 2007 Oct;189(19):6936-44. doi: 10.1128/JB.00559-07. Epub 2007 Jul 20.</t>
  </si>
  <si>
    <t>Hundt S</t>
  </si>
  <si>
    <t>PMC2045193</t>
  </si>
  <si>
    <t>10.1128/JB.00559-07</t>
  </si>
  <si>
    <t>The rationale for combined chemo/immunotherapy using a Toll-like receptor 3 (TLR3) agonist and tumour-derived exosomes in advanced ovarian cancer</t>
  </si>
  <si>
    <t>Adams M, Navabi H, Croston D, Coleman S, Tabi Z, Clayton A, Jasani B, Mason MD.</t>
  </si>
  <si>
    <t>Vaccine. 2005 Mar 18;23(17-18):2374-8. doi: 10.1016/j.vaccine.2005.01.014.</t>
  </si>
  <si>
    <t>Adams M</t>
  </si>
  <si>
    <t>10.1016/j.vaccine.2005.01.014</t>
  </si>
  <si>
    <t>Zhu X, You Y, Li Q, Zeng C, Fu F, Guo A, Zhang H, Zou P, Zhong Z, Wang H, Wu Y, Li Q, Kong F, Chen Z.</t>
  </si>
  <si>
    <t>Leukemia. 2014 Aug;28(8):1666-75. doi: 10.1038/leu.2014.51. Epub 2014 Jan 31.</t>
  </si>
  <si>
    <t>Zhu X</t>
  </si>
  <si>
    <t>Yeast Trf5p is a nuclear poly(A) polymerase</t>
  </si>
  <si>
    <t>EMBO Rep. 2006 Feb;7(2):205-11. doi: 10.1038/sj.embor.7400612.</t>
  </si>
  <si>
    <t>PMC1369253</t>
  </si>
  <si>
    <t>10.1038/sj.embor.7400612</t>
  </si>
  <si>
    <t>Human mast cells secreting leukotriene C4 express the MRP1 gene-encoded conjugate export pump</t>
  </si>
  <si>
    <t>Bartosz G, König J, Keppler D, Hagmann W.</t>
  </si>
  <si>
    <t>Biol Chem. 1998 Aug-Sep;379(8-9):1121-6. doi: 10.1515/bchm.1998.379.8-9.1121.</t>
  </si>
  <si>
    <t>Bartosz G</t>
  </si>
  <si>
    <t>10.1515/bchm.1998.379.8-9.1121</t>
  </si>
  <si>
    <t>Complete Genomic and Ultrastructural Analysis of a Nam Dinh Virus Isolated from Culex pipiens quinquefasciatus in China</t>
  </si>
  <si>
    <t>Zhou J, Jin Y, Chen Y, Li J, Zhang Q, Xie X, Gan L, Liu Q.</t>
  </si>
  <si>
    <t>Sci Rep. 2017 Mar 21;7(1):271. doi: 10.1038/s41598-017-00340-3.</t>
  </si>
  <si>
    <t>Zhou J</t>
  </si>
  <si>
    <t>PMC5428213</t>
  </si>
  <si>
    <t>10.1038/s41598-017-00340-3</t>
  </si>
  <si>
    <t>Substitution of histidine-137 by glutamine abolishes the catalytic activity of the ribosome-inactivating protein alpha-sarcin</t>
  </si>
  <si>
    <t>Lacadena J, Mancheño JM, Martinez-Ruiz A, Martínez del Pozo A, Gasset M, Oñaderra M, Gavilanes JG.</t>
  </si>
  <si>
    <t>Biochem J. 1995 Jul 15;309 ( Pt 2)(Pt 2):581-6. doi: 10.1042/bj3090581.</t>
  </si>
  <si>
    <t>Lacadena J</t>
  </si>
  <si>
    <t>PMC1135770</t>
  </si>
  <si>
    <t>10.1042/bj3090581</t>
  </si>
  <si>
    <t>Equine herpesvirus 1 (EHV-1) glycoprotein M: effect of deletions of transmembrane domains</t>
  </si>
  <si>
    <t>Seyboldt C, Granzow H, Osterrieder N.</t>
  </si>
  <si>
    <t>Virology. 2000 Dec 20;278(2):477-89. doi: 10.1006/viro.2000.0664.</t>
  </si>
  <si>
    <t>Seyboldt C</t>
  </si>
  <si>
    <t>A homologue of N-ethylmaleimide-sensitive factor in the malaria parasite Plasmodium falciparum is exported and localized in vesicular structures in the cytoplasm of infected erythrocytes in the brefeldin A-sensitive pathway</t>
  </si>
  <si>
    <t>Hayashi M, Taniguchi S, Ishizuka Y, Kim HS, Wataya Y, Yamamoto A, Moriyama Y.</t>
  </si>
  <si>
    <t>J Biol Chem. 2001 May 4;276(18):15249-55. doi: 10.1074/jbc.M011709200. Epub 2001 Feb 1.</t>
  </si>
  <si>
    <t>10.1074/jbc.M011709200</t>
  </si>
  <si>
    <t>The fission yeast sts5+ gene is required for maintenance of growth polarity and functionally interacts with protein kinase C and an osmosensing MAP-kinase pathway</t>
  </si>
  <si>
    <t>Toda T, Niwa H, Nemoto T, Dhut S, Eddison M, Matsusaka T, Yanagida M, Hirata D.</t>
  </si>
  <si>
    <t>J Cell Sci. 1996 Sep;109 ( Pt 9):2331-42. doi: 10.1242/jcs.109.9.2331.</t>
  </si>
  <si>
    <t>Toda T</t>
  </si>
  <si>
    <t>10.1242/jcs.109.9.2331</t>
  </si>
  <si>
    <t>Integrator-Dependent and Allosteric/Intrinsic Mechanisms Ensure Efficient Termination of snRNA Transcription</t>
  </si>
  <si>
    <t>Davidson L, Francis L, Eaton JD, West S.</t>
  </si>
  <si>
    <t>Cell Rep. 2020 Oct 27;33(4):108319. doi: 10.1016/j.celrep.2020.108319.</t>
  </si>
  <si>
    <t>Davidson L</t>
  </si>
  <si>
    <t>PMC7610016</t>
  </si>
  <si>
    <t>10.1016/j.celrep.2020.108319</t>
  </si>
  <si>
    <t>Sanchez II, Nguyen TB, England WE, Lim RG, Vu AQ, Miramontes R, Byrne LM, Markmiller S, Lau AL, Orellana I, Curtis MA, Faull RLM, Yeo GW, Fowler CD, Reidling JC, Wild EJ, Spitale RC, Thompson LM.</t>
  </si>
  <si>
    <t>J Clin Invest. 2021 Jun 15;131(12):e140723. doi: 10.1172/JCI140723.</t>
  </si>
  <si>
    <t>Sanchez II</t>
  </si>
  <si>
    <t>PMC8203471</t>
  </si>
  <si>
    <t>Neuronal Ca2+ sensor 1, the mammalian homologue of frequenin, is expressed in chromaffin and PC12 cells and regulates neurosecretion from dense-core granules</t>
  </si>
  <si>
    <t>McFerran BW, Graham ME, Burgoyne RD.</t>
  </si>
  <si>
    <t>J Biol Chem. 1998 Aug 28;273(35):22768-72. doi: 10.1074/jbc.273.35.22768.</t>
  </si>
  <si>
    <t>McFerran BW</t>
  </si>
  <si>
    <t>10.1074/jbc.273.35.22768</t>
  </si>
  <si>
    <t>Fatima N, Gromnicova R, Loughlin J, Sharrack B, Male D.</t>
  </si>
  <si>
    <t>PLoS One. 2020 Sep 17;15(9):e0236611. doi: 10.1371/journal.pone.0236611. eCollection 2020.</t>
  </si>
  <si>
    <t>Fatima N</t>
  </si>
  <si>
    <t>PMC7498062</t>
  </si>
  <si>
    <t>[Expression pattern and level of cytotoxic T lymphocyte-associated antigen-4 targeted anti-caries plasmids in eukaryotic cells]</t>
  </si>
  <si>
    <t>Guo JH, Fan MW, Jia R, Bian Z, Chen Z, Yu F.</t>
  </si>
  <si>
    <t>Zhonghua Kou Qiang Yi Xue Za Zhi. 2006 May;41(5):272-4.</t>
  </si>
  <si>
    <t>Guo JH</t>
  </si>
  <si>
    <t>Zhonghua Kou Qiang Yi Xue Za Zhi</t>
  </si>
  <si>
    <t>Wörner PM, Schächtele DJ, Barabadi Z, Srivastav S, Chandrasekar B, Izadpanah R, Alt EU.</t>
  </si>
  <si>
    <t>Stem Cells Dev. 2019 Mar 1;28(5):341-352. doi: 10.1089/scd.2018.0110.</t>
  </si>
  <si>
    <t>Wörner PM</t>
  </si>
  <si>
    <t>Remodeling of host membranes during herpesvirus assembly and egress</t>
  </si>
  <si>
    <t>Lv Y, Zhou S, Gao S, Deng H.</t>
  </si>
  <si>
    <t>Protein Cell. 2019 May;10(5):315-326. doi: 10.1007/s13238-018-0577-9. Epub 2018 Sep 21.</t>
  </si>
  <si>
    <t>Lv Y</t>
  </si>
  <si>
    <t>Protein Cell</t>
  </si>
  <si>
    <t>PMC6468031</t>
  </si>
  <si>
    <t>10.1007/s13238-018-0577-9</t>
  </si>
  <si>
    <t>Regulation of global gene expression in the bone marrow microenvironment by androgen: androgen ablation increases insulin-like growth factor binding protein-5 expression</t>
  </si>
  <si>
    <t>Xu C, Graf LF, Fazli L, Coleman IM, Mauldin DE, Li D, Nelson PS, Gleave M, Plymate SR, Cox ME, Torok-Storb BJ, Knudsen BS.</t>
  </si>
  <si>
    <t>Prostate. 2007 Nov 1;67(15):1621-9. doi: 10.1002/pros.20655.</t>
  </si>
  <si>
    <t>Xu C</t>
  </si>
  <si>
    <t>10.1002/pros.20655</t>
  </si>
  <si>
    <t>Sugimoto S, Okuda K, Miyakawa R, Sato M, Arita-Morioka K, Chiba A, Yamanaka K, Ogura T, Mizunoe Y, Sato C.</t>
  </si>
  <si>
    <t>Sci Rep. 2016 May 16;6:25889. doi: 10.1038/srep25889.</t>
  </si>
  <si>
    <t>Sugimoto S</t>
  </si>
  <si>
    <t>PMC4867632</t>
  </si>
  <si>
    <t>The C-terminal region of the exosome-associated protein Rrp47 is specifically required for box C/D small nucleolar RNA 3'-maturation</t>
  </si>
  <si>
    <t>Costello JL, Stead JA, Feigenbutz M, Jones RM, Mitchell P.</t>
  </si>
  <si>
    <t>J Biol Chem. 2011 Feb 11;286(6):4535-43. doi: 10.1074/jbc.M110.162826. Epub 2010 Dec 6.</t>
  </si>
  <si>
    <t>Costello JL</t>
  </si>
  <si>
    <t>PMC3039359</t>
  </si>
  <si>
    <t>10.1074/jbc.M110.162826</t>
  </si>
  <si>
    <t>Interpretation of an Extended Autoantibody Profile in a Well-Characterized Australian Systemic Sclerosis (Scleroderma) Cohort Using Principal Components Analysis</t>
  </si>
  <si>
    <t>Patterson KA, Roberts-Thomson PJ, Lester S, Tan JA, Hakendorf P, Rischmueller M, Zochling J, Sahhar J, Nash P, Roddy J, Hill C, Nikpour M, Stevens W, Proudman SM, Walker JG.</t>
  </si>
  <si>
    <t>Arthritis Rheumatol. 2015 Dec;67(12):3234-44. doi: 10.1002/art.39316.</t>
  </si>
  <si>
    <t>Patterson KA</t>
  </si>
  <si>
    <t>10.1002/art.39316</t>
  </si>
  <si>
    <t>Genetically engineered microvesicles carrying suicide mRNA/protein inhibit schwannoma tumor growth</t>
  </si>
  <si>
    <t>Mizrak A, Bolukbasi MF, Ozdener GB, Brenner GJ, Madlener S, Erkan EP, Ströbel T, Breakefield XO, Saydam O.</t>
  </si>
  <si>
    <t>Mol Ther. 2013 Jan;21(1):101-8. doi: 10.1038/mt.2012.161. Epub 2012 Aug 21.</t>
  </si>
  <si>
    <t>Mizrak A</t>
  </si>
  <si>
    <t>PMC3538300</t>
  </si>
  <si>
    <t>Bombyx mori nucleopolyhedrovirus orf133 and orf134 are involved in the embedding of occlusion-derived viruses into polyhedra</t>
  </si>
  <si>
    <t>Shen Y, Wang H, Xu W, Wu X.</t>
  </si>
  <si>
    <t>J Gen Virol. 2018 May;99(5):717-729. doi: 10.1099/jgv.0.001058. Epub 2018 Apr 6.</t>
  </si>
  <si>
    <t>10.1099/jgv.0.001058</t>
  </si>
  <si>
    <t>Konecna B, Park J, Kwon WY, Vlkova B, Zhang Q, Huang W, Kim HI, Yaffe MB, Otterbein LE, Itagaki K, Hauser CJ.</t>
  </si>
  <si>
    <t>J Trauma Acute Care Surg. 2021 Jan 1;90(1):46-53. doi: 10.1097/TA.0000000000002973.</t>
  </si>
  <si>
    <t>Konecna B</t>
  </si>
  <si>
    <t>J Trauma Acute Care Surg</t>
  </si>
  <si>
    <t>Fukayama M, Kunita A, Kaneda A.</t>
  </si>
  <si>
    <t>Adv Exp Med Biol. 2018;1045:437-457. doi: 10.1007/978-981-10-7230-7_20.</t>
  </si>
  <si>
    <t>Fukayama M</t>
  </si>
  <si>
    <t>AUF1 cell cycle variations define genomic DNA methylation by regulation of DNMT1 mRNA stability</t>
  </si>
  <si>
    <t>Torrisani J, Unterberger A, Tendulkar SR, Shikimi K, Szyf M.</t>
  </si>
  <si>
    <t>Mol Cell Biol. 2007 Jan;27(1):395-410. doi: 10.1128/MCB.01236-06. Epub 2006 Oct 9.</t>
  </si>
  <si>
    <t>Torrisani J</t>
  </si>
  <si>
    <t>PMC1800664</t>
  </si>
  <si>
    <t>10.1128/MCB.01236-06</t>
  </si>
  <si>
    <t>Childhood onset systemic sclerosis: classification, clinical and serologic features, and survival in comparison with adult onset disease</t>
  </si>
  <si>
    <t>Scalapino K, Arkachaisri T, Lucas M, Fertig N, Helfrich DJ, Londino AV Jr, Steen VD, Medsger TA Jr.</t>
  </si>
  <si>
    <t>J Rheumatol. 2006 May;33(5):1004-13. Epub 2006 Apr 1.</t>
  </si>
  <si>
    <t>Scalapino K</t>
  </si>
  <si>
    <t>Vaccinia virus p37 interacts with host proteins associated with LE-derived transport vesicle biogenesis</t>
  </si>
  <si>
    <t>Chen Y, Honeychurch KM, Yang G, Byrd CM, Harver C, Hruby DE, Jordan R.</t>
  </si>
  <si>
    <t>Virol J. 2009 Apr 28;6:44. doi: 10.1186/1743-422X-6-44.</t>
  </si>
  <si>
    <t>PMC2685784</t>
  </si>
  <si>
    <t>10.1186/1743-422X-6-44</t>
  </si>
  <si>
    <t>Oncosome formation in prostate cancer: association with a region of frequent chromosomal deletion in metastatic disease</t>
  </si>
  <si>
    <t>Di Vizio D, Kim J, Hager MH, Morello M, Yang W, Lafargue CJ, True LD, Rubin MA, Adam RM, Beroukhim R, Demichelis F, Freeman MR.</t>
  </si>
  <si>
    <t>Cancer Res. 2009 Jul 1;69(13):5601-9. doi: 10.1158/0008-5472.CAN-08-3860. Epub 2009 Jun 23.</t>
  </si>
  <si>
    <t>Di Vizio D</t>
  </si>
  <si>
    <t>PMC2853876</t>
  </si>
  <si>
    <t>NIHMS115499</t>
  </si>
  <si>
    <t>10.1158/0008-5472.CAN-08-3860</t>
  </si>
  <si>
    <t>The human synapsin II gene promoter. Possible role for the transcription factor zif268/egr-1, polyoma enhancer activator 3, and AP2</t>
  </si>
  <si>
    <t>Petersohn D, Schoch S, Brinkmann DR, Thiel G.</t>
  </si>
  <si>
    <t>J Biol Chem. 1995 Oct 13;270(41):24361-9. doi: 10.1074/jbc.270.41.24361.</t>
  </si>
  <si>
    <t>Petersohn D</t>
  </si>
  <si>
    <t>Meng Y, Pople CB, Suppiah S, Llinas M, Huang Y, Sahgal A, Perry J, Keith J, Davidson B, Hamani C, Amemiya Y, Seth A, Leong H, Heyn CC, Aubert I, Hynynen K, Lipsman N.</t>
  </si>
  <si>
    <t>Neuro Oncol. 2021 Oct 1;23(10):1789-1797. doi: 10.1093/neuonc/noab057.</t>
  </si>
  <si>
    <t>Meng Y</t>
  </si>
  <si>
    <t>PMC8485448</t>
  </si>
  <si>
    <t>Rhee SJ, Kim H, Lee Y, Lee HJ, Park CHK, Yang J, Kim YK, Kym S, Ahn YM.</t>
  </si>
  <si>
    <t>J Psychiatr Res. 2020 Apr;123:31-38. doi: 10.1016/j.jpsychires.2020.01.004. Epub 2020 Jan 21.</t>
  </si>
  <si>
    <t>J Psychiatr Res</t>
  </si>
  <si>
    <t>Balzano F, Garroni G, Cruciani S, Bellu E, Dei Giudici S, Oggiano A, Capobianco G, Dessole S, Ventura C, Maioli M.</t>
  </si>
  <si>
    <t>Cells. 2020 Aug 12;9(8):1890. doi: 10.3390/cells9081890.</t>
  </si>
  <si>
    <t>Balzano F</t>
  </si>
  <si>
    <t>PMC7547384</t>
  </si>
  <si>
    <t>The int-1 proto-oncogene products are glycoproteins that appear to enter the secretory pathway</t>
  </si>
  <si>
    <t>Papkoff J, Brown AM, Varmus HE.</t>
  </si>
  <si>
    <t>Mol Cell Biol. 1987 Nov;7(11):3978-84. doi: 10.1128/mcb.7.11.3978-3984.1987.</t>
  </si>
  <si>
    <t>Papkoff J</t>
  </si>
  <si>
    <t>PMC368066</t>
  </si>
  <si>
    <t>10.1128/mcb.7.11.3978-3984.1987</t>
  </si>
  <si>
    <t>PROMoter uPstream Transcripts share characteristics with mRNAs and are produced upstream of all three major types of mammalian promoters</t>
  </si>
  <si>
    <t>Preker P, Almvig K, Christensen MS, Valen E, Mapendano CK, Sandelin A, Jensen TH.</t>
  </si>
  <si>
    <t>Nucleic Acids Res. 2011 Sep 1;39(16):7179-93. doi: 10.1093/nar/gkr370. Epub 2011 May 19.</t>
  </si>
  <si>
    <t>Preker P</t>
  </si>
  <si>
    <t>PMC3167610</t>
  </si>
  <si>
    <t>10.1093/nar/gkr370</t>
  </si>
  <si>
    <t>Stable mRNP formation and export require cotranscriptional recruitment of the mRNA export factors Yra1p and Sub2p by Hpr1p</t>
  </si>
  <si>
    <t>Zenklusen D, Vinciguerra P, Wyss JC, Stutz F.</t>
  </si>
  <si>
    <t>Mol Cell Biol. 2002 Dec;22(23):8241-53. doi: 10.1128/MCB.22.23.8241-8253.2002.</t>
  </si>
  <si>
    <t>Zenklusen D</t>
  </si>
  <si>
    <t>PMC134069</t>
  </si>
  <si>
    <t>10.1128/MCB.22.23.8241-8253.2002</t>
  </si>
  <si>
    <t>The nuclear poly(A) polymerase and Exosome cofactor Trf5 is recruited cotranscriptionally to nucleolar surveillance</t>
  </si>
  <si>
    <t>Wery M, Ruidant S, Schillewaert S, Leporé N, Lafontaine DL.</t>
  </si>
  <si>
    <t>RNA. 2009 Mar;15(3):406-19. doi: 10.1261/rna.1402709. Epub 2009 Jan 13.</t>
  </si>
  <si>
    <t>Wery M</t>
  </si>
  <si>
    <t>PMC2657017</t>
  </si>
  <si>
    <t>10.1261/rna.1402709</t>
  </si>
  <si>
    <t>Constitutive and inducible expression of SKALP/elafin provides anti-elastase defense in human epithelia</t>
  </si>
  <si>
    <t>Pfundt R, van Ruissen F, van Vlijmen-Willems IM, Alkemade HA, Zeeuwen PL, Jap PH, Dijkman H, Fransen J, Croes H, van Erp PE, Schalkwijk J.</t>
  </si>
  <si>
    <t>J Clin Invest. 1996 Sep 15;98(6):1389-99. doi: 10.1172/JCI118926.</t>
  </si>
  <si>
    <t>Pfundt R</t>
  </si>
  <si>
    <t>PMC507565</t>
  </si>
  <si>
    <t>10.1172/JCI118926</t>
  </si>
  <si>
    <t>Edhayan G, Ohara RA, Stinson WA, Amin MA, Isozaki T, Ha CM, Haines GK 3rd, Morgan R, Campbell PL, Arbab AS, Friday SC, Fox DA, Ruth JH.</t>
  </si>
  <si>
    <t>Arthritis Res Ther. 2016 Apr 12;18:87. doi: 10.1186/s13075-016-0984-3.</t>
  </si>
  <si>
    <t>Edhayan G</t>
  </si>
  <si>
    <t>PMC4830090</t>
  </si>
  <si>
    <t>Loss of the ClC-7 chloride channel leads to osteopetrosis in mice and man</t>
  </si>
  <si>
    <t>Kornak U, Kasper D, Bösl MR, Kaiser E, Schweizer M, Schulz A, Friedrich W, Delling G, Jentsch TJ.</t>
  </si>
  <si>
    <t>Cell. 2001 Jan 26;104(2):205-15. doi: 10.1016/s0092-8674(01)00206-9.</t>
  </si>
  <si>
    <t>Kornak U</t>
  </si>
  <si>
    <t>10.1016/s0092-8674(01)00206-9</t>
  </si>
  <si>
    <t>Instability of toxin A subunit of AB(5) toxins in the bacterial periplasm caused by deficiency of their cognate B subunits</t>
  </si>
  <si>
    <t>Kim SH, Ryu SH, Lee SH, Lee YH, Lee SR, Huh JW, Kim SU, Kim E, Kim S, Jon S, Bishop RE, Chang KT.</t>
  </si>
  <si>
    <t>Biochim Biophys Acta. 2011 Oct;1808(10):2359-65. doi: 10.1016/j.bbamem.2011.06.016. Epub 2011 Jul 5.</t>
  </si>
  <si>
    <t>Kim SH</t>
  </si>
  <si>
    <t>PMC5007120</t>
  </si>
  <si>
    <t>CAMS5896</t>
  </si>
  <si>
    <t>10.1016/j.bbamem.2011.06.016</t>
  </si>
  <si>
    <t>Protein recycling from the Golgi apparatus to the endoplasmic reticulum in plants and its minor contribution to calreticulin retention</t>
  </si>
  <si>
    <t>Pagny S, Cabanes-Macheteau M, Gillikin JW, Leborgne-Castel N, Lerouge P, Boston RS, Faye L, Gomord V.</t>
  </si>
  <si>
    <t>Plant Cell. 2000 May;12(5):739-56. doi: 10.1105/tpc.12.5.739.</t>
  </si>
  <si>
    <t>Pagny S</t>
  </si>
  <si>
    <t>PMC139924</t>
  </si>
  <si>
    <t>10.1105/tpc.12.5.739</t>
  </si>
  <si>
    <t>Wen ZT, Jorgensen AN, Huang X, Ellepola K, Chapman L, Wu H, Jeannine Brady L.</t>
  </si>
  <si>
    <t>Mol Oral Microbiol. 2021 Feb;36(1):12-24. doi: 10.1111/omi.12318. Epub 2020 Dec 3.</t>
  </si>
  <si>
    <t>Wen ZT</t>
  </si>
  <si>
    <t>Mol Oral Microbiol</t>
  </si>
  <si>
    <t>PMC7940556</t>
  </si>
  <si>
    <t>NIHMS1637368</t>
  </si>
  <si>
    <t>Duration of fusion pore opening and the amount of hormone released are regulated by myosin II during kiss-and-run exocytosis</t>
  </si>
  <si>
    <t>Aoki R, Kitaguchi T, Oya M, Yanagihara Y, Sato M, Miyawaki A, Tsuboi T.</t>
  </si>
  <si>
    <t>Biochem J. 2010 Aug 1;429(3):497-504. doi: 10.1042/BJ20091839.</t>
  </si>
  <si>
    <t>Aoki R</t>
  </si>
  <si>
    <t>10.1042/BJ20091839</t>
  </si>
  <si>
    <t>Excreted/secreted Schistosoma mansoni venom allergen-like 9 (SmVAL9) modulates host extracellular matrix remodelling gene expression</t>
  </si>
  <si>
    <t>Yoshino TP, Brown M, Wu XJ, Jackson CJ, Ocadiz-Ruiz R, Chalmers IW, Kolb M, Hokke CH, Hoffmann KF.</t>
  </si>
  <si>
    <t>Int J Parasitol. 2014 Jul;44(8):551-63. doi: 10.1016/j.ijpara.2014.04.002. Epub 2014 May 21.</t>
  </si>
  <si>
    <t>Yoshino TP</t>
  </si>
  <si>
    <t>Int J Parasitol</t>
  </si>
  <si>
    <t>PMC4079936</t>
  </si>
  <si>
    <t>10.1016/j.ijpara.2014.04.002</t>
  </si>
  <si>
    <t>Basic calcium phosphate crystals stimulate the endocytotic activity of cells--inhibition by anti-calcification agents</t>
  </si>
  <si>
    <t>Sun Y, Zeng XR, Wenger L, Cheung HS.</t>
  </si>
  <si>
    <t>Biochem Biophys Res Commun. 2003 Dec 26;312(4):1053-9. doi: 10.1016/j.bbrc.2003.11.048.</t>
  </si>
  <si>
    <t>Tocotrienols have potent antifibrogenic effects in human intestinal fibroblasts</t>
  </si>
  <si>
    <t>Luna J, Masamunt MC, Rickmann M, Mora R, España C, Delgado S, Llach J, Vaquero E, Sans M.</t>
  </si>
  <si>
    <t>Inflamm Bowel Dis. 2011 Mar;17(3):732-41. doi: 10.1002/ibd.21411.</t>
  </si>
  <si>
    <t>Luna J</t>
  </si>
  <si>
    <t>Inflamm Bowel Dis</t>
  </si>
  <si>
    <t>Plasma membrane association of cathepsin B in human prostate cancer: biochemical and immunogold electron microscopic analysis</t>
  </si>
  <si>
    <t>Sinha AA, Jamuar MP, Wilson MJ, Rozhin J, Sloane BF.</t>
  </si>
  <si>
    <t>Prostate. 2001 Nov 1;49(3):172-84. doi: 10.1002/pros.1132.</t>
  </si>
  <si>
    <t>Sinha AA</t>
  </si>
  <si>
    <t>From molecule to molecule and cell to cell: prion-like mechanisms in amyotrophic lateral sclerosis</t>
  </si>
  <si>
    <t>Grad LI, Fernando SM, Cashman NR.</t>
  </si>
  <si>
    <t>Neurobiol Dis. 2015 May;77:257-65. doi: 10.1016/j.nbd.2015.02.009. Epub 2015 Feb 17.</t>
  </si>
  <si>
    <t>Grad LI</t>
  </si>
  <si>
    <t>Neurobiol Dis</t>
  </si>
  <si>
    <t>In vitro and in vivo uptake of nickel sulfides by rat lymphocytes</t>
  </si>
  <si>
    <t>Hildebrand HF, Decaestecker AM, Arrouijal FZ, Martinez R.</t>
  </si>
  <si>
    <t>Arch Toxicol. 1991;65(4):324-9. doi: 10.1007/BF01968967.</t>
  </si>
  <si>
    <t>Hildebrand HF</t>
  </si>
  <si>
    <t>Arch Toxicol</t>
  </si>
  <si>
    <t>A novel plasmid-based microarray screen identifies suppressors of rrp6Delta in Saccharomyces cerevisiae</t>
  </si>
  <si>
    <t>Abruzzi K, Denome S, Olsen JR, Assenholt J, Haaning LL, Jensen TH, Rosbash M.</t>
  </si>
  <si>
    <t>Mol Cell Biol. 2007 Feb;27(3):1044-55. doi: 10.1128/MCB.01299-06. Epub 2006 Nov 13.</t>
  </si>
  <si>
    <t>Abruzzi K</t>
  </si>
  <si>
    <t>PMC1800678</t>
  </si>
  <si>
    <t>10.1128/MCB.01299-06</t>
  </si>
  <si>
    <t>Senataxin, A Novel Helicase at the Interface of RNA Transcriptome Regulation and Neurobiology: From Normal Function to Pathological Roles in Motor Neuron Disease and Cerebellar Degeneration</t>
  </si>
  <si>
    <t>Adv Neurobiol. 2018;20:265-281. doi: 10.1007/978-3-319-89689-2_10.</t>
  </si>
  <si>
    <t>Adv Neurobiol</t>
  </si>
  <si>
    <t>10.1007/978-3-319-89689-2_10</t>
  </si>
  <si>
    <t>Evaluation of a new multi-parallel line immunoassay for systemic sclerosis-associated antibodies in an Asian population</t>
  </si>
  <si>
    <t>Low AH, Wong S, Thumboo J, Ng SC, Lim JY, Ng X, Earnest A, Fong KY.</t>
  </si>
  <si>
    <t>Rheumatology (Oxford). 2012 Aug;51(8):1465-70. doi: 10.1093/rheumatology/kes055. Epub 2012 Apr 6.</t>
  </si>
  <si>
    <t>Low AH</t>
  </si>
  <si>
    <t>10.1093/rheumatology/kes055</t>
  </si>
  <si>
    <t>Good outcome of interstitial lung disease in patients with scleroderma associated to anti-PM/Scl antibody</t>
  </si>
  <si>
    <t>Guillen-Del Castillo A, Pilar Simeón-Aznar C, Fonollosa-Pla V, Alonso-Vila S, Reverte-Vinaixa MM, Muñoz X, Pallisa E, Selva-O'allaghan A, Fernández-Codina A, Vilardell-Tarrés M.</t>
  </si>
  <si>
    <t>Semin Arthritis Rheum. 2014 Dec;44(3):331-7. doi: 10.1016/j.semarthrit.2014.07.002. Epub 2014 Jul 15.</t>
  </si>
  <si>
    <t>Guillen-Del Castillo A</t>
  </si>
  <si>
    <t>Semin Arthritis Rheum</t>
  </si>
  <si>
    <t>10.1016/j.semarthrit.2014.07.002</t>
  </si>
  <si>
    <t>In vitro chondrocyte differentiation using costochondral chondrocytes as a source of primary rat chondrocyte cultures: an improved isolation and cryopreservation method</t>
  </si>
  <si>
    <t>Gartland A, Mechler J, Mason-Savas A, MacKay CA, Mailhot G, Marks SC Jr, Odgren PR.</t>
  </si>
  <si>
    <t>Bone. 2005 Oct;37(4):530-44. doi: 10.1016/j.bone.2005.04.034.</t>
  </si>
  <si>
    <t>Gartland A</t>
  </si>
  <si>
    <t>10.1016/j.bone.2005.04.034</t>
  </si>
  <si>
    <t>Distinct roles of HDAC complexes in promoter silencing, antisense suppression and DNA damage protection</t>
  </si>
  <si>
    <t>Nicolas E, Yamada T, Cam HP, Fitzgerald PC, Kobayashi R, Grewal SI.</t>
  </si>
  <si>
    <t>Nat Struct Mol Biol. 2007 May;14(5):372-80. doi: 10.1038/nsmb1239. Epub 2007 Apr 22.</t>
  </si>
  <si>
    <t>Nicolas E</t>
  </si>
  <si>
    <t>10.1038/nsmb1239</t>
  </si>
  <si>
    <t>In situ localization and in vitro induction of plant COPI-coated vesicles</t>
  </si>
  <si>
    <t>Pimpl P, Movafeghi A, Coughlan S, Denecke J, Hillmer S, Robinson DG.</t>
  </si>
  <si>
    <t>Plant Cell. 2000 Nov;12(11):2219-36. doi: 10.1105/tpc.12.11.2219.</t>
  </si>
  <si>
    <t>Pimpl P</t>
  </si>
  <si>
    <t>PMC150169</t>
  </si>
  <si>
    <t>10.1105/tpc.12.11.2219</t>
  </si>
  <si>
    <t>Using a Next-Generation Sequencing Approach to Profile MicroRNAs from Human Origin</t>
  </si>
  <si>
    <t>Guanzon D, Iljas JD, Rice GE, Salomon C.</t>
  </si>
  <si>
    <t>Methods Mol Biol. 2018;1710:203-217. doi: 10.1007/978-1-4939-7498-6_16.</t>
  </si>
  <si>
    <t>Guanzon D</t>
  </si>
  <si>
    <t>10.1007/978-1-4939-7498-6_16</t>
  </si>
  <si>
    <t>The Susceptibilities of Respiratory Syncytial Virus to Nucleolin Receptor Blocking and Antibody Neutralization are Dependent upon the Method of Virus Purification</t>
  </si>
  <si>
    <t>Bilawchuk LM, Griffiths CD, Jensen LD, Elawar F, Marchant DJ.</t>
  </si>
  <si>
    <t>Viruses. 2017 Aug 3;9(8):207. doi: 10.3390/v9080207.</t>
  </si>
  <si>
    <t>Bilawchuk LM</t>
  </si>
  <si>
    <t>PMC5580464</t>
  </si>
  <si>
    <t>Targeting of P-selectin to two regulated secretory organelles in PC12 cells</t>
  </si>
  <si>
    <t>Norcott JP, Solari R, Cutler DF.</t>
  </si>
  <si>
    <t>J Cell Biol. 1996 Sep;134(5):1229-40. doi: 10.1083/jcb.134.5.1229.</t>
  </si>
  <si>
    <t>Norcott JP</t>
  </si>
  <si>
    <t>PMC2120975</t>
  </si>
  <si>
    <t>10.1083/jcb.134.5.1229</t>
  </si>
  <si>
    <t>Risk of sudden cardiac death in EXOSC5-related disease</t>
  </si>
  <si>
    <t>Calame DG, Herman I, Fatih JM, Du H, Akay G, Jhangiani SN, Coban-Akdemir Z, Milewicz DM, Gibbs RA, Posey JE, Marafi D, Hunter JV, Fan Y, Lupski JR, Miyake CY.</t>
  </si>
  <si>
    <t>Am J Med Genet A. 2021 Aug;185(8):2532-2540. doi: 10.1002/ajmg.a.62352. Epub 2021 Jun 4.</t>
  </si>
  <si>
    <t>Calame DG</t>
  </si>
  <si>
    <t>Am J Med Genet A</t>
  </si>
  <si>
    <t>PMC8382094</t>
  </si>
  <si>
    <t>NIHMS1704992</t>
  </si>
  <si>
    <t>10.1002/ajmg.a.62352</t>
  </si>
  <si>
    <t>Delivery of microRNA-126 by apoptotic bodies induces CXCL12-dependent vascular protection</t>
  </si>
  <si>
    <t>Zernecke A, Bidzhekov K, Noels H, Shagdarsuren E, Gan L, Denecke B, Hristov M, Köppel T, Jahantigh MN, Lutgens E, Wang S, Olson EN, Schober A, Weber C.</t>
  </si>
  <si>
    <t>Sci Signal. 2009 Dec 8;2(100):ra81. doi: 10.1126/scisignal.2000610.</t>
  </si>
  <si>
    <t>Zernecke A</t>
  </si>
  <si>
    <t>10.1126/scisignal.2000610</t>
  </si>
  <si>
    <t>Developing epigenetic diagnostics and therapeutics for brain disorders</t>
  </si>
  <si>
    <t>Qureshi IA, Mehler MF.</t>
  </si>
  <si>
    <t>Trends Mol Med. 2013 Dec;19(12):732-41. doi: 10.1016/j.molmed.2013.09.003. Epub 2013 Oct 18.</t>
  </si>
  <si>
    <t>Qureshi IA</t>
  </si>
  <si>
    <t>PMC3855296</t>
  </si>
  <si>
    <t>NIHMS534281</t>
  </si>
  <si>
    <t>10.1016/j.molmed.2013.09.003</t>
  </si>
  <si>
    <t>Ahn YH, Kim YH, Hong SH, Koh JY.</t>
  </si>
  <si>
    <t>Exp Neurol. 1998 Nov;154(1):47-56. doi: 10.1006/exnr.1998.6931.</t>
  </si>
  <si>
    <t>Ahn YH</t>
  </si>
  <si>
    <t>Exp Neurol</t>
  </si>
  <si>
    <t>Defining the momiome: Promiscuous information transfer by mobile mitochondria and the mitochondrial genome</t>
  </si>
  <si>
    <t>Singh B, Modica-Napolitano JS, Singh KK.</t>
  </si>
  <si>
    <t>Semin Cancer Biol. 2017 Dec;47:1-17. doi: 10.1016/j.semcancer.2017.05.004. Epub 2017 May 11.</t>
  </si>
  <si>
    <t>Singh B</t>
  </si>
  <si>
    <t>PMC5681893</t>
  </si>
  <si>
    <t>NIHMS878856</t>
  </si>
  <si>
    <t>10.1016/j.semcancer.2017.05.004</t>
  </si>
  <si>
    <t>Novel aspects of the liver microenvironment in hepatocellular carcinoma pathogenesis and development</t>
  </si>
  <si>
    <t>Tu T, Budzinska MA, Maczurek AE, Cheng R, Di Bartolomeo A, Warner FJ, McCaughan GW, McLennan SV, Shackel NA.</t>
  </si>
  <si>
    <t>Int J Mol Sci. 2014 May 27;15(6):9422-58. doi: 10.3390/ijms15069422.</t>
  </si>
  <si>
    <t>Tu T</t>
  </si>
  <si>
    <t>PMC4100103</t>
  </si>
  <si>
    <t>10.3390/ijms15069422</t>
  </si>
  <si>
    <t>Budamgunta H, Olexiouk V, Luyten W, Schildermans K, Maes E, Boonen K, Menschaert G, Baggerman G.</t>
  </si>
  <si>
    <t>Proteomics. 2018 May;18(10):e1700218. doi: 10.1002/pmic.201700218.</t>
  </si>
  <si>
    <t>Budamgunta H</t>
  </si>
  <si>
    <t>Determination of protein regions responsible for interactions of amelogenin with CD63 and LAMP1</t>
  </si>
  <si>
    <t>Zou Y, Wang H, Shapiro JL, Okamoto CT, Brookes SJ, Lyngstadaas SP, Snead ML, Paine ML.</t>
  </si>
  <si>
    <t>Biochem J. 2007 Dec 15;408(3):347-54. doi: 10.1042/BJ20070881.</t>
  </si>
  <si>
    <t>Zou Y</t>
  </si>
  <si>
    <t>PMC2267358</t>
  </si>
  <si>
    <t>10.1042/BJ20070881</t>
  </si>
  <si>
    <t>The DECD box putative ATPase Sub2p is an early mRNA export factor</t>
  </si>
  <si>
    <t>Jensen TH, Boulay J, Rosbash M, Libri D.</t>
  </si>
  <si>
    <t>Curr Biol. 2001 Oct 30;11(21):1711-5. doi: 10.1016/s0960-9822(01)00529-2.</t>
  </si>
  <si>
    <t>Jensen TH</t>
  </si>
  <si>
    <t>10.1016/s0960-9822(01)00529-2</t>
  </si>
  <si>
    <t>A catalytically independent physiological function for human acute phase protein group IIA phospholipase A2: cellular uptake facilitates cell debris removal</t>
  </si>
  <si>
    <t>Birts CN, Barton CH, Wilton DC.</t>
  </si>
  <si>
    <t>J Biol Chem. 2008 Feb 22;283(8):5034-45. doi: 10.1074/jbc.M708844200. Epub 2007 Dec 17.</t>
  </si>
  <si>
    <t>Birts CN</t>
  </si>
  <si>
    <t>Cell proliferation and milk protein gene expression in rabbit mammary cell cultures</t>
  </si>
  <si>
    <t>Suard YM, Haeuptle MT, Farinon E, Kraehenbuhl JP.</t>
  </si>
  <si>
    <t>J Cell Biol. 1983 May;96(5):1435-42. doi: 10.1083/jcb.96.5.1435.</t>
  </si>
  <si>
    <t>Suard YM</t>
  </si>
  <si>
    <t>PMC2112649</t>
  </si>
  <si>
    <t>10.1083/jcb.96.5.1435</t>
  </si>
  <si>
    <t>Prothrombotic abnormalities in patients with multiple myeloma and monoclonal gammopathy of undetermined significance</t>
  </si>
  <si>
    <t>Nielsen T, Kristensen SR, Gregersen H, Teodorescu EM, Pedersen S.</t>
  </si>
  <si>
    <t>Thromb Res. 2021 Jun;202:108-118. doi: 10.1016/j.thromres.2021.03.015. Epub 2021 Mar 21.</t>
  </si>
  <si>
    <t>Nielsen T</t>
  </si>
  <si>
    <t>Thromb Res</t>
  </si>
  <si>
    <t>10.1016/j.thromres.2021.03.015</t>
  </si>
  <si>
    <t>The ribonuclease DIS3 promotes let-7 miRNA maturation by degrading the pluripotency factor LIN28B mRNA</t>
  </si>
  <si>
    <t>Segalla S, Pivetti S, Todoerti K, Chudzik MA, Giuliani EC, Lazzaro F, Volta V, Lazarevic D, Musco G, Muzi-Falconi M, Neri A, Biffo S, Tonon G.</t>
  </si>
  <si>
    <t>Nucleic Acids Res. 2015 May 26;43(10):5182-93. doi: 10.1093/nar/gkv387. Epub 2015 Apr 29.</t>
  </si>
  <si>
    <t>Segalla S</t>
  </si>
  <si>
    <t>PMC4446438</t>
  </si>
  <si>
    <t>10.1093/nar/gkv387</t>
  </si>
  <si>
    <t>Syndromic diarrhea/Tricho-hepato-enteric syndrome</t>
  </si>
  <si>
    <t>Fabre A, Martinez-Vinson C, Goulet O, Badens C.</t>
  </si>
  <si>
    <t>Orphanet J Rare Dis. 2013 Jan 9;8:5. doi: 10.1186/1750-1172-8-5.</t>
  </si>
  <si>
    <t>Orphanet J Rare Dis</t>
  </si>
  <si>
    <t>PMC3560276</t>
  </si>
  <si>
    <t>10.1186/1750-1172-8-5</t>
  </si>
  <si>
    <t>Cooke AC, Florez C, Dunshee EB, Lieber AD, Terry ML, Light CJ, Schertzer JW.</t>
  </si>
  <si>
    <t>mSphere. 2020 Nov 25;5(6):e01109-20. doi: 10.1128/mSphere.01109-20.</t>
  </si>
  <si>
    <t>Cooke AC</t>
  </si>
  <si>
    <t>mSphere</t>
  </si>
  <si>
    <t>PMC7690959</t>
  </si>
  <si>
    <t>A novel cancer-germline transcript carrying pro-metastatic miR-105 and TET-targeting miR-767 induced by DNA hypomethylation in tumors</t>
  </si>
  <si>
    <t>Loriot A, Van Tongelen A, Blanco J, Klaessens S, Cannuyer J, van Baren N, Decottignies A, De Smet C.</t>
  </si>
  <si>
    <t>Epigenetics. 2014 Aug;9(8):1163-71. doi: 10.4161/epi.29628. Epub 2014 Jul 8.</t>
  </si>
  <si>
    <t>Loriot A</t>
  </si>
  <si>
    <t>PMC4164501</t>
  </si>
  <si>
    <t>10.4161/epi.29628</t>
  </si>
  <si>
    <t>Palencia SL, García A, Palencia M.</t>
  </si>
  <si>
    <t>J Adv Res. 2021 Mar 31;35:169-185. doi: 10.1016/j.jare.2021.03.013. eCollection 2022 Jan.</t>
  </si>
  <si>
    <t>Palencia SL</t>
  </si>
  <si>
    <t>J Adv Res</t>
  </si>
  <si>
    <t>PMC8721356</t>
  </si>
  <si>
    <t>Blistering1 Modulates Penicillium expansum Virulence Via Vesicle-mediated Protein Secretion</t>
  </si>
  <si>
    <t>Jurick WM 2nd, Peng H, Beard HS, Garrett WM, Lichtner FJ, Luciano-Rosario D, Macarisin O, Liu Y, Peter KA, Gaskins VL, Yang T, Mowery J, Bauchan G, Keller NP, Cooper B.</t>
  </si>
  <si>
    <t>Mol Cell Proteomics. 2020 Feb;19(2):344-361. doi: 10.1074/mcp.RA119.001831. Epub 2019 Dec 23.</t>
  </si>
  <si>
    <t>Jurick WM 2nd</t>
  </si>
  <si>
    <t>PMC7000123</t>
  </si>
  <si>
    <t>10.1074/mcp.RA119.001831</t>
  </si>
  <si>
    <t>The right dose for every sex</t>
  </si>
  <si>
    <t>Mendjan S, Akhtar A.</t>
  </si>
  <si>
    <t>Chromosoma. 2007 Apr;116(2):95-106. doi: 10.1007/s00412-006-0089-x. Epub 2006 Nov 24.</t>
  </si>
  <si>
    <t>Mendjan S</t>
  </si>
  <si>
    <t>Chromosoma</t>
  </si>
  <si>
    <t>PMC1824789</t>
  </si>
  <si>
    <t>10.1007/s00412-006-0089-x</t>
  </si>
  <si>
    <t>Isolation of murine and human homologues of the fission-yeast dis3+ gene encoding a mitotic-control protein and its overexpression in cancer cells with progressive phenotype</t>
  </si>
  <si>
    <t>Lim J, Kuroki T, Ozaki K, Kohsaki H, Yamori T, Tsuruo T, Nakamori S, Imaoka S, Endo M, Nakamura Y.</t>
  </si>
  <si>
    <t>Cancer Res. 1997 Mar 1;57(5):921-5.</t>
  </si>
  <si>
    <t>Lim J</t>
  </si>
  <si>
    <t>Epstein-Barr Virus-Associated Gastric Carcinoma: Use of Host Cell Machineries and Somatic Gene Mutations</t>
  </si>
  <si>
    <t>Abe H, Kaneda A, Fukayama M.</t>
  </si>
  <si>
    <t>Pathobiology. 2015;82(5):212-23. doi: 10.1159/000434683. Epub 2015 Aug 25.</t>
  </si>
  <si>
    <t>Abe H</t>
  </si>
  <si>
    <t>Pathobiology</t>
  </si>
  <si>
    <t>10.1159/000434683</t>
  </si>
  <si>
    <t>Release of podocalyxin into the extracellular space. Role of metalloproteinases</t>
  </si>
  <si>
    <t>Fernández D, Larrucea S, Nowakowski A, Pericacho M, Parrilla R, Ayuso MS.</t>
  </si>
  <si>
    <t>Biochim Biophys Acta. 2011 Aug;1813(8):1504-10. doi: 10.1016/j.bbamcr.2011.05.009. Epub 2011 May 15.</t>
  </si>
  <si>
    <t>Fernández D</t>
  </si>
  <si>
    <t>10.1016/j.bbamcr.2011.05.009</t>
  </si>
  <si>
    <t>Characterisation of inorganic phosphate transport in bovine articular chondrocytes</t>
  </si>
  <si>
    <t>Solomon DH, Wilkins RJ, Meredith D, Browning JA.</t>
  </si>
  <si>
    <t>Cell Physiol Biochem. 2007;20(1-4):99-108. doi: 10.1159/000104158.</t>
  </si>
  <si>
    <t>Solomon DH</t>
  </si>
  <si>
    <t>Cell Physiol Biochem</t>
  </si>
  <si>
    <t>10.1159/000104158</t>
  </si>
  <si>
    <t>Pontocerebellar hypoplasia type 1: clinical spectrum and relevance of EXOSC3 mutations</t>
  </si>
  <si>
    <t>Rudnik-Schöneborn S, Senderek J, Jen JC, Houge G, Seeman P, Puchmajerová A, Graul-Neumann L, Seidel U, Korinthenberg R, Kirschner J, Seeger J, Ryan MM, Muntoni F, Steinlin M, Sztriha L, Colomer J, Hübner C, Brockmann K, Van Maldergem L, Schiff M, Holzinger A, Barth P, Reardon W, Yourshaw M, Nelson SF, Eggermann T, Zerres K.</t>
  </si>
  <si>
    <t>Neurology. 2013 Jan 29;80(5):438-46. doi: 10.1212/WNL.0b013e31827f0f66. Epub 2013 Jan 2.</t>
  </si>
  <si>
    <t>Rudnik-Schöneborn S</t>
  </si>
  <si>
    <t>Neurology</t>
  </si>
  <si>
    <t>PMC3590055</t>
  </si>
  <si>
    <t>10.1212/WNL.0b013e31827f0f66</t>
  </si>
  <si>
    <t>Characteristics of rat downregulated in adenoma (rDRA) expressed in HEK 293 cells</t>
  </si>
  <si>
    <t>Barmeyer C, Ye JH, Sidani S, Geibel J, Binder HJ, Rajendran VM.</t>
  </si>
  <si>
    <t>Pflugers Arch. 2007 Jun;454(3):441-50. doi: 10.1007/s00424-007-0213-7. Epub 2007 Feb 16.</t>
  </si>
  <si>
    <t>Barmeyer C</t>
  </si>
  <si>
    <t>Pflugers Arch</t>
  </si>
  <si>
    <t>10.1007/s00424-007-0213-7</t>
  </si>
  <si>
    <t>Yi B, Cheng H, Wyczechowska D, Yu Q, Li L, Ochoa AC, Riker AI, Xi Y.</t>
  </si>
  <si>
    <t>Mol Cancer Ther. 2021 Jul;20(7):1295-1304. doi: 10.1158/1535-7163.MCT-20-0934. Epub 2021 Apr 20.</t>
  </si>
  <si>
    <t>Yi B</t>
  </si>
  <si>
    <t>PMC8295201</t>
  </si>
  <si>
    <t>NIHMS1697825</t>
  </si>
  <si>
    <t>Nonneuronal expression of Rab3A: induction during adipogenesis and association with different intracellular membranes than Rab3D</t>
  </si>
  <si>
    <t>Baldini G, Scherer PE, Lodish HF.</t>
  </si>
  <si>
    <t>Proc Natl Acad Sci U S A. 1995 May 9;92(10):4284-8. doi: 10.1073/pnas.92.10.4284.</t>
  </si>
  <si>
    <t>Baldini G</t>
  </si>
  <si>
    <t>PMC41928</t>
  </si>
  <si>
    <t>10.1073/pnas.92.10.4284</t>
  </si>
  <si>
    <t>Secretory granule-mediated co-secretion of L-glutamate and glucagon triggers glutamatergic signal transmission in islets of Langerhans</t>
  </si>
  <si>
    <t>Hayashi M, Yamada H, Uehara S, Morimoto R, Muroyama A, Yatsushiro S, Takeda J, Yamamoto A, Moriyama Y.</t>
  </si>
  <si>
    <t>J Biol Chem. 2003 Jan 17;278(3):1966-74. doi: 10.1074/jbc.M206758200. Epub 2002 Oct 31.</t>
  </si>
  <si>
    <t>10.1074/jbc.M206758200</t>
  </si>
  <si>
    <t>Loss of Topoisomerase I leads to R-loop-mediated transcriptional blocks during ribosomal RNA synthesis</t>
  </si>
  <si>
    <t>El Hage A, French SL, Beyer AL, Tollervey D.</t>
  </si>
  <si>
    <t>Genes Dev. 2010 Jul 15;24(14):1546-58. doi: 10.1101/gad.573310.</t>
  </si>
  <si>
    <t>El Hage A</t>
  </si>
  <si>
    <t>PMC2904944</t>
  </si>
  <si>
    <t>10.1101/gad.573310</t>
  </si>
  <si>
    <t>MYC- and MIZ1-Dependent Vesicular Transport of Double-Strand RNA Controls Immune Evasion in Pancreatic Ductal Adenocarcinoma</t>
  </si>
  <si>
    <t>Krenz B, Gebhardt-Wolf A, Ade CP, Gaballa A, Roehrig F, Vendelova E, Baluapuri A, Eilers U, Gallant P, D'Artista L, Wiegering A, Gasteiger G, Rosenfeldt MT, Bauer S, Zender L, Wolf E, Eilers M.</t>
  </si>
  <si>
    <t>Cancer Res. 2021 Aug 15;81(16):4242-4256. doi: 10.1158/0008-5472.CAN-21-1677. Epub 2021 Jun 18.</t>
  </si>
  <si>
    <t>Krenz B</t>
  </si>
  <si>
    <t>PMC7611539</t>
  </si>
  <si>
    <t>EMS128956</t>
  </si>
  <si>
    <t>10.1158/0008-5472.CAN-21-1677</t>
  </si>
  <si>
    <t>Molecular and cellular mechanisms underlying neural tube defects in the loop-tail mutant mouse</t>
  </si>
  <si>
    <t>Gravel M, Iliescu A, Horth C, Apuzzo S, Gros P.</t>
  </si>
  <si>
    <t>Biochemistry. 2010 Apr 27;49(16):3445-55. doi: 10.1021/bi902180m.</t>
  </si>
  <si>
    <t>Gravel M</t>
  </si>
  <si>
    <t>10.1021/bi902180m</t>
  </si>
  <si>
    <t>Gene expression profiling in vLINCL CLN6-deficient fibroblasts: Insights into pathobiology</t>
  </si>
  <si>
    <t>Teixeira CA, Lin S, Mangas M, Quinta R, Bessa CJ, Ferreira C, Sá Miranda MC, Boustany RM, Ribeiro MG.</t>
  </si>
  <si>
    <t>Biochim Biophys Acta. 2006 Jul;1762(7):637-46. doi: 10.1016/j.bbadis.2006.06.002. Epub 2006 Jun 8.</t>
  </si>
  <si>
    <t>Teixeira CA</t>
  </si>
  <si>
    <t>10.1016/j.bbadis.2006.06.002</t>
  </si>
  <si>
    <t>Multiple protein/protein and protein/RNA interactions suggest roles for yeast DNA/RNA helicase Sen1p in transcription, transcription-coupled DNA repair and RNA processing</t>
  </si>
  <si>
    <t>Ursic D, Chinchilla K, Finkel JS, Culbertson MR.</t>
  </si>
  <si>
    <t>Nucleic Acids Res. 2004 Apr 30;32(8):2441-52. doi: 10.1093/nar/gkh561. Print 2004.</t>
  </si>
  <si>
    <t>Ursic D</t>
  </si>
  <si>
    <t>PMC419450</t>
  </si>
  <si>
    <t>10.1093/nar/gkh561</t>
  </si>
  <si>
    <t>The unusual cell biology of the hyperthermophilic Crenarchaeon Ignicoccus hospitalis</t>
  </si>
  <si>
    <t>Huber H, Küper U, Daxer S, Rachel R.</t>
  </si>
  <si>
    <t>Antonie Van Leeuwenhoek. 2012 Aug;102(2):203-19. doi: 10.1007/s10482-012-9748-5. Epub 2012 Jun 1.</t>
  </si>
  <si>
    <t>Huber H</t>
  </si>
  <si>
    <t>Antonie Van Leeuwenhoek</t>
  </si>
  <si>
    <t>10.1007/s10482-012-9748-5</t>
  </si>
  <si>
    <t>Haas T, Schmitz F, Heit A, Wagner H.</t>
  </si>
  <si>
    <t>Immunology. 2009 Feb;126(2):290-8. doi: 10.1111/j.1365-2567.2008.02897.x. Epub 2008 Nov 15.</t>
  </si>
  <si>
    <t>Haas T</t>
  </si>
  <si>
    <t>PMC2632690</t>
  </si>
  <si>
    <t>The Acinetobacter baumannii Omp33-36 porin is a virulence factor that induces apoptosis and modulates autophagy in human cells</t>
  </si>
  <si>
    <t>Rumbo C, Tomás M, Fernández Moreira E, Soares NC, Carvajal M, Santillana E, Beceiro A, Romero A, Bou G.</t>
  </si>
  <si>
    <t>Infect Immun. 2014 Nov;82(11):4666-80. doi: 10.1128/IAI.02034-14. Epub 2014 Aug 25.</t>
  </si>
  <si>
    <t>Rumbo C</t>
  </si>
  <si>
    <t>PMC4249306</t>
  </si>
  <si>
    <t>10.1128/IAI.02034-14</t>
  </si>
  <si>
    <t>Iyori K, Futagawa-Saito K, Hisatsune J, Yamamoto M, Sekiguchi M, Ide K, Son WG, Olivry T, Sugai M, Fukuyasu T, Iwasaki T, Nishifuji K.</t>
  </si>
  <si>
    <t>Vet Dermatol. 2011 Aug;22(4):319-26. doi: 10.1111/j.1365-3164.2011.00952.x. Epub 2011 Mar 17.</t>
  </si>
  <si>
    <t>Iyori K</t>
  </si>
  <si>
    <t>Vet Dermatol</t>
  </si>
  <si>
    <t>Lin Z, Walther D, Yu XY, Li S, Drgon T, Uhl GR.</t>
  </si>
  <si>
    <t>Hum Mol Genet. 2005 May 15;14(10):1393-404. doi: 10.1093/hmg/ddi148. Epub 2005 Apr 13.</t>
  </si>
  <si>
    <t>Lin Z</t>
  </si>
  <si>
    <t>The efficient cellular uptake of high density lipoprotein lipids via scavenger receptor class B type I requires not only receptor-mediated surface binding but also receptor-specific lipid transfer mediated by its extracellular domain</t>
  </si>
  <si>
    <t>Gu X, Trigatti B, Xu S, Acton S, Babitt J, Krieger M.</t>
  </si>
  <si>
    <t>J Biol Chem. 1998 Oct 9;273(41):26338-48. doi: 10.1074/jbc.273.41.26338.</t>
  </si>
  <si>
    <t>Gu X</t>
  </si>
  <si>
    <t>10.1074/jbc.273.41.26338</t>
  </si>
  <si>
    <t>Xiang X, Chen L, Hu X, Yu S, Yang R, Wu X.</t>
  </si>
  <si>
    <t>Virus Res. 2011 Jun;158(1-2):72-8. doi: 10.1016/j.virusres.2011.03.012. Epub 2011 Mar 31.</t>
  </si>
  <si>
    <t>Xiang X</t>
  </si>
  <si>
    <t>Tristetraprolin regulates the expression of the human inducible nitric-oxide synthase gene</t>
  </si>
  <si>
    <t>Fechir M, Linker K, Pautz A, Hubrich T, Förstermann U, Rodriguez-Pascual F, Kleinert H.</t>
  </si>
  <si>
    <t>Mol Pharmacol. 2005 Jun;67(6):2148-61. doi: 10.1124/mol.104.008763. Epub 2005 Mar 18.</t>
  </si>
  <si>
    <t>Fechir M</t>
  </si>
  <si>
    <t>Mol Pharmacol</t>
  </si>
  <si>
    <t>10.1124/mol.104.008763</t>
  </si>
  <si>
    <t>Analysis of the specificity of anti-PM-Scl autoantibodies</t>
  </si>
  <si>
    <t>Ge Q, Wu Y, Trieu EP, Targoff IN.</t>
  </si>
  <si>
    <t>Arthritis Rheum. 1994 Oct;37(10):1445-52. doi: 10.1002/art.1780371007.</t>
  </si>
  <si>
    <t>10.1002/art.1780371007</t>
  </si>
  <si>
    <t>Tumor microenvironment complexity and therapeutic implications at a glance</t>
  </si>
  <si>
    <t>Baghban R, Roshangar L, Jahanban-Esfahlan R, Seidi K, Ebrahimi-Kalan A, Jaymand M, Kolahian S, Javaheri T, Zare P.</t>
  </si>
  <si>
    <t>Cell Commun Signal. 2020 Apr 7;18(1):59. doi: 10.1186/s12964-020-0530-4.</t>
  </si>
  <si>
    <t>Baghban R</t>
  </si>
  <si>
    <t>PMC7140346</t>
  </si>
  <si>
    <t>10.1186/s12964-020-0530-4</t>
  </si>
  <si>
    <t>Barrier-to-autointegration factor BAF binds p55 Gag and matrix and is a host component of human immunodeficiency virus type 1 virions</t>
  </si>
  <si>
    <t>Mansharamani M, Graham DR, Monie D, Lee KK, Hildreth JE, Siliciano RF, Wilson KL.</t>
  </si>
  <si>
    <t>J Virol. 2003 Dec;77(24):13084-92. doi: 10.1128/jvi.77.24.13084-13092.2003.</t>
  </si>
  <si>
    <t>Mansharamani M</t>
  </si>
  <si>
    <t>PMC296067</t>
  </si>
  <si>
    <t>10.1128/jvi.77.24.13084-13092.2003</t>
  </si>
  <si>
    <t>PTH/PTHrP Receptor Signaling Restricts Arterial Fibrosis in Diabetic LDLR(-/-) Mice by Inhibiting Myocardin-Related Transcription Factor Relays</t>
  </si>
  <si>
    <t>Behrmann A, Zhong D, Li L, Cheng SL, Mead M, Ramachandran B, Sabaeifard P, Goodarzi M, Lemoff A, Kronenberg HM, Towler DA.</t>
  </si>
  <si>
    <t>Circ Res. 2020 May 8;126(10):1363-1378. doi: 10.1161/CIRCRESAHA.119.316141. Epub 2020 Mar 11.</t>
  </si>
  <si>
    <t>Behrmann A</t>
  </si>
  <si>
    <t>PMC7524585</t>
  </si>
  <si>
    <t>NIHMS1576084</t>
  </si>
  <si>
    <t>The feelgood mutation in zebrafish dysregulates COPII-dependent secretion of select extracellular matrix proteins in skeletal morphogenesis</t>
  </si>
  <si>
    <t>Melville DB, Montero-Balaguer M, Levic DS, Bradley K, Smith JR, Hatzopoulos AK, Knapik EW.</t>
  </si>
  <si>
    <t>Dis Model Mech. 2011 Nov;4(6):763-76. doi: 10.1242/dmm.007625. Epub 2011 Jul 4.</t>
  </si>
  <si>
    <t>Melville DB</t>
  </si>
  <si>
    <t>Dis Model Mech</t>
  </si>
  <si>
    <t>PMC3209646</t>
  </si>
  <si>
    <t>10.1242/dmm.007625</t>
  </si>
  <si>
    <t>LARP7 family proteins have conserved function in telomerase assembly</t>
  </si>
  <si>
    <t>Collopy LC, Ware TL, Goncalves T, Í Kongsstovu S, Yang Q, Amelina H, Pinder C, Alenazi A, Moiseeva V, Pearson SR, Armstrong CA, Tomita K.</t>
  </si>
  <si>
    <t>Nat Commun. 2018 Feb 8;9(1):557. doi: 10.1038/s41467-017-02296-4.</t>
  </si>
  <si>
    <t>Collopy LC</t>
  </si>
  <si>
    <t>PMC5805788</t>
  </si>
  <si>
    <t>10.1038/s41467-017-02296-4</t>
  </si>
  <si>
    <t>Almanza G, Anufreichik V, Rodvold JJ, Chiu KT, DeLaney A, Akers JC, Chen CC, Zanetti M.</t>
  </si>
  <si>
    <t>Proc Natl Acad Sci U S A. 2013 Dec 10;110(50):20182-7. doi: 10.1073/pnas.1311145110. Epub 2013 Nov 25.</t>
  </si>
  <si>
    <t>PMC3864290</t>
  </si>
  <si>
    <t>Shi M, Zhang J, Wang Y, Peng C, Hu H, Qiao M, Zhao X, Chen D.</t>
  </si>
  <si>
    <t>Biomaterials. 2022 Apr;283:121448. doi: 10.1016/j.biomaterials.2022.121448. Epub 2022 Mar 1.</t>
  </si>
  <si>
    <t>Shi M</t>
  </si>
  <si>
    <t>Cholesterol enrichment of human monocyte/macrophages induces surface exposure of phosphatidylserine and the release of biologically-active tissue factor-positive microvesicles</t>
  </si>
  <si>
    <t>Liu ML, Reilly MP, Casasanto P, McKenzie SE, Williams KJ.</t>
  </si>
  <si>
    <t>Arterioscler Thromb Vasc Biol. 2007 Feb;27(2):430-5. doi: 10.1161/01.ATV.0000254674.47693.e8. Epub 2006 Dec 7.</t>
  </si>
  <si>
    <t>Liu ML</t>
  </si>
  <si>
    <t>PMC4568121</t>
  </si>
  <si>
    <t>NIHMS269788</t>
  </si>
  <si>
    <t>Trial watch: STING agonists in cancer therapy</t>
  </si>
  <si>
    <t>Le Naour J, Zitvogel L, Galluzzi L, Vacchelli E, Kroemer G.</t>
  </si>
  <si>
    <t>Oncoimmunology. 2020 Jun 16;9(1):1777624. doi: 10.1080/2162402X.2020.1777624.</t>
  </si>
  <si>
    <t>Le Naour J</t>
  </si>
  <si>
    <t>Oncoimmunology</t>
  </si>
  <si>
    <t>PMC7466854</t>
  </si>
  <si>
    <t>10.1080/2162402X.2020.1777624</t>
  </si>
  <si>
    <t>Emerging roles of the processing of nucleic acids and Toll-like receptors in innate immune responses to nucleic acids</t>
  </si>
  <si>
    <t>Miyake K, Shibata T, Ohto U, Shimizu T.</t>
  </si>
  <si>
    <t>J Leukoc Biol. 2017 Jan;101(1):135-142. doi: 10.1189/jlb.4MR0316-108R. Epub 2016 Jun 22.</t>
  </si>
  <si>
    <t>Miyake K</t>
  </si>
  <si>
    <t>10.1189/jlb.4MR0316-108R</t>
  </si>
  <si>
    <t>The AIM2 and NLRP3 inflammasomes trigger IL-1-mediated antitumor effects during radiation</t>
  </si>
  <si>
    <t>Han C, Godfrey V, Liu Z, Han Y, Liu L, Peng H, Weichselbaum RR, Zaki H, Fu YX.</t>
  </si>
  <si>
    <t>Sci Immunol. 2021 May 7;6(59):eabc6998. doi: 10.1126/sciimmunol.abc6998.</t>
  </si>
  <si>
    <t>Han C</t>
  </si>
  <si>
    <t>10.1126/sciimmunol.abc6998</t>
  </si>
  <si>
    <t>A Functional Link between Nuclear RNA Decay and Transcriptional Control Mediated by the Polycomb Repressive Complex 2</t>
  </si>
  <si>
    <t>Garland W, Comet I, Wu M, Radzisheuskaya A, Rib L, Vitting-Seerup K, Lloret-Llinares M, Sandelin A, Helin K, Jensen TH.</t>
  </si>
  <si>
    <t>Cell Rep. 2019 Nov 12;29(7):1800-1811.e6. doi: 10.1016/j.celrep.2019.10.011.</t>
  </si>
  <si>
    <t>PMC6856724</t>
  </si>
  <si>
    <t>10.1016/j.celrep.2019.10.011</t>
  </si>
  <si>
    <t>Condensin controls cellular RNA levels through the accurate segregation of chromosomes instead of directly regulating transcription</t>
  </si>
  <si>
    <t>Hocquet C, Robellet X, Modolo L, Sun XM, Burny C, Cuylen-Haering S, Toselli E, Clauder-Münster S, Steinmetz L, Haering CH, Marguerat S, Bernard P.</t>
  </si>
  <si>
    <t>Elife. 2018 Sep 19;7:e38517. doi: 10.7554/eLife.38517.</t>
  </si>
  <si>
    <t>Hocquet C</t>
  </si>
  <si>
    <t>PMC6173581</t>
  </si>
  <si>
    <t>10.7554/eLife.38517</t>
  </si>
  <si>
    <t>Evidence for Ca(2+)-regulated ATP release in gastrointestinal stromal tumors</t>
  </si>
  <si>
    <t>Berglund E, Berglund D, Akcakaya P, Ghaderi M, Daré E, Berggren PO, Köhler M, Aspinwall CA, Lui WO, Zedenius J, Larsson C, Bränström R.</t>
  </si>
  <si>
    <t>Exp Cell Res. 2013 May 1;319(8):1229-38. doi: 10.1016/j.yexcr.2013.03.001. Epub 2013 Mar 13.</t>
  </si>
  <si>
    <t>Berglund E</t>
  </si>
  <si>
    <t>PMC3628080</t>
  </si>
  <si>
    <t>NIHMS455025</t>
  </si>
  <si>
    <t>10.1016/j.yexcr.2013.03.001</t>
  </si>
  <si>
    <t>Loss-of-function mutations in ATP6V0A2 impair vesicular trafficking, tropoelastin secretion and cell survival</t>
  </si>
  <si>
    <t>Hucthagowder V, Morava E, Kornak U, Lefeber DJ, Fischer B, Dimopoulou A, Aldinger A, Choi J, Davis EC, Abuelo DN, Adamowicz M, Al-Aama J, Basel-Vanagaite L, Fernandez B, Greally MT, Gillessen-Kaesbach G, Kayserili H, Lemyre E, Tekin M, Türkmen S, Tuysuz B, Yüksel-Konuk B, Mundlos S, Van Maldergem L, Wevers RA, Urban Z.</t>
  </si>
  <si>
    <t>Hum Mol Genet. 2009 Jun 15;18(12):2149-65. doi: 10.1093/hmg/ddp148. Epub 2009 Mar 25.</t>
  </si>
  <si>
    <t>Hucthagowder V</t>
  </si>
  <si>
    <t>PMC2685755</t>
  </si>
  <si>
    <t>10.1093/hmg/ddp148</t>
  </si>
  <si>
    <t>Dynamic interactions of the UL16 tegument protein with the capsid of herpes simplex virus</t>
  </si>
  <si>
    <t>Meckes DG Jr, Wills JW.</t>
  </si>
  <si>
    <t>J Virol. 2007 Dec;81(23):13028-36. doi: 10.1128/JVI.01306-07. Epub 2007 Sep 12.</t>
  </si>
  <si>
    <t>Meckes DG Jr</t>
  </si>
  <si>
    <t>PMC2169088</t>
  </si>
  <si>
    <t>10.1128/JVI.01306-07</t>
  </si>
  <si>
    <t>O'Leary VB, Ovsepian SV, Carrascosa LG, Buske FA, Radulovic V, Niyazi M, Moertl S, Trau M, Atkinson MJ, Anastasov N.</t>
  </si>
  <si>
    <t>Cell Rep. 2015 Apr 21;11(3):474-85. doi: 10.1016/j.celrep.2015.03.043.</t>
  </si>
  <si>
    <t>O'Leary VB</t>
  </si>
  <si>
    <t>Mitochondrial determinants of cancer health disparities</t>
  </si>
  <si>
    <t>Choudhury AR, Singh KK.</t>
  </si>
  <si>
    <t>Semin Cancer Biol. 2017 Dec;47:125-146. doi: 10.1016/j.semcancer.2017.05.001. Epub 2017 May 6.</t>
  </si>
  <si>
    <t>Choudhury AR</t>
  </si>
  <si>
    <t>PMC5673596</t>
  </si>
  <si>
    <t>NIHMS880261</t>
  </si>
  <si>
    <t>10.1016/j.semcancer.2017.05.001</t>
  </si>
  <si>
    <t>MicroRNAs in melanocyte and melanoma biology</t>
  </si>
  <si>
    <t>Mione M, Bosserhoff A.</t>
  </si>
  <si>
    <t>Pigment Cell Melanoma Res. 2015 May;28(3):340-54. doi: 10.1111/pcmr.12346. Epub 2015 Jan 6.</t>
  </si>
  <si>
    <t>Mione M</t>
  </si>
  <si>
    <t>10.1111/pcmr.12346</t>
  </si>
  <si>
    <t>Analysis of the Sarcocystis neurona microneme protein SnMIC10: protein characteristics and expression during intracellular development</t>
  </si>
  <si>
    <t>Hoane JS, Carruthers VB, Striepen B, Morrison DP, Entzeroth R, Howe DK.</t>
  </si>
  <si>
    <t>Int J Parasitol. 2003 Jul;33(7):671-9. doi: 10.1016/s0020-7519(03)00031-6.</t>
  </si>
  <si>
    <t>Hoane JS</t>
  </si>
  <si>
    <t>10.1016/s0020-7519(03)00031-6</t>
  </si>
  <si>
    <t>Aptamers as Modular Components of Therapeutic Nucleic Acid Nanotechnology</t>
  </si>
  <si>
    <t>Panigaj M, Johnson MB, Ke W, McMillan J, Goncharova EA, Chandler M, Afonin KA.</t>
  </si>
  <si>
    <t>ACS Nano. 2019 Nov 26;13(11):12301-12321. doi: 10.1021/acsnano.9b06522. Epub 2019 Nov 5.</t>
  </si>
  <si>
    <t>Panigaj M</t>
  </si>
  <si>
    <t>PMC7382785</t>
  </si>
  <si>
    <t>NIHMS1608678</t>
  </si>
  <si>
    <t>10.1021/acsnano.9b06522</t>
  </si>
  <si>
    <t>Zinc Binding to MG53 Protein Facilitates Repair of Injury to Cell Membranes</t>
  </si>
  <si>
    <t>Cai C, Lin P, Zhu H, Ko JK, Hwang M, Tan T, Pan Z, Korichneva I, Ma J.</t>
  </si>
  <si>
    <t>J Biol Chem. 2015 May 29;290(22):13830-9. doi: 10.1074/jbc.M114.620690. Epub 2015 Apr 13.</t>
  </si>
  <si>
    <t>Cai C</t>
  </si>
  <si>
    <t>PMC4447959</t>
  </si>
  <si>
    <t>10.1074/jbc.M114.620690</t>
  </si>
  <si>
    <t>Advanced liquid biopsy technologies for circulating biomarker detection</t>
  </si>
  <si>
    <t>Soda N, Rehm BHA, Sonar P, Nguyen NT, Shiddiky MJA.</t>
  </si>
  <si>
    <t>J Mater Chem B. 2019 Nov 21;7(43):6670-6704. doi: 10.1039/c9tb01490j. Epub 2019 Oct 24.</t>
  </si>
  <si>
    <t>Soda N</t>
  </si>
  <si>
    <t>10.1039/c9tb01490j</t>
  </si>
  <si>
    <t>The Spt6 SH2 domain binds Ser2-P RNAPII to direct Iws1-dependent mRNA splicing and export</t>
  </si>
  <si>
    <t>Yoh SM, Cho H, Pickle L, Evans RM, Jones KA.</t>
  </si>
  <si>
    <t>Genes Dev. 2007 Jan 15;21(2):160-74. doi: 10.1101/gad.1503107.</t>
  </si>
  <si>
    <t>Yoh SM</t>
  </si>
  <si>
    <t>PMC1770899</t>
  </si>
  <si>
    <t>10.1101/gad.1503107</t>
  </si>
  <si>
    <t>The zinc-finger protein Red1 orchestrates MTREC submodules and binds the Mtl1 helicase arch domain</t>
  </si>
  <si>
    <t>Dobrev N, Ahmed YL, Sivadas A, Soni K, Fischer T, Sinning I.</t>
  </si>
  <si>
    <t>Nat Commun. 2021 Jun 8;12(1):3456. doi: 10.1038/s41467-021-23565-3.</t>
  </si>
  <si>
    <t>Dobrev N</t>
  </si>
  <si>
    <t>PMC8187409</t>
  </si>
  <si>
    <t>10.1038/s41467-021-23565-3</t>
  </si>
  <si>
    <t>Degradation of histone mRNA requires oligouridylation followed by decapping and simultaneous degradation of the mRNA both 5' to 3' and 3' to 5'</t>
  </si>
  <si>
    <t>Mullen TE, Marzluff WF.</t>
  </si>
  <si>
    <t>Genes Dev. 2008 Jan 1;22(1):50-65. doi: 10.1101/gad.1622708.</t>
  </si>
  <si>
    <t>Mullen TE</t>
  </si>
  <si>
    <t>PMC2151014</t>
  </si>
  <si>
    <t>10.1101/gad.1622708</t>
  </si>
  <si>
    <t>The RNA helicase Mtr4p modulates polyadenylation in the TRAMP complex</t>
  </si>
  <si>
    <t>Jia H, Wang X, Liu F, Guenther UP, Srinivasan S, Anderson JT, Jankowsky E.</t>
  </si>
  <si>
    <t>Cell. 2011 Jun 10;145(6):890-901. doi: 10.1016/j.cell.2011.05.010.</t>
  </si>
  <si>
    <t>PMC3115544</t>
  </si>
  <si>
    <t>NIHMS297096</t>
  </si>
  <si>
    <t>10.1016/j.cell.2011.05.010</t>
  </si>
  <si>
    <t>TDP-43 regulates its mRNA levels through a negative feedback loop</t>
  </si>
  <si>
    <t>Ayala YM, De Conti L, Avendaño-Vázquez SE, Dhir A, Romano M, D'Ambrogio A, Tollervey J, Ule J, Baralle M, Buratti E, Baralle FE.</t>
  </si>
  <si>
    <t>EMBO J. 2011 Jan 19;30(2):277-88. doi: 10.1038/emboj.2010.310. Epub 2010 Dec 3.</t>
  </si>
  <si>
    <t>Ayala YM</t>
  </si>
  <si>
    <t>PMC3025456</t>
  </si>
  <si>
    <t>10.1038/emboj.2010.310</t>
  </si>
  <si>
    <t>Marizcurrena JJ, Herrera LM, Costábile A, Morales D, Villadóniga C, Eizmendi A, Davyt D, Castro-Sowinski S.</t>
  </si>
  <si>
    <t>FEMS Microbiol Lett. 2019 Jul 1;366(14):fnz177. doi: 10.1093/femsle/fnz177.</t>
  </si>
  <si>
    <t>Marizcurrena JJ</t>
  </si>
  <si>
    <t>Mutational analysis of the putative leukotoxin transport genes in Actinobacillus actinomycetemcomitans</t>
  </si>
  <si>
    <t>Guthmiller JM, Kolodrubetz D, Kraig E.</t>
  </si>
  <si>
    <t>Microb Pathog. 1995 May;18(5):307-21. doi: 10.1006/mpat.1995.0028.</t>
  </si>
  <si>
    <t>Guthmiller JM</t>
  </si>
  <si>
    <t>10.1006/mpat.1995.0028</t>
  </si>
  <si>
    <t>The low density lipoprotein receptor</t>
  </si>
  <si>
    <t>Schneider WJ.</t>
  </si>
  <si>
    <t>Biochim Biophys Acta. 1989 May 9;988(2):303-17. doi: 10.1016/0304-4157(89)90023-3.</t>
  </si>
  <si>
    <t>Schneider WJ</t>
  </si>
  <si>
    <t>10.1016/0304-4157(89)90023-3</t>
  </si>
  <si>
    <t>Origin of unenveloped capsids in the cytoplasm of cells infected with herpes simplex virus 1</t>
  </si>
  <si>
    <t>Campadelli-Fiume G, Farabegoli F, Di Gaeta S, Roizman B.</t>
  </si>
  <si>
    <t>J Virol. 1991 Mar;65(3):1589-95. doi: 10.1128/JVI.65.3.1589-1595.1991.</t>
  </si>
  <si>
    <t>Campadelli-Fiume G</t>
  </si>
  <si>
    <t>PMC239943</t>
  </si>
  <si>
    <t>10.1128/JVI.65.3.1589-1595.1991</t>
  </si>
  <si>
    <t>Distinct pathways for snoRNA and mRNA termination</t>
  </si>
  <si>
    <t>Kim M, Vasiljeva L, Rando OJ, Zhelkovsky A, Moore C, Buratowski S.</t>
  </si>
  <si>
    <t>Mol Cell. 2006 Dec 8;24(5):723-734. doi: 10.1016/j.molcel.2006.11.011.</t>
  </si>
  <si>
    <t>Kim M</t>
  </si>
  <si>
    <t>10.1016/j.molcel.2006.11.011</t>
  </si>
  <si>
    <t>Kinetic competition between RNA Polymerase II and Sen1-dependent transcription termination</t>
  </si>
  <si>
    <t>Hazelbaker DZ, Marquardt S, Wlotzka W, Buratowski S.</t>
  </si>
  <si>
    <t>Mol Cell. 2013 Jan 10;49(1):55-66. doi: 10.1016/j.molcel.2012.10.014. Epub 2012 Nov 21.</t>
  </si>
  <si>
    <t>Hazelbaker DZ</t>
  </si>
  <si>
    <t>PMC3545030</t>
  </si>
  <si>
    <t>NIHMS416143</t>
  </si>
  <si>
    <t>10.1016/j.molcel.2012.10.014</t>
  </si>
  <si>
    <t>Roadblock termination by reb1p restricts cryptic and readthrough transcription</t>
  </si>
  <si>
    <t>Colin J, Candelli T, Porrua O, Boulay J, Zhu C, Lacroute F, Steinmetz LM, Libri D.</t>
  </si>
  <si>
    <t>Mol Cell. 2014 Dec 4;56(5):667-80. doi: 10.1016/j.molcel.2014.10.026.</t>
  </si>
  <si>
    <t>Colin J</t>
  </si>
  <si>
    <t>10.1016/j.molcel.2014.10.026</t>
  </si>
  <si>
    <t>Nucleic acid delivery: the missing pieces of the puzzle?</t>
  </si>
  <si>
    <t>Nguyen J, Szoka FC.</t>
  </si>
  <si>
    <t>Acc Chem Res. 2012 Jul 17;45(7):1153-62. doi: 10.1021/ar3000162. Epub 2012 Mar 19.</t>
  </si>
  <si>
    <t>Nguyen J</t>
  </si>
  <si>
    <t>Acc Chem Res</t>
  </si>
  <si>
    <t>PMC3399092</t>
  </si>
  <si>
    <t>NIHMS365185</t>
  </si>
  <si>
    <t>10.1021/ar3000162</t>
  </si>
  <si>
    <t>Adi Harel S, Bossel Ben-Moshe N, Aylon Y, Bublik DR, Moskovits N, Toperoff G, Azaiza D, Biagoni F, Fuchs G, Wilder S, Hellman A, Blandino G, Domany E, Oren M.</t>
  </si>
  <si>
    <t>Cell Death Differ. 2015 Aug;22(8):1328-40. doi: 10.1038/cdd.2014.221. Epub 2015 Jan 16.</t>
  </si>
  <si>
    <t>Adi Harel S</t>
  </si>
  <si>
    <t>PMC4495356</t>
  </si>
  <si>
    <t>P53-dependent upregulation of neutral sphingomyelinase-2: role in doxorubicin-induced growth arrest</t>
  </si>
  <si>
    <t>Shamseddine AA, Clarke CJ, Carroll B, Airola MV, Mohammed S, Rella A, Obeid LM, Hannun YA.</t>
  </si>
  <si>
    <t>Cell Death Dis. 2015 Oct 29;6(10):e1947. doi: 10.1038/cddis.2015.268.</t>
  </si>
  <si>
    <t>Shamseddine AA</t>
  </si>
  <si>
    <t>PMC4632297</t>
  </si>
  <si>
    <t>10.1038/cddis.2015.268</t>
  </si>
  <si>
    <t>VAMP-2 and cellubrevin are expressed in pancreatic beta-cells and are essential for Ca(2+)-but not for GTP gamma S-induced insulin secretion</t>
  </si>
  <si>
    <t>Regazzi R, Wollheim CB, Lang J, Theler JM, Rossetto O, Montecucco C, Sadoul K, Weller U, Palmer M, Thorens B.</t>
  </si>
  <si>
    <t>EMBO J. 1995 Jun 15;14(12):2723-30. doi: 10.1002/j.1460-2075.1995.tb07273.x.</t>
  </si>
  <si>
    <t>Regazzi R</t>
  </si>
  <si>
    <t>PMC398391</t>
  </si>
  <si>
    <t>10.1002/j.1460-2075.1995.tb07273.x</t>
  </si>
  <si>
    <t>BRAF and DIS3 Mutations Associate with Adverse Outcome in a Long-term Follow-up of Patients with Multiple Myeloma</t>
  </si>
  <si>
    <t>Boyle EM, Ashby C, Tytarenko RG, Deshpande S, Wang H, Wang Y, Rosenthal A, Sawyer J, Tian E, Flynt E, Hoering A, Johnson SK, Rutherford MW, Wardell CP, Bauer MA, Dumontet C, Facon T, Thanendrarajan S, Schinke CD, Zangari M, van Rhee F, Barlogie B, Cairns D, Jackson G, Thakurta A, Davies FE, Morgan GJ, Walker BA.</t>
  </si>
  <si>
    <t>Clin Cancer Res. 2020 May 15;26(10):2422-2432. doi: 10.1158/1078-0432.CCR-19-1507. Epub 2020 Jan 27.</t>
  </si>
  <si>
    <t>Boyle EM</t>
  </si>
  <si>
    <t>10.1158/1078-0432.CCR-19-1507</t>
  </si>
  <si>
    <t>Insulinoma cells contain an isoform of Ca2+/calmodulin-dependent protein kinase II delta associated with insulin secretion vesicles</t>
  </si>
  <si>
    <t>Möhlig M, Wolter S, Mayer P, Lang J, Osterhoff M, Horn PA, Schatz H, Pfeiffer A.</t>
  </si>
  <si>
    <t>Endocrinology. 1997 Jun;138(6):2577-84. doi: 10.1210/endo.138.6.5168.</t>
  </si>
  <si>
    <t>Möhlig M</t>
  </si>
  <si>
    <t>10.1210/endo.138.6.5168</t>
  </si>
  <si>
    <t>Advances and Utility of the Human Plasma Proteome</t>
  </si>
  <si>
    <t>Deutsch EW, Omenn GS, Sun Z, Maes M, Pernemalm M, Palaniappan KK, Letunica N, Vandenbrouck Y, Brun V, Tao SC, Yu X, Geyer PE, Ignjatovic V, Moritz RL, Schwenk JM.</t>
  </si>
  <si>
    <t>J Proteome Res. 2021 Dec 3;20(12):5241-5263. doi: 10.1021/acs.jproteome.1c00657. Epub 2021 Oct 21.</t>
  </si>
  <si>
    <t>Deutsch EW</t>
  </si>
  <si>
    <t>10.1021/acs.jproteome.1c00657</t>
  </si>
  <si>
    <t>In-depth cell-free DNA sequencing reveals genomic landscape of Hodgkin's lymphoma and facilitates ultrasensitive residual disease detection</t>
  </si>
  <si>
    <t>Sobesky S, Mammadova L, Cirillo M, Drees EEE, Mattlener J, Dörr H, Altmüller J, Shi Z, Bröckelmann PJ, Weiss J, Kreissl S, Sasse S, Ullrich RT, Reinke S, Klapper W, Gerhard-Hartmann E, Rosenwald A, Roemer MGM, Nürnberg P, Hagenbeek A, Zijlstra JM, Pegtel DM, Engert A, Borchmann P, von Tresckow B, Borchmann S.</t>
  </si>
  <si>
    <t>Med (N Y). 2021 Oct 8;2(10):1171-1193.e11. doi: 10.1016/j.medj.2021.09.002.</t>
  </si>
  <si>
    <t>Sobesky S</t>
  </si>
  <si>
    <t>Med (N Y)</t>
  </si>
  <si>
    <t>10.1016/j.medj.2021.09.002</t>
  </si>
  <si>
    <t>A genome-wide short hairpin RNA screening of jurkat T-cells for human proteins contributing to productive HIV-1 replication</t>
  </si>
  <si>
    <t>Yeung ML, Houzet L, Yedavalli VS, Jeang KT.</t>
  </si>
  <si>
    <t>J Biol Chem. 2009 Jul 17;284(29):19463-73. doi: 10.1074/jbc.M109.010033. Epub 2009 May 20.</t>
  </si>
  <si>
    <t>Yeung ML</t>
  </si>
  <si>
    <t>PMC2740572</t>
  </si>
  <si>
    <t>10.1074/jbc.M109.010033</t>
  </si>
  <si>
    <t>Improved TGIRT-seq methods for comprehensive transcriptome profiling with decreased adapter dimer formation and bias correction</t>
  </si>
  <si>
    <t>Xu H, Yao J, Wu DC, Lambowitz AM.</t>
  </si>
  <si>
    <t>Sci Rep. 2019 May 28;9(1):7953. doi: 10.1038/s41598-019-44457-z.</t>
  </si>
  <si>
    <t>PMC6538698</t>
  </si>
  <si>
    <t>10.1038/s41598-019-44457-z</t>
  </si>
  <si>
    <t>Krishnan HH, Sharma-Walia N, Zeng L, Gao SJ, Chandran B.</t>
  </si>
  <si>
    <t>J Virol. 2005 Sep;79(17):10952-67. doi: 10.1128/JVI.79.17.10952-10967.2005.</t>
  </si>
  <si>
    <t>Krishnan HH</t>
  </si>
  <si>
    <t>PMC1193577</t>
  </si>
  <si>
    <t>Knockout of the vesicular monoamine transporter 2 gene results in neonatal death and supersensitivity to cocaine and amphetamine</t>
  </si>
  <si>
    <t>Wang YM, Gainetdinov RR, Fumagalli F, Xu F, Jones SR, Bock CB, Miller GW, Wightman RM, Caron MG.</t>
  </si>
  <si>
    <t>Neuron. 1997 Dec;19(6):1285-96. doi: 10.1016/s0896-6273(00)80419-5.</t>
  </si>
  <si>
    <t>Neuron</t>
  </si>
  <si>
    <t>10.1016/s0896-6273(00)80419-5</t>
  </si>
  <si>
    <t>The alpha-TIF (VP16) homologue (ETIF) of equine herpesvirus 1 is essential for secondary envelopment and virus egress</t>
  </si>
  <si>
    <t>von Einem J, Schumacher D, O'Callaghan DJ, Osterrieder N.</t>
  </si>
  <si>
    <t>J Virol. 2006 Mar;80(6):2609-20. doi: 10.1128/JVI.80.6.2609-2620.2006.</t>
  </si>
  <si>
    <t>von Einem J</t>
  </si>
  <si>
    <t>PMC1395446</t>
  </si>
  <si>
    <t>The Alzheimer's A beta -peptide is deposited at sites of complement activation in pathologic deposits associated with aging and age-related macular degeneration</t>
  </si>
  <si>
    <t>Johnson LV, Leitner WP, Rivest AJ, Staples MK, Radeke MJ, Anderson DH.</t>
  </si>
  <si>
    <t>Proc Natl Acad Sci U S A. 2002 Sep 3;99(18):11830-5. doi: 10.1073/pnas.192203399. Epub 2002 Aug 20.</t>
  </si>
  <si>
    <t>Johnson LV</t>
  </si>
  <si>
    <t>PMC129354</t>
  </si>
  <si>
    <t>10.1073/pnas.192203399</t>
  </si>
  <si>
    <t>Exchange of water for sterol underlies sterol egress from a StARkin domain</t>
  </si>
  <si>
    <t>Khelashvili G, Chauhan N, Pandey K, Eliezer D, Menon AK.</t>
  </si>
  <si>
    <t>Elife. 2019 Dec 4;8:e53444. doi: 10.7554/eLife.53444.</t>
  </si>
  <si>
    <t>Khelashvili G</t>
  </si>
  <si>
    <t>PMC6940019</t>
  </si>
  <si>
    <t>10.7554/eLife.53444</t>
  </si>
  <si>
    <t>Identification of differentially expressed transcripts in bovine rumen and abomasum using a differential display method</t>
  </si>
  <si>
    <t>Roh SG, Kuno M, Hishikawa D, Hong YH, Katoh K, Obara Y, Hidari H, Sasaki S.</t>
  </si>
  <si>
    <t>J Anim Sci. 2007 Feb;85(2):395-403. doi: 10.2527/jas.2006-234.</t>
  </si>
  <si>
    <t>Roh SG</t>
  </si>
  <si>
    <t>J Anim Sci</t>
  </si>
  <si>
    <t>10.2527/jas.2006-234</t>
  </si>
  <si>
    <t>Hashimoto Y, Muramatsu K, Kunii M, Yoshimura S, Yamada M, Sato T, Ishida Y, Harada R, Harada A.</t>
  </si>
  <si>
    <t>FASEB J. 2012 Nov;26(11):4662-74. doi: 10.1096/fj.12-207530. Epub 2012 Aug 8.</t>
  </si>
  <si>
    <t>PMC3475256</t>
  </si>
  <si>
    <t>Lysosomal targeting of P-selectin is mediated by a novel sequence within its cytoplasmic tail</t>
  </si>
  <si>
    <t>Blagoveshchenskaya AD, Norcott JP, Cutler DF.</t>
  </si>
  <si>
    <t>J Biol Chem. 1998 Jan 30;273(5):2729-37. doi: 10.1074/jbc.273.5.2729.</t>
  </si>
  <si>
    <t>Blagoveshchenskaya AD</t>
  </si>
  <si>
    <t>10.1074/jbc.273.5.2729</t>
  </si>
  <si>
    <t>The importance of precision medicine in modern molecular oncology</t>
  </si>
  <si>
    <t>Wang Y, Zheng D.</t>
  </si>
  <si>
    <t>Clin Genet. 2021 Sep;100(3):248-257. doi: 10.1111/cge.13998. Epub 2021 Jun 2.</t>
  </si>
  <si>
    <t>Clin Genet</t>
  </si>
  <si>
    <t>10.1111/cge.13998</t>
  </si>
  <si>
    <t>A-ring analogues of 1, 25-(OH)2D3 with low affinity for the vitamin D receptor modulate chondrocytes via membrane effects that are dependent on cell maturation</t>
  </si>
  <si>
    <t>Greising DM, Schwartz Z, Posner GH, Sylvia VL, Dean DD, Boyan BD.</t>
  </si>
  <si>
    <t>J Cell Physiol. 1997 Jun;171(3):357-67. doi: 10.1002/(SICI)1097-4652(199706)171:3&lt;357::AID-JCP14&gt;3.0.CO;2-7.</t>
  </si>
  <si>
    <t>Greising DM</t>
  </si>
  <si>
    <t>10.1002/(SICI)1097-4652(199706)171:3&lt;357::AID-JCP14&gt;3.0.CO;2-7</t>
  </si>
  <si>
    <t>New Frontiers in Diagnosis and Therapy of Circulating Tumor Markers in Cerebrospinal Fluid In Vitro and In Vivo</t>
  </si>
  <si>
    <t>Sindeeva OA, Verkhovskii RA, Sarimollaoglu M, Afanaseva GA, Fedonnikov AS, Osintsev EY, Kurochkina EN, Gorin DA, Deyev SM, Zharov VP, Galanzha EI.</t>
  </si>
  <si>
    <t>Cells. 2019 Oct 2;8(10):1195. doi: 10.3390/cells8101195.</t>
  </si>
  <si>
    <t>Sindeeva OA</t>
  </si>
  <si>
    <t>PMC6830088</t>
  </si>
  <si>
    <t>10.3390/cells8101195</t>
  </si>
  <si>
    <t>Feller SM, Lewitzky M.</t>
  </si>
  <si>
    <t>Cell Commun Signal. 2016 Sep 27;14(1):24. doi: 10.1186/s12964-016-0147-9.</t>
  </si>
  <si>
    <t>Feller SM</t>
  </si>
  <si>
    <t>PMC5039897</t>
  </si>
  <si>
    <t>Liquid biopsies to occult brain metastasis</t>
  </si>
  <si>
    <t>Rehman AU, Khan P, Maurya SK, Siddiqui JA, Santamaria-Barria JA, Batra SK, Nasser MW.</t>
  </si>
  <si>
    <t>Mol Cancer. 2022 May 10;21(1):113. doi: 10.1186/s12943-022-01577-x.</t>
  </si>
  <si>
    <t>Rehman AU</t>
  </si>
  <si>
    <t>PMC9088117</t>
  </si>
  <si>
    <t>10.1186/s12943-022-01577-x</t>
  </si>
  <si>
    <t>Secreted Acb1 Contributes to the Yeast-to-Hypha Transition in Cryptococcus neoformans</t>
  </si>
  <si>
    <t>Xu X, Zhao Y, Kirkman E, Lin X.</t>
  </si>
  <si>
    <t>Appl Environ Microbiol. 2015 Dec 4;82(4):1069-1079. doi: 10.1128/AEM.03691-15. Print 2016 Feb 15.</t>
  </si>
  <si>
    <t>Xu X</t>
  </si>
  <si>
    <t>PMC4751841</t>
  </si>
  <si>
    <t>10.1128/AEM.03691-15</t>
  </si>
  <si>
    <t>Lipid-based nanoparticles for nucleic acid delivery</t>
  </si>
  <si>
    <t>Li W, Szoka FC Jr.</t>
  </si>
  <si>
    <t>Pharm Res. 2007 Mar;24(3):438-49. doi: 10.1007/s11095-006-9180-5.</t>
  </si>
  <si>
    <t>10.1007/s11095-006-9180-5</t>
  </si>
  <si>
    <t>Cytoplasmic and transmembrane domains of integrin beta 1 and beta 3 subunits are functionally interchangeable</t>
  </si>
  <si>
    <t>Solowska J, Edelman JM, Albelda SM, Buck CA.</t>
  </si>
  <si>
    <t>J Cell Biol. 1991 Sep;114(5):1079-88. doi: 10.1083/jcb.114.5.1079.</t>
  </si>
  <si>
    <t>Solowska J</t>
  </si>
  <si>
    <t>PMC2289114</t>
  </si>
  <si>
    <t>10.1083/jcb.114.5.1079</t>
  </si>
  <si>
    <t>miRNA as markers for the diagnostic screening of colon cancer</t>
  </si>
  <si>
    <t>Ahmed FE.</t>
  </si>
  <si>
    <t>Expert Rev Anticancer Ther. 2014 Apr;14(4):463-85. doi: 10.1586/14737140.2014.869479. Epub 2014 Mar 3.</t>
  </si>
  <si>
    <t>Ahmed FE</t>
  </si>
  <si>
    <t>10.1586/14737140.2014.869479</t>
  </si>
  <si>
    <t>Identification of TSG101 functional domains and p21 loci required for TSG101-mediated p21 gene regulation</t>
  </si>
  <si>
    <t>Lin YS, Chen YJ, Cohen SN, Cheng TH.</t>
  </si>
  <si>
    <t>PLoS One. 2013 Nov 11;8(11):e79674. doi: 10.1371/journal.pone.0079674. eCollection 2013.</t>
  </si>
  <si>
    <t>Lin YS</t>
  </si>
  <si>
    <t>PMC3823576</t>
  </si>
  <si>
    <t>10.1371/journal.pone.0079674</t>
  </si>
  <si>
    <t>FRQ-interacting RNA helicase mediates negative and positive feedback in the Neurospora circadian clock</t>
  </si>
  <si>
    <t>Shi M, Collett M, Loros JJ, Dunlap JC.</t>
  </si>
  <si>
    <t>Genetics. 2010 Feb;184(2):351-61. doi: 10.1534/genetics.109.111393. Epub 2009 Nov 30.</t>
  </si>
  <si>
    <t>PMC2828717</t>
  </si>
  <si>
    <t>10.1534/genetics.109.111393</t>
  </si>
  <si>
    <t>Genome-wide study of hypomethylated and induced genes in patients with liver cancer unravels novel anticancer targets</t>
  </si>
  <si>
    <t>Stefanska B, Cheishvili D, Suderman M, Arakelian A, Huang J, Hallett M, Han ZG, Al-Mahtab M, Akbar SM, Khan WA, Raqib R, Tanvir I, Khan HA, Rabbani SA, Szyf M.</t>
  </si>
  <si>
    <t>Clin Cancer Res. 2014 Jun 15;20(12):3118-32. doi: 10.1158/1078-0432.CCR-13-0283. Epub 2014 Apr 24.</t>
  </si>
  <si>
    <t>Stefanska B</t>
  </si>
  <si>
    <t>10.1158/1078-0432.CCR-13-0283</t>
  </si>
  <si>
    <t>Trafficking of TrkA-green fluorescent protein chimerae during nerve growth factor-induced differentiation</t>
  </si>
  <si>
    <t>Jullien J, Guili V, Derrington EA, Darlix JL, Reichardt LF, Rudkin BB.</t>
  </si>
  <si>
    <t>J Biol Chem. 2003 Mar 7;278(10):8706-16. doi: 10.1074/jbc.M202401200. Epub 2002 Nov 15.</t>
  </si>
  <si>
    <t>Jullien J</t>
  </si>
  <si>
    <t>PMC2849666</t>
  </si>
  <si>
    <t>NIHMS111788</t>
  </si>
  <si>
    <t>10.1074/jbc.M202401200</t>
  </si>
  <si>
    <t>A genetic screen for terminator function in yeast identifies a role for a new functional domain in termination factor Nab3</t>
  </si>
  <si>
    <t>Loya TJ, O'Rourke TW, Reines D.</t>
  </si>
  <si>
    <t>Nucleic Acids Res. 2012 Aug;40(15):7476-91. doi: 10.1093/nar/gks377. Epub 2012 May 7.</t>
  </si>
  <si>
    <t>Loya TJ</t>
  </si>
  <si>
    <t>PMC3424548</t>
  </si>
  <si>
    <t>10.1093/nar/gks377</t>
  </si>
  <si>
    <t>Quantifying the effect of ribosomal density on mRNA stability</t>
  </si>
  <si>
    <t>Edri S, Tuller T.</t>
  </si>
  <si>
    <t>PLoS One. 2014 Jul 14;9(7):e102308. doi: 10.1371/journal.pone.0102308. eCollection 2014.</t>
  </si>
  <si>
    <t>Edri S</t>
  </si>
  <si>
    <t>PMC4096589</t>
  </si>
  <si>
    <t>10.1371/journal.pone.0102308</t>
  </si>
  <si>
    <t>Advancements in microfluidics for nanoparticle separation</t>
  </si>
  <si>
    <t>Salafi T, Zeming KK, Zhang Y.</t>
  </si>
  <si>
    <t>Lab Chip. 2016 Dec 20;17(1):11-33. doi: 10.1039/c6lc01045h.</t>
  </si>
  <si>
    <t>Salafi T</t>
  </si>
  <si>
    <t>10.1039/c6lc01045h</t>
  </si>
  <si>
    <t>Induction of HIV-specific T and B cell responses with a replicating and conditionally infectious lentiviral vaccine</t>
  </si>
  <si>
    <t>Wingard JB, Anderson B, Weissman D.</t>
  </si>
  <si>
    <t>Eur J Immunol. 2008 May;38(5):1310-20. doi: 10.1002/eji.200738069.</t>
  </si>
  <si>
    <t>Wingard JB</t>
  </si>
  <si>
    <t>10.1002/eji.200738069</t>
  </si>
  <si>
    <t>Initial genome sequencing and analysis of multiple myeloma</t>
  </si>
  <si>
    <t>Chapman MA, Lawrence MS, Keats JJ, Cibulskis K, Sougnez C, Schinzel AC, Harview CL, Brunet JP, Ahmann GJ, Adli M, Anderson KC, Ardlie KG, Auclair D, Baker A, Bergsagel PL, Bernstein BE, Drier Y, Fonseca R, Gabriel SB, Hofmeister CC, Jagannath S, Jakubowiak AJ, Krishnan A, Levy J, Liefeld T, Lonial S, Mahan S, Mfuko B, Monti S, Perkins LM, Onofrio R, Pugh TJ, Rajkumar SV, Ramos AH, Siegel DS, Sivachenko A, Stewart AK, Trudel S, Vij R, Voet D, Winckler W, Zimmerman T, Carpten J, Trent J, Hahn WC, Garraway LA, Meyerson M, Lander ES, Getz G, Golub TR.</t>
  </si>
  <si>
    <t>Nature. 2011 Mar 24;471(7339):467-72. doi: 10.1038/nature09837.</t>
  </si>
  <si>
    <t>Chapman MA</t>
  </si>
  <si>
    <t>PMC3560292</t>
  </si>
  <si>
    <t>NIHMS385546</t>
  </si>
  <si>
    <t>10.1038/nature09837</t>
  </si>
  <si>
    <t>McCarthy CB, Theilmann DA.</t>
  </si>
  <si>
    <t>Virology. 2008 May 25;375(1):277-91. doi: 10.1016/j.virol.2008.01.039. Epub 2008 Mar 6.</t>
  </si>
  <si>
    <t>McCarthy CB</t>
  </si>
  <si>
    <t>Sox9 is required for invagination of the otic placode in mice</t>
  </si>
  <si>
    <t>Barrionuevo F, Naumann A, Bagheri-Fam S, Speth V, Taketo MM, Scherer G, Neubüser A.</t>
  </si>
  <si>
    <t>Dev Biol. 2008 May 1;317(1):213-24. doi: 10.1016/j.ydbio.2008.02.011. Epub 2008 Feb 21.</t>
  </si>
  <si>
    <t>Barrionuevo F</t>
  </si>
  <si>
    <t>10.1016/j.ydbio.2008.02.011</t>
  </si>
  <si>
    <t>Linking cellular stress responses to systemic homeostasis</t>
  </si>
  <si>
    <t>Galluzzi L, Yamazaki T, Kroemer G.</t>
  </si>
  <si>
    <t>Nat Rev Mol Cell Biol. 2018 Nov;19(11):731-745. doi: 10.1038/s41580-018-0068-0.</t>
  </si>
  <si>
    <t>Galluzzi L</t>
  </si>
  <si>
    <t>10.1038/s41580-018-0068-0</t>
  </si>
  <si>
    <t>Smooth muscle cell phenotypic transition associated with calcification: upregulation of Cbfa1 and downregulation of smooth muscle lineage markers</t>
  </si>
  <si>
    <t>Steitz SA, Speer MY, Curinga G, Yang HY, Haynes P, Aebersold R, Schinke T, Karsenty G, Giachelli CM.</t>
  </si>
  <si>
    <t>Circ Res. 2001 Dec 7;89(12):1147-54. doi: 10.1161/hh2401.101070.</t>
  </si>
  <si>
    <t>Steitz SA</t>
  </si>
  <si>
    <t>10.1161/hh2401.101070</t>
  </si>
  <si>
    <t>Plasma antibodies from humans infected with zoonotic simian foamy virus do not inhibit cell-to-cell transmission of the virus despite binding to the surface of infected cells</t>
  </si>
  <si>
    <t>Couteaudier M, Montange T, Njouom R, Bilounga-Ndongo C, Gessain A, Buseyne F.</t>
  </si>
  <si>
    <t>PLoS Pathog. 2022 May 23;18(5):e1010470. doi: 10.1371/journal.ppat.1010470. eCollection 2022 May.</t>
  </si>
  <si>
    <t>Couteaudier M</t>
  </si>
  <si>
    <t>PMC9166401</t>
  </si>
  <si>
    <t>10.1371/journal.ppat.1010470</t>
  </si>
  <si>
    <t>Biology of the cold adapted archaeon, Methanococcoides burtonii determined by proteomics using liquid chromatography-tandem mass spectrometry</t>
  </si>
  <si>
    <t>Goodchild A, Raftery M, Saunders NF, Guilhaus M, Cavicchioli R.</t>
  </si>
  <si>
    <t>J Proteome Res. 2004 Nov-Dec;3(6):1164-76. doi: 10.1021/pr0498988.</t>
  </si>
  <si>
    <t>Goodchild A</t>
  </si>
  <si>
    <t>10.1021/pr0498988</t>
  </si>
  <si>
    <t>Gershon M, Gershon A.</t>
  </si>
  <si>
    <t>J Infect Dis. 2018 Sep 22;218(suppl_2):S113-S119. doi: 10.1093/infdis/jiy407.</t>
  </si>
  <si>
    <t>Gershon M</t>
  </si>
  <si>
    <t>PMC6151087</t>
  </si>
  <si>
    <t>Identification and characterization of a novel isoform of the vesicular gamma-aminobutyric acid transporter with glucose-regulated expression in rat islets</t>
  </si>
  <si>
    <t>Suckow AT, Sweet IR, Van Yserloo B, Rutledge EA, Hall TR, Waldrop M, Chessler SD.</t>
  </si>
  <si>
    <t>J Mol Endocrinol. 2006 Feb;36(1):187-99. doi: 10.1677/jme.1.01866.</t>
  </si>
  <si>
    <t>10.1677/jme.1.01866</t>
  </si>
  <si>
    <t>Prostate cancer proteomics: clinically useful protein biomarkers and future perspectives</t>
  </si>
  <si>
    <t>Intasqui P, Bertolla RP, Sadi MV.</t>
  </si>
  <si>
    <t>Expert Rev Proteomics. 2018 Jan;15(1):65-79. doi: 10.1080/14789450.2018.1417846. Epub 2017 Dec 20.</t>
  </si>
  <si>
    <t>Intasqui P</t>
  </si>
  <si>
    <t>10.1080/14789450.2018.1417846</t>
  </si>
  <si>
    <t>Plasma cell-free circRNAs panel act as fingerprint predicts the occurrence of laryngeal squamous cell carcinoma</t>
  </si>
  <si>
    <t>Han J, Lin Q, Dong C.</t>
  </si>
  <si>
    <t>Aging (Albany NY). 2021 Jul 1;13(13):17328-17336. doi: 10.18632/aging.203215. Epub 2021 Jul 1.</t>
  </si>
  <si>
    <t>Han J</t>
  </si>
  <si>
    <t>PMC8312444</t>
  </si>
  <si>
    <t>10.18632/aging.203215</t>
  </si>
  <si>
    <t>FYCO1 mediates clearance of α-synuclein aggregates through a Rab7-dependent mechanism</t>
  </si>
  <si>
    <t>Saridaki T, Nippold M, Dinter E, Roos A, Diederichs L, Fensky L, Schulz JB, Falkenburger BH.</t>
  </si>
  <si>
    <t>J Neurochem. 2018 Aug;146(4):474-492. doi: 10.1111/jnc.14461. Epub 2018 Jul 23.</t>
  </si>
  <si>
    <t>Saridaki T</t>
  </si>
  <si>
    <t>10.1111/jnc.14461</t>
  </si>
  <si>
    <t>Majer O, Liu B, Kreuk LSM, Krogan N, Barton GM.</t>
  </si>
  <si>
    <t>Nature. 2019 Nov;575(7782):366-370. doi: 10.1038/s41586-019-1612-6. Epub 2019 Sep 23.</t>
  </si>
  <si>
    <t>Majer O</t>
  </si>
  <si>
    <t>PMC6856441</t>
  </si>
  <si>
    <t>NIHMS1538234</t>
  </si>
  <si>
    <t>Epstein-Barr virus-encoded microRNA BART15-3p promotes cell apoptosis partially by targeting BRUCE</t>
  </si>
  <si>
    <t>Choi H, Lee H, Kim SR, Gho YS, Lee SK.</t>
  </si>
  <si>
    <t>J Virol. 2013 Jul;87(14):8135-44. doi: 10.1128/JVI.03159-12. Epub 2013 May 15.</t>
  </si>
  <si>
    <t>Choi H</t>
  </si>
  <si>
    <t>PMC3700184</t>
  </si>
  <si>
    <t>10.1128/JVI.03159-12</t>
  </si>
  <si>
    <t>The Roles of microRNAs in Multidrug-Resistance Mechanisms in Gastric Cancer</t>
  </si>
  <si>
    <t>Zeng X, Wang HY, Bai SY, Pu K, Wang YP, Zhou YN.</t>
  </si>
  <si>
    <t>Curr Mol Med. 2020;20(9):667-674. doi: 10.2174/1566524020666200226124336.</t>
  </si>
  <si>
    <t>10.2174/1566524020666200226124336</t>
  </si>
  <si>
    <t>Exercise and nutrition in myocardial matrix metabolism, remodeling, regeneration, epigenetics, microcirculation, and muscle</t>
  </si>
  <si>
    <t>Tyagi SC, Joshua IG.</t>
  </si>
  <si>
    <t>Can J Physiol Pharmacol. 2014 Jul;92(7):521-3. doi: 10.1139/cjpp-2014-0197.</t>
  </si>
  <si>
    <t>Tyagi SC</t>
  </si>
  <si>
    <t>Can J Physiol Pharmacol</t>
  </si>
  <si>
    <t>10.1139/cjpp-2014-0197</t>
  </si>
  <si>
    <t>Molecular mechanism of myofibroblast formation and strategies for clinical drugs treatments in hypertrophic scars</t>
  </si>
  <si>
    <t>Zhu Z, Hou Q, Li M, Fu X.</t>
  </si>
  <si>
    <t>J Cell Physiol. 2020 May;235(5):4109-4119. doi: 10.1002/jcp.29302. Epub 2019 Oct 14.</t>
  </si>
  <si>
    <t>Zhu Z</t>
  </si>
  <si>
    <t>10.1002/jcp.29302</t>
  </si>
  <si>
    <t>Mihalcea CE, Moroşanu AM, Murăraşu D, Puiu L, Cinca S, Voinea SC, Mirancea N.</t>
  </si>
  <si>
    <t>Rom J Morphol Embryol. 2015;56(4):1371-81.</t>
  </si>
  <si>
    <t>Mihalcea CE</t>
  </si>
  <si>
    <t>Rom J Morphol Embryol</t>
  </si>
  <si>
    <t>Identification of key DNA methylation-driven genes in prostate adenocarcinoma: an integrative analysis of TCGA methylation data</t>
  </si>
  <si>
    <t>Xu N, Wu YP, Ke ZB, Liang YC, Cai H, Su WT, Tao X, Chen SH, Zheng QS, Wei Y, Xue XY.</t>
  </si>
  <si>
    <t>J Transl Med. 2019 Sep 18;17(1):311. doi: 10.1186/s12967-019-2065-2.</t>
  </si>
  <si>
    <t>Xu N</t>
  </si>
  <si>
    <t>PMC6751626</t>
  </si>
  <si>
    <t>10.1186/s12967-019-2065-2</t>
  </si>
  <si>
    <t>Hong W, Pang B, West-Barnette S, Swords WE.</t>
  </si>
  <si>
    <t>J Bacteriol. 2007 Nov;189(22):8300-7. doi: 10.1128/JB.00532-07. Epub 2007 Jun 15.</t>
  </si>
  <si>
    <t>Hong W</t>
  </si>
  <si>
    <t>PMC2168690</t>
  </si>
  <si>
    <t>Chang Y, Woo HG, Jeong JH, Kim GH, Park KD, Song TJ.</t>
  </si>
  <si>
    <t>Sci Rep. 2021 May 26;11(1):10977. doi: 10.1038/s41598-021-90463-5.</t>
  </si>
  <si>
    <t>Chang Y</t>
  </si>
  <si>
    <t>PMC8155119</t>
  </si>
  <si>
    <t>Short-lived long noncoding RNAs as surrogate indicators for chemical stress in HepG2 cells and their degradation by nuclear RNases</t>
  </si>
  <si>
    <t>Tani H, Numajiri A, Aoki M, Umemura T, Nakazato T.</t>
  </si>
  <si>
    <t>Sci Rep. 2019 Dec 30;9(1):20299. doi: 10.1038/s41598-019-56869-y.</t>
  </si>
  <si>
    <t>Tani H</t>
  </si>
  <si>
    <t>PMC6937343</t>
  </si>
  <si>
    <t>10.1038/s41598-019-56869-y</t>
  </si>
  <si>
    <t>Evaluating Adults With Idiopathic Pancreatitis for Genetic Predisposition: Higher Prevalence of Abnormal Results With Use of Complete Gene Sequencing</t>
  </si>
  <si>
    <t>Ballard DD, Flueckiger JR, Fogel EL, McHenry L, Lehman GA, Watkins JL, Sherman S, Coté GA.</t>
  </si>
  <si>
    <t>Pancreas. 2015 Jan;44(1):116-21. doi: 10.1097/MPA.0000000000000225.</t>
  </si>
  <si>
    <t>Ballard DD</t>
  </si>
  <si>
    <t>Pancreas</t>
  </si>
  <si>
    <t>PMC4262640</t>
  </si>
  <si>
    <t>NIHMS620112</t>
  </si>
  <si>
    <t>10.1097/MPA.0000000000000225</t>
  </si>
  <si>
    <t>Exonuclease requirements for mammalian ribosomal RNA biogenesis and surveillance</t>
  </si>
  <si>
    <t>Pirouz M, Munafò M, Ebrahimi AG, Choe J, Gregory RI.</t>
  </si>
  <si>
    <t>Nat Struct Mol Biol. 2019 Jun;26(6):490-500. doi: 10.1038/s41594-019-0234-x. Epub 2019 Jun 3.</t>
  </si>
  <si>
    <t>Pirouz M</t>
  </si>
  <si>
    <t>PMC6554070</t>
  </si>
  <si>
    <t>NIHMS1527939</t>
  </si>
  <si>
    <t>10.1038/s41594-019-0234-x</t>
  </si>
  <si>
    <t>Shapiro AB, Ling V.</t>
  </si>
  <si>
    <t>Eur J Biochem. 1998 May 15;254(1):181-8. doi: 10.1046/j.1432-1327.1998.2540181.x.</t>
  </si>
  <si>
    <t>Shapiro AB</t>
  </si>
  <si>
    <t>Michell DL, Allen RM, Cavnar AB, Contreras DM, Yu M, Semler EM, Massick C, Raby CA, Castleberry M, Ramirez MA, Zhu W, May-Zhang L, Ifrim A, Carr JJ, Terry JG, Schwendeman A, Davies SS, Sheng Q, Linton MF, Vickers KC.</t>
  </si>
  <si>
    <t>J Biol Chem. 2022 Jun;298(6):101952. doi: 10.1016/j.jbc.2022.101952. Epub 2022 Apr 18.</t>
  </si>
  <si>
    <t>Michell DL</t>
  </si>
  <si>
    <t>PMC9133651</t>
  </si>
  <si>
    <t>Circulating MicroRNA Biomarkers in Melanoma: Tools and Challenges in Personalised Medicine</t>
  </si>
  <si>
    <t>Mumford SL, Towler BP, Pashler AL, Gilleard O, Martin Y, Newbury SF.</t>
  </si>
  <si>
    <t>Biomolecules. 2018 Apr 26;8(2):21. doi: 10.3390/biom8020021.</t>
  </si>
  <si>
    <t>Mumford SL</t>
  </si>
  <si>
    <t>PMC6022922</t>
  </si>
  <si>
    <t>10.3390/biom8020021</t>
  </si>
  <si>
    <t>Local pharmacological induction of angiogenesis: Drugs for cells and cells as drugs</t>
  </si>
  <si>
    <t>Gaspar D, Peixoto R, De Pieri A, Striegl B, Zeugolis DI, Raghunath M.</t>
  </si>
  <si>
    <t>Adv Drug Deliv Rev. 2019 Jun;146:126-154. doi: 10.1016/j.addr.2019.06.002. Epub 2019 Jun 19.</t>
  </si>
  <si>
    <t>Gaspar D</t>
  </si>
  <si>
    <t>10.1016/j.addr.2019.06.002</t>
  </si>
  <si>
    <t>Immunomodulatory roles of human herpesvirus-encoded microRNA in host-virus interaction</t>
  </si>
  <si>
    <t>Naqvi AR.</t>
  </si>
  <si>
    <t>Rev Med Virol. 2020 Jan;30(1):e2081. doi: 10.1002/rmv.2081. Epub 2019 Aug 20.</t>
  </si>
  <si>
    <t>Naqvi AR</t>
  </si>
  <si>
    <t>Rev Med Virol</t>
  </si>
  <si>
    <t>PMC7398577</t>
  </si>
  <si>
    <t>NIHMS1607082</t>
  </si>
  <si>
    <t>10.1002/rmv.2081</t>
  </si>
  <si>
    <t>Toxicity of eosinophil MBP is repressed by intracellular crystallization and promoted by extracellular aggregation</t>
  </si>
  <si>
    <t>Soragni A, Yousefi S, Stoeckle C, Soriaga AB, Sawaya MR, Kozlowski E, Schmid I, Radonjic-Hoesli S, Boutet S, Williams GJ, Messerschmidt M, Seibert MM, Cascio D, Zatsepin NA, Burghammer M, Riekel C, Colletier JP, Riek R, Eisenberg DS, Simon HU.</t>
  </si>
  <si>
    <t>Mol Cell. 2015 Mar 19;57(6):1011-1021. doi: 10.1016/j.molcel.2015.01.026. Epub 2015 Feb 26.</t>
  </si>
  <si>
    <t>Soragni A</t>
  </si>
  <si>
    <t>PMC4904734</t>
  </si>
  <si>
    <t>NIHMS789146</t>
  </si>
  <si>
    <t>10.1016/j.molcel.2015.01.026</t>
  </si>
  <si>
    <t>Size-based separation methods of circulating tumor cells</t>
  </si>
  <si>
    <t>Hao SJ, Wan Y, Xia YQ, Zou X, Zheng SY.</t>
  </si>
  <si>
    <t>Adv Drug Deliv Rev. 2018 Feb 1;125:3-20. doi: 10.1016/j.addr.2018.01.002. Epub 2018 Jan 8.</t>
  </si>
  <si>
    <t>Hao SJ</t>
  </si>
  <si>
    <t>10.1016/j.addr.2018.01.002</t>
  </si>
  <si>
    <t>Bubbling cell death: A hot air balloon released from the nucleus in the cold</t>
  </si>
  <si>
    <t>Chang NS.</t>
  </si>
  <si>
    <t>Exp Biol Med (Maywood). 2016 Jun;241(12):1306-15. doi: 10.1177/1535370216644531. Epub 2016 Apr 12.</t>
  </si>
  <si>
    <t>Chang NS</t>
  </si>
  <si>
    <t>PMC4950269</t>
  </si>
  <si>
    <t>10.1177/1535370216644531</t>
  </si>
  <si>
    <t>A novel factor Iss10 regulates Mmi1-mediated selective elimination of meiotic transcripts</t>
  </si>
  <si>
    <t>Yamashita A, Takayama T, Iwata R, Yamamoto M.</t>
  </si>
  <si>
    <t>Nucleic Acids Res. 2013 Nov;41(21):9680-7. doi: 10.1093/nar/gkt763. Epub 2013 Aug 26.</t>
  </si>
  <si>
    <t>Yamashita A</t>
  </si>
  <si>
    <t>PMC3834831</t>
  </si>
  <si>
    <t>10.1093/nar/gkt763</t>
  </si>
  <si>
    <t>Unravelling the dynamics of RNA degradation by ribonuclease II and its RNA-bound complex</t>
  </si>
  <si>
    <t>Frazão C, McVey CE, Amblar M, Barbas A, Vonrhein C, Arraiano CM, Carrondo MA.</t>
  </si>
  <si>
    <t>Nature. 2006 Sep 7;443(7107):110-4. doi: 10.1038/nature05080.</t>
  </si>
  <si>
    <t>Frazão C</t>
  </si>
  <si>
    <t>10.1038/nature05080</t>
  </si>
  <si>
    <t>Targeted Restriction of Viral Gene Expression and Replication by the ZAP Antiviral System</t>
  </si>
  <si>
    <t>Ficarelli M, Neil SJD, Swanson CM.</t>
  </si>
  <si>
    <t>Annu Rev Virol. 2021 Sep 29;8(1):265-283. doi: 10.1146/annurev-virology-091919-104213. Epub 2021 Jun 15.</t>
  </si>
  <si>
    <t>Ficarelli M</t>
  </si>
  <si>
    <t>Annu Rev Virol</t>
  </si>
  <si>
    <t>10.1146/annurev-virology-091919-104213</t>
  </si>
  <si>
    <t>Biogenesis of RNase P RNA from an intron requires co-assembly with cognate protein subunits</t>
  </si>
  <si>
    <t>Palsule G, Gopalan V, Simcox A.</t>
  </si>
  <si>
    <t>Nucleic Acids Res. 2019 Sep 19;47(16):8746-8754. doi: 10.1093/nar/gkz572.</t>
  </si>
  <si>
    <t>Palsule G</t>
  </si>
  <si>
    <t>PMC6797745</t>
  </si>
  <si>
    <t>10.1093/nar/gkz572</t>
  </si>
  <si>
    <t>Nuclear RNA transcript levels modulate nucleocytoplasmic distribution of ALS/FTD-associated protein FUS</t>
  </si>
  <si>
    <t>Tsai YL, Mu YC, Manley JL.</t>
  </si>
  <si>
    <t>Sci Rep. 2022 May 17;12(1):8180. doi: 10.1038/s41598-022-12098-4.</t>
  </si>
  <si>
    <t>Tsai YL</t>
  </si>
  <si>
    <t>PMC9114323</t>
  </si>
  <si>
    <t>10.1038/s41598-022-12098-4</t>
  </si>
  <si>
    <t>The role of cell signaling in the crosstalk between autophagy and apoptosis in the regulation of tumor cell survival in response to sorafenib and neratinib</t>
  </si>
  <si>
    <t>Booth LA, Roberts JL, Dent P.</t>
  </si>
  <si>
    <t>Semin Cancer Biol. 2020 Nov;66:129-139. doi: 10.1016/j.semcancer.2019.10.013. Epub 2019 Oct 20.</t>
  </si>
  <si>
    <t>Booth LA</t>
  </si>
  <si>
    <t>PMC7167338</t>
  </si>
  <si>
    <t>NIHMS1542386</t>
  </si>
  <si>
    <t>10.1016/j.semcancer.2019.10.013</t>
  </si>
  <si>
    <t>The Affinity of the S9.6 Antibody for Double-Stranded RNAs Impacts the Accurate Mapping of R-Loops in Fission Yeast</t>
  </si>
  <si>
    <t>Hartono SR, Malapert A, Legros P, Bernard P, Chédin F, Vanoosthuyse V.</t>
  </si>
  <si>
    <t>J Mol Biol. 2018 Feb 2;430(3):272-284. doi: 10.1016/j.jmb.2017.12.016. Epub 2017 Dec 28.</t>
  </si>
  <si>
    <t>Hartono SR</t>
  </si>
  <si>
    <t>PMC5987549</t>
  </si>
  <si>
    <t>NIHMS971363</t>
  </si>
  <si>
    <t>10.1016/j.jmb.2017.12.016</t>
  </si>
  <si>
    <t>Nuclear receptor tyrosine kinase transport and functions in cancer</t>
  </si>
  <si>
    <t>Chen MK, Hsu JL, Hung MC.</t>
  </si>
  <si>
    <t>Adv Cancer Res. 2020;147:59-107. doi: 10.1016/bs.acr.2020.04.010. Epub 2020 Jun 13.</t>
  </si>
  <si>
    <t>Chen MK</t>
  </si>
  <si>
    <t>Adv Cancer Res</t>
  </si>
  <si>
    <t>10.1016/bs.acr.2020.04.010</t>
  </si>
  <si>
    <t>Zinc metabolism in the brain: relevance to human neurodegenerative disorders</t>
  </si>
  <si>
    <t>Cuajungco MP, Lees GJ.</t>
  </si>
  <si>
    <t>Neurobiol Dis. 1997;4(3-4):137-69. doi: 10.1006/nbdi.1997.0163.</t>
  </si>
  <si>
    <t>Cuajungco MP</t>
  </si>
  <si>
    <t>10.1006/nbdi.1997.0163</t>
  </si>
  <si>
    <t>Germline mutations in DIS3L2 cause the Perlman syndrome of overgrowth and Wilms tumor susceptibility</t>
  </si>
  <si>
    <t>Astuti D, Morris MR, Cooper WN, Staals RH, Wake NC, Fews GA, Gill H, Gentle D, Shuib S, Ricketts CJ, Cole T, van Essen AJ, van Lingen RA, Neri G, Opitz JM, Rump P, Stolte-Dijkstra I, Müller F, Pruijn GJ, Latif F, Maher ER.</t>
  </si>
  <si>
    <t>Nat Genet. 2012 Feb 5;44(3):277-84. doi: 10.1038/ng.1071.</t>
  </si>
  <si>
    <t>Astuti D</t>
  </si>
  <si>
    <t>10.1038/ng.1071</t>
  </si>
  <si>
    <t>A ncRNA modulates histone modification and mRNA induction in the yeast GAL gene cluster</t>
  </si>
  <si>
    <t>Houseley J, Rubbi L, Grunstein M, Tollervey D, Vogelauer M.</t>
  </si>
  <si>
    <t>Mol Cell. 2008 Dec 5;32(5):685-95. doi: 10.1016/j.molcel.2008.09.027.</t>
  </si>
  <si>
    <t>PMC7610895</t>
  </si>
  <si>
    <t>EMS124655</t>
  </si>
  <si>
    <t>10.1016/j.molcel.2008.09.027</t>
  </si>
  <si>
    <t>Chaker D, Mouawad C, Azar A, Quilliot D, Achkar I, Fajloun Z, Makdissy N.</t>
  </si>
  <si>
    <t>Stem Cell Res Ther. 2018 Jun 19;9(1):167. doi: 10.1186/s13287-018-0910-5.</t>
  </si>
  <si>
    <t>Chaker D</t>
  </si>
  <si>
    <t>PMC6009972</t>
  </si>
  <si>
    <t>Cytoplasmic RNA quality control failure engages mTORC1-mediated autoinflammatory disease</t>
  </si>
  <si>
    <t>Yang K, Han J, Asada M, Gill JG, Park JY, Sathe MN, Gattineni J, Wright T, Wysocki CA, de la Morena MT, Garza LA, Yan N.</t>
  </si>
  <si>
    <t>J Clin Invest. 2022 Jan 18;132(2):e146176. doi: 10.1172/JCI146176.</t>
  </si>
  <si>
    <t>PMC8759780</t>
  </si>
  <si>
    <t>10.1172/JCI146176</t>
  </si>
  <si>
    <t>Vitiligo: How do oxidative stress-induced autoantigens trigger autoimmunity?</t>
  </si>
  <si>
    <t>Xie H, Zhou F, Liu L, Zhu G, Li Q, Li C, Gao T.</t>
  </si>
  <si>
    <t>J Dermatol Sci. 2016 Jan;81(1):3-9. doi: 10.1016/j.jdermsci.2015.09.003. Epub 2015 Sep 8.</t>
  </si>
  <si>
    <t>Xie H</t>
  </si>
  <si>
    <t>J Dermatol Sci</t>
  </si>
  <si>
    <t>10.1016/j.jdermsci.2015.09.003</t>
  </si>
  <si>
    <t>Human embryonic mesenchymal stem cell-derived conditioned medium rescues kidney function in rats with established chronic kidney disease</t>
  </si>
  <si>
    <t>van Koppen A, Joles JA, van Balkom BW, Lim SK, de Kleijn D, Giles RH, Verhaar MC.</t>
  </si>
  <si>
    <t>PLoS One. 2012;7(6):e38746. doi: 10.1371/journal.pone.0038746. Epub 2012 Jun 19.</t>
  </si>
  <si>
    <t>van Koppen A</t>
  </si>
  <si>
    <t>PMC3378606</t>
  </si>
  <si>
    <t>Zhang H, Ma Y, Cheng X, Wu D, Huang X, Chen B, Ren Y, Jiang W, Tang X, Bai T, Chen Y, Zhao Y, Zhang C, Xiao X, Liu J, Deng Y, Ye T, Chen L, Liu HM, Friedman SL, Chen L, Ding BS, Cao Z.</t>
  </si>
  <si>
    <t>Sci Transl Med. 2021 Oct 6;13(614):eabd1206. doi: 10.1126/scitranslmed.abd1206. Epub 2021 Oct 6.</t>
  </si>
  <si>
    <t>KH-type splicing regulatory protein interacts with survival motor neuron protein and is misregulated in spinal muscular atrophy</t>
  </si>
  <si>
    <t>Tadesse H, Deschênes-Furry J, Boisvenue S, Côté J.</t>
  </si>
  <si>
    <t>Hum Mol Genet. 2008 Feb 15;17(4):506-24. doi: 10.1093/hmg/ddm327. Epub 2007 Nov 12.</t>
  </si>
  <si>
    <t>Tadesse H</t>
  </si>
  <si>
    <t>10.1093/hmg/ddm327</t>
  </si>
  <si>
    <t>Transforming growth factor alpha (TGFalpha)-stimulated secretion of HSP90alpha: using the receptor LRP-1/CD91 to promote human skin cell migration against a TGFbeta-rich environment during wound healing</t>
  </si>
  <si>
    <t>Cheng CF, Fan J, Fedesco M, Guan S, Li Y, Bandyopadhyay B, Bright AM, Yerushalmi D, Liang M, Chen M, Han YP, Woodley DT, Li W.</t>
  </si>
  <si>
    <t>Mol Cell Biol. 2008 May;28(10):3344-58. doi: 10.1128/MCB.01287-07. Epub 2008 Mar 10.</t>
  </si>
  <si>
    <t>Cheng CF</t>
  </si>
  <si>
    <t>PMC2423165</t>
  </si>
  <si>
    <t>10.1128/MCB.01287-07</t>
  </si>
  <si>
    <t>Involvement of KSRP in the post-transcriptional regulation of human iNOS expression-complex interplay of KSRP with TTP and HuR</t>
  </si>
  <si>
    <t>Linker K, Pautz A, Fechir M, Hubrich T, Greeve J, Kleinert H.</t>
  </si>
  <si>
    <t>Nucleic Acids Res. 2005 Aug 26;33(15):4813-27. doi: 10.1093/nar/gki797. Print 2005.</t>
  </si>
  <si>
    <t>Linker K</t>
  </si>
  <si>
    <t>PMC1192834</t>
  </si>
  <si>
    <t>10.1093/nar/gki797</t>
  </si>
  <si>
    <t>Islam MN, Das SR, Emin MT, Wei M, Sun L, Westphalen K, Rowlands DJ, Quadri SK, Bhattacharya S, Bhattacharya J.</t>
  </si>
  <si>
    <t>Nat Med. 2012 Apr 15;18(5):759-65. doi: 10.1038/nm.2736.</t>
  </si>
  <si>
    <t>Islam MN</t>
  </si>
  <si>
    <t>PMC3727429</t>
  </si>
  <si>
    <t>NIHMS493265</t>
  </si>
  <si>
    <t>Manipulation of micro- and nanoparticles in viscoelastic fluid flows within microfluid systems</t>
  </si>
  <si>
    <t>Manshadi MKD, Mohammadi M, Monfared LK, Sanati-Nezhad A.</t>
  </si>
  <si>
    <t>Biotechnol Bioeng. 2020 Feb;117(2):580-592. doi: 10.1002/bit.27211. Epub 2019 Nov 16.</t>
  </si>
  <si>
    <t>Manshadi MKD</t>
  </si>
  <si>
    <t>Biotechnol Bioeng</t>
  </si>
  <si>
    <t>10.1002/bit.27211</t>
  </si>
  <si>
    <t>Molecular Biomarkers in Cancer</t>
  </si>
  <si>
    <t>Sarhadi VK, Armengol G.</t>
  </si>
  <si>
    <t>Biomolecules. 2022 Jul 23;12(8):1021. doi: 10.3390/biom12081021.</t>
  </si>
  <si>
    <t>Sarhadi VK</t>
  </si>
  <si>
    <t>PMC9331210</t>
  </si>
  <si>
    <t>10.3390/biom12081021</t>
  </si>
  <si>
    <t>Hamilton ST, Hahn F, Sonntag E, Marschall M, Rawlinson WD.</t>
  </si>
  <si>
    <t>Placenta. 2021 Sep 1;112:62-65. doi: 10.1016/j.placenta.2021.06.013. Epub 2021 Jul 2.</t>
  </si>
  <si>
    <t>Hamilton ST</t>
  </si>
  <si>
    <t>Cavalier-Smith T.</t>
  </si>
  <si>
    <t>Int J Syst Evol Microbiol. 2002 Jan;52(Pt 1):7-76. doi: 10.1099/00207713-52-1-7.</t>
  </si>
  <si>
    <t>Cavalier-Smith T</t>
  </si>
  <si>
    <t>Int J Syst Evol Microbiol</t>
  </si>
  <si>
    <t>ATP acts via P2Y1 receptors to stimulate acetylcholinesterase and acetylcholine receptor expression: transduction and transcription control</t>
  </si>
  <si>
    <t>Choi RC, Siow NL, Cheng AW, Ling KK, Tung EK, Simon J, Barnard EA, Tsim KW.</t>
  </si>
  <si>
    <t>J Neurosci. 2003 Jun 1;23(11):4445-56. doi: 10.1523/JNEUROSCI.23-11-04445.2003.</t>
  </si>
  <si>
    <t>Choi RC</t>
  </si>
  <si>
    <t>PMC6740789</t>
  </si>
  <si>
    <t>10.1523/JNEUROSCI.23-11-04445.2003</t>
  </si>
  <si>
    <t>Astone M, Lai JKH, Dupont S, Stainier DYR, Argenton F, Vettori A.</t>
  </si>
  <si>
    <t>Sci Rep. 2018 Jul 5;8(1):10189. doi: 10.1038/s41598-018-27657-x.</t>
  </si>
  <si>
    <t>Astone M</t>
  </si>
  <si>
    <t>PMC6033906</t>
  </si>
  <si>
    <t>Cruz-Monserrate Z, Gumpper K, Kaul S, Badi N, Terhorst S, Dubay K, Lesinski GB, Fisher W, McElhany A, Lara LF, Krishna S, Mace T, Higuita-Castro N, Ortega-Pineda L, Freitas MA, Hinton A, Yadav D, Hart PA, Pandol SJ, Ahmed S, Fatou B, Steen H, Conwell DL; Consortium for the Study of Chronic Pancreatitis, Diabetes, and Pancreatic Cancer##.</t>
  </si>
  <si>
    <t>Pancreas. 2021 Jan 1;50(1):17-28. doi: 10.1097/MPA.0000000000001717.</t>
  </si>
  <si>
    <t>Cruz-Monserrate Z</t>
  </si>
  <si>
    <t>PMC7883383</t>
  </si>
  <si>
    <t>NIHMS1668851</t>
  </si>
  <si>
    <t>Globo-H ceramide shed from cancer cells triggers translin-associated factor X-dependent angiogenesis</t>
  </si>
  <si>
    <t>Cheng JY, Wang SH, Lin J, Tsai YC, Yu J, Wu JC, Hung JT, Lin JJ, Wu YY, Yeh KT, Yu AL.</t>
  </si>
  <si>
    <t>Cancer Res. 2014 Dec 1;74(23):6856-66. doi: 10.1158/0008-5472.CAN-14-1651. Epub 2014 Oct 3.</t>
  </si>
  <si>
    <t>Cheng JY</t>
  </si>
  <si>
    <t>10.1158/0008-5472.CAN-14-1651</t>
  </si>
  <si>
    <t>VIVID interacts with the WHITE COLLAR complex and FREQUENCY-interacting RNA helicase to alter light and clock responses in Neurospora</t>
  </si>
  <si>
    <t>Hunt SM, Thompson S, Elvin M, Heintzen C.</t>
  </si>
  <si>
    <t>Proc Natl Acad Sci U S A. 2010 Sep 21;107(38):16709-14. doi: 10.1073/pnas.1009474107. Epub 2010 Aug 31.</t>
  </si>
  <si>
    <t>Hunt SM</t>
  </si>
  <si>
    <t>PMC2944716</t>
  </si>
  <si>
    <t>10.1073/pnas.1009474107</t>
  </si>
  <si>
    <t>Vyas GN, Stoddart CA, Killian MS, Brennan TV, Goldberg T, Ziman A, Bryson Y.</t>
  </si>
  <si>
    <t>Biologicals. 2012 Jan;40(1):15-20. doi: 10.1016/j.biologicals.2011.11.005. Epub 2011 Dec 20.</t>
  </si>
  <si>
    <t>Vyas GN</t>
  </si>
  <si>
    <t>Biologicals</t>
  </si>
  <si>
    <t>PMC4861611</t>
  </si>
  <si>
    <t>NIHMS482236</t>
  </si>
  <si>
    <t>Sauter IP, Madrid KG, de Assis JB, Sá-Nunes A, Torrecilhas AC, Staquicini DI, Pasqualini R, Arap W, Cortez M.</t>
  </si>
  <si>
    <t>JCI Insight. 2019 May 16;4(10):e126207. doi: 10.1172/jci.insight.126207. eCollection 2019 May 16.</t>
  </si>
  <si>
    <t>Sauter IP</t>
  </si>
  <si>
    <t>PMC6542632</t>
  </si>
  <si>
    <t>Regulation of the Neurospora circadian clock by an RNA helicase</t>
  </si>
  <si>
    <t>Cheng P, He Q, He Q, Wang L, Liu Y.</t>
  </si>
  <si>
    <t>Genes Dev. 2005 Jan 15;19(2):234-41. doi: 10.1101/gad.1266805. Epub 2004 Dec 29.</t>
  </si>
  <si>
    <t>Cheng P</t>
  </si>
  <si>
    <t>PMC545885</t>
  </si>
  <si>
    <t>10.1101/gad.1266805</t>
  </si>
  <si>
    <t>HUA ENHANCER2, a putative DExH-box RNA helicase, maintains homeotic B and C gene expression in Arabidopsis</t>
  </si>
  <si>
    <t>Western TL, Cheng Y, Liu J, Chen X.</t>
  </si>
  <si>
    <t>Development. 2002 Apr;129(7):1569-81. doi: 10.1242/dev.129.7.1569.</t>
  </si>
  <si>
    <t>Western TL</t>
  </si>
  <si>
    <t>PMC5136479</t>
  </si>
  <si>
    <t>NIHMS832109</t>
  </si>
  <si>
    <t>10.1242/dev.129.7.1569</t>
  </si>
  <si>
    <t>Regulation of expression of taurine transport in two continuous renal epithelial cell lines and inhibition of taurine transporter by a site-directed antibody</t>
  </si>
  <si>
    <t>Han X, Chesney RW, Budreau AM, Jones DP.</t>
  </si>
  <si>
    <t>Adv Exp Med Biol. 1996;403:173-91. doi: 10.1007/978-1-4899-0182-8_20.</t>
  </si>
  <si>
    <t>Han X</t>
  </si>
  <si>
    <t>10.1007/978-1-4899-0182-8_20</t>
  </si>
  <si>
    <t>Hypoxia-Driven Effects in Cancer: Characterization, Mechanisms, and Therapeutic Implications</t>
  </si>
  <si>
    <t>Shi R, Liao C, Zhang Q.</t>
  </si>
  <si>
    <t>Cells. 2021 Mar 19;10(3):678. doi: 10.3390/cells10030678.</t>
  </si>
  <si>
    <t>Shi R</t>
  </si>
  <si>
    <t>PMC8003323</t>
  </si>
  <si>
    <t>10.3390/cells10030678</t>
  </si>
  <si>
    <t>Liquid biopsies for management of pancreatic cancer</t>
  </si>
  <si>
    <t>Samandari M, Julia MG, Rice A, Chronopoulos A, Del Rio Hernandez AE.</t>
  </si>
  <si>
    <t>Transl Res. 2018 Nov;201:98-127. doi: 10.1016/j.trsl.2018.07.008. Epub 2018 Jul 26.</t>
  </si>
  <si>
    <t>Samandari M</t>
  </si>
  <si>
    <t>10.1016/j.trsl.2018.07.008</t>
  </si>
  <si>
    <t>Localization of translational components at the ultramicroscopic level at postsynaptic sites of the rat brain</t>
  </si>
  <si>
    <t>Asaki C, Usuda N, Nakazawa A, Kametani K, Suzuki T.</t>
  </si>
  <si>
    <t>Brain Res. 2003 May 16;972(1-2):168-76. doi: 10.1016/s0006-8993(03)02523-x.</t>
  </si>
  <si>
    <t>Asaki C</t>
  </si>
  <si>
    <t>Brain Res</t>
  </si>
  <si>
    <t>10.1016/s0006-8993(03)02523-x</t>
  </si>
  <si>
    <t>Coordinate expression of NADPH-dependent flavin reductase, Fre-1, and Hint-related 7meGMP-directed hydrolase, DCS-1</t>
  </si>
  <si>
    <t>Kwasnicka DA, Krakowiak A, Thacker C, Brenner C, Vincent SR.</t>
  </si>
  <si>
    <t>J Biol Chem. 2003 Oct 3;278(40):39051-8. doi: 10.1074/jbc.M306355200. Epub 2003 Jul 18.</t>
  </si>
  <si>
    <t>Kwasnicka DA</t>
  </si>
  <si>
    <t>PMC2556063</t>
  </si>
  <si>
    <t>NIHMS43906</t>
  </si>
  <si>
    <t>10.1074/jbc.M306355200</t>
  </si>
  <si>
    <t>Temporal- and strain-specific host microRNA molecular signatures associated with swine-origin H1N1 and avian-origin H7N7 influenza A virus infection</t>
  </si>
  <si>
    <t>Loveday EK, Svinti V, Diederich S, Pasick J, Jean F.</t>
  </si>
  <si>
    <t>J Virol. 2012 Jun;86(11):6109-22. doi: 10.1128/JVI.06892-11. Epub 2012 Mar 21.</t>
  </si>
  <si>
    <t>Loveday EK</t>
  </si>
  <si>
    <t>PMC3372180</t>
  </si>
  <si>
    <t>10.1128/JVI.06892-11</t>
  </si>
  <si>
    <t>Czystowska M, Han J, Szczepanski MJ, Szajnik M, Quadrini K, Brandwein H, Hadden JW, Signorelli K, Whiteside TL.</t>
  </si>
  <si>
    <t>Cell Death Differ. 2009 May;16(5):708-18. doi: 10.1038/cdd.2008.197. Epub 2009 Jan 30.</t>
  </si>
  <si>
    <t>Czystowska M</t>
  </si>
  <si>
    <t>PMC3721331</t>
  </si>
  <si>
    <t>NIHMS489206</t>
  </si>
  <si>
    <t>The contribution of human sperm proteins to the development and epigenome of the preimplantation embryo</t>
  </si>
  <si>
    <t>Castillo J, Jodar M, Oliva R.</t>
  </si>
  <si>
    <t>Hum Reprod Update. 2018 Sep 1;24(5):535-555. doi: 10.1093/humupd/dmy017.</t>
  </si>
  <si>
    <t>Hum Reprod Update</t>
  </si>
  <si>
    <t>10.1093/humupd/dmy017</t>
  </si>
  <si>
    <t>Gu Y, Chen C, Mao Z, Bachman H, Becker R, Rufo J, Wang Z, Zhang P, Mai J, Yang S, Zhang J, Zhao S, Ouyang Y, Wong DTW, Sadovsky Y, Huang TJ.</t>
  </si>
  <si>
    <t>Sci Adv. 2021 Jan 1;7(1):eabc0467. doi: 10.1126/sciadv.abc0467. Print 2021 Jan.</t>
  </si>
  <si>
    <t>Gu Y</t>
  </si>
  <si>
    <t>PMC7775782</t>
  </si>
  <si>
    <t>Glioma progression through the prism of heat shock protein mediated extracellular matrix remodeling and epithelial to mesenchymal transition</t>
  </si>
  <si>
    <t>Rajesh Y, Biswas A, Mandal M.</t>
  </si>
  <si>
    <t>Exp Cell Res. 2017 Oct 15;359(2):299-311. doi: 10.1016/j.yexcr.2017.08.032. Epub 2017 Aug 26.</t>
  </si>
  <si>
    <t>Rajesh Y</t>
  </si>
  <si>
    <t>10.1016/j.yexcr.2017.08.032</t>
  </si>
  <si>
    <t>Ramos H, Valdivieso E, Gamargo M, Dagger F, Cohen BE.</t>
  </si>
  <si>
    <t>J Membr Biol. 1996 Jul;152(1):65-75. doi: 10.1007/s002329900086.</t>
  </si>
  <si>
    <t>Ramos H</t>
  </si>
  <si>
    <t>J Membr Biol</t>
  </si>
  <si>
    <t>The ESCRT machinery regulates retromer-dependent transcytosis of septate junction components in Drosophila</t>
  </si>
  <si>
    <t>Pannen H, Rapp T, Klein T.</t>
  </si>
  <si>
    <t>Elife. 2020 Dec 30;9:e61866. doi: 10.7554/eLife.61866.</t>
  </si>
  <si>
    <t>Pannen H</t>
  </si>
  <si>
    <t>PMC7848756</t>
  </si>
  <si>
    <t>10.7554/eLife.61866</t>
  </si>
  <si>
    <t>What Have We Learned from Cerebrospinal Fluid Studies about Biomarkers for Detecting LRRK2 Parkinson's Disease Patients and Healthy Subjects with Parkinson's-Associated LRRK2 Mutations?</t>
  </si>
  <si>
    <t>Loeffler DA, Aasly JO, LeWitt PA, Coffey MP.</t>
  </si>
  <si>
    <t>J Parkinsons Dis. 2019;9(3):467-488. doi: 10.3233/JPD-191630.</t>
  </si>
  <si>
    <t>Loeffler DA</t>
  </si>
  <si>
    <t>PMC6700639</t>
  </si>
  <si>
    <t>10.3233/JPD-191630</t>
  </si>
  <si>
    <t>Senataxin homologue Sen1 is required for efficient termination of RNA polymerase III transcription</t>
  </si>
  <si>
    <t>Rivosecchi J, Larochelle M, Teste C, Grenier F, Malapert A, Ricci EP, Bernard P, Bachand F, Vanoosthuyse V.</t>
  </si>
  <si>
    <t>EMBO J. 2019 Aug 15;38(16):e101955. doi: 10.15252/embj.2019101955. Epub 2019 Jul 11.</t>
  </si>
  <si>
    <t>Rivosecchi J</t>
  </si>
  <si>
    <t>PMC6694214</t>
  </si>
  <si>
    <t>10.15252/embj.2019101955</t>
  </si>
  <si>
    <t>Venous thrombosis and cancer: from mouse models to clinical trials</t>
  </si>
  <si>
    <t>Hisada Y, Geddings JE, Ay C, Mackman N.</t>
  </si>
  <si>
    <t>J Thromb Haemost. 2015 Aug;13(8):1372-82. doi: 10.1111/jth.13009. Epub 2015 Jun 26.</t>
  </si>
  <si>
    <t>PMC4773200</t>
  </si>
  <si>
    <t>NIHMS704524</t>
  </si>
  <si>
    <t>10.1111/jth.13009</t>
  </si>
  <si>
    <t>Homozygosity mapping and whole-exome sequencing to detect SLC45A2 and G6PC3 mutations in a single patient with oculocutaneous albinism and neutropenia</t>
  </si>
  <si>
    <t>Cullinane AR, Vilboux T, O'Brien K, Curry JA, Maynard DM, Carlson-Donohoe H, Ciccone C; NISC Comparative Sequencing Program, Markello TC, Gunay-Aygun M, Huizing M, Gahl WA.</t>
  </si>
  <si>
    <t>J Invest Dermatol. 2011 Oct;131(10):2017-25. doi: 10.1038/jid.2011.157. Epub 2011 Jun 16.</t>
  </si>
  <si>
    <t>Cullinane AR</t>
  </si>
  <si>
    <t>J Invest Dermatol</t>
  </si>
  <si>
    <t>PMC3174312</t>
  </si>
  <si>
    <t>NIHMS293756</t>
  </si>
  <si>
    <t>10.1038/jid.2011.157</t>
  </si>
  <si>
    <t>Li L, Tang J, Zhang B, Yang W, LiuGao M, Wang R, Tan Y, Fan J, Chang Y, Fu J, Jiang F, Chen C, Yang Y, Gu J, Wu D, Guo L, Cao D, Li H, Cao G, Wu M, Zhang MQ, Chen L, Wang H.</t>
  </si>
  <si>
    <t>Gut. 2015 Jan;64(1):156-67. doi: 10.1136/gutjnl-2013-305715. Epub 2014 Feb 26.</t>
  </si>
  <si>
    <t>LncRNA: a new player in 1α, 25(OH)(2) vitamin D(3) /VDR protection against skin cancer formation</t>
  </si>
  <si>
    <t>Jiang YJ, Bikle DD.</t>
  </si>
  <si>
    <t>Exp Dermatol. 2014 Mar;23(3):147-50. doi: 10.1111/exd.12341.</t>
  </si>
  <si>
    <t>Jiang YJ</t>
  </si>
  <si>
    <t>PMC4103949</t>
  </si>
  <si>
    <t>NIHMS601830</t>
  </si>
  <si>
    <t>Kwon S, Oh J, Lee MS, Um E, Jeong J, Kang JH.</t>
  </si>
  <si>
    <t>Small. 2021 Jun;17(23):e2100797. doi: 10.1002/smll.202100797. Epub 2021 May 12.</t>
  </si>
  <si>
    <t>Kwon S</t>
  </si>
  <si>
    <t>Defining the underlying defect in insulin action in type 2 diabetes</t>
  </si>
  <si>
    <t>Batista TM, Haider N, Kahn CR.</t>
  </si>
  <si>
    <t>Diabetologia. 2021 May;64(5):994-1006. doi: 10.1007/s00125-021-05415-5. Epub 2021 Mar 17.</t>
  </si>
  <si>
    <t>Batista TM</t>
  </si>
  <si>
    <t>Diabetologia</t>
  </si>
  <si>
    <t>PMC8916220</t>
  </si>
  <si>
    <t>NIHMS1783811</t>
  </si>
  <si>
    <t>10.1007/s00125-021-05415-5</t>
  </si>
  <si>
    <t>RNA Polymerase II CTD phosphatase Rtr1 fine-tunes transcription termination</t>
  </si>
  <si>
    <t>Victorino JF, Fox MJ, Smith-Kinnaman WR, Peck Justice SA, Burriss KH, Boyd AK, Zimmerly MA, Chan RR, Hunter GO, Liu Y, Mosley AL.</t>
  </si>
  <si>
    <t>PLoS Genet. 2020 Mar 18;16(3):e1008317. doi: 10.1371/journal.pgen.1008317. eCollection 2020 Mar.</t>
  </si>
  <si>
    <t>Victorino JF</t>
  </si>
  <si>
    <t>PMC7105142</t>
  </si>
  <si>
    <t>10.1371/journal.pgen.1008317</t>
  </si>
  <si>
    <t>Multiple roles for mammalian target of rapamycin signaling in both glutamatergic and GABAergic synaptic transmission</t>
  </si>
  <si>
    <t>Weston MC, Chen H, Swann JW.</t>
  </si>
  <si>
    <t>J Neurosci. 2012 Aug 15;32(33):11441-52. doi: 10.1523/JNEUROSCI.1283-12.2012.</t>
  </si>
  <si>
    <t>Weston MC</t>
  </si>
  <si>
    <t>PMC3432956</t>
  </si>
  <si>
    <t>NIHMS400720</t>
  </si>
  <si>
    <t>10.1523/JNEUROSCI.1283-12.2012</t>
  </si>
  <si>
    <t>Microglia: Agents of the CNS Pro-Inflammatory Response</t>
  </si>
  <si>
    <t>Rodríguez-Gómez JA, Kavanagh E, Engskog-Vlachos P, Engskog MKR, Herrera AJ, Espinosa-Oliva AM, Joseph B, Hajji N, Venero JL, Burguillos MA.</t>
  </si>
  <si>
    <t>Cells. 2020 Jul 17;9(7):1717. doi: 10.3390/cells9071717.</t>
  </si>
  <si>
    <t>Rodríguez-Gómez JA</t>
  </si>
  <si>
    <t>PMC7407646</t>
  </si>
  <si>
    <t>10.3390/cells9071717</t>
  </si>
  <si>
    <t>Biomarker-Based Therapy in Pancreatic Ductal Adenocarcinoma: An Emerging Reality?</t>
  </si>
  <si>
    <t>Krantz BA, O'Reilly EM.</t>
  </si>
  <si>
    <t>Clin Cancer Res. 2018 May 15;24(10):2241-2250. doi: 10.1158/1078-0432.CCR-16-3169. Epub 2017 Dec 21.</t>
  </si>
  <si>
    <t>Krantz BA</t>
  </si>
  <si>
    <t>PMC5955785</t>
  </si>
  <si>
    <t>NIHMS929453</t>
  </si>
  <si>
    <t>10.1158/1078-0432.CCR-16-3169</t>
  </si>
  <si>
    <t>Human nuclear RNAi-defective 2 (NRDE2) is an essential RNA splicing factor</t>
  </si>
  <si>
    <t>Jiao AL, Perales R, Umbreit NT, Haswell JR, Piper ME, Adams BD, Pellman D, Kennedy S, Slack FJ.</t>
  </si>
  <si>
    <t>RNA. 2019 Mar;25(3):352-363. doi: 10.1261/rna.069773.118. Epub 2018 Dec 11.</t>
  </si>
  <si>
    <t>Jiao AL</t>
  </si>
  <si>
    <t>PMC6380277</t>
  </si>
  <si>
    <t>10.1261/rna.069773.118</t>
  </si>
  <si>
    <t>Molecular cloning and functional characterization of a thioredoxin peroxidase gene in Echinococcus multilocularis</t>
  </si>
  <si>
    <t>Guo X, Zhang J, Li R, Li H, He X, Wang S, Wang Z, Harandi MF, Hu J, Zheng Y.</t>
  </si>
  <si>
    <t>Mol Biochem Parasitol. 2021 Sep;245:111408. doi: 10.1016/j.molbiopara.2021.111408. Epub 2021 Jul 31.</t>
  </si>
  <si>
    <t>Guo X</t>
  </si>
  <si>
    <t>10.1016/j.molbiopara.2021.111408</t>
  </si>
  <si>
    <t>Integrator is a key component of human telomerase RNA biogenesis</t>
  </si>
  <si>
    <t>Rubtsova MP, Vasilkova DP, Moshareva MA, Malyavko AN, Meerson MB, Zatsepin TS, Naraykina YV, Beletsky AV, Ravin NV, Dontsova OA.</t>
  </si>
  <si>
    <t>Sci Rep. 2019 Feb 8;9(1):1701. doi: 10.1038/s41598-018-38297-6.</t>
  </si>
  <si>
    <t>Rubtsova MP</t>
  </si>
  <si>
    <t>PMC6368637</t>
  </si>
  <si>
    <t>10.1038/s41598-018-38297-6</t>
  </si>
  <si>
    <t>Role of microRNA-130b in placental PGC-1α/TFAM mitochondrial biogenesis pathway</t>
  </si>
  <si>
    <t>Jiang S, Teague AM, Tryggestad JB, Chernausek SD.</t>
  </si>
  <si>
    <t>Biochem Biophys Res Commun. 2017 Jun 3;487(3):607-612. doi: 10.1016/j.bbrc.2017.04.099. Epub 2017 Apr 19.</t>
  </si>
  <si>
    <t>Jiang S</t>
  </si>
  <si>
    <t>PMC5522006</t>
  </si>
  <si>
    <t>NIHMS871519</t>
  </si>
  <si>
    <t>10.1016/j.bbrc.2017.04.099</t>
  </si>
  <si>
    <t>Inhibition of a Chromatin and Transcription Modulator, SLTM, Increases HIV-1 Reactivation Identified by a CRISPR Inhibition Screen</t>
  </si>
  <si>
    <t>Pedersen SF, Collora JA, Kim RN, Yang K, Razmi A, Catalano AA, Yeh YJ, Mounzer K, Tebas P, Montaner LJ, Ho YC.</t>
  </si>
  <si>
    <t>J Virol. 2022 Jul 13;96(13):e0057722. doi: 10.1128/jvi.00577-22. Epub 2022 Jun 22.</t>
  </si>
  <si>
    <t>Pedersen SF</t>
  </si>
  <si>
    <t>PMC9278143</t>
  </si>
  <si>
    <t>10.1128/jvi.00577-22</t>
  </si>
  <si>
    <t>Hao N, Liu P, Bachman H, Pei Z, Zhang P, Rufo J, Wang Z, Zhao S, Huang TJ.</t>
  </si>
  <si>
    <t>ACS Nano. 2020 May 26;14(5):6150-6163. doi: 10.1021/acsnano.0c02145. Epub 2020 May 4.</t>
  </si>
  <si>
    <t>Hao N</t>
  </si>
  <si>
    <t>PMC7415004</t>
  </si>
  <si>
    <t>NIHMS1612304</t>
  </si>
  <si>
    <t>Baker LA, Lee KC, Palacios Jimenez C, Alibhai H, Chang YM, Leckie PJ, Mookerjee RP, Davies NA, Andreola F, Jalan R.</t>
  </si>
  <si>
    <t>PLoS One. 2015 May 27;10(5):e0128076. doi: 10.1371/journal.pone.0128076. eCollection 2015.</t>
  </si>
  <si>
    <t>Baker LA</t>
  </si>
  <si>
    <t>PMC4446266</t>
  </si>
  <si>
    <t>Novel CD8+ T cell-based vaccine stimulates Gp120-specific CTL responses leading to therapeutic and long-term immunity in transgenic HLA-A2 mice</t>
  </si>
  <si>
    <t>Nanjundappa RH, Wang R, Xie Y, Umeshappa CS, Xiang J.</t>
  </si>
  <si>
    <t>Vaccine. 2012 May 21;30(24):3519-25. doi: 10.1016/j.vaccine.2012.03.075. Epub 2012 Apr 6.</t>
  </si>
  <si>
    <t>Nanjundappa RH</t>
  </si>
  <si>
    <t>Metabolomics reveals signature of mitochondrial dysfunction in diabetic kidney disease</t>
  </si>
  <si>
    <t>Sharma K, Karl B, Mathew AV, Gangoiti JA, Wassel CL, Saito R, Pu M, Sharma S, You YH, Wang L, Diamond-Stanic M, Lindenmeyer MT, Forsblom C, Wu W, Ix JH, Ideker T, Kopp JB, Nigam SK, Cohen CD, Groop PH, Barshop BA, Natarajan L, Nyhan WL, Naviaux RK.</t>
  </si>
  <si>
    <t>J Am Soc Nephrol. 2013 Nov;24(11):1901-12. doi: 10.1681/ASN.2013020126. Epub 2013 Oct 10.</t>
  </si>
  <si>
    <t>Sharma K</t>
  </si>
  <si>
    <t>J Am Soc Nephrol</t>
  </si>
  <si>
    <t>PMC3810086</t>
  </si>
  <si>
    <t>Bridgeman A, Maelfait J, Davenne T, Partridge T, Peng Y, Mayer A, Dong T, Kaever V, Borrow P, Rehwinkel J.</t>
  </si>
  <si>
    <t>Science. 2015 Sep 11;349(6253):1228-32. doi: 10.1126/science.aab3632. Epub 2015 Jul 30.</t>
  </si>
  <si>
    <t>Bridgeman A</t>
  </si>
  <si>
    <t>PMC4617605</t>
  </si>
  <si>
    <t>EMS65616</t>
  </si>
  <si>
    <t>Mor-Vaknin N, Punturieri A, Sitwala K, Faulkner N, Legendre M, Khodadoust MS, Kappes F, Ruth JH, Koch A, Glass D, Petruzzelli L, Adams BS, Markovitz DM.</t>
  </si>
  <si>
    <t>Mol Cell Biol. 2006 Dec;26(24):9484-96. doi: 10.1128/MCB.01030-06. Epub 2006 Oct 9.</t>
  </si>
  <si>
    <t>Mor-Vaknin N</t>
  </si>
  <si>
    <t>PMC1698538</t>
  </si>
  <si>
    <t>Epigenetic modifications in thymic epithelial cells: an evolutionary perspective for thymus atrophy</t>
  </si>
  <si>
    <t>Hu C, Zhang K, Jiang F, Wang H, Shao Q.</t>
  </si>
  <si>
    <t>Clin Epigenetics. 2021 Nov 24;13(1):210. doi: 10.1186/s13148-021-01197-0.</t>
  </si>
  <si>
    <t>Clin Epigenetics</t>
  </si>
  <si>
    <t>PMC8612001</t>
  </si>
  <si>
    <t>10.1186/s13148-021-01197-0</t>
  </si>
  <si>
    <t>Fiorillo AA, Heier CR, Huang YF, Tully CB, Punga T, Punga AR.</t>
  </si>
  <si>
    <t>Front Immunol. 2020 Feb 21;11:151. doi: 10.3389/fimmu.2020.00151. eCollection 2020.</t>
  </si>
  <si>
    <t>Fiorillo AA</t>
  </si>
  <si>
    <t>PMC7046803</t>
  </si>
  <si>
    <t>N(6)-Methyladenosine on mRNA facilitates a phase-separated nuclear body that suppresses myeloid leukemic differentiation</t>
  </si>
  <si>
    <t>Cheng Y, Xie W, Pickering BF, Chu KL, Savino AM, Yang X, Luo H, Nguyen DT, Mo S, Barin E, Velleca A, Rohwetter TM, Patel DJ, Jaffrey SR, Kharas MG.</t>
  </si>
  <si>
    <t>Cancer Cell. 2021 Jul 12;39(7):958-972.e8. doi: 10.1016/j.ccell.2021.04.017. Epub 2021 May 27.</t>
  </si>
  <si>
    <t>Cheng Y</t>
  </si>
  <si>
    <t>PMC8282764</t>
  </si>
  <si>
    <t>NIHMS1702256</t>
  </si>
  <si>
    <t>10.1016/j.ccell.2021.04.017</t>
  </si>
  <si>
    <t>Turco C, Esposito G, Iaiza A, Goeman F, Benedetti A, Gallo E, Daralioti T, Perracchio L, Sacconi A, Pasanisi P, Muti P, Pulito C, Strano S, Ianniello Z, Fatica A, Forcato M, Fazi F, Blandino G, Fontemaggi G.</t>
  </si>
  <si>
    <t>Commun Biol. 2022 Jun 16;5(1):598. doi: 10.1038/s42003-022-03539-x.</t>
  </si>
  <si>
    <t>Turco C</t>
  </si>
  <si>
    <t>PMC9203778</t>
  </si>
  <si>
    <t>Pellagatti A, Armstrong RN, Steeples V, Sharma E, Repapi E, Singh S, Sanchi A, Radujkovic A, Horn P, Dolatshad H, Roy S, Broxholme J, Lockstone H, Taylor S, Giagounidis A, Vyas P, Schuh A, Hamblin A, Papaemmanuil E, Killick S, Malcovati L, Hennrich ML, Gavin AC, Ho AD, Luft T, Hellström-Lindberg E, Cazzola M, Smith CWJ, Smith S, Boultwood J.</t>
  </si>
  <si>
    <t>Blood. 2018 Sep 20;132(12):1225-1240. doi: 10.1182/blood-2018-04-843771. Epub 2018 Jun 21.</t>
  </si>
  <si>
    <t>Pellagatti A</t>
  </si>
  <si>
    <t>PMC6172604</t>
  </si>
  <si>
    <t>Proteostasis and ALS: protocol for a phase II, randomised, double-blind, placebo-controlled, multicentre clinical trial for colchicine in ALS (Co-ALS)</t>
  </si>
  <si>
    <t>Mandrioli J, Crippa V, Cereda C, Bonetto V, Zucchi E, Gessani A, Ceroni M, Chio A, D'Amico R, Monsurrò MR, Riva N, Sabatelli M, Silani V, Simone IL, Sorarù G, Provenzani A, D'Agostino VG, Carra S, Poletti A.</t>
  </si>
  <si>
    <t>BMJ Open. 2019 May 30;9(5):e028486. doi: 10.1136/bmjopen-2018-028486.</t>
  </si>
  <si>
    <t>Mandrioli J</t>
  </si>
  <si>
    <t>BMJ Open</t>
  </si>
  <si>
    <t>PMC6549675</t>
  </si>
  <si>
    <t>10.1136/bmjopen-2018-028486</t>
  </si>
  <si>
    <t>Ramamoorthy P, Thomas SM, Kaushik G, Subramaniam D, Chastain KM, Dhar A, Tawfik O, Kasi A, Sun W, Ramalingam S, Gunewardena S, Umar S, Mammen JM, Padhye SB, Weir SJ, Jensen RA, Sittampalam GS, Anant S.</t>
  </si>
  <si>
    <t>Cancer Res. 2019 Apr 1;79(7):1681-1695. doi: 10.1158/0008-5472.CAN-18-2602. Epub 2019 Jan 23.</t>
  </si>
  <si>
    <t>Ramamoorthy P</t>
  </si>
  <si>
    <t>PMC6445669</t>
  </si>
  <si>
    <t>NIHMS1519611</t>
  </si>
  <si>
    <t>Pubmed Id WoS</t>
  </si>
  <si>
    <t>PMID PubMed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</si>
</sst>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0"/>
      <name val="Arial"/>
    </font>
  </fonts>
  <fills count="3">
    <fill>
      <patternFill patternType="none"/>
    </fill>
    <fill>
      <patternFill patternType="gray125"/>
    </fill>
    <fill>
      <patternFill patternType="solid">
        <fgColor theme="8" tint="0.79998168889431442"/>
        <bgColor indexed="64"/>
      </patternFill>
    </fill>
  </fills>
  <borders count="1">
    <border>
      <left/>
      <right/>
      <top/>
      <bottom/>
      <diagonal/>
    </border>
  </borders>
  <cellStyleXfs count="1">
    <xf numFmtId="0" fontId="0" fillId="0" borderId="0"/>
  </cellStyleXfs>
  <cellXfs count="3">
    <xf numFmtId="0" fontId="0" fillId="0" borderId="0" xfId="0"/>
    <xf numFmtId="14" fontId="0" fillId="0" borderId="0" xfId="0" applyNumberFormat="1"/>
    <xf numFmtId="0" fontId="0" fillId="2" borderId="0" xfId="0" applyFill="1"/>
  </cellXfs>
  <cellStyles count="1">
    <cellStyle name="Normal" xfId="0" builtinId="0"/>
  </cellStyles>
  <dxfs count="4">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patternType="solid">
          <fgColor rgb="FFFFEB9C"/>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A50D1-9575-C04C-A5A0-D241989E4BA0}">
  <dimension ref="A1:E3279"/>
  <sheetViews>
    <sheetView tabSelected="1" workbookViewId="0">
      <selection activeCell="L8" sqref="L8"/>
    </sheetView>
  </sheetViews>
  <sheetFormatPr baseColWidth="10" defaultRowHeight="13" x14ac:dyDescent="0.15"/>
  <cols>
    <col min="1" max="1" width="8.83203125" customWidth="1"/>
    <col min="2" max="2" width="37.6640625" customWidth="1"/>
    <col min="3" max="5" width="8.83203125" customWidth="1"/>
  </cols>
  <sheetData>
    <row r="1" spans="1:5" x14ac:dyDescent="0.15">
      <c r="A1" t="s">
        <v>1</v>
      </c>
      <c r="B1" t="s">
        <v>8</v>
      </c>
      <c r="C1" t="s">
        <v>46</v>
      </c>
      <c r="D1" t="s">
        <v>56</v>
      </c>
      <c r="E1" t="s">
        <v>65</v>
      </c>
    </row>
    <row r="2" spans="1:5" x14ac:dyDescent="0.15">
      <c r="A2" t="s">
        <v>28085</v>
      </c>
      <c r="B2" t="s">
        <v>28087</v>
      </c>
      <c r="C2">
        <v>2012</v>
      </c>
      <c r="D2" t="s">
        <v>28096</v>
      </c>
      <c r="E2">
        <v>22992520</v>
      </c>
    </row>
    <row r="3" spans="1:5" x14ac:dyDescent="0.15">
      <c r="A3" t="s">
        <v>8746</v>
      </c>
      <c r="B3" t="s">
        <v>8748</v>
      </c>
      <c r="C3">
        <v>2010</v>
      </c>
      <c r="D3" t="s">
        <v>8758</v>
      </c>
      <c r="E3">
        <v>20304794</v>
      </c>
    </row>
    <row r="4" spans="1:5" x14ac:dyDescent="0.15">
      <c r="A4" t="s">
        <v>26666</v>
      </c>
      <c r="B4" t="s">
        <v>26668</v>
      </c>
      <c r="C4">
        <v>2011</v>
      </c>
      <c r="D4" t="s">
        <v>26677</v>
      </c>
      <c r="E4">
        <v>21295087</v>
      </c>
    </row>
    <row r="5" spans="1:5" x14ac:dyDescent="0.15">
      <c r="A5" t="s">
        <v>5216</v>
      </c>
      <c r="B5" t="s">
        <v>5218</v>
      </c>
      <c r="C5">
        <v>2019</v>
      </c>
      <c r="D5" t="s">
        <v>5230</v>
      </c>
      <c r="E5">
        <v>30951670</v>
      </c>
    </row>
    <row r="6" spans="1:5" x14ac:dyDescent="0.15">
      <c r="A6" t="s">
        <v>24779</v>
      </c>
      <c r="B6" t="s">
        <v>24781</v>
      </c>
      <c r="C6">
        <v>2012</v>
      </c>
      <c r="D6" t="s">
        <v>24793</v>
      </c>
      <c r="E6">
        <v>22504485</v>
      </c>
    </row>
    <row r="7" spans="1:5" x14ac:dyDescent="0.15">
      <c r="A7" t="s">
        <v>25268</v>
      </c>
      <c r="B7" t="s">
        <v>25270</v>
      </c>
      <c r="C7">
        <v>2007</v>
      </c>
      <c r="D7" t="s">
        <v>25279</v>
      </c>
      <c r="E7">
        <v>17960135</v>
      </c>
    </row>
    <row r="8" spans="1:5" x14ac:dyDescent="0.15">
      <c r="A8" t="s">
        <v>9912</v>
      </c>
      <c r="B8" t="s">
        <v>9914</v>
      </c>
      <c r="C8">
        <v>2011</v>
      </c>
      <c r="D8" t="s">
        <v>9922</v>
      </c>
      <c r="E8">
        <v>21285958</v>
      </c>
    </row>
    <row r="9" spans="1:5" x14ac:dyDescent="0.15">
      <c r="A9" t="s">
        <v>8480</v>
      </c>
      <c r="B9" t="s">
        <v>8482</v>
      </c>
      <c r="C9">
        <v>2018</v>
      </c>
      <c r="D9" t="s">
        <v>8494</v>
      </c>
      <c r="E9">
        <v>29459780</v>
      </c>
    </row>
    <row r="10" spans="1:5" x14ac:dyDescent="0.15">
      <c r="A10" t="s">
        <v>19712</v>
      </c>
      <c r="B10" t="s">
        <v>19714</v>
      </c>
      <c r="C10">
        <v>2013</v>
      </c>
      <c r="D10" t="s">
        <v>19724</v>
      </c>
      <c r="E10">
        <v>23663360</v>
      </c>
    </row>
    <row r="11" spans="1:5" x14ac:dyDescent="0.15">
      <c r="A11" t="s">
        <v>13956</v>
      </c>
      <c r="B11" t="s">
        <v>13958</v>
      </c>
      <c r="C11">
        <v>2010</v>
      </c>
      <c r="D11" t="s">
        <v>13967</v>
      </c>
      <c r="E11">
        <v>21098229</v>
      </c>
    </row>
    <row r="12" spans="1:5" x14ac:dyDescent="0.15">
      <c r="A12" t="s">
        <v>16730</v>
      </c>
      <c r="B12" t="s">
        <v>16731</v>
      </c>
      <c r="C12">
        <v>2006</v>
      </c>
      <c r="D12" t="s">
        <v>16740</v>
      </c>
      <c r="E12">
        <v>16430688</v>
      </c>
    </row>
    <row r="13" spans="1:5" x14ac:dyDescent="0.15">
      <c r="A13" t="s">
        <v>3697</v>
      </c>
      <c r="B13" t="s">
        <v>3699</v>
      </c>
      <c r="C13">
        <v>2014</v>
      </c>
      <c r="D13" t="s">
        <v>3713</v>
      </c>
      <c r="E13">
        <v>24398677</v>
      </c>
    </row>
    <row r="14" spans="1:5" x14ac:dyDescent="0.15">
      <c r="A14" t="s">
        <v>22050</v>
      </c>
      <c r="B14" t="s">
        <v>22052</v>
      </c>
      <c r="C14">
        <v>2006</v>
      </c>
      <c r="D14" t="s">
        <v>22060</v>
      </c>
      <c r="E14">
        <v>16651434</v>
      </c>
    </row>
    <row r="15" spans="1:5" x14ac:dyDescent="0.15">
      <c r="A15" t="s">
        <v>5136</v>
      </c>
      <c r="B15" t="s">
        <v>5138</v>
      </c>
      <c r="C15">
        <v>2015</v>
      </c>
      <c r="D15" t="s">
        <v>5149</v>
      </c>
      <c r="E15">
        <v>26442449</v>
      </c>
    </row>
    <row r="16" spans="1:5" x14ac:dyDescent="0.15">
      <c r="A16" t="s">
        <v>14974</v>
      </c>
      <c r="B16" t="s">
        <v>14976</v>
      </c>
      <c r="C16">
        <v>2011</v>
      </c>
      <c r="D16" t="s">
        <v>14984</v>
      </c>
      <c r="E16">
        <v>21651777</v>
      </c>
    </row>
    <row r="17" spans="1:5" x14ac:dyDescent="0.15">
      <c r="A17" t="s">
        <v>15363</v>
      </c>
      <c r="B17" t="s">
        <v>15365</v>
      </c>
      <c r="C17">
        <v>2007</v>
      </c>
      <c r="D17" t="s">
        <v>15376</v>
      </c>
      <c r="E17">
        <v>17452642</v>
      </c>
    </row>
    <row r="18" spans="1:5" x14ac:dyDescent="0.15">
      <c r="A18" t="s">
        <v>17286</v>
      </c>
      <c r="B18" t="s">
        <v>17287</v>
      </c>
      <c r="C18">
        <v>1995</v>
      </c>
      <c r="D18" t="s">
        <v>17291</v>
      </c>
      <c r="E18">
        <v>7608073</v>
      </c>
    </row>
    <row r="19" spans="1:5" x14ac:dyDescent="0.15">
      <c r="A19" t="s">
        <v>6957</v>
      </c>
      <c r="B19" t="s">
        <v>6959</v>
      </c>
      <c r="C19">
        <v>2016</v>
      </c>
      <c r="D19" t="s">
        <v>6967</v>
      </c>
      <c r="E19">
        <v>26604130</v>
      </c>
    </row>
    <row r="20" spans="1:5" x14ac:dyDescent="0.15">
      <c r="A20" t="s">
        <v>2623</v>
      </c>
      <c r="B20" t="s">
        <v>2625</v>
      </c>
      <c r="C20">
        <v>2010</v>
      </c>
      <c r="D20" t="s">
        <v>2638</v>
      </c>
      <c r="E20">
        <v>19680595</v>
      </c>
    </row>
    <row r="21" spans="1:5" x14ac:dyDescent="0.15">
      <c r="A21" t="s">
        <v>30209</v>
      </c>
      <c r="B21" t="s">
        <v>30210</v>
      </c>
      <c r="C21">
        <v>1992</v>
      </c>
      <c r="D21" t="s">
        <v>30216</v>
      </c>
      <c r="E21">
        <v>1560052</v>
      </c>
    </row>
    <row r="22" spans="1:5" x14ac:dyDescent="0.15">
      <c r="A22" t="s">
        <v>28663</v>
      </c>
      <c r="B22" t="s">
        <v>28664</v>
      </c>
      <c r="C22">
        <v>1998</v>
      </c>
      <c r="D22" t="s">
        <v>28671</v>
      </c>
      <c r="E22">
        <v>9751096</v>
      </c>
    </row>
    <row r="23" spans="1:5" x14ac:dyDescent="0.15">
      <c r="A23" t="s">
        <v>3777</v>
      </c>
      <c r="B23" t="s">
        <v>3779</v>
      </c>
      <c r="C23">
        <v>2014</v>
      </c>
      <c r="D23" t="s">
        <v>3789</v>
      </c>
      <c r="E23">
        <v>24722878</v>
      </c>
    </row>
    <row r="24" spans="1:5" x14ac:dyDescent="0.15">
      <c r="A24" t="s">
        <v>6207</v>
      </c>
      <c r="B24" t="s">
        <v>6209</v>
      </c>
      <c r="C24">
        <v>2017</v>
      </c>
      <c r="D24" t="s">
        <v>6219</v>
      </c>
      <c r="E24">
        <v>28508895</v>
      </c>
    </row>
    <row r="25" spans="1:5" x14ac:dyDescent="0.15">
      <c r="A25" t="s">
        <v>21915</v>
      </c>
      <c r="B25" t="s">
        <v>21917</v>
      </c>
      <c r="C25">
        <v>2015</v>
      </c>
      <c r="D25" t="s">
        <v>21925</v>
      </c>
      <c r="E25">
        <v>25959588</v>
      </c>
    </row>
    <row r="26" spans="1:5" x14ac:dyDescent="0.15">
      <c r="A26" t="s">
        <v>19444</v>
      </c>
      <c r="B26" t="s">
        <v>19445</v>
      </c>
      <c r="C26">
        <v>2005</v>
      </c>
      <c r="D26" t="s">
        <v>74</v>
      </c>
      <c r="E26">
        <v>15709166</v>
      </c>
    </row>
    <row r="27" spans="1:5" x14ac:dyDescent="0.15">
      <c r="A27" t="s">
        <v>15038</v>
      </c>
      <c r="B27" t="s">
        <v>15040</v>
      </c>
      <c r="C27">
        <v>2007</v>
      </c>
      <c r="D27" t="s">
        <v>15049</v>
      </c>
      <c r="E27">
        <v>17497921</v>
      </c>
    </row>
    <row r="28" spans="1:5" x14ac:dyDescent="0.15">
      <c r="A28" t="s">
        <v>14921</v>
      </c>
      <c r="B28" t="s">
        <v>14923</v>
      </c>
      <c r="C28">
        <v>2009</v>
      </c>
      <c r="D28" t="s">
        <v>14930</v>
      </c>
      <c r="E28">
        <v>19692638</v>
      </c>
    </row>
    <row r="29" spans="1:5" x14ac:dyDescent="0.15">
      <c r="A29" t="s">
        <v>27325</v>
      </c>
      <c r="B29" t="s">
        <v>27326</v>
      </c>
      <c r="C29">
        <v>1996</v>
      </c>
      <c r="D29" t="s">
        <v>74</v>
      </c>
      <c r="E29">
        <v>8795633</v>
      </c>
    </row>
    <row r="30" spans="1:5" x14ac:dyDescent="0.15">
      <c r="A30" t="s">
        <v>27374</v>
      </c>
      <c r="B30" t="s">
        <v>27376</v>
      </c>
      <c r="C30">
        <v>2013</v>
      </c>
      <c r="D30" t="s">
        <v>27388</v>
      </c>
      <c r="E30">
        <v>23949796</v>
      </c>
    </row>
    <row r="31" spans="1:5" x14ac:dyDescent="0.15">
      <c r="A31" t="s">
        <v>14174</v>
      </c>
      <c r="B31" t="s">
        <v>14176</v>
      </c>
      <c r="C31">
        <v>2014</v>
      </c>
      <c r="D31" t="s">
        <v>14185</v>
      </c>
      <c r="E31">
        <v>24838567</v>
      </c>
    </row>
    <row r="32" spans="1:5" x14ac:dyDescent="0.15">
      <c r="A32" t="s">
        <v>29439</v>
      </c>
      <c r="B32" t="s">
        <v>29441</v>
      </c>
      <c r="C32">
        <v>2012</v>
      </c>
      <c r="D32" t="s">
        <v>29451</v>
      </c>
      <c r="E32">
        <v>22773185</v>
      </c>
    </row>
    <row r="33" spans="1:5" x14ac:dyDescent="0.15">
      <c r="A33" t="s">
        <v>20368</v>
      </c>
      <c r="B33" t="s">
        <v>20370</v>
      </c>
      <c r="C33">
        <v>2014</v>
      </c>
      <c r="D33" t="s">
        <v>20379</v>
      </c>
      <c r="E33">
        <v>25082876</v>
      </c>
    </row>
    <row r="34" spans="1:5" x14ac:dyDescent="0.15">
      <c r="A34" t="s">
        <v>6969</v>
      </c>
      <c r="B34" t="s">
        <v>6971</v>
      </c>
      <c r="C34">
        <v>2017</v>
      </c>
      <c r="D34" t="s">
        <v>6983</v>
      </c>
      <c r="E34">
        <v>29073103</v>
      </c>
    </row>
    <row r="35" spans="1:5" x14ac:dyDescent="0.15">
      <c r="A35" t="s">
        <v>17006</v>
      </c>
      <c r="B35" t="s">
        <v>17008</v>
      </c>
      <c r="C35">
        <v>2016</v>
      </c>
      <c r="D35" t="s">
        <v>17022</v>
      </c>
      <c r="E35">
        <v>27608715</v>
      </c>
    </row>
    <row r="36" spans="1:5" x14ac:dyDescent="0.15">
      <c r="A36" t="s">
        <v>18112</v>
      </c>
      <c r="B36" t="s">
        <v>18114</v>
      </c>
      <c r="C36">
        <v>2008</v>
      </c>
      <c r="D36" t="s">
        <v>18123</v>
      </c>
      <c r="E36">
        <v>18829542</v>
      </c>
    </row>
    <row r="37" spans="1:5" x14ac:dyDescent="0.15">
      <c r="A37" t="s">
        <v>26133</v>
      </c>
      <c r="B37" t="s">
        <v>26134</v>
      </c>
      <c r="C37">
        <v>2002</v>
      </c>
      <c r="D37" t="s">
        <v>26147</v>
      </c>
      <c r="E37">
        <v>11837318</v>
      </c>
    </row>
    <row r="38" spans="1:5" x14ac:dyDescent="0.15">
      <c r="A38" t="s">
        <v>2195</v>
      </c>
      <c r="B38" t="s">
        <v>2197</v>
      </c>
      <c r="C38">
        <v>2010</v>
      </c>
      <c r="D38" t="s">
        <v>2210</v>
      </c>
      <c r="E38">
        <v>20428099</v>
      </c>
    </row>
    <row r="39" spans="1:5" x14ac:dyDescent="0.15">
      <c r="A39" t="s">
        <v>10347</v>
      </c>
      <c r="B39" t="s">
        <v>10348</v>
      </c>
      <c r="C39">
        <v>2005</v>
      </c>
      <c r="D39" t="s">
        <v>10360</v>
      </c>
      <c r="E39">
        <v>15655551</v>
      </c>
    </row>
    <row r="40" spans="1:5" x14ac:dyDescent="0.15">
      <c r="A40" t="s">
        <v>21820</v>
      </c>
      <c r="B40" t="s">
        <v>21822</v>
      </c>
      <c r="C40">
        <v>2017</v>
      </c>
      <c r="D40" t="s">
        <v>21831</v>
      </c>
      <c r="E40">
        <v>28834063</v>
      </c>
    </row>
    <row r="41" spans="1:5" x14ac:dyDescent="0.15">
      <c r="A41" t="s">
        <v>26981</v>
      </c>
      <c r="B41" t="s">
        <v>26982</v>
      </c>
      <c r="C41">
        <v>1996</v>
      </c>
      <c r="D41" t="s">
        <v>74</v>
      </c>
      <c r="E41">
        <v>9044741</v>
      </c>
    </row>
    <row r="42" spans="1:5" x14ac:dyDescent="0.15">
      <c r="A42" t="s">
        <v>29304</v>
      </c>
      <c r="B42" t="s">
        <v>29306</v>
      </c>
      <c r="C42">
        <v>2015</v>
      </c>
      <c r="D42" t="s">
        <v>29318</v>
      </c>
      <c r="E42">
        <v>25822693</v>
      </c>
    </row>
    <row r="43" spans="1:5" x14ac:dyDescent="0.15">
      <c r="A43" t="s">
        <v>8993</v>
      </c>
      <c r="B43" t="s">
        <v>8995</v>
      </c>
      <c r="C43">
        <v>2014</v>
      </c>
      <c r="D43" t="s">
        <v>9007</v>
      </c>
      <c r="E43">
        <v>24408433</v>
      </c>
    </row>
    <row r="44" spans="1:5" x14ac:dyDescent="0.15">
      <c r="A44" t="s">
        <v>655</v>
      </c>
      <c r="B44" t="s">
        <v>657</v>
      </c>
      <c r="C44">
        <v>2015</v>
      </c>
      <c r="D44" t="s">
        <v>672</v>
      </c>
      <c r="E44">
        <v>25713383</v>
      </c>
    </row>
    <row r="45" spans="1:5" x14ac:dyDescent="0.15">
      <c r="A45" t="s">
        <v>1070</v>
      </c>
      <c r="B45" t="s">
        <v>1072</v>
      </c>
      <c r="C45">
        <v>2012</v>
      </c>
      <c r="D45" t="s">
        <v>1085</v>
      </c>
      <c r="E45">
        <v>22506041</v>
      </c>
    </row>
    <row r="46" spans="1:5" x14ac:dyDescent="0.15">
      <c r="A46" t="s">
        <v>14057</v>
      </c>
      <c r="B46" t="s">
        <v>14059</v>
      </c>
      <c r="C46">
        <v>2016</v>
      </c>
      <c r="D46" t="s">
        <v>14068</v>
      </c>
      <c r="E46">
        <v>27075392</v>
      </c>
    </row>
    <row r="47" spans="1:5" x14ac:dyDescent="0.15">
      <c r="A47" t="s">
        <v>1709</v>
      </c>
      <c r="B47" t="s">
        <v>1711</v>
      </c>
      <c r="C47">
        <v>2017</v>
      </c>
      <c r="D47" t="s">
        <v>1724</v>
      </c>
      <c r="E47">
        <v>28287705</v>
      </c>
    </row>
    <row r="48" spans="1:5" x14ac:dyDescent="0.15">
      <c r="A48" t="s">
        <v>9939</v>
      </c>
      <c r="B48" t="s">
        <v>9941</v>
      </c>
      <c r="C48">
        <v>2015</v>
      </c>
      <c r="D48" t="s">
        <v>9948</v>
      </c>
      <c r="E48">
        <v>25669322</v>
      </c>
    </row>
    <row r="49" spans="1:5" x14ac:dyDescent="0.15">
      <c r="A49" t="s">
        <v>10741</v>
      </c>
      <c r="B49" t="s">
        <v>10743</v>
      </c>
      <c r="C49">
        <v>2018</v>
      </c>
      <c r="D49" t="s">
        <v>10755</v>
      </c>
      <c r="E49">
        <v>29532035</v>
      </c>
    </row>
    <row r="50" spans="1:5" x14ac:dyDescent="0.15">
      <c r="A50" t="s">
        <v>25747</v>
      </c>
      <c r="B50" t="s">
        <v>25748</v>
      </c>
      <c r="C50">
        <v>1995</v>
      </c>
      <c r="D50" t="s">
        <v>25755</v>
      </c>
      <c r="E50">
        <v>8569746</v>
      </c>
    </row>
    <row r="51" spans="1:5" x14ac:dyDescent="0.15">
      <c r="A51" t="s">
        <v>15616</v>
      </c>
      <c r="B51" t="s">
        <v>15618</v>
      </c>
      <c r="C51">
        <v>2017</v>
      </c>
      <c r="D51" t="s">
        <v>15627</v>
      </c>
      <c r="E51">
        <v>28104621</v>
      </c>
    </row>
    <row r="52" spans="1:5" x14ac:dyDescent="0.15">
      <c r="A52" t="s">
        <v>12578</v>
      </c>
      <c r="B52" t="s">
        <v>16411</v>
      </c>
      <c r="C52">
        <v>2009</v>
      </c>
      <c r="D52" t="s">
        <v>16417</v>
      </c>
      <c r="E52">
        <v>19129916</v>
      </c>
    </row>
    <row r="53" spans="1:5" x14ac:dyDescent="0.15">
      <c r="A53" t="s">
        <v>4928</v>
      </c>
      <c r="B53" t="s">
        <v>4930</v>
      </c>
      <c r="C53">
        <v>2016</v>
      </c>
      <c r="D53" t="s">
        <v>4939</v>
      </c>
      <c r="E53">
        <v>27659060</v>
      </c>
    </row>
    <row r="54" spans="1:5" x14ac:dyDescent="0.15">
      <c r="A54" t="s">
        <v>19738</v>
      </c>
      <c r="B54" t="s">
        <v>19740</v>
      </c>
      <c r="C54">
        <v>2008</v>
      </c>
      <c r="D54" t="s">
        <v>19750</v>
      </c>
      <c r="E54">
        <v>18617898</v>
      </c>
    </row>
    <row r="55" spans="1:5" x14ac:dyDescent="0.15">
      <c r="A55" t="s">
        <v>8653</v>
      </c>
      <c r="B55" t="s">
        <v>8655</v>
      </c>
      <c r="C55">
        <v>2014</v>
      </c>
      <c r="D55" t="s">
        <v>8668</v>
      </c>
      <c r="E55">
        <v>24798520</v>
      </c>
    </row>
    <row r="56" spans="1:5" x14ac:dyDescent="0.15">
      <c r="A56" t="s">
        <v>6882</v>
      </c>
      <c r="B56" t="s">
        <v>6884</v>
      </c>
      <c r="C56">
        <v>2013</v>
      </c>
      <c r="D56" t="s">
        <v>6896</v>
      </c>
      <c r="E56">
        <v>23881452</v>
      </c>
    </row>
    <row r="57" spans="1:5" x14ac:dyDescent="0.15">
      <c r="A57" t="s">
        <v>12287</v>
      </c>
      <c r="B57" t="s">
        <v>12288</v>
      </c>
      <c r="C57">
        <v>2004</v>
      </c>
      <c r="D57" t="s">
        <v>12298</v>
      </c>
      <c r="E57">
        <v>15256559</v>
      </c>
    </row>
    <row r="58" spans="1:5" x14ac:dyDescent="0.15">
      <c r="A58" t="s">
        <v>13573</v>
      </c>
      <c r="B58" t="s">
        <v>13575</v>
      </c>
      <c r="C58">
        <v>2013</v>
      </c>
      <c r="D58" t="s">
        <v>13584</v>
      </c>
      <c r="E58">
        <v>22910294</v>
      </c>
    </row>
    <row r="59" spans="1:5" x14ac:dyDescent="0.15">
      <c r="A59" t="s">
        <v>8467</v>
      </c>
      <c r="B59" t="s">
        <v>8469</v>
      </c>
      <c r="C59">
        <v>2018</v>
      </c>
      <c r="D59" t="s">
        <v>8478</v>
      </c>
      <c r="E59">
        <v>29907766</v>
      </c>
    </row>
    <row r="60" spans="1:5" x14ac:dyDescent="0.15">
      <c r="A60" t="s">
        <v>14228</v>
      </c>
      <c r="B60" t="s">
        <v>14230</v>
      </c>
      <c r="C60">
        <v>2014</v>
      </c>
      <c r="D60" t="s">
        <v>14239</v>
      </c>
      <c r="E60">
        <v>24662828</v>
      </c>
    </row>
    <row r="61" spans="1:5" x14ac:dyDescent="0.15">
      <c r="A61" t="s">
        <v>11743</v>
      </c>
      <c r="B61" t="s">
        <v>11745</v>
      </c>
      <c r="C61">
        <v>2012</v>
      </c>
      <c r="D61" t="s">
        <v>11756</v>
      </c>
      <c r="E61">
        <v>23012657</v>
      </c>
    </row>
    <row r="62" spans="1:5" x14ac:dyDescent="0.15">
      <c r="A62" t="s">
        <v>28459</v>
      </c>
      <c r="B62" t="s">
        <v>28460</v>
      </c>
      <c r="C62">
        <v>1995</v>
      </c>
      <c r="D62" t="s">
        <v>28466</v>
      </c>
      <c r="E62">
        <v>7559528</v>
      </c>
    </row>
    <row r="63" spans="1:5" x14ac:dyDescent="0.15">
      <c r="A63" t="s">
        <v>10476</v>
      </c>
      <c r="B63" t="s">
        <v>10478</v>
      </c>
      <c r="C63">
        <v>2010</v>
      </c>
      <c r="D63" t="s">
        <v>10487</v>
      </c>
      <c r="E63">
        <v>21049390</v>
      </c>
    </row>
    <row r="64" spans="1:5" x14ac:dyDescent="0.15">
      <c r="A64" t="s">
        <v>2177</v>
      </c>
      <c r="B64" t="s">
        <v>2179</v>
      </c>
      <c r="C64">
        <v>2011</v>
      </c>
      <c r="D64" t="s">
        <v>2192</v>
      </c>
      <c r="E64">
        <v>21196075</v>
      </c>
    </row>
    <row r="65" spans="1:5" x14ac:dyDescent="0.15">
      <c r="A65" t="s">
        <v>23188</v>
      </c>
      <c r="B65" t="s">
        <v>23190</v>
      </c>
      <c r="C65">
        <v>2008</v>
      </c>
      <c r="D65" t="s">
        <v>23199</v>
      </c>
      <c r="E65">
        <v>18281500</v>
      </c>
    </row>
    <row r="66" spans="1:5" x14ac:dyDescent="0.15">
      <c r="A66" t="s">
        <v>28736</v>
      </c>
      <c r="B66" t="s">
        <v>28737</v>
      </c>
      <c r="C66">
        <v>2003</v>
      </c>
      <c r="D66" t="s">
        <v>28745</v>
      </c>
      <c r="E66">
        <v>14657332</v>
      </c>
    </row>
    <row r="67" spans="1:5" x14ac:dyDescent="0.15">
      <c r="A67" t="s">
        <v>4150</v>
      </c>
      <c r="B67" t="s">
        <v>4152</v>
      </c>
      <c r="C67">
        <v>2015</v>
      </c>
      <c r="D67" t="s">
        <v>4161</v>
      </c>
      <c r="E67">
        <v>26317354</v>
      </c>
    </row>
    <row r="68" spans="1:5" x14ac:dyDescent="0.15">
      <c r="A68" t="s">
        <v>14949</v>
      </c>
      <c r="B68" t="s">
        <v>14950</v>
      </c>
      <c r="C68">
        <v>2004</v>
      </c>
      <c r="D68" t="s">
        <v>14959</v>
      </c>
      <c r="E68">
        <v>14764679</v>
      </c>
    </row>
    <row r="69" spans="1:5" x14ac:dyDescent="0.15">
      <c r="A69" t="s">
        <v>23099</v>
      </c>
      <c r="B69" t="s">
        <v>23100</v>
      </c>
      <c r="C69">
        <v>1995</v>
      </c>
      <c r="D69" t="s">
        <v>74</v>
      </c>
      <c r="E69">
        <v>7745687</v>
      </c>
    </row>
    <row r="70" spans="1:5" x14ac:dyDescent="0.15">
      <c r="A70" t="s">
        <v>21271</v>
      </c>
      <c r="B70" t="s">
        <v>21273</v>
      </c>
      <c r="C70">
        <v>2018</v>
      </c>
      <c r="D70" t="s">
        <v>21282</v>
      </c>
      <c r="E70">
        <v>29662176</v>
      </c>
    </row>
    <row r="71" spans="1:5" x14ac:dyDescent="0.15">
      <c r="A71" t="s">
        <v>175</v>
      </c>
      <c r="B71" t="s">
        <v>177</v>
      </c>
      <c r="C71">
        <v>2015</v>
      </c>
      <c r="D71" t="s">
        <v>190</v>
      </c>
      <c r="E71">
        <v>26376343</v>
      </c>
    </row>
    <row r="72" spans="1:5" x14ac:dyDescent="0.15">
      <c r="A72" t="s">
        <v>24918</v>
      </c>
      <c r="B72" t="s">
        <v>24920</v>
      </c>
      <c r="C72">
        <v>2019</v>
      </c>
      <c r="D72" t="s">
        <v>24928</v>
      </c>
      <c r="E72">
        <v>30546088</v>
      </c>
    </row>
    <row r="73" spans="1:5" x14ac:dyDescent="0.15">
      <c r="A73" t="s">
        <v>15080</v>
      </c>
      <c r="B73" t="s">
        <v>15082</v>
      </c>
      <c r="C73">
        <v>2013</v>
      </c>
      <c r="D73" t="s">
        <v>15090</v>
      </c>
      <c r="E73">
        <v>23509360</v>
      </c>
    </row>
    <row r="74" spans="1:5" x14ac:dyDescent="0.15">
      <c r="A74" t="s">
        <v>4809</v>
      </c>
      <c r="B74" t="s">
        <v>4811</v>
      </c>
      <c r="C74">
        <v>2017</v>
      </c>
      <c r="D74" t="s">
        <v>4823</v>
      </c>
      <c r="E74">
        <v>28216464</v>
      </c>
    </row>
    <row r="75" spans="1:5" x14ac:dyDescent="0.15">
      <c r="A75" t="s">
        <v>11050</v>
      </c>
      <c r="B75" t="s">
        <v>11052</v>
      </c>
      <c r="C75">
        <v>2009</v>
      </c>
      <c r="D75" t="s">
        <v>11061</v>
      </c>
      <c r="E75">
        <v>19251901</v>
      </c>
    </row>
    <row r="76" spans="1:5" x14ac:dyDescent="0.15">
      <c r="A76" t="s">
        <v>25772</v>
      </c>
      <c r="B76" t="s">
        <v>25773</v>
      </c>
      <c r="C76">
        <v>1999</v>
      </c>
      <c r="D76" t="s">
        <v>25781</v>
      </c>
      <c r="E76">
        <v>9882352</v>
      </c>
    </row>
    <row r="77" spans="1:5" x14ac:dyDescent="0.15">
      <c r="A77" t="s">
        <v>12367</v>
      </c>
      <c r="B77" t="s">
        <v>12368</v>
      </c>
      <c r="C77">
        <v>1997</v>
      </c>
      <c r="D77" t="s">
        <v>12375</v>
      </c>
      <c r="E77">
        <v>9126269</v>
      </c>
    </row>
    <row r="78" spans="1:5" x14ac:dyDescent="0.15">
      <c r="A78" t="s">
        <v>18215</v>
      </c>
      <c r="B78" t="s">
        <v>18217</v>
      </c>
      <c r="C78">
        <v>2010</v>
      </c>
      <c r="D78" t="s">
        <v>18226</v>
      </c>
      <c r="E78">
        <v>20399774</v>
      </c>
    </row>
    <row r="79" spans="1:5" x14ac:dyDescent="0.15">
      <c r="A79" t="s">
        <v>20410</v>
      </c>
      <c r="B79" t="s">
        <v>20412</v>
      </c>
      <c r="C79">
        <v>2015</v>
      </c>
      <c r="D79" t="s">
        <v>20421</v>
      </c>
      <c r="E79">
        <v>26598621</v>
      </c>
    </row>
    <row r="80" spans="1:5" x14ac:dyDescent="0.15">
      <c r="A80" t="s">
        <v>29209</v>
      </c>
      <c r="B80" t="s">
        <v>29211</v>
      </c>
      <c r="C80">
        <v>2013</v>
      </c>
      <c r="D80" t="s">
        <v>29218</v>
      </c>
      <c r="E80">
        <v>23695661</v>
      </c>
    </row>
    <row r="81" spans="1:5" x14ac:dyDescent="0.15">
      <c r="A81" t="s">
        <v>17742</v>
      </c>
      <c r="B81" t="s">
        <v>17744</v>
      </c>
      <c r="C81">
        <v>2019</v>
      </c>
      <c r="D81" t="s">
        <v>17753</v>
      </c>
      <c r="E81">
        <v>30240661</v>
      </c>
    </row>
    <row r="82" spans="1:5" x14ac:dyDescent="0.15">
      <c r="A82" t="s">
        <v>16545</v>
      </c>
      <c r="B82" t="s">
        <v>16547</v>
      </c>
      <c r="C82">
        <v>2008</v>
      </c>
      <c r="D82" t="s">
        <v>16557</v>
      </c>
      <c r="E82">
        <v>18852879</v>
      </c>
    </row>
    <row r="83" spans="1:5" x14ac:dyDescent="0.15">
      <c r="A83" t="s">
        <v>26936</v>
      </c>
      <c r="B83" t="s">
        <v>26937</v>
      </c>
      <c r="C83">
        <v>1998</v>
      </c>
      <c r="D83" t="s">
        <v>74</v>
      </c>
      <c r="E83">
        <v>9449663</v>
      </c>
    </row>
    <row r="84" spans="1:5" x14ac:dyDescent="0.15">
      <c r="A84" t="s">
        <v>3601</v>
      </c>
      <c r="B84" t="s">
        <v>3603</v>
      </c>
      <c r="C84">
        <v>2017</v>
      </c>
      <c r="D84" t="s">
        <v>3613</v>
      </c>
      <c r="E84">
        <v>28671449</v>
      </c>
    </row>
    <row r="85" spans="1:5" x14ac:dyDescent="0.15">
      <c r="A85" t="s">
        <v>5995</v>
      </c>
      <c r="B85" t="s">
        <v>5997</v>
      </c>
      <c r="C85">
        <v>2017</v>
      </c>
      <c r="D85" t="s">
        <v>6007</v>
      </c>
      <c r="E85">
        <v>28167415</v>
      </c>
    </row>
    <row r="86" spans="1:5" x14ac:dyDescent="0.15">
      <c r="A86" t="s">
        <v>15092</v>
      </c>
      <c r="B86" t="s">
        <v>15093</v>
      </c>
      <c r="C86">
        <v>2004</v>
      </c>
      <c r="D86" t="s">
        <v>15102</v>
      </c>
      <c r="E86">
        <v>14963039</v>
      </c>
    </row>
    <row r="87" spans="1:5" x14ac:dyDescent="0.15">
      <c r="A87" t="s">
        <v>23830</v>
      </c>
      <c r="B87" t="s">
        <v>23832</v>
      </c>
      <c r="C87">
        <v>2016</v>
      </c>
      <c r="D87" t="s">
        <v>23845</v>
      </c>
      <c r="E87">
        <v>27679482</v>
      </c>
    </row>
    <row r="88" spans="1:5" x14ac:dyDescent="0.15">
      <c r="A88" t="s">
        <v>500</v>
      </c>
      <c r="B88" t="s">
        <v>502</v>
      </c>
      <c r="C88">
        <v>2014</v>
      </c>
      <c r="D88" t="s">
        <v>514</v>
      </c>
      <c r="E88">
        <v>25111183</v>
      </c>
    </row>
    <row r="89" spans="1:5" x14ac:dyDescent="0.15">
      <c r="A89" t="s">
        <v>10374</v>
      </c>
      <c r="B89" t="s">
        <v>10376</v>
      </c>
      <c r="C89">
        <v>2014</v>
      </c>
      <c r="D89" t="s">
        <v>10384</v>
      </c>
      <c r="E89">
        <v>24748612</v>
      </c>
    </row>
    <row r="90" spans="1:5" x14ac:dyDescent="0.15">
      <c r="A90" t="s">
        <v>26853</v>
      </c>
      <c r="B90" t="s">
        <v>26854</v>
      </c>
      <c r="C90">
        <v>2000</v>
      </c>
      <c r="D90" t="s">
        <v>26862</v>
      </c>
      <c r="E90">
        <v>11024135</v>
      </c>
    </row>
    <row r="91" spans="1:5" x14ac:dyDescent="0.15">
      <c r="A91" t="s">
        <v>1292</v>
      </c>
      <c r="B91" t="s">
        <v>1294</v>
      </c>
      <c r="C91">
        <v>2018</v>
      </c>
      <c r="D91" t="s">
        <v>1305</v>
      </c>
      <c r="E91">
        <v>30108686</v>
      </c>
    </row>
    <row r="92" spans="1:5" x14ac:dyDescent="0.15">
      <c r="A92" t="s">
        <v>4855</v>
      </c>
      <c r="B92" t="s">
        <v>4857</v>
      </c>
      <c r="C92">
        <v>2017</v>
      </c>
      <c r="D92" t="s">
        <v>4869</v>
      </c>
      <c r="E92">
        <v>29073095</v>
      </c>
    </row>
    <row r="93" spans="1:5" x14ac:dyDescent="0.15">
      <c r="A93" t="s">
        <v>4899</v>
      </c>
      <c r="B93" t="s">
        <v>4901</v>
      </c>
      <c r="C93">
        <v>2016</v>
      </c>
      <c r="D93" t="s">
        <v>4908</v>
      </c>
      <c r="E93">
        <v>27723556</v>
      </c>
    </row>
    <row r="94" spans="1:5" x14ac:dyDescent="0.15">
      <c r="A94" t="s">
        <v>28241</v>
      </c>
      <c r="B94" t="s">
        <v>28243</v>
      </c>
      <c r="C94">
        <v>2012</v>
      </c>
      <c r="D94" t="s">
        <v>28256</v>
      </c>
      <c r="E94">
        <v>22544365</v>
      </c>
    </row>
    <row r="95" spans="1:5" x14ac:dyDescent="0.15">
      <c r="A95" t="s">
        <v>29729</v>
      </c>
      <c r="B95" t="s">
        <v>29731</v>
      </c>
      <c r="C95">
        <v>2018</v>
      </c>
      <c r="D95" t="s">
        <v>29740</v>
      </c>
      <c r="E95">
        <v>30057273</v>
      </c>
    </row>
    <row r="96" spans="1:5" x14ac:dyDescent="0.15">
      <c r="A96" t="s">
        <v>20233</v>
      </c>
      <c r="B96" t="s">
        <v>20235</v>
      </c>
      <c r="C96">
        <v>2015</v>
      </c>
      <c r="D96" t="s">
        <v>20244</v>
      </c>
      <c r="E96">
        <v>26229115</v>
      </c>
    </row>
    <row r="97" spans="1:5" x14ac:dyDescent="0.15">
      <c r="A97" t="s">
        <v>16668</v>
      </c>
      <c r="B97" t="s">
        <v>16670</v>
      </c>
      <c r="C97">
        <v>2018</v>
      </c>
      <c r="D97" t="s">
        <v>16677</v>
      </c>
      <c r="E97">
        <v>30042153</v>
      </c>
    </row>
    <row r="98" spans="1:5" x14ac:dyDescent="0.15">
      <c r="A98" t="s">
        <v>11685</v>
      </c>
      <c r="B98" t="s">
        <v>11687</v>
      </c>
      <c r="C98">
        <v>2017</v>
      </c>
      <c r="D98" t="s">
        <v>11697</v>
      </c>
      <c r="E98">
        <v>28412169</v>
      </c>
    </row>
    <row r="99" spans="1:5" x14ac:dyDescent="0.15">
      <c r="A99" t="s">
        <v>21144</v>
      </c>
      <c r="B99" t="s">
        <v>21146</v>
      </c>
      <c r="C99">
        <v>2011</v>
      </c>
      <c r="D99" t="s">
        <v>21155</v>
      </c>
      <c r="E99">
        <v>21555566</v>
      </c>
    </row>
    <row r="100" spans="1:5" x14ac:dyDescent="0.15">
      <c r="A100" t="s">
        <v>766</v>
      </c>
      <c r="B100" t="s">
        <v>768</v>
      </c>
      <c r="C100">
        <v>2015</v>
      </c>
      <c r="D100" t="s">
        <v>777</v>
      </c>
      <c r="E100">
        <v>26142461</v>
      </c>
    </row>
    <row r="101" spans="1:5" x14ac:dyDescent="0.15">
      <c r="A101" t="s">
        <v>15168</v>
      </c>
      <c r="B101" t="s">
        <v>15170</v>
      </c>
      <c r="C101">
        <v>2017</v>
      </c>
      <c r="D101" t="s">
        <v>15178</v>
      </c>
      <c r="E101">
        <v>29069893</v>
      </c>
    </row>
    <row r="102" spans="1:5" x14ac:dyDescent="0.15">
      <c r="A102" t="s">
        <v>24738</v>
      </c>
      <c r="B102" t="s">
        <v>24740</v>
      </c>
      <c r="C102">
        <v>2018</v>
      </c>
      <c r="D102" t="s">
        <v>24750</v>
      </c>
      <c r="E102">
        <v>29558959</v>
      </c>
    </row>
    <row r="103" spans="1:5" x14ac:dyDescent="0.15">
      <c r="A103" t="s">
        <v>13038</v>
      </c>
      <c r="B103" t="s">
        <v>13040</v>
      </c>
      <c r="C103">
        <v>2017</v>
      </c>
      <c r="D103" t="s">
        <v>13055</v>
      </c>
      <c r="E103">
        <v>27881406</v>
      </c>
    </row>
    <row r="104" spans="1:5" x14ac:dyDescent="0.15">
      <c r="A104" t="s">
        <v>2977</v>
      </c>
      <c r="B104" t="s">
        <v>2979</v>
      </c>
      <c r="C104">
        <v>2013</v>
      </c>
      <c r="D104" t="s">
        <v>2990</v>
      </c>
      <c r="E104">
        <v>23580760</v>
      </c>
    </row>
    <row r="105" spans="1:5" x14ac:dyDescent="0.15">
      <c r="A105" t="s">
        <v>8611</v>
      </c>
      <c r="B105" t="s">
        <v>8613</v>
      </c>
      <c r="C105">
        <v>2018</v>
      </c>
      <c r="D105" t="s">
        <v>8622</v>
      </c>
      <c r="E105">
        <v>29330365</v>
      </c>
    </row>
    <row r="106" spans="1:5" x14ac:dyDescent="0.15">
      <c r="A106" t="s">
        <v>22903</v>
      </c>
      <c r="B106" t="s">
        <v>22905</v>
      </c>
      <c r="C106">
        <v>2015</v>
      </c>
      <c r="D106" t="s">
        <v>22914</v>
      </c>
      <c r="E106">
        <v>26365178</v>
      </c>
    </row>
    <row r="107" spans="1:5" x14ac:dyDescent="0.15">
      <c r="A107" t="s">
        <v>13187</v>
      </c>
      <c r="B107" t="s">
        <v>13189</v>
      </c>
      <c r="C107">
        <v>2016</v>
      </c>
      <c r="D107" t="s">
        <v>13202</v>
      </c>
      <c r="E107">
        <v>26500145</v>
      </c>
    </row>
    <row r="108" spans="1:5" x14ac:dyDescent="0.15">
      <c r="A108" t="s">
        <v>15779</v>
      </c>
      <c r="B108" t="s">
        <v>15781</v>
      </c>
      <c r="C108">
        <v>2018</v>
      </c>
      <c r="D108" t="s">
        <v>15789</v>
      </c>
      <c r="E108">
        <v>29570265</v>
      </c>
    </row>
    <row r="109" spans="1:5" x14ac:dyDescent="0.15">
      <c r="A109" t="s">
        <v>16138</v>
      </c>
      <c r="B109" t="s">
        <v>16140</v>
      </c>
      <c r="C109">
        <v>2018</v>
      </c>
      <c r="D109" t="s">
        <v>16152</v>
      </c>
      <c r="E109">
        <v>29907693</v>
      </c>
    </row>
    <row r="110" spans="1:5" x14ac:dyDescent="0.15">
      <c r="A110" t="s">
        <v>23672</v>
      </c>
      <c r="B110" t="s">
        <v>23674</v>
      </c>
      <c r="C110">
        <v>2015</v>
      </c>
      <c r="D110" t="s">
        <v>23683</v>
      </c>
      <c r="E110">
        <v>26229117</v>
      </c>
    </row>
    <row r="111" spans="1:5" x14ac:dyDescent="0.15">
      <c r="A111" t="s">
        <v>22158</v>
      </c>
      <c r="B111" t="s">
        <v>22160</v>
      </c>
      <c r="C111">
        <v>2016</v>
      </c>
      <c r="D111" t="s">
        <v>22173</v>
      </c>
      <c r="E111">
        <v>27156061</v>
      </c>
    </row>
    <row r="112" spans="1:5" x14ac:dyDescent="0.15">
      <c r="A112" t="s">
        <v>18889</v>
      </c>
      <c r="B112" t="s">
        <v>18891</v>
      </c>
      <c r="C112">
        <v>2013</v>
      </c>
      <c r="D112" t="s">
        <v>18901</v>
      </c>
      <c r="E112">
        <v>24023384</v>
      </c>
    </row>
    <row r="113" spans="1:5" x14ac:dyDescent="0.15">
      <c r="A113" t="s">
        <v>27214</v>
      </c>
      <c r="B113" t="s">
        <v>27215</v>
      </c>
      <c r="C113">
        <v>2000</v>
      </c>
      <c r="D113" t="s">
        <v>27223</v>
      </c>
      <c r="E113">
        <v>10878338</v>
      </c>
    </row>
    <row r="114" spans="1:5" x14ac:dyDescent="0.15">
      <c r="A114" t="s">
        <v>11076</v>
      </c>
      <c r="B114" t="s">
        <v>11078</v>
      </c>
      <c r="C114">
        <v>2011</v>
      </c>
      <c r="D114" t="s">
        <v>11087</v>
      </c>
      <c r="E114">
        <v>22032623</v>
      </c>
    </row>
    <row r="115" spans="1:5" x14ac:dyDescent="0.15">
      <c r="A115" t="s">
        <v>18404</v>
      </c>
      <c r="B115" t="s">
        <v>18406</v>
      </c>
      <c r="C115">
        <v>2015</v>
      </c>
      <c r="D115" t="s">
        <v>18413</v>
      </c>
      <c r="E115">
        <v>26178901</v>
      </c>
    </row>
    <row r="116" spans="1:5" x14ac:dyDescent="0.15">
      <c r="A116" t="s">
        <v>19554</v>
      </c>
      <c r="B116" t="s">
        <v>19556</v>
      </c>
      <c r="C116">
        <v>2012</v>
      </c>
      <c r="D116" t="s">
        <v>19568</v>
      </c>
      <c r="E116">
        <v>21996135</v>
      </c>
    </row>
    <row r="117" spans="1:5" x14ac:dyDescent="0.15">
      <c r="A117" t="s">
        <v>26068</v>
      </c>
      <c r="B117" t="s">
        <v>26069</v>
      </c>
      <c r="C117">
        <v>1991</v>
      </c>
      <c r="D117" t="s">
        <v>26075</v>
      </c>
      <c r="E117">
        <v>1719228</v>
      </c>
    </row>
    <row r="118" spans="1:5" x14ac:dyDescent="0.15">
      <c r="A118" t="s">
        <v>4871</v>
      </c>
      <c r="B118" t="s">
        <v>4873</v>
      </c>
      <c r="C118">
        <v>2017</v>
      </c>
      <c r="D118" t="s">
        <v>4882</v>
      </c>
      <c r="E118">
        <v>28850588</v>
      </c>
    </row>
    <row r="119" spans="1:5" x14ac:dyDescent="0.15">
      <c r="A119" t="s">
        <v>8269</v>
      </c>
      <c r="B119" t="s">
        <v>8271</v>
      </c>
      <c r="C119">
        <v>2014</v>
      </c>
      <c r="D119" t="s">
        <v>8281</v>
      </c>
      <c r="E119">
        <v>24586853</v>
      </c>
    </row>
    <row r="120" spans="1:5" x14ac:dyDescent="0.15">
      <c r="A120" t="s">
        <v>25477</v>
      </c>
      <c r="B120" t="s">
        <v>25478</v>
      </c>
      <c r="C120">
        <v>1996</v>
      </c>
      <c r="D120" t="s">
        <v>25486</v>
      </c>
      <c r="E120">
        <v>8621763</v>
      </c>
    </row>
    <row r="121" spans="1:5" x14ac:dyDescent="0.15">
      <c r="A121" t="s">
        <v>3833</v>
      </c>
      <c r="B121" t="s">
        <v>3835</v>
      </c>
      <c r="C121">
        <v>2017</v>
      </c>
      <c r="D121" t="s">
        <v>3845</v>
      </c>
      <c r="E121">
        <v>28332837</v>
      </c>
    </row>
    <row r="122" spans="1:5" x14ac:dyDescent="0.15">
      <c r="A122" t="s">
        <v>26462</v>
      </c>
      <c r="B122" t="s">
        <v>26463</v>
      </c>
      <c r="C122">
        <v>2004</v>
      </c>
      <c r="D122" t="s">
        <v>26476</v>
      </c>
      <c r="E122">
        <v>15226270</v>
      </c>
    </row>
    <row r="123" spans="1:5" x14ac:dyDescent="0.15">
      <c r="A123" t="s">
        <v>1512</v>
      </c>
      <c r="B123" t="s">
        <v>1514</v>
      </c>
      <c r="C123">
        <v>2012</v>
      </c>
      <c r="D123" t="s">
        <v>1523</v>
      </c>
      <c r="E123">
        <v>24009880</v>
      </c>
    </row>
    <row r="124" spans="1:5" x14ac:dyDescent="0.15">
      <c r="A124" t="s">
        <v>13288</v>
      </c>
      <c r="B124" t="s">
        <v>13290</v>
      </c>
      <c r="C124">
        <v>2017</v>
      </c>
      <c r="D124" t="s">
        <v>13299</v>
      </c>
      <c r="E124">
        <v>28069806</v>
      </c>
    </row>
    <row r="125" spans="1:5" x14ac:dyDescent="0.15">
      <c r="A125" t="s">
        <v>8527</v>
      </c>
      <c r="B125" t="s">
        <v>8529</v>
      </c>
      <c r="C125">
        <v>2017</v>
      </c>
      <c r="D125" t="s">
        <v>8542</v>
      </c>
      <c r="E125">
        <v>28121262</v>
      </c>
    </row>
    <row r="126" spans="1:5" x14ac:dyDescent="0.15">
      <c r="A126" t="s">
        <v>12046</v>
      </c>
      <c r="B126" t="s">
        <v>12048</v>
      </c>
      <c r="C126">
        <v>2012</v>
      </c>
      <c r="D126" t="s">
        <v>12058</v>
      </c>
      <c r="E126">
        <v>22909304</v>
      </c>
    </row>
    <row r="127" spans="1:5" x14ac:dyDescent="0.15">
      <c r="A127" t="s">
        <v>6681</v>
      </c>
      <c r="B127" t="s">
        <v>6683</v>
      </c>
      <c r="C127">
        <v>2018</v>
      </c>
      <c r="D127" t="s">
        <v>6693</v>
      </c>
      <c r="E127">
        <v>29985392</v>
      </c>
    </row>
    <row r="128" spans="1:5" x14ac:dyDescent="0.15">
      <c r="A128" t="s">
        <v>12527</v>
      </c>
      <c r="B128" t="s">
        <v>12529</v>
      </c>
      <c r="C128">
        <v>2018</v>
      </c>
      <c r="D128" t="s">
        <v>12538</v>
      </c>
      <c r="E128">
        <v>29512380</v>
      </c>
    </row>
    <row r="129" spans="1:5" x14ac:dyDescent="0.15">
      <c r="A129" t="s">
        <v>29003</v>
      </c>
      <c r="B129" t="s">
        <v>29005</v>
      </c>
      <c r="C129">
        <v>2008</v>
      </c>
      <c r="D129" t="s">
        <v>29014</v>
      </c>
      <c r="E129">
        <v>17932498</v>
      </c>
    </row>
    <row r="130" spans="1:5" x14ac:dyDescent="0.15">
      <c r="A130" t="s">
        <v>14595</v>
      </c>
      <c r="B130" t="s">
        <v>14596</v>
      </c>
      <c r="C130">
        <v>1995</v>
      </c>
      <c r="D130" t="s">
        <v>14605</v>
      </c>
      <c r="E130">
        <v>7573686</v>
      </c>
    </row>
    <row r="131" spans="1:5" x14ac:dyDescent="0.15">
      <c r="A131" t="s">
        <v>15994</v>
      </c>
      <c r="B131" t="s">
        <v>15995</v>
      </c>
      <c r="C131">
        <v>2005</v>
      </c>
      <c r="D131" t="s">
        <v>16005</v>
      </c>
      <c r="E131">
        <v>16107606</v>
      </c>
    </row>
    <row r="132" spans="1:5" x14ac:dyDescent="0.15">
      <c r="A132" t="s">
        <v>21576</v>
      </c>
      <c r="B132" t="s">
        <v>21578</v>
      </c>
      <c r="C132">
        <v>2017</v>
      </c>
      <c r="D132" t="s">
        <v>21587</v>
      </c>
      <c r="E132">
        <v>29084979</v>
      </c>
    </row>
    <row r="133" spans="1:5" x14ac:dyDescent="0.15">
      <c r="A133" t="s">
        <v>21235</v>
      </c>
      <c r="B133" t="s">
        <v>21237</v>
      </c>
      <c r="C133">
        <v>2015</v>
      </c>
      <c r="D133" t="s">
        <v>21244</v>
      </c>
      <c r="E133">
        <v>25908243</v>
      </c>
    </row>
    <row r="134" spans="1:5" x14ac:dyDescent="0.15">
      <c r="A134" t="s">
        <v>28905</v>
      </c>
      <c r="B134" t="s">
        <v>28907</v>
      </c>
      <c r="C134">
        <v>2013</v>
      </c>
      <c r="D134" t="s">
        <v>28914</v>
      </c>
      <c r="E134">
        <v>23720728</v>
      </c>
    </row>
    <row r="135" spans="1:5" x14ac:dyDescent="0.15">
      <c r="A135" t="s">
        <v>8513</v>
      </c>
      <c r="B135" t="s">
        <v>8515</v>
      </c>
      <c r="C135">
        <v>2017</v>
      </c>
      <c r="D135" t="s">
        <v>8525</v>
      </c>
      <c r="E135">
        <v>28765539</v>
      </c>
    </row>
    <row r="136" spans="1:5" x14ac:dyDescent="0.15">
      <c r="A136" t="s">
        <v>10160</v>
      </c>
      <c r="B136" t="s">
        <v>10162</v>
      </c>
      <c r="C136">
        <v>2017</v>
      </c>
      <c r="D136" t="s">
        <v>10173</v>
      </c>
      <c r="E136">
        <v>28966872</v>
      </c>
    </row>
    <row r="137" spans="1:5" x14ac:dyDescent="0.15">
      <c r="A137" t="s">
        <v>25821</v>
      </c>
      <c r="B137" t="s">
        <v>25823</v>
      </c>
      <c r="C137">
        <v>2015</v>
      </c>
      <c r="D137" t="s">
        <v>25832</v>
      </c>
      <c r="E137">
        <v>25900080</v>
      </c>
    </row>
    <row r="138" spans="1:5" x14ac:dyDescent="0.15">
      <c r="A138" t="s">
        <v>26283</v>
      </c>
      <c r="B138" t="s">
        <v>26284</v>
      </c>
      <c r="C138">
        <v>2004</v>
      </c>
      <c r="D138" t="s">
        <v>26296</v>
      </c>
      <c r="E138">
        <v>16120427</v>
      </c>
    </row>
    <row r="139" spans="1:5" x14ac:dyDescent="0.15">
      <c r="A139" t="s">
        <v>26692</v>
      </c>
      <c r="B139" t="s">
        <v>26694</v>
      </c>
      <c r="C139">
        <v>2015</v>
      </c>
      <c r="D139" t="s">
        <v>26704</v>
      </c>
      <c r="E139">
        <v>26201019</v>
      </c>
    </row>
    <row r="140" spans="1:5" x14ac:dyDescent="0.15">
      <c r="A140" t="s">
        <v>11037</v>
      </c>
      <c r="B140" t="s">
        <v>11039</v>
      </c>
      <c r="C140">
        <v>2016</v>
      </c>
      <c r="D140" t="s">
        <v>11048</v>
      </c>
      <c r="E140">
        <v>26681674</v>
      </c>
    </row>
    <row r="141" spans="1:5" x14ac:dyDescent="0.15">
      <c r="A141" t="s">
        <v>29992</v>
      </c>
      <c r="B141" t="s">
        <v>29993</v>
      </c>
      <c r="C141">
        <v>1996</v>
      </c>
      <c r="D141" t="s">
        <v>29999</v>
      </c>
      <c r="E141">
        <v>8631669</v>
      </c>
    </row>
    <row r="142" spans="1:5" x14ac:dyDescent="0.15">
      <c r="A142" t="s">
        <v>3814</v>
      </c>
      <c r="B142" t="s">
        <v>3816</v>
      </c>
      <c r="C142">
        <v>2016</v>
      </c>
      <c r="D142" t="s">
        <v>3829</v>
      </c>
      <c r="E142">
        <v>27041495</v>
      </c>
    </row>
    <row r="143" spans="1:5" x14ac:dyDescent="0.15">
      <c r="A143" t="s">
        <v>6093</v>
      </c>
      <c r="B143" t="s">
        <v>6095</v>
      </c>
      <c r="C143">
        <v>2017</v>
      </c>
      <c r="D143" t="s">
        <v>6105</v>
      </c>
      <c r="E143">
        <v>28743887</v>
      </c>
    </row>
    <row r="144" spans="1:5" x14ac:dyDescent="0.15">
      <c r="A144" t="s">
        <v>2641</v>
      </c>
      <c r="B144" t="s">
        <v>2643</v>
      </c>
      <c r="C144">
        <v>2016</v>
      </c>
      <c r="D144" t="s">
        <v>2655</v>
      </c>
      <c r="E144">
        <v>27150009</v>
      </c>
    </row>
    <row r="145" spans="1:5" x14ac:dyDescent="0.15">
      <c r="A145" t="s">
        <v>19430</v>
      </c>
      <c r="B145" t="s">
        <v>19432</v>
      </c>
      <c r="C145">
        <v>2020</v>
      </c>
      <c r="D145" t="s">
        <v>19442</v>
      </c>
      <c r="E145">
        <v>31957088</v>
      </c>
    </row>
    <row r="146" spans="1:5" x14ac:dyDescent="0.15">
      <c r="A146" t="s">
        <v>26013</v>
      </c>
      <c r="B146" t="s">
        <v>26014</v>
      </c>
      <c r="C146">
        <v>2001</v>
      </c>
      <c r="D146" t="s">
        <v>26023</v>
      </c>
      <c r="E146">
        <v>11352238</v>
      </c>
    </row>
    <row r="147" spans="1:5" x14ac:dyDescent="0.15">
      <c r="A147" t="s">
        <v>28480</v>
      </c>
      <c r="B147" t="s">
        <v>28482</v>
      </c>
      <c r="C147">
        <v>2015</v>
      </c>
      <c r="D147" t="s">
        <v>28490</v>
      </c>
      <c r="E147">
        <v>25690152</v>
      </c>
    </row>
    <row r="148" spans="1:5" x14ac:dyDescent="0.15">
      <c r="A148" t="s">
        <v>16996</v>
      </c>
      <c r="B148" t="s">
        <v>16997</v>
      </c>
      <c r="C148">
        <v>1991</v>
      </c>
      <c r="D148" t="s">
        <v>17004</v>
      </c>
      <c r="E148">
        <v>1991793</v>
      </c>
    </row>
    <row r="149" spans="1:5" x14ac:dyDescent="0.15">
      <c r="A149" t="s">
        <v>2066</v>
      </c>
      <c r="B149" t="s">
        <v>2068</v>
      </c>
      <c r="C149">
        <v>2016</v>
      </c>
      <c r="D149" t="s">
        <v>2082</v>
      </c>
      <c r="E149">
        <v>27436038</v>
      </c>
    </row>
    <row r="150" spans="1:5" x14ac:dyDescent="0.15">
      <c r="A150" t="s">
        <v>22715</v>
      </c>
      <c r="B150" t="s">
        <v>22717</v>
      </c>
      <c r="C150">
        <v>2014</v>
      </c>
      <c r="D150" t="s">
        <v>22728</v>
      </c>
      <c r="E150">
        <v>24979780</v>
      </c>
    </row>
    <row r="151" spans="1:5" x14ac:dyDescent="0.15">
      <c r="A151" t="s">
        <v>6042</v>
      </c>
      <c r="B151" t="s">
        <v>6044</v>
      </c>
      <c r="C151">
        <v>2014</v>
      </c>
      <c r="D151" t="s">
        <v>6053</v>
      </c>
      <c r="E151">
        <v>25086355</v>
      </c>
    </row>
    <row r="152" spans="1:5" x14ac:dyDescent="0.15">
      <c r="A152" t="s">
        <v>22790</v>
      </c>
      <c r="B152" t="s">
        <v>22791</v>
      </c>
      <c r="C152">
        <v>1995</v>
      </c>
      <c r="D152" t="s">
        <v>22797</v>
      </c>
      <c r="E152">
        <v>7592648</v>
      </c>
    </row>
    <row r="153" spans="1:5" x14ac:dyDescent="0.15">
      <c r="A153" t="s">
        <v>25678</v>
      </c>
      <c r="B153" t="s">
        <v>25679</v>
      </c>
      <c r="C153">
        <v>2002</v>
      </c>
      <c r="D153" t="s">
        <v>25686</v>
      </c>
      <c r="E153">
        <v>12043869</v>
      </c>
    </row>
    <row r="154" spans="1:5" x14ac:dyDescent="0.15">
      <c r="A154" t="s">
        <v>833</v>
      </c>
      <c r="B154" t="s">
        <v>835</v>
      </c>
      <c r="C154">
        <v>2017</v>
      </c>
      <c r="D154" t="s">
        <v>847</v>
      </c>
      <c r="E154">
        <v>27902458</v>
      </c>
    </row>
    <row r="155" spans="1:5" x14ac:dyDescent="0.15">
      <c r="A155" t="s">
        <v>14129</v>
      </c>
      <c r="B155" t="s">
        <v>14131</v>
      </c>
      <c r="C155">
        <v>2014</v>
      </c>
      <c r="D155" t="s">
        <v>14141</v>
      </c>
      <c r="E155">
        <v>25368198</v>
      </c>
    </row>
    <row r="156" spans="1:5" x14ac:dyDescent="0.15">
      <c r="A156" t="s">
        <v>1665</v>
      </c>
      <c r="B156" t="s">
        <v>1667</v>
      </c>
      <c r="C156">
        <v>2018</v>
      </c>
      <c r="D156" t="s">
        <v>1679</v>
      </c>
      <c r="E156">
        <v>29763932</v>
      </c>
    </row>
    <row r="157" spans="1:5" x14ac:dyDescent="0.15">
      <c r="A157" t="s">
        <v>14327</v>
      </c>
      <c r="B157" t="s">
        <v>14329</v>
      </c>
      <c r="C157">
        <v>2009</v>
      </c>
      <c r="D157" t="s">
        <v>14336</v>
      </c>
      <c r="E157">
        <v>18987139</v>
      </c>
    </row>
    <row r="158" spans="1:5" x14ac:dyDescent="0.15">
      <c r="A158" t="s">
        <v>26311</v>
      </c>
      <c r="B158" t="s">
        <v>26312</v>
      </c>
      <c r="C158">
        <v>1991</v>
      </c>
      <c r="D158" t="s">
        <v>26319</v>
      </c>
      <c r="E158">
        <v>1846881</v>
      </c>
    </row>
    <row r="159" spans="1:5" x14ac:dyDescent="0.15">
      <c r="A159" t="s">
        <v>6316</v>
      </c>
      <c r="B159" t="s">
        <v>6318</v>
      </c>
      <c r="C159">
        <v>2017</v>
      </c>
      <c r="D159" t="s">
        <v>6330</v>
      </c>
      <c r="E159">
        <v>29047044</v>
      </c>
    </row>
    <row r="160" spans="1:5" x14ac:dyDescent="0.15">
      <c r="A160" t="s">
        <v>17348</v>
      </c>
      <c r="B160" t="s">
        <v>17350</v>
      </c>
      <c r="C160">
        <v>2018</v>
      </c>
      <c r="D160" t="s">
        <v>17359</v>
      </c>
      <c r="E160">
        <v>29216356</v>
      </c>
    </row>
    <row r="161" spans="1:5" x14ac:dyDescent="0.15">
      <c r="A161" t="s">
        <v>1172</v>
      </c>
      <c r="B161" t="s">
        <v>1174</v>
      </c>
      <c r="C161">
        <v>2012</v>
      </c>
      <c r="D161" t="s">
        <v>1184</v>
      </c>
      <c r="E161">
        <v>24009887</v>
      </c>
    </row>
    <row r="162" spans="1:5" x14ac:dyDescent="0.15">
      <c r="A162" t="s">
        <v>5316</v>
      </c>
      <c r="B162" t="s">
        <v>5318</v>
      </c>
      <c r="C162">
        <v>2015</v>
      </c>
      <c r="D162" t="s">
        <v>5326</v>
      </c>
      <c r="E162">
        <v>25988257</v>
      </c>
    </row>
    <row r="163" spans="1:5" x14ac:dyDescent="0.15">
      <c r="A163" t="s">
        <v>27362</v>
      </c>
      <c r="B163" t="s">
        <v>27363</v>
      </c>
      <c r="C163">
        <v>2004</v>
      </c>
      <c r="D163" t="s">
        <v>27372</v>
      </c>
      <c r="E163">
        <v>14742549</v>
      </c>
    </row>
    <row r="164" spans="1:5" x14ac:dyDescent="0.15">
      <c r="A164" t="s">
        <v>29056</v>
      </c>
      <c r="B164" t="s">
        <v>29058</v>
      </c>
      <c r="C164">
        <v>2013</v>
      </c>
      <c r="D164" t="s">
        <v>29064</v>
      </c>
      <c r="E164">
        <v>23388709</v>
      </c>
    </row>
    <row r="165" spans="1:5" x14ac:dyDescent="0.15">
      <c r="A165" t="s">
        <v>21347</v>
      </c>
      <c r="B165" t="s">
        <v>21349</v>
      </c>
      <c r="C165">
        <v>2018</v>
      </c>
      <c r="D165" t="s">
        <v>21357</v>
      </c>
      <c r="E165">
        <v>29973048</v>
      </c>
    </row>
    <row r="166" spans="1:5" x14ac:dyDescent="0.15">
      <c r="A166" t="s">
        <v>3715</v>
      </c>
      <c r="B166" t="s">
        <v>3717</v>
      </c>
      <c r="C166">
        <v>2017</v>
      </c>
      <c r="D166" t="s">
        <v>3727</v>
      </c>
      <c r="E166">
        <v>29109780</v>
      </c>
    </row>
    <row r="167" spans="1:5" x14ac:dyDescent="0.15">
      <c r="A167" t="s">
        <v>12168</v>
      </c>
      <c r="B167" t="s">
        <v>12170</v>
      </c>
      <c r="C167">
        <v>2017</v>
      </c>
      <c r="D167" t="s">
        <v>12178</v>
      </c>
      <c r="E167">
        <v>29139297</v>
      </c>
    </row>
    <row r="168" spans="1:5" x14ac:dyDescent="0.15">
      <c r="A168" t="s">
        <v>15983</v>
      </c>
      <c r="B168" t="s">
        <v>15985</v>
      </c>
      <c r="C168">
        <v>2018</v>
      </c>
      <c r="D168" t="s">
        <v>15992</v>
      </c>
      <c r="E168">
        <v>29045505</v>
      </c>
    </row>
    <row r="169" spans="1:5" x14ac:dyDescent="0.15">
      <c r="A169" t="s">
        <v>28406</v>
      </c>
      <c r="B169" t="s">
        <v>28408</v>
      </c>
      <c r="C169">
        <v>2018</v>
      </c>
      <c r="D169" t="s">
        <v>28418</v>
      </c>
      <c r="E169">
        <v>29415469</v>
      </c>
    </row>
    <row r="170" spans="1:5" x14ac:dyDescent="0.15">
      <c r="A170" t="s">
        <v>3479</v>
      </c>
      <c r="B170" t="s">
        <v>3481</v>
      </c>
      <c r="C170">
        <v>2016</v>
      </c>
      <c r="D170" t="s">
        <v>3490</v>
      </c>
      <c r="E170">
        <v>27363026</v>
      </c>
    </row>
    <row r="171" spans="1:5" x14ac:dyDescent="0.15">
      <c r="A171" t="s">
        <v>29935</v>
      </c>
      <c r="B171" t="s">
        <v>29936</v>
      </c>
      <c r="C171">
        <v>1997</v>
      </c>
      <c r="D171" t="s">
        <v>29941</v>
      </c>
      <c r="E171">
        <v>9009336</v>
      </c>
    </row>
    <row r="172" spans="1:5" x14ac:dyDescent="0.15">
      <c r="A172" t="s">
        <v>13084</v>
      </c>
      <c r="B172" t="s">
        <v>13086</v>
      </c>
      <c r="C172">
        <v>2016</v>
      </c>
      <c r="D172" t="s">
        <v>13095</v>
      </c>
      <c r="E172">
        <v>26603257</v>
      </c>
    </row>
    <row r="173" spans="1:5" x14ac:dyDescent="0.15">
      <c r="A173" t="s">
        <v>24065</v>
      </c>
      <c r="B173" t="s">
        <v>24067</v>
      </c>
      <c r="C173">
        <v>2013</v>
      </c>
      <c r="D173" t="s">
        <v>24077</v>
      </c>
      <c r="E173">
        <v>23874201</v>
      </c>
    </row>
    <row r="174" spans="1:5" x14ac:dyDescent="0.15">
      <c r="A174" t="s">
        <v>18511</v>
      </c>
      <c r="B174" t="s">
        <v>18513</v>
      </c>
      <c r="C174">
        <v>2018</v>
      </c>
      <c r="D174" t="s">
        <v>18521</v>
      </c>
      <c r="E174">
        <v>29121557</v>
      </c>
    </row>
    <row r="175" spans="1:5" x14ac:dyDescent="0.15">
      <c r="A175" t="s">
        <v>21208</v>
      </c>
      <c r="B175" t="s">
        <v>21210</v>
      </c>
      <c r="C175">
        <v>2010</v>
      </c>
      <c r="D175" t="s">
        <v>21221</v>
      </c>
      <c r="E175">
        <v>20823220</v>
      </c>
    </row>
    <row r="176" spans="1:5" x14ac:dyDescent="0.15">
      <c r="A176" t="s">
        <v>1032</v>
      </c>
      <c r="B176" t="s">
        <v>1034</v>
      </c>
      <c r="C176">
        <v>2019</v>
      </c>
      <c r="D176" t="s">
        <v>1046</v>
      </c>
      <c r="E176">
        <v>30789261</v>
      </c>
    </row>
    <row r="177" spans="1:5" x14ac:dyDescent="0.15">
      <c r="A177" t="s">
        <v>5232</v>
      </c>
      <c r="B177" t="s">
        <v>5234</v>
      </c>
      <c r="C177">
        <v>2017</v>
      </c>
      <c r="D177" t="s">
        <v>5244</v>
      </c>
      <c r="E177">
        <v>28453784</v>
      </c>
    </row>
    <row r="178" spans="1:5" x14ac:dyDescent="0.15">
      <c r="A178" t="s">
        <v>13340</v>
      </c>
      <c r="B178" t="s">
        <v>13342</v>
      </c>
      <c r="C178">
        <v>2010</v>
      </c>
      <c r="D178" t="s">
        <v>13349</v>
      </c>
      <c r="E178">
        <v>20370819</v>
      </c>
    </row>
    <row r="179" spans="1:5" x14ac:dyDescent="0.15">
      <c r="A179" t="s">
        <v>23405</v>
      </c>
      <c r="B179" t="s">
        <v>23407</v>
      </c>
      <c r="C179">
        <v>2016</v>
      </c>
      <c r="D179" t="s">
        <v>23415</v>
      </c>
      <c r="E179">
        <v>27443190</v>
      </c>
    </row>
    <row r="180" spans="1:5" x14ac:dyDescent="0.15">
      <c r="A180" t="s">
        <v>10501</v>
      </c>
      <c r="B180" t="s">
        <v>10503</v>
      </c>
      <c r="C180">
        <v>2014</v>
      </c>
      <c r="D180" t="s">
        <v>10512</v>
      </c>
      <c r="E180">
        <v>24939845</v>
      </c>
    </row>
    <row r="181" spans="1:5" x14ac:dyDescent="0.15">
      <c r="A181" t="s">
        <v>21949</v>
      </c>
      <c r="B181" t="s">
        <v>21951</v>
      </c>
      <c r="C181">
        <v>2012</v>
      </c>
      <c r="D181" t="s">
        <v>21962</v>
      </c>
      <c r="E181">
        <v>23041543</v>
      </c>
    </row>
    <row r="182" spans="1:5" x14ac:dyDescent="0.15">
      <c r="A182" t="s">
        <v>21435</v>
      </c>
      <c r="B182" t="s">
        <v>21437</v>
      </c>
      <c r="C182">
        <v>2017</v>
      </c>
      <c r="D182" t="s">
        <v>21450</v>
      </c>
      <c r="E182">
        <v>28409562</v>
      </c>
    </row>
    <row r="183" spans="1:5" x14ac:dyDescent="0.15">
      <c r="A183" t="s">
        <v>22772</v>
      </c>
      <c r="B183" t="s">
        <v>22774</v>
      </c>
      <c r="C183">
        <v>2017</v>
      </c>
      <c r="D183" t="s">
        <v>22786</v>
      </c>
      <c r="E183">
        <v>28650960</v>
      </c>
    </row>
    <row r="184" spans="1:5" x14ac:dyDescent="0.15">
      <c r="A184" t="s">
        <v>24982</v>
      </c>
      <c r="B184" t="s">
        <v>24983</v>
      </c>
      <c r="C184">
        <v>1995</v>
      </c>
      <c r="D184" t="s">
        <v>24988</v>
      </c>
      <c r="E184">
        <v>7794889</v>
      </c>
    </row>
    <row r="185" spans="1:5" x14ac:dyDescent="0.15">
      <c r="A185" t="s">
        <v>22282</v>
      </c>
      <c r="B185" t="s">
        <v>22284</v>
      </c>
      <c r="C185">
        <v>2015</v>
      </c>
      <c r="D185" t="s">
        <v>22296</v>
      </c>
      <c r="E185">
        <v>26488306</v>
      </c>
    </row>
    <row r="186" spans="1:5" x14ac:dyDescent="0.15">
      <c r="A186" t="s">
        <v>12800</v>
      </c>
      <c r="B186" t="s">
        <v>12802</v>
      </c>
      <c r="C186">
        <v>2014</v>
      </c>
      <c r="D186" t="s">
        <v>12810</v>
      </c>
      <c r="E186">
        <v>24831807</v>
      </c>
    </row>
    <row r="187" spans="1:5" x14ac:dyDescent="0.15">
      <c r="A187" t="s">
        <v>19161</v>
      </c>
      <c r="B187" t="s">
        <v>19163</v>
      </c>
      <c r="C187">
        <v>2017</v>
      </c>
      <c r="D187" t="s">
        <v>19175</v>
      </c>
      <c r="E187">
        <v>28643865</v>
      </c>
    </row>
    <row r="188" spans="1:5" x14ac:dyDescent="0.15">
      <c r="A188" t="s">
        <v>9662</v>
      </c>
      <c r="B188" t="s">
        <v>9664</v>
      </c>
      <c r="C188">
        <v>2016</v>
      </c>
      <c r="D188" t="s">
        <v>9674</v>
      </c>
      <c r="E188">
        <v>27006994</v>
      </c>
    </row>
    <row r="189" spans="1:5" x14ac:dyDescent="0.15">
      <c r="A189" t="s">
        <v>18027</v>
      </c>
      <c r="B189" t="s">
        <v>18029</v>
      </c>
      <c r="C189">
        <v>2014</v>
      </c>
      <c r="D189" t="s">
        <v>18036</v>
      </c>
      <c r="E189">
        <v>24406730</v>
      </c>
    </row>
    <row r="190" spans="1:5" x14ac:dyDescent="0.15">
      <c r="A190" t="s">
        <v>18263</v>
      </c>
      <c r="B190" t="s">
        <v>18265</v>
      </c>
      <c r="C190">
        <v>2016</v>
      </c>
      <c r="D190" t="s">
        <v>18273</v>
      </c>
      <c r="E190">
        <v>27941871</v>
      </c>
    </row>
    <row r="191" spans="1:5" x14ac:dyDescent="0.15">
      <c r="A191" t="s">
        <v>22341</v>
      </c>
      <c r="B191" t="s">
        <v>22343</v>
      </c>
      <c r="C191">
        <v>2014</v>
      </c>
      <c r="D191" t="s">
        <v>22353</v>
      </c>
      <c r="E191">
        <v>24573314</v>
      </c>
    </row>
    <row r="192" spans="1:5" x14ac:dyDescent="0.15">
      <c r="A192" t="s">
        <v>27292</v>
      </c>
      <c r="B192" t="s">
        <v>27293</v>
      </c>
      <c r="C192">
        <v>1999</v>
      </c>
      <c r="D192" t="s">
        <v>27306</v>
      </c>
      <c r="E192">
        <v>10508681</v>
      </c>
    </row>
    <row r="193" spans="1:5" x14ac:dyDescent="0.15">
      <c r="A193" t="s">
        <v>23847</v>
      </c>
      <c r="B193" t="s">
        <v>23848</v>
      </c>
      <c r="C193">
        <v>2005</v>
      </c>
      <c r="D193" t="s">
        <v>23858</v>
      </c>
      <c r="E193">
        <v>16275924</v>
      </c>
    </row>
    <row r="194" spans="1:5" x14ac:dyDescent="0.15">
      <c r="A194" t="s">
        <v>24652</v>
      </c>
      <c r="B194" t="s">
        <v>24654</v>
      </c>
      <c r="C194">
        <v>2016</v>
      </c>
      <c r="D194" t="s">
        <v>24663</v>
      </c>
      <c r="E194">
        <v>26979400</v>
      </c>
    </row>
    <row r="195" spans="1:5" x14ac:dyDescent="0.15">
      <c r="A195" t="s">
        <v>28762</v>
      </c>
      <c r="B195" t="s">
        <v>28764</v>
      </c>
      <c r="C195">
        <v>2018</v>
      </c>
      <c r="D195" t="s">
        <v>28773</v>
      </c>
      <c r="E195">
        <v>29930011</v>
      </c>
    </row>
    <row r="196" spans="1:5" x14ac:dyDescent="0.15">
      <c r="A196" t="s">
        <v>7357</v>
      </c>
      <c r="B196" t="s">
        <v>7359</v>
      </c>
      <c r="C196">
        <v>2015</v>
      </c>
      <c r="D196" t="s">
        <v>7370</v>
      </c>
      <c r="E196">
        <v>25772109</v>
      </c>
    </row>
    <row r="197" spans="1:5" x14ac:dyDescent="0.15">
      <c r="A197" t="s">
        <v>16885</v>
      </c>
      <c r="B197" t="s">
        <v>16887</v>
      </c>
      <c r="C197">
        <v>2010</v>
      </c>
      <c r="D197" t="s">
        <v>16896</v>
      </c>
      <c r="E197">
        <v>20090836</v>
      </c>
    </row>
    <row r="198" spans="1:5" x14ac:dyDescent="0.15">
      <c r="A198" t="s">
        <v>25429</v>
      </c>
      <c r="B198" t="s">
        <v>25431</v>
      </c>
      <c r="C198">
        <v>2018</v>
      </c>
      <c r="D198" t="s">
        <v>25441</v>
      </c>
      <c r="E198">
        <v>29278659</v>
      </c>
    </row>
    <row r="199" spans="1:5" x14ac:dyDescent="0.15">
      <c r="A199" t="s">
        <v>26872</v>
      </c>
      <c r="B199" t="s">
        <v>26874</v>
      </c>
      <c r="C199">
        <v>2015</v>
      </c>
      <c r="D199" t="s">
        <v>26883</v>
      </c>
      <c r="E199">
        <v>24572141</v>
      </c>
    </row>
    <row r="200" spans="1:5" x14ac:dyDescent="0.15">
      <c r="A200" t="s">
        <v>2387</v>
      </c>
      <c r="B200" t="s">
        <v>2389</v>
      </c>
      <c r="C200">
        <v>2019</v>
      </c>
      <c r="D200" t="s">
        <v>2403</v>
      </c>
      <c r="E200">
        <v>31219742</v>
      </c>
    </row>
    <row r="201" spans="1:5" x14ac:dyDescent="0.15">
      <c r="A201" t="s">
        <v>2895</v>
      </c>
      <c r="B201" t="s">
        <v>2897</v>
      </c>
      <c r="C201">
        <v>2016</v>
      </c>
      <c r="D201" t="s">
        <v>2908</v>
      </c>
      <c r="E201">
        <v>27305142</v>
      </c>
    </row>
    <row r="202" spans="1:5" x14ac:dyDescent="0.15">
      <c r="A202" t="s">
        <v>6836</v>
      </c>
      <c r="B202" t="s">
        <v>6838</v>
      </c>
      <c r="C202">
        <v>2015</v>
      </c>
      <c r="D202" t="s">
        <v>6848</v>
      </c>
      <c r="E202">
        <v>25611733</v>
      </c>
    </row>
    <row r="203" spans="1:5" x14ac:dyDescent="0.15">
      <c r="A203" t="s">
        <v>10986</v>
      </c>
      <c r="B203" t="s">
        <v>10988</v>
      </c>
      <c r="C203">
        <v>2019</v>
      </c>
      <c r="D203" t="s">
        <v>10996</v>
      </c>
      <c r="E203">
        <v>31799396</v>
      </c>
    </row>
    <row r="204" spans="1:5" x14ac:dyDescent="0.15">
      <c r="A204" t="s">
        <v>17874</v>
      </c>
      <c r="B204" t="s">
        <v>17876</v>
      </c>
      <c r="C204">
        <v>2013</v>
      </c>
      <c r="D204" t="s">
        <v>17886</v>
      </c>
      <c r="E204">
        <v>23620794</v>
      </c>
    </row>
    <row r="205" spans="1:5" x14ac:dyDescent="0.15">
      <c r="A205" t="s">
        <v>18608</v>
      </c>
      <c r="B205" t="s">
        <v>18610</v>
      </c>
      <c r="C205">
        <v>2009</v>
      </c>
      <c r="D205" t="s">
        <v>18620</v>
      </c>
      <c r="E205">
        <v>19483673</v>
      </c>
    </row>
    <row r="206" spans="1:5" x14ac:dyDescent="0.15">
      <c r="A206" t="s">
        <v>15913</v>
      </c>
      <c r="B206" t="s">
        <v>15915</v>
      </c>
      <c r="C206">
        <v>2014</v>
      </c>
      <c r="D206" t="s">
        <v>15925</v>
      </c>
      <c r="E206">
        <v>24992257</v>
      </c>
    </row>
    <row r="207" spans="1:5" x14ac:dyDescent="0.15">
      <c r="A207" t="s">
        <v>23952</v>
      </c>
      <c r="B207" t="s">
        <v>23954</v>
      </c>
      <c r="C207">
        <v>2015</v>
      </c>
      <c r="D207" t="s">
        <v>23965</v>
      </c>
      <c r="E207">
        <v>25040043</v>
      </c>
    </row>
    <row r="208" spans="1:5" x14ac:dyDescent="0.15">
      <c r="A208" t="s">
        <v>26784</v>
      </c>
      <c r="B208" t="s">
        <v>26786</v>
      </c>
      <c r="C208">
        <v>2017</v>
      </c>
      <c r="D208" t="s">
        <v>26800</v>
      </c>
      <c r="E208" t="s">
        <v>74</v>
      </c>
    </row>
    <row r="209" spans="1:5" x14ac:dyDescent="0.15">
      <c r="A209" t="s">
        <v>17426</v>
      </c>
      <c r="B209" t="s">
        <v>17428</v>
      </c>
      <c r="C209">
        <v>2019</v>
      </c>
      <c r="D209" t="s">
        <v>17439</v>
      </c>
      <c r="E209">
        <v>30992025</v>
      </c>
    </row>
    <row r="210" spans="1:5" x14ac:dyDescent="0.15">
      <c r="A210" t="s">
        <v>17683</v>
      </c>
      <c r="B210" t="s">
        <v>17685</v>
      </c>
      <c r="C210">
        <v>2016</v>
      </c>
      <c r="D210" t="s">
        <v>17697</v>
      </c>
      <c r="E210">
        <v>26768848</v>
      </c>
    </row>
    <row r="211" spans="1:5" x14ac:dyDescent="0.15">
      <c r="A211" t="s">
        <v>19822</v>
      </c>
      <c r="B211" t="s">
        <v>19824</v>
      </c>
      <c r="C211">
        <v>2015</v>
      </c>
      <c r="D211" t="s">
        <v>19833</v>
      </c>
      <c r="E211">
        <v>26431329</v>
      </c>
    </row>
    <row r="212" spans="1:5" x14ac:dyDescent="0.15">
      <c r="A212" t="s">
        <v>23615</v>
      </c>
      <c r="B212" t="s">
        <v>23617</v>
      </c>
      <c r="C212">
        <v>2018</v>
      </c>
      <c r="D212" t="s">
        <v>23626</v>
      </c>
      <c r="E212" t="s">
        <v>74</v>
      </c>
    </row>
    <row r="213" spans="1:5" x14ac:dyDescent="0.15">
      <c r="A213" t="s">
        <v>27575</v>
      </c>
      <c r="B213" t="s">
        <v>27576</v>
      </c>
      <c r="C213">
        <v>1994</v>
      </c>
      <c r="D213" t="s">
        <v>27585</v>
      </c>
      <c r="E213">
        <v>8282779</v>
      </c>
    </row>
    <row r="214" spans="1:5" x14ac:dyDescent="0.15">
      <c r="A214" t="s">
        <v>517</v>
      </c>
      <c r="B214" t="s">
        <v>519</v>
      </c>
      <c r="C214">
        <v>2016</v>
      </c>
      <c r="D214" t="s">
        <v>532</v>
      </c>
      <c r="E214">
        <v>27394168</v>
      </c>
    </row>
    <row r="215" spans="1:5" x14ac:dyDescent="0.15">
      <c r="A215" t="s">
        <v>14046</v>
      </c>
      <c r="B215" t="s">
        <v>14048</v>
      </c>
      <c r="C215">
        <v>2014</v>
      </c>
      <c r="D215" t="s">
        <v>14055</v>
      </c>
      <c r="E215">
        <v>25407601</v>
      </c>
    </row>
    <row r="216" spans="1:5" x14ac:dyDescent="0.15">
      <c r="A216" t="s">
        <v>16866</v>
      </c>
      <c r="B216" t="s">
        <v>16868</v>
      </c>
      <c r="C216">
        <v>2007</v>
      </c>
      <c r="D216" t="s">
        <v>16882</v>
      </c>
      <c r="E216">
        <v>17158353</v>
      </c>
    </row>
    <row r="217" spans="1:5" x14ac:dyDescent="0.15">
      <c r="A217" t="s">
        <v>11838</v>
      </c>
      <c r="B217" t="s">
        <v>11840</v>
      </c>
      <c r="C217">
        <v>2015</v>
      </c>
      <c r="D217" t="s">
        <v>11851</v>
      </c>
      <c r="E217">
        <v>26172304</v>
      </c>
    </row>
    <row r="218" spans="1:5" x14ac:dyDescent="0.15">
      <c r="A218" t="s">
        <v>13661</v>
      </c>
      <c r="B218" t="s">
        <v>13663</v>
      </c>
      <c r="C218">
        <v>2019</v>
      </c>
      <c r="D218" t="s">
        <v>13673</v>
      </c>
      <c r="E218">
        <v>31451692</v>
      </c>
    </row>
    <row r="219" spans="1:5" x14ac:dyDescent="0.15">
      <c r="A219" t="s">
        <v>14569</v>
      </c>
      <c r="B219" t="s">
        <v>14571</v>
      </c>
      <c r="C219">
        <v>2018</v>
      </c>
      <c r="D219" t="s">
        <v>14581</v>
      </c>
      <c r="E219">
        <v>30102952</v>
      </c>
    </row>
    <row r="220" spans="1:5" x14ac:dyDescent="0.15">
      <c r="A220" t="s">
        <v>19640</v>
      </c>
      <c r="B220" t="s">
        <v>19642</v>
      </c>
      <c r="C220">
        <v>2014</v>
      </c>
      <c r="D220" t="s">
        <v>19655</v>
      </c>
      <c r="E220">
        <v>24834468</v>
      </c>
    </row>
    <row r="221" spans="1:5" x14ac:dyDescent="0.15">
      <c r="A221" t="s">
        <v>23087</v>
      </c>
      <c r="B221" t="s">
        <v>23088</v>
      </c>
      <c r="C221">
        <v>2005</v>
      </c>
      <c r="D221" t="s">
        <v>23097</v>
      </c>
      <c r="E221">
        <v>16055444</v>
      </c>
    </row>
    <row r="222" spans="1:5" x14ac:dyDescent="0.15">
      <c r="A222" t="s">
        <v>27898</v>
      </c>
      <c r="B222" t="s">
        <v>27899</v>
      </c>
      <c r="C222">
        <v>1996</v>
      </c>
      <c r="D222" t="s">
        <v>27908</v>
      </c>
      <c r="E222">
        <v>8660406</v>
      </c>
    </row>
    <row r="223" spans="1:5" x14ac:dyDescent="0.15">
      <c r="A223" t="s">
        <v>2674</v>
      </c>
      <c r="B223" t="s">
        <v>2676</v>
      </c>
      <c r="C223">
        <v>2016</v>
      </c>
      <c r="D223" t="s">
        <v>2687</v>
      </c>
      <c r="E223">
        <v>27630638</v>
      </c>
    </row>
    <row r="224" spans="1:5" x14ac:dyDescent="0.15">
      <c r="A224" t="s">
        <v>11380</v>
      </c>
      <c r="B224" t="s">
        <v>11382</v>
      </c>
      <c r="C224">
        <v>2018</v>
      </c>
      <c r="D224" t="s">
        <v>11392</v>
      </c>
      <c r="E224">
        <v>29241062</v>
      </c>
    </row>
    <row r="225" spans="1:5" x14ac:dyDescent="0.15">
      <c r="A225" t="s">
        <v>18779</v>
      </c>
      <c r="B225" t="s">
        <v>18781</v>
      </c>
      <c r="C225">
        <v>2009</v>
      </c>
      <c r="D225" t="s">
        <v>18787</v>
      </c>
      <c r="E225">
        <v>19146850</v>
      </c>
    </row>
    <row r="226" spans="1:5" x14ac:dyDescent="0.15">
      <c r="A226" t="s">
        <v>882</v>
      </c>
      <c r="B226" t="s">
        <v>884</v>
      </c>
      <c r="C226">
        <v>2008</v>
      </c>
      <c r="D226" t="s">
        <v>897</v>
      </c>
      <c r="E226">
        <v>18625304</v>
      </c>
    </row>
    <row r="227" spans="1:5" x14ac:dyDescent="0.15">
      <c r="A227" t="s">
        <v>14730</v>
      </c>
      <c r="B227" t="s">
        <v>14732</v>
      </c>
      <c r="C227">
        <v>2018</v>
      </c>
      <c r="D227" t="s">
        <v>14739</v>
      </c>
      <c r="E227">
        <v>29511190</v>
      </c>
    </row>
    <row r="228" spans="1:5" x14ac:dyDescent="0.15">
      <c r="A228" t="s">
        <v>7329</v>
      </c>
      <c r="B228" t="s">
        <v>7331</v>
      </c>
      <c r="C228">
        <v>2017</v>
      </c>
      <c r="D228" t="s">
        <v>7341</v>
      </c>
      <c r="E228">
        <v>29215015</v>
      </c>
    </row>
    <row r="229" spans="1:5" x14ac:dyDescent="0.15">
      <c r="A229" t="s">
        <v>10935</v>
      </c>
      <c r="B229" t="s">
        <v>10937</v>
      </c>
      <c r="C229">
        <v>2018</v>
      </c>
      <c r="D229" t="s">
        <v>10946</v>
      </c>
      <c r="E229">
        <v>30225507</v>
      </c>
    </row>
    <row r="230" spans="1:5" x14ac:dyDescent="0.15">
      <c r="A230" t="s">
        <v>17133</v>
      </c>
      <c r="B230" t="s">
        <v>17135</v>
      </c>
      <c r="C230">
        <v>2014</v>
      </c>
      <c r="D230" t="s">
        <v>17144</v>
      </c>
      <c r="E230">
        <v>24816817</v>
      </c>
    </row>
    <row r="231" spans="1:5" x14ac:dyDescent="0.15">
      <c r="A231" t="s">
        <v>22856</v>
      </c>
      <c r="B231" t="s">
        <v>22858</v>
      </c>
      <c r="C231">
        <v>2020</v>
      </c>
      <c r="D231" t="s">
        <v>22868</v>
      </c>
      <c r="E231">
        <v>32170015</v>
      </c>
    </row>
    <row r="232" spans="1:5" x14ac:dyDescent="0.15">
      <c r="A232" t="s">
        <v>5465</v>
      </c>
      <c r="B232" t="s">
        <v>5467</v>
      </c>
      <c r="C232">
        <v>2019</v>
      </c>
      <c r="D232" t="s">
        <v>5475</v>
      </c>
      <c r="E232">
        <v>31660712</v>
      </c>
    </row>
    <row r="233" spans="1:5" x14ac:dyDescent="0.15">
      <c r="A233" t="s">
        <v>11322</v>
      </c>
      <c r="B233" t="s">
        <v>11324</v>
      </c>
      <c r="C233">
        <v>2015</v>
      </c>
      <c r="D233" t="s">
        <v>11333</v>
      </c>
      <c r="E233">
        <v>26510393</v>
      </c>
    </row>
    <row r="234" spans="1:5" x14ac:dyDescent="0.15">
      <c r="A234" t="s">
        <v>17619</v>
      </c>
      <c r="B234" t="s">
        <v>17621</v>
      </c>
      <c r="C234">
        <v>2008</v>
      </c>
      <c r="D234" t="s">
        <v>17632</v>
      </c>
      <c r="E234">
        <v>18518965</v>
      </c>
    </row>
    <row r="235" spans="1:5" x14ac:dyDescent="0.15">
      <c r="A235" t="s">
        <v>19149</v>
      </c>
      <c r="B235" t="s">
        <v>19151</v>
      </c>
      <c r="C235">
        <v>2020</v>
      </c>
      <c r="D235" t="s">
        <v>19159</v>
      </c>
      <c r="E235">
        <v>31894795</v>
      </c>
    </row>
    <row r="236" spans="1:5" x14ac:dyDescent="0.15">
      <c r="A236" t="s">
        <v>20246</v>
      </c>
      <c r="B236" t="s">
        <v>20247</v>
      </c>
      <c r="C236">
        <v>1999</v>
      </c>
      <c r="D236" t="s">
        <v>20255</v>
      </c>
      <c r="E236">
        <v>10521426</v>
      </c>
    </row>
    <row r="237" spans="1:5" x14ac:dyDescent="0.15">
      <c r="A237" t="s">
        <v>23783</v>
      </c>
      <c r="B237" t="s">
        <v>23785</v>
      </c>
      <c r="C237">
        <v>2014</v>
      </c>
      <c r="D237" t="s">
        <v>23795</v>
      </c>
      <c r="E237">
        <v>24474753</v>
      </c>
    </row>
    <row r="238" spans="1:5" x14ac:dyDescent="0.15">
      <c r="A238" t="s">
        <v>8670</v>
      </c>
      <c r="B238" t="s">
        <v>8672</v>
      </c>
      <c r="C238">
        <v>2019</v>
      </c>
      <c r="D238" t="s">
        <v>8681</v>
      </c>
      <c r="E238">
        <v>31004923</v>
      </c>
    </row>
    <row r="239" spans="1:5" x14ac:dyDescent="0.15">
      <c r="A239" t="s">
        <v>24297</v>
      </c>
      <c r="B239" t="s">
        <v>24299</v>
      </c>
      <c r="C239">
        <v>2017</v>
      </c>
      <c r="D239" t="s">
        <v>24308</v>
      </c>
      <c r="E239">
        <v>28319051</v>
      </c>
    </row>
    <row r="240" spans="1:5" x14ac:dyDescent="0.15">
      <c r="A240" t="s">
        <v>16742</v>
      </c>
      <c r="B240" t="s">
        <v>16744</v>
      </c>
      <c r="C240">
        <v>2011</v>
      </c>
      <c r="D240" t="s">
        <v>16756</v>
      </c>
      <c r="E240">
        <v>21875967</v>
      </c>
    </row>
    <row r="241" spans="1:5" x14ac:dyDescent="0.15">
      <c r="A241" t="s">
        <v>4996</v>
      </c>
      <c r="B241" t="s">
        <v>4998</v>
      </c>
      <c r="C241">
        <v>2015</v>
      </c>
      <c r="D241" t="s">
        <v>5008</v>
      </c>
      <c r="E241">
        <v>25819213</v>
      </c>
    </row>
    <row r="242" spans="1:5" x14ac:dyDescent="0.15">
      <c r="A242" t="s">
        <v>7257</v>
      </c>
      <c r="B242" t="s">
        <v>7259</v>
      </c>
      <c r="C242">
        <v>2014</v>
      </c>
      <c r="D242" t="s">
        <v>7272</v>
      </c>
      <c r="E242">
        <v>24611950</v>
      </c>
    </row>
    <row r="243" spans="1:5" x14ac:dyDescent="0.15">
      <c r="A243" t="s">
        <v>16514</v>
      </c>
      <c r="B243" t="s">
        <v>16516</v>
      </c>
      <c r="C243">
        <v>2018</v>
      </c>
      <c r="D243" t="s">
        <v>16528</v>
      </c>
      <c r="E243">
        <v>29149454</v>
      </c>
    </row>
    <row r="244" spans="1:5" x14ac:dyDescent="0.15">
      <c r="A244" t="s">
        <v>20042</v>
      </c>
      <c r="B244" t="s">
        <v>20044</v>
      </c>
      <c r="C244">
        <v>2012</v>
      </c>
      <c r="D244" t="s">
        <v>20051</v>
      </c>
      <c r="E244">
        <v>22761365</v>
      </c>
    </row>
    <row r="245" spans="1:5" x14ac:dyDescent="0.15">
      <c r="A245" t="s">
        <v>29591</v>
      </c>
      <c r="B245" t="s">
        <v>29593</v>
      </c>
      <c r="C245">
        <v>2008</v>
      </c>
      <c r="D245" t="s">
        <v>29604</v>
      </c>
      <c r="E245">
        <v>18373740</v>
      </c>
    </row>
    <row r="246" spans="1:5" x14ac:dyDescent="0.15">
      <c r="A246" t="s">
        <v>1811</v>
      </c>
      <c r="B246" t="s">
        <v>1813</v>
      </c>
      <c r="C246">
        <v>2019</v>
      </c>
      <c r="D246" t="s">
        <v>1822</v>
      </c>
      <c r="E246">
        <v>31191831</v>
      </c>
    </row>
    <row r="247" spans="1:5" x14ac:dyDescent="0.15">
      <c r="A247" t="s">
        <v>5655</v>
      </c>
      <c r="B247" t="s">
        <v>5657</v>
      </c>
      <c r="C247">
        <v>2011</v>
      </c>
      <c r="D247" t="s">
        <v>5668</v>
      </c>
      <c r="E247">
        <v>21553248</v>
      </c>
    </row>
    <row r="248" spans="1:5" x14ac:dyDescent="0.15">
      <c r="A248" t="s">
        <v>18299</v>
      </c>
      <c r="B248" t="s">
        <v>18301</v>
      </c>
      <c r="C248">
        <v>2017</v>
      </c>
      <c r="D248" t="s">
        <v>18310</v>
      </c>
      <c r="E248">
        <v>29234015</v>
      </c>
    </row>
    <row r="249" spans="1:5" x14ac:dyDescent="0.15">
      <c r="A249" t="s">
        <v>21927</v>
      </c>
      <c r="B249" t="s">
        <v>21929</v>
      </c>
      <c r="C249">
        <v>2018</v>
      </c>
      <c r="D249" t="s">
        <v>21935</v>
      </c>
      <c r="E249">
        <v>30350935</v>
      </c>
    </row>
    <row r="250" spans="1:5" x14ac:dyDescent="0.15">
      <c r="A250" t="s">
        <v>24710</v>
      </c>
      <c r="B250" t="s">
        <v>24712</v>
      </c>
      <c r="C250">
        <v>2014</v>
      </c>
      <c r="D250" t="s">
        <v>24721</v>
      </c>
      <c r="E250">
        <v>24563408</v>
      </c>
    </row>
    <row r="251" spans="1:5" x14ac:dyDescent="0.15">
      <c r="A251" t="s">
        <v>12622</v>
      </c>
      <c r="B251" t="s">
        <v>12624</v>
      </c>
      <c r="C251">
        <v>2018</v>
      </c>
      <c r="D251" t="s">
        <v>12635</v>
      </c>
      <c r="E251">
        <v>29986209</v>
      </c>
    </row>
    <row r="252" spans="1:5" x14ac:dyDescent="0.15">
      <c r="A252" t="s">
        <v>15408</v>
      </c>
      <c r="B252" t="s">
        <v>15410</v>
      </c>
      <c r="C252">
        <v>2016</v>
      </c>
      <c r="D252" t="s">
        <v>15423</v>
      </c>
      <c r="E252">
        <v>27117741</v>
      </c>
    </row>
    <row r="253" spans="1:5" x14ac:dyDescent="0.15">
      <c r="A253" t="s">
        <v>12578</v>
      </c>
      <c r="B253" t="s">
        <v>12580</v>
      </c>
      <c r="C253">
        <v>2009</v>
      </c>
      <c r="D253" t="s">
        <v>12590</v>
      </c>
      <c r="E253">
        <v>19270489</v>
      </c>
    </row>
    <row r="254" spans="1:5" x14ac:dyDescent="0.15">
      <c r="A254" t="s">
        <v>13969</v>
      </c>
      <c r="B254" t="s">
        <v>13971</v>
      </c>
      <c r="C254">
        <v>2016</v>
      </c>
      <c r="D254" t="s">
        <v>13981</v>
      </c>
      <c r="E254">
        <v>29259699</v>
      </c>
    </row>
    <row r="255" spans="1:5" x14ac:dyDescent="0.15">
      <c r="A255" t="s">
        <v>19404</v>
      </c>
      <c r="B255" t="s">
        <v>19406</v>
      </c>
      <c r="C255">
        <v>2011</v>
      </c>
      <c r="D255" t="s">
        <v>19414</v>
      </c>
      <c r="E255">
        <v>21044239</v>
      </c>
    </row>
    <row r="256" spans="1:5" x14ac:dyDescent="0.15">
      <c r="A256" t="s">
        <v>22231</v>
      </c>
      <c r="B256" t="s">
        <v>22232</v>
      </c>
      <c r="C256">
        <v>2000</v>
      </c>
      <c r="D256" t="s">
        <v>22240</v>
      </c>
      <c r="E256">
        <v>10793152</v>
      </c>
    </row>
    <row r="257" spans="1:5" x14ac:dyDescent="0.15">
      <c r="A257" t="s">
        <v>27127</v>
      </c>
      <c r="B257" t="s">
        <v>27129</v>
      </c>
      <c r="C257">
        <v>2012</v>
      </c>
      <c r="D257" t="s">
        <v>27141</v>
      </c>
      <c r="E257">
        <v>22645662</v>
      </c>
    </row>
    <row r="258" spans="1:5" x14ac:dyDescent="0.15">
      <c r="A258" t="s">
        <v>8760</v>
      </c>
      <c r="B258" t="s">
        <v>8762</v>
      </c>
      <c r="C258">
        <v>2014</v>
      </c>
      <c r="D258" t="s">
        <v>8774</v>
      </c>
      <c r="E258">
        <v>24826903</v>
      </c>
    </row>
    <row r="259" spans="1:5" x14ac:dyDescent="0.15">
      <c r="A259" t="s">
        <v>22444</v>
      </c>
      <c r="B259" t="s">
        <v>22446</v>
      </c>
      <c r="C259">
        <v>2012</v>
      </c>
      <c r="D259" t="s">
        <v>22456</v>
      </c>
      <c r="E259">
        <v>23284671</v>
      </c>
    </row>
    <row r="260" spans="1:5" x14ac:dyDescent="0.15">
      <c r="A260" t="s">
        <v>23201</v>
      </c>
      <c r="B260" t="s">
        <v>23202</v>
      </c>
      <c r="C260">
        <v>1993</v>
      </c>
      <c r="D260" t="s">
        <v>74</v>
      </c>
      <c r="E260">
        <v>8381430</v>
      </c>
    </row>
    <row r="261" spans="1:5" x14ac:dyDescent="0.15">
      <c r="A261" t="s">
        <v>26965</v>
      </c>
      <c r="B261" t="s">
        <v>26967</v>
      </c>
      <c r="C261">
        <v>2016</v>
      </c>
      <c r="D261" t="s">
        <v>26979</v>
      </c>
      <c r="E261">
        <v>27117590</v>
      </c>
    </row>
    <row r="262" spans="1:5" x14ac:dyDescent="0.15">
      <c r="A262" t="s">
        <v>11545</v>
      </c>
      <c r="B262" t="s">
        <v>11547</v>
      </c>
      <c r="C262">
        <v>2018</v>
      </c>
      <c r="D262" t="s">
        <v>11555</v>
      </c>
      <c r="E262">
        <v>29674035</v>
      </c>
    </row>
    <row r="263" spans="1:5" x14ac:dyDescent="0.15">
      <c r="A263" t="s">
        <v>15012</v>
      </c>
      <c r="B263" t="s">
        <v>15014</v>
      </c>
      <c r="C263">
        <v>2015</v>
      </c>
      <c r="D263" t="s">
        <v>15025</v>
      </c>
      <c r="E263">
        <v>26185458</v>
      </c>
    </row>
    <row r="264" spans="1:5" x14ac:dyDescent="0.15">
      <c r="A264" t="s">
        <v>21104</v>
      </c>
      <c r="B264" t="s">
        <v>21106</v>
      </c>
      <c r="C264">
        <v>2013</v>
      </c>
      <c r="D264" t="s">
        <v>21115</v>
      </c>
      <c r="E264">
        <v>23678184</v>
      </c>
    </row>
    <row r="265" spans="1:5" x14ac:dyDescent="0.15">
      <c r="A265" t="s">
        <v>26718</v>
      </c>
      <c r="B265" t="s">
        <v>26720</v>
      </c>
      <c r="C265">
        <v>2011</v>
      </c>
      <c r="D265" t="s">
        <v>26728</v>
      </c>
      <c r="E265">
        <v>21296866</v>
      </c>
    </row>
    <row r="266" spans="1:5" x14ac:dyDescent="0.15">
      <c r="A266" t="s">
        <v>3193</v>
      </c>
      <c r="B266" t="s">
        <v>3195</v>
      </c>
      <c r="C266">
        <v>2018</v>
      </c>
      <c r="D266" t="s">
        <v>3206</v>
      </c>
      <c r="E266">
        <v>28490541</v>
      </c>
    </row>
    <row r="267" spans="1:5" x14ac:dyDescent="0.15">
      <c r="A267" t="s">
        <v>21284</v>
      </c>
      <c r="B267" t="s">
        <v>21285</v>
      </c>
      <c r="C267">
        <v>1998</v>
      </c>
      <c r="D267" t="s">
        <v>21292</v>
      </c>
      <c r="E267">
        <v>9581791</v>
      </c>
    </row>
    <row r="268" spans="1:5" x14ac:dyDescent="0.15">
      <c r="A268" t="s">
        <v>22312</v>
      </c>
      <c r="B268" t="s">
        <v>22313</v>
      </c>
      <c r="C268">
        <v>2001</v>
      </c>
      <c r="D268" t="s">
        <v>22323</v>
      </c>
      <c r="E268">
        <v>11689436</v>
      </c>
    </row>
    <row r="269" spans="1:5" x14ac:dyDescent="0.15">
      <c r="A269" t="s">
        <v>22916</v>
      </c>
      <c r="B269" t="s">
        <v>22917</v>
      </c>
      <c r="C269">
        <v>1998</v>
      </c>
      <c r="D269" t="s">
        <v>22930</v>
      </c>
      <c r="E269">
        <v>9875267</v>
      </c>
    </row>
    <row r="270" spans="1:5" x14ac:dyDescent="0.15">
      <c r="A270" t="s">
        <v>29378</v>
      </c>
      <c r="B270" t="s">
        <v>29379</v>
      </c>
      <c r="C270">
        <v>2003</v>
      </c>
      <c r="D270" t="s">
        <v>29385</v>
      </c>
      <c r="E270">
        <v>12525168</v>
      </c>
    </row>
    <row r="271" spans="1:5" x14ac:dyDescent="0.15">
      <c r="A271" t="s">
        <v>10145</v>
      </c>
      <c r="B271" t="s">
        <v>10147</v>
      </c>
      <c r="C271">
        <v>2016</v>
      </c>
      <c r="D271" t="s">
        <v>10158</v>
      </c>
      <c r="E271">
        <v>27333275</v>
      </c>
    </row>
    <row r="272" spans="1:5" x14ac:dyDescent="0.15">
      <c r="A272" t="s">
        <v>15708</v>
      </c>
      <c r="B272" t="s">
        <v>15710</v>
      </c>
      <c r="C272">
        <v>2017</v>
      </c>
      <c r="D272" t="s">
        <v>15722</v>
      </c>
      <c r="E272">
        <v>28910982</v>
      </c>
    </row>
    <row r="273" spans="1:5" x14ac:dyDescent="0.15">
      <c r="A273" t="s">
        <v>25605</v>
      </c>
      <c r="B273" t="s">
        <v>25606</v>
      </c>
      <c r="C273">
        <v>1998</v>
      </c>
      <c r="D273" t="s">
        <v>25616</v>
      </c>
      <c r="E273">
        <v>9652412</v>
      </c>
    </row>
    <row r="274" spans="1:5" x14ac:dyDescent="0.15">
      <c r="A274" t="s">
        <v>28955</v>
      </c>
      <c r="B274" t="s">
        <v>28957</v>
      </c>
      <c r="C274">
        <v>2008</v>
      </c>
      <c r="D274" t="s">
        <v>28966</v>
      </c>
      <c r="E274">
        <v>18217139</v>
      </c>
    </row>
    <row r="275" spans="1:5" x14ac:dyDescent="0.15">
      <c r="A275" t="s">
        <v>11938</v>
      </c>
      <c r="B275" t="s">
        <v>11940</v>
      </c>
      <c r="C275">
        <v>2019</v>
      </c>
      <c r="D275" t="s">
        <v>11949</v>
      </c>
      <c r="E275">
        <v>30646958</v>
      </c>
    </row>
    <row r="276" spans="1:5" x14ac:dyDescent="0.15">
      <c r="A276" t="s">
        <v>23008</v>
      </c>
      <c r="B276" t="s">
        <v>23009</v>
      </c>
      <c r="C276">
        <v>2003</v>
      </c>
      <c r="D276" t="s">
        <v>23018</v>
      </c>
      <c r="E276">
        <v>12493722</v>
      </c>
    </row>
    <row r="277" spans="1:5" x14ac:dyDescent="0.15">
      <c r="A277" t="s">
        <v>26057</v>
      </c>
      <c r="B277" t="s">
        <v>26059</v>
      </c>
      <c r="C277">
        <v>2007</v>
      </c>
      <c r="D277" t="s">
        <v>26066</v>
      </c>
      <c r="E277">
        <v>17573475</v>
      </c>
    </row>
    <row r="278" spans="1:5" x14ac:dyDescent="0.15">
      <c r="A278" t="s">
        <v>11921</v>
      </c>
      <c r="B278" t="s">
        <v>11923</v>
      </c>
      <c r="C278">
        <v>2008</v>
      </c>
      <c r="D278" t="s">
        <v>11936</v>
      </c>
      <c r="E278">
        <v>18456845</v>
      </c>
    </row>
    <row r="279" spans="1:5" x14ac:dyDescent="0.15">
      <c r="A279" t="s">
        <v>21170</v>
      </c>
      <c r="B279" t="s">
        <v>21171</v>
      </c>
      <c r="C279">
        <v>1997</v>
      </c>
      <c r="D279" t="s">
        <v>21177</v>
      </c>
      <c r="E279">
        <v>9106484</v>
      </c>
    </row>
    <row r="280" spans="1:5" x14ac:dyDescent="0.15">
      <c r="A280" t="s">
        <v>21748</v>
      </c>
      <c r="B280" t="s">
        <v>21750</v>
      </c>
      <c r="C280">
        <v>2013</v>
      </c>
      <c r="D280" t="s">
        <v>21758</v>
      </c>
      <c r="E280">
        <v>23402739</v>
      </c>
    </row>
    <row r="281" spans="1:5" x14ac:dyDescent="0.15">
      <c r="A281" t="s">
        <v>13745</v>
      </c>
      <c r="B281" t="s">
        <v>13746</v>
      </c>
      <c r="C281">
        <v>2002</v>
      </c>
      <c r="D281" t="s">
        <v>13756</v>
      </c>
      <c r="E281">
        <v>11932461</v>
      </c>
    </row>
    <row r="282" spans="1:5" x14ac:dyDescent="0.15">
      <c r="A282" t="s">
        <v>26423</v>
      </c>
      <c r="B282" t="s">
        <v>26425</v>
      </c>
      <c r="C282">
        <v>2017</v>
      </c>
      <c r="D282" t="s">
        <v>26431</v>
      </c>
      <c r="E282">
        <v>28991298</v>
      </c>
    </row>
    <row r="283" spans="1:5" x14ac:dyDescent="0.15">
      <c r="A283" t="s">
        <v>29220</v>
      </c>
      <c r="B283" t="s">
        <v>29222</v>
      </c>
      <c r="C283">
        <v>2016</v>
      </c>
      <c r="D283" t="s">
        <v>29230</v>
      </c>
      <c r="E283">
        <v>26662481</v>
      </c>
    </row>
    <row r="284" spans="1:5" x14ac:dyDescent="0.15">
      <c r="A284" t="s">
        <v>30068</v>
      </c>
      <c r="B284" t="s">
        <v>30070</v>
      </c>
      <c r="C284">
        <v>2019</v>
      </c>
      <c r="D284" t="s">
        <v>30079</v>
      </c>
      <c r="E284">
        <v>30640176</v>
      </c>
    </row>
    <row r="285" spans="1:5" x14ac:dyDescent="0.15">
      <c r="A285" t="s">
        <v>253</v>
      </c>
      <c r="B285" t="s">
        <v>255</v>
      </c>
      <c r="C285">
        <v>2016</v>
      </c>
      <c r="D285" t="s">
        <v>266</v>
      </c>
      <c r="E285">
        <v>27662833</v>
      </c>
    </row>
    <row r="286" spans="1:5" x14ac:dyDescent="0.15">
      <c r="A286" t="s">
        <v>2324</v>
      </c>
      <c r="B286" t="s">
        <v>2326</v>
      </c>
      <c r="C286">
        <v>2019</v>
      </c>
      <c r="D286" t="s">
        <v>2334</v>
      </c>
      <c r="E286">
        <v>31469961</v>
      </c>
    </row>
    <row r="287" spans="1:5" x14ac:dyDescent="0.15">
      <c r="A287" t="s">
        <v>8967</v>
      </c>
      <c r="B287" t="s">
        <v>8969</v>
      </c>
      <c r="C287">
        <v>2017</v>
      </c>
      <c r="D287" t="s">
        <v>8977</v>
      </c>
      <c r="E287">
        <v>29162835</v>
      </c>
    </row>
    <row r="288" spans="1:5" x14ac:dyDescent="0.15">
      <c r="A288" t="s">
        <v>10206</v>
      </c>
      <c r="B288" t="s">
        <v>10208</v>
      </c>
      <c r="C288">
        <v>2015</v>
      </c>
      <c r="D288" t="s">
        <v>10216</v>
      </c>
      <c r="E288">
        <v>26272609</v>
      </c>
    </row>
    <row r="289" spans="1:5" x14ac:dyDescent="0.15">
      <c r="A289" t="s">
        <v>10332</v>
      </c>
      <c r="B289" t="s">
        <v>10334</v>
      </c>
      <c r="C289">
        <v>2016</v>
      </c>
      <c r="D289" t="s">
        <v>10345</v>
      </c>
      <c r="E289">
        <v>26760763</v>
      </c>
    </row>
    <row r="290" spans="1:5" x14ac:dyDescent="0.15">
      <c r="A290" t="s">
        <v>18125</v>
      </c>
      <c r="B290" t="s">
        <v>18127</v>
      </c>
      <c r="C290">
        <v>2019</v>
      </c>
      <c r="D290" t="s">
        <v>18137</v>
      </c>
      <c r="E290">
        <v>31429552</v>
      </c>
    </row>
    <row r="291" spans="1:5" x14ac:dyDescent="0.15">
      <c r="A291" t="s">
        <v>18393</v>
      </c>
      <c r="B291" t="s">
        <v>18395</v>
      </c>
      <c r="C291">
        <v>2006</v>
      </c>
      <c r="D291" t="s">
        <v>18402</v>
      </c>
      <c r="E291">
        <v>16857668</v>
      </c>
    </row>
    <row r="292" spans="1:5" x14ac:dyDescent="0.15">
      <c r="A292" t="s">
        <v>23538</v>
      </c>
      <c r="B292" t="s">
        <v>23539</v>
      </c>
      <c r="C292">
        <v>1999</v>
      </c>
      <c r="D292" t="s">
        <v>23548</v>
      </c>
      <c r="E292">
        <v>10532697</v>
      </c>
    </row>
    <row r="293" spans="1:5" x14ac:dyDescent="0.15">
      <c r="A293" t="s">
        <v>24079</v>
      </c>
      <c r="B293" t="s">
        <v>24081</v>
      </c>
      <c r="C293">
        <v>2006</v>
      </c>
      <c r="D293" t="s">
        <v>24093</v>
      </c>
      <c r="E293">
        <v>17030615</v>
      </c>
    </row>
    <row r="294" spans="1:5" x14ac:dyDescent="0.15">
      <c r="A294" t="s">
        <v>28123</v>
      </c>
      <c r="B294" t="s">
        <v>28124</v>
      </c>
      <c r="C294">
        <v>1996</v>
      </c>
      <c r="D294" t="s">
        <v>28130</v>
      </c>
      <c r="E294">
        <v>8806491</v>
      </c>
    </row>
    <row r="295" spans="1:5" x14ac:dyDescent="0.15">
      <c r="A295" t="s">
        <v>4797</v>
      </c>
      <c r="B295" t="s">
        <v>4799</v>
      </c>
      <c r="C295">
        <v>2019</v>
      </c>
      <c r="D295" t="s">
        <v>4807</v>
      </c>
      <c r="E295">
        <v>31376716</v>
      </c>
    </row>
    <row r="296" spans="1:5" x14ac:dyDescent="0.15">
      <c r="A296" t="s">
        <v>7373</v>
      </c>
      <c r="B296" t="s">
        <v>7375</v>
      </c>
      <c r="C296">
        <v>2020</v>
      </c>
      <c r="D296" t="s">
        <v>7386</v>
      </c>
      <c r="E296">
        <v>32132711</v>
      </c>
    </row>
    <row r="297" spans="1:5" x14ac:dyDescent="0.15">
      <c r="A297" t="s">
        <v>14872</v>
      </c>
      <c r="B297" t="s">
        <v>14874</v>
      </c>
      <c r="C297">
        <v>2017</v>
      </c>
      <c r="D297" t="s">
        <v>14884</v>
      </c>
      <c r="E297">
        <v>28751214</v>
      </c>
    </row>
    <row r="298" spans="1:5" x14ac:dyDescent="0.15">
      <c r="A298" t="s">
        <v>22471</v>
      </c>
      <c r="B298" t="s">
        <v>22472</v>
      </c>
      <c r="C298">
        <v>1996</v>
      </c>
      <c r="D298" t="s">
        <v>74</v>
      </c>
      <c r="E298">
        <v>8617320</v>
      </c>
    </row>
    <row r="299" spans="1:5" x14ac:dyDescent="0.15">
      <c r="A299" t="s">
        <v>27634</v>
      </c>
      <c r="B299" t="s">
        <v>27636</v>
      </c>
      <c r="C299">
        <v>2018</v>
      </c>
      <c r="D299" t="s">
        <v>27646</v>
      </c>
      <c r="E299">
        <v>29582582</v>
      </c>
    </row>
    <row r="300" spans="1:5" x14ac:dyDescent="0.15">
      <c r="A300" t="s">
        <v>307</v>
      </c>
      <c r="B300" t="s">
        <v>309</v>
      </c>
      <c r="C300">
        <v>2019</v>
      </c>
      <c r="D300" t="s">
        <v>320</v>
      </c>
      <c r="E300">
        <v>31497265</v>
      </c>
    </row>
    <row r="301" spans="1:5" x14ac:dyDescent="0.15">
      <c r="A301" t="s">
        <v>11116</v>
      </c>
      <c r="B301" t="s">
        <v>11118</v>
      </c>
      <c r="C301">
        <v>2014</v>
      </c>
      <c r="D301" t="s">
        <v>11131</v>
      </c>
      <c r="E301">
        <v>24631214</v>
      </c>
    </row>
    <row r="302" spans="1:5" x14ac:dyDescent="0.15">
      <c r="A302" t="s">
        <v>17412</v>
      </c>
      <c r="B302" t="s">
        <v>17414</v>
      </c>
      <c r="C302">
        <v>2015</v>
      </c>
      <c r="D302" t="s">
        <v>17424</v>
      </c>
      <c r="E302">
        <v>26405199</v>
      </c>
    </row>
    <row r="303" spans="1:5" x14ac:dyDescent="0.15">
      <c r="A303" t="s">
        <v>17924</v>
      </c>
      <c r="B303" t="s">
        <v>18323</v>
      </c>
      <c r="C303">
        <v>2017</v>
      </c>
      <c r="D303" t="s">
        <v>18333</v>
      </c>
      <c r="E303">
        <v>29221571</v>
      </c>
    </row>
    <row r="304" spans="1:5" x14ac:dyDescent="0.15">
      <c r="A304" t="s">
        <v>137</v>
      </c>
      <c r="B304" t="s">
        <v>139</v>
      </c>
      <c r="C304">
        <v>2017</v>
      </c>
      <c r="D304" t="s">
        <v>151</v>
      </c>
      <c r="E304">
        <v>28811610</v>
      </c>
    </row>
    <row r="305" spans="1:5" x14ac:dyDescent="0.15">
      <c r="A305" t="s">
        <v>7227</v>
      </c>
      <c r="B305" t="s">
        <v>7229</v>
      </c>
      <c r="C305">
        <v>2019</v>
      </c>
      <c r="D305" t="s">
        <v>7237</v>
      </c>
      <c r="E305">
        <v>31506601</v>
      </c>
    </row>
    <row r="306" spans="1:5" x14ac:dyDescent="0.15">
      <c r="A306" t="s">
        <v>11460</v>
      </c>
      <c r="B306" t="s">
        <v>11462</v>
      </c>
      <c r="C306">
        <v>2018</v>
      </c>
      <c r="D306" t="s">
        <v>11470</v>
      </c>
      <c r="E306">
        <v>30316791</v>
      </c>
    </row>
    <row r="307" spans="1:5" x14ac:dyDescent="0.15">
      <c r="A307" t="s">
        <v>28787</v>
      </c>
      <c r="B307" t="s">
        <v>28789</v>
      </c>
      <c r="C307">
        <v>2015</v>
      </c>
      <c r="D307" t="s">
        <v>28798</v>
      </c>
      <c r="E307">
        <v>25477253</v>
      </c>
    </row>
    <row r="308" spans="1:5" x14ac:dyDescent="0.15">
      <c r="A308" t="s">
        <v>9596</v>
      </c>
      <c r="B308" t="s">
        <v>9598</v>
      </c>
      <c r="C308">
        <v>2017</v>
      </c>
      <c r="D308" t="s">
        <v>74</v>
      </c>
      <c r="E308">
        <v>28682421</v>
      </c>
    </row>
    <row r="309" spans="1:5" x14ac:dyDescent="0.15">
      <c r="A309" t="s">
        <v>24838</v>
      </c>
      <c r="B309" t="s">
        <v>24839</v>
      </c>
      <c r="C309">
        <v>2005</v>
      </c>
      <c r="D309" t="s">
        <v>24847</v>
      </c>
      <c r="E309">
        <v>16225392</v>
      </c>
    </row>
    <row r="310" spans="1:5" x14ac:dyDescent="0.15">
      <c r="A310" t="s">
        <v>26614</v>
      </c>
      <c r="B310" t="s">
        <v>26615</v>
      </c>
      <c r="C310">
        <v>1996</v>
      </c>
      <c r="D310" t="s">
        <v>26624</v>
      </c>
      <c r="E310">
        <v>8801138</v>
      </c>
    </row>
    <row r="311" spans="1:5" x14ac:dyDescent="0.15">
      <c r="A311" t="s">
        <v>5569</v>
      </c>
      <c r="B311" t="s">
        <v>5571</v>
      </c>
      <c r="C311">
        <v>2019</v>
      </c>
      <c r="D311" t="s">
        <v>5583</v>
      </c>
      <c r="E311">
        <v>30975894</v>
      </c>
    </row>
    <row r="312" spans="1:5" x14ac:dyDescent="0.15">
      <c r="A312" t="s">
        <v>5385</v>
      </c>
      <c r="B312" t="s">
        <v>5387</v>
      </c>
      <c r="C312">
        <v>2015</v>
      </c>
      <c r="D312" t="s">
        <v>5398</v>
      </c>
      <c r="E312">
        <v>26733944</v>
      </c>
    </row>
    <row r="313" spans="1:5" x14ac:dyDescent="0.15">
      <c r="A313" t="s">
        <v>9377</v>
      </c>
      <c r="B313" t="s">
        <v>9379</v>
      </c>
      <c r="C313">
        <v>2016</v>
      </c>
      <c r="D313" t="s">
        <v>9389</v>
      </c>
      <c r="E313">
        <v>27385095</v>
      </c>
    </row>
    <row r="314" spans="1:5" x14ac:dyDescent="0.15">
      <c r="A314" t="s">
        <v>12540</v>
      </c>
      <c r="B314" t="s">
        <v>12542</v>
      </c>
      <c r="C314">
        <v>2016</v>
      </c>
      <c r="D314" t="s">
        <v>12550</v>
      </c>
      <c r="E314">
        <v>27919066</v>
      </c>
    </row>
    <row r="315" spans="1:5" x14ac:dyDescent="0.15">
      <c r="A315" t="s">
        <v>13969</v>
      </c>
      <c r="B315" t="s">
        <v>14081</v>
      </c>
      <c r="C315">
        <v>2017</v>
      </c>
      <c r="D315" t="s">
        <v>14090</v>
      </c>
      <c r="E315">
        <v>28483695</v>
      </c>
    </row>
    <row r="316" spans="1:5" x14ac:dyDescent="0.15">
      <c r="A316" t="s">
        <v>5414</v>
      </c>
      <c r="B316" t="s">
        <v>5416</v>
      </c>
      <c r="C316">
        <v>2015</v>
      </c>
      <c r="D316" t="s">
        <v>5427</v>
      </c>
      <c r="E316">
        <v>25537774</v>
      </c>
    </row>
    <row r="317" spans="1:5" x14ac:dyDescent="0.15">
      <c r="A317" t="s">
        <v>16154</v>
      </c>
      <c r="B317" t="s">
        <v>16156</v>
      </c>
      <c r="C317">
        <v>2017</v>
      </c>
      <c r="D317" t="s">
        <v>16165</v>
      </c>
      <c r="E317">
        <v>29302204</v>
      </c>
    </row>
    <row r="318" spans="1:5" x14ac:dyDescent="0.15">
      <c r="A318" t="s">
        <v>25575</v>
      </c>
      <c r="B318" t="s">
        <v>25576</v>
      </c>
      <c r="C318">
        <v>2004</v>
      </c>
      <c r="D318" t="s">
        <v>25586</v>
      </c>
      <c r="E318">
        <v>14642889</v>
      </c>
    </row>
    <row r="319" spans="1:5" x14ac:dyDescent="0.15">
      <c r="A319" t="s">
        <v>25892</v>
      </c>
      <c r="B319" t="s">
        <v>25894</v>
      </c>
      <c r="C319">
        <v>2011</v>
      </c>
      <c r="D319" t="s">
        <v>25899</v>
      </c>
      <c r="E319">
        <v>21880748</v>
      </c>
    </row>
    <row r="320" spans="1:5" x14ac:dyDescent="0.15">
      <c r="A320" t="s">
        <v>28536</v>
      </c>
      <c r="B320" t="s">
        <v>28538</v>
      </c>
      <c r="C320">
        <v>2012</v>
      </c>
      <c r="D320" t="s">
        <v>28546</v>
      </c>
      <c r="E320">
        <v>23057712</v>
      </c>
    </row>
    <row r="321" spans="1:5" x14ac:dyDescent="0.15">
      <c r="A321" t="s">
        <v>5111</v>
      </c>
      <c r="B321" t="s">
        <v>5113</v>
      </c>
      <c r="C321">
        <v>2017</v>
      </c>
      <c r="D321" t="s">
        <v>5123</v>
      </c>
      <c r="E321">
        <v>28433888</v>
      </c>
    </row>
    <row r="322" spans="1:5" x14ac:dyDescent="0.15">
      <c r="A322" t="s">
        <v>8636</v>
      </c>
      <c r="B322" t="s">
        <v>8638</v>
      </c>
      <c r="C322">
        <v>2018</v>
      </c>
      <c r="D322" t="s">
        <v>8651</v>
      </c>
      <c r="E322">
        <v>29305855</v>
      </c>
    </row>
    <row r="323" spans="1:5" x14ac:dyDescent="0.15">
      <c r="A323" t="s">
        <v>13434</v>
      </c>
      <c r="B323" t="s">
        <v>13436</v>
      </c>
      <c r="C323">
        <v>2018</v>
      </c>
      <c r="D323" t="s">
        <v>13445</v>
      </c>
      <c r="E323">
        <v>30371719</v>
      </c>
    </row>
    <row r="324" spans="1:5" x14ac:dyDescent="0.15">
      <c r="A324" t="s">
        <v>17024</v>
      </c>
      <c r="B324" t="s">
        <v>17026</v>
      </c>
      <c r="C324">
        <v>2019</v>
      </c>
      <c r="D324" t="s">
        <v>17038</v>
      </c>
      <c r="E324">
        <v>30833413</v>
      </c>
    </row>
    <row r="325" spans="1:5" x14ac:dyDescent="0.15">
      <c r="A325" t="s">
        <v>17495</v>
      </c>
      <c r="B325" t="s">
        <v>17497</v>
      </c>
      <c r="C325">
        <v>2019</v>
      </c>
      <c r="D325" t="s">
        <v>17505</v>
      </c>
      <c r="E325">
        <v>30925190</v>
      </c>
    </row>
    <row r="326" spans="1:5" x14ac:dyDescent="0.15">
      <c r="A326" t="s">
        <v>22996</v>
      </c>
      <c r="B326" t="s">
        <v>22998</v>
      </c>
      <c r="C326">
        <v>2011</v>
      </c>
      <c r="D326" t="s">
        <v>23006</v>
      </c>
      <c r="E326">
        <v>21491915</v>
      </c>
    </row>
    <row r="327" spans="1:5" x14ac:dyDescent="0.15">
      <c r="A327" t="s">
        <v>28111</v>
      </c>
      <c r="B327" t="s">
        <v>28113</v>
      </c>
      <c r="C327">
        <v>2015</v>
      </c>
      <c r="D327" t="s">
        <v>28121</v>
      </c>
      <c r="E327">
        <v>25256589</v>
      </c>
    </row>
    <row r="328" spans="1:5" x14ac:dyDescent="0.15">
      <c r="A328" t="s">
        <v>30353</v>
      </c>
      <c r="B328" t="s">
        <v>30356</v>
      </c>
      <c r="C328">
        <v>2014</v>
      </c>
      <c r="D328" t="s">
        <v>30367</v>
      </c>
      <c r="E328">
        <v>24862597</v>
      </c>
    </row>
    <row r="329" spans="1:5" x14ac:dyDescent="0.15">
      <c r="A329" t="s">
        <v>99</v>
      </c>
      <c r="B329" t="s">
        <v>101</v>
      </c>
      <c r="C329">
        <v>2018</v>
      </c>
      <c r="D329" t="s">
        <v>115</v>
      </c>
      <c r="E329">
        <v>28684288</v>
      </c>
    </row>
    <row r="330" spans="1:5" x14ac:dyDescent="0.15">
      <c r="A330" t="s">
        <v>2136</v>
      </c>
      <c r="B330" t="s">
        <v>2138</v>
      </c>
      <c r="C330">
        <v>2020</v>
      </c>
      <c r="D330" t="s">
        <v>2148</v>
      </c>
      <c r="E330">
        <v>32158519</v>
      </c>
    </row>
    <row r="331" spans="1:5" x14ac:dyDescent="0.15">
      <c r="A331" t="s">
        <v>13900</v>
      </c>
      <c r="B331" t="s">
        <v>13902</v>
      </c>
      <c r="C331">
        <v>2018</v>
      </c>
      <c r="D331" t="s">
        <v>13911</v>
      </c>
      <c r="E331">
        <v>29483213</v>
      </c>
    </row>
    <row r="332" spans="1:5" x14ac:dyDescent="0.15">
      <c r="A332" t="s">
        <v>15873</v>
      </c>
      <c r="B332" t="s">
        <v>15875</v>
      </c>
      <c r="C332">
        <v>2014</v>
      </c>
      <c r="D332" t="s">
        <v>15884</v>
      </c>
      <c r="E332">
        <v>24437924</v>
      </c>
    </row>
    <row r="333" spans="1:5" x14ac:dyDescent="0.15">
      <c r="A333" t="s">
        <v>17261</v>
      </c>
      <c r="B333" t="s">
        <v>17263</v>
      </c>
      <c r="C333">
        <v>2013</v>
      </c>
      <c r="D333" t="s">
        <v>17271</v>
      </c>
      <c r="E333">
        <v>23750848</v>
      </c>
    </row>
    <row r="334" spans="1:5" x14ac:dyDescent="0.15">
      <c r="A334" t="s">
        <v>20437</v>
      </c>
      <c r="B334" t="s">
        <v>20439</v>
      </c>
      <c r="C334">
        <v>2020</v>
      </c>
      <c r="D334" t="s">
        <v>20444</v>
      </c>
      <c r="E334">
        <v>32148013</v>
      </c>
    </row>
    <row r="335" spans="1:5" x14ac:dyDescent="0.15">
      <c r="A335" t="s">
        <v>23967</v>
      </c>
      <c r="B335" t="s">
        <v>23969</v>
      </c>
      <c r="C335">
        <v>2018</v>
      </c>
      <c r="D335" t="s">
        <v>23977</v>
      </c>
      <c r="E335">
        <v>29906447</v>
      </c>
    </row>
    <row r="336" spans="1:5" x14ac:dyDescent="0.15">
      <c r="A336" t="s">
        <v>28468</v>
      </c>
      <c r="B336" t="s">
        <v>28470</v>
      </c>
      <c r="C336">
        <v>2020</v>
      </c>
      <c r="D336" t="s">
        <v>28478</v>
      </c>
      <c r="E336">
        <v>31048354</v>
      </c>
    </row>
    <row r="337" spans="1:5" x14ac:dyDescent="0.15">
      <c r="A337" t="s">
        <v>4163</v>
      </c>
      <c r="B337" t="s">
        <v>4165</v>
      </c>
      <c r="C337">
        <v>2013</v>
      </c>
      <c r="D337" t="s">
        <v>4178</v>
      </c>
      <c r="E337">
        <v>23615201</v>
      </c>
    </row>
    <row r="338" spans="1:5" x14ac:dyDescent="0.15">
      <c r="A338" t="s">
        <v>4825</v>
      </c>
      <c r="B338" t="s">
        <v>4827</v>
      </c>
      <c r="C338">
        <v>2018</v>
      </c>
      <c r="D338" t="s">
        <v>4839</v>
      </c>
      <c r="E338">
        <v>30291794</v>
      </c>
    </row>
    <row r="339" spans="1:5" x14ac:dyDescent="0.15">
      <c r="A339" t="s">
        <v>9050</v>
      </c>
      <c r="B339" t="s">
        <v>9052</v>
      </c>
      <c r="C339">
        <v>2020</v>
      </c>
      <c r="D339" t="s">
        <v>9060</v>
      </c>
      <c r="E339">
        <v>32198406</v>
      </c>
    </row>
    <row r="340" spans="1:5" x14ac:dyDescent="0.15">
      <c r="A340" t="s">
        <v>11209</v>
      </c>
      <c r="B340" t="s">
        <v>11211</v>
      </c>
      <c r="C340">
        <v>2018</v>
      </c>
      <c r="D340" t="s">
        <v>11223</v>
      </c>
      <c r="E340">
        <v>29986606</v>
      </c>
    </row>
    <row r="341" spans="1:5" x14ac:dyDescent="0.15">
      <c r="A341" t="s">
        <v>13491</v>
      </c>
      <c r="B341" t="s">
        <v>13493</v>
      </c>
      <c r="C341">
        <v>2019</v>
      </c>
      <c r="D341" t="s">
        <v>13504</v>
      </c>
      <c r="E341">
        <v>30890754</v>
      </c>
    </row>
    <row r="342" spans="1:5" x14ac:dyDescent="0.15">
      <c r="A342" t="s">
        <v>24483</v>
      </c>
      <c r="B342" t="s">
        <v>24485</v>
      </c>
      <c r="C342">
        <v>2019</v>
      </c>
      <c r="D342" t="s">
        <v>24498</v>
      </c>
      <c r="E342">
        <v>30953539</v>
      </c>
    </row>
    <row r="343" spans="1:5" x14ac:dyDescent="0.15">
      <c r="A343" t="s">
        <v>73</v>
      </c>
      <c r="B343" t="s">
        <v>77</v>
      </c>
      <c r="C343">
        <v>2017</v>
      </c>
      <c r="D343" t="s">
        <v>91</v>
      </c>
      <c r="E343">
        <v>28185192</v>
      </c>
    </row>
    <row r="344" spans="1:5" x14ac:dyDescent="0.15">
      <c r="A344" t="s">
        <v>9609</v>
      </c>
      <c r="B344" t="s">
        <v>9611</v>
      </c>
      <c r="C344">
        <v>2017</v>
      </c>
      <c r="D344" t="s">
        <v>9620</v>
      </c>
      <c r="E344">
        <v>28060758</v>
      </c>
    </row>
    <row r="345" spans="1:5" x14ac:dyDescent="0.15">
      <c r="A345" t="s">
        <v>10277</v>
      </c>
      <c r="B345" t="s">
        <v>10279</v>
      </c>
      <c r="C345">
        <v>2019</v>
      </c>
      <c r="D345" t="s">
        <v>10290</v>
      </c>
      <c r="E345">
        <v>30468828</v>
      </c>
    </row>
    <row r="346" spans="1:5" x14ac:dyDescent="0.15">
      <c r="A346" t="s">
        <v>9710</v>
      </c>
      <c r="B346" t="s">
        <v>9712</v>
      </c>
      <c r="C346">
        <v>2019</v>
      </c>
      <c r="D346" t="s">
        <v>9722</v>
      </c>
      <c r="E346">
        <v>30643155</v>
      </c>
    </row>
    <row r="347" spans="1:5" x14ac:dyDescent="0.15">
      <c r="A347" t="s">
        <v>10049</v>
      </c>
      <c r="B347" t="s">
        <v>10051</v>
      </c>
      <c r="C347">
        <v>2018</v>
      </c>
      <c r="D347" t="s">
        <v>10060</v>
      </c>
      <c r="E347">
        <v>29016925</v>
      </c>
    </row>
    <row r="348" spans="1:5" x14ac:dyDescent="0.15">
      <c r="A348" t="s">
        <v>2212</v>
      </c>
      <c r="B348" t="s">
        <v>2214</v>
      </c>
      <c r="C348">
        <v>2014</v>
      </c>
      <c r="D348" t="s">
        <v>2226</v>
      </c>
      <c r="E348">
        <v>24564699</v>
      </c>
    </row>
    <row r="349" spans="1:5" x14ac:dyDescent="0.15">
      <c r="A349" t="s">
        <v>26201</v>
      </c>
      <c r="B349" t="s">
        <v>26203</v>
      </c>
      <c r="C349">
        <v>2010</v>
      </c>
      <c r="D349" t="s">
        <v>26213</v>
      </c>
      <c r="E349">
        <v>20976172</v>
      </c>
    </row>
    <row r="350" spans="1:5" x14ac:dyDescent="0.15">
      <c r="A350" t="s">
        <v>27702</v>
      </c>
      <c r="B350" t="s">
        <v>27703</v>
      </c>
      <c r="C350">
        <v>2000</v>
      </c>
      <c r="D350" t="s">
        <v>27713</v>
      </c>
      <c r="E350">
        <v>10618640</v>
      </c>
    </row>
    <row r="351" spans="1:5" x14ac:dyDescent="0.15">
      <c r="A351" t="s">
        <v>1361</v>
      </c>
      <c r="B351" t="s">
        <v>1363</v>
      </c>
      <c r="C351">
        <v>2016</v>
      </c>
      <c r="D351" t="s">
        <v>1374</v>
      </c>
      <c r="E351">
        <v>27437771</v>
      </c>
    </row>
    <row r="352" spans="1:5" x14ac:dyDescent="0.15">
      <c r="A352" t="s">
        <v>2658</v>
      </c>
      <c r="B352" t="s">
        <v>2660</v>
      </c>
      <c r="C352">
        <v>2019</v>
      </c>
      <c r="D352" t="s">
        <v>2672</v>
      </c>
      <c r="E352">
        <v>31279903</v>
      </c>
    </row>
    <row r="353" spans="1:5" x14ac:dyDescent="0.15">
      <c r="A353" t="s">
        <v>3288</v>
      </c>
      <c r="B353" t="s">
        <v>3290</v>
      </c>
      <c r="C353">
        <v>2016</v>
      </c>
      <c r="D353" t="s">
        <v>3301</v>
      </c>
      <c r="E353">
        <v>27684368</v>
      </c>
    </row>
    <row r="354" spans="1:5" x14ac:dyDescent="0.15">
      <c r="A354" t="s">
        <v>10629</v>
      </c>
      <c r="B354" t="s">
        <v>10631</v>
      </c>
      <c r="C354">
        <v>2019</v>
      </c>
      <c r="D354" t="s">
        <v>10638</v>
      </c>
      <c r="E354">
        <v>31820935</v>
      </c>
    </row>
    <row r="355" spans="1:5" x14ac:dyDescent="0.15">
      <c r="A355" t="s">
        <v>14741</v>
      </c>
      <c r="B355" t="s">
        <v>14743</v>
      </c>
      <c r="C355">
        <v>2019</v>
      </c>
      <c r="D355" t="s">
        <v>14751</v>
      </c>
      <c r="E355">
        <v>31200334</v>
      </c>
    </row>
    <row r="356" spans="1:5" x14ac:dyDescent="0.15">
      <c r="A356" t="s">
        <v>6495</v>
      </c>
      <c r="B356" t="s">
        <v>6497</v>
      </c>
      <c r="C356">
        <v>2017</v>
      </c>
      <c r="D356" t="s">
        <v>6509</v>
      </c>
      <c r="E356" t="s">
        <v>74</v>
      </c>
    </row>
    <row r="357" spans="1:5" x14ac:dyDescent="0.15">
      <c r="A357" t="s">
        <v>10399</v>
      </c>
      <c r="B357" t="s">
        <v>10401</v>
      </c>
      <c r="C357">
        <v>2017</v>
      </c>
      <c r="D357" t="s">
        <v>10413</v>
      </c>
      <c r="E357">
        <v>28858636</v>
      </c>
    </row>
    <row r="358" spans="1:5" x14ac:dyDescent="0.15">
      <c r="A358" t="s">
        <v>12231</v>
      </c>
      <c r="B358" t="s">
        <v>12233</v>
      </c>
      <c r="C358">
        <v>2020</v>
      </c>
      <c r="D358" t="s">
        <v>12243</v>
      </c>
      <c r="E358">
        <v>32895384</v>
      </c>
    </row>
    <row r="359" spans="1:5" x14ac:dyDescent="0.15">
      <c r="A359" t="s">
        <v>30393</v>
      </c>
      <c r="B359" t="s">
        <v>30395</v>
      </c>
      <c r="C359">
        <v>2016</v>
      </c>
      <c r="D359" t="s">
        <v>30404</v>
      </c>
      <c r="E359">
        <v>27629697</v>
      </c>
    </row>
    <row r="360" spans="1:5" x14ac:dyDescent="0.15">
      <c r="A360" t="s">
        <v>14986</v>
      </c>
      <c r="B360" t="s">
        <v>14988</v>
      </c>
      <c r="C360">
        <v>2018</v>
      </c>
      <c r="D360" t="s">
        <v>14997</v>
      </c>
      <c r="E360">
        <v>30038324</v>
      </c>
    </row>
    <row r="361" spans="1:5" x14ac:dyDescent="0.15">
      <c r="A361" t="s">
        <v>25670</v>
      </c>
      <c r="B361" t="s">
        <v>25672</v>
      </c>
      <c r="C361">
        <v>2009</v>
      </c>
      <c r="D361" t="s">
        <v>25676</v>
      </c>
      <c r="E361">
        <v>19390692</v>
      </c>
    </row>
    <row r="362" spans="1:5" x14ac:dyDescent="0.15">
      <c r="A362" t="s">
        <v>27739</v>
      </c>
      <c r="B362" t="s">
        <v>27741</v>
      </c>
      <c r="C362">
        <v>2017</v>
      </c>
      <c r="D362" t="s">
        <v>27749</v>
      </c>
      <c r="E362">
        <v>28148795</v>
      </c>
    </row>
    <row r="363" spans="1:5" x14ac:dyDescent="0.15">
      <c r="A363" t="s">
        <v>2689</v>
      </c>
      <c r="B363" t="s">
        <v>2691</v>
      </c>
      <c r="C363">
        <v>2012</v>
      </c>
      <c r="D363" t="s">
        <v>2700</v>
      </c>
      <c r="E363">
        <v>22539202</v>
      </c>
    </row>
    <row r="364" spans="1:5" x14ac:dyDescent="0.15">
      <c r="A364" t="s">
        <v>2878</v>
      </c>
      <c r="B364" t="s">
        <v>2880</v>
      </c>
      <c r="C364">
        <v>2018</v>
      </c>
      <c r="D364" t="s">
        <v>2893</v>
      </c>
      <c r="E364">
        <v>29158318</v>
      </c>
    </row>
    <row r="365" spans="1:5" x14ac:dyDescent="0.15">
      <c r="A365" t="s">
        <v>10118</v>
      </c>
      <c r="B365" t="s">
        <v>10120</v>
      </c>
      <c r="C365">
        <v>2020</v>
      </c>
      <c r="D365" t="s">
        <v>10130</v>
      </c>
      <c r="E365">
        <v>32075753</v>
      </c>
    </row>
    <row r="366" spans="1:5" x14ac:dyDescent="0.15">
      <c r="A366" t="s">
        <v>16312</v>
      </c>
      <c r="B366" t="s">
        <v>16314</v>
      </c>
      <c r="C366">
        <v>2018</v>
      </c>
      <c r="D366" t="s">
        <v>16322</v>
      </c>
      <c r="E366">
        <v>29500342</v>
      </c>
    </row>
    <row r="367" spans="1:5" x14ac:dyDescent="0.15">
      <c r="A367" t="s">
        <v>16500</v>
      </c>
      <c r="B367" t="s">
        <v>16502</v>
      </c>
      <c r="C367">
        <v>2016</v>
      </c>
      <c r="D367" t="s">
        <v>16512</v>
      </c>
      <c r="E367">
        <v>27791108</v>
      </c>
    </row>
    <row r="368" spans="1:5" x14ac:dyDescent="0.15">
      <c r="A368" t="s">
        <v>20607</v>
      </c>
      <c r="B368" t="s">
        <v>20609</v>
      </c>
      <c r="C368">
        <v>2018</v>
      </c>
      <c r="D368" t="s">
        <v>20620</v>
      </c>
      <c r="E368">
        <v>30177542</v>
      </c>
    </row>
    <row r="369" spans="1:5" x14ac:dyDescent="0.15">
      <c r="A369" t="s">
        <v>26639</v>
      </c>
      <c r="B369" t="s">
        <v>26641</v>
      </c>
      <c r="C369">
        <v>2017</v>
      </c>
      <c r="D369" t="s">
        <v>26651</v>
      </c>
      <c r="E369">
        <v>29089562</v>
      </c>
    </row>
    <row r="370" spans="1:5" x14ac:dyDescent="0.15">
      <c r="A370" t="s">
        <v>27851</v>
      </c>
      <c r="B370" t="s">
        <v>27853</v>
      </c>
      <c r="C370">
        <v>2015</v>
      </c>
      <c r="D370" t="s">
        <v>27865</v>
      </c>
      <c r="E370">
        <v>25701498</v>
      </c>
    </row>
    <row r="371" spans="1:5" x14ac:dyDescent="0.15">
      <c r="A371" t="s">
        <v>4311</v>
      </c>
      <c r="B371" t="s">
        <v>4313</v>
      </c>
      <c r="C371">
        <v>2017</v>
      </c>
      <c r="D371" t="s">
        <v>4326</v>
      </c>
      <c r="E371">
        <v>28328650</v>
      </c>
    </row>
    <row r="372" spans="1:5" x14ac:dyDescent="0.15">
      <c r="A372" t="s">
        <v>7569</v>
      </c>
      <c r="B372" t="s">
        <v>7571</v>
      </c>
      <c r="C372">
        <v>2014</v>
      </c>
      <c r="D372" t="s">
        <v>7583</v>
      </c>
      <c r="E372">
        <v>24034793</v>
      </c>
    </row>
    <row r="373" spans="1:5" x14ac:dyDescent="0.15">
      <c r="A373" t="s">
        <v>13072</v>
      </c>
      <c r="B373" t="s">
        <v>13074</v>
      </c>
      <c r="C373">
        <v>2009</v>
      </c>
      <c r="D373" t="s">
        <v>13082</v>
      </c>
      <c r="E373">
        <v>19143024</v>
      </c>
    </row>
    <row r="374" spans="1:5" x14ac:dyDescent="0.15">
      <c r="A374" t="s">
        <v>17371</v>
      </c>
      <c r="B374" t="s">
        <v>17373</v>
      </c>
      <c r="C374">
        <v>2019</v>
      </c>
      <c r="D374" t="s">
        <v>17382</v>
      </c>
      <c r="E374">
        <v>31486634</v>
      </c>
    </row>
    <row r="375" spans="1:5" x14ac:dyDescent="0.15">
      <c r="A375" t="s">
        <v>23877</v>
      </c>
      <c r="B375" t="s">
        <v>23879</v>
      </c>
      <c r="C375">
        <v>2015</v>
      </c>
      <c r="D375" t="s">
        <v>23887</v>
      </c>
      <c r="E375">
        <v>25591738</v>
      </c>
    </row>
    <row r="376" spans="1:5" x14ac:dyDescent="0.15">
      <c r="A376" t="s">
        <v>1214</v>
      </c>
      <c r="B376" t="s">
        <v>1216</v>
      </c>
      <c r="C376">
        <v>2019</v>
      </c>
      <c r="D376" t="s">
        <v>1228</v>
      </c>
      <c r="E376">
        <v>30915846</v>
      </c>
    </row>
    <row r="377" spans="1:5" x14ac:dyDescent="0.15">
      <c r="A377" t="s">
        <v>6024</v>
      </c>
      <c r="B377" t="s">
        <v>6026</v>
      </c>
      <c r="C377">
        <v>2011</v>
      </c>
      <c r="D377" t="s">
        <v>6040</v>
      </c>
      <c r="E377">
        <v>21132466</v>
      </c>
    </row>
    <row r="378" spans="1:5" x14ac:dyDescent="0.15">
      <c r="A378" t="s">
        <v>6927</v>
      </c>
      <c r="B378" t="s">
        <v>6929</v>
      </c>
      <c r="C378">
        <v>2014</v>
      </c>
      <c r="D378" t="s">
        <v>6937</v>
      </c>
      <c r="E378">
        <v>25133686</v>
      </c>
    </row>
    <row r="379" spans="1:5" x14ac:dyDescent="0.15">
      <c r="A379" t="s">
        <v>7485</v>
      </c>
      <c r="B379" t="s">
        <v>7487</v>
      </c>
      <c r="C379">
        <v>2013</v>
      </c>
      <c r="D379" t="s">
        <v>7497</v>
      </c>
      <c r="E379">
        <v>23022668</v>
      </c>
    </row>
    <row r="380" spans="1:5" x14ac:dyDescent="0.15">
      <c r="A380" t="s">
        <v>16679</v>
      </c>
      <c r="B380" t="s">
        <v>16681</v>
      </c>
      <c r="C380">
        <v>2018</v>
      </c>
      <c r="D380" t="s">
        <v>16691</v>
      </c>
      <c r="E380">
        <v>29343810</v>
      </c>
    </row>
    <row r="381" spans="1:5" x14ac:dyDescent="0.15">
      <c r="A381" t="s">
        <v>22382</v>
      </c>
      <c r="B381" t="s">
        <v>22384</v>
      </c>
      <c r="C381">
        <v>2009</v>
      </c>
      <c r="D381" t="s">
        <v>22393</v>
      </c>
      <c r="E381">
        <v>19180118</v>
      </c>
    </row>
    <row r="382" spans="1:5" x14ac:dyDescent="0.15">
      <c r="A382" t="s">
        <v>26600</v>
      </c>
      <c r="B382" t="s">
        <v>26602</v>
      </c>
      <c r="C382">
        <v>2008</v>
      </c>
      <c r="D382" t="s">
        <v>26612</v>
      </c>
      <c r="E382">
        <v>18328526</v>
      </c>
    </row>
    <row r="383" spans="1:5" x14ac:dyDescent="0.15">
      <c r="A383" t="s">
        <v>29066</v>
      </c>
      <c r="B383" t="s">
        <v>29067</v>
      </c>
      <c r="C383">
        <v>1993</v>
      </c>
      <c r="D383" t="s">
        <v>29072</v>
      </c>
      <c r="E383">
        <v>8093357</v>
      </c>
    </row>
    <row r="384" spans="1:5" x14ac:dyDescent="0.15">
      <c r="A384" t="s">
        <v>934</v>
      </c>
      <c r="B384" t="s">
        <v>936</v>
      </c>
      <c r="C384">
        <v>2015</v>
      </c>
      <c r="D384" t="s">
        <v>949</v>
      </c>
      <c r="E384">
        <v>27047249</v>
      </c>
    </row>
    <row r="385" spans="1:5" x14ac:dyDescent="0.15">
      <c r="A385" t="s">
        <v>2929</v>
      </c>
      <c r="B385" t="s">
        <v>2931</v>
      </c>
      <c r="C385">
        <v>2018</v>
      </c>
      <c r="D385" t="s">
        <v>2940</v>
      </c>
      <c r="E385">
        <v>30526536</v>
      </c>
    </row>
    <row r="386" spans="1:5" x14ac:dyDescent="0.15">
      <c r="A386" t="s">
        <v>6774</v>
      </c>
      <c r="B386" t="s">
        <v>6776</v>
      </c>
      <c r="C386">
        <v>2015</v>
      </c>
      <c r="D386" t="s">
        <v>6789</v>
      </c>
      <c r="E386">
        <v>26578789</v>
      </c>
    </row>
    <row r="387" spans="1:5" x14ac:dyDescent="0.15">
      <c r="A387" t="s">
        <v>9479</v>
      </c>
      <c r="B387" t="s">
        <v>9481</v>
      </c>
      <c r="C387">
        <v>2019</v>
      </c>
      <c r="D387" t="s">
        <v>9495</v>
      </c>
      <c r="E387">
        <v>30509943</v>
      </c>
    </row>
    <row r="388" spans="1:5" x14ac:dyDescent="0.15">
      <c r="A388" t="s">
        <v>14363</v>
      </c>
      <c r="B388" t="s">
        <v>14365</v>
      </c>
      <c r="C388">
        <v>2016</v>
      </c>
      <c r="D388" t="s">
        <v>14377</v>
      </c>
      <c r="E388">
        <v>27500388</v>
      </c>
    </row>
    <row r="389" spans="1:5" x14ac:dyDescent="0.15">
      <c r="A389" t="s">
        <v>15479</v>
      </c>
      <c r="B389" t="s">
        <v>15481</v>
      </c>
      <c r="C389">
        <v>2017</v>
      </c>
      <c r="D389" t="s">
        <v>15489</v>
      </c>
      <c r="E389">
        <v>28574818</v>
      </c>
    </row>
    <row r="390" spans="1:5" x14ac:dyDescent="0.15">
      <c r="A390" t="s">
        <v>16799</v>
      </c>
      <c r="B390" t="s">
        <v>16801</v>
      </c>
      <c r="C390">
        <v>2016</v>
      </c>
      <c r="D390" t="s">
        <v>16811</v>
      </c>
      <c r="E390">
        <v>27286649</v>
      </c>
    </row>
    <row r="391" spans="1:5" x14ac:dyDescent="0.15">
      <c r="A391" t="s">
        <v>20679</v>
      </c>
      <c r="B391" t="s">
        <v>20681</v>
      </c>
      <c r="C391">
        <v>2020</v>
      </c>
      <c r="D391" t="s">
        <v>20693</v>
      </c>
      <c r="E391">
        <v>31843276</v>
      </c>
    </row>
    <row r="392" spans="1:5" x14ac:dyDescent="0.15">
      <c r="A392" t="s">
        <v>20724</v>
      </c>
      <c r="B392" t="s">
        <v>20725</v>
      </c>
      <c r="C392">
        <v>1994</v>
      </c>
      <c r="D392" t="s">
        <v>20734</v>
      </c>
      <c r="E392">
        <v>7918455</v>
      </c>
    </row>
    <row r="393" spans="1:5" x14ac:dyDescent="0.15">
      <c r="A393" t="s">
        <v>20736</v>
      </c>
      <c r="B393" t="s">
        <v>20738</v>
      </c>
      <c r="C393">
        <v>2018</v>
      </c>
      <c r="D393" t="s">
        <v>20745</v>
      </c>
      <c r="E393">
        <v>30305607</v>
      </c>
    </row>
    <row r="394" spans="1:5" x14ac:dyDescent="0.15">
      <c r="A394" t="s">
        <v>23290</v>
      </c>
      <c r="B394" t="s">
        <v>23291</v>
      </c>
      <c r="C394">
        <v>2002</v>
      </c>
      <c r="D394" t="s">
        <v>23301</v>
      </c>
      <c r="E394" t="s">
        <v>74</v>
      </c>
    </row>
    <row r="395" spans="1:5" x14ac:dyDescent="0.15">
      <c r="A395" t="s">
        <v>24665</v>
      </c>
      <c r="B395" t="s">
        <v>24667</v>
      </c>
      <c r="C395">
        <v>2020</v>
      </c>
      <c r="D395" t="s">
        <v>24676</v>
      </c>
      <c r="E395">
        <v>32753598</v>
      </c>
    </row>
    <row r="396" spans="1:5" x14ac:dyDescent="0.15">
      <c r="A396" t="s">
        <v>26186</v>
      </c>
      <c r="B396" t="s">
        <v>26188</v>
      </c>
      <c r="C396">
        <v>2016</v>
      </c>
      <c r="D396" t="s">
        <v>26199</v>
      </c>
      <c r="E396">
        <v>27166683</v>
      </c>
    </row>
    <row r="397" spans="1:5" x14ac:dyDescent="0.15">
      <c r="A397" t="s">
        <v>4361</v>
      </c>
      <c r="B397" t="s">
        <v>4363</v>
      </c>
      <c r="C397">
        <v>2017</v>
      </c>
      <c r="D397" t="s">
        <v>4373</v>
      </c>
      <c r="E397">
        <v>28717426</v>
      </c>
    </row>
    <row r="398" spans="1:5" x14ac:dyDescent="0.15">
      <c r="A398" t="s">
        <v>6729</v>
      </c>
      <c r="B398" t="s">
        <v>6731</v>
      </c>
      <c r="C398">
        <v>2020</v>
      </c>
      <c r="D398" t="s">
        <v>6742</v>
      </c>
      <c r="E398">
        <v>32212674</v>
      </c>
    </row>
    <row r="399" spans="1:5" x14ac:dyDescent="0.15">
      <c r="A399" t="s">
        <v>14809</v>
      </c>
      <c r="B399" t="s">
        <v>14811</v>
      </c>
      <c r="C399">
        <v>2017</v>
      </c>
      <c r="D399" t="s">
        <v>14818</v>
      </c>
      <c r="E399">
        <v>28861041</v>
      </c>
    </row>
    <row r="400" spans="1:5" x14ac:dyDescent="0.15">
      <c r="A400" t="s">
        <v>17120</v>
      </c>
      <c r="B400" t="s">
        <v>17122</v>
      </c>
      <c r="C400">
        <v>2018</v>
      </c>
      <c r="D400" t="s">
        <v>17131</v>
      </c>
      <c r="E400">
        <v>29321591</v>
      </c>
    </row>
    <row r="401" spans="1:5" x14ac:dyDescent="0.15">
      <c r="A401" t="s">
        <v>19059</v>
      </c>
      <c r="B401" t="s">
        <v>19061</v>
      </c>
      <c r="C401">
        <v>2017</v>
      </c>
      <c r="D401" t="s">
        <v>19073</v>
      </c>
      <c r="E401">
        <v>28259747</v>
      </c>
    </row>
    <row r="402" spans="1:5" x14ac:dyDescent="0.15">
      <c r="A402" t="s">
        <v>29292</v>
      </c>
      <c r="B402" t="s">
        <v>29294</v>
      </c>
      <c r="C402">
        <v>2018</v>
      </c>
      <c r="D402" t="s">
        <v>29302</v>
      </c>
      <c r="E402">
        <v>29590649</v>
      </c>
    </row>
    <row r="403" spans="1:5" x14ac:dyDescent="0.15">
      <c r="A403" t="s">
        <v>689</v>
      </c>
      <c r="B403" t="s">
        <v>691</v>
      </c>
      <c r="C403">
        <v>2014</v>
      </c>
      <c r="D403" t="s">
        <v>704</v>
      </c>
      <c r="E403">
        <v>24576997</v>
      </c>
    </row>
    <row r="404" spans="1:5" x14ac:dyDescent="0.15">
      <c r="A404" t="s">
        <v>1376</v>
      </c>
      <c r="B404" t="s">
        <v>1378</v>
      </c>
      <c r="C404">
        <v>2019</v>
      </c>
      <c r="D404" t="s">
        <v>1390</v>
      </c>
      <c r="E404">
        <v>31320822</v>
      </c>
    </row>
    <row r="405" spans="1:5" x14ac:dyDescent="0.15">
      <c r="A405" t="s">
        <v>6147</v>
      </c>
      <c r="B405" t="s">
        <v>6149</v>
      </c>
      <c r="C405">
        <v>2018</v>
      </c>
      <c r="D405" t="s">
        <v>6158</v>
      </c>
      <c r="E405">
        <v>30010165</v>
      </c>
    </row>
    <row r="406" spans="1:5" x14ac:dyDescent="0.15">
      <c r="A406" t="s">
        <v>7910</v>
      </c>
      <c r="B406" t="s">
        <v>7912</v>
      </c>
      <c r="C406">
        <v>2018</v>
      </c>
      <c r="D406" t="s">
        <v>7925</v>
      </c>
      <c r="E406">
        <v>29484678</v>
      </c>
    </row>
    <row r="407" spans="1:5" x14ac:dyDescent="0.15">
      <c r="A407" t="s">
        <v>8544</v>
      </c>
      <c r="B407" t="s">
        <v>8546</v>
      </c>
      <c r="C407">
        <v>2017</v>
      </c>
      <c r="D407" t="s">
        <v>8556</v>
      </c>
      <c r="E407">
        <v>28617821</v>
      </c>
    </row>
    <row r="408" spans="1:5" x14ac:dyDescent="0.15">
      <c r="A408" t="s">
        <v>8939</v>
      </c>
      <c r="B408" t="s">
        <v>8941</v>
      </c>
      <c r="C408">
        <v>2019</v>
      </c>
      <c r="D408" t="s">
        <v>8951</v>
      </c>
      <c r="E408" t="s">
        <v>74</v>
      </c>
    </row>
    <row r="409" spans="1:5" x14ac:dyDescent="0.15">
      <c r="A409" t="s">
        <v>16030</v>
      </c>
      <c r="B409" t="s">
        <v>16032</v>
      </c>
      <c r="C409">
        <v>2019</v>
      </c>
      <c r="D409" t="s">
        <v>16044</v>
      </c>
      <c r="E409">
        <v>30809374</v>
      </c>
    </row>
    <row r="410" spans="1:5" x14ac:dyDescent="0.15">
      <c r="A410" t="s">
        <v>17146</v>
      </c>
      <c r="B410" t="s">
        <v>17148</v>
      </c>
      <c r="C410">
        <v>2020</v>
      </c>
      <c r="D410" t="s">
        <v>17157</v>
      </c>
      <c r="E410">
        <v>31903745</v>
      </c>
    </row>
    <row r="411" spans="1:5" x14ac:dyDescent="0.15">
      <c r="A411" t="s">
        <v>18198</v>
      </c>
      <c r="B411" t="s">
        <v>18200</v>
      </c>
      <c r="C411">
        <v>2006</v>
      </c>
      <c r="D411" t="s">
        <v>18213</v>
      </c>
      <c r="E411">
        <v>16442705</v>
      </c>
    </row>
    <row r="412" spans="1:5" x14ac:dyDescent="0.15">
      <c r="A412" t="s">
        <v>23278</v>
      </c>
      <c r="B412" t="s">
        <v>23279</v>
      </c>
      <c r="C412">
        <v>1995</v>
      </c>
      <c r="D412" t="s">
        <v>23288</v>
      </c>
      <c r="E412">
        <v>8596655</v>
      </c>
    </row>
    <row r="413" spans="1:5" x14ac:dyDescent="0.15">
      <c r="A413" t="s">
        <v>25419</v>
      </c>
      <c r="B413" t="s">
        <v>25421</v>
      </c>
      <c r="C413">
        <v>2020</v>
      </c>
      <c r="D413" t="s">
        <v>25427</v>
      </c>
      <c r="E413">
        <v>31705800</v>
      </c>
    </row>
    <row r="414" spans="1:5" x14ac:dyDescent="0.15">
      <c r="A414" t="s">
        <v>28506</v>
      </c>
      <c r="B414" t="s">
        <v>28508</v>
      </c>
      <c r="C414">
        <v>2018</v>
      </c>
      <c r="D414" t="s">
        <v>28517</v>
      </c>
      <c r="E414">
        <v>29858571</v>
      </c>
    </row>
    <row r="415" spans="1:5" x14ac:dyDescent="0.15">
      <c r="A415" t="s">
        <v>28747</v>
      </c>
      <c r="B415" t="s">
        <v>28749</v>
      </c>
      <c r="C415">
        <v>2015</v>
      </c>
      <c r="D415" t="s">
        <v>28760</v>
      </c>
      <c r="E415">
        <v>26012895</v>
      </c>
    </row>
    <row r="416" spans="1:5" x14ac:dyDescent="0.15">
      <c r="A416" t="s">
        <v>233</v>
      </c>
      <c r="B416" t="s">
        <v>235</v>
      </c>
      <c r="C416">
        <v>2019</v>
      </c>
      <c r="D416" t="s">
        <v>248</v>
      </c>
      <c r="E416">
        <v>31614072</v>
      </c>
    </row>
    <row r="417" spans="1:5" x14ac:dyDescent="0.15">
      <c r="A417" t="s">
        <v>2423</v>
      </c>
      <c r="B417" t="s">
        <v>2425</v>
      </c>
      <c r="C417">
        <v>2016</v>
      </c>
      <c r="D417" t="s">
        <v>2437</v>
      </c>
      <c r="E417">
        <v>26918437</v>
      </c>
    </row>
    <row r="418" spans="1:5" x14ac:dyDescent="0.15">
      <c r="A418" t="s">
        <v>7585</v>
      </c>
      <c r="B418" t="s">
        <v>7587</v>
      </c>
      <c r="C418">
        <v>2017</v>
      </c>
      <c r="D418" t="s">
        <v>7599</v>
      </c>
      <c r="E418">
        <v>27824343</v>
      </c>
    </row>
    <row r="419" spans="1:5" x14ac:dyDescent="0.15">
      <c r="A419" t="s">
        <v>19416</v>
      </c>
      <c r="B419" t="s">
        <v>19418</v>
      </c>
      <c r="C419">
        <v>2015</v>
      </c>
      <c r="D419" t="s">
        <v>19428</v>
      </c>
      <c r="E419">
        <v>25945781</v>
      </c>
    </row>
    <row r="420" spans="1:5" x14ac:dyDescent="0.15">
      <c r="A420" t="s">
        <v>19809</v>
      </c>
      <c r="B420" t="s">
        <v>19811</v>
      </c>
      <c r="C420">
        <v>2016</v>
      </c>
      <c r="D420" t="s">
        <v>19820</v>
      </c>
      <c r="E420">
        <v>27259562</v>
      </c>
    </row>
    <row r="421" spans="1:5" x14ac:dyDescent="0.15">
      <c r="A421" t="s">
        <v>20709</v>
      </c>
      <c r="B421" t="s">
        <v>20711</v>
      </c>
      <c r="C421">
        <v>2019</v>
      </c>
      <c r="D421" t="s">
        <v>20722</v>
      </c>
      <c r="E421">
        <v>30804548</v>
      </c>
    </row>
    <row r="422" spans="1:5" x14ac:dyDescent="0.15">
      <c r="A422" t="s">
        <v>25229</v>
      </c>
      <c r="B422" t="s">
        <v>25231</v>
      </c>
      <c r="C422">
        <v>2016</v>
      </c>
      <c r="D422" t="s">
        <v>25239</v>
      </c>
      <c r="E422">
        <v>27417393</v>
      </c>
    </row>
    <row r="423" spans="1:5" x14ac:dyDescent="0.15">
      <c r="A423" t="s">
        <v>25944</v>
      </c>
      <c r="B423" t="s">
        <v>25946</v>
      </c>
      <c r="C423">
        <v>2015</v>
      </c>
      <c r="D423" t="s">
        <v>25956</v>
      </c>
      <c r="E423">
        <v>26503143</v>
      </c>
    </row>
    <row r="424" spans="1:5" x14ac:dyDescent="0.15">
      <c r="A424" t="s">
        <v>26433</v>
      </c>
      <c r="B424" t="s">
        <v>26435</v>
      </c>
      <c r="C424">
        <v>2010</v>
      </c>
      <c r="D424" t="s">
        <v>26444</v>
      </c>
      <c r="E424">
        <v>20702627</v>
      </c>
    </row>
    <row r="425" spans="1:5" x14ac:dyDescent="0.15">
      <c r="A425" t="s">
        <v>27778</v>
      </c>
      <c r="B425" t="s">
        <v>27780</v>
      </c>
      <c r="C425">
        <v>2014</v>
      </c>
      <c r="D425" t="s">
        <v>27788</v>
      </c>
      <c r="E425">
        <v>24499465</v>
      </c>
    </row>
    <row r="426" spans="1:5" x14ac:dyDescent="0.15">
      <c r="A426" t="s">
        <v>3208</v>
      </c>
      <c r="B426" t="s">
        <v>3210</v>
      </c>
      <c r="C426">
        <v>2018</v>
      </c>
      <c r="D426" t="s">
        <v>3221</v>
      </c>
      <c r="E426">
        <v>30149804</v>
      </c>
    </row>
    <row r="427" spans="1:5" x14ac:dyDescent="0.15">
      <c r="A427" t="s">
        <v>3407</v>
      </c>
      <c r="B427" t="s">
        <v>3409</v>
      </c>
      <c r="C427">
        <v>2020</v>
      </c>
      <c r="D427" t="s">
        <v>3420</v>
      </c>
      <c r="E427">
        <v>31866504</v>
      </c>
    </row>
    <row r="428" spans="1:5" x14ac:dyDescent="0.15">
      <c r="A428" t="s">
        <v>5613</v>
      </c>
      <c r="B428" t="s">
        <v>5615</v>
      </c>
      <c r="C428">
        <v>2018</v>
      </c>
      <c r="D428" t="s">
        <v>5623</v>
      </c>
      <c r="E428">
        <v>29382201</v>
      </c>
    </row>
    <row r="429" spans="1:5" x14ac:dyDescent="0.15">
      <c r="A429" t="s">
        <v>11627</v>
      </c>
      <c r="B429" t="s">
        <v>11629</v>
      </c>
      <c r="C429">
        <v>2018</v>
      </c>
      <c r="D429" t="s">
        <v>11638</v>
      </c>
      <c r="E429">
        <v>29145073</v>
      </c>
    </row>
    <row r="430" spans="1:5" x14ac:dyDescent="0.15">
      <c r="A430" t="s">
        <v>11823</v>
      </c>
      <c r="B430" t="s">
        <v>11825</v>
      </c>
      <c r="C430">
        <v>2020</v>
      </c>
      <c r="D430" t="s">
        <v>11836</v>
      </c>
      <c r="E430">
        <v>32574035</v>
      </c>
    </row>
    <row r="431" spans="1:5" x14ac:dyDescent="0.15">
      <c r="A431" t="s">
        <v>14642</v>
      </c>
      <c r="B431" t="s">
        <v>14644</v>
      </c>
      <c r="C431">
        <v>2019</v>
      </c>
      <c r="D431" t="s">
        <v>14653</v>
      </c>
      <c r="E431">
        <v>31717747</v>
      </c>
    </row>
    <row r="432" spans="1:5" x14ac:dyDescent="0.15">
      <c r="A432" t="s">
        <v>15027</v>
      </c>
      <c r="B432" t="s">
        <v>15029</v>
      </c>
      <c r="C432">
        <v>2018</v>
      </c>
      <c r="D432" t="s">
        <v>15036</v>
      </c>
      <c r="E432">
        <v>29274250</v>
      </c>
    </row>
    <row r="433" spans="1:5" x14ac:dyDescent="0.15">
      <c r="A433" t="s">
        <v>15144</v>
      </c>
      <c r="B433" t="s">
        <v>15146</v>
      </c>
      <c r="C433">
        <v>2014</v>
      </c>
      <c r="D433" t="s">
        <v>15152</v>
      </c>
      <c r="E433">
        <v>24480987</v>
      </c>
    </row>
    <row r="434" spans="1:5" x14ac:dyDescent="0.15">
      <c r="A434" t="s">
        <v>21307</v>
      </c>
      <c r="B434" t="s">
        <v>21308</v>
      </c>
      <c r="C434">
        <v>2005</v>
      </c>
      <c r="D434" t="s">
        <v>21318</v>
      </c>
      <c r="E434">
        <v>15883034</v>
      </c>
    </row>
    <row r="435" spans="1:5" x14ac:dyDescent="0.15">
      <c r="A435" t="s">
        <v>27650</v>
      </c>
      <c r="B435" t="s">
        <v>27652</v>
      </c>
      <c r="C435">
        <v>2019</v>
      </c>
      <c r="D435" t="s">
        <v>27662</v>
      </c>
      <c r="E435">
        <v>30736860</v>
      </c>
    </row>
    <row r="436" spans="1:5" x14ac:dyDescent="0.15">
      <c r="A436" t="s">
        <v>29429</v>
      </c>
      <c r="B436" t="s">
        <v>29431</v>
      </c>
      <c r="C436">
        <v>2014</v>
      </c>
      <c r="D436" t="s">
        <v>29437</v>
      </c>
      <c r="E436">
        <v>24948658</v>
      </c>
    </row>
    <row r="437" spans="1:5" x14ac:dyDescent="0.15">
      <c r="A437" t="s">
        <v>7140</v>
      </c>
      <c r="B437" t="s">
        <v>7142</v>
      </c>
      <c r="C437">
        <v>2019</v>
      </c>
      <c r="D437" t="s">
        <v>7152</v>
      </c>
      <c r="E437">
        <v>31771176</v>
      </c>
    </row>
    <row r="438" spans="1:5" x14ac:dyDescent="0.15">
      <c r="A438" t="s">
        <v>14452</v>
      </c>
      <c r="B438" t="s">
        <v>14454</v>
      </c>
      <c r="C438">
        <v>2013</v>
      </c>
      <c r="D438" t="s">
        <v>14466</v>
      </c>
      <c r="E438">
        <v>23869968</v>
      </c>
    </row>
    <row r="439" spans="1:5" x14ac:dyDescent="0.15">
      <c r="A439" t="s">
        <v>21735</v>
      </c>
      <c r="B439" t="s">
        <v>21737</v>
      </c>
      <c r="C439">
        <v>2017</v>
      </c>
      <c r="D439" t="s">
        <v>21746</v>
      </c>
      <c r="E439">
        <v>28724791</v>
      </c>
    </row>
    <row r="440" spans="1:5" x14ac:dyDescent="0.15">
      <c r="A440" t="s">
        <v>25488</v>
      </c>
      <c r="B440" t="s">
        <v>25490</v>
      </c>
      <c r="C440">
        <v>2012</v>
      </c>
      <c r="D440" t="s">
        <v>25499</v>
      </c>
      <c r="E440">
        <v>23073155</v>
      </c>
    </row>
    <row r="441" spans="1:5" x14ac:dyDescent="0.15">
      <c r="A441" t="s">
        <v>27955</v>
      </c>
      <c r="B441" t="s">
        <v>27957</v>
      </c>
      <c r="C441">
        <v>2018</v>
      </c>
      <c r="D441" t="s">
        <v>27963</v>
      </c>
      <c r="E441">
        <v>29588600</v>
      </c>
    </row>
    <row r="442" spans="1:5" x14ac:dyDescent="0.15">
      <c r="A442" t="s">
        <v>2119</v>
      </c>
      <c r="B442" t="s">
        <v>2122</v>
      </c>
      <c r="C442">
        <v>2013</v>
      </c>
      <c r="D442" t="s">
        <v>2133</v>
      </c>
      <c r="E442">
        <v>23913240</v>
      </c>
    </row>
    <row r="443" spans="1:5" x14ac:dyDescent="0.15">
      <c r="A443" t="s">
        <v>12702</v>
      </c>
      <c r="B443" t="s">
        <v>12704</v>
      </c>
      <c r="C443">
        <v>2016</v>
      </c>
      <c r="D443" t="s">
        <v>12713</v>
      </c>
      <c r="E443">
        <v>27013199</v>
      </c>
    </row>
    <row r="444" spans="1:5" x14ac:dyDescent="0.15">
      <c r="A444" t="s">
        <v>12812</v>
      </c>
      <c r="B444" t="s">
        <v>12814</v>
      </c>
      <c r="C444">
        <v>2019</v>
      </c>
      <c r="D444" t="s">
        <v>12827</v>
      </c>
      <c r="E444">
        <v>30997751</v>
      </c>
    </row>
    <row r="445" spans="1:5" x14ac:dyDescent="0.15">
      <c r="A445" t="s">
        <v>18164</v>
      </c>
      <c r="B445" t="s">
        <v>18166</v>
      </c>
      <c r="C445">
        <v>2017</v>
      </c>
      <c r="D445" t="s">
        <v>18174</v>
      </c>
      <c r="E445">
        <v>28041903</v>
      </c>
    </row>
    <row r="446" spans="1:5" x14ac:dyDescent="0.15">
      <c r="A446" t="s">
        <v>20083</v>
      </c>
      <c r="B446" t="s">
        <v>20085</v>
      </c>
      <c r="C446">
        <v>2018</v>
      </c>
      <c r="D446" t="s">
        <v>20096</v>
      </c>
      <c r="E446">
        <v>29371474</v>
      </c>
    </row>
    <row r="447" spans="1:5" x14ac:dyDescent="0.15">
      <c r="A447" t="s">
        <v>23124</v>
      </c>
      <c r="B447" t="s">
        <v>23126</v>
      </c>
      <c r="C447">
        <v>2019</v>
      </c>
      <c r="D447" t="s">
        <v>23135</v>
      </c>
      <c r="E447">
        <v>31546246</v>
      </c>
    </row>
    <row r="448" spans="1:5" x14ac:dyDescent="0.15">
      <c r="A448" t="s">
        <v>24034</v>
      </c>
      <c r="B448" t="s">
        <v>24036</v>
      </c>
      <c r="C448">
        <v>2007</v>
      </c>
      <c r="D448" t="s">
        <v>24045</v>
      </c>
      <c r="E448">
        <v>17236849</v>
      </c>
    </row>
    <row r="449" spans="1:5" x14ac:dyDescent="0.15">
      <c r="A449" t="s">
        <v>24945</v>
      </c>
      <c r="B449" t="s">
        <v>24946</v>
      </c>
      <c r="C449">
        <v>2001</v>
      </c>
      <c r="D449" t="s">
        <v>24955</v>
      </c>
      <c r="E449">
        <v>11746262</v>
      </c>
    </row>
    <row r="450" spans="1:5" x14ac:dyDescent="0.15">
      <c r="A450" t="s">
        <v>26039</v>
      </c>
      <c r="B450" t="s">
        <v>26041</v>
      </c>
      <c r="C450">
        <v>2010</v>
      </c>
      <c r="D450" t="s">
        <v>26053</v>
      </c>
      <c r="E450">
        <v>20522248</v>
      </c>
    </row>
    <row r="451" spans="1:5" x14ac:dyDescent="0.15">
      <c r="A451" t="s">
        <v>28007</v>
      </c>
      <c r="B451" t="s">
        <v>28009</v>
      </c>
      <c r="C451">
        <v>2012</v>
      </c>
      <c r="D451" t="s">
        <v>28022</v>
      </c>
      <c r="E451">
        <v>22118870</v>
      </c>
    </row>
    <row r="452" spans="1:5" x14ac:dyDescent="0.15">
      <c r="A452" t="s">
        <v>28701</v>
      </c>
      <c r="B452" t="s">
        <v>28703</v>
      </c>
      <c r="C452">
        <v>2014</v>
      </c>
      <c r="D452" t="s">
        <v>28711</v>
      </c>
      <c r="E452">
        <v>24618884</v>
      </c>
    </row>
    <row r="453" spans="1:5" x14ac:dyDescent="0.15">
      <c r="A453" t="s">
        <v>9819</v>
      </c>
      <c r="B453" t="s">
        <v>9821</v>
      </c>
      <c r="C453">
        <v>2019</v>
      </c>
      <c r="D453" t="s">
        <v>9832</v>
      </c>
      <c r="E453">
        <v>31318195</v>
      </c>
    </row>
    <row r="454" spans="1:5" x14ac:dyDescent="0.15">
      <c r="A454" t="s">
        <v>14765</v>
      </c>
      <c r="B454" t="s">
        <v>14767</v>
      </c>
      <c r="C454">
        <v>2017</v>
      </c>
      <c r="D454" t="s">
        <v>74</v>
      </c>
      <c r="E454">
        <v>28469765</v>
      </c>
    </row>
    <row r="455" spans="1:5" x14ac:dyDescent="0.15">
      <c r="A455" t="s">
        <v>16658</v>
      </c>
      <c r="B455" t="s">
        <v>16660</v>
      </c>
      <c r="C455">
        <v>2020</v>
      </c>
      <c r="D455" t="s">
        <v>16666</v>
      </c>
      <c r="E455">
        <v>31594629</v>
      </c>
    </row>
    <row r="456" spans="1:5" x14ac:dyDescent="0.15">
      <c r="A456" t="s">
        <v>17106</v>
      </c>
      <c r="B456" t="s">
        <v>17108</v>
      </c>
      <c r="C456">
        <v>2020</v>
      </c>
      <c r="D456" t="s">
        <v>17118</v>
      </c>
      <c r="E456">
        <v>32079286</v>
      </c>
    </row>
    <row r="457" spans="1:5" x14ac:dyDescent="0.15">
      <c r="A457" t="s">
        <v>17594</v>
      </c>
      <c r="B457" t="s">
        <v>17595</v>
      </c>
      <c r="C457">
        <v>1999</v>
      </c>
      <c r="D457" t="s">
        <v>17603</v>
      </c>
      <c r="E457">
        <v>10373306</v>
      </c>
    </row>
    <row r="458" spans="1:5" x14ac:dyDescent="0.15">
      <c r="A458" t="s">
        <v>21682</v>
      </c>
      <c r="B458" t="s">
        <v>21684</v>
      </c>
      <c r="C458">
        <v>2018</v>
      </c>
      <c r="D458" t="s">
        <v>21694</v>
      </c>
      <c r="E458">
        <v>30085333</v>
      </c>
    </row>
    <row r="459" spans="1:5" x14ac:dyDescent="0.15">
      <c r="A459" t="s">
        <v>22127</v>
      </c>
      <c r="B459" t="s">
        <v>22129</v>
      </c>
      <c r="C459">
        <v>2009</v>
      </c>
      <c r="D459" t="s">
        <v>22139</v>
      </c>
      <c r="E459">
        <v>19638500</v>
      </c>
    </row>
    <row r="460" spans="1:5" x14ac:dyDescent="0.15">
      <c r="A460" t="s">
        <v>22730</v>
      </c>
      <c r="B460" t="s">
        <v>22732</v>
      </c>
      <c r="C460">
        <v>2019</v>
      </c>
      <c r="D460" t="s">
        <v>22740</v>
      </c>
      <c r="E460">
        <v>31511515</v>
      </c>
    </row>
    <row r="461" spans="1:5" x14ac:dyDescent="0.15">
      <c r="A461" t="s">
        <v>22806</v>
      </c>
      <c r="B461" t="s">
        <v>22807</v>
      </c>
      <c r="C461">
        <v>2005</v>
      </c>
      <c r="D461" t="s">
        <v>22816</v>
      </c>
      <c r="E461">
        <v>15659066</v>
      </c>
    </row>
    <row r="462" spans="1:5" x14ac:dyDescent="0.15">
      <c r="A462" t="s">
        <v>23889</v>
      </c>
      <c r="B462" t="s">
        <v>23890</v>
      </c>
      <c r="C462">
        <v>2005</v>
      </c>
      <c r="D462" t="s">
        <v>23899</v>
      </c>
      <c r="E462">
        <v>16103147</v>
      </c>
    </row>
    <row r="463" spans="1:5" x14ac:dyDescent="0.15">
      <c r="A463" t="s">
        <v>27421</v>
      </c>
      <c r="B463" t="s">
        <v>27423</v>
      </c>
      <c r="C463">
        <v>2016</v>
      </c>
      <c r="D463" t="s">
        <v>27432</v>
      </c>
      <c r="E463">
        <v>26831114</v>
      </c>
    </row>
    <row r="464" spans="1:5" x14ac:dyDescent="0.15">
      <c r="A464" t="s">
        <v>6671</v>
      </c>
      <c r="B464" t="s">
        <v>6673</v>
      </c>
      <c r="C464">
        <v>2018</v>
      </c>
      <c r="D464" t="s">
        <v>6679</v>
      </c>
      <c r="E464">
        <v>29976662</v>
      </c>
    </row>
    <row r="465" spans="1:5" x14ac:dyDescent="0.15">
      <c r="A465" t="s">
        <v>7343</v>
      </c>
      <c r="B465" t="s">
        <v>7345</v>
      </c>
      <c r="C465">
        <v>2017</v>
      </c>
      <c r="D465" t="s">
        <v>7355</v>
      </c>
      <c r="E465">
        <v>28659878</v>
      </c>
    </row>
    <row r="466" spans="1:5" x14ac:dyDescent="0.15">
      <c r="A466" t="s">
        <v>8851</v>
      </c>
      <c r="B466" t="s">
        <v>8853</v>
      </c>
      <c r="C466">
        <v>2020</v>
      </c>
      <c r="D466" t="s">
        <v>8864</v>
      </c>
      <c r="E466">
        <v>31911034</v>
      </c>
    </row>
    <row r="467" spans="1:5" x14ac:dyDescent="0.15">
      <c r="A467" t="s">
        <v>25703</v>
      </c>
      <c r="B467" t="s">
        <v>25705</v>
      </c>
      <c r="C467">
        <v>2014</v>
      </c>
      <c r="D467" t="s">
        <v>25715</v>
      </c>
      <c r="E467">
        <v>24714637</v>
      </c>
    </row>
    <row r="468" spans="1:5" x14ac:dyDescent="0.15">
      <c r="A468" t="s">
        <v>26575</v>
      </c>
      <c r="B468" t="s">
        <v>26577</v>
      </c>
      <c r="C468">
        <v>2014</v>
      </c>
      <c r="D468" t="s">
        <v>26589</v>
      </c>
      <c r="E468">
        <v>24569769</v>
      </c>
    </row>
    <row r="469" spans="1:5" x14ac:dyDescent="0.15">
      <c r="A469" t="s">
        <v>30460</v>
      </c>
      <c r="B469" t="s">
        <v>30462</v>
      </c>
      <c r="C469">
        <v>2009</v>
      </c>
      <c r="D469" t="s">
        <v>30471</v>
      </c>
      <c r="E469">
        <v>19706700</v>
      </c>
    </row>
    <row r="470" spans="1:5" x14ac:dyDescent="0.15">
      <c r="A470" t="s">
        <v>5454</v>
      </c>
      <c r="B470" t="s">
        <v>5456</v>
      </c>
      <c r="C470">
        <v>2018</v>
      </c>
      <c r="D470" t="s">
        <v>5463</v>
      </c>
      <c r="E470">
        <v>30595972</v>
      </c>
    </row>
    <row r="471" spans="1:5" x14ac:dyDescent="0.15">
      <c r="A471" t="s">
        <v>8340</v>
      </c>
      <c r="B471" t="s">
        <v>8342</v>
      </c>
      <c r="C471">
        <v>2020</v>
      </c>
      <c r="D471" t="s">
        <v>8355</v>
      </c>
      <c r="E471">
        <v>31756034</v>
      </c>
    </row>
    <row r="472" spans="1:5" x14ac:dyDescent="0.15">
      <c r="A472" t="s">
        <v>11310</v>
      </c>
      <c r="B472" t="s">
        <v>11312</v>
      </c>
      <c r="C472">
        <v>2018</v>
      </c>
      <c r="D472" t="s">
        <v>11320</v>
      </c>
      <c r="E472">
        <v>30008386</v>
      </c>
    </row>
    <row r="473" spans="1:5" x14ac:dyDescent="0.15">
      <c r="A473" t="s">
        <v>11472</v>
      </c>
      <c r="B473" t="s">
        <v>11474</v>
      </c>
      <c r="C473">
        <v>2014</v>
      </c>
      <c r="D473" t="s">
        <v>11484</v>
      </c>
      <c r="E473">
        <v>24458310</v>
      </c>
    </row>
    <row r="474" spans="1:5" x14ac:dyDescent="0.15">
      <c r="A474" t="s">
        <v>13150</v>
      </c>
      <c r="B474" t="s">
        <v>13152</v>
      </c>
      <c r="C474">
        <v>2018</v>
      </c>
      <c r="D474" t="s">
        <v>13159</v>
      </c>
      <c r="E474" t="s">
        <v>74</v>
      </c>
    </row>
    <row r="475" spans="1:5" x14ac:dyDescent="0.15">
      <c r="A475" t="s">
        <v>13274</v>
      </c>
      <c r="B475" t="s">
        <v>13276</v>
      </c>
      <c r="C475">
        <v>2019</v>
      </c>
      <c r="D475" t="s">
        <v>13286</v>
      </c>
      <c r="E475">
        <v>31288510</v>
      </c>
    </row>
    <row r="476" spans="1:5" x14ac:dyDescent="0.15">
      <c r="A476" t="s">
        <v>17831</v>
      </c>
      <c r="B476" t="s">
        <v>17833</v>
      </c>
      <c r="C476">
        <v>2019</v>
      </c>
      <c r="D476" t="s">
        <v>17843</v>
      </c>
      <c r="E476">
        <v>31349735</v>
      </c>
    </row>
    <row r="477" spans="1:5" x14ac:dyDescent="0.15">
      <c r="A477" t="s">
        <v>20016</v>
      </c>
      <c r="B477" t="s">
        <v>20018</v>
      </c>
      <c r="C477">
        <v>2017</v>
      </c>
      <c r="D477" t="s">
        <v>20030</v>
      </c>
      <c r="E477">
        <v>28791708</v>
      </c>
    </row>
    <row r="478" spans="1:5" x14ac:dyDescent="0.15">
      <c r="A478" t="s">
        <v>21131</v>
      </c>
      <c r="B478" t="s">
        <v>21133</v>
      </c>
      <c r="C478">
        <v>2016</v>
      </c>
      <c r="D478" t="s">
        <v>21142</v>
      </c>
      <c r="E478">
        <v>27381477</v>
      </c>
    </row>
    <row r="479" spans="1:5" x14ac:dyDescent="0.15">
      <c r="A479" t="s">
        <v>22510</v>
      </c>
      <c r="B479" t="s">
        <v>22511</v>
      </c>
      <c r="C479">
        <v>2003</v>
      </c>
      <c r="D479" t="s">
        <v>22518</v>
      </c>
      <c r="E479">
        <v>14651978</v>
      </c>
    </row>
    <row r="480" spans="1:5" x14ac:dyDescent="0.15">
      <c r="A480" t="s">
        <v>23161</v>
      </c>
      <c r="B480" t="s">
        <v>23163</v>
      </c>
      <c r="C480">
        <v>2020</v>
      </c>
      <c r="D480" t="s">
        <v>23169</v>
      </c>
      <c r="E480">
        <v>32342086</v>
      </c>
    </row>
    <row r="481" spans="1:5" x14ac:dyDescent="0.15">
      <c r="A481" t="s">
        <v>26381</v>
      </c>
      <c r="B481" t="s">
        <v>26383</v>
      </c>
      <c r="C481">
        <v>2017</v>
      </c>
      <c r="D481" t="s">
        <v>26392</v>
      </c>
      <c r="E481">
        <v>28408343</v>
      </c>
    </row>
    <row r="482" spans="1:5" x14ac:dyDescent="0.15">
      <c r="A482" t="s">
        <v>28065</v>
      </c>
      <c r="B482" t="s">
        <v>28066</v>
      </c>
      <c r="C482">
        <v>1992</v>
      </c>
      <c r="D482" t="s">
        <v>74</v>
      </c>
      <c r="E482">
        <v>1387665</v>
      </c>
    </row>
    <row r="483" spans="1:5" x14ac:dyDescent="0.15">
      <c r="A483" t="s">
        <v>196</v>
      </c>
      <c r="B483" t="s">
        <v>198</v>
      </c>
      <c r="C483">
        <v>2015</v>
      </c>
      <c r="D483" t="s">
        <v>212</v>
      </c>
      <c r="E483">
        <v>26126838</v>
      </c>
    </row>
    <row r="484" spans="1:5" x14ac:dyDescent="0.15">
      <c r="A484" t="s">
        <v>4435</v>
      </c>
      <c r="B484" t="s">
        <v>4437</v>
      </c>
      <c r="C484">
        <v>2021</v>
      </c>
      <c r="D484" t="s">
        <v>4447</v>
      </c>
      <c r="E484">
        <v>33369392</v>
      </c>
    </row>
    <row r="485" spans="1:5" x14ac:dyDescent="0.15">
      <c r="A485" t="s">
        <v>6557</v>
      </c>
      <c r="B485" t="s">
        <v>6559</v>
      </c>
      <c r="C485">
        <v>2021</v>
      </c>
      <c r="D485" t="s">
        <v>6567</v>
      </c>
      <c r="E485">
        <v>33455159</v>
      </c>
    </row>
    <row r="486" spans="1:5" x14ac:dyDescent="0.15">
      <c r="A486" t="s">
        <v>8021</v>
      </c>
      <c r="B486" t="s">
        <v>8023</v>
      </c>
      <c r="C486">
        <v>2018</v>
      </c>
      <c r="D486" t="s">
        <v>8038</v>
      </c>
      <c r="E486">
        <v>30088371</v>
      </c>
    </row>
    <row r="487" spans="1:5" x14ac:dyDescent="0.15">
      <c r="A487" t="s">
        <v>16454</v>
      </c>
      <c r="B487" t="s">
        <v>16456</v>
      </c>
      <c r="C487">
        <v>2019</v>
      </c>
      <c r="D487" t="s">
        <v>16460</v>
      </c>
      <c r="E487">
        <v>30698587</v>
      </c>
    </row>
    <row r="488" spans="1:5" x14ac:dyDescent="0.15">
      <c r="A488" t="s">
        <v>19212</v>
      </c>
      <c r="B488" t="s">
        <v>19214</v>
      </c>
      <c r="C488">
        <v>2020</v>
      </c>
      <c r="D488" t="s">
        <v>19224</v>
      </c>
      <c r="E488">
        <v>32119540</v>
      </c>
    </row>
    <row r="489" spans="1:5" x14ac:dyDescent="0.15">
      <c r="A489" t="s">
        <v>20446</v>
      </c>
      <c r="B489" t="s">
        <v>20448</v>
      </c>
      <c r="C489">
        <v>2014</v>
      </c>
      <c r="D489" t="s">
        <v>20458</v>
      </c>
      <c r="E489">
        <v>25077560</v>
      </c>
    </row>
    <row r="490" spans="1:5" x14ac:dyDescent="0.15">
      <c r="A490" t="s">
        <v>24123</v>
      </c>
      <c r="B490" t="s">
        <v>24125</v>
      </c>
      <c r="C490">
        <v>2016</v>
      </c>
      <c r="D490" t="s">
        <v>24134</v>
      </c>
      <c r="E490">
        <v>27180609</v>
      </c>
    </row>
    <row r="491" spans="1:5" x14ac:dyDescent="0.15">
      <c r="A491" t="s">
        <v>24457</v>
      </c>
      <c r="B491" t="s">
        <v>24459</v>
      </c>
      <c r="C491">
        <v>2009</v>
      </c>
      <c r="D491" t="s">
        <v>24467</v>
      </c>
      <c r="E491">
        <v>19532123</v>
      </c>
    </row>
    <row r="492" spans="1:5" x14ac:dyDescent="0.15">
      <c r="A492" t="s">
        <v>814</v>
      </c>
      <c r="B492" t="s">
        <v>816</v>
      </c>
      <c r="C492">
        <v>2019</v>
      </c>
      <c r="D492" t="s">
        <v>829</v>
      </c>
      <c r="E492">
        <v>31091653</v>
      </c>
    </row>
    <row r="493" spans="1:5" x14ac:dyDescent="0.15">
      <c r="A493" t="s">
        <v>2475</v>
      </c>
      <c r="B493" t="s">
        <v>2477</v>
      </c>
      <c r="C493">
        <v>2018</v>
      </c>
      <c r="D493" t="s">
        <v>2489</v>
      </c>
      <c r="E493">
        <v>30339193</v>
      </c>
    </row>
    <row r="494" spans="1:5" x14ac:dyDescent="0.15">
      <c r="A494" t="s">
        <v>8811</v>
      </c>
      <c r="B494" t="s">
        <v>8813</v>
      </c>
      <c r="C494">
        <v>2019</v>
      </c>
      <c r="D494" t="s">
        <v>8822</v>
      </c>
      <c r="E494">
        <v>31235776</v>
      </c>
    </row>
    <row r="495" spans="1:5" x14ac:dyDescent="0.15">
      <c r="A495" t="s">
        <v>13447</v>
      </c>
      <c r="B495" t="s">
        <v>13449</v>
      </c>
      <c r="C495">
        <v>2019</v>
      </c>
      <c r="D495" t="s">
        <v>13458</v>
      </c>
      <c r="E495">
        <v>31281309</v>
      </c>
    </row>
    <row r="496" spans="1:5" x14ac:dyDescent="0.15">
      <c r="A496" t="s">
        <v>14394</v>
      </c>
      <c r="B496" t="s">
        <v>14396</v>
      </c>
      <c r="C496">
        <v>2013</v>
      </c>
      <c r="D496" t="s">
        <v>14408</v>
      </c>
      <c r="E496">
        <v>23356325</v>
      </c>
    </row>
    <row r="497" spans="1:5" x14ac:dyDescent="0.15">
      <c r="A497" t="s">
        <v>14835</v>
      </c>
      <c r="B497" t="s">
        <v>14837</v>
      </c>
      <c r="C497">
        <v>2015</v>
      </c>
      <c r="D497" t="s">
        <v>14845</v>
      </c>
      <c r="E497">
        <v>26380258</v>
      </c>
    </row>
    <row r="498" spans="1:5" x14ac:dyDescent="0.15">
      <c r="A498" t="s">
        <v>15817</v>
      </c>
      <c r="B498" t="s">
        <v>15819</v>
      </c>
      <c r="C498">
        <v>2011</v>
      </c>
      <c r="D498" t="s">
        <v>15826</v>
      </c>
      <c r="E498">
        <v>21638509</v>
      </c>
    </row>
    <row r="499" spans="1:5" x14ac:dyDescent="0.15">
      <c r="A499" t="s">
        <v>15966</v>
      </c>
      <c r="B499" t="s">
        <v>15968</v>
      </c>
      <c r="C499">
        <v>2018</v>
      </c>
      <c r="D499" t="s">
        <v>15981</v>
      </c>
      <c r="E499">
        <v>29555694</v>
      </c>
    </row>
    <row r="500" spans="1:5" x14ac:dyDescent="0.15">
      <c r="A500" t="s">
        <v>19022</v>
      </c>
      <c r="B500" t="s">
        <v>19024</v>
      </c>
      <c r="C500">
        <v>2020</v>
      </c>
      <c r="D500" t="s">
        <v>19033</v>
      </c>
      <c r="E500">
        <v>32228703</v>
      </c>
    </row>
    <row r="501" spans="1:5" x14ac:dyDescent="0.15">
      <c r="A501" t="s">
        <v>23303</v>
      </c>
      <c r="B501" t="s">
        <v>23305</v>
      </c>
      <c r="C501">
        <v>2019</v>
      </c>
      <c r="D501" t="s">
        <v>23314</v>
      </c>
      <c r="E501">
        <v>31057302</v>
      </c>
    </row>
    <row r="502" spans="1:5" x14ac:dyDescent="0.15">
      <c r="A502" t="s">
        <v>24642</v>
      </c>
      <c r="B502" t="s">
        <v>24643</v>
      </c>
      <c r="C502">
        <v>1992</v>
      </c>
      <c r="D502" t="s">
        <v>24650</v>
      </c>
      <c r="E502">
        <v>1569964</v>
      </c>
    </row>
    <row r="503" spans="1:5" x14ac:dyDescent="0.15">
      <c r="A503" t="s">
        <v>25346</v>
      </c>
      <c r="B503" t="s">
        <v>25348</v>
      </c>
      <c r="C503">
        <v>2018</v>
      </c>
      <c r="D503" t="s">
        <v>25361</v>
      </c>
      <c r="E503">
        <v>29478751</v>
      </c>
    </row>
    <row r="504" spans="1:5" x14ac:dyDescent="0.15">
      <c r="A504" t="s">
        <v>28614</v>
      </c>
      <c r="B504" t="s">
        <v>28616</v>
      </c>
      <c r="C504">
        <v>2019</v>
      </c>
      <c r="D504" t="s">
        <v>28625</v>
      </c>
      <c r="E504">
        <v>30858545</v>
      </c>
    </row>
    <row r="505" spans="1:5" x14ac:dyDescent="0.15">
      <c r="A505" t="s">
        <v>28968</v>
      </c>
      <c r="B505" t="s">
        <v>28970</v>
      </c>
      <c r="C505">
        <v>2021</v>
      </c>
      <c r="D505" t="s">
        <v>28978</v>
      </c>
      <c r="E505">
        <v>33523836</v>
      </c>
    </row>
    <row r="506" spans="1:5" x14ac:dyDescent="0.15">
      <c r="A506" t="s">
        <v>1156</v>
      </c>
      <c r="B506" t="s">
        <v>1158</v>
      </c>
      <c r="C506">
        <v>2018</v>
      </c>
      <c r="D506" t="s">
        <v>1170</v>
      </c>
      <c r="E506">
        <v>29374476</v>
      </c>
    </row>
    <row r="507" spans="1:5" x14ac:dyDescent="0.15">
      <c r="A507" t="s">
        <v>2963</v>
      </c>
      <c r="B507" t="s">
        <v>2965</v>
      </c>
      <c r="C507">
        <v>2019</v>
      </c>
      <c r="D507" t="s">
        <v>2975</v>
      </c>
      <c r="E507">
        <v>31436946</v>
      </c>
    </row>
    <row r="508" spans="1:5" x14ac:dyDescent="0.15">
      <c r="A508" t="s">
        <v>5639</v>
      </c>
      <c r="B508" t="s">
        <v>5641</v>
      </c>
      <c r="C508">
        <v>2014</v>
      </c>
      <c r="D508" t="s">
        <v>5652</v>
      </c>
      <c r="E508">
        <v>25301203</v>
      </c>
    </row>
    <row r="509" spans="1:5" x14ac:dyDescent="0.15">
      <c r="A509" t="s">
        <v>5700</v>
      </c>
      <c r="B509" t="s">
        <v>5702</v>
      </c>
      <c r="C509">
        <v>2019</v>
      </c>
      <c r="D509" t="s">
        <v>5712</v>
      </c>
      <c r="E509">
        <v>30644724</v>
      </c>
    </row>
    <row r="510" spans="1:5" x14ac:dyDescent="0.15">
      <c r="A510" t="s">
        <v>7895</v>
      </c>
      <c r="B510" t="s">
        <v>7898</v>
      </c>
      <c r="C510">
        <v>2016</v>
      </c>
      <c r="D510" t="s">
        <v>7907</v>
      </c>
      <c r="E510">
        <v>26667458</v>
      </c>
    </row>
    <row r="511" spans="1:5" x14ac:dyDescent="0.15">
      <c r="A511" t="s">
        <v>9314</v>
      </c>
      <c r="B511" t="s">
        <v>9316</v>
      </c>
      <c r="C511">
        <v>2021</v>
      </c>
      <c r="D511" t="s">
        <v>9322</v>
      </c>
      <c r="E511">
        <v>33785738</v>
      </c>
    </row>
    <row r="512" spans="1:5" x14ac:dyDescent="0.15">
      <c r="A512" t="s">
        <v>9440</v>
      </c>
      <c r="B512" t="s">
        <v>9442</v>
      </c>
      <c r="C512">
        <v>2019</v>
      </c>
      <c r="D512" t="s">
        <v>9450</v>
      </c>
      <c r="E512">
        <v>30604797</v>
      </c>
    </row>
    <row r="513" spans="1:5" x14ac:dyDescent="0.15">
      <c r="A513" t="s">
        <v>10813</v>
      </c>
      <c r="B513" t="s">
        <v>10815</v>
      </c>
      <c r="C513">
        <v>2018</v>
      </c>
      <c r="D513" t="s">
        <v>10828</v>
      </c>
      <c r="E513">
        <v>29868251</v>
      </c>
    </row>
    <row r="514" spans="1:5" x14ac:dyDescent="0.15">
      <c r="A514" t="s">
        <v>13586</v>
      </c>
      <c r="B514" t="s">
        <v>13588</v>
      </c>
      <c r="C514">
        <v>2012</v>
      </c>
      <c r="D514" t="s">
        <v>13598</v>
      </c>
      <c r="E514">
        <v>23300576</v>
      </c>
    </row>
    <row r="515" spans="1:5" x14ac:dyDescent="0.15">
      <c r="A515" t="s">
        <v>17233</v>
      </c>
      <c r="B515" t="s">
        <v>17235</v>
      </c>
      <c r="C515">
        <v>2019</v>
      </c>
      <c r="D515" t="s">
        <v>17244</v>
      </c>
      <c r="E515">
        <v>30578260</v>
      </c>
    </row>
    <row r="516" spans="1:5" x14ac:dyDescent="0.15">
      <c r="A516" t="s">
        <v>17805</v>
      </c>
      <c r="B516" t="s">
        <v>17807</v>
      </c>
      <c r="C516">
        <v>2013</v>
      </c>
      <c r="D516" t="s">
        <v>17817</v>
      </c>
      <c r="E516">
        <v>23590857</v>
      </c>
    </row>
    <row r="517" spans="1:5" x14ac:dyDescent="0.15">
      <c r="A517" t="s">
        <v>18288</v>
      </c>
      <c r="B517" t="s">
        <v>18290</v>
      </c>
      <c r="C517">
        <v>2019</v>
      </c>
      <c r="D517" t="s">
        <v>18297</v>
      </c>
      <c r="E517">
        <v>31437653</v>
      </c>
    </row>
    <row r="518" spans="1:5" x14ac:dyDescent="0.15">
      <c r="A518" t="s">
        <v>18553</v>
      </c>
      <c r="B518" t="s">
        <v>18555</v>
      </c>
      <c r="C518">
        <v>2012</v>
      </c>
      <c r="D518" t="s">
        <v>18564</v>
      </c>
      <c r="E518" t="s">
        <v>74</v>
      </c>
    </row>
    <row r="519" spans="1:5" x14ac:dyDescent="0.15">
      <c r="A519" t="s">
        <v>19350</v>
      </c>
      <c r="B519" t="s">
        <v>19352</v>
      </c>
      <c r="C519">
        <v>2016</v>
      </c>
      <c r="D519" t="s">
        <v>19362</v>
      </c>
      <c r="E519">
        <v>27441821</v>
      </c>
    </row>
    <row r="520" spans="1:5" x14ac:dyDescent="0.15">
      <c r="A520" t="s">
        <v>24193</v>
      </c>
      <c r="B520" t="s">
        <v>24194</v>
      </c>
      <c r="C520">
        <v>2005</v>
      </c>
      <c r="D520" t="s">
        <v>24201</v>
      </c>
      <c r="E520">
        <v>15829504</v>
      </c>
    </row>
    <row r="521" spans="1:5" x14ac:dyDescent="0.15">
      <c r="A521" t="s">
        <v>25050</v>
      </c>
      <c r="B521" t="s">
        <v>25052</v>
      </c>
      <c r="C521">
        <v>2018</v>
      </c>
      <c r="D521" t="s">
        <v>25064</v>
      </c>
      <c r="E521">
        <v>29501540</v>
      </c>
    </row>
    <row r="522" spans="1:5" x14ac:dyDescent="0.15">
      <c r="A522" t="s">
        <v>737</v>
      </c>
      <c r="B522" t="s">
        <v>739</v>
      </c>
      <c r="C522">
        <v>2017</v>
      </c>
      <c r="D522" t="s">
        <v>750</v>
      </c>
      <c r="E522">
        <v>28117819</v>
      </c>
    </row>
    <row r="523" spans="1:5" x14ac:dyDescent="0.15">
      <c r="A523" t="s">
        <v>5625</v>
      </c>
      <c r="B523" t="s">
        <v>5627</v>
      </c>
      <c r="C523">
        <v>2019</v>
      </c>
      <c r="D523" t="s">
        <v>5637</v>
      </c>
      <c r="E523">
        <v>30451371</v>
      </c>
    </row>
    <row r="524" spans="1:5" x14ac:dyDescent="0.15">
      <c r="A524" t="s">
        <v>6346</v>
      </c>
      <c r="B524" t="s">
        <v>6348</v>
      </c>
      <c r="C524">
        <v>2018</v>
      </c>
      <c r="D524" t="s">
        <v>6362</v>
      </c>
      <c r="E524">
        <v>30206166</v>
      </c>
    </row>
    <row r="525" spans="1:5" x14ac:dyDescent="0.15">
      <c r="A525" t="s">
        <v>7287</v>
      </c>
      <c r="B525" t="s">
        <v>7289</v>
      </c>
      <c r="C525">
        <v>2018</v>
      </c>
      <c r="D525" t="s">
        <v>7299</v>
      </c>
      <c r="E525">
        <v>30338706</v>
      </c>
    </row>
    <row r="526" spans="1:5" x14ac:dyDescent="0.15">
      <c r="A526" t="s">
        <v>8081</v>
      </c>
      <c r="B526" t="s">
        <v>8083</v>
      </c>
      <c r="C526">
        <v>2018</v>
      </c>
      <c r="D526" t="s">
        <v>8093</v>
      </c>
      <c r="E526">
        <v>29715009</v>
      </c>
    </row>
    <row r="527" spans="1:5" x14ac:dyDescent="0.15">
      <c r="A527" t="s">
        <v>9421</v>
      </c>
      <c r="B527" t="s">
        <v>9423</v>
      </c>
      <c r="C527">
        <v>2018</v>
      </c>
      <c r="D527" t="s">
        <v>9437</v>
      </c>
      <c r="E527">
        <v>29661576</v>
      </c>
    </row>
    <row r="528" spans="1:5" x14ac:dyDescent="0.15">
      <c r="A528" t="s">
        <v>10830</v>
      </c>
      <c r="B528" t="s">
        <v>10832</v>
      </c>
      <c r="C528">
        <v>2017</v>
      </c>
      <c r="D528" t="s">
        <v>10845</v>
      </c>
      <c r="E528">
        <v>28946780</v>
      </c>
    </row>
    <row r="529" spans="1:5" x14ac:dyDescent="0.15">
      <c r="A529" t="s">
        <v>12671</v>
      </c>
      <c r="B529" t="s">
        <v>12673</v>
      </c>
      <c r="C529">
        <v>2018</v>
      </c>
      <c r="D529" t="s">
        <v>12683</v>
      </c>
      <c r="E529">
        <v>30139385</v>
      </c>
    </row>
    <row r="530" spans="1:5" x14ac:dyDescent="0.15">
      <c r="A530" t="s">
        <v>14423</v>
      </c>
      <c r="B530" t="s">
        <v>14425</v>
      </c>
      <c r="C530">
        <v>2018</v>
      </c>
      <c r="D530" t="s">
        <v>14437</v>
      </c>
      <c r="E530">
        <v>29769179</v>
      </c>
    </row>
    <row r="531" spans="1:5" x14ac:dyDescent="0.15">
      <c r="A531" t="s">
        <v>14886</v>
      </c>
      <c r="B531" t="s">
        <v>14888</v>
      </c>
      <c r="C531">
        <v>2020</v>
      </c>
      <c r="D531" t="s">
        <v>14895</v>
      </c>
      <c r="E531">
        <v>32101180</v>
      </c>
    </row>
    <row r="532" spans="1:5" x14ac:dyDescent="0.15">
      <c r="A532" t="s">
        <v>22023</v>
      </c>
      <c r="B532" t="s">
        <v>22025</v>
      </c>
      <c r="C532">
        <v>2013</v>
      </c>
      <c r="D532" t="s">
        <v>22036</v>
      </c>
      <c r="E532">
        <v>24108542</v>
      </c>
    </row>
    <row r="533" spans="1:5" x14ac:dyDescent="0.15">
      <c r="A533" t="s">
        <v>23901</v>
      </c>
      <c r="B533" t="s">
        <v>23902</v>
      </c>
      <c r="C533">
        <v>1997</v>
      </c>
      <c r="D533" t="s">
        <v>74</v>
      </c>
      <c r="E533">
        <v>9326278</v>
      </c>
    </row>
    <row r="534" spans="1:5" x14ac:dyDescent="0.15">
      <c r="A534" t="s">
        <v>2048</v>
      </c>
      <c r="B534" t="s">
        <v>2050</v>
      </c>
      <c r="C534">
        <v>2018</v>
      </c>
      <c r="D534" t="s">
        <v>2063</v>
      </c>
      <c r="E534">
        <v>29881375</v>
      </c>
    </row>
    <row r="535" spans="1:5" x14ac:dyDescent="0.15">
      <c r="A535" t="s">
        <v>5302</v>
      </c>
      <c r="B535" t="s">
        <v>5304</v>
      </c>
      <c r="C535">
        <v>2017</v>
      </c>
      <c r="D535" t="s">
        <v>5314</v>
      </c>
      <c r="E535">
        <v>28979244</v>
      </c>
    </row>
    <row r="536" spans="1:5" x14ac:dyDescent="0.15">
      <c r="A536" t="s">
        <v>5599</v>
      </c>
      <c r="B536" t="s">
        <v>5601</v>
      </c>
      <c r="C536">
        <v>2017</v>
      </c>
      <c r="D536" t="s">
        <v>5611</v>
      </c>
      <c r="E536">
        <v>28396668</v>
      </c>
    </row>
    <row r="537" spans="1:5" x14ac:dyDescent="0.15">
      <c r="A537" t="s">
        <v>6744</v>
      </c>
      <c r="B537" t="s">
        <v>6746</v>
      </c>
      <c r="C537">
        <v>2020</v>
      </c>
      <c r="D537" t="s">
        <v>6758</v>
      </c>
      <c r="E537">
        <v>32810272</v>
      </c>
    </row>
    <row r="538" spans="1:5" x14ac:dyDescent="0.15">
      <c r="A538" t="s">
        <v>7098</v>
      </c>
      <c r="B538" t="s">
        <v>7100</v>
      </c>
      <c r="C538">
        <v>2014</v>
      </c>
      <c r="D538" t="s">
        <v>7112</v>
      </c>
      <c r="E538">
        <v>25051983</v>
      </c>
    </row>
    <row r="539" spans="1:5" x14ac:dyDescent="0.15">
      <c r="A539" t="s">
        <v>12099</v>
      </c>
      <c r="B539" t="s">
        <v>12101</v>
      </c>
      <c r="C539">
        <v>2018</v>
      </c>
      <c r="D539" t="s">
        <v>12111</v>
      </c>
      <c r="E539">
        <v>30011179</v>
      </c>
    </row>
    <row r="540" spans="1:5" x14ac:dyDescent="0.15">
      <c r="A540" t="s">
        <v>12892</v>
      </c>
      <c r="B540" t="s">
        <v>12894</v>
      </c>
      <c r="C540">
        <v>2020</v>
      </c>
      <c r="D540" t="s">
        <v>12903</v>
      </c>
      <c r="E540">
        <v>32791387</v>
      </c>
    </row>
    <row r="541" spans="1:5" x14ac:dyDescent="0.15">
      <c r="A541" t="s">
        <v>13406</v>
      </c>
      <c r="B541" t="s">
        <v>13408</v>
      </c>
      <c r="C541">
        <v>2017</v>
      </c>
      <c r="D541" t="s">
        <v>13415</v>
      </c>
      <c r="E541">
        <v>28920705</v>
      </c>
    </row>
    <row r="542" spans="1:5" x14ac:dyDescent="0.15">
      <c r="A542" t="s">
        <v>13417</v>
      </c>
      <c r="B542" t="s">
        <v>13419</v>
      </c>
      <c r="C542">
        <v>2021</v>
      </c>
      <c r="D542" t="s">
        <v>13431</v>
      </c>
      <c r="E542">
        <v>34418352</v>
      </c>
    </row>
    <row r="543" spans="1:5" x14ac:dyDescent="0.15">
      <c r="A543" t="s">
        <v>15284</v>
      </c>
      <c r="B543" t="s">
        <v>15286</v>
      </c>
      <c r="C543">
        <v>2021</v>
      </c>
      <c r="D543" t="s">
        <v>15292</v>
      </c>
      <c r="E543">
        <v>33369394</v>
      </c>
    </row>
    <row r="544" spans="1:5" x14ac:dyDescent="0.15">
      <c r="A544" t="s">
        <v>15791</v>
      </c>
      <c r="B544" t="s">
        <v>15793</v>
      </c>
      <c r="C544">
        <v>2019</v>
      </c>
      <c r="D544" t="s">
        <v>15801</v>
      </c>
      <c r="E544">
        <v>31086892</v>
      </c>
    </row>
    <row r="545" spans="1:5" x14ac:dyDescent="0.15">
      <c r="A545" t="s">
        <v>18275</v>
      </c>
      <c r="B545" t="s">
        <v>18277</v>
      </c>
      <c r="C545">
        <v>2017</v>
      </c>
      <c r="D545" t="s">
        <v>18286</v>
      </c>
      <c r="E545">
        <v>28722786</v>
      </c>
    </row>
    <row r="546" spans="1:5" x14ac:dyDescent="0.15">
      <c r="A546" t="s">
        <v>20000</v>
      </c>
      <c r="B546" t="s">
        <v>20002</v>
      </c>
      <c r="C546">
        <v>2019</v>
      </c>
      <c r="D546" t="s">
        <v>20014</v>
      </c>
      <c r="E546">
        <v>31053596</v>
      </c>
    </row>
    <row r="547" spans="1:5" x14ac:dyDescent="0.15">
      <c r="A547" t="s">
        <v>20922</v>
      </c>
      <c r="B547" t="s">
        <v>20924</v>
      </c>
      <c r="C547">
        <v>2018</v>
      </c>
      <c r="D547" t="s">
        <v>20940</v>
      </c>
      <c r="E547">
        <v>30034830</v>
      </c>
    </row>
    <row r="548" spans="1:5" x14ac:dyDescent="0.15">
      <c r="A548" t="s">
        <v>24797</v>
      </c>
      <c r="B548" t="s">
        <v>24799</v>
      </c>
      <c r="C548">
        <v>2011</v>
      </c>
      <c r="D548" t="s">
        <v>24811</v>
      </c>
      <c r="E548">
        <v>21893226</v>
      </c>
    </row>
    <row r="549" spans="1:5" x14ac:dyDescent="0.15">
      <c r="A549" t="s">
        <v>25134</v>
      </c>
      <c r="B549" t="s">
        <v>25136</v>
      </c>
      <c r="C549">
        <v>2010</v>
      </c>
      <c r="D549" t="s">
        <v>25142</v>
      </c>
      <c r="E549">
        <v>20484514</v>
      </c>
    </row>
    <row r="550" spans="1:5" x14ac:dyDescent="0.15">
      <c r="A550" t="s">
        <v>2004</v>
      </c>
      <c r="B550" t="s">
        <v>2006</v>
      </c>
      <c r="C550">
        <v>2018</v>
      </c>
      <c r="D550" t="s">
        <v>2016</v>
      </c>
      <c r="E550">
        <v>29971917</v>
      </c>
    </row>
    <row r="551" spans="1:5" x14ac:dyDescent="0.15">
      <c r="A551" t="s">
        <v>8438</v>
      </c>
      <c r="B551" t="s">
        <v>8440</v>
      </c>
      <c r="C551">
        <v>2019</v>
      </c>
      <c r="D551" t="s">
        <v>8449</v>
      </c>
      <c r="E551">
        <v>31336224</v>
      </c>
    </row>
    <row r="552" spans="1:5" x14ac:dyDescent="0.15">
      <c r="A552" t="s">
        <v>8683</v>
      </c>
      <c r="B552" t="s">
        <v>8685</v>
      </c>
      <c r="C552">
        <v>2018</v>
      </c>
      <c r="D552" t="s">
        <v>8698</v>
      </c>
      <c r="E552">
        <v>29562785</v>
      </c>
    </row>
    <row r="553" spans="1:5" x14ac:dyDescent="0.15">
      <c r="A553" t="s">
        <v>9582</v>
      </c>
      <c r="B553" t="s">
        <v>9584</v>
      </c>
      <c r="C553">
        <v>2019</v>
      </c>
      <c r="D553" t="s">
        <v>9593</v>
      </c>
      <c r="E553">
        <v>31271518</v>
      </c>
    </row>
    <row r="554" spans="1:5" x14ac:dyDescent="0.15">
      <c r="A554" t="s">
        <v>10998</v>
      </c>
      <c r="B554" t="s">
        <v>11000</v>
      </c>
      <c r="C554">
        <v>2020</v>
      </c>
      <c r="D554" t="s">
        <v>11009</v>
      </c>
      <c r="E554">
        <v>32671095</v>
      </c>
    </row>
    <row r="555" spans="1:5" x14ac:dyDescent="0.15">
      <c r="A555" t="s">
        <v>15565</v>
      </c>
      <c r="B555" t="s">
        <v>15568</v>
      </c>
      <c r="C555">
        <v>2017</v>
      </c>
      <c r="D555" t="s">
        <v>15578</v>
      </c>
      <c r="E555">
        <v>28936730</v>
      </c>
    </row>
    <row r="556" spans="1:5" x14ac:dyDescent="0.15">
      <c r="A556" t="s">
        <v>17767</v>
      </c>
      <c r="B556" t="s">
        <v>17769</v>
      </c>
      <c r="C556">
        <v>2021</v>
      </c>
      <c r="D556" t="s">
        <v>17778</v>
      </c>
      <c r="E556">
        <v>33456577</v>
      </c>
    </row>
    <row r="557" spans="1:5" x14ac:dyDescent="0.15">
      <c r="A557" t="s">
        <v>27115</v>
      </c>
      <c r="B557" t="s">
        <v>27117</v>
      </c>
      <c r="C557">
        <v>2017</v>
      </c>
      <c r="D557" t="s">
        <v>27125</v>
      </c>
      <c r="E557">
        <v>28740555</v>
      </c>
    </row>
    <row r="558" spans="1:5" x14ac:dyDescent="0.15">
      <c r="A558" t="s">
        <v>27976</v>
      </c>
      <c r="B558" t="s">
        <v>27978</v>
      </c>
      <c r="C558">
        <v>2016</v>
      </c>
      <c r="D558" t="s">
        <v>27988</v>
      </c>
      <c r="E558">
        <v>27894084</v>
      </c>
    </row>
    <row r="559" spans="1:5" x14ac:dyDescent="0.15">
      <c r="A559" t="s">
        <v>4516</v>
      </c>
      <c r="B559" t="s">
        <v>4518</v>
      </c>
      <c r="C559">
        <v>2019</v>
      </c>
      <c r="D559" t="s">
        <v>4531</v>
      </c>
      <c r="E559">
        <v>30620023</v>
      </c>
    </row>
    <row r="560" spans="1:5" x14ac:dyDescent="0.15">
      <c r="A560" t="s">
        <v>6596</v>
      </c>
      <c r="B560" t="s">
        <v>6598</v>
      </c>
      <c r="C560">
        <v>2017</v>
      </c>
      <c r="D560" t="s">
        <v>6608</v>
      </c>
      <c r="E560">
        <v>28694699</v>
      </c>
    </row>
    <row r="561" spans="1:5" x14ac:dyDescent="0.15">
      <c r="A561" t="s">
        <v>9186</v>
      </c>
      <c r="B561" t="s">
        <v>9188</v>
      </c>
      <c r="C561">
        <v>2019</v>
      </c>
      <c r="D561" t="s">
        <v>9196</v>
      </c>
      <c r="E561">
        <v>31162940</v>
      </c>
    </row>
    <row r="562" spans="1:5" x14ac:dyDescent="0.15">
      <c r="A562" t="s">
        <v>9238</v>
      </c>
      <c r="B562" t="s">
        <v>9240</v>
      </c>
      <c r="C562">
        <v>2017</v>
      </c>
      <c r="D562" t="s">
        <v>9250</v>
      </c>
      <c r="E562">
        <v>28854931</v>
      </c>
    </row>
    <row r="563" spans="1:5" x14ac:dyDescent="0.15">
      <c r="A563" t="s">
        <v>11298</v>
      </c>
      <c r="B563" t="s">
        <v>11300</v>
      </c>
      <c r="C563">
        <v>2019</v>
      </c>
      <c r="D563" t="s">
        <v>11308</v>
      </c>
      <c r="E563">
        <v>31478613</v>
      </c>
    </row>
    <row r="564" spans="1:5" x14ac:dyDescent="0.15">
      <c r="A564" t="s">
        <v>12758</v>
      </c>
      <c r="B564" t="s">
        <v>12760</v>
      </c>
      <c r="C564">
        <v>2019</v>
      </c>
      <c r="D564" t="s">
        <v>12769</v>
      </c>
      <c r="E564">
        <v>30488570</v>
      </c>
    </row>
    <row r="565" spans="1:5" x14ac:dyDescent="0.15">
      <c r="A565" t="s">
        <v>13137</v>
      </c>
      <c r="B565" t="s">
        <v>13139</v>
      </c>
      <c r="C565">
        <v>2020</v>
      </c>
      <c r="D565" t="s">
        <v>13148</v>
      </c>
      <c r="E565">
        <v>31964978</v>
      </c>
    </row>
    <row r="566" spans="1:5" x14ac:dyDescent="0.15">
      <c r="A566" t="s">
        <v>14625</v>
      </c>
      <c r="B566" t="s">
        <v>14627</v>
      </c>
      <c r="C566">
        <v>2017</v>
      </c>
      <c r="D566" t="s">
        <v>14640</v>
      </c>
      <c r="E566">
        <v>28470712</v>
      </c>
    </row>
    <row r="567" spans="1:5" x14ac:dyDescent="0.15">
      <c r="A567" t="s">
        <v>18186</v>
      </c>
      <c r="B567" t="s">
        <v>18188</v>
      </c>
      <c r="C567">
        <v>2013</v>
      </c>
      <c r="D567" t="s">
        <v>18196</v>
      </c>
      <c r="E567">
        <v>24048452</v>
      </c>
    </row>
    <row r="568" spans="1:5" x14ac:dyDescent="0.15">
      <c r="A568" t="s">
        <v>22242</v>
      </c>
      <c r="B568" t="s">
        <v>22244</v>
      </c>
      <c r="C568">
        <v>2017</v>
      </c>
      <c r="D568" t="s">
        <v>22254</v>
      </c>
      <c r="E568">
        <v>27984059</v>
      </c>
    </row>
    <row r="569" spans="1:5" x14ac:dyDescent="0.15">
      <c r="A569" t="s">
        <v>24310</v>
      </c>
      <c r="B569" t="s">
        <v>24312</v>
      </c>
      <c r="C569">
        <v>2018</v>
      </c>
      <c r="D569" t="s">
        <v>24320</v>
      </c>
      <c r="E569">
        <v>29750752</v>
      </c>
    </row>
    <row r="570" spans="1:5" x14ac:dyDescent="0.15">
      <c r="A570" t="s">
        <v>25443</v>
      </c>
      <c r="B570" t="s">
        <v>25445</v>
      </c>
      <c r="C570">
        <v>2018</v>
      </c>
      <c r="D570" t="s">
        <v>25458</v>
      </c>
      <c r="E570">
        <v>29759067</v>
      </c>
    </row>
    <row r="571" spans="1:5" x14ac:dyDescent="0.15">
      <c r="A571" t="s">
        <v>27269</v>
      </c>
      <c r="B571" t="s">
        <v>27271</v>
      </c>
      <c r="C571">
        <v>2011</v>
      </c>
      <c r="D571" t="s">
        <v>27281</v>
      </c>
      <c r="E571">
        <v>21370216</v>
      </c>
    </row>
    <row r="572" spans="1:5" x14ac:dyDescent="0.15">
      <c r="A572" t="s">
        <v>28228</v>
      </c>
      <c r="B572" t="s">
        <v>28230</v>
      </c>
      <c r="C572">
        <v>2016</v>
      </c>
      <c r="D572" t="s">
        <v>28239</v>
      </c>
      <c r="E572">
        <v>27321911</v>
      </c>
    </row>
    <row r="573" spans="1:5" x14ac:dyDescent="0.15">
      <c r="A573" t="s">
        <v>29347</v>
      </c>
      <c r="B573" t="s">
        <v>29349</v>
      </c>
      <c r="C573">
        <v>2018</v>
      </c>
      <c r="D573" t="s">
        <v>29362</v>
      </c>
      <c r="E573">
        <v>29409544</v>
      </c>
    </row>
    <row r="574" spans="1:5" x14ac:dyDescent="0.15">
      <c r="A574" t="s">
        <v>976</v>
      </c>
      <c r="B574" t="s">
        <v>978</v>
      </c>
      <c r="C574">
        <v>2016</v>
      </c>
      <c r="D574" t="s">
        <v>995</v>
      </c>
      <c r="E574">
        <v>26968172</v>
      </c>
    </row>
    <row r="575" spans="1:5" x14ac:dyDescent="0.15">
      <c r="A575" t="s">
        <v>8357</v>
      </c>
      <c r="B575" t="s">
        <v>8359</v>
      </c>
      <c r="C575">
        <v>2019</v>
      </c>
      <c r="D575" t="s">
        <v>8368</v>
      </c>
      <c r="E575">
        <v>31017389</v>
      </c>
    </row>
    <row r="576" spans="1:5" x14ac:dyDescent="0.15">
      <c r="A576" t="s">
        <v>8582</v>
      </c>
      <c r="B576" t="s">
        <v>8584</v>
      </c>
      <c r="C576">
        <v>2020</v>
      </c>
      <c r="D576" t="s">
        <v>8592</v>
      </c>
      <c r="E576">
        <v>32929347</v>
      </c>
    </row>
    <row r="577" spans="1:5" x14ac:dyDescent="0.15">
      <c r="A577" t="s">
        <v>9648</v>
      </c>
      <c r="B577" t="s">
        <v>9650</v>
      </c>
      <c r="C577">
        <v>2020</v>
      </c>
      <c r="D577" t="s">
        <v>9660</v>
      </c>
      <c r="E577">
        <v>31807735</v>
      </c>
    </row>
    <row r="578" spans="1:5" x14ac:dyDescent="0.15">
      <c r="A578" t="s">
        <v>10319</v>
      </c>
      <c r="B578" t="s">
        <v>10321</v>
      </c>
      <c r="C578">
        <v>2019</v>
      </c>
      <c r="D578" t="s">
        <v>10330</v>
      </c>
      <c r="E578">
        <v>31076589</v>
      </c>
    </row>
    <row r="579" spans="1:5" x14ac:dyDescent="0.15">
      <c r="A579" t="s">
        <v>10848</v>
      </c>
      <c r="B579" t="s">
        <v>10850</v>
      </c>
      <c r="C579">
        <v>2017</v>
      </c>
      <c r="D579" t="s">
        <v>10859</v>
      </c>
      <c r="E579">
        <v>28811546</v>
      </c>
    </row>
    <row r="580" spans="1:5" x14ac:dyDescent="0.15">
      <c r="A580" t="s">
        <v>12217</v>
      </c>
      <c r="B580" t="s">
        <v>12219</v>
      </c>
      <c r="C580">
        <v>2017</v>
      </c>
      <c r="D580" t="s">
        <v>12229</v>
      </c>
      <c r="E580">
        <v>29182668</v>
      </c>
    </row>
    <row r="581" spans="1:5" x14ac:dyDescent="0.15">
      <c r="A581" t="s">
        <v>13315</v>
      </c>
      <c r="B581" t="s">
        <v>13316</v>
      </c>
      <c r="C581">
        <v>2000</v>
      </c>
      <c r="D581" t="s">
        <v>13326</v>
      </c>
      <c r="E581">
        <v>11040442</v>
      </c>
    </row>
    <row r="582" spans="1:5" x14ac:dyDescent="0.15">
      <c r="A582" t="s">
        <v>14299</v>
      </c>
      <c r="B582" t="s">
        <v>14301</v>
      </c>
      <c r="C582">
        <v>2016</v>
      </c>
      <c r="D582" t="s">
        <v>14311</v>
      </c>
      <c r="E582">
        <v>26846451</v>
      </c>
    </row>
    <row r="583" spans="1:5" x14ac:dyDescent="0.15">
      <c r="A583" t="s">
        <v>16785</v>
      </c>
      <c r="B583" t="s">
        <v>16787</v>
      </c>
      <c r="C583">
        <v>2017</v>
      </c>
      <c r="D583" t="s">
        <v>16797</v>
      </c>
      <c r="E583">
        <v>27956246</v>
      </c>
    </row>
    <row r="584" spans="1:5" x14ac:dyDescent="0.15">
      <c r="A584" t="s">
        <v>17451</v>
      </c>
      <c r="B584" t="s">
        <v>17453</v>
      </c>
      <c r="C584">
        <v>2017</v>
      </c>
      <c r="D584" t="s">
        <v>17464</v>
      </c>
      <c r="E584">
        <v>28696280</v>
      </c>
    </row>
    <row r="585" spans="1:5" x14ac:dyDescent="0.15">
      <c r="A585" t="s">
        <v>19122</v>
      </c>
      <c r="B585" t="s">
        <v>19124</v>
      </c>
      <c r="C585">
        <v>2018</v>
      </c>
      <c r="D585" t="s">
        <v>19131</v>
      </c>
      <c r="E585">
        <v>29712935</v>
      </c>
    </row>
    <row r="586" spans="1:5" x14ac:dyDescent="0.15">
      <c r="A586" t="s">
        <v>21071</v>
      </c>
      <c r="B586" t="s">
        <v>21073</v>
      </c>
      <c r="C586">
        <v>2019</v>
      </c>
      <c r="D586" t="s">
        <v>21089</v>
      </c>
      <c r="E586">
        <v>30554222</v>
      </c>
    </row>
    <row r="587" spans="1:5" x14ac:dyDescent="0.15">
      <c r="A587" t="s">
        <v>26260</v>
      </c>
      <c r="B587" t="s">
        <v>26261</v>
      </c>
      <c r="C587">
        <v>1995</v>
      </c>
      <c r="D587" t="s">
        <v>26267</v>
      </c>
      <c r="E587">
        <v>7782559</v>
      </c>
    </row>
    <row r="588" spans="1:5" x14ac:dyDescent="0.15">
      <c r="A588" t="s">
        <v>27678</v>
      </c>
      <c r="B588" t="s">
        <v>27679</v>
      </c>
      <c r="C588">
        <v>1996</v>
      </c>
      <c r="D588" t="s">
        <v>27686</v>
      </c>
      <c r="E588">
        <v>8868466</v>
      </c>
    </row>
    <row r="589" spans="1:5" x14ac:dyDescent="0.15">
      <c r="A589" t="s">
        <v>28722</v>
      </c>
      <c r="B589" t="s">
        <v>28724</v>
      </c>
      <c r="C589">
        <v>2010</v>
      </c>
      <c r="D589" t="s">
        <v>28734</v>
      </c>
      <c r="E589">
        <v>20390294</v>
      </c>
    </row>
    <row r="590" spans="1:5" x14ac:dyDescent="0.15">
      <c r="A590" t="s">
        <v>29197</v>
      </c>
      <c r="B590" t="s">
        <v>29199</v>
      </c>
      <c r="C590">
        <v>2017</v>
      </c>
      <c r="D590" t="s">
        <v>29207</v>
      </c>
      <c r="E590">
        <v>29072078</v>
      </c>
    </row>
    <row r="591" spans="1:5" x14ac:dyDescent="0.15">
      <c r="A591" t="s">
        <v>30114</v>
      </c>
      <c r="B591" t="s">
        <v>30116</v>
      </c>
      <c r="C591">
        <v>2019</v>
      </c>
      <c r="D591" t="s">
        <v>30125</v>
      </c>
      <c r="E591">
        <v>31728272</v>
      </c>
    </row>
    <row r="592" spans="1:5" x14ac:dyDescent="0.15">
      <c r="A592" t="s">
        <v>2910</v>
      </c>
      <c r="B592" t="s">
        <v>2912</v>
      </c>
      <c r="C592">
        <v>2019</v>
      </c>
      <c r="D592" t="s">
        <v>2925</v>
      </c>
      <c r="E592">
        <v>30805606</v>
      </c>
    </row>
    <row r="593" spans="1:5" x14ac:dyDescent="0.15">
      <c r="A593" t="s">
        <v>3060</v>
      </c>
      <c r="B593" t="s">
        <v>3062</v>
      </c>
      <c r="C593">
        <v>2019</v>
      </c>
      <c r="D593" t="s">
        <v>3071</v>
      </c>
      <c r="E593">
        <v>31475741</v>
      </c>
    </row>
    <row r="594" spans="1:5" x14ac:dyDescent="0.15">
      <c r="A594" t="s">
        <v>8326</v>
      </c>
      <c r="B594" t="s">
        <v>8328</v>
      </c>
      <c r="C594">
        <v>2019</v>
      </c>
      <c r="D594" t="s">
        <v>8338</v>
      </c>
      <c r="E594">
        <v>30719241</v>
      </c>
    </row>
    <row r="595" spans="1:5" x14ac:dyDescent="0.15">
      <c r="A595" t="s">
        <v>10132</v>
      </c>
      <c r="B595" t="s">
        <v>10134</v>
      </c>
      <c r="C595">
        <v>2019</v>
      </c>
      <c r="D595" t="s">
        <v>10143</v>
      </c>
      <c r="E595">
        <v>30973950</v>
      </c>
    </row>
    <row r="596" spans="1:5" x14ac:dyDescent="0.15">
      <c r="A596" t="s">
        <v>14269</v>
      </c>
      <c r="B596" t="s">
        <v>14272</v>
      </c>
      <c r="C596">
        <v>2010</v>
      </c>
      <c r="D596" t="s">
        <v>74</v>
      </c>
      <c r="E596">
        <v>21713674</v>
      </c>
    </row>
    <row r="597" spans="1:5" x14ac:dyDescent="0.15">
      <c r="A597" t="s">
        <v>14527</v>
      </c>
      <c r="B597" t="s">
        <v>14529</v>
      </c>
      <c r="C597">
        <v>2019</v>
      </c>
      <c r="D597" t="s">
        <v>14539</v>
      </c>
      <c r="E597">
        <v>31426278</v>
      </c>
    </row>
    <row r="598" spans="1:5" x14ac:dyDescent="0.15">
      <c r="A598" t="s">
        <v>22641</v>
      </c>
      <c r="B598" t="s">
        <v>22643</v>
      </c>
      <c r="C598">
        <v>2020</v>
      </c>
      <c r="D598" t="s">
        <v>22651</v>
      </c>
      <c r="E598">
        <v>32883873</v>
      </c>
    </row>
    <row r="599" spans="1:5" x14ac:dyDescent="0.15">
      <c r="A599" t="s">
        <v>23237</v>
      </c>
      <c r="B599" t="s">
        <v>23239</v>
      </c>
      <c r="C599">
        <v>2019</v>
      </c>
      <c r="D599" t="s">
        <v>23249</v>
      </c>
      <c r="E599">
        <v>30530517</v>
      </c>
    </row>
    <row r="600" spans="1:5" x14ac:dyDescent="0.15">
      <c r="A600" t="s">
        <v>26501</v>
      </c>
      <c r="B600" t="s">
        <v>26503</v>
      </c>
      <c r="C600">
        <v>2012</v>
      </c>
      <c r="D600" t="s">
        <v>26512</v>
      </c>
      <c r="E600">
        <v>22740476</v>
      </c>
    </row>
    <row r="601" spans="1:5" x14ac:dyDescent="0.15">
      <c r="A601" t="s">
        <v>28338</v>
      </c>
      <c r="B601" t="s">
        <v>28340</v>
      </c>
      <c r="C601">
        <v>2017</v>
      </c>
      <c r="D601" t="s">
        <v>28346</v>
      </c>
      <c r="E601">
        <v>28541659</v>
      </c>
    </row>
    <row r="602" spans="1:5" x14ac:dyDescent="0.15">
      <c r="A602" t="s">
        <v>28713</v>
      </c>
      <c r="B602" t="s">
        <v>28714</v>
      </c>
      <c r="C602">
        <v>1994</v>
      </c>
      <c r="D602" t="s">
        <v>74</v>
      </c>
      <c r="E602">
        <v>7929173</v>
      </c>
    </row>
    <row r="603" spans="1:5" x14ac:dyDescent="0.15">
      <c r="A603" t="s">
        <v>30081</v>
      </c>
      <c r="B603" t="s">
        <v>30083</v>
      </c>
      <c r="C603">
        <v>2016</v>
      </c>
      <c r="D603" t="s">
        <v>30094</v>
      </c>
      <c r="E603">
        <v>26614026</v>
      </c>
    </row>
    <row r="604" spans="1:5" x14ac:dyDescent="0.15">
      <c r="A604" t="s">
        <v>4597</v>
      </c>
      <c r="B604" t="s">
        <v>4599</v>
      </c>
      <c r="C604">
        <v>2020</v>
      </c>
      <c r="D604" t="s">
        <v>4610</v>
      </c>
      <c r="E604">
        <v>32134252</v>
      </c>
    </row>
    <row r="605" spans="1:5" x14ac:dyDescent="0.15">
      <c r="A605" t="s">
        <v>9464</v>
      </c>
      <c r="B605" t="s">
        <v>9466</v>
      </c>
      <c r="C605">
        <v>2017</v>
      </c>
      <c r="D605" t="s">
        <v>9477</v>
      </c>
      <c r="E605">
        <v>29130146</v>
      </c>
    </row>
    <row r="606" spans="1:5" x14ac:dyDescent="0.15">
      <c r="A606" t="s">
        <v>10861</v>
      </c>
      <c r="B606" t="s">
        <v>10863</v>
      </c>
      <c r="C606">
        <v>2020</v>
      </c>
      <c r="D606" t="s">
        <v>10875</v>
      </c>
      <c r="E606">
        <v>32600436</v>
      </c>
    </row>
    <row r="607" spans="1:5" x14ac:dyDescent="0.15">
      <c r="A607" t="s">
        <v>12498</v>
      </c>
      <c r="B607" t="s">
        <v>12500</v>
      </c>
      <c r="C607">
        <v>2020</v>
      </c>
      <c r="D607" t="s">
        <v>12510</v>
      </c>
      <c r="E607">
        <v>33169756</v>
      </c>
    </row>
    <row r="608" spans="1:5" x14ac:dyDescent="0.15">
      <c r="A608" t="s">
        <v>15180</v>
      </c>
      <c r="B608" t="s">
        <v>15182</v>
      </c>
      <c r="C608">
        <v>2015</v>
      </c>
      <c r="D608" t="s">
        <v>15192</v>
      </c>
      <c r="E608">
        <v>26556992</v>
      </c>
    </row>
    <row r="609" spans="1:5" x14ac:dyDescent="0.15">
      <c r="A609" t="s">
        <v>15250</v>
      </c>
      <c r="B609" t="s">
        <v>15252</v>
      </c>
      <c r="C609">
        <v>2019</v>
      </c>
      <c r="D609" t="s">
        <v>15262</v>
      </c>
      <c r="E609">
        <v>31239778</v>
      </c>
    </row>
    <row r="610" spans="1:5" x14ac:dyDescent="0.15">
      <c r="A610" t="s">
        <v>15694</v>
      </c>
      <c r="B610" t="s">
        <v>15696</v>
      </c>
      <c r="C610">
        <v>2019</v>
      </c>
      <c r="D610" t="s">
        <v>15706</v>
      </c>
      <c r="E610">
        <v>30536653</v>
      </c>
    </row>
    <row r="611" spans="1:5" x14ac:dyDescent="0.15">
      <c r="A611" t="s">
        <v>16419</v>
      </c>
      <c r="B611" t="s">
        <v>16421</v>
      </c>
      <c r="C611">
        <v>2019</v>
      </c>
      <c r="D611" t="s">
        <v>16429</v>
      </c>
      <c r="E611">
        <v>30763382</v>
      </c>
    </row>
    <row r="612" spans="1:5" x14ac:dyDescent="0.15">
      <c r="A612" t="s">
        <v>18690</v>
      </c>
      <c r="B612" t="s">
        <v>18692</v>
      </c>
      <c r="C612">
        <v>2018</v>
      </c>
      <c r="D612" t="s">
        <v>18701</v>
      </c>
      <c r="E612">
        <v>29317705</v>
      </c>
    </row>
    <row r="613" spans="1:5" x14ac:dyDescent="0.15">
      <c r="A613" t="s">
        <v>19296</v>
      </c>
      <c r="B613" t="s">
        <v>19297</v>
      </c>
      <c r="C613">
        <v>2003</v>
      </c>
      <c r="D613" t="s">
        <v>19306</v>
      </c>
      <c r="E613">
        <v>12784251</v>
      </c>
    </row>
    <row r="614" spans="1:5" x14ac:dyDescent="0.15">
      <c r="A614" t="s">
        <v>20257</v>
      </c>
      <c r="B614" t="s">
        <v>20259</v>
      </c>
      <c r="C614">
        <v>2017</v>
      </c>
      <c r="D614" t="s">
        <v>20269</v>
      </c>
      <c r="E614">
        <v>28368488</v>
      </c>
    </row>
    <row r="615" spans="1:5" x14ac:dyDescent="0.15">
      <c r="A615" t="s">
        <v>20957</v>
      </c>
      <c r="B615" t="s">
        <v>20959</v>
      </c>
      <c r="C615">
        <v>2018</v>
      </c>
      <c r="D615" t="s">
        <v>20967</v>
      </c>
      <c r="E615">
        <v>30279572</v>
      </c>
    </row>
    <row r="616" spans="1:5" x14ac:dyDescent="0.15">
      <c r="A616" t="s">
        <v>22573</v>
      </c>
      <c r="B616" t="s">
        <v>22575</v>
      </c>
      <c r="C616">
        <v>2016</v>
      </c>
      <c r="D616" t="s">
        <v>22584</v>
      </c>
      <c r="E616">
        <v>27611973</v>
      </c>
    </row>
    <row r="617" spans="1:5" x14ac:dyDescent="0.15">
      <c r="A617" t="s">
        <v>23446</v>
      </c>
      <c r="B617" t="s">
        <v>23448</v>
      </c>
      <c r="C617">
        <v>2017</v>
      </c>
      <c r="D617" t="s">
        <v>23457</v>
      </c>
      <c r="E617">
        <v>27681879</v>
      </c>
    </row>
    <row r="618" spans="1:5" x14ac:dyDescent="0.15">
      <c r="A618" t="s">
        <v>25393</v>
      </c>
      <c r="B618" t="s">
        <v>25394</v>
      </c>
      <c r="C618">
        <v>1994</v>
      </c>
      <c r="D618" t="s">
        <v>25399</v>
      </c>
      <c r="E618">
        <v>8021295</v>
      </c>
    </row>
    <row r="619" spans="1:5" x14ac:dyDescent="0.15">
      <c r="A619" t="s">
        <v>26478</v>
      </c>
      <c r="B619" t="s">
        <v>26479</v>
      </c>
      <c r="C619">
        <v>1998</v>
      </c>
      <c r="D619" t="s">
        <v>26486</v>
      </c>
      <c r="E619">
        <v>9556132</v>
      </c>
    </row>
    <row r="620" spans="1:5" x14ac:dyDescent="0.15">
      <c r="A620" t="s">
        <v>26841</v>
      </c>
      <c r="B620" t="s">
        <v>26843</v>
      </c>
      <c r="C620">
        <v>2017</v>
      </c>
      <c r="D620" t="s">
        <v>26851</v>
      </c>
      <c r="E620">
        <v>28076321</v>
      </c>
    </row>
    <row r="621" spans="1:5" x14ac:dyDescent="0.15">
      <c r="A621" t="s">
        <v>30340</v>
      </c>
      <c r="B621" t="s">
        <v>30342</v>
      </c>
      <c r="C621">
        <v>2020</v>
      </c>
      <c r="D621" t="s">
        <v>30351</v>
      </c>
      <c r="E621">
        <v>31845577</v>
      </c>
    </row>
    <row r="622" spans="1:5" x14ac:dyDescent="0.15">
      <c r="A622" t="s">
        <v>6624</v>
      </c>
      <c r="B622" t="s">
        <v>6626</v>
      </c>
      <c r="C622">
        <v>2015</v>
      </c>
      <c r="D622" t="s">
        <v>6639</v>
      </c>
      <c r="E622">
        <v>25862975</v>
      </c>
    </row>
    <row r="623" spans="1:5" x14ac:dyDescent="0.15">
      <c r="A623" t="s">
        <v>12113</v>
      </c>
      <c r="B623" t="s">
        <v>12115</v>
      </c>
      <c r="C623">
        <v>2020</v>
      </c>
      <c r="D623" t="s">
        <v>12124</v>
      </c>
      <c r="E623">
        <v>32738648</v>
      </c>
    </row>
    <row r="624" spans="1:5" x14ac:dyDescent="0.15">
      <c r="A624" t="s">
        <v>15131</v>
      </c>
      <c r="B624" t="s">
        <v>15133</v>
      </c>
      <c r="C624">
        <v>2015</v>
      </c>
      <c r="D624" t="s">
        <v>15142</v>
      </c>
      <c r="E624">
        <v>25391690</v>
      </c>
    </row>
    <row r="625" spans="1:5" x14ac:dyDescent="0.15">
      <c r="A625" t="s">
        <v>16953</v>
      </c>
      <c r="B625" t="s">
        <v>16955</v>
      </c>
      <c r="C625">
        <v>2019</v>
      </c>
      <c r="D625" t="s">
        <v>16966</v>
      </c>
      <c r="E625">
        <v>31002856</v>
      </c>
    </row>
    <row r="626" spans="1:5" x14ac:dyDescent="0.15">
      <c r="A626" t="s">
        <v>18498</v>
      </c>
      <c r="B626" t="s">
        <v>18500</v>
      </c>
      <c r="C626">
        <v>2012</v>
      </c>
      <c r="D626" t="s">
        <v>18509</v>
      </c>
      <c r="E626">
        <v>22626782</v>
      </c>
    </row>
    <row r="627" spans="1:5" x14ac:dyDescent="0.15">
      <c r="A627" t="s">
        <v>21786</v>
      </c>
      <c r="B627" t="s">
        <v>21788</v>
      </c>
      <c r="C627">
        <v>2021</v>
      </c>
      <c r="D627" t="s">
        <v>21792</v>
      </c>
      <c r="E627">
        <v>34407610</v>
      </c>
    </row>
    <row r="628" spans="1:5" x14ac:dyDescent="0.15">
      <c r="A628" t="s">
        <v>21964</v>
      </c>
      <c r="B628" t="s">
        <v>21965</v>
      </c>
      <c r="C628">
        <v>2000</v>
      </c>
      <c r="D628" t="s">
        <v>21977</v>
      </c>
      <c r="E628">
        <v>10907991</v>
      </c>
    </row>
    <row r="629" spans="1:5" x14ac:dyDescent="0.15">
      <c r="A629" t="s">
        <v>27283</v>
      </c>
      <c r="B629" t="s">
        <v>27284</v>
      </c>
      <c r="C629">
        <v>1995</v>
      </c>
      <c r="D629" t="s">
        <v>27290</v>
      </c>
      <c r="E629">
        <v>8525613</v>
      </c>
    </row>
    <row r="630" spans="1:5" x14ac:dyDescent="0.15">
      <c r="A630" t="s">
        <v>215</v>
      </c>
      <c r="B630" t="s">
        <v>217</v>
      </c>
      <c r="C630">
        <v>2018</v>
      </c>
      <c r="D630" t="s">
        <v>231</v>
      </c>
      <c r="E630">
        <v>29953723</v>
      </c>
    </row>
    <row r="631" spans="1:5" x14ac:dyDescent="0.15">
      <c r="A631" t="s">
        <v>850</v>
      </c>
      <c r="B631" t="s">
        <v>852</v>
      </c>
      <c r="C631">
        <v>2014</v>
      </c>
      <c r="D631" t="s">
        <v>862</v>
      </c>
      <c r="E631">
        <v>25206960</v>
      </c>
    </row>
    <row r="632" spans="1:5" x14ac:dyDescent="0.15">
      <c r="A632" t="s">
        <v>3615</v>
      </c>
      <c r="B632" t="s">
        <v>3617</v>
      </c>
      <c r="C632">
        <v>2018</v>
      </c>
      <c r="D632" t="s">
        <v>3628</v>
      </c>
      <c r="E632">
        <v>29997623</v>
      </c>
    </row>
    <row r="633" spans="1:5" x14ac:dyDescent="0.15">
      <c r="A633" t="s">
        <v>5506</v>
      </c>
      <c r="B633" t="s">
        <v>5508</v>
      </c>
      <c r="C633">
        <v>2018</v>
      </c>
      <c r="D633" t="s">
        <v>5518</v>
      </c>
      <c r="E633">
        <v>29875772</v>
      </c>
    </row>
    <row r="634" spans="1:5" x14ac:dyDescent="0.15">
      <c r="A634" t="s">
        <v>9147</v>
      </c>
      <c r="B634" t="s">
        <v>9149</v>
      </c>
      <c r="C634">
        <v>2017</v>
      </c>
      <c r="D634" t="s">
        <v>9159</v>
      </c>
      <c r="E634">
        <v>28106372</v>
      </c>
    </row>
    <row r="635" spans="1:5" x14ac:dyDescent="0.15">
      <c r="A635" t="s">
        <v>13644</v>
      </c>
      <c r="B635" t="s">
        <v>13646</v>
      </c>
      <c r="C635">
        <v>2020</v>
      </c>
      <c r="D635" t="s">
        <v>13658</v>
      </c>
      <c r="E635">
        <v>31969186</v>
      </c>
    </row>
    <row r="636" spans="1:5" x14ac:dyDescent="0.15">
      <c r="A636" t="s">
        <v>14469</v>
      </c>
      <c r="B636" t="s">
        <v>14471</v>
      </c>
      <c r="C636">
        <v>2013</v>
      </c>
      <c r="D636" t="s">
        <v>14482</v>
      </c>
      <c r="E636">
        <v>23194089</v>
      </c>
    </row>
    <row r="637" spans="1:5" x14ac:dyDescent="0.15">
      <c r="A637" t="s">
        <v>15465</v>
      </c>
      <c r="B637" t="s">
        <v>15467</v>
      </c>
      <c r="C637">
        <v>2015</v>
      </c>
      <c r="D637" t="s">
        <v>15477</v>
      </c>
      <c r="E637">
        <v>24788895</v>
      </c>
    </row>
    <row r="638" spans="1:5" x14ac:dyDescent="0.15">
      <c r="A638" t="s">
        <v>16462</v>
      </c>
      <c r="B638" t="s">
        <v>16464</v>
      </c>
      <c r="C638">
        <v>2020</v>
      </c>
      <c r="D638" t="s">
        <v>16472</v>
      </c>
      <c r="E638">
        <v>32776418</v>
      </c>
    </row>
    <row r="639" spans="1:5" x14ac:dyDescent="0.15">
      <c r="A639" t="s">
        <v>20761</v>
      </c>
      <c r="B639" t="s">
        <v>20763</v>
      </c>
      <c r="C639">
        <v>2010</v>
      </c>
      <c r="D639" t="s">
        <v>20771</v>
      </c>
      <c r="E639">
        <v>20458331</v>
      </c>
    </row>
    <row r="640" spans="1:5" x14ac:dyDescent="0.15">
      <c r="A640" t="s">
        <v>21723</v>
      </c>
      <c r="B640" t="s">
        <v>21725</v>
      </c>
      <c r="C640">
        <v>2016</v>
      </c>
      <c r="D640" t="s">
        <v>21733</v>
      </c>
      <c r="E640">
        <v>26530043</v>
      </c>
    </row>
    <row r="641" spans="1:5" x14ac:dyDescent="0.15">
      <c r="A641" t="s">
        <v>21886</v>
      </c>
      <c r="B641" t="s">
        <v>21888</v>
      </c>
      <c r="C641">
        <v>2017</v>
      </c>
      <c r="D641" t="s">
        <v>21898</v>
      </c>
      <c r="E641">
        <v>28218293</v>
      </c>
    </row>
    <row r="642" spans="1:5" x14ac:dyDescent="0.15">
      <c r="A642" t="s">
        <v>22603</v>
      </c>
      <c r="B642" t="s">
        <v>22605</v>
      </c>
      <c r="C642">
        <v>2020</v>
      </c>
      <c r="D642" t="s">
        <v>22616</v>
      </c>
      <c r="E642">
        <v>31318684</v>
      </c>
    </row>
    <row r="643" spans="1:5" x14ac:dyDescent="0.15">
      <c r="A643" t="s">
        <v>25307</v>
      </c>
      <c r="B643" t="s">
        <v>25309</v>
      </c>
      <c r="C643">
        <v>2007</v>
      </c>
      <c r="D643" t="s">
        <v>25316</v>
      </c>
      <c r="E643">
        <v>17142389</v>
      </c>
    </row>
    <row r="644" spans="1:5" x14ac:dyDescent="0.15">
      <c r="A644" t="s">
        <v>25318</v>
      </c>
      <c r="B644" t="s">
        <v>25320</v>
      </c>
      <c r="C644">
        <v>2020</v>
      </c>
      <c r="D644" t="s">
        <v>25329</v>
      </c>
      <c r="E644">
        <v>31849082</v>
      </c>
    </row>
    <row r="645" spans="1:5" x14ac:dyDescent="0.15">
      <c r="A645" t="s">
        <v>25522</v>
      </c>
      <c r="B645" t="s">
        <v>25524</v>
      </c>
      <c r="C645">
        <v>2016</v>
      </c>
      <c r="D645" t="s">
        <v>25533</v>
      </c>
      <c r="E645">
        <v>27688098</v>
      </c>
    </row>
    <row r="646" spans="1:5" x14ac:dyDescent="0.15">
      <c r="A646" t="s">
        <v>28174</v>
      </c>
      <c r="B646" t="s">
        <v>28176</v>
      </c>
      <c r="C646">
        <v>2015</v>
      </c>
      <c r="D646" t="s">
        <v>28183</v>
      </c>
      <c r="E646">
        <v>26302379</v>
      </c>
    </row>
    <row r="647" spans="1:5" x14ac:dyDescent="0.15">
      <c r="A647" t="s">
        <v>28562</v>
      </c>
      <c r="B647" t="s">
        <v>28563</v>
      </c>
      <c r="C647">
        <v>1992</v>
      </c>
      <c r="D647" t="s">
        <v>28568</v>
      </c>
      <c r="E647">
        <v>1400624</v>
      </c>
    </row>
    <row r="648" spans="1:5" x14ac:dyDescent="0.15">
      <c r="A648" t="s">
        <v>29041</v>
      </c>
      <c r="B648" t="s">
        <v>29043</v>
      </c>
      <c r="C648">
        <v>2007</v>
      </c>
      <c r="D648" t="s">
        <v>29054</v>
      </c>
      <c r="E648">
        <v>17318626</v>
      </c>
    </row>
    <row r="649" spans="1:5" x14ac:dyDescent="0.15">
      <c r="A649" t="s">
        <v>4655</v>
      </c>
      <c r="B649" t="s">
        <v>4657</v>
      </c>
      <c r="C649">
        <v>2019</v>
      </c>
      <c r="D649" t="s">
        <v>4667</v>
      </c>
      <c r="E649">
        <v>31660081</v>
      </c>
    </row>
    <row r="650" spans="1:5" x14ac:dyDescent="0.15">
      <c r="A650" t="s">
        <v>12877</v>
      </c>
      <c r="B650" t="s">
        <v>12879</v>
      </c>
      <c r="C650">
        <v>2018</v>
      </c>
      <c r="D650" t="s">
        <v>12890</v>
      </c>
      <c r="E650">
        <v>30111566</v>
      </c>
    </row>
    <row r="651" spans="1:5" x14ac:dyDescent="0.15">
      <c r="A651" t="s">
        <v>13873</v>
      </c>
      <c r="B651" t="s">
        <v>13875</v>
      </c>
      <c r="C651">
        <v>2020</v>
      </c>
      <c r="D651" t="s">
        <v>13884</v>
      </c>
      <c r="E651">
        <v>32299821</v>
      </c>
    </row>
    <row r="652" spans="1:5" x14ac:dyDescent="0.15">
      <c r="A652" t="s">
        <v>18585</v>
      </c>
      <c r="B652" t="s">
        <v>18586</v>
      </c>
      <c r="C652">
        <v>2004</v>
      </c>
      <c r="D652" t="s">
        <v>18593</v>
      </c>
      <c r="E652">
        <v>14699071</v>
      </c>
    </row>
    <row r="653" spans="1:5" x14ac:dyDescent="0.15">
      <c r="A653" t="s">
        <v>20561</v>
      </c>
      <c r="B653" t="s">
        <v>20563</v>
      </c>
      <c r="C653">
        <v>2020</v>
      </c>
      <c r="D653" t="s">
        <v>20571</v>
      </c>
      <c r="E653">
        <v>32442343</v>
      </c>
    </row>
    <row r="654" spans="1:5" x14ac:dyDescent="0.15">
      <c r="A654" t="s">
        <v>22691</v>
      </c>
      <c r="B654" t="s">
        <v>22693</v>
      </c>
      <c r="C654">
        <v>2017</v>
      </c>
      <c r="D654" t="s">
        <v>22703</v>
      </c>
      <c r="E654">
        <v>27815082</v>
      </c>
    </row>
    <row r="655" spans="1:5" x14ac:dyDescent="0.15">
      <c r="A655" t="s">
        <v>29142</v>
      </c>
      <c r="B655" t="s">
        <v>29144</v>
      </c>
      <c r="C655">
        <v>2014</v>
      </c>
      <c r="D655" t="s">
        <v>29154</v>
      </c>
      <c r="E655">
        <v>24849351</v>
      </c>
    </row>
    <row r="656" spans="1:5" x14ac:dyDescent="0.15">
      <c r="A656" t="s">
        <v>29365</v>
      </c>
      <c r="B656" t="s">
        <v>29367</v>
      </c>
      <c r="C656">
        <v>2015</v>
      </c>
      <c r="D656" t="s">
        <v>29376</v>
      </c>
      <c r="E656">
        <v>26311871</v>
      </c>
    </row>
    <row r="657" spans="1:5" x14ac:dyDescent="0.15">
      <c r="A657" t="s">
        <v>29642</v>
      </c>
      <c r="B657" t="s">
        <v>29644</v>
      </c>
      <c r="C657">
        <v>2014</v>
      </c>
      <c r="D657" t="s">
        <v>29652</v>
      </c>
      <c r="E657">
        <v>25257395</v>
      </c>
    </row>
    <row r="658" spans="1:5" x14ac:dyDescent="0.15">
      <c r="A658" t="s">
        <v>29820</v>
      </c>
      <c r="B658" t="s">
        <v>29822</v>
      </c>
      <c r="C658">
        <v>2021</v>
      </c>
      <c r="D658" t="s">
        <v>29831</v>
      </c>
      <c r="E658">
        <v>34112774</v>
      </c>
    </row>
    <row r="659" spans="1:5" x14ac:dyDescent="0.15">
      <c r="A659" t="s">
        <v>29967</v>
      </c>
      <c r="B659" t="s">
        <v>29969</v>
      </c>
      <c r="C659">
        <v>2019</v>
      </c>
      <c r="D659" t="s">
        <v>29979</v>
      </c>
      <c r="E659">
        <v>31585042</v>
      </c>
    </row>
    <row r="660" spans="1:5" x14ac:dyDescent="0.15">
      <c r="A660" t="s">
        <v>4257</v>
      </c>
      <c r="B660" t="s">
        <v>4259</v>
      </c>
      <c r="C660">
        <v>2019</v>
      </c>
      <c r="D660" t="s">
        <v>4274</v>
      </c>
      <c r="E660">
        <v>31198995</v>
      </c>
    </row>
    <row r="661" spans="1:5" x14ac:dyDescent="0.15">
      <c r="A661" t="s">
        <v>6545</v>
      </c>
      <c r="B661" t="s">
        <v>6547</v>
      </c>
      <c r="C661">
        <v>2016</v>
      </c>
      <c r="D661" t="s">
        <v>6555</v>
      </c>
      <c r="E661">
        <v>27652382</v>
      </c>
    </row>
    <row r="662" spans="1:5" x14ac:dyDescent="0.15">
      <c r="A662" t="s">
        <v>8426</v>
      </c>
      <c r="B662" t="s">
        <v>8428</v>
      </c>
      <c r="C662">
        <v>2020</v>
      </c>
      <c r="D662" t="s">
        <v>8436</v>
      </c>
      <c r="E662">
        <v>31892034</v>
      </c>
    </row>
    <row r="663" spans="1:5" x14ac:dyDescent="0.15">
      <c r="A663" t="s">
        <v>12981</v>
      </c>
      <c r="B663" t="s">
        <v>12983</v>
      </c>
      <c r="C663">
        <v>2020</v>
      </c>
      <c r="D663" t="s">
        <v>12995</v>
      </c>
      <c r="E663">
        <v>32315358</v>
      </c>
    </row>
    <row r="664" spans="1:5" x14ac:dyDescent="0.15">
      <c r="A664" t="s">
        <v>13257</v>
      </c>
      <c r="B664" t="s">
        <v>13259</v>
      </c>
      <c r="C664">
        <v>2019</v>
      </c>
      <c r="D664" t="s">
        <v>13271</v>
      </c>
      <c r="E664">
        <v>31674611</v>
      </c>
    </row>
    <row r="665" spans="1:5" x14ac:dyDescent="0.15">
      <c r="A665" t="s">
        <v>13997</v>
      </c>
      <c r="B665" t="s">
        <v>13999</v>
      </c>
      <c r="C665">
        <v>2018</v>
      </c>
      <c r="D665" t="s">
        <v>14007</v>
      </c>
      <c r="E665">
        <v>30474100</v>
      </c>
    </row>
    <row r="666" spans="1:5" x14ac:dyDescent="0.15">
      <c r="A666" t="s">
        <v>14847</v>
      </c>
      <c r="B666" t="s">
        <v>14849</v>
      </c>
      <c r="C666">
        <v>2017</v>
      </c>
      <c r="D666" t="s">
        <v>14857</v>
      </c>
      <c r="E666">
        <v>28521461</v>
      </c>
    </row>
    <row r="667" spans="1:5" x14ac:dyDescent="0.15">
      <c r="A667" t="s">
        <v>17560</v>
      </c>
      <c r="B667" t="s">
        <v>17562</v>
      </c>
      <c r="C667">
        <v>2017</v>
      </c>
      <c r="D667" t="s">
        <v>17575</v>
      </c>
      <c r="E667">
        <v>28592925</v>
      </c>
    </row>
    <row r="668" spans="1:5" x14ac:dyDescent="0.15">
      <c r="A668" t="s">
        <v>19969</v>
      </c>
      <c r="B668" t="s">
        <v>19971</v>
      </c>
      <c r="C668">
        <v>2009</v>
      </c>
      <c r="D668" t="s">
        <v>19984</v>
      </c>
      <c r="E668">
        <v>19592610</v>
      </c>
    </row>
    <row r="669" spans="1:5" x14ac:dyDescent="0.15">
      <c r="A669" t="s">
        <v>20205</v>
      </c>
      <c r="B669" t="s">
        <v>20207</v>
      </c>
      <c r="C669">
        <v>2017</v>
      </c>
      <c r="D669" t="s">
        <v>20217</v>
      </c>
      <c r="E669">
        <v>28709644</v>
      </c>
    </row>
    <row r="670" spans="1:5" x14ac:dyDescent="0.15">
      <c r="A670" t="s">
        <v>21117</v>
      </c>
      <c r="B670" t="s">
        <v>21119</v>
      </c>
      <c r="C670">
        <v>2020</v>
      </c>
      <c r="D670" t="s">
        <v>21129</v>
      </c>
      <c r="E670">
        <v>32736263</v>
      </c>
    </row>
    <row r="671" spans="1:5" x14ac:dyDescent="0.15">
      <c r="A671" t="s">
        <v>21403</v>
      </c>
      <c r="B671" t="s">
        <v>21405</v>
      </c>
      <c r="C671">
        <v>2018</v>
      </c>
      <c r="D671" t="s">
        <v>21419</v>
      </c>
      <c r="E671">
        <v>30033809</v>
      </c>
    </row>
    <row r="672" spans="1:5" x14ac:dyDescent="0.15">
      <c r="A672" t="s">
        <v>22419</v>
      </c>
      <c r="B672" t="s">
        <v>22421</v>
      </c>
      <c r="C672">
        <v>2020</v>
      </c>
      <c r="D672" t="s">
        <v>22428</v>
      </c>
      <c r="E672">
        <v>32255115</v>
      </c>
    </row>
    <row r="673" spans="1:5" x14ac:dyDescent="0.15">
      <c r="A673" t="s">
        <v>25124</v>
      </c>
      <c r="B673" t="s">
        <v>25126</v>
      </c>
      <c r="C673">
        <v>2011</v>
      </c>
      <c r="D673" t="s">
        <v>25132</v>
      </c>
      <c r="E673">
        <v>21440017</v>
      </c>
    </row>
    <row r="674" spans="1:5" x14ac:dyDescent="0.15">
      <c r="A674" t="s">
        <v>25144</v>
      </c>
      <c r="B674" t="s">
        <v>25146</v>
      </c>
      <c r="C674">
        <v>2011</v>
      </c>
      <c r="D674" t="s">
        <v>25155</v>
      </c>
      <c r="E674">
        <v>21705625</v>
      </c>
    </row>
    <row r="675" spans="1:5" x14ac:dyDescent="0.15">
      <c r="A675" t="s">
        <v>27751</v>
      </c>
      <c r="B675" t="s">
        <v>27753</v>
      </c>
      <c r="C675">
        <v>2016</v>
      </c>
      <c r="D675" t="s">
        <v>27763</v>
      </c>
      <c r="E675">
        <v>27092489</v>
      </c>
    </row>
    <row r="676" spans="1:5" x14ac:dyDescent="0.15">
      <c r="A676" t="s">
        <v>28653</v>
      </c>
      <c r="B676" t="s">
        <v>28654</v>
      </c>
      <c r="C676">
        <v>1991</v>
      </c>
      <c r="D676" t="s">
        <v>28661</v>
      </c>
      <c r="E676">
        <v>1985097</v>
      </c>
    </row>
    <row r="677" spans="1:5" x14ac:dyDescent="0.15">
      <c r="A677" t="s">
        <v>1611</v>
      </c>
      <c r="B677" t="s">
        <v>1613</v>
      </c>
      <c r="C677">
        <v>2017</v>
      </c>
      <c r="D677" t="s">
        <v>1625</v>
      </c>
      <c r="E677">
        <v>27435060</v>
      </c>
    </row>
    <row r="678" spans="1:5" x14ac:dyDescent="0.15">
      <c r="A678" t="s">
        <v>6915</v>
      </c>
      <c r="B678" t="s">
        <v>6917</v>
      </c>
      <c r="C678">
        <v>2018</v>
      </c>
      <c r="D678" t="s">
        <v>6925</v>
      </c>
      <c r="E678">
        <v>29533121</v>
      </c>
    </row>
    <row r="679" spans="1:5" x14ac:dyDescent="0.15">
      <c r="A679" t="s">
        <v>7418</v>
      </c>
      <c r="B679" t="s">
        <v>7420</v>
      </c>
      <c r="C679">
        <v>2020</v>
      </c>
      <c r="D679" t="s">
        <v>7433</v>
      </c>
      <c r="E679">
        <v>32730709</v>
      </c>
    </row>
    <row r="680" spans="1:5" x14ac:dyDescent="0.15">
      <c r="A680" t="s">
        <v>11176</v>
      </c>
      <c r="B680" t="s">
        <v>11178</v>
      </c>
      <c r="C680">
        <v>2017</v>
      </c>
      <c r="D680" t="s">
        <v>11190</v>
      </c>
      <c r="E680">
        <v>29093639</v>
      </c>
    </row>
    <row r="681" spans="1:5" x14ac:dyDescent="0.15">
      <c r="A681" t="s">
        <v>11394</v>
      </c>
      <c r="B681" t="s">
        <v>11396</v>
      </c>
      <c r="C681">
        <v>2020</v>
      </c>
      <c r="D681" t="s">
        <v>11406</v>
      </c>
      <c r="E681">
        <v>31794192</v>
      </c>
    </row>
    <row r="682" spans="1:5" x14ac:dyDescent="0.15">
      <c r="A682" t="s">
        <v>11792</v>
      </c>
      <c r="B682" t="s">
        <v>11794</v>
      </c>
      <c r="C682">
        <v>2019</v>
      </c>
      <c r="D682" t="s">
        <v>11806</v>
      </c>
      <c r="E682">
        <v>30973972</v>
      </c>
    </row>
    <row r="683" spans="1:5" x14ac:dyDescent="0.15">
      <c r="A683" t="s">
        <v>12472</v>
      </c>
      <c r="B683" t="s">
        <v>12474</v>
      </c>
      <c r="C683">
        <v>2020</v>
      </c>
      <c r="D683" t="s">
        <v>12482</v>
      </c>
      <c r="E683">
        <v>31746410</v>
      </c>
    </row>
    <row r="684" spans="1:5" x14ac:dyDescent="0.15">
      <c r="A684" t="s">
        <v>14961</v>
      </c>
      <c r="B684" t="s">
        <v>14963</v>
      </c>
      <c r="C684">
        <v>2009</v>
      </c>
      <c r="D684" t="s">
        <v>14972</v>
      </c>
      <c r="E684">
        <v>19589376</v>
      </c>
    </row>
    <row r="685" spans="1:5" x14ac:dyDescent="0.15">
      <c r="A685" t="s">
        <v>17335</v>
      </c>
      <c r="B685" t="s">
        <v>17337</v>
      </c>
      <c r="C685">
        <v>2019</v>
      </c>
      <c r="D685" t="s">
        <v>17346</v>
      </c>
      <c r="E685">
        <v>30411781</v>
      </c>
    </row>
    <row r="686" spans="1:5" x14ac:dyDescent="0.15">
      <c r="A686" t="s">
        <v>19988</v>
      </c>
      <c r="B686" t="s">
        <v>19990</v>
      </c>
      <c r="C686">
        <v>2018</v>
      </c>
      <c r="D686" t="s">
        <v>19998</v>
      </c>
      <c r="E686">
        <v>30254196</v>
      </c>
    </row>
    <row r="687" spans="1:5" x14ac:dyDescent="0.15">
      <c r="A687" t="s">
        <v>23926</v>
      </c>
      <c r="B687" t="s">
        <v>23928</v>
      </c>
      <c r="C687">
        <v>2018</v>
      </c>
      <c r="D687" t="s">
        <v>23938</v>
      </c>
      <c r="E687">
        <v>29593276</v>
      </c>
    </row>
    <row r="688" spans="1:5" x14ac:dyDescent="0.15">
      <c r="A688" t="s">
        <v>24010</v>
      </c>
      <c r="B688" t="s">
        <v>24011</v>
      </c>
      <c r="C688">
        <v>2006</v>
      </c>
      <c r="D688" t="s">
        <v>24019</v>
      </c>
      <c r="E688">
        <v>16501071</v>
      </c>
    </row>
    <row r="689" spans="1:5" x14ac:dyDescent="0.15">
      <c r="A689" t="s">
        <v>24095</v>
      </c>
      <c r="B689" t="s">
        <v>24097</v>
      </c>
      <c r="C689">
        <v>2018</v>
      </c>
      <c r="D689" t="s">
        <v>24107</v>
      </c>
      <c r="E689">
        <v>29976931</v>
      </c>
    </row>
    <row r="690" spans="1:5" x14ac:dyDescent="0.15">
      <c r="A690" t="s">
        <v>24424</v>
      </c>
      <c r="B690" t="s">
        <v>24426</v>
      </c>
      <c r="C690">
        <v>2011</v>
      </c>
      <c r="D690" t="s">
        <v>24439</v>
      </c>
      <c r="E690">
        <v>21193002</v>
      </c>
    </row>
    <row r="691" spans="1:5" x14ac:dyDescent="0.15">
      <c r="A691" t="s">
        <v>27501</v>
      </c>
      <c r="B691" t="s">
        <v>27503</v>
      </c>
      <c r="C691">
        <v>2018</v>
      </c>
      <c r="D691" t="s">
        <v>27515</v>
      </c>
      <c r="E691">
        <v>28986361</v>
      </c>
    </row>
    <row r="692" spans="1:5" x14ac:dyDescent="0.15">
      <c r="A692" t="s">
        <v>27545</v>
      </c>
      <c r="B692" t="s">
        <v>27546</v>
      </c>
      <c r="C692">
        <v>1995</v>
      </c>
      <c r="D692" t="s">
        <v>74</v>
      </c>
      <c r="E692">
        <v>7614483</v>
      </c>
    </row>
    <row r="693" spans="1:5" x14ac:dyDescent="0.15">
      <c r="A693" t="s">
        <v>28570</v>
      </c>
      <c r="B693" t="s">
        <v>28573</v>
      </c>
      <c r="C693">
        <v>2018</v>
      </c>
      <c r="D693" t="s">
        <v>28585</v>
      </c>
      <c r="E693">
        <v>29434051</v>
      </c>
    </row>
    <row r="694" spans="1:5" x14ac:dyDescent="0.15">
      <c r="A694" t="s">
        <v>4042</v>
      </c>
      <c r="B694" t="s">
        <v>4045</v>
      </c>
      <c r="C694">
        <v>2011</v>
      </c>
      <c r="D694" t="s">
        <v>4054</v>
      </c>
      <c r="E694">
        <v>21506015</v>
      </c>
    </row>
    <row r="695" spans="1:5" x14ac:dyDescent="0.15">
      <c r="A695" t="s">
        <v>7388</v>
      </c>
      <c r="B695" t="s">
        <v>7390</v>
      </c>
      <c r="C695">
        <v>2020</v>
      </c>
      <c r="D695" t="s">
        <v>7401</v>
      </c>
      <c r="E695">
        <v>32795917</v>
      </c>
    </row>
    <row r="696" spans="1:5" x14ac:dyDescent="0.15">
      <c r="A696" t="s">
        <v>9279</v>
      </c>
      <c r="B696" t="s">
        <v>9281</v>
      </c>
      <c r="C696">
        <v>2016</v>
      </c>
      <c r="D696" t="s">
        <v>9295</v>
      </c>
      <c r="E696">
        <v>27506416</v>
      </c>
    </row>
    <row r="697" spans="1:5" x14ac:dyDescent="0.15">
      <c r="A697" t="s">
        <v>10105</v>
      </c>
      <c r="B697" t="s">
        <v>10107</v>
      </c>
      <c r="C697">
        <v>2020</v>
      </c>
      <c r="D697" t="s">
        <v>10116</v>
      </c>
      <c r="E697">
        <v>32289816</v>
      </c>
    </row>
    <row r="698" spans="1:5" x14ac:dyDescent="0.15">
      <c r="A698" t="s">
        <v>14717</v>
      </c>
      <c r="B698" t="s">
        <v>14719</v>
      </c>
      <c r="C698">
        <v>2018</v>
      </c>
      <c r="D698" t="s">
        <v>14728</v>
      </c>
      <c r="E698">
        <v>29932869</v>
      </c>
    </row>
    <row r="699" spans="1:5" x14ac:dyDescent="0.15">
      <c r="A699" t="s">
        <v>15104</v>
      </c>
      <c r="B699" t="s">
        <v>15106</v>
      </c>
      <c r="C699">
        <v>2016</v>
      </c>
      <c r="D699" t="s">
        <v>15116</v>
      </c>
      <c r="E699">
        <v>27514468</v>
      </c>
    </row>
    <row r="700" spans="1:5" x14ac:dyDescent="0.15">
      <c r="A700" t="s">
        <v>6270</v>
      </c>
      <c r="B700" t="s">
        <v>15277</v>
      </c>
      <c r="C700">
        <v>2017</v>
      </c>
      <c r="D700" t="s">
        <v>15282</v>
      </c>
      <c r="E700">
        <v>28821711</v>
      </c>
    </row>
    <row r="701" spans="1:5" x14ac:dyDescent="0.15">
      <c r="A701" t="s">
        <v>15753</v>
      </c>
      <c r="B701" t="s">
        <v>15755</v>
      </c>
      <c r="C701">
        <v>2020</v>
      </c>
      <c r="D701" t="s">
        <v>15764</v>
      </c>
      <c r="E701">
        <v>32915531</v>
      </c>
    </row>
    <row r="702" spans="1:5" x14ac:dyDescent="0.15">
      <c r="A702" t="s">
        <v>18928</v>
      </c>
      <c r="B702" t="s">
        <v>18930</v>
      </c>
      <c r="C702">
        <v>2018</v>
      </c>
      <c r="D702" t="s">
        <v>18940</v>
      </c>
      <c r="E702">
        <v>30128086</v>
      </c>
    </row>
    <row r="703" spans="1:5" x14ac:dyDescent="0.15">
      <c r="A703" t="s">
        <v>19955</v>
      </c>
      <c r="B703" t="s">
        <v>19957</v>
      </c>
      <c r="C703">
        <v>2013</v>
      </c>
      <c r="D703" t="s">
        <v>19967</v>
      </c>
      <c r="E703">
        <v>24141107</v>
      </c>
    </row>
    <row r="704" spans="1:5" x14ac:dyDescent="0.15">
      <c r="A704" t="s">
        <v>20328</v>
      </c>
      <c r="B704" t="s">
        <v>20330</v>
      </c>
      <c r="C704">
        <v>2019</v>
      </c>
      <c r="D704" t="s">
        <v>20338</v>
      </c>
      <c r="E704">
        <v>31949877</v>
      </c>
    </row>
    <row r="705" spans="1:5" x14ac:dyDescent="0.15">
      <c r="A705" t="s">
        <v>22799</v>
      </c>
      <c r="B705" t="s">
        <v>22800</v>
      </c>
      <c r="C705">
        <v>1994</v>
      </c>
      <c r="D705" t="s">
        <v>74</v>
      </c>
      <c r="E705">
        <v>7919334</v>
      </c>
    </row>
    <row r="706" spans="1:5" x14ac:dyDescent="0.15">
      <c r="A706" t="s">
        <v>24048</v>
      </c>
      <c r="B706" t="s">
        <v>24050</v>
      </c>
      <c r="C706">
        <v>2011</v>
      </c>
      <c r="D706" t="s">
        <v>24062</v>
      </c>
      <c r="E706">
        <v>21410798</v>
      </c>
    </row>
    <row r="707" spans="1:5" x14ac:dyDescent="0.15">
      <c r="A707" t="s">
        <v>24165</v>
      </c>
      <c r="B707" t="s">
        <v>24167</v>
      </c>
      <c r="C707">
        <v>2018</v>
      </c>
      <c r="D707" t="s">
        <v>24177</v>
      </c>
      <c r="E707">
        <v>29491838</v>
      </c>
    </row>
    <row r="708" spans="1:5" x14ac:dyDescent="0.15">
      <c r="A708" t="s">
        <v>25281</v>
      </c>
      <c r="B708" t="s">
        <v>25283</v>
      </c>
      <c r="C708">
        <v>2018</v>
      </c>
      <c r="D708" t="s">
        <v>25292</v>
      </c>
      <c r="E708">
        <v>29880824</v>
      </c>
    </row>
    <row r="709" spans="1:5" x14ac:dyDescent="0.15">
      <c r="A709" t="s">
        <v>26907</v>
      </c>
      <c r="B709" t="s">
        <v>26909</v>
      </c>
      <c r="C709">
        <v>2010</v>
      </c>
      <c r="D709" t="s">
        <v>26919</v>
      </c>
      <c r="E709">
        <v>20846121</v>
      </c>
    </row>
    <row r="710" spans="1:5" x14ac:dyDescent="0.15">
      <c r="A710" t="s">
        <v>30473</v>
      </c>
      <c r="B710" t="s">
        <v>30475</v>
      </c>
      <c r="C710">
        <v>2019</v>
      </c>
      <c r="D710" t="s">
        <v>30480</v>
      </c>
      <c r="E710">
        <v>30846503</v>
      </c>
    </row>
    <row r="711" spans="1:5" x14ac:dyDescent="0.15">
      <c r="A711" t="s">
        <v>1499</v>
      </c>
      <c r="B711" t="s">
        <v>1501</v>
      </c>
      <c r="C711">
        <v>2021</v>
      </c>
      <c r="D711" t="s">
        <v>1510</v>
      </c>
      <c r="E711">
        <v>33668490</v>
      </c>
    </row>
    <row r="712" spans="1:5" x14ac:dyDescent="0.15">
      <c r="A712" t="s">
        <v>3531</v>
      </c>
      <c r="B712" t="s">
        <v>3533</v>
      </c>
      <c r="C712">
        <v>2019</v>
      </c>
      <c r="D712" t="s">
        <v>3543</v>
      </c>
      <c r="E712">
        <v>31620104</v>
      </c>
    </row>
    <row r="713" spans="1:5" x14ac:dyDescent="0.15">
      <c r="A713" t="s">
        <v>3930</v>
      </c>
      <c r="B713" t="s">
        <v>3932</v>
      </c>
      <c r="C713">
        <v>2020</v>
      </c>
      <c r="D713" t="s">
        <v>3943</v>
      </c>
      <c r="E713">
        <v>33274611</v>
      </c>
    </row>
    <row r="714" spans="1:5" x14ac:dyDescent="0.15">
      <c r="A714" t="s">
        <v>3982</v>
      </c>
      <c r="B714" t="s">
        <v>3984</v>
      </c>
      <c r="C714">
        <v>2019</v>
      </c>
      <c r="D714" t="s">
        <v>3995</v>
      </c>
      <c r="E714">
        <v>30871557</v>
      </c>
    </row>
    <row r="715" spans="1:5" x14ac:dyDescent="0.15">
      <c r="A715" t="s">
        <v>4388</v>
      </c>
      <c r="B715" t="s">
        <v>4390</v>
      </c>
      <c r="C715">
        <v>2017</v>
      </c>
      <c r="D715" t="s">
        <v>4403</v>
      </c>
      <c r="E715">
        <v>28750687</v>
      </c>
    </row>
    <row r="716" spans="1:5" x14ac:dyDescent="0.15">
      <c r="A716" t="s">
        <v>5827</v>
      </c>
      <c r="B716" t="s">
        <v>5829</v>
      </c>
      <c r="C716">
        <v>2021</v>
      </c>
      <c r="D716" t="s">
        <v>5841</v>
      </c>
      <c r="E716">
        <v>32664737</v>
      </c>
    </row>
    <row r="717" spans="1:5" x14ac:dyDescent="0.15">
      <c r="A717" t="s">
        <v>7513</v>
      </c>
      <c r="B717" t="s">
        <v>7515</v>
      </c>
      <c r="C717">
        <v>2018</v>
      </c>
      <c r="D717" t="s">
        <v>7525</v>
      </c>
      <c r="E717">
        <v>30596665</v>
      </c>
    </row>
    <row r="718" spans="1:5" x14ac:dyDescent="0.15">
      <c r="A718" t="s">
        <v>7941</v>
      </c>
      <c r="B718" t="s">
        <v>7943</v>
      </c>
      <c r="C718">
        <v>2006</v>
      </c>
      <c r="D718" t="s">
        <v>7956</v>
      </c>
      <c r="E718">
        <v>17127485</v>
      </c>
    </row>
    <row r="719" spans="1:5" x14ac:dyDescent="0.15">
      <c r="A719" t="s">
        <v>10528</v>
      </c>
      <c r="B719" t="s">
        <v>10530</v>
      </c>
      <c r="C719">
        <v>2020</v>
      </c>
      <c r="D719" t="s">
        <v>10540</v>
      </c>
      <c r="E719">
        <v>32858892</v>
      </c>
    </row>
    <row r="720" spans="1:5" x14ac:dyDescent="0.15">
      <c r="A720" t="s">
        <v>17092</v>
      </c>
      <c r="B720" t="s">
        <v>17094</v>
      </c>
      <c r="C720">
        <v>2020</v>
      </c>
      <c r="D720" t="s">
        <v>17104</v>
      </c>
      <c r="E720">
        <v>31896748</v>
      </c>
    </row>
    <row r="721" spans="1:5" x14ac:dyDescent="0.15">
      <c r="A721" t="s">
        <v>17483</v>
      </c>
      <c r="B721" t="s">
        <v>17485</v>
      </c>
      <c r="C721">
        <v>2021</v>
      </c>
      <c r="D721" t="s">
        <v>17493</v>
      </c>
      <c r="E721">
        <v>33717653</v>
      </c>
    </row>
    <row r="722" spans="1:5" x14ac:dyDescent="0.15">
      <c r="A722" t="s">
        <v>17780</v>
      </c>
      <c r="B722" t="s">
        <v>17782</v>
      </c>
      <c r="C722">
        <v>2016</v>
      </c>
      <c r="D722" t="s">
        <v>17791</v>
      </c>
      <c r="E722">
        <v>27387368</v>
      </c>
    </row>
    <row r="723" spans="1:5" x14ac:dyDescent="0.15">
      <c r="A723" t="s">
        <v>18141</v>
      </c>
      <c r="B723" t="s">
        <v>18143</v>
      </c>
      <c r="C723">
        <v>2020</v>
      </c>
      <c r="D723" t="s">
        <v>18150</v>
      </c>
      <c r="E723">
        <v>32902258</v>
      </c>
    </row>
    <row r="724" spans="1:5" x14ac:dyDescent="0.15">
      <c r="A724" t="s">
        <v>19486</v>
      </c>
      <c r="B724" t="s">
        <v>19488</v>
      </c>
      <c r="C724">
        <v>2006</v>
      </c>
      <c r="D724" t="s">
        <v>19498</v>
      </c>
      <c r="E724">
        <v>16841193</v>
      </c>
    </row>
    <row r="725" spans="1:5" x14ac:dyDescent="0.15">
      <c r="A725" t="s">
        <v>19570</v>
      </c>
      <c r="B725" t="s">
        <v>19572</v>
      </c>
      <c r="C725">
        <v>2017</v>
      </c>
      <c r="D725" t="s">
        <v>19582</v>
      </c>
      <c r="E725">
        <v>28151481</v>
      </c>
    </row>
    <row r="726" spans="1:5" x14ac:dyDescent="0.15">
      <c r="A726" t="s">
        <v>21833</v>
      </c>
      <c r="B726" t="s">
        <v>21835</v>
      </c>
      <c r="C726">
        <v>2017</v>
      </c>
      <c r="D726" t="s">
        <v>21845</v>
      </c>
      <c r="E726">
        <v>28492516</v>
      </c>
    </row>
    <row r="727" spans="1:5" x14ac:dyDescent="0.15">
      <c r="A727" t="s">
        <v>22062</v>
      </c>
      <c r="B727" t="s">
        <v>22064</v>
      </c>
      <c r="C727">
        <v>2021</v>
      </c>
      <c r="D727" t="s">
        <v>22070</v>
      </c>
      <c r="E727">
        <v>33404216</v>
      </c>
    </row>
    <row r="728" spans="1:5" x14ac:dyDescent="0.15">
      <c r="A728" t="s">
        <v>23717</v>
      </c>
      <c r="B728" t="s">
        <v>23719</v>
      </c>
      <c r="C728">
        <v>2019</v>
      </c>
      <c r="D728" t="s">
        <v>23728</v>
      </c>
      <c r="E728">
        <v>31611906</v>
      </c>
    </row>
    <row r="729" spans="1:5" x14ac:dyDescent="0.15">
      <c r="A729" t="s">
        <v>24285</v>
      </c>
      <c r="B729" t="s">
        <v>24287</v>
      </c>
      <c r="C729">
        <v>2020</v>
      </c>
      <c r="D729" t="s">
        <v>24295</v>
      </c>
      <c r="E729">
        <v>32866725</v>
      </c>
    </row>
    <row r="730" spans="1:5" x14ac:dyDescent="0.15">
      <c r="A730" t="s">
        <v>24385</v>
      </c>
      <c r="B730" t="s">
        <v>24387</v>
      </c>
      <c r="C730">
        <v>2011</v>
      </c>
      <c r="D730" t="s">
        <v>24398</v>
      </c>
      <c r="E730">
        <v>21461976</v>
      </c>
    </row>
    <row r="731" spans="1:5" x14ac:dyDescent="0.15">
      <c r="A731" t="s">
        <v>25629</v>
      </c>
      <c r="B731" t="s">
        <v>25631</v>
      </c>
      <c r="C731">
        <v>2010</v>
      </c>
      <c r="D731" t="s">
        <v>25641</v>
      </c>
      <c r="E731">
        <v>20818482</v>
      </c>
    </row>
    <row r="732" spans="1:5" x14ac:dyDescent="0.15">
      <c r="A732" t="s">
        <v>25717</v>
      </c>
      <c r="B732" t="s">
        <v>25719</v>
      </c>
      <c r="C732">
        <v>2008</v>
      </c>
      <c r="D732" t="s">
        <v>25729</v>
      </c>
      <c r="E732">
        <v>18089561</v>
      </c>
    </row>
    <row r="733" spans="1:5" x14ac:dyDescent="0.15">
      <c r="A733" t="s">
        <v>25958</v>
      </c>
      <c r="B733" t="s">
        <v>25960</v>
      </c>
      <c r="C733">
        <v>2018</v>
      </c>
      <c r="D733" t="s">
        <v>25968</v>
      </c>
      <c r="E733">
        <v>29729732</v>
      </c>
    </row>
    <row r="734" spans="1:5" x14ac:dyDescent="0.15">
      <c r="A734" t="s">
        <v>26332</v>
      </c>
      <c r="B734" t="s">
        <v>26333</v>
      </c>
      <c r="C734">
        <v>2003</v>
      </c>
      <c r="D734" t="s">
        <v>26342</v>
      </c>
      <c r="E734">
        <v>14504997</v>
      </c>
    </row>
    <row r="735" spans="1:5" x14ac:dyDescent="0.15">
      <c r="A735" t="s">
        <v>29398</v>
      </c>
      <c r="B735" t="s">
        <v>29400</v>
      </c>
      <c r="C735">
        <v>2008</v>
      </c>
      <c r="D735" t="s">
        <v>29411</v>
      </c>
      <c r="E735">
        <v>17898544</v>
      </c>
    </row>
    <row r="736" spans="1:5" x14ac:dyDescent="0.15">
      <c r="A736" t="s">
        <v>618</v>
      </c>
      <c r="B736" t="s">
        <v>620</v>
      </c>
      <c r="C736">
        <v>2017</v>
      </c>
      <c r="D736" t="s">
        <v>632</v>
      </c>
      <c r="E736">
        <v>28275693</v>
      </c>
    </row>
    <row r="737" spans="1:5" x14ac:dyDescent="0.15">
      <c r="A737" t="s">
        <v>6332</v>
      </c>
      <c r="B737" t="s">
        <v>6334</v>
      </c>
      <c r="C737">
        <v>2017</v>
      </c>
      <c r="D737" t="s">
        <v>6344</v>
      </c>
      <c r="E737">
        <v>29185455</v>
      </c>
    </row>
    <row r="738" spans="1:5" x14ac:dyDescent="0.15">
      <c r="A738" t="s">
        <v>7199</v>
      </c>
      <c r="B738" t="s">
        <v>7201</v>
      </c>
      <c r="C738">
        <v>2016</v>
      </c>
      <c r="D738" t="s">
        <v>7211</v>
      </c>
      <c r="E738">
        <v>27394172</v>
      </c>
    </row>
    <row r="739" spans="1:5" x14ac:dyDescent="0.15">
      <c r="A739" t="s">
        <v>7555</v>
      </c>
      <c r="B739" t="s">
        <v>7557</v>
      </c>
      <c r="C739">
        <v>2020</v>
      </c>
      <c r="D739" t="s">
        <v>7567</v>
      </c>
      <c r="E739">
        <v>32334098</v>
      </c>
    </row>
    <row r="740" spans="1:5" x14ac:dyDescent="0.15">
      <c r="A740" t="s">
        <v>9324</v>
      </c>
      <c r="B740" t="s">
        <v>9325</v>
      </c>
      <c r="C740">
        <v>2003</v>
      </c>
      <c r="D740" t="s">
        <v>74</v>
      </c>
      <c r="E740">
        <v>12635668</v>
      </c>
    </row>
    <row r="741" spans="1:5" x14ac:dyDescent="0.15">
      <c r="A741" t="s">
        <v>10263</v>
      </c>
      <c r="B741" t="s">
        <v>10265</v>
      </c>
      <c r="C741">
        <v>2016</v>
      </c>
      <c r="D741" t="s">
        <v>10275</v>
      </c>
      <c r="E741">
        <v>27579604</v>
      </c>
    </row>
    <row r="742" spans="1:5" x14ac:dyDescent="0.15">
      <c r="A742" t="s">
        <v>11024</v>
      </c>
      <c r="B742" t="s">
        <v>11026</v>
      </c>
      <c r="C742">
        <v>2018</v>
      </c>
      <c r="D742" t="s">
        <v>11035</v>
      </c>
      <c r="E742">
        <v>29550075</v>
      </c>
    </row>
    <row r="743" spans="1:5" x14ac:dyDescent="0.15">
      <c r="A743" t="s">
        <v>11226</v>
      </c>
      <c r="B743" t="s">
        <v>11228</v>
      </c>
      <c r="C743">
        <v>2019</v>
      </c>
      <c r="D743" t="s">
        <v>11240</v>
      </c>
      <c r="E743">
        <v>31451563</v>
      </c>
    </row>
    <row r="744" spans="1:5" x14ac:dyDescent="0.15">
      <c r="A744" t="s">
        <v>15378</v>
      </c>
      <c r="B744" t="s">
        <v>15380</v>
      </c>
      <c r="C744">
        <v>2006</v>
      </c>
      <c r="D744" t="s">
        <v>15392</v>
      </c>
      <c r="E744">
        <v>16672282</v>
      </c>
    </row>
    <row r="745" spans="1:5" x14ac:dyDescent="0.15">
      <c r="A745" t="s">
        <v>15803</v>
      </c>
      <c r="B745" t="s">
        <v>15805</v>
      </c>
      <c r="C745">
        <v>2017</v>
      </c>
      <c r="D745" t="s">
        <v>15815</v>
      </c>
      <c r="E745">
        <v>29170447</v>
      </c>
    </row>
    <row r="746" spans="1:5" x14ac:dyDescent="0.15">
      <c r="A746" t="s">
        <v>16813</v>
      </c>
      <c r="B746" t="s">
        <v>16815</v>
      </c>
      <c r="C746">
        <v>2014</v>
      </c>
      <c r="D746" t="s">
        <v>16827</v>
      </c>
      <c r="E746">
        <v>24535842</v>
      </c>
    </row>
    <row r="747" spans="1:5" x14ac:dyDescent="0.15">
      <c r="A747" t="s">
        <v>17519</v>
      </c>
      <c r="B747" t="s">
        <v>17521</v>
      </c>
      <c r="C747">
        <v>2020</v>
      </c>
      <c r="D747" t="s">
        <v>17530</v>
      </c>
      <c r="E747">
        <v>32594744</v>
      </c>
    </row>
    <row r="748" spans="1:5" x14ac:dyDescent="0.15">
      <c r="A748" t="s">
        <v>22407</v>
      </c>
      <c r="B748" t="s">
        <v>22409</v>
      </c>
      <c r="C748">
        <v>2019</v>
      </c>
      <c r="D748" t="s">
        <v>22417</v>
      </c>
      <c r="E748">
        <v>31768526</v>
      </c>
    </row>
    <row r="749" spans="1:5" x14ac:dyDescent="0.15">
      <c r="A749" t="s">
        <v>23251</v>
      </c>
      <c r="B749" t="s">
        <v>23253</v>
      </c>
      <c r="C749">
        <v>2019</v>
      </c>
      <c r="D749" t="s">
        <v>23261</v>
      </c>
      <c r="E749" t="s">
        <v>74</v>
      </c>
    </row>
    <row r="750" spans="1:5" x14ac:dyDescent="0.15">
      <c r="A750" t="s">
        <v>23580</v>
      </c>
      <c r="B750" t="s">
        <v>23582</v>
      </c>
      <c r="C750">
        <v>2021</v>
      </c>
      <c r="D750" t="s">
        <v>23593</v>
      </c>
      <c r="E750">
        <v>32644821</v>
      </c>
    </row>
    <row r="751" spans="1:5" x14ac:dyDescent="0.15">
      <c r="A751" t="s">
        <v>25165</v>
      </c>
      <c r="B751" t="s">
        <v>25167</v>
      </c>
      <c r="C751">
        <v>2020</v>
      </c>
      <c r="D751" t="s">
        <v>25176</v>
      </c>
      <c r="E751">
        <v>32352741</v>
      </c>
    </row>
    <row r="752" spans="1:5" x14ac:dyDescent="0.15">
      <c r="A752" t="s">
        <v>26864</v>
      </c>
      <c r="B752" t="s">
        <v>26865</v>
      </c>
      <c r="C752">
        <v>2000</v>
      </c>
      <c r="D752" t="s">
        <v>26870</v>
      </c>
      <c r="E752">
        <v>11118370</v>
      </c>
    </row>
    <row r="753" spans="1:5" x14ac:dyDescent="0.15">
      <c r="A753" t="s">
        <v>30495</v>
      </c>
      <c r="B753" t="s">
        <v>30497</v>
      </c>
      <c r="C753">
        <v>2017</v>
      </c>
      <c r="D753" t="s">
        <v>30509</v>
      </c>
      <c r="E753">
        <v>29302403</v>
      </c>
    </row>
    <row r="754" spans="1:5" x14ac:dyDescent="0.15">
      <c r="A754" t="s">
        <v>30511</v>
      </c>
      <c r="B754" t="s">
        <v>30513</v>
      </c>
      <c r="C754">
        <v>2013</v>
      </c>
      <c r="D754" t="s">
        <v>30525</v>
      </c>
      <c r="E754">
        <v>23881522</v>
      </c>
    </row>
    <row r="755" spans="1:5" x14ac:dyDescent="0.15">
      <c r="A755" t="s">
        <v>1584</v>
      </c>
      <c r="B755" t="s">
        <v>1586</v>
      </c>
      <c r="C755">
        <v>2020</v>
      </c>
      <c r="D755" t="s">
        <v>1596</v>
      </c>
      <c r="E755">
        <v>32363015</v>
      </c>
    </row>
    <row r="756" spans="1:5" x14ac:dyDescent="0.15">
      <c r="A756" t="s">
        <v>3729</v>
      </c>
      <c r="B756" t="s">
        <v>3731</v>
      </c>
      <c r="C756">
        <v>2019</v>
      </c>
      <c r="D756" t="s">
        <v>3745</v>
      </c>
      <c r="E756">
        <v>30907225</v>
      </c>
    </row>
    <row r="757" spans="1:5" x14ac:dyDescent="0.15">
      <c r="A757" t="s">
        <v>4841</v>
      </c>
      <c r="B757" t="s">
        <v>4843</v>
      </c>
      <c r="C757">
        <v>2019</v>
      </c>
      <c r="D757" t="s">
        <v>4853</v>
      </c>
      <c r="E757">
        <v>31340551</v>
      </c>
    </row>
    <row r="758" spans="1:5" x14ac:dyDescent="0.15">
      <c r="A758" t="s">
        <v>5274</v>
      </c>
      <c r="B758" t="s">
        <v>5276</v>
      </c>
      <c r="C758">
        <v>2020</v>
      </c>
      <c r="D758" t="s">
        <v>5286</v>
      </c>
      <c r="E758">
        <v>32455948</v>
      </c>
    </row>
    <row r="759" spans="1:5" x14ac:dyDescent="0.15">
      <c r="A759" t="s">
        <v>6939</v>
      </c>
      <c r="B759" t="s">
        <v>6941</v>
      </c>
      <c r="C759">
        <v>2017</v>
      </c>
      <c r="D759" t="s">
        <v>6954</v>
      </c>
      <c r="E759">
        <v>28807240</v>
      </c>
    </row>
    <row r="760" spans="1:5" x14ac:dyDescent="0.15">
      <c r="A760" t="s">
        <v>7164</v>
      </c>
      <c r="B760" t="s">
        <v>7166</v>
      </c>
      <c r="C760">
        <v>2018</v>
      </c>
      <c r="D760" t="s">
        <v>7179</v>
      </c>
      <c r="E760">
        <v>30216846</v>
      </c>
    </row>
    <row r="761" spans="1:5" x14ac:dyDescent="0.15">
      <c r="A761" t="s">
        <v>7647</v>
      </c>
      <c r="B761" t="s">
        <v>7649</v>
      </c>
      <c r="C761">
        <v>2008</v>
      </c>
      <c r="D761" t="s">
        <v>74</v>
      </c>
      <c r="E761">
        <v>18806345</v>
      </c>
    </row>
    <row r="762" spans="1:5" x14ac:dyDescent="0.15">
      <c r="A762" t="s">
        <v>11909</v>
      </c>
      <c r="B762" t="s">
        <v>11911</v>
      </c>
      <c r="C762">
        <v>2021</v>
      </c>
      <c r="D762" t="s">
        <v>11919</v>
      </c>
      <c r="E762">
        <v>34218177</v>
      </c>
    </row>
    <row r="763" spans="1:5" x14ac:dyDescent="0.15">
      <c r="A763" t="s">
        <v>13792</v>
      </c>
      <c r="B763" t="s">
        <v>13794</v>
      </c>
      <c r="C763">
        <v>2020</v>
      </c>
      <c r="D763" t="s">
        <v>13807</v>
      </c>
      <c r="E763">
        <v>33268351</v>
      </c>
    </row>
    <row r="764" spans="1:5" x14ac:dyDescent="0.15">
      <c r="A764" t="s">
        <v>14020</v>
      </c>
      <c r="B764" t="s">
        <v>14022</v>
      </c>
      <c r="C764">
        <v>2019</v>
      </c>
      <c r="D764" t="s">
        <v>14032</v>
      </c>
      <c r="E764">
        <v>32154493</v>
      </c>
    </row>
    <row r="765" spans="1:5" x14ac:dyDescent="0.15">
      <c r="A765" t="s">
        <v>23045</v>
      </c>
      <c r="B765" t="s">
        <v>23047</v>
      </c>
      <c r="C765">
        <v>2016</v>
      </c>
      <c r="D765" t="s">
        <v>23057</v>
      </c>
      <c r="E765">
        <v>27770817</v>
      </c>
    </row>
    <row r="766" spans="1:5" x14ac:dyDescent="0.15">
      <c r="A766" t="s">
        <v>25731</v>
      </c>
      <c r="B766" t="s">
        <v>25732</v>
      </c>
      <c r="C766">
        <v>2006</v>
      </c>
      <c r="D766" t="s">
        <v>25743</v>
      </c>
      <c r="E766">
        <v>16495665</v>
      </c>
    </row>
    <row r="767" spans="1:5" x14ac:dyDescent="0.15">
      <c r="A767" t="s">
        <v>25796</v>
      </c>
      <c r="B767" t="s">
        <v>25798</v>
      </c>
      <c r="C767">
        <v>2015</v>
      </c>
      <c r="D767" t="s">
        <v>25808</v>
      </c>
      <c r="E767">
        <v>25811468</v>
      </c>
    </row>
    <row r="768" spans="1:5" x14ac:dyDescent="0.15">
      <c r="A768" t="s">
        <v>25901</v>
      </c>
      <c r="B768" t="s">
        <v>25902</v>
      </c>
      <c r="C768">
        <v>1999</v>
      </c>
      <c r="D768" t="s">
        <v>25912</v>
      </c>
      <c r="E768">
        <v>10600485</v>
      </c>
    </row>
    <row r="769" spans="1:5" x14ac:dyDescent="0.15">
      <c r="A769" t="s">
        <v>26488</v>
      </c>
      <c r="B769" t="s">
        <v>26490</v>
      </c>
      <c r="C769">
        <v>2019</v>
      </c>
      <c r="D769" t="s">
        <v>26499</v>
      </c>
      <c r="E769">
        <v>30674533</v>
      </c>
    </row>
    <row r="770" spans="1:5" x14ac:dyDescent="0.15">
      <c r="A770" t="s">
        <v>26528</v>
      </c>
      <c r="B770" t="s">
        <v>26530</v>
      </c>
      <c r="C770">
        <v>2017</v>
      </c>
      <c r="D770" t="s">
        <v>26538</v>
      </c>
      <c r="E770">
        <v>28814964</v>
      </c>
    </row>
    <row r="771" spans="1:5" x14ac:dyDescent="0.15">
      <c r="A771" t="s">
        <v>27348</v>
      </c>
      <c r="B771" t="s">
        <v>27350</v>
      </c>
      <c r="C771">
        <v>2012</v>
      </c>
      <c r="D771" t="s">
        <v>27360</v>
      </c>
      <c r="E771" t="s">
        <v>74</v>
      </c>
    </row>
    <row r="772" spans="1:5" x14ac:dyDescent="0.15">
      <c r="A772" t="s">
        <v>28258</v>
      </c>
      <c r="B772" t="s">
        <v>28259</v>
      </c>
      <c r="C772">
        <v>1997</v>
      </c>
      <c r="D772" t="s">
        <v>28269</v>
      </c>
      <c r="E772">
        <v>9076578</v>
      </c>
    </row>
    <row r="773" spans="1:5" x14ac:dyDescent="0.15">
      <c r="A773" t="s">
        <v>29565</v>
      </c>
      <c r="B773" t="s">
        <v>29567</v>
      </c>
      <c r="C773">
        <v>2015</v>
      </c>
      <c r="D773" t="s">
        <v>29577</v>
      </c>
      <c r="E773">
        <v>25795433</v>
      </c>
    </row>
    <row r="774" spans="1:5" x14ac:dyDescent="0.15">
      <c r="A774" t="s">
        <v>30379</v>
      </c>
      <c r="B774" t="s">
        <v>30381</v>
      </c>
      <c r="C774">
        <v>2018</v>
      </c>
      <c r="D774" t="s">
        <v>30391</v>
      </c>
      <c r="E774">
        <v>29907291</v>
      </c>
    </row>
    <row r="775" spans="1:5" x14ac:dyDescent="0.15">
      <c r="A775" t="s">
        <v>451</v>
      </c>
      <c r="B775" t="s">
        <v>453</v>
      </c>
      <c r="C775">
        <v>2016</v>
      </c>
      <c r="D775" t="s">
        <v>466</v>
      </c>
      <c r="E775" t="s">
        <v>74</v>
      </c>
    </row>
    <row r="776" spans="1:5" x14ac:dyDescent="0.15">
      <c r="A776" t="s">
        <v>2370</v>
      </c>
      <c r="B776" t="s">
        <v>2372</v>
      </c>
      <c r="C776">
        <v>2019</v>
      </c>
      <c r="D776" t="s">
        <v>2385</v>
      </c>
      <c r="E776">
        <v>31267709</v>
      </c>
    </row>
    <row r="777" spans="1:5" x14ac:dyDescent="0.15">
      <c r="A777" t="s">
        <v>3861</v>
      </c>
      <c r="B777" t="s">
        <v>3863</v>
      </c>
      <c r="C777">
        <v>2021</v>
      </c>
      <c r="D777" t="s">
        <v>3876</v>
      </c>
      <c r="E777">
        <v>33436002</v>
      </c>
    </row>
    <row r="778" spans="1:5" x14ac:dyDescent="0.15">
      <c r="A778" t="s">
        <v>4329</v>
      </c>
      <c r="B778" t="s">
        <v>4331</v>
      </c>
      <c r="C778">
        <v>2019</v>
      </c>
      <c r="D778" t="s">
        <v>4344</v>
      </c>
      <c r="E778">
        <v>31200749</v>
      </c>
    </row>
    <row r="779" spans="1:5" x14ac:dyDescent="0.15">
      <c r="A779" t="s">
        <v>5945</v>
      </c>
      <c r="B779" t="s">
        <v>5947</v>
      </c>
      <c r="C779">
        <v>2020</v>
      </c>
      <c r="D779" t="s">
        <v>5956</v>
      </c>
      <c r="E779">
        <v>32978468</v>
      </c>
    </row>
    <row r="780" spans="1:5" x14ac:dyDescent="0.15">
      <c r="A780" t="s">
        <v>5971</v>
      </c>
      <c r="B780" t="s">
        <v>5973</v>
      </c>
      <c r="C780">
        <v>2019</v>
      </c>
      <c r="D780" t="s">
        <v>5980</v>
      </c>
      <c r="E780">
        <v>32010582</v>
      </c>
    </row>
    <row r="781" spans="1:5" x14ac:dyDescent="0.15">
      <c r="A781" t="s">
        <v>6135</v>
      </c>
      <c r="B781" t="s">
        <v>6137</v>
      </c>
      <c r="C781">
        <v>2021</v>
      </c>
      <c r="D781" t="s">
        <v>6145</v>
      </c>
      <c r="E781">
        <v>33076176</v>
      </c>
    </row>
    <row r="782" spans="1:5" x14ac:dyDescent="0.15">
      <c r="A782" t="s">
        <v>6850</v>
      </c>
      <c r="B782" t="s">
        <v>6852</v>
      </c>
      <c r="C782">
        <v>2015</v>
      </c>
      <c r="D782" t="s">
        <v>6863</v>
      </c>
      <c r="E782">
        <v>25783200</v>
      </c>
    </row>
    <row r="783" spans="1:5" x14ac:dyDescent="0.15">
      <c r="A783" t="s">
        <v>9075</v>
      </c>
      <c r="B783" t="s">
        <v>9077</v>
      </c>
      <c r="C783">
        <v>2020</v>
      </c>
      <c r="D783" t="s">
        <v>9084</v>
      </c>
      <c r="E783">
        <v>33106559</v>
      </c>
    </row>
    <row r="784" spans="1:5" x14ac:dyDescent="0.15">
      <c r="A784" t="s">
        <v>9339</v>
      </c>
      <c r="B784" t="s">
        <v>9341</v>
      </c>
      <c r="C784">
        <v>2021</v>
      </c>
      <c r="D784" t="s">
        <v>9348</v>
      </c>
      <c r="E784">
        <v>33500249</v>
      </c>
    </row>
    <row r="785" spans="1:5" x14ac:dyDescent="0.15">
      <c r="A785" t="s">
        <v>11699</v>
      </c>
      <c r="B785" t="s">
        <v>11701</v>
      </c>
      <c r="C785">
        <v>2013</v>
      </c>
      <c r="D785" t="s">
        <v>11713</v>
      </c>
      <c r="E785">
        <v>23958892</v>
      </c>
    </row>
    <row r="786" spans="1:5" x14ac:dyDescent="0.15">
      <c r="A786" t="s">
        <v>12126</v>
      </c>
      <c r="B786" t="s">
        <v>12128</v>
      </c>
      <c r="C786">
        <v>2020</v>
      </c>
      <c r="D786" t="s">
        <v>12135</v>
      </c>
      <c r="E786">
        <v>32018116</v>
      </c>
    </row>
    <row r="787" spans="1:5" x14ac:dyDescent="0.15">
      <c r="A787" t="s">
        <v>12685</v>
      </c>
      <c r="B787" t="s">
        <v>12687</v>
      </c>
      <c r="C787">
        <v>2018</v>
      </c>
      <c r="D787" t="s">
        <v>12700</v>
      </c>
      <c r="E787">
        <v>30551256</v>
      </c>
    </row>
    <row r="788" spans="1:5" x14ac:dyDescent="0.15">
      <c r="A788" t="s">
        <v>12919</v>
      </c>
      <c r="B788" t="s">
        <v>12921</v>
      </c>
      <c r="C788">
        <v>2020</v>
      </c>
      <c r="D788" t="s">
        <v>12931</v>
      </c>
      <c r="E788">
        <v>32446697</v>
      </c>
    </row>
    <row r="789" spans="1:5" x14ac:dyDescent="0.15">
      <c r="A789" t="s">
        <v>13109</v>
      </c>
      <c r="B789" t="s">
        <v>13111</v>
      </c>
      <c r="C789">
        <v>2017</v>
      </c>
      <c r="D789" t="s">
        <v>13120</v>
      </c>
      <c r="E789">
        <v>28677360</v>
      </c>
    </row>
    <row r="790" spans="1:5" x14ac:dyDescent="0.15">
      <c r="A790" t="s">
        <v>15439</v>
      </c>
      <c r="B790" t="s">
        <v>15441</v>
      </c>
      <c r="C790">
        <v>2021</v>
      </c>
      <c r="D790" t="s">
        <v>15449</v>
      </c>
      <c r="E790">
        <v>33096430</v>
      </c>
    </row>
    <row r="791" spans="1:5" x14ac:dyDescent="0.15">
      <c r="A791" t="s">
        <v>15672</v>
      </c>
      <c r="B791" t="s">
        <v>15674</v>
      </c>
      <c r="C791">
        <v>2017</v>
      </c>
      <c r="D791" t="s">
        <v>15681</v>
      </c>
      <c r="E791">
        <v>28177658</v>
      </c>
    </row>
    <row r="792" spans="1:5" x14ac:dyDescent="0.15">
      <c r="A792" t="s">
        <v>16046</v>
      </c>
      <c r="B792" t="s">
        <v>16048</v>
      </c>
      <c r="C792">
        <v>2017</v>
      </c>
      <c r="D792" t="s">
        <v>16058</v>
      </c>
      <c r="E792">
        <v>27994032</v>
      </c>
    </row>
    <row r="793" spans="1:5" x14ac:dyDescent="0.15">
      <c r="A793" t="s">
        <v>17076</v>
      </c>
      <c r="B793" t="s">
        <v>17078</v>
      </c>
      <c r="C793">
        <v>2010</v>
      </c>
      <c r="D793" t="s">
        <v>17090</v>
      </c>
      <c r="E793">
        <v>20497223</v>
      </c>
    </row>
    <row r="794" spans="1:5" x14ac:dyDescent="0.15">
      <c r="A794" t="s">
        <v>18942</v>
      </c>
      <c r="B794" t="s">
        <v>18944</v>
      </c>
      <c r="C794">
        <v>2019</v>
      </c>
      <c r="D794" t="s">
        <v>18957</v>
      </c>
      <c r="E794">
        <v>31103269</v>
      </c>
    </row>
    <row r="795" spans="1:5" x14ac:dyDescent="0.15">
      <c r="A795" t="s">
        <v>19035</v>
      </c>
      <c r="B795" t="s">
        <v>19037</v>
      </c>
      <c r="C795">
        <v>2012</v>
      </c>
      <c r="D795" t="s">
        <v>19046</v>
      </c>
      <c r="E795">
        <v>23029142</v>
      </c>
    </row>
    <row r="796" spans="1:5" x14ac:dyDescent="0.15">
      <c r="A796" t="s">
        <v>19253</v>
      </c>
      <c r="B796" t="s">
        <v>19255</v>
      </c>
      <c r="C796">
        <v>2021</v>
      </c>
      <c r="D796" t="s">
        <v>19266</v>
      </c>
      <c r="E796">
        <v>33384328</v>
      </c>
    </row>
    <row r="797" spans="1:5" x14ac:dyDescent="0.15">
      <c r="A797" t="s">
        <v>19500</v>
      </c>
      <c r="B797" t="s">
        <v>19502</v>
      </c>
      <c r="C797">
        <v>2018</v>
      </c>
      <c r="D797" t="s">
        <v>19512</v>
      </c>
      <c r="E797">
        <v>30285805</v>
      </c>
    </row>
    <row r="798" spans="1:5" x14ac:dyDescent="0.15">
      <c r="A798" t="s">
        <v>20573</v>
      </c>
      <c r="B798" t="s">
        <v>20575</v>
      </c>
      <c r="C798">
        <v>2017</v>
      </c>
      <c r="D798" t="s">
        <v>20581</v>
      </c>
      <c r="E798">
        <v>27959588</v>
      </c>
    </row>
    <row r="799" spans="1:5" x14ac:dyDescent="0.15">
      <c r="A799" t="s">
        <v>21091</v>
      </c>
      <c r="B799" t="s">
        <v>21093</v>
      </c>
      <c r="C799">
        <v>2019</v>
      </c>
      <c r="D799" t="s">
        <v>21102</v>
      </c>
      <c r="E799">
        <v>30622304</v>
      </c>
    </row>
    <row r="800" spans="1:5" x14ac:dyDescent="0.15">
      <c r="A800" t="s">
        <v>24021</v>
      </c>
      <c r="B800" t="s">
        <v>24023</v>
      </c>
      <c r="C800">
        <v>2018</v>
      </c>
      <c r="D800" t="s">
        <v>24032</v>
      </c>
      <c r="E800">
        <v>30237437</v>
      </c>
    </row>
    <row r="801" spans="1:5" x14ac:dyDescent="0.15">
      <c r="A801" t="s">
        <v>25618</v>
      </c>
      <c r="B801" t="s">
        <v>25620</v>
      </c>
      <c r="C801">
        <v>2017</v>
      </c>
      <c r="D801" t="s">
        <v>25627</v>
      </c>
      <c r="E801">
        <v>28098260</v>
      </c>
    </row>
    <row r="802" spans="1:5" x14ac:dyDescent="0.15">
      <c r="A802" t="s">
        <v>25783</v>
      </c>
      <c r="B802" t="s">
        <v>25785</v>
      </c>
      <c r="C802">
        <v>2020</v>
      </c>
      <c r="D802" t="s">
        <v>25794</v>
      </c>
      <c r="E802">
        <v>32369338</v>
      </c>
    </row>
    <row r="803" spans="1:5" x14ac:dyDescent="0.15">
      <c r="A803" t="s">
        <v>25834</v>
      </c>
      <c r="B803" t="s">
        <v>25836</v>
      </c>
      <c r="C803">
        <v>2014</v>
      </c>
      <c r="D803" t="s">
        <v>25847</v>
      </c>
      <c r="E803">
        <v>24304309</v>
      </c>
    </row>
    <row r="804" spans="1:5" x14ac:dyDescent="0.15">
      <c r="A804" t="s">
        <v>26149</v>
      </c>
      <c r="B804" t="s">
        <v>26150</v>
      </c>
      <c r="C804">
        <v>1997</v>
      </c>
      <c r="D804" t="s">
        <v>74</v>
      </c>
      <c r="E804">
        <v>9180905</v>
      </c>
    </row>
    <row r="805" spans="1:5" x14ac:dyDescent="0.15">
      <c r="A805" t="s">
        <v>27025</v>
      </c>
      <c r="B805" t="s">
        <v>27027</v>
      </c>
      <c r="C805">
        <v>2015</v>
      </c>
      <c r="D805" t="s">
        <v>27037</v>
      </c>
      <c r="E805">
        <v>26018205</v>
      </c>
    </row>
    <row r="806" spans="1:5" x14ac:dyDescent="0.15">
      <c r="A806" t="s">
        <v>27156</v>
      </c>
      <c r="B806" t="s">
        <v>27158</v>
      </c>
      <c r="C806">
        <v>2020</v>
      </c>
      <c r="D806" t="s">
        <v>27169</v>
      </c>
      <c r="E806">
        <v>31856390</v>
      </c>
    </row>
    <row r="807" spans="1:5" x14ac:dyDescent="0.15">
      <c r="A807" t="s">
        <v>27434</v>
      </c>
      <c r="B807" t="s">
        <v>27435</v>
      </c>
      <c r="C807">
        <v>1994</v>
      </c>
      <c r="D807" t="s">
        <v>74</v>
      </c>
      <c r="E807" t="s">
        <v>74</v>
      </c>
    </row>
    <row r="808" spans="1:5" x14ac:dyDescent="0.15">
      <c r="A808" t="s">
        <v>28037</v>
      </c>
      <c r="B808" t="s">
        <v>28039</v>
      </c>
      <c r="C808">
        <v>2019</v>
      </c>
      <c r="D808" t="s">
        <v>28048</v>
      </c>
      <c r="E808" t="s">
        <v>74</v>
      </c>
    </row>
    <row r="809" spans="1:5" x14ac:dyDescent="0.15">
      <c r="A809" t="s">
        <v>29232</v>
      </c>
      <c r="B809" t="s">
        <v>29234</v>
      </c>
      <c r="C809">
        <v>2008</v>
      </c>
      <c r="D809" t="s">
        <v>29242</v>
      </c>
      <c r="E809">
        <v>18694587</v>
      </c>
    </row>
    <row r="810" spans="1:5" x14ac:dyDescent="0.15">
      <c r="A810" t="s">
        <v>1448</v>
      </c>
      <c r="B810" t="s">
        <v>1450</v>
      </c>
      <c r="C810">
        <v>2015</v>
      </c>
      <c r="D810" t="s">
        <v>1463</v>
      </c>
      <c r="E810">
        <v>27036745</v>
      </c>
    </row>
    <row r="811" spans="1:5" x14ac:dyDescent="0.15">
      <c r="A811" t="s">
        <v>2246</v>
      </c>
      <c r="B811" t="s">
        <v>2248</v>
      </c>
      <c r="C811">
        <v>2019</v>
      </c>
      <c r="D811" t="s">
        <v>2259</v>
      </c>
      <c r="E811">
        <v>31068945</v>
      </c>
    </row>
    <row r="812" spans="1:5" x14ac:dyDescent="0.15">
      <c r="A812" t="s">
        <v>2609</v>
      </c>
      <c r="B812" t="s">
        <v>2611</v>
      </c>
      <c r="C812">
        <v>2017</v>
      </c>
      <c r="D812" t="s">
        <v>2621</v>
      </c>
      <c r="E812">
        <v>29165341</v>
      </c>
    </row>
    <row r="813" spans="1:5" x14ac:dyDescent="0.15">
      <c r="A813" t="s">
        <v>2721</v>
      </c>
      <c r="B813" t="s">
        <v>2723</v>
      </c>
      <c r="C813">
        <v>2011</v>
      </c>
      <c r="D813" t="s">
        <v>2735</v>
      </c>
      <c r="E813">
        <v>21623458</v>
      </c>
    </row>
    <row r="814" spans="1:5" x14ac:dyDescent="0.15">
      <c r="A814" t="s">
        <v>8209</v>
      </c>
      <c r="B814" t="s">
        <v>8211</v>
      </c>
      <c r="C814">
        <v>2019</v>
      </c>
      <c r="D814" t="s">
        <v>8219</v>
      </c>
      <c r="E814">
        <v>31608233</v>
      </c>
    </row>
    <row r="815" spans="1:5" x14ac:dyDescent="0.15">
      <c r="A815" t="s">
        <v>8594</v>
      </c>
      <c r="B815" t="s">
        <v>8596</v>
      </c>
      <c r="C815">
        <v>2016</v>
      </c>
      <c r="D815" t="s">
        <v>8609</v>
      </c>
      <c r="E815">
        <v>27919931</v>
      </c>
    </row>
    <row r="816" spans="1:5" x14ac:dyDescent="0.15">
      <c r="A816" t="s">
        <v>9989</v>
      </c>
      <c r="B816" t="s">
        <v>9991</v>
      </c>
      <c r="C816">
        <v>2018</v>
      </c>
      <c r="D816" t="s">
        <v>10002</v>
      </c>
      <c r="E816">
        <v>29282521</v>
      </c>
    </row>
    <row r="817" spans="1:5" x14ac:dyDescent="0.15">
      <c r="A817" t="s">
        <v>13943</v>
      </c>
      <c r="B817" t="s">
        <v>13945</v>
      </c>
      <c r="C817">
        <v>2013</v>
      </c>
      <c r="D817" t="s">
        <v>13954</v>
      </c>
      <c r="E817">
        <v>24277816</v>
      </c>
    </row>
    <row r="818" spans="1:5" x14ac:dyDescent="0.15">
      <c r="A818" t="s">
        <v>18096</v>
      </c>
      <c r="B818" t="s">
        <v>18098</v>
      </c>
      <c r="C818">
        <v>2020</v>
      </c>
      <c r="D818" t="s">
        <v>18110</v>
      </c>
      <c r="E818">
        <v>31965891</v>
      </c>
    </row>
    <row r="819" spans="1:5" x14ac:dyDescent="0.15">
      <c r="A819" t="s">
        <v>20583</v>
      </c>
      <c r="B819" t="s">
        <v>20584</v>
      </c>
      <c r="C819">
        <v>1997</v>
      </c>
      <c r="D819" t="s">
        <v>20590</v>
      </c>
      <c r="E819">
        <v>9121712</v>
      </c>
    </row>
    <row r="820" spans="1:5" x14ac:dyDescent="0.15">
      <c r="A820" t="s">
        <v>21320</v>
      </c>
      <c r="B820" t="s">
        <v>21322</v>
      </c>
      <c r="C820">
        <v>2020</v>
      </c>
      <c r="D820" t="s">
        <v>21332</v>
      </c>
      <c r="E820">
        <v>32229189</v>
      </c>
    </row>
    <row r="821" spans="1:5" x14ac:dyDescent="0.15">
      <c r="A821" t="s">
        <v>21544</v>
      </c>
      <c r="B821" t="s">
        <v>21546</v>
      </c>
      <c r="C821">
        <v>2019</v>
      </c>
      <c r="D821" t="s">
        <v>21558</v>
      </c>
      <c r="E821">
        <v>30805914</v>
      </c>
    </row>
    <row r="822" spans="1:5" x14ac:dyDescent="0.15">
      <c r="A822" t="s">
        <v>22268</v>
      </c>
      <c r="B822" t="s">
        <v>22270</v>
      </c>
      <c r="C822">
        <v>2017</v>
      </c>
      <c r="D822" t="s">
        <v>22280</v>
      </c>
      <c r="E822">
        <v>27769523</v>
      </c>
    </row>
    <row r="823" spans="1:5" x14ac:dyDescent="0.15">
      <c r="A823" t="s">
        <v>22325</v>
      </c>
      <c r="B823" t="s">
        <v>22327</v>
      </c>
      <c r="C823">
        <v>2020</v>
      </c>
      <c r="D823" t="s">
        <v>22339</v>
      </c>
      <c r="E823">
        <v>31896533</v>
      </c>
    </row>
    <row r="824" spans="1:5" x14ac:dyDescent="0.15">
      <c r="A824" t="s">
        <v>23730</v>
      </c>
      <c r="B824" t="s">
        <v>23733</v>
      </c>
      <c r="C824">
        <v>2006</v>
      </c>
      <c r="D824" t="s">
        <v>23748</v>
      </c>
      <c r="E824">
        <v>17108190</v>
      </c>
    </row>
    <row r="825" spans="1:5" x14ac:dyDescent="0.15">
      <c r="A825" t="s">
        <v>24401</v>
      </c>
      <c r="B825" t="s">
        <v>24403</v>
      </c>
      <c r="C825">
        <v>2009</v>
      </c>
      <c r="D825" t="s">
        <v>24411</v>
      </c>
      <c r="E825">
        <v>19835589</v>
      </c>
    </row>
    <row r="826" spans="1:5" x14ac:dyDescent="0.15">
      <c r="A826" t="s">
        <v>24628</v>
      </c>
      <c r="B826" t="s">
        <v>24630</v>
      </c>
      <c r="C826">
        <v>2018</v>
      </c>
      <c r="D826" t="s">
        <v>24640</v>
      </c>
      <c r="E826">
        <v>30247599</v>
      </c>
    </row>
    <row r="827" spans="1:5" x14ac:dyDescent="0.15">
      <c r="A827" t="s">
        <v>25588</v>
      </c>
      <c r="B827" t="s">
        <v>25590</v>
      </c>
      <c r="C827">
        <v>2021</v>
      </c>
      <c r="D827" t="s">
        <v>25603</v>
      </c>
      <c r="E827">
        <v>34332222</v>
      </c>
    </row>
    <row r="828" spans="1:5" x14ac:dyDescent="0.15">
      <c r="A828" t="s">
        <v>26921</v>
      </c>
      <c r="B828" t="s">
        <v>26923</v>
      </c>
      <c r="C828">
        <v>2017</v>
      </c>
      <c r="D828" t="s">
        <v>26934</v>
      </c>
      <c r="E828">
        <v>28210910</v>
      </c>
    </row>
    <row r="829" spans="1:5" x14ac:dyDescent="0.15">
      <c r="A829" t="s">
        <v>30231</v>
      </c>
      <c r="B829" t="s">
        <v>30233</v>
      </c>
      <c r="C829">
        <v>2017</v>
      </c>
      <c r="D829" t="s">
        <v>30243</v>
      </c>
      <c r="E829">
        <v>28891967</v>
      </c>
    </row>
    <row r="830" spans="1:5" x14ac:dyDescent="0.15">
      <c r="A830" t="s">
        <v>2164</v>
      </c>
      <c r="B830" t="s">
        <v>2166</v>
      </c>
      <c r="C830">
        <v>2020</v>
      </c>
      <c r="D830" t="s">
        <v>2175</v>
      </c>
      <c r="E830">
        <v>32466233</v>
      </c>
    </row>
    <row r="831" spans="1:5" x14ac:dyDescent="0.15">
      <c r="A831" t="s">
        <v>3393</v>
      </c>
      <c r="B831" t="s">
        <v>3395</v>
      </c>
      <c r="C831">
        <v>2020</v>
      </c>
      <c r="D831" t="s">
        <v>3405</v>
      </c>
      <c r="E831">
        <v>32183388</v>
      </c>
    </row>
    <row r="832" spans="1:5" x14ac:dyDescent="0.15">
      <c r="A832" t="s">
        <v>7301</v>
      </c>
      <c r="B832" t="s">
        <v>7303</v>
      </c>
      <c r="C832">
        <v>2020</v>
      </c>
      <c r="D832" t="s">
        <v>7311</v>
      </c>
      <c r="E832">
        <v>32278412</v>
      </c>
    </row>
    <row r="833" spans="1:5" x14ac:dyDescent="0.15">
      <c r="A833" t="s">
        <v>7838</v>
      </c>
      <c r="B833" t="s">
        <v>7840</v>
      </c>
      <c r="C833">
        <v>2017</v>
      </c>
      <c r="D833" t="s">
        <v>7852</v>
      </c>
      <c r="E833">
        <v>28507029</v>
      </c>
    </row>
    <row r="834" spans="1:5" x14ac:dyDescent="0.15">
      <c r="A834" t="s">
        <v>10651</v>
      </c>
      <c r="B834" t="s">
        <v>10653</v>
      </c>
      <c r="C834">
        <v>2019</v>
      </c>
      <c r="D834" t="s">
        <v>10665</v>
      </c>
      <c r="E834">
        <v>31153869</v>
      </c>
    </row>
    <row r="835" spans="1:5" x14ac:dyDescent="0.15">
      <c r="A835" t="s">
        <v>11589</v>
      </c>
      <c r="B835" t="s">
        <v>11591</v>
      </c>
      <c r="C835">
        <v>2017</v>
      </c>
      <c r="D835" t="s">
        <v>11601</v>
      </c>
      <c r="E835">
        <v>28376875</v>
      </c>
    </row>
    <row r="836" spans="1:5" x14ac:dyDescent="0.15">
      <c r="A836" t="s">
        <v>12019</v>
      </c>
      <c r="B836" t="s">
        <v>12021</v>
      </c>
      <c r="C836">
        <v>2019</v>
      </c>
      <c r="D836" t="s">
        <v>12031</v>
      </c>
      <c r="E836">
        <v>30789912</v>
      </c>
    </row>
    <row r="837" spans="1:5" x14ac:dyDescent="0.15">
      <c r="A837" t="s">
        <v>12180</v>
      </c>
      <c r="B837" t="s">
        <v>12182</v>
      </c>
      <c r="C837">
        <v>2014</v>
      </c>
      <c r="D837" t="s">
        <v>12189</v>
      </c>
      <c r="E837">
        <v>24605048</v>
      </c>
    </row>
    <row r="838" spans="1:5" x14ac:dyDescent="0.15">
      <c r="A838" t="s">
        <v>12962</v>
      </c>
      <c r="B838" t="s">
        <v>12964</v>
      </c>
      <c r="C838">
        <v>2020</v>
      </c>
      <c r="D838" t="s">
        <v>12978</v>
      </c>
      <c r="E838">
        <v>32715764</v>
      </c>
    </row>
    <row r="839" spans="1:5" x14ac:dyDescent="0.15">
      <c r="A839" t="s">
        <v>13561</v>
      </c>
      <c r="B839" t="s">
        <v>13563</v>
      </c>
      <c r="C839">
        <v>2021</v>
      </c>
      <c r="D839" t="s">
        <v>13571</v>
      </c>
      <c r="E839">
        <v>33076131</v>
      </c>
    </row>
    <row r="840" spans="1:5" x14ac:dyDescent="0.15">
      <c r="A840" t="s">
        <v>13929</v>
      </c>
      <c r="B840" t="s">
        <v>13931</v>
      </c>
      <c r="C840">
        <v>2018</v>
      </c>
      <c r="D840" t="s">
        <v>13941</v>
      </c>
      <c r="E840">
        <v>29793362</v>
      </c>
    </row>
    <row r="841" spans="1:5" x14ac:dyDescent="0.15">
      <c r="A841" t="s">
        <v>14859</v>
      </c>
      <c r="B841" t="s">
        <v>14861</v>
      </c>
      <c r="C841">
        <v>2021</v>
      </c>
      <c r="D841" t="s">
        <v>14870</v>
      </c>
      <c r="E841">
        <v>33485367</v>
      </c>
    </row>
    <row r="842" spans="1:5" x14ac:dyDescent="0.15">
      <c r="A842" t="s">
        <v>15656</v>
      </c>
      <c r="B842" t="s">
        <v>15658</v>
      </c>
      <c r="C842">
        <v>2018</v>
      </c>
      <c r="D842" t="s">
        <v>15670</v>
      </c>
      <c r="E842">
        <v>29849879</v>
      </c>
    </row>
    <row r="843" spans="1:5" x14ac:dyDescent="0.15">
      <c r="A843" t="s">
        <v>15886</v>
      </c>
      <c r="B843" t="s">
        <v>15888</v>
      </c>
      <c r="C843">
        <v>2015</v>
      </c>
      <c r="D843" t="s">
        <v>15897</v>
      </c>
      <c r="E843">
        <v>26305810</v>
      </c>
    </row>
    <row r="844" spans="1:5" x14ac:dyDescent="0.15">
      <c r="A844" t="s">
        <v>16262</v>
      </c>
      <c r="B844" t="s">
        <v>16264</v>
      </c>
      <c r="C844">
        <v>2019</v>
      </c>
      <c r="D844" t="s">
        <v>16277</v>
      </c>
      <c r="E844">
        <v>30734607</v>
      </c>
    </row>
    <row r="845" spans="1:5" x14ac:dyDescent="0.15">
      <c r="A845" t="s">
        <v>20053</v>
      </c>
      <c r="B845" t="s">
        <v>20055</v>
      </c>
      <c r="C845">
        <v>2014</v>
      </c>
      <c r="D845" t="s">
        <v>20066</v>
      </c>
      <c r="E845">
        <v>24815811</v>
      </c>
    </row>
    <row r="846" spans="1:5" x14ac:dyDescent="0.15">
      <c r="A846" t="s">
        <v>22039</v>
      </c>
      <c r="B846" t="s">
        <v>22041</v>
      </c>
      <c r="C846">
        <v>2019</v>
      </c>
      <c r="D846" t="s">
        <v>22048</v>
      </c>
      <c r="E846">
        <v>31482867</v>
      </c>
    </row>
    <row r="847" spans="1:5" x14ac:dyDescent="0.15">
      <c r="A847" t="s">
        <v>24151</v>
      </c>
      <c r="B847" t="s">
        <v>24153</v>
      </c>
      <c r="C847">
        <v>2018</v>
      </c>
      <c r="D847" t="s">
        <v>24163</v>
      </c>
      <c r="E847">
        <v>29710410</v>
      </c>
    </row>
    <row r="848" spans="1:5" x14ac:dyDescent="0.15">
      <c r="A848" t="s">
        <v>26000</v>
      </c>
      <c r="B848" t="s">
        <v>26002</v>
      </c>
      <c r="C848">
        <v>2019</v>
      </c>
      <c r="D848" t="s">
        <v>26011</v>
      </c>
      <c r="E848">
        <v>31138576</v>
      </c>
    </row>
    <row r="849" spans="1:5" x14ac:dyDescent="0.15">
      <c r="A849" t="s">
        <v>19658</v>
      </c>
      <c r="B849" t="s">
        <v>26118</v>
      </c>
      <c r="C849">
        <v>2018</v>
      </c>
      <c r="D849" t="s">
        <v>26131</v>
      </c>
      <c r="E849">
        <v>29306575</v>
      </c>
    </row>
    <row r="850" spans="1:5" x14ac:dyDescent="0.15">
      <c r="A850" t="s">
        <v>26368</v>
      </c>
      <c r="B850" t="s">
        <v>26370</v>
      </c>
      <c r="C850">
        <v>2014</v>
      </c>
      <c r="D850" t="s">
        <v>26379</v>
      </c>
      <c r="E850">
        <v>24777121</v>
      </c>
    </row>
    <row r="851" spans="1:5" x14ac:dyDescent="0.15">
      <c r="A851" t="s">
        <v>27517</v>
      </c>
      <c r="B851" t="s">
        <v>27519</v>
      </c>
      <c r="C851">
        <v>2013</v>
      </c>
      <c r="D851" t="s">
        <v>27528</v>
      </c>
      <c r="E851">
        <v>23750009</v>
      </c>
    </row>
    <row r="852" spans="1:5" x14ac:dyDescent="0.15">
      <c r="A852" t="s">
        <v>28271</v>
      </c>
      <c r="B852" t="s">
        <v>28273</v>
      </c>
      <c r="C852">
        <v>2019</v>
      </c>
      <c r="D852" t="s">
        <v>28289</v>
      </c>
      <c r="E852">
        <v>30465714</v>
      </c>
    </row>
    <row r="853" spans="1:5" x14ac:dyDescent="0.15">
      <c r="A853" t="s">
        <v>28889</v>
      </c>
      <c r="B853" t="s">
        <v>28891</v>
      </c>
      <c r="C853">
        <v>2021</v>
      </c>
      <c r="D853" t="s">
        <v>28903</v>
      </c>
      <c r="E853" t="s">
        <v>74</v>
      </c>
    </row>
    <row r="854" spans="1:5" x14ac:dyDescent="0.15">
      <c r="A854" t="s">
        <v>287</v>
      </c>
      <c r="B854" t="s">
        <v>289</v>
      </c>
      <c r="C854">
        <v>2021</v>
      </c>
      <c r="D854" t="s">
        <v>303</v>
      </c>
      <c r="E854">
        <v>33355987</v>
      </c>
    </row>
    <row r="855" spans="1:5" x14ac:dyDescent="0.15">
      <c r="A855" t="s">
        <v>1000</v>
      </c>
      <c r="B855" t="s">
        <v>1002</v>
      </c>
      <c r="C855">
        <v>2019</v>
      </c>
      <c r="D855" t="s">
        <v>1013</v>
      </c>
      <c r="E855">
        <v>31566613</v>
      </c>
    </row>
    <row r="856" spans="1:5" x14ac:dyDescent="0.15">
      <c r="A856" t="s">
        <v>3915</v>
      </c>
      <c r="B856" t="s">
        <v>3917</v>
      </c>
      <c r="C856">
        <v>2020</v>
      </c>
      <c r="D856" t="s">
        <v>3928</v>
      </c>
      <c r="E856">
        <v>33330627</v>
      </c>
    </row>
    <row r="857" spans="1:5" x14ac:dyDescent="0.15">
      <c r="A857" t="s">
        <v>4405</v>
      </c>
      <c r="B857" t="s">
        <v>4407</v>
      </c>
      <c r="C857">
        <v>2009</v>
      </c>
      <c r="D857" t="s">
        <v>4416</v>
      </c>
      <c r="E857">
        <v>19679100</v>
      </c>
    </row>
    <row r="858" spans="1:5" x14ac:dyDescent="0.15">
      <c r="A858" t="s">
        <v>4910</v>
      </c>
      <c r="B858" t="s">
        <v>4912</v>
      </c>
      <c r="C858">
        <v>2020</v>
      </c>
      <c r="D858" t="s">
        <v>4924</v>
      </c>
      <c r="E858">
        <v>32361246</v>
      </c>
    </row>
    <row r="859" spans="1:5" x14ac:dyDescent="0.15">
      <c r="A859" t="s">
        <v>5585</v>
      </c>
      <c r="B859" t="s">
        <v>5587</v>
      </c>
      <c r="C859">
        <v>2019</v>
      </c>
      <c r="D859" t="s">
        <v>5597</v>
      </c>
      <c r="E859">
        <v>30865381</v>
      </c>
    </row>
    <row r="860" spans="1:5" x14ac:dyDescent="0.15">
      <c r="A860" t="s">
        <v>8558</v>
      </c>
      <c r="B860" t="s">
        <v>8560</v>
      </c>
      <c r="C860">
        <v>2019</v>
      </c>
      <c r="D860" t="s">
        <v>8568</v>
      </c>
      <c r="E860">
        <v>31232418</v>
      </c>
    </row>
    <row r="861" spans="1:5" x14ac:dyDescent="0.15">
      <c r="A861" t="s">
        <v>13612</v>
      </c>
      <c r="B861" t="s">
        <v>13614</v>
      </c>
      <c r="C861">
        <v>2020</v>
      </c>
      <c r="D861" t="s">
        <v>13627</v>
      </c>
      <c r="E861">
        <v>32544093</v>
      </c>
    </row>
    <row r="862" spans="1:5" x14ac:dyDescent="0.15">
      <c r="A862" t="s">
        <v>18634</v>
      </c>
      <c r="B862" t="s">
        <v>18636</v>
      </c>
      <c r="C862">
        <v>2015</v>
      </c>
      <c r="D862" t="s">
        <v>18648</v>
      </c>
      <c r="E862">
        <v>25678142</v>
      </c>
    </row>
    <row r="863" spans="1:5" x14ac:dyDescent="0.15">
      <c r="A863" t="s">
        <v>18652</v>
      </c>
      <c r="B863" t="s">
        <v>18654</v>
      </c>
      <c r="C863">
        <v>2017</v>
      </c>
      <c r="D863" t="s">
        <v>18667</v>
      </c>
      <c r="E863">
        <v>28576417</v>
      </c>
    </row>
    <row r="864" spans="1:5" x14ac:dyDescent="0.15">
      <c r="A864" t="s">
        <v>21294</v>
      </c>
      <c r="B864" t="s">
        <v>21296</v>
      </c>
      <c r="C864">
        <v>2010</v>
      </c>
      <c r="D864" t="s">
        <v>21305</v>
      </c>
      <c r="E864">
        <v>20538610</v>
      </c>
    </row>
    <row r="865" spans="1:5" x14ac:dyDescent="0.15">
      <c r="A865" t="s">
        <v>21374</v>
      </c>
      <c r="B865" t="s">
        <v>21376</v>
      </c>
      <c r="C865">
        <v>2014</v>
      </c>
      <c r="D865" t="s">
        <v>21384</v>
      </c>
      <c r="E865">
        <v>25696887</v>
      </c>
    </row>
    <row r="866" spans="1:5" x14ac:dyDescent="0.15">
      <c r="A866" t="s">
        <v>21645</v>
      </c>
      <c r="B866" t="s">
        <v>21648</v>
      </c>
      <c r="C866">
        <v>2012</v>
      </c>
      <c r="D866" t="s">
        <v>21658</v>
      </c>
      <c r="E866" t="s">
        <v>74</v>
      </c>
    </row>
    <row r="867" spans="1:5" x14ac:dyDescent="0.15">
      <c r="A867" t="s">
        <v>22190</v>
      </c>
      <c r="B867" t="s">
        <v>22191</v>
      </c>
      <c r="C867">
        <v>1994</v>
      </c>
      <c r="D867" t="s">
        <v>22203</v>
      </c>
      <c r="E867">
        <v>8048509</v>
      </c>
    </row>
    <row r="868" spans="1:5" x14ac:dyDescent="0.15">
      <c r="A868" t="s">
        <v>22756</v>
      </c>
      <c r="B868" t="s">
        <v>22758</v>
      </c>
      <c r="C868">
        <v>2021</v>
      </c>
      <c r="D868" t="s">
        <v>22770</v>
      </c>
      <c r="E868">
        <v>33597264</v>
      </c>
    </row>
    <row r="869" spans="1:5" x14ac:dyDescent="0.15">
      <c r="A869" t="s">
        <v>23347</v>
      </c>
      <c r="B869" t="s">
        <v>23349</v>
      </c>
      <c r="C869">
        <v>2018</v>
      </c>
      <c r="D869" t="s">
        <v>23359</v>
      </c>
      <c r="E869">
        <v>29921325</v>
      </c>
    </row>
    <row r="870" spans="1:5" x14ac:dyDescent="0.15">
      <c r="A870" t="s">
        <v>24136</v>
      </c>
      <c r="B870" t="s">
        <v>24138</v>
      </c>
      <c r="C870">
        <v>2009</v>
      </c>
      <c r="D870" t="s">
        <v>24149</v>
      </c>
      <c r="E870">
        <v>19712552</v>
      </c>
    </row>
    <row r="871" spans="1:5" x14ac:dyDescent="0.15">
      <c r="A871" t="s">
        <v>26626</v>
      </c>
      <c r="B871" t="s">
        <v>26628</v>
      </c>
      <c r="C871">
        <v>2017</v>
      </c>
      <c r="D871" t="s">
        <v>26637</v>
      </c>
      <c r="E871">
        <v>28811647</v>
      </c>
    </row>
    <row r="872" spans="1:5" x14ac:dyDescent="0.15">
      <c r="A872" t="s">
        <v>27727</v>
      </c>
      <c r="B872" t="s">
        <v>27729</v>
      </c>
      <c r="C872">
        <v>2014</v>
      </c>
      <c r="D872" t="s">
        <v>27737</v>
      </c>
      <c r="E872">
        <v>24988338</v>
      </c>
    </row>
    <row r="873" spans="1:5" x14ac:dyDescent="0.15">
      <c r="A873" t="s">
        <v>28492</v>
      </c>
      <c r="B873" t="s">
        <v>28494</v>
      </c>
      <c r="C873">
        <v>2019</v>
      </c>
      <c r="D873" t="s">
        <v>28504</v>
      </c>
      <c r="E873">
        <v>31138543</v>
      </c>
    </row>
    <row r="874" spans="1:5" x14ac:dyDescent="0.15">
      <c r="A874" t="s">
        <v>28519</v>
      </c>
      <c r="B874" t="s">
        <v>28521</v>
      </c>
      <c r="C874">
        <v>2019</v>
      </c>
      <c r="D874" t="s">
        <v>28534</v>
      </c>
      <c r="E874">
        <v>30796693</v>
      </c>
    </row>
    <row r="875" spans="1:5" x14ac:dyDescent="0.15">
      <c r="A875" t="s">
        <v>28875</v>
      </c>
      <c r="B875" t="s">
        <v>28877</v>
      </c>
      <c r="C875">
        <v>2019</v>
      </c>
      <c r="D875" t="s">
        <v>28887</v>
      </c>
      <c r="E875">
        <v>30944028</v>
      </c>
    </row>
    <row r="876" spans="1:5" x14ac:dyDescent="0.15">
      <c r="A876" t="s">
        <v>29466</v>
      </c>
      <c r="B876" t="s">
        <v>29468</v>
      </c>
      <c r="C876">
        <v>2019</v>
      </c>
      <c r="D876" t="s">
        <v>29478</v>
      </c>
      <c r="E876">
        <v>31234947</v>
      </c>
    </row>
    <row r="877" spans="1:5" x14ac:dyDescent="0.15">
      <c r="A877" t="s">
        <v>29768</v>
      </c>
      <c r="B877" t="s">
        <v>29770</v>
      </c>
      <c r="C877">
        <v>2018</v>
      </c>
      <c r="D877" t="s">
        <v>29777</v>
      </c>
      <c r="E877">
        <v>29362731</v>
      </c>
    </row>
    <row r="878" spans="1:5" x14ac:dyDescent="0.15">
      <c r="A878" t="s">
        <v>4782</v>
      </c>
      <c r="B878" t="s">
        <v>4784</v>
      </c>
      <c r="C878">
        <v>2021</v>
      </c>
      <c r="D878" t="s">
        <v>4795</v>
      </c>
      <c r="E878">
        <v>33815695</v>
      </c>
    </row>
    <row r="879" spans="1:5" x14ac:dyDescent="0.15">
      <c r="A879" t="s">
        <v>5010</v>
      </c>
      <c r="B879" t="s">
        <v>5012</v>
      </c>
      <c r="C879">
        <v>2018</v>
      </c>
      <c r="D879" t="s">
        <v>5020</v>
      </c>
      <c r="E879">
        <v>30513870</v>
      </c>
    </row>
    <row r="880" spans="1:5" x14ac:dyDescent="0.15">
      <c r="A880" t="s">
        <v>5201</v>
      </c>
      <c r="B880" t="s">
        <v>5203</v>
      </c>
      <c r="C880">
        <v>2010</v>
      </c>
      <c r="D880" t="s">
        <v>5214</v>
      </c>
      <c r="E880">
        <v>20833130</v>
      </c>
    </row>
    <row r="881" spans="1:5" x14ac:dyDescent="0.15">
      <c r="A881" t="s">
        <v>8717</v>
      </c>
      <c r="B881" t="s">
        <v>8719</v>
      </c>
      <c r="C881">
        <v>2015</v>
      </c>
      <c r="D881" t="s">
        <v>8728</v>
      </c>
      <c r="E881">
        <v>25934618</v>
      </c>
    </row>
    <row r="882" spans="1:5" x14ac:dyDescent="0.15">
      <c r="A882" t="s">
        <v>9062</v>
      </c>
      <c r="B882" t="s">
        <v>9064</v>
      </c>
      <c r="C882">
        <v>2020</v>
      </c>
      <c r="D882" t="s">
        <v>9073</v>
      </c>
      <c r="E882">
        <v>32508761</v>
      </c>
    </row>
    <row r="883" spans="1:5" x14ac:dyDescent="0.15">
      <c r="A883" t="s">
        <v>9789</v>
      </c>
      <c r="B883" t="s">
        <v>9791</v>
      </c>
      <c r="C883">
        <v>2017</v>
      </c>
      <c r="D883" t="s">
        <v>9804</v>
      </c>
      <c r="E883">
        <v>28751279</v>
      </c>
    </row>
    <row r="884" spans="1:5" x14ac:dyDescent="0.15">
      <c r="A884" t="s">
        <v>11011</v>
      </c>
      <c r="B884" t="s">
        <v>11013</v>
      </c>
      <c r="C884">
        <v>2013</v>
      </c>
      <c r="D884" t="s">
        <v>11022</v>
      </c>
      <c r="E884">
        <v>24146982</v>
      </c>
    </row>
    <row r="885" spans="1:5" x14ac:dyDescent="0.15">
      <c r="A885" t="s">
        <v>11102</v>
      </c>
      <c r="B885" t="s">
        <v>11104</v>
      </c>
      <c r="C885">
        <v>2016</v>
      </c>
      <c r="D885" t="s">
        <v>11114</v>
      </c>
      <c r="E885">
        <v>26643154</v>
      </c>
    </row>
    <row r="886" spans="1:5" x14ac:dyDescent="0.15">
      <c r="A886" t="s">
        <v>12782</v>
      </c>
      <c r="B886" t="s">
        <v>12784</v>
      </c>
      <c r="C886">
        <v>2019</v>
      </c>
      <c r="D886" t="s">
        <v>12796</v>
      </c>
      <c r="E886">
        <v>31731505</v>
      </c>
    </row>
    <row r="887" spans="1:5" x14ac:dyDescent="0.15">
      <c r="A887" t="s">
        <v>13758</v>
      </c>
      <c r="B887" t="s">
        <v>13760</v>
      </c>
      <c r="C887">
        <v>2017</v>
      </c>
      <c r="D887" t="s">
        <v>13771</v>
      </c>
      <c r="E887">
        <v>27770039</v>
      </c>
    </row>
    <row r="888" spans="1:5" x14ac:dyDescent="0.15">
      <c r="A888" t="s">
        <v>15394</v>
      </c>
      <c r="B888" t="s">
        <v>15396</v>
      </c>
      <c r="C888">
        <v>2020</v>
      </c>
      <c r="D888" t="s">
        <v>15406</v>
      </c>
      <c r="E888">
        <v>32929376</v>
      </c>
    </row>
    <row r="889" spans="1:5" x14ac:dyDescent="0.15">
      <c r="A889" t="s">
        <v>16532</v>
      </c>
      <c r="B889" t="s">
        <v>16534</v>
      </c>
      <c r="C889">
        <v>2016</v>
      </c>
      <c r="D889" t="s">
        <v>16543</v>
      </c>
      <c r="E889">
        <v>27690329</v>
      </c>
    </row>
    <row r="890" spans="1:5" x14ac:dyDescent="0.15">
      <c r="A890" t="s">
        <v>16939</v>
      </c>
      <c r="B890" t="s">
        <v>16941</v>
      </c>
      <c r="C890">
        <v>2014</v>
      </c>
      <c r="D890" t="s">
        <v>16951</v>
      </c>
      <c r="E890">
        <v>24792832</v>
      </c>
    </row>
    <row r="891" spans="1:5" x14ac:dyDescent="0.15">
      <c r="A891" t="s">
        <v>17306</v>
      </c>
      <c r="B891" t="s">
        <v>17308</v>
      </c>
      <c r="C891">
        <v>2018</v>
      </c>
      <c r="D891" t="s">
        <v>17317</v>
      </c>
      <c r="E891">
        <v>30140006</v>
      </c>
    </row>
    <row r="892" spans="1:5" x14ac:dyDescent="0.15">
      <c r="A892" t="s">
        <v>22175</v>
      </c>
      <c r="B892" t="s">
        <v>22177</v>
      </c>
      <c r="C892">
        <v>2016</v>
      </c>
      <c r="D892" t="s">
        <v>22188</v>
      </c>
      <c r="E892" t="s">
        <v>74</v>
      </c>
    </row>
    <row r="893" spans="1:5" x14ac:dyDescent="0.15">
      <c r="A893" t="s">
        <v>22483</v>
      </c>
      <c r="B893" t="s">
        <v>22484</v>
      </c>
      <c r="C893">
        <v>1991</v>
      </c>
      <c r="D893" t="s">
        <v>74</v>
      </c>
      <c r="E893">
        <v>1649554</v>
      </c>
    </row>
    <row r="894" spans="1:5" x14ac:dyDescent="0.15">
      <c r="A894" t="s">
        <v>22845</v>
      </c>
      <c r="B894" t="s">
        <v>22846</v>
      </c>
      <c r="C894">
        <v>2001</v>
      </c>
      <c r="D894" t="s">
        <v>22854</v>
      </c>
      <c r="E894">
        <v>11739766</v>
      </c>
    </row>
    <row r="895" spans="1:5" x14ac:dyDescent="0.15">
      <c r="A895" t="s">
        <v>23059</v>
      </c>
      <c r="B895" t="s">
        <v>23061</v>
      </c>
      <c r="C895">
        <v>2021</v>
      </c>
      <c r="D895" t="s">
        <v>23069</v>
      </c>
      <c r="E895">
        <v>33656037</v>
      </c>
    </row>
    <row r="896" spans="1:5" x14ac:dyDescent="0.15">
      <c r="A896" t="s">
        <v>23526</v>
      </c>
      <c r="B896" t="s">
        <v>23528</v>
      </c>
      <c r="C896">
        <v>2019</v>
      </c>
      <c r="D896" t="s">
        <v>23536</v>
      </c>
      <c r="E896">
        <v>31115533</v>
      </c>
    </row>
    <row r="897" spans="1:5" x14ac:dyDescent="0.15">
      <c r="A897" t="s">
        <v>24348</v>
      </c>
      <c r="B897" t="s">
        <v>24350</v>
      </c>
      <c r="C897">
        <v>2021</v>
      </c>
      <c r="D897" t="s">
        <v>24359</v>
      </c>
      <c r="E897">
        <v>33693781</v>
      </c>
    </row>
    <row r="898" spans="1:5" x14ac:dyDescent="0.15">
      <c r="A898" t="s">
        <v>24824</v>
      </c>
      <c r="B898" t="s">
        <v>24826</v>
      </c>
      <c r="C898">
        <v>2014</v>
      </c>
      <c r="D898" t="s">
        <v>24836</v>
      </c>
      <c r="E898">
        <v>24846056</v>
      </c>
    </row>
    <row r="899" spans="1:5" x14ac:dyDescent="0.15">
      <c r="A899" t="s">
        <v>26157</v>
      </c>
      <c r="B899" t="s">
        <v>26159</v>
      </c>
      <c r="C899">
        <v>2020</v>
      </c>
      <c r="D899" t="s">
        <v>26169</v>
      </c>
      <c r="E899" t="s">
        <v>74</v>
      </c>
    </row>
    <row r="900" spans="1:5" x14ac:dyDescent="0.15">
      <c r="A900" t="s">
        <v>26298</v>
      </c>
      <c r="B900" t="s">
        <v>26300</v>
      </c>
      <c r="C900">
        <v>2009</v>
      </c>
      <c r="D900" t="s">
        <v>26309</v>
      </c>
      <c r="E900">
        <v>19885550</v>
      </c>
    </row>
    <row r="901" spans="1:5" x14ac:dyDescent="0.15">
      <c r="A901" t="s">
        <v>26897</v>
      </c>
      <c r="B901" t="s">
        <v>26899</v>
      </c>
      <c r="C901">
        <v>2021</v>
      </c>
      <c r="D901" t="s">
        <v>26905</v>
      </c>
      <c r="E901">
        <v>34143614</v>
      </c>
    </row>
    <row r="902" spans="1:5" x14ac:dyDescent="0.15">
      <c r="A902" t="s">
        <v>27250</v>
      </c>
      <c r="B902" t="s">
        <v>27252</v>
      </c>
      <c r="C902">
        <v>2013</v>
      </c>
      <c r="D902" t="s">
        <v>27265</v>
      </c>
      <c r="E902">
        <v>22688190</v>
      </c>
    </row>
    <row r="903" spans="1:5" x14ac:dyDescent="0.15">
      <c r="A903" t="s">
        <v>28434</v>
      </c>
      <c r="B903" t="s">
        <v>28436</v>
      </c>
      <c r="C903">
        <v>2012</v>
      </c>
      <c r="D903" t="s">
        <v>28444</v>
      </c>
      <c r="E903">
        <v>22484292</v>
      </c>
    </row>
    <row r="904" spans="1:5" x14ac:dyDescent="0.15">
      <c r="A904" t="s">
        <v>30037</v>
      </c>
      <c r="B904" t="s">
        <v>30039</v>
      </c>
      <c r="C904">
        <v>2014</v>
      </c>
      <c r="D904" t="s">
        <v>30048</v>
      </c>
      <c r="E904">
        <v>25266310</v>
      </c>
    </row>
    <row r="905" spans="1:5" x14ac:dyDescent="0.15">
      <c r="A905" t="s">
        <v>2102</v>
      </c>
      <c r="B905" t="s">
        <v>2104</v>
      </c>
      <c r="C905">
        <v>2019</v>
      </c>
      <c r="D905" t="s">
        <v>2117</v>
      </c>
      <c r="E905">
        <v>31608222</v>
      </c>
    </row>
    <row r="906" spans="1:5" x14ac:dyDescent="0.15">
      <c r="A906" t="s">
        <v>5022</v>
      </c>
      <c r="B906" t="s">
        <v>5024</v>
      </c>
      <c r="C906">
        <v>2020</v>
      </c>
      <c r="D906" t="s">
        <v>5036</v>
      </c>
      <c r="E906">
        <v>32054086</v>
      </c>
    </row>
    <row r="907" spans="1:5" x14ac:dyDescent="0.15">
      <c r="A907" t="s">
        <v>8794</v>
      </c>
      <c r="B907" t="s">
        <v>8796</v>
      </c>
      <c r="C907">
        <v>2020</v>
      </c>
      <c r="D907" t="s">
        <v>8809</v>
      </c>
      <c r="E907">
        <v>31932899</v>
      </c>
    </row>
    <row r="908" spans="1:5" x14ac:dyDescent="0.15">
      <c r="A908" t="s">
        <v>9023</v>
      </c>
      <c r="B908" t="s">
        <v>9025</v>
      </c>
      <c r="C908">
        <v>2020</v>
      </c>
      <c r="D908" t="s">
        <v>9035</v>
      </c>
      <c r="E908">
        <v>32326435</v>
      </c>
    </row>
    <row r="909" spans="1:5" x14ac:dyDescent="0.15">
      <c r="A909" t="s">
        <v>9086</v>
      </c>
      <c r="B909" t="s">
        <v>9088</v>
      </c>
      <c r="C909">
        <v>2019</v>
      </c>
      <c r="D909" t="s">
        <v>9103</v>
      </c>
      <c r="E909">
        <v>31017799</v>
      </c>
    </row>
    <row r="910" spans="1:5" x14ac:dyDescent="0.15">
      <c r="A910" t="s">
        <v>9198</v>
      </c>
      <c r="B910" t="s">
        <v>9200</v>
      </c>
      <c r="C910">
        <v>2019</v>
      </c>
      <c r="D910" t="s">
        <v>9209</v>
      </c>
      <c r="E910">
        <v>31597943</v>
      </c>
    </row>
    <row r="911" spans="1:5" x14ac:dyDescent="0.15">
      <c r="A911" t="s">
        <v>10428</v>
      </c>
      <c r="B911" t="s">
        <v>10430</v>
      </c>
      <c r="C911">
        <v>2021</v>
      </c>
      <c r="D911" t="s">
        <v>10439</v>
      </c>
      <c r="E911">
        <v>33720339</v>
      </c>
    </row>
    <row r="912" spans="1:5" x14ac:dyDescent="0.15">
      <c r="A912" t="s">
        <v>10684</v>
      </c>
      <c r="B912" t="s">
        <v>10686</v>
      </c>
      <c r="C912">
        <v>2019</v>
      </c>
      <c r="D912" t="s">
        <v>10697</v>
      </c>
      <c r="E912">
        <v>31176404</v>
      </c>
    </row>
    <row r="913" spans="1:5" x14ac:dyDescent="0.15">
      <c r="A913" t="s">
        <v>11951</v>
      </c>
      <c r="B913" t="s">
        <v>11953</v>
      </c>
      <c r="C913">
        <v>2016</v>
      </c>
      <c r="D913" t="s">
        <v>11962</v>
      </c>
      <c r="E913">
        <v>27362801</v>
      </c>
    </row>
    <row r="914" spans="1:5" x14ac:dyDescent="0.15">
      <c r="A914" t="s">
        <v>14241</v>
      </c>
      <c r="B914" t="s">
        <v>14243</v>
      </c>
      <c r="C914">
        <v>2018</v>
      </c>
      <c r="D914" t="s">
        <v>14253</v>
      </c>
      <c r="E914">
        <v>30322541</v>
      </c>
    </row>
    <row r="915" spans="1:5" x14ac:dyDescent="0.15">
      <c r="A915" t="s">
        <v>16007</v>
      </c>
      <c r="B915" t="s">
        <v>16009</v>
      </c>
      <c r="C915">
        <v>2021</v>
      </c>
      <c r="D915" t="s">
        <v>16018</v>
      </c>
      <c r="E915">
        <v>34367468</v>
      </c>
    </row>
    <row r="916" spans="1:5" x14ac:dyDescent="0.15">
      <c r="A916" t="s">
        <v>16196</v>
      </c>
      <c r="B916" t="s">
        <v>16198</v>
      </c>
      <c r="C916">
        <v>2020</v>
      </c>
      <c r="D916" t="s">
        <v>16206</v>
      </c>
      <c r="E916">
        <v>31794834</v>
      </c>
    </row>
    <row r="917" spans="1:5" x14ac:dyDescent="0.15">
      <c r="A917" t="s">
        <v>16829</v>
      </c>
      <c r="B917" t="s">
        <v>16831</v>
      </c>
      <c r="C917">
        <v>2019</v>
      </c>
      <c r="D917" t="s">
        <v>16843</v>
      </c>
      <c r="E917">
        <v>30374893</v>
      </c>
    </row>
    <row r="918" spans="1:5" x14ac:dyDescent="0.15">
      <c r="A918" t="s">
        <v>17159</v>
      </c>
      <c r="B918" t="s">
        <v>17161</v>
      </c>
      <c r="C918">
        <v>2016</v>
      </c>
      <c r="D918" t="s">
        <v>17174</v>
      </c>
      <c r="E918">
        <v>27071670</v>
      </c>
    </row>
    <row r="919" spans="1:5" x14ac:dyDescent="0.15">
      <c r="A919" t="s">
        <v>17507</v>
      </c>
      <c r="B919" t="s">
        <v>17509</v>
      </c>
      <c r="C919">
        <v>2021</v>
      </c>
      <c r="D919" t="s">
        <v>17517</v>
      </c>
      <c r="E919">
        <v>33436835</v>
      </c>
    </row>
    <row r="920" spans="1:5" x14ac:dyDescent="0.15">
      <c r="A920" t="s">
        <v>17950</v>
      </c>
      <c r="B920" t="s">
        <v>17952</v>
      </c>
      <c r="C920">
        <v>2017</v>
      </c>
      <c r="D920" t="s">
        <v>17959</v>
      </c>
      <c r="E920">
        <v>28154880</v>
      </c>
    </row>
    <row r="921" spans="1:5" x14ac:dyDescent="0.15">
      <c r="A921" t="s">
        <v>17997</v>
      </c>
      <c r="B921" t="s">
        <v>17999</v>
      </c>
      <c r="C921">
        <v>2020</v>
      </c>
      <c r="D921" t="s">
        <v>18012</v>
      </c>
      <c r="E921">
        <v>31760116</v>
      </c>
    </row>
    <row r="922" spans="1:5" x14ac:dyDescent="0.15">
      <c r="A922" t="s">
        <v>20068</v>
      </c>
      <c r="B922" t="s">
        <v>20069</v>
      </c>
      <c r="C922">
        <v>2005</v>
      </c>
      <c r="D922" t="s">
        <v>20079</v>
      </c>
      <c r="E922">
        <v>15889135</v>
      </c>
    </row>
    <row r="923" spans="1:5" x14ac:dyDescent="0.15">
      <c r="A923" t="s">
        <v>21010</v>
      </c>
      <c r="B923" t="s">
        <v>21012</v>
      </c>
      <c r="C923">
        <v>2020</v>
      </c>
      <c r="D923" t="s">
        <v>21023</v>
      </c>
      <c r="E923">
        <v>32525012</v>
      </c>
    </row>
    <row r="924" spans="1:5" x14ac:dyDescent="0.15">
      <c r="A924" t="s">
        <v>21711</v>
      </c>
      <c r="B924" t="s">
        <v>21713</v>
      </c>
      <c r="C924">
        <v>2016</v>
      </c>
      <c r="D924" t="s">
        <v>21721</v>
      </c>
      <c r="E924">
        <v>27677261</v>
      </c>
    </row>
    <row r="925" spans="1:5" x14ac:dyDescent="0.15">
      <c r="A925" t="s">
        <v>22087</v>
      </c>
      <c r="B925" t="s">
        <v>22089</v>
      </c>
      <c r="C925">
        <v>2019</v>
      </c>
      <c r="D925" t="s">
        <v>22099</v>
      </c>
      <c r="E925">
        <v>31092731</v>
      </c>
    </row>
    <row r="926" spans="1:5" x14ac:dyDescent="0.15">
      <c r="A926" t="s">
        <v>22205</v>
      </c>
      <c r="B926" t="s">
        <v>22207</v>
      </c>
      <c r="C926">
        <v>2015</v>
      </c>
      <c r="D926" t="s">
        <v>22217</v>
      </c>
      <c r="E926">
        <v>25650727</v>
      </c>
    </row>
    <row r="927" spans="1:5" x14ac:dyDescent="0.15">
      <c r="A927" t="s">
        <v>22629</v>
      </c>
      <c r="B927" t="s">
        <v>22631</v>
      </c>
      <c r="C927">
        <v>2020</v>
      </c>
      <c r="D927" t="s">
        <v>22639</v>
      </c>
      <c r="E927">
        <v>32310826</v>
      </c>
    </row>
    <row r="928" spans="1:5" x14ac:dyDescent="0.15">
      <c r="A928" t="s">
        <v>23171</v>
      </c>
      <c r="B928" t="s">
        <v>23173</v>
      </c>
      <c r="C928">
        <v>2017</v>
      </c>
      <c r="D928" t="s">
        <v>23185</v>
      </c>
      <c r="E928">
        <v>29156055</v>
      </c>
    </row>
    <row r="929" spans="1:5" x14ac:dyDescent="0.15">
      <c r="A929" t="s">
        <v>23940</v>
      </c>
      <c r="B929" t="s">
        <v>23942</v>
      </c>
      <c r="C929">
        <v>2020</v>
      </c>
      <c r="D929" t="s">
        <v>23950</v>
      </c>
      <c r="E929">
        <v>33261145</v>
      </c>
    </row>
    <row r="930" spans="1:5" x14ac:dyDescent="0.15">
      <c r="A930" t="s">
        <v>24413</v>
      </c>
      <c r="B930" t="s">
        <v>24415</v>
      </c>
      <c r="C930">
        <v>2021</v>
      </c>
      <c r="D930" t="s">
        <v>24422</v>
      </c>
      <c r="E930">
        <v>32929219</v>
      </c>
    </row>
    <row r="931" spans="1:5" x14ac:dyDescent="0.15">
      <c r="A931" t="s">
        <v>24530</v>
      </c>
      <c r="B931" t="s">
        <v>24531</v>
      </c>
      <c r="C931">
        <v>1999</v>
      </c>
      <c r="D931" t="s">
        <v>24537</v>
      </c>
      <c r="E931">
        <v>10025508</v>
      </c>
    </row>
    <row r="932" spans="1:5" x14ac:dyDescent="0.15">
      <c r="A932" t="s">
        <v>24849</v>
      </c>
      <c r="B932" t="s">
        <v>24851</v>
      </c>
      <c r="C932">
        <v>2020</v>
      </c>
      <c r="D932" t="s">
        <v>24864</v>
      </c>
      <c r="E932">
        <v>32267172</v>
      </c>
    </row>
    <row r="933" spans="1:5" x14ac:dyDescent="0.15">
      <c r="A933" t="s">
        <v>25810</v>
      </c>
      <c r="B933" t="s">
        <v>25812</v>
      </c>
      <c r="C933">
        <v>2019</v>
      </c>
      <c r="D933" t="s">
        <v>25819</v>
      </c>
      <c r="E933">
        <v>31506436</v>
      </c>
    </row>
    <row r="934" spans="1:5" x14ac:dyDescent="0.15">
      <c r="A934" t="s">
        <v>27184</v>
      </c>
      <c r="B934" t="s">
        <v>27186</v>
      </c>
      <c r="C934">
        <v>2015</v>
      </c>
      <c r="D934" t="s">
        <v>27198</v>
      </c>
      <c r="E934">
        <v>26112692</v>
      </c>
    </row>
    <row r="935" spans="1:5" x14ac:dyDescent="0.15">
      <c r="A935" t="s">
        <v>28800</v>
      </c>
      <c r="B935" t="s">
        <v>28802</v>
      </c>
      <c r="C935">
        <v>2020</v>
      </c>
      <c r="D935" t="s">
        <v>28812</v>
      </c>
      <c r="E935">
        <v>32854257</v>
      </c>
    </row>
    <row r="936" spans="1:5" x14ac:dyDescent="0.15">
      <c r="A936" t="s">
        <v>29524</v>
      </c>
      <c r="B936" t="s">
        <v>29526</v>
      </c>
      <c r="C936">
        <v>2017</v>
      </c>
      <c r="D936" t="s">
        <v>29536</v>
      </c>
      <c r="E936">
        <v>27928907</v>
      </c>
    </row>
    <row r="937" spans="1:5" x14ac:dyDescent="0.15">
      <c r="A937" t="s">
        <v>26528</v>
      </c>
      <c r="B937" t="s">
        <v>30152</v>
      </c>
      <c r="C937">
        <v>2019</v>
      </c>
      <c r="D937" t="s">
        <v>30156</v>
      </c>
      <c r="E937">
        <v>31827573</v>
      </c>
    </row>
    <row r="938" spans="1:5" x14ac:dyDescent="0.15">
      <c r="A938" t="s">
        <v>30295</v>
      </c>
      <c r="B938" t="s">
        <v>30297</v>
      </c>
      <c r="C938">
        <v>2017</v>
      </c>
      <c r="D938" t="s">
        <v>30306</v>
      </c>
      <c r="E938">
        <v>28832110</v>
      </c>
    </row>
    <row r="939" spans="1:5" x14ac:dyDescent="0.15">
      <c r="A939" t="s">
        <v>30527</v>
      </c>
      <c r="B939" t="s">
        <v>30529</v>
      </c>
      <c r="C939">
        <v>2009</v>
      </c>
      <c r="D939" t="s">
        <v>30541</v>
      </c>
      <c r="E939">
        <v>19435412</v>
      </c>
    </row>
    <row r="940" spans="1:5" x14ac:dyDescent="0.15">
      <c r="A940" t="s">
        <v>635</v>
      </c>
      <c r="B940" t="s">
        <v>637</v>
      </c>
      <c r="C940">
        <v>2019</v>
      </c>
      <c r="D940" t="s">
        <v>651</v>
      </c>
      <c r="E940">
        <v>31748281</v>
      </c>
    </row>
    <row r="941" spans="1:5" x14ac:dyDescent="0.15">
      <c r="A941" t="s">
        <v>1628</v>
      </c>
      <c r="B941" t="s">
        <v>1630</v>
      </c>
      <c r="C941">
        <v>2017</v>
      </c>
      <c r="D941" t="s">
        <v>1642</v>
      </c>
      <c r="E941">
        <v>28660234</v>
      </c>
    </row>
    <row r="942" spans="1:5" x14ac:dyDescent="0.15">
      <c r="A942" t="s">
        <v>4768</v>
      </c>
      <c r="B942" t="s">
        <v>4770</v>
      </c>
      <c r="C942">
        <v>2020</v>
      </c>
      <c r="D942" t="s">
        <v>4779</v>
      </c>
      <c r="E942">
        <v>31922357</v>
      </c>
    </row>
    <row r="943" spans="1:5" x14ac:dyDescent="0.15">
      <c r="A943" t="s">
        <v>4981</v>
      </c>
      <c r="B943" t="s">
        <v>4983</v>
      </c>
      <c r="C943">
        <v>2017</v>
      </c>
      <c r="D943" t="s">
        <v>4994</v>
      </c>
      <c r="E943">
        <v>28152519</v>
      </c>
    </row>
    <row r="944" spans="1:5" x14ac:dyDescent="0.15">
      <c r="A944" t="s">
        <v>5260</v>
      </c>
      <c r="B944" t="s">
        <v>5262</v>
      </c>
      <c r="C944">
        <v>2020</v>
      </c>
      <c r="D944" t="s">
        <v>5272</v>
      </c>
      <c r="E944">
        <v>33317598</v>
      </c>
    </row>
    <row r="945" spans="1:5" x14ac:dyDescent="0.15">
      <c r="A945" t="s">
        <v>5688</v>
      </c>
      <c r="B945" t="s">
        <v>5690</v>
      </c>
      <c r="C945">
        <v>2020</v>
      </c>
      <c r="D945" t="s">
        <v>5698</v>
      </c>
      <c r="E945">
        <v>32711027</v>
      </c>
    </row>
    <row r="946" spans="1:5" x14ac:dyDescent="0.15">
      <c r="A946" t="s">
        <v>6107</v>
      </c>
      <c r="B946" t="s">
        <v>6109</v>
      </c>
      <c r="C946">
        <v>2018</v>
      </c>
      <c r="D946" t="s">
        <v>6119</v>
      </c>
      <c r="E946">
        <v>30384500</v>
      </c>
    </row>
    <row r="947" spans="1:5" x14ac:dyDescent="0.15">
      <c r="A947" t="s">
        <v>6221</v>
      </c>
      <c r="B947" t="s">
        <v>6223</v>
      </c>
      <c r="C947">
        <v>2018</v>
      </c>
      <c r="D947" t="s">
        <v>6236</v>
      </c>
      <c r="E947">
        <v>30265222</v>
      </c>
    </row>
    <row r="948" spans="1:5" x14ac:dyDescent="0.15">
      <c r="A948" t="s">
        <v>6653</v>
      </c>
      <c r="B948" t="s">
        <v>6655</v>
      </c>
      <c r="C948">
        <v>2021</v>
      </c>
      <c r="D948" t="s">
        <v>6667</v>
      </c>
      <c r="E948">
        <v>33593426</v>
      </c>
    </row>
    <row r="949" spans="1:5" x14ac:dyDescent="0.15">
      <c r="A949" t="s">
        <v>7062</v>
      </c>
      <c r="B949" t="s">
        <v>7064</v>
      </c>
      <c r="C949">
        <v>2019</v>
      </c>
      <c r="D949" t="s">
        <v>7076</v>
      </c>
      <c r="E949">
        <v>31387924</v>
      </c>
    </row>
    <row r="950" spans="1:5" x14ac:dyDescent="0.15">
      <c r="A950" t="s">
        <v>8152</v>
      </c>
      <c r="B950" t="s">
        <v>8154</v>
      </c>
      <c r="C950">
        <v>2019</v>
      </c>
      <c r="D950" t="s">
        <v>8163</v>
      </c>
      <c r="E950">
        <v>31035752</v>
      </c>
    </row>
    <row r="951" spans="1:5" x14ac:dyDescent="0.15">
      <c r="A951" t="s">
        <v>8251</v>
      </c>
      <c r="B951" t="s">
        <v>8254</v>
      </c>
      <c r="C951">
        <v>2018</v>
      </c>
      <c r="D951" t="s">
        <v>8265</v>
      </c>
      <c r="E951">
        <v>29196999</v>
      </c>
    </row>
    <row r="952" spans="1:5" x14ac:dyDescent="0.15">
      <c r="A952" t="s">
        <v>8293</v>
      </c>
      <c r="B952" t="s">
        <v>8295</v>
      </c>
      <c r="C952">
        <v>2019</v>
      </c>
      <c r="D952" t="s">
        <v>8308</v>
      </c>
      <c r="E952">
        <v>31060922</v>
      </c>
    </row>
    <row r="953" spans="1:5" x14ac:dyDescent="0.15">
      <c r="A953" t="s">
        <v>8905</v>
      </c>
      <c r="B953" t="s">
        <v>8908</v>
      </c>
      <c r="C953">
        <v>2016</v>
      </c>
      <c r="D953" t="s">
        <v>8918</v>
      </c>
      <c r="E953">
        <v>26910077</v>
      </c>
    </row>
    <row r="954" spans="1:5" x14ac:dyDescent="0.15">
      <c r="A954" t="s">
        <v>10891</v>
      </c>
      <c r="B954" t="s">
        <v>10893</v>
      </c>
      <c r="C954">
        <v>2020</v>
      </c>
      <c r="D954" t="s">
        <v>10904</v>
      </c>
      <c r="E954">
        <v>32628683</v>
      </c>
    </row>
    <row r="955" spans="1:5" x14ac:dyDescent="0.15">
      <c r="A955" t="s">
        <v>11408</v>
      </c>
      <c r="B955" t="s">
        <v>11410</v>
      </c>
      <c r="C955">
        <v>2018</v>
      </c>
      <c r="D955" t="s">
        <v>11420</v>
      </c>
      <c r="E955">
        <v>29721020</v>
      </c>
    </row>
    <row r="956" spans="1:5" x14ac:dyDescent="0.15">
      <c r="A956" t="s">
        <v>11758</v>
      </c>
      <c r="B956" t="s">
        <v>11760</v>
      </c>
      <c r="C956">
        <v>2021</v>
      </c>
      <c r="D956" t="s">
        <v>11769</v>
      </c>
      <c r="E956">
        <v>33076118</v>
      </c>
    </row>
    <row r="957" spans="1:5" x14ac:dyDescent="0.15">
      <c r="A957" t="s">
        <v>12073</v>
      </c>
      <c r="B957" t="s">
        <v>12075</v>
      </c>
      <c r="C957">
        <v>2020</v>
      </c>
      <c r="D957" t="s">
        <v>12085</v>
      </c>
      <c r="E957">
        <v>32912198</v>
      </c>
    </row>
    <row r="958" spans="1:5" x14ac:dyDescent="0.15">
      <c r="A958" t="s">
        <v>12191</v>
      </c>
      <c r="B958" t="s">
        <v>12193</v>
      </c>
      <c r="C958">
        <v>2019</v>
      </c>
      <c r="D958" t="s">
        <v>12201</v>
      </c>
      <c r="E958">
        <v>31355328</v>
      </c>
    </row>
    <row r="959" spans="1:5" x14ac:dyDescent="0.15">
      <c r="A959" t="s">
        <v>12300</v>
      </c>
      <c r="B959" t="s">
        <v>12302</v>
      </c>
      <c r="C959">
        <v>2019</v>
      </c>
      <c r="D959" t="s">
        <v>12311</v>
      </c>
      <c r="E959">
        <v>31745234</v>
      </c>
    </row>
    <row r="960" spans="1:5" x14ac:dyDescent="0.15">
      <c r="A960" t="s">
        <v>14092</v>
      </c>
      <c r="B960" t="s">
        <v>14094</v>
      </c>
      <c r="C960">
        <v>2021</v>
      </c>
      <c r="D960" t="s">
        <v>14103</v>
      </c>
      <c r="E960">
        <v>33610731</v>
      </c>
    </row>
    <row r="961" spans="1:5" x14ac:dyDescent="0.15">
      <c r="A961" t="s">
        <v>14201</v>
      </c>
      <c r="B961" t="s">
        <v>14203</v>
      </c>
      <c r="C961">
        <v>2010</v>
      </c>
      <c r="D961" t="s">
        <v>14210</v>
      </c>
      <c r="E961">
        <v>20480522</v>
      </c>
    </row>
    <row r="962" spans="1:5" x14ac:dyDescent="0.15">
      <c r="A962" t="s">
        <v>15294</v>
      </c>
      <c r="B962" t="s">
        <v>15296</v>
      </c>
      <c r="C962">
        <v>2019</v>
      </c>
      <c r="D962" t="s">
        <v>15309</v>
      </c>
      <c r="E962">
        <v>30484685</v>
      </c>
    </row>
    <row r="963" spans="1:5" x14ac:dyDescent="0.15">
      <c r="A963" t="s">
        <v>16858</v>
      </c>
      <c r="B963" t="s">
        <v>16860</v>
      </c>
      <c r="C963">
        <v>2019</v>
      </c>
      <c r="D963" t="s">
        <v>16864</v>
      </c>
      <c r="E963">
        <v>31536072</v>
      </c>
    </row>
    <row r="964" spans="1:5" x14ac:dyDescent="0.15">
      <c r="A964" t="s">
        <v>17319</v>
      </c>
      <c r="B964" t="s">
        <v>17321</v>
      </c>
      <c r="C964">
        <v>2019</v>
      </c>
      <c r="D964" t="s">
        <v>17333</v>
      </c>
      <c r="E964">
        <v>31182116</v>
      </c>
    </row>
    <row r="965" spans="1:5" x14ac:dyDescent="0.15">
      <c r="A965" t="s">
        <v>17819</v>
      </c>
      <c r="B965" t="s">
        <v>17821</v>
      </c>
      <c r="C965">
        <v>2019</v>
      </c>
      <c r="D965" t="s">
        <v>74</v>
      </c>
      <c r="E965">
        <v>31217848</v>
      </c>
    </row>
    <row r="966" spans="1:5" x14ac:dyDescent="0.15">
      <c r="A966" t="s">
        <v>18427</v>
      </c>
      <c r="B966" t="s">
        <v>18429</v>
      </c>
      <c r="C966">
        <v>2017</v>
      </c>
      <c r="D966" t="s">
        <v>18437</v>
      </c>
      <c r="E966">
        <v>29255455</v>
      </c>
    </row>
    <row r="967" spans="1:5" x14ac:dyDescent="0.15">
      <c r="A967" t="s">
        <v>20192</v>
      </c>
      <c r="B967" t="s">
        <v>20194</v>
      </c>
      <c r="C967">
        <v>2020</v>
      </c>
      <c r="D967" t="s">
        <v>20203</v>
      </c>
      <c r="E967">
        <v>31548226</v>
      </c>
    </row>
    <row r="968" spans="1:5" x14ac:dyDescent="0.15">
      <c r="A968" t="s">
        <v>20516</v>
      </c>
      <c r="B968" t="s">
        <v>20518</v>
      </c>
      <c r="C968">
        <v>2021</v>
      </c>
      <c r="D968" t="s">
        <v>20528</v>
      </c>
      <c r="E968">
        <v>33249316</v>
      </c>
    </row>
    <row r="969" spans="1:5" x14ac:dyDescent="0.15">
      <c r="A969" t="s">
        <v>21223</v>
      </c>
      <c r="B969" t="s">
        <v>21225</v>
      </c>
      <c r="C969">
        <v>2020</v>
      </c>
      <c r="D969" t="s">
        <v>21233</v>
      </c>
      <c r="E969">
        <v>32433716</v>
      </c>
    </row>
    <row r="970" spans="1:5" x14ac:dyDescent="0.15">
      <c r="A970" t="s">
        <v>22219</v>
      </c>
      <c r="B970" t="s">
        <v>22221</v>
      </c>
      <c r="C970">
        <v>2017</v>
      </c>
      <c r="D970" t="s">
        <v>22229</v>
      </c>
      <c r="E970">
        <v>30023580</v>
      </c>
    </row>
    <row r="971" spans="1:5" x14ac:dyDescent="0.15">
      <c r="A971" t="s">
        <v>23797</v>
      </c>
      <c r="B971" t="s">
        <v>23799</v>
      </c>
      <c r="C971">
        <v>2018</v>
      </c>
      <c r="D971" t="s">
        <v>23809</v>
      </c>
      <c r="E971">
        <v>30417099</v>
      </c>
    </row>
    <row r="972" spans="1:5" x14ac:dyDescent="0.15">
      <c r="A972" t="s">
        <v>27063</v>
      </c>
      <c r="B972" t="s">
        <v>27065</v>
      </c>
      <c r="C972">
        <v>2018</v>
      </c>
      <c r="D972" t="s">
        <v>27077</v>
      </c>
      <c r="E972">
        <v>29415817</v>
      </c>
    </row>
    <row r="973" spans="1:5" x14ac:dyDescent="0.15">
      <c r="A973" t="s">
        <v>28161</v>
      </c>
      <c r="B973" t="s">
        <v>28163</v>
      </c>
      <c r="C973">
        <v>2018</v>
      </c>
      <c r="D973" t="s">
        <v>28172</v>
      </c>
      <c r="E973">
        <v>29734033</v>
      </c>
    </row>
    <row r="974" spans="1:5" x14ac:dyDescent="0.15">
      <c r="A974" t="s">
        <v>28927</v>
      </c>
      <c r="B974" t="s">
        <v>28929</v>
      </c>
      <c r="C974">
        <v>2019</v>
      </c>
      <c r="D974" t="s">
        <v>28939</v>
      </c>
      <c r="E974">
        <v>31277602</v>
      </c>
    </row>
    <row r="975" spans="1:5" x14ac:dyDescent="0.15">
      <c r="A975" t="s">
        <v>29742</v>
      </c>
      <c r="B975" t="s">
        <v>29744</v>
      </c>
      <c r="C975">
        <v>2013</v>
      </c>
      <c r="D975" t="s">
        <v>29753</v>
      </c>
      <c r="E975">
        <v>23228393</v>
      </c>
    </row>
    <row r="976" spans="1:5" x14ac:dyDescent="0.15">
      <c r="A976" t="s">
        <v>1199</v>
      </c>
      <c r="B976" t="s">
        <v>1200</v>
      </c>
      <c r="C976">
        <v>1998</v>
      </c>
      <c r="D976" t="s">
        <v>1212</v>
      </c>
      <c r="E976">
        <v>9645228</v>
      </c>
    </row>
    <row r="977" spans="1:5" x14ac:dyDescent="0.15">
      <c r="A977" t="s">
        <v>1541</v>
      </c>
      <c r="B977" t="s">
        <v>1543</v>
      </c>
      <c r="C977">
        <v>2021</v>
      </c>
      <c r="D977" t="s">
        <v>1556</v>
      </c>
      <c r="E977">
        <v>33152356</v>
      </c>
    </row>
    <row r="978" spans="1:5" x14ac:dyDescent="0.15">
      <c r="A978" t="s">
        <v>1744</v>
      </c>
      <c r="B978" t="s">
        <v>1746</v>
      </c>
      <c r="C978">
        <v>2018</v>
      </c>
      <c r="D978" t="s">
        <v>1759</v>
      </c>
      <c r="E978">
        <v>29288729</v>
      </c>
    </row>
    <row r="979" spans="1:5" x14ac:dyDescent="0.15">
      <c r="A979" t="s">
        <v>2295</v>
      </c>
      <c r="B979" t="s">
        <v>2297</v>
      </c>
      <c r="C979">
        <v>2021</v>
      </c>
      <c r="D979" t="s">
        <v>2308</v>
      </c>
      <c r="E979">
        <v>33831424</v>
      </c>
    </row>
    <row r="980" spans="1:5" x14ac:dyDescent="0.15">
      <c r="A980" t="s">
        <v>2595</v>
      </c>
      <c r="B980" t="s">
        <v>2597</v>
      </c>
      <c r="C980">
        <v>2021</v>
      </c>
      <c r="D980" t="s">
        <v>2606</v>
      </c>
      <c r="E980">
        <v>33687214</v>
      </c>
    </row>
    <row r="981" spans="1:5" x14ac:dyDescent="0.15">
      <c r="A981" t="s">
        <v>3046</v>
      </c>
      <c r="B981" t="s">
        <v>3048</v>
      </c>
      <c r="C981">
        <v>2018</v>
      </c>
      <c r="D981" t="s">
        <v>3058</v>
      </c>
      <c r="E981">
        <v>29511462</v>
      </c>
    </row>
    <row r="982" spans="1:5" x14ac:dyDescent="0.15">
      <c r="A982" t="s">
        <v>3422</v>
      </c>
      <c r="B982" t="s">
        <v>3424</v>
      </c>
      <c r="C982">
        <v>2021</v>
      </c>
      <c r="D982" t="s">
        <v>3437</v>
      </c>
      <c r="E982">
        <v>33727157</v>
      </c>
    </row>
    <row r="983" spans="1:5" x14ac:dyDescent="0.15">
      <c r="A983" t="s">
        <v>3492</v>
      </c>
      <c r="B983" t="s">
        <v>3494</v>
      </c>
      <c r="C983">
        <v>2020</v>
      </c>
      <c r="D983" t="s">
        <v>3503</v>
      </c>
      <c r="E983">
        <v>33304477</v>
      </c>
    </row>
    <row r="984" spans="1:5" x14ac:dyDescent="0.15">
      <c r="A984" t="s">
        <v>5151</v>
      </c>
      <c r="B984" t="s">
        <v>5153</v>
      </c>
      <c r="C984">
        <v>2021</v>
      </c>
      <c r="D984" t="s">
        <v>5166</v>
      </c>
      <c r="E984">
        <v>33508126</v>
      </c>
    </row>
    <row r="985" spans="1:5" x14ac:dyDescent="0.15">
      <c r="A985" t="s">
        <v>5359</v>
      </c>
      <c r="B985" t="s">
        <v>5361</v>
      </c>
      <c r="C985">
        <v>2019</v>
      </c>
      <c r="D985" t="s">
        <v>5371</v>
      </c>
      <c r="E985">
        <v>31731390</v>
      </c>
    </row>
    <row r="986" spans="1:5" x14ac:dyDescent="0.15">
      <c r="A986" t="s">
        <v>5843</v>
      </c>
      <c r="B986" t="s">
        <v>5845</v>
      </c>
      <c r="C986">
        <v>2017</v>
      </c>
      <c r="D986" t="s">
        <v>5855</v>
      </c>
      <c r="E986">
        <v>29179481</v>
      </c>
    </row>
    <row r="987" spans="1:5" x14ac:dyDescent="0.15">
      <c r="A987" t="s">
        <v>7078</v>
      </c>
      <c r="B987" t="s">
        <v>7080</v>
      </c>
      <c r="C987">
        <v>2020</v>
      </c>
      <c r="D987" t="s">
        <v>7095</v>
      </c>
      <c r="E987">
        <v>32744099</v>
      </c>
    </row>
    <row r="988" spans="1:5" x14ac:dyDescent="0.15">
      <c r="A988" t="s">
        <v>8624</v>
      </c>
      <c r="B988" t="s">
        <v>8626</v>
      </c>
      <c r="C988">
        <v>2020</v>
      </c>
      <c r="D988" t="s">
        <v>8634</v>
      </c>
      <c r="E988">
        <v>32781137</v>
      </c>
    </row>
    <row r="989" spans="1:5" x14ac:dyDescent="0.15">
      <c r="A989" t="s">
        <v>12422</v>
      </c>
      <c r="B989" t="s">
        <v>12424</v>
      </c>
      <c r="C989">
        <v>2019</v>
      </c>
      <c r="D989" t="s">
        <v>12436</v>
      </c>
      <c r="E989">
        <v>31018947</v>
      </c>
    </row>
    <row r="990" spans="1:5" x14ac:dyDescent="0.15">
      <c r="A990" t="s">
        <v>12648</v>
      </c>
      <c r="B990" t="s">
        <v>12650</v>
      </c>
      <c r="C990">
        <v>2017</v>
      </c>
      <c r="D990" t="s">
        <v>12658</v>
      </c>
      <c r="E990">
        <v>28232819</v>
      </c>
    </row>
    <row r="991" spans="1:5" x14ac:dyDescent="0.15">
      <c r="A991" t="s">
        <v>13380</v>
      </c>
      <c r="B991" t="s">
        <v>13382</v>
      </c>
      <c r="C991">
        <v>2017</v>
      </c>
      <c r="D991" t="s">
        <v>13392</v>
      </c>
      <c r="E991">
        <v>29033944</v>
      </c>
    </row>
    <row r="992" spans="1:5" x14ac:dyDescent="0.15">
      <c r="A992" t="s">
        <v>15209</v>
      </c>
      <c r="B992" t="s">
        <v>15211</v>
      </c>
      <c r="C992">
        <v>2020</v>
      </c>
      <c r="D992" t="s">
        <v>15218</v>
      </c>
      <c r="E992">
        <v>32892927</v>
      </c>
    </row>
    <row r="993" spans="1:5" x14ac:dyDescent="0.15">
      <c r="A993" t="s">
        <v>15607</v>
      </c>
      <c r="B993" t="s">
        <v>15609</v>
      </c>
      <c r="C993">
        <v>2020</v>
      </c>
      <c r="D993" t="s">
        <v>15614</v>
      </c>
      <c r="E993">
        <v>32985646</v>
      </c>
    </row>
    <row r="994" spans="1:5" x14ac:dyDescent="0.15">
      <c r="A994" t="s">
        <v>15828</v>
      </c>
      <c r="B994" t="s">
        <v>15831</v>
      </c>
      <c r="C994">
        <v>2020</v>
      </c>
      <c r="D994" t="s">
        <v>15840</v>
      </c>
      <c r="E994">
        <v>31605237</v>
      </c>
    </row>
    <row r="995" spans="1:5" x14ac:dyDescent="0.15">
      <c r="A995" t="s">
        <v>18595</v>
      </c>
      <c r="B995" t="s">
        <v>18597</v>
      </c>
      <c r="C995">
        <v>2021</v>
      </c>
      <c r="D995" t="s">
        <v>18606</v>
      </c>
      <c r="E995">
        <v>34111932</v>
      </c>
    </row>
    <row r="996" spans="1:5" x14ac:dyDescent="0.15">
      <c r="A996" t="s">
        <v>19320</v>
      </c>
      <c r="B996" t="s">
        <v>19322</v>
      </c>
      <c r="C996">
        <v>2021</v>
      </c>
      <c r="D996" t="s">
        <v>19331</v>
      </c>
      <c r="E996">
        <v>33844518</v>
      </c>
    </row>
    <row r="997" spans="1:5" x14ac:dyDescent="0.15">
      <c r="A997" t="s">
        <v>19333</v>
      </c>
      <c r="B997" t="s">
        <v>19335</v>
      </c>
      <c r="C997">
        <v>2021</v>
      </c>
      <c r="D997" t="s">
        <v>19347</v>
      </c>
      <c r="E997">
        <v>33500577</v>
      </c>
    </row>
    <row r="998" spans="1:5" x14ac:dyDescent="0.15">
      <c r="A998" t="s">
        <v>19472</v>
      </c>
      <c r="B998" t="s">
        <v>19474</v>
      </c>
      <c r="C998">
        <v>2021</v>
      </c>
      <c r="D998" t="s">
        <v>19484</v>
      </c>
      <c r="E998">
        <v>33275138</v>
      </c>
    </row>
    <row r="999" spans="1:5" x14ac:dyDescent="0.15">
      <c r="A999" t="s">
        <v>19598</v>
      </c>
      <c r="B999" t="s">
        <v>19600</v>
      </c>
      <c r="C999">
        <v>2019</v>
      </c>
      <c r="D999" t="s">
        <v>19610</v>
      </c>
      <c r="E999">
        <v>30572805</v>
      </c>
    </row>
    <row r="1000" spans="1:5" x14ac:dyDescent="0.15">
      <c r="A1000" t="s">
        <v>20696</v>
      </c>
      <c r="B1000" t="s">
        <v>20698</v>
      </c>
      <c r="C1000">
        <v>2018</v>
      </c>
      <c r="D1000" t="s">
        <v>20707</v>
      </c>
      <c r="E1000">
        <v>29660021</v>
      </c>
    </row>
    <row r="1001" spans="1:5" x14ac:dyDescent="0.15">
      <c r="A1001" t="s">
        <v>21861</v>
      </c>
      <c r="B1001" t="s">
        <v>21863</v>
      </c>
      <c r="C1001">
        <v>2017</v>
      </c>
      <c r="D1001" t="s">
        <v>21872</v>
      </c>
      <c r="E1001">
        <v>30023671</v>
      </c>
    </row>
    <row r="1002" spans="1:5" x14ac:dyDescent="0.15">
      <c r="A1002" t="s">
        <v>22957</v>
      </c>
      <c r="B1002" t="s">
        <v>22959</v>
      </c>
      <c r="C1002">
        <v>2020</v>
      </c>
      <c r="D1002" t="s">
        <v>22969</v>
      </c>
      <c r="E1002">
        <v>32943183</v>
      </c>
    </row>
    <row r="1003" spans="1:5" x14ac:dyDescent="0.15">
      <c r="A1003" t="s">
        <v>23361</v>
      </c>
      <c r="B1003" t="s">
        <v>23364</v>
      </c>
      <c r="C1003">
        <v>2018</v>
      </c>
      <c r="D1003" t="s">
        <v>23374</v>
      </c>
      <c r="E1003">
        <v>29896679</v>
      </c>
    </row>
    <row r="1004" spans="1:5" x14ac:dyDescent="0.15">
      <c r="A1004" t="s">
        <v>23512</v>
      </c>
      <c r="B1004" t="s">
        <v>23514</v>
      </c>
      <c r="C1004">
        <v>2020</v>
      </c>
      <c r="D1004" t="s">
        <v>23524</v>
      </c>
      <c r="E1004">
        <v>30975909</v>
      </c>
    </row>
    <row r="1005" spans="1:5" x14ac:dyDescent="0.15">
      <c r="A1005" t="s">
        <v>24752</v>
      </c>
      <c r="B1005" t="s">
        <v>24753</v>
      </c>
      <c r="C1005">
        <v>1995</v>
      </c>
      <c r="D1005" t="s">
        <v>24760</v>
      </c>
      <c r="E1005" t="s">
        <v>74</v>
      </c>
    </row>
    <row r="1006" spans="1:5" x14ac:dyDescent="0.15">
      <c r="A1006" t="s">
        <v>24879</v>
      </c>
      <c r="B1006" t="s">
        <v>24880</v>
      </c>
      <c r="C1006">
        <v>2000</v>
      </c>
      <c r="D1006" t="s">
        <v>24887</v>
      </c>
      <c r="E1006">
        <v>10906758</v>
      </c>
    </row>
    <row r="1007" spans="1:5" x14ac:dyDescent="0.15">
      <c r="A1007" t="s">
        <v>26094</v>
      </c>
      <c r="B1007" t="s">
        <v>26096</v>
      </c>
      <c r="C1007">
        <v>2018</v>
      </c>
      <c r="D1007" t="s">
        <v>26102</v>
      </c>
      <c r="E1007">
        <v>29434260</v>
      </c>
    </row>
    <row r="1008" spans="1:5" x14ac:dyDescent="0.15">
      <c r="A1008" t="s">
        <v>27039</v>
      </c>
      <c r="B1008" t="s">
        <v>27041</v>
      </c>
      <c r="C1008">
        <v>2017</v>
      </c>
      <c r="D1008" t="s">
        <v>27049</v>
      </c>
      <c r="E1008">
        <v>28236306</v>
      </c>
    </row>
    <row r="1009" spans="1:5" x14ac:dyDescent="0.15">
      <c r="A1009" t="s">
        <v>27225</v>
      </c>
      <c r="B1009" t="s">
        <v>27227</v>
      </c>
      <c r="C1009">
        <v>2014</v>
      </c>
      <c r="D1009" t="s">
        <v>27235</v>
      </c>
      <c r="E1009">
        <v>24686062</v>
      </c>
    </row>
    <row r="1010" spans="1:5" x14ac:dyDescent="0.15">
      <c r="A1010" t="s">
        <v>27827</v>
      </c>
      <c r="B1010" t="s">
        <v>27829</v>
      </c>
      <c r="C1010">
        <v>2020</v>
      </c>
      <c r="D1010" t="s">
        <v>27837</v>
      </c>
      <c r="E1010">
        <v>31919754</v>
      </c>
    </row>
    <row r="1011" spans="1:5" x14ac:dyDescent="0.15">
      <c r="A1011" t="s">
        <v>28601</v>
      </c>
      <c r="B1011" t="s">
        <v>28603</v>
      </c>
      <c r="C1011">
        <v>2020</v>
      </c>
      <c r="D1011" t="s">
        <v>28612</v>
      </c>
      <c r="E1011">
        <v>32153563</v>
      </c>
    </row>
    <row r="1012" spans="1:5" x14ac:dyDescent="0.15">
      <c r="A1012" t="s">
        <v>28861</v>
      </c>
      <c r="B1012" t="s">
        <v>28862</v>
      </c>
      <c r="C1012">
        <v>2005</v>
      </c>
      <c r="D1012" t="s">
        <v>28873</v>
      </c>
      <c r="E1012">
        <v>16002628</v>
      </c>
    </row>
    <row r="1013" spans="1:5" x14ac:dyDescent="0.15">
      <c r="A1013" t="s">
        <v>30174</v>
      </c>
      <c r="B1013" t="s">
        <v>30176</v>
      </c>
      <c r="C1013">
        <v>2019</v>
      </c>
      <c r="D1013" t="s">
        <v>30189</v>
      </c>
      <c r="E1013">
        <v>31629738</v>
      </c>
    </row>
    <row r="1014" spans="1:5" x14ac:dyDescent="0.15">
      <c r="A1014" t="s">
        <v>340</v>
      </c>
      <c r="B1014" t="s">
        <v>343</v>
      </c>
      <c r="C1014">
        <v>2021</v>
      </c>
      <c r="D1014" t="s">
        <v>354</v>
      </c>
      <c r="E1014">
        <v>32813249</v>
      </c>
    </row>
    <row r="1015" spans="1:5" x14ac:dyDescent="0.15">
      <c r="A1015" t="s">
        <v>707</v>
      </c>
      <c r="B1015" t="s">
        <v>710</v>
      </c>
      <c r="C1015">
        <v>2015</v>
      </c>
      <c r="D1015" t="s">
        <v>721</v>
      </c>
      <c r="E1015">
        <v>25820722</v>
      </c>
    </row>
    <row r="1016" spans="1:5" x14ac:dyDescent="0.15">
      <c r="A1016" t="s">
        <v>3303</v>
      </c>
      <c r="B1016" t="s">
        <v>3305</v>
      </c>
      <c r="C1016">
        <v>2020</v>
      </c>
      <c r="D1016" t="s">
        <v>3315</v>
      </c>
      <c r="E1016">
        <v>32722322</v>
      </c>
    </row>
    <row r="1017" spans="1:5" x14ac:dyDescent="0.15">
      <c r="A1017" t="s">
        <v>4115</v>
      </c>
      <c r="B1017" t="s">
        <v>4117</v>
      </c>
      <c r="C1017">
        <v>2017</v>
      </c>
      <c r="D1017" t="s">
        <v>4128</v>
      </c>
      <c r="E1017">
        <v>28901383</v>
      </c>
    </row>
    <row r="1018" spans="1:5" x14ac:dyDescent="0.15">
      <c r="A1018" t="s">
        <v>4132</v>
      </c>
      <c r="B1018" t="s">
        <v>4134</v>
      </c>
      <c r="C1018">
        <v>2020</v>
      </c>
      <c r="D1018" t="s">
        <v>4147</v>
      </c>
      <c r="E1018">
        <v>32357878</v>
      </c>
    </row>
    <row r="1019" spans="1:5" x14ac:dyDescent="0.15">
      <c r="A1019" t="s">
        <v>6610</v>
      </c>
      <c r="B1019" t="s">
        <v>6612</v>
      </c>
      <c r="C1019">
        <v>2019</v>
      </c>
      <c r="D1019" t="s">
        <v>6622</v>
      </c>
      <c r="E1019">
        <v>30658414</v>
      </c>
    </row>
    <row r="1020" spans="1:5" x14ac:dyDescent="0.15">
      <c r="A1020" t="s">
        <v>7825</v>
      </c>
      <c r="B1020" t="s">
        <v>7827</v>
      </c>
      <c r="C1020">
        <v>2017</v>
      </c>
      <c r="D1020" t="s">
        <v>7836</v>
      </c>
      <c r="E1020">
        <v>27793845</v>
      </c>
    </row>
    <row r="1021" spans="1:5" x14ac:dyDescent="0.15">
      <c r="A1021" t="s">
        <v>8923</v>
      </c>
      <c r="B1021" t="s">
        <v>8925</v>
      </c>
      <c r="C1021">
        <v>2020</v>
      </c>
      <c r="D1021" t="s">
        <v>8937</v>
      </c>
      <c r="E1021">
        <v>32232575</v>
      </c>
    </row>
    <row r="1022" spans="1:5" x14ac:dyDescent="0.15">
      <c r="A1022" t="s">
        <v>9161</v>
      </c>
      <c r="B1022" t="s">
        <v>9163</v>
      </c>
      <c r="C1022">
        <v>2019</v>
      </c>
      <c r="D1022" t="s">
        <v>9171</v>
      </c>
      <c r="E1022">
        <v>31596073</v>
      </c>
    </row>
    <row r="1023" spans="1:5" x14ac:dyDescent="0.15">
      <c r="A1023" t="s">
        <v>10714</v>
      </c>
      <c r="B1023" t="s">
        <v>10716</v>
      </c>
      <c r="C1023">
        <v>2020</v>
      </c>
      <c r="D1023" t="s">
        <v>10728</v>
      </c>
      <c r="E1023">
        <v>32747701</v>
      </c>
    </row>
    <row r="1024" spans="1:5" x14ac:dyDescent="0.15">
      <c r="A1024" t="s">
        <v>11994</v>
      </c>
      <c r="B1024" t="s">
        <v>11996</v>
      </c>
      <c r="C1024">
        <v>2020</v>
      </c>
      <c r="D1024" t="s">
        <v>12005</v>
      </c>
      <c r="E1024">
        <v>33182277</v>
      </c>
    </row>
    <row r="1025" spans="1:5" x14ac:dyDescent="0.15">
      <c r="A1025" t="s">
        <v>12439</v>
      </c>
      <c r="B1025" t="s">
        <v>12441</v>
      </c>
      <c r="C1025">
        <v>2020</v>
      </c>
      <c r="D1025" t="s">
        <v>12453</v>
      </c>
      <c r="E1025">
        <v>32383628</v>
      </c>
    </row>
    <row r="1026" spans="1:5" x14ac:dyDescent="0.15">
      <c r="A1026" t="s">
        <v>14672</v>
      </c>
      <c r="B1026" t="s">
        <v>14673</v>
      </c>
      <c r="C1026">
        <v>1995</v>
      </c>
      <c r="D1026" t="s">
        <v>74</v>
      </c>
      <c r="E1026" t="s">
        <v>74</v>
      </c>
    </row>
    <row r="1027" spans="1:5" x14ac:dyDescent="0.15">
      <c r="A1027" t="s">
        <v>14780</v>
      </c>
      <c r="B1027" t="s">
        <v>14782</v>
      </c>
      <c r="C1027">
        <v>2020</v>
      </c>
      <c r="D1027" t="s">
        <v>14793</v>
      </c>
      <c r="E1027">
        <v>32166219</v>
      </c>
    </row>
    <row r="1028" spans="1:5" x14ac:dyDescent="0.15">
      <c r="A1028" t="s">
        <v>15234</v>
      </c>
      <c r="B1028" t="s">
        <v>15236</v>
      </c>
      <c r="C1028">
        <v>2018</v>
      </c>
      <c r="D1028" t="s">
        <v>15247</v>
      </c>
      <c r="E1028" t="s">
        <v>74</v>
      </c>
    </row>
    <row r="1029" spans="1:5" x14ac:dyDescent="0.15">
      <c r="A1029" t="s">
        <v>15324</v>
      </c>
      <c r="B1029" t="s">
        <v>15326</v>
      </c>
      <c r="C1029">
        <v>2020</v>
      </c>
      <c r="D1029" t="s">
        <v>15333</v>
      </c>
      <c r="E1029">
        <v>32633309</v>
      </c>
    </row>
    <row r="1030" spans="1:5" x14ac:dyDescent="0.15">
      <c r="A1030" t="s">
        <v>16443</v>
      </c>
      <c r="B1030" t="s">
        <v>16445</v>
      </c>
      <c r="C1030">
        <v>2018</v>
      </c>
      <c r="D1030" t="s">
        <v>16452</v>
      </c>
      <c r="E1030">
        <v>29787607</v>
      </c>
    </row>
    <row r="1031" spans="1:5" x14ac:dyDescent="0.15">
      <c r="A1031" t="s">
        <v>17052</v>
      </c>
      <c r="B1031" t="s">
        <v>17054</v>
      </c>
      <c r="C1031">
        <v>2020</v>
      </c>
      <c r="D1031" t="s">
        <v>17062</v>
      </c>
      <c r="E1031">
        <v>32239931</v>
      </c>
    </row>
    <row r="1032" spans="1:5" x14ac:dyDescent="0.15">
      <c r="A1032" t="s">
        <v>18874</v>
      </c>
      <c r="B1032" t="s">
        <v>18876</v>
      </c>
      <c r="C1032">
        <v>2009</v>
      </c>
      <c r="D1032" t="s">
        <v>18887</v>
      </c>
      <c r="E1032">
        <v>19019086</v>
      </c>
    </row>
    <row r="1033" spans="1:5" x14ac:dyDescent="0.15">
      <c r="A1033" t="s">
        <v>19364</v>
      </c>
      <c r="B1033" t="s">
        <v>19366</v>
      </c>
      <c r="C1033">
        <v>2007</v>
      </c>
      <c r="D1033" t="s">
        <v>19378</v>
      </c>
      <c r="E1033">
        <v>17286953</v>
      </c>
    </row>
    <row r="1034" spans="1:5" x14ac:dyDescent="0.15">
      <c r="A1034" t="s">
        <v>21025</v>
      </c>
      <c r="B1034" t="s">
        <v>21027</v>
      </c>
      <c r="C1034">
        <v>2020</v>
      </c>
      <c r="D1034" t="s">
        <v>21036</v>
      </c>
      <c r="E1034">
        <v>32476275</v>
      </c>
    </row>
    <row r="1035" spans="1:5" x14ac:dyDescent="0.15">
      <c r="A1035" t="s">
        <v>22546</v>
      </c>
      <c r="B1035" t="s">
        <v>22548</v>
      </c>
      <c r="C1035">
        <v>2020</v>
      </c>
      <c r="D1035" t="s">
        <v>22557</v>
      </c>
      <c r="E1035">
        <v>32380415</v>
      </c>
    </row>
    <row r="1036" spans="1:5" x14ac:dyDescent="0.15">
      <c r="A1036" t="s">
        <v>22666</v>
      </c>
      <c r="B1036" t="s">
        <v>22668</v>
      </c>
      <c r="C1036">
        <v>2020</v>
      </c>
      <c r="D1036" t="s">
        <v>22678</v>
      </c>
      <c r="E1036">
        <v>32722209</v>
      </c>
    </row>
    <row r="1037" spans="1:5" x14ac:dyDescent="0.15">
      <c r="A1037" t="s">
        <v>22971</v>
      </c>
      <c r="B1037" t="s">
        <v>22973</v>
      </c>
      <c r="C1037">
        <v>2016</v>
      </c>
      <c r="D1037" t="s">
        <v>22983</v>
      </c>
      <c r="E1037">
        <v>26462606</v>
      </c>
    </row>
    <row r="1038" spans="1:5" x14ac:dyDescent="0.15">
      <c r="A1038" t="s">
        <v>23431</v>
      </c>
      <c r="B1038" t="s">
        <v>23433</v>
      </c>
      <c r="C1038">
        <v>2019</v>
      </c>
      <c r="D1038" t="s">
        <v>23444</v>
      </c>
      <c r="E1038" t="s">
        <v>74</v>
      </c>
    </row>
    <row r="1039" spans="1:5" x14ac:dyDescent="0.15">
      <c r="A1039" t="s">
        <v>23860</v>
      </c>
      <c r="B1039" t="s">
        <v>23862</v>
      </c>
      <c r="C1039">
        <v>2020</v>
      </c>
      <c r="D1039" t="s">
        <v>23873</v>
      </c>
      <c r="E1039">
        <v>31469974</v>
      </c>
    </row>
    <row r="1040" spans="1:5" x14ac:dyDescent="0.15">
      <c r="A1040" t="s">
        <v>27404</v>
      </c>
      <c r="B1040" t="s">
        <v>27406</v>
      </c>
      <c r="C1040">
        <v>2013</v>
      </c>
      <c r="D1040" t="s">
        <v>27417</v>
      </c>
      <c r="E1040">
        <v>24235331</v>
      </c>
    </row>
    <row r="1041" spans="1:5" x14ac:dyDescent="0.15">
      <c r="A1041" t="s">
        <v>28980</v>
      </c>
      <c r="B1041" t="s">
        <v>28981</v>
      </c>
      <c r="C1041">
        <v>2005</v>
      </c>
      <c r="D1041" t="s">
        <v>28988</v>
      </c>
      <c r="E1041">
        <v>15534863</v>
      </c>
    </row>
    <row r="1042" spans="1:5" x14ac:dyDescent="0.15">
      <c r="A1042" t="s">
        <v>29086</v>
      </c>
      <c r="B1042" t="s">
        <v>29088</v>
      </c>
      <c r="C1042">
        <v>2015</v>
      </c>
      <c r="D1042" t="s">
        <v>29098</v>
      </c>
      <c r="E1042">
        <v>25824636</v>
      </c>
    </row>
    <row r="1043" spans="1:5" x14ac:dyDescent="0.15">
      <c r="A1043" t="s">
        <v>29953</v>
      </c>
      <c r="B1043" t="s">
        <v>29955</v>
      </c>
      <c r="C1043">
        <v>2017</v>
      </c>
      <c r="D1043" t="s">
        <v>29965</v>
      </c>
      <c r="E1043">
        <v>29312161</v>
      </c>
    </row>
    <row r="1044" spans="1:5" x14ac:dyDescent="0.15">
      <c r="A1044" t="s">
        <v>378</v>
      </c>
      <c r="B1044" t="s">
        <v>380</v>
      </c>
      <c r="C1044">
        <v>2021</v>
      </c>
      <c r="D1044" t="s">
        <v>394</v>
      </c>
      <c r="E1044">
        <v>34450196</v>
      </c>
    </row>
    <row r="1045" spans="1:5" x14ac:dyDescent="0.15">
      <c r="A1045" t="s">
        <v>587</v>
      </c>
      <c r="B1045" t="s">
        <v>589</v>
      </c>
      <c r="C1045">
        <v>2020</v>
      </c>
      <c r="D1045" t="s">
        <v>600</v>
      </c>
      <c r="E1045">
        <v>32363012</v>
      </c>
    </row>
    <row r="1046" spans="1:5" x14ac:dyDescent="0.15">
      <c r="A1046" t="s">
        <v>3630</v>
      </c>
      <c r="B1046" t="s">
        <v>3632</v>
      </c>
      <c r="C1046">
        <v>2019</v>
      </c>
      <c r="D1046" t="s">
        <v>3645</v>
      </c>
      <c r="E1046" t="s">
        <v>74</v>
      </c>
    </row>
    <row r="1047" spans="1:5" x14ac:dyDescent="0.15">
      <c r="A1047" t="s">
        <v>4638</v>
      </c>
      <c r="B1047" t="s">
        <v>4640</v>
      </c>
      <c r="C1047">
        <v>2020</v>
      </c>
      <c r="D1047" t="s">
        <v>4653</v>
      </c>
      <c r="E1047">
        <v>32794300</v>
      </c>
    </row>
    <row r="1048" spans="1:5" x14ac:dyDescent="0.15">
      <c r="A1048" t="s">
        <v>5125</v>
      </c>
      <c r="B1048" t="s">
        <v>5127</v>
      </c>
      <c r="C1048">
        <v>2020</v>
      </c>
      <c r="D1048" t="s">
        <v>5134</v>
      </c>
      <c r="E1048">
        <v>32033114</v>
      </c>
    </row>
    <row r="1049" spans="1:5" x14ac:dyDescent="0.15">
      <c r="A1049" t="s">
        <v>6160</v>
      </c>
      <c r="B1049" t="s">
        <v>6162</v>
      </c>
      <c r="C1049">
        <v>2019</v>
      </c>
      <c r="D1049" t="s">
        <v>6172</v>
      </c>
      <c r="E1049">
        <v>30530119</v>
      </c>
    </row>
    <row r="1050" spans="1:5" x14ac:dyDescent="0.15">
      <c r="A1050" t="s">
        <v>6270</v>
      </c>
      <c r="B1050" t="s">
        <v>6272</v>
      </c>
      <c r="C1050">
        <v>2019</v>
      </c>
      <c r="D1050" t="s">
        <v>6284</v>
      </c>
      <c r="E1050">
        <v>30670543</v>
      </c>
    </row>
    <row r="1051" spans="1:5" x14ac:dyDescent="0.15">
      <c r="A1051" t="s">
        <v>6481</v>
      </c>
      <c r="B1051" t="s">
        <v>6483</v>
      </c>
      <c r="C1051">
        <v>2018</v>
      </c>
      <c r="D1051" t="s">
        <v>6493</v>
      </c>
      <c r="E1051">
        <v>31549028</v>
      </c>
    </row>
    <row r="1052" spans="1:5" x14ac:dyDescent="0.15">
      <c r="A1052" t="s">
        <v>7047</v>
      </c>
      <c r="B1052" t="s">
        <v>7049</v>
      </c>
      <c r="C1052">
        <v>2018</v>
      </c>
      <c r="D1052" t="s">
        <v>7060</v>
      </c>
      <c r="E1052">
        <v>30167966</v>
      </c>
    </row>
    <row r="1053" spans="1:5" x14ac:dyDescent="0.15">
      <c r="A1053" t="s">
        <v>7499</v>
      </c>
      <c r="B1053" t="s">
        <v>7501</v>
      </c>
      <c r="C1053">
        <v>2019</v>
      </c>
      <c r="D1053" t="s">
        <v>7511</v>
      </c>
      <c r="E1053">
        <v>30880979</v>
      </c>
    </row>
    <row r="1054" spans="1:5" x14ac:dyDescent="0.15">
      <c r="A1054" t="s">
        <v>7675</v>
      </c>
      <c r="B1054" t="s">
        <v>7677</v>
      </c>
      <c r="C1054">
        <v>2017</v>
      </c>
      <c r="D1054" t="s">
        <v>7691</v>
      </c>
      <c r="E1054">
        <v>29209124</v>
      </c>
    </row>
    <row r="1055" spans="1:5" x14ac:dyDescent="0.15">
      <c r="A1055" t="s">
        <v>8121</v>
      </c>
      <c r="B1055" t="s">
        <v>8123</v>
      </c>
      <c r="C1055">
        <v>2019</v>
      </c>
      <c r="D1055" t="s">
        <v>8136</v>
      </c>
      <c r="E1055">
        <v>30982221</v>
      </c>
    </row>
    <row r="1056" spans="1:5" x14ac:dyDescent="0.15">
      <c r="A1056" t="s">
        <v>9695</v>
      </c>
      <c r="B1056" t="s">
        <v>9697</v>
      </c>
      <c r="C1056">
        <v>2012</v>
      </c>
      <c r="D1056" t="s">
        <v>9707</v>
      </c>
      <c r="E1056">
        <v>22984881</v>
      </c>
    </row>
    <row r="1057" spans="1:5" x14ac:dyDescent="0.15">
      <c r="A1057" t="s">
        <v>11433</v>
      </c>
      <c r="B1057" t="s">
        <v>11435</v>
      </c>
      <c r="C1057">
        <v>2018</v>
      </c>
      <c r="D1057" t="s">
        <v>11445</v>
      </c>
      <c r="E1057">
        <v>29975106</v>
      </c>
    </row>
    <row r="1058" spans="1:5" x14ac:dyDescent="0.15">
      <c r="A1058" t="s">
        <v>12245</v>
      </c>
      <c r="B1058" t="s">
        <v>12247</v>
      </c>
      <c r="C1058">
        <v>2020</v>
      </c>
      <c r="D1058" t="s">
        <v>12256</v>
      </c>
      <c r="E1058">
        <v>32986505</v>
      </c>
    </row>
    <row r="1059" spans="1:5" x14ac:dyDescent="0.15">
      <c r="A1059" t="s">
        <v>12338</v>
      </c>
      <c r="B1059" t="s">
        <v>12340</v>
      </c>
      <c r="C1059">
        <v>2019</v>
      </c>
      <c r="D1059" t="s">
        <v>12351</v>
      </c>
      <c r="E1059">
        <v>31582907</v>
      </c>
    </row>
    <row r="1060" spans="1:5" x14ac:dyDescent="0.15">
      <c r="A1060" t="s">
        <v>13837</v>
      </c>
      <c r="B1060" t="s">
        <v>13839</v>
      </c>
      <c r="C1060">
        <v>2020</v>
      </c>
      <c r="D1060" t="s">
        <v>13847</v>
      </c>
      <c r="E1060">
        <v>32175535</v>
      </c>
    </row>
    <row r="1061" spans="1:5" x14ac:dyDescent="0.15">
      <c r="A1061" t="s">
        <v>14313</v>
      </c>
      <c r="B1061" t="s">
        <v>14315</v>
      </c>
      <c r="C1061">
        <v>2017</v>
      </c>
      <c r="D1061" t="s">
        <v>14325</v>
      </c>
      <c r="E1061">
        <v>28284851</v>
      </c>
    </row>
    <row r="1062" spans="1:5" x14ac:dyDescent="0.15">
      <c r="A1062" t="s">
        <v>15551</v>
      </c>
      <c r="B1062" t="s">
        <v>15553</v>
      </c>
      <c r="C1062">
        <v>2019</v>
      </c>
      <c r="D1062" t="s">
        <v>15563</v>
      </c>
      <c r="E1062">
        <v>31063814</v>
      </c>
    </row>
    <row r="1063" spans="1:5" x14ac:dyDescent="0.15">
      <c r="A1063" t="s">
        <v>15843</v>
      </c>
      <c r="B1063" t="s">
        <v>15845</v>
      </c>
      <c r="C1063">
        <v>2019</v>
      </c>
      <c r="D1063" t="s">
        <v>15856</v>
      </c>
      <c r="E1063">
        <v>29762232</v>
      </c>
    </row>
    <row r="1064" spans="1:5" x14ac:dyDescent="0.15">
      <c r="A1064" t="s">
        <v>16236</v>
      </c>
      <c r="B1064" t="s">
        <v>16238</v>
      </c>
      <c r="C1064">
        <v>2020</v>
      </c>
      <c r="D1064" t="s">
        <v>16246</v>
      </c>
      <c r="E1064">
        <v>32556367</v>
      </c>
    </row>
    <row r="1065" spans="1:5" x14ac:dyDescent="0.15">
      <c r="A1065" t="s">
        <v>16771</v>
      </c>
      <c r="B1065" t="s">
        <v>16773</v>
      </c>
      <c r="C1065">
        <v>2020</v>
      </c>
      <c r="D1065" t="s">
        <v>16783</v>
      </c>
      <c r="E1065">
        <v>32932883</v>
      </c>
    </row>
    <row r="1066" spans="1:5" x14ac:dyDescent="0.15">
      <c r="A1066" t="s">
        <v>17755</v>
      </c>
      <c r="B1066" t="s">
        <v>17757</v>
      </c>
      <c r="C1066">
        <v>2021</v>
      </c>
      <c r="D1066" t="s">
        <v>17765</v>
      </c>
      <c r="E1066">
        <v>33257182</v>
      </c>
    </row>
    <row r="1067" spans="1:5" x14ac:dyDescent="0.15">
      <c r="A1067" t="s">
        <v>17793</v>
      </c>
      <c r="B1067" t="s">
        <v>17795</v>
      </c>
      <c r="C1067">
        <v>2020</v>
      </c>
      <c r="D1067" t="s">
        <v>17803</v>
      </c>
      <c r="E1067">
        <v>32551501</v>
      </c>
    </row>
    <row r="1068" spans="1:5" x14ac:dyDescent="0.15">
      <c r="A1068" t="s">
        <v>18081</v>
      </c>
      <c r="B1068" t="s">
        <v>18083</v>
      </c>
      <c r="C1068">
        <v>2015</v>
      </c>
      <c r="D1068" t="s">
        <v>18094</v>
      </c>
      <c r="E1068">
        <v>25798073</v>
      </c>
    </row>
    <row r="1069" spans="1:5" x14ac:dyDescent="0.15">
      <c r="A1069" t="s">
        <v>18814</v>
      </c>
      <c r="B1069" t="s">
        <v>18816</v>
      </c>
      <c r="C1069">
        <v>2014</v>
      </c>
      <c r="D1069" t="s">
        <v>18829</v>
      </c>
      <c r="E1069">
        <v>25319134</v>
      </c>
    </row>
    <row r="1070" spans="1:5" x14ac:dyDescent="0.15">
      <c r="A1070" t="s">
        <v>19189</v>
      </c>
      <c r="B1070" t="s">
        <v>19191</v>
      </c>
      <c r="C1070">
        <v>2017</v>
      </c>
      <c r="D1070" t="s">
        <v>19198</v>
      </c>
      <c r="E1070">
        <v>28401635</v>
      </c>
    </row>
    <row r="1071" spans="1:5" x14ac:dyDescent="0.15">
      <c r="A1071" t="s">
        <v>19726</v>
      </c>
      <c r="B1071" t="s">
        <v>19728</v>
      </c>
      <c r="C1071">
        <v>2015</v>
      </c>
      <c r="D1071" t="s">
        <v>19736</v>
      </c>
      <c r="E1071">
        <v>26355701</v>
      </c>
    </row>
    <row r="1072" spans="1:5" x14ac:dyDescent="0.15">
      <c r="A1072" t="s">
        <v>19906</v>
      </c>
      <c r="B1072" t="s">
        <v>19908</v>
      </c>
      <c r="C1072">
        <v>2019</v>
      </c>
      <c r="D1072" t="s">
        <v>19917</v>
      </c>
      <c r="E1072">
        <v>30852462</v>
      </c>
    </row>
    <row r="1073" spans="1:5" x14ac:dyDescent="0.15">
      <c r="A1073" t="s">
        <v>20283</v>
      </c>
      <c r="B1073" t="s">
        <v>20285</v>
      </c>
      <c r="C1073">
        <v>2018</v>
      </c>
      <c r="D1073" t="s">
        <v>20297</v>
      </c>
      <c r="E1073">
        <v>29889592</v>
      </c>
    </row>
    <row r="1074" spans="1:5" x14ac:dyDescent="0.15">
      <c r="A1074" t="s">
        <v>20876</v>
      </c>
      <c r="B1074" t="s">
        <v>20878</v>
      </c>
      <c r="C1074">
        <v>2014</v>
      </c>
      <c r="D1074" t="s">
        <v>20888</v>
      </c>
      <c r="E1074">
        <v>26104461</v>
      </c>
    </row>
    <row r="1075" spans="1:5" x14ac:dyDescent="0.15">
      <c r="A1075" t="s">
        <v>21470</v>
      </c>
      <c r="B1075" t="s">
        <v>21472</v>
      </c>
      <c r="C1075">
        <v>2020</v>
      </c>
      <c r="D1075" t="s">
        <v>21483</v>
      </c>
      <c r="E1075">
        <v>32836016</v>
      </c>
    </row>
    <row r="1076" spans="1:5" x14ac:dyDescent="0.15">
      <c r="A1076" t="s">
        <v>21634</v>
      </c>
      <c r="B1076" t="s">
        <v>21636</v>
      </c>
      <c r="C1076">
        <v>2021</v>
      </c>
      <c r="D1076" t="s">
        <v>21643</v>
      </c>
      <c r="E1076">
        <v>34172725</v>
      </c>
    </row>
    <row r="1077" spans="1:5" x14ac:dyDescent="0.15">
      <c r="A1077" t="s">
        <v>22884</v>
      </c>
      <c r="B1077" t="s">
        <v>22886</v>
      </c>
      <c r="C1077">
        <v>2015</v>
      </c>
      <c r="D1077" t="s">
        <v>22900</v>
      </c>
      <c r="E1077">
        <v>26480919</v>
      </c>
    </row>
    <row r="1078" spans="1:5" x14ac:dyDescent="0.15">
      <c r="A1078" t="s">
        <v>23565</v>
      </c>
      <c r="B1078" t="s">
        <v>23567</v>
      </c>
      <c r="C1078">
        <v>2020</v>
      </c>
      <c r="D1078" t="s">
        <v>23578</v>
      </c>
      <c r="E1078">
        <v>31173389</v>
      </c>
    </row>
    <row r="1079" spans="1:5" x14ac:dyDescent="0.15">
      <c r="A1079" t="s">
        <v>18427</v>
      </c>
      <c r="B1079" t="s">
        <v>24218</v>
      </c>
      <c r="C1079">
        <v>2016</v>
      </c>
      <c r="D1079" t="s">
        <v>24227</v>
      </c>
      <c r="E1079">
        <v>27315018</v>
      </c>
    </row>
    <row r="1080" spans="1:5" x14ac:dyDescent="0.15">
      <c r="A1080" t="s">
        <v>24813</v>
      </c>
      <c r="B1080" t="s">
        <v>24815</v>
      </c>
      <c r="C1080">
        <v>2015</v>
      </c>
      <c r="D1080" t="s">
        <v>24822</v>
      </c>
      <c r="E1080">
        <v>26170381</v>
      </c>
    </row>
    <row r="1081" spans="1:5" x14ac:dyDescent="0.15">
      <c r="A1081" t="s">
        <v>25929</v>
      </c>
      <c r="B1081" t="s">
        <v>25931</v>
      </c>
      <c r="C1081">
        <v>2016</v>
      </c>
      <c r="D1081" t="s">
        <v>25942</v>
      </c>
      <c r="E1081">
        <v>26644180</v>
      </c>
    </row>
    <row r="1082" spans="1:5" x14ac:dyDescent="0.15">
      <c r="A1082" t="s">
        <v>26356</v>
      </c>
      <c r="B1082" t="s">
        <v>26358</v>
      </c>
      <c r="C1082">
        <v>2015</v>
      </c>
      <c r="D1082" t="s">
        <v>26366</v>
      </c>
      <c r="E1082">
        <v>25404700</v>
      </c>
    </row>
    <row r="1083" spans="1:5" x14ac:dyDescent="0.15">
      <c r="A1083" t="s">
        <v>27688</v>
      </c>
      <c r="B1083" t="s">
        <v>27690</v>
      </c>
      <c r="C1083">
        <v>2019</v>
      </c>
      <c r="D1083" t="s">
        <v>27700</v>
      </c>
      <c r="E1083">
        <v>31635338</v>
      </c>
    </row>
    <row r="1084" spans="1:5" x14ac:dyDescent="0.15">
      <c r="A1084" t="s">
        <v>28215</v>
      </c>
      <c r="B1084" t="s">
        <v>28217</v>
      </c>
      <c r="C1084">
        <v>2020</v>
      </c>
      <c r="D1084" t="s">
        <v>28226</v>
      </c>
      <c r="E1084">
        <v>33005912</v>
      </c>
    </row>
    <row r="1085" spans="1:5" x14ac:dyDescent="0.15">
      <c r="A1085" t="s">
        <v>28420</v>
      </c>
      <c r="B1085" t="s">
        <v>28422</v>
      </c>
      <c r="C1085">
        <v>2020</v>
      </c>
      <c r="D1085" t="s">
        <v>28432</v>
      </c>
      <c r="E1085">
        <v>31732191</v>
      </c>
    </row>
    <row r="1086" spans="1:5" x14ac:dyDescent="0.15">
      <c r="A1086" t="s">
        <v>29792</v>
      </c>
      <c r="B1086" t="s">
        <v>29794</v>
      </c>
      <c r="C1086">
        <v>2019</v>
      </c>
      <c r="D1086" t="s">
        <v>29803</v>
      </c>
      <c r="E1086">
        <v>31529964</v>
      </c>
    </row>
    <row r="1087" spans="1:5" x14ac:dyDescent="0.15">
      <c r="A1087" t="s">
        <v>30139</v>
      </c>
      <c r="B1087" t="s">
        <v>30141</v>
      </c>
      <c r="C1087">
        <v>2018</v>
      </c>
      <c r="D1087" t="s">
        <v>30150</v>
      </c>
      <c r="E1087">
        <v>29599122</v>
      </c>
    </row>
    <row r="1088" spans="1:5" x14ac:dyDescent="0.15">
      <c r="A1088" t="s">
        <v>30443</v>
      </c>
      <c r="B1088" t="s">
        <v>30445</v>
      </c>
      <c r="C1088">
        <v>2020</v>
      </c>
      <c r="D1088" t="s">
        <v>30458</v>
      </c>
      <c r="E1088">
        <v>32915353</v>
      </c>
    </row>
    <row r="1089" spans="1:5" x14ac:dyDescent="0.15">
      <c r="A1089" t="s">
        <v>269</v>
      </c>
      <c r="B1089" t="s">
        <v>271</v>
      </c>
      <c r="C1089">
        <v>2020</v>
      </c>
      <c r="D1089" t="s">
        <v>284</v>
      </c>
      <c r="E1089">
        <v>32079252</v>
      </c>
    </row>
    <row r="1090" spans="1:5" x14ac:dyDescent="0.15">
      <c r="A1090" t="s">
        <v>432</v>
      </c>
      <c r="B1090" t="s">
        <v>434</v>
      </c>
      <c r="C1090">
        <v>2020</v>
      </c>
      <c r="D1090" t="s">
        <v>448</v>
      </c>
      <c r="E1090">
        <v>31168963</v>
      </c>
    </row>
    <row r="1091" spans="1:5" x14ac:dyDescent="0.15">
      <c r="A1091" t="s">
        <v>569</v>
      </c>
      <c r="B1091" t="s">
        <v>571</v>
      </c>
      <c r="C1091">
        <v>2015</v>
      </c>
      <c r="D1091" t="s">
        <v>583</v>
      </c>
      <c r="E1091">
        <v>25903528</v>
      </c>
    </row>
    <row r="1092" spans="1:5" x14ac:dyDescent="0.15">
      <c r="A1092" t="s">
        <v>864</v>
      </c>
      <c r="B1092" t="s">
        <v>866</v>
      </c>
      <c r="C1092">
        <v>2020</v>
      </c>
      <c r="D1092" t="s">
        <v>879</v>
      </c>
      <c r="E1092">
        <v>31395428</v>
      </c>
    </row>
    <row r="1093" spans="1:5" x14ac:dyDescent="0.15">
      <c r="A1093" t="s">
        <v>1245</v>
      </c>
      <c r="B1093" t="s">
        <v>1247</v>
      </c>
      <c r="C1093">
        <v>2021</v>
      </c>
      <c r="D1093" t="s">
        <v>1257</v>
      </c>
      <c r="E1093">
        <v>33670900</v>
      </c>
    </row>
    <row r="1094" spans="1:5" x14ac:dyDescent="0.15">
      <c r="A1094" t="s">
        <v>1969</v>
      </c>
      <c r="B1094" t="s">
        <v>1971</v>
      </c>
      <c r="C1094">
        <v>2019</v>
      </c>
      <c r="D1094" t="s">
        <v>1982</v>
      </c>
      <c r="E1094">
        <v>31586864</v>
      </c>
    </row>
    <row r="1095" spans="1:5" x14ac:dyDescent="0.15">
      <c r="A1095" t="s">
        <v>3452</v>
      </c>
      <c r="B1095" t="s">
        <v>3454</v>
      </c>
      <c r="C1095">
        <v>2020</v>
      </c>
      <c r="D1095" t="s">
        <v>3463</v>
      </c>
      <c r="E1095">
        <v>32341768</v>
      </c>
    </row>
    <row r="1096" spans="1:5" x14ac:dyDescent="0.15">
      <c r="A1096" t="s">
        <v>6512</v>
      </c>
      <c r="B1096" t="s">
        <v>6514</v>
      </c>
      <c r="C1096">
        <v>2019</v>
      </c>
      <c r="D1096" t="s">
        <v>6525</v>
      </c>
      <c r="E1096">
        <v>31712780</v>
      </c>
    </row>
    <row r="1097" spans="1:5" x14ac:dyDescent="0.15">
      <c r="A1097" t="s">
        <v>12258</v>
      </c>
      <c r="B1097" t="s">
        <v>12260</v>
      </c>
      <c r="C1097">
        <v>2021</v>
      </c>
      <c r="D1097" t="s">
        <v>12270</v>
      </c>
      <c r="E1097">
        <v>33753455</v>
      </c>
    </row>
    <row r="1098" spans="1:5" x14ac:dyDescent="0.15">
      <c r="A1098" t="s">
        <v>13629</v>
      </c>
      <c r="B1098" t="s">
        <v>13631</v>
      </c>
      <c r="C1098">
        <v>2018</v>
      </c>
      <c r="D1098" t="s">
        <v>13642</v>
      </c>
      <c r="E1098">
        <v>30464758</v>
      </c>
    </row>
    <row r="1099" spans="1:5" x14ac:dyDescent="0.15">
      <c r="A1099" t="s">
        <v>16178</v>
      </c>
      <c r="B1099" t="s">
        <v>16181</v>
      </c>
      <c r="C1099">
        <v>2015</v>
      </c>
      <c r="D1099" t="s">
        <v>16194</v>
      </c>
      <c r="E1099">
        <v>25881291</v>
      </c>
    </row>
    <row r="1100" spans="1:5" x14ac:dyDescent="0.15">
      <c r="A1100" t="s">
        <v>17860</v>
      </c>
      <c r="B1100" t="s">
        <v>17862</v>
      </c>
      <c r="C1100">
        <v>2019</v>
      </c>
      <c r="D1100" t="s">
        <v>17872</v>
      </c>
      <c r="E1100">
        <v>30697539</v>
      </c>
    </row>
    <row r="1101" spans="1:5" x14ac:dyDescent="0.15">
      <c r="A1101" t="s">
        <v>17924</v>
      </c>
      <c r="B1101" t="s">
        <v>17926</v>
      </c>
      <c r="C1101">
        <v>2017</v>
      </c>
      <c r="D1101" t="s">
        <v>17935</v>
      </c>
      <c r="E1101" t="s">
        <v>74</v>
      </c>
    </row>
    <row r="1102" spans="1:5" x14ac:dyDescent="0.15">
      <c r="A1102" t="s">
        <v>18064</v>
      </c>
      <c r="B1102" t="s">
        <v>18066</v>
      </c>
      <c r="C1102">
        <v>2011</v>
      </c>
      <c r="D1102" t="s">
        <v>18078</v>
      </c>
      <c r="E1102">
        <v>20837151</v>
      </c>
    </row>
    <row r="1103" spans="1:5" x14ac:dyDescent="0.15">
      <c r="A1103" t="s">
        <v>18976</v>
      </c>
      <c r="B1103" t="s">
        <v>18978</v>
      </c>
      <c r="C1103">
        <v>2020</v>
      </c>
      <c r="D1103" t="s">
        <v>18992</v>
      </c>
      <c r="E1103">
        <v>32813850</v>
      </c>
    </row>
    <row r="1104" spans="1:5" x14ac:dyDescent="0.15">
      <c r="A1104" t="s">
        <v>21359</v>
      </c>
      <c r="B1104" t="s">
        <v>21361</v>
      </c>
      <c r="C1104">
        <v>2021</v>
      </c>
      <c r="D1104" t="s">
        <v>21372</v>
      </c>
      <c r="E1104">
        <v>34282051</v>
      </c>
    </row>
    <row r="1105" spans="1:5" x14ac:dyDescent="0.15">
      <c r="A1105" t="s">
        <v>23643</v>
      </c>
      <c r="B1105" t="s">
        <v>23644</v>
      </c>
      <c r="C1105">
        <v>1992</v>
      </c>
      <c r="D1105" t="s">
        <v>23652</v>
      </c>
      <c r="E1105">
        <v>1542051</v>
      </c>
    </row>
    <row r="1106" spans="1:5" x14ac:dyDescent="0.15">
      <c r="A1106" t="s">
        <v>24244</v>
      </c>
      <c r="B1106" t="s">
        <v>24246</v>
      </c>
      <c r="C1106">
        <v>2020</v>
      </c>
      <c r="D1106" t="s">
        <v>24256</v>
      </c>
      <c r="E1106" t="s">
        <v>74</v>
      </c>
    </row>
    <row r="1107" spans="1:5" x14ac:dyDescent="0.15">
      <c r="A1107" t="s">
        <v>24678</v>
      </c>
      <c r="B1107" t="s">
        <v>24680</v>
      </c>
      <c r="C1107">
        <v>2018</v>
      </c>
      <c r="D1107" t="s">
        <v>24692</v>
      </c>
      <c r="E1107">
        <v>29559501</v>
      </c>
    </row>
    <row r="1108" spans="1:5" x14ac:dyDescent="0.15">
      <c r="A1108" t="s">
        <v>24866</v>
      </c>
      <c r="B1108" t="s">
        <v>24868</v>
      </c>
      <c r="C1108">
        <v>2019</v>
      </c>
      <c r="D1108" t="s">
        <v>74</v>
      </c>
      <c r="E1108">
        <v>31720082</v>
      </c>
    </row>
    <row r="1109" spans="1:5" x14ac:dyDescent="0.15">
      <c r="A1109" t="s">
        <v>26025</v>
      </c>
      <c r="B1109" t="s">
        <v>26027</v>
      </c>
      <c r="C1109">
        <v>2016</v>
      </c>
      <c r="D1109" t="s">
        <v>26037</v>
      </c>
      <c r="E1109">
        <v>27566577</v>
      </c>
    </row>
    <row r="1110" spans="1:5" x14ac:dyDescent="0.15">
      <c r="A1110" t="s">
        <v>26446</v>
      </c>
      <c r="B1110" t="s">
        <v>26448</v>
      </c>
      <c r="C1110">
        <v>2014</v>
      </c>
      <c r="D1110" t="s">
        <v>26460</v>
      </c>
      <c r="E1110">
        <v>24825433</v>
      </c>
    </row>
    <row r="1111" spans="1:5" x14ac:dyDescent="0.15">
      <c r="A1111" t="s">
        <v>26885</v>
      </c>
      <c r="B1111" t="s">
        <v>26886</v>
      </c>
      <c r="C1111">
        <v>1997</v>
      </c>
      <c r="D1111" t="s">
        <v>26895</v>
      </c>
      <c r="E1111">
        <v>9199770</v>
      </c>
    </row>
    <row r="1112" spans="1:5" x14ac:dyDescent="0.15">
      <c r="A1112" t="s">
        <v>28627</v>
      </c>
      <c r="B1112" t="s">
        <v>28629</v>
      </c>
      <c r="C1112">
        <v>2020</v>
      </c>
      <c r="D1112" t="s">
        <v>28639</v>
      </c>
      <c r="E1112">
        <v>32641054</v>
      </c>
    </row>
    <row r="1113" spans="1:5" x14ac:dyDescent="0.15">
      <c r="A1113" t="s">
        <v>29911</v>
      </c>
      <c r="B1113" t="s">
        <v>29913</v>
      </c>
      <c r="C1113">
        <v>2019</v>
      </c>
      <c r="D1113" t="s">
        <v>29920</v>
      </c>
      <c r="E1113">
        <v>30926566</v>
      </c>
    </row>
    <row r="1114" spans="1:5" x14ac:dyDescent="0.15">
      <c r="A1114" t="s">
        <v>30018</v>
      </c>
      <c r="B1114" t="s">
        <v>30020</v>
      </c>
      <c r="C1114">
        <v>2019</v>
      </c>
      <c r="D1114" t="s">
        <v>30033</v>
      </c>
      <c r="E1114">
        <v>31184791</v>
      </c>
    </row>
    <row r="1115" spans="1:5" x14ac:dyDescent="0.15">
      <c r="A1115" t="s">
        <v>30218</v>
      </c>
      <c r="B1115" t="s">
        <v>30220</v>
      </c>
      <c r="C1115">
        <v>2016</v>
      </c>
      <c r="D1115" t="s">
        <v>30229</v>
      </c>
      <c r="E1115">
        <v>27110565</v>
      </c>
    </row>
    <row r="1116" spans="1:5" x14ac:dyDescent="0.15">
      <c r="A1116" t="s">
        <v>30279</v>
      </c>
      <c r="B1116" t="s">
        <v>30281</v>
      </c>
      <c r="C1116">
        <v>2017</v>
      </c>
      <c r="D1116" t="s">
        <v>30293</v>
      </c>
      <c r="E1116">
        <v>28364326</v>
      </c>
    </row>
    <row r="1117" spans="1:5" x14ac:dyDescent="0.15">
      <c r="A1117" t="s">
        <v>916</v>
      </c>
      <c r="B1117" t="s">
        <v>918</v>
      </c>
      <c r="C1117">
        <v>2018</v>
      </c>
      <c r="D1117" t="s">
        <v>931</v>
      </c>
      <c r="E1117">
        <v>30236130</v>
      </c>
    </row>
    <row r="1118" spans="1:5" x14ac:dyDescent="0.15">
      <c r="A1118" t="s">
        <v>1102</v>
      </c>
      <c r="B1118" t="s">
        <v>1104</v>
      </c>
      <c r="C1118">
        <v>2021</v>
      </c>
      <c r="D1118" t="s">
        <v>1117</v>
      </c>
      <c r="E1118">
        <v>33167250</v>
      </c>
    </row>
    <row r="1119" spans="1:5" x14ac:dyDescent="0.15">
      <c r="A1119" t="s">
        <v>1259</v>
      </c>
      <c r="B1119" t="s">
        <v>1261</v>
      </c>
      <c r="C1119">
        <v>2021</v>
      </c>
      <c r="D1119" t="s">
        <v>1272</v>
      </c>
      <c r="E1119" t="s">
        <v>74</v>
      </c>
    </row>
    <row r="1120" spans="1:5" x14ac:dyDescent="0.15">
      <c r="A1120" t="s">
        <v>1986</v>
      </c>
      <c r="B1120" t="s">
        <v>1989</v>
      </c>
      <c r="C1120">
        <v>2020</v>
      </c>
      <c r="D1120" t="s">
        <v>1999</v>
      </c>
      <c r="E1120">
        <v>31701453</v>
      </c>
    </row>
    <row r="1121" spans="1:5" x14ac:dyDescent="0.15">
      <c r="A1121" t="s">
        <v>3259</v>
      </c>
      <c r="B1121" t="s">
        <v>3261</v>
      </c>
      <c r="C1121">
        <v>2019</v>
      </c>
      <c r="D1121" t="s">
        <v>3271</v>
      </c>
      <c r="E1121">
        <v>30911363</v>
      </c>
    </row>
    <row r="1122" spans="1:5" x14ac:dyDescent="0.15">
      <c r="A1122" t="s">
        <v>3683</v>
      </c>
      <c r="B1122" t="s">
        <v>3685</v>
      </c>
      <c r="C1122">
        <v>2019</v>
      </c>
      <c r="D1122" t="s">
        <v>3695</v>
      </c>
      <c r="E1122">
        <v>31683842</v>
      </c>
    </row>
    <row r="1123" spans="1:5" x14ac:dyDescent="0.15">
      <c r="A1123" t="s">
        <v>4180</v>
      </c>
      <c r="B1123" t="s">
        <v>4182</v>
      </c>
      <c r="C1123">
        <v>2019</v>
      </c>
      <c r="D1123" t="s">
        <v>4194</v>
      </c>
      <c r="E1123">
        <v>30415264</v>
      </c>
    </row>
    <row r="1124" spans="1:5" x14ac:dyDescent="0.15">
      <c r="A1124" t="s">
        <v>4756</v>
      </c>
      <c r="B1124" t="s">
        <v>4758</v>
      </c>
      <c r="C1124">
        <v>2016</v>
      </c>
      <c r="D1124" t="s">
        <v>4766</v>
      </c>
      <c r="E1124">
        <v>27753025</v>
      </c>
    </row>
    <row r="1125" spans="1:5" x14ac:dyDescent="0.15">
      <c r="A1125" t="s">
        <v>5400</v>
      </c>
      <c r="B1125" t="s">
        <v>5402</v>
      </c>
      <c r="C1125">
        <v>2021</v>
      </c>
      <c r="D1125" t="s">
        <v>5412</v>
      </c>
      <c r="E1125">
        <v>33521050</v>
      </c>
    </row>
    <row r="1126" spans="1:5" x14ac:dyDescent="0.15">
      <c r="A1126" t="s">
        <v>7016</v>
      </c>
      <c r="B1126" t="s">
        <v>7018</v>
      </c>
      <c r="C1126">
        <v>2020</v>
      </c>
      <c r="D1126" t="s">
        <v>7031</v>
      </c>
      <c r="E1126">
        <v>32323096</v>
      </c>
    </row>
    <row r="1127" spans="1:5" x14ac:dyDescent="0.15">
      <c r="A1127" t="s">
        <v>7213</v>
      </c>
      <c r="B1127" t="s">
        <v>7215</v>
      </c>
      <c r="C1127">
        <v>2021</v>
      </c>
      <c r="D1127" t="s">
        <v>7225</v>
      </c>
      <c r="E1127">
        <v>33649776</v>
      </c>
    </row>
    <row r="1128" spans="1:5" x14ac:dyDescent="0.15">
      <c r="A1128" t="s">
        <v>8139</v>
      </c>
      <c r="B1128" t="s">
        <v>8141</v>
      </c>
      <c r="C1128">
        <v>2020</v>
      </c>
      <c r="D1128" t="s">
        <v>8150</v>
      </c>
      <c r="E1128">
        <v>32269293</v>
      </c>
    </row>
    <row r="1129" spans="1:5" x14ac:dyDescent="0.15">
      <c r="A1129" t="s">
        <v>8165</v>
      </c>
      <c r="B1129" t="s">
        <v>8167</v>
      </c>
      <c r="C1129">
        <v>2021</v>
      </c>
      <c r="D1129" t="s">
        <v>8181</v>
      </c>
      <c r="E1129">
        <v>34623384</v>
      </c>
    </row>
    <row r="1130" spans="1:5" x14ac:dyDescent="0.15">
      <c r="A1130" t="s">
        <v>9408</v>
      </c>
      <c r="B1130" t="s">
        <v>9410</v>
      </c>
      <c r="C1130">
        <v>2021</v>
      </c>
      <c r="D1130" t="s">
        <v>9419</v>
      </c>
      <c r="E1130" t="s">
        <v>74</v>
      </c>
    </row>
    <row r="1131" spans="1:5" x14ac:dyDescent="0.15">
      <c r="A1131" t="s">
        <v>9962</v>
      </c>
      <c r="B1131" t="s">
        <v>9964</v>
      </c>
      <c r="C1131">
        <v>2021</v>
      </c>
      <c r="D1131" t="s">
        <v>9972</v>
      </c>
      <c r="E1131">
        <v>33711340</v>
      </c>
    </row>
    <row r="1132" spans="1:5" x14ac:dyDescent="0.15">
      <c r="A1132" t="s">
        <v>10062</v>
      </c>
      <c r="B1132" t="s">
        <v>10064</v>
      </c>
      <c r="C1132">
        <v>2021</v>
      </c>
      <c r="D1132" t="s">
        <v>10072</v>
      </c>
      <c r="E1132">
        <v>34369142</v>
      </c>
    </row>
    <row r="1133" spans="1:5" x14ac:dyDescent="0.15">
      <c r="A1133" t="s">
        <v>10230</v>
      </c>
      <c r="B1133" t="s">
        <v>10232</v>
      </c>
      <c r="C1133">
        <v>2019</v>
      </c>
      <c r="D1133" t="s">
        <v>10244</v>
      </c>
      <c r="E1133">
        <v>30703330</v>
      </c>
    </row>
    <row r="1134" spans="1:5" x14ac:dyDescent="0.15">
      <c r="A1134" t="s">
        <v>11134</v>
      </c>
      <c r="B1134" t="s">
        <v>11136</v>
      </c>
      <c r="C1134">
        <v>2014</v>
      </c>
      <c r="D1134" t="s">
        <v>11147</v>
      </c>
      <c r="E1134">
        <v>25472905</v>
      </c>
    </row>
    <row r="1135" spans="1:5" x14ac:dyDescent="0.15">
      <c r="A1135" t="s">
        <v>11422</v>
      </c>
      <c r="B1135" t="s">
        <v>11424</v>
      </c>
      <c r="C1135">
        <v>2020</v>
      </c>
      <c r="D1135" t="s">
        <v>11431</v>
      </c>
      <c r="E1135">
        <v>32765789</v>
      </c>
    </row>
    <row r="1136" spans="1:5" x14ac:dyDescent="0.15">
      <c r="A1136" t="s">
        <v>11486</v>
      </c>
      <c r="B1136" t="s">
        <v>11488</v>
      </c>
      <c r="C1136">
        <v>2016</v>
      </c>
      <c r="D1136" t="s">
        <v>11498</v>
      </c>
      <c r="E1136">
        <v>26859882</v>
      </c>
    </row>
    <row r="1137" spans="1:5" x14ac:dyDescent="0.15">
      <c r="A1137" t="s">
        <v>12087</v>
      </c>
      <c r="B1137" t="s">
        <v>12089</v>
      </c>
      <c r="C1137">
        <v>2022</v>
      </c>
      <c r="D1137" t="s">
        <v>12097</v>
      </c>
      <c r="E1137">
        <v>34793917</v>
      </c>
    </row>
    <row r="1138" spans="1:5" x14ac:dyDescent="0.15">
      <c r="A1138" t="s">
        <v>12203</v>
      </c>
      <c r="B1138" t="s">
        <v>12205</v>
      </c>
      <c r="C1138">
        <v>2021</v>
      </c>
      <c r="D1138" t="s">
        <v>12215</v>
      </c>
      <c r="E1138">
        <v>33494385</v>
      </c>
    </row>
    <row r="1139" spans="1:5" x14ac:dyDescent="0.15">
      <c r="A1139" t="s">
        <v>12353</v>
      </c>
      <c r="B1139" t="s">
        <v>12355</v>
      </c>
      <c r="C1139">
        <v>2018</v>
      </c>
      <c r="D1139" t="s">
        <v>12365</v>
      </c>
      <c r="E1139">
        <v>29727453</v>
      </c>
    </row>
    <row r="1140" spans="1:5" x14ac:dyDescent="0.15">
      <c r="A1140" t="s">
        <v>13011</v>
      </c>
      <c r="B1140" t="s">
        <v>13012</v>
      </c>
      <c r="C1140">
        <v>1995</v>
      </c>
      <c r="D1140" t="s">
        <v>13021</v>
      </c>
      <c r="E1140">
        <v>16887517</v>
      </c>
    </row>
    <row r="1141" spans="1:5" x14ac:dyDescent="0.15">
      <c r="A1141" t="s">
        <v>13176</v>
      </c>
      <c r="B1141" t="s">
        <v>13178</v>
      </c>
      <c r="C1141">
        <v>2020</v>
      </c>
      <c r="D1141" t="s">
        <v>13185</v>
      </c>
      <c r="E1141">
        <v>32309839</v>
      </c>
    </row>
    <row r="1142" spans="1:5" x14ac:dyDescent="0.15">
      <c r="A1142" t="s">
        <v>13460</v>
      </c>
      <c r="B1142" t="s">
        <v>13462</v>
      </c>
      <c r="C1142">
        <v>2019</v>
      </c>
      <c r="D1142" t="s">
        <v>13474</v>
      </c>
      <c r="E1142">
        <v>31728677</v>
      </c>
    </row>
    <row r="1143" spans="1:5" x14ac:dyDescent="0.15">
      <c r="A1143" t="s">
        <v>14655</v>
      </c>
      <c r="B1143" t="s">
        <v>14657</v>
      </c>
      <c r="C1143">
        <v>2020</v>
      </c>
      <c r="D1143" t="s">
        <v>14670</v>
      </c>
      <c r="E1143">
        <v>33239369</v>
      </c>
    </row>
    <row r="1144" spans="1:5" x14ac:dyDescent="0.15">
      <c r="A1144" t="s">
        <v>14701</v>
      </c>
      <c r="B1144" t="s">
        <v>14703</v>
      </c>
      <c r="C1144">
        <v>2020</v>
      </c>
      <c r="D1144" t="s">
        <v>14714</v>
      </c>
      <c r="E1144">
        <v>35025388</v>
      </c>
    </row>
    <row r="1145" spans="1:5" x14ac:dyDescent="0.15">
      <c r="A1145" t="s">
        <v>15594</v>
      </c>
      <c r="B1145" t="s">
        <v>15596</v>
      </c>
      <c r="C1145">
        <v>2020</v>
      </c>
      <c r="D1145" t="s">
        <v>15605</v>
      </c>
      <c r="E1145">
        <v>32293248</v>
      </c>
    </row>
    <row r="1146" spans="1:5" x14ac:dyDescent="0.15">
      <c r="A1146" t="s">
        <v>15766</v>
      </c>
      <c r="B1146" t="s">
        <v>15768</v>
      </c>
      <c r="C1146">
        <v>2020</v>
      </c>
      <c r="D1146" t="s">
        <v>15777</v>
      </c>
      <c r="E1146">
        <v>33376973</v>
      </c>
    </row>
    <row r="1147" spans="1:5" x14ac:dyDescent="0.15">
      <c r="A1147" t="s">
        <v>17577</v>
      </c>
      <c r="B1147" t="s">
        <v>17579</v>
      </c>
      <c r="C1147">
        <v>2020</v>
      </c>
      <c r="D1147" t="s">
        <v>17592</v>
      </c>
      <c r="E1147">
        <v>32105824</v>
      </c>
    </row>
    <row r="1148" spans="1:5" x14ac:dyDescent="0.15">
      <c r="A1148" t="s">
        <v>4871</v>
      </c>
      <c r="B1148" t="s">
        <v>17961</v>
      </c>
      <c r="C1148">
        <v>2018</v>
      </c>
      <c r="D1148" t="s">
        <v>17967</v>
      </c>
      <c r="E1148">
        <v>29655637</v>
      </c>
    </row>
    <row r="1149" spans="1:5" x14ac:dyDescent="0.15">
      <c r="A1149" t="s">
        <v>18152</v>
      </c>
      <c r="B1149" t="s">
        <v>18154</v>
      </c>
      <c r="C1149">
        <v>2016</v>
      </c>
      <c r="D1149" t="s">
        <v>18162</v>
      </c>
      <c r="E1149">
        <v>26959653</v>
      </c>
    </row>
    <row r="1150" spans="1:5" x14ac:dyDescent="0.15">
      <c r="A1150" t="s">
        <v>18566</v>
      </c>
      <c r="B1150" t="s">
        <v>18568</v>
      </c>
      <c r="C1150">
        <v>2020</v>
      </c>
      <c r="D1150" t="s">
        <v>18581</v>
      </c>
      <c r="E1150" t="s">
        <v>74</v>
      </c>
    </row>
    <row r="1151" spans="1:5" x14ac:dyDescent="0.15">
      <c r="A1151" t="s">
        <v>21038</v>
      </c>
      <c r="B1151" t="s">
        <v>21040</v>
      </c>
      <c r="C1151">
        <v>2021</v>
      </c>
      <c r="D1151" t="s">
        <v>21055</v>
      </c>
      <c r="E1151">
        <v>33021603</v>
      </c>
    </row>
    <row r="1152" spans="1:5" x14ac:dyDescent="0.15">
      <c r="A1152" t="s">
        <v>21661</v>
      </c>
      <c r="B1152" t="s">
        <v>21663</v>
      </c>
      <c r="C1152">
        <v>2009</v>
      </c>
      <c r="D1152" t="s">
        <v>21679</v>
      </c>
      <c r="E1152">
        <v>18800367</v>
      </c>
    </row>
    <row r="1153" spans="1:5" x14ac:dyDescent="0.15">
      <c r="A1153" t="s">
        <v>22430</v>
      </c>
      <c r="B1153" t="s">
        <v>22432</v>
      </c>
      <c r="C1153">
        <v>2011</v>
      </c>
      <c r="D1153" t="s">
        <v>22442</v>
      </c>
      <c r="E1153">
        <v>21541969</v>
      </c>
    </row>
    <row r="1154" spans="1:5" x14ac:dyDescent="0.15">
      <c r="A1154" t="s">
        <v>22520</v>
      </c>
      <c r="B1154" t="s">
        <v>22522</v>
      </c>
      <c r="C1154">
        <v>2018</v>
      </c>
      <c r="D1154" t="s">
        <v>22532</v>
      </c>
      <c r="E1154">
        <v>30022183</v>
      </c>
    </row>
    <row r="1155" spans="1:5" x14ac:dyDescent="0.15">
      <c r="A1155" t="s">
        <v>22985</v>
      </c>
      <c r="B1155" t="s">
        <v>22987</v>
      </c>
      <c r="C1155">
        <v>2016</v>
      </c>
      <c r="D1155" t="s">
        <v>22994</v>
      </c>
      <c r="E1155">
        <v>27535473</v>
      </c>
    </row>
    <row r="1156" spans="1:5" x14ac:dyDescent="0.15">
      <c r="A1156" t="s">
        <v>24612</v>
      </c>
      <c r="B1156" t="s">
        <v>24614</v>
      </c>
      <c r="C1156">
        <v>2020</v>
      </c>
      <c r="D1156" t="s">
        <v>24626</v>
      </c>
      <c r="E1156">
        <v>33463158</v>
      </c>
    </row>
    <row r="1157" spans="1:5" x14ac:dyDescent="0.15">
      <c r="A1157" t="s">
        <v>25066</v>
      </c>
      <c r="B1157" t="s">
        <v>25068</v>
      </c>
      <c r="C1157">
        <v>2020</v>
      </c>
      <c r="D1157" t="s">
        <v>25081</v>
      </c>
      <c r="E1157">
        <v>32028208</v>
      </c>
    </row>
    <row r="1158" spans="1:5" x14ac:dyDescent="0.15">
      <c r="A1158" t="s">
        <v>25100</v>
      </c>
      <c r="B1158" t="s">
        <v>25102</v>
      </c>
      <c r="C1158">
        <v>2015</v>
      </c>
      <c r="D1158" t="s">
        <v>25110</v>
      </c>
      <c r="E1158">
        <v>26284422</v>
      </c>
    </row>
    <row r="1159" spans="1:5" x14ac:dyDescent="0.15">
      <c r="A1159" t="s">
        <v>25377</v>
      </c>
      <c r="B1159" t="s">
        <v>25379</v>
      </c>
      <c r="C1159">
        <v>2011</v>
      </c>
      <c r="D1159" t="s">
        <v>25391</v>
      </c>
      <c r="E1159">
        <v>20684017</v>
      </c>
    </row>
    <row r="1160" spans="1:5" x14ac:dyDescent="0.15">
      <c r="A1160" t="s">
        <v>25401</v>
      </c>
      <c r="B1160" t="s">
        <v>25403</v>
      </c>
      <c r="C1160">
        <v>2007</v>
      </c>
      <c r="D1160" t="s">
        <v>25417</v>
      </c>
      <c r="E1160">
        <v>17045761</v>
      </c>
    </row>
    <row r="1161" spans="1:5" x14ac:dyDescent="0.15">
      <c r="A1161" t="s">
        <v>26394</v>
      </c>
      <c r="B1161" t="s">
        <v>26396</v>
      </c>
      <c r="C1161">
        <v>2018</v>
      </c>
      <c r="D1161" t="s">
        <v>26404</v>
      </c>
      <c r="E1161">
        <v>30359531</v>
      </c>
    </row>
    <row r="1162" spans="1:5" x14ac:dyDescent="0.15">
      <c r="A1162" t="s">
        <v>27335</v>
      </c>
      <c r="B1162" t="s">
        <v>27337</v>
      </c>
      <c r="C1162">
        <v>2019</v>
      </c>
      <c r="D1162" t="s">
        <v>27346</v>
      </c>
      <c r="E1162">
        <v>31720646</v>
      </c>
    </row>
    <row r="1163" spans="1:5" x14ac:dyDescent="0.15">
      <c r="A1163" t="s">
        <v>27552</v>
      </c>
      <c r="B1163" t="s">
        <v>27554</v>
      </c>
      <c r="C1163">
        <v>2021</v>
      </c>
      <c r="D1163" t="s">
        <v>27562</v>
      </c>
      <c r="E1163">
        <v>33815662</v>
      </c>
    </row>
    <row r="1164" spans="1:5" x14ac:dyDescent="0.15">
      <c r="A1164" t="s">
        <v>28132</v>
      </c>
      <c r="B1164" t="s">
        <v>28133</v>
      </c>
      <c r="C1164">
        <v>1996</v>
      </c>
      <c r="D1164" t="s">
        <v>28145</v>
      </c>
      <c r="E1164">
        <v>8780242</v>
      </c>
    </row>
    <row r="1165" spans="1:5" x14ac:dyDescent="0.15">
      <c r="A1165" t="s">
        <v>28641</v>
      </c>
      <c r="B1165" t="s">
        <v>28643</v>
      </c>
      <c r="C1165">
        <v>2020</v>
      </c>
      <c r="D1165" t="s">
        <v>28651</v>
      </c>
      <c r="E1165">
        <v>32825548</v>
      </c>
    </row>
    <row r="1166" spans="1:5" x14ac:dyDescent="0.15">
      <c r="A1166" t="s">
        <v>29074</v>
      </c>
      <c r="B1166" t="s">
        <v>29076</v>
      </c>
      <c r="C1166">
        <v>2020</v>
      </c>
      <c r="D1166" t="s">
        <v>29084</v>
      </c>
      <c r="E1166">
        <v>33014799</v>
      </c>
    </row>
    <row r="1167" spans="1:5" x14ac:dyDescent="0.15">
      <c r="A1167" t="s">
        <v>29623</v>
      </c>
      <c r="B1167" t="s">
        <v>29624</v>
      </c>
      <c r="C1167">
        <v>2004</v>
      </c>
      <c r="D1167" t="s">
        <v>74</v>
      </c>
      <c r="E1167">
        <v>15069541</v>
      </c>
    </row>
    <row r="1168" spans="1:5" x14ac:dyDescent="0.15">
      <c r="A1168" t="s">
        <v>535</v>
      </c>
      <c r="B1168" t="s">
        <v>537</v>
      </c>
      <c r="C1168">
        <v>2020</v>
      </c>
      <c r="D1168" t="s">
        <v>550</v>
      </c>
      <c r="E1168">
        <v>32164992</v>
      </c>
    </row>
    <row r="1169" spans="1:5" x14ac:dyDescent="0.15">
      <c r="A1169" t="s">
        <v>1466</v>
      </c>
      <c r="B1169" t="s">
        <v>1468</v>
      </c>
      <c r="C1169">
        <v>2020</v>
      </c>
      <c r="D1169" t="s">
        <v>1478</v>
      </c>
      <c r="E1169">
        <v>32877016</v>
      </c>
    </row>
    <row r="1170" spans="1:5" x14ac:dyDescent="0.15">
      <c r="A1170" t="s">
        <v>1598</v>
      </c>
      <c r="B1170" t="s">
        <v>1600</v>
      </c>
      <c r="C1170">
        <v>2017</v>
      </c>
      <c r="D1170" t="s">
        <v>1609</v>
      </c>
      <c r="E1170">
        <v>28828643</v>
      </c>
    </row>
    <row r="1171" spans="1:5" x14ac:dyDescent="0.15">
      <c r="A1171" t="s">
        <v>1857</v>
      </c>
      <c r="B1171" t="s">
        <v>1859</v>
      </c>
      <c r="C1171">
        <v>2016</v>
      </c>
      <c r="D1171" t="s">
        <v>1872</v>
      </c>
      <c r="E1171">
        <v>26703266</v>
      </c>
    </row>
    <row r="1172" spans="1:5" x14ac:dyDescent="0.15">
      <c r="A1172" t="s">
        <v>2455</v>
      </c>
      <c r="B1172" t="s">
        <v>2457</v>
      </c>
      <c r="C1172">
        <v>2020</v>
      </c>
      <c r="D1172" t="s">
        <v>2471</v>
      </c>
      <c r="E1172">
        <v>32162067</v>
      </c>
    </row>
    <row r="1173" spans="1:5" x14ac:dyDescent="0.15">
      <c r="A1173" t="s">
        <v>3029</v>
      </c>
      <c r="B1173" t="s">
        <v>3031</v>
      </c>
      <c r="C1173">
        <v>2020</v>
      </c>
      <c r="D1173" t="s">
        <v>3044</v>
      </c>
      <c r="E1173">
        <v>32737132</v>
      </c>
    </row>
    <row r="1174" spans="1:5" x14ac:dyDescent="0.15">
      <c r="A1174" t="s">
        <v>3226</v>
      </c>
      <c r="B1174" t="s">
        <v>3228</v>
      </c>
      <c r="C1174">
        <v>2019</v>
      </c>
      <c r="D1174" t="s">
        <v>3239</v>
      </c>
      <c r="E1174">
        <v>31684971</v>
      </c>
    </row>
    <row r="1175" spans="1:5" x14ac:dyDescent="0.15">
      <c r="A1175" t="s">
        <v>4547</v>
      </c>
      <c r="B1175" t="s">
        <v>4549</v>
      </c>
      <c r="C1175">
        <v>2020</v>
      </c>
      <c r="D1175" t="s">
        <v>4560</v>
      </c>
      <c r="E1175">
        <v>33304899</v>
      </c>
    </row>
    <row r="1176" spans="1:5" x14ac:dyDescent="0.15">
      <c r="A1176" t="s">
        <v>5186</v>
      </c>
      <c r="B1176" t="s">
        <v>5188</v>
      </c>
      <c r="C1176">
        <v>2021</v>
      </c>
      <c r="D1176" t="s">
        <v>5199</v>
      </c>
      <c r="E1176">
        <v>34122779</v>
      </c>
    </row>
    <row r="1177" spans="1:5" x14ac:dyDescent="0.15">
      <c r="A1177" t="s">
        <v>6985</v>
      </c>
      <c r="B1177" t="s">
        <v>6987</v>
      </c>
      <c r="C1177">
        <v>2019</v>
      </c>
      <c r="D1177" t="s">
        <v>6998</v>
      </c>
      <c r="E1177">
        <v>30187611</v>
      </c>
    </row>
    <row r="1178" spans="1:5" x14ac:dyDescent="0.15">
      <c r="A1178" t="s">
        <v>7750</v>
      </c>
      <c r="B1178" t="s">
        <v>7752</v>
      </c>
      <c r="C1178">
        <v>2019</v>
      </c>
      <c r="D1178" t="s">
        <v>7764</v>
      </c>
      <c r="E1178">
        <v>31133815</v>
      </c>
    </row>
    <row r="1179" spans="1:5" x14ac:dyDescent="0.15">
      <c r="A1179" t="s">
        <v>7854</v>
      </c>
      <c r="B1179" t="s">
        <v>7856</v>
      </c>
      <c r="C1179">
        <v>2021</v>
      </c>
      <c r="D1179" t="s">
        <v>7864</v>
      </c>
      <c r="E1179">
        <v>33494540</v>
      </c>
    </row>
    <row r="1180" spans="1:5" x14ac:dyDescent="0.15">
      <c r="A1180" t="s">
        <v>7927</v>
      </c>
      <c r="B1180" t="s">
        <v>7929</v>
      </c>
      <c r="C1180">
        <v>2021</v>
      </c>
      <c r="D1180" t="s">
        <v>7939</v>
      </c>
      <c r="E1180">
        <v>34008619</v>
      </c>
    </row>
    <row r="1181" spans="1:5" x14ac:dyDescent="0.15">
      <c r="A1181" t="s">
        <v>9222</v>
      </c>
      <c r="B1181" t="s">
        <v>9225</v>
      </c>
      <c r="C1181">
        <v>2018</v>
      </c>
      <c r="D1181" t="s">
        <v>9235</v>
      </c>
      <c r="E1181">
        <v>29484596</v>
      </c>
    </row>
    <row r="1182" spans="1:5" x14ac:dyDescent="0.15">
      <c r="A1182" t="s">
        <v>9498</v>
      </c>
      <c r="B1182" t="s">
        <v>9500</v>
      </c>
      <c r="C1182">
        <v>2018</v>
      </c>
      <c r="D1182" t="s">
        <v>9513</v>
      </c>
      <c r="E1182">
        <v>28975808</v>
      </c>
    </row>
    <row r="1183" spans="1:5" x14ac:dyDescent="0.15">
      <c r="A1183" t="s">
        <v>10176</v>
      </c>
      <c r="B1183" t="s">
        <v>10178</v>
      </c>
      <c r="C1183">
        <v>2020</v>
      </c>
      <c r="D1183" t="s">
        <v>10189</v>
      </c>
      <c r="E1183">
        <v>32573237</v>
      </c>
    </row>
    <row r="1184" spans="1:5" x14ac:dyDescent="0.15">
      <c r="A1184" t="s">
        <v>11515</v>
      </c>
      <c r="B1184" t="s">
        <v>11517</v>
      </c>
      <c r="C1184">
        <v>2019</v>
      </c>
      <c r="D1184" t="s">
        <v>11530</v>
      </c>
      <c r="E1184">
        <v>30916594</v>
      </c>
    </row>
    <row r="1185" spans="1:5" x14ac:dyDescent="0.15">
      <c r="A1185" t="s">
        <v>11866</v>
      </c>
      <c r="B1185" t="s">
        <v>11868</v>
      </c>
      <c r="C1185">
        <v>2021</v>
      </c>
      <c r="D1185" t="s">
        <v>11876</v>
      </c>
      <c r="E1185">
        <v>33498689</v>
      </c>
    </row>
    <row r="1186" spans="1:5" x14ac:dyDescent="0.15">
      <c r="A1186" t="s">
        <v>11893</v>
      </c>
      <c r="B1186" t="s">
        <v>11895</v>
      </c>
      <c r="C1186">
        <v>2019</v>
      </c>
      <c r="D1186" t="s">
        <v>11906</v>
      </c>
      <c r="E1186">
        <v>31307864</v>
      </c>
    </row>
    <row r="1187" spans="1:5" x14ac:dyDescent="0.15">
      <c r="A1187" t="s">
        <v>12565</v>
      </c>
      <c r="B1187" t="s">
        <v>12567</v>
      </c>
      <c r="C1187">
        <v>2021</v>
      </c>
      <c r="D1187" t="s">
        <v>12576</v>
      </c>
      <c r="E1187">
        <v>33622348</v>
      </c>
    </row>
    <row r="1188" spans="1:5" x14ac:dyDescent="0.15">
      <c r="A1188" t="s">
        <v>13849</v>
      </c>
      <c r="B1188" t="s">
        <v>13851</v>
      </c>
      <c r="C1188">
        <v>2018</v>
      </c>
      <c r="D1188" t="s">
        <v>13858</v>
      </c>
      <c r="E1188">
        <v>30514916</v>
      </c>
    </row>
    <row r="1189" spans="1:5" x14ac:dyDescent="0.15">
      <c r="A1189" t="s">
        <v>15529</v>
      </c>
      <c r="B1189" t="s">
        <v>15531</v>
      </c>
      <c r="C1189">
        <v>2021</v>
      </c>
      <c r="D1189" t="s">
        <v>15539</v>
      </c>
      <c r="E1189">
        <v>32663850</v>
      </c>
    </row>
    <row r="1190" spans="1:5" x14ac:dyDescent="0.15">
      <c r="A1190" t="s">
        <v>15724</v>
      </c>
      <c r="B1190" t="s">
        <v>15727</v>
      </c>
      <c r="C1190">
        <v>2018</v>
      </c>
      <c r="D1190" t="s">
        <v>15737</v>
      </c>
      <c r="E1190">
        <v>30178258</v>
      </c>
    </row>
    <row r="1191" spans="1:5" x14ac:dyDescent="0.15">
      <c r="A1191" t="s">
        <v>15860</v>
      </c>
      <c r="B1191" t="s">
        <v>15862</v>
      </c>
      <c r="C1191">
        <v>2020</v>
      </c>
      <c r="D1191" t="s">
        <v>15871</v>
      </c>
      <c r="E1191">
        <v>32600030</v>
      </c>
    </row>
    <row r="1192" spans="1:5" x14ac:dyDescent="0.15">
      <c r="A1192" t="s">
        <v>16985</v>
      </c>
      <c r="B1192" t="s">
        <v>16987</v>
      </c>
      <c r="C1192">
        <v>2018</v>
      </c>
      <c r="D1192" t="s">
        <v>16994</v>
      </c>
      <c r="E1192">
        <v>29526650</v>
      </c>
    </row>
    <row r="1193" spans="1:5" x14ac:dyDescent="0.15">
      <c r="A1193" t="s">
        <v>19658</v>
      </c>
      <c r="B1193" t="s">
        <v>19660</v>
      </c>
      <c r="C1193">
        <v>2019</v>
      </c>
      <c r="D1193" t="s">
        <v>74</v>
      </c>
      <c r="E1193">
        <v>31808871</v>
      </c>
    </row>
    <row r="1194" spans="1:5" x14ac:dyDescent="0.15">
      <c r="A1194" t="s">
        <v>22101</v>
      </c>
      <c r="B1194" t="s">
        <v>22103</v>
      </c>
      <c r="C1194">
        <v>2020</v>
      </c>
      <c r="D1194" t="s">
        <v>22113</v>
      </c>
      <c r="E1194">
        <v>32982917</v>
      </c>
    </row>
    <row r="1195" spans="1:5" x14ac:dyDescent="0.15">
      <c r="A1195" t="s">
        <v>22870</v>
      </c>
      <c r="B1195" t="s">
        <v>22872</v>
      </c>
      <c r="C1195">
        <v>2017</v>
      </c>
      <c r="D1195" t="s">
        <v>22882</v>
      </c>
      <c r="E1195">
        <v>28009978</v>
      </c>
    </row>
    <row r="1196" spans="1:5" x14ac:dyDescent="0.15">
      <c r="A1196" t="s">
        <v>23020</v>
      </c>
      <c r="B1196" t="s">
        <v>23022</v>
      </c>
      <c r="C1196">
        <v>2018</v>
      </c>
      <c r="D1196" t="s">
        <v>23029</v>
      </c>
      <c r="E1196">
        <v>29291399</v>
      </c>
    </row>
    <row r="1197" spans="1:5" x14ac:dyDescent="0.15">
      <c r="A1197" t="s">
        <v>23459</v>
      </c>
      <c r="B1197" t="s">
        <v>23461</v>
      </c>
      <c r="C1197">
        <v>2020</v>
      </c>
      <c r="D1197" t="s">
        <v>23471</v>
      </c>
      <c r="E1197">
        <v>32941446</v>
      </c>
    </row>
    <row r="1198" spans="1:5" x14ac:dyDescent="0.15">
      <c r="A1198" t="s">
        <v>24258</v>
      </c>
      <c r="B1198" t="s">
        <v>24260</v>
      </c>
      <c r="C1198">
        <v>2015</v>
      </c>
      <c r="D1198" t="s">
        <v>24272</v>
      </c>
      <c r="E1198">
        <v>26347561</v>
      </c>
    </row>
    <row r="1199" spans="1:5" x14ac:dyDescent="0.15">
      <c r="A1199" t="s">
        <v>25875</v>
      </c>
      <c r="B1199" t="s">
        <v>25878</v>
      </c>
      <c r="C1199">
        <v>2018</v>
      </c>
      <c r="D1199" t="s">
        <v>25890</v>
      </c>
      <c r="E1199">
        <v>29110768</v>
      </c>
    </row>
    <row r="1200" spans="1:5" x14ac:dyDescent="0.15">
      <c r="A1200" t="s">
        <v>26269</v>
      </c>
      <c r="B1200" t="s">
        <v>26271</v>
      </c>
      <c r="C1200">
        <v>2012</v>
      </c>
      <c r="D1200" t="s">
        <v>26281</v>
      </c>
      <c r="E1200">
        <v>22874834</v>
      </c>
    </row>
    <row r="1201" spans="1:5" x14ac:dyDescent="0.15">
      <c r="A1201" t="s">
        <v>26540</v>
      </c>
      <c r="B1201" t="s">
        <v>26542</v>
      </c>
      <c r="C1201">
        <v>2015</v>
      </c>
      <c r="D1201" t="s">
        <v>74</v>
      </c>
      <c r="E1201">
        <v>26743283</v>
      </c>
    </row>
    <row r="1202" spans="1:5" x14ac:dyDescent="0.15">
      <c r="A1202" t="s">
        <v>26730</v>
      </c>
      <c r="B1202" t="s">
        <v>26732</v>
      </c>
      <c r="C1202">
        <v>2019</v>
      </c>
      <c r="D1202" t="s">
        <v>26740</v>
      </c>
      <c r="E1202">
        <v>30706075</v>
      </c>
    </row>
    <row r="1203" spans="1:5" x14ac:dyDescent="0.15">
      <c r="A1203" t="s">
        <v>27926</v>
      </c>
      <c r="B1203" t="s">
        <v>27928</v>
      </c>
      <c r="C1203">
        <v>2014</v>
      </c>
      <c r="D1203" t="s">
        <v>27940</v>
      </c>
      <c r="E1203">
        <v>25371090</v>
      </c>
    </row>
    <row r="1204" spans="1:5" x14ac:dyDescent="0.15">
      <c r="A1204" t="s">
        <v>28202</v>
      </c>
      <c r="B1204" t="s">
        <v>28204</v>
      </c>
      <c r="C1204">
        <v>2019</v>
      </c>
      <c r="D1204" t="s">
        <v>28213</v>
      </c>
      <c r="E1204">
        <v>30636419</v>
      </c>
    </row>
    <row r="1205" spans="1:5" x14ac:dyDescent="0.15">
      <c r="A1205" t="s">
        <v>674</v>
      </c>
      <c r="B1205" t="s">
        <v>676</v>
      </c>
      <c r="C1205">
        <v>2021</v>
      </c>
      <c r="D1205" t="s">
        <v>687</v>
      </c>
      <c r="E1205">
        <v>33389284</v>
      </c>
    </row>
    <row r="1206" spans="1:5" x14ac:dyDescent="0.15">
      <c r="A1206" t="s">
        <v>1646</v>
      </c>
      <c r="B1206" t="s">
        <v>1648</v>
      </c>
      <c r="C1206">
        <v>2021</v>
      </c>
      <c r="D1206" t="s">
        <v>1662</v>
      </c>
      <c r="E1206">
        <v>34355908</v>
      </c>
    </row>
    <row r="1207" spans="1:5" x14ac:dyDescent="0.15">
      <c r="A1207" t="s">
        <v>1781</v>
      </c>
      <c r="B1207" t="s">
        <v>1783</v>
      </c>
      <c r="C1207">
        <v>2020</v>
      </c>
      <c r="D1207" t="s">
        <v>1793</v>
      </c>
      <c r="E1207">
        <v>32341769</v>
      </c>
    </row>
    <row r="1208" spans="1:5" x14ac:dyDescent="0.15">
      <c r="A1208" t="s">
        <v>1824</v>
      </c>
      <c r="B1208" t="s">
        <v>1826</v>
      </c>
      <c r="C1208">
        <v>2019</v>
      </c>
      <c r="D1208" t="s">
        <v>1837</v>
      </c>
      <c r="E1208">
        <v>31362387</v>
      </c>
    </row>
    <row r="1209" spans="1:5" x14ac:dyDescent="0.15">
      <c r="A1209" t="s">
        <v>1874</v>
      </c>
      <c r="B1209" t="s">
        <v>1876</v>
      </c>
      <c r="C1209">
        <v>2020</v>
      </c>
      <c r="D1209" t="s">
        <v>1887</v>
      </c>
      <c r="E1209">
        <v>32782600</v>
      </c>
    </row>
    <row r="1210" spans="1:5" x14ac:dyDescent="0.15">
      <c r="A1210" t="s">
        <v>3118</v>
      </c>
      <c r="B1210" t="s">
        <v>3120</v>
      </c>
      <c r="C1210">
        <v>2020</v>
      </c>
      <c r="D1210" t="s">
        <v>3131</v>
      </c>
      <c r="E1210">
        <v>31585894</v>
      </c>
    </row>
    <row r="1211" spans="1:5" x14ac:dyDescent="0.15">
      <c r="A1211" t="s">
        <v>3348</v>
      </c>
      <c r="B1211" t="s">
        <v>3350</v>
      </c>
      <c r="C1211">
        <v>2008</v>
      </c>
      <c r="D1211" t="s">
        <v>3361</v>
      </c>
      <c r="E1211">
        <v>18074206</v>
      </c>
    </row>
    <row r="1212" spans="1:5" x14ac:dyDescent="0.15">
      <c r="A1212" t="s">
        <v>3364</v>
      </c>
      <c r="B1212" t="s">
        <v>3366</v>
      </c>
      <c r="C1212">
        <v>2019</v>
      </c>
      <c r="D1212" t="s">
        <v>3375</v>
      </c>
      <c r="E1212" t="s">
        <v>74</v>
      </c>
    </row>
    <row r="1213" spans="1:5" x14ac:dyDescent="0.15">
      <c r="A1213" t="s">
        <v>3965</v>
      </c>
      <c r="B1213" t="s">
        <v>3967</v>
      </c>
      <c r="C1213">
        <v>2015</v>
      </c>
      <c r="D1213" t="s">
        <v>3980</v>
      </c>
      <c r="E1213">
        <v>26150337</v>
      </c>
    </row>
    <row r="1214" spans="1:5" x14ac:dyDescent="0.15">
      <c r="A1214" t="s">
        <v>4197</v>
      </c>
      <c r="B1214" t="s">
        <v>4199</v>
      </c>
      <c r="C1214">
        <v>2018</v>
      </c>
      <c r="D1214" t="s">
        <v>4212</v>
      </c>
      <c r="E1214">
        <v>29851284</v>
      </c>
    </row>
    <row r="1215" spans="1:5" x14ac:dyDescent="0.15">
      <c r="A1215" t="s">
        <v>5170</v>
      </c>
      <c r="B1215" t="s">
        <v>5172</v>
      </c>
      <c r="C1215">
        <v>2019</v>
      </c>
      <c r="D1215" t="s">
        <v>5184</v>
      </c>
      <c r="E1215">
        <v>31921310</v>
      </c>
    </row>
    <row r="1216" spans="1:5" x14ac:dyDescent="0.15">
      <c r="A1216" t="s">
        <v>5442</v>
      </c>
      <c r="B1216" t="s">
        <v>5444</v>
      </c>
      <c r="C1216">
        <v>2019</v>
      </c>
      <c r="D1216" t="s">
        <v>5452</v>
      </c>
      <c r="E1216">
        <v>31454892</v>
      </c>
    </row>
    <row r="1217" spans="1:5" x14ac:dyDescent="0.15">
      <c r="A1217" t="s">
        <v>6527</v>
      </c>
      <c r="B1217" t="s">
        <v>6529</v>
      </c>
      <c r="C1217">
        <v>2021</v>
      </c>
      <c r="D1217" t="s">
        <v>6541</v>
      </c>
      <c r="E1217">
        <v>33994784</v>
      </c>
    </row>
    <row r="1218" spans="1:5" x14ac:dyDescent="0.15">
      <c r="A1218" t="s">
        <v>6695</v>
      </c>
      <c r="B1218" t="s">
        <v>6697</v>
      </c>
      <c r="C1218">
        <v>2020</v>
      </c>
      <c r="D1218" t="s">
        <v>6709</v>
      </c>
      <c r="E1218">
        <v>32980480</v>
      </c>
    </row>
    <row r="1219" spans="1:5" x14ac:dyDescent="0.15">
      <c r="A1219" t="s">
        <v>6760</v>
      </c>
      <c r="B1219" t="s">
        <v>6762</v>
      </c>
      <c r="C1219">
        <v>2020</v>
      </c>
      <c r="D1219" t="s">
        <v>6772</v>
      </c>
      <c r="E1219">
        <v>33007940</v>
      </c>
    </row>
    <row r="1220" spans="1:5" x14ac:dyDescent="0.15">
      <c r="A1220" t="s">
        <v>6898</v>
      </c>
      <c r="B1220" t="s">
        <v>6900</v>
      </c>
      <c r="C1220">
        <v>2020</v>
      </c>
      <c r="D1220" t="s">
        <v>6913</v>
      </c>
      <c r="E1220">
        <v>32062572</v>
      </c>
    </row>
    <row r="1221" spans="1:5" x14ac:dyDescent="0.15">
      <c r="A1221" t="s">
        <v>7455</v>
      </c>
      <c r="B1221" t="s">
        <v>7457</v>
      </c>
      <c r="C1221">
        <v>2017</v>
      </c>
      <c r="D1221" t="s">
        <v>7469</v>
      </c>
      <c r="E1221">
        <v>28088446</v>
      </c>
    </row>
    <row r="1222" spans="1:5" x14ac:dyDescent="0.15">
      <c r="A1222" t="s">
        <v>7866</v>
      </c>
      <c r="B1222" t="s">
        <v>7868</v>
      </c>
      <c r="C1222">
        <v>2020</v>
      </c>
      <c r="D1222" t="s">
        <v>7876</v>
      </c>
      <c r="E1222">
        <v>32603586</v>
      </c>
    </row>
    <row r="1223" spans="1:5" x14ac:dyDescent="0.15">
      <c r="A1223" t="s">
        <v>9568</v>
      </c>
      <c r="B1223" t="s">
        <v>9570</v>
      </c>
      <c r="C1223">
        <v>2021</v>
      </c>
      <c r="D1223" t="s">
        <v>9580</v>
      </c>
      <c r="E1223">
        <v>34445438</v>
      </c>
    </row>
    <row r="1224" spans="1:5" x14ac:dyDescent="0.15">
      <c r="A1224" t="s">
        <v>9806</v>
      </c>
      <c r="B1224" t="s">
        <v>9808</v>
      </c>
      <c r="C1224">
        <v>2020</v>
      </c>
      <c r="D1224" t="s">
        <v>9817</v>
      </c>
      <c r="E1224">
        <v>32444772</v>
      </c>
    </row>
    <row r="1225" spans="1:5" x14ac:dyDescent="0.15">
      <c r="A1225" t="s">
        <v>10386</v>
      </c>
      <c r="B1225" t="s">
        <v>10388</v>
      </c>
      <c r="C1225">
        <v>2021</v>
      </c>
      <c r="D1225" t="s">
        <v>10397</v>
      </c>
      <c r="E1225">
        <v>33580122</v>
      </c>
    </row>
    <row r="1226" spans="1:5" x14ac:dyDescent="0.15">
      <c r="A1226" t="s">
        <v>11194</v>
      </c>
      <c r="B1226" t="s">
        <v>11196</v>
      </c>
      <c r="C1226">
        <v>2020</v>
      </c>
      <c r="D1226" t="s">
        <v>11207</v>
      </c>
      <c r="E1226">
        <v>33117407</v>
      </c>
    </row>
    <row r="1227" spans="1:5" x14ac:dyDescent="0.15">
      <c r="A1227" t="s">
        <v>12733</v>
      </c>
      <c r="B1227" t="s">
        <v>12735</v>
      </c>
      <c r="C1227">
        <v>2021</v>
      </c>
      <c r="D1227" t="s">
        <v>12744</v>
      </c>
      <c r="E1227">
        <v>33903726</v>
      </c>
    </row>
    <row r="1228" spans="1:5" x14ac:dyDescent="0.15">
      <c r="A1228" t="s">
        <v>12905</v>
      </c>
      <c r="B1228" t="s">
        <v>12907</v>
      </c>
      <c r="C1228">
        <v>2019</v>
      </c>
      <c r="D1228" t="s">
        <v>12917</v>
      </c>
      <c r="E1228">
        <v>31466323</v>
      </c>
    </row>
    <row r="1229" spans="1:5" x14ac:dyDescent="0.15">
      <c r="A1229" t="s">
        <v>12933</v>
      </c>
      <c r="B1229" t="s">
        <v>12935</v>
      </c>
      <c r="C1229">
        <v>2021</v>
      </c>
      <c r="D1229" t="s">
        <v>12948</v>
      </c>
      <c r="E1229">
        <v>33007464</v>
      </c>
    </row>
    <row r="1230" spans="1:5" x14ac:dyDescent="0.15">
      <c r="A1230" t="s">
        <v>13245</v>
      </c>
      <c r="B1230" t="s">
        <v>13247</v>
      </c>
      <c r="C1230">
        <v>2019</v>
      </c>
      <c r="D1230" t="s">
        <v>13255</v>
      </c>
      <c r="E1230">
        <v>31371728</v>
      </c>
    </row>
    <row r="1231" spans="1:5" x14ac:dyDescent="0.15">
      <c r="A1231" t="s">
        <v>13351</v>
      </c>
      <c r="B1231" t="s">
        <v>13353</v>
      </c>
      <c r="C1231">
        <v>2018</v>
      </c>
      <c r="D1231" t="s">
        <v>13362</v>
      </c>
      <c r="E1231">
        <v>30501880</v>
      </c>
    </row>
    <row r="1232" spans="1:5" x14ac:dyDescent="0.15">
      <c r="A1232" t="s">
        <v>14682</v>
      </c>
      <c r="B1232" t="s">
        <v>14684</v>
      </c>
      <c r="C1232">
        <v>2013</v>
      </c>
      <c r="D1232" t="s">
        <v>14697</v>
      </c>
      <c r="E1232">
        <v>23755885</v>
      </c>
    </row>
    <row r="1233" spans="1:5" x14ac:dyDescent="0.15">
      <c r="A1233" t="s">
        <v>14753</v>
      </c>
      <c r="B1233" t="s">
        <v>14755</v>
      </c>
      <c r="C1233">
        <v>2020</v>
      </c>
      <c r="D1233" t="s">
        <v>14763</v>
      </c>
      <c r="E1233">
        <v>33311558</v>
      </c>
    </row>
    <row r="1234" spans="1:5" x14ac:dyDescent="0.15">
      <c r="A1234" t="s">
        <v>14795</v>
      </c>
      <c r="B1234" t="s">
        <v>14797</v>
      </c>
      <c r="C1234">
        <v>2018</v>
      </c>
      <c r="D1234" t="s">
        <v>14807</v>
      </c>
      <c r="E1234" t="s">
        <v>74</v>
      </c>
    </row>
    <row r="1235" spans="1:5" x14ac:dyDescent="0.15">
      <c r="A1235" t="s">
        <v>15451</v>
      </c>
      <c r="B1235" t="s">
        <v>15453</v>
      </c>
      <c r="C1235">
        <v>2019</v>
      </c>
      <c r="D1235" t="s">
        <v>15463</v>
      </c>
      <c r="E1235">
        <v>30847303</v>
      </c>
    </row>
    <row r="1236" spans="1:5" x14ac:dyDescent="0.15">
      <c r="A1236" t="s">
        <v>15491</v>
      </c>
      <c r="B1236" t="s">
        <v>15493</v>
      </c>
      <c r="C1236">
        <v>2020</v>
      </c>
      <c r="D1236" t="s">
        <v>15503</v>
      </c>
      <c r="E1236">
        <v>33114410</v>
      </c>
    </row>
    <row r="1237" spans="1:5" x14ac:dyDescent="0.15">
      <c r="A1237" t="s">
        <v>15505</v>
      </c>
      <c r="B1237" t="s">
        <v>15507</v>
      </c>
      <c r="C1237">
        <v>2019</v>
      </c>
      <c r="D1237" t="s">
        <v>15515</v>
      </c>
      <c r="E1237">
        <v>30597256</v>
      </c>
    </row>
    <row r="1238" spans="1:5" x14ac:dyDescent="0.15">
      <c r="A1238" t="s">
        <v>16167</v>
      </c>
      <c r="B1238" t="s">
        <v>16169</v>
      </c>
      <c r="C1238">
        <v>2021</v>
      </c>
      <c r="D1238" t="s">
        <v>16176</v>
      </c>
      <c r="E1238">
        <v>34351331</v>
      </c>
    </row>
    <row r="1239" spans="1:5" x14ac:dyDescent="0.15">
      <c r="A1239" t="s">
        <v>16617</v>
      </c>
      <c r="B1239" t="s">
        <v>16619</v>
      </c>
      <c r="C1239">
        <v>2021</v>
      </c>
      <c r="D1239" t="s">
        <v>16626</v>
      </c>
      <c r="E1239">
        <v>34667108</v>
      </c>
    </row>
    <row r="1240" spans="1:5" x14ac:dyDescent="0.15">
      <c r="A1240" t="s">
        <v>16759</v>
      </c>
      <c r="B1240" t="s">
        <v>16761</v>
      </c>
      <c r="C1240">
        <v>2021</v>
      </c>
      <c r="D1240" t="s">
        <v>16769</v>
      </c>
      <c r="E1240">
        <v>35424452</v>
      </c>
    </row>
    <row r="1241" spans="1:5" x14ac:dyDescent="0.15">
      <c r="A1241" t="s">
        <v>16968</v>
      </c>
      <c r="B1241" t="s">
        <v>16970</v>
      </c>
      <c r="C1241">
        <v>2020</v>
      </c>
      <c r="D1241" t="s">
        <v>16982</v>
      </c>
      <c r="E1241">
        <v>32602227</v>
      </c>
    </row>
    <row r="1242" spans="1:5" x14ac:dyDescent="0.15">
      <c r="A1242" t="s">
        <v>17176</v>
      </c>
      <c r="B1242" t="s">
        <v>17178</v>
      </c>
      <c r="C1242">
        <v>2020</v>
      </c>
      <c r="D1242" t="s">
        <v>17186</v>
      </c>
      <c r="E1242">
        <v>31942243</v>
      </c>
    </row>
    <row r="1243" spans="1:5" x14ac:dyDescent="0.15">
      <c r="A1243" t="s">
        <v>17466</v>
      </c>
      <c r="B1243" t="s">
        <v>17468</v>
      </c>
      <c r="C1243" t="s">
        <v>74</v>
      </c>
      <c r="D1243" t="s">
        <v>17480</v>
      </c>
      <c r="E1243">
        <v>32386350</v>
      </c>
    </row>
    <row r="1244" spans="1:5" x14ac:dyDescent="0.15">
      <c r="A1244" t="s">
        <v>17909</v>
      </c>
      <c r="B1244" t="s">
        <v>17911</v>
      </c>
      <c r="C1244">
        <v>2017</v>
      </c>
      <c r="D1244" t="s">
        <v>17922</v>
      </c>
      <c r="E1244">
        <v>29222696</v>
      </c>
    </row>
    <row r="1245" spans="1:5" x14ac:dyDescent="0.15">
      <c r="A1245" t="s">
        <v>18678</v>
      </c>
      <c r="B1245" t="s">
        <v>18680</v>
      </c>
      <c r="C1245">
        <v>2020</v>
      </c>
      <c r="D1245" t="s">
        <v>18688</v>
      </c>
      <c r="E1245">
        <v>33190594</v>
      </c>
    </row>
    <row r="1246" spans="1:5" x14ac:dyDescent="0.15">
      <c r="A1246" t="s">
        <v>19238</v>
      </c>
      <c r="B1246" t="s">
        <v>19241</v>
      </c>
      <c r="C1246">
        <v>2018</v>
      </c>
      <c r="D1246" t="s">
        <v>19250</v>
      </c>
      <c r="E1246" t="s">
        <v>74</v>
      </c>
    </row>
    <row r="1247" spans="1:5" x14ac:dyDescent="0.15">
      <c r="A1247" t="s">
        <v>20773</v>
      </c>
      <c r="B1247" t="s">
        <v>20775</v>
      </c>
      <c r="C1247">
        <v>2015</v>
      </c>
      <c r="D1247" t="s">
        <v>20786</v>
      </c>
      <c r="E1247">
        <v>26486140</v>
      </c>
    </row>
    <row r="1248" spans="1:5" x14ac:dyDescent="0.15">
      <c r="A1248" t="s">
        <v>20844</v>
      </c>
      <c r="B1248" t="s">
        <v>20846</v>
      </c>
      <c r="C1248">
        <v>2014</v>
      </c>
      <c r="D1248" t="s">
        <v>20856</v>
      </c>
      <c r="E1248">
        <v>24164173</v>
      </c>
    </row>
    <row r="1249" spans="1:5" x14ac:dyDescent="0.15">
      <c r="A1249" t="s">
        <v>24469</v>
      </c>
      <c r="B1249" t="s">
        <v>24471</v>
      </c>
      <c r="C1249">
        <v>2017</v>
      </c>
      <c r="D1249" t="s">
        <v>24481</v>
      </c>
      <c r="E1249">
        <v>27976581</v>
      </c>
    </row>
    <row r="1250" spans="1:5" x14ac:dyDescent="0.15">
      <c r="A1250" t="s">
        <v>24889</v>
      </c>
      <c r="B1250" t="s">
        <v>24891</v>
      </c>
      <c r="C1250">
        <v>2021</v>
      </c>
      <c r="D1250" t="s">
        <v>24900</v>
      </c>
      <c r="E1250">
        <v>34464838</v>
      </c>
    </row>
    <row r="1251" spans="1:5" x14ac:dyDescent="0.15">
      <c r="A1251" t="s">
        <v>24990</v>
      </c>
      <c r="B1251" t="s">
        <v>24992</v>
      </c>
      <c r="C1251">
        <v>2017</v>
      </c>
      <c r="D1251" t="s">
        <v>25001</v>
      </c>
      <c r="E1251">
        <v>28446531</v>
      </c>
    </row>
    <row r="1252" spans="1:5" x14ac:dyDescent="0.15">
      <c r="A1252" t="s">
        <v>25535</v>
      </c>
      <c r="B1252" t="s">
        <v>25537</v>
      </c>
      <c r="C1252">
        <v>2018</v>
      </c>
      <c r="D1252" t="s">
        <v>25549</v>
      </c>
      <c r="E1252">
        <v>29649119</v>
      </c>
    </row>
    <row r="1253" spans="1:5" x14ac:dyDescent="0.15">
      <c r="A1253" t="s">
        <v>26706</v>
      </c>
      <c r="B1253" t="s">
        <v>26708</v>
      </c>
      <c r="C1253">
        <v>2017</v>
      </c>
      <c r="D1253" t="s">
        <v>26716</v>
      </c>
      <c r="E1253">
        <v>27792877</v>
      </c>
    </row>
    <row r="1254" spans="1:5" x14ac:dyDescent="0.15">
      <c r="A1254" t="s">
        <v>28364</v>
      </c>
      <c r="B1254" t="s">
        <v>28366</v>
      </c>
      <c r="C1254">
        <v>2016</v>
      </c>
      <c r="D1254" t="s">
        <v>28377</v>
      </c>
      <c r="E1254">
        <v>27835864</v>
      </c>
    </row>
    <row r="1255" spans="1:5" x14ac:dyDescent="0.15">
      <c r="A1255" t="s">
        <v>29334</v>
      </c>
      <c r="B1255" t="s">
        <v>29337</v>
      </c>
      <c r="C1255">
        <v>2020</v>
      </c>
      <c r="D1255" t="s">
        <v>29344</v>
      </c>
      <c r="E1255" t="s">
        <v>74</v>
      </c>
    </row>
    <row r="1256" spans="1:5" x14ac:dyDescent="0.15">
      <c r="A1256" t="s">
        <v>29480</v>
      </c>
      <c r="B1256" t="s">
        <v>29482</v>
      </c>
      <c r="C1256">
        <v>2020</v>
      </c>
      <c r="D1256" t="s">
        <v>29491</v>
      </c>
      <c r="E1256">
        <v>32637402</v>
      </c>
    </row>
    <row r="1257" spans="1:5" x14ac:dyDescent="0.15">
      <c r="A1257" t="s">
        <v>30406</v>
      </c>
      <c r="B1257" t="s">
        <v>30409</v>
      </c>
      <c r="C1257">
        <v>2018</v>
      </c>
      <c r="D1257" t="s">
        <v>30423</v>
      </c>
      <c r="E1257">
        <v>29063484</v>
      </c>
    </row>
    <row r="1258" spans="1:5" x14ac:dyDescent="0.15">
      <c r="A1258" t="s">
        <v>155</v>
      </c>
      <c r="B1258" t="s">
        <v>157</v>
      </c>
      <c r="C1258">
        <v>2019</v>
      </c>
      <c r="D1258" t="s">
        <v>171</v>
      </c>
      <c r="E1258">
        <v>30542983</v>
      </c>
    </row>
    <row r="1259" spans="1:5" x14ac:dyDescent="0.15">
      <c r="A1259" t="s">
        <v>1277</v>
      </c>
      <c r="B1259" t="s">
        <v>1279</v>
      </c>
      <c r="C1259">
        <v>2021</v>
      </c>
      <c r="D1259" t="s">
        <v>1290</v>
      </c>
      <c r="E1259">
        <v>33643547</v>
      </c>
    </row>
    <row r="1260" spans="1:5" x14ac:dyDescent="0.15">
      <c r="A1260" t="s">
        <v>2261</v>
      </c>
      <c r="B1260" t="s">
        <v>2263</v>
      </c>
      <c r="C1260">
        <v>2016</v>
      </c>
      <c r="D1260" t="s">
        <v>2274</v>
      </c>
      <c r="E1260" t="s">
        <v>74</v>
      </c>
    </row>
    <row r="1261" spans="1:5" x14ac:dyDescent="0.15">
      <c r="A1261" t="s">
        <v>2739</v>
      </c>
      <c r="B1261" t="s">
        <v>2741</v>
      </c>
      <c r="C1261">
        <v>2020</v>
      </c>
      <c r="D1261" t="s">
        <v>2755</v>
      </c>
      <c r="E1261">
        <v>32975947</v>
      </c>
    </row>
    <row r="1262" spans="1:5" x14ac:dyDescent="0.15">
      <c r="A1262" t="s">
        <v>3793</v>
      </c>
      <c r="B1262" t="s">
        <v>3795</v>
      </c>
      <c r="C1262">
        <v>2021</v>
      </c>
      <c r="D1262" t="s">
        <v>3809</v>
      </c>
      <c r="E1262">
        <v>34104945</v>
      </c>
    </row>
    <row r="1263" spans="1:5" x14ac:dyDescent="0.15">
      <c r="A1263" t="s">
        <v>3847</v>
      </c>
      <c r="B1263" t="s">
        <v>3849</v>
      </c>
      <c r="C1263">
        <v>2020</v>
      </c>
      <c r="D1263" t="s">
        <v>3859</v>
      </c>
      <c r="E1263">
        <v>32731547</v>
      </c>
    </row>
    <row r="1264" spans="1:5" x14ac:dyDescent="0.15">
      <c r="A1264" t="s">
        <v>4466</v>
      </c>
      <c r="B1264" t="s">
        <v>4468</v>
      </c>
      <c r="C1264">
        <v>2021</v>
      </c>
      <c r="D1264" t="s">
        <v>4481</v>
      </c>
      <c r="E1264">
        <v>34309083</v>
      </c>
    </row>
    <row r="1265" spans="1:5" x14ac:dyDescent="0.15">
      <c r="A1265" t="s">
        <v>4626</v>
      </c>
      <c r="B1265" t="s">
        <v>4628</v>
      </c>
      <c r="C1265">
        <v>2021</v>
      </c>
      <c r="D1265" t="s">
        <v>4636</v>
      </c>
      <c r="E1265">
        <v>33801459</v>
      </c>
    </row>
    <row r="1266" spans="1:5" x14ac:dyDescent="0.15">
      <c r="A1266" t="s">
        <v>4729</v>
      </c>
      <c r="B1266" t="s">
        <v>4731</v>
      </c>
      <c r="C1266">
        <v>2016</v>
      </c>
      <c r="D1266" t="s">
        <v>4740</v>
      </c>
      <c r="E1266">
        <v>26921248</v>
      </c>
    </row>
    <row r="1267" spans="1:5" x14ac:dyDescent="0.15">
      <c r="A1267" t="s">
        <v>5763</v>
      </c>
      <c r="B1267" t="s">
        <v>5765</v>
      </c>
      <c r="C1267">
        <v>2021</v>
      </c>
      <c r="D1267" t="s">
        <v>5775</v>
      </c>
      <c r="E1267">
        <v>33776967</v>
      </c>
    </row>
    <row r="1268" spans="1:5" x14ac:dyDescent="0.15">
      <c r="A1268" t="s">
        <v>5857</v>
      </c>
      <c r="B1268" t="s">
        <v>5859</v>
      </c>
      <c r="C1268">
        <v>2020</v>
      </c>
      <c r="D1268" t="s">
        <v>5870</v>
      </c>
      <c r="E1268">
        <v>32962683</v>
      </c>
    </row>
    <row r="1269" spans="1:5" x14ac:dyDescent="0.15">
      <c r="A1269" t="s">
        <v>5916</v>
      </c>
      <c r="B1269" t="s">
        <v>5918</v>
      </c>
      <c r="C1269">
        <v>2018</v>
      </c>
      <c r="D1269" t="s">
        <v>5930</v>
      </c>
      <c r="E1269">
        <v>29491222</v>
      </c>
    </row>
    <row r="1270" spans="1:5" x14ac:dyDescent="0.15">
      <c r="A1270" t="s">
        <v>5982</v>
      </c>
      <c r="B1270" t="s">
        <v>5984</v>
      </c>
      <c r="C1270">
        <v>2016</v>
      </c>
      <c r="D1270" t="s">
        <v>5993</v>
      </c>
      <c r="E1270">
        <v>27434143</v>
      </c>
    </row>
    <row r="1271" spans="1:5" x14ac:dyDescent="0.15">
      <c r="A1271" t="s">
        <v>6068</v>
      </c>
      <c r="B1271" t="s">
        <v>6070</v>
      </c>
      <c r="C1271">
        <v>2020</v>
      </c>
      <c r="D1271" t="s">
        <v>6077</v>
      </c>
      <c r="E1271">
        <v>33070859</v>
      </c>
    </row>
    <row r="1272" spans="1:5" x14ac:dyDescent="0.15">
      <c r="A1272" t="s">
        <v>6641</v>
      </c>
      <c r="B1272" t="s">
        <v>6643</v>
      </c>
      <c r="C1272">
        <v>2021</v>
      </c>
      <c r="D1272" t="s">
        <v>6651</v>
      </c>
      <c r="E1272">
        <v>33897894</v>
      </c>
    </row>
    <row r="1273" spans="1:5" x14ac:dyDescent="0.15">
      <c r="A1273" t="s">
        <v>7313</v>
      </c>
      <c r="B1273" t="s">
        <v>7315</v>
      </c>
      <c r="C1273">
        <v>2021</v>
      </c>
      <c r="D1273" t="s">
        <v>7327</v>
      </c>
      <c r="E1273">
        <v>33107503</v>
      </c>
    </row>
    <row r="1274" spans="1:5" x14ac:dyDescent="0.15">
      <c r="A1274" t="s">
        <v>10640</v>
      </c>
      <c r="B1274" t="s">
        <v>10642</v>
      </c>
      <c r="C1274">
        <v>2021</v>
      </c>
      <c r="D1274" t="s">
        <v>10649</v>
      </c>
      <c r="E1274">
        <v>33496853</v>
      </c>
    </row>
    <row r="1275" spans="1:5" x14ac:dyDescent="0.15">
      <c r="A1275" t="s">
        <v>10730</v>
      </c>
      <c r="B1275" t="s">
        <v>10732</v>
      </c>
      <c r="C1275">
        <v>2020</v>
      </c>
      <c r="D1275" t="s">
        <v>10739</v>
      </c>
      <c r="E1275">
        <v>32634162</v>
      </c>
    </row>
    <row r="1276" spans="1:5" x14ac:dyDescent="0.15">
      <c r="A1276" t="s">
        <v>10948</v>
      </c>
      <c r="B1276" t="s">
        <v>10950</v>
      </c>
      <c r="C1276">
        <v>2019</v>
      </c>
      <c r="D1276" t="s">
        <v>10963</v>
      </c>
      <c r="E1276">
        <v>29603062</v>
      </c>
    </row>
    <row r="1277" spans="1:5" x14ac:dyDescent="0.15">
      <c r="A1277" t="s">
        <v>11350</v>
      </c>
      <c r="B1277" t="s">
        <v>11352</v>
      </c>
      <c r="C1277">
        <v>2020</v>
      </c>
      <c r="D1277" t="s">
        <v>11361</v>
      </c>
      <c r="E1277">
        <v>32798974</v>
      </c>
    </row>
    <row r="1278" spans="1:5" x14ac:dyDescent="0.15">
      <c r="A1278" t="s">
        <v>11447</v>
      </c>
      <c r="B1278" t="s">
        <v>11449</v>
      </c>
      <c r="C1278">
        <v>2021</v>
      </c>
      <c r="D1278" t="s">
        <v>11458</v>
      </c>
      <c r="E1278">
        <v>34481378</v>
      </c>
    </row>
    <row r="1279" spans="1:5" x14ac:dyDescent="0.15">
      <c r="A1279" t="s">
        <v>11673</v>
      </c>
      <c r="B1279" t="s">
        <v>11675</v>
      </c>
      <c r="C1279">
        <v>2020</v>
      </c>
      <c r="D1279" t="s">
        <v>11683</v>
      </c>
      <c r="E1279">
        <v>33106557</v>
      </c>
    </row>
    <row r="1280" spans="1:5" x14ac:dyDescent="0.15">
      <c r="A1280" t="s">
        <v>11808</v>
      </c>
      <c r="B1280" t="s">
        <v>11810</v>
      </c>
      <c r="C1280">
        <v>2021</v>
      </c>
      <c r="D1280" t="s">
        <v>11821</v>
      </c>
      <c r="E1280">
        <v>34453041</v>
      </c>
    </row>
    <row r="1281" spans="1:5" x14ac:dyDescent="0.15">
      <c r="A1281" t="s">
        <v>12033</v>
      </c>
      <c r="B1281" t="s">
        <v>12035</v>
      </c>
      <c r="C1281">
        <v>2020</v>
      </c>
      <c r="D1281" t="s">
        <v>12044</v>
      </c>
      <c r="E1281">
        <v>32978452</v>
      </c>
    </row>
    <row r="1282" spans="1:5" x14ac:dyDescent="0.15">
      <c r="A1282" t="s">
        <v>12313</v>
      </c>
      <c r="B1282" t="s">
        <v>12315</v>
      </c>
      <c r="C1282">
        <v>2019</v>
      </c>
      <c r="D1282" t="s">
        <v>12323</v>
      </c>
      <c r="E1282">
        <v>31127656</v>
      </c>
    </row>
    <row r="1283" spans="1:5" x14ac:dyDescent="0.15">
      <c r="A1283" t="s">
        <v>15066</v>
      </c>
      <c r="B1283" t="s">
        <v>15068</v>
      </c>
      <c r="C1283">
        <v>2018</v>
      </c>
      <c r="D1283" t="s">
        <v>15078</v>
      </c>
      <c r="E1283">
        <v>29867148</v>
      </c>
    </row>
    <row r="1284" spans="1:5" x14ac:dyDescent="0.15">
      <c r="A1284" t="s">
        <v>16628</v>
      </c>
      <c r="B1284" t="s">
        <v>16630</v>
      </c>
      <c r="C1284">
        <v>2019</v>
      </c>
      <c r="D1284" t="s">
        <v>16640</v>
      </c>
      <c r="E1284">
        <v>31404326</v>
      </c>
    </row>
    <row r="1285" spans="1:5" x14ac:dyDescent="0.15">
      <c r="A1285" t="s">
        <v>17203</v>
      </c>
      <c r="B1285" t="s">
        <v>17205</v>
      </c>
      <c r="C1285">
        <v>2021</v>
      </c>
      <c r="D1285" t="s">
        <v>17214</v>
      </c>
      <c r="E1285">
        <v>34362911</v>
      </c>
    </row>
    <row r="1286" spans="1:5" x14ac:dyDescent="0.15">
      <c r="A1286" t="s">
        <v>17727</v>
      </c>
      <c r="B1286" t="s">
        <v>17729</v>
      </c>
      <c r="C1286">
        <v>2016</v>
      </c>
      <c r="D1286" t="s">
        <v>17740</v>
      </c>
      <c r="E1286">
        <v>26763354</v>
      </c>
    </row>
    <row r="1287" spans="1:5" x14ac:dyDescent="0.15">
      <c r="A1287" t="s">
        <v>17845</v>
      </c>
      <c r="B1287" t="s">
        <v>17847</v>
      </c>
      <c r="C1287">
        <v>2020</v>
      </c>
      <c r="D1287" t="s">
        <v>17858</v>
      </c>
      <c r="E1287">
        <v>32453543</v>
      </c>
    </row>
    <row r="1288" spans="1:5" x14ac:dyDescent="0.15">
      <c r="A1288" t="s">
        <v>17984</v>
      </c>
      <c r="B1288" t="s">
        <v>17986</v>
      </c>
      <c r="C1288">
        <v>2015</v>
      </c>
      <c r="D1288" t="s">
        <v>17995</v>
      </c>
      <c r="E1288">
        <v>25408252</v>
      </c>
    </row>
    <row r="1289" spans="1:5" x14ac:dyDescent="0.15">
      <c r="A1289" t="s">
        <v>18914</v>
      </c>
      <c r="B1289" t="s">
        <v>18916</v>
      </c>
      <c r="C1289">
        <v>2019</v>
      </c>
      <c r="D1289" t="s">
        <v>18926</v>
      </c>
      <c r="E1289">
        <v>31024505</v>
      </c>
    </row>
    <row r="1290" spans="1:5" x14ac:dyDescent="0.15">
      <c r="A1290" t="s">
        <v>18959</v>
      </c>
      <c r="B1290" t="s">
        <v>18961</v>
      </c>
      <c r="C1290">
        <v>2000</v>
      </c>
      <c r="D1290" t="s">
        <v>74</v>
      </c>
      <c r="E1290">
        <v>10818607</v>
      </c>
    </row>
    <row r="1291" spans="1:5" x14ac:dyDescent="0.15">
      <c r="A1291" t="s">
        <v>20622</v>
      </c>
      <c r="B1291" t="s">
        <v>20624</v>
      </c>
      <c r="C1291">
        <v>2021</v>
      </c>
      <c r="D1291" t="s">
        <v>20633</v>
      </c>
      <c r="E1291">
        <v>34180232</v>
      </c>
    </row>
    <row r="1292" spans="1:5" x14ac:dyDescent="0.15">
      <c r="A1292" t="s">
        <v>20804</v>
      </c>
      <c r="B1292" t="s">
        <v>20806</v>
      </c>
      <c r="C1292">
        <v>2021</v>
      </c>
      <c r="D1292" t="s">
        <v>20815</v>
      </c>
      <c r="E1292">
        <v>34605236</v>
      </c>
    </row>
    <row r="1293" spans="1:5" x14ac:dyDescent="0.15">
      <c r="A1293" t="s">
        <v>21423</v>
      </c>
      <c r="B1293" t="s">
        <v>21425</v>
      </c>
      <c r="C1293">
        <v>2021</v>
      </c>
      <c r="D1293" t="s">
        <v>21433</v>
      </c>
      <c r="E1293">
        <v>33087329</v>
      </c>
    </row>
    <row r="1294" spans="1:5" x14ac:dyDescent="0.15">
      <c r="A1294" t="s">
        <v>22368</v>
      </c>
      <c r="B1294" t="s">
        <v>22370</v>
      </c>
      <c r="C1294">
        <v>2020</v>
      </c>
      <c r="D1294" t="s">
        <v>22380</v>
      </c>
      <c r="E1294">
        <v>33057100</v>
      </c>
    </row>
    <row r="1295" spans="1:5" x14ac:dyDescent="0.15">
      <c r="A1295" t="s">
        <v>22831</v>
      </c>
      <c r="B1295" t="s">
        <v>22833</v>
      </c>
      <c r="C1295">
        <v>2020</v>
      </c>
      <c r="D1295" t="s">
        <v>22843</v>
      </c>
      <c r="E1295">
        <v>32246814</v>
      </c>
    </row>
    <row r="1296" spans="1:5" x14ac:dyDescent="0.15">
      <c r="A1296" t="s">
        <v>23031</v>
      </c>
      <c r="B1296" t="s">
        <v>23033</v>
      </c>
      <c r="C1296">
        <v>2019</v>
      </c>
      <c r="D1296" t="s">
        <v>23043</v>
      </c>
      <c r="E1296">
        <v>31689238</v>
      </c>
    </row>
    <row r="1297" spans="1:5" x14ac:dyDescent="0.15">
      <c r="A1297" t="s">
        <v>23109</v>
      </c>
      <c r="B1297" t="s">
        <v>23111</v>
      </c>
      <c r="C1297">
        <v>2021</v>
      </c>
      <c r="D1297" t="s">
        <v>23122</v>
      </c>
      <c r="E1297">
        <v>34001236</v>
      </c>
    </row>
    <row r="1298" spans="1:5" x14ac:dyDescent="0.15">
      <c r="A1298" t="s">
        <v>23551</v>
      </c>
      <c r="B1298" t="s">
        <v>23553</v>
      </c>
      <c r="C1298">
        <v>2016</v>
      </c>
      <c r="D1298" t="s">
        <v>23563</v>
      </c>
      <c r="E1298">
        <v>26964089</v>
      </c>
    </row>
    <row r="1299" spans="1:5" x14ac:dyDescent="0.15">
      <c r="A1299" t="s">
        <v>24361</v>
      </c>
      <c r="B1299" t="s">
        <v>24363</v>
      </c>
      <c r="C1299">
        <v>2017</v>
      </c>
      <c r="D1299" t="s">
        <v>24369</v>
      </c>
      <c r="E1299">
        <v>28236854</v>
      </c>
    </row>
    <row r="1300" spans="1:5" x14ac:dyDescent="0.15">
      <c r="A1300" t="s">
        <v>24371</v>
      </c>
      <c r="B1300" t="s">
        <v>24373</v>
      </c>
      <c r="C1300">
        <v>2020</v>
      </c>
      <c r="D1300" t="s">
        <v>24383</v>
      </c>
      <c r="E1300">
        <v>32673687</v>
      </c>
    </row>
    <row r="1301" spans="1:5" x14ac:dyDescent="0.15">
      <c r="A1301" t="s">
        <v>24441</v>
      </c>
      <c r="B1301" t="s">
        <v>24443</v>
      </c>
      <c r="C1301">
        <v>2017</v>
      </c>
      <c r="D1301" t="s">
        <v>24455</v>
      </c>
      <c r="E1301">
        <v>27025932</v>
      </c>
    </row>
    <row r="1302" spans="1:5" x14ac:dyDescent="0.15">
      <c r="A1302" t="s">
        <v>24599</v>
      </c>
      <c r="B1302" t="s">
        <v>24601</v>
      </c>
      <c r="C1302">
        <v>2018</v>
      </c>
      <c r="D1302" t="s">
        <v>24610</v>
      </c>
      <c r="E1302">
        <v>30092207</v>
      </c>
    </row>
    <row r="1303" spans="1:5" x14ac:dyDescent="0.15">
      <c r="A1303" t="s">
        <v>25203</v>
      </c>
      <c r="B1303" t="s">
        <v>25205</v>
      </c>
      <c r="C1303">
        <v>2019</v>
      </c>
      <c r="D1303" t="s">
        <v>25213</v>
      </c>
      <c r="E1303">
        <v>31681565</v>
      </c>
    </row>
    <row r="1304" spans="1:5" x14ac:dyDescent="0.15">
      <c r="A1304" t="s">
        <v>25256</v>
      </c>
      <c r="B1304" t="s">
        <v>25258</v>
      </c>
      <c r="C1304">
        <v>2020</v>
      </c>
      <c r="D1304" t="s">
        <v>25266</v>
      </c>
      <c r="E1304">
        <v>31982644</v>
      </c>
    </row>
    <row r="1305" spans="1:5" x14ac:dyDescent="0.15">
      <c r="A1305" t="s">
        <v>25688</v>
      </c>
      <c r="B1305" t="s">
        <v>25689</v>
      </c>
      <c r="C1305">
        <v>1997</v>
      </c>
      <c r="D1305" t="s">
        <v>25700</v>
      </c>
      <c r="E1305">
        <v>27747415</v>
      </c>
    </row>
    <row r="1306" spans="1:5" x14ac:dyDescent="0.15">
      <c r="A1306" t="s">
        <v>26077</v>
      </c>
      <c r="B1306" t="s">
        <v>26079</v>
      </c>
      <c r="C1306">
        <v>2019</v>
      </c>
      <c r="D1306" t="s">
        <v>26092</v>
      </c>
      <c r="E1306" t="s">
        <v>74</v>
      </c>
    </row>
    <row r="1307" spans="1:5" x14ac:dyDescent="0.15">
      <c r="A1307" t="s">
        <v>26246</v>
      </c>
      <c r="B1307" t="s">
        <v>26248</v>
      </c>
      <c r="C1307">
        <v>2015</v>
      </c>
      <c r="D1307" t="s">
        <v>26258</v>
      </c>
      <c r="E1307">
        <v>26696991</v>
      </c>
    </row>
    <row r="1308" spans="1:5" x14ac:dyDescent="0.15">
      <c r="A1308" t="s">
        <v>27715</v>
      </c>
      <c r="B1308" t="s">
        <v>27717</v>
      </c>
      <c r="C1308">
        <v>2019</v>
      </c>
      <c r="D1308" t="s">
        <v>27725</v>
      </c>
      <c r="E1308">
        <v>31285443</v>
      </c>
    </row>
    <row r="1309" spans="1:5" x14ac:dyDescent="0.15">
      <c r="A1309" t="s">
        <v>27803</v>
      </c>
      <c r="B1309" t="s">
        <v>27804</v>
      </c>
      <c r="C1309">
        <v>1992</v>
      </c>
      <c r="D1309" t="s">
        <v>27811</v>
      </c>
      <c r="E1309">
        <v>1315257</v>
      </c>
    </row>
    <row r="1310" spans="1:5" x14ac:dyDescent="0.15">
      <c r="A1310" t="s">
        <v>27880</v>
      </c>
      <c r="B1310" t="s">
        <v>27883</v>
      </c>
      <c r="C1310">
        <v>2020</v>
      </c>
      <c r="D1310" t="s">
        <v>27895</v>
      </c>
      <c r="E1310">
        <v>33119873</v>
      </c>
    </row>
    <row r="1311" spans="1:5" x14ac:dyDescent="0.15">
      <c r="A1311" t="s">
        <v>28348</v>
      </c>
      <c r="B1311" t="s">
        <v>28350</v>
      </c>
      <c r="C1311">
        <v>2011</v>
      </c>
      <c r="D1311" t="s">
        <v>28362</v>
      </c>
      <c r="E1311">
        <v>22112469</v>
      </c>
    </row>
    <row r="1312" spans="1:5" x14ac:dyDescent="0.15">
      <c r="A1312" t="s">
        <v>28814</v>
      </c>
      <c r="B1312" t="s">
        <v>28816</v>
      </c>
      <c r="C1312">
        <v>2020</v>
      </c>
      <c r="D1312" t="s">
        <v>28828</v>
      </c>
      <c r="E1312">
        <v>32765191</v>
      </c>
    </row>
    <row r="1313" spans="1:5" x14ac:dyDescent="0.15">
      <c r="A1313" t="s">
        <v>28941</v>
      </c>
      <c r="B1313" t="s">
        <v>28943</v>
      </c>
      <c r="C1313">
        <v>2021</v>
      </c>
      <c r="D1313" t="s">
        <v>28953</v>
      </c>
      <c r="E1313">
        <v>34105205</v>
      </c>
    </row>
    <row r="1314" spans="1:5" x14ac:dyDescent="0.15">
      <c r="A1314" t="s">
        <v>29016</v>
      </c>
      <c r="B1314" t="s">
        <v>29018</v>
      </c>
      <c r="C1314">
        <v>2016</v>
      </c>
      <c r="D1314" t="s">
        <v>74</v>
      </c>
      <c r="E1314">
        <v>27158391</v>
      </c>
    </row>
    <row r="1315" spans="1:5" x14ac:dyDescent="0.15">
      <c r="A1315" t="s">
        <v>29493</v>
      </c>
      <c r="B1315" t="s">
        <v>29495</v>
      </c>
      <c r="C1315">
        <v>2021</v>
      </c>
      <c r="D1315" t="s">
        <v>29506</v>
      </c>
      <c r="E1315" t="s">
        <v>74</v>
      </c>
    </row>
    <row r="1316" spans="1:5" x14ac:dyDescent="0.15">
      <c r="A1316" t="s">
        <v>30308</v>
      </c>
      <c r="B1316" t="s">
        <v>30310</v>
      </c>
      <c r="C1316">
        <v>2019</v>
      </c>
      <c r="D1316" t="s">
        <v>30324</v>
      </c>
      <c r="E1316">
        <v>30381577</v>
      </c>
    </row>
    <row r="1317" spans="1:5" x14ac:dyDescent="0.15">
      <c r="A1317" t="s">
        <v>1087</v>
      </c>
      <c r="B1317" t="s">
        <v>1089</v>
      </c>
      <c r="C1317">
        <v>2021</v>
      </c>
      <c r="D1317" t="s">
        <v>1099</v>
      </c>
      <c r="E1317">
        <v>33575258</v>
      </c>
    </row>
    <row r="1318" spans="1:5" x14ac:dyDescent="0.15">
      <c r="A1318" t="s">
        <v>1343</v>
      </c>
      <c r="B1318" t="s">
        <v>1345</v>
      </c>
      <c r="C1318">
        <v>2020</v>
      </c>
      <c r="D1318" t="s">
        <v>1357</v>
      </c>
      <c r="E1318">
        <v>31502256</v>
      </c>
    </row>
    <row r="1319" spans="1:5" x14ac:dyDescent="0.15">
      <c r="A1319" t="s">
        <v>1727</v>
      </c>
      <c r="B1319" t="s">
        <v>1729</v>
      </c>
      <c r="C1319">
        <v>2020</v>
      </c>
      <c r="D1319" t="s">
        <v>1742</v>
      </c>
      <c r="E1319">
        <v>32580578</v>
      </c>
    </row>
    <row r="1320" spans="1:5" x14ac:dyDescent="0.15">
      <c r="A1320" t="s">
        <v>2517</v>
      </c>
      <c r="B1320" t="s">
        <v>2519</v>
      </c>
      <c r="C1320">
        <v>2019</v>
      </c>
      <c r="D1320" t="s">
        <v>2531</v>
      </c>
      <c r="E1320">
        <v>31824470</v>
      </c>
    </row>
    <row r="1321" spans="1:5" x14ac:dyDescent="0.15">
      <c r="A1321" t="s">
        <v>2533</v>
      </c>
      <c r="B1321" t="s">
        <v>2535</v>
      </c>
      <c r="C1321">
        <v>2021</v>
      </c>
      <c r="D1321" t="s">
        <v>2547</v>
      </c>
      <c r="E1321">
        <v>33361424</v>
      </c>
    </row>
    <row r="1322" spans="1:5" x14ac:dyDescent="0.15">
      <c r="A1322" t="s">
        <v>2788</v>
      </c>
      <c r="B1322" t="s">
        <v>2790</v>
      </c>
      <c r="C1322">
        <v>2021</v>
      </c>
      <c r="D1322" t="s">
        <v>2799</v>
      </c>
      <c r="E1322">
        <v>33915956</v>
      </c>
    </row>
    <row r="1323" spans="1:5" x14ac:dyDescent="0.15">
      <c r="A1323" t="s">
        <v>3330</v>
      </c>
      <c r="B1323" t="s">
        <v>3332</v>
      </c>
      <c r="C1323">
        <v>2021</v>
      </c>
      <c r="D1323" t="s">
        <v>3344</v>
      </c>
      <c r="E1323">
        <v>33933815</v>
      </c>
    </row>
    <row r="1324" spans="1:5" x14ac:dyDescent="0.15">
      <c r="A1324" t="s">
        <v>3997</v>
      </c>
      <c r="B1324" t="s">
        <v>3999</v>
      </c>
      <c r="C1324">
        <v>2021</v>
      </c>
      <c r="D1324" t="s">
        <v>4009</v>
      </c>
      <c r="E1324">
        <v>34217734</v>
      </c>
    </row>
    <row r="1325" spans="1:5" x14ac:dyDescent="0.15">
      <c r="A1325" t="s">
        <v>4742</v>
      </c>
      <c r="B1325" t="s">
        <v>4744</v>
      </c>
      <c r="C1325">
        <v>2020</v>
      </c>
      <c r="D1325" t="s">
        <v>4754</v>
      </c>
      <c r="E1325">
        <v>33218198</v>
      </c>
    </row>
    <row r="1326" spans="1:5" x14ac:dyDescent="0.15">
      <c r="A1326" t="s">
        <v>6079</v>
      </c>
      <c r="B1326" t="s">
        <v>6081</v>
      </c>
      <c r="C1326">
        <v>2022</v>
      </c>
      <c r="D1326" t="s">
        <v>6091</v>
      </c>
      <c r="E1326">
        <v>35008363</v>
      </c>
    </row>
    <row r="1327" spans="1:5" x14ac:dyDescent="0.15">
      <c r="A1327" t="s">
        <v>6437</v>
      </c>
      <c r="B1327" t="s">
        <v>6439</v>
      </c>
      <c r="C1327">
        <v>2019</v>
      </c>
      <c r="D1327" t="s">
        <v>6447</v>
      </c>
      <c r="E1327">
        <v>31452241</v>
      </c>
    </row>
    <row r="1328" spans="1:5" x14ac:dyDescent="0.15">
      <c r="A1328" t="s">
        <v>7115</v>
      </c>
      <c r="B1328" t="s">
        <v>7117</v>
      </c>
      <c r="C1328">
        <v>2021</v>
      </c>
      <c r="D1328" t="s">
        <v>7125</v>
      </c>
      <c r="E1328">
        <v>33801926</v>
      </c>
    </row>
    <row r="1329" spans="1:5" x14ac:dyDescent="0.15">
      <c r="A1329" t="s">
        <v>7635</v>
      </c>
      <c r="B1329" t="s">
        <v>7637</v>
      </c>
      <c r="C1329">
        <v>2021</v>
      </c>
      <c r="D1329" t="s">
        <v>7645</v>
      </c>
      <c r="E1329">
        <v>33420117</v>
      </c>
    </row>
    <row r="1330" spans="1:5" x14ac:dyDescent="0.15">
      <c r="A1330" t="s">
        <v>7766</v>
      </c>
      <c r="B1330" t="s">
        <v>7768</v>
      </c>
      <c r="C1330">
        <v>2020</v>
      </c>
      <c r="D1330" t="s">
        <v>7781</v>
      </c>
      <c r="E1330" t="s">
        <v>74</v>
      </c>
    </row>
    <row r="1331" spans="1:5" x14ac:dyDescent="0.15">
      <c r="A1331" t="s">
        <v>8221</v>
      </c>
      <c r="B1331" t="s">
        <v>8223</v>
      </c>
      <c r="C1331">
        <v>2021</v>
      </c>
      <c r="D1331" t="s">
        <v>8233</v>
      </c>
      <c r="E1331">
        <v>33915936</v>
      </c>
    </row>
    <row r="1332" spans="1:5" x14ac:dyDescent="0.15">
      <c r="A1332" t="s">
        <v>9743</v>
      </c>
      <c r="B1332" t="s">
        <v>9745</v>
      </c>
      <c r="C1332">
        <v>2021</v>
      </c>
      <c r="D1332" t="s">
        <v>9755</v>
      </c>
      <c r="E1332">
        <v>33753167</v>
      </c>
    </row>
    <row r="1333" spans="1:5" x14ac:dyDescent="0.15">
      <c r="A1333" t="s">
        <v>10489</v>
      </c>
      <c r="B1333" t="s">
        <v>10491</v>
      </c>
      <c r="C1333">
        <v>2021</v>
      </c>
      <c r="D1333" t="s">
        <v>10499</v>
      </c>
      <c r="E1333">
        <v>33722248</v>
      </c>
    </row>
    <row r="1334" spans="1:5" x14ac:dyDescent="0.15">
      <c r="A1334" t="s">
        <v>10542</v>
      </c>
      <c r="B1334" t="s">
        <v>10544</v>
      </c>
      <c r="C1334">
        <v>2018</v>
      </c>
      <c r="D1334" t="s">
        <v>10557</v>
      </c>
      <c r="E1334">
        <v>30229663</v>
      </c>
    </row>
    <row r="1335" spans="1:5" x14ac:dyDescent="0.15">
      <c r="A1335" t="s">
        <v>10561</v>
      </c>
      <c r="B1335" t="s">
        <v>10563</v>
      </c>
      <c r="C1335">
        <v>2021</v>
      </c>
      <c r="D1335" t="s">
        <v>10573</v>
      </c>
      <c r="E1335">
        <v>33761899</v>
      </c>
    </row>
    <row r="1336" spans="1:5" x14ac:dyDescent="0.15">
      <c r="A1336" t="s">
        <v>10700</v>
      </c>
      <c r="B1336" t="s">
        <v>10702</v>
      </c>
      <c r="C1336">
        <v>2020</v>
      </c>
      <c r="D1336" t="s">
        <v>10712</v>
      </c>
      <c r="E1336">
        <v>32726907</v>
      </c>
    </row>
    <row r="1337" spans="1:5" x14ac:dyDescent="0.15">
      <c r="A1337" t="s">
        <v>12060</v>
      </c>
      <c r="B1337" t="s">
        <v>12062</v>
      </c>
      <c r="C1337">
        <v>2020</v>
      </c>
      <c r="D1337" t="s">
        <v>12071</v>
      </c>
      <c r="E1337">
        <v>32797865</v>
      </c>
    </row>
    <row r="1338" spans="1:5" x14ac:dyDescent="0.15">
      <c r="A1338" t="s">
        <v>12552</v>
      </c>
      <c r="B1338" t="s">
        <v>12554</v>
      </c>
      <c r="C1338">
        <v>2019</v>
      </c>
      <c r="D1338" t="s">
        <v>12563</v>
      </c>
      <c r="E1338">
        <v>31371743</v>
      </c>
    </row>
    <row r="1339" spans="1:5" x14ac:dyDescent="0.15">
      <c r="A1339" t="s">
        <v>12950</v>
      </c>
      <c r="B1339" t="s">
        <v>12952</v>
      </c>
      <c r="C1339">
        <v>2019</v>
      </c>
      <c r="D1339" t="s">
        <v>12960</v>
      </c>
      <c r="E1339">
        <v>31441580</v>
      </c>
    </row>
    <row r="1340" spans="1:5" x14ac:dyDescent="0.15">
      <c r="A1340" t="s">
        <v>13023</v>
      </c>
      <c r="B1340" t="s">
        <v>13025</v>
      </c>
      <c r="C1340">
        <v>2021</v>
      </c>
      <c r="D1340" t="s">
        <v>13036</v>
      </c>
      <c r="E1340">
        <v>34426493</v>
      </c>
    </row>
    <row r="1341" spans="1:5" x14ac:dyDescent="0.15">
      <c r="A1341" t="s">
        <v>13301</v>
      </c>
      <c r="B1341" t="s">
        <v>13303</v>
      </c>
      <c r="C1341">
        <v>2021</v>
      </c>
      <c r="D1341" t="s">
        <v>13313</v>
      </c>
      <c r="E1341">
        <v>34813275</v>
      </c>
    </row>
    <row r="1342" spans="1:5" x14ac:dyDescent="0.15">
      <c r="A1342" t="s">
        <v>13547</v>
      </c>
      <c r="B1342" t="s">
        <v>13549</v>
      </c>
      <c r="C1342">
        <v>2020</v>
      </c>
      <c r="D1342" t="s">
        <v>13559</v>
      </c>
      <c r="E1342">
        <v>33095582</v>
      </c>
    </row>
    <row r="1343" spans="1:5" x14ac:dyDescent="0.15">
      <c r="A1343" t="s">
        <v>14338</v>
      </c>
      <c r="B1343" t="s">
        <v>14340</v>
      </c>
      <c r="C1343">
        <v>2018</v>
      </c>
      <c r="D1343" t="s">
        <v>14348</v>
      </c>
      <c r="E1343">
        <v>30190485</v>
      </c>
    </row>
    <row r="1344" spans="1:5" x14ac:dyDescent="0.15">
      <c r="A1344" t="s">
        <v>14350</v>
      </c>
      <c r="B1344" t="s">
        <v>14352</v>
      </c>
      <c r="C1344">
        <v>2021</v>
      </c>
      <c r="D1344" t="s">
        <v>14361</v>
      </c>
      <c r="E1344">
        <v>34026664</v>
      </c>
    </row>
    <row r="1345" spans="1:5" x14ac:dyDescent="0.15">
      <c r="A1345" t="s">
        <v>15541</v>
      </c>
      <c r="B1345" t="s">
        <v>15543</v>
      </c>
      <c r="C1345">
        <v>2018</v>
      </c>
      <c r="D1345" t="s">
        <v>15549</v>
      </c>
      <c r="E1345">
        <v>30564220</v>
      </c>
    </row>
    <row r="1346" spans="1:5" x14ac:dyDescent="0.15">
      <c r="A1346" t="s">
        <v>15951</v>
      </c>
      <c r="B1346" t="s">
        <v>15953</v>
      </c>
      <c r="C1346">
        <v>2019</v>
      </c>
      <c r="D1346" t="s">
        <v>15964</v>
      </c>
      <c r="E1346">
        <v>30949156</v>
      </c>
    </row>
    <row r="1347" spans="1:5" x14ac:dyDescent="0.15">
      <c r="A1347" t="s">
        <v>16399</v>
      </c>
      <c r="B1347" t="s">
        <v>16401</v>
      </c>
      <c r="C1347">
        <v>2018</v>
      </c>
      <c r="D1347" t="s">
        <v>16409</v>
      </c>
      <c r="E1347">
        <v>29534966</v>
      </c>
    </row>
    <row r="1348" spans="1:5" x14ac:dyDescent="0.15">
      <c r="A1348" t="s">
        <v>16431</v>
      </c>
      <c r="B1348" t="s">
        <v>16433</v>
      </c>
      <c r="C1348">
        <v>2020</v>
      </c>
      <c r="D1348" t="s">
        <v>16441</v>
      </c>
      <c r="E1348">
        <v>32092088</v>
      </c>
    </row>
    <row r="1349" spans="1:5" x14ac:dyDescent="0.15">
      <c r="A1349" t="s">
        <v>17246</v>
      </c>
      <c r="B1349" t="s">
        <v>17248</v>
      </c>
      <c r="C1349">
        <v>2020</v>
      </c>
      <c r="D1349" t="s">
        <v>17259</v>
      </c>
      <c r="E1349">
        <v>33194377</v>
      </c>
    </row>
    <row r="1350" spans="1:5" x14ac:dyDescent="0.15">
      <c r="A1350" t="s">
        <v>17384</v>
      </c>
      <c r="B1350" t="s">
        <v>17386</v>
      </c>
      <c r="C1350">
        <v>2021</v>
      </c>
      <c r="D1350" t="s">
        <v>17395</v>
      </c>
      <c r="E1350">
        <v>34797720</v>
      </c>
    </row>
    <row r="1351" spans="1:5" x14ac:dyDescent="0.15">
      <c r="A1351" t="s">
        <v>19008</v>
      </c>
      <c r="B1351" t="s">
        <v>19010</v>
      </c>
      <c r="C1351">
        <v>2021</v>
      </c>
      <c r="D1351" t="s">
        <v>19020</v>
      </c>
      <c r="E1351">
        <v>33658079</v>
      </c>
    </row>
    <row r="1352" spans="1:5" x14ac:dyDescent="0.15">
      <c r="A1352" t="s">
        <v>19133</v>
      </c>
      <c r="B1352" t="s">
        <v>19135</v>
      </c>
      <c r="C1352">
        <v>2019</v>
      </c>
      <c r="D1352" t="s">
        <v>19145</v>
      </c>
      <c r="E1352">
        <v>31110597</v>
      </c>
    </row>
    <row r="1353" spans="1:5" x14ac:dyDescent="0.15">
      <c r="A1353" t="s">
        <v>19835</v>
      </c>
      <c r="B1353" t="s">
        <v>19837</v>
      </c>
      <c r="C1353">
        <v>2021</v>
      </c>
      <c r="D1353" t="s">
        <v>19849</v>
      </c>
      <c r="E1353">
        <v>33248412</v>
      </c>
    </row>
    <row r="1354" spans="1:5" x14ac:dyDescent="0.15">
      <c r="A1354" t="s">
        <v>20301</v>
      </c>
      <c r="B1354" t="s">
        <v>20303</v>
      </c>
      <c r="C1354">
        <v>2018</v>
      </c>
      <c r="D1354" t="s">
        <v>20312</v>
      </c>
      <c r="E1354">
        <v>29658555</v>
      </c>
    </row>
    <row r="1355" spans="1:5" x14ac:dyDescent="0.15">
      <c r="A1355" t="s">
        <v>20472</v>
      </c>
      <c r="B1355" t="s">
        <v>20474</v>
      </c>
      <c r="C1355">
        <v>2021</v>
      </c>
      <c r="D1355" t="s">
        <v>20483</v>
      </c>
      <c r="E1355">
        <v>34545097</v>
      </c>
    </row>
    <row r="1356" spans="1:5" x14ac:dyDescent="0.15">
      <c r="A1356" t="s">
        <v>21452</v>
      </c>
      <c r="B1356" t="s">
        <v>21454</v>
      </c>
      <c r="C1356">
        <v>2021</v>
      </c>
      <c r="D1356" t="s">
        <v>21466</v>
      </c>
      <c r="E1356" t="s">
        <v>74</v>
      </c>
    </row>
    <row r="1357" spans="1:5" x14ac:dyDescent="0.15">
      <c r="A1357" t="s">
        <v>21530</v>
      </c>
      <c r="B1357" t="s">
        <v>21532</v>
      </c>
      <c r="C1357">
        <v>2021</v>
      </c>
      <c r="D1357" t="s">
        <v>21542</v>
      </c>
      <c r="E1357">
        <v>34040060</v>
      </c>
    </row>
    <row r="1358" spans="1:5" x14ac:dyDescent="0.15">
      <c r="A1358" t="s">
        <v>22494</v>
      </c>
      <c r="B1358" t="s">
        <v>22496</v>
      </c>
      <c r="C1358">
        <v>2020</v>
      </c>
      <c r="D1358" t="s">
        <v>22508</v>
      </c>
      <c r="E1358">
        <v>32741216</v>
      </c>
    </row>
    <row r="1359" spans="1:5" x14ac:dyDescent="0.15">
      <c r="A1359" t="s">
        <v>22742</v>
      </c>
      <c r="B1359" t="s">
        <v>22744</v>
      </c>
      <c r="C1359">
        <v>2020</v>
      </c>
      <c r="D1359" t="s">
        <v>22754</v>
      </c>
      <c r="E1359">
        <v>31906275</v>
      </c>
    </row>
    <row r="1360" spans="1:5" x14ac:dyDescent="0.15">
      <c r="A1360" t="s">
        <v>22932</v>
      </c>
      <c r="B1360" t="s">
        <v>22934</v>
      </c>
      <c r="C1360">
        <v>2021</v>
      </c>
      <c r="D1360" t="s">
        <v>22942</v>
      </c>
      <c r="E1360">
        <v>34600888</v>
      </c>
    </row>
    <row r="1361" spans="1:5" x14ac:dyDescent="0.15">
      <c r="A1361" t="s">
        <v>25551</v>
      </c>
      <c r="B1361" t="s">
        <v>25553</v>
      </c>
      <c r="C1361">
        <v>2021</v>
      </c>
      <c r="D1361" t="s">
        <v>25561</v>
      </c>
      <c r="E1361">
        <v>33491014</v>
      </c>
    </row>
    <row r="1362" spans="1:5" x14ac:dyDescent="0.15">
      <c r="A1362" t="s">
        <v>25851</v>
      </c>
      <c r="B1362" t="s">
        <v>25853</v>
      </c>
      <c r="C1362">
        <v>2021</v>
      </c>
      <c r="D1362" t="s">
        <v>25861</v>
      </c>
      <c r="E1362">
        <v>33979310</v>
      </c>
    </row>
    <row r="1363" spans="1:5" x14ac:dyDescent="0.15">
      <c r="A1363" t="s">
        <v>25863</v>
      </c>
      <c r="B1363" t="s">
        <v>25865</v>
      </c>
      <c r="C1363">
        <v>2021</v>
      </c>
      <c r="D1363" t="s">
        <v>25873</v>
      </c>
      <c r="E1363">
        <v>33727076</v>
      </c>
    </row>
    <row r="1364" spans="1:5" x14ac:dyDescent="0.15">
      <c r="A1364" t="s">
        <v>27079</v>
      </c>
      <c r="B1364" t="s">
        <v>27081</v>
      </c>
      <c r="C1364">
        <v>2019</v>
      </c>
      <c r="D1364" t="s">
        <v>27089</v>
      </c>
      <c r="E1364" t="s">
        <v>74</v>
      </c>
    </row>
    <row r="1365" spans="1:5" x14ac:dyDescent="0.15">
      <c r="A1365" t="s">
        <v>27601</v>
      </c>
      <c r="B1365" t="s">
        <v>27603</v>
      </c>
      <c r="C1365">
        <v>2020</v>
      </c>
      <c r="D1365" t="s">
        <v>27614</v>
      </c>
      <c r="E1365">
        <v>33282185</v>
      </c>
    </row>
    <row r="1366" spans="1:5" x14ac:dyDescent="0.15">
      <c r="A1366" t="s">
        <v>28071</v>
      </c>
      <c r="B1366" t="s">
        <v>28073</v>
      </c>
      <c r="C1366">
        <v>2021</v>
      </c>
      <c r="D1366" t="s">
        <v>28083</v>
      </c>
      <c r="E1366">
        <v>34790199</v>
      </c>
    </row>
    <row r="1367" spans="1:5" x14ac:dyDescent="0.15">
      <c r="A1367" t="s">
        <v>28916</v>
      </c>
      <c r="B1367" t="s">
        <v>28917</v>
      </c>
      <c r="C1367">
        <v>1993</v>
      </c>
      <c r="D1367" t="s">
        <v>74</v>
      </c>
      <c r="E1367">
        <v>7678433</v>
      </c>
    </row>
    <row r="1368" spans="1:5" x14ac:dyDescent="0.15">
      <c r="A1368" t="s">
        <v>29156</v>
      </c>
      <c r="B1368" t="s">
        <v>29158</v>
      </c>
      <c r="C1368">
        <v>2019</v>
      </c>
      <c r="D1368" t="s">
        <v>29164</v>
      </c>
      <c r="E1368">
        <v>30787346</v>
      </c>
    </row>
    <row r="1369" spans="1:5" x14ac:dyDescent="0.15">
      <c r="A1369" t="s">
        <v>29633</v>
      </c>
      <c r="B1369" t="s">
        <v>29634</v>
      </c>
      <c r="C1369">
        <v>2005</v>
      </c>
      <c r="D1369" t="s">
        <v>29640</v>
      </c>
      <c r="E1369">
        <v>15814703</v>
      </c>
    </row>
    <row r="1370" spans="1:5" x14ac:dyDescent="0.15">
      <c r="A1370" t="s">
        <v>29670</v>
      </c>
      <c r="B1370" t="s">
        <v>29672</v>
      </c>
      <c r="C1370">
        <v>2020</v>
      </c>
      <c r="D1370" t="s">
        <v>29682</v>
      </c>
      <c r="E1370">
        <v>31712992</v>
      </c>
    </row>
    <row r="1371" spans="1:5" x14ac:dyDescent="0.15">
      <c r="A1371" t="s">
        <v>322</v>
      </c>
      <c r="B1371" t="s">
        <v>324</v>
      </c>
      <c r="C1371">
        <v>2020</v>
      </c>
      <c r="D1371" t="s">
        <v>336</v>
      </c>
      <c r="E1371">
        <v>32551866</v>
      </c>
    </row>
    <row r="1372" spans="1:5" x14ac:dyDescent="0.15">
      <c r="A1372" t="s">
        <v>1232</v>
      </c>
      <c r="B1372" t="s">
        <v>1234</v>
      </c>
      <c r="C1372">
        <v>2017</v>
      </c>
      <c r="D1372" t="s">
        <v>1243</v>
      </c>
      <c r="E1372">
        <v>28828673</v>
      </c>
    </row>
    <row r="1373" spans="1:5" x14ac:dyDescent="0.15">
      <c r="A1373" t="s">
        <v>1429</v>
      </c>
      <c r="B1373" t="s">
        <v>1431</v>
      </c>
      <c r="C1373">
        <v>2021</v>
      </c>
      <c r="D1373" t="s">
        <v>1444</v>
      </c>
      <c r="E1373">
        <v>33126845</v>
      </c>
    </row>
    <row r="1374" spans="1:5" x14ac:dyDescent="0.15">
      <c r="A1374" t="s">
        <v>1763</v>
      </c>
      <c r="B1374" t="s">
        <v>1765</v>
      </c>
      <c r="C1374">
        <v>2021</v>
      </c>
      <c r="D1374" t="s">
        <v>1777</v>
      </c>
      <c r="E1374">
        <v>33375577</v>
      </c>
    </row>
    <row r="1375" spans="1:5" x14ac:dyDescent="0.15">
      <c r="A1375" t="s">
        <v>2085</v>
      </c>
      <c r="B1375" t="s">
        <v>2087</v>
      </c>
      <c r="C1375">
        <v>2021</v>
      </c>
      <c r="D1375" t="s">
        <v>2099</v>
      </c>
      <c r="E1375">
        <v>34104388</v>
      </c>
    </row>
    <row r="1376" spans="1:5" x14ac:dyDescent="0.15">
      <c r="A1376" t="s">
        <v>2775</v>
      </c>
      <c r="B1376" t="s">
        <v>2777</v>
      </c>
      <c r="C1376">
        <v>2021</v>
      </c>
      <c r="D1376" t="s">
        <v>2786</v>
      </c>
      <c r="E1376">
        <v>34158841</v>
      </c>
    </row>
    <row r="1377" spans="1:5" x14ac:dyDescent="0.15">
      <c r="A1377" t="s">
        <v>3748</v>
      </c>
      <c r="B1377" t="s">
        <v>3750</v>
      </c>
      <c r="C1377">
        <v>2022</v>
      </c>
      <c r="D1377" t="s">
        <v>3762</v>
      </c>
      <c r="E1377">
        <v>35310361</v>
      </c>
    </row>
    <row r="1378" spans="1:5" x14ac:dyDescent="0.15">
      <c r="A1378" t="s">
        <v>4582</v>
      </c>
      <c r="B1378" t="s">
        <v>4584</v>
      </c>
      <c r="C1378">
        <v>2021</v>
      </c>
      <c r="D1378" t="s">
        <v>4595</v>
      </c>
      <c r="E1378">
        <v>34595105</v>
      </c>
    </row>
    <row r="1379" spans="1:5" x14ac:dyDescent="0.15">
      <c r="A1379" t="s">
        <v>4884</v>
      </c>
      <c r="B1379" t="s">
        <v>4886</v>
      </c>
      <c r="C1379">
        <v>2021</v>
      </c>
      <c r="D1379" t="s">
        <v>4897</v>
      </c>
      <c r="E1379">
        <v>34215331</v>
      </c>
    </row>
    <row r="1380" spans="1:5" x14ac:dyDescent="0.15">
      <c r="A1380" t="s">
        <v>5490</v>
      </c>
      <c r="B1380" t="s">
        <v>5492</v>
      </c>
      <c r="C1380">
        <v>2019</v>
      </c>
      <c r="D1380" t="s">
        <v>5504</v>
      </c>
      <c r="E1380">
        <v>31547130</v>
      </c>
    </row>
    <row r="1381" spans="1:5" x14ac:dyDescent="0.15">
      <c r="A1381" t="s">
        <v>5730</v>
      </c>
      <c r="B1381" t="s">
        <v>5732</v>
      </c>
      <c r="C1381">
        <v>2021</v>
      </c>
      <c r="D1381" t="s">
        <v>5745</v>
      </c>
      <c r="E1381">
        <v>34218910</v>
      </c>
    </row>
    <row r="1382" spans="1:5" x14ac:dyDescent="0.15">
      <c r="A1382" t="s">
        <v>5777</v>
      </c>
      <c r="B1382" t="s">
        <v>5779</v>
      </c>
      <c r="C1382">
        <v>2021</v>
      </c>
      <c r="D1382" t="s">
        <v>5789</v>
      </c>
      <c r="E1382">
        <v>33488545</v>
      </c>
    </row>
    <row r="1383" spans="1:5" x14ac:dyDescent="0.15">
      <c r="A1383" t="s">
        <v>5872</v>
      </c>
      <c r="B1383" t="s">
        <v>5875</v>
      </c>
      <c r="C1383">
        <v>2010</v>
      </c>
      <c r="D1383" t="s">
        <v>5886</v>
      </c>
      <c r="E1383" t="s">
        <v>74</v>
      </c>
    </row>
    <row r="1384" spans="1:5" x14ac:dyDescent="0.15">
      <c r="A1384" t="s">
        <v>6190</v>
      </c>
      <c r="B1384" t="s">
        <v>6192</v>
      </c>
      <c r="C1384">
        <v>2019</v>
      </c>
      <c r="D1384" t="s">
        <v>6205</v>
      </c>
      <c r="E1384">
        <v>31432155</v>
      </c>
    </row>
    <row r="1385" spans="1:5" x14ac:dyDescent="0.15">
      <c r="A1385" t="s">
        <v>8702</v>
      </c>
      <c r="B1385" t="s">
        <v>8704</v>
      </c>
      <c r="C1385">
        <v>2022</v>
      </c>
      <c r="D1385" t="s">
        <v>8715</v>
      </c>
      <c r="E1385">
        <v>34623601</v>
      </c>
    </row>
    <row r="1386" spans="1:5" x14ac:dyDescent="0.15">
      <c r="A1386" t="s">
        <v>8836</v>
      </c>
      <c r="B1386" t="s">
        <v>8838</v>
      </c>
      <c r="C1386">
        <v>2021</v>
      </c>
      <c r="D1386" t="s">
        <v>8848</v>
      </c>
      <c r="E1386">
        <v>33921829</v>
      </c>
    </row>
    <row r="1387" spans="1:5" x14ac:dyDescent="0.15">
      <c r="A1387" t="s">
        <v>9540</v>
      </c>
      <c r="B1387" t="s">
        <v>9542</v>
      </c>
      <c r="C1387">
        <v>2021</v>
      </c>
      <c r="D1387" t="s">
        <v>9552</v>
      </c>
      <c r="E1387">
        <v>34344968</v>
      </c>
    </row>
    <row r="1388" spans="1:5" x14ac:dyDescent="0.15">
      <c r="A1388" t="s">
        <v>10456</v>
      </c>
      <c r="B1388" t="s">
        <v>10458</v>
      </c>
      <c r="C1388">
        <v>2020</v>
      </c>
      <c r="D1388" t="s">
        <v>10474</v>
      </c>
      <c r="E1388" t="s">
        <v>74</v>
      </c>
    </row>
    <row r="1389" spans="1:5" x14ac:dyDescent="0.15">
      <c r="A1389" t="s">
        <v>10771</v>
      </c>
      <c r="B1389" t="s">
        <v>10773</v>
      </c>
      <c r="C1389">
        <v>2019</v>
      </c>
      <c r="D1389" t="s">
        <v>10781</v>
      </c>
      <c r="E1389">
        <v>31852535</v>
      </c>
    </row>
    <row r="1390" spans="1:5" x14ac:dyDescent="0.15">
      <c r="A1390" t="s">
        <v>11780</v>
      </c>
      <c r="B1390" t="s">
        <v>11782</v>
      </c>
      <c r="C1390">
        <v>2020</v>
      </c>
      <c r="D1390" t="s">
        <v>11790</v>
      </c>
      <c r="E1390">
        <v>33042098</v>
      </c>
    </row>
    <row r="1391" spans="1:5" x14ac:dyDescent="0.15">
      <c r="A1391" t="s">
        <v>12405</v>
      </c>
      <c r="B1391" t="s">
        <v>12407</v>
      </c>
      <c r="C1391">
        <v>2021</v>
      </c>
      <c r="D1391" t="s">
        <v>12420</v>
      </c>
      <c r="E1391">
        <v>33226554</v>
      </c>
    </row>
    <row r="1392" spans="1:5" x14ac:dyDescent="0.15">
      <c r="A1392" t="s">
        <v>12592</v>
      </c>
      <c r="B1392" t="s">
        <v>12594</v>
      </c>
      <c r="C1392">
        <v>2020</v>
      </c>
      <c r="D1392" t="s">
        <v>12607</v>
      </c>
      <c r="E1392">
        <v>32240782</v>
      </c>
    </row>
    <row r="1393" spans="1:5" x14ac:dyDescent="0.15">
      <c r="A1393" t="s">
        <v>13675</v>
      </c>
      <c r="B1393" t="s">
        <v>13678</v>
      </c>
      <c r="C1393">
        <v>2018</v>
      </c>
      <c r="D1393" t="s">
        <v>13689</v>
      </c>
      <c r="E1393">
        <v>29600371</v>
      </c>
    </row>
    <row r="1394" spans="1:5" x14ac:dyDescent="0.15">
      <c r="A1394" t="s">
        <v>13727</v>
      </c>
      <c r="B1394" t="s">
        <v>13729</v>
      </c>
      <c r="C1394">
        <v>2020</v>
      </c>
      <c r="D1394" t="s">
        <v>13742</v>
      </c>
      <c r="E1394">
        <v>32165241</v>
      </c>
    </row>
    <row r="1395" spans="1:5" x14ac:dyDescent="0.15">
      <c r="A1395" t="s">
        <v>14284</v>
      </c>
      <c r="B1395" t="s">
        <v>14286</v>
      </c>
      <c r="C1395">
        <v>2021</v>
      </c>
      <c r="D1395" t="s">
        <v>14297</v>
      </c>
      <c r="E1395">
        <v>33673859</v>
      </c>
    </row>
    <row r="1396" spans="1:5" x14ac:dyDescent="0.15">
      <c r="A1396" t="s">
        <v>14897</v>
      </c>
      <c r="B1396" t="s">
        <v>14899</v>
      </c>
      <c r="C1396">
        <v>2020</v>
      </c>
      <c r="D1396" t="s">
        <v>14910</v>
      </c>
      <c r="E1396">
        <v>32676055</v>
      </c>
    </row>
    <row r="1397" spans="1:5" x14ac:dyDescent="0.15">
      <c r="A1397" t="s">
        <v>16074</v>
      </c>
      <c r="B1397" t="s">
        <v>16076</v>
      </c>
      <c r="C1397">
        <v>2020</v>
      </c>
      <c r="D1397" t="s">
        <v>16082</v>
      </c>
      <c r="E1397">
        <v>32966397</v>
      </c>
    </row>
    <row r="1398" spans="1:5" x14ac:dyDescent="0.15">
      <c r="A1398" t="s">
        <v>16113</v>
      </c>
      <c r="B1398" t="s">
        <v>16115</v>
      </c>
      <c r="C1398">
        <v>2020</v>
      </c>
      <c r="D1398" t="s">
        <v>16124</v>
      </c>
      <c r="E1398">
        <v>32135028</v>
      </c>
    </row>
    <row r="1399" spans="1:5" x14ac:dyDescent="0.15">
      <c r="A1399" t="s">
        <v>16126</v>
      </c>
      <c r="B1399" t="s">
        <v>16128</v>
      </c>
      <c r="C1399">
        <v>2021</v>
      </c>
      <c r="D1399" t="s">
        <v>16136</v>
      </c>
      <c r="E1399">
        <v>34161059</v>
      </c>
    </row>
    <row r="1400" spans="1:5" x14ac:dyDescent="0.15">
      <c r="A1400" t="s">
        <v>16280</v>
      </c>
      <c r="B1400" t="s">
        <v>16282</v>
      </c>
      <c r="C1400">
        <v>2021</v>
      </c>
      <c r="D1400" t="s">
        <v>16296</v>
      </c>
      <c r="E1400">
        <v>34212056</v>
      </c>
    </row>
    <row r="1401" spans="1:5" x14ac:dyDescent="0.15">
      <c r="A1401" t="s">
        <v>16474</v>
      </c>
      <c r="B1401" t="s">
        <v>16476</v>
      </c>
      <c r="C1401">
        <v>2021</v>
      </c>
      <c r="D1401" t="s">
        <v>16484</v>
      </c>
      <c r="E1401">
        <v>34545708</v>
      </c>
    </row>
    <row r="1402" spans="1:5" x14ac:dyDescent="0.15">
      <c r="A1402" t="s">
        <v>17546</v>
      </c>
      <c r="B1402" t="s">
        <v>17548</v>
      </c>
      <c r="C1402">
        <v>2021</v>
      </c>
      <c r="D1402" t="s">
        <v>17558</v>
      </c>
      <c r="E1402">
        <v>34185493</v>
      </c>
    </row>
    <row r="1403" spans="1:5" x14ac:dyDescent="0.15">
      <c r="A1403" t="s">
        <v>18415</v>
      </c>
      <c r="B1403" t="s">
        <v>18417</v>
      </c>
      <c r="C1403">
        <v>2020</v>
      </c>
      <c r="D1403" t="s">
        <v>18425</v>
      </c>
      <c r="E1403">
        <v>32634139</v>
      </c>
    </row>
    <row r="1404" spans="1:5" x14ac:dyDescent="0.15">
      <c r="A1404" t="s">
        <v>19864</v>
      </c>
      <c r="B1404" t="s">
        <v>19866</v>
      </c>
      <c r="C1404">
        <v>2021</v>
      </c>
      <c r="D1404" t="s">
        <v>19879</v>
      </c>
      <c r="E1404">
        <v>33945510</v>
      </c>
    </row>
    <row r="1405" spans="1:5" x14ac:dyDescent="0.15">
      <c r="A1405" t="s">
        <v>19942</v>
      </c>
      <c r="B1405" t="s">
        <v>19944</v>
      </c>
      <c r="C1405">
        <v>2021</v>
      </c>
      <c r="D1405" t="s">
        <v>19953</v>
      </c>
      <c r="E1405">
        <v>33808110</v>
      </c>
    </row>
    <row r="1406" spans="1:5" x14ac:dyDescent="0.15">
      <c r="A1406" t="s">
        <v>20543</v>
      </c>
      <c r="B1406" t="s">
        <v>20544</v>
      </c>
      <c r="C1406">
        <v>1997</v>
      </c>
      <c r="D1406" t="s">
        <v>74</v>
      </c>
      <c r="E1406">
        <v>9368286</v>
      </c>
    </row>
    <row r="1407" spans="1:5" x14ac:dyDescent="0.15">
      <c r="A1407" t="s">
        <v>20667</v>
      </c>
      <c r="B1407" t="s">
        <v>20669</v>
      </c>
      <c r="C1407">
        <v>2020</v>
      </c>
      <c r="D1407" t="s">
        <v>20677</v>
      </c>
      <c r="E1407">
        <v>32760343</v>
      </c>
    </row>
    <row r="1408" spans="1:5" x14ac:dyDescent="0.15">
      <c r="A1408" t="s">
        <v>22141</v>
      </c>
      <c r="B1408" t="s">
        <v>22143</v>
      </c>
      <c r="C1408">
        <v>2021</v>
      </c>
      <c r="D1408" t="s">
        <v>22156</v>
      </c>
      <c r="E1408">
        <v>33778321</v>
      </c>
    </row>
    <row r="1409" spans="1:5" x14ac:dyDescent="0.15">
      <c r="A1409" t="s">
        <v>22618</v>
      </c>
      <c r="B1409" t="s">
        <v>22620</v>
      </c>
      <c r="C1409">
        <v>2017</v>
      </c>
      <c r="D1409" t="s">
        <v>22627</v>
      </c>
      <c r="E1409">
        <v>28423032</v>
      </c>
    </row>
    <row r="1410" spans="1:5" x14ac:dyDescent="0.15">
      <c r="A1410" t="s">
        <v>23226</v>
      </c>
      <c r="B1410" t="s">
        <v>23228</v>
      </c>
      <c r="C1410">
        <v>2021</v>
      </c>
      <c r="D1410" t="s">
        <v>23235</v>
      </c>
      <c r="E1410">
        <v>33599630</v>
      </c>
    </row>
    <row r="1411" spans="1:5" x14ac:dyDescent="0.15">
      <c r="A1411" t="s">
        <v>23499</v>
      </c>
      <c r="B1411" t="s">
        <v>23501</v>
      </c>
      <c r="C1411">
        <v>2020</v>
      </c>
      <c r="D1411" t="s">
        <v>23510</v>
      </c>
      <c r="E1411">
        <v>32160132</v>
      </c>
    </row>
    <row r="1412" spans="1:5" x14ac:dyDescent="0.15">
      <c r="A1412" t="s">
        <v>24274</v>
      </c>
      <c r="B1412" t="s">
        <v>24275</v>
      </c>
      <c r="C1412">
        <v>1996</v>
      </c>
      <c r="D1412" t="s">
        <v>24283</v>
      </c>
      <c r="E1412">
        <v>8915499</v>
      </c>
    </row>
    <row r="1413" spans="1:5" x14ac:dyDescent="0.15">
      <c r="A1413" t="s">
        <v>24575</v>
      </c>
      <c r="B1413" t="s">
        <v>24576</v>
      </c>
      <c r="C1413">
        <v>1991</v>
      </c>
      <c r="D1413" t="s">
        <v>24585</v>
      </c>
      <c r="E1413">
        <v>1953351</v>
      </c>
    </row>
    <row r="1414" spans="1:5" x14ac:dyDescent="0.15">
      <c r="A1414" t="s">
        <v>24694</v>
      </c>
      <c r="B1414" t="s">
        <v>24696</v>
      </c>
      <c r="C1414">
        <v>2014</v>
      </c>
      <c r="D1414" t="s">
        <v>24708</v>
      </c>
      <c r="E1414">
        <v>26425612</v>
      </c>
    </row>
    <row r="1415" spans="1:5" x14ac:dyDescent="0.15">
      <c r="A1415" t="s">
        <v>24970</v>
      </c>
      <c r="B1415" t="s">
        <v>24972</v>
      </c>
      <c r="C1415">
        <v>2015</v>
      </c>
      <c r="D1415" t="s">
        <v>24980</v>
      </c>
      <c r="E1415">
        <v>26431820</v>
      </c>
    </row>
    <row r="1416" spans="1:5" x14ac:dyDescent="0.15">
      <c r="A1416" t="s">
        <v>25241</v>
      </c>
      <c r="B1416" t="s">
        <v>25244</v>
      </c>
      <c r="C1416">
        <v>2017</v>
      </c>
      <c r="D1416" t="s">
        <v>25253</v>
      </c>
      <c r="E1416">
        <v>28439826</v>
      </c>
    </row>
    <row r="1417" spans="1:5" x14ac:dyDescent="0.15">
      <c r="A1417" t="s">
        <v>25331</v>
      </c>
      <c r="B1417" t="s">
        <v>25333</v>
      </c>
      <c r="C1417">
        <v>2017</v>
      </c>
      <c r="D1417" t="s">
        <v>25344</v>
      </c>
      <c r="E1417">
        <v>28232516</v>
      </c>
    </row>
    <row r="1418" spans="1:5" x14ac:dyDescent="0.15">
      <c r="A1418" t="s">
        <v>25513</v>
      </c>
      <c r="B1418" t="s">
        <v>25515</v>
      </c>
      <c r="C1418">
        <v>2021</v>
      </c>
      <c r="D1418" t="s">
        <v>25520</v>
      </c>
      <c r="E1418">
        <v>34517648</v>
      </c>
    </row>
    <row r="1419" spans="1:5" x14ac:dyDescent="0.15">
      <c r="A1419" t="s">
        <v>25757</v>
      </c>
      <c r="B1419" t="s">
        <v>25759</v>
      </c>
      <c r="C1419">
        <v>2013</v>
      </c>
      <c r="D1419" t="s">
        <v>25770</v>
      </c>
      <c r="E1419">
        <v>23684513</v>
      </c>
    </row>
    <row r="1420" spans="1:5" x14ac:dyDescent="0.15">
      <c r="A1420" t="s">
        <v>26186</v>
      </c>
      <c r="B1420" t="s">
        <v>26592</v>
      </c>
      <c r="C1420">
        <v>2015</v>
      </c>
      <c r="D1420" t="s">
        <v>26598</v>
      </c>
      <c r="E1420">
        <v>26311463</v>
      </c>
    </row>
    <row r="1421" spans="1:5" x14ac:dyDescent="0.15">
      <c r="A1421" t="s">
        <v>26804</v>
      </c>
      <c r="B1421" t="s">
        <v>26805</v>
      </c>
      <c r="C1421">
        <v>2006</v>
      </c>
      <c r="D1421" t="s">
        <v>26813</v>
      </c>
      <c r="E1421">
        <v>16408294</v>
      </c>
    </row>
    <row r="1422" spans="1:5" x14ac:dyDescent="0.15">
      <c r="A1422" t="s">
        <v>27009</v>
      </c>
      <c r="B1422" t="s">
        <v>27011</v>
      </c>
      <c r="C1422">
        <v>2014</v>
      </c>
      <c r="D1422" t="s">
        <v>27023</v>
      </c>
      <c r="E1422" t="s">
        <v>74</v>
      </c>
    </row>
    <row r="1423" spans="1:5" x14ac:dyDescent="0.15">
      <c r="A1423" t="s">
        <v>27390</v>
      </c>
      <c r="B1423" t="s">
        <v>27392</v>
      </c>
      <c r="C1423">
        <v>2017</v>
      </c>
      <c r="D1423" t="s">
        <v>27402</v>
      </c>
      <c r="E1423">
        <v>28771197</v>
      </c>
    </row>
    <row r="1424" spans="1:5" x14ac:dyDescent="0.15">
      <c r="A1424" t="s">
        <v>27942</v>
      </c>
      <c r="B1424" t="s">
        <v>27944</v>
      </c>
      <c r="C1424">
        <v>2021</v>
      </c>
      <c r="D1424" t="s">
        <v>27953</v>
      </c>
      <c r="E1424">
        <v>34373767</v>
      </c>
    </row>
    <row r="1425" spans="1:5" x14ac:dyDescent="0.15">
      <c r="A1425" t="s">
        <v>28024</v>
      </c>
      <c r="B1425" t="s">
        <v>28026</v>
      </c>
      <c r="C1425">
        <v>2017</v>
      </c>
      <c r="D1425" t="s">
        <v>28035</v>
      </c>
      <c r="E1425">
        <v>28756229</v>
      </c>
    </row>
    <row r="1426" spans="1:5" x14ac:dyDescent="0.15">
      <c r="A1426" t="s">
        <v>28185</v>
      </c>
      <c r="B1426" t="s">
        <v>28187</v>
      </c>
      <c r="C1426">
        <v>2016</v>
      </c>
      <c r="D1426" t="s">
        <v>28200</v>
      </c>
      <c r="E1426">
        <v>27455903</v>
      </c>
    </row>
    <row r="1427" spans="1:5" x14ac:dyDescent="0.15">
      <c r="A1427" t="s">
        <v>28673</v>
      </c>
      <c r="B1427" t="s">
        <v>28675</v>
      </c>
      <c r="C1427">
        <v>2018</v>
      </c>
      <c r="D1427" t="s">
        <v>28684</v>
      </c>
      <c r="E1427">
        <v>30185468</v>
      </c>
    </row>
    <row r="1428" spans="1:5" x14ac:dyDescent="0.15">
      <c r="A1428" t="s">
        <v>29943</v>
      </c>
      <c r="B1428" t="s">
        <v>29945</v>
      </c>
      <c r="C1428">
        <v>2016</v>
      </c>
      <c r="D1428" t="s">
        <v>29951</v>
      </c>
      <c r="E1428">
        <v>27317169</v>
      </c>
    </row>
    <row r="1429" spans="1:5" x14ac:dyDescent="0.15">
      <c r="A1429" t="s">
        <v>602</v>
      </c>
      <c r="B1429" t="s">
        <v>604</v>
      </c>
      <c r="C1429">
        <v>2021</v>
      </c>
      <c r="D1429" t="s">
        <v>616</v>
      </c>
      <c r="E1429">
        <v>34262675</v>
      </c>
    </row>
    <row r="1430" spans="1:5" x14ac:dyDescent="0.15">
      <c r="A1430" t="s">
        <v>724</v>
      </c>
      <c r="B1430" t="s">
        <v>710</v>
      </c>
      <c r="C1430">
        <v>2021</v>
      </c>
      <c r="D1430" t="s">
        <v>734</v>
      </c>
      <c r="E1430">
        <v>33420990</v>
      </c>
    </row>
    <row r="1431" spans="1:5" x14ac:dyDescent="0.15">
      <c r="A1431" t="s">
        <v>1392</v>
      </c>
      <c r="B1431" t="s">
        <v>1395</v>
      </c>
      <c r="C1431">
        <v>2022</v>
      </c>
      <c r="D1431" t="s">
        <v>1409</v>
      </c>
      <c r="E1431">
        <v>32603406</v>
      </c>
    </row>
    <row r="1432" spans="1:5" x14ac:dyDescent="0.15">
      <c r="A1432" t="s">
        <v>1481</v>
      </c>
      <c r="B1432" t="s">
        <v>1483</v>
      </c>
      <c r="C1432">
        <v>2020</v>
      </c>
      <c r="D1432" t="s">
        <v>1495</v>
      </c>
      <c r="E1432">
        <v>32456079</v>
      </c>
    </row>
    <row r="1433" spans="1:5" x14ac:dyDescent="0.15">
      <c r="A1433" t="s">
        <v>2336</v>
      </c>
      <c r="B1433" t="s">
        <v>2338</v>
      </c>
      <c r="C1433">
        <v>2020</v>
      </c>
      <c r="D1433" t="s">
        <v>2350</v>
      </c>
      <c r="E1433">
        <v>32450612</v>
      </c>
    </row>
    <row r="1434" spans="1:5" x14ac:dyDescent="0.15">
      <c r="A1434" t="s">
        <v>3147</v>
      </c>
      <c r="B1434" t="s">
        <v>3149</v>
      </c>
      <c r="C1434">
        <v>2017</v>
      </c>
      <c r="D1434" t="s">
        <v>3159</v>
      </c>
      <c r="E1434">
        <v>28387728</v>
      </c>
    </row>
    <row r="1435" spans="1:5" x14ac:dyDescent="0.15">
      <c r="A1435" t="s">
        <v>3273</v>
      </c>
      <c r="B1435" t="s">
        <v>3275</v>
      </c>
      <c r="C1435">
        <v>2021</v>
      </c>
      <c r="D1435" t="s">
        <v>3286</v>
      </c>
      <c r="E1435">
        <v>34295456</v>
      </c>
    </row>
    <row r="1436" spans="1:5" x14ac:dyDescent="0.15">
      <c r="A1436" t="s">
        <v>4346</v>
      </c>
      <c r="B1436" t="s">
        <v>4348</v>
      </c>
      <c r="C1436">
        <v>2021</v>
      </c>
      <c r="D1436" t="s">
        <v>4359</v>
      </c>
      <c r="E1436">
        <v>34377374</v>
      </c>
    </row>
    <row r="1437" spans="1:5" x14ac:dyDescent="0.15">
      <c r="A1437" t="s">
        <v>4375</v>
      </c>
      <c r="B1437" t="s">
        <v>4377</v>
      </c>
      <c r="C1437">
        <v>2021</v>
      </c>
      <c r="D1437" t="s">
        <v>4386</v>
      </c>
      <c r="E1437">
        <v>33430027</v>
      </c>
    </row>
    <row r="1438" spans="1:5" x14ac:dyDescent="0.15">
      <c r="A1438" t="s">
        <v>5288</v>
      </c>
      <c r="B1438" t="s">
        <v>5290</v>
      </c>
      <c r="C1438">
        <v>2020</v>
      </c>
      <c r="D1438" t="s">
        <v>5300</v>
      </c>
      <c r="E1438">
        <v>31941602</v>
      </c>
    </row>
    <row r="1439" spans="1:5" x14ac:dyDescent="0.15">
      <c r="A1439" t="s">
        <v>5520</v>
      </c>
      <c r="B1439" t="s">
        <v>5522</v>
      </c>
      <c r="C1439">
        <v>2021</v>
      </c>
      <c r="D1439" t="s">
        <v>5533</v>
      </c>
      <c r="E1439">
        <v>34236165</v>
      </c>
    </row>
    <row r="1440" spans="1:5" x14ac:dyDescent="0.15">
      <c r="A1440" t="s">
        <v>5555</v>
      </c>
      <c r="B1440" t="s">
        <v>5557</v>
      </c>
      <c r="C1440">
        <v>2021</v>
      </c>
      <c r="D1440" t="s">
        <v>5567</v>
      </c>
      <c r="E1440">
        <v>33298282</v>
      </c>
    </row>
    <row r="1441" spans="1:5" x14ac:dyDescent="0.15">
      <c r="A1441" t="s">
        <v>6238</v>
      </c>
      <c r="B1441" t="s">
        <v>6240</v>
      </c>
      <c r="C1441">
        <v>2021</v>
      </c>
      <c r="D1441" t="s">
        <v>6250</v>
      </c>
      <c r="E1441">
        <v>33472105</v>
      </c>
    </row>
    <row r="1442" spans="1:5" x14ac:dyDescent="0.15">
      <c r="A1442" t="s">
        <v>6464</v>
      </c>
      <c r="B1442" t="s">
        <v>6466</v>
      </c>
      <c r="C1442">
        <v>2021</v>
      </c>
      <c r="D1442" t="s">
        <v>6479</v>
      </c>
      <c r="E1442">
        <v>33756122</v>
      </c>
    </row>
    <row r="1443" spans="1:5" x14ac:dyDescent="0.15">
      <c r="A1443" t="s">
        <v>7471</v>
      </c>
      <c r="B1443" t="s">
        <v>7473</v>
      </c>
      <c r="C1443">
        <v>2021</v>
      </c>
      <c r="D1443" t="s">
        <v>7483</v>
      </c>
      <c r="E1443">
        <v>33671772</v>
      </c>
    </row>
    <row r="1444" spans="1:5" x14ac:dyDescent="0.15">
      <c r="A1444" t="s">
        <v>7620</v>
      </c>
      <c r="B1444" t="s">
        <v>7622</v>
      </c>
      <c r="C1444">
        <v>2021</v>
      </c>
      <c r="D1444" t="s">
        <v>7633</v>
      </c>
      <c r="E1444">
        <v>32726764</v>
      </c>
    </row>
    <row r="1445" spans="1:5" x14ac:dyDescent="0.15">
      <c r="A1445" t="s">
        <v>8197</v>
      </c>
      <c r="B1445" t="s">
        <v>8199</v>
      </c>
      <c r="C1445">
        <v>2020</v>
      </c>
      <c r="D1445" t="s">
        <v>8207</v>
      </c>
      <c r="E1445">
        <v>32375799</v>
      </c>
    </row>
    <row r="1446" spans="1:5" x14ac:dyDescent="0.15">
      <c r="A1446" t="s">
        <v>9757</v>
      </c>
      <c r="B1446" t="s">
        <v>9759</v>
      </c>
      <c r="C1446">
        <v>2021</v>
      </c>
      <c r="D1446" t="s">
        <v>9771</v>
      </c>
      <c r="E1446" t="s">
        <v>74</v>
      </c>
    </row>
    <row r="1447" spans="1:5" x14ac:dyDescent="0.15">
      <c r="A1447" t="s">
        <v>9950</v>
      </c>
      <c r="B1447" t="s">
        <v>9952</v>
      </c>
      <c r="C1447">
        <v>2010</v>
      </c>
      <c r="D1447" t="s">
        <v>9960</v>
      </c>
      <c r="E1447" t="s">
        <v>74</v>
      </c>
    </row>
    <row r="1448" spans="1:5" x14ac:dyDescent="0.15">
      <c r="A1448" t="s">
        <v>10616</v>
      </c>
      <c r="B1448" t="s">
        <v>10618</v>
      </c>
      <c r="C1448">
        <v>2020</v>
      </c>
      <c r="D1448" t="s">
        <v>10627</v>
      </c>
      <c r="E1448">
        <v>33216751</v>
      </c>
    </row>
    <row r="1449" spans="1:5" x14ac:dyDescent="0.15">
      <c r="A1449" t="s">
        <v>10922</v>
      </c>
      <c r="B1449" t="s">
        <v>10924</v>
      </c>
      <c r="C1449">
        <v>2021</v>
      </c>
      <c r="D1449" t="s">
        <v>10933</v>
      </c>
      <c r="E1449">
        <v>34769002</v>
      </c>
    </row>
    <row r="1450" spans="1:5" x14ac:dyDescent="0.15">
      <c r="A1450" t="s">
        <v>12272</v>
      </c>
      <c r="B1450" t="s">
        <v>12274</v>
      </c>
      <c r="C1450">
        <v>2020</v>
      </c>
      <c r="D1450" t="s">
        <v>12285</v>
      </c>
      <c r="E1450">
        <v>33169793</v>
      </c>
    </row>
    <row r="1451" spans="1:5" x14ac:dyDescent="0.15">
      <c r="A1451" t="s">
        <v>12457</v>
      </c>
      <c r="B1451" t="s">
        <v>12459</v>
      </c>
      <c r="C1451">
        <v>2017</v>
      </c>
      <c r="D1451" t="s">
        <v>12470</v>
      </c>
      <c r="E1451">
        <v>30023529</v>
      </c>
    </row>
    <row r="1452" spans="1:5" x14ac:dyDescent="0.15">
      <c r="A1452" t="s">
        <v>12831</v>
      </c>
      <c r="B1452" t="s">
        <v>12833</v>
      </c>
      <c r="C1452">
        <v>2020</v>
      </c>
      <c r="D1452" t="s">
        <v>12845</v>
      </c>
      <c r="E1452" t="s">
        <v>74</v>
      </c>
    </row>
    <row r="1453" spans="1:5" x14ac:dyDescent="0.15">
      <c r="A1453" t="s">
        <v>13058</v>
      </c>
      <c r="B1453" t="s">
        <v>13060</v>
      </c>
      <c r="C1453">
        <v>2021</v>
      </c>
      <c r="D1453" t="s">
        <v>13070</v>
      </c>
      <c r="E1453">
        <v>34679526</v>
      </c>
    </row>
    <row r="1454" spans="1:5" x14ac:dyDescent="0.15">
      <c r="A1454" t="s">
        <v>13097</v>
      </c>
      <c r="B1454" t="s">
        <v>13099</v>
      </c>
      <c r="C1454">
        <v>2021</v>
      </c>
      <c r="D1454" t="s">
        <v>13107</v>
      </c>
      <c r="E1454">
        <v>34515703</v>
      </c>
    </row>
    <row r="1455" spans="1:5" x14ac:dyDescent="0.15">
      <c r="A1455" t="s">
        <v>14212</v>
      </c>
      <c r="B1455" t="s">
        <v>14214</v>
      </c>
      <c r="C1455">
        <v>2021</v>
      </c>
      <c r="D1455" t="s">
        <v>74</v>
      </c>
      <c r="E1455">
        <v>33882455</v>
      </c>
    </row>
    <row r="1456" spans="1:5" x14ac:dyDescent="0.15">
      <c r="A1456" t="s">
        <v>14515</v>
      </c>
      <c r="B1456" t="s">
        <v>14517</v>
      </c>
      <c r="C1456">
        <v>2021</v>
      </c>
      <c r="D1456" t="s">
        <v>14525</v>
      </c>
      <c r="E1456">
        <v>34369746</v>
      </c>
    </row>
    <row r="1457" spans="1:5" x14ac:dyDescent="0.15">
      <c r="A1457" t="s">
        <v>14541</v>
      </c>
      <c r="B1457" t="s">
        <v>14543</v>
      </c>
      <c r="C1457">
        <v>2021</v>
      </c>
      <c r="D1457" t="s">
        <v>14552</v>
      </c>
      <c r="E1457">
        <v>34632781</v>
      </c>
    </row>
    <row r="1458" spans="1:5" x14ac:dyDescent="0.15">
      <c r="A1458" t="s">
        <v>15194</v>
      </c>
      <c r="B1458" t="s">
        <v>15196</v>
      </c>
      <c r="C1458">
        <v>2014</v>
      </c>
      <c r="D1458" t="s">
        <v>15207</v>
      </c>
      <c r="E1458">
        <v>24046067</v>
      </c>
    </row>
    <row r="1459" spans="1:5" x14ac:dyDescent="0.15">
      <c r="A1459" t="s">
        <v>16060</v>
      </c>
      <c r="B1459" t="s">
        <v>16062</v>
      </c>
      <c r="C1459">
        <v>2020</v>
      </c>
      <c r="D1459" t="s">
        <v>16072</v>
      </c>
      <c r="E1459">
        <v>32622965</v>
      </c>
    </row>
    <row r="1460" spans="1:5" x14ac:dyDescent="0.15">
      <c r="A1460" t="s">
        <v>16845</v>
      </c>
      <c r="B1460" t="s">
        <v>16847</v>
      </c>
      <c r="C1460">
        <v>2021</v>
      </c>
      <c r="D1460" t="s">
        <v>16856</v>
      </c>
      <c r="E1460">
        <v>33669497</v>
      </c>
    </row>
    <row r="1461" spans="1:5" x14ac:dyDescent="0.15">
      <c r="A1461" t="s">
        <v>17699</v>
      </c>
      <c r="B1461" t="s">
        <v>17701</v>
      </c>
      <c r="C1461">
        <v>2021</v>
      </c>
      <c r="D1461" t="s">
        <v>17711</v>
      </c>
      <c r="E1461">
        <v>35014524</v>
      </c>
    </row>
    <row r="1462" spans="1:5" x14ac:dyDescent="0.15">
      <c r="A1462" t="s">
        <v>18053</v>
      </c>
      <c r="B1462" t="s">
        <v>18055</v>
      </c>
      <c r="C1462">
        <v>2014</v>
      </c>
      <c r="D1462" t="s">
        <v>18062</v>
      </c>
      <c r="E1462">
        <v>24923442</v>
      </c>
    </row>
    <row r="1463" spans="1:5" x14ac:dyDescent="0.15">
      <c r="A1463" t="s">
        <v>18348</v>
      </c>
      <c r="B1463" t="s">
        <v>18350</v>
      </c>
      <c r="C1463">
        <v>2021</v>
      </c>
      <c r="D1463" t="s">
        <v>18358</v>
      </c>
      <c r="E1463">
        <v>33651959</v>
      </c>
    </row>
    <row r="1464" spans="1:5" x14ac:dyDescent="0.15">
      <c r="A1464" t="s">
        <v>18763</v>
      </c>
      <c r="B1464" t="s">
        <v>18765</v>
      </c>
      <c r="C1464">
        <v>2021</v>
      </c>
      <c r="D1464" t="s">
        <v>18776</v>
      </c>
      <c r="E1464">
        <v>33488093</v>
      </c>
    </row>
    <row r="1465" spans="1:5" x14ac:dyDescent="0.15">
      <c r="A1465" t="s">
        <v>18831</v>
      </c>
      <c r="B1465" t="s">
        <v>18833</v>
      </c>
      <c r="C1465">
        <v>2018</v>
      </c>
      <c r="D1465" t="s">
        <v>18844</v>
      </c>
      <c r="E1465">
        <v>28372464</v>
      </c>
    </row>
    <row r="1466" spans="1:5" x14ac:dyDescent="0.15">
      <c r="A1466" t="s">
        <v>18903</v>
      </c>
      <c r="B1466" t="s">
        <v>18905</v>
      </c>
      <c r="C1466">
        <v>2022</v>
      </c>
      <c r="D1466" t="s">
        <v>18912</v>
      </c>
      <c r="E1466">
        <v>34637590</v>
      </c>
    </row>
    <row r="1467" spans="1:5" x14ac:dyDescent="0.15">
      <c r="A1467" t="s">
        <v>19527</v>
      </c>
      <c r="B1467" t="s">
        <v>19529</v>
      </c>
      <c r="C1467">
        <v>2021</v>
      </c>
      <c r="D1467" t="s">
        <v>19537</v>
      </c>
      <c r="E1467">
        <v>34887868</v>
      </c>
    </row>
    <row r="1468" spans="1:5" x14ac:dyDescent="0.15">
      <c r="A1468" t="s">
        <v>19612</v>
      </c>
      <c r="B1468" t="s">
        <v>19614</v>
      </c>
      <c r="C1468">
        <v>2021</v>
      </c>
      <c r="D1468" t="s">
        <v>19627</v>
      </c>
      <c r="E1468" t="s">
        <v>74</v>
      </c>
    </row>
    <row r="1469" spans="1:5" x14ac:dyDescent="0.15">
      <c r="A1469" t="s">
        <v>21334</v>
      </c>
      <c r="B1469" t="s">
        <v>21335</v>
      </c>
      <c r="C1469">
        <v>2006</v>
      </c>
      <c r="D1469" t="s">
        <v>21345</v>
      </c>
      <c r="E1469">
        <v>16553852</v>
      </c>
    </row>
    <row r="1470" spans="1:5" x14ac:dyDescent="0.15">
      <c r="A1470" t="s">
        <v>21874</v>
      </c>
      <c r="B1470" t="s">
        <v>21876</v>
      </c>
      <c r="C1470">
        <v>2022</v>
      </c>
      <c r="D1470" t="s">
        <v>21884</v>
      </c>
      <c r="E1470">
        <v>34890883</v>
      </c>
    </row>
    <row r="1471" spans="1:5" x14ac:dyDescent="0.15">
      <c r="A1471" t="s">
        <v>22256</v>
      </c>
      <c r="B1471" t="s">
        <v>22258</v>
      </c>
      <c r="C1471">
        <v>2019</v>
      </c>
      <c r="D1471" t="s">
        <v>22266</v>
      </c>
      <c r="E1471">
        <v>31302031</v>
      </c>
    </row>
    <row r="1472" spans="1:5" x14ac:dyDescent="0.15">
      <c r="A1472" t="s">
        <v>22944</v>
      </c>
      <c r="B1472" t="s">
        <v>22946</v>
      </c>
      <c r="C1472">
        <v>2021</v>
      </c>
      <c r="D1472" t="s">
        <v>22955</v>
      </c>
      <c r="E1472">
        <v>33426510</v>
      </c>
    </row>
    <row r="1473" spans="1:5" x14ac:dyDescent="0.15">
      <c r="A1473" t="s">
        <v>23979</v>
      </c>
      <c r="B1473" t="s">
        <v>23981</v>
      </c>
      <c r="C1473">
        <v>2021</v>
      </c>
      <c r="D1473" t="s">
        <v>23993</v>
      </c>
      <c r="E1473">
        <v>33867829</v>
      </c>
    </row>
    <row r="1474" spans="1:5" x14ac:dyDescent="0.15">
      <c r="A1474" t="s">
        <v>10105</v>
      </c>
      <c r="B1474" t="s">
        <v>25157</v>
      </c>
      <c r="C1474">
        <v>2021</v>
      </c>
      <c r="D1474" t="s">
        <v>25163</v>
      </c>
      <c r="E1474" t="s">
        <v>74</v>
      </c>
    </row>
    <row r="1475" spans="1:5" x14ac:dyDescent="0.15">
      <c r="A1475" t="s">
        <v>26104</v>
      </c>
      <c r="B1475" t="s">
        <v>26106</v>
      </c>
      <c r="C1475">
        <v>2020</v>
      </c>
      <c r="D1475" t="s">
        <v>26116</v>
      </c>
      <c r="E1475">
        <v>33117738</v>
      </c>
    </row>
    <row r="1476" spans="1:5" x14ac:dyDescent="0.15">
      <c r="A1476" t="s">
        <v>26991</v>
      </c>
      <c r="B1476" t="s">
        <v>26994</v>
      </c>
      <c r="C1476">
        <v>2019</v>
      </c>
      <c r="D1476" t="s">
        <v>27005</v>
      </c>
      <c r="E1476">
        <v>30350211</v>
      </c>
    </row>
    <row r="1477" spans="1:5" x14ac:dyDescent="0.15">
      <c r="A1477" t="s">
        <v>27237</v>
      </c>
      <c r="B1477" t="s">
        <v>27239</v>
      </c>
      <c r="C1477">
        <v>2021</v>
      </c>
      <c r="D1477" t="s">
        <v>27248</v>
      </c>
      <c r="E1477">
        <v>33496751</v>
      </c>
    </row>
    <row r="1478" spans="1:5" x14ac:dyDescent="0.15">
      <c r="A1478" t="s">
        <v>27813</v>
      </c>
      <c r="B1478" t="s">
        <v>27815</v>
      </c>
      <c r="C1478">
        <v>2022</v>
      </c>
      <c r="D1478" t="s">
        <v>27825</v>
      </c>
      <c r="E1478">
        <v>34750787</v>
      </c>
    </row>
    <row r="1479" spans="1:5" x14ac:dyDescent="0.15">
      <c r="A1479" t="s">
        <v>28147</v>
      </c>
      <c r="B1479" t="s">
        <v>28149</v>
      </c>
      <c r="C1479">
        <v>2022</v>
      </c>
      <c r="D1479" t="s">
        <v>28159</v>
      </c>
      <c r="E1479">
        <v>34656690</v>
      </c>
    </row>
    <row r="1480" spans="1:5" x14ac:dyDescent="0.15">
      <c r="A1480" t="s">
        <v>29277</v>
      </c>
      <c r="B1480" t="s">
        <v>29279</v>
      </c>
      <c r="C1480">
        <v>2020</v>
      </c>
      <c r="D1480" t="s">
        <v>29290</v>
      </c>
      <c r="E1480">
        <v>32170623</v>
      </c>
    </row>
    <row r="1481" spans="1:5" x14ac:dyDescent="0.15">
      <c r="A1481" t="s">
        <v>29453</v>
      </c>
      <c r="B1481" t="s">
        <v>29455</v>
      </c>
      <c r="C1481">
        <v>2019</v>
      </c>
      <c r="D1481" t="s">
        <v>29464</v>
      </c>
      <c r="E1481">
        <v>30954730</v>
      </c>
    </row>
    <row r="1482" spans="1:5" x14ac:dyDescent="0.15">
      <c r="A1482" t="s">
        <v>29698</v>
      </c>
      <c r="B1482" t="s">
        <v>29700</v>
      </c>
      <c r="C1482">
        <v>2022</v>
      </c>
      <c r="D1482" t="s">
        <v>29710</v>
      </c>
      <c r="E1482">
        <v>34741958</v>
      </c>
    </row>
    <row r="1483" spans="1:5" x14ac:dyDescent="0.15">
      <c r="A1483" t="s">
        <v>29981</v>
      </c>
      <c r="B1483" t="s">
        <v>29983</v>
      </c>
      <c r="C1483">
        <v>2016</v>
      </c>
      <c r="D1483" t="s">
        <v>29990</v>
      </c>
      <c r="E1483">
        <v>27317180</v>
      </c>
    </row>
    <row r="1484" spans="1:5" x14ac:dyDescent="0.15">
      <c r="A1484" t="s">
        <v>469</v>
      </c>
      <c r="B1484" t="s">
        <v>471</v>
      </c>
      <c r="C1484">
        <v>2021</v>
      </c>
      <c r="D1484" t="s">
        <v>479</v>
      </c>
      <c r="E1484">
        <v>33918465</v>
      </c>
    </row>
    <row r="1485" spans="1:5" x14ac:dyDescent="0.15">
      <c r="A1485" t="s">
        <v>1120</v>
      </c>
      <c r="B1485" t="s">
        <v>1122</v>
      </c>
      <c r="C1485">
        <v>2021</v>
      </c>
      <c r="D1485" t="s">
        <v>1135</v>
      </c>
      <c r="E1485">
        <v>34298496</v>
      </c>
    </row>
    <row r="1486" spans="1:5" x14ac:dyDescent="0.15">
      <c r="A1486" t="s">
        <v>1412</v>
      </c>
      <c r="B1486" t="s">
        <v>1414</v>
      </c>
      <c r="C1486">
        <v>2016</v>
      </c>
      <c r="D1486" t="s">
        <v>1427</v>
      </c>
      <c r="E1486">
        <v>26412464</v>
      </c>
    </row>
    <row r="1487" spans="1:5" x14ac:dyDescent="0.15">
      <c r="A1487" t="s">
        <v>1955</v>
      </c>
      <c r="B1487" t="s">
        <v>1957</v>
      </c>
      <c r="C1487">
        <v>2021</v>
      </c>
      <c r="D1487" t="s">
        <v>1966</v>
      </c>
      <c r="E1487">
        <v>34647460</v>
      </c>
    </row>
    <row r="1488" spans="1:5" x14ac:dyDescent="0.15">
      <c r="A1488" t="s">
        <v>2150</v>
      </c>
      <c r="B1488" t="s">
        <v>2152</v>
      </c>
      <c r="C1488">
        <v>2020</v>
      </c>
      <c r="D1488" t="s">
        <v>2162</v>
      </c>
      <c r="E1488">
        <v>33260345</v>
      </c>
    </row>
    <row r="1489" spans="1:5" x14ac:dyDescent="0.15">
      <c r="A1489" t="s">
        <v>2278</v>
      </c>
      <c r="B1489" t="s">
        <v>2280</v>
      </c>
      <c r="C1489">
        <v>2020</v>
      </c>
      <c r="D1489" t="s">
        <v>2293</v>
      </c>
      <c r="E1489">
        <v>32114423</v>
      </c>
    </row>
    <row r="1490" spans="1:5" x14ac:dyDescent="0.15">
      <c r="A1490" t="s">
        <v>2310</v>
      </c>
      <c r="B1490" t="s">
        <v>2312</v>
      </c>
      <c r="C1490">
        <v>2021</v>
      </c>
      <c r="D1490" t="s">
        <v>2322</v>
      </c>
      <c r="E1490">
        <v>34517262</v>
      </c>
    </row>
    <row r="1491" spans="1:5" x14ac:dyDescent="0.15">
      <c r="A1491" t="s">
        <v>2860</v>
      </c>
      <c r="B1491" t="s">
        <v>2862</v>
      </c>
      <c r="C1491">
        <v>2021</v>
      </c>
      <c r="D1491" t="s">
        <v>2874</v>
      </c>
      <c r="E1491">
        <v>34445894</v>
      </c>
    </row>
    <row r="1492" spans="1:5" x14ac:dyDescent="0.15">
      <c r="A1492" t="s">
        <v>3378</v>
      </c>
      <c r="B1492" t="s">
        <v>3380</v>
      </c>
      <c r="C1492">
        <v>2021</v>
      </c>
      <c r="D1492" t="s">
        <v>3391</v>
      </c>
      <c r="E1492">
        <v>33569297</v>
      </c>
    </row>
    <row r="1493" spans="1:5" x14ac:dyDescent="0.15">
      <c r="A1493" t="s">
        <v>3519</v>
      </c>
      <c r="B1493" t="s">
        <v>3521</v>
      </c>
      <c r="C1493">
        <v>2017</v>
      </c>
      <c r="D1493" t="s">
        <v>3529</v>
      </c>
      <c r="E1493">
        <v>29040005</v>
      </c>
    </row>
    <row r="1494" spans="1:5" x14ac:dyDescent="0.15">
      <c r="A1494" t="s">
        <v>3567</v>
      </c>
      <c r="B1494" t="s">
        <v>3569</v>
      </c>
      <c r="C1494">
        <v>2022</v>
      </c>
      <c r="D1494" t="s">
        <v>3582</v>
      </c>
      <c r="E1494" t="s">
        <v>74</v>
      </c>
    </row>
    <row r="1495" spans="1:5" x14ac:dyDescent="0.15">
      <c r="A1495" t="s">
        <v>3647</v>
      </c>
      <c r="B1495" t="s">
        <v>3649</v>
      </c>
      <c r="C1495">
        <v>2021</v>
      </c>
      <c r="D1495" t="s">
        <v>3661</v>
      </c>
      <c r="E1495" t="s">
        <v>74</v>
      </c>
    </row>
    <row r="1496" spans="1:5" x14ac:dyDescent="0.15">
      <c r="A1496" t="s">
        <v>4058</v>
      </c>
      <c r="B1496" t="s">
        <v>4060</v>
      </c>
      <c r="C1496">
        <v>2019</v>
      </c>
      <c r="D1496" t="s">
        <v>4072</v>
      </c>
      <c r="E1496">
        <v>30793504</v>
      </c>
    </row>
    <row r="1497" spans="1:5" x14ac:dyDescent="0.15">
      <c r="A1497" t="s">
        <v>4277</v>
      </c>
      <c r="B1497" t="s">
        <v>4279</v>
      </c>
      <c r="C1497">
        <v>2022</v>
      </c>
      <c r="D1497" t="s">
        <v>4289</v>
      </c>
      <c r="E1497">
        <v>34662248</v>
      </c>
    </row>
    <row r="1498" spans="1:5" x14ac:dyDescent="0.15">
      <c r="A1498" t="s">
        <v>4449</v>
      </c>
      <c r="B1498" t="s">
        <v>4451</v>
      </c>
      <c r="C1498">
        <v>2021</v>
      </c>
      <c r="D1498" t="s">
        <v>4463</v>
      </c>
      <c r="E1498">
        <v>34103018</v>
      </c>
    </row>
    <row r="1499" spans="1:5" x14ac:dyDescent="0.15">
      <c r="A1499" t="s">
        <v>4715</v>
      </c>
      <c r="B1499" t="s">
        <v>4717</v>
      </c>
      <c r="C1499">
        <v>2021</v>
      </c>
      <c r="D1499" t="s">
        <v>4727</v>
      </c>
      <c r="E1499" t="s">
        <v>74</v>
      </c>
    </row>
    <row r="1500" spans="1:5" x14ac:dyDescent="0.15">
      <c r="A1500" t="s">
        <v>5749</v>
      </c>
      <c r="B1500" t="s">
        <v>5751</v>
      </c>
      <c r="C1500">
        <v>2021</v>
      </c>
      <c r="D1500" t="s">
        <v>5761</v>
      </c>
      <c r="E1500">
        <v>34281154</v>
      </c>
    </row>
    <row r="1501" spans="1:5" x14ac:dyDescent="0.15">
      <c r="A1501" t="s">
        <v>5808</v>
      </c>
      <c r="B1501" t="s">
        <v>5810</v>
      </c>
      <c r="C1501">
        <v>2021</v>
      </c>
      <c r="D1501" t="s">
        <v>5824</v>
      </c>
      <c r="E1501">
        <v>34214634</v>
      </c>
    </row>
    <row r="1502" spans="1:5" x14ac:dyDescent="0.15">
      <c r="A1502" t="s">
        <v>6121</v>
      </c>
      <c r="B1502" t="s">
        <v>6123</v>
      </c>
      <c r="C1502">
        <v>2021</v>
      </c>
      <c r="D1502" t="s">
        <v>6133</v>
      </c>
      <c r="E1502">
        <v>34681030</v>
      </c>
    </row>
    <row r="1503" spans="1:5" x14ac:dyDescent="0.15">
      <c r="A1503" t="s">
        <v>6450</v>
      </c>
      <c r="B1503" t="s">
        <v>6452</v>
      </c>
      <c r="C1503">
        <v>2021</v>
      </c>
      <c r="D1503" t="s">
        <v>6462</v>
      </c>
      <c r="E1503">
        <v>34572021</v>
      </c>
    </row>
    <row r="1504" spans="1:5" x14ac:dyDescent="0.15">
      <c r="A1504" t="s">
        <v>6583</v>
      </c>
      <c r="B1504" t="s">
        <v>6585</v>
      </c>
      <c r="C1504">
        <v>2020</v>
      </c>
      <c r="D1504" t="s">
        <v>6594</v>
      </c>
      <c r="E1504">
        <v>33161974</v>
      </c>
    </row>
    <row r="1505" spans="1:5" x14ac:dyDescent="0.15">
      <c r="A1505" t="s">
        <v>7127</v>
      </c>
      <c r="B1505" t="s">
        <v>7129</v>
      </c>
      <c r="C1505">
        <v>2021</v>
      </c>
      <c r="D1505" t="s">
        <v>7138</v>
      </c>
      <c r="E1505">
        <v>33738245</v>
      </c>
    </row>
    <row r="1506" spans="1:5" x14ac:dyDescent="0.15">
      <c r="A1506" t="s">
        <v>7403</v>
      </c>
      <c r="B1506" t="s">
        <v>7405</v>
      </c>
      <c r="C1506">
        <v>2021</v>
      </c>
      <c r="D1506" t="s">
        <v>7416</v>
      </c>
      <c r="E1506">
        <v>34611515</v>
      </c>
    </row>
    <row r="1507" spans="1:5" x14ac:dyDescent="0.15">
      <c r="A1507" t="s">
        <v>8382</v>
      </c>
      <c r="B1507" t="s">
        <v>8384</v>
      </c>
      <c r="C1507">
        <v>2021</v>
      </c>
      <c r="D1507" t="s">
        <v>8397</v>
      </c>
      <c r="E1507">
        <v>33040492</v>
      </c>
    </row>
    <row r="1508" spans="1:5" x14ac:dyDescent="0.15">
      <c r="A1508" t="s">
        <v>8451</v>
      </c>
      <c r="B1508" t="s">
        <v>8453</v>
      </c>
      <c r="C1508">
        <v>2021</v>
      </c>
      <c r="D1508" t="s">
        <v>8465</v>
      </c>
      <c r="E1508">
        <v>34649349</v>
      </c>
    </row>
    <row r="1509" spans="1:5" x14ac:dyDescent="0.15">
      <c r="A1509" t="s">
        <v>8777</v>
      </c>
      <c r="B1509" t="s">
        <v>8779</v>
      </c>
      <c r="C1509">
        <v>2021</v>
      </c>
      <c r="D1509" t="s">
        <v>8790</v>
      </c>
      <c r="E1509">
        <v>33525618</v>
      </c>
    </row>
    <row r="1510" spans="1:5" x14ac:dyDescent="0.15">
      <c r="A1510" t="s">
        <v>9118</v>
      </c>
      <c r="B1510" t="s">
        <v>9120</v>
      </c>
      <c r="C1510">
        <v>2020</v>
      </c>
      <c r="D1510" t="s">
        <v>9131</v>
      </c>
      <c r="E1510">
        <v>32595443</v>
      </c>
    </row>
    <row r="1511" spans="1:5" x14ac:dyDescent="0.15">
      <c r="A1511" t="s">
        <v>9834</v>
      </c>
      <c r="B1511" t="s">
        <v>9836</v>
      </c>
      <c r="C1511">
        <v>2022</v>
      </c>
      <c r="D1511" t="s">
        <v>9844</v>
      </c>
      <c r="E1511">
        <v>35292020</v>
      </c>
    </row>
    <row r="1512" spans="1:5" x14ac:dyDescent="0.15">
      <c r="A1512" t="s">
        <v>9846</v>
      </c>
      <c r="B1512" t="s">
        <v>9848</v>
      </c>
      <c r="C1512">
        <v>2020</v>
      </c>
      <c r="D1512" t="s">
        <v>9860</v>
      </c>
      <c r="E1512">
        <v>32530449</v>
      </c>
    </row>
    <row r="1513" spans="1:5" x14ac:dyDescent="0.15">
      <c r="A1513" t="s">
        <v>10036</v>
      </c>
      <c r="B1513" t="s">
        <v>10038</v>
      </c>
      <c r="C1513">
        <v>2021</v>
      </c>
      <c r="D1513" t="s">
        <v>10047</v>
      </c>
      <c r="E1513">
        <v>34407412</v>
      </c>
    </row>
    <row r="1514" spans="1:5" x14ac:dyDescent="0.15">
      <c r="A1514" t="s">
        <v>11363</v>
      </c>
      <c r="B1514" t="s">
        <v>11365</v>
      </c>
      <c r="C1514">
        <v>2017</v>
      </c>
      <c r="D1514" t="s">
        <v>11378</v>
      </c>
      <c r="E1514">
        <v>28636071</v>
      </c>
    </row>
    <row r="1515" spans="1:5" x14ac:dyDescent="0.15">
      <c r="A1515" t="s">
        <v>11853</v>
      </c>
      <c r="B1515" t="s">
        <v>11855</v>
      </c>
      <c r="C1515">
        <v>2020</v>
      </c>
      <c r="D1515" t="s">
        <v>11864</v>
      </c>
      <c r="E1515">
        <v>33224932</v>
      </c>
    </row>
    <row r="1516" spans="1:5" x14ac:dyDescent="0.15">
      <c r="A1516" t="s">
        <v>12153</v>
      </c>
      <c r="B1516" t="s">
        <v>12155</v>
      </c>
      <c r="C1516">
        <v>2020</v>
      </c>
      <c r="D1516" t="s">
        <v>12166</v>
      </c>
      <c r="E1516">
        <v>31678172</v>
      </c>
    </row>
    <row r="1517" spans="1:5" x14ac:dyDescent="0.15">
      <c r="A1517" t="s">
        <v>12391</v>
      </c>
      <c r="B1517" t="s">
        <v>12393</v>
      </c>
      <c r="C1517">
        <v>2020</v>
      </c>
      <c r="D1517" t="s">
        <v>12403</v>
      </c>
      <c r="E1517">
        <v>32932765</v>
      </c>
    </row>
    <row r="1518" spans="1:5" x14ac:dyDescent="0.15">
      <c r="A1518" t="s">
        <v>13328</v>
      </c>
      <c r="B1518" t="s">
        <v>13330</v>
      </c>
      <c r="C1518">
        <v>2021</v>
      </c>
      <c r="D1518" t="s">
        <v>13338</v>
      </c>
      <c r="E1518">
        <v>34750393</v>
      </c>
    </row>
    <row r="1519" spans="1:5" x14ac:dyDescent="0.15">
      <c r="A1519" t="s">
        <v>13478</v>
      </c>
      <c r="B1519" t="s">
        <v>13480</v>
      </c>
      <c r="C1519">
        <v>2021</v>
      </c>
      <c r="D1519" t="s">
        <v>13489</v>
      </c>
      <c r="E1519">
        <v>33973465</v>
      </c>
    </row>
    <row r="1520" spans="1:5" x14ac:dyDescent="0.15">
      <c r="A1520" t="s">
        <v>13600</v>
      </c>
      <c r="B1520" t="s">
        <v>13602</v>
      </c>
      <c r="C1520">
        <v>2021</v>
      </c>
      <c r="D1520" t="s">
        <v>13610</v>
      </c>
      <c r="E1520">
        <v>33379152</v>
      </c>
    </row>
    <row r="1521" spans="1:5" x14ac:dyDescent="0.15">
      <c r="A1521" t="s">
        <v>14484</v>
      </c>
      <c r="B1521" t="s">
        <v>14486</v>
      </c>
      <c r="C1521">
        <v>2022</v>
      </c>
      <c r="D1521" t="s">
        <v>14498</v>
      </c>
      <c r="E1521">
        <v>34801930</v>
      </c>
    </row>
    <row r="1522" spans="1:5" x14ac:dyDescent="0.15">
      <c r="A1522" t="s">
        <v>14932</v>
      </c>
      <c r="B1522" t="s">
        <v>14934</v>
      </c>
      <c r="C1522">
        <v>2022</v>
      </c>
      <c r="D1522" t="s">
        <v>14946</v>
      </c>
      <c r="E1522">
        <v>35436552</v>
      </c>
    </row>
    <row r="1523" spans="1:5" x14ac:dyDescent="0.15">
      <c r="A1523" t="s">
        <v>16020</v>
      </c>
      <c r="B1523" t="s">
        <v>16021</v>
      </c>
      <c r="C1523">
        <v>2001</v>
      </c>
      <c r="D1523" t="s">
        <v>16028</v>
      </c>
      <c r="E1523">
        <v>11747611</v>
      </c>
    </row>
    <row r="1524" spans="1:5" x14ac:dyDescent="0.15">
      <c r="A1524" t="s">
        <v>16486</v>
      </c>
      <c r="B1524" t="s">
        <v>16488</v>
      </c>
      <c r="C1524">
        <v>2020</v>
      </c>
      <c r="D1524" t="s">
        <v>16498</v>
      </c>
      <c r="E1524">
        <v>33196678</v>
      </c>
    </row>
    <row r="1525" spans="1:5" x14ac:dyDescent="0.15">
      <c r="A1525" t="s">
        <v>16559</v>
      </c>
      <c r="B1525" t="s">
        <v>16561</v>
      </c>
      <c r="C1525">
        <v>2017</v>
      </c>
      <c r="D1525" t="s">
        <v>16570</v>
      </c>
      <c r="E1525">
        <v>28968422</v>
      </c>
    </row>
    <row r="1526" spans="1:5" x14ac:dyDescent="0.15">
      <c r="A1526" t="s">
        <v>17293</v>
      </c>
      <c r="B1526" t="s">
        <v>17295</v>
      </c>
      <c r="C1526">
        <v>2020</v>
      </c>
      <c r="D1526" t="s">
        <v>17304</v>
      </c>
      <c r="E1526">
        <v>32989096</v>
      </c>
    </row>
    <row r="1527" spans="1:5" x14ac:dyDescent="0.15">
      <c r="A1527" t="s">
        <v>17361</v>
      </c>
      <c r="B1527" t="s">
        <v>17363</v>
      </c>
      <c r="C1527">
        <v>2021</v>
      </c>
      <c r="D1527" t="s">
        <v>17369</v>
      </c>
      <c r="E1527">
        <v>33435996</v>
      </c>
    </row>
    <row r="1528" spans="1:5" x14ac:dyDescent="0.15">
      <c r="A1528" t="s">
        <v>17646</v>
      </c>
      <c r="B1528" t="s">
        <v>17648</v>
      </c>
      <c r="C1528">
        <v>2020</v>
      </c>
      <c r="D1528" t="s">
        <v>17661</v>
      </c>
      <c r="E1528">
        <v>32040616</v>
      </c>
    </row>
    <row r="1529" spans="1:5" x14ac:dyDescent="0.15">
      <c r="A1529" t="s">
        <v>17969</v>
      </c>
      <c r="B1529" t="s">
        <v>17971</v>
      </c>
      <c r="C1529">
        <v>2021</v>
      </c>
      <c r="D1529" t="s">
        <v>17982</v>
      </c>
      <c r="E1529">
        <v>34126903</v>
      </c>
    </row>
    <row r="1530" spans="1:5" x14ac:dyDescent="0.15">
      <c r="A1530" t="s">
        <v>19514</v>
      </c>
      <c r="B1530" t="s">
        <v>19516</v>
      </c>
      <c r="C1530">
        <v>2017</v>
      </c>
      <c r="D1530" t="s">
        <v>19525</v>
      </c>
      <c r="E1530">
        <v>27887986</v>
      </c>
    </row>
    <row r="1531" spans="1:5" x14ac:dyDescent="0.15">
      <c r="A1531" t="s">
        <v>19629</v>
      </c>
      <c r="B1531" t="s">
        <v>19631</v>
      </c>
      <c r="C1531">
        <v>2020</v>
      </c>
      <c r="D1531" t="s">
        <v>19638</v>
      </c>
      <c r="E1531">
        <v>32823598</v>
      </c>
    </row>
    <row r="1532" spans="1:5" x14ac:dyDescent="0.15">
      <c r="A1532" t="s">
        <v>19796</v>
      </c>
      <c r="B1532" t="s">
        <v>19798</v>
      </c>
      <c r="C1532">
        <v>2021</v>
      </c>
      <c r="D1532" t="s">
        <v>19807</v>
      </c>
      <c r="E1532">
        <v>34750602</v>
      </c>
    </row>
    <row r="1533" spans="1:5" x14ac:dyDescent="0.15">
      <c r="A1533" t="s">
        <v>20177</v>
      </c>
      <c r="B1533" t="s">
        <v>20179</v>
      </c>
      <c r="C1533">
        <v>2020</v>
      </c>
      <c r="D1533" t="s">
        <v>20190</v>
      </c>
      <c r="E1533">
        <v>32721427</v>
      </c>
    </row>
    <row r="1534" spans="1:5" x14ac:dyDescent="0.15">
      <c r="A1534" t="s">
        <v>20219</v>
      </c>
      <c r="B1534" t="s">
        <v>20221</v>
      </c>
      <c r="C1534">
        <v>2022</v>
      </c>
      <c r="D1534" t="s">
        <v>20231</v>
      </c>
      <c r="E1534">
        <v>34902643</v>
      </c>
    </row>
    <row r="1535" spans="1:5" x14ac:dyDescent="0.15">
      <c r="A1535" t="s">
        <v>21604</v>
      </c>
      <c r="B1535" t="s">
        <v>21606</v>
      </c>
      <c r="C1535" t="s">
        <v>74</v>
      </c>
      <c r="D1535" t="s">
        <v>21616</v>
      </c>
      <c r="E1535">
        <v>34278172</v>
      </c>
    </row>
    <row r="1536" spans="1:5" x14ac:dyDescent="0.15">
      <c r="A1536" t="s">
        <v>22008</v>
      </c>
      <c r="B1536" t="s">
        <v>22011</v>
      </c>
      <c r="C1536">
        <v>2019</v>
      </c>
      <c r="D1536" t="s">
        <v>22020</v>
      </c>
      <c r="E1536">
        <v>31218612</v>
      </c>
    </row>
    <row r="1537" spans="1:5" x14ac:dyDescent="0.15">
      <c r="A1537" t="s">
        <v>22818</v>
      </c>
      <c r="B1537" t="s">
        <v>22820</v>
      </c>
      <c r="C1537">
        <v>2020</v>
      </c>
      <c r="D1537" t="s">
        <v>22829</v>
      </c>
      <c r="E1537">
        <v>32985598</v>
      </c>
    </row>
    <row r="1538" spans="1:5" x14ac:dyDescent="0.15">
      <c r="A1538" t="s">
        <v>23071</v>
      </c>
      <c r="B1538" t="s">
        <v>23073</v>
      </c>
      <c r="C1538">
        <v>2018</v>
      </c>
      <c r="D1538" t="s">
        <v>23085</v>
      </c>
      <c r="E1538">
        <v>30019154</v>
      </c>
    </row>
    <row r="1539" spans="1:5" x14ac:dyDescent="0.15">
      <c r="A1539" t="s">
        <v>23485</v>
      </c>
      <c r="B1539" t="s">
        <v>23487</v>
      </c>
      <c r="C1539">
        <v>2020</v>
      </c>
      <c r="D1539" t="s">
        <v>23497</v>
      </c>
      <c r="E1539">
        <v>32188736</v>
      </c>
    </row>
    <row r="1540" spans="1:5" x14ac:dyDescent="0.15">
      <c r="A1540" t="s">
        <v>23702</v>
      </c>
      <c r="B1540" t="s">
        <v>23704</v>
      </c>
      <c r="C1540" t="s">
        <v>74</v>
      </c>
      <c r="D1540" t="s">
        <v>23715</v>
      </c>
      <c r="E1540">
        <v>34882522</v>
      </c>
    </row>
    <row r="1541" spans="1:5" x14ac:dyDescent="0.15">
      <c r="A1541" t="s">
        <v>23770</v>
      </c>
      <c r="B1541" t="s">
        <v>23772</v>
      </c>
      <c r="C1541">
        <v>2022</v>
      </c>
      <c r="D1541" t="s">
        <v>23781</v>
      </c>
      <c r="E1541">
        <v>34656688</v>
      </c>
    </row>
    <row r="1542" spans="1:5" x14ac:dyDescent="0.15">
      <c r="A1542" t="s">
        <v>24957</v>
      </c>
      <c r="B1542" t="s">
        <v>24959</v>
      </c>
      <c r="C1542">
        <v>2018</v>
      </c>
      <c r="D1542" t="s">
        <v>24968</v>
      </c>
      <c r="E1542">
        <v>35540964</v>
      </c>
    </row>
    <row r="1543" spans="1:5" x14ac:dyDescent="0.15">
      <c r="A1543" t="s">
        <v>25643</v>
      </c>
      <c r="B1543" t="s">
        <v>25645</v>
      </c>
      <c r="C1543">
        <v>2020</v>
      </c>
      <c r="D1543" t="s">
        <v>25655</v>
      </c>
      <c r="E1543">
        <v>31975386</v>
      </c>
    </row>
    <row r="1544" spans="1:5" x14ac:dyDescent="0.15">
      <c r="A1544" t="s">
        <v>26172</v>
      </c>
      <c r="B1544" t="s">
        <v>26174</v>
      </c>
      <c r="C1544">
        <v>2021</v>
      </c>
      <c r="D1544" t="s">
        <v>26184</v>
      </c>
      <c r="E1544">
        <v>33978996</v>
      </c>
    </row>
    <row r="1545" spans="1:5" x14ac:dyDescent="0.15">
      <c r="A1545" t="s">
        <v>26514</v>
      </c>
      <c r="B1545" t="s">
        <v>26516</v>
      </c>
      <c r="C1545">
        <v>2019</v>
      </c>
      <c r="D1545" t="s">
        <v>26526</v>
      </c>
      <c r="E1545">
        <v>29621120</v>
      </c>
    </row>
    <row r="1546" spans="1:5" x14ac:dyDescent="0.15">
      <c r="A1546" t="s">
        <v>26758</v>
      </c>
      <c r="B1546" t="s">
        <v>26760</v>
      </c>
      <c r="C1546">
        <v>2018</v>
      </c>
      <c r="D1546" t="s">
        <v>26769</v>
      </c>
      <c r="E1546">
        <v>30115978</v>
      </c>
    </row>
    <row r="1547" spans="1:5" x14ac:dyDescent="0.15">
      <c r="A1547" t="s">
        <v>26771</v>
      </c>
      <c r="B1547" t="s">
        <v>26773</v>
      </c>
      <c r="C1547">
        <v>2021</v>
      </c>
      <c r="D1547" t="s">
        <v>26782</v>
      </c>
      <c r="E1547" t="s">
        <v>74</v>
      </c>
    </row>
    <row r="1548" spans="1:5" x14ac:dyDescent="0.15">
      <c r="A1548" t="s">
        <v>27472</v>
      </c>
      <c r="B1548" t="s">
        <v>27474</v>
      </c>
      <c r="C1548">
        <v>2021</v>
      </c>
      <c r="D1548" t="s">
        <v>27483</v>
      </c>
      <c r="E1548">
        <v>33878123</v>
      </c>
    </row>
    <row r="1549" spans="1:5" x14ac:dyDescent="0.15">
      <c r="A1549" t="s">
        <v>27530</v>
      </c>
      <c r="B1549" t="s">
        <v>27532</v>
      </c>
      <c r="C1549">
        <v>2020</v>
      </c>
      <c r="D1549" t="s">
        <v>27543</v>
      </c>
      <c r="E1549">
        <v>32659906</v>
      </c>
    </row>
    <row r="1550" spans="1:5" x14ac:dyDescent="0.15">
      <c r="A1550" t="s">
        <v>27564</v>
      </c>
      <c r="B1550" t="s">
        <v>27566</v>
      </c>
      <c r="C1550">
        <v>2020</v>
      </c>
      <c r="D1550" t="s">
        <v>27573</v>
      </c>
      <c r="E1550">
        <v>32943930</v>
      </c>
    </row>
    <row r="1551" spans="1:5" x14ac:dyDescent="0.15">
      <c r="A1551" t="s">
        <v>27839</v>
      </c>
      <c r="B1551" t="s">
        <v>27840</v>
      </c>
      <c r="C1551">
        <v>1995</v>
      </c>
      <c r="D1551" t="s">
        <v>27848</v>
      </c>
      <c r="E1551">
        <v>7561149</v>
      </c>
    </row>
    <row r="1552" spans="1:5" x14ac:dyDescent="0.15">
      <c r="A1552" t="s">
        <v>27990</v>
      </c>
      <c r="B1552" t="s">
        <v>27992</v>
      </c>
      <c r="C1552">
        <v>2018</v>
      </c>
      <c r="D1552" t="s">
        <v>28005</v>
      </c>
      <c r="E1552">
        <v>29311492</v>
      </c>
    </row>
    <row r="1553" spans="1:5" x14ac:dyDescent="0.15">
      <c r="A1553" t="s">
        <v>28324</v>
      </c>
      <c r="B1553" t="s">
        <v>28326</v>
      </c>
      <c r="C1553">
        <v>2020</v>
      </c>
      <c r="D1553" t="s">
        <v>28336</v>
      </c>
      <c r="E1553" t="s">
        <v>74</v>
      </c>
    </row>
    <row r="1554" spans="1:5" x14ac:dyDescent="0.15">
      <c r="A1554" t="s">
        <v>28446</v>
      </c>
      <c r="B1554" t="s">
        <v>28448</v>
      </c>
      <c r="C1554">
        <v>2019</v>
      </c>
      <c r="D1554" t="s">
        <v>28457</v>
      </c>
      <c r="E1554" t="s">
        <v>74</v>
      </c>
    </row>
    <row r="1555" spans="1:5" x14ac:dyDescent="0.15">
      <c r="A1555" t="s">
        <v>29027</v>
      </c>
      <c r="B1555" t="s">
        <v>29029</v>
      </c>
      <c r="C1555">
        <v>2020</v>
      </c>
      <c r="D1555" t="s">
        <v>29039</v>
      </c>
      <c r="E1555">
        <v>32866177</v>
      </c>
    </row>
    <row r="1556" spans="1:5" x14ac:dyDescent="0.15">
      <c r="A1556" t="s">
        <v>29415</v>
      </c>
      <c r="B1556" t="s">
        <v>29417</v>
      </c>
      <c r="C1556">
        <v>2021</v>
      </c>
      <c r="D1556" t="s">
        <v>29427</v>
      </c>
      <c r="E1556">
        <v>33434393</v>
      </c>
    </row>
    <row r="1557" spans="1:5" x14ac:dyDescent="0.15">
      <c r="A1557" t="s">
        <v>29510</v>
      </c>
      <c r="B1557" t="s">
        <v>29512</v>
      </c>
      <c r="C1557">
        <v>2020</v>
      </c>
      <c r="D1557" t="s">
        <v>29521</v>
      </c>
      <c r="E1557">
        <v>31057000</v>
      </c>
    </row>
    <row r="1558" spans="1:5" x14ac:dyDescent="0.15">
      <c r="A1558" t="s">
        <v>29549</v>
      </c>
      <c r="B1558" t="s">
        <v>29552</v>
      </c>
      <c r="C1558">
        <v>2015</v>
      </c>
      <c r="D1558" t="s">
        <v>29562</v>
      </c>
      <c r="E1558" t="s">
        <v>74</v>
      </c>
    </row>
    <row r="1559" spans="1:5" x14ac:dyDescent="0.15">
      <c r="A1559" t="s">
        <v>29805</v>
      </c>
      <c r="B1559" t="s">
        <v>29808</v>
      </c>
      <c r="C1559">
        <v>2020</v>
      </c>
      <c r="D1559" t="s">
        <v>29815</v>
      </c>
      <c r="E1559" t="s">
        <v>74</v>
      </c>
    </row>
    <row r="1560" spans="1:5" x14ac:dyDescent="0.15">
      <c r="A1560" t="s">
        <v>29845</v>
      </c>
      <c r="B1560" t="s">
        <v>29847</v>
      </c>
      <c r="C1560">
        <v>2011</v>
      </c>
      <c r="D1560" t="s">
        <v>29858</v>
      </c>
      <c r="E1560">
        <v>22089352</v>
      </c>
    </row>
    <row r="1561" spans="1:5" x14ac:dyDescent="0.15">
      <c r="A1561" t="s">
        <v>30158</v>
      </c>
      <c r="B1561" t="s">
        <v>30160</v>
      </c>
      <c r="C1561">
        <v>2014</v>
      </c>
      <c r="D1561" t="s">
        <v>30171</v>
      </c>
      <c r="E1561">
        <v>24352757</v>
      </c>
    </row>
    <row r="1562" spans="1:5" x14ac:dyDescent="0.15">
      <c r="A1562" t="s">
        <v>752</v>
      </c>
      <c r="B1562" t="s">
        <v>754</v>
      </c>
      <c r="C1562">
        <v>2021</v>
      </c>
      <c r="D1562" t="s">
        <v>764</v>
      </c>
      <c r="E1562">
        <v>34595842</v>
      </c>
    </row>
    <row r="1563" spans="1:5" x14ac:dyDescent="0.15">
      <c r="A1563" t="s">
        <v>1015</v>
      </c>
      <c r="B1563" t="s">
        <v>1017</v>
      </c>
      <c r="C1563">
        <v>2021</v>
      </c>
      <c r="D1563" t="s">
        <v>1030</v>
      </c>
      <c r="E1563">
        <v>33922925</v>
      </c>
    </row>
    <row r="1564" spans="1:5" x14ac:dyDescent="0.15">
      <c r="A1564" t="s">
        <v>1839</v>
      </c>
      <c r="B1564" t="s">
        <v>1841</v>
      </c>
      <c r="C1564">
        <v>2019</v>
      </c>
      <c r="D1564" t="s">
        <v>1854</v>
      </c>
      <c r="E1564">
        <v>31373041</v>
      </c>
    </row>
    <row r="1565" spans="1:5" x14ac:dyDescent="0.15">
      <c r="A1565" t="s">
        <v>2230</v>
      </c>
      <c r="B1565" t="s">
        <v>2232</v>
      </c>
      <c r="C1565">
        <v>2022</v>
      </c>
      <c r="D1565" t="s">
        <v>2242</v>
      </c>
      <c r="E1565">
        <v>35056304</v>
      </c>
    </row>
    <row r="1566" spans="1:5" x14ac:dyDescent="0.15">
      <c r="A1566" t="s">
        <v>2942</v>
      </c>
      <c r="B1566" t="s">
        <v>2945</v>
      </c>
      <c r="C1566">
        <v>2021</v>
      </c>
      <c r="D1566" t="s">
        <v>2957</v>
      </c>
      <c r="E1566">
        <v>33539013</v>
      </c>
    </row>
    <row r="1567" spans="1:5" x14ac:dyDescent="0.15">
      <c r="A1567" t="s">
        <v>3101</v>
      </c>
      <c r="B1567" t="s">
        <v>3103</v>
      </c>
      <c r="C1567">
        <v>2020</v>
      </c>
      <c r="D1567" t="s">
        <v>3114</v>
      </c>
      <c r="E1567">
        <v>32880856</v>
      </c>
    </row>
    <row r="1568" spans="1:5" x14ac:dyDescent="0.15">
      <c r="A1568" t="s">
        <v>3948</v>
      </c>
      <c r="B1568" t="s">
        <v>3950</v>
      </c>
      <c r="C1568">
        <v>2022</v>
      </c>
      <c r="D1568" t="s">
        <v>3963</v>
      </c>
      <c r="E1568">
        <v>35439048</v>
      </c>
    </row>
    <row r="1569" spans="1:5" x14ac:dyDescent="0.15">
      <c r="A1569" t="s">
        <v>4011</v>
      </c>
      <c r="B1569" t="s">
        <v>4013</v>
      </c>
      <c r="C1569">
        <v>2020</v>
      </c>
      <c r="D1569" t="s">
        <v>4025</v>
      </c>
      <c r="E1569">
        <v>33263017</v>
      </c>
    </row>
    <row r="1570" spans="1:5" x14ac:dyDescent="0.15">
      <c r="A1570" t="s">
        <v>4027</v>
      </c>
      <c r="B1570" t="s">
        <v>4029</v>
      </c>
      <c r="C1570">
        <v>2021</v>
      </c>
      <c r="D1570" t="s">
        <v>4039</v>
      </c>
      <c r="E1570">
        <v>34178970</v>
      </c>
    </row>
    <row r="1571" spans="1:5" x14ac:dyDescent="0.15">
      <c r="A1571" t="s">
        <v>4483</v>
      </c>
      <c r="B1571" t="s">
        <v>4485</v>
      </c>
      <c r="C1571">
        <v>2021</v>
      </c>
      <c r="D1571" t="s">
        <v>4496</v>
      </c>
      <c r="E1571">
        <v>33769802</v>
      </c>
    </row>
    <row r="1572" spans="1:5" x14ac:dyDescent="0.15">
      <c r="A1572" t="s">
        <v>4498</v>
      </c>
      <c r="B1572" t="s">
        <v>4500</v>
      </c>
      <c r="C1572">
        <v>2021</v>
      </c>
      <c r="D1572" t="s">
        <v>4513</v>
      </c>
      <c r="E1572">
        <v>33345401</v>
      </c>
    </row>
    <row r="1573" spans="1:5" x14ac:dyDescent="0.15">
      <c r="A1573" t="s">
        <v>4612</v>
      </c>
      <c r="B1573" t="s">
        <v>4614</v>
      </c>
      <c r="C1573">
        <v>2021</v>
      </c>
      <c r="D1573" t="s">
        <v>4624</v>
      </c>
      <c r="E1573">
        <v>34884564</v>
      </c>
    </row>
    <row r="1574" spans="1:5" x14ac:dyDescent="0.15">
      <c r="A1574" t="s">
        <v>6252</v>
      </c>
      <c r="B1574" t="s">
        <v>6254</v>
      </c>
      <c r="C1574">
        <v>2021</v>
      </c>
      <c r="D1574" t="s">
        <v>6267</v>
      </c>
      <c r="E1574">
        <v>32968935</v>
      </c>
    </row>
    <row r="1575" spans="1:5" x14ac:dyDescent="0.15">
      <c r="A1575" t="s">
        <v>7035</v>
      </c>
      <c r="B1575" t="s">
        <v>7037</v>
      </c>
      <c r="C1575">
        <v>2021</v>
      </c>
      <c r="D1575" t="s">
        <v>7045</v>
      </c>
      <c r="E1575">
        <v>34370602</v>
      </c>
    </row>
    <row r="1576" spans="1:5" x14ac:dyDescent="0.15">
      <c r="A1576" t="s">
        <v>7274</v>
      </c>
      <c r="B1576" t="s">
        <v>7276</v>
      </c>
      <c r="C1576">
        <v>2021</v>
      </c>
      <c r="D1576" t="s">
        <v>7285</v>
      </c>
      <c r="E1576">
        <v>34247486</v>
      </c>
    </row>
    <row r="1577" spans="1:5" x14ac:dyDescent="0.15">
      <c r="A1577" t="s">
        <v>7436</v>
      </c>
      <c r="B1577" t="s">
        <v>7438</v>
      </c>
      <c r="C1577">
        <v>2021</v>
      </c>
      <c r="D1577" t="s">
        <v>7450</v>
      </c>
      <c r="E1577">
        <v>33231813</v>
      </c>
    </row>
    <row r="1578" spans="1:5" x14ac:dyDescent="0.15">
      <c r="A1578" t="s">
        <v>7527</v>
      </c>
      <c r="B1578" t="s">
        <v>7529</v>
      </c>
      <c r="C1578">
        <v>2021</v>
      </c>
      <c r="D1578" t="s">
        <v>7536</v>
      </c>
      <c r="E1578">
        <v>33921215</v>
      </c>
    </row>
    <row r="1579" spans="1:5" x14ac:dyDescent="0.15">
      <c r="A1579" t="s">
        <v>7796</v>
      </c>
      <c r="B1579" t="s">
        <v>7798</v>
      </c>
      <c r="C1579">
        <v>2021</v>
      </c>
      <c r="D1579" t="s">
        <v>7806</v>
      </c>
      <c r="E1579">
        <v>33597619</v>
      </c>
    </row>
    <row r="1580" spans="1:5" x14ac:dyDescent="0.15">
      <c r="A1580" t="s">
        <v>8009</v>
      </c>
      <c r="B1580" t="s">
        <v>8011</v>
      </c>
      <c r="C1580">
        <v>2021</v>
      </c>
      <c r="D1580" t="s">
        <v>8019</v>
      </c>
      <c r="E1580">
        <v>33217521</v>
      </c>
    </row>
    <row r="1581" spans="1:5" x14ac:dyDescent="0.15">
      <c r="A1581" t="s">
        <v>8040</v>
      </c>
      <c r="B1581" t="s">
        <v>8042</v>
      </c>
      <c r="C1581">
        <v>2020</v>
      </c>
      <c r="D1581" t="s">
        <v>8051</v>
      </c>
      <c r="E1581">
        <v>33042841</v>
      </c>
    </row>
    <row r="1582" spans="1:5" x14ac:dyDescent="0.15">
      <c r="A1582" t="s">
        <v>8312</v>
      </c>
      <c r="B1582" t="s">
        <v>8314</v>
      </c>
      <c r="C1582">
        <v>2018</v>
      </c>
      <c r="D1582" t="s">
        <v>8324</v>
      </c>
      <c r="E1582" t="s">
        <v>74</v>
      </c>
    </row>
    <row r="1583" spans="1:5" x14ac:dyDescent="0.15">
      <c r="A1583" t="s">
        <v>9133</v>
      </c>
      <c r="B1583" t="s">
        <v>9135</v>
      </c>
      <c r="C1583">
        <v>2016</v>
      </c>
      <c r="D1583" t="s">
        <v>74</v>
      </c>
      <c r="E1583" t="s">
        <v>74</v>
      </c>
    </row>
    <row r="1584" spans="1:5" x14ac:dyDescent="0.15">
      <c r="A1584" t="s">
        <v>9252</v>
      </c>
      <c r="B1584" t="s">
        <v>9254</v>
      </c>
      <c r="C1584">
        <v>2017</v>
      </c>
      <c r="D1584" t="s">
        <v>9262</v>
      </c>
      <c r="E1584">
        <v>29048642</v>
      </c>
    </row>
    <row r="1585" spans="1:5" x14ac:dyDescent="0.15">
      <c r="A1585" t="s">
        <v>9636</v>
      </c>
      <c r="B1585" t="s">
        <v>9638</v>
      </c>
      <c r="C1585">
        <v>2022</v>
      </c>
      <c r="D1585" t="s">
        <v>9646</v>
      </c>
      <c r="E1585">
        <v>35011677</v>
      </c>
    </row>
    <row r="1586" spans="1:5" x14ac:dyDescent="0.15">
      <c r="A1586" t="s">
        <v>9676</v>
      </c>
      <c r="B1586" t="s">
        <v>9679</v>
      </c>
      <c r="C1586">
        <v>2021</v>
      </c>
      <c r="D1586" t="s">
        <v>9692</v>
      </c>
      <c r="E1586">
        <v>34454680</v>
      </c>
    </row>
    <row r="1587" spans="1:5" x14ac:dyDescent="0.15">
      <c r="A1587" t="s">
        <v>10248</v>
      </c>
      <c r="B1587" t="s">
        <v>10250</v>
      </c>
      <c r="C1587">
        <v>2019</v>
      </c>
      <c r="D1587" t="s">
        <v>74</v>
      </c>
      <c r="E1587">
        <v>31308040</v>
      </c>
    </row>
    <row r="1588" spans="1:5" x14ac:dyDescent="0.15">
      <c r="A1588" t="s">
        <v>10514</v>
      </c>
      <c r="B1588" t="s">
        <v>10516</v>
      </c>
      <c r="C1588">
        <v>2021</v>
      </c>
      <c r="D1588" t="s">
        <v>10526</v>
      </c>
      <c r="E1588">
        <v>33278692</v>
      </c>
    </row>
    <row r="1589" spans="1:5" x14ac:dyDescent="0.15">
      <c r="A1589" t="s">
        <v>11532</v>
      </c>
      <c r="B1589" t="s">
        <v>11534</v>
      </c>
      <c r="C1589">
        <v>2022</v>
      </c>
      <c r="D1589" t="s">
        <v>11543</v>
      </c>
      <c r="E1589">
        <v>35290034</v>
      </c>
    </row>
    <row r="1590" spans="1:5" x14ac:dyDescent="0.15">
      <c r="A1590" t="s">
        <v>12771</v>
      </c>
      <c r="B1590" t="s">
        <v>12773</v>
      </c>
      <c r="C1590">
        <v>2021</v>
      </c>
      <c r="D1590" t="s">
        <v>12780</v>
      </c>
      <c r="E1590">
        <v>33789676</v>
      </c>
    </row>
    <row r="1591" spans="1:5" x14ac:dyDescent="0.15">
      <c r="A1591" t="s">
        <v>12998</v>
      </c>
      <c r="B1591" t="s">
        <v>13000</v>
      </c>
      <c r="C1591">
        <v>2019</v>
      </c>
      <c r="D1591" t="s">
        <v>13009</v>
      </c>
      <c r="E1591">
        <v>31681284</v>
      </c>
    </row>
    <row r="1592" spans="1:5" x14ac:dyDescent="0.15">
      <c r="A1592" t="s">
        <v>13161</v>
      </c>
      <c r="B1592" t="s">
        <v>13163</v>
      </c>
      <c r="C1592">
        <v>2022</v>
      </c>
      <c r="D1592" t="s">
        <v>13173</v>
      </c>
      <c r="E1592">
        <v>34936368</v>
      </c>
    </row>
    <row r="1593" spans="1:5" x14ac:dyDescent="0.15">
      <c r="A1593" t="s">
        <v>13774</v>
      </c>
      <c r="B1593" t="s">
        <v>13776</v>
      </c>
      <c r="C1593">
        <v>2021</v>
      </c>
      <c r="D1593" t="s">
        <v>13789</v>
      </c>
      <c r="E1593">
        <v>33991505</v>
      </c>
    </row>
    <row r="1594" spans="1:5" x14ac:dyDescent="0.15">
      <c r="A1594" t="s">
        <v>14143</v>
      </c>
      <c r="B1594" t="s">
        <v>14145</v>
      </c>
      <c r="C1594">
        <v>2021</v>
      </c>
      <c r="D1594" t="s">
        <v>14158</v>
      </c>
      <c r="E1594">
        <v>33942501</v>
      </c>
    </row>
    <row r="1595" spans="1:5" x14ac:dyDescent="0.15">
      <c r="A1595" t="s">
        <v>15154</v>
      </c>
      <c r="B1595" t="s">
        <v>15156</v>
      </c>
      <c r="C1595">
        <v>2020</v>
      </c>
      <c r="D1595" t="s">
        <v>15166</v>
      </c>
      <c r="E1595">
        <v>33228110</v>
      </c>
    </row>
    <row r="1596" spans="1:5" x14ac:dyDescent="0.15">
      <c r="A1596" t="s">
        <v>15335</v>
      </c>
      <c r="B1596" t="s">
        <v>15337</v>
      </c>
      <c r="C1596">
        <v>2022</v>
      </c>
      <c r="D1596" t="s">
        <v>15347</v>
      </c>
      <c r="E1596">
        <v>34837760</v>
      </c>
    </row>
    <row r="1597" spans="1:5" x14ac:dyDescent="0.15">
      <c r="A1597" t="s">
        <v>15425</v>
      </c>
      <c r="B1597" t="s">
        <v>15427</v>
      </c>
      <c r="C1597">
        <v>2019</v>
      </c>
      <c r="D1597" t="s">
        <v>15437</v>
      </c>
      <c r="E1597">
        <v>31292829</v>
      </c>
    </row>
    <row r="1598" spans="1:5" x14ac:dyDescent="0.15">
      <c r="A1598" t="s">
        <v>15583</v>
      </c>
      <c r="B1598" t="s">
        <v>15584</v>
      </c>
      <c r="C1598">
        <v>1997</v>
      </c>
      <c r="D1598" t="s">
        <v>15592</v>
      </c>
      <c r="E1598">
        <v>9245765</v>
      </c>
    </row>
    <row r="1599" spans="1:5" x14ac:dyDescent="0.15">
      <c r="A1599" t="s">
        <v>15927</v>
      </c>
      <c r="B1599" t="s">
        <v>15929</v>
      </c>
      <c r="C1599">
        <v>2021</v>
      </c>
      <c r="D1599" t="s">
        <v>15938</v>
      </c>
      <c r="E1599">
        <v>33558596</v>
      </c>
    </row>
    <row r="1600" spans="1:5" x14ac:dyDescent="0.15">
      <c r="A1600" t="s">
        <v>16208</v>
      </c>
      <c r="B1600" t="s">
        <v>16210</v>
      </c>
      <c r="C1600">
        <v>2020</v>
      </c>
      <c r="D1600" t="s">
        <v>16217</v>
      </c>
      <c r="E1600">
        <v>32554054</v>
      </c>
    </row>
    <row r="1601" spans="1:5" x14ac:dyDescent="0.15">
      <c r="A1601" t="s">
        <v>16572</v>
      </c>
      <c r="B1601" t="s">
        <v>16574</v>
      </c>
      <c r="C1601">
        <v>2014</v>
      </c>
      <c r="D1601" t="s">
        <v>16587</v>
      </c>
      <c r="E1601" t="s">
        <v>74</v>
      </c>
    </row>
    <row r="1602" spans="1:5" x14ac:dyDescent="0.15">
      <c r="A1602" t="s">
        <v>17064</v>
      </c>
      <c r="B1602" t="s">
        <v>17066</v>
      </c>
      <c r="C1602">
        <v>2021</v>
      </c>
      <c r="D1602" t="s">
        <v>17074</v>
      </c>
      <c r="E1602">
        <v>33048442</v>
      </c>
    </row>
    <row r="1603" spans="1:5" x14ac:dyDescent="0.15">
      <c r="A1603" t="s">
        <v>17664</v>
      </c>
      <c r="B1603" t="s">
        <v>17666</v>
      </c>
      <c r="C1603">
        <v>2017</v>
      </c>
      <c r="D1603" t="s">
        <v>17679</v>
      </c>
      <c r="E1603">
        <v>28024455</v>
      </c>
    </row>
    <row r="1604" spans="1:5" x14ac:dyDescent="0.15">
      <c r="A1604" t="s">
        <v>17888</v>
      </c>
      <c r="B1604" t="s">
        <v>17890</v>
      </c>
      <c r="C1604">
        <v>2018</v>
      </c>
      <c r="D1604" t="s">
        <v>17906</v>
      </c>
      <c r="E1604">
        <v>29539304</v>
      </c>
    </row>
    <row r="1605" spans="1:5" x14ac:dyDescent="0.15">
      <c r="A1605" t="s">
        <v>18335</v>
      </c>
      <c r="B1605" t="s">
        <v>18337</v>
      </c>
      <c r="C1605">
        <v>2021</v>
      </c>
      <c r="D1605" t="s">
        <v>18346</v>
      </c>
      <c r="E1605">
        <v>34952586</v>
      </c>
    </row>
    <row r="1606" spans="1:5" x14ac:dyDescent="0.15">
      <c r="A1606" t="s">
        <v>18439</v>
      </c>
      <c r="B1606" t="s">
        <v>18441</v>
      </c>
      <c r="C1606">
        <v>2021</v>
      </c>
      <c r="D1606" t="s">
        <v>18450</v>
      </c>
      <c r="E1606">
        <v>34141833</v>
      </c>
    </row>
    <row r="1607" spans="1:5" x14ac:dyDescent="0.15">
      <c r="A1607" t="s">
        <v>18452</v>
      </c>
      <c r="B1607" t="s">
        <v>18454</v>
      </c>
      <c r="C1607">
        <v>2022</v>
      </c>
      <c r="D1607" t="s">
        <v>18466</v>
      </c>
      <c r="E1607">
        <v>35209901</v>
      </c>
    </row>
    <row r="1608" spans="1:5" x14ac:dyDescent="0.15">
      <c r="A1608" t="s">
        <v>19075</v>
      </c>
      <c r="B1608" t="s">
        <v>19077</v>
      </c>
      <c r="C1608">
        <v>2020</v>
      </c>
      <c r="D1608" t="s">
        <v>19086</v>
      </c>
      <c r="E1608">
        <v>32570162</v>
      </c>
    </row>
    <row r="1609" spans="1:5" x14ac:dyDescent="0.15">
      <c r="A1609" t="s">
        <v>19110</v>
      </c>
      <c r="B1609" t="s">
        <v>19112</v>
      </c>
      <c r="C1609">
        <v>2021</v>
      </c>
      <c r="D1609" t="s">
        <v>19120</v>
      </c>
      <c r="E1609" t="s">
        <v>74</v>
      </c>
    </row>
    <row r="1610" spans="1:5" x14ac:dyDescent="0.15">
      <c r="A1610" t="s">
        <v>19381</v>
      </c>
      <c r="B1610" t="s">
        <v>19383</v>
      </c>
      <c r="C1610">
        <v>2018</v>
      </c>
      <c r="D1610" t="s">
        <v>19400</v>
      </c>
      <c r="E1610">
        <v>29787437</v>
      </c>
    </row>
    <row r="1611" spans="1:5" x14ac:dyDescent="0.15">
      <c r="A1611" t="s">
        <v>20032</v>
      </c>
      <c r="B1611" t="s">
        <v>20034</v>
      </c>
      <c r="C1611">
        <v>2021</v>
      </c>
      <c r="D1611" t="s">
        <v>74</v>
      </c>
      <c r="E1611">
        <v>33841631</v>
      </c>
    </row>
    <row r="1612" spans="1:5" x14ac:dyDescent="0.15">
      <c r="A1612" t="s">
        <v>20098</v>
      </c>
      <c r="B1612" t="s">
        <v>20100</v>
      </c>
      <c r="C1612">
        <v>2017</v>
      </c>
      <c r="D1612" t="s">
        <v>20111</v>
      </c>
      <c r="E1612">
        <v>28609638</v>
      </c>
    </row>
    <row r="1613" spans="1:5" x14ac:dyDescent="0.15">
      <c r="A1613" t="s">
        <v>20130</v>
      </c>
      <c r="B1613" t="s">
        <v>20132</v>
      </c>
      <c r="C1613">
        <v>2020</v>
      </c>
      <c r="D1613" t="s">
        <v>20142</v>
      </c>
      <c r="E1613">
        <v>32108034</v>
      </c>
    </row>
    <row r="1614" spans="1:5" x14ac:dyDescent="0.15">
      <c r="A1614" t="s">
        <v>20381</v>
      </c>
      <c r="B1614" t="s">
        <v>20383</v>
      </c>
      <c r="C1614">
        <v>2021</v>
      </c>
      <c r="D1614" t="s">
        <v>20390</v>
      </c>
      <c r="E1614">
        <v>33759399</v>
      </c>
    </row>
    <row r="1615" spans="1:5" x14ac:dyDescent="0.15">
      <c r="A1615" t="s">
        <v>20530</v>
      </c>
      <c r="B1615" t="s">
        <v>20532</v>
      </c>
      <c r="C1615">
        <v>2022</v>
      </c>
      <c r="D1615" t="s">
        <v>20541</v>
      </c>
      <c r="E1615">
        <v>34465899</v>
      </c>
    </row>
    <row r="1616" spans="1:5" x14ac:dyDescent="0.15">
      <c r="A1616" t="s">
        <v>20592</v>
      </c>
      <c r="B1616" t="s">
        <v>20594</v>
      </c>
      <c r="C1616">
        <v>2022</v>
      </c>
      <c r="D1616" t="s">
        <v>20605</v>
      </c>
      <c r="E1616">
        <v>35545033</v>
      </c>
    </row>
    <row r="1617" spans="1:5" x14ac:dyDescent="0.15">
      <c r="A1617" t="s">
        <v>20986</v>
      </c>
      <c r="B1617" t="s">
        <v>20988</v>
      </c>
      <c r="C1617">
        <v>2022</v>
      </c>
      <c r="D1617" t="s">
        <v>20997</v>
      </c>
      <c r="E1617">
        <v>35267452</v>
      </c>
    </row>
    <row r="1618" spans="1:5" x14ac:dyDescent="0.15">
      <c r="A1618" t="s">
        <v>21179</v>
      </c>
      <c r="B1618" t="s">
        <v>21181</v>
      </c>
      <c r="C1618">
        <v>2019</v>
      </c>
      <c r="D1618" t="s">
        <v>21189</v>
      </c>
      <c r="E1618">
        <v>30387839</v>
      </c>
    </row>
    <row r="1619" spans="1:5" x14ac:dyDescent="0.15">
      <c r="A1619" t="s">
        <v>21246</v>
      </c>
      <c r="B1619" t="s">
        <v>21248</v>
      </c>
      <c r="C1619">
        <v>2021</v>
      </c>
      <c r="D1619" t="s">
        <v>21256</v>
      </c>
      <c r="E1619">
        <v>33799709</v>
      </c>
    </row>
    <row r="1620" spans="1:5" x14ac:dyDescent="0.15">
      <c r="A1620" t="s">
        <v>21386</v>
      </c>
      <c r="B1620" t="s">
        <v>21388</v>
      </c>
      <c r="C1620">
        <v>2021</v>
      </c>
      <c r="D1620" t="s">
        <v>21401</v>
      </c>
      <c r="E1620">
        <v>33975677</v>
      </c>
    </row>
    <row r="1621" spans="1:5" x14ac:dyDescent="0.15">
      <c r="A1621" t="s">
        <v>21589</v>
      </c>
      <c r="B1621" t="s">
        <v>21591</v>
      </c>
      <c r="C1621">
        <v>2017</v>
      </c>
      <c r="D1621" t="s">
        <v>74</v>
      </c>
      <c r="E1621">
        <v>28730229</v>
      </c>
    </row>
    <row r="1622" spans="1:5" x14ac:dyDescent="0.15">
      <c r="A1622" t="s">
        <v>21993</v>
      </c>
      <c r="B1622" t="s">
        <v>21995</v>
      </c>
      <c r="C1622">
        <v>2021</v>
      </c>
      <c r="D1622" t="s">
        <v>22006</v>
      </c>
      <c r="E1622">
        <v>33436517</v>
      </c>
    </row>
    <row r="1623" spans="1:5" x14ac:dyDescent="0.15">
      <c r="A1623" t="s">
        <v>23316</v>
      </c>
      <c r="B1623" t="s">
        <v>23318</v>
      </c>
      <c r="C1623">
        <v>2021</v>
      </c>
      <c r="D1623" t="s">
        <v>23328</v>
      </c>
      <c r="E1623">
        <v>34649994</v>
      </c>
    </row>
    <row r="1624" spans="1:5" x14ac:dyDescent="0.15">
      <c r="A1624" t="s">
        <v>24203</v>
      </c>
      <c r="B1624" t="s">
        <v>24205</v>
      </c>
      <c r="C1624">
        <v>2019</v>
      </c>
      <c r="D1624" t="s">
        <v>24216</v>
      </c>
      <c r="E1624">
        <v>31397847</v>
      </c>
    </row>
    <row r="1625" spans="1:5" x14ac:dyDescent="0.15">
      <c r="A1625" t="s">
        <v>24500</v>
      </c>
      <c r="B1625" t="s">
        <v>24502</v>
      </c>
      <c r="C1625">
        <v>2018</v>
      </c>
      <c r="D1625" t="s">
        <v>24515</v>
      </c>
      <c r="E1625" t="s">
        <v>74</v>
      </c>
    </row>
    <row r="1626" spans="1:5" x14ac:dyDescent="0.15">
      <c r="A1626" t="s">
        <v>24764</v>
      </c>
      <c r="B1626" t="s">
        <v>24766</v>
      </c>
      <c r="C1626">
        <v>2014</v>
      </c>
      <c r="D1626" t="s">
        <v>24777</v>
      </c>
      <c r="E1626" t="s">
        <v>74</v>
      </c>
    </row>
    <row r="1627" spans="1:5" x14ac:dyDescent="0.15">
      <c r="A1627" t="s">
        <v>25112</v>
      </c>
      <c r="B1627" t="s">
        <v>25114</v>
      </c>
      <c r="C1627">
        <v>2021</v>
      </c>
      <c r="D1627" t="s">
        <v>25122</v>
      </c>
      <c r="E1627">
        <v>33950741</v>
      </c>
    </row>
    <row r="1628" spans="1:5" x14ac:dyDescent="0.15">
      <c r="A1628" t="s">
        <v>25178</v>
      </c>
      <c r="B1628" t="s">
        <v>25180</v>
      </c>
      <c r="C1628">
        <v>2021</v>
      </c>
      <c r="D1628" t="s">
        <v>25188</v>
      </c>
      <c r="E1628">
        <v>34587992</v>
      </c>
    </row>
    <row r="1629" spans="1:5" x14ac:dyDescent="0.15">
      <c r="A1629" t="s">
        <v>25190</v>
      </c>
      <c r="B1629" t="s">
        <v>25192</v>
      </c>
      <c r="C1629">
        <v>2021</v>
      </c>
      <c r="D1629" t="s">
        <v>25201</v>
      </c>
      <c r="E1629">
        <v>34610313</v>
      </c>
    </row>
    <row r="1630" spans="1:5" x14ac:dyDescent="0.15">
      <c r="A1630" t="s">
        <v>25563</v>
      </c>
      <c r="B1630" t="s">
        <v>25565</v>
      </c>
      <c r="C1630">
        <v>2020</v>
      </c>
      <c r="D1630" t="s">
        <v>25573</v>
      </c>
      <c r="E1630">
        <v>35117617</v>
      </c>
    </row>
    <row r="1631" spans="1:5" x14ac:dyDescent="0.15">
      <c r="A1631" t="s">
        <v>26228</v>
      </c>
      <c r="B1631" t="s">
        <v>26230</v>
      </c>
      <c r="C1631">
        <v>2012</v>
      </c>
      <c r="D1631" t="s">
        <v>26242</v>
      </c>
      <c r="E1631">
        <v>22192456</v>
      </c>
    </row>
    <row r="1632" spans="1:5" x14ac:dyDescent="0.15">
      <c r="A1632" t="s">
        <v>26653</v>
      </c>
      <c r="B1632" t="s">
        <v>26655</v>
      </c>
      <c r="C1632">
        <v>2016</v>
      </c>
      <c r="D1632" t="s">
        <v>26664</v>
      </c>
      <c r="E1632">
        <v>26954233</v>
      </c>
    </row>
    <row r="1633" spans="1:5" x14ac:dyDescent="0.15">
      <c r="A1633" t="s">
        <v>26679</v>
      </c>
      <c r="B1633" t="s">
        <v>26681</v>
      </c>
      <c r="C1633">
        <v>2021</v>
      </c>
      <c r="D1633" t="s">
        <v>26690</v>
      </c>
      <c r="E1633">
        <v>33337853</v>
      </c>
    </row>
    <row r="1634" spans="1:5" x14ac:dyDescent="0.15">
      <c r="A1634" t="s">
        <v>26830</v>
      </c>
      <c r="B1634" t="s">
        <v>26832</v>
      </c>
      <c r="C1634">
        <v>2017</v>
      </c>
      <c r="D1634" t="s">
        <v>26839</v>
      </c>
      <c r="E1634">
        <v>29192155</v>
      </c>
    </row>
    <row r="1635" spans="1:5" x14ac:dyDescent="0.15">
      <c r="A1635" t="s">
        <v>28050</v>
      </c>
      <c r="B1635" t="s">
        <v>28052</v>
      </c>
      <c r="C1635">
        <v>2022</v>
      </c>
      <c r="D1635" t="s">
        <v>28063</v>
      </c>
      <c r="E1635">
        <v>35133877</v>
      </c>
    </row>
    <row r="1636" spans="1:5" x14ac:dyDescent="0.15">
      <c r="A1636" t="s">
        <v>28589</v>
      </c>
      <c r="B1636" t="s">
        <v>28591</v>
      </c>
      <c r="C1636">
        <v>2020</v>
      </c>
      <c r="D1636" t="s">
        <v>28599</v>
      </c>
      <c r="E1636">
        <v>32345370</v>
      </c>
    </row>
    <row r="1637" spans="1:5" x14ac:dyDescent="0.15">
      <c r="A1637" t="s">
        <v>29262</v>
      </c>
      <c r="B1637" t="s">
        <v>29265</v>
      </c>
      <c r="C1637">
        <v>2016</v>
      </c>
      <c r="D1637" t="s">
        <v>29274</v>
      </c>
      <c r="E1637">
        <v>27317177</v>
      </c>
    </row>
    <row r="1638" spans="1:5" x14ac:dyDescent="0.15">
      <c r="A1638" t="s">
        <v>29712</v>
      </c>
      <c r="B1638" t="s">
        <v>29714</v>
      </c>
      <c r="C1638">
        <v>2019</v>
      </c>
      <c r="D1638" t="s">
        <v>29727</v>
      </c>
      <c r="E1638">
        <v>31632463</v>
      </c>
    </row>
    <row r="1639" spans="1:5" x14ac:dyDescent="0.15">
      <c r="A1639" t="s">
        <v>29755</v>
      </c>
      <c r="B1639" t="s">
        <v>29757</v>
      </c>
      <c r="C1639">
        <v>2020</v>
      </c>
      <c r="D1639" t="s">
        <v>29766</v>
      </c>
      <c r="E1639">
        <v>32857097</v>
      </c>
    </row>
    <row r="1640" spans="1:5" x14ac:dyDescent="0.15">
      <c r="A1640" t="s">
        <v>30264</v>
      </c>
      <c r="B1640" t="s">
        <v>30267</v>
      </c>
      <c r="C1640">
        <v>2011</v>
      </c>
      <c r="D1640" t="s">
        <v>74</v>
      </c>
      <c r="E1640" t="s">
        <v>74</v>
      </c>
    </row>
    <row r="1641" spans="1:5" x14ac:dyDescent="0.15">
      <c r="A1641" t="s">
        <v>30327</v>
      </c>
      <c r="B1641" t="s">
        <v>30329</v>
      </c>
      <c r="C1641">
        <v>2022</v>
      </c>
      <c r="D1641" t="s">
        <v>30338</v>
      </c>
      <c r="E1641">
        <v>34889468</v>
      </c>
    </row>
    <row r="1642" spans="1:5" x14ac:dyDescent="0.15">
      <c r="A1642" t="s">
        <v>553</v>
      </c>
      <c r="B1642" t="s">
        <v>555</v>
      </c>
      <c r="C1642">
        <v>2022</v>
      </c>
      <c r="D1642" t="s">
        <v>567</v>
      </c>
      <c r="E1642">
        <v>35289089</v>
      </c>
    </row>
    <row r="1643" spans="1:5" x14ac:dyDescent="0.15">
      <c r="A1643" t="s">
        <v>952</v>
      </c>
      <c r="B1643" t="s">
        <v>954</v>
      </c>
      <c r="C1643">
        <v>2021</v>
      </c>
      <c r="D1643" t="s">
        <v>972</v>
      </c>
      <c r="E1643">
        <v>33016114</v>
      </c>
    </row>
    <row r="1644" spans="1:5" x14ac:dyDescent="0.15">
      <c r="A1644" t="s">
        <v>1050</v>
      </c>
      <c r="B1644" t="s">
        <v>1052</v>
      </c>
      <c r="C1644">
        <v>2020</v>
      </c>
      <c r="D1644" t="s">
        <v>1065</v>
      </c>
      <c r="E1644">
        <v>32441840</v>
      </c>
    </row>
    <row r="1645" spans="1:5" x14ac:dyDescent="0.15">
      <c r="A1645" t="s">
        <v>1525</v>
      </c>
      <c r="B1645" t="s">
        <v>1527</v>
      </c>
      <c r="C1645">
        <v>2020</v>
      </c>
      <c r="D1645" t="s">
        <v>1538</v>
      </c>
      <c r="E1645">
        <v>32468709</v>
      </c>
    </row>
    <row r="1646" spans="1:5" x14ac:dyDescent="0.15">
      <c r="A1646" t="s">
        <v>1681</v>
      </c>
      <c r="B1646" t="s">
        <v>1683</v>
      </c>
      <c r="C1646">
        <v>2019</v>
      </c>
      <c r="D1646" t="s">
        <v>1695</v>
      </c>
      <c r="E1646">
        <v>30358122</v>
      </c>
    </row>
    <row r="1647" spans="1:5" x14ac:dyDescent="0.15">
      <c r="A1647" t="s">
        <v>1889</v>
      </c>
      <c r="B1647" t="s">
        <v>1891</v>
      </c>
      <c r="C1647">
        <v>2020</v>
      </c>
      <c r="D1647" t="s">
        <v>1903</v>
      </c>
      <c r="E1647">
        <v>33519169</v>
      </c>
    </row>
    <row r="1648" spans="1:5" x14ac:dyDescent="0.15">
      <c r="A1648" t="s">
        <v>2018</v>
      </c>
      <c r="B1648" t="s">
        <v>2020</v>
      </c>
      <c r="C1648">
        <v>2021</v>
      </c>
      <c r="D1648" t="s">
        <v>2033</v>
      </c>
      <c r="E1648">
        <v>33118919</v>
      </c>
    </row>
    <row r="1649" spans="1:5" x14ac:dyDescent="0.15">
      <c r="A1649" t="s">
        <v>2353</v>
      </c>
      <c r="B1649" t="s">
        <v>2356</v>
      </c>
      <c r="C1649">
        <v>2021</v>
      </c>
      <c r="D1649" t="s">
        <v>2367</v>
      </c>
      <c r="E1649">
        <v>34160815</v>
      </c>
    </row>
    <row r="1650" spans="1:5" x14ac:dyDescent="0.15">
      <c r="A1650" t="s">
        <v>2440</v>
      </c>
      <c r="B1650" t="s">
        <v>2442</v>
      </c>
      <c r="C1650">
        <v>2021</v>
      </c>
      <c r="D1650" t="s">
        <v>2453</v>
      </c>
      <c r="E1650">
        <v>34042225</v>
      </c>
    </row>
    <row r="1651" spans="1:5" x14ac:dyDescent="0.15">
      <c r="A1651" t="s">
        <v>2491</v>
      </c>
      <c r="B1651" t="s">
        <v>2493</v>
      </c>
      <c r="C1651">
        <v>2020</v>
      </c>
      <c r="D1651" t="s">
        <v>2500</v>
      </c>
      <c r="E1651">
        <v>32349226</v>
      </c>
    </row>
    <row r="1652" spans="1:5" x14ac:dyDescent="0.15">
      <c r="A1652" t="s">
        <v>2502</v>
      </c>
      <c r="B1652" t="s">
        <v>2504</v>
      </c>
      <c r="C1652">
        <v>2021</v>
      </c>
      <c r="D1652" t="s">
        <v>2515</v>
      </c>
      <c r="E1652">
        <v>33594754</v>
      </c>
    </row>
    <row r="1653" spans="1:5" x14ac:dyDescent="0.15">
      <c r="A1653" t="s">
        <v>2702</v>
      </c>
      <c r="B1653" t="s">
        <v>2704</v>
      </c>
      <c r="C1653">
        <v>2022</v>
      </c>
      <c r="D1653" t="s">
        <v>2717</v>
      </c>
      <c r="E1653">
        <v>34847299</v>
      </c>
    </row>
    <row r="1654" spans="1:5" x14ac:dyDescent="0.15">
      <c r="A1654" t="s">
        <v>2847</v>
      </c>
      <c r="B1654" t="s">
        <v>2849</v>
      </c>
      <c r="C1654">
        <v>2021</v>
      </c>
      <c r="D1654" t="s">
        <v>2858</v>
      </c>
      <c r="E1654">
        <v>34066801</v>
      </c>
    </row>
    <row r="1655" spans="1:5" x14ac:dyDescent="0.15">
      <c r="A1655" t="s">
        <v>2992</v>
      </c>
      <c r="B1655" t="s">
        <v>2994</v>
      </c>
      <c r="C1655" t="s">
        <v>74</v>
      </c>
      <c r="D1655" t="s">
        <v>3008</v>
      </c>
      <c r="E1655">
        <v>34270378</v>
      </c>
    </row>
    <row r="1656" spans="1:5" x14ac:dyDescent="0.15">
      <c r="A1656" t="s">
        <v>3133</v>
      </c>
      <c r="B1656" t="s">
        <v>3135</v>
      </c>
      <c r="C1656">
        <v>2021</v>
      </c>
      <c r="D1656" t="s">
        <v>3145</v>
      </c>
      <c r="E1656">
        <v>34178690</v>
      </c>
    </row>
    <row r="1657" spans="1:5" x14ac:dyDescent="0.15">
      <c r="A1657" t="s">
        <v>3241</v>
      </c>
      <c r="B1657" t="s">
        <v>3243</v>
      </c>
      <c r="C1657">
        <v>2018</v>
      </c>
      <c r="D1657" t="s">
        <v>3256</v>
      </c>
      <c r="E1657">
        <v>30519544</v>
      </c>
    </row>
    <row r="1658" spans="1:5" x14ac:dyDescent="0.15">
      <c r="A1658" t="s">
        <v>3439</v>
      </c>
      <c r="B1658" t="s">
        <v>3441</v>
      </c>
      <c r="C1658">
        <v>2015</v>
      </c>
      <c r="D1658" t="s">
        <v>3450</v>
      </c>
      <c r="E1658">
        <v>26204397</v>
      </c>
    </row>
    <row r="1659" spans="1:5" x14ac:dyDescent="0.15">
      <c r="A1659" t="s">
        <v>3545</v>
      </c>
      <c r="B1659" t="s">
        <v>3548</v>
      </c>
      <c r="C1659">
        <v>2016</v>
      </c>
      <c r="D1659" t="s">
        <v>3563</v>
      </c>
      <c r="E1659">
        <v>27753024</v>
      </c>
    </row>
    <row r="1660" spans="1:5" x14ac:dyDescent="0.15">
      <c r="A1660" t="s">
        <v>3666</v>
      </c>
      <c r="B1660" t="s">
        <v>3668</v>
      </c>
      <c r="C1660">
        <v>2017</v>
      </c>
      <c r="D1660" t="s">
        <v>3681</v>
      </c>
      <c r="E1660" t="s">
        <v>74</v>
      </c>
    </row>
    <row r="1661" spans="1:5" x14ac:dyDescent="0.15">
      <c r="A1661" t="s">
        <v>4418</v>
      </c>
      <c r="B1661" t="s">
        <v>4420</v>
      </c>
      <c r="C1661">
        <v>2022</v>
      </c>
      <c r="D1661" t="s">
        <v>4433</v>
      </c>
      <c r="E1661">
        <v>34984953</v>
      </c>
    </row>
    <row r="1662" spans="1:5" x14ac:dyDescent="0.15">
      <c r="A1662" t="s">
        <v>4941</v>
      </c>
      <c r="B1662" t="s">
        <v>4943</v>
      </c>
      <c r="C1662">
        <v>2021</v>
      </c>
      <c r="D1662" t="s">
        <v>4953</v>
      </c>
      <c r="E1662">
        <v>34294160</v>
      </c>
    </row>
    <row r="1663" spans="1:5" x14ac:dyDescent="0.15">
      <c r="A1663" t="s">
        <v>5477</v>
      </c>
      <c r="B1663" t="s">
        <v>5479</v>
      </c>
      <c r="C1663">
        <v>2022</v>
      </c>
      <c r="D1663" t="s">
        <v>5488</v>
      </c>
      <c r="E1663">
        <v>35159179</v>
      </c>
    </row>
    <row r="1664" spans="1:5" x14ac:dyDescent="0.15">
      <c r="A1664" t="s">
        <v>5903</v>
      </c>
      <c r="B1664" t="s">
        <v>5905</v>
      </c>
      <c r="C1664">
        <v>2021</v>
      </c>
      <c r="D1664" t="s">
        <v>5914</v>
      </c>
      <c r="E1664">
        <v>33380271</v>
      </c>
    </row>
    <row r="1665" spans="1:5" x14ac:dyDescent="0.15">
      <c r="A1665" t="s">
        <v>5932</v>
      </c>
      <c r="B1665" t="s">
        <v>5934</v>
      </c>
      <c r="C1665" t="s">
        <v>74</v>
      </c>
      <c r="D1665" t="s">
        <v>5943</v>
      </c>
      <c r="E1665">
        <v>34696694</v>
      </c>
    </row>
    <row r="1666" spans="1:5" x14ac:dyDescent="0.15">
      <c r="A1666" t="s">
        <v>6396</v>
      </c>
      <c r="B1666" t="s">
        <v>6398</v>
      </c>
      <c r="C1666">
        <v>2020</v>
      </c>
      <c r="D1666" t="s">
        <v>6407</v>
      </c>
      <c r="E1666">
        <v>32705286</v>
      </c>
    </row>
    <row r="1667" spans="1:5" x14ac:dyDescent="0.15">
      <c r="A1667" t="s">
        <v>6569</v>
      </c>
      <c r="B1667" t="s">
        <v>6571</v>
      </c>
      <c r="C1667">
        <v>2021</v>
      </c>
      <c r="D1667" t="s">
        <v>6581</v>
      </c>
      <c r="E1667">
        <v>33406722</v>
      </c>
    </row>
    <row r="1668" spans="1:5" x14ac:dyDescent="0.15">
      <c r="A1668" t="s">
        <v>6805</v>
      </c>
      <c r="B1668" t="s">
        <v>6807</v>
      </c>
      <c r="C1668">
        <v>2022</v>
      </c>
      <c r="D1668" t="s">
        <v>6817</v>
      </c>
      <c r="E1668">
        <v>35344325</v>
      </c>
    </row>
    <row r="1669" spans="1:5" x14ac:dyDescent="0.15">
      <c r="A1669" t="s">
        <v>7001</v>
      </c>
      <c r="B1669" t="s">
        <v>7003</v>
      </c>
      <c r="C1669">
        <v>2022</v>
      </c>
      <c r="D1669" t="s">
        <v>7014</v>
      </c>
      <c r="E1669">
        <v>35064769</v>
      </c>
    </row>
    <row r="1670" spans="1:5" x14ac:dyDescent="0.15">
      <c r="A1670" t="s">
        <v>7662</v>
      </c>
      <c r="B1670" t="s">
        <v>7664</v>
      </c>
      <c r="C1670">
        <v>2022</v>
      </c>
      <c r="D1670" t="s">
        <v>7673</v>
      </c>
      <c r="E1670">
        <v>35215922</v>
      </c>
    </row>
    <row r="1671" spans="1:5" x14ac:dyDescent="0.15">
      <c r="A1671" t="s">
        <v>7878</v>
      </c>
      <c r="B1671" t="s">
        <v>7880</v>
      </c>
      <c r="C1671">
        <v>2020</v>
      </c>
      <c r="D1671" t="s">
        <v>7892</v>
      </c>
      <c r="E1671">
        <v>32864556</v>
      </c>
    </row>
    <row r="1672" spans="1:5" x14ac:dyDescent="0.15">
      <c r="A1672" t="s">
        <v>7992</v>
      </c>
      <c r="B1672" t="s">
        <v>7994</v>
      </c>
      <c r="C1672" t="s">
        <v>74</v>
      </c>
      <c r="D1672" t="s">
        <v>8007</v>
      </c>
      <c r="E1672">
        <v>35028802</v>
      </c>
    </row>
    <row r="1673" spans="1:5" x14ac:dyDescent="0.15">
      <c r="A1673" t="s">
        <v>8183</v>
      </c>
      <c r="B1673" t="s">
        <v>8185</v>
      </c>
      <c r="C1673">
        <v>2021</v>
      </c>
      <c r="D1673" t="s">
        <v>8195</v>
      </c>
      <c r="E1673">
        <v>34619562</v>
      </c>
    </row>
    <row r="1674" spans="1:5" x14ac:dyDescent="0.15">
      <c r="A1674" t="s">
        <v>8400</v>
      </c>
      <c r="B1674" t="s">
        <v>8402</v>
      </c>
      <c r="C1674">
        <v>2021</v>
      </c>
      <c r="D1674" t="s">
        <v>8412</v>
      </c>
      <c r="E1674">
        <v>34200790</v>
      </c>
    </row>
    <row r="1675" spans="1:5" x14ac:dyDescent="0.15">
      <c r="A1675" t="s">
        <v>8414</v>
      </c>
      <c r="B1675" t="s">
        <v>8416</v>
      </c>
      <c r="C1675">
        <v>2022</v>
      </c>
      <c r="D1675" t="s">
        <v>8424</v>
      </c>
      <c r="E1675">
        <v>33297857</v>
      </c>
    </row>
    <row r="1676" spans="1:5" x14ac:dyDescent="0.15">
      <c r="A1676" t="s">
        <v>8496</v>
      </c>
      <c r="B1676" t="s">
        <v>8499</v>
      </c>
      <c r="C1676">
        <v>2018</v>
      </c>
      <c r="D1676" t="s">
        <v>8510</v>
      </c>
      <c r="E1676">
        <v>29435929</v>
      </c>
    </row>
    <row r="1677" spans="1:5" x14ac:dyDescent="0.15">
      <c r="A1677" t="s">
        <v>8866</v>
      </c>
      <c r="B1677" t="s">
        <v>8868</v>
      </c>
      <c r="C1677">
        <v>2020</v>
      </c>
      <c r="D1677" t="s">
        <v>8881</v>
      </c>
      <c r="E1677">
        <v>32666589</v>
      </c>
    </row>
    <row r="1678" spans="1:5" x14ac:dyDescent="0.15">
      <c r="A1678" t="s">
        <v>8884</v>
      </c>
      <c r="B1678" t="s">
        <v>8886</v>
      </c>
      <c r="C1678">
        <v>2022</v>
      </c>
      <c r="D1678" t="s">
        <v>8898</v>
      </c>
      <c r="E1678">
        <v>34715991</v>
      </c>
    </row>
    <row r="1679" spans="1:5" x14ac:dyDescent="0.15">
      <c r="A1679" t="s">
        <v>8953</v>
      </c>
      <c r="B1679" t="s">
        <v>8955</v>
      </c>
      <c r="C1679">
        <v>2021</v>
      </c>
      <c r="D1679" t="s">
        <v>8965</v>
      </c>
      <c r="E1679">
        <v>34514028</v>
      </c>
    </row>
    <row r="1680" spans="1:5" x14ac:dyDescent="0.15">
      <c r="A1680" t="s">
        <v>8979</v>
      </c>
      <c r="B1680" t="s">
        <v>8981</v>
      </c>
      <c r="C1680">
        <v>2021</v>
      </c>
      <c r="D1680" t="s">
        <v>8991</v>
      </c>
      <c r="E1680">
        <v>34771533</v>
      </c>
    </row>
    <row r="1681" spans="1:5" x14ac:dyDescent="0.15">
      <c r="A1681" t="s">
        <v>9037</v>
      </c>
      <c r="B1681" t="s">
        <v>9039</v>
      </c>
      <c r="C1681">
        <v>2021</v>
      </c>
      <c r="D1681" t="s">
        <v>9048</v>
      </c>
      <c r="E1681">
        <v>33741723</v>
      </c>
    </row>
    <row r="1682" spans="1:5" x14ac:dyDescent="0.15">
      <c r="A1682" t="s">
        <v>9105</v>
      </c>
      <c r="B1682" t="s">
        <v>9107</v>
      </c>
      <c r="C1682">
        <v>2015</v>
      </c>
      <c r="D1682" t="s">
        <v>9116</v>
      </c>
      <c r="E1682">
        <v>26670278</v>
      </c>
    </row>
    <row r="1683" spans="1:5" x14ac:dyDescent="0.15">
      <c r="A1683" t="s">
        <v>9173</v>
      </c>
      <c r="B1683" t="s">
        <v>9175</v>
      </c>
      <c r="C1683">
        <v>2021</v>
      </c>
      <c r="D1683" t="s">
        <v>9184</v>
      </c>
      <c r="E1683">
        <v>33850235</v>
      </c>
    </row>
    <row r="1684" spans="1:5" x14ac:dyDescent="0.15">
      <c r="A1684" t="s">
        <v>9264</v>
      </c>
      <c r="B1684" t="s">
        <v>9266</v>
      </c>
      <c r="C1684">
        <v>2021</v>
      </c>
      <c r="D1684" t="s">
        <v>9277</v>
      </c>
      <c r="E1684">
        <v>33354779</v>
      </c>
    </row>
    <row r="1685" spans="1:5" x14ac:dyDescent="0.15">
      <c r="A1685" t="s">
        <v>9515</v>
      </c>
      <c r="B1685" t="s">
        <v>9517</v>
      </c>
      <c r="C1685">
        <v>2020</v>
      </c>
      <c r="D1685" t="s">
        <v>9525</v>
      </c>
      <c r="E1685">
        <v>32319557</v>
      </c>
    </row>
    <row r="1686" spans="1:5" x14ac:dyDescent="0.15">
      <c r="A1686" t="s">
        <v>9527</v>
      </c>
      <c r="B1686" t="s">
        <v>9529</v>
      </c>
      <c r="C1686">
        <v>2021</v>
      </c>
      <c r="D1686" t="s">
        <v>9538</v>
      </c>
      <c r="E1686">
        <v>34692681</v>
      </c>
    </row>
    <row r="1687" spans="1:5" x14ac:dyDescent="0.15">
      <c r="A1687" t="s">
        <v>9554</v>
      </c>
      <c r="B1687" t="s">
        <v>9556</v>
      </c>
      <c r="C1687">
        <v>2017</v>
      </c>
      <c r="D1687" t="s">
        <v>74</v>
      </c>
      <c r="E1687" t="s">
        <v>74</v>
      </c>
    </row>
    <row r="1688" spans="1:5" x14ac:dyDescent="0.15">
      <c r="A1688" t="s">
        <v>9880</v>
      </c>
      <c r="B1688" t="s">
        <v>9882</v>
      </c>
      <c r="C1688">
        <v>2021</v>
      </c>
      <c r="D1688" t="s">
        <v>9894</v>
      </c>
      <c r="E1688">
        <v>33160816</v>
      </c>
    </row>
    <row r="1689" spans="1:5" x14ac:dyDescent="0.15">
      <c r="A1689" t="s">
        <v>9924</v>
      </c>
      <c r="B1689" t="s">
        <v>9926</v>
      </c>
      <c r="C1689">
        <v>2020</v>
      </c>
      <c r="D1689" t="s">
        <v>9937</v>
      </c>
      <c r="E1689">
        <v>33193138</v>
      </c>
    </row>
    <row r="1690" spans="1:5" x14ac:dyDescent="0.15">
      <c r="A1690" t="s">
        <v>10006</v>
      </c>
      <c r="B1690" t="s">
        <v>10008</v>
      </c>
      <c r="C1690">
        <v>2022</v>
      </c>
      <c r="D1690" t="s">
        <v>10017</v>
      </c>
      <c r="E1690">
        <v>35042294</v>
      </c>
    </row>
    <row r="1691" spans="1:5" x14ac:dyDescent="0.15">
      <c r="A1691" t="s">
        <v>10294</v>
      </c>
      <c r="B1691" t="s">
        <v>10296</v>
      </c>
      <c r="C1691">
        <v>2021</v>
      </c>
      <c r="D1691" t="s">
        <v>10305</v>
      </c>
      <c r="E1691">
        <v>33704314</v>
      </c>
    </row>
    <row r="1692" spans="1:5" x14ac:dyDescent="0.15">
      <c r="A1692" t="s">
        <v>10667</v>
      </c>
      <c r="B1692" t="s">
        <v>10669</v>
      </c>
      <c r="C1692">
        <v>2021</v>
      </c>
      <c r="D1692" t="s">
        <v>10682</v>
      </c>
      <c r="E1692">
        <v>34747333</v>
      </c>
    </row>
    <row r="1693" spans="1:5" x14ac:dyDescent="0.15">
      <c r="A1693" t="s">
        <v>10757</v>
      </c>
      <c r="B1693" t="s">
        <v>10759</v>
      </c>
      <c r="C1693">
        <v>2022</v>
      </c>
      <c r="D1693" t="s">
        <v>10769</v>
      </c>
      <c r="E1693">
        <v>35453532</v>
      </c>
    </row>
    <row r="1694" spans="1:5" x14ac:dyDescent="0.15">
      <c r="A1694" t="s">
        <v>11335</v>
      </c>
      <c r="B1694" t="s">
        <v>11337</v>
      </c>
      <c r="C1694">
        <v>2019</v>
      </c>
      <c r="D1694" t="s">
        <v>11348</v>
      </c>
      <c r="E1694">
        <v>30881463</v>
      </c>
    </row>
    <row r="1695" spans="1:5" x14ac:dyDescent="0.15">
      <c r="A1695" t="s">
        <v>11570</v>
      </c>
      <c r="B1695" t="s">
        <v>11572</v>
      </c>
      <c r="C1695">
        <v>2021</v>
      </c>
      <c r="D1695" t="s">
        <v>11585</v>
      </c>
      <c r="E1695" t="s">
        <v>74</v>
      </c>
    </row>
    <row r="1696" spans="1:5" x14ac:dyDescent="0.15">
      <c r="A1696" t="s">
        <v>12512</v>
      </c>
      <c r="B1696" t="s">
        <v>12514</v>
      </c>
      <c r="C1696">
        <v>2021</v>
      </c>
      <c r="D1696" t="s">
        <v>12523</v>
      </c>
      <c r="E1696">
        <v>34487126</v>
      </c>
    </row>
    <row r="1697" spans="1:5" x14ac:dyDescent="0.15">
      <c r="A1697" t="s">
        <v>12660</v>
      </c>
      <c r="B1697" t="s">
        <v>12662</v>
      </c>
      <c r="C1697">
        <v>2021</v>
      </c>
      <c r="D1697" t="s">
        <v>12669</v>
      </c>
      <c r="E1697">
        <v>33637947</v>
      </c>
    </row>
    <row r="1698" spans="1:5" x14ac:dyDescent="0.15">
      <c r="A1698" t="s">
        <v>12715</v>
      </c>
      <c r="B1698" t="s">
        <v>12718</v>
      </c>
      <c r="C1698">
        <v>2019</v>
      </c>
      <c r="D1698" t="s">
        <v>12730</v>
      </c>
      <c r="E1698" t="s">
        <v>74</v>
      </c>
    </row>
    <row r="1699" spans="1:5" x14ac:dyDescent="0.15">
      <c r="A1699" t="s">
        <v>13507</v>
      </c>
      <c r="B1699" t="s">
        <v>13509</v>
      </c>
      <c r="C1699">
        <v>2022</v>
      </c>
      <c r="D1699" t="s">
        <v>13519</v>
      </c>
      <c r="E1699">
        <v>34982830</v>
      </c>
    </row>
    <row r="1700" spans="1:5" x14ac:dyDescent="0.15">
      <c r="A1700" t="s">
        <v>13694</v>
      </c>
      <c r="B1700" t="s">
        <v>13696</v>
      </c>
      <c r="C1700">
        <v>2022</v>
      </c>
      <c r="D1700" t="s">
        <v>13710</v>
      </c>
      <c r="E1700">
        <v>34921593</v>
      </c>
    </row>
    <row r="1701" spans="1:5" x14ac:dyDescent="0.15">
      <c r="A1701" t="s">
        <v>14034</v>
      </c>
      <c r="B1701" t="s">
        <v>14036</v>
      </c>
      <c r="C1701">
        <v>2020</v>
      </c>
      <c r="D1701" t="s">
        <v>14044</v>
      </c>
      <c r="E1701">
        <v>33210708</v>
      </c>
    </row>
    <row r="1702" spans="1:5" x14ac:dyDescent="0.15">
      <c r="A1702" t="s">
        <v>15264</v>
      </c>
      <c r="B1702" t="s">
        <v>15266</v>
      </c>
      <c r="C1702">
        <v>2020</v>
      </c>
      <c r="D1702" t="s">
        <v>15274</v>
      </c>
      <c r="E1702">
        <v>33064572</v>
      </c>
    </row>
    <row r="1703" spans="1:5" x14ac:dyDescent="0.15">
      <c r="A1703" t="s">
        <v>16248</v>
      </c>
      <c r="B1703" t="s">
        <v>16250</v>
      </c>
      <c r="C1703">
        <v>2021</v>
      </c>
      <c r="D1703" t="s">
        <v>16260</v>
      </c>
      <c r="E1703">
        <v>34127680</v>
      </c>
    </row>
    <row r="1704" spans="1:5" x14ac:dyDescent="0.15">
      <c r="A1704" t="s">
        <v>16324</v>
      </c>
      <c r="B1704" t="s">
        <v>16326</v>
      </c>
      <c r="C1704">
        <v>2021</v>
      </c>
      <c r="D1704" t="s">
        <v>16336</v>
      </c>
      <c r="E1704">
        <v>33771977</v>
      </c>
    </row>
    <row r="1705" spans="1:5" x14ac:dyDescent="0.15">
      <c r="A1705" t="s">
        <v>16338</v>
      </c>
      <c r="B1705" t="s">
        <v>16340</v>
      </c>
      <c r="C1705">
        <v>2017</v>
      </c>
      <c r="D1705" t="s">
        <v>16352</v>
      </c>
      <c r="E1705">
        <v>28484642</v>
      </c>
    </row>
    <row r="1706" spans="1:5" x14ac:dyDescent="0.15">
      <c r="A1706" t="s">
        <v>17937</v>
      </c>
      <c r="B1706" t="s">
        <v>17939</v>
      </c>
      <c r="C1706">
        <v>2021</v>
      </c>
      <c r="D1706" t="s">
        <v>17948</v>
      </c>
      <c r="E1706">
        <v>33817941</v>
      </c>
    </row>
    <row r="1707" spans="1:5" x14ac:dyDescent="0.15">
      <c r="A1707" t="s">
        <v>18228</v>
      </c>
      <c r="B1707" t="s">
        <v>18230</v>
      </c>
      <c r="C1707">
        <v>2022</v>
      </c>
      <c r="D1707" t="s">
        <v>18237</v>
      </c>
      <c r="E1707">
        <v>35173168</v>
      </c>
    </row>
    <row r="1708" spans="1:5" x14ac:dyDescent="0.15">
      <c r="A1708" t="s">
        <v>18239</v>
      </c>
      <c r="B1708" t="s">
        <v>18241</v>
      </c>
      <c r="C1708">
        <v>2020</v>
      </c>
      <c r="D1708" t="s">
        <v>18248</v>
      </c>
      <c r="E1708">
        <v>33075374</v>
      </c>
    </row>
    <row r="1709" spans="1:5" x14ac:dyDescent="0.15">
      <c r="A1709" t="s">
        <v>18250</v>
      </c>
      <c r="B1709" t="s">
        <v>18252</v>
      </c>
      <c r="C1709">
        <v>2021</v>
      </c>
      <c r="D1709" t="s">
        <v>18261</v>
      </c>
      <c r="E1709">
        <v>34771645</v>
      </c>
    </row>
    <row r="1710" spans="1:5" x14ac:dyDescent="0.15">
      <c r="A1710" t="s">
        <v>18312</v>
      </c>
      <c r="B1710" t="s">
        <v>18314</v>
      </c>
      <c r="C1710">
        <v>2013</v>
      </c>
      <c r="D1710" t="s">
        <v>18321</v>
      </c>
      <c r="E1710">
        <v>23298549</v>
      </c>
    </row>
    <row r="1711" spans="1:5" x14ac:dyDescent="0.15">
      <c r="A1711" t="s">
        <v>18523</v>
      </c>
      <c r="B1711" t="s">
        <v>18525</v>
      </c>
      <c r="C1711">
        <v>2021</v>
      </c>
      <c r="D1711" t="s">
        <v>18536</v>
      </c>
      <c r="E1711" t="s">
        <v>74</v>
      </c>
    </row>
    <row r="1712" spans="1:5" x14ac:dyDescent="0.15">
      <c r="A1712" t="s">
        <v>18540</v>
      </c>
      <c r="B1712" t="s">
        <v>18542</v>
      </c>
      <c r="C1712">
        <v>2022</v>
      </c>
      <c r="D1712" t="s">
        <v>18551</v>
      </c>
      <c r="E1712">
        <v>34954570</v>
      </c>
    </row>
    <row r="1713" spans="1:5" x14ac:dyDescent="0.15">
      <c r="A1713" t="s">
        <v>18720</v>
      </c>
      <c r="B1713" t="s">
        <v>18722</v>
      </c>
      <c r="C1713">
        <v>2022</v>
      </c>
      <c r="D1713" t="s">
        <v>18731</v>
      </c>
      <c r="E1713">
        <v>35565192</v>
      </c>
    </row>
    <row r="1714" spans="1:5" x14ac:dyDescent="0.15">
      <c r="A1714" t="s">
        <v>18748</v>
      </c>
      <c r="B1714" t="s">
        <v>18750</v>
      </c>
      <c r="C1714">
        <v>2020</v>
      </c>
      <c r="D1714" t="s">
        <v>18761</v>
      </c>
      <c r="E1714">
        <v>33031312</v>
      </c>
    </row>
    <row r="1715" spans="1:5" x14ac:dyDescent="0.15">
      <c r="A1715" t="s">
        <v>18801</v>
      </c>
      <c r="B1715" t="s">
        <v>18803</v>
      </c>
      <c r="C1715">
        <v>2021</v>
      </c>
      <c r="D1715" t="s">
        <v>18812</v>
      </c>
      <c r="E1715">
        <v>34460871</v>
      </c>
    </row>
    <row r="1716" spans="1:5" x14ac:dyDescent="0.15">
      <c r="A1716" t="s">
        <v>18846</v>
      </c>
      <c r="B1716" t="s">
        <v>18848</v>
      </c>
      <c r="C1716">
        <v>2019</v>
      </c>
      <c r="D1716" t="s">
        <v>18860</v>
      </c>
      <c r="E1716">
        <v>30758240</v>
      </c>
    </row>
    <row r="1717" spans="1:5" x14ac:dyDescent="0.15">
      <c r="A1717" t="s">
        <v>19226</v>
      </c>
      <c r="B1717" t="s">
        <v>19227</v>
      </c>
      <c r="C1717">
        <v>1997</v>
      </c>
      <c r="D1717" t="s">
        <v>19235</v>
      </c>
      <c r="E1717">
        <v>9467401</v>
      </c>
    </row>
    <row r="1718" spans="1:5" x14ac:dyDescent="0.15">
      <c r="A1718" t="s">
        <v>19454</v>
      </c>
      <c r="B1718" t="s">
        <v>19456</v>
      </c>
      <c r="C1718">
        <v>2021</v>
      </c>
      <c r="D1718" t="s">
        <v>19469</v>
      </c>
      <c r="E1718">
        <v>33606634</v>
      </c>
    </row>
    <row r="1719" spans="1:5" x14ac:dyDescent="0.15">
      <c r="A1719" t="s">
        <v>19678</v>
      </c>
      <c r="B1719" t="s">
        <v>19680</v>
      </c>
      <c r="C1719">
        <v>2021</v>
      </c>
      <c r="D1719" t="s">
        <v>19691</v>
      </c>
      <c r="E1719">
        <v>32651457</v>
      </c>
    </row>
    <row r="1720" spans="1:5" x14ac:dyDescent="0.15">
      <c r="A1720" t="s">
        <v>16771</v>
      </c>
      <c r="B1720" t="s">
        <v>19881</v>
      </c>
      <c r="C1720">
        <v>2022</v>
      </c>
      <c r="D1720" t="s">
        <v>19892</v>
      </c>
      <c r="E1720">
        <v>34426211</v>
      </c>
    </row>
    <row r="1721" spans="1:5" x14ac:dyDescent="0.15">
      <c r="A1721" t="s">
        <v>20114</v>
      </c>
      <c r="B1721" t="s">
        <v>20116</v>
      </c>
      <c r="C1721">
        <v>2016</v>
      </c>
      <c r="D1721" t="s">
        <v>20128</v>
      </c>
      <c r="E1721">
        <v>27382512</v>
      </c>
    </row>
    <row r="1722" spans="1:5" x14ac:dyDescent="0.15">
      <c r="A1722" t="s">
        <v>20144</v>
      </c>
      <c r="B1722" t="s">
        <v>20146</v>
      </c>
      <c r="C1722">
        <v>2022</v>
      </c>
      <c r="D1722" t="s">
        <v>20155</v>
      </c>
      <c r="E1722" t="s">
        <v>74</v>
      </c>
    </row>
    <row r="1723" spans="1:5" x14ac:dyDescent="0.15">
      <c r="A1723" t="s">
        <v>20157</v>
      </c>
      <c r="B1723" t="s">
        <v>20160</v>
      </c>
      <c r="C1723">
        <v>2020</v>
      </c>
      <c r="D1723" t="s">
        <v>20173</v>
      </c>
      <c r="E1723" t="s">
        <v>74</v>
      </c>
    </row>
    <row r="1724" spans="1:5" x14ac:dyDescent="0.15">
      <c r="A1724" t="s">
        <v>20352</v>
      </c>
      <c r="B1724" t="s">
        <v>20355</v>
      </c>
      <c r="C1724">
        <v>2017</v>
      </c>
      <c r="D1724" t="s">
        <v>20364</v>
      </c>
      <c r="E1724">
        <v>27924585</v>
      </c>
    </row>
    <row r="1725" spans="1:5" x14ac:dyDescent="0.15">
      <c r="A1725" t="s">
        <v>20502</v>
      </c>
      <c r="B1725" t="s">
        <v>20504</v>
      </c>
      <c r="C1725">
        <v>2022</v>
      </c>
      <c r="D1725" t="s">
        <v>20514</v>
      </c>
      <c r="E1725">
        <v>35052770</v>
      </c>
    </row>
    <row r="1726" spans="1:5" x14ac:dyDescent="0.15">
      <c r="A1726" t="s">
        <v>20831</v>
      </c>
      <c r="B1726" t="s">
        <v>20833</v>
      </c>
      <c r="C1726">
        <v>2022</v>
      </c>
      <c r="D1726" t="s">
        <v>20842</v>
      </c>
      <c r="E1726">
        <v>35057921</v>
      </c>
    </row>
    <row r="1727" spans="1:5" x14ac:dyDescent="0.15">
      <c r="A1727" t="s">
        <v>20905</v>
      </c>
      <c r="B1727" t="s">
        <v>20907</v>
      </c>
      <c r="C1727">
        <v>2021</v>
      </c>
      <c r="D1727" t="s">
        <v>20918</v>
      </c>
      <c r="E1727">
        <v>33855079</v>
      </c>
    </row>
    <row r="1728" spans="1:5" x14ac:dyDescent="0.15">
      <c r="A1728" t="s">
        <v>21157</v>
      </c>
      <c r="B1728" t="s">
        <v>21159</v>
      </c>
      <c r="C1728">
        <v>2021</v>
      </c>
      <c r="D1728" t="s">
        <v>21168</v>
      </c>
      <c r="E1728">
        <v>34811396</v>
      </c>
    </row>
    <row r="1729" spans="1:5" x14ac:dyDescent="0.15">
      <c r="A1729" t="s">
        <v>21191</v>
      </c>
      <c r="B1729" t="s">
        <v>21193</v>
      </c>
      <c r="C1729">
        <v>2021</v>
      </c>
      <c r="D1729" t="s">
        <v>21206</v>
      </c>
      <c r="E1729">
        <v>34220891</v>
      </c>
    </row>
    <row r="1730" spans="1:5" x14ac:dyDescent="0.15">
      <c r="A1730" t="s">
        <v>21258</v>
      </c>
      <c r="B1730" t="s">
        <v>21260</v>
      </c>
      <c r="C1730">
        <v>2021</v>
      </c>
      <c r="D1730" t="s">
        <v>21269</v>
      </c>
      <c r="E1730">
        <v>33128169</v>
      </c>
    </row>
    <row r="1731" spans="1:5" x14ac:dyDescent="0.15">
      <c r="A1731" t="s">
        <v>21485</v>
      </c>
      <c r="B1731" t="s">
        <v>21487</v>
      </c>
      <c r="C1731">
        <v>2014</v>
      </c>
      <c r="D1731" t="s">
        <v>21497</v>
      </c>
      <c r="E1731" t="s">
        <v>74</v>
      </c>
    </row>
    <row r="1732" spans="1:5" x14ac:dyDescent="0.15">
      <c r="A1732" t="s">
        <v>21562</v>
      </c>
      <c r="B1732" t="s">
        <v>21564</v>
      </c>
      <c r="C1732">
        <v>2021</v>
      </c>
      <c r="D1732" t="s">
        <v>21574</v>
      </c>
      <c r="E1732">
        <v>34698165</v>
      </c>
    </row>
    <row r="1733" spans="1:5" x14ac:dyDescent="0.15">
      <c r="A1733" t="s">
        <v>21618</v>
      </c>
      <c r="B1733" t="s">
        <v>21620</v>
      </c>
      <c r="C1733">
        <v>2022</v>
      </c>
      <c r="D1733" t="s">
        <v>21632</v>
      </c>
      <c r="E1733">
        <v>34962643</v>
      </c>
    </row>
    <row r="1734" spans="1:5" x14ac:dyDescent="0.15">
      <c r="A1734" t="s">
        <v>21760</v>
      </c>
      <c r="B1734" t="s">
        <v>21762</v>
      </c>
      <c r="C1734">
        <v>2022</v>
      </c>
      <c r="D1734" t="s">
        <v>21770</v>
      </c>
      <c r="E1734">
        <v>35245730</v>
      </c>
    </row>
    <row r="1735" spans="1:5" x14ac:dyDescent="0.15">
      <c r="A1735" t="s">
        <v>21772</v>
      </c>
      <c r="B1735" t="s">
        <v>21774</v>
      </c>
      <c r="C1735">
        <v>2021</v>
      </c>
      <c r="D1735" t="s">
        <v>21784</v>
      </c>
      <c r="E1735">
        <v>34970155</v>
      </c>
    </row>
    <row r="1736" spans="1:5" x14ac:dyDescent="0.15">
      <c r="A1736" t="s">
        <v>21794</v>
      </c>
      <c r="B1736" t="s">
        <v>21796</v>
      </c>
      <c r="C1736">
        <v>2021</v>
      </c>
      <c r="D1736" t="s">
        <v>21804</v>
      </c>
      <c r="E1736">
        <v>34565398</v>
      </c>
    </row>
    <row r="1737" spans="1:5" x14ac:dyDescent="0.15">
      <c r="A1737" t="s">
        <v>21806</v>
      </c>
      <c r="B1737" t="s">
        <v>21808</v>
      </c>
      <c r="C1737">
        <v>2021</v>
      </c>
      <c r="D1737" t="s">
        <v>21818</v>
      </c>
      <c r="E1737">
        <v>34696262</v>
      </c>
    </row>
    <row r="1738" spans="1:5" x14ac:dyDescent="0.15">
      <c r="A1738" t="s">
        <v>21847</v>
      </c>
      <c r="B1738" t="s">
        <v>21849</v>
      </c>
      <c r="C1738">
        <v>2020</v>
      </c>
      <c r="D1738" t="s">
        <v>21859</v>
      </c>
      <c r="E1738">
        <v>32806709</v>
      </c>
    </row>
    <row r="1739" spans="1:5" x14ac:dyDescent="0.15">
      <c r="A1739" t="s">
        <v>22072</v>
      </c>
      <c r="B1739" t="s">
        <v>22074</v>
      </c>
      <c r="C1739">
        <v>2017</v>
      </c>
      <c r="D1739" t="s">
        <v>22085</v>
      </c>
      <c r="E1739">
        <v>28108031</v>
      </c>
    </row>
    <row r="1740" spans="1:5" x14ac:dyDescent="0.15">
      <c r="A1740" t="s">
        <v>22298</v>
      </c>
      <c r="B1740" t="s">
        <v>22300</v>
      </c>
      <c r="C1740">
        <v>2021</v>
      </c>
      <c r="D1740" t="s">
        <v>22310</v>
      </c>
      <c r="E1740">
        <v>34886453</v>
      </c>
    </row>
    <row r="1741" spans="1:5" x14ac:dyDescent="0.15">
      <c r="A1741" t="s">
        <v>22458</v>
      </c>
      <c r="B1741" t="s">
        <v>22460</v>
      </c>
      <c r="C1741">
        <v>2022</v>
      </c>
      <c r="D1741" t="s">
        <v>22469</v>
      </c>
      <c r="E1741">
        <v>35036069</v>
      </c>
    </row>
    <row r="1742" spans="1:5" x14ac:dyDescent="0.15">
      <c r="A1742" t="s">
        <v>23209</v>
      </c>
      <c r="B1742" t="s">
        <v>23211</v>
      </c>
      <c r="C1742">
        <v>2021</v>
      </c>
      <c r="D1742" t="s">
        <v>23222</v>
      </c>
      <c r="E1742">
        <v>34248507</v>
      </c>
    </row>
    <row r="1743" spans="1:5" x14ac:dyDescent="0.15">
      <c r="A1743" t="s">
        <v>23330</v>
      </c>
      <c r="B1743" t="s">
        <v>23332</v>
      </c>
      <c r="C1743">
        <v>2021</v>
      </c>
      <c r="D1743" t="s">
        <v>23344</v>
      </c>
      <c r="E1743">
        <v>34744021</v>
      </c>
    </row>
    <row r="1744" spans="1:5" x14ac:dyDescent="0.15">
      <c r="A1744" t="s">
        <v>23379</v>
      </c>
      <c r="B1744" t="s">
        <v>23381</v>
      </c>
      <c r="C1744">
        <v>2021</v>
      </c>
      <c r="D1744" t="s">
        <v>23391</v>
      </c>
      <c r="E1744">
        <v>34760620</v>
      </c>
    </row>
    <row r="1745" spans="1:5" x14ac:dyDescent="0.15">
      <c r="A1745" t="s">
        <v>23597</v>
      </c>
      <c r="B1745" t="s">
        <v>23599</v>
      </c>
      <c r="C1745">
        <v>2021</v>
      </c>
      <c r="D1745" t="s">
        <v>23612</v>
      </c>
      <c r="E1745">
        <v>34386404</v>
      </c>
    </row>
    <row r="1746" spans="1:5" x14ac:dyDescent="0.15">
      <c r="A1746" t="s">
        <v>24179</v>
      </c>
      <c r="B1746" t="s">
        <v>24181</v>
      </c>
      <c r="C1746">
        <v>2021</v>
      </c>
      <c r="D1746" t="s">
        <v>24191</v>
      </c>
      <c r="E1746">
        <v>34613814</v>
      </c>
    </row>
    <row r="1747" spans="1:5" x14ac:dyDescent="0.15">
      <c r="A1747" t="s">
        <v>24551</v>
      </c>
      <c r="B1747" t="s">
        <v>24553</v>
      </c>
      <c r="C1747">
        <v>2021</v>
      </c>
      <c r="D1747" t="s">
        <v>24561</v>
      </c>
      <c r="E1747">
        <v>34533885</v>
      </c>
    </row>
    <row r="1748" spans="1:5" x14ac:dyDescent="0.15">
      <c r="A1748" t="s">
        <v>25037</v>
      </c>
      <c r="B1748" t="s">
        <v>25039</v>
      </c>
      <c r="C1748">
        <v>2021</v>
      </c>
      <c r="D1748" t="s">
        <v>25048</v>
      </c>
      <c r="E1748">
        <v>34056395</v>
      </c>
    </row>
    <row r="1749" spans="1:5" x14ac:dyDescent="0.15">
      <c r="A1749" t="s">
        <v>25084</v>
      </c>
      <c r="B1749" t="s">
        <v>25086</v>
      </c>
      <c r="C1749">
        <v>2020</v>
      </c>
      <c r="D1749" t="s">
        <v>25098</v>
      </c>
      <c r="E1749" t="s">
        <v>74</v>
      </c>
    </row>
    <row r="1750" spans="1:5" x14ac:dyDescent="0.15">
      <c r="A1750" t="s">
        <v>25914</v>
      </c>
      <c r="B1750" t="s">
        <v>25916</v>
      </c>
      <c r="C1750">
        <v>2021</v>
      </c>
      <c r="D1750" t="s">
        <v>25927</v>
      </c>
      <c r="E1750">
        <v>34029631</v>
      </c>
    </row>
    <row r="1751" spans="1:5" x14ac:dyDescent="0.15">
      <c r="A1751" t="s">
        <v>25970</v>
      </c>
      <c r="B1751" t="s">
        <v>25972</v>
      </c>
      <c r="C1751">
        <v>2021</v>
      </c>
      <c r="D1751" t="s">
        <v>25981</v>
      </c>
      <c r="E1751">
        <v>34720597</v>
      </c>
    </row>
    <row r="1752" spans="1:5" x14ac:dyDescent="0.15">
      <c r="A1752" t="s">
        <v>26215</v>
      </c>
      <c r="B1752" t="s">
        <v>26217</v>
      </c>
      <c r="C1752">
        <v>2021</v>
      </c>
      <c r="D1752" t="s">
        <v>26226</v>
      </c>
      <c r="E1752">
        <v>34321277</v>
      </c>
    </row>
    <row r="1753" spans="1:5" x14ac:dyDescent="0.15">
      <c r="A1753" t="s">
        <v>26551</v>
      </c>
      <c r="B1753" t="s">
        <v>26553</v>
      </c>
      <c r="C1753">
        <v>2011</v>
      </c>
      <c r="D1753" t="s">
        <v>26561</v>
      </c>
      <c r="E1753">
        <v>21761937</v>
      </c>
    </row>
    <row r="1754" spans="1:5" x14ac:dyDescent="0.15">
      <c r="A1754" t="s">
        <v>26742</v>
      </c>
      <c r="B1754" t="s">
        <v>26744</v>
      </c>
      <c r="C1754">
        <v>2022</v>
      </c>
      <c r="D1754" t="s">
        <v>26755</v>
      </c>
      <c r="E1754">
        <v>34462176</v>
      </c>
    </row>
    <row r="1755" spans="1:5" x14ac:dyDescent="0.15">
      <c r="A1755" t="s">
        <v>26946</v>
      </c>
      <c r="B1755" t="s">
        <v>26949</v>
      </c>
      <c r="C1755">
        <v>2017</v>
      </c>
      <c r="D1755" t="s">
        <v>26961</v>
      </c>
      <c r="E1755" t="s">
        <v>74</v>
      </c>
    </row>
    <row r="1756" spans="1:5" x14ac:dyDescent="0.15">
      <c r="A1756" t="s">
        <v>27172</v>
      </c>
      <c r="B1756" t="s">
        <v>27174</v>
      </c>
      <c r="C1756">
        <v>2021</v>
      </c>
      <c r="D1756" t="s">
        <v>27182</v>
      </c>
      <c r="E1756">
        <v>34611223</v>
      </c>
    </row>
    <row r="1757" spans="1:5" x14ac:dyDescent="0.15">
      <c r="A1757" t="s">
        <v>27442</v>
      </c>
      <c r="B1757" t="s">
        <v>27444</v>
      </c>
      <c r="C1757">
        <v>2020</v>
      </c>
      <c r="D1757" t="s">
        <v>27456</v>
      </c>
      <c r="E1757">
        <v>33141101</v>
      </c>
    </row>
    <row r="1758" spans="1:5" x14ac:dyDescent="0.15">
      <c r="A1758" t="s">
        <v>27790</v>
      </c>
      <c r="B1758" t="s">
        <v>27792</v>
      </c>
      <c r="C1758" t="s">
        <v>74</v>
      </c>
      <c r="D1758" t="s">
        <v>27801</v>
      </c>
      <c r="E1758">
        <v>35103937</v>
      </c>
    </row>
    <row r="1759" spans="1:5" x14ac:dyDescent="0.15">
      <c r="A1759" t="s">
        <v>28291</v>
      </c>
      <c r="B1759" t="s">
        <v>28294</v>
      </c>
      <c r="C1759">
        <v>2018</v>
      </c>
      <c r="D1759" t="s">
        <v>28307</v>
      </c>
      <c r="E1759" t="s">
        <v>74</v>
      </c>
    </row>
    <row r="1760" spans="1:5" x14ac:dyDescent="0.15">
      <c r="A1760" t="s">
        <v>28393</v>
      </c>
      <c r="B1760" t="s">
        <v>28395</v>
      </c>
      <c r="C1760">
        <v>2020</v>
      </c>
      <c r="D1760" t="s">
        <v>28404</v>
      </c>
      <c r="E1760">
        <v>33176237</v>
      </c>
    </row>
    <row r="1761" spans="1:5" x14ac:dyDescent="0.15">
      <c r="A1761" t="s">
        <v>28548</v>
      </c>
      <c r="B1761" t="s">
        <v>28550</v>
      </c>
      <c r="C1761">
        <v>2022</v>
      </c>
      <c r="D1761" t="s">
        <v>28560</v>
      </c>
      <c r="E1761">
        <v>34997960</v>
      </c>
    </row>
    <row r="1762" spans="1:5" x14ac:dyDescent="0.15">
      <c r="A1762" t="s">
        <v>29100</v>
      </c>
      <c r="B1762" t="s">
        <v>29102</v>
      </c>
      <c r="C1762">
        <v>2022</v>
      </c>
      <c r="D1762" t="s">
        <v>29109</v>
      </c>
      <c r="E1762">
        <v>35235898</v>
      </c>
    </row>
    <row r="1763" spans="1:5" x14ac:dyDescent="0.15">
      <c r="A1763" t="s">
        <v>29166</v>
      </c>
      <c r="B1763" t="s">
        <v>29168</v>
      </c>
      <c r="C1763">
        <v>2018</v>
      </c>
      <c r="D1763" t="s">
        <v>29178</v>
      </c>
      <c r="E1763">
        <v>29884303</v>
      </c>
    </row>
    <row r="1764" spans="1:5" x14ac:dyDescent="0.15">
      <c r="A1764" t="s">
        <v>29538</v>
      </c>
      <c r="B1764" t="s">
        <v>29540</v>
      </c>
      <c r="C1764">
        <v>2021</v>
      </c>
      <c r="D1764" t="s">
        <v>29547</v>
      </c>
      <c r="E1764">
        <v>33989049</v>
      </c>
    </row>
    <row r="1765" spans="1:5" x14ac:dyDescent="0.15">
      <c r="A1765" t="s">
        <v>29606</v>
      </c>
      <c r="B1765" t="s">
        <v>29608</v>
      </c>
      <c r="C1765">
        <v>2019</v>
      </c>
      <c r="D1765" t="s">
        <v>29621</v>
      </c>
      <c r="E1765">
        <v>30696406</v>
      </c>
    </row>
    <row r="1766" spans="1:5" x14ac:dyDescent="0.15">
      <c r="A1766" t="s">
        <v>30001</v>
      </c>
      <c r="B1766" t="s">
        <v>30004</v>
      </c>
      <c r="C1766">
        <v>2020</v>
      </c>
      <c r="D1766" t="s">
        <v>30013</v>
      </c>
      <c r="E1766" t="s">
        <v>74</v>
      </c>
    </row>
    <row r="1767" spans="1:5" x14ac:dyDescent="0.15">
      <c r="A1767" t="s">
        <v>30245</v>
      </c>
      <c r="B1767" t="s">
        <v>30248</v>
      </c>
      <c r="C1767">
        <v>2014</v>
      </c>
      <c r="D1767" t="s">
        <v>30259</v>
      </c>
      <c r="E1767">
        <v>25480638</v>
      </c>
    </row>
    <row r="1768" spans="1:5" x14ac:dyDescent="0.15">
      <c r="A1768" t="s">
        <v>30482</v>
      </c>
      <c r="B1768" t="s">
        <v>30484</v>
      </c>
      <c r="C1768">
        <v>2021</v>
      </c>
      <c r="D1768" t="s">
        <v>30493</v>
      </c>
      <c r="E1768">
        <v>34825908</v>
      </c>
    </row>
    <row r="1769" spans="1:5" x14ac:dyDescent="0.15">
      <c r="A1769" t="s">
        <v>120</v>
      </c>
      <c r="B1769" t="s">
        <v>122</v>
      </c>
      <c r="C1769">
        <v>2022</v>
      </c>
      <c r="D1769" t="s">
        <v>134</v>
      </c>
      <c r="E1769">
        <v>35373518</v>
      </c>
    </row>
    <row r="1770" spans="1:5" x14ac:dyDescent="0.15">
      <c r="A1770" t="s">
        <v>415</v>
      </c>
      <c r="B1770" t="s">
        <v>417</v>
      </c>
      <c r="C1770">
        <v>2020</v>
      </c>
      <c r="D1770" t="s">
        <v>430</v>
      </c>
      <c r="E1770">
        <v>32420990</v>
      </c>
    </row>
    <row r="1771" spans="1:5" x14ac:dyDescent="0.15">
      <c r="A1771" t="s">
        <v>1307</v>
      </c>
      <c r="B1771" t="s">
        <v>1309</v>
      </c>
      <c r="C1771">
        <v>2020</v>
      </c>
      <c r="D1771" t="s">
        <v>1322</v>
      </c>
      <c r="E1771">
        <v>32856938</v>
      </c>
    </row>
    <row r="1772" spans="1:5" x14ac:dyDescent="0.15">
      <c r="A1772" t="s">
        <v>1907</v>
      </c>
      <c r="B1772" t="s">
        <v>1909</v>
      </c>
      <c r="C1772">
        <v>2022</v>
      </c>
      <c r="D1772" t="s">
        <v>1921</v>
      </c>
      <c r="E1772">
        <v>35059876</v>
      </c>
    </row>
    <row r="1773" spans="1:5" x14ac:dyDescent="0.15">
      <c r="A1773" t="s">
        <v>1923</v>
      </c>
      <c r="B1773" t="s">
        <v>1925</v>
      </c>
      <c r="C1773">
        <v>2022</v>
      </c>
      <c r="D1773" t="s">
        <v>1938</v>
      </c>
      <c r="E1773">
        <v>35367893</v>
      </c>
    </row>
    <row r="1774" spans="1:5" x14ac:dyDescent="0.15">
      <c r="A1774" t="s">
        <v>2549</v>
      </c>
      <c r="B1774" t="s">
        <v>2551</v>
      </c>
      <c r="C1774">
        <v>2022</v>
      </c>
      <c r="D1774" t="s">
        <v>2563</v>
      </c>
      <c r="E1774">
        <v>35453902</v>
      </c>
    </row>
    <row r="1775" spans="1:5" x14ac:dyDescent="0.15">
      <c r="A1775" t="s">
        <v>2581</v>
      </c>
      <c r="B1775" t="s">
        <v>2583</v>
      </c>
      <c r="C1775">
        <v>2021</v>
      </c>
      <c r="D1775" t="s">
        <v>2593</v>
      </c>
      <c r="E1775">
        <v>34681663</v>
      </c>
    </row>
    <row r="1776" spans="1:5" x14ac:dyDescent="0.15">
      <c r="A1776" t="s">
        <v>2815</v>
      </c>
      <c r="B1776" t="s">
        <v>2817</v>
      </c>
      <c r="C1776">
        <v>2021</v>
      </c>
      <c r="D1776" t="s">
        <v>2828</v>
      </c>
      <c r="E1776">
        <v>33562158</v>
      </c>
    </row>
    <row r="1777" spans="1:5" x14ac:dyDescent="0.15">
      <c r="A1777" t="s">
        <v>3073</v>
      </c>
      <c r="B1777" t="s">
        <v>3075</v>
      </c>
      <c r="C1777">
        <v>2020</v>
      </c>
      <c r="D1777" t="s">
        <v>3086</v>
      </c>
      <c r="E1777">
        <v>32065171</v>
      </c>
    </row>
    <row r="1778" spans="1:5" x14ac:dyDescent="0.15">
      <c r="A1778" t="s">
        <v>3088</v>
      </c>
      <c r="B1778" t="s">
        <v>3090</v>
      </c>
      <c r="C1778">
        <v>2021</v>
      </c>
      <c r="D1778" t="s">
        <v>3099</v>
      </c>
      <c r="E1778">
        <v>34440345</v>
      </c>
    </row>
    <row r="1779" spans="1:5" x14ac:dyDescent="0.15">
      <c r="A1779" t="s">
        <v>1448</v>
      </c>
      <c r="B1779" t="s">
        <v>3162</v>
      </c>
      <c r="C1779">
        <v>2020</v>
      </c>
      <c r="D1779" t="s">
        <v>3172</v>
      </c>
      <c r="E1779">
        <v>31584165</v>
      </c>
    </row>
    <row r="1780" spans="1:5" x14ac:dyDescent="0.15">
      <c r="A1780" t="s">
        <v>3177</v>
      </c>
      <c r="B1780" t="s">
        <v>3179</v>
      </c>
      <c r="C1780">
        <v>2021</v>
      </c>
      <c r="D1780" t="s">
        <v>3191</v>
      </c>
      <c r="E1780">
        <v>33925397</v>
      </c>
    </row>
    <row r="1781" spans="1:5" x14ac:dyDescent="0.15">
      <c r="A1781" t="s">
        <v>3893</v>
      </c>
      <c r="B1781" t="s">
        <v>3895</v>
      </c>
      <c r="C1781">
        <v>2017</v>
      </c>
      <c r="D1781" t="s">
        <v>3912</v>
      </c>
      <c r="E1781">
        <v>29043382</v>
      </c>
    </row>
    <row r="1782" spans="1:5" x14ac:dyDescent="0.15">
      <c r="A1782" t="s">
        <v>4101</v>
      </c>
      <c r="B1782" t="s">
        <v>4103</v>
      </c>
      <c r="C1782">
        <v>2021</v>
      </c>
      <c r="D1782" t="s">
        <v>4113</v>
      </c>
      <c r="E1782">
        <v>34900671</v>
      </c>
    </row>
    <row r="1783" spans="1:5" x14ac:dyDescent="0.15">
      <c r="A1783" t="s">
        <v>4228</v>
      </c>
      <c r="B1783" t="s">
        <v>4230</v>
      </c>
      <c r="C1783">
        <v>2021</v>
      </c>
      <c r="D1783" t="s">
        <v>4240</v>
      </c>
      <c r="E1783">
        <v>34868914</v>
      </c>
    </row>
    <row r="1784" spans="1:5" x14ac:dyDescent="0.15">
      <c r="A1784" t="s">
        <v>4242</v>
      </c>
      <c r="B1784" t="s">
        <v>4244</v>
      </c>
      <c r="C1784">
        <v>2021</v>
      </c>
      <c r="D1784" t="s">
        <v>4255</v>
      </c>
      <c r="E1784">
        <v>34820420</v>
      </c>
    </row>
    <row r="1785" spans="1:5" x14ac:dyDescent="0.15">
      <c r="A1785" t="s">
        <v>4292</v>
      </c>
      <c r="B1785" t="s">
        <v>4295</v>
      </c>
      <c r="C1785">
        <v>2020</v>
      </c>
      <c r="D1785" t="s">
        <v>4306</v>
      </c>
      <c r="E1785" t="s">
        <v>74</v>
      </c>
    </row>
    <row r="1786" spans="1:5" x14ac:dyDescent="0.15">
      <c r="A1786" t="s">
        <v>4968</v>
      </c>
      <c r="B1786" t="s">
        <v>4970</v>
      </c>
      <c r="C1786">
        <v>2020</v>
      </c>
      <c r="D1786" t="s">
        <v>4979</v>
      </c>
      <c r="E1786" t="s">
        <v>74</v>
      </c>
    </row>
    <row r="1787" spans="1:5" x14ac:dyDescent="0.15">
      <c r="A1787" t="s">
        <v>5094</v>
      </c>
      <c r="B1787" t="s">
        <v>5097</v>
      </c>
      <c r="C1787">
        <v>2020</v>
      </c>
      <c r="D1787" t="s">
        <v>5107</v>
      </c>
      <c r="E1787">
        <v>31893376</v>
      </c>
    </row>
    <row r="1788" spans="1:5" x14ac:dyDescent="0.15">
      <c r="A1788" t="s">
        <v>5345</v>
      </c>
      <c r="B1788" t="s">
        <v>5347</v>
      </c>
      <c r="C1788">
        <v>2021</v>
      </c>
      <c r="D1788" t="s">
        <v>5357</v>
      </c>
      <c r="E1788">
        <v>34454177</v>
      </c>
    </row>
    <row r="1789" spans="1:5" x14ac:dyDescent="0.15">
      <c r="A1789" t="s">
        <v>5373</v>
      </c>
      <c r="B1789" t="s">
        <v>5375</v>
      </c>
      <c r="C1789">
        <v>2021</v>
      </c>
      <c r="D1789" t="s">
        <v>5383</v>
      </c>
      <c r="E1789">
        <v>33917426</v>
      </c>
    </row>
    <row r="1790" spans="1:5" x14ac:dyDescent="0.15">
      <c r="A1790" t="s">
        <v>5537</v>
      </c>
      <c r="B1790" t="s">
        <v>5539</v>
      </c>
      <c r="C1790">
        <v>2022</v>
      </c>
      <c r="D1790" t="s">
        <v>5552</v>
      </c>
      <c r="E1790">
        <v>35027662</v>
      </c>
    </row>
    <row r="1791" spans="1:5" x14ac:dyDescent="0.15">
      <c r="A1791" t="s">
        <v>5958</v>
      </c>
      <c r="B1791" t="s">
        <v>5960</v>
      </c>
      <c r="C1791">
        <v>2021</v>
      </c>
      <c r="D1791" t="s">
        <v>5969</v>
      </c>
      <c r="E1791">
        <v>33925708</v>
      </c>
    </row>
    <row r="1792" spans="1:5" x14ac:dyDescent="0.15">
      <c r="A1792" t="s">
        <v>6286</v>
      </c>
      <c r="B1792" t="s">
        <v>6288</v>
      </c>
      <c r="C1792">
        <v>2022</v>
      </c>
      <c r="D1792" t="s">
        <v>6298</v>
      </c>
      <c r="E1792">
        <v>35447404</v>
      </c>
    </row>
    <row r="1793" spans="1:5" x14ac:dyDescent="0.15">
      <c r="A1793" t="s">
        <v>6376</v>
      </c>
      <c r="B1793" t="s">
        <v>6378</v>
      </c>
      <c r="C1793">
        <v>2022</v>
      </c>
      <c r="D1793" t="s">
        <v>6393</v>
      </c>
      <c r="E1793">
        <v>35343600</v>
      </c>
    </row>
    <row r="1794" spans="1:5" x14ac:dyDescent="0.15">
      <c r="A1794" t="s">
        <v>6423</v>
      </c>
      <c r="B1794" t="s">
        <v>6425</v>
      </c>
      <c r="C1794">
        <v>2021</v>
      </c>
      <c r="D1794" t="s">
        <v>6435</v>
      </c>
      <c r="E1794">
        <v>33569647</v>
      </c>
    </row>
    <row r="1795" spans="1:5" x14ac:dyDescent="0.15">
      <c r="A1795" t="s">
        <v>6712</v>
      </c>
      <c r="B1795" t="s">
        <v>6714</v>
      </c>
      <c r="C1795">
        <v>2022</v>
      </c>
      <c r="D1795" t="s">
        <v>6725</v>
      </c>
      <c r="E1795">
        <v>35326114</v>
      </c>
    </row>
    <row r="1796" spans="1:5" x14ac:dyDescent="0.15">
      <c r="A1796" t="s">
        <v>6791</v>
      </c>
      <c r="B1796" t="s">
        <v>6793</v>
      </c>
      <c r="C1796">
        <v>2022</v>
      </c>
      <c r="D1796" t="s">
        <v>6803</v>
      </c>
      <c r="E1796">
        <v>35723343</v>
      </c>
    </row>
    <row r="1797" spans="1:5" x14ac:dyDescent="0.15">
      <c r="A1797" t="s">
        <v>6819</v>
      </c>
      <c r="B1797" t="s">
        <v>6821</v>
      </c>
      <c r="C1797">
        <v>2022</v>
      </c>
      <c r="D1797" t="s">
        <v>6833</v>
      </c>
      <c r="E1797">
        <v>35472162</v>
      </c>
    </row>
    <row r="1798" spans="1:5" x14ac:dyDescent="0.15">
      <c r="A1798" t="s">
        <v>7183</v>
      </c>
      <c r="B1798" t="s">
        <v>7185</v>
      </c>
      <c r="C1798">
        <v>2020</v>
      </c>
      <c r="D1798" t="s">
        <v>7197</v>
      </c>
      <c r="E1798">
        <v>33017084</v>
      </c>
    </row>
    <row r="1799" spans="1:5" x14ac:dyDescent="0.15">
      <c r="A1799" t="s">
        <v>7693</v>
      </c>
      <c r="B1799" t="s">
        <v>7695</v>
      </c>
      <c r="C1799">
        <v>2010</v>
      </c>
      <c r="D1799" t="s">
        <v>74</v>
      </c>
      <c r="E1799" t="s">
        <v>74</v>
      </c>
    </row>
    <row r="1800" spans="1:5" x14ac:dyDescent="0.15">
      <c r="A1800" t="s">
        <v>7707</v>
      </c>
      <c r="B1800" t="s">
        <v>7709</v>
      </c>
      <c r="C1800">
        <v>2022</v>
      </c>
      <c r="D1800" t="s">
        <v>7719</v>
      </c>
      <c r="E1800">
        <v>35409352</v>
      </c>
    </row>
    <row r="1801" spans="1:5" x14ac:dyDescent="0.15">
      <c r="A1801" t="s">
        <v>7734</v>
      </c>
      <c r="B1801" t="s">
        <v>7736</v>
      </c>
      <c r="C1801">
        <v>2022</v>
      </c>
      <c r="D1801" t="s">
        <v>7746</v>
      </c>
      <c r="E1801" t="s">
        <v>74</v>
      </c>
    </row>
    <row r="1802" spans="1:5" x14ac:dyDescent="0.15">
      <c r="A1802" t="s">
        <v>7808</v>
      </c>
      <c r="B1802" t="s">
        <v>7810</v>
      </c>
      <c r="C1802">
        <v>2021</v>
      </c>
      <c r="D1802" t="s">
        <v>7823</v>
      </c>
      <c r="E1802">
        <v>34651660</v>
      </c>
    </row>
    <row r="1803" spans="1:5" x14ac:dyDescent="0.15">
      <c r="A1803" t="s">
        <v>7975</v>
      </c>
      <c r="B1803" t="s">
        <v>7977</v>
      </c>
      <c r="C1803">
        <v>2021</v>
      </c>
      <c r="D1803" t="s">
        <v>7988</v>
      </c>
      <c r="E1803">
        <v>34605844</v>
      </c>
    </row>
    <row r="1804" spans="1:5" x14ac:dyDescent="0.15">
      <c r="A1804" t="s">
        <v>8053</v>
      </c>
      <c r="B1804" t="s">
        <v>8055</v>
      </c>
      <c r="C1804">
        <v>2016</v>
      </c>
      <c r="D1804" t="s">
        <v>8065</v>
      </c>
      <c r="E1804">
        <v>26718911</v>
      </c>
    </row>
    <row r="1805" spans="1:5" x14ac:dyDescent="0.15">
      <c r="A1805" t="s">
        <v>8095</v>
      </c>
      <c r="B1805" t="s">
        <v>8097</v>
      </c>
      <c r="C1805">
        <v>2021</v>
      </c>
      <c r="D1805" t="s">
        <v>8104</v>
      </c>
      <c r="E1805">
        <v>34127763</v>
      </c>
    </row>
    <row r="1806" spans="1:5" x14ac:dyDescent="0.15">
      <c r="A1806" t="s">
        <v>8570</v>
      </c>
      <c r="B1806" t="s">
        <v>8572</v>
      </c>
      <c r="C1806">
        <v>2021</v>
      </c>
      <c r="D1806" t="s">
        <v>8580</v>
      </c>
      <c r="E1806">
        <v>34422924</v>
      </c>
    </row>
    <row r="1807" spans="1:5" x14ac:dyDescent="0.15">
      <c r="A1807" t="s">
        <v>8730</v>
      </c>
      <c r="B1807" t="s">
        <v>8732</v>
      </c>
      <c r="C1807">
        <v>2022</v>
      </c>
      <c r="D1807" t="s">
        <v>8743</v>
      </c>
      <c r="E1807">
        <v>34999547</v>
      </c>
    </row>
    <row r="1808" spans="1:5" x14ac:dyDescent="0.15">
      <c r="A1808" t="s">
        <v>9009</v>
      </c>
      <c r="B1808" t="s">
        <v>9011</v>
      </c>
      <c r="C1808">
        <v>2021</v>
      </c>
      <c r="D1808" t="s">
        <v>9021</v>
      </c>
      <c r="E1808">
        <v>34236496</v>
      </c>
    </row>
    <row r="1809" spans="1:5" x14ac:dyDescent="0.15">
      <c r="A1809" t="s">
        <v>9862</v>
      </c>
      <c r="B1809" t="s">
        <v>9864</v>
      </c>
      <c r="C1809">
        <v>2022</v>
      </c>
      <c r="D1809" t="s">
        <v>9877</v>
      </c>
      <c r="E1809">
        <v>35104460</v>
      </c>
    </row>
    <row r="1810" spans="1:5" x14ac:dyDescent="0.15">
      <c r="A1810" t="s">
        <v>9974</v>
      </c>
      <c r="B1810" t="s">
        <v>9976</v>
      </c>
      <c r="C1810">
        <v>2021</v>
      </c>
      <c r="D1810" t="s">
        <v>9987</v>
      </c>
      <c r="E1810">
        <v>34203028</v>
      </c>
    </row>
    <row r="1811" spans="1:5" x14ac:dyDescent="0.15">
      <c r="A1811" t="s">
        <v>10074</v>
      </c>
      <c r="B1811" t="s">
        <v>10076</v>
      </c>
      <c r="C1811">
        <v>2022</v>
      </c>
      <c r="D1811" t="s">
        <v>10087</v>
      </c>
      <c r="E1811">
        <v>35663013</v>
      </c>
    </row>
    <row r="1812" spans="1:5" x14ac:dyDescent="0.15">
      <c r="A1812" t="s">
        <v>10089</v>
      </c>
      <c r="B1812" t="s">
        <v>10091</v>
      </c>
      <c r="C1812">
        <v>2021</v>
      </c>
      <c r="D1812" t="s">
        <v>10103</v>
      </c>
      <c r="E1812" t="s">
        <v>74</v>
      </c>
    </row>
    <row r="1813" spans="1:5" x14ac:dyDescent="0.15">
      <c r="A1813" t="s">
        <v>10307</v>
      </c>
      <c r="B1813" t="s">
        <v>10309</v>
      </c>
      <c r="C1813">
        <v>2021</v>
      </c>
      <c r="D1813" t="s">
        <v>10317</v>
      </c>
      <c r="E1813">
        <v>34534548</v>
      </c>
    </row>
    <row r="1814" spans="1:5" x14ac:dyDescent="0.15">
      <c r="A1814" t="s">
        <v>10575</v>
      </c>
      <c r="B1814" t="s">
        <v>10577</v>
      </c>
      <c r="C1814">
        <v>2022</v>
      </c>
      <c r="D1814" t="s">
        <v>10586</v>
      </c>
      <c r="E1814">
        <v>35033266</v>
      </c>
    </row>
    <row r="1815" spans="1:5" x14ac:dyDescent="0.15">
      <c r="A1815" t="s">
        <v>10797</v>
      </c>
      <c r="B1815" t="s">
        <v>10799</v>
      </c>
      <c r="C1815">
        <v>2022</v>
      </c>
      <c r="D1815" t="s">
        <v>10811</v>
      </c>
      <c r="E1815">
        <v>34897815</v>
      </c>
    </row>
    <row r="1816" spans="1:5" x14ac:dyDescent="0.15">
      <c r="A1816" t="s">
        <v>11089</v>
      </c>
      <c r="B1816" t="s">
        <v>11091</v>
      </c>
      <c r="C1816">
        <v>2021</v>
      </c>
      <c r="D1816" t="s">
        <v>11100</v>
      </c>
      <c r="E1816">
        <v>34739016</v>
      </c>
    </row>
    <row r="1817" spans="1:5" x14ac:dyDescent="0.15">
      <c r="A1817" t="s">
        <v>11162</v>
      </c>
      <c r="B1817" t="s">
        <v>11164</v>
      </c>
      <c r="C1817">
        <v>2021</v>
      </c>
      <c r="D1817" t="s">
        <v>11174</v>
      </c>
      <c r="E1817">
        <v>34772443</v>
      </c>
    </row>
    <row r="1818" spans="1:5" x14ac:dyDescent="0.15">
      <c r="A1818" t="s">
        <v>11557</v>
      </c>
      <c r="B1818" t="s">
        <v>11559</v>
      </c>
      <c r="C1818">
        <v>2022</v>
      </c>
      <c r="D1818" t="s">
        <v>11568</v>
      </c>
      <c r="E1818" t="s">
        <v>74</v>
      </c>
    </row>
    <row r="1819" spans="1:5" x14ac:dyDescent="0.15">
      <c r="A1819" t="s">
        <v>11640</v>
      </c>
      <c r="B1819" t="s">
        <v>11642</v>
      </c>
      <c r="C1819">
        <v>2021</v>
      </c>
      <c r="D1819" t="s">
        <v>11654</v>
      </c>
      <c r="E1819">
        <v>34619318</v>
      </c>
    </row>
    <row r="1820" spans="1:5" x14ac:dyDescent="0.15">
      <c r="A1820" t="s">
        <v>11716</v>
      </c>
      <c r="B1820" t="s">
        <v>11718</v>
      </c>
      <c r="C1820">
        <v>2021</v>
      </c>
      <c r="D1820" t="s">
        <v>11727</v>
      </c>
      <c r="E1820">
        <v>34835434</v>
      </c>
    </row>
    <row r="1821" spans="1:5" x14ac:dyDescent="0.15">
      <c r="A1821" t="s">
        <v>11729</v>
      </c>
      <c r="B1821" t="s">
        <v>11731</v>
      </c>
      <c r="C1821">
        <v>2022</v>
      </c>
      <c r="D1821" t="s">
        <v>11741</v>
      </c>
      <c r="E1821">
        <v>35216284</v>
      </c>
    </row>
    <row r="1822" spans="1:5" x14ac:dyDescent="0.15">
      <c r="A1822" t="s">
        <v>11964</v>
      </c>
      <c r="B1822" t="s">
        <v>11966</v>
      </c>
      <c r="C1822">
        <v>2021</v>
      </c>
      <c r="D1822" t="s">
        <v>11978</v>
      </c>
      <c r="E1822">
        <v>34284459</v>
      </c>
    </row>
    <row r="1823" spans="1:5" x14ac:dyDescent="0.15">
      <c r="A1823" t="s">
        <v>11982</v>
      </c>
      <c r="B1823" t="s">
        <v>11984</v>
      </c>
      <c r="C1823">
        <v>2021</v>
      </c>
      <c r="D1823" t="s">
        <v>11992</v>
      </c>
      <c r="E1823">
        <v>34061659</v>
      </c>
    </row>
    <row r="1824" spans="1:5" x14ac:dyDescent="0.15">
      <c r="A1824" t="s">
        <v>12007</v>
      </c>
      <c r="B1824" t="s">
        <v>12009</v>
      </c>
      <c r="C1824">
        <v>2022</v>
      </c>
      <c r="D1824" t="s">
        <v>12017</v>
      </c>
      <c r="E1824" t="s">
        <v>74</v>
      </c>
    </row>
    <row r="1825" spans="1:5" x14ac:dyDescent="0.15">
      <c r="A1825" t="s">
        <v>12137</v>
      </c>
      <c r="B1825" t="s">
        <v>12139</v>
      </c>
      <c r="C1825">
        <v>2017</v>
      </c>
      <c r="D1825" t="s">
        <v>12149</v>
      </c>
      <c r="E1825" t="s">
        <v>74</v>
      </c>
    </row>
    <row r="1826" spans="1:5" x14ac:dyDescent="0.15">
      <c r="A1826" t="s">
        <v>12637</v>
      </c>
      <c r="B1826" t="s">
        <v>12639</v>
      </c>
      <c r="C1826">
        <v>2011</v>
      </c>
      <c r="D1826" t="s">
        <v>74</v>
      </c>
      <c r="E1826" t="s">
        <v>74</v>
      </c>
    </row>
    <row r="1827" spans="1:5" x14ac:dyDescent="0.15">
      <c r="A1827" t="s">
        <v>12862</v>
      </c>
      <c r="B1827" t="s">
        <v>12864</v>
      </c>
      <c r="C1827">
        <v>2022</v>
      </c>
      <c r="D1827" t="s">
        <v>12875</v>
      </c>
      <c r="E1827">
        <v>34796445</v>
      </c>
    </row>
    <row r="1828" spans="1:5" x14ac:dyDescent="0.15">
      <c r="A1828" t="s">
        <v>13219</v>
      </c>
      <c r="B1828" t="s">
        <v>13221</v>
      </c>
      <c r="C1828">
        <v>2019</v>
      </c>
      <c r="D1828" t="s">
        <v>13234</v>
      </c>
      <c r="E1828">
        <v>31054137</v>
      </c>
    </row>
    <row r="1829" spans="1:5" x14ac:dyDescent="0.15">
      <c r="A1829" t="s">
        <v>13236</v>
      </c>
      <c r="B1829" t="s">
        <v>13238</v>
      </c>
      <c r="C1829">
        <v>2022</v>
      </c>
      <c r="D1829" t="s">
        <v>13243</v>
      </c>
      <c r="E1829" t="s">
        <v>74</v>
      </c>
    </row>
    <row r="1830" spans="1:5" x14ac:dyDescent="0.15">
      <c r="A1830" t="s">
        <v>13394</v>
      </c>
      <c r="B1830" t="s">
        <v>13396</v>
      </c>
      <c r="C1830">
        <v>2021</v>
      </c>
      <c r="D1830" t="s">
        <v>13404</v>
      </c>
      <c r="E1830">
        <v>34114453</v>
      </c>
    </row>
    <row r="1831" spans="1:5" x14ac:dyDescent="0.15">
      <c r="A1831" t="s">
        <v>13713</v>
      </c>
      <c r="B1831" t="s">
        <v>13715</v>
      </c>
      <c r="C1831">
        <v>2021</v>
      </c>
      <c r="D1831" t="s">
        <v>13725</v>
      </c>
      <c r="E1831">
        <v>33165807</v>
      </c>
    </row>
    <row r="1832" spans="1:5" x14ac:dyDescent="0.15">
      <c r="A1832" t="s">
        <v>13675</v>
      </c>
      <c r="B1832" t="s">
        <v>14070</v>
      </c>
      <c r="C1832">
        <v>2020</v>
      </c>
      <c r="D1832" t="s">
        <v>14077</v>
      </c>
      <c r="E1832">
        <v>32056180</v>
      </c>
    </row>
    <row r="1833" spans="1:5" x14ac:dyDescent="0.15">
      <c r="A1833" t="s">
        <v>14116</v>
      </c>
      <c r="B1833" t="s">
        <v>14118</v>
      </c>
      <c r="C1833">
        <v>2021</v>
      </c>
      <c r="D1833" t="s">
        <v>14127</v>
      </c>
      <c r="E1833">
        <v>34575975</v>
      </c>
    </row>
    <row r="1834" spans="1:5" x14ac:dyDescent="0.15">
      <c r="A1834" t="s">
        <v>14502</v>
      </c>
      <c r="B1834" t="s">
        <v>14504</v>
      </c>
      <c r="C1834">
        <v>2021</v>
      </c>
      <c r="D1834" t="s">
        <v>74</v>
      </c>
      <c r="E1834">
        <v>33601339</v>
      </c>
    </row>
    <row r="1835" spans="1:5" x14ac:dyDescent="0.15">
      <c r="A1835" t="s">
        <v>14583</v>
      </c>
      <c r="B1835" t="s">
        <v>14585</v>
      </c>
      <c r="C1835">
        <v>2021</v>
      </c>
      <c r="D1835" t="s">
        <v>14593</v>
      </c>
      <c r="E1835" t="s">
        <v>74</v>
      </c>
    </row>
    <row r="1836" spans="1:5" x14ac:dyDescent="0.15">
      <c r="A1836" t="s">
        <v>14608</v>
      </c>
      <c r="B1836" t="s">
        <v>14610</v>
      </c>
      <c r="C1836">
        <v>2019</v>
      </c>
      <c r="D1836" t="s">
        <v>14622</v>
      </c>
      <c r="E1836">
        <v>31356937</v>
      </c>
    </row>
    <row r="1837" spans="1:5" x14ac:dyDescent="0.15">
      <c r="A1837" t="s">
        <v>14820</v>
      </c>
      <c r="B1837" t="s">
        <v>14822</v>
      </c>
      <c r="C1837">
        <v>2022</v>
      </c>
      <c r="D1837" t="s">
        <v>14833</v>
      </c>
      <c r="E1837" t="s">
        <v>74</v>
      </c>
    </row>
    <row r="1838" spans="1:5" x14ac:dyDescent="0.15">
      <c r="A1838" t="s">
        <v>14912</v>
      </c>
      <c r="B1838" t="s">
        <v>14914</v>
      </c>
      <c r="C1838">
        <v>2021</v>
      </c>
      <c r="D1838" t="s">
        <v>14919</v>
      </c>
      <c r="E1838">
        <v>33599639</v>
      </c>
    </row>
    <row r="1839" spans="1:5" x14ac:dyDescent="0.15">
      <c r="A1839" t="s">
        <v>14999</v>
      </c>
      <c r="B1839" t="s">
        <v>15001</v>
      </c>
      <c r="C1839">
        <v>2019</v>
      </c>
      <c r="D1839" t="s">
        <v>15010</v>
      </c>
      <c r="E1839" t="s">
        <v>74</v>
      </c>
    </row>
    <row r="1840" spans="1:5" x14ac:dyDescent="0.15">
      <c r="A1840" t="s">
        <v>15118</v>
      </c>
      <c r="B1840" t="s">
        <v>15121</v>
      </c>
      <c r="C1840">
        <v>2018</v>
      </c>
      <c r="D1840" t="s">
        <v>15128</v>
      </c>
      <c r="E1840" t="s">
        <v>74</v>
      </c>
    </row>
    <row r="1841" spans="1:5" x14ac:dyDescent="0.15">
      <c r="A1841" t="s">
        <v>15220</v>
      </c>
      <c r="B1841" t="s">
        <v>15222</v>
      </c>
      <c r="C1841">
        <v>2020</v>
      </c>
      <c r="D1841" t="s">
        <v>15232</v>
      </c>
      <c r="E1841" t="s">
        <v>74</v>
      </c>
    </row>
    <row r="1842" spans="1:5" x14ac:dyDescent="0.15">
      <c r="A1842" t="s">
        <v>15349</v>
      </c>
      <c r="B1842" t="s">
        <v>15351</v>
      </c>
      <c r="C1842">
        <v>2022</v>
      </c>
      <c r="D1842" t="s">
        <v>15361</v>
      </c>
      <c r="E1842">
        <v>35207703</v>
      </c>
    </row>
    <row r="1843" spans="1:5" x14ac:dyDescent="0.15">
      <c r="A1843" t="s">
        <v>15683</v>
      </c>
      <c r="B1843" t="s">
        <v>15685</v>
      </c>
      <c r="C1843">
        <v>2018</v>
      </c>
      <c r="D1843" t="s">
        <v>15692</v>
      </c>
      <c r="E1843">
        <v>30269790</v>
      </c>
    </row>
    <row r="1844" spans="1:5" x14ac:dyDescent="0.15">
      <c r="A1844" t="s">
        <v>15740</v>
      </c>
      <c r="B1844" t="s">
        <v>15742</v>
      </c>
      <c r="C1844">
        <v>2021</v>
      </c>
      <c r="D1844" t="s">
        <v>15751</v>
      </c>
      <c r="E1844">
        <v>34485270</v>
      </c>
    </row>
    <row r="1845" spans="1:5" x14ac:dyDescent="0.15">
      <c r="A1845" t="s">
        <v>16084</v>
      </c>
      <c r="B1845" t="s">
        <v>16086</v>
      </c>
      <c r="C1845">
        <v>2021</v>
      </c>
      <c r="D1845" t="s">
        <v>16098</v>
      </c>
      <c r="E1845" t="s">
        <v>74</v>
      </c>
    </row>
    <row r="1846" spans="1:5" x14ac:dyDescent="0.15">
      <c r="A1846" t="s">
        <v>16299</v>
      </c>
      <c r="B1846" t="s">
        <v>16301</v>
      </c>
      <c r="C1846">
        <v>2020</v>
      </c>
      <c r="D1846" t="s">
        <v>16310</v>
      </c>
      <c r="E1846">
        <v>33193149</v>
      </c>
    </row>
    <row r="1847" spans="1:5" x14ac:dyDescent="0.15">
      <c r="A1847" t="s">
        <v>16370</v>
      </c>
      <c r="B1847" t="s">
        <v>16372</v>
      </c>
      <c r="C1847">
        <v>2022</v>
      </c>
      <c r="D1847" t="s">
        <v>16379</v>
      </c>
      <c r="E1847">
        <v>35012518</v>
      </c>
    </row>
    <row r="1848" spans="1:5" x14ac:dyDescent="0.15">
      <c r="A1848" t="s">
        <v>16381</v>
      </c>
      <c r="B1848" t="s">
        <v>16383</v>
      </c>
      <c r="C1848">
        <v>2022</v>
      </c>
      <c r="D1848" t="s">
        <v>16395</v>
      </c>
      <c r="E1848">
        <v>35049651</v>
      </c>
    </row>
    <row r="1849" spans="1:5" x14ac:dyDescent="0.15">
      <c r="A1849" t="s">
        <v>16589</v>
      </c>
      <c r="B1849" t="s">
        <v>16591</v>
      </c>
      <c r="C1849">
        <v>2020</v>
      </c>
      <c r="D1849" t="s">
        <v>16603</v>
      </c>
      <c r="E1849" t="s">
        <v>74</v>
      </c>
    </row>
    <row r="1850" spans="1:5" x14ac:dyDescent="0.15">
      <c r="A1850" t="s">
        <v>16607</v>
      </c>
      <c r="B1850" t="s">
        <v>16609</v>
      </c>
      <c r="C1850">
        <v>2022</v>
      </c>
      <c r="D1850" t="s">
        <v>16615</v>
      </c>
      <c r="E1850">
        <v>35189412</v>
      </c>
    </row>
    <row r="1851" spans="1:5" x14ac:dyDescent="0.15">
      <c r="A1851" t="s">
        <v>16693</v>
      </c>
      <c r="B1851" t="s">
        <v>16695</v>
      </c>
      <c r="C1851">
        <v>2006</v>
      </c>
      <c r="D1851" t="s">
        <v>16705</v>
      </c>
      <c r="E1851">
        <v>16920200</v>
      </c>
    </row>
    <row r="1852" spans="1:5" x14ac:dyDescent="0.15">
      <c r="A1852" t="s">
        <v>16898</v>
      </c>
      <c r="B1852" t="s">
        <v>16900</v>
      </c>
      <c r="C1852">
        <v>2021</v>
      </c>
      <c r="D1852" t="s">
        <v>16911</v>
      </c>
      <c r="E1852">
        <v>33823494</v>
      </c>
    </row>
    <row r="1853" spans="1:5" x14ac:dyDescent="0.15">
      <c r="A1853" t="s">
        <v>17040</v>
      </c>
      <c r="B1853" t="s">
        <v>17042</v>
      </c>
      <c r="C1853">
        <v>2020</v>
      </c>
      <c r="D1853" t="s">
        <v>17050</v>
      </c>
      <c r="E1853">
        <v>33384665</v>
      </c>
    </row>
    <row r="1854" spans="1:5" x14ac:dyDescent="0.15">
      <c r="A1854" t="s">
        <v>17605</v>
      </c>
      <c r="B1854" t="s">
        <v>17607</v>
      </c>
      <c r="C1854">
        <v>2021</v>
      </c>
      <c r="D1854" t="s">
        <v>17617</v>
      </c>
      <c r="E1854">
        <v>34690958</v>
      </c>
    </row>
    <row r="1855" spans="1:5" x14ac:dyDescent="0.15">
      <c r="A1855" t="s">
        <v>17634</v>
      </c>
      <c r="B1855" t="s">
        <v>17636</v>
      </c>
      <c r="C1855">
        <v>2017</v>
      </c>
      <c r="D1855" t="s">
        <v>17644</v>
      </c>
      <c r="E1855" t="s">
        <v>74</v>
      </c>
    </row>
    <row r="1856" spans="1:5" x14ac:dyDescent="0.15">
      <c r="A1856" t="s">
        <v>18014</v>
      </c>
      <c r="B1856" t="s">
        <v>18016</v>
      </c>
      <c r="C1856">
        <v>2021</v>
      </c>
      <c r="D1856" t="s">
        <v>18025</v>
      </c>
      <c r="E1856">
        <v>34234173</v>
      </c>
    </row>
    <row r="1857" spans="1:5" x14ac:dyDescent="0.15">
      <c r="A1857" t="s">
        <v>18176</v>
      </c>
      <c r="B1857" t="s">
        <v>18178</v>
      </c>
      <c r="C1857">
        <v>2022</v>
      </c>
      <c r="D1857" t="s">
        <v>18184</v>
      </c>
      <c r="E1857">
        <v>35029990</v>
      </c>
    </row>
    <row r="1858" spans="1:5" x14ac:dyDescent="0.15">
      <c r="A1858" t="s">
        <v>18360</v>
      </c>
      <c r="B1858" t="s">
        <v>18362</v>
      </c>
      <c r="C1858">
        <v>2022</v>
      </c>
      <c r="D1858" t="s">
        <v>18375</v>
      </c>
      <c r="E1858">
        <v>35142442</v>
      </c>
    </row>
    <row r="1859" spans="1:5" x14ac:dyDescent="0.15">
      <c r="A1859" t="s">
        <v>18863</v>
      </c>
      <c r="B1859" t="s">
        <v>18865</v>
      </c>
      <c r="C1859">
        <v>2022</v>
      </c>
      <c r="D1859" t="s">
        <v>18872</v>
      </c>
      <c r="E1859">
        <v>34953858</v>
      </c>
    </row>
    <row r="1860" spans="1:5" x14ac:dyDescent="0.15">
      <c r="A1860" t="s">
        <v>19177</v>
      </c>
      <c r="B1860" t="s">
        <v>19179</v>
      </c>
      <c r="C1860">
        <v>2022</v>
      </c>
      <c r="D1860" t="s">
        <v>19187</v>
      </c>
      <c r="E1860">
        <v>35091566</v>
      </c>
    </row>
    <row r="1861" spans="1:5" x14ac:dyDescent="0.15">
      <c r="A1861" t="s">
        <v>19851</v>
      </c>
      <c r="B1861" t="s">
        <v>19853</v>
      </c>
      <c r="C1861">
        <v>2021</v>
      </c>
      <c r="D1861" t="s">
        <v>19862</v>
      </c>
      <c r="E1861">
        <v>34565331</v>
      </c>
    </row>
    <row r="1862" spans="1:5" x14ac:dyDescent="0.15">
      <c r="A1862" t="s">
        <v>19929</v>
      </c>
      <c r="B1862" t="s">
        <v>19931</v>
      </c>
      <c r="C1862">
        <v>2021</v>
      </c>
      <c r="D1862" t="s">
        <v>19940</v>
      </c>
      <c r="E1862">
        <v>34688997</v>
      </c>
    </row>
    <row r="1863" spans="1:5" x14ac:dyDescent="0.15">
      <c r="A1863" t="s">
        <v>20271</v>
      </c>
      <c r="B1863" t="s">
        <v>20273</v>
      </c>
      <c r="C1863">
        <v>2020</v>
      </c>
      <c r="D1863" t="s">
        <v>20281</v>
      </c>
      <c r="E1863">
        <v>32547224</v>
      </c>
    </row>
    <row r="1864" spans="1:5" x14ac:dyDescent="0.15">
      <c r="A1864" t="s">
        <v>20340</v>
      </c>
      <c r="B1864" t="s">
        <v>20342</v>
      </c>
      <c r="C1864">
        <v>2022</v>
      </c>
      <c r="D1864" t="s">
        <v>20350</v>
      </c>
      <c r="E1864">
        <v>35487070</v>
      </c>
    </row>
    <row r="1865" spans="1:5" x14ac:dyDescent="0.15">
      <c r="A1865" t="s">
        <v>20392</v>
      </c>
      <c r="B1865" t="s">
        <v>20394</v>
      </c>
      <c r="C1865">
        <v>2021</v>
      </c>
      <c r="D1865" t="s">
        <v>20407</v>
      </c>
      <c r="E1865">
        <v>33086079</v>
      </c>
    </row>
    <row r="1866" spans="1:5" x14ac:dyDescent="0.15">
      <c r="A1866" t="s">
        <v>20485</v>
      </c>
      <c r="B1866" t="s">
        <v>20487</v>
      </c>
      <c r="C1866">
        <v>2020</v>
      </c>
      <c r="D1866" t="s">
        <v>20500</v>
      </c>
      <c r="E1866">
        <v>33574869</v>
      </c>
    </row>
    <row r="1867" spans="1:5" x14ac:dyDescent="0.15">
      <c r="A1867" t="s">
        <v>20747</v>
      </c>
      <c r="B1867" t="s">
        <v>20749</v>
      </c>
      <c r="C1867">
        <v>2021</v>
      </c>
      <c r="D1867" t="s">
        <v>20759</v>
      </c>
      <c r="E1867">
        <v>34358665</v>
      </c>
    </row>
    <row r="1868" spans="1:5" x14ac:dyDescent="0.15">
      <c r="A1868" t="s">
        <v>20788</v>
      </c>
      <c r="B1868" t="s">
        <v>20790</v>
      </c>
      <c r="C1868">
        <v>2020</v>
      </c>
      <c r="D1868" t="s">
        <v>20802</v>
      </c>
      <c r="E1868" t="s">
        <v>74</v>
      </c>
    </row>
    <row r="1869" spans="1:5" x14ac:dyDescent="0.15">
      <c r="A1869" t="s">
        <v>20817</v>
      </c>
      <c r="B1869" t="s">
        <v>20819</v>
      </c>
      <c r="C1869">
        <v>2021</v>
      </c>
      <c r="D1869" t="s">
        <v>20829</v>
      </c>
      <c r="E1869">
        <v>33788105</v>
      </c>
    </row>
    <row r="1870" spans="1:5" x14ac:dyDescent="0.15">
      <c r="A1870" t="s">
        <v>20858</v>
      </c>
      <c r="B1870" t="s">
        <v>20860</v>
      </c>
      <c r="C1870">
        <v>2022</v>
      </c>
      <c r="D1870" t="s">
        <v>20873</v>
      </c>
      <c r="E1870">
        <v>35338758</v>
      </c>
    </row>
    <row r="1871" spans="1:5" x14ac:dyDescent="0.15">
      <c r="A1871" t="s">
        <v>20969</v>
      </c>
      <c r="B1871" t="s">
        <v>20972</v>
      </c>
      <c r="C1871">
        <v>2012</v>
      </c>
      <c r="D1871" t="s">
        <v>20984</v>
      </c>
      <c r="E1871" t="s">
        <v>74</v>
      </c>
    </row>
    <row r="1872" spans="1:5" x14ac:dyDescent="0.15">
      <c r="A1872" t="s">
        <v>20999</v>
      </c>
      <c r="B1872" t="s">
        <v>21001</v>
      </c>
      <c r="C1872">
        <v>2022</v>
      </c>
      <c r="D1872" t="s">
        <v>21008</v>
      </c>
      <c r="E1872">
        <v>35036051</v>
      </c>
    </row>
    <row r="1873" spans="1:5" x14ac:dyDescent="0.15">
      <c r="A1873" t="s">
        <v>21059</v>
      </c>
      <c r="B1873" t="s">
        <v>21061</v>
      </c>
      <c r="C1873">
        <v>2021</v>
      </c>
      <c r="D1873" t="s">
        <v>21069</v>
      </c>
      <c r="E1873">
        <v>34528938</v>
      </c>
    </row>
    <row r="1874" spans="1:5" x14ac:dyDescent="0.15">
      <c r="A1874" t="s">
        <v>21499</v>
      </c>
      <c r="B1874" t="s">
        <v>21501</v>
      </c>
      <c r="C1874">
        <v>2020</v>
      </c>
      <c r="D1874" t="s">
        <v>21513</v>
      </c>
      <c r="E1874" t="s">
        <v>74</v>
      </c>
    </row>
    <row r="1875" spans="1:5" x14ac:dyDescent="0.15">
      <c r="A1875" t="s">
        <v>21515</v>
      </c>
      <c r="B1875" t="s">
        <v>21517</v>
      </c>
      <c r="C1875">
        <v>2020</v>
      </c>
      <c r="D1875" t="s">
        <v>21527</v>
      </c>
      <c r="E1875">
        <v>32995896</v>
      </c>
    </row>
    <row r="1876" spans="1:5" x14ac:dyDescent="0.15">
      <c r="A1876" t="s">
        <v>21979</v>
      </c>
      <c r="B1876" t="s">
        <v>21981</v>
      </c>
      <c r="C1876">
        <v>2022</v>
      </c>
      <c r="D1876" t="s">
        <v>21991</v>
      </c>
      <c r="E1876">
        <v>35290882</v>
      </c>
    </row>
    <row r="1877" spans="1:5" x14ac:dyDescent="0.15">
      <c r="A1877" t="s">
        <v>22559</v>
      </c>
      <c r="B1877" t="s">
        <v>22561</v>
      </c>
      <c r="C1877">
        <v>2021</v>
      </c>
      <c r="D1877" t="s">
        <v>22571</v>
      </c>
      <c r="E1877">
        <v>34489723</v>
      </c>
    </row>
    <row r="1878" spans="1:5" x14ac:dyDescent="0.15">
      <c r="A1878" t="s">
        <v>22586</v>
      </c>
      <c r="B1878" t="s">
        <v>22588</v>
      </c>
      <c r="C1878">
        <v>2022</v>
      </c>
      <c r="D1878" t="s">
        <v>22601</v>
      </c>
      <c r="E1878">
        <v>35722385</v>
      </c>
    </row>
    <row r="1879" spans="1:5" x14ac:dyDescent="0.15">
      <c r="A1879" t="s">
        <v>22680</v>
      </c>
      <c r="B1879" t="s">
        <v>22682</v>
      </c>
      <c r="C1879">
        <v>2022</v>
      </c>
      <c r="D1879" t="s">
        <v>22689</v>
      </c>
      <c r="E1879">
        <v>35120900</v>
      </c>
    </row>
    <row r="1880" spans="1:5" x14ac:dyDescent="0.15">
      <c r="A1880" t="s">
        <v>23147</v>
      </c>
      <c r="B1880" t="s">
        <v>23149</v>
      </c>
      <c r="C1880">
        <v>2020</v>
      </c>
      <c r="D1880" t="s">
        <v>23159</v>
      </c>
      <c r="E1880">
        <v>32019550</v>
      </c>
    </row>
    <row r="1881" spans="1:5" x14ac:dyDescent="0.15">
      <c r="A1881" t="s">
        <v>23473</v>
      </c>
      <c r="B1881" t="s">
        <v>23475</v>
      </c>
      <c r="C1881">
        <v>2022</v>
      </c>
      <c r="D1881" t="s">
        <v>23483</v>
      </c>
      <c r="E1881" t="s">
        <v>74</v>
      </c>
    </row>
    <row r="1882" spans="1:5" x14ac:dyDescent="0.15">
      <c r="A1882" t="s">
        <v>23654</v>
      </c>
      <c r="B1882" t="s">
        <v>23657</v>
      </c>
      <c r="C1882">
        <v>2021</v>
      </c>
      <c r="D1882" t="s">
        <v>23668</v>
      </c>
      <c r="E1882">
        <v>33651347</v>
      </c>
    </row>
    <row r="1883" spans="1:5" x14ac:dyDescent="0.15">
      <c r="A1883" t="s">
        <v>23913</v>
      </c>
      <c r="B1883" t="s">
        <v>23915</v>
      </c>
      <c r="C1883">
        <v>2020</v>
      </c>
      <c r="D1883" t="s">
        <v>23924</v>
      </c>
      <c r="E1883" t="s">
        <v>74</v>
      </c>
    </row>
    <row r="1884" spans="1:5" x14ac:dyDescent="0.15">
      <c r="A1884" t="s">
        <v>24335</v>
      </c>
      <c r="B1884" t="s">
        <v>24337</v>
      </c>
      <c r="C1884">
        <v>2021</v>
      </c>
      <c r="D1884" t="s">
        <v>24346</v>
      </c>
      <c r="E1884">
        <v>34298423</v>
      </c>
    </row>
    <row r="1885" spans="1:5" x14ac:dyDescent="0.15">
      <c r="A1885" t="s">
        <v>24563</v>
      </c>
      <c r="B1885" t="s">
        <v>24565</v>
      </c>
      <c r="C1885">
        <v>2021</v>
      </c>
      <c r="D1885" t="s">
        <v>24573</v>
      </c>
      <c r="E1885">
        <v>33768126</v>
      </c>
    </row>
    <row r="1886" spans="1:5" x14ac:dyDescent="0.15">
      <c r="A1886" t="s">
        <v>24587</v>
      </c>
      <c r="B1886" t="s">
        <v>24589</v>
      </c>
      <c r="C1886">
        <v>2022</v>
      </c>
      <c r="D1886" t="s">
        <v>24597</v>
      </c>
      <c r="E1886" t="s">
        <v>74</v>
      </c>
    </row>
    <row r="1887" spans="1:5" x14ac:dyDescent="0.15">
      <c r="A1887" t="s">
        <v>24930</v>
      </c>
      <c r="B1887" t="s">
        <v>24932</v>
      </c>
      <c r="C1887">
        <v>2022</v>
      </c>
      <c r="D1887" t="s">
        <v>24943</v>
      </c>
      <c r="E1887">
        <v>35024198</v>
      </c>
    </row>
    <row r="1888" spans="1:5" x14ac:dyDescent="0.15">
      <c r="A1888" t="s">
        <v>25021</v>
      </c>
      <c r="B1888" t="s">
        <v>25023</v>
      </c>
      <c r="C1888">
        <v>2022</v>
      </c>
      <c r="D1888" t="s">
        <v>25035</v>
      </c>
      <c r="E1888">
        <v>33900057</v>
      </c>
    </row>
    <row r="1889" spans="1:5" x14ac:dyDescent="0.15">
      <c r="A1889" t="s">
        <v>26406</v>
      </c>
      <c r="B1889" t="s">
        <v>26408</v>
      </c>
      <c r="C1889">
        <v>2021</v>
      </c>
      <c r="D1889" t="s">
        <v>26421</v>
      </c>
      <c r="E1889">
        <v>33877328</v>
      </c>
    </row>
    <row r="1890" spans="1:5" x14ac:dyDescent="0.15">
      <c r="A1890" t="s">
        <v>26563</v>
      </c>
      <c r="B1890" t="s">
        <v>26565</v>
      </c>
      <c r="C1890">
        <v>2021</v>
      </c>
      <c r="D1890" t="s">
        <v>26573</v>
      </c>
      <c r="E1890">
        <v>34188709</v>
      </c>
    </row>
    <row r="1891" spans="1:5" x14ac:dyDescent="0.15">
      <c r="A1891" t="s">
        <v>27103</v>
      </c>
      <c r="B1891" t="s">
        <v>27105</v>
      </c>
      <c r="C1891">
        <v>2021</v>
      </c>
      <c r="D1891" t="s">
        <v>27113</v>
      </c>
      <c r="E1891">
        <v>33383715</v>
      </c>
    </row>
    <row r="1892" spans="1:5" x14ac:dyDescent="0.15">
      <c r="A1892" t="s">
        <v>27143</v>
      </c>
      <c r="B1892" t="s">
        <v>27145</v>
      </c>
      <c r="C1892" t="s">
        <v>74</v>
      </c>
      <c r="D1892" t="s">
        <v>27154</v>
      </c>
      <c r="E1892">
        <v>35383983</v>
      </c>
    </row>
    <row r="1893" spans="1:5" x14ac:dyDescent="0.15">
      <c r="A1893" t="s">
        <v>27201</v>
      </c>
      <c r="B1893" t="s">
        <v>27203</v>
      </c>
      <c r="C1893">
        <v>2021</v>
      </c>
      <c r="D1893" t="s">
        <v>27212</v>
      </c>
      <c r="E1893">
        <v>33581251</v>
      </c>
    </row>
    <row r="1894" spans="1:5" x14ac:dyDescent="0.15">
      <c r="A1894" t="s">
        <v>27485</v>
      </c>
      <c r="B1894" t="s">
        <v>27487</v>
      </c>
      <c r="C1894">
        <v>2022</v>
      </c>
      <c r="D1894" t="s">
        <v>27498</v>
      </c>
      <c r="E1894">
        <v>35215642</v>
      </c>
    </row>
    <row r="1895" spans="1:5" x14ac:dyDescent="0.15">
      <c r="A1895" t="s">
        <v>27587</v>
      </c>
      <c r="B1895" t="s">
        <v>27589</v>
      </c>
      <c r="C1895">
        <v>2021</v>
      </c>
      <c r="D1895" t="s">
        <v>27599</v>
      </c>
      <c r="E1895">
        <v>34360718</v>
      </c>
    </row>
    <row r="1896" spans="1:5" x14ac:dyDescent="0.15">
      <c r="A1896" t="s">
        <v>27911</v>
      </c>
      <c r="B1896" t="s">
        <v>27913</v>
      </c>
      <c r="C1896">
        <v>2022</v>
      </c>
      <c r="D1896" t="s">
        <v>27924</v>
      </c>
      <c r="E1896">
        <v>34698812</v>
      </c>
    </row>
    <row r="1897" spans="1:5" x14ac:dyDescent="0.15">
      <c r="A1897" t="s">
        <v>27965</v>
      </c>
      <c r="B1897" t="s">
        <v>27967</v>
      </c>
      <c r="C1897" t="s">
        <v>74</v>
      </c>
      <c r="D1897" t="s">
        <v>27974</v>
      </c>
      <c r="E1897">
        <v>34537772</v>
      </c>
    </row>
    <row r="1898" spans="1:5" x14ac:dyDescent="0.15">
      <c r="A1898" t="s">
        <v>28098</v>
      </c>
      <c r="B1898" t="s">
        <v>28100</v>
      </c>
      <c r="C1898">
        <v>2022</v>
      </c>
      <c r="D1898" t="s">
        <v>28109</v>
      </c>
      <c r="E1898">
        <v>35351996</v>
      </c>
    </row>
    <row r="1899" spans="1:5" x14ac:dyDescent="0.15">
      <c r="A1899" t="s">
        <v>28379</v>
      </c>
      <c r="B1899" t="s">
        <v>28381</v>
      </c>
      <c r="C1899">
        <v>2022</v>
      </c>
      <c r="D1899" t="s">
        <v>28391</v>
      </c>
      <c r="E1899">
        <v>35372111</v>
      </c>
    </row>
    <row r="1900" spans="1:5" x14ac:dyDescent="0.15">
      <c r="A1900" t="s">
        <v>28990</v>
      </c>
      <c r="B1900" t="s">
        <v>28992</v>
      </c>
      <c r="C1900">
        <v>2020</v>
      </c>
      <c r="D1900" t="s">
        <v>29001</v>
      </c>
      <c r="E1900" t="s">
        <v>74</v>
      </c>
    </row>
    <row r="1901" spans="1:5" x14ac:dyDescent="0.15">
      <c r="A1901" t="s">
        <v>29125</v>
      </c>
      <c r="B1901" t="s">
        <v>29127</v>
      </c>
      <c r="C1901">
        <v>2022</v>
      </c>
      <c r="D1901" t="s">
        <v>29140</v>
      </c>
      <c r="E1901">
        <v>35075668</v>
      </c>
    </row>
    <row r="1902" spans="1:5" x14ac:dyDescent="0.15">
      <c r="A1902" t="s">
        <v>29579</v>
      </c>
      <c r="B1902" t="s">
        <v>29581</v>
      </c>
      <c r="C1902">
        <v>2021</v>
      </c>
      <c r="D1902" t="s">
        <v>29589</v>
      </c>
      <c r="E1902">
        <v>33879557</v>
      </c>
    </row>
    <row r="1903" spans="1:5" x14ac:dyDescent="0.15">
      <c r="A1903" t="s">
        <v>29654</v>
      </c>
      <c r="B1903" t="s">
        <v>29656</v>
      </c>
      <c r="C1903">
        <v>2022</v>
      </c>
      <c r="D1903" t="s">
        <v>29668</v>
      </c>
      <c r="E1903" t="s">
        <v>74</v>
      </c>
    </row>
    <row r="1904" spans="1:5" x14ac:dyDescent="0.15">
      <c r="A1904" t="s">
        <v>29684</v>
      </c>
      <c r="B1904" t="s">
        <v>29687</v>
      </c>
      <c r="C1904">
        <v>2019</v>
      </c>
      <c r="D1904" t="s">
        <v>29695</v>
      </c>
      <c r="E1904" t="s">
        <v>74</v>
      </c>
    </row>
    <row r="1905" spans="1:5" x14ac:dyDescent="0.15">
      <c r="A1905" t="s">
        <v>29922</v>
      </c>
      <c r="B1905" t="s">
        <v>29924</v>
      </c>
      <c r="C1905">
        <v>2021</v>
      </c>
      <c r="D1905" t="s">
        <v>29933</v>
      </c>
      <c r="E1905">
        <v>34677049</v>
      </c>
    </row>
    <row r="1906" spans="1:5" x14ac:dyDescent="0.15">
      <c r="A1906" t="s">
        <v>29565</v>
      </c>
      <c r="B1906" t="s">
        <v>30370</v>
      </c>
      <c r="C1906">
        <v>2014</v>
      </c>
      <c r="D1906" t="s">
        <v>74</v>
      </c>
      <c r="E1906" t="s">
        <v>74</v>
      </c>
    </row>
    <row r="1907" spans="1:5" x14ac:dyDescent="0.15">
      <c r="A1907" t="s">
        <v>359</v>
      </c>
      <c r="B1907" t="s">
        <v>362</v>
      </c>
      <c r="C1907">
        <v>2021</v>
      </c>
      <c r="D1907" t="s">
        <v>373</v>
      </c>
      <c r="E1907">
        <v>33704726</v>
      </c>
    </row>
    <row r="1908" spans="1:5" x14ac:dyDescent="0.15">
      <c r="A1908" t="s">
        <v>399</v>
      </c>
      <c r="B1908" t="s">
        <v>401</v>
      </c>
      <c r="C1908">
        <v>2018</v>
      </c>
      <c r="D1908" t="s">
        <v>74</v>
      </c>
      <c r="E1908" t="s">
        <v>74</v>
      </c>
    </row>
    <row r="1909" spans="1:5" x14ac:dyDescent="0.15">
      <c r="A1909" t="s">
        <v>481</v>
      </c>
      <c r="B1909" t="s">
        <v>484</v>
      </c>
      <c r="C1909">
        <v>2017</v>
      </c>
      <c r="D1909" t="s">
        <v>495</v>
      </c>
      <c r="E1909">
        <v>28828675</v>
      </c>
    </row>
    <row r="1910" spans="1:5" x14ac:dyDescent="0.15">
      <c r="A1910" t="s">
        <v>779</v>
      </c>
      <c r="B1910" t="s">
        <v>781</v>
      </c>
      <c r="C1910">
        <v>2020</v>
      </c>
      <c r="D1910" t="s">
        <v>794</v>
      </c>
      <c r="E1910">
        <v>32289644</v>
      </c>
    </row>
    <row r="1911" spans="1:5" x14ac:dyDescent="0.15">
      <c r="A1911" t="s">
        <v>798</v>
      </c>
      <c r="B1911" t="s">
        <v>800</v>
      </c>
      <c r="C1911">
        <v>2021</v>
      </c>
      <c r="D1911" t="s">
        <v>811</v>
      </c>
      <c r="E1911">
        <v>34065021</v>
      </c>
    </row>
    <row r="1912" spans="1:5" x14ac:dyDescent="0.15">
      <c r="A1912" t="s">
        <v>900</v>
      </c>
      <c r="B1912" t="s">
        <v>902</v>
      </c>
      <c r="C1912">
        <v>2022</v>
      </c>
      <c r="D1912" t="s">
        <v>914</v>
      </c>
      <c r="E1912">
        <v>35805031</v>
      </c>
    </row>
    <row r="1913" spans="1:5" x14ac:dyDescent="0.15">
      <c r="A1913" t="s">
        <v>1140</v>
      </c>
      <c r="B1913" t="s">
        <v>1142</v>
      </c>
      <c r="C1913">
        <v>2022</v>
      </c>
      <c r="D1913" t="s">
        <v>1154</v>
      </c>
      <c r="E1913">
        <v>35673574</v>
      </c>
    </row>
    <row r="1914" spans="1:5" x14ac:dyDescent="0.15">
      <c r="A1914" t="s">
        <v>1186</v>
      </c>
      <c r="B1914" t="s">
        <v>1188</v>
      </c>
      <c r="C1914">
        <v>2022</v>
      </c>
      <c r="D1914" t="s">
        <v>1197</v>
      </c>
      <c r="E1914">
        <v>35565197</v>
      </c>
    </row>
    <row r="1915" spans="1:5" x14ac:dyDescent="0.15">
      <c r="A1915" t="s">
        <v>1327</v>
      </c>
      <c r="B1915" t="s">
        <v>1329</v>
      </c>
      <c r="C1915">
        <v>2021</v>
      </c>
      <c r="D1915" t="s">
        <v>1340</v>
      </c>
      <c r="E1915">
        <v>34564576</v>
      </c>
    </row>
    <row r="1916" spans="1:5" x14ac:dyDescent="0.15">
      <c r="A1916" t="s">
        <v>1559</v>
      </c>
      <c r="B1916" t="s">
        <v>1561</v>
      </c>
      <c r="C1916">
        <v>2022</v>
      </c>
      <c r="D1916" t="s">
        <v>1571</v>
      </c>
      <c r="E1916">
        <v>35235806</v>
      </c>
    </row>
    <row r="1917" spans="1:5" x14ac:dyDescent="0.15">
      <c r="A1917" t="s">
        <v>1573</v>
      </c>
      <c r="B1917" t="s">
        <v>1575</v>
      </c>
      <c r="C1917">
        <v>2022</v>
      </c>
      <c r="D1917" t="s">
        <v>1581</v>
      </c>
      <c r="E1917">
        <v>35171005</v>
      </c>
    </row>
    <row r="1918" spans="1:5" x14ac:dyDescent="0.15">
      <c r="A1918" t="s">
        <v>1697</v>
      </c>
      <c r="B1918" t="s">
        <v>1699</v>
      </c>
      <c r="C1918">
        <v>2022</v>
      </c>
      <c r="D1918" t="s">
        <v>1707</v>
      </c>
      <c r="E1918">
        <v>35301052</v>
      </c>
    </row>
    <row r="1919" spans="1:5" x14ac:dyDescent="0.15">
      <c r="A1919" t="s">
        <v>1795</v>
      </c>
      <c r="B1919" t="s">
        <v>1797</v>
      </c>
      <c r="C1919">
        <v>2022</v>
      </c>
      <c r="D1919" t="s">
        <v>1808</v>
      </c>
      <c r="E1919">
        <v>35432007</v>
      </c>
    </row>
    <row r="1920" spans="1:5" x14ac:dyDescent="0.15">
      <c r="A1920" t="s">
        <v>1941</v>
      </c>
      <c r="B1920" t="s">
        <v>1943</v>
      </c>
      <c r="C1920">
        <v>2022</v>
      </c>
      <c r="D1920" t="s">
        <v>1953</v>
      </c>
      <c r="E1920">
        <v>35806411</v>
      </c>
    </row>
    <row r="1921" spans="1:5" x14ac:dyDescent="0.15">
      <c r="A1921" t="s">
        <v>2036</v>
      </c>
      <c r="B1921" t="s">
        <v>2038</v>
      </c>
      <c r="C1921">
        <v>2022</v>
      </c>
      <c r="D1921" t="s">
        <v>2046</v>
      </c>
      <c r="E1921">
        <v>35406505</v>
      </c>
    </row>
    <row r="1922" spans="1:5" x14ac:dyDescent="0.15">
      <c r="A1922" t="s">
        <v>2407</v>
      </c>
      <c r="B1922" t="s">
        <v>2409</v>
      </c>
      <c r="C1922">
        <v>2022</v>
      </c>
      <c r="D1922" t="s">
        <v>2421</v>
      </c>
      <c r="E1922">
        <v>35777716</v>
      </c>
    </row>
    <row r="1923" spans="1:5" x14ac:dyDescent="0.15">
      <c r="A1923" t="s">
        <v>2567</v>
      </c>
      <c r="B1923" t="s">
        <v>2569</v>
      </c>
      <c r="C1923">
        <v>2021</v>
      </c>
      <c r="D1923" t="s">
        <v>2579</v>
      </c>
      <c r="E1923">
        <v>34040472</v>
      </c>
    </row>
    <row r="1924" spans="1:5" x14ac:dyDescent="0.15">
      <c r="A1924" t="s">
        <v>2757</v>
      </c>
      <c r="B1924" t="s">
        <v>2759</v>
      </c>
      <c r="C1924">
        <v>2017</v>
      </c>
      <c r="D1924" t="s">
        <v>2772</v>
      </c>
      <c r="E1924" t="s">
        <v>74</v>
      </c>
    </row>
    <row r="1925" spans="1:5" x14ac:dyDescent="0.15">
      <c r="A1925" t="s">
        <v>2801</v>
      </c>
      <c r="B1925" t="s">
        <v>2803</v>
      </c>
      <c r="C1925">
        <v>2022</v>
      </c>
      <c r="D1925" t="s">
        <v>2813</v>
      </c>
      <c r="E1925">
        <v>35233930</v>
      </c>
    </row>
    <row r="1926" spans="1:5" x14ac:dyDescent="0.15">
      <c r="A1926" t="s">
        <v>2830</v>
      </c>
      <c r="B1926" t="s">
        <v>2832</v>
      </c>
      <c r="C1926">
        <v>2022</v>
      </c>
      <c r="D1926" t="s">
        <v>2844</v>
      </c>
      <c r="E1926">
        <v>35287054</v>
      </c>
    </row>
    <row r="1927" spans="1:5" x14ac:dyDescent="0.15">
      <c r="A1927" t="s">
        <v>3012</v>
      </c>
      <c r="B1927" t="s">
        <v>3014</v>
      </c>
      <c r="C1927">
        <v>2022</v>
      </c>
      <c r="D1927" t="s">
        <v>3025</v>
      </c>
      <c r="E1927">
        <v>34626484</v>
      </c>
    </row>
    <row r="1928" spans="1:5" x14ac:dyDescent="0.15">
      <c r="A1928" t="s">
        <v>3317</v>
      </c>
      <c r="B1928" t="s">
        <v>3319</v>
      </c>
      <c r="C1928">
        <v>2022</v>
      </c>
      <c r="D1928" t="s">
        <v>3328</v>
      </c>
      <c r="E1928">
        <v>35056102</v>
      </c>
    </row>
    <row r="1929" spans="1:5" x14ac:dyDescent="0.15">
      <c r="A1929" t="s">
        <v>3465</v>
      </c>
      <c r="B1929" t="s">
        <v>3467</v>
      </c>
      <c r="C1929">
        <v>2021</v>
      </c>
      <c r="D1929" t="s">
        <v>3477</v>
      </c>
      <c r="E1929">
        <v>34638452</v>
      </c>
    </row>
    <row r="1930" spans="1:5" x14ac:dyDescent="0.15">
      <c r="A1930" t="s">
        <v>3505</v>
      </c>
      <c r="B1930" t="s">
        <v>3507</v>
      </c>
      <c r="C1930">
        <v>2022</v>
      </c>
      <c r="D1930" t="s">
        <v>3517</v>
      </c>
      <c r="E1930">
        <v>35628314</v>
      </c>
    </row>
    <row r="1931" spans="1:5" x14ac:dyDescent="0.15">
      <c r="A1931" t="s">
        <v>3585</v>
      </c>
      <c r="B1931" t="s">
        <v>3587</v>
      </c>
      <c r="C1931">
        <v>2022</v>
      </c>
      <c r="D1931" t="s">
        <v>3598</v>
      </c>
      <c r="E1931">
        <v>35444613</v>
      </c>
    </row>
    <row r="1932" spans="1:5" x14ac:dyDescent="0.15">
      <c r="A1932" t="s">
        <v>3764</v>
      </c>
      <c r="B1932" t="s">
        <v>3766</v>
      </c>
      <c r="C1932">
        <v>2021</v>
      </c>
      <c r="D1932" t="s">
        <v>3775</v>
      </c>
      <c r="E1932">
        <v>34379990</v>
      </c>
    </row>
    <row r="1933" spans="1:5" x14ac:dyDescent="0.15">
      <c r="A1933" t="s">
        <v>3880</v>
      </c>
      <c r="B1933" t="s">
        <v>3882</v>
      </c>
      <c r="C1933">
        <v>2022</v>
      </c>
      <c r="D1933" t="s">
        <v>3891</v>
      </c>
      <c r="E1933">
        <v>35509278</v>
      </c>
    </row>
    <row r="1934" spans="1:5" x14ac:dyDescent="0.15">
      <c r="A1934" t="s">
        <v>4074</v>
      </c>
      <c r="B1934" t="s">
        <v>4076</v>
      </c>
      <c r="C1934">
        <v>2022</v>
      </c>
      <c r="D1934" t="s">
        <v>4086</v>
      </c>
      <c r="E1934">
        <v>35312297</v>
      </c>
    </row>
    <row r="1935" spans="1:5" x14ac:dyDescent="0.15">
      <c r="A1935" t="s">
        <v>4088</v>
      </c>
      <c r="B1935" t="s">
        <v>4090</v>
      </c>
      <c r="C1935">
        <v>2022</v>
      </c>
      <c r="D1935" t="s">
        <v>4099</v>
      </c>
      <c r="E1935">
        <v>35595717</v>
      </c>
    </row>
    <row r="1936" spans="1:5" x14ac:dyDescent="0.15">
      <c r="A1936" t="s">
        <v>4214</v>
      </c>
      <c r="B1936" t="s">
        <v>4216</v>
      </c>
      <c r="C1936">
        <v>2021</v>
      </c>
      <c r="D1936" t="s">
        <v>4226</v>
      </c>
      <c r="E1936">
        <v>33755954</v>
      </c>
    </row>
    <row r="1937" spans="1:5" x14ac:dyDescent="0.15">
      <c r="A1937" t="s">
        <v>4534</v>
      </c>
      <c r="B1937" t="s">
        <v>4536</v>
      </c>
      <c r="C1937">
        <v>2022</v>
      </c>
      <c r="D1937" t="s">
        <v>4545</v>
      </c>
      <c r="E1937">
        <v>35563365</v>
      </c>
    </row>
    <row r="1938" spans="1:5" x14ac:dyDescent="0.15">
      <c r="A1938" t="s">
        <v>4562</v>
      </c>
      <c r="B1938" t="s">
        <v>4564</v>
      </c>
      <c r="C1938">
        <v>2022</v>
      </c>
      <c r="D1938" t="s">
        <v>4578</v>
      </c>
      <c r="E1938">
        <v>35438977</v>
      </c>
    </row>
    <row r="1939" spans="1:5" x14ac:dyDescent="0.15">
      <c r="A1939" t="s">
        <v>4669</v>
      </c>
      <c r="B1939" t="s">
        <v>4671</v>
      </c>
      <c r="C1939">
        <v>2022</v>
      </c>
      <c r="D1939" t="s">
        <v>4680</v>
      </c>
      <c r="E1939">
        <v>35008226</v>
      </c>
    </row>
    <row r="1940" spans="1:5" x14ac:dyDescent="0.15">
      <c r="A1940" t="s">
        <v>4682</v>
      </c>
      <c r="B1940" t="s">
        <v>4685</v>
      </c>
      <c r="C1940">
        <v>2020</v>
      </c>
      <c r="D1940" t="s">
        <v>4695</v>
      </c>
      <c r="E1940">
        <v>32602096</v>
      </c>
    </row>
    <row r="1941" spans="1:5" x14ac:dyDescent="0.15">
      <c r="A1941" t="s">
        <v>4700</v>
      </c>
      <c r="B1941" t="s">
        <v>4702</v>
      </c>
      <c r="C1941">
        <v>2022</v>
      </c>
      <c r="D1941" t="s">
        <v>4713</v>
      </c>
      <c r="E1941" t="s">
        <v>74</v>
      </c>
    </row>
    <row r="1942" spans="1:5" x14ac:dyDescent="0.15">
      <c r="A1942" t="s">
        <v>4955</v>
      </c>
      <c r="B1942" t="s">
        <v>4957</v>
      </c>
      <c r="C1942">
        <v>2022</v>
      </c>
      <c r="D1942" t="s">
        <v>4966</v>
      </c>
      <c r="E1942">
        <v>35057959</v>
      </c>
    </row>
    <row r="1943" spans="1:5" x14ac:dyDescent="0.15">
      <c r="A1943" t="s">
        <v>5038</v>
      </c>
      <c r="B1943" t="s">
        <v>5040</v>
      </c>
      <c r="C1943">
        <v>2022</v>
      </c>
      <c r="D1943" t="s">
        <v>5049</v>
      </c>
      <c r="E1943">
        <v>35741061</v>
      </c>
    </row>
    <row r="1944" spans="1:5" x14ac:dyDescent="0.15">
      <c r="A1944" t="s">
        <v>5051</v>
      </c>
      <c r="B1944" t="s">
        <v>5053</v>
      </c>
      <c r="C1944" t="s">
        <v>74</v>
      </c>
      <c r="D1944" t="s">
        <v>5060</v>
      </c>
      <c r="E1944">
        <v>35731982</v>
      </c>
    </row>
    <row r="1945" spans="1:5" x14ac:dyDescent="0.15">
      <c r="A1945" t="s">
        <v>5063</v>
      </c>
      <c r="B1945" t="s">
        <v>5065</v>
      </c>
      <c r="C1945">
        <v>2021</v>
      </c>
      <c r="D1945" t="s">
        <v>5075</v>
      </c>
      <c r="E1945">
        <v>34282804</v>
      </c>
    </row>
    <row r="1946" spans="1:5" x14ac:dyDescent="0.15">
      <c r="A1946" t="s">
        <v>5079</v>
      </c>
      <c r="B1946" t="s">
        <v>5081</v>
      </c>
      <c r="C1946">
        <v>2021</v>
      </c>
      <c r="D1946" t="s">
        <v>5092</v>
      </c>
      <c r="E1946">
        <v>34615464</v>
      </c>
    </row>
    <row r="1947" spans="1:5" x14ac:dyDescent="0.15">
      <c r="A1947" t="s">
        <v>5246</v>
      </c>
      <c r="B1947" t="s">
        <v>5248</v>
      </c>
      <c r="C1947">
        <v>2022</v>
      </c>
      <c r="D1947" t="s">
        <v>5258</v>
      </c>
      <c r="E1947">
        <v>35008709</v>
      </c>
    </row>
    <row r="1948" spans="1:5" x14ac:dyDescent="0.15">
      <c r="A1948" t="s">
        <v>5328</v>
      </c>
      <c r="B1948" t="s">
        <v>5330</v>
      </c>
      <c r="C1948">
        <v>2022</v>
      </c>
      <c r="D1948" t="s">
        <v>5341</v>
      </c>
      <c r="E1948">
        <v>35699856</v>
      </c>
    </row>
    <row r="1949" spans="1:5" x14ac:dyDescent="0.15">
      <c r="A1949" t="s">
        <v>5429</v>
      </c>
      <c r="B1949" t="s">
        <v>5431</v>
      </c>
      <c r="C1949">
        <v>2022</v>
      </c>
      <c r="D1949" t="s">
        <v>5440</v>
      </c>
      <c r="E1949">
        <v>35408821</v>
      </c>
    </row>
    <row r="1950" spans="1:5" x14ac:dyDescent="0.15">
      <c r="A1950" t="s">
        <v>5672</v>
      </c>
      <c r="B1950" t="s">
        <v>5674</v>
      </c>
      <c r="C1950">
        <v>2021</v>
      </c>
      <c r="D1950" t="s">
        <v>5685</v>
      </c>
      <c r="E1950">
        <v>34742714</v>
      </c>
    </row>
    <row r="1951" spans="1:5" x14ac:dyDescent="0.15">
      <c r="A1951" t="s">
        <v>5714</v>
      </c>
      <c r="B1951" t="s">
        <v>5716</v>
      </c>
      <c r="C1951">
        <v>2022</v>
      </c>
      <c r="D1951" t="s">
        <v>5726</v>
      </c>
      <c r="E1951">
        <v>35200409</v>
      </c>
    </row>
    <row r="1952" spans="1:5" x14ac:dyDescent="0.15">
      <c r="A1952" t="s">
        <v>5791</v>
      </c>
      <c r="B1952" t="s">
        <v>5793</v>
      </c>
      <c r="C1952">
        <v>2022</v>
      </c>
      <c r="D1952" t="s">
        <v>5806</v>
      </c>
      <c r="E1952">
        <v>35257663</v>
      </c>
    </row>
    <row r="1953" spans="1:5" x14ac:dyDescent="0.15">
      <c r="A1953" t="s">
        <v>5889</v>
      </c>
      <c r="B1953" t="s">
        <v>5891</v>
      </c>
      <c r="C1953">
        <v>2021</v>
      </c>
      <c r="D1953" t="s">
        <v>5901</v>
      </c>
      <c r="E1953">
        <v>34471367</v>
      </c>
    </row>
    <row r="1954" spans="1:5" x14ac:dyDescent="0.15">
      <c r="A1954" t="s">
        <v>6009</v>
      </c>
      <c r="B1954" t="s">
        <v>6011</v>
      </c>
      <c r="C1954">
        <v>2022</v>
      </c>
      <c r="D1954" t="s">
        <v>6022</v>
      </c>
      <c r="E1954">
        <v>34906563</v>
      </c>
    </row>
    <row r="1955" spans="1:5" x14ac:dyDescent="0.15">
      <c r="A1955" t="s">
        <v>6055</v>
      </c>
      <c r="B1955" t="s">
        <v>6057</v>
      </c>
      <c r="C1955">
        <v>2022</v>
      </c>
      <c r="D1955" t="s">
        <v>6066</v>
      </c>
      <c r="E1955">
        <v>35649328</v>
      </c>
    </row>
    <row r="1956" spans="1:5" x14ac:dyDescent="0.15">
      <c r="A1956" t="s">
        <v>6174</v>
      </c>
      <c r="B1956" t="s">
        <v>6177</v>
      </c>
      <c r="C1956">
        <v>2021</v>
      </c>
      <c r="D1956" t="s">
        <v>6187</v>
      </c>
      <c r="E1956">
        <v>32930980</v>
      </c>
    </row>
    <row r="1957" spans="1:5" x14ac:dyDescent="0.15">
      <c r="A1957" t="s">
        <v>6300</v>
      </c>
      <c r="B1957" t="s">
        <v>6302</v>
      </c>
      <c r="C1957">
        <v>2021</v>
      </c>
      <c r="D1957" t="s">
        <v>6314</v>
      </c>
      <c r="E1957">
        <v>35127151</v>
      </c>
    </row>
    <row r="1958" spans="1:5" x14ac:dyDescent="0.15">
      <c r="A1958" t="s">
        <v>6364</v>
      </c>
      <c r="B1958" t="s">
        <v>6366</v>
      </c>
      <c r="C1958">
        <v>2022</v>
      </c>
      <c r="D1958" t="s">
        <v>6374</v>
      </c>
      <c r="E1958">
        <v>35681723</v>
      </c>
    </row>
    <row r="1959" spans="1:5" x14ac:dyDescent="0.15">
      <c r="A1959" t="s">
        <v>6409</v>
      </c>
      <c r="B1959" t="s">
        <v>6411</v>
      </c>
      <c r="C1959">
        <v>2022</v>
      </c>
      <c r="D1959" t="s">
        <v>6421</v>
      </c>
      <c r="E1959">
        <v>35205822</v>
      </c>
    </row>
    <row r="1960" spans="1:5" x14ac:dyDescent="0.15">
      <c r="A1960" t="s">
        <v>6865</v>
      </c>
      <c r="B1960" t="s">
        <v>6867</v>
      </c>
      <c r="C1960">
        <v>2020</v>
      </c>
      <c r="D1960" t="s">
        <v>6880</v>
      </c>
      <c r="E1960" t="s">
        <v>74</v>
      </c>
    </row>
    <row r="1961" spans="1:5" x14ac:dyDescent="0.15">
      <c r="A1961" t="s">
        <v>7154</v>
      </c>
      <c r="B1961" t="s">
        <v>7156</v>
      </c>
      <c r="C1961">
        <v>2022</v>
      </c>
      <c r="D1961" t="s">
        <v>7162</v>
      </c>
      <c r="E1961">
        <v>35891224</v>
      </c>
    </row>
    <row r="1962" spans="1:5" x14ac:dyDescent="0.15">
      <c r="A1962" t="s">
        <v>7239</v>
      </c>
      <c r="B1962" t="s">
        <v>7241</v>
      </c>
      <c r="C1962" t="s">
        <v>74</v>
      </c>
      <c r="D1962" t="s">
        <v>7253</v>
      </c>
      <c r="E1962">
        <v>35598195</v>
      </c>
    </row>
    <row r="1963" spans="1:5" x14ac:dyDescent="0.15">
      <c r="A1963" t="s">
        <v>7538</v>
      </c>
      <c r="B1963" t="s">
        <v>7540</v>
      </c>
      <c r="C1963">
        <v>2020</v>
      </c>
      <c r="D1963" t="s">
        <v>7553</v>
      </c>
      <c r="E1963">
        <v>32115494</v>
      </c>
    </row>
    <row r="1964" spans="1:5" x14ac:dyDescent="0.15">
      <c r="A1964" t="s">
        <v>7603</v>
      </c>
      <c r="B1964" t="s">
        <v>7605</v>
      </c>
      <c r="C1964">
        <v>2021</v>
      </c>
      <c r="D1964" t="s">
        <v>7618</v>
      </c>
      <c r="E1964" t="s">
        <v>74</v>
      </c>
    </row>
    <row r="1965" spans="1:5" x14ac:dyDescent="0.15">
      <c r="A1965" t="s">
        <v>7721</v>
      </c>
      <c r="B1965" t="s">
        <v>7723</v>
      </c>
      <c r="C1965">
        <v>2022</v>
      </c>
      <c r="D1965" t="s">
        <v>7732</v>
      </c>
      <c r="E1965">
        <v>35199894</v>
      </c>
    </row>
    <row r="1966" spans="1:5" x14ac:dyDescent="0.15">
      <c r="A1966" t="s">
        <v>7783</v>
      </c>
      <c r="B1966" t="s">
        <v>7785</v>
      </c>
      <c r="C1966">
        <v>2021</v>
      </c>
      <c r="D1966" t="s">
        <v>7794</v>
      </c>
      <c r="E1966">
        <v>34884834</v>
      </c>
    </row>
    <row r="1967" spans="1:5" x14ac:dyDescent="0.15">
      <c r="A1967" t="s">
        <v>7959</v>
      </c>
      <c r="B1967" t="s">
        <v>7961</v>
      </c>
      <c r="C1967">
        <v>2022</v>
      </c>
      <c r="D1967" t="s">
        <v>7971</v>
      </c>
      <c r="E1967">
        <v>35590035</v>
      </c>
    </row>
    <row r="1968" spans="1:5" x14ac:dyDescent="0.15">
      <c r="A1968" t="s">
        <v>8067</v>
      </c>
      <c r="B1968" t="s">
        <v>8069</v>
      </c>
      <c r="C1968">
        <v>2022</v>
      </c>
      <c r="D1968" t="s">
        <v>8079</v>
      </c>
      <c r="E1968">
        <v>35328679</v>
      </c>
    </row>
    <row r="1969" spans="1:5" x14ac:dyDescent="0.15">
      <c r="A1969" t="s">
        <v>8106</v>
      </c>
      <c r="B1969" t="s">
        <v>8108</v>
      </c>
      <c r="C1969">
        <v>2022</v>
      </c>
      <c r="D1969" t="s">
        <v>8118</v>
      </c>
      <c r="E1969">
        <v>35696959</v>
      </c>
    </row>
    <row r="1970" spans="1:5" x14ac:dyDescent="0.15">
      <c r="A1970" t="s">
        <v>8235</v>
      </c>
      <c r="B1970" t="s">
        <v>8237</v>
      </c>
      <c r="C1970">
        <v>2021</v>
      </c>
      <c r="D1970" t="s">
        <v>8249</v>
      </c>
      <c r="E1970">
        <v>34937167</v>
      </c>
    </row>
    <row r="1971" spans="1:5" x14ac:dyDescent="0.15">
      <c r="A1971" t="s">
        <v>8283</v>
      </c>
      <c r="B1971" t="s">
        <v>8285</v>
      </c>
      <c r="C1971">
        <v>2022</v>
      </c>
      <c r="D1971" t="s">
        <v>8291</v>
      </c>
      <c r="E1971">
        <v>35068480</v>
      </c>
    </row>
    <row r="1972" spans="1:5" x14ac:dyDescent="0.15">
      <c r="A1972" t="s">
        <v>8370</v>
      </c>
      <c r="B1972" t="s">
        <v>8372</v>
      </c>
      <c r="C1972">
        <v>2022</v>
      </c>
      <c r="D1972" t="s">
        <v>8380</v>
      </c>
      <c r="E1972" t="s">
        <v>74</v>
      </c>
    </row>
    <row r="1973" spans="1:5" x14ac:dyDescent="0.15">
      <c r="A1973" t="s">
        <v>8824</v>
      </c>
      <c r="B1973" t="s">
        <v>8826</v>
      </c>
      <c r="C1973">
        <v>2022</v>
      </c>
      <c r="D1973" t="s">
        <v>8834</v>
      </c>
      <c r="E1973">
        <v>35649159</v>
      </c>
    </row>
    <row r="1974" spans="1:5" x14ac:dyDescent="0.15">
      <c r="A1974" t="s">
        <v>8824</v>
      </c>
      <c r="B1974" t="s">
        <v>8826</v>
      </c>
      <c r="C1974" t="s">
        <v>74</v>
      </c>
      <c r="D1974" t="s">
        <v>8834</v>
      </c>
      <c r="E1974">
        <v>35649159</v>
      </c>
    </row>
    <row r="1975" spans="1:5" x14ac:dyDescent="0.15">
      <c r="A1975" t="s">
        <v>9211</v>
      </c>
      <c r="B1975" t="s">
        <v>9213</v>
      </c>
      <c r="C1975">
        <v>2021</v>
      </c>
      <c r="D1975" t="s">
        <v>74</v>
      </c>
      <c r="E1975" t="s">
        <v>74</v>
      </c>
    </row>
    <row r="1976" spans="1:5" x14ac:dyDescent="0.15">
      <c r="A1976" t="s">
        <v>9297</v>
      </c>
      <c r="B1976" t="s">
        <v>9300</v>
      </c>
      <c r="C1976">
        <v>2017</v>
      </c>
      <c r="D1976" t="s">
        <v>9310</v>
      </c>
      <c r="E1976" t="s">
        <v>74</v>
      </c>
    </row>
    <row r="1977" spans="1:5" x14ac:dyDescent="0.15">
      <c r="A1977" t="s">
        <v>9350</v>
      </c>
      <c r="B1977" t="s">
        <v>9352</v>
      </c>
      <c r="C1977">
        <v>2022</v>
      </c>
      <c r="D1977" t="s">
        <v>9362</v>
      </c>
      <c r="E1977">
        <v>35804987</v>
      </c>
    </row>
    <row r="1978" spans="1:5" x14ac:dyDescent="0.15">
      <c r="A1978" t="s">
        <v>9364</v>
      </c>
      <c r="B1978" t="s">
        <v>9366</v>
      </c>
      <c r="C1978">
        <v>2022</v>
      </c>
      <c r="D1978" t="s">
        <v>74</v>
      </c>
      <c r="E1978">
        <v>35693076</v>
      </c>
    </row>
    <row r="1979" spans="1:5" x14ac:dyDescent="0.15">
      <c r="A1979" t="s">
        <v>9391</v>
      </c>
      <c r="B1979" t="s">
        <v>9393</v>
      </c>
      <c r="C1979">
        <v>2022</v>
      </c>
      <c r="D1979" t="s">
        <v>9404</v>
      </c>
      <c r="E1979">
        <v>35466594</v>
      </c>
    </row>
    <row r="1980" spans="1:5" x14ac:dyDescent="0.15">
      <c r="A1980" t="s">
        <v>9452</v>
      </c>
      <c r="B1980" t="s">
        <v>9454</v>
      </c>
      <c r="C1980">
        <v>2021</v>
      </c>
      <c r="D1980" t="s">
        <v>9462</v>
      </c>
      <c r="E1980">
        <v>34458012</v>
      </c>
    </row>
    <row r="1981" spans="1:5" x14ac:dyDescent="0.15">
      <c r="A1981" t="s">
        <v>9622</v>
      </c>
      <c r="B1981" t="s">
        <v>9624</v>
      </c>
      <c r="C1981">
        <v>2022</v>
      </c>
      <c r="D1981" t="s">
        <v>9634</v>
      </c>
      <c r="E1981">
        <v>35596050</v>
      </c>
    </row>
    <row r="1982" spans="1:5" x14ac:dyDescent="0.15">
      <c r="A1982" t="s">
        <v>9724</v>
      </c>
      <c r="B1982" t="s">
        <v>9726</v>
      </c>
      <c r="C1982">
        <v>2022</v>
      </c>
      <c r="D1982" t="s">
        <v>9739</v>
      </c>
      <c r="E1982">
        <v>35302760</v>
      </c>
    </row>
    <row r="1983" spans="1:5" x14ac:dyDescent="0.15">
      <c r="A1983" t="s">
        <v>9774</v>
      </c>
      <c r="B1983" t="s">
        <v>9776</v>
      </c>
      <c r="C1983">
        <v>2021</v>
      </c>
      <c r="D1983" t="s">
        <v>9787</v>
      </c>
      <c r="E1983">
        <v>35004728</v>
      </c>
    </row>
    <row r="1984" spans="1:5" x14ac:dyDescent="0.15">
      <c r="A1984" t="s">
        <v>9898</v>
      </c>
      <c r="B1984" t="s">
        <v>9900</v>
      </c>
      <c r="C1984">
        <v>2022</v>
      </c>
      <c r="D1984" t="s">
        <v>9910</v>
      </c>
      <c r="E1984">
        <v>35456987</v>
      </c>
    </row>
    <row r="1985" spans="1:5" x14ac:dyDescent="0.15">
      <c r="A1985" t="s">
        <v>10019</v>
      </c>
      <c r="B1985" t="s">
        <v>10021</v>
      </c>
      <c r="C1985">
        <v>2021</v>
      </c>
      <c r="D1985" t="s">
        <v>10033</v>
      </c>
      <c r="E1985">
        <v>34600275</v>
      </c>
    </row>
    <row r="1986" spans="1:5" x14ac:dyDescent="0.15">
      <c r="A1986" t="s">
        <v>10192</v>
      </c>
      <c r="B1986" t="s">
        <v>10194</v>
      </c>
      <c r="C1986">
        <v>2022</v>
      </c>
      <c r="D1986" t="s">
        <v>10204</v>
      </c>
      <c r="E1986">
        <v>35332261</v>
      </c>
    </row>
    <row r="1987" spans="1:5" x14ac:dyDescent="0.15">
      <c r="A1987" t="s">
        <v>10218</v>
      </c>
      <c r="B1987" t="s">
        <v>10220</v>
      </c>
      <c r="C1987">
        <v>2022</v>
      </c>
      <c r="D1987" t="s">
        <v>10228</v>
      </c>
      <c r="E1987" t="s">
        <v>74</v>
      </c>
    </row>
    <row r="1988" spans="1:5" x14ac:dyDescent="0.15">
      <c r="A1988" t="s">
        <v>10362</v>
      </c>
      <c r="B1988" t="s">
        <v>10364</v>
      </c>
      <c r="C1988">
        <v>2022</v>
      </c>
      <c r="D1988" t="s">
        <v>10372</v>
      </c>
      <c r="E1988">
        <v>35721867</v>
      </c>
    </row>
    <row r="1989" spans="1:5" x14ac:dyDescent="0.15">
      <c r="A1989" t="s">
        <v>10416</v>
      </c>
      <c r="B1989" t="s">
        <v>10418</v>
      </c>
      <c r="C1989">
        <v>2022</v>
      </c>
      <c r="D1989" t="s">
        <v>10426</v>
      </c>
      <c r="E1989">
        <v>35433481</v>
      </c>
    </row>
    <row r="1990" spans="1:5" x14ac:dyDescent="0.15">
      <c r="A1990" t="s">
        <v>10441</v>
      </c>
      <c r="B1990" t="s">
        <v>10443</v>
      </c>
      <c r="C1990">
        <v>2021</v>
      </c>
      <c r="D1990" t="s">
        <v>10454</v>
      </c>
      <c r="E1990">
        <v>34098025</v>
      </c>
    </row>
    <row r="1991" spans="1:5" x14ac:dyDescent="0.15">
      <c r="A1991" t="s">
        <v>10588</v>
      </c>
      <c r="B1991" t="s">
        <v>10590</v>
      </c>
      <c r="C1991">
        <v>2022</v>
      </c>
      <c r="D1991" t="s">
        <v>10599</v>
      </c>
      <c r="E1991">
        <v>35208666</v>
      </c>
    </row>
    <row r="1992" spans="1:5" x14ac:dyDescent="0.15">
      <c r="A1992" t="s">
        <v>10601</v>
      </c>
      <c r="B1992" t="s">
        <v>10603</v>
      </c>
      <c r="C1992">
        <v>2022</v>
      </c>
      <c r="D1992" t="s">
        <v>10614</v>
      </c>
      <c r="E1992">
        <v>35311515</v>
      </c>
    </row>
    <row r="1993" spans="1:5" x14ac:dyDescent="0.15">
      <c r="A1993" t="s">
        <v>10783</v>
      </c>
      <c r="B1993" t="s">
        <v>10785</v>
      </c>
      <c r="C1993">
        <v>2022</v>
      </c>
      <c r="D1993" t="s">
        <v>10795</v>
      </c>
      <c r="E1993">
        <v>35682646</v>
      </c>
    </row>
    <row r="1994" spans="1:5" x14ac:dyDescent="0.15">
      <c r="A1994" t="s">
        <v>10877</v>
      </c>
      <c r="B1994" t="s">
        <v>10879</v>
      </c>
      <c r="C1994">
        <v>2022</v>
      </c>
      <c r="D1994" t="s">
        <v>10889</v>
      </c>
      <c r="E1994" t="s">
        <v>74</v>
      </c>
    </row>
    <row r="1995" spans="1:5" x14ac:dyDescent="0.15">
      <c r="A1995" t="s">
        <v>10907</v>
      </c>
      <c r="B1995" t="s">
        <v>10909</v>
      </c>
      <c r="C1995">
        <v>2018</v>
      </c>
      <c r="D1995" t="s">
        <v>10920</v>
      </c>
      <c r="E1995">
        <v>34179241</v>
      </c>
    </row>
    <row r="1996" spans="1:5" x14ac:dyDescent="0.15">
      <c r="A1996" t="s">
        <v>10965</v>
      </c>
      <c r="B1996" t="s">
        <v>10968</v>
      </c>
      <c r="C1996">
        <v>2021</v>
      </c>
      <c r="D1996" t="s">
        <v>10982</v>
      </c>
      <c r="E1996">
        <v>33974805</v>
      </c>
    </row>
    <row r="1997" spans="1:5" x14ac:dyDescent="0.15">
      <c r="A1997" t="s">
        <v>11063</v>
      </c>
      <c r="B1997" t="s">
        <v>11065</v>
      </c>
      <c r="C1997">
        <v>2022</v>
      </c>
      <c r="D1997" t="s">
        <v>11074</v>
      </c>
      <c r="E1997">
        <v>35787656</v>
      </c>
    </row>
    <row r="1998" spans="1:5" x14ac:dyDescent="0.15">
      <c r="A1998" t="s">
        <v>11149</v>
      </c>
      <c r="B1998" t="s">
        <v>11151</v>
      </c>
      <c r="C1998">
        <v>2021</v>
      </c>
      <c r="D1998" t="s">
        <v>11160</v>
      </c>
      <c r="E1998">
        <v>34830979</v>
      </c>
    </row>
    <row r="1999" spans="1:5" x14ac:dyDescent="0.15">
      <c r="A1999" t="s">
        <v>11242</v>
      </c>
      <c r="B1999" t="s">
        <v>11244</v>
      </c>
      <c r="C1999">
        <v>2022</v>
      </c>
      <c r="D1999" t="s">
        <v>11256</v>
      </c>
      <c r="E1999">
        <v>35759303</v>
      </c>
    </row>
    <row r="2000" spans="1:5" x14ac:dyDescent="0.15">
      <c r="A2000" t="s">
        <v>11260</v>
      </c>
      <c r="B2000" t="s">
        <v>11262</v>
      </c>
      <c r="C2000">
        <v>2020</v>
      </c>
      <c r="D2000" t="s">
        <v>74</v>
      </c>
      <c r="E2000" t="s">
        <v>74</v>
      </c>
    </row>
    <row r="2001" spans="1:5" x14ac:dyDescent="0.15">
      <c r="A2001" t="s">
        <v>11274</v>
      </c>
      <c r="B2001" t="s">
        <v>11276</v>
      </c>
      <c r="C2001">
        <v>2022</v>
      </c>
      <c r="D2001" t="s">
        <v>11284</v>
      </c>
      <c r="E2001">
        <v>35740635</v>
      </c>
    </row>
    <row r="2002" spans="1:5" x14ac:dyDescent="0.15">
      <c r="A2002" t="s">
        <v>11286</v>
      </c>
      <c r="B2002" t="s">
        <v>11288</v>
      </c>
      <c r="C2002">
        <v>2022</v>
      </c>
      <c r="D2002" t="s">
        <v>11296</v>
      </c>
      <c r="E2002" t="s">
        <v>74</v>
      </c>
    </row>
    <row r="2003" spans="1:5" x14ac:dyDescent="0.15">
      <c r="A2003" t="s">
        <v>11500</v>
      </c>
      <c r="B2003" t="s">
        <v>11502</v>
      </c>
      <c r="C2003">
        <v>2022</v>
      </c>
      <c r="D2003" t="s">
        <v>11513</v>
      </c>
      <c r="E2003">
        <v>35500155</v>
      </c>
    </row>
    <row r="2004" spans="1:5" x14ac:dyDescent="0.15">
      <c r="A2004" t="s">
        <v>11603</v>
      </c>
      <c r="B2004" t="s">
        <v>11605</v>
      </c>
      <c r="C2004">
        <v>2021</v>
      </c>
      <c r="D2004" t="s">
        <v>11614</v>
      </c>
      <c r="E2004">
        <v>34878445</v>
      </c>
    </row>
    <row r="2005" spans="1:5" x14ac:dyDescent="0.15">
      <c r="A2005" t="s">
        <v>11616</v>
      </c>
      <c r="B2005" t="s">
        <v>11618</v>
      </c>
      <c r="C2005">
        <v>2022</v>
      </c>
      <c r="D2005" t="s">
        <v>11625</v>
      </c>
      <c r="E2005">
        <v>35834978</v>
      </c>
    </row>
    <row r="2006" spans="1:5" x14ac:dyDescent="0.15">
      <c r="A2006" t="s">
        <v>11657</v>
      </c>
      <c r="B2006" t="s">
        <v>11659</v>
      </c>
      <c r="C2006">
        <v>2022</v>
      </c>
      <c r="D2006" t="s">
        <v>11669</v>
      </c>
      <c r="E2006">
        <v>35344140</v>
      </c>
    </row>
    <row r="2007" spans="1:5" x14ac:dyDescent="0.15">
      <c r="A2007" t="s">
        <v>11771</v>
      </c>
      <c r="B2007" t="s">
        <v>11773</v>
      </c>
      <c r="C2007">
        <v>2022</v>
      </c>
      <c r="D2007" t="s">
        <v>11778</v>
      </c>
      <c r="E2007">
        <v>35411359</v>
      </c>
    </row>
    <row r="2008" spans="1:5" x14ac:dyDescent="0.15">
      <c r="A2008" t="s">
        <v>11878</v>
      </c>
      <c r="B2008" t="s">
        <v>11880</v>
      </c>
      <c r="C2008">
        <v>2022</v>
      </c>
      <c r="D2008" t="s">
        <v>11891</v>
      </c>
      <c r="E2008" t="s">
        <v>74</v>
      </c>
    </row>
    <row r="2009" spans="1:5" x14ac:dyDescent="0.15">
      <c r="A2009" t="s">
        <v>12325</v>
      </c>
      <c r="B2009" t="s">
        <v>12327</v>
      </c>
      <c r="C2009">
        <v>2020</v>
      </c>
      <c r="D2009" t="s">
        <v>74</v>
      </c>
      <c r="E2009" t="s">
        <v>74</v>
      </c>
    </row>
    <row r="2010" spans="1:5" x14ac:dyDescent="0.15">
      <c r="A2010" t="s">
        <v>12377</v>
      </c>
      <c r="B2010" t="s">
        <v>12379</v>
      </c>
      <c r="C2010">
        <v>2021</v>
      </c>
      <c r="D2010" t="s">
        <v>12389</v>
      </c>
      <c r="E2010">
        <v>34948355</v>
      </c>
    </row>
    <row r="2011" spans="1:5" x14ac:dyDescent="0.15">
      <c r="A2011" t="s">
        <v>12484</v>
      </c>
      <c r="B2011" t="s">
        <v>12486</v>
      </c>
      <c r="C2011">
        <v>2022</v>
      </c>
      <c r="D2011" t="s">
        <v>12496</v>
      </c>
      <c r="E2011">
        <v>35229476</v>
      </c>
    </row>
    <row r="2012" spans="1:5" x14ac:dyDescent="0.15">
      <c r="A2012" t="s">
        <v>12611</v>
      </c>
      <c r="B2012" t="s">
        <v>12613</v>
      </c>
      <c r="C2012">
        <v>2022</v>
      </c>
      <c r="D2012" t="s">
        <v>12620</v>
      </c>
      <c r="E2012">
        <v>35421879</v>
      </c>
    </row>
    <row r="2013" spans="1:5" x14ac:dyDescent="0.15">
      <c r="A2013" t="s">
        <v>12746</v>
      </c>
      <c r="B2013" t="s">
        <v>12748</v>
      </c>
      <c r="C2013">
        <v>2022</v>
      </c>
      <c r="D2013" t="s">
        <v>12756</v>
      </c>
      <c r="E2013">
        <v>35576661</v>
      </c>
    </row>
    <row r="2014" spans="1:5" x14ac:dyDescent="0.15">
      <c r="A2014" t="s">
        <v>12848</v>
      </c>
      <c r="B2014" t="s">
        <v>12850</v>
      </c>
      <c r="C2014">
        <v>2021</v>
      </c>
      <c r="D2014" t="s">
        <v>12860</v>
      </c>
      <c r="E2014" t="s">
        <v>74</v>
      </c>
    </row>
    <row r="2015" spans="1:5" x14ac:dyDescent="0.15">
      <c r="A2015" t="s">
        <v>13122</v>
      </c>
      <c r="B2015" t="s">
        <v>13124</v>
      </c>
      <c r="C2015">
        <v>2021</v>
      </c>
      <c r="D2015" t="s">
        <v>13135</v>
      </c>
      <c r="E2015">
        <v>33661579</v>
      </c>
    </row>
    <row r="2016" spans="1:5" x14ac:dyDescent="0.15">
      <c r="A2016" t="s">
        <v>13204</v>
      </c>
      <c r="B2016" t="s">
        <v>13206</v>
      </c>
      <c r="C2016">
        <v>2022</v>
      </c>
      <c r="D2016" t="s">
        <v>13216</v>
      </c>
      <c r="E2016">
        <v>35217095</v>
      </c>
    </row>
    <row r="2017" spans="1:5" x14ac:dyDescent="0.15">
      <c r="A2017" t="s">
        <v>13364</v>
      </c>
      <c r="B2017" t="s">
        <v>13366</v>
      </c>
      <c r="C2017">
        <v>2021</v>
      </c>
      <c r="D2017" t="s">
        <v>13377</v>
      </c>
      <c r="E2017">
        <v>34080172</v>
      </c>
    </row>
    <row r="2018" spans="1:5" x14ac:dyDescent="0.15">
      <c r="A2018" t="s">
        <v>13521</v>
      </c>
      <c r="B2018" t="s">
        <v>13523</v>
      </c>
      <c r="C2018">
        <v>2022</v>
      </c>
      <c r="D2018" t="s">
        <v>13532</v>
      </c>
      <c r="E2018">
        <v>35453300</v>
      </c>
    </row>
    <row r="2019" spans="1:5" x14ac:dyDescent="0.15">
      <c r="A2019" t="s">
        <v>13534</v>
      </c>
      <c r="B2019" t="s">
        <v>13536</v>
      </c>
      <c r="C2019">
        <v>2022</v>
      </c>
      <c r="D2019" t="s">
        <v>13545</v>
      </c>
      <c r="E2019">
        <v>35179366</v>
      </c>
    </row>
    <row r="2020" spans="1:5" x14ac:dyDescent="0.15">
      <c r="A2020" t="s">
        <v>13809</v>
      </c>
      <c r="B2020" t="s">
        <v>13811</v>
      </c>
      <c r="C2020">
        <v>2022</v>
      </c>
      <c r="D2020" t="s">
        <v>13821</v>
      </c>
      <c r="E2020">
        <v>35682592</v>
      </c>
    </row>
    <row r="2021" spans="1:5" x14ac:dyDescent="0.15">
      <c r="A2021" t="s">
        <v>13823</v>
      </c>
      <c r="B2021" t="s">
        <v>13825</v>
      </c>
      <c r="C2021" t="s">
        <v>74</v>
      </c>
      <c r="D2021" t="s">
        <v>13835</v>
      </c>
      <c r="E2021">
        <v>35715382</v>
      </c>
    </row>
    <row r="2022" spans="1:5" x14ac:dyDescent="0.15">
      <c r="A2022" t="s">
        <v>13860</v>
      </c>
      <c r="B2022" t="s">
        <v>13862</v>
      </c>
      <c r="C2022">
        <v>2022</v>
      </c>
      <c r="D2022" t="s">
        <v>13871</v>
      </c>
      <c r="E2022">
        <v>35180687</v>
      </c>
    </row>
    <row r="2023" spans="1:5" x14ac:dyDescent="0.15">
      <c r="A2023" t="s">
        <v>13886</v>
      </c>
      <c r="B2023" t="s">
        <v>13888</v>
      </c>
      <c r="C2023">
        <v>2022</v>
      </c>
      <c r="D2023" t="s">
        <v>13898</v>
      </c>
      <c r="E2023">
        <v>35638425</v>
      </c>
    </row>
    <row r="2024" spans="1:5" x14ac:dyDescent="0.15">
      <c r="A2024" t="s">
        <v>13913</v>
      </c>
      <c r="B2024" t="s">
        <v>13915</v>
      </c>
      <c r="C2024">
        <v>2021</v>
      </c>
      <c r="D2024" t="s">
        <v>74</v>
      </c>
      <c r="E2024">
        <v>34433181</v>
      </c>
    </row>
    <row r="2025" spans="1:5" x14ac:dyDescent="0.15">
      <c r="A2025" t="s">
        <v>13983</v>
      </c>
      <c r="B2025" t="s">
        <v>13985</v>
      </c>
      <c r="C2025">
        <v>2022</v>
      </c>
      <c r="D2025" t="s">
        <v>74</v>
      </c>
      <c r="E2025">
        <v>35332890</v>
      </c>
    </row>
    <row r="2026" spans="1:5" x14ac:dyDescent="0.15">
      <c r="A2026" t="s">
        <v>14009</v>
      </c>
      <c r="B2026" t="s">
        <v>14011</v>
      </c>
      <c r="C2026">
        <v>2021</v>
      </c>
      <c r="D2026" t="s">
        <v>14018</v>
      </c>
      <c r="E2026">
        <v>33960622</v>
      </c>
    </row>
    <row r="2027" spans="1:5" x14ac:dyDescent="0.15">
      <c r="A2027" t="s">
        <v>14105</v>
      </c>
      <c r="B2027" t="s">
        <v>14107</v>
      </c>
      <c r="C2027">
        <v>2022</v>
      </c>
      <c r="D2027" t="s">
        <v>14113</v>
      </c>
      <c r="E2027">
        <v>35802880</v>
      </c>
    </row>
    <row r="2028" spans="1:5" x14ac:dyDescent="0.15">
      <c r="A2028" t="s">
        <v>14160</v>
      </c>
      <c r="B2028" t="s">
        <v>14162</v>
      </c>
      <c r="C2028">
        <v>2021</v>
      </c>
      <c r="D2028" t="s">
        <v>14172</v>
      </c>
      <c r="E2028">
        <v>33028960</v>
      </c>
    </row>
    <row r="2029" spans="1:5" x14ac:dyDescent="0.15">
      <c r="A2029" t="s">
        <v>14187</v>
      </c>
      <c r="B2029" t="s">
        <v>14189</v>
      </c>
      <c r="C2029">
        <v>2022</v>
      </c>
      <c r="D2029" t="s">
        <v>14199</v>
      </c>
      <c r="E2029">
        <v>35682999</v>
      </c>
    </row>
    <row r="2030" spans="1:5" x14ac:dyDescent="0.15">
      <c r="A2030" t="s">
        <v>14255</v>
      </c>
      <c r="B2030" t="s">
        <v>14257</v>
      </c>
      <c r="C2030" t="s">
        <v>74</v>
      </c>
      <c r="D2030" t="s">
        <v>14267</v>
      </c>
      <c r="E2030">
        <v>35708510</v>
      </c>
    </row>
    <row r="2031" spans="1:5" x14ac:dyDescent="0.15">
      <c r="A2031" t="s">
        <v>14379</v>
      </c>
      <c r="B2031" t="s">
        <v>14381</v>
      </c>
      <c r="C2031">
        <v>2022</v>
      </c>
      <c r="D2031" t="s">
        <v>14392</v>
      </c>
      <c r="E2031">
        <v>35465178</v>
      </c>
    </row>
    <row r="2032" spans="1:5" x14ac:dyDescent="0.15">
      <c r="A2032" t="s">
        <v>14410</v>
      </c>
      <c r="B2032" t="s">
        <v>14412</v>
      </c>
      <c r="C2032">
        <v>2021</v>
      </c>
      <c r="D2032" t="s">
        <v>14421</v>
      </c>
      <c r="E2032">
        <v>35005084</v>
      </c>
    </row>
    <row r="2033" spans="1:5" x14ac:dyDescent="0.15">
      <c r="A2033" t="s">
        <v>14439</v>
      </c>
      <c r="B2033" t="s">
        <v>14441</v>
      </c>
      <c r="C2033">
        <v>2022</v>
      </c>
      <c r="D2033" t="s">
        <v>14450</v>
      </c>
      <c r="E2033">
        <v>35909566</v>
      </c>
    </row>
    <row r="2034" spans="1:5" x14ac:dyDescent="0.15">
      <c r="A2034" t="s">
        <v>14554</v>
      </c>
      <c r="B2034" t="s">
        <v>14556</v>
      </c>
      <c r="C2034" t="s">
        <v>74</v>
      </c>
      <c r="D2034" t="s">
        <v>14567</v>
      </c>
      <c r="E2034">
        <v>35818769</v>
      </c>
    </row>
    <row r="2035" spans="1:5" x14ac:dyDescent="0.15">
      <c r="A2035" t="s">
        <v>15051</v>
      </c>
      <c r="B2035" t="s">
        <v>15053</v>
      </c>
      <c r="C2035">
        <v>2022</v>
      </c>
      <c r="D2035" t="s">
        <v>15064</v>
      </c>
      <c r="E2035">
        <v>35474906</v>
      </c>
    </row>
    <row r="2036" spans="1:5" x14ac:dyDescent="0.15">
      <c r="A2036" t="s">
        <v>15311</v>
      </c>
      <c r="B2036" t="s">
        <v>15313</v>
      </c>
      <c r="C2036">
        <v>2022</v>
      </c>
      <c r="D2036" t="s">
        <v>15322</v>
      </c>
      <c r="E2036">
        <v>35081499</v>
      </c>
    </row>
    <row r="2037" spans="1:5" x14ac:dyDescent="0.15">
      <c r="A2037" t="s">
        <v>15517</v>
      </c>
      <c r="B2037" t="s">
        <v>15519</v>
      </c>
      <c r="C2037">
        <v>2022</v>
      </c>
      <c r="D2037" t="s">
        <v>15527</v>
      </c>
      <c r="E2037">
        <v>35092573</v>
      </c>
    </row>
    <row r="2038" spans="1:5" x14ac:dyDescent="0.15">
      <c r="A2038" t="s">
        <v>15629</v>
      </c>
      <c r="B2038" t="s">
        <v>15631</v>
      </c>
      <c r="C2038">
        <v>2017</v>
      </c>
      <c r="D2038" t="s">
        <v>15643</v>
      </c>
      <c r="E2038" t="s">
        <v>74</v>
      </c>
    </row>
    <row r="2039" spans="1:5" x14ac:dyDescent="0.15">
      <c r="A2039" t="s">
        <v>15645</v>
      </c>
      <c r="B2039" t="s">
        <v>15647</v>
      </c>
      <c r="C2039">
        <v>2022</v>
      </c>
      <c r="D2039" t="s">
        <v>15654</v>
      </c>
      <c r="E2039">
        <v>35778435</v>
      </c>
    </row>
    <row r="2040" spans="1:5" x14ac:dyDescent="0.15">
      <c r="A2040" t="s">
        <v>15899</v>
      </c>
      <c r="B2040" t="s">
        <v>15901</v>
      </c>
      <c r="C2040">
        <v>2022</v>
      </c>
      <c r="D2040" t="s">
        <v>15911</v>
      </c>
      <c r="E2040">
        <v>35112881</v>
      </c>
    </row>
    <row r="2041" spans="1:5" x14ac:dyDescent="0.15">
      <c r="A2041" t="s">
        <v>15940</v>
      </c>
      <c r="B2041" t="s">
        <v>15942</v>
      </c>
      <c r="C2041">
        <v>2022</v>
      </c>
      <c r="D2041" t="s">
        <v>15949</v>
      </c>
      <c r="E2041">
        <v>35623789</v>
      </c>
    </row>
    <row r="2042" spans="1:5" x14ac:dyDescent="0.15">
      <c r="A2042" t="s">
        <v>16100</v>
      </c>
      <c r="B2042" t="s">
        <v>16102</v>
      </c>
      <c r="C2042">
        <v>2022</v>
      </c>
      <c r="D2042" t="s">
        <v>16111</v>
      </c>
      <c r="E2042">
        <v>35558841</v>
      </c>
    </row>
    <row r="2043" spans="1:5" x14ac:dyDescent="0.15">
      <c r="A2043" t="s">
        <v>16219</v>
      </c>
      <c r="B2043" t="s">
        <v>16222</v>
      </c>
      <c r="C2043">
        <v>2019</v>
      </c>
      <c r="D2043" t="s">
        <v>16231</v>
      </c>
      <c r="E2043" t="s">
        <v>74</v>
      </c>
    </row>
    <row r="2044" spans="1:5" x14ac:dyDescent="0.15">
      <c r="A2044" t="s">
        <v>16354</v>
      </c>
      <c r="B2044" t="s">
        <v>16356</v>
      </c>
      <c r="C2044">
        <v>2022</v>
      </c>
      <c r="D2044" t="s">
        <v>16368</v>
      </c>
      <c r="E2044">
        <v>35225863</v>
      </c>
    </row>
    <row r="2045" spans="1:5" x14ac:dyDescent="0.15">
      <c r="A2045" t="s">
        <v>16642</v>
      </c>
      <c r="B2045" t="s">
        <v>16644</v>
      </c>
      <c r="C2045">
        <v>2022</v>
      </c>
      <c r="D2045" t="s">
        <v>16655</v>
      </c>
      <c r="E2045" t="s">
        <v>74</v>
      </c>
    </row>
    <row r="2046" spans="1:5" x14ac:dyDescent="0.15">
      <c r="A2046" t="s">
        <v>16709</v>
      </c>
      <c r="B2046" t="s">
        <v>16712</v>
      </c>
      <c r="C2046">
        <v>2019</v>
      </c>
      <c r="D2046" t="s">
        <v>16725</v>
      </c>
      <c r="E2046" t="s">
        <v>74</v>
      </c>
    </row>
    <row r="2047" spans="1:5" x14ac:dyDescent="0.15">
      <c r="A2047" t="s">
        <v>16913</v>
      </c>
      <c r="B2047" t="s">
        <v>16915</v>
      </c>
      <c r="C2047">
        <v>2021</v>
      </c>
      <c r="D2047" t="s">
        <v>16923</v>
      </c>
      <c r="E2047">
        <v>34735132</v>
      </c>
    </row>
    <row r="2048" spans="1:5" x14ac:dyDescent="0.15">
      <c r="A2048" t="s">
        <v>16925</v>
      </c>
      <c r="B2048" t="s">
        <v>16927</v>
      </c>
      <c r="C2048">
        <v>2022</v>
      </c>
      <c r="D2048" t="s">
        <v>16937</v>
      </c>
      <c r="E2048">
        <v>34994103</v>
      </c>
    </row>
    <row r="2049" spans="1:5" x14ac:dyDescent="0.15">
      <c r="A2049" t="s">
        <v>17188</v>
      </c>
      <c r="B2049" t="s">
        <v>17190</v>
      </c>
      <c r="C2049">
        <v>2018</v>
      </c>
      <c r="D2049" t="s">
        <v>17201</v>
      </c>
      <c r="E2049" t="s">
        <v>74</v>
      </c>
    </row>
    <row r="2050" spans="1:5" x14ac:dyDescent="0.15">
      <c r="A2050" t="s">
        <v>17216</v>
      </c>
      <c r="B2050" t="s">
        <v>17218</v>
      </c>
      <c r="C2050">
        <v>2020</v>
      </c>
      <c r="D2050" t="s">
        <v>17230</v>
      </c>
      <c r="E2050">
        <v>31977019</v>
      </c>
    </row>
    <row r="2051" spans="1:5" x14ac:dyDescent="0.15">
      <c r="A2051" t="s">
        <v>17273</v>
      </c>
      <c r="B2051" t="s">
        <v>17275</v>
      </c>
      <c r="C2051">
        <v>2022</v>
      </c>
      <c r="D2051" t="s">
        <v>17284</v>
      </c>
      <c r="E2051">
        <v>35044159</v>
      </c>
    </row>
    <row r="2052" spans="1:5" x14ac:dyDescent="0.15">
      <c r="A2052" t="s">
        <v>17397</v>
      </c>
      <c r="B2052" t="s">
        <v>17399</v>
      </c>
      <c r="C2052">
        <v>2021</v>
      </c>
      <c r="D2052" t="s">
        <v>17410</v>
      </c>
      <c r="E2052" t="s">
        <v>74</v>
      </c>
    </row>
    <row r="2053" spans="1:5" x14ac:dyDescent="0.15">
      <c r="A2053" t="s">
        <v>17441</v>
      </c>
      <c r="B2053" t="s">
        <v>17443</v>
      </c>
      <c r="C2053">
        <v>2021</v>
      </c>
      <c r="D2053" t="s">
        <v>17449</v>
      </c>
      <c r="E2053" t="s">
        <v>74</v>
      </c>
    </row>
    <row r="2054" spans="1:5" x14ac:dyDescent="0.15">
      <c r="A2054" t="s">
        <v>17532</v>
      </c>
      <c r="B2054" t="s">
        <v>17534</v>
      </c>
      <c r="C2054">
        <v>2022</v>
      </c>
      <c r="D2054" t="s">
        <v>17544</v>
      </c>
      <c r="E2054">
        <v>35203594</v>
      </c>
    </row>
    <row r="2055" spans="1:5" x14ac:dyDescent="0.15">
      <c r="A2055" t="s">
        <v>17713</v>
      </c>
      <c r="B2055" t="s">
        <v>17715</v>
      </c>
      <c r="C2055">
        <v>2022</v>
      </c>
      <c r="D2055" t="s">
        <v>17725</v>
      </c>
      <c r="E2055">
        <v>35630882</v>
      </c>
    </row>
    <row r="2056" spans="1:5" x14ac:dyDescent="0.15">
      <c r="A2056" t="s">
        <v>18038</v>
      </c>
      <c r="B2056" t="s">
        <v>18040</v>
      </c>
      <c r="C2056">
        <v>2022</v>
      </c>
      <c r="D2056" t="s">
        <v>18051</v>
      </c>
      <c r="E2056">
        <v>35220071</v>
      </c>
    </row>
    <row r="2057" spans="1:5" x14ac:dyDescent="0.15">
      <c r="A2057" t="s">
        <v>18379</v>
      </c>
      <c r="B2057" t="s">
        <v>18381</v>
      </c>
      <c r="C2057">
        <v>2022</v>
      </c>
      <c r="D2057" t="s">
        <v>18391</v>
      </c>
      <c r="E2057">
        <v>35203714</v>
      </c>
    </row>
    <row r="2058" spans="1:5" x14ac:dyDescent="0.15">
      <c r="A2058" t="s">
        <v>18470</v>
      </c>
      <c r="B2058" t="s">
        <v>18472</v>
      </c>
      <c r="C2058">
        <v>2021</v>
      </c>
      <c r="D2058" t="s">
        <v>18480</v>
      </c>
      <c r="E2058">
        <v>32780361</v>
      </c>
    </row>
    <row r="2059" spans="1:5" x14ac:dyDescent="0.15">
      <c r="A2059" t="s">
        <v>18482</v>
      </c>
      <c r="B2059" t="s">
        <v>18484</v>
      </c>
      <c r="C2059">
        <v>2022</v>
      </c>
      <c r="D2059" t="s">
        <v>18496</v>
      </c>
      <c r="E2059">
        <v>35448031</v>
      </c>
    </row>
    <row r="2060" spans="1:5" x14ac:dyDescent="0.15">
      <c r="A2060" t="s">
        <v>16431</v>
      </c>
      <c r="B2060" t="s">
        <v>18623</v>
      </c>
      <c r="C2060">
        <v>2021</v>
      </c>
      <c r="D2060" t="s">
        <v>18631</v>
      </c>
      <c r="E2060">
        <v>34165725</v>
      </c>
    </row>
    <row r="2061" spans="1:5" x14ac:dyDescent="0.15">
      <c r="A2061" t="s">
        <v>18669</v>
      </c>
      <c r="B2061" t="s">
        <v>18671</v>
      </c>
      <c r="C2061">
        <v>2022</v>
      </c>
      <c r="D2061" t="s">
        <v>18676</v>
      </c>
      <c r="E2061">
        <v>35398304</v>
      </c>
    </row>
    <row r="2062" spans="1:5" x14ac:dyDescent="0.15">
      <c r="A2062" t="s">
        <v>18703</v>
      </c>
      <c r="B2062" t="s">
        <v>18705</v>
      </c>
      <c r="C2062">
        <v>2022</v>
      </c>
      <c r="D2062" t="s">
        <v>18716</v>
      </c>
      <c r="E2062">
        <v>34915223</v>
      </c>
    </row>
    <row r="2063" spans="1:5" x14ac:dyDescent="0.15">
      <c r="A2063" t="s">
        <v>18733</v>
      </c>
      <c r="B2063" t="s">
        <v>18735</v>
      </c>
      <c r="C2063">
        <v>2021</v>
      </c>
      <c r="D2063" t="s">
        <v>18745</v>
      </c>
      <c r="E2063">
        <v>34858034</v>
      </c>
    </row>
    <row r="2064" spans="1:5" x14ac:dyDescent="0.15">
      <c r="A2064" t="s">
        <v>18789</v>
      </c>
      <c r="B2064" t="s">
        <v>18791</v>
      </c>
      <c r="C2064" t="s">
        <v>74</v>
      </c>
      <c r="D2064" t="s">
        <v>18799</v>
      </c>
      <c r="E2064" t="s">
        <v>74</v>
      </c>
    </row>
    <row r="2065" spans="1:5" x14ac:dyDescent="0.15">
      <c r="A2065" t="s">
        <v>18994</v>
      </c>
      <c r="B2065" t="s">
        <v>18996</v>
      </c>
      <c r="C2065">
        <v>2022</v>
      </c>
      <c r="D2065" t="s">
        <v>19006</v>
      </c>
      <c r="E2065">
        <v>35159325</v>
      </c>
    </row>
    <row r="2066" spans="1:5" x14ac:dyDescent="0.15">
      <c r="A2066" t="s">
        <v>19048</v>
      </c>
      <c r="B2066" t="s">
        <v>19050</v>
      </c>
      <c r="C2066">
        <v>2022</v>
      </c>
      <c r="D2066" t="s">
        <v>19057</v>
      </c>
      <c r="E2066">
        <v>35224597</v>
      </c>
    </row>
    <row r="2067" spans="1:5" x14ac:dyDescent="0.15">
      <c r="A2067" t="s">
        <v>19088</v>
      </c>
      <c r="B2067" t="s">
        <v>19091</v>
      </c>
      <c r="C2067">
        <v>2019</v>
      </c>
      <c r="D2067" t="s">
        <v>19106</v>
      </c>
      <c r="E2067" t="s">
        <v>74</v>
      </c>
    </row>
    <row r="2068" spans="1:5" x14ac:dyDescent="0.15">
      <c r="A2068" t="s">
        <v>19200</v>
      </c>
      <c r="B2068" t="s">
        <v>19202</v>
      </c>
      <c r="C2068">
        <v>2022</v>
      </c>
      <c r="D2068" t="s">
        <v>19210</v>
      </c>
      <c r="E2068">
        <v>35174154</v>
      </c>
    </row>
    <row r="2069" spans="1:5" x14ac:dyDescent="0.15">
      <c r="A2069" t="s">
        <v>19268</v>
      </c>
      <c r="B2069" t="s">
        <v>19270</v>
      </c>
      <c r="C2069">
        <v>2018</v>
      </c>
      <c r="D2069" t="s">
        <v>19279</v>
      </c>
      <c r="E2069" t="s">
        <v>74</v>
      </c>
    </row>
    <row r="2070" spans="1:5" x14ac:dyDescent="0.15">
      <c r="A2070" t="s">
        <v>19281</v>
      </c>
      <c r="B2070" t="s">
        <v>19283</v>
      </c>
      <c r="C2070">
        <v>2022</v>
      </c>
      <c r="D2070" t="s">
        <v>19294</v>
      </c>
      <c r="E2070">
        <v>35549815</v>
      </c>
    </row>
    <row r="2071" spans="1:5" x14ac:dyDescent="0.15">
      <c r="A2071" t="s">
        <v>19308</v>
      </c>
      <c r="B2071" t="s">
        <v>19310</v>
      </c>
      <c r="C2071">
        <v>2021</v>
      </c>
      <c r="D2071" t="s">
        <v>19318</v>
      </c>
      <c r="E2071">
        <v>34593932</v>
      </c>
    </row>
    <row r="2072" spans="1:5" x14ac:dyDescent="0.15">
      <c r="A2072" t="s">
        <v>19539</v>
      </c>
      <c r="B2072" t="s">
        <v>19541</v>
      </c>
      <c r="C2072">
        <v>2022</v>
      </c>
      <c r="D2072" t="s">
        <v>19552</v>
      </c>
      <c r="E2072">
        <v>35094679</v>
      </c>
    </row>
    <row r="2073" spans="1:5" x14ac:dyDescent="0.15">
      <c r="A2073" t="s">
        <v>19584</v>
      </c>
      <c r="B2073" t="s">
        <v>19587</v>
      </c>
      <c r="C2073">
        <v>2019</v>
      </c>
      <c r="D2073" t="s">
        <v>19595</v>
      </c>
      <c r="E2073" t="s">
        <v>74</v>
      </c>
    </row>
    <row r="2074" spans="1:5" x14ac:dyDescent="0.15">
      <c r="A2074" t="s">
        <v>19695</v>
      </c>
      <c r="B2074" t="s">
        <v>19697</v>
      </c>
      <c r="C2074">
        <v>2018</v>
      </c>
      <c r="D2074" t="s">
        <v>19710</v>
      </c>
      <c r="E2074" t="s">
        <v>74</v>
      </c>
    </row>
    <row r="2075" spans="1:5" x14ac:dyDescent="0.15">
      <c r="A2075" t="s">
        <v>19752</v>
      </c>
      <c r="B2075" t="s">
        <v>19754</v>
      </c>
      <c r="C2075">
        <v>2022</v>
      </c>
      <c r="D2075" t="s">
        <v>19767</v>
      </c>
      <c r="E2075">
        <v>35352838</v>
      </c>
    </row>
    <row r="2076" spans="1:5" x14ac:dyDescent="0.15">
      <c r="A2076" t="s">
        <v>19770</v>
      </c>
      <c r="B2076" t="s">
        <v>19772</v>
      </c>
      <c r="C2076">
        <v>2021</v>
      </c>
      <c r="D2076" t="s">
        <v>19781</v>
      </c>
      <c r="E2076">
        <v>34427906</v>
      </c>
    </row>
    <row r="2077" spans="1:5" x14ac:dyDescent="0.15">
      <c r="A2077" t="s">
        <v>19783</v>
      </c>
      <c r="B2077" t="s">
        <v>19785</v>
      </c>
      <c r="C2077">
        <v>2022</v>
      </c>
      <c r="D2077" t="s">
        <v>19794</v>
      </c>
      <c r="E2077">
        <v>35204378</v>
      </c>
    </row>
    <row r="2078" spans="1:5" x14ac:dyDescent="0.15">
      <c r="A2078" t="s">
        <v>19894</v>
      </c>
      <c r="B2078" t="s">
        <v>19896</v>
      </c>
      <c r="C2078">
        <v>2022</v>
      </c>
      <c r="D2078" t="s">
        <v>19904</v>
      </c>
      <c r="E2078">
        <v>35193353</v>
      </c>
    </row>
    <row r="2079" spans="1:5" x14ac:dyDescent="0.15">
      <c r="A2079" t="s">
        <v>19919</v>
      </c>
      <c r="B2079" t="s">
        <v>19921</v>
      </c>
      <c r="C2079">
        <v>2020</v>
      </c>
      <c r="D2079" t="s">
        <v>74</v>
      </c>
      <c r="E2079" t="s">
        <v>74</v>
      </c>
    </row>
    <row r="2080" spans="1:5" x14ac:dyDescent="0.15">
      <c r="A2080" t="s">
        <v>20314</v>
      </c>
      <c r="B2080" t="s">
        <v>20316</v>
      </c>
      <c r="C2080">
        <v>2022</v>
      </c>
      <c r="D2080" t="s">
        <v>20326</v>
      </c>
      <c r="E2080">
        <v>35874692</v>
      </c>
    </row>
    <row r="2081" spans="1:5" x14ac:dyDescent="0.15">
      <c r="A2081" t="s">
        <v>20423</v>
      </c>
      <c r="B2081" t="s">
        <v>20425</v>
      </c>
      <c r="C2081">
        <v>2022</v>
      </c>
      <c r="D2081" t="s">
        <v>20435</v>
      </c>
      <c r="E2081">
        <v>35328771</v>
      </c>
    </row>
    <row r="2082" spans="1:5" x14ac:dyDescent="0.15">
      <c r="A2082" t="s">
        <v>20460</v>
      </c>
      <c r="B2082" t="s">
        <v>20462</v>
      </c>
      <c r="C2082">
        <v>2022</v>
      </c>
      <c r="D2082" t="s">
        <v>20470</v>
      </c>
      <c r="E2082">
        <v>35673560</v>
      </c>
    </row>
    <row r="2083" spans="1:5" x14ac:dyDescent="0.15">
      <c r="A2083" t="s">
        <v>20635</v>
      </c>
      <c r="B2083" t="s">
        <v>20637</v>
      </c>
      <c r="C2083">
        <v>2022</v>
      </c>
      <c r="D2083" t="s">
        <v>20649</v>
      </c>
      <c r="E2083">
        <v>35637390</v>
      </c>
    </row>
    <row r="2084" spans="1:5" x14ac:dyDescent="0.15">
      <c r="A2084" t="s">
        <v>20652</v>
      </c>
      <c r="B2084" t="s">
        <v>20654</v>
      </c>
      <c r="C2084">
        <v>2022</v>
      </c>
      <c r="D2084" t="s">
        <v>20665</v>
      </c>
      <c r="E2084">
        <v>35581740</v>
      </c>
    </row>
    <row r="2085" spans="1:5" x14ac:dyDescent="0.15">
      <c r="A2085" t="s">
        <v>20890</v>
      </c>
      <c r="B2085" t="s">
        <v>20892</v>
      </c>
      <c r="C2085">
        <v>2019</v>
      </c>
      <c r="D2085" t="s">
        <v>20903</v>
      </c>
      <c r="E2085" t="s">
        <v>74</v>
      </c>
    </row>
    <row r="2086" spans="1:5" x14ac:dyDescent="0.15">
      <c r="A2086" t="s">
        <v>20942</v>
      </c>
      <c r="B2086" t="s">
        <v>20944</v>
      </c>
      <c r="C2086">
        <v>2022</v>
      </c>
      <c r="D2086" t="s">
        <v>20953</v>
      </c>
      <c r="E2086">
        <v>34915101</v>
      </c>
    </row>
    <row r="2087" spans="1:5" x14ac:dyDescent="0.15">
      <c r="A2087" t="s">
        <v>21696</v>
      </c>
      <c r="B2087" t="s">
        <v>21698</v>
      </c>
      <c r="C2087">
        <v>2021</v>
      </c>
      <c r="D2087" t="s">
        <v>21709</v>
      </c>
      <c r="E2087" t="s">
        <v>74</v>
      </c>
    </row>
    <row r="2088" spans="1:5" x14ac:dyDescent="0.15">
      <c r="A2088" t="s">
        <v>21900</v>
      </c>
      <c r="B2088" t="s">
        <v>21902</v>
      </c>
      <c r="C2088">
        <v>2018</v>
      </c>
      <c r="D2088" t="s">
        <v>21912</v>
      </c>
      <c r="E2088">
        <v>30371055</v>
      </c>
    </row>
    <row r="2089" spans="1:5" x14ac:dyDescent="0.15">
      <c r="A2089" t="s">
        <v>21937</v>
      </c>
      <c r="B2089" t="s">
        <v>21939</v>
      </c>
      <c r="C2089">
        <v>2022</v>
      </c>
      <c r="D2089" t="s">
        <v>21947</v>
      </c>
      <c r="E2089">
        <v>35252132</v>
      </c>
    </row>
    <row r="2090" spans="1:5" x14ac:dyDescent="0.15">
      <c r="A2090" t="s">
        <v>22115</v>
      </c>
      <c r="B2090" t="s">
        <v>22118</v>
      </c>
      <c r="C2090">
        <v>2019</v>
      </c>
      <c r="D2090" t="s">
        <v>74</v>
      </c>
      <c r="E2090" t="s">
        <v>74</v>
      </c>
    </row>
    <row r="2091" spans="1:5" x14ac:dyDescent="0.15">
      <c r="A2091" t="s">
        <v>22355</v>
      </c>
      <c r="B2091" t="s">
        <v>22357</v>
      </c>
      <c r="C2091">
        <v>2021</v>
      </c>
      <c r="D2091" t="s">
        <v>22366</v>
      </c>
      <c r="E2091" t="s">
        <v>74</v>
      </c>
    </row>
    <row r="2092" spans="1:5" x14ac:dyDescent="0.15">
      <c r="A2092" t="s">
        <v>22395</v>
      </c>
      <c r="B2092" t="s">
        <v>22397</v>
      </c>
      <c r="C2092">
        <v>2022</v>
      </c>
      <c r="D2092" t="s">
        <v>22405</v>
      </c>
      <c r="E2092">
        <v>35447119</v>
      </c>
    </row>
    <row r="2093" spans="1:5" x14ac:dyDescent="0.15">
      <c r="A2093" t="s">
        <v>22534</v>
      </c>
      <c r="B2093" t="s">
        <v>22536</v>
      </c>
      <c r="C2093">
        <v>2022</v>
      </c>
      <c r="D2093" t="s">
        <v>22544</v>
      </c>
      <c r="E2093">
        <v>35452280</v>
      </c>
    </row>
    <row r="2094" spans="1:5" x14ac:dyDescent="0.15">
      <c r="A2094" t="s">
        <v>22653</v>
      </c>
      <c r="B2094" t="s">
        <v>22655</v>
      </c>
      <c r="C2094">
        <v>2022</v>
      </c>
      <c r="D2094" t="s">
        <v>22664</v>
      </c>
      <c r="E2094">
        <v>35598553</v>
      </c>
    </row>
    <row r="2095" spans="1:5" x14ac:dyDescent="0.15">
      <c r="A2095" t="s">
        <v>22705</v>
      </c>
      <c r="B2095" t="s">
        <v>22707</v>
      </c>
      <c r="C2095">
        <v>2021</v>
      </c>
      <c r="D2095" t="s">
        <v>74</v>
      </c>
      <c r="E2095">
        <v>34150007</v>
      </c>
    </row>
    <row r="2096" spans="1:5" x14ac:dyDescent="0.15">
      <c r="A2096" t="s">
        <v>23137</v>
      </c>
      <c r="B2096" t="s">
        <v>23139</v>
      </c>
      <c r="C2096">
        <v>2022</v>
      </c>
      <c r="D2096" t="s">
        <v>23145</v>
      </c>
      <c r="E2096">
        <v>35421672</v>
      </c>
    </row>
    <row r="2097" spans="1:5" x14ac:dyDescent="0.15">
      <c r="A2097" t="s">
        <v>23263</v>
      </c>
      <c r="B2097" t="s">
        <v>23265</v>
      </c>
      <c r="C2097">
        <v>2022</v>
      </c>
      <c r="D2097" t="s">
        <v>23276</v>
      </c>
      <c r="E2097">
        <v>35224082</v>
      </c>
    </row>
    <row r="2098" spans="1:5" x14ac:dyDescent="0.15">
      <c r="A2098" t="s">
        <v>23393</v>
      </c>
      <c r="B2098" t="s">
        <v>23395</v>
      </c>
      <c r="C2098">
        <v>2020</v>
      </c>
      <c r="D2098" t="s">
        <v>23402</v>
      </c>
      <c r="E2098" t="s">
        <v>74</v>
      </c>
    </row>
    <row r="2099" spans="1:5" x14ac:dyDescent="0.15">
      <c r="A2099" t="s">
        <v>23417</v>
      </c>
      <c r="B2099" t="s">
        <v>23419</v>
      </c>
      <c r="C2099">
        <v>2021</v>
      </c>
      <c r="D2099" t="s">
        <v>23429</v>
      </c>
      <c r="E2099">
        <v>34960750</v>
      </c>
    </row>
    <row r="2100" spans="1:5" x14ac:dyDescent="0.15">
      <c r="A2100" t="s">
        <v>23628</v>
      </c>
      <c r="B2100" t="s">
        <v>23630</v>
      </c>
      <c r="C2100">
        <v>2020</v>
      </c>
      <c r="D2100" t="s">
        <v>23640</v>
      </c>
      <c r="E2100">
        <v>32891682</v>
      </c>
    </row>
    <row r="2101" spans="1:5" x14ac:dyDescent="0.15">
      <c r="A2101" t="s">
        <v>23685</v>
      </c>
      <c r="B2101" t="s">
        <v>23687</v>
      </c>
      <c r="C2101">
        <v>2021</v>
      </c>
      <c r="D2101" t="s">
        <v>23698</v>
      </c>
      <c r="E2101">
        <v>34514752</v>
      </c>
    </row>
    <row r="2102" spans="1:5" x14ac:dyDescent="0.15">
      <c r="A2102" t="s">
        <v>23752</v>
      </c>
      <c r="B2102" t="s">
        <v>23755</v>
      </c>
      <c r="C2102">
        <v>2021</v>
      </c>
      <c r="D2102" t="s">
        <v>23768</v>
      </c>
      <c r="E2102">
        <v>33370019</v>
      </c>
    </row>
    <row r="2103" spans="1:5" x14ac:dyDescent="0.15">
      <c r="A2103" t="s">
        <v>23811</v>
      </c>
      <c r="B2103" t="s">
        <v>23813</v>
      </c>
      <c r="C2103">
        <v>2018</v>
      </c>
      <c r="D2103" t="s">
        <v>23828</v>
      </c>
      <c r="E2103" t="s">
        <v>74</v>
      </c>
    </row>
    <row r="2104" spans="1:5" x14ac:dyDescent="0.15">
      <c r="A2104" t="s">
        <v>23995</v>
      </c>
      <c r="B2104" t="s">
        <v>23997</v>
      </c>
      <c r="C2104">
        <v>2022</v>
      </c>
      <c r="D2104" t="s">
        <v>24008</v>
      </c>
      <c r="E2104">
        <v>35371331</v>
      </c>
    </row>
    <row r="2105" spans="1:5" x14ac:dyDescent="0.15">
      <c r="A2105" t="s">
        <v>24109</v>
      </c>
      <c r="B2105" t="s">
        <v>24111</v>
      </c>
      <c r="C2105">
        <v>2022</v>
      </c>
      <c r="D2105" t="s">
        <v>24121</v>
      </c>
      <c r="E2105">
        <v>35692503</v>
      </c>
    </row>
    <row r="2106" spans="1:5" x14ac:dyDescent="0.15">
      <c r="A2106" t="s">
        <v>24229</v>
      </c>
      <c r="B2106" t="s">
        <v>24231</v>
      </c>
      <c r="C2106">
        <v>2022</v>
      </c>
      <c r="D2106" t="s">
        <v>24242</v>
      </c>
      <c r="E2106">
        <v>35774416</v>
      </c>
    </row>
    <row r="2107" spans="1:5" x14ac:dyDescent="0.15">
      <c r="A2107" t="s">
        <v>24322</v>
      </c>
      <c r="B2107" t="s">
        <v>24324</v>
      </c>
      <c r="C2107">
        <v>2022</v>
      </c>
      <c r="D2107" t="s">
        <v>24333</v>
      </c>
      <c r="E2107">
        <v>35710947</v>
      </c>
    </row>
    <row r="2108" spans="1:5" x14ac:dyDescent="0.15">
      <c r="A2108" t="s">
        <v>24517</v>
      </c>
      <c r="B2108" t="s">
        <v>24519</v>
      </c>
      <c r="C2108">
        <v>2021</v>
      </c>
      <c r="D2108" t="s">
        <v>24528</v>
      </c>
      <c r="E2108">
        <v>34497581</v>
      </c>
    </row>
    <row r="2109" spans="1:5" x14ac:dyDescent="0.15">
      <c r="A2109" t="s">
        <v>24539</v>
      </c>
      <c r="B2109" t="s">
        <v>24541</v>
      </c>
      <c r="C2109">
        <v>2022</v>
      </c>
      <c r="D2109" t="s">
        <v>24549</v>
      </c>
      <c r="E2109">
        <v>35075190</v>
      </c>
    </row>
    <row r="2110" spans="1:5" x14ac:dyDescent="0.15">
      <c r="A2110" t="s">
        <v>24723</v>
      </c>
      <c r="B2110" t="s">
        <v>24726</v>
      </c>
      <c r="C2110">
        <v>2010</v>
      </c>
      <c r="D2110" t="s">
        <v>74</v>
      </c>
      <c r="E2110" t="s">
        <v>74</v>
      </c>
    </row>
    <row r="2111" spans="1:5" x14ac:dyDescent="0.15">
      <c r="A2111" t="s">
        <v>24902</v>
      </c>
      <c r="B2111" t="s">
        <v>24904</v>
      </c>
      <c r="C2111">
        <v>2018</v>
      </c>
      <c r="D2111" t="s">
        <v>24916</v>
      </c>
      <c r="E2111">
        <v>29264630</v>
      </c>
    </row>
    <row r="2112" spans="1:5" x14ac:dyDescent="0.15">
      <c r="A2112" t="s">
        <v>25003</v>
      </c>
      <c r="B2112" t="s">
        <v>25005</v>
      </c>
      <c r="C2112">
        <v>2022</v>
      </c>
      <c r="D2112" t="s">
        <v>25017</v>
      </c>
      <c r="E2112" t="s">
        <v>74</v>
      </c>
    </row>
    <row r="2113" spans="1:5" x14ac:dyDescent="0.15">
      <c r="A2113" t="s">
        <v>25215</v>
      </c>
      <c r="B2113" t="s">
        <v>25217</v>
      </c>
      <c r="C2113">
        <v>2022</v>
      </c>
      <c r="D2113" t="s">
        <v>25227</v>
      </c>
      <c r="E2113">
        <v>35417232</v>
      </c>
    </row>
    <row r="2114" spans="1:5" x14ac:dyDescent="0.15">
      <c r="A2114" t="s">
        <v>25294</v>
      </c>
      <c r="B2114" t="s">
        <v>25296</v>
      </c>
      <c r="C2114">
        <v>2022</v>
      </c>
      <c r="D2114" t="s">
        <v>25305</v>
      </c>
      <c r="E2114">
        <v>35898402</v>
      </c>
    </row>
    <row r="2115" spans="1:5" x14ac:dyDescent="0.15">
      <c r="A2115" t="s">
        <v>25363</v>
      </c>
      <c r="B2115" t="s">
        <v>25365</v>
      </c>
      <c r="C2115">
        <v>2022</v>
      </c>
      <c r="D2115" t="s">
        <v>25375</v>
      </c>
      <c r="E2115">
        <v>35742955</v>
      </c>
    </row>
    <row r="2116" spans="1:5" x14ac:dyDescent="0.15">
      <c r="A2116" t="s">
        <v>25460</v>
      </c>
      <c r="B2116" t="s">
        <v>25462</v>
      </c>
      <c r="C2116">
        <v>2015</v>
      </c>
      <c r="D2116" t="s">
        <v>25474</v>
      </c>
      <c r="E2116" t="s">
        <v>74</v>
      </c>
    </row>
    <row r="2117" spans="1:5" x14ac:dyDescent="0.15">
      <c r="A2117" t="s">
        <v>25501</v>
      </c>
      <c r="B2117" t="s">
        <v>25503</v>
      </c>
      <c r="C2117">
        <v>2022</v>
      </c>
      <c r="D2117" t="s">
        <v>25511</v>
      </c>
      <c r="E2117">
        <v>35182955</v>
      </c>
    </row>
    <row r="2118" spans="1:5" x14ac:dyDescent="0.15">
      <c r="A2118" t="s">
        <v>25657</v>
      </c>
      <c r="B2118" t="s">
        <v>25659</v>
      </c>
      <c r="C2118">
        <v>2022</v>
      </c>
      <c r="D2118" t="s">
        <v>25668</v>
      </c>
      <c r="E2118">
        <v>35326558</v>
      </c>
    </row>
    <row r="2119" spans="1:5" x14ac:dyDescent="0.15">
      <c r="A2119" t="s">
        <v>25983</v>
      </c>
      <c r="B2119" t="s">
        <v>25985</v>
      </c>
      <c r="C2119">
        <v>2022</v>
      </c>
      <c r="D2119" t="s">
        <v>25998</v>
      </c>
      <c r="E2119">
        <v>35624495</v>
      </c>
    </row>
    <row r="2120" spans="1:5" x14ac:dyDescent="0.15">
      <c r="A2120" t="s">
        <v>26321</v>
      </c>
      <c r="B2120" t="s">
        <v>26323</v>
      </c>
      <c r="C2120">
        <v>2020</v>
      </c>
      <c r="D2120" t="s">
        <v>26330</v>
      </c>
      <c r="E2120">
        <v>32925795</v>
      </c>
    </row>
    <row r="2121" spans="1:5" x14ac:dyDescent="0.15">
      <c r="A2121" t="s">
        <v>26344</v>
      </c>
      <c r="B2121" t="s">
        <v>26347</v>
      </c>
      <c r="C2121">
        <v>2016</v>
      </c>
      <c r="D2121" t="s">
        <v>26354</v>
      </c>
      <c r="E2121" t="s">
        <v>74</v>
      </c>
    </row>
    <row r="2122" spans="1:5" x14ac:dyDescent="0.15">
      <c r="A2122" t="s">
        <v>26815</v>
      </c>
      <c r="B2122" t="s">
        <v>26817</v>
      </c>
      <c r="C2122">
        <v>2021</v>
      </c>
      <c r="D2122" t="s">
        <v>26828</v>
      </c>
      <c r="E2122">
        <v>34047336</v>
      </c>
    </row>
    <row r="2123" spans="1:5" x14ac:dyDescent="0.15">
      <c r="A2123" t="s">
        <v>27051</v>
      </c>
      <c r="B2123" t="s">
        <v>27053</v>
      </c>
      <c r="C2123">
        <v>2022</v>
      </c>
      <c r="D2123" t="s">
        <v>27061</v>
      </c>
      <c r="E2123">
        <v>35884336</v>
      </c>
    </row>
    <row r="2124" spans="1:5" x14ac:dyDescent="0.15">
      <c r="A2124" t="s">
        <v>27091</v>
      </c>
      <c r="B2124" t="s">
        <v>27093</v>
      </c>
      <c r="C2124" t="s">
        <v>74</v>
      </c>
      <c r="D2124" t="s">
        <v>27101</v>
      </c>
      <c r="E2124">
        <v>35758600</v>
      </c>
    </row>
    <row r="2125" spans="1:5" x14ac:dyDescent="0.15">
      <c r="A2125" t="s">
        <v>27308</v>
      </c>
      <c r="B2125" t="s">
        <v>27310</v>
      </c>
      <c r="C2125">
        <v>2021</v>
      </c>
      <c r="D2125" t="s">
        <v>27323</v>
      </c>
      <c r="E2125">
        <v>34972769</v>
      </c>
    </row>
    <row r="2126" spans="1:5" x14ac:dyDescent="0.15">
      <c r="A2126" t="s">
        <v>27459</v>
      </c>
      <c r="B2126" t="s">
        <v>27461</v>
      </c>
      <c r="C2126">
        <v>2022</v>
      </c>
      <c r="D2126" t="s">
        <v>27470</v>
      </c>
      <c r="E2126">
        <v>35696523</v>
      </c>
    </row>
    <row r="2127" spans="1:5" x14ac:dyDescent="0.15">
      <c r="A2127" t="s">
        <v>27618</v>
      </c>
      <c r="B2127" t="s">
        <v>27620</v>
      </c>
      <c r="C2127">
        <v>2016</v>
      </c>
      <c r="D2127" t="s">
        <v>27632</v>
      </c>
      <c r="E2127">
        <v>30190889</v>
      </c>
    </row>
    <row r="2128" spans="1:5" x14ac:dyDescent="0.15">
      <c r="A2128" t="s">
        <v>27664</v>
      </c>
      <c r="B2128" t="s">
        <v>27666</v>
      </c>
      <c r="C2128">
        <v>2022</v>
      </c>
      <c r="D2128" t="s">
        <v>27676</v>
      </c>
      <c r="E2128">
        <v>35565846</v>
      </c>
    </row>
    <row r="2129" spans="1:5" x14ac:dyDescent="0.15">
      <c r="A2129" t="s">
        <v>27765</v>
      </c>
      <c r="B2129" t="s">
        <v>27767</v>
      </c>
      <c r="C2129">
        <v>2022</v>
      </c>
      <c r="D2129" t="s">
        <v>27776</v>
      </c>
      <c r="E2129">
        <v>35196550</v>
      </c>
    </row>
    <row r="2130" spans="1:5" x14ac:dyDescent="0.15">
      <c r="A2130" t="s">
        <v>27867</v>
      </c>
      <c r="B2130" t="s">
        <v>27869</v>
      </c>
      <c r="C2130" t="s">
        <v>74</v>
      </c>
      <c r="D2130" t="s">
        <v>27878</v>
      </c>
      <c r="E2130">
        <v>35896003</v>
      </c>
    </row>
    <row r="2131" spans="1:5" x14ac:dyDescent="0.15">
      <c r="A2131" t="s">
        <v>28312</v>
      </c>
      <c r="B2131" t="s">
        <v>28314</v>
      </c>
      <c r="C2131">
        <v>2022</v>
      </c>
      <c r="D2131" t="s">
        <v>28322</v>
      </c>
      <c r="E2131">
        <v>35716977</v>
      </c>
    </row>
    <row r="2132" spans="1:5" x14ac:dyDescent="0.15">
      <c r="A2132" t="s">
        <v>28686</v>
      </c>
      <c r="B2132" t="s">
        <v>28688</v>
      </c>
      <c r="C2132">
        <v>2020</v>
      </c>
      <c r="D2132" t="s">
        <v>28699</v>
      </c>
      <c r="E2132">
        <v>32226485</v>
      </c>
    </row>
    <row r="2133" spans="1:5" x14ac:dyDescent="0.15">
      <c r="A2133" t="s">
        <v>28775</v>
      </c>
      <c r="B2133" t="s">
        <v>28777</v>
      </c>
      <c r="C2133">
        <v>2022</v>
      </c>
      <c r="D2133" t="s">
        <v>28785</v>
      </c>
      <c r="E2133">
        <v>35547750</v>
      </c>
    </row>
    <row r="2134" spans="1:5" x14ac:dyDescent="0.15">
      <c r="A2134" t="s">
        <v>28830</v>
      </c>
      <c r="B2134" t="s">
        <v>28832</v>
      </c>
      <c r="C2134">
        <v>2022</v>
      </c>
      <c r="D2134" t="s">
        <v>28842</v>
      </c>
      <c r="E2134">
        <v>35477389</v>
      </c>
    </row>
    <row r="2135" spans="1:5" x14ac:dyDescent="0.15">
      <c r="A2135" t="s">
        <v>28844</v>
      </c>
      <c r="B2135" t="s">
        <v>28846</v>
      </c>
      <c r="C2135">
        <v>2019</v>
      </c>
      <c r="D2135" t="s">
        <v>28857</v>
      </c>
      <c r="E2135" t="s">
        <v>74</v>
      </c>
    </row>
    <row r="2136" spans="1:5" x14ac:dyDescent="0.15">
      <c r="A2136" t="s">
        <v>29111</v>
      </c>
      <c r="B2136" t="s">
        <v>29113</v>
      </c>
      <c r="C2136">
        <v>2022</v>
      </c>
      <c r="D2136" t="s">
        <v>29123</v>
      </c>
      <c r="E2136">
        <v>35884255</v>
      </c>
    </row>
    <row r="2137" spans="1:5" x14ac:dyDescent="0.15">
      <c r="A2137" t="s">
        <v>29180</v>
      </c>
      <c r="B2137" t="s">
        <v>29182</v>
      </c>
      <c r="C2137">
        <v>2022</v>
      </c>
      <c r="D2137" t="s">
        <v>29195</v>
      </c>
      <c r="E2137">
        <v>34981912</v>
      </c>
    </row>
    <row r="2138" spans="1:5" x14ac:dyDescent="0.15">
      <c r="A2138" t="s">
        <v>29244</v>
      </c>
      <c r="B2138" t="s">
        <v>29246</v>
      </c>
      <c r="C2138">
        <v>2022</v>
      </c>
      <c r="D2138" t="s">
        <v>29258</v>
      </c>
      <c r="E2138">
        <v>35454997</v>
      </c>
    </row>
    <row r="2139" spans="1:5" x14ac:dyDescent="0.15">
      <c r="A2139" t="s">
        <v>29322</v>
      </c>
      <c r="B2139" t="s">
        <v>29324</v>
      </c>
      <c r="C2139">
        <v>2022</v>
      </c>
      <c r="D2139" t="s">
        <v>29332</v>
      </c>
      <c r="E2139">
        <v>35197099</v>
      </c>
    </row>
    <row r="2140" spans="1:5" x14ac:dyDescent="0.15">
      <c r="A2140" t="s">
        <v>29387</v>
      </c>
      <c r="B2140" t="s">
        <v>29389</v>
      </c>
      <c r="C2140">
        <v>2021</v>
      </c>
      <c r="D2140" t="s">
        <v>29396</v>
      </c>
      <c r="E2140">
        <v>32127652</v>
      </c>
    </row>
    <row r="2141" spans="1:5" x14ac:dyDescent="0.15">
      <c r="A2141" t="s">
        <v>29779</v>
      </c>
      <c r="B2141" t="s">
        <v>29781</v>
      </c>
      <c r="C2141">
        <v>2022</v>
      </c>
      <c r="D2141" t="s">
        <v>29790</v>
      </c>
      <c r="E2141">
        <v>35652329</v>
      </c>
    </row>
    <row r="2142" spans="1:5" x14ac:dyDescent="0.15">
      <c r="A2142" t="s">
        <v>29833</v>
      </c>
      <c r="B2142" t="s">
        <v>29835</v>
      </c>
      <c r="C2142">
        <v>2022</v>
      </c>
      <c r="D2142" t="s">
        <v>29843</v>
      </c>
      <c r="E2142">
        <v>33528306</v>
      </c>
    </row>
    <row r="2143" spans="1:5" x14ac:dyDescent="0.15">
      <c r="A2143" t="s">
        <v>29861</v>
      </c>
      <c r="B2143" t="s">
        <v>29863</v>
      </c>
      <c r="C2143">
        <v>2016</v>
      </c>
      <c r="D2143" t="s">
        <v>29871</v>
      </c>
      <c r="E2143">
        <v>27317182</v>
      </c>
    </row>
    <row r="2144" spans="1:5" x14ac:dyDescent="0.15">
      <c r="A2144" t="s">
        <v>29873</v>
      </c>
      <c r="B2144" t="s">
        <v>29875</v>
      </c>
      <c r="C2144">
        <v>2022</v>
      </c>
      <c r="D2144" t="s">
        <v>29882</v>
      </c>
      <c r="E2144">
        <v>35761831</v>
      </c>
    </row>
    <row r="2145" spans="1:5" x14ac:dyDescent="0.15">
      <c r="A2145" t="s">
        <v>29884</v>
      </c>
      <c r="B2145" t="s">
        <v>29886</v>
      </c>
      <c r="C2145">
        <v>2022</v>
      </c>
      <c r="D2145" t="s">
        <v>29896</v>
      </c>
      <c r="E2145">
        <v>35736483</v>
      </c>
    </row>
    <row r="2146" spans="1:5" x14ac:dyDescent="0.15">
      <c r="A2146" t="s">
        <v>29898</v>
      </c>
      <c r="B2146" t="s">
        <v>29900</v>
      </c>
      <c r="C2146">
        <v>2022</v>
      </c>
      <c r="D2146" t="s">
        <v>29909</v>
      </c>
      <c r="E2146">
        <v>35011735</v>
      </c>
    </row>
    <row r="2147" spans="1:5" x14ac:dyDescent="0.15">
      <c r="A2147" t="s">
        <v>30050</v>
      </c>
      <c r="B2147" t="s">
        <v>30052</v>
      </c>
      <c r="C2147">
        <v>2021</v>
      </c>
      <c r="D2147" t="s">
        <v>30066</v>
      </c>
      <c r="E2147">
        <v>33682586</v>
      </c>
    </row>
    <row r="2148" spans="1:5" x14ac:dyDescent="0.15">
      <c r="A2148" t="s">
        <v>30096</v>
      </c>
      <c r="B2148" t="s">
        <v>30098</v>
      </c>
      <c r="C2148">
        <v>2022</v>
      </c>
      <c r="D2148" t="s">
        <v>30105</v>
      </c>
      <c r="E2148">
        <v>35667477</v>
      </c>
    </row>
    <row r="2149" spans="1:5" x14ac:dyDescent="0.15">
      <c r="A2149" t="s">
        <v>30107</v>
      </c>
      <c r="B2149" t="s">
        <v>30109</v>
      </c>
      <c r="C2149">
        <v>2020</v>
      </c>
      <c r="D2149" t="s">
        <v>74</v>
      </c>
      <c r="E2149" t="s">
        <v>74</v>
      </c>
    </row>
    <row r="2150" spans="1:5" x14ac:dyDescent="0.15">
      <c r="A2150" t="s">
        <v>30127</v>
      </c>
      <c r="B2150" t="s">
        <v>30129</v>
      </c>
      <c r="C2150">
        <v>2021</v>
      </c>
      <c r="D2150" t="s">
        <v>30137</v>
      </c>
      <c r="E2150">
        <v>34440945</v>
      </c>
    </row>
    <row r="2151" spans="1:5" x14ac:dyDescent="0.15">
      <c r="A2151" t="s">
        <v>30193</v>
      </c>
      <c r="B2151" t="s">
        <v>30195</v>
      </c>
      <c r="C2151">
        <v>2019</v>
      </c>
      <c r="D2151" t="s">
        <v>30207</v>
      </c>
      <c r="E2151">
        <v>30509097</v>
      </c>
    </row>
    <row r="2152" spans="1:5" x14ac:dyDescent="0.15">
      <c r="A2152" t="s">
        <v>30429</v>
      </c>
      <c r="B2152" t="s">
        <v>30431</v>
      </c>
      <c r="C2152">
        <v>2022</v>
      </c>
      <c r="D2152" t="s">
        <v>30441</v>
      </c>
      <c r="E2152">
        <v>34806897</v>
      </c>
    </row>
    <row r="2153" spans="1:5" x14ac:dyDescent="0.15">
      <c r="A2153" s="2" t="s">
        <v>30563</v>
      </c>
      <c r="B2153" s="2" t="s">
        <v>30562</v>
      </c>
      <c r="C2153" s="2">
        <v>2016</v>
      </c>
      <c r="D2153" s="2" t="s">
        <v>30568</v>
      </c>
    </row>
    <row r="2154" spans="1:5" x14ac:dyDescent="0.15">
      <c r="A2154" s="2" t="s">
        <v>30570</v>
      </c>
      <c r="B2154" s="2" t="s">
        <v>30569</v>
      </c>
      <c r="C2154" s="2">
        <v>2020</v>
      </c>
      <c r="D2154" s="2" t="s">
        <v>30575</v>
      </c>
    </row>
    <row r="2155" spans="1:5" x14ac:dyDescent="0.15">
      <c r="A2155" s="2" t="s">
        <v>30577</v>
      </c>
      <c r="B2155" s="2" t="s">
        <v>30576</v>
      </c>
      <c r="C2155" s="2">
        <v>2018</v>
      </c>
      <c r="D2155" s="2" t="s">
        <v>30583</v>
      </c>
    </row>
    <row r="2156" spans="1:5" x14ac:dyDescent="0.15">
      <c r="A2156" s="2" t="s">
        <v>30585</v>
      </c>
      <c r="B2156" s="2" t="s">
        <v>30584</v>
      </c>
      <c r="C2156" s="2">
        <v>2020</v>
      </c>
      <c r="D2156" s="2" t="s">
        <v>30590</v>
      </c>
    </row>
    <row r="2157" spans="1:5" x14ac:dyDescent="0.15">
      <c r="A2157" s="2" t="s">
        <v>30592</v>
      </c>
      <c r="B2157" s="2" t="s">
        <v>30591</v>
      </c>
      <c r="C2157" s="2">
        <v>2018</v>
      </c>
      <c r="D2157" s="2" t="s">
        <v>30596</v>
      </c>
    </row>
    <row r="2158" spans="1:5" x14ac:dyDescent="0.15">
      <c r="A2158" s="2" t="s">
        <v>30602</v>
      </c>
      <c r="B2158" s="2" t="s">
        <v>30601</v>
      </c>
      <c r="C2158" s="2">
        <v>2021</v>
      </c>
      <c r="D2158" s="2" t="s">
        <v>30608</v>
      </c>
    </row>
    <row r="2159" spans="1:5" x14ac:dyDescent="0.15">
      <c r="A2159" s="2" t="s">
        <v>30610</v>
      </c>
      <c r="B2159" s="2" t="s">
        <v>30609</v>
      </c>
      <c r="C2159" s="2">
        <v>2018</v>
      </c>
      <c r="D2159" s="2" t="s">
        <v>30614</v>
      </c>
    </row>
    <row r="2160" spans="1:5" x14ac:dyDescent="0.15">
      <c r="A2160" s="2" t="s">
        <v>30620</v>
      </c>
      <c r="B2160" s="2" t="s">
        <v>30619</v>
      </c>
      <c r="C2160" s="2">
        <v>2021</v>
      </c>
      <c r="D2160" s="2" t="s">
        <v>30625</v>
      </c>
    </row>
    <row r="2161" spans="1:4" x14ac:dyDescent="0.15">
      <c r="A2161" s="2" t="s">
        <v>30627</v>
      </c>
      <c r="B2161" s="2" t="s">
        <v>30626</v>
      </c>
      <c r="C2161" s="2">
        <v>2020</v>
      </c>
      <c r="D2161" s="2" t="s">
        <v>30632</v>
      </c>
    </row>
    <row r="2162" spans="1:4" x14ac:dyDescent="0.15">
      <c r="A2162" s="2" t="s">
        <v>30634</v>
      </c>
      <c r="B2162" s="2" t="s">
        <v>30633</v>
      </c>
      <c r="C2162" s="2">
        <v>2021</v>
      </c>
      <c r="D2162" s="2" t="s">
        <v>30639</v>
      </c>
    </row>
    <row r="2163" spans="1:4" x14ac:dyDescent="0.15">
      <c r="A2163" s="2" t="s">
        <v>30646</v>
      </c>
      <c r="B2163" s="2" t="s">
        <v>30645</v>
      </c>
      <c r="C2163" s="2">
        <v>2019</v>
      </c>
      <c r="D2163" s="2" t="s">
        <v>30650</v>
      </c>
    </row>
    <row r="2164" spans="1:4" x14ac:dyDescent="0.15">
      <c r="A2164" s="2" t="s">
        <v>30652</v>
      </c>
      <c r="B2164" s="2" t="s">
        <v>30651</v>
      </c>
      <c r="C2164" s="2">
        <v>2019</v>
      </c>
      <c r="D2164" s="2" t="s">
        <v>30657</v>
      </c>
    </row>
    <row r="2165" spans="1:4" x14ac:dyDescent="0.15">
      <c r="A2165" s="2" t="s">
        <v>30665</v>
      </c>
      <c r="B2165" s="2" t="s">
        <v>30664</v>
      </c>
      <c r="C2165" s="2">
        <v>2017</v>
      </c>
      <c r="D2165" s="2" t="s">
        <v>30671</v>
      </c>
    </row>
    <row r="2166" spans="1:4" x14ac:dyDescent="0.15">
      <c r="A2166" s="2" t="s">
        <v>30679</v>
      </c>
      <c r="B2166" s="2" t="s">
        <v>30678</v>
      </c>
      <c r="C2166" s="2">
        <v>2018</v>
      </c>
      <c r="D2166" s="2" t="s">
        <v>30683</v>
      </c>
    </row>
    <row r="2167" spans="1:4" x14ac:dyDescent="0.15">
      <c r="A2167" s="2" t="s">
        <v>30685</v>
      </c>
      <c r="B2167" s="2" t="s">
        <v>30684</v>
      </c>
      <c r="C2167" s="2">
        <v>2020</v>
      </c>
      <c r="D2167" s="2" t="s">
        <v>30689</v>
      </c>
    </row>
    <row r="2168" spans="1:4" x14ac:dyDescent="0.15">
      <c r="A2168" s="2" t="s">
        <v>30691</v>
      </c>
      <c r="B2168" s="2" t="s">
        <v>30690</v>
      </c>
      <c r="C2168" s="2">
        <v>2021</v>
      </c>
      <c r="D2168" s="2" t="s">
        <v>30696</v>
      </c>
    </row>
    <row r="2169" spans="1:4" x14ac:dyDescent="0.15">
      <c r="A2169" s="2" t="s">
        <v>30698</v>
      </c>
      <c r="B2169" s="2" t="s">
        <v>30697</v>
      </c>
      <c r="C2169" s="2">
        <v>2019</v>
      </c>
      <c r="D2169" s="2" t="s">
        <v>30702</v>
      </c>
    </row>
    <row r="2170" spans="1:4" x14ac:dyDescent="0.15">
      <c r="A2170" s="2" t="s">
        <v>30704</v>
      </c>
      <c r="B2170" s="2" t="s">
        <v>30703</v>
      </c>
      <c r="C2170" s="2">
        <v>2018</v>
      </c>
      <c r="D2170" s="2" t="s">
        <v>30708</v>
      </c>
    </row>
    <row r="2171" spans="1:4" x14ac:dyDescent="0.15">
      <c r="A2171" s="2" t="s">
        <v>30710</v>
      </c>
      <c r="B2171" s="2" t="s">
        <v>30709</v>
      </c>
      <c r="C2171" s="2">
        <v>2019</v>
      </c>
      <c r="D2171" s="2" t="s">
        <v>30715</v>
      </c>
    </row>
    <row r="2172" spans="1:4" x14ac:dyDescent="0.15">
      <c r="A2172" s="2" t="s">
        <v>30717</v>
      </c>
      <c r="B2172" s="2" t="s">
        <v>30716</v>
      </c>
      <c r="C2172" s="2">
        <v>2017</v>
      </c>
      <c r="D2172" s="2" t="s">
        <v>30722</v>
      </c>
    </row>
    <row r="2173" spans="1:4" x14ac:dyDescent="0.15">
      <c r="A2173" s="2" t="s">
        <v>30724</v>
      </c>
      <c r="B2173" s="2" t="s">
        <v>30723</v>
      </c>
      <c r="C2173" s="2">
        <v>2019</v>
      </c>
      <c r="D2173" s="2" t="s">
        <v>30728</v>
      </c>
    </row>
    <row r="2174" spans="1:4" x14ac:dyDescent="0.15">
      <c r="A2174" s="2" t="s">
        <v>30730</v>
      </c>
      <c r="B2174" s="2" t="s">
        <v>30729</v>
      </c>
      <c r="C2174" s="2">
        <v>2020</v>
      </c>
      <c r="D2174" s="2" t="s">
        <v>30735</v>
      </c>
    </row>
    <row r="2175" spans="1:4" x14ac:dyDescent="0.15">
      <c r="A2175" s="2" t="s">
        <v>30737</v>
      </c>
      <c r="B2175" s="2" t="s">
        <v>30736</v>
      </c>
      <c r="C2175" s="2">
        <v>2019</v>
      </c>
      <c r="D2175" s="2" t="s">
        <v>30742</v>
      </c>
    </row>
    <row r="2176" spans="1:4" x14ac:dyDescent="0.15">
      <c r="A2176" s="2" t="s">
        <v>30744</v>
      </c>
      <c r="B2176" s="2" t="s">
        <v>30743</v>
      </c>
      <c r="C2176" s="2">
        <v>2021</v>
      </c>
      <c r="D2176" s="2" t="s">
        <v>30748</v>
      </c>
    </row>
    <row r="2177" spans="1:4" x14ac:dyDescent="0.15">
      <c r="A2177" s="2" t="s">
        <v>30750</v>
      </c>
      <c r="B2177" s="2" t="s">
        <v>30749</v>
      </c>
      <c r="C2177" s="2">
        <v>2021</v>
      </c>
      <c r="D2177" s="2" t="s">
        <v>30754</v>
      </c>
    </row>
    <row r="2178" spans="1:4" x14ac:dyDescent="0.15">
      <c r="A2178" s="2" t="s">
        <v>30803</v>
      </c>
      <c r="B2178" s="2" t="s">
        <v>30802</v>
      </c>
      <c r="C2178" s="2">
        <v>2018</v>
      </c>
      <c r="D2178" s="2" t="s">
        <v>30808</v>
      </c>
    </row>
    <row r="2179" spans="1:4" x14ac:dyDescent="0.15">
      <c r="A2179" s="2" t="s">
        <v>30825</v>
      </c>
      <c r="B2179" s="2" t="s">
        <v>30824</v>
      </c>
      <c r="C2179" s="2">
        <v>2020</v>
      </c>
      <c r="D2179" s="2" t="s">
        <v>30830</v>
      </c>
    </row>
    <row r="2180" spans="1:4" x14ac:dyDescent="0.15">
      <c r="A2180" s="2" t="s">
        <v>30837</v>
      </c>
      <c r="B2180" s="2" t="s">
        <v>30836</v>
      </c>
      <c r="C2180" s="2">
        <v>2021</v>
      </c>
      <c r="D2180" s="2" t="s">
        <v>30842</v>
      </c>
    </row>
    <row r="2181" spans="1:4" x14ac:dyDescent="0.15">
      <c r="A2181" s="2" t="s">
        <v>30844</v>
      </c>
      <c r="B2181" s="2" t="s">
        <v>30843</v>
      </c>
      <c r="C2181" s="2">
        <v>2022</v>
      </c>
      <c r="D2181" s="2" t="s">
        <v>30849</v>
      </c>
    </row>
    <row r="2182" spans="1:4" x14ac:dyDescent="0.15">
      <c r="A2182" s="2" t="s">
        <v>30855</v>
      </c>
      <c r="B2182" s="2" t="s">
        <v>30854</v>
      </c>
      <c r="C2182" s="2">
        <v>2021</v>
      </c>
      <c r="D2182" s="2" t="s">
        <v>30860</v>
      </c>
    </row>
    <row r="2183" spans="1:4" x14ac:dyDescent="0.15">
      <c r="A2183" s="2" t="s">
        <v>30862</v>
      </c>
      <c r="B2183" s="2" t="s">
        <v>30861</v>
      </c>
      <c r="C2183" s="2">
        <v>2014</v>
      </c>
      <c r="D2183" s="2" t="s">
        <v>30867</v>
      </c>
    </row>
    <row r="2184" spans="1:4" x14ac:dyDescent="0.15">
      <c r="A2184" s="2" t="s">
        <v>30878</v>
      </c>
      <c r="B2184" s="2" t="s">
        <v>30877</v>
      </c>
      <c r="C2184" s="2">
        <v>2021</v>
      </c>
      <c r="D2184" s="2" t="s">
        <v>30882</v>
      </c>
    </row>
    <row r="2185" spans="1:4" x14ac:dyDescent="0.15">
      <c r="A2185" s="2" t="s">
        <v>30884</v>
      </c>
      <c r="B2185" s="2" t="s">
        <v>30883</v>
      </c>
      <c r="C2185" s="2">
        <v>2020</v>
      </c>
      <c r="D2185" s="2" t="s">
        <v>30888</v>
      </c>
    </row>
    <row r="2186" spans="1:4" x14ac:dyDescent="0.15">
      <c r="A2186" s="2" t="s">
        <v>30890</v>
      </c>
      <c r="B2186" s="2" t="s">
        <v>30889</v>
      </c>
      <c r="C2186" s="2">
        <v>2020</v>
      </c>
      <c r="D2186" s="2" t="s">
        <v>30896</v>
      </c>
    </row>
    <row r="2187" spans="1:4" x14ac:dyDescent="0.15">
      <c r="A2187" s="2" t="s">
        <v>30913</v>
      </c>
      <c r="B2187" s="2" t="s">
        <v>30912</v>
      </c>
      <c r="C2187" s="2">
        <v>2021</v>
      </c>
      <c r="D2187" s="2" t="s">
        <v>30917</v>
      </c>
    </row>
    <row r="2188" spans="1:4" x14ac:dyDescent="0.15">
      <c r="A2188" s="2" t="s">
        <v>30923</v>
      </c>
      <c r="B2188" s="2" t="s">
        <v>30922</v>
      </c>
      <c r="C2188" s="2">
        <v>2017</v>
      </c>
      <c r="D2188" s="2" t="s">
        <v>30927</v>
      </c>
    </row>
    <row r="2189" spans="1:4" x14ac:dyDescent="0.15">
      <c r="A2189" s="2" t="s">
        <v>30929</v>
      </c>
      <c r="B2189" s="2" t="s">
        <v>30928</v>
      </c>
      <c r="C2189" s="2">
        <v>2021</v>
      </c>
      <c r="D2189" s="2" t="s">
        <v>30934</v>
      </c>
    </row>
    <row r="2190" spans="1:4" x14ac:dyDescent="0.15">
      <c r="A2190" s="2" t="s">
        <v>30936</v>
      </c>
      <c r="B2190" s="2" t="s">
        <v>30935</v>
      </c>
      <c r="C2190" s="2">
        <v>2021</v>
      </c>
      <c r="D2190" s="2" t="s">
        <v>30940</v>
      </c>
    </row>
    <row r="2191" spans="1:4" x14ac:dyDescent="0.15">
      <c r="A2191" s="2" t="s">
        <v>30942</v>
      </c>
      <c r="B2191" s="2" t="s">
        <v>30941</v>
      </c>
      <c r="C2191" s="2">
        <v>2021</v>
      </c>
      <c r="D2191" s="2" t="s">
        <v>30947</v>
      </c>
    </row>
    <row r="2192" spans="1:4" x14ac:dyDescent="0.15">
      <c r="A2192" s="2" t="s">
        <v>30949</v>
      </c>
      <c r="B2192" s="2" t="s">
        <v>30948</v>
      </c>
      <c r="C2192" s="2">
        <v>2015</v>
      </c>
      <c r="D2192" s="2" t="s">
        <v>30952</v>
      </c>
    </row>
    <row r="2193" spans="1:4" x14ac:dyDescent="0.15">
      <c r="A2193" s="2" t="s">
        <v>30958</v>
      </c>
      <c r="B2193" s="2" t="s">
        <v>30957</v>
      </c>
      <c r="C2193" s="2">
        <v>2014</v>
      </c>
      <c r="D2193" s="2" t="s">
        <v>30962</v>
      </c>
    </row>
    <row r="2194" spans="1:4" x14ac:dyDescent="0.15">
      <c r="A2194" s="2" t="s">
        <v>30973</v>
      </c>
      <c r="B2194" s="2" t="s">
        <v>30972</v>
      </c>
      <c r="C2194" s="2">
        <v>2020</v>
      </c>
      <c r="D2194" s="2" t="s">
        <v>30977</v>
      </c>
    </row>
    <row r="2195" spans="1:4" x14ac:dyDescent="0.15">
      <c r="A2195" s="2" t="s">
        <v>30990</v>
      </c>
      <c r="B2195" s="2" t="s">
        <v>30989</v>
      </c>
      <c r="C2195" s="2">
        <v>2020</v>
      </c>
      <c r="D2195" s="2" t="s">
        <v>30993</v>
      </c>
    </row>
    <row r="2196" spans="1:4" x14ac:dyDescent="0.15">
      <c r="A2196" s="2" t="s">
        <v>30995</v>
      </c>
      <c r="B2196" s="2" t="s">
        <v>30994</v>
      </c>
      <c r="C2196" s="2">
        <v>2019</v>
      </c>
      <c r="D2196" s="2" t="s">
        <v>30999</v>
      </c>
    </row>
    <row r="2197" spans="1:4" x14ac:dyDescent="0.15">
      <c r="A2197" s="2" t="s">
        <v>31005</v>
      </c>
      <c r="B2197" s="2" t="s">
        <v>31004</v>
      </c>
      <c r="C2197" s="2">
        <v>2020</v>
      </c>
      <c r="D2197" s="2" t="s">
        <v>31009</v>
      </c>
    </row>
    <row r="2198" spans="1:4" x14ac:dyDescent="0.15">
      <c r="A2198" s="2" t="s">
        <v>31011</v>
      </c>
      <c r="B2198" s="2" t="s">
        <v>31010</v>
      </c>
      <c r="C2198" s="2">
        <v>2020</v>
      </c>
      <c r="D2198" s="2" t="s">
        <v>31014</v>
      </c>
    </row>
    <row r="2199" spans="1:4" x14ac:dyDescent="0.15">
      <c r="A2199" s="2" t="s">
        <v>31025</v>
      </c>
      <c r="B2199" s="2" t="s">
        <v>31024</v>
      </c>
      <c r="C2199" s="2">
        <v>2018</v>
      </c>
      <c r="D2199" s="2" t="s">
        <v>31029</v>
      </c>
    </row>
    <row r="2200" spans="1:4" x14ac:dyDescent="0.15">
      <c r="A2200" s="2" t="s">
        <v>31035</v>
      </c>
      <c r="B2200" s="2" t="s">
        <v>31034</v>
      </c>
      <c r="C2200" s="2">
        <v>2019</v>
      </c>
      <c r="D2200" s="2" t="s">
        <v>31041</v>
      </c>
    </row>
    <row r="2201" spans="1:4" x14ac:dyDescent="0.15">
      <c r="A2201" s="2" t="s">
        <v>31043</v>
      </c>
      <c r="B2201" s="2" t="s">
        <v>31042</v>
      </c>
      <c r="C2201" s="2">
        <v>2020</v>
      </c>
      <c r="D2201" s="2" t="s">
        <v>31047</v>
      </c>
    </row>
    <row r="2202" spans="1:4" x14ac:dyDescent="0.15">
      <c r="A2202" s="2" t="s">
        <v>31049</v>
      </c>
      <c r="B2202" s="2" t="s">
        <v>31048</v>
      </c>
      <c r="C2202" s="2">
        <v>2016</v>
      </c>
      <c r="D2202" s="2" t="s">
        <v>31054</v>
      </c>
    </row>
    <row r="2203" spans="1:4" x14ac:dyDescent="0.15">
      <c r="A2203" s="2" t="s">
        <v>31056</v>
      </c>
      <c r="B2203" s="2" t="s">
        <v>31055</v>
      </c>
      <c r="C2203" s="2">
        <v>2017</v>
      </c>
      <c r="D2203" s="2" t="s">
        <v>31060</v>
      </c>
    </row>
    <row r="2204" spans="1:4" x14ac:dyDescent="0.15">
      <c r="A2204" s="2" t="s">
        <v>31062</v>
      </c>
      <c r="B2204" s="2" t="s">
        <v>31061</v>
      </c>
      <c r="C2204" s="2">
        <v>2017</v>
      </c>
      <c r="D2204" s="2" t="s">
        <v>31066</v>
      </c>
    </row>
    <row r="2205" spans="1:4" x14ac:dyDescent="0.15">
      <c r="A2205" s="2" t="s">
        <v>31068</v>
      </c>
      <c r="B2205" s="2" t="s">
        <v>31067</v>
      </c>
      <c r="C2205" s="2">
        <v>2016</v>
      </c>
      <c r="D2205" s="2" t="s">
        <v>31072</v>
      </c>
    </row>
    <row r="2206" spans="1:4" x14ac:dyDescent="0.15">
      <c r="A2206" s="2" t="s">
        <v>31074</v>
      </c>
      <c r="B2206" s="2" t="s">
        <v>31073</v>
      </c>
      <c r="C2206" s="2">
        <v>2018</v>
      </c>
      <c r="D2206" s="2" t="s">
        <v>31077</v>
      </c>
    </row>
    <row r="2207" spans="1:4" x14ac:dyDescent="0.15">
      <c r="A2207" s="2" t="s">
        <v>31093</v>
      </c>
      <c r="B2207" s="2" t="s">
        <v>31092</v>
      </c>
      <c r="C2207" s="2">
        <v>2020</v>
      </c>
      <c r="D2207" s="2" t="s">
        <v>31097</v>
      </c>
    </row>
    <row r="2208" spans="1:4" x14ac:dyDescent="0.15">
      <c r="A2208" s="2" t="s">
        <v>31102</v>
      </c>
      <c r="B2208" s="2" t="s">
        <v>31101</v>
      </c>
      <c r="C2208" s="2">
        <v>2019</v>
      </c>
      <c r="D2208" s="2" t="s">
        <v>31106</v>
      </c>
    </row>
    <row r="2209" spans="1:4" x14ac:dyDescent="0.15">
      <c r="A2209" s="2" t="s">
        <v>31108</v>
      </c>
      <c r="B2209" s="2" t="s">
        <v>31107</v>
      </c>
      <c r="C2209" s="2">
        <v>2019</v>
      </c>
      <c r="D2209" s="2" t="s">
        <v>31112</v>
      </c>
    </row>
    <row r="2210" spans="1:4" x14ac:dyDescent="0.15">
      <c r="A2210" s="2" t="s">
        <v>31114</v>
      </c>
      <c r="B2210" s="2" t="s">
        <v>31113</v>
      </c>
      <c r="C2210" s="2">
        <v>2019</v>
      </c>
      <c r="D2210" s="2" t="s">
        <v>31118</v>
      </c>
    </row>
    <row r="2211" spans="1:4" x14ac:dyDescent="0.15">
      <c r="A2211" s="2" t="s">
        <v>31120</v>
      </c>
      <c r="B2211" s="2" t="s">
        <v>31119</v>
      </c>
      <c r="C2211" s="2">
        <v>2017</v>
      </c>
      <c r="D2211" s="2" t="s">
        <v>31126</v>
      </c>
    </row>
    <row r="2212" spans="1:4" x14ac:dyDescent="0.15">
      <c r="A2212" s="2" t="s">
        <v>31128</v>
      </c>
      <c r="B2212" s="2" t="s">
        <v>31127</v>
      </c>
      <c r="C2212" s="2">
        <v>2020</v>
      </c>
      <c r="D2212" s="2" t="s">
        <v>31132</v>
      </c>
    </row>
    <row r="2213" spans="1:4" x14ac:dyDescent="0.15">
      <c r="A2213" s="2" t="s">
        <v>31134</v>
      </c>
      <c r="B2213" s="2" t="s">
        <v>31133</v>
      </c>
      <c r="C2213" s="2">
        <v>2021</v>
      </c>
      <c r="D2213" s="2" t="s">
        <v>31139</v>
      </c>
    </row>
    <row r="2214" spans="1:4" x14ac:dyDescent="0.15">
      <c r="A2214" s="2" t="s">
        <v>31141</v>
      </c>
      <c r="B2214" s="2" t="s">
        <v>31140</v>
      </c>
      <c r="C2214" s="2">
        <v>2020</v>
      </c>
      <c r="D2214" s="2" t="s">
        <v>31144</v>
      </c>
    </row>
    <row r="2215" spans="1:4" x14ac:dyDescent="0.15">
      <c r="A2215" s="2" t="s">
        <v>31146</v>
      </c>
      <c r="B2215" s="2" t="s">
        <v>31145</v>
      </c>
      <c r="C2215" s="2">
        <v>2016</v>
      </c>
      <c r="D2215" s="2" t="s">
        <v>31150</v>
      </c>
    </row>
    <row r="2216" spans="1:4" x14ac:dyDescent="0.15">
      <c r="A2216" s="2" t="s">
        <v>31152</v>
      </c>
      <c r="B2216" s="2" t="s">
        <v>31151</v>
      </c>
      <c r="C2216" s="2">
        <v>2019</v>
      </c>
      <c r="D2216" s="2" t="s">
        <v>31157</v>
      </c>
    </row>
    <row r="2217" spans="1:4" x14ac:dyDescent="0.15">
      <c r="A2217" s="2" t="s">
        <v>31159</v>
      </c>
      <c r="B2217" s="2" t="s">
        <v>31158</v>
      </c>
      <c r="C2217" s="2">
        <v>2018</v>
      </c>
      <c r="D2217" s="2" t="s">
        <v>31162</v>
      </c>
    </row>
    <row r="2218" spans="1:4" x14ac:dyDescent="0.15">
      <c r="A2218" s="2" t="s">
        <v>31164</v>
      </c>
      <c r="B2218" s="2" t="s">
        <v>31163</v>
      </c>
      <c r="C2218" s="2">
        <v>2019</v>
      </c>
      <c r="D2218" s="2" t="s">
        <v>31170</v>
      </c>
    </row>
    <row r="2219" spans="1:4" x14ac:dyDescent="0.15">
      <c r="A2219" s="2" t="s">
        <v>31172</v>
      </c>
      <c r="B2219" s="2" t="s">
        <v>31171</v>
      </c>
      <c r="C2219" s="2">
        <v>2020</v>
      </c>
      <c r="D2219" s="2" t="s">
        <v>31176</v>
      </c>
    </row>
    <row r="2220" spans="1:4" x14ac:dyDescent="0.15">
      <c r="A2220" s="2" t="s">
        <v>31178</v>
      </c>
      <c r="B2220" s="2" t="s">
        <v>31177</v>
      </c>
      <c r="C2220" s="2">
        <v>2020</v>
      </c>
      <c r="D2220" s="2" t="s">
        <v>31182</v>
      </c>
    </row>
    <row r="2221" spans="1:4" x14ac:dyDescent="0.15">
      <c r="A2221" s="2" t="s">
        <v>31184</v>
      </c>
      <c r="B2221" s="2" t="s">
        <v>31183</v>
      </c>
      <c r="C2221" s="2">
        <v>2019</v>
      </c>
      <c r="D2221" s="2" t="s">
        <v>31187</v>
      </c>
    </row>
    <row r="2222" spans="1:4" x14ac:dyDescent="0.15">
      <c r="A2222" s="2" t="s">
        <v>31195</v>
      </c>
      <c r="B2222" s="2" t="s">
        <v>31194</v>
      </c>
      <c r="C2222" s="2">
        <v>2019</v>
      </c>
      <c r="D2222" s="2" t="s">
        <v>31199</v>
      </c>
    </row>
    <row r="2223" spans="1:4" x14ac:dyDescent="0.15">
      <c r="A2223" s="2" t="s">
        <v>31201</v>
      </c>
      <c r="B2223" s="2" t="s">
        <v>31200</v>
      </c>
      <c r="C2223" s="2">
        <v>2020</v>
      </c>
      <c r="D2223" s="2" t="s">
        <v>31205</v>
      </c>
    </row>
    <row r="2224" spans="1:4" x14ac:dyDescent="0.15">
      <c r="A2224" s="2" t="s">
        <v>31207</v>
      </c>
      <c r="B2224" s="2" t="s">
        <v>31206</v>
      </c>
      <c r="C2224" s="2">
        <v>2018</v>
      </c>
      <c r="D2224" s="2" t="s">
        <v>31210</v>
      </c>
    </row>
    <row r="2225" spans="1:4" x14ac:dyDescent="0.15">
      <c r="A2225" s="2" t="s">
        <v>31212</v>
      </c>
      <c r="B2225" s="2" t="s">
        <v>31211</v>
      </c>
      <c r="C2225" s="2">
        <v>2016</v>
      </c>
      <c r="D2225" s="2" t="s">
        <v>31216</v>
      </c>
    </row>
    <row r="2226" spans="1:4" x14ac:dyDescent="0.15">
      <c r="A2226" s="2" t="s">
        <v>31218</v>
      </c>
      <c r="B2226" s="2" t="s">
        <v>31217</v>
      </c>
      <c r="C2226" s="2">
        <v>2020</v>
      </c>
      <c r="D2226" s="2" t="s">
        <v>31223</v>
      </c>
    </row>
    <row r="2227" spans="1:4" x14ac:dyDescent="0.15">
      <c r="A2227" s="2" t="s">
        <v>31225</v>
      </c>
      <c r="B2227" s="2" t="s">
        <v>31224</v>
      </c>
      <c r="C2227" s="2">
        <v>2018</v>
      </c>
      <c r="D2227" s="2" t="s">
        <v>31230</v>
      </c>
    </row>
    <row r="2228" spans="1:4" x14ac:dyDescent="0.15">
      <c r="A2228" s="2" t="s">
        <v>31236</v>
      </c>
      <c r="B2228" s="2" t="s">
        <v>31235</v>
      </c>
      <c r="C2228" s="2">
        <v>2019</v>
      </c>
      <c r="D2228" s="2" t="s">
        <v>31240</v>
      </c>
    </row>
    <row r="2229" spans="1:4" x14ac:dyDescent="0.15">
      <c r="A2229" s="2" t="s">
        <v>31242</v>
      </c>
      <c r="B2229" s="2" t="s">
        <v>31241</v>
      </c>
      <c r="C2229" s="2">
        <v>2015</v>
      </c>
      <c r="D2229" s="2" t="s">
        <v>31247</v>
      </c>
    </row>
    <row r="2230" spans="1:4" x14ac:dyDescent="0.15">
      <c r="A2230" s="2" t="s">
        <v>31249</v>
      </c>
      <c r="B2230" s="2" t="s">
        <v>31248</v>
      </c>
      <c r="C2230" s="2">
        <v>2014</v>
      </c>
      <c r="D2230" s="2" t="s">
        <v>31252</v>
      </c>
    </row>
    <row r="2231" spans="1:4" x14ac:dyDescent="0.15">
      <c r="A2231" s="2" t="s">
        <v>31254</v>
      </c>
      <c r="B2231" s="2" t="s">
        <v>31253</v>
      </c>
      <c r="C2231" s="2">
        <v>2014</v>
      </c>
      <c r="D2231" s="2" t="s">
        <v>31260</v>
      </c>
    </row>
    <row r="2232" spans="1:4" x14ac:dyDescent="0.15">
      <c r="A2232" s="2" t="s">
        <v>31270</v>
      </c>
      <c r="B2232" s="2" t="s">
        <v>31269</v>
      </c>
      <c r="C2232" s="2">
        <v>2020</v>
      </c>
      <c r="D2232" s="2" t="s">
        <v>7781</v>
      </c>
    </row>
    <row r="2233" spans="1:4" x14ac:dyDescent="0.15">
      <c r="A2233" s="2" t="s">
        <v>31276</v>
      </c>
      <c r="B2233" s="2" t="s">
        <v>31275</v>
      </c>
      <c r="C2233" s="2">
        <v>2015</v>
      </c>
      <c r="D2233" s="2" t="s">
        <v>31282</v>
      </c>
    </row>
    <row r="2234" spans="1:4" x14ac:dyDescent="0.15">
      <c r="A2234" s="2" t="s">
        <v>31294</v>
      </c>
      <c r="B2234" s="2" t="s">
        <v>31293</v>
      </c>
      <c r="C2234" s="2">
        <v>2020</v>
      </c>
      <c r="D2234" s="2" t="s">
        <v>31299</v>
      </c>
    </row>
    <row r="2235" spans="1:4" x14ac:dyDescent="0.15">
      <c r="A2235" s="2" t="s">
        <v>31301</v>
      </c>
      <c r="B2235" s="2" t="s">
        <v>31300</v>
      </c>
      <c r="C2235" s="2">
        <v>2016</v>
      </c>
      <c r="D2235" s="2" t="s">
        <v>31306</v>
      </c>
    </row>
    <row r="2236" spans="1:4" x14ac:dyDescent="0.15">
      <c r="A2236" s="2" t="s">
        <v>31308</v>
      </c>
      <c r="B2236" s="2" t="s">
        <v>31307</v>
      </c>
      <c r="C2236" s="2">
        <v>2021</v>
      </c>
      <c r="D2236" s="2" t="s">
        <v>31312</v>
      </c>
    </row>
    <row r="2237" spans="1:4" x14ac:dyDescent="0.15">
      <c r="A2237" s="2" t="s">
        <v>31314</v>
      </c>
      <c r="B2237" s="2" t="s">
        <v>31313</v>
      </c>
      <c r="C2237" s="2">
        <v>2013</v>
      </c>
      <c r="D2237" s="2" t="s">
        <v>31319</v>
      </c>
    </row>
    <row r="2238" spans="1:4" x14ac:dyDescent="0.15">
      <c r="A2238" s="2" t="s">
        <v>31321</v>
      </c>
      <c r="B2238" s="2" t="s">
        <v>31320</v>
      </c>
      <c r="C2238" s="2">
        <v>2019</v>
      </c>
      <c r="D2238" s="2" t="s">
        <v>31325</v>
      </c>
    </row>
    <row r="2239" spans="1:4" x14ac:dyDescent="0.15">
      <c r="A2239" s="2" t="s">
        <v>31327</v>
      </c>
      <c r="B2239" s="2" t="s">
        <v>31326</v>
      </c>
      <c r="C2239" s="2">
        <v>2020</v>
      </c>
      <c r="D2239" s="2" t="s">
        <v>31331</v>
      </c>
    </row>
    <row r="2240" spans="1:4" x14ac:dyDescent="0.15">
      <c r="A2240" s="2" t="s">
        <v>31333</v>
      </c>
      <c r="B2240" s="2" t="s">
        <v>31332</v>
      </c>
      <c r="C2240" s="2">
        <v>2021</v>
      </c>
      <c r="D2240" s="2" t="s">
        <v>31336</v>
      </c>
    </row>
    <row r="2241" spans="1:4" x14ac:dyDescent="0.15">
      <c r="A2241" s="2" t="s">
        <v>31343</v>
      </c>
      <c r="B2241" s="2" t="s">
        <v>31342</v>
      </c>
      <c r="C2241" s="2">
        <v>2021</v>
      </c>
      <c r="D2241" s="2" t="s">
        <v>31348</v>
      </c>
    </row>
    <row r="2242" spans="1:4" x14ac:dyDescent="0.15">
      <c r="A2242" s="2" t="s">
        <v>31357</v>
      </c>
      <c r="B2242" s="2" t="s">
        <v>31356</v>
      </c>
      <c r="C2242" s="2">
        <v>2015</v>
      </c>
      <c r="D2242" s="2" t="s">
        <v>31362</v>
      </c>
    </row>
    <row r="2243" spans="1:4" x14ac:dyDescent="0.15">
      <c r="A2243" s="2" t="s">
        <v>31364</v>
      </c>
      <c r="B2243" s="2" t="s">
        <v>31363</v>
      </c>
      <c r="C2243" s="2">
        <v>2013</v>
      </c>
      <c r="D2243" s="2" t="s">
        <v>31368</v>
      </c>
    </row>
    <row r="2244" spans="1:4" x14ac:dyDescent="0.15">
      <c r="A2244" s="2" t="s">
        <v>31378</v>
      </c>
      <c r="B2244" s="2" t="s">
        <v>31377</v>
      </c>
      <c r="C2244" s="2">
        <v>2019</v>
      </c>
      <c r="D2244" s="2" t="s">
        <v>31382</v>
      </c>
    </row>
    <row r="2245" spans="1:4" x14ac:dyDescent="0.15">
      <c r="A2245" s="2" t="s">
        <v>31384</v>
      </c>
      <c r="B2245" s="2" t="s">
        <v>31383</v>
      </c>
      <c r="C2245" s="2">
        <v>2016</v>
      </c>
      <c r="D2245" s="2" t="s">
        <v>31388</v>
      </c>
    </row>
    <row r="2246" spans="1:4" x14ac:dyDescent="0.15">
      <c r="A2246" s="2" t="s">
        <v>31390</v>
      </c>
      <c r="B2246" s="2" t="s">
        <v>31389</v>
      </c>
      <c r="C2246" s="2">
        <v>2020</v>
      </c>
      <c r="D2246" s="2" t="s">
        <v>31395</v>
      </c>
    </row>
    <row r="2247" spans="1:4" x14ac:dyDescent="0.15">
      <c r="A2247" s="2" t="s">
        <v>31397</v>
      </c>
      <c r="B2247" s="2" t="s">
        <v>31396</v>
      </c>
      <c r="C2247" s="2">
        <v>2018</v>
      </c>
      <c r="D2247" s="2" t="s">
        <v>31399</v>
      </c>
    </row>
    <row r="2248" spans="1:4" x14ac:dyDescent="0.15">
      <c r="A2248" s="2" t="s">
        <v>31401</v>
      </c>
      <c r="B2248" s="2" t="s">
        <v>31400</v>
      </c>
      <c r="C2248" s="2">
        <v>2018</v>
      </c>
      <c r="D2248" s="2" t="s">
        <v>31407</v>
      </c>
    </row>
    <row r="2249" spans="1:4" x14ac:dyDescent="0.15">
      <c r="A2249" s="2" t="s">
        <v>31412</v>
      </c>
      <c r="B2249" s="2" t="s">
        <v>31411</v>
      </c>
      <c r="C2249" s="2">
        <v>2016</v>
      </c>
      <c r="D2249" s="2" t="s">
        <v>31415</v>
      </c>
    </row>
    <row r="2250" spans="1:4" x14ac:dyDescent="0.15">
      <c r="A2250" s="2" t="s">
        <v>31417</v>
      </c>
      <c r="B2250" s="2" t="s">
        <v>31416</v>
      </c>
      <c r="C2250" s="2">
        <v>2016</v>
      </c>
      <c r="D2250" s="2" t="s">
        <v>31420</v>
      </c>
    </row>
    <row r="2251" spans="1:4" x14ac:dyDescent="0.15">
      <c r="A2251" s="2" t="s">
        <v>31422</v>
      </c>
      <c r="B2251" s="2" t="s">
        <v>31421</v>
      </c>
      <c r="C2251" s="2">
        <v>2018</v>
      </c>
      <c r="D2251" s="2" t="s">
        <v>31427</v>
      </c>
    </row>
    <row r="2252" spans="1:4" x14ac:dyDescent="0.15">
      <c r="A2252" s="2" t="s">
        <v>31429</v>
      </c>
      <c r="B2252" s="2" t="s">
        <v>31428</v>
      </c>
      <c r="C2252" s="2">
        <v>2016</v>
      </c>
      <c r="D2252" s="2" t="s">
        <v>31433</v>
      </c>
    </row>
    <row r="2253" spans="1:4" x14ac:dyDescent="0.15">
      <c r="A2253" s="2" t="s">
        <v>31435</v>
      </c>
      <c r="B2253" s="2" t="s">
        <v>31434</v>
      </c>
      <c r="C2253" s="2">
        <v>2020</v>
      </c>
      <c r="D2253" s="2" t="s">
        <v>31440</v>
      </c>
    </row>
    <row r="2254" spans="1:4" x14ac:dyDescent="0.15">
      <c r="A2254" s="2" t="s">
        <v>31442</v>
      </c>
      <c r="B2254" s="2" t="s">
        <v>31441</v>
      </c>
      <c r="C2254" s="2">
        <v>2017</v>
      </c>
      <c r="D2254" s="2" t="s">
        <v>31446</v>
      </c>
    </row>
    <row r="2255" spans="1:4" x14ac:dyDescent="0.15">
      <c r="A2255" s="2" t="s">
        <v>31448</v>
      </c>
      <c r="B2255" s="2" t="s">
        <v>31447</v>
      </c>
      <c r="C2255" s="2">
        <v>2018</v>
      </c>
      <c r="D2255" s="2" t="s">
        <v>31453</v>
      </c>
    </row>
    <row r="2256" spans="1:4" x14ac:dyDescent="0.15">
      <c r="A2256" s="2" t="s">
        <v>31455</v>
      </c>
      <c r="B2256" s="2" t="s">
        <v>31454</v>
      </c>
      <c r="C2256" s="2">
        <v>2017</v>
      </c>
      <c r="D2256" s="2" t="s">
        <v>31459</v>
      </c>
    </row>
    <row r="2257" spans="1:4" x14ac:dyDescent="0.15">
      <c r="A2257" s="2" t="s">
        <v>31461</v>
      </c>
      <c r="B2257" s="2" t="s">
        <v>31460</v>
      </c>
      <c r="C2257" s="2">
        <v>2015</v>
      </c>
      <c r="D2257" s="2" t="s">
        <v>31465</v>
      </c>
    </row>
    <row r="2258" spans="1:4" x14ac:dyDescent="0.15">
      <c r="A2258" s="2" t="s">
        <v>31467</v>
      </c>
      <c r="B2258" s="2" t="s">
        <v>31466</v>
      </c>
      <c r="C2258" s="2">
        <v>2013</v>
      </c>
      <c r="D2258" s="2" t="s">
        <v>31471</v>
      </c>
    </row>
    <row r="2259" spans="1:4" x14ac:dyDescent="0.15">
      <c r="A2259" s="2" t="s">
        <v>31477</v>
      </c>
      <c r="B2259" s="2" t="s">
        <v>31476</v>
      </c>
      <c r="C2259" s="2">
        <v>2015</v>
      </c>
      <c r="D2259" s="2"/>
    </row>
    <row r="2260" spans="1:4" x14ac:dyDescent="0.15">
      <c r="A2260" s="2" t="s">
        <v>31482</v>
      </c>
      <c r="B2260" s="2" t="s">
        <v>31481</v>
      </c>
      <c r="C2260" s="2">
        <v>2018</v>
      </c>
      <c r="D2260" s="2" t="s">
        <v>31486</v>
      </c>
    </row>
    <row r="2261" spans="1:4" x14ac:dyDescent="0.15">
      <c r="A2261" s="2" t="s">
        <v>31492</v>
      </c>
      <c r="B2261" s="2" t="s">
        <v>31491</v>
      </c>
      <c r="C2261" s="2">
        <v>2022</v>
      </c>
      <c r="D2261" s="2" t="s">
        <v>31498</v>
      </c>
    </row>
    <row r="2262" spans="1:4" x14ac:dyDescent="0.15">
      <c r="A2262" s="2" t="s">
        <v>31500</v>
      </c>
      <c r="B2262" s="2" t="s">
        <v>31499</v>
      </c>
      <c r="C2262" s="2">
        <v>2020</v>
      </c>
      <c r="D2262" s="2" t="s">
        <v>31502</v>
      </c>
    </row>
    <row r="2263" spans="1:4" x14ac:dyDescent="0.15">
      <c r="A2263" s="2" t="s">
        <v>31504</v>
      </c>
      <c r="B2263" s="2" t="s">
        <v>31503</v>
      </c>
      <c r="C2263" s="2">
        <v>2017</v>
      </c>
      <c r="D2263" s="2" t="s">
        <v>31507</v>
      </c>
    </row>
    <row r="2264" spans="1:4" x14ac:dyDescent="0.15">
      <c r="A2264" s="2" t="s">
        <v>31509</v>
      </c>
      <c r="B2264" s="2" t="s">
        <v>31508</v>
      </c>
      <c r="C2264" s="2">
        <v>2014</v>
      </c>
      <c r="D2264" s="2" t="s">
        <v>31513</v>
      </c>
    </row>
    <row r="2265" spans="1:4" x14ac:dyDescent="0.15">
      <c r="A2265" s="2" t="s">
        <v>31518</v>
      </c>
      <c r="B2265" s="2" t="s">
        <v>31517</v>
      </c>
      <c r="C2265" s="2">
        <v>2020</v>
      </c>
      <c r="D2265" s="2" t="s">
        <v>31522</v>
      </c>
    </row>
    <row r="2266" spans="1:4" x14ac:dyDescent="0.15">
      <c r="A2266" s="2" t="s">
        <v>31527</v>
      </c>
      <c r="B2266" s="2" t="s">
        <v>31526</v>
      </c>
      <c r="C2266" s="2">
        <v>2019</v>
      </c>
      <c r="D2266" s="2" t="s">
        <v>31531</v>
      </c>
    </row>
    <row r="2267" spans="1:4" x14ac:dyDescent="0.15">
      <c r="A2267" s="2" t="s">
        <v>31533</v>
      </c>
      <c r="B2267" s="2" t="s">
        <v>31532</v>
      </c>
      <c r="C2267" s="2">
        <v>2017</v>
      </c>
      <c r="D2267" s="2" t="s">
        <v>31536</v>
      </c>
    </row>
    <row r="2268" spans="1:4" x14ac:dyDescent="0.15">
      <c r="A2268" s="2" t="s">
        <v>31550</v>
      </c>
      <c r="B2268" s="2" t="s">
        <v>31549</v>
      </c>
      <c r="C2268" s="2">
        <v>2011</v>
      </c>
      <c r="D2268" s="2" t="s">
        <v>31554</v>
      </c>
    </row>
    <row r="2269" spans="1:4" x14ac:dyDescent="0.15">
      <c r="A2269" s="2" t="s">
        <v>31564</v>
      </c>
      <c r="B2269" s="2" t="s">
        <v>31563</v>
      </c>
      <c r="C2269" s="2">
        <v>2018</v>
      </c>
      <c r="D2269" s="2" t="s">
        <v>31570</v>
      </c>
    </row>
    <row r="2270" spans="1:4" x14ac:dyDescent="0.15">
      <c r="A2270" s="2" t="s">
        <v>31574</v>
      </c>
      <c r="B2270" s="2" t="s">
        <v>31573</v>
      </c>
      <c r="C2270" s="2">
        <v>2016</v>
      </c>
      <c r="D2270" s="2" t="s">
        <v>31578</v>
      </c>
    </row>
    <row r="2271" spans="1:4" x14ac:dyDescent="0.15">
      <c r="A2271" s="2" t="s">
        <v>31580</v>
      </c>
      <c r="B2271" s="2" t="s">
        <v>31579</v>
      </c>
      <c r="C2271" s="2">
        <v>2017</v>
      </c>
      <c r="D2271" s="2" t="s">
        <v>31582</v>
      </c>
    </row>
    <row r="2272" spans="1:4" x14ac:dyDescent="0.15">
      <c r="A2272" s="2" t="s">
        <v>31584</v>
      </c>
      <c r="B2272" s="2" t="s">
        <v>31583</v>
      </c>
      <c r="C2272" s="2">
        <v>2021</v>
      </c>
      <c r="D2272" s="2" t="s">
        <v>31589</v>
      </c>
    </row>
    <row r="2273" spans="1:4" x14ac:dyDescent="0.15">
      <c r="A2273" s="2" t="s">
        <v>31597</v>
      </c>
      <c r="B2273" s="2" t="s">
        <v>31596</v>
      </c>
      <c r="C2273" s="2">
        <v>2020</v>
      </c>
      <c r="D2273" s="2" t="s">
        <v>31601</v>
      </c>
    </row>
    <row r="2274" spans="1:4" x14ac:dyDescent="0.15">
      <c r="A2274" s="2" t="s">
        <v>31603</v>
      </c>
      <c r="B2274" s="2" t="s">
        <v>31602</v>
      </c>
      <c r="C2274" s="2">
        <v>2015</v>
      </c>
      <c r="D2274" s="2" t="s">
        <v>31606</v>
      </c>
    </row>
    <row r="2275" spans="1:4" x14ac:dyDescent="0.15">
      <c r="A2275" s="2" t="s">
        <v>31608</v>
      </c>
      <c r="B2275" s="2" t="s">
        <v>31607</v>
      </c>
      <c r="C2275" s="2">
        <v>2012</v>
      </c>
      <c r="D2275" s="2" t="s">
        <v>31612</v>
      </c>
    </row>
    <row r="2276" spans="1:4" x14ac:dyDescent="0.15">
      <c r="A2276" s="2" t="s">
        <v>31614</v>
      </c>
      <c r="B2276" s="2" t="s">
        <v>31613</v>
      </c>
      <c r="C2276" s="2">
        <v>2020</v>
      </c>
      <c r="D2276" s="2" t="s">
        <v>31618</v>
      </c>
    </row>
    <row r="2277" spans="1:4" x14ac:dyDescent="0.15">
      <c r="A2277" s="2" t="s">
        <v>31626</v>
      </c>
      <c r="B2277" s="2" t="s">
        <v>31625</v>
      </c>
      <c r="C2277" s="2">
        <v>2019</v>
      </c>
      <c r="D2277" s="2" t="s">
        <v>31629</v>
      </c>
    </row>
    <row r="2278" spans="1:4" x14ac:dyDescent="0.15">
      <c r="A2278" s="2" t="s">
        <v>31636</v>
      </c>
      <c r="B2278" s="2" t="s">
        <v>31635</v>
      </c>
      <c r="C2278" s="2">
        <v>2021</v>
      </c>
      <c r="D2278" s="2" t="s">
        <v>31641</v>
      </c>
    </row>
    <row r="2279" spans="1:4" x14ac:dyDescent="0.15">
      <c r="A2279" s="2" t="s">
        <v>31656</v>
      </c>
      <c r="B2279" s="2" t="s">
        <v>31655</v>
      </c>
      <c r="C2279" s="2">
        <v>2021</v>
      </c>
      <c r="D2279" s="2" t="s">
        <v>31661</v>
      </c>
    </row>
    <row r="2280" spans="1:4" x14ac:dyDescent="0.15">
      <c r="A2280" s="2" t="s">
        <v>31668</v>
      </c>
      <c r="B2280" s="2" t="s">
        <v>31667</v>
      </c>
      <c r="C2280" s="2">
        <v>2020</v>
      </c>
      <c r="D2280" s="2" t="s">
        <v>31673</v>
      </c>
    </row>
    <row r="2281" spans="1:4" x14ac:dyDescent="0.15">
      <c r="A2281" s="2" t="s">
        <v>31675</v>
      </c>
      <c r="B2281" s="2" t="s">
        <v>31674</v>
      </c>
      <c r="C2281" s="2">
        <v>2017</v>
      </c>
      <c r="D2281" s="2" t="s">
        <v>31681</v>
      </c>
    </row>
    <row r="2282" spans="1:4" x14ac:dyDescent="0.15">
      <c r="A2282" s="2" t="s">
        <v>31683</v>
      </c>
      <c r="B2282" s="2" t="s">
        <v>31682</v>
      </c>
      <c r="C2282" s="2">
        <v>2014</v>
      </c>
      <c r="D2282" s="2" t="s">
        <v>31686</v>
      </c>
    </row>
    <row r="2283" spans="1:4" x14ac:dyDescent="0.15">
      <c r="A2283" s="2" t="s">
        <v>31688</v>
      </c>
      <c r="B2283" s="2" t="s">
        <v>31687</v>
      </c>
      <c r="C2283" s="2">
        <v>2021</v>
      </c>
      <c r="D2283" s="2" t="s">
        <v>31692</v>
      </c>
    </row>
    <row r="2284" spans="1:4" x14ac:dyDescent="0.15">
      <c r="A2284" s="2" t="s">
        <v>31694</v>
      </c>
      <c r="B2284" s="2" t="s">
        <v>31693</v>
      </c>
      <c r="C2284" s="2">
        <v>2019</v>
      </c>
      <c r="D2284" s="2" t="s">
        <v>31698</v>
      </c>
    </row>
    <row r="2285" spans="1:4" x14ac:dyDescent="0.15">
      <c r="A2285" s="2" t="s">
        <v>31700</v>
      </c>
      <c r="B2285" s="2" t="s">
        <v>31699</v>
      </c>
      <c r="C2285" s="2">
        <v>2015</v>
      </c>
      <c r="D2285" s="2" t="s">
        <v>31705</v>
      </c>
    </row>
    <row r="2286" spans="1:4" x14ac:dyDescent="0.15">
      <c r="A2286" s="2" t="s">
        <v>31707</v>
      </c>
      <c r="B2286" s="2" t="s">
        <v>31706</v>
      </c>
      <c r="C2286" s="2">
        <v>2019</v>
      </c>
      <c r="D2286" s="2" t="s">
        <v>31710</v>
      </c>
    </row>
    <row r="2287" spans="1:4" x14ac:dyDescent="0.15">
      <c r="A2287" s="2" t="s">
        <v>31712</v>
      </c>
      <c r="B2287" s="2" t="s">
        <v>31711</v>
      </c>
      <c r="C2287" s="2">
        <v>2017</v>
      </c>
      <c r="D2287" s="2" t="s">
        <v>31716</v>
      </c>
    </row>
    <row r="2288" spans="1:4" x14ac:dyDescent="0.15">
      <c r="A2288" s="2" t="s">
        <v>31718</v>
      </c>
      <c r="B2288" s="2" t="s">
        <v>31717</v>
      </c>
      <c r="C2288" s="2">
        <v>2021</v>
      </c>
      <c r="D2288" s="2" t="s">
        <v>31722</v>
      </c>
    </row>
    <row r="2289" spans="1:4" x14ac:dyDescent="0.15">
      <c r="A2289" s="2" t="s">
        <v>31724</v>
      </c>
      <c r="B2289" s="2" t="s">
        <v>31723</v>
      </c>
      <c r="C2289" s="2">
        <v>2020</v>
      </c>
      <c r="D2289" s="2" t="s">
        <v>31727</v>
      </c>
    </row>
    <row r="2290" spans="1:4" x14ac:dyDescent="0.15">
      <c r="A2290" s="2" t="s">
        <v>31729</v>
      </c>
      <c r="B2290" s="2" t="s">
        <v>31728</v>
      </c>
      <c r="C2290" s="2">
        <v>2019</v>
      </c>
      <c r="D2290" s="2" t="s">
        <v>31733</v>
      </c>
    </row>
    <row r="2291" spans="1:4" x14ac:dyDescent="0.15">
      <c r="A2291" s="2" t="s">
        <v>31735</v>
      </c>
      <c r="B2291" s="2" t="s">
        <v>31734</v>
      </c>
      <c r="C2291" s="2">
        <v>2018</v>
      </c>
      <c r="D2291" s="2" t="s">
        <v>31739</v>
      </c>
    </row>
    <row r="2292" spans="1:4" x14ac:dyDescent="0.15">
      <c r="A2292" s="2" t="s">
        <v>31748</v>
      </c>
      <c r="B2292" s="2" t="s">
        <v>31747</v>
      </c>
      <c r="C2292" s="2">
        <v>2010</v>
      </c>
      <c r="D2292" s="2" t="s">
        <v>31754</v>
      </c>
    </row>
    <row r="2293" spans="1:4" x14ac:dyDescent="0.15">
      <c r="A2293" s="2" t="s">
        <v>31756</v>
      </c>
      <c r="B2293" s="2" t="s">
        <v>31755</v>
      </c>
      <c r="C2293" s="2">
        <v>2021</v>
      </c>
      <c r="D2293" s="2" t="s">
        <v>31761</v>
      </c>
    </row>
    <row r="2294" spans="1:4" x14ac:dyDescent="0.15">
      <c r="A2294" s="2" t="s">
        <v>31763</v>
      </c>
      <c r="B2294" s="2" t="s">
        <v>31762</v>
      </c>
      <c r="C2294" s="2">
        <v>2017</v>
      </c>
      <c r="D2294" s="2" t="s">
        <v>31766</v>
      </c>
    </row>
    <row r="2295" spans="1:4" x14ac:dyDescent="0.15">
      <c r="A2295" s="2" t="s">
        <v>31768</v>
      </c>
      <c r="B2295" s="2" t="s">
        <v>31767</v>
      </c>
      <c r="C2295" s="2">
        <v>2017</v>
      </c>
      <c r="D2295" s="2" t="s">
        <v>31772</v>
      </c>
    </row>
    <row r="2296" spans="1:4" x14ac:dyDescent="0.15">
      <c r="A2296" s="2" t="s">
        <v>31787</v>
      </c>
      <c r="B2296" s="2" t="s">
        <v>31786</v>
      </c>
      <c r="C2296" s="2">
        <v>2015</v>
      </c>
      <c r="D2296" s="2" t="s">
        <v>31791</v>
      </c>
    </row>
    <row r="2297" spans="1:4" x14ac:dyDescent="0.15">
      <c r="A2297" s="2" t="s">
        <v>31803</v>
      </c>
      <c r="B2297" s="2" t="s">
        <v>31802</v>
      </c>
      <c r="C2297" s="2">
        <v>2015</v>
      </c>
      <c r="D2297" s="2" t="s">
        <v>31807</v>
      </c>
    </row>
    <row r="2298" spans="1:4" x14ac:dyDescent="0.15">
      <c r="A2298" s="2" t="s">
        <v>31813</v>
      </c>
      <c r="B2298" s="2" t="s">
        <v>31812</v>
      </c>
      <c r="C2298" s="2">
        <v>2019</v>
      </c>
      <c r="D2298" s="2" t="s">
        <v>31819</v>
      </c>
    </row>
    <row r="2299" spans="1:4" x14ac:dyDescent="0.15">
      <c r="A2299" s="2" t="s">
        <v>31821</v>
      </c>
      <c r="B2299" s="2" t="s">
        <v>31820</v>
      </c>
      <c r="C2299" s="2">
        <v>2012</v>
      </c>
      <c r="D2299" s="2" t="s">
        <v>31826</v>
      </c>
    </row>
    <row r="2300" spans="1:4" x14ac:dyDescent="0.15">
      <c r="A2300" s="2" t="s">
        <v>31838</v>
      </c>
      <c r="B2300" s="2" t="s">
        <v>31837</v>
      </c>
      <c r="C2300" s="2">
        <v>2018</v>
      </c>
      <c r="D2300" s="2" t="s">
        <v>31842</v>
      </c>
    </row>
    <row r="2301" spans="1:4" x14ac:dyDescent="0.15">
      <c r="A2301" s="2" t="s">
        <v>31847</v>
      </c>
      <c r="B2301" s="2" t="s">
        <v>31846</v>
      </c>
      <c r="C2301" s="2">
        <v>2017</v>
      </c>
      <c r="D2301" s="2" t="s">
        <v>31853</v>
      </c>
    </row>
    <row r="2302" spans="1:4" x14ac:dyDescent="0.15">
      <c r="A2302" s="2" t="s">
        <v>31855</v>
      </c>
      <c r="B2302" s="2" t="s">
        <v>31854</v>
      </c>
      <c r="C2302" s="2">
        <v>2017</v>
      </c>
      <c r="D2302" s="2" t="s">
        <v>31859</v>
      </c>
    </row>
    <row r="2303" spans="1:4" x14ac:dyDescent="0.15">
      <c r="A2303" s="2" t="s">
        <v>31861</v>
      </c>
      <c r="B2303" s="2" t="s">
        <v>31860</v>
      </c>
      <c r="C2303" s="2">
        <v>2018</v>
      </c>
      <c r="D2303" s="2" t="s">
        <v>31864</v>
      </c>
    </row>
    <row r="2304" spans="1:4" x14ac:dyDescent="0.15">
      <c r="A2304" s="2" t="s">
        <v>31866</v>
      </c>
      <c r="B2304" s="2" t="s">
        <v>31865</v>
      </c>
      <c r="C2304" s="2">
        <v>2016</v>
      </c>
      <c r="D2304" s="2" t="s">
        <v>31869</v>
      </c>
    </row>
    <row r="2305" spans="1:4" x14ac:dyDescent="0.15">
      <c r="A2305" s="2" t="s">
        <v>31871</v>
      </c>
      <c r="B2305" s="2" t="s">
        <v>31870</v>
      </c>
      <c r="C2305" s="2">
        <v>2011</v>
      </c>
      <c r="D2305" s="2" t="s">
        <v>31875</v>
      </c>
    </row>
    <row r="2306" spans="1:4" x14ac:dyDescent="0.15">
      <c r="A2306" s="2" t="s">
        <v>31877</v>
      </c>
      <c r="B2306" s="2" t="s">
        <v>31876</v>
      </c>
      <c r="C2306" s="2">
        <v>2013</v>
      </c>
      <c r="D2306" s="2" t="s">
        <v>31881</v>
      </c>
    </row>
    <row r="2307" spans="1:4" x14ac:dyDescent="0.15">
      <c r="A2307" s="2" t="s">
        <v>31893</v>
      </c>
      <c r="B2307" s="2" t="s">
        <v>31892</v>
      </c>
      <c r="C2307" s="2">
        <v>2021</v>
      </c>
      <c r="D2307" s="2" t="s">
        <v>31897</v>
      </c>
    </row>
    <row r="2308" spans="1:4" x14ac:dyDescent="0.15">
      <c r="A2308" s="2" t="s">
        <v>31899</v>
      </c>
      <c r="B2308" s="2" t="s">
        <v>31898</v>
      </c>
      <c r="C2308" s="2">
        <v>2019</v>
      </c>
      <c r="D2308" s="2" t="s">
        <v>31904</v>
      </c>
    </row>
    <row r="2309" spans="1:4" x14ac:dyDescent="0.15">
      <c r="A2309" s="2" t="s">
        <v>31915</v>
      </c>
      <c r="B2309" s="2" t="s">
        <v>31914</v>
      </c>
      <c r="C2309" s="2">
        <v>2014</v>
      </c>
      <c r="D2309" s="2" t="s">
        <v>31920</v>
      </c>
    </row>
    <row r="2310" spans="1:4" x14ac:dyDescent="0.15">
      <c r="A2310" s="2" t="s">
        <v>31925</v>
      </c>
      <c r="B2310" s="2" t="s">
        <v>31924</v>
      </c>
      <c r="C2310" s="2">
        <v>2021</v>
      </c>
      <c r="D2310" s="2" t="s">
        <v>31929</v>
      </c>
    </row>
    <row r="2311" spans="1:4" x14ac:dyDescent="0.15">
      <c r="A2311" s="2" t="s">
        <v>31958</v>
      </c>
      <c r="B2311" s="2" t="s">
        <v>31957</v>
      </c>
      <c r="C2311" s="2">
        <v>2020</v>
      </c>
      <c r="D2311" s="2" t="s">
        <v>31962</v>
      </c>
    </row>
    <row r="2312" spans="1:4" x14ac:dyDescent="0.15">
      <c r="A2312" s="2" t="s">
        <v>31973</v>
      </c>
      <c r="B2312" s="2" t="s">
        <v>31972</v>
      </c>
      <c r="C2312" s="2">
        <v>2014</v>
      </c>
      <c r="D2312" s="2" t="s">
        <v>31975</v>
      </c>
    </row>
    <row r="2313" spans="1:4" x14ac:dyDescent="0.15">
      <c r="A2313" s="2" t="s">
        <v>31977</v>
      </c>
      <c r="B2313" s="2" t="s">
        <v>31976</v>
      </c>
      <c r="C2313" s="2">
        <v>2020</v>
      </c>
      <c r="D2313" s="2" t="s">
        <v>31981</v>
      </c>
    </row>
    <row r="2314" spans="1:4" x14ac:dyDescent="0.15">
      <c r="A2314" s="2" t="s">
        <v>31983</v>
      </c>
      <c r="B2314" s="2" t="s">
        <v>31982</v>
      </c>
      <c r="C2314" s="2">
        <v>2021</v>
      </c>
      <c r="D2314" s="2" t="s">
        <v>31987</v>
      </c>
    </row>
    <row r="2315" spans="1:4" x14ac:dyDescent="0.15">
      <c r="A2315" s="2" t="s">
        <v>31994</v>
      </c>
      <c r="B2315" s="2" t="s">
        <v>31993</v>
      </c>
      <c r="C2315" s="2">
        <v>2018</v>
      </c>
      <c r="D2315" s="2" t="s">
        <v>31999</v>
      </c>
    </row>
    <row r="2316" spans="1:4" x14ac:dyDescent="0.15">
      <c r="A2316" s="2" t="s">
        <v>32019</v>
      </c>
      <c r="B2316" s="2" t="s">
        <v>32018</v>
      </c>
      <c r="C2316" s="2">
        <v>2020</v>
      </c>
      <c r="D2316" s="2" t="s">
        <v>32025</v>
      </c>
    </row>
    <row r="2317" spans="1:4" x14ac:dyDescent="0.15">
      <c r="A2317" s="2" t="s">
        <v>32027</v>
      </c>
      <c r="B2317" s="2" t="s">
        <v>32026</v>
      </c>
      <c r="C2317" s="2">
        <v>2013</v>
      </c>
      <c r="D2317" s="2" t="s">
        <v>32031</v>
      </c>
    </row>
    <row r="2318" spans="1:4" x14ac:dyDescent="0.15">
      <c r="A2318" s="2" t="s">
        <v>32050</v>
      </c>
      <c r="B2318" s="2" t="s">
        <v>32049</v>
      </c>
      <c r="C2318" s="2">
        <v>2016</v>
      </c>
      <c r="D2318" s="2" t="s">
        <v>32053</v>
      </c>
    </row>
    <row r="2319" spans="1:4" x14ac:dyDescent="0.15">
      <c r="A2319" s="2" t="s">
        <v>32083</v>
      </c>
      <c r="B2319" s="2" t="s">
        <v>32082</v>
      </c>
      <c r="C2319" s="2">
        <v>2018</v>
      </c>
      <c r="D2319" s="2" t="s">
        <v>32087</v>
      </c>
    </row>
    <row r="2320" spans="1:4" x14ac:dyDescent="0.15">
      <c r="A2320" s="2" t="s">
        <v>32089</v>
      </c>
      <c r="B2320" s="2" t="s">
        <v>32088</v>
      </c>
      <c r="C2320" s="2">
        <v>2019</v>
      </c>
      <c r="D2320" s="2" t="s">
        <v>32094</v>
      </c>
    </row>
    <row r="2321" spans="1:4" x14ac:dyDescent="0.15">
      <c r="A2321" s="2" t="s">
        <v>32096</v>
      </c>
      <c r="B2321" s="2" t="s">
        <v>32095</v>
      </c>
      <c r="C2321" s="2">
        <v>2020</v>
      </c>
      <c r="D2321" s="2" t="s">
        <v>32100</v>
      </c>
    </row>
    <row r="2322" spans="1:4" x14ac:dyDescent="0.15">
      <c r="A2322" s="2" t="s">
        <v>32102</v>
      </c>
      <c r="B2322" s="2" t="s">
        <v>32101</v>
      </c>
      <c r="C2322" s="2">
        <v>2022</v>
      </c>
      <c r="D2322" s="2" t="s">
        <v>32105</v>
      </c>
    </row>
    <row r="2323" spans="1:4" x14ac:dyDescent="0.15">
      <c r="A2323" s="2" t="s">
        <v>32107</v>
      </c>
      <c r="B2323" s="2" t="s">
        <v>32106</v>
      </c>
      <c r="C2323" s="2">
        <v>2016</v>
      </c>
      <c r="D2323" s="2" t="s">
        <v>32112</v>
      </c>
    </row>
    <row r="2324" spans="1:4" x14ac:dyDescent="0.15">
      <c r="A2324" s="2" t="s">
        <v>32116</v>
      </c>
      <c r="B2324" s="2" t="s">
        <v>32115</v>
      </c>
      <c r="C2324" s="2">
        <v>2019</v>
      </c>
      <c r="D2324" s="2" t="s">
        <v>32120</v>
      </c>
    </row>
    <row r="2325" spans="1:4" x14ac:dyDescent="0.15">
      <c r="A2325" s="2" t="s">
        <v>32131</v>
      </c>
      <c r="B2325" s="2" t="s">
        <v>32130</v>
      </c>
      <c r="C2325" s="2">
        <v>2021</v>
      </c>
      <c r="D2325" s="2" t="s">
        <v>32135</v>
      </c>
    </row>
    <row r="2326" spans="1:4" x14ac:dyDescent="0.15">
      <c r="A2326" s="2" t="s">
        <v>32152</v>
      </c>
      <c r="B2326" s="2" t="s">
        <v>32151</v>
      </c>
      <c r="C2326" s="2">
        <v>2021</v>
      </c>
      <c r="D2326" s="2" t="s">
        <v>32156</v>
      </c>
    </row>
    <row r="2327" spans="1:4" x14ac:dyDescent="0.15">
      <c r="A2327" s="2" t="s">
        <v>32188</v>
      </c>
      <c r="B2327" s="2" t="s">
        <v>32187</v>
      </c>
      <c r="C2327" s="2">
        <v>2019</v>
      </c>
      <c r="D2327" s="2" t="s">
        <v>32192</v>
      </c>
    </row>
    <row r="2328" spans="1:4" x14ac:dyDescent="0.15">
      <c r="A2328" s="2" t="s">
        <v>32201</v>
      </c>
      <c r="B2328" s="2" t="s">
        <v>32200</v>
      </c>
      <c r="C2328" s="2">
        <v>2021</v>
      </c>
      <c r="D2328" s="2" t="s">
        <v>32204</v>
      </c>
    </row>
    <row r="2329" spans="1:4" x14ac:dyDescent="0.15">
      <c r="A2329" s="2" t="s">
        <v>32216</v>
      </c>
      <c r="B2329" s="2" t="s">
        <v>32215</v>
      </c>
      <c r="C2329" s="2">
        <v>2021</v>
      </c>
      <c r="D2329" s="2" t="s">
        <v>32220</v>
      </c>
    </row>
    <row r="2330" spans="1:4" x14ac:dyDescent="0.15">
      <c r="A2330" s="2" t="s">
        <v>32231</v>
      </c>
      <c r="B2330" s="2" t="s">
        <v>32230</v>
      </c>
      <c r="C2330" s="2">
        <v>2017</v>
      </c>
      <c r="D2330" s="2" t="s">
        <v>32236</v>
      </c>
    </row>
    <row r="2331" spans="1:4" x14ac:dyDescent="0.15">
      <c r="A2331" s="2" t="s">
        <v>32238</v>
      </c>
      <c r="B2331" s="2" t="s">
        <v>32237</v>
      </c>
      <c r="C2331" s="2">
        <v>2022</v>
      </c>
      <c r="D2331" s="2" t="s">
        <v>32242</v>
      </c>
    </row>
    <row r="2332" spans="1:4" x14ac:dyDescent="0.15">
      <c r="A2332" s="2" t="s">
        <v>32248</v>
      </c>
      <c r="B2332" s="2" t="s">
        <v>32247</v>
      </c>
      <c r="C2332" s="2">
        <v>2015</v>
      </c>
      <c r="D2332" s="2" t="s">
        <v>32252</v>
      </c>
    </row>
    <row r="2333" spans="1:4" x14ac:dyDescent="0.15">
      <c r="A2333" s="2" t="s">
        <v>32266</v>
      </c>
      <c r="B2333" s="2" t="s">
        <v>32265</v>
      </c>
      <c r="C2333" s="2">
        <v>2022</v>
      </c>
      <c r="D2333" s="2" t="s">
        <v>32271</v>
      </c>
    </row>
    <row r="2334" spans="1:4" x14ac:dyDescent="0.15">
      <c r="A2334" s="2" t="s">
        <v>32285</v>
      </c>
      <c r="B2334" s="2" t="s">
        <v>32284</v>
      </c>
      <c r="C2334" s="2">
        <v>2014</v>
      </c>
      <c r="D2334" s="2"/>
    </row>
    <row r="2335" spans="1:4" x14ac:dyDescent="0.15">
      <c r="A2335" s="2" t="s">
        <v>32290</v>
      </c>
      <c r="B2335" s="2" t="s">
        <v>32289</v>
      </c>
      <c r="C2335" s="2">
        <v>2018</v>
      </c>
      <c r="D2335" s="2" t="s">
        <v>32293</v>
      </c>
    </row>
    <row r="2336" spans="1:4" x14ac:dyDescent="0.15">
      <c r="A2336" s="2" t="s">
        <v>32295</v>
      </c>
      <c r="B2336" s="2" t="s">
        <v>32294</v>
      </c>
      <c r="C2336" s="2">
        <v>2021</v>
      </c>
      <c r="D2336" s="2" t="s">
        <v>32300</v>
      </c>
    </row>
    <row r="2337" spans="1:4" x14ac:dyDescent="0.15">
      <c r="A2337" s="2" t="s">
        <v>32302</v>
      </c>
      <c r="B2337" s="2" t="s">
        <v>32301</v>
      </c>
      <c r="C2337" s="2">
        <v>2011</v>
      </c>
      <c r="D2337" s="2" t="s">
        <v>32306</v>
      </c>
    </row>
    <row r="2338" spans="1:4" x14ac:dyDescent="0.15">
      <c r="A2338" s="2" t="s">
        <v>32308</v>
      </c>
      <c r="B2338" s="2" t="s">
        <v>32307</v>
      </c>
      <c r="C2338" s="2">
        <v>2019</v>
      </c>
      <c r="D2338" s="2" t="s">
        <v>32311</v>
      </c>
    </row>
    <row r="2339" spans="1:4" x14ac:dyDescent="0.15">
      <c r="A2339" s="2" t="s">
        <v>32334</v>
      </c>
      <c r="B2339" s="2" t="s">
        <v>32333</v>
      </c>
      <c r="C2339" s="2">
        <v>2022</v>
      </c>
      <c r="D2339" s="2" t="s">
        <v>32338</v>
      </c>
    </row>
    <row r="2340" spans="1:4" x14ac:dyDescent="0.15">
      <c r="A2340" s="2" t="s">
        <v>32360</v>
      </c>
      <c r="B2340" s="2" t="s">
        <v>32359</v>
      </c>
      <c r="C2340" s="2">
        <v>2022</v>
      </c>
      <c r="D2340" s="2" t="s">
        <v>32364</v>
      </c>
    </row>
    <row r="2341" spans="1:4" x14ac:dyDescent="0.15">
      <c r="A2341" s="2" t="s">
        <v>32370</v>
      </c>
      <c r="B2341" s="2" t="s">
        <v>32369</v>
      </c>
      <c r="C2341" s="2">
        <v>2021</v>
      </c>
      <c r="D2341" s="2" t="s">
        <v>32373</v>
      </c>
    </row>
    <row r="2342" spans="1:4" x14ac:dyDescent="0.15">
      <c r="A2342" s="2" t="s">
        <v>32384</v>
      </c>
      <c r="B2342" s="2" t="s">
        <v>32383</v>
      </c>
      <c r="C2342" s="2">
        <v>2018</v>
      </c>
      <c r="D2342" s="2" t="s">
        <v>32388</v>
      </c>
    </row>
    <row r="2343" spans="1:4" x14ac:dyDescent="0.15">
      <c r="A2343" s="2" t="s">
        <v>32407</v>
      </c>
      <c r="B2343" s="2" t="s">
        <v>32406</v>
      </c>
      <c r="C2343" s="2">
        <v>2011</v>
      </c>
      <c r="D2343" s="2" t="s">
        <v>32412</v>
      </c>
    </row>
    <row r="2344" spans="1:4" x14ac:dyDescent="0.15">
      <c r="A2344" s="2" t="s">
        <v>32414</v>
      </c>
      <c r="B2344" s="2" t="s">
        <v>32413</v>
      </c>
      <c r="C2344" s="2">
        <v>2019</v>
      </c>
      <c r="D2344" s="2" t="s">
        <v>32417</v>
      </c>
    </row>
    <row r="2345" spans="1:4" x14ac:dyDescent="0.15">
      <c r="A2345" s="2" t="s">
        <v>32430</v>
      </c>
      <c r="B2345" s="2" t="s">
        <v>32429</v>
      </c>
      <c r="C2345" s="2">
        <v>2015</v>
      </c>
      <c r="D2345" s="2" t="s">
        <v>32435</v>
      </c>
    </row>
    <row r="2346" spans="1:4" x14ac:dyDescent="0.15">
      <c r="A2346" s="2" t="s">
        <v>32437</v>
      </c>
      <c r="B2346" s="2" t="s">
        <v>32436</v>
      </c>
      <c r="C2346" s="2">
        <v>2018</v>
      </c>
      <c r="D2346" s="2" t="s">
        <v>32441</v>
      </c>
    </row>
    <row r="2347" spans="1:4" x14ac:dyDescent="0.15">
      <c r="A2347" s="2" t="s">
        <v>32443</v>
      </c>
      <c r="B2347" s="2" t="s">
        <v>32442</v>
      </c>
      <c r="C2347" s="2">
        <v>2019</v>
      </c>
      <c r="D2347" s="2" t="s">
        <v>32448</v>
      </c>
    </row>
    <row r="2348" spans="1:4" x14ac:dyDescent="0.15">
      <c r="A2348" s="2" t="s">
        <v>32450</v>
      </c>
      <c r="B2348" s="2" t="s">
        <v>32449</v>
      </c>
      <c r="C2348" s="2">
        <v>2010</v>
      </c>
      <c r="D2348" s="2"/>
    </row>
    <row r="2349" spans="1:4" x14ac:dyDescent="0.15">
      <c r="A2349" s="2" t="s">
        <v>32467</v>
      </c>
      <c r="B2349" s="2" t="s">
        <v>32466</v>
      </c>
      <c r="C2349" s="2">
        <v>2013</v>
      </c>
      <c r="D2349" s="2" t="s">
        <v>32472</v>
      </c>
    </row>
    <row r="2350" spans="1:4" x14ac:dyDescent="0.15">
      <c r="A2350" s="2" t="s">
        <v>32486</v>
      </c>
      <c r="B2350" s="2" t="s">
        <v>32485</v>
      </c>
      <c r="C2350" s="2">
        <v>2020</v>
      </c>
      <c r="D2350" s="2" t="s">
        <v>32489</v>
      </c>
    </row>
    <row r="2351" spans="1:4" x14ac:dyDescent="0.15">
      <c r="A2351" s="2" t="s">
        <v>32495</v>
      </c>
      <c r="B2351" s="2" t="s">
        <v>32494</v>
      </c>
      <c r="C2351" s="2">
        <v>2020</v>
      </c>
      <c r="D2351" s="2" t="s">
        <v>32499</v>
      </c>
    </row>
    <row r="2352" spans="1:4" x14ac:dyDescent="0.15">
      <c r="A2352" s="2" t="s">
        <v>32506</v>
      </c>
      <c r="B2352" s="2" t="s">
        <v>32505</v>
      </c>
      <c r="C2352" s="2">
        <v>2014</v>
      </c>
      <c r="D2352" s="2" t="s">
        <v>32511</v>
      </c>
    </row>
    <row r="2353" spans="1:4" x14ac:dyDescent="0.15">
      <c r="A2353" s="2" t="s">
        <v>32517</v>
      </c>
      <c r="B2353" s="2" t="s">
        <v>32516</v>
      </c>
      <c r="C2353" s="2">
        <v>2013</v>
      </c>
      <c r="D2353" s="2" t="s">
        <v>32521</v>
      </c>
    </row>
    <row r="2354" spans="1:4" x14ac:dyDescent="0.15">
      <c r="A2354" s="2" t="s">
        <v>32523</v>
      </c>
      <c r="B2354" s="2" t="s">
        <v>32522</v>
      </c>
      <c r="C2354" s="2">
        <v>2013</v>
      </c>
      <c r="D2354" s="2" t="s">
        <v>32527</v>
      </c>
    </row>
    <row r="2355" spans="1:4" x14ac:dyDescent="0.15">
      <c r="A2355" s="2" t="s">
        <v>32533</v>
      </c>
      <c r="B2355" s="2" t="s">
        <v>32532</v>
      </c>
      <c r="C2355" s="2">
        <v>2011</v>
      </c>
      <c r="D2355" s="2" t="s">
        <v>32537</v>
      </c>
    </row>
    <row r="2356" spans="1:4" x14ac:dyDescent="0.15">
      <c r="A2356" s="2" t="s">
        <v>32555</v>
      </c>
      <c r="B2356" s="2" t="s">
        <v>32554</v>
      </c>
      <c r="C2356" s="2">
        <v>2022</v>
      </c>
      <c r="D2356" s="2" t="s">
        <v>32559</v>
      </c>
    </row>
    <row r="2357" spans="1:4" x14ac:dyDescent="0.15">
      <c r="A2357" s="2" t="s">
        <v>32567</v>
      </c>
      <c r="B2357" s="2" t="s">
        <v>32566</v>
      </c>
      <c r="C2357" s="2">
        <v>2013</v>
      </c>
      <c r="D2357" s="2" t="s">
        <v>32572</v>
      </c>
    </row>
    <row r="2358" spans="1:4" x14ac:dyDescent="0.15">
      <c r="A2358" s="2" t="s">
        <v>32581</v>
      </c>
      <c r="B2358" s="2" t="s">
        <v>32580</v>
      </c>
      <c r="C2358" s="2">
        <v>2019</v>
      </c>
      <c r="D2358" s="2" t="s">
        <v>32585</v>
      </c>
    </row>
    <row r="2359" spans="1:4" x14ac:dyDescent="0.15">
      <c r="A2359" s="2" t="s">
        <v>32593</v>
      </c>
      <c r="B2359" s="2" t="s">
        <v>32592</v>
      </c>
      <c r="C2359" s="2">
        <v>2015</v>
      </c>
      <c r="D2359" s="2" t="s">
        <v>32597</v>
      </c>
    </row>
    <row r="2360" spans="1:4" x14ac:dyDescent="0.15">
      <c r="A2360" s="2" t="s">
        <v>32618</v>
      </c>
      <c r="B2360" s="2" t="s">
        <v>32617</v>
      </c>
      <c r="C2360" s="2">
        <v>2011</v>
      </c>
      <c r="D2360" s="2" t="s">
        <v>32623</v>
      </c>
    </row>
    <row r="2361" spans="1:4" x14ac:dyDescent="0.15">
      <c r="A2361" s="2" t="s">
        <v>32625</v>
      </c>
      <c r="B2361" s="2" t="s">
        <v>32624</v>
      </c>
      <c r="C2361" s="2">
        <v>2013</v>
      </c>
      <c r="D2361" s="2" t="s">
        <v>32629</v>
      </c>
    </row>
    <row r="2362" spans="1:4" x14ac:dyDescent="0.15">
      <c r="A2362" s="2" t="s">
        <v>32631</v>
      </c>
      <c r="B2362" s="2" t="s">
        <v>32630</v>
      </c>
      <c r="C2362" s="2">
        <v>2022</v>
      </c>
      <c r="D2362" s="2" t="s">
        <v>32633</v>
      </c>
    </row>
    <row r="2363" spans="1:4" x14ac:dyDescent="0.15">
      <c r="A2363" s="2" t="s">
        <v>32635</v>
      </c>
      <c r="B2363" s="2" t="s">
        <v>32634</v>
      </c>
      <c r="C2363" s="2">
        <v>2013</v>
      </c>
      <c r="D2363" s="2" t="s">
        <v>32638</v>
      </c>
    </row>
    <row r="2364" spans="1:4" x14ac:dyDescent="0.15">
      <c r="A2364" s="2" t="s">
        <v>32639</v>
      </c>
      <c r="B2364" s="2" t="s">
        <v>23253</v>
      </c>
      <c r="C2364" s="2">
        <v>2019</v>
      </c>
      <c r="D2364" s="2" t="s">
        <v>23261</v>
      </c>
    </row>
    <row r="2365" spans="1:4" x14ac:dyDescent="0.15">
      <c r="A2365" s="2" t="s">
        <v>32664</v>
      </c>
      <c r="B2365" s="2" t="s">
        <v>32663</v>
      </c>
      <c r="C2365" s="2">
        <v>2013</v>
      </c>
      <c r="D2365" s="2" t="s">
        <v>32668</v>
      </c>
    </row>
    <row r="2366" spans="1:4" x14ac:dyDescent="0.15">
      <c r="A2366" s="2" t="s">
        <v>32670</v>
      </c>
      <c r="B2366" s="2" t="s">
        <v>32669</v>
      </c>
      <c r="C2366" s="2">
        <v>2021</v>
      </c>
      <c r="D2366" s="2" t="s">
        <v>32674</v>
      </c>
    </row>
    <row r="2367" spans="1:4" x14ac:dyDescent="0.15">
      <c r="A2367" s="2" t="s">
        <v>32676</v>
      </c>
      <c r="B2367" s="2" t="s">
        <v>32675</v>
      </c>
      <c r="C2367" s="2">
        <v>2019</v>
      </c>
      <c r="D2367" s="2" t="s">
        <v>32680</v>
      </c>
    </row>
    <row r="2368" spans="1:4" x14ac:dyDescent="0.15">
      <c r="A2368" s="2" t="s">
        <v>32682</v>
      </c>
      <c r="B2368" s="2" t="s">
        <v>32681</v>
      </c>
      <c r="C2368" s="2">
        <v>2015</v>
      </c>
      <c r="D2368" s="2" t="s">
        <v>32686</v>
      </c>
    </row>
    <row r="2369" spans="1:4" x14ac:dyDescent="0.15">
      <c r="A2369" s="2" t="s">
        <v>32688</v>
      </c>
      <c r="B2369" s="2" t="s">
        <v>32687</v>
      </c>
      <c r="C2369" s="2">
        <v>2020</v>
      </c>
      <c r="D2369" s="2" t="s">
        <v>32692</v>
      </c>
    </row>
    <row r="2370" spans="1:4" x14ac:dyDescent="0.15">
      <c r="A2370" s="2" t="s">
        <v>32694</v>
      </c>
      <c r="B2370" s="2" t="s">
        <v>32693</v>
      </c>
      <c r="C2370" s="2">
        <v>2019</v>
      </c>
      <c r="D2370" s="2" t="s">
        <v>32696</v>
      </c>
    </row>
    <row r="2371" spans="1:4" x14ac:dyDescent="0.15">
      <c r="A2371" s="2" t="s">
        <v>32698</v>
      </c>
      <c r="B2371" s="2" t="s">
        <v>32697</v>
      </c>
      <c r="C2371" s="2">
        <v>2014</v>
      </c>
      <c r="D2371" s="2" t="s">
        <v>32703</v>
      </c>
    </row>
    <row r="2372" spans="1:4" x14ac:dyDescent="0.15">
      <c r="A2372" s="2" t="s">
        <v>32709</v>
      </c>
      <c r="B2372" s="2" t="s">
        <v>32708</v>
      </c>
      <c r="C2372" s="2">
        <v>2019</v>
      </c>
      <c r="D2372" s="2" t="s">
        <v>32713</v>
      </c>
    </row>
    <row r="2373" spans="1:4" x14ac:dyDescent="0.15">
      <c r="A2373" s="2" t="s">
        <v>32728</v>
      </c>
      <c r="B2373" s="2" t="s">
        <v>32727</v>
      </c>
      <c r="C2373" s="2">
        <v>2022</v>
      </c>
      <c r="D2373" s="2" t="s">
        <v>32732</v>
      </c>
    </row>
    <row r="2374" spans="1:4" x14ac:dyDescent="0.15">
      <c r="A2374" s="2" t="s">
        <v>32739</v>
      </c>
      <c r="B2374" s="2" t="s">
        <v>32738</v>
      </c>
      <c r="C2374" s="2">
        <v>2008</v>
      </c>
      <c r="D2374" s="2" t="s">
        <v>32743</v>
      </c>
    </row>
    <row r="2375" spans="1:4" x14ac:dyDescent="0.15">
      <c r="A2375" s="2" t="s">
        <v>32768</v>
      </c>
      <c r="B2375" s="2" t="s">
        <v>32767</v>
      </c>
      <c r="C2375" s="2">
        <v>2019</v>
      </c>
      <c r="D2375" s="2" t="s">
        <v>32771</v>
      </c>
    </row>
    <row r="2376" spans="1:4" x14ac:dyDescent="0.15">
      <c r="A2376" s="2" t="s">
        <v>32773</v>
      </c>
      <c r="B2376" s="2" t="s">
        <v>32772</v>
      </c>
      <c r="C2376" s="2">
        <v>2018</v>
      </c>
      <c r="D2376" s="2" t="s">
        <v>32776</v>
      </c>
    </row>
    <row r="2377" spans="1:4" x14ac:dyDescent="0.15">
      <c r="A2377" s="2" t="s">
        <v>32778</v>
      </c>
      <c r="B2377" s="2" t="s">
        <v>32777</v>
      </c>
      <c r="C2377" s="2">
        <v>2014</v>
      </c>
      <c r="D2377" s="2" t="s">
        <v>32783</v>
      </c>
    </row>
    <row r="2378" spans="1:4" x14ac:dyDescent="0.15">
      <c r="A2378" s="2" t="s">
        <v>32785</v>
      </c>
      <c r="B2378" s="2" t="s">
        <v>32784</v>
      </c>
      <c r="C2378" s="2">
        <v>2020</v>
      </c>
      <c r="D2378" s="2" t="s">
        <v>32789</v>
      </c>
    </row>
    <row r="2379" spans="1:4" x14ac:dyDescent="0.15">
      <c r="A2379" s="2" t="s">
        <v>32791</v>
      </c>
      <c r="B2379" s="2" t="s">
        <v>32790</v>
      </c>
      <c r="C2379" s="2">
        <v>2015</v>
      </c>
      <c r="D2379" s="2" t="s">
        <v>32795</v>
      </c>
    </row>
    <row r="2380" spans="1:4" x14ac:dyDescent="0.15">
      <c r="A2380" s="2" t="s">
        <v>32797</v>
      </c>
      <c r="B2380" s="2" t="s">
        <v>32796</v>
      </c>
      <c r="C2380" s="2">
        <v>2008</v>
      </c>
      <c r="D2380" s="2" t="s">
        <v>32800</v>
      </c>
    </row>
    <row r="2381" spans="1:4" x14ac:dyDescent="0.15">
      <c r="A2381" s="2" t="s">
        <v>32806</v>
      </c>
      <c r="B2381" s="2" t="s">
        <v>32805</v>
      </c>
      <c r="C2381" s="2">
        <v>2012</v>
      </c>
      <c r="D2381" s="2" t="s">
        <v>32808</v>
      </c>
    </row>
    <row r="2382" spans="1:4" x14ac:dyDescent="0.15">
      <c r="A2382" s="2" t="s">
        <v>32810</v>
      </c>
      <c r="B2382" s="2" t="s">
        <v>32809</v>
      </c>
      <c r="C2382" s="2">
        <v>2012</v>
      </c>
      <c r="D2382" s="2" t="s">
        <v>32814</v>
      </c>
    </row>
    <row r="2383" spans="1:4" x14ac:dyDescent="0.15">
      <c r="A2383" s="2" t="s">
        <v>32826</v>
      </c>
      <c r="B2383" s="2" t="s">
        <v>32825</v>
      </c>
      <c r="C2383" s="2">
        <v>2014</v>
      </c>
      <c r="D2383" s="2" t="s">
        <v>32830</v>
      </c>
    </row>
    <row r="2384" spans="1:4" x14ac:dyDescent="0.15">
      <c r="A2384" s="2" t="s">
        <v>32832</v>
      </c>
      <c r="B2384" s="2" t="s">
        <v>32831</v>
      </c>
      <c r="C2384" s="2">
        <v>2012</v>
      </c>
      <c r="D2384" s="2" t="s">
        <v>32836</v>
      </c>
    </row>
    <row r="2385" spans="1:4" x14ac:dyDescent="0.15">
      <c r="A2385" s="2" t="s">
        <v>32852</v>
      </c>
      <c r="B2385" s="2" t="s">
        <v>32851</v>
      </c>
      <c r="C2385" s="2">
        <v>2014</v>
      </c>
      <c r="D2385" s="2" t="s">
        <v>32857</v>
      </c>
    </row>
    <row r="2386" spans="1:4" x14ac:dyDescent="0.15">
      <c r="A2386" s="2" t="s">
        <v>32864</v>
      </c>
      <c r="B2386" s="2" t="s">
        <v>32863</v>
      </c>
      <c r="C2386" s="2">
        <v>2015</v>
      </c>
      <c r="D2386" s="2" t="s">
        <v>32868</v>
      </c>
    </row>
    <row r="2387" spans="1:4" x14ac:dyDescent="0.15">
      <c r="A2387" s="2" t="s">
        <v>32870</v>
      </c>
      <c r="B2387" s="2" t="s">
        <v>32869</v>
      </c>
      <c r="C2387" s="2">
        <v>2013</v>
      </c>
      <c r="D2387" s="2" t="s">
        <v>32874</v>
      </c>
    </row>
    <row r="2388" spans="1:4" x14ac:dyDescent="0.15">
      <c r="A2388" s="2" t="s">
        <v>32880</v>
      </c>
      <c r="B2388" s="2" t="s">
        <v>32879</v>
      </c>
      <c r="C2388" s="2">
        <v>2014</v>
      </c>
      <c r="D2388" s="2" t="s">
        <v>32883</v>
      </c>
    </row>
    <row r="2389" spans="1:4" x14ac:dyDescent="0.15">
      <c r="A2389" s="2" t="s">
        <v>32889</v>
      </c>
      <c r="B2389" s="2" t="s">
        <v>32888</v>
      </c>
      <c r="C2389" s="2">
        <v>2022</v>
      </c>
      <c r="D2389" s="2" t="s">
        <v>32891</v>
      </c>
    </row>
    <row r="2390" spans="1:4" x14ac:dyDescent="0.15">
      <c r="A2390" s="2" t="s">
        <v>32893</v>
      </c>
      <c r="B2390" s="2" t="s">
        <v>32892</v>
      </c>
      <c r="C2390" s="2">
        <v>2012</v>
      </c>
      <c r="D2390" s="2" t="s">
        <v>32896</v>
      </c>
    </row>
    <row r="2391" spans="1:4" x14ac:dyDescent="0.15">
      <c r="A2391" s="2" t="s">
        <v>32902</v>
      </c>
      <c r="B2391" s="2" t="s">
        <v>32901</v>
      </c>
      <c r="C2391" s="2">
        <v>2011</v>
      </c>
      <c r="D2391" s="2" t="s">
        <v>32906</v>
      </c>
    </row>
    <row r="2392" spans="1:4" x14ac:dyDescent="0.15">
      <c r="A2392" s="2" t="s">
        <v>32922</v>
      </c>
      <c r="B2392" s="2" t="s">
        <v>32921</v>
      </c>
      <c r="C2392" s="2">
        <v>2016</v>
      </c>
      <c r="D2392" s="2" t="s">
        <v>32926</v>
      </c>
    </row>
    <row r="2393" spans="1:4" x14ac:dyDescent="0.15">
      <c r="A2393" s="2" t="s">
        <v>32928</v>
      </c>
      <c r="B2393" s="2" t="s">
        <v>32927</v>
      </c>
      <c r="C2393" s="2">
        <v>2019</v>
      </c>
      <c r="D2393" s="2" t="s">
        <v>32931</v>
      </c>
    </row>
    <row r="2394" spans="1:4" x14ac:dyDescent="0.15">
      <c r="A2394" s="2" t="s">
        <v>32940</v>
      </c>
      <c r="B2394" s="2" t="s">
        <v>32939</v>
      </c>
      <c r="C2394" s="2">
        <v>2013</v>
      </c>
      <c r="D2394" s="2" t="s">
        <v>32944</v>
      </c>
    </row>
    <row r="2395" spans="1:4" x14ac:dyDescent="0.15">
      <c r="A2395" s="2" t="s">
        <v>32946</v>
      </c>
      <c r="B2395" s="2" t="s">
        <v>32945</v>
      </c>
      <c r="C2395" s="2">
        <v>2015</v>
      </c>
      <c r="D2395" s="2" t="s">
        <v>32949</v>
      </c>
    </row>
    <row r="2396" spans="1:4" x14ac:dyDescent="0.15">
      <c r="A2396" s="2" t="s">
        <v>32963</v>
      </c>
      <c r="B2396" s="2" t="s">
        <v>32962</v>
      </c>
      <c r="C2396" s="2">
        <v>2011</v>
      </c>
      <c r="D2396" s="2" t="s">
        <v>32967</v>
      </c>
    </row>
    <row r="2397" spans="1:4" x14ac:dyDescent="0.15">
      <c r="A2397" s="2" t="s">
        <v>32969</v>
      </c>
      <c r="B2397" s="2" t="s">
        <v>32968</v>
      </c>
      <c r="C2397" s="2">
        <v>2019</v>
      </c>
      <c r="D2397" s="2" t="s">
        <v>32973</v>
      </c>
    </row>
    <row r="2398" spans="1:4" x14ac:dyDescent="0.15">
      <c r="A2398" s="2" t="s">
        <v>32977</v>
      </c>
      <c r="B2398" s="2" t="s">
        <v>32976</v>
      </c>
      <c r="C2398" s="2">
        <v>2022</v>
      </c>
      <c r="D2398" s="2" t="s">
        <v>32982</v>
      </c>
    </row>
    <row r="2399" spans="1:4" x14ac:dyDescent="0.15">
      <c r="A2399" s="2" t="s">
        <v>32988</v>
      </c>
      <c r="B2399" s="2" t="s">
        <v>32987</v>
      </c>
      <c r="C2399" s="2">
        <v>2019</v>
      </c>
      <c r="D2399" s="2" t="s">
        <v>32992</v>
      </c>
    </row>
    <row r="2400" spans="1:4" x14ac:dyDescent="0.15">
      <c r="A2400" s="2" t="s">
        <v>33011</v>
      </c>
      <c r="B2400" s="2" t="s">
        <v>33010</v>
      </c>
      <c r="C2400" s="2">
        <v>2012</v>
      </c>
      <c r="D2400" s="2" t="s">
        <v>33015</v>
      </c>
    </row>
    <row r="2401" spans="1:4" x14ac:dyDescent="0.15">
      <c r="A2401" s="2" t="s">
        <v>33017</v>
      </c>
      <c r="B2401" s="2" t="s">
        <v>33016</v>
      </c>
      <c r="C2401" s="2">
        <v>2016</v>
      </c>
      <c r="D2401" s="2" t="s">
        <v>33020</v>
      </c>
    </row>
    <row r="2402" spans="1:4" x14ac:dyDescent="0.15">
      <c r="A2402" s="2" t="s">
        <v>33022</v>
      </c>
      <c r="B2402" s="2" t="s">
        <v>33021</v>
      </c>
      <c r="C2402" s="2">
        <v>2012</v>
      </c>
      <c r="D2402" s="2" t="s">
        <v>33025</v>
      </c>
    </row>
    <row r="2403" spans="1:4" x14ac:dyDescent="0.15">
      <c r="A2403" s="2" t="s">
        <v>33027</v>
      </c>
      <c r="B2403" s="2" t="s">
        <v>33026</v>
      </c>
      <c r="C2403" s="2">
        <v>2012</v>
      </c>
      <c r="D2403" s="2" t="s">
        <v>33031</v>
      </c>
    </row>
    <row r="2404" spans="1:4" x14ac:dyDescent="0.15">
      <c r="A2404" s="2" t="s">
        <v>33033</v>
      </c>
      <c r="B2404" s="2" t="s">
        <v>33032</v>
      </c>
      <c r="C2404" s="2">
        <v>2014</v>
      </c>
      <c r="D2404" s="2" t="s">
        <v>33038</v>
      </c>
    </row>
    <row r="2405" spans="1:4" x14ac:dyDescent="0.15">
      <c r="A2405" s="2" t="s">
        <v>33057</v>
      </c>
      <c r="B2405" s="2" t="s">
        <v>33056</v>
      </c>
      <c r="C2405" s="2">
        <v>2015</v>
      </c>
      <c r="D2405" s="2" t="s">
        <v>33061</v>
      </c>
    </row>
    <row r="2406" spans="1:4" x14ac:dyDescent="0.15">
      <c r="A2406" s="2" t="s">
        <v>33067</v>
      </c>
      <c r="B2406" s="2" t="s">
        <v>33066</v>
      </c>
      <c r="C2406" s="2">
        <v>2011</v>
      </c>
      <c r="D2406" s="2" t="s">
        <v>33071</v>
      </c>
    </row>
    <row r="2407" spans="1:4" x14ac:dyDescent="0.15">
      <c r="A2407" s="2" t="s">
        <v>33073</v>
      </c>
      <c r="B2407" s="2" t="s">
        <v>33072</v>
      </c>
      <c r="C2407" s="2">
        <v>2013</v>
      </c>
      <c r="D2407" s="2" t="s">
        <v>33077</v>
      </c>
    </row>
    <row r="2408" spans="1:4" x14ac:dyDescent="0.15">
      <c r="A2408" s="2" t="s">
        <v>33079</v>
      </c>
      <c r="B2408" s="2" t="s">
        <v>33078</v>
      </c>
      <c r="C2408" s="2">
        <v>2009</v>
      </c>
      <c r="D2408" s="2" t="s">
        <v>33084</v>
      </c>
    </row>
    <row r="2409" spans="1:4" x14ac:dyDescent="0.15">
      <c r="A2409" s="2" t="s">
        <v>33086</v>
      </c>
      <c r="B2409" s="2" t="s">
        <v>33085</v>
      </c>
      <c r="C2409" s="2">
        <v>2010</v>
      </c>
      <c r="D2409" s="2" t="s">
        <v>33090</v>
      </c>
    </row>
    <row r="2410" spans="1:4" x14ac:dyDescent="0.15">
      <c r="A2410" s="2" t="s">
        <v>33092</v>
      </c>
      <c r="B2410" s="2" t="s">
        <v>33091</v>
      </c>
      <c r="C2410" s="2">
        <v>2016</v>
      </c>
      <c r="D2410" s="2" t="s">
        <v>33096</v>
      </c>
    </row>
    <row r="2411" spans="1:4" x14ac:dyDescent="0.15">
      <c r="A2411" s="2" t="s">
        <v>33098</v>
      </c>
      <c r="B2411" s="2" t="s">
        <v>33097</v>
      </c>
      <c r="C2411" s="2">
        <v>2012</v>
      </c>
      <c r="D2411" s="2" t="s">
        <v>33102</v>
      </c>
    </row>
    <row r="2412" spans="1:4" x14ac:dyDescent="0.15">
      <c r="A2412" s="2" t="s">
        <v>33104</v>
      </c>
      <c r="B2412" s="2" t="s">
        <v>33103</v>
      </c>
      <c r="C2412" s="2">
        <v>2013</v>
      </c>
      <c r="D2412" s="2" t="s">
        <v>33108</v>
      </c>
    </row>
    <row r="2413" spans="1:4" x14ac:dyDescent="0.15">
      <c r="A2413" s="2" t="s">
        <v>33110</v>
      </c>
      <c r="B2413" s="2" t="s">
        <v>33109</v>
      </c>
      <c r="C2413" s="2">
        <v>2013</v>
      </c>
      <c r="D2413" s="2" t="s">
        <v>33114</v>
      </c>
    </row>
    <row r="2414" spans="1:4" x14ac:dyDescent="0.15">
      <c r="A2414" s="2" t="s">
        <v>33120</v>
      </c>
      <c r="B2414" s="2" t="s">
        <v>33119</v>
      </c>
      <c r="C2414" s="2">
        <v>2022</v>
      </c>
      <c r="D2414" s="2" t="s">
        <v>33124</v>
      </c>
    </row>
    <row r="2415" spans="1:4" x14ac:dyDescent="0.15">
      <c r="A2415" s="2" t="s">
        <v>33126</v>
      </c>
      <c r="B2415" s="2" t="s">
        <v>33125</v>
      </c>
      <c r="C2415" s="2">
        <v>2013</v>
      </c>
      <c r="D2415" s="2" t="s">
        <v>33130</v>
      </c>
    </row>
    <row r="2416" spans="1:4" x14ac:dyDescent="0.15">
      <c r="A2416" s="2" t="s">
        <v>33132</v>
      </c>
      <c r="B2416" s="2" t="s">
        <v>33131</v>
      </c>
      <c r="C2416" s="2">
        <v>2013</v>
      </c>
      <c r="D2416" s="2" t="s">
        <v>33136</v>
      </c>
    </row>
    <row r="2417" spans="1:4" x14ac:dyDescent="0.15">
      <c r="A2417" s="2" t="s">
        <v>33138</v>
      </c>
      <c r="B2417" s="2" t="s">
        <v>33137</v>
      </c>
      <c r="C2417" s="2">
        <v>2008</v>
      </c>
      <c r="D2417" s="2" t="s">
        <v>33143</v>
      </c>
    </row>
    <row r="2418" spans="1:4" x14ac:dyDescent="0.15">
      <c r="A2418" s="2" t="s">
        <v>33148</v>
      </c>
      <c r="B2418" s="2" t="s">
        <v>33147</v>
      </c>
      <c r="C2418" s="2">
        <v>2020</v>
      </c>
      <c r="D2418" s="2" t="s">
        <v>33152</v>
      </c>
    </row>
    <row r="2419" spans="1:4" x14ac:dyDescent="0.15">
      <c r="A2419" s="2" t="s">
        <v>33153</v>
      </c>
      <c r="B2419" s="2" t="s">
        <v>28039</v>
      </c>
      <c r="C2419" s="2">
        <v>2019</v>
      </c>
      <c r="D2419" s="2" t="s">
        <v>28048</v>
      </c>
    </row>
    <row r="2420" spans="1:4" x14ac:dyDescent="0.15">
      <c r="A2420" s="2" t="s">
        <v>33166</v>
      </c>
      <c r="B2420" s="2" t="s">
        <v>33165</v>
      </c>
      <c r="C2420" s="2">
        <v>2021</v>
      </c>
      <c r="D2420" s="2" t="s">
        <v>33171</v>
      </c>
    </row>
    <row r="2421" spans="1:4" x14ac:dyDescent="0.15">
      <c r="A2421" s="2" t="s">
        <v>33173</v>
      </c>
      <c r="B2421" s="2" t="s">
        <v>33172</v>
      </c>
      <c r="C2421" s="2">
        <v>2020</v>
      </c>
      <c r="D2421" s="2" t="s">
        <v>33178</v>
      </c>
    </row>
    <row r="2422" spans="1:4" x14ac:dyDescent="0.15">
      <c r="A2422" s="2" t="s">
        <v>33188</v>
      </c>
      <c r="B2422" s="2" t="s">
        <v>33187</v>
      </c>
      <c r="C2422" s="2">
        <v>2017</v>
      </c>
      <c r="D2422" s="2" t="s">
        <v>33192</v>
      </c>
    </row>
    <row r="2423" spans="1:4" x14ac:dyDescent="0.15">
      <c r="A2423" s="2" t="s">
        <v>33194</v>
      </c>
      <c r="B2423" s="2" t="s">
        <v>33193</v>
      </c>
      <c r="C2423" s="2">
        <v>2020</v>
      </c>
      <c r="D2423" s="2" t="s">
        <v>33198</v>
      </c>
    </row>
    <row r="2424" spans="1:4" x14ac:dyDescent="0.15">
      <c r="A2424" s="2" t="s">
        <v>33205</v>
      </c>
      <c r="B2424" s="2" t="s">
        <v>33204</v>
      </c>
      <c r="C2424" s="2">
        <v>2012</v>
      </c>
      <c r="D2424" s="2" t="s">
        <v>33210</v>
      </c>
    </row>
    <row r="2425" spans="1:4" x14ac:dyDescent="0.15">
      <c r="A2425" s="2" t="s">
        <v>33212</v>
      </c>
      <c r="B2425" s="2" t="s">
        <v>33211</v>
      </c>
      <c r="C2425" s="2">
        <v>2016</v>
      </c>
      <c r="D2425" s="2" t="s">
        <v>33216</v>
      </c>
    </row>
    <row r="2426" spans="1:4" x14ac:dyDescent="0.15">
      <c r="A2426" s="2" t="s">
        <v>33218</v>
      </c>
      <c r="B2426" s="2" t="s">
        <v>33217</v>
      </c>
      <c r="C2426" s="2">
        <v>2020</v>
      </c>
      <c r="D2426" s="2" t="s">
        <v>33221</v>
      </c>
    </row>
    <row r="2427" spans="1:4" x14ac:dyDescent="0.15">
      <c r="A2427" s="2" t="s">
        <v>33230</v>
      </c>
      <c r="B2427" s="2" t="s">
        <v>33229</v>
      </c>
      <c r="C2427" s="2">
        <v>2015</v>
      </c>
      <c r="D2427" s="2" t="s">
        <v>33234</v>
      </c>
    </row>
    <row r="2428" spans="1:4" x14ac:dyDescent="0.15">
      <c r="A2428" s="2" t="s">
        <v>33236</v>
      </c>
      <c r="B2428" s="2" t="s">
        <v>33235</v>
      </c>
      <c r="C2428" s="2">
        <v>2018</v>
      </c>
      <c r="D2428" s="2" t="s">
        <v>33239</v>
      </c>
    </row>
    <row r="2429" spans="1:4" x14ac:dyDescent="0.15">
      <c r="A2429" s="2" t="s">
        <v>33245</v>
      </c>
      <c r="B2429" s="2" t="s">
        <v>33244</v>
      </c>
      <c r="C2429" s="2">
        <v>2013</v>
      </c>
      <c r="D2429" s="2" t="s">
        <v>33249</v>
      </c>
    </row>
    <row r="2430" spans="1:4" x14ac:dyDescent="0.15">
      <c r="A2430" s="2" t="s">
        <v>33255</v>
      </c>
      <c r="B2430" s="2" t="s">
        <v>33254</v>
      </c>
      <c r="C2430" s="2">
        <v>2019</v>
      </c>
      <c r="D2430" s="2" t="s">
        <v>33259</v>
      </c>
    </row>
    <row r="2431" spans="1:4" x14ac:dyDescent="0.15">
      <c r="A2431" s="2" t="s">
        <v>33265</v>
      </c>
      <c r="B2431" s="2" t="s">
        <v>33264</v>
      </c>
      <c r="C2431" s="2">
        <v>2019</v>
      </c>
      <c r="D2431" s="2" t="s">
        <v>33269</v>
      </c>
    </row>
    <row r="2432" spans="1:4" x14ac:dyDescent="0.15">
      <c r="A2432" s="2" t="s">
        <v>33276</v>
      </c>
      <c r="B2432" s="2" t="s">
        <v>33275</v>
      </c>
      <c r="C2432" s="2">
        <v>2020</v>
      </c>
      <c r="D2432" s="2" t="s">
        <v>33281</v>
      </c>
    </row>
    <row r="2433" spans="1:4" x14ac:dyDescent="0.15">
      <c r="A2433" s="2" t="s">
        <v>33283</v>
      </c>
      <c r="B2433" s="2" t="s">
        <v>33282</v>
      </c>
      <c r="C2433" s="2">
        <v>2009</v>
      </c>
      <c r="D2433" s="2" t="s">
        <v>33287</v>
      </c>
    </row>
    <row r="2434" spans="1:4" x14ac:dyDescent="0.15">
      <c r="A2434" s="2" t="s">
        <v>33295</v>
      </c>
      <c r="B2434" s="2" t="s">
        <v>33294</v>
      </c>
      <c r="C2434" s="2">
        <v>2022</v>
      </c>
      <c r="D2434" s="2" t="s">
        <v>33298</v>
      </c>
    </row>
    <row r="2435" spans="1:4" x14ac:dyDescent="0.15">
      <c r="A2435" s="2" t="s">
        <v>33300</v>
      </c>
      <c r="B2435" s="2" t="s">
        <v>33299</v>
      </c>
      <c r="C2435" s="2">
        <v>2021</v>
      </c>
      <c r="D2435" s="2" t="s">
        <v>33304</v>
      </c>
    </row>
    <row r="2436" spans="1:4" x14ac:dyDescent="0.15">
      <c r="A2436" s="2" t="s">
        <v>33312</v>
      </c>
      <c r="B2436" s="2" t="s">
        <v>33311</v>
      </c>
      <c r="C2436" s="2">
        <v>2019</v>
      </c>
      <c r="D2436" s="2" t="s">
        <v>33315</v>
      </c>
    </row>
    <row r="2437" spans="1:4" x14ac:dyDescent="0.15">
      <c r="A2437" s="2" t="s">
        <v>33317</v>
      </c>
      <c r="B2437" s="2" t="s">
        <v>33316</v>
      </c>
      <c r="C2437" s="2">
        <v>2016</v>
      </c>
      <c r="D2437" s="2" t="s">
        <v>33321</v>
      </c>
    </row>
    <row r="2438" spans="1:4" x14ac:dyDescent="0.15">
      <c r="A2438" s="2" t="s">
        <v>33328</v>
      </c>
      <c r="B2438" s="2" t="s">
        <v>33327</v>
      </c>
      <c r="C2438" s="2">
        <v>2020</v>
      </c>
      <c r="D2438" s="2" t="s">
        <v>33332</v>
      </c>
    </row>
    <row r="2439" spans="1:4" x14ac:dyDescent="0.15">
      <c r="A2439" s="2" t="s">
        <v>33338</v>
      </c>
      <c r="B2439" s="2" t="s">
        <v>33337</v>
      </c>
      <c r="C2439" s="2">
        <v>2017</v>
      </c>
      <c r="D2439" s="2" t="s">
        <v>33342</v>
      </c>
    </row>
    <row r="2440" spans="1:4" x14ac:dyDescent="0.15">
      <c r="A2440" s="2" t="s">
        <v>33344</v>
      </c>
      <c r="B2440" s="2" t="s">
        <v>33343</v>
      </c>
      <c r="C2440" s="2">
        <v>2010</v>
      </c>
      <c r="D2440" s="2" t="s">
        <v>33349</v>
      </c>
    </row>
    <row r="2441" spans="1:4" x14ac:dyDescent="0.15">
      <c r="A2441" s="2" t="s">
        <v>33351</v>
      </c>
      <c r="B2441" s="2" t="s">
        <v>33350</v>
      </c>
      <c r="C2441" s="2">
        <v>2019</v>
      </c>
      <c r="D2441" s="2" t="s">
        <v>33354</v>
      </c>
    </row>
    <row r="2442" spans="1:4" x14ac:dyDescent="0.15">
      <c r="A2442" s="2" t="s">
        <v>33356</v>
      </c>
      <c r="B2442" s="2" t="s">
        <v>33355</v>
      </c>
      <c r="C2442" s="2">
        <v>2014</v>
      </c>
      <c r="D2442" s="2" t="s">
        <v>33360</v>
      </c>
    </row>
    <row r="2443" spans="1:4" x14ac:dyDescent="0.15">
      <c r="A2443" s="2" t="s">
        <v>33362</v>
      </c>
      <c r="B2443" s="2" t="s">
        <v>33361</v>
      </c>
      <c r="C2443" s="2">
        <v>2012</v>
      </c>
      <c r="D2443" s="2" t="s">
        <v>33366</v>
      </c>
    </row>
    <row r="2444" spans="1:4" x14ac:dyDescent="0.15">
      <c r="A2444" s="2" t="s">
        <v>33368</v>
      </c>
      <c r="B2444" s="2" t="s">
        <v>33367</v>
      </c>
      <c r="C2444" s="2">
        <v>2021</v>
      </c>
      <c r="D2444" s="2" t="s">
        <v>33371</v>
      </c>
    </row>
    <row r="2445" spans="1:4" x14ac:dyDescent="0.15">
      <c r="A2445" s="2" t="s">
        <v>33377</v>
      </c>
      <c r="B2445" s="2" t="s">
        <v>33376</v>
      </c>
      <c r="C2445" s="2">
        <v>2016</v>
      </c>
      <c r="D2445" s="2" t="s">
        <v>33381</v>
      </c>
    </row>
    <row r="2446" spans="1:4" x14ac:dyDescent="0.15">
      <c r="A2446" s="2" t="s">
        <v>33392</v>
      </c>
      <c r="B2446" s="2" t="s">
        <v>33391</v>
      </c>
      <c r="C2446" s="2">
        <v>2018</v>
      </c>
      <c r="D2446" s="2" t="s">
        <v>33396</v>
      </c>
    </row>
    <row r="2447" spans="1:4" x14ac:dyDescent="0.15">
      <c r="A2447" s="2" t="s">
        <v>33402</v>
      </c>
      <c r="B2447" s="2" t="s">
        <v>33401</v>
      </c>
      <c r="C2447" s="2">
        <v>2020</v>
      </c>
      <c r="D2447" s="2" t="s">
        <v>33406</v>
      </c>
    </row>
    <row r="2448" spans="1:4" x14ac:dyDescent="0.15">
      <c r="A2448" s="2" t="s">
        <v>33027</v>
      </c>
      <c r="B2448" s="2" t="s">
        <v>33412</v>
      </c>
      <c r="C2448" s="2">
        <v>2011</v>
      </c>
      <c r="D2448" s="2" t="s">
        <v>33415</v>
      </c>
    </row>
    <row r="2449" spans="1:4" x14ac:dyDescent="0.15">
      <c r="A2449" s="2" t="s">
        <v>33428</v>
      </c>
      <c r="B2449" s="2" t="s">
        <v>33427</v>
      </c>
      <c r="C2449" s="2">
        <v>2021</v>
      </c>
      <c r="D2449" s="2" t="s">
        <v>33432</v>
      </c>
    </row>
    <row r="2450" spans="1:4" x14ac:dyDescent="0.15">
      <c r="A2450" s="2" t="s">
        <v>33434</v>
      </c>
      <c r="B2450" s="2" t="s">
        <v>33433</v>
      </c>
      <c r="C2450" s="2">
        <v>2020</v>
      </c>
      <c r="D2450" s="2" t="s">
        <v>33438</v>
      </c>
    </row>
    <row r="2451" spans="1:4" x14ac:dyDescent="0.15">
      <c r="A2451" s="2" t="s">
        <v>33440</v>
      </c>
      <c r="B2451" s="2" t="s">
        <v>33439</v>
      </c>
      <c r="C2451" s="2">
        <v>2021</v>
      </c>
      <c r="D2451" s="2" t="s">
        <v>33444</v>
      </c>
    </row>
    <row r="2452" spans="1:4" x14ac:dyDescent="0.15">
      <c r="A2452" s="2" t="s">
        <v>33454</v>
      </c>
      <c r="B2452" s="2" t="s">
        <v>33453</v>
      </c>
      <c r="C2452" s="2">
        <v>2020</v>
      </c>
      <c r="D2452" s="2" t="s">
        <v>33458</v>
      </c>
    </row>
    <row r="2453" spans="1:4" x14ac:dyDescent="0.15">
      <c r="A2453" s="2" t="s">
        <v>33460</v>
      </c>
      <c r="B2453" s="2" t="s">
        <v>33459</v>
      </c>
      <c r="C2453" s="2">
        <v>2020</v>
      </c>
      <c r="D2453" s="2" t="s">
        <v>33463</v>
      </c>
    </row>
    <row r="2454" spans="1:4" x14ac:dyDescent="0.15">
      <c r="A2454" s="2" t="s">
        <v>33465</v>
      </c>
      <c r="B2454" s="2" t="s">
        <v>33464</v>
      </c>
      <c r="C2454" s="2">
        <v>2018</v>
      </c>
      <c r="D2454" s="2" t="s">
        <v>33468</v>
      </c>
    </row>
    <row r="2455" spans="1:4" x14ac:dyDescent="0.15">
      <c r="A2455" s="2" t="s">
        <v>33470</v>
      </c>
      <c r="B2455" s="2" t="s">
        <v>33469</v>
      </c>
      <c r="C2455" s="2">
        <v>2020</v>
      </c>
      <c r="D2455" s="2" t="s">
        <v>33473</v>
      </c>
    </row>
    <row r="2456" spans="1:4" x14ac:dyDescent="0.15">
      <c r="A2456" s="2" t="s">
        <v>33475</v>
      </c>
      <c r="B2456" s="2" t="s">
        <v>33474</v>
      </c>
      <c r="C2456" s="2">
        <v>2012</v>
      </c>
      <c r="D2456" s="2" t="s">
        <v>33479</v>
      </c>
    </row>
    <row r="2457" spans="1:4" x14ac:dyDescent="0.15">
      <c r="A2457" s="2" t="s">
        <v>33481</v>
      </c>
      <c r="B2457" s="2" t="s">
        <v>33480</v>
      </c>
      <c r="C2457" s="2">
        <v>2019</v>
      </c>
      <c r="D2457" s="2" t="s">
        <v>33484</v>
      </c>
    </row>
    <row r="2458" spans="1:4" x14ac:dyDescent="0.15">
      <c r="A2458" s="2" t="s">
        <v>33490</v>
      </c>
      <c r="B2458" s="2" t="s">
        <v>33489</v>
      </c>
      <c r="C2458" s="2">
        <v>2014</v>
      </c>
      <c r="D2458" s="2" t="s">
        <v>33494</v>
      </c>
    </row>
    <row r="2459" spans="1:4" x14ac:dyDescent="0.15">
      <c r="A2459" s="2" t="s">
        <v>33496</v>
      </c>
      <c r="B2459" s="2" t="s">
        <v>33495</v>
      </c>
      <c r="C2459" s="2">
        <v>2020</v>
      </c>
      <c r="D2459" s="2" t="s">
        <v>33498</v>
      </c>
    </row>
    <row r="2460" spans="1:4" x14ac:dyDescent="0.15">
      <c r="A2460" s="2" t="s">
        <v>33500</v>
      </c>
      <c r="B2460" s="2" t="s">
        <v>33499</v>
      </c>
      <c r="C2460" s="2">
        <v>2016</v>
      </c>
      <c r="D2460" s="2" t="s">
        <v>33504</v>
      </c>
    </row>
    <row r="2461" spans="1:4" x14ac:dyDescent="0.15">
      <c r="A2461" s="2" t="s">
        <v>33522</v>
      </c>
      <c r="B2461" s="2" t="s">
        <v>33521</v>
      </c>
      <c r="C2461" s="2">
        <v>2011</v>
      </c>
      <c r="D2461" s="2" t="s">
        <v>33525</v>
      </c>
    </row>
    <row r="2462" spans="1:4" x14ac:dyDescent="0.15">
      <c r="A2462" s="2" t="s">
        <v>33536</v>
      </c>
      <c r="B2462" s="2" t="s">
        <v>33535</v>
      </c>
      <c r="C2462" s="2">
        <v>2017</v>
      </c>
      <c r="D2462" s="2" t="s">
        <v>33538</v>
      </c>
    </row>
    <row r="2463" spans="1:4" x14ac:dyDescent="0.15">
      <c r="A2463" s="2" t="s">
        <v>33540</v>
      </c>
      <c r="B2463" s="2" t="s">
        <v>33539</v>
      </c>
      <c r="C2463" s="2">
        <v>2019</v>
      </c>
      <c r="D2463" s="2" t="s">
        <v>33544</v>
      </c>
    </row>
    <row r="2464" spans="1:4" x14ac:dyDescent="0.15">
      <c r="A2464" s="2" t="s">
        <v>33546</v>
      </c>
      <c r="B2464" s="2" t="s">
        <v>33545</v>
      </c>
      <c r="C2464" s="2">
        <v>2019</v>
      </c>
      <c r="D2464" s="2" t="s">
        <v>33550</v>
      </c>
    </row>
    <row r="2465" spans="1:4" x14ac:dyDescent="0.15">
      <c r="A2465" s="2" t="s">
        <v>33561</v>
      </c>
      <c r="B2465" s="2" t="s">
        <v>33560</v>
      </c>
      <c r="C2465" s="2">
        <v>2012</v>
      </c>
      <c r="D2465" s="2" t="s">
        <v>33565</v>
      </c>
    </row>
    <row r="2466" spans="1:4" x14ac:dyDescent="0.15">
      <c r="A2466" s="2" t="s">
        <v>33567</v>
      </c>
      <c r="B2466" s="2" t="s">
        <v>33566</v>
      </c>
      <c r="C2466" s="2">
        <v>2012</v>
      </c>
      <c r="D2466" s="2" t="s">
        <v>33573</v>
      </c>
    </row>
    <row r="2467" spans="1:4" x14ac:dyDescent="0.15">
      <c r="A2467" s="2" t="s">
        <v>33579</v>
      </c>
      <c r="B2467" s="2" t="s">
        <v>33578</v>
      </c>
      <c r="C2467" s="2">
        <v>2022</v>
      </c>
      <c r="D2467" s="2" t="s">
        <v>33583</v>
      </c>
    </row>
    <row r="2468" spans="1:4" x14ac:dyDescent="0.15">
      <c r="A2468" s="2" t="s">
        <v>33585</v>
      </c>
      <c r="B2468" s="2" t="s">
        <v>33584</v>
      </c>
      <c r="C2468" s="2">
        <v>2014</v>
      </c>
      <c r="D2468" s="2" t="s">
        <v>33588</v>
      </c>
    </row>
    <row r="2469" spans="1:4" x14ac:dyDescent="0.15">
      <c r="A2469" s="2" t="s">
        <v>33590</v>
      </c>
      <c r="B2469" s="2" t="s">
        <v>33589</v>
      </c>
      <c r="C2469" s="2">
        <v>2021</v>
      </c>
      <c r="D2469" s="2" t="s">
        <v>33592</v>
      </c>
    </row>
    <row r="2470" spans="1:4" x14ac:dyDescent="0.15">
      <c r="A2470" s="2" t="s">
        <v>33603</v>
      </c>
      <c r="B2470" s="2" t="s">
        <v>33602</v>
      </c>
      <c r="C2470" s="2">
        <v>2020</v>
      </c>
      <c r="D2470" s="2" t="s">
        <v>33607</v>
      </c>
    </row>
    <row r="2471" spans="1:4" x14ac:dyDescent="0.15">
      <c r="A2471" s="2" t="s">
        <v>33626</v>
      </c>
      <c r="B2471" s="2" t="s">
        <v>33625</v>
      </c>
      <c r="C2471" s="2">
        <v>2011</v>
      </c>
      <c r="D2471" s="2"/>
    </row>
    <row r="2472" spans="1:4" x14ac:dyDescent="0.15">
      <c r="A2472" s="2" t="s">
        <v>33634</v>
      </c>
      <c r="B2472" s="2" t="s">
        <v>33633</v>
      </c>
      <c r="C2472" s="2">
        <v>2020</v>
      </c>
      <c r="D2472" s="2" t="s">
        <v>33639</v>
      </c>
    </row>
    <row r="2473" spans="1:4" x14ac:dyDescent="0.15">
      <c r="A2473" s="2" t="s">
        <v>33641</v>
      </c>
      <c r="B2473" s="2" t="s">
        <v>33640</v>
      </c>
      <c r="C2473" s="2">
        <v>2014</v>
      </c>
      <c r="D2473" s="2" t="s">
        <v>33645</v>
      </c>
    </row>
    <row r="2474" spans="1:4" x14ac:dyDescent="0.15">
      <c r="A2474" s="2" t="s">
        <v>33650</v>
      </c>
      <c r="B2474" s="2" t="s">
        <v>33649</v>
      </c>
      <c r="C2474" s="2">
        <v>2014</v>
      </c>
      <c r="D2474" s="2" t="s">
        <v>33654</v>
      </c>
    </row>
    <row r="2475" spans="1:4" x14ac:dyDescent="0.15">
      <c r="A2475" s="2" t="s">
        <v>33666</v>
      </c>
      <c r="B2475" s="2" t="s">
        <v>33665</v>
      </c>
      <c r="C2475" s="2">
        <v>2012</v>
      </c>
      <c r="D2475" s="2" t="s">
        <v>33670</v>
      </c>
    </row>
    <row r="2476" spans="1:4" x14ac:dyDescent="0.15">
      <c r="A2476" s="2" t="s">
        <v>33672</v>
      </c>
      <c r="B2476" s="2" t="s">
        <v>33671</v>
      </c>
      <c r="C2476" s="2">
        <v>2021</v>
      </c>
      <c r="D2476" s="2" t="s">
        <v>33677</v>
      </c>
    </row>
    <row r="2477" spans="1:4" x14ac:dyDescent="0.15">
      <c r="A2477" s="2" t="s">
        <v>33687</v>
      </c>
      <c r="B2477" s="2" t="s">
        <v>33686</v>
      </c>
      <c r="C2477" s="2">
        <v>2017</v>
      </c>
      <c r="D2477" s="2" t="s">
        <v>33691</v>
      </c>
    </row>
    <row r="2478" spans="1:4" x14ac:dyDescent="0.15">
      <c r="A2478" s="2" t="s">
        <v>33693</v>
      </c>
      <c r="B2478" s="2" t="s">
        <v>33692</v>
      </c>
      <c r="C2478" s="2">
        <v>2022</v>
      </c>
      <c r="D2478" s="2" t="s">
        <v>33697</v>
      </c>
    </row>
    <row r="2479" spans="1:4" x14ac:dyDescent="0.15">
      <c r="A2479" s="2" t="s">
        <v>33699</v>
      </c>
      <c r="B2479" s="2" t="s">
        <v>33698</v>
      </c>
      <c r="C2479" s="2">
        <v>2020</v>
      </c>
      <c r="D2479" s="2" t="s">
        <v>33703</v>
      </c>
    </row>
    <row r="2480" spans="1:4" x14ac:dyDescent="0.15">
      <c r="A2480" s="2" t="s">
        <v>33705</v>
      </c>
      <c r="B2480" s="2" t="s">
        <v>33704</v>
      </c>
      <c r="C2480" s="2">
        <v>2019</v>
      </c>
      <c r="D2480" s="2" t="s">
        <v>33709</v>
      </c>
    </row>
    <row r="2481" spans="1:4" x14ac:dyDescent="0.15">
      <c r="A2481" s="2" t="s">
        <v>33725</v>
      </c>
      <c r="B2481" s="2" t="s">
        <v>33724</v>
      </c>
      <c r="C2481" s="2">
        <v>2022</v>
      </c>
      <c r="D2481" s="2" t="s">
        <v>33729</v>
      </c>
    </row>
    <row r="2482" spans="1:4" x14ac:dyDescent="0.15">
      <c r="A2482" s="2" t="s">
        <v>33731</v>
      </c>
      <c r="B2482" s="2" t="s">
        <v>33730</v>
      </c>
      <c r="C2482" s="2">
        <v>2017</v>
      </c>
      <c r="D2482" s="2" t="s">
        <v>33735</v>
      </c>
    </row>
    <row r="2483" spans="1:4" x14ac:dyDescent="0.15">
      <c r="A2483" s="2" t="s">
        <v>33737</v>
      </c>
      <c r="B2483" s="2" t="s">
        <v>33736</v>
      </c>
      <c r="C2483" s="2">
        <v>2018</v>
      </c>
      <c r="D2483" s="2" t="s">
        <v>33741</v>
      </c>
    </row>
    <row r="2484" spans="1:4" x14ac:dyDescent="0.15">
      <c r="A2484" s="2" t="s">
        <v>33743</v>
      </c>
      <c r="B2484" s="2" t="s">
        <v>33742</v>
      </c>
      <c r="C2484" s="2">
        <v>2012</v>
      </c>
      <c r="D2484" s="2" t="s">
        <v>33748</v>
      </c>
    </row>
    <row r="2485" spans="1:4" x14ac:dyDescent="0.15">
      <c r="A2485" s="2" t="s">
        <v>33750</v>
      </c>
      <c r="B2485" s="2" t="s">
        <v>33749</v>
      </c>
      <c r="C2485" s="2">
        <v>2011</v>
      </c>
      <c r="D2485" s="2" t="s">
        <v>33754</v>
      </c>
    </row>
    <row r="2486" spans="1:4" x14ac:dyDescent="0.15">
      <c r="A2486" s="2" t="s">
        <v>33759</v>
      </c>
      <c r="B2486" s="2" t="s">
        <v>33758</v>
      </c>
      <c r="C2486" s="2">
        <v>2016</v>
      </c>
      <c r="D2486" s="2" t="s">
        <v>33763</v>
      </c>
    </row>
    <row r="2487" spans="1:4" x14ac:dyDescent="0.15">
      <c r="A2487" s="2" t="s">
        <v>33783</v>
      </c>
      <c r="B2487" s="2" t="s">
        <v>33782</v>
      </c>
      <c r="C2487" s="2">
        <v>2021</v>
      </c>
      <c r="D2487" s="2" t="s">
        <v>33787</v>
      </c>
    </row>
    <row r="2488" spans="1:4" x14ac:dyDescent="0.15">
      <c r="A2488" s="2" t="s">
        <v>33796</v>
      </c>
      <c r="B2488" s="2" t="s">
        <v>33795</v>
      </c>
      <c r="C2488" s="2">
        <v>2020</v>
      </c>
      <c r="D2488" s="2" t="s">
        <v>33801</v>
      </c>
    </row>
    <row r="2489" spans="1:4" x14ac:dyDescent="0.15">
      <c r="A2489" s="2" t="s">
        <v>33803</v>
      </c>
      <c r="B2489" s="2" t="s">
        <v>33802</v>
      </c>
      <c r="C2489" s="2">
        <v>2016</v>
      </c>
      <c r="D2489" s="2" t="s">
        <v>33807</v>
      </c>
    </row>
    <row r="2490" spans="1:4" x14ac:dyDescent="0.15">
      <c r="A2490" s="2" t="s">
        <v>33811</v>
      </c>
      <c r="B2490" s="2" t="s">
        <v>33810</v>
      </c>
      <c r="C2490" s="2">
        <v>2021</v>
      </c>
      <c r="D2490" s="2" t="s">
        <v>33815</v>
      </c>
    </row>
    <row r="2491" spans="1:4" x14ac:dyDescent="0.15">
      <c r="A2491" s="2" t="s">
        <v>33817</v>
      </c>
      <c r="B2491" s="2" t="s">
        <v>33816</v>
      </c>
      <c r="C2491" s="2">
        <v>2016</v>
      </c>
      <c r="D2491" s="2" t="s">
        <v>33820</v>
      </c>
    </row>
    <row r="2492" spans="1:4" x14ac:dyDescent="0.15">
      <c r="A2492" s="2" t="s">
        <v>33822</v>
      </c>
      <c r="B2492" s="2" t="s">
        <v>33821</v>
      </c>
      <c r="C2492" s="2">
        <v>2021</v>
      </c>
      <c r="D2492" s="2" t="s">
        <v>33826</v>
      </c>
    </row>
    <row r="2493" spans="1:4" x14ac:dyDescent="0.15">
      <c r="A2493" s="2" t="s">
        <v>33835</v>
      </c>
      <c r="B2493" s="2" t="s">
        <v>33834</v>
      </c>
      <c r="C2493" s="2">
        <v>2019</v>
      </c>
      <c r="D2493" s="2" t="s">
        <v>33839</v>
      </c>
    </row>
    <row r="2494" spans="1:4" x14ac:dyDescent="0.15">
      <c r="A2494" s="2" t="s">
        <v>33843</v>
      </c>
      <c r="B2494" s="2" t="s">
        <v>33842</v>
      </c>
      <c r="C2494" s="2">
        <v>2020</v>
      </c>
      <c r="D2494" s="2" t="s">
        <v>33847</v>
      </c>
    </row>
    <row r="2495" spans="1:4" x14ac:dyDescent="0.15">
      <c r="A2495" s="2" t="s">
        <v>33859</v>
      </c>
      <c r="B2495" s="2" t="s">
        <v>33858</v>
      </c>
      <c r="C2495" s="2">
        <v>2021</v>
      </c>
      <c r="D2495" s="2" t="s">
        <v>33864</v>
      </c>
    </row>
    <row r="2496" spans="1:4" x14ac:dyDescent="0.15">
      <c r="A2496" s="2" t="s">
        <v>33871</v>
      </c>
      <c r="B2496" s="2" t="s">
        <v>33870</v>
      </c>
      <c r="C2496" s="2">
        <v>2014</v>
      </c>
      <c r="D2496" s="2" t="s">
        <v>33875</v>
      </c>
    </row>
    <row r="2497" spans="1:4" x14ac:dyDescent="0.15">
      <c r="A2497" s="2" t="s">
        <v>33877</v>
      </c>
      <c r="B2497" s="2" t="s">
        <v>33876</v>
      </c>
      <c r="C2497" s="2">
        <v>2016</v>
      </c>
      <c r="D2497" s="2" t="s">
        <v>33881</v>
      </c>
    </row>
    <row r="2498" spans="1:4" x14ac:dyDescent="0.15">
      <c r="A2498" s="2" t="s">
        <v>33888</v>
      </c>
      <c r="B2498" s="2" t="s">
        <v>33887</v>
      </c>
      <c r="C2498" s="2">
        <v>2019</v>
      </c>
      <c r="D2498" s="2" t="s">
        <v>33893</v>
      </c>
    </row>
    <row r="2499" spans="1:4" x14ac:dyDescent="0.15">
      <c r="A2499" s="2" t="s">
        <v>33895</v>
      </c>
      <c r="B2499" s="2" t="s">
        <v>33894</v>
      </c>
      <c r="C2499" s="2">
        <v>2013</v>
      </c>
      <c r="D2499" s="2" t="s">
        <v>33899</v>
      </c>
    </row>
    <row r="2500" spans="1:4" x14ac:dyDescent="0.15">
      <c r="A2500" s="2" t="s">
        <v>33901</v>
      </c>
      <c r="B2500" s="2" t="s">
        <v>33900</v>
      </c>
      <c r="C2500" s="2">
        <v>2016</v>
      </c>
      <c r="D2500" s="2" t="s">
        <v>33906</v>
      </c>
    </row>
    <row r="2501" spans="1:4" x14ac:dyDescent="0.15">
      <c r="A2501" s="2" t="s">
        <v>33912</v>
      </c>
      <c r="B2501" s="2" t="s">
        <v>33911</v>
      </c>
      <c r="C2501" s="2">
        <v>2020</v>
      </c>
      <c r="D2501" s="2" t="s">
        <v>33916</v>
      </c>
    </row>
    <row r="2502" spans="1:4" x14ac:dyDescent="0.15">
      <c r="A2502" s="2" t="s">
        <v>33918</v>
      </c>
      <c r="B2502" s="2" t="s">
        <v>33917</v>
      </c>
      <c r="C2502" s="2">
        <v>2012</v>
      </c>
      <c r="D2502" s="2" t="s">
        <v>33921</v>
      </c>
    </row>
    <row r="2503" spans="1:4" x14ac:dyDescent="0.15">
      <c r="A2503" s="2" t="s">
        <v>33935</v>
      </c>
      <c r="B2503" s="2" t="s">
        <v>33934</v>
      </c>
      <c r="C2503" s="2">
        <v>2020</v>
      </c>
      <c r="D2503" s="2" t="s">
        <v>33939</v>
      </c>
    </row>
    <row r="2504" spans="1:4" x14ac:dyDescent="0.15">
      <c r="A2504" s="2" t="s">
        <v>33945</v>
      </c>
      <c r="B2504" s="2" t="s">
        <v>33944</v>
      </c>
      <c r="C2504" s="2">
        <v>2019</v>
      </c>
      <c r="D2504" s="2" t="s">
        <v>33948</v>
      </c>
    </row>
    <row r="2505" spans="1:4" x14ac:dyDescent="0.15">
      <c r="A2505" s="2" t="s">
        <v>33950</v>
      </c>
      <c r="B2505" s="2" t="s">
        <v>33949</v>
      </c>
      <c r="C2505" s="2">
        <v>2021</v>
      </c>
      <c r="D2505" s="2" t="s">
        <v>33954</v>
      </c>
    </row>
    <row r="2506" spans="1:4" x14ac:dyDescent="0.15">
      <c r="A2506" s="2" t="s">
        <v>33961</v>
      </c>
      <c r="B2506" s="2" t="s">
        <v>33960</v>
      </c>
      <c r="C2506" s="2">
        <v>2011</v>
      </c>
      <c r="D2506" s="2" t="s">
        <v>33965</v>
      </c>
    </row>
    <row r="2507" spans="1:4" x14ac:dyDescent="0.15">
      <c r="A2507" s="2" t="s">
        <v>33981</v>
      </c>
      <c r="B2507" s="2" t="s">
        <v>33980</v>
      </c>
      <c r="C2507" s="2">
        <v>2011</v>
      </c>
      <c r="D2507" s="2" t="s">
        <v>33985</v>
      </c>
    </row>
    <row r="2508" spans="1:4" x14ac:dyDescent="0.15">
      <c r="A2508" s="2" t="s">
        <v>33994</v>
      </c>
      <c r="B2508" s="2" t="s">
        <v>33993</v>
      </c>
      <c r="C2508" s="2">
        <v>2021</v>
      </c>
      <c r="D2508" s="2" t="s">
        <v>33999</v>
      </c>
    </row>
    <row r="2509" spans="1:4" x14ac:dyDescent="0.15">
      <c r="A2509" s="2" t="s">
        <v>34009</v>
      </c>
      <c r="B2509" s="2" t="s">
        <v>34008</v>
      </c>
      <c r="C2509" s="2">
        <v>2019</v>
      </c>
      <c r="D2509" s="2" t="s">
        <v>34012</v>
      </c>
    </row>
    <row r="2510" spans="1:4" x14ac:dyDescent="0.15">
      <c r="A2510" s="2" t="s">
        <v>34018</v>
      </c>
      <c r="B2510" s="2" t="s">
        <v>34017</v>
      </c>
      <c r="C2510" s="2">
        <v>2014</v>
      </c>
      <c r="D2510" s="2" t="s">
        <v>34022</v>
      </c>
    </row>
    <row r="2511" spans="1:4" x14ac:dyDescent="0.15">
      <c r="A2511" s="2" t="s">
        <v>34047</v>
      </c>
      <c r="B2511" s="2" t="s">
        <v>34046</v>
      </c>
      <c r="C2511" s="2">
        <v>2021</v>
      </c>
      <c r="D2511" s="2" t="s">
        <v>34052</v>
      </c>
    </row>
    <row r="2512" spans="1:4" x14ac:dyDescent="0.15">
      <c r="A2512" s="2" t="s">
        <v>34057</v>
      </c>
      <c r="B2512" s="2" t="s">
        <v>12327</v>
      </c>
      <c r="C2512" s="2">
        <v>2020</v>
      </c>
      <c r="D2512" s="2" t="s">
        <v>34061</v>
      </c>
    </row>
    <row r="2513" spans="1:4" x14ac:dyDescent="0.15">
      <c r="A2513" s="2" t="s">
        <v>34063</v>
      </c>
      <c r="B2513" s="2" t="s">
        <v>34062</v>
      </c>
      <c r="C2513" s="2">
        <v>2019</v>
      </c>
      <c r="D2513" s="2" t="s">
        <v>34066</v>
      </c>
    </row>
    <row r="2514" spans="1:4" x14ac:dyDescent="0.15">
      <c r="A2514" s="2" t="s">
        <v>34068</v>
      </c>
      <c r="B2514" s="2" t="s">
        <v>34067</v>
      </c>
      <c r="C2514" s="2">
        <v>2014</v>
      </c>
      <c r="D2514" s="2" t="s">
        <v>34073</v>
      </c>
    </row>
    <row r="2515" spans="1:4" x14ac:dyDescent="0.15">
      <c r="A2515" s="2" t="s">
        <v>34092</v>
      </c>
      <c r="B2515" s="2" t="s">
        <v>34091</v>
      </c>
      <c r="C2515" s="2">
        <v>2019</v>
      </c>
      <c r="D2515" s="2" t="s">
        <v>34097</v>
      </c>
    </row>
    <row r="2516" spans="1:4" x14ac:dyDescent="0.15">
      <c r="A2516" s="2" t="s">
        <v>34099</v>
      </c>
      <c r="B2516" s="2" t="s">
        <v>34098</v>
      </c>
      <c r="C2516" s="2">
        <v>2008</v>
      </c>
      <c r="D2516" s="2" t="s">
        <v>34103</v>
      </c>
    </row>
    <row r="2517" spans="1:4" x14ac:dyDescent="0.15">
      <c r="A2517" s="2" t="s">
        <v>34105</v>
      </c>
      <c r="B2517" s="2" t="s">
        <v>34104</v>
      </c>
      <c r="C2517" s="2">
        <v>2020</v>
      </c>
      <c r="D2517" s="2" t="s">
        <v>34108</v>
      </c>
    </row>
    <row r="2518" spans="1:4" x14ac:dyDescent="0.15">
      <c r="A2518" s="2" t="s">
        <v>34121</v>
      </c>
      <c r="B2518" s="2" t="s">
        <v>34120</v>
      </c>
      <c r="C2518" s="2">
        <v>2022</v>
      </c>
      <c r="D2518" s="2" t="s">
        <v>34123</v>
      </c>
    </row>
    <row r="2519" spans="1:4" x14ac:dyDescent="0.15">
      <c r="A2519" s="2" t="s">
        <v>34128</v>
      </c>
      <c r="B2519" s="2" t="s">
        <v>34127</v>
      </c>
      <c r="C2519" s="2">
        <v>2014</v>
      </c>
      <c r="D2519" s="2" t="s">
        <v>34131</v>
      </c>
    </row>
    <row r="2520" spans="1:4" x14ac:dyDescent="0.15">
      <c r="A2520" s="2" t="s">
        <v>34157</v>
      </c>
      <c r="B2520" s="2" t="s">
        <v>34156</v>
      </c>
      <c r="C2520" s="2">
        <v>2016</v>
      </c>
      <c r="D2520" s="2" t="s">
        <v>34160</v>
      </c>
    </row>
    <row r="2521" spans="1:4" x14ac:dyDescent="0.15">
      <c r="A2521" s="2" t="s">
        <v>34162</v>
      </c>
      <c r="B2521" s="2" t="s">
        <v>34161</v>
      </c>
      <c r="C2521" s="2">
        <v>2020</v>
      </c>
      <c r="D2521" s="2" t="s">
        <v>34166</v>
      </c>
    </row>
    <row r="2522" spans="1:4" x14ac:dyDescent="0.15">
      <c r="A2522" s="2" t="s">
        <v>34168</v>
      </c>
      <c r="B2522" s="2" t="s">
        <v>34167</v>
      </c>
      <c r="C2522" s="2">
        <v>2015</v>
      </c>
      <c r="D2522" s="2" t="s">
        <v>34173</v>
      </c>
    </row>
    <row r="2523" spans="1:4" x14ac:dyDescent="0.15">
      <c r="A2523" s="2" t="s">
        <v>34187</v>
      </c>
      <c r="B2523" s="2" t="s">
        <v>34186</v>
      </c>
      <c r="C2523" s="2">
        <v>2022</v>
      </c>
      <c r="D2523" s="2" t="s">
        <v>34191</v>
      </c>
    </row>
    <row r="2524" spans="1:4" x14ac:dyDescent="0.15">
      <c r="A2524" s="2" t="s">
        <v>34193</v>
      </c>
      <c r="B2524" s="2" t="s">
        <v>34192</v>
      </c>
      <c r="C2524" s="2">
        <v>2012</v>
      </c>
      <c r="D2524" s="2" t="s">
        <v>34199</v>
      </c>
    </row>
    <row r="2525" spans="1:4" x14ac:dyDescent="0.15">
      <c r="A2525" s="2" t="s">
        <v>34227</v>
      </c>
      <c r="B2525" s="2" t="s">
        <v>34226</v>
      </c>
      <c r="C2525" s="2">
        <v>2018</v>
      </c>
      <c r="D2525" s="2" t="s">
        <v>34229</v>
      </c>
    </row>
    <row r="2526" spans="1:4" x14ac:dyDescent="0.15">
      <c r="A2526" s="2" t="s">
        <v>34235</v>
      </c>
      <c r="B2526" s="2" t="s">
        <v>34234</v>
      </c>
      <c r="C2526" s="2">
        <v>2015</v>
      </c>
      <c r="D2526" s="2" t="s">
        <v>34240</v>
      </c>
    </row>
    <row r="2527" spans="1:4" x14ac:dyDescent="0.15">
      <c r="A2527" s="2" t="s">
        <v>34250</v>
      </c>
      <c r="B2527" s="2" t="s">
        <v>34249</v>
      </c>
      <c r="C2527" s="2">
        <v>2012</v>
      </c>
      <c r="D2527" s="2" t="s">
        <v>34255</v>
      </c>
    </row>
    <row r="2528" spans="1:4" x14ac:dyDescent="0.15">
      <c r="A2528" s="2" t="s">
        <v>34266</v>
      </c>
      <c r="B2528" s="2" t="s">
        <v>34265</v>
      </c>
      <c r="C2528" s="2">
        <v>2015</v>
      </c>
      <c r="D2528" s="2" t="s">
        <v>34271</v>
      </c>
    </row>
    <row r="2529" spans="1:4" x14ac:dyDescent="0.15">
      <c r="A2529" s="2" t="s">
        <v>34283</v>
      </c>
      <c r="B2529" s="2" t="s">
        <v>34282</v>
      </c>
      <c r="C2529" s="2">
        <v>2013</v>
      </c>
      <c r="D2529" s="2" t="s">
        <v>34287</v>
      </c>
    </row>
    <row r="2530" spans="1:4" x14ac:dyDescent="0.15">
      <c r="A2530" s="2" t="s">
        <v>34299</v>
      </c>
      <c r="B2530" s="2" t="s">
        <v>34298</v>
      </c>
      <c r="C2530" s="2">
        <v>2022</v>
      </c>
      <c r="D2530" s="2" t="s">
        <v>34302</v>
      </c>
    </row>
    <row r="2531" spans="1:4" x14ac:dyDescent="0.15">
      <c r="A2531" s="2" t="s">
        <v>34304</v>
      </c>
      <c r="B2531" s="2" t="s">
        <v>34303</v>
      </c>
      <c r="C2531" s="2">
        <v>2021</v>
      </c>
      <c r="D2531" s="2" t="s">
        <v>34309</v>
      </c>
    </row>
    <row r="2532" spans="1:4" x14ac:dyDescent="0.15">
      <c r="A2532" s="2" t="s">
        <v>34311</v>
      </c>
      <c r="B2532" s="2" t="s">
        <v>34310</v>
      </c>
      <c r="C2532" s="2">
        <v>2018</v>
      </c>
      <c r="D2532" s="2" t="s">
        <v>34315</v>
      </c>
    </row>
    <row r="2533" spans="1:4" x14ac:dyDescent="0.15">
      <c r="A2533" s="2" t="s">
        <v>34317</v>
      </c>
      <c r="B2533" s="2" t="s">
        <v>34316</v>
      </c>
      <c r="C2533" s="2">
        <v>2020</v>
      </c>
      <c r="D2533" s="2" t="s">
        <v>34322</v>
      </c>
    </row>
    <row r="2534" spans="1:4" x14ac:dyDescent="0.15">
      <c r="A2534" s="2" t="s">
        <v>34328</v>
      </c>
      <c r="B2534" s="2" t="s">
        <v>34327</v>
      </c>
      <c r="C2534" s="2">
        <v>2019</v>
      </c>
      <c r="D2534" s="2" t="s">
        <v>34331</v>
      </c>
    </row>
    <row r="2535" spans="1:4" x14ac:dyDescent="0.15">
      <c r="A2535" s="2" t="s">
        <v>34333</v>
      </c>
      <c r="B2535" s="2" t="s">
        <v>34332</v>
      </c>
      <c r="C2535" s="2">
        <v>2014</v>
      </c>
      <c r="D2535" s="2" t="s">
        <v>34337</v>
      </c>
    </row>
    <row r="2536" spans="1:4" x14ac:dyDescent="0.15">
      <c r="A2536" s="2" t="s">
        <v>34339</v>
      </c>
      <c r="B2536" s="2" t="s">
        <v>34338</v>
      </c>
      <c r="C2536" s="2">
        <v>2020</v>
      </c>
      <c r="D2536" s="2" t="s">
        <v>34343</v>
      </c>
    </row>
    <row r="2537" spans="1:4" x14ac:dyDescent="0.15">
      <c r="A2537" s="2" t="s">
        <v>34345</v>
      </c>
      <c r="B2537" s="2" t="s">
        <v>34344</v>
      </c>
      <c r="C2537" s="2">
        <v>2020</v>
      </c>
      <c r="D2537" s="2" t="s">
        <v>34347</v>
      </c>
    </row>
    <row r="2538" spans="1:4" x14ac:dyDescent="0.15">
      <c r="A2538" s="2" t="s">
        <v>34349</v>
      </c>
      <c r="B2538" s="2" t="s">
        <v>34348</v>
      </c>
      <c r="C2538" s="2">
        <v>2020</v>
      </c>
      <c r="D2538" s="2" t="s">
        <v>34353</v>
      </c>
    </row>
    <row r="2539" spans="1:4" x14ac:dyDescent="0.15">
      <c r="A2539" s="2" t="s">
        <v>34355</v>
      </c>
      <c r="B2539" s="2" t="s">
        <v>34354</v>
      </c>
      <c r="C2539" s="2">
        <v>2018</v>
      </c>
      <c r="D2539" s="2" t="s">
        <v>34359</v>
      </c>
    </row>
    <row r="2540" spans="1:4" x14ac:dyDescent="0.15">
      <c r="A2540" s="2" t="s">
        <v>34365</v>
      </c>
      <c r="B2540" s="2" t="s">
        <v>34364</v>
      </c>
      <c r="C2540" s="2">
        <v>2022</v>
      </c>
      <c r="D2540" s="2" t="s">
        <v>34369</v>
      </c>
    </row>
    <row r="2541" spans="1:4" x14ac:dyDescent="0.15">
      <c r="A2541" s="2" t="s">
        <v>34371</v>
      </c>
      <c r="B2541" s="2" t="s">
        <v>34370</v>
      </c>
      <c r="C2541" s="2">
        <v>2018</v>
      </c>
      <c r="D2541" s="2" t="s">
        <v>34374</v>
      </c>
    </row>
    <row r="2542" spans="1:4" x14ac:dyDescent="0.15">
      <c r="A2542" s="2" t="s">
        <v>34376</v>
      </c>
      <c r="B2542" s="2" t="s">
        <v>34375</v>
      </c>
      <c r="C2542" s="2">
        <v>2015</v>
      </c>
      <c r="D2542" s="2" t="s">
        <v>34381</v>
      </c>
    </row>
    <row r="2543" spans="1:4" x14ac:dyDescent="0.15">
      <c r="A2543" s="2" t="s">
        <v>34383</v>
      </c>
      <c r="B2543" s="2" t="s">
        <v>34382</v>
      </c>
      <c r="C2543" s="2">
        <v>2020</v>
      </c>
      <c r="D2543" s="2" t="s">
        <v>34387</v>
      </c>
    </row>
    <row r="2544" spans="1:4" x14ac:dyDescent="0.15">
      <c r="A2544" s="2" t="s">
        <v>34389</v>
      </c>
      <c r="B2544" s="2" t="s">
        <v>34388</v>
      </c>
      <c r="C2544" s="2">
        <v>2021</v>
      </c>
      <c r="D2544" s="2" t="s">
        <v>34393</v>
      </c>
    </row>
    <row r="2545" spans="1:4" x14ac:dyDescent="0.15">
      <c r="A2545" s="2" t="s">
        <v>34398</v>
      </c>
      <c r="B2545" s="2" t="s">
        <v>34397</v>
      </c>
      <c r="C2545" s="2">
        <v>2021</v>
      </c>
      <c r="D2545" s="2" t="s">
        <v>34401</v>
      </c>
    </row>
    <row r="2546" spans="1:4" x14ac:dyDescent="0.15">
      <c r="A2546" s="2" t="s">
        <v>34406</v>
      </c>
      <c r="B2546" s="2" t="s">
        <v>34405</v>
      </c>
      <c r="C2546" s="2">
        <v>2010</v>
      </c>
      <c r="D2546" s="2" t="s">
        <v>34410</v>
      </c>
    </row>
    <row r="2547" spans="1:4" x14ac:dyDescent="0.15">
      <c r="A2547" s="2" t="s">
        <v>34416</v>
      </c>
      <c r="B2547" s="2" t="s">
        <v>34415</v>
      </c>
      <c r="C2547" s="2">
        <v>2015</v>
      </c>
      <c r="D2547" s="2" t="s">
        <v>34418</v>
      </c>
    </row>
    <row r="2548" spans="1:4" x14ac:dyDescent="0.15">
      <c r="A2548" s="2" t="s">
        <v>34420</v>
      </c>
      <c r="B2548" s="2" t="s">
        <v>34419</v>
      </c>
      <c r="C2548" s="2">
        <v>2021</v>
      </c>
      <c r="D2548" s="2" t="s">
        <v>34424</v>
      </c>
    </row>
    <row r="2549" spans="1:4" x14ac:dyDescent="0.15">
      <c r="A2549" s="2" t="s">
        <v>34438</v>
      </c>
      <c r="B2549" s="2" t="s">
        <v>34437</v>
      </c>
      <c r="C2549" s="2">
        <v>2021</v>
      </c>
      <c r="D2549" s="2" t="s">
        <v>34441</v>
      </c>
    </row>
    <row r="2550" spans="1:4" x14ac:dyDescent="0.15">
      <c r="A2550" s="2" t="s">
        <v>34455</v>
      </c>
      <c r="B2550" s="2" t="s">
        <v>34454</v>
      </c>
      <c r="C2550" s="2">
        <v>2014</v>
      </c>
      <c r="D2550" s="2" t="s">
        <v>34460</v>
      </c>
    </row>
    <row r="2551" spans="1:4" x14ac:dyDescent="0.15">
      <c r="A2551" s="2" t="s">
        <v>34462</v>
      </c>
      <c r="B2551" s="2" t="s">
        <v>34461</v>
      </c>
      <c r="C2551" s="2">
        <v>2015</v>
      </c>
      <c r="D2551" s="2" t="s">
        <v>34465</v>
      </c>
    </row>
    <row r="2552" spans="1:4" x14ac:dyDescent="0.15">
      <c r="A2552" s="2" t="s">
        <v>34467</v>
      </c>
      <c r="B2552" s="2" t="s">
        <v>34466</v>
      </c>
      <c r="C2552" s="2">
        <v>2021</v>
      </c>
      <c r="D2552" s="2" t="s">
        <v>34472</v>
      </c>
    </row>
    <row r="2553" spans="1:4" x14ac:dyDescent="0.15">
      <c r="A2553" s="2" t="s">
        <v>34478</v>
      </c>
      <c r="B2553" s="2" t="s">
        <v>34477</v>
      </c>
      <c r="C2553" s="2">
        <v>2020</v>
      </c>
      <c r="D2553" s="2" t="s">
        <v>34482</v>
      </c>
    </row>
    <row r="2554" spans="1:4" x14ac:dyDescent="0.15">
      <c r="A2554" s="2" t="s">
        <v>34487</v>
      </c>
      <c r="B2554" s="2" t="s">
        <v>34486</v>
      </c>
      <c r="C2554" s="2">
        <v>2020</v>
      </c>
      <c r="D2554" s="2" t="s">
        <v>34492</v>
      </c>
    </row>
    <row r="2555" spans="1:4" x14ac:dyDescent="0.15">
      <c r="A2555" s="2" t="s">
        <v>34494</v>
      </c>
      <c r="B2555" s="2" t="s">
        <v>34493</v>
      </c>
      <c r="C2555" s="2">
        <v>2020</v>
      </c>
      <c r="D2555" s="2" t="s">
        <v>34497</v>
      </c>
    </row>
    <row r="2556" spans="1:4" x14ac:dyDescent="0.15">
      <c r="A2556" s="2" t="s">
        <v>34499</v>
      </c>
      <c r="B2556" s="2" t="s">
        <v>34498</v>
      </c>
      <c r="C2556" s="2">
        <v>2011</v>
      </c>
      <c r="D2556" s="2" t="s">
        <v>34503</v>
      </c>
    </row>
    <row r="2557" spans="1:4" x14ac:dyDescent="0.15">
      <c r="A2557" s="2" t="s">
        <v>34505</v>
      </c>
      <c r="B2557" s="2" t="s">
        <v>34504</v>
      </c>
      <c r="C2557" s="2">
        <v>2020</v>
      </c>
      <c r="D2557" s="2" t="s">
        <v>34510</v>
      </c>
    </row>
    <row r="2558" spans="1:4" x14ac:dyDescent="0.15">
      <c r="A2558" s="2" t="s">
        <v>34512</v>
      </c>
      <c r="B2558" s="2" t="s">
        <v>34511</v>
      </c>
      <c r="C2558" s="2">
        <v>2011</v>
      </c>
      <c r="D2558" s="2" t="s">
        <v>34516</v>
      </c>
    </row>
    <row r="2559" spans="1:4" x14ac:dyDescent="0.15">
      <c r="A2559" s="2" t="s">
        <v>34518</v>
      </c>
      <c r="B2559" s="2" t="s">
        <v>34517</v>
      </c>
      <c r="C2559" s="2">
        <v>2016</v>
      </c>
      <c r="D2559" s="2" t="s">
        <v>34522</v>
      </c>
    </row>
    <row r="2560" spans="1:4" x14ac:dyDescent="0.15">
      <c r="A2560" s="2" t="s">
        <v>34524</v>
      </c>
      <c r="B2560" s="2" t="s">
        <v>34523</v>
      </c>
      <c r="C2560" s="2">
        <v>2013</v>
      </c>
      <c r="D2560" s="2" t="s">
        <v>34530</v>
      </c>
    </row>
    <row r="2561" spans="1:4" x14ac:dyDescent="0.15">
      <c r="A2561" s="2" t="s">
        <v>34550</v>
      </c>
      <c r="B2561" s="2" t="s">
        <v>34549</v>
      </c>
      <c r="C2561" s="2">
        <v>2016</v>
      </c>
      <c r="D2561" s="2" t="s">
        <v>34554</v>
      </c>
    </row>
    <row r="2562" spans="1:4" x14ac:dyDescent="0.15">
      <c r="A2562" s="2" t="s">
        <v>34556</v>
      </c>
      <c r="B2562" s="2" t="s">
        <v>34555</v>
      </c>
      <c r="C2562" s="2">
        <v>2021</v>
      </c>
      <c r="D2562" s="2" t="s">
        <v>34560</v>
      </c>
    </row>
    <row r="2563" spans="1:4" x14ac:dyDescent="0.15">
      <c r="A2563" s="2" t="s">
        <v>34581</v>
      </c>
      <c r="B2563" s="2" t="s">
        <v>34580</v>
      </c>
      <c r="C2563" s="2">
        <v>2018</v>
      </c>
      <c r="D2563" s="2" t="s">
        <v>34585</v>
      </c>
    </row>
    <row r="2564" spans="1:4" x14ac:dyDescent="0.15">
      <c r="A2564" s="2" t="s">
        <v>34587</v>
      </c>
      <c r="B2564" s="2" t="s">
        <v>34586</v>
      </c>
      <c r="C2564" s="2">
        <v>2020</v>
      </c>
      <c r="D2564" s="2" t="s">
        <v>34591</v>
      </c>
    </row>
    <row r="2565" spans="1:4" x14ac:dyDescent="0.15">
      <c r="A2565" s="2" t="s">
        <v>34593</v>
      </c>
      <c r="B2565" s="2" t="s">
        <v>34592</v>
      </c>
      <c r="C2565" s="2">
        <v>2021</v>
      </c>
      <c r="D2565" s="2" t="s">
        <v>34597</v>
      </c>
    </row>
    <row r="2566" spans="1:4" x14ac:dyDescent="0.15">
      <c r="A2566" s="2" t="s">
        <v>34606</v>
      </c>
      <c r="B2566" s="2" t="s">
        <v>34605</v>
      </c>
      <c r="C2566" s="2">
        <v>2022</v>
      </c>
      <c r="D2566" s="2" t="s">
        <v>34610</v>
      </c>
    </row>
    <row r="2567" spans="1:4" x14ac:dyDescent="0.15">
      <c r="A2567" s="2" t="s">
        <v>34612</v>
      </c>
      <c r="B2567" s="2" t="s">
        <v>34611</v>
      </c>
      <c r="C2567" s="2">
        <v>2021</v>
      </c>
      <c r="D2567" s="2" t="s">
        <v>34616</v>
      </c>
    </row>
    <row r="2568" spans="1:4" x14ac:dyDescent="0.15">
      <c r="A2568" s="2" t="s">
        <v>34622</v>
      </c>
      <c r="B2568" s="2" t="s">
        <v>34621</v>
      </c>
      <c r="C2568" s="2">
        <v>2020</v>
      </c>
      <c r="D2568" s="2" t="s">
        <v>34625</v>
      </c>
    </row>
    <row r="2569" spans="1:4" x14ac:dyDescent="0.15">
      <c r="A2569" s="2" t="s">
        <v>34635</v>
      </c>
      <c r="B2569" s="2" t="s">
        <v>34634</v>
      </c>
      <c r="C2569" s="2">
        <v>2016</v>
      </c>
      <c r="D2569" s="2" t="s">
        <v>34639</v>
      </c>
    </row>
    <row r="2570" spans="1:4" x14ac:dyDescent="0.15">
      <c r="A2570" s="2" t="s">
        <v>34649</v>
      </c>
      <c r="B2570" s="2" t="s">
        <v>34648</v>
      </c>
      <c r="C2570" s="2">
        <v>2019</v>
      </c>
      <c r="D2570" s="2" t="s">
        <v>34652</v>
      </c>
    </row>
    <row r="2571" spans="1:4" x14ac:dyDescent="0.15">
      <c r="A2571" s="2" t="s">
        <v>34658</v>
      </c>
      <c r="B2571" s="2" t="s">
        <v>34657</v>
      </c>
      <c r="C2571" s="2">
        <v>2020</v>
      </c>
      <c r="D2571" s="2" t="s">
        <v>34661</v>
      </c>
    </row>
    <row r="2572" spans="1:4" x14ac:dyDescent="0.15">
      <c r="A2572" s="2" t="s">
        <v>34669</v>
      </c>
      <c r="B2572" s="2" t="s">
        <v>34668</v>
      </c>
      <c r="C2572" s="2">
        <v>2021</v>
      </c>
      <c r="D2572" s="2" t="s">
        <v>34672</v>
      </c>
    </row>
    <row r="2573" spans="1:4" x14ac:dyDescent="0.15">
      <c r="A2573" s="2" t="s">
        <v>34691</v>
      </c>
      <c r="B2573" s="2" t="s">
        <v>34690</v>
      </c>
      <c r="C2573" s="2">
        <v>2013</v>
      </c>
      <c r="D2573" s="2" t="s">
        <v>34693</v>
      </c>
    </row>
    <row r="2574" spans="1:4" x14ac:dyDescent="0.15">
      <c r="A2574" s="2" t="s">
        <v>34709</v>
      </c>
      <c r="B2574" s="2" t="s">
        <v>34708</v>
      </c>
      <c r="C2574" s="2">
        <v>2020</v>
      </c>
      <c r="D2574" s="2" t="s">
        <v>34715</v>
      </c>
    </row>
    <row r="2575" spans="1:4" x14ac:dyDescent="0.15">
      <c r="A2575" s="2" t="s">
        <v>34717</v>
      </c>
      <c r="B2575" s="2" t="s">
        <v>34716</v>
      </c>
      <c r="C2575" s="2">
        <v>2019</v>
      </c>
      <c r="D2575" s="2" t="s">
        <v>34720</v>
      </c>
    </row>
    <row r="2576" spans="1:4" x14ac:dyDescent="0.15">
      <c r="A2576" s="2" t="s">
        <v>34726</v>
      </c>
      <c r="B2576" s="2" t="s">
        <v>34725</v>
      </c>
      <c r="C2576" s="2">
        <v>2009</v>
      </c>
      <c r="D2576" s="2"/>
    </row>
    <row r="2577" spans="1:4" x14ac:dyDescent="0.15">
      <c r="A2577" s="2" t="s">
        <v>34730</v>
      </c>
      <c r="B2577" s="2" t="s">
        <v>34729</v>
      </c>
      <c r="C2577" s="2">
        <v>2022</v>
      </c>
      <c r="D2577" s="2" t="s">
        <v>34733</v>
      </c>
    </row>
    <row r="2578" spans="1:4" x14ac:dyDescent="0.15">
      <c r="A2578" s="2" t="s">
        <v>34738</v>
      </c>
      <c r="B2578" s="2" t="s">
        <v>34737</v>
      </c>
      <c r="C2578" s="2">
        <v>2018</v>
      </c>
      <c r="D2578" s="2" t="s">
        <v>34741</v>
      </c>
    </row>
    <row r="2579" spans="1:4" x14ac:dyDescent="0.15">
      <c r="A2579" s="2" t="s">
        <v>34748</v>
      </c>
      <c r="B2579" s="2" t="s">
        <v>34747</v>
      </c>
      <c r="C2579" s="2">
        <v>2021</v>
      </c>
      <c r="D2579" s="2" t="s">
        <v>34753</v>
      </c>
    </row>
    <row r="2580" spans="1:4" x14ac:dyDescent="0.15">
      <c r="A2580" s="2" t="s">
        <v>34762</v>
      </c>
      <c r="B2580" s="2" t="s">
        <v>34761</v>
      </c>
      <c r="C2580" s="2">
        <v>2020</v>
      </c>
      <c r="D2580" s="2" t="s">
        <v>34766</v>
      </c>
    </row>
    <row r="2581" spans="1:4" x14ac:dyDescent="0.15">
      <c r="A2581" s="2" t="s">
        <v>34782</v>
      </c>
      <c r="B2581" s="2" t="s">
        <v>34781</v>
      </c>
      <c r="C2581" s="2">
        <v>2014</v>
      </c>
      <c r="D2581" s="2" t="s">
        <v>34787</v>
      </c>
    </row>
    <row r="2582" spans="1:4" x14ac:dyDescent="0.15">
      <c r="A2582" s="2" t="s">
        <v>34793</v>
      </c>
      <c r="B2582" s="2" t="s">
        <v>34792</v>
      </c>
      <c r="C2582" s="2">
        <v>2020</v>
      </c>
      <c r="D2582" s="2" t="s">
        <v>34797</v>
      </c>
    </row>
    <row r="2583" spans="1:4" x14ac:dyDescent="0.15">
      <c r="A2583" s="2" t="s">
        <v>34799</v>
      </c>
      <c r="B2583" s="2" t="s">
        <v>34798</v>
      </c>
      <c r="C2583" s="2">
        <v>2021</v>
      </c>
      <c r="D2583" s="2" t="s">
        <v>34804</v>
      </c>
    </row>
    <row r="2584" spans="1:4" x14ac:dyDescent="0.15">
      <c r="A2584" s="2" t="s">
        <v>34820</v>
      </c>
      <c r="B2584" s="2" t="s">
        <v>34819</v>
      </c>
      <c r="C2584" s="2">
        <v>2021</v>
      </c>
      <c r="D2584" s="2" t="s">
        <v>34825</v>
      </c>
    </row>
    <row r="2585" spans="1:4" x14ac:dyDescent="0.15">
      <c r="A2585" s="2" t="s">
        <v>34841</v>
      </c>
      <c r="B2585" s="2" t="s">
        <v>34840</v>
      </c>
      <c r="C2585" s="2">
        <v>2009</v>
      </c>
      <c r="D2585" s="2" t="s">
        <v>34845</v>
      </c>
    </row>
    <row r="2586" spans="1:4" x14ac:dyDescent="0.15">
      <c r="A2586" s="2" t="s">
        <v>34847</v>
      </c>
      <c r="B2586" s="2" t="s">
        <v>34846</v>
      </c>
      <c r="C2586" s="2">
        <v>2019</v>
      </c>
      <c r="D2586" s="2" t="s">
        <v>34851</v>
      </c>
    </row>
    <row r="2587" spans="1:4" x14ac:dyDescent="0.15">
      <c r="A2587" s="2" t="s">
        <v>34853</v>
      </c>
      <c r="B2587" s="2" t="s">
        <v>34852</v>
      </c>
      <c r="C2587" s="2">
        <v>2014</v>
      </c>
      <c r="D2587" s="2" t="s">
        <v>34857</v>
      </c>
    </row>
    <row r="2588" spans="1:4" x14ac:dyDescent="0.15">
      <c r="A2588" s="2" t="s">
        <v>34863</v>
      </c>
      <c r="B2588" s="2" t="s">
        <v>34862</v>
      </c>
      <c r="C2588" s="2">
        <v>2021</v>
      </c>
      <c r="D2588" s="2" t="s">
        <v>34867</v>
      </c>
    </row>
    <row r="2589" spans="1:4" x14ac:dyDescent="0.15">
      <c r="A2589" s="2" t="s">
        <v>34869</v>
      </c>
      <c r="B2589" s="2" t="s">
        <v>34868</v>
      </c>
      <c r="C2589" s="2">
        <v>2017</v>
      </c>
      <c r="D2589" s="2" t="s">
        <v>34873</v>
      </c>
    </row>
    <row r="2590" spans="1:4" x14ac:dyDescent="0.15">
      <c r="A2590" s="2" t="s">
        <v>34880</v>
      </c>
      <c r="B2590" s="2" t="s">
        <v>34879</v>
      </c>
      <c r="C2590" s="2">
        <v>2011</v>
      </c>
      <c r="D2590" s="2" t="s">
        <v>34884</v>
      </c>
    </row>
    <row r="2591" spans="1:4" x14ac:dyDescent="0.15">
      <c r="A2591" s="2" t="s">
        <v>34886</v>
      </c>
      <c r="B2591" s="2" t="s">
        <v>34885</v>
      </c>
      <c r="C2591" s="2">
        <v>2018</v>
      </c>
      <c r="D2591" s="2" t="s">
        <v>34889</v>
      </c>
    </row>
    <row r="2592" spans="1:4" x14ac:dyDescent="0.15">
      <c r="A2592" s="2" t="s">
        <v>34900</v>
      </c>
      <c r="B2592" s="2" t="s">
        <v>34899</v>
      </c>
      <c r="C2592" s="2">
        <v>2019</v>
      </c>
      <c r="D2592" s="2" t="s">
        <v>34904</v>
      </c>
    </row>
    <row r="2593" spans="1:4" x14ac:dyDescent="0.15">
      <c r="A2593" s="2" t="s">
        <v>34910</v>
      </c>
      <c r="B2593" s="2" t="s">
        <v>34909</v>
      </c>
      <c r="C2593" s="2">
        <v>2014</v>
      </c>
      <c r="D2593" s="2" t="s">
        <v>34916</v>
      </c>
    </row>
    <row r="2594" spans="1:4" x14ac:dyDescent="0.15">
      <c r="A2594" s="2" t="s">
        <v>34918</v>
      </c>
      <c r="B2594" s="2" t="s">
        <v>34917</v>
      </c>
      <c r="C2594" s="2">
        <v>2018</v>
      </c>
      <c r="D2594" s="2" t="s">
        <v>34922</v>
      </c>
    </row>
    <row r="2595" spans="1:4" x14ac:dyDescent="0.15">
      <c r="A2595" s="2" t="s">
        <v>34924</v>
      </c>
      <c r="B2595" s="2" t="s">
        <v>34923</v>
      </c>
      <c r="C2595" s="2">
        <v>2013</v>
      </c>
      <c r="D2595" s="2" t="s">
        <v>34928</v>
      </c>
    </row>
    <row r="2596" spans="1:4" x14ac:dyDescent="0.15">
      <c r="A2596" s="2" t="s">
        <v>34930</v>
      </c>
      <c r="B2596" s="2" t="s">
        <v>34929</v>
      </c>
      <c r="C2596" s="2">
        <v>2020</v>
      </c>
      <c r="D2596" s="2" t="s">
        <v>34935</v>
      </c>
    </row>
    <row r="2597" spans="1:4" x14ac:dyDescent="0.15">
      <c r="A2597" s="2" t="s">
        <v>34937</v>
      </c>
      <c r="B2597" s="2" t="s">
        <v>34936</v>
      </c>
      <c r="C2597" s="2">
        <v>2020</v>
      </c>
      <c r="D2597" s="2" t="s">
        <v>34940</v>
      </c>
    </row>
    <row r="2598" spans="1:4" x14ac:dyDescent="0.15">
      <c r="A2598" s="2" t="s">
        <v>34946</v>
      </c>
      <c r="B2598" s="2" t="s">
        <v>34945</v>
      </c>
      <c r="C2598" s="2">
        <v>2020</v>
      </c>
      <c r="D2598" s="2" t="s">
        <v>34949</v>
      </c>
    </row>
    <row r="2599" spans="1:4" x14ac:dyDescent="0.15">
      <c r="A2599" s="2" t="s">
        <v>34961</v>
      </c>
      <c r="B2599" s="2" t="s">
        <v>34960</v>
      </c>
      <c r="C2599" s="2">
        <v>2021</v>
      </c>
      <c r="D2599" s="2" t="s">
        <v>34965</v>
      </c>
    </row>
    <row r="2600" spans="1:4" x14ac:dyDescent="0.15">
      <c r="A2600" s="2" t="s">
        <v>34967</v>
      </c>
      <c r="B2600" s="2" t="s">
        <v>34966</v>
      </c>
      <c r="C2600" s="2">
        <v>2019</v>
      </c>
      <c r="D2600" s="2" t="s">
        <v>34970</v>
      </c>
    </row>
    <row r="2601" spans="1:4" x14ac:dyDescent="0.15">
      <c r="A2601" s="2" t="s">
        <v>34985</v>
      </c>
      <c r="B2601" s="2" t="s">
        <v>34984</v>
      </c>
      <c r="C2601" s="2">
        <v>2022</v>
      </c>
      <c r="D2601" s="2" t="s">
        <v>34989</v>
      </c>
    </row>
    <row r="2602" spans="1:4" x14ac:dyDescent="0.15">
      <c r="A2602" s="2" t="s">
        <v>34997</v>
      </c>
      <c r="B2602" s="2" t="s">
        <v>34996</v>
      </c>
      <c r="C2602" s="2">
        <v>2016</v>
      </c>
      <c r="D2602" s="2" t="s">
        <v>35001</v>
      </c>
    </row>
    <row r="2603" spans="1:4" x14ac:dyDescent="0.15">
      <c r="A2603" s="2" t="s">
        <v>35003</v>
      </c>
      <c r="B2603" s="2" t="s">
        <v>35002</v>
      </c>
      <c r="C2603" s="2">
        <v>2020</v>
      </c>
      <c r="D2603" s="2" t="s">
        <v>35007</v>
      </c>
    </row>
    <row r="2604" spans="1:4" x14ac:dyDescent="0.15">
      <c r="A2604" s="2" t="s">
        <v>35016</v>
      </c>
      <c r="B2604" s="2" t="s">
        <v>35015</v>
      </c>
      <c r="C2604" s="2">
        <v>2020</v>
      </c>
      <c r="D2604" s="2" t="s">
        <v>35020</v>
      </c>
    </row>
    <row r="2605" spans="1:4" x14ac:dyDescent="0.15">
      <c r="A2605" s="2" t="s">
        <v>35025</v>
      </c>
      <c r="B2605" s="2" t="s">
        <v>35024</v>
      </c>
      <c r="C2605" s="2">
        <v>2011</v>
      </c>
      <c r="D2605" s="2" t="s">
        <v>35028</v>
      </c>
    </row>
    <row r="2606" spans="1:4" x14ac:dyDescent="0.15">
      <c r="A2606" s="2" t="s">
        <v>35035</v>
      </c>
      <c r="B2606" s="2" t="s">
        <v>35034</v>
      </c>
      <c r="C2606" s="2">
        <v>2019</v>
      </c>
      <c r="D2606" s="2" t="s">
        <v>35039</v>
      </c>
    </row>
    <row r="2607" spans="1:4" x14ac:dyDescent="0.15">
      <c r="A2607" s="2" t="s">
        <v>35041</v>
      </c>
      <c r="B2607" s="2" t="s">
        <v>35040</v>
      </c>
      <c r="C2607" s="2">
        <v>2016</v>
      </c>
      <c r="D2607" s="2" t="s">
        <v>35046</v>
      </c>
    </row>
    <row r="2608" spans="1:4" x14ac:dyDescent="0.15">
      <c r="A2608" s="2" t="s">
        <v>35048</v>
      </c>
      <c r="B2608" s="2" t="s">
        <v>35047</v>
      </c>
      <c r="C2608" s="2">
        <v>2021</v>
      </c>
      <c r="D2608" s="2" t="s">
        <v>35052</v>
      </c>
    </row>
    <row r="2609" spans="1:4" x14ac:dyDescent="0.15">
      <c r="A2609" s="2" t="s">
        <v>35054</v>
      </c>
      <c r="B2609" s="2" t="s">
        <v>35053</v>
      </c>
      <c r="C2609" s="2">
        <v>2021</v>
      </c>
      <c r="D2609" s="2" t="s">
        <v>35058</v>
      </c>
    </row>
    <row r="2610" spans="1:4" x14ac:dyDescent="0.15">
      <c r="A2610" s="2" t="s">
        <v>35060</v>
      </c>
      <c r="B2610" s="2" t="s">
        <v>35059</v>
      </c>
      <c r="C2610" s="2">
        <v>2020</v>
      </c>
      <c r="D2610" s="2" t="s">
        <v>35063</v>
      </c>
    </row>
    <row r="2611" spans="1:4" x14ac:dyDescent="0.15">
      <c r="A2611" s="2" t="s">
        <v>35086</v>
      </c>
      <c r="B2611" s="2" t="s">
        <v>35085</v>
      </c>
      <c r="C2611" s="2">
        <v>2019</v>
      </c>
      <c r="D2611" s="2" t="s">
        <v>35090</v>
      </c>
    </row>
    <row r="2612" spans="1:4" x14ac:dyDescent="0.15">
      <c r="A2612" s="2" t="s">
        <v>35092</v>
      </c>
      <c r="B2612" s="2" t="s">
        <v>35091</v>
      </c>
      <c r="C2612" s="2">
        <v>2022</v>
      </c>
      <c r="D2612" s="2" t="s">
        <v>35096</v>
      </c>
    </row>
    <row r="2613" spans="1:4" x14ac:dyDescent="0.15">
      <c r="A2613" s="2" t="s">
        <v>35102</v>
      </c>
      <c r="B2613" s="2" t="s">
        <v>35101</v>
      </c>
      <c r="C2613" s="2">
        <v>2019</v>
      </c>
      <c r="D2613" s="2" t="s">
        <v>35107</v>
      </c>
    </row>
    <row r="2614" spans="1:4" x14ac:dyDescent="0.15">
      <c r="A2614" s="2" t="s">
        <v>35117</v>
      </c>
      <c r="B2614" s="2" t="s">
        <v>35116</v>
      </c>
      <c r="C2614" s="2">
        <v>2020</v>
      </c>
      <c r="D2614" s="2" t="s">
        <v>35121</v>
      </c>
    </row>
    <row r="2615" spans="1:4" x14ac:dyDescent="0.15">
      <c r="A2615" s="2" t="s">
        <v>35123</v>
      </c>
      <c r="B2615" s="2" t="s">
        <v>35122</v>
      </c>
      <c r="C2615" s="2">
        <v>2014</v>
      </c>
      <c r="D2615" s="2" t="s">
        <v>35126</v>
      </c>
    </row>
    <row r="2616" spans="1:4" x14ac:dyDescent="0.15">
      <c r="A2616" s="2" t="s">
        <v>35128</v>
      </c>
      <c r="B2616" s="2" t="s">
        <v>35127</v>
      </c>
      <c r="C2616" s="2">
        <v>2022</v>
      </c>
      <c r="D2616" s="2" t="s">
        <v>35132</v>
      </c>
    </row>
    <row r="2617" spans="1:4" x14ac:dyDescent="0.15">
      <c r="A2617" s="2" t="s">
        <v>35140</v>
      </c>
      <c r="B2617" s="2" t="s">
        <v>35139</v>
      </c>
      <c r="C2617" s="2">
        <v>2019</v>
      </c>
      <c r="D2617" s="2" t="s">
        <v>35143</v>
      </c>
    </row>
    <row r="2618" spans="1:4" x14ac:dyDescent="0.15">
      <c r="A2618" s="2" t="s">
        <v>35145</v>
      </c>
      <c r="B2618" s="2" t="s">
        <v>35144</v>
      </c>
      <c r="C2618" s="2">
        <v>2015</v>
      </c>
      <c r="D2618" s="2" t="s">
        <v>35149</v>
      </c>
    </row>
    <row r="2619" spans="1:4" x14ac:dyDescent="0.15">
      <c r="A2619" s="2" t="s">
        <v>35151</v>
      </c>
      <c r="B2619" s="2" t="s">
        <v>35150</v>
      </c>
      <c r="C2619" s="2">
        <v>2020</v>
      </c>
      <c r="D2619" s="2" t="s">
        <v>35154</v>
      </c>
    </row>
    <row r="2620" spans="1:4" x14ac:dyDescent="0.15">
      <c r="A2620" s="2" t="s">
        <v>35156</v>
      </c>
      <c r="B2620" s="2" t="s">
        <v>35155</v>
      </c>
      <c r="C2620" s="2">
        <v>2020</v>
      </c>
      <c r="D2620" s="2" t="s">
        <v>35159</v>
      </c>
    </row>
    <row r="2621" spans="1:4" x14ac:dyDescent="0.15">
      <c r="A2621" s="2" t="s">
        <v>35164</v>
      </c>
      <c r="B2621" s="2" t="s">
        <v>35163</v>
      </c>
      <c r="C2621" s="2">
        <v>2021</v>
      </c>
      <c r="D2621" s="2" t="s">
        <v>35168</v>
      </c>
    </row>
    <row r="2622" spans="1:4" x14ac:dyDescent="0.15">
      <c r="A2622" s="2" t="s">
        <v>35191</v>
      </c>
      <c r="B2622" s="2" t="s">
        <v>35190</v>
      </c>
      <c r="C2622" s="2">
        <v>2020</v>
      </c>
      <c r="D2622" s="2" t="s">
        <v>35194</v>
      </c>
    </row>
    <row r="2623" spans="1:4" x14ac:dyDescent="0.15">
      <c r="A2623" s="2" t="s">
        <v>35210</v>
      </c>
      <c r="B2623" s="2" t="s">
        <v>35209</v>
      </c>
      <c r="C2623" s="2">
        <v>2020</v>
      </c>
      <c r="D2623" s="2" t="s">
        <v>35214</v>
      </c>
    </row>
    <row r="2624" spans="1:4" x14ac:dyDescent="0.15">
      <c r="A2624" s="2" t="s">
        <v>35219</v>
      </c>
      <c r="B2624" s="2" t="s">
        <v>35218</v>
      </c>
      <c r="C2624" s="2">
        <v>2017</v>
      </c>
      <c r="D2624" s="2" t="s">
        <v>35223</v>
      </c>
    </row>
    <row r="2625" spans="1:4" x14ac:dyDescent="0.15">
      <c r="A2625" s="2" t="s">
        <v>35234</v>
      </c>
      <c r="B2625" s="2" t="s">
        <v>35233</v>
      </c>
      <c r="C2625" s="2">
        <v>2021</v>
      </c>
      <c r="D2625" s="2" t="s">
        <v>35238</v>
      </c>
    </row>
    <row r="2626" spans="1:4" x14ac:dyDescent="0.15">
      <c r="A2626" s="2" t="s">
        <v>35252</v>
      </c>
      <c r="B2626" s="2" t="s">
        <v>35251</v>
      </c>
      <c r="C2626" s="2">
        <v>2019</v>
      </c>
      <c r="D2626" s="2" t="s">
        <v>35256</v>
      </c>
    </row>
    <row r="2627" spans="1:4" x14ac:dyDescent="0.15">
      <c r="A2627" s="2" t="s">
        <v>35258</v>
      </c>
      <c r="B2627" s="2" t="s">
        <v>35257</v>
      </c>
      <c r="C2627" s="2">
        <v>2021</v>
      </c>
      <c r="D2627" s="2" t="s">
        <v>35263</v>
      </c>
    </row>
    <row r="2628" spans="1:4" x14ac:dyDescent="0.15">
      <c r="A2628" s="2" t="s">
        <v>35280</v>
      </c>
      <c r="B2628" s="2" t="s">
        <v>35279</v>
      </c>
      <c r="C2628" s="2">
        <v>2018</v>
      </c>
      <c r="D2628" s="2" t="s">
        <v>35284</v>
      </c>
    </row>
    <row r="2629" spans="1:4" x14ac:dyDescent="0.15">
      <c r="A2629" s="2" t="s">
        <v>35286</v>
      </c>
      <c r="B2629" s="2" t="s">
        <v>35285</v>
      </c>
      <c r="C2629" s="2">
        <v>2021</v>
      </c>
      <c r="D2629" s="2" t="s">
        <v>35290</v>
      </c>
    </row>
    <row r="2630" spans="1:4" x14ac:dyDescent="0.15">
      <c r="A2630" s="2" t="s">
        <v>35292</v>
      </c>
      <c r="B2630" s="2" t="s">
        <v>35291</v>
      </c>
      <c r="C2630" s="2">
        <v>2015</v>
      </c>
      <c r="D2630" s="2" t="s">
        <v>35296</v>
      </c>
    </row>
    <row r="2631" spans="1:4" x14ac:dyDescent="0.15">
      <c r="A2631" s="2" t="s">
        <v>35298</v>
      </c>
      <c r="B2631" s="2" t="s">
        <v>35297</v>
      </c>
      <c r="C2631" s="2">
        <v>2021</v>
      </c>
      <c r="D2631" s="2" t="s">
        <v>35302</v>
      </c>
    </row>
    <row r="2632" spans="1:4" x14ac:dyDescent="0.15">
      <c r="A2632" s="2" t="s">
        <v>35304</v>
      </c>
      <c r="B2632" s="2" t="s">
        <v>35303</v>
      </c>
      <c r="C2632" s="2">
        <v>2021</v>
      </c>
      <c r="D2632" s="2" t="s">
        <v>35309</v>
      </c>
    </row>
    <row r="2633" spans="1:4" x14ac:dyDescent="0.15">
      <c r="A2633" s="2" t="s">
        <v>35314</v>
      </c>
      <c r="B2633" s="2" t="s">
        <v>35313</v>
      </c>
      <c r="C2633" s="2">
        <v>2021</v>
      </c>
      <c r="D2633" s="2" t="s">
        <v>35318</v>
      </c>
    </row>
    <row r="2634" spans="1:4" x14ac:dyDescent="0.15">
      <c r="A2634" s="2" t="s">
        <v>35331</v>
      </c>
      <c r="B2634" s="2" t="s">
        <v>35330</v>
      </c>
      <c r="C2634" s="2">
        <v>2017</v>
      </c>
      <c r="D2634" s="2" t="s">
        <v>35334</v>
      </c>
    </row>
    <row r="2635" spans="1:4" x14ac:dyDescent="0.15">
      <c r="A2635" s="2" t="s">
        <v>35336</v>
      </c>
      <c r="B2635" s="2" t="s">
        <v>35335</v>
      </c>
      <c r="C2635" s="2">
        <v>2021</v>
      </c>
      <c r="D2635" s="2" t="s">
        <v>35342</v>
      </c>
    </row>
    <row r="2636" spans="1:4" x14ac:dyDescent="0.15">
      <c r="A2636" s="2" t="s">
        <v>35344</v>
      </c>
      <c r="B2636" s="2" t="s">
        <v>35343</v>
      </c>
      <c r="C2636" s="2">
        <v>2021</v>
      </c>
      <c r="D2636" s="2" t="s">
        <v>35349</v>
      </c>
    </row>
    <row r="2637" spans="1:4" x14ac:dyDescent="0.15">
      <c r="A2637" s="2" t="s">
        <v>35376</v>
      </c>
      <c r="B2637" s="2" t="s">
        <v>35375</v>
      </c>
      <c r="C2637" s="2">
        <v>2014</v>
      </c>
      <c r="D2637" s="2" t="s">
        <v>35380</v>
      </c>
    </row>
    <row r="2638" spans="1:4" x14ac:dyDescent="0.15">
      <c r="A2638" s="2" t="s">
        <v>35382</v>
      </c>
      <c r="B2638" s="2" t="s">
        <v>35381</v>
      </c>
      <c r="C2638" s="2">
        <v>2022</v>
      </c>
      <c r="D2638" s="2" t="s">
        <v>35386</v>
      </c>
    </row>
    <row r="2639" spans="1:4" x14ac:dyDescent="0.15">
      <c r="A2639" s="2" t="s">
        <v>35388</v>
      </c>
      <c r="B2639" s="2" t="s">
        <v>35387</v>
      </c>
      <c r="C2639" s="2">
        <v>2011</v>
      </c>
      <c r="D2639" s="2" t="s">
        <v>35392</v>
      </c>
    </row>
    <row r="2640" spans="1:4" x14ac:dyDescent="0.15">
      <c r="A2640" s="2" t="s">
        <v>35393</v>
      </c>
      <c r="B2640" s="2" t="s">
        <v>8941</v>
      </c>
      <c r="C2640" s="2">
        <v>2019</v>
      </c>
      <c r="D2640" s="2" t="s">
        <v>8951</v>
      </c>
    </row>
    <row r="2641" spans="1:4" x14ac:dyDescent="0.15">
      <c r="A2641" s="2" t="s">
        <v>35402</v>
      </c>
      <c r="B2641" s="2" t="s">
        <v>35401</v>
      </c>
      <c r="C2641" s="2">
        <v>2021</v>
      </c>
      <c r="D2641" s="2" t="s">
        <v>35406</v>
      </c>
    </row>
    <row r="2642" spans="1:4" x14ac:dyDescent="0.15">
      <c r="A2642" s="2" t="s">
        <v>35412</v>
      </c>
      <c r="B2642" s="2" t="s">
        <v>35411</v>
      </c>
      <c r="C2642" s="2">
        <v>2016</v>
      </c>
      <c r="D2642" s="2" t="s">
        <v>35417</v>
      </c>
    </row>
    <row r="2643" spans="1:4" x14ac:dyDescent="0.15">
      <c r="A2643" s="2" t="s">
        <v>35428</v>
      </c>
      <c r="B2643" s="2" t="s">
        <v>35427</v>
      </c>
      <c r="C2643" s="2">
        <v>2013</v>
      </c>
      <c r="D2643" s="2" t="s">
        <v>35433</v>
      </c>
    </row>
    <row r="2644" spans="1:4" x14ac:dyDescent="0.15">
      <c r="A2644" s="2" t="s">
        <v>35435</v>
      </c>
      <c r="B2644" s="2" t="s">
        <v>35434</v>
      </c>
      <c r="C2644" s="2">
        <v>2022</v>
      </c>
      <c r="D2644" s="2" t="s">
        <v>35439</v>
      </c>
    </row>
    <row r="2645" spans="1:4" x14ac:dyDescent="0.15">
      <c r="A2645" s="2" t="s">
        <v>35441</v>
      </c>
      <c r="B2645" s="2" t="s">
        <v>35440</v>
      </c>
      <c r="C2645" s="2">
        <v>2021</v>
      </c>
      <c r="D2645" s="2" t="s">
        <v>35443</v>
      </c>
    </row>
    <row r="2646" spans="1:4" x14ac:dyDescent="0.15">
      <c r="A2646" s="2" t="s">
        <v>35445</v>
      </c>
      <c r="B2646" s="2" t="s">
        <v>35444</v>
      </c>
      <c r="C2646" s="2">
        <v>2021</v>
      </c>
      <c r="D2646" s="2" t="s">
        <v>35448</v>
      </c>
    </row>
    <row r="2647" spans="1:4" x14ac:dyDescent="0.15">
      <c r="A2647" s="2" t="s">
        <v>35450</v>
      </c>
      <c r="B2647" s="2" t="s">
        <v>35449</v>
      </c>
      <c r="C2647" s="2">
        <v>2018</v>
      </c>
      <c r="D2647" s="2" t="s">
        <v>35453</v>
      </c>
    </row>
    <row r="2648" spans="1:4" x14ac:dyDescent="0.15">
      <c r="A2648" s="2" t="s">
        <v>35459</v>
      </c>
      <c r="B2648" s="2" t="s">
        <v>35458</v>
      </c>
      <c r="C2648" s="2">
        <v>2018</v>
      </c>
      <c r="D2648" s="2" t="s">
        <v>35463</v>
      </c>
    </row>
    <row r="2649" spans="1:4" x14ac:dyDescent="0.15">
      <c r="A2649" s="2" t="s">
        <v>35465</v>
      </c>
      <c r="B2649" s="2" t="s">
        <v>35464</v>
      </c>
      <c r="C2649" s="2">
        <v>2018</v>
      </c>
      <c r="D2649" s="2" t="s">
        <v>35468</v>
      </c>
    </row>
    <row r="2650" spans="1:4" x14ac:dyDescent="0.15">
      <c r="A2650" s="2" t="s">
        <v>35482</v>
      </c>
      <c r="B2650" s="2" t="s">
        <v>35481</v>
      </c>
      <c r="C2650" s="2">
        <v>2018</v>
      </c>
      <c r="D2650" s="2" t="s">
        <v>35487</v>
      </c>
    </row>
    <row r="2651" spans="1:4" x14ac:dyDescent="0.15">
      <c r="A2651" s="2" t="s">
        <v>35489</v>
      </c>
      <c r="B2651" s="2" t="s">
        <v>35488</v>
      </c>
      <c r="C2651" s="2">
        <v>2014</v>
      </c>
      <c r="D2651" s="2" t="s">
        <v>35494</v>
      </c>
    </row>
    <row r="2652" spans="1:4" x14ac:dyDescent="0.15">
      <c r="A2652" s="2" t="s">
        <v>35496</v>
      </c>
      <c r="B2652" s="2" t="s">
        <v>35495</v>
      </c>
      <c r="C2652" s="2">
        <v>2013</v>
      </c>
      <c r="D2652" s="2" t="s">
        <v>35500</v>
      </c>
    </row>
    <row r="2653" spans="1:4" x14ac:dyDescent="0.15">
      <c r="A2653" s="2" t="s">
        <v>35502</v>
      </c>
      <c r="B2653" s="2" t="s">
        <v>35501</v>
      </c>
      <c r="C2653" s="2">
        <v>2018</v>
      </c>
      <c r="D2653" s="2" t="s">
        <v>35505</v>
      </c>
    </row>
    <row r="2654" spans="1:4" x14ac:dyDescent="0.15">
      <c r="A2654" s="2" t="s">
        <v>35507</v>
      </c>
      <c r="B2654" s="2" t="s">
        <v>35506</v>
      </c>
      <c r="C2654" s="2">
        <v>2021</v>
      </c>
      <c r="D2654" s="2" t="s">
        <v>35511</v>
      </c>
    </row>
    <row r="2655" spans="1:4" x14ac:dyDescent="0.15">
      <c r="A2655" s="2" t="s">
        <v>35513</v>
      </c>
      <c r="B2655" s="2" t="s">
        <v>35512</v>
      </c>
      <c r="C2655" s="2">
        <v>2017</v>
      </c>
      <c r="D2655" s="2" t="s">
        <v>35519</v>
      </c>
    </row>
    <row r="2656" spans="1:4" x14ac:dyDescent="0.15">
      <c r="A2656" s="2" t="s">
        <v>35535</v>
      </c>
      <c r="B2656" s="2" t="s">
        <v>35534</v>
      </c>
      <c r="C2656" s="2">
        <v>2018</v>
      </c>
      <c r="D2656" s="2" t="s">
        <v>35541</v>
      </c>
    </row>
    <row r="2657" spans="1:4" x14ac:dyDescent="0.15">
      <c r="A2657" s="2" t="s">
        <v>35543</v>
      </c>
      <c r="B2657" s="2" t="s">
        <v>35542</v>
      </c>
      <c r="C2657" s="2">
        <v>2020</v>
      </c>
      <c r="D2657" s="2" t="s">
        <v>35549</v>
      </c>
    </row>
    <row r="2658" spans="1:4" x14ac:dyDescent="0.15">
      <c r="A2658" s="2" t="s">
        <v>35551</v>
      </c>
      <c r="B2658" s="2" t="s">
        <v>35550</v>
      </c>
      <c r="C2658" s="2">
        <v>2018</v>
      </c>
      <c r="D2658" s="2" t="s">
        <v>35554</v>
      </c>
    </row>
    <row r="2659" spans="1:4" x14ac:dyDescent="0.15">
      <c r="A2659" s="2" t="s">
        <v>35559</v>
      </c>
      <c r="B2659" s="2" t="s">
        <v>35558</v>
      </c>
      <c r="C2659" s="2">
        <v>2021</v>
      </c>
      <c r="D2659" s="2" t="s">
        <v>35563</v>
      </c>
    </row>
    <row r="2660" spans="1:4" x14ac:dyDescent="0.15">
      <c r="A2660" s="2" t="s">
        <v>35578</v>
      </c>
      <c r="B2660" s="2" t="s">
        <v>35577</v>
      </c>
      <c r="C2660" s="2">
        <v>2004</v>
      </c>
      <c r="D2660" s="2" t="s">
        <v>35582</v>
      </c>
    </row>
    <row r="2661" spans="1:4" x14ac:dyDescent="0.15">
      <c r="A2661" s="2" t="s">
        <v>35600</v>
      </c>
      <c r="B2661" s="2" t="s">
        <v>35599</v>
      </c>
      <c r="C2661" s="2">
        <v>2020</v>
      </c>
      <c r="D2661" s="2" t="s">
        <v>35605</v>
      </c>
    </row>
    <row r="2662" spans="1:4" x14ac:dyDescent="0.15">
      <c r="A2662" s="2" t="s">
        <v>35607</v>
      </c>
      <c r="B2662" s="2" t="s">
        <v>35606</v>
      </c>
      <c r="C2662" s="2">
        <v>2016</v>
      </c>
      <c r="D2662" s="2" t="s">
        <v>35612</v>
      </c>
    </row>
    <row r="2663" spans="1:4" x14ac:dyDescent="0.15">
      <c r="A2663" s="2" t="s">
        <v>35618</v>
      </c>
      <c r="B2663" s="2" t="s">
        <v>35617</v>
      </c>
      <c r="C2663" s="2">
        <v>2018</v>
      </c>
      <c r="D2663" s="2" t="s">
        <v>35621</v>
      </c>
    </row>
    <row r="2664" spans="1:4" x14ac:dyDescent="0.15">
      <c r="A2664" s="2" t="s">
        <v>35632</v>
      </c>
      <c r="B2664" s="2" t="s">
        <v>35631</v>
      </c>
      <c r="C2664" s="2">
        <v>2021</v>
      </c>
      <c r="D2664" s="2" t="s">
        <v>35636</v>
      </c>
    </row>
    <row r="2665" spans="1:4" x14ac:dyDescent="0.15">
      <c r="A2665" s="2" t="s">
        <v>35645</v>
      </c>
      <c r="B2665" s="2" t="s">
        <v>35644</v>
      </c>
      <c r="C2665" s="2">
        <v>2018</v>
      </c>
      <c r="D2665" s="2" t="s">
        <v>35649</v>
      </c>
    </row>
    <row r="2666" spans="1:4" x14ac:dyDescent="0.15">
      <c r="A2666" s="2" t="s">
        <v>35655</v>
      </c>
      <c r="B2666" s="2" t="s">
        <v>35654</v>
      </c>
      <c r="C2666" s="2">
        <v>2020</v>
      </c>
      <c r="D2666" s="2" t="s">
        <v>35661</v>
      </c>
    </row>
    <row r="2667" spans="1:4" x14ac:dyDescent="0.15">
      <c r="A2667" s="2" t="s">
        <v>35663</v>
      </c>
      <c r="B2667" s="2" t="s">
        <v>35662</v>
      </c>
      <c r="C2667" s="2">
        <v>2014</v>
      </c>
      <c r="D2667" s="2" t="s">
        <v>35668</v>
      </c>
    </row>
    <row r="2668" spans="1:4" x14ac:dyDescent="0.15">
      <c r="A2668" s="2" t="s">
        <v>35673</v>
      </c>
      <c r="B2668" s="2" t="s">
        <v>35672</v>
      </c>
      <c r="C2668" s="2">
        <v>2018</v>
      </c>
      <c r="D2668" s="2" t="s">
        <v>35678</v>
      </c>
    </row>
    <row r="2669" spans="1:4" x14ac:dyDescent="0.15">
      <c r="A2669" s="2" t="s">
        <v>35680</v>
      </c>
      <c r="B2669" s="2" t="s">
        <v>35679</v>
      </c>
      <c r="C2669" s="2">
        <v>2020</v>
      </c>
      <c r="D2669" s="2" t="s">
        <v>35682</v>
      </c>
    </row>
    <row r="2670" spans="1:4" x14ac:dyDescent="0.15">
      <c r="A2670" s="2" t="s">
        <v>35684</v>
      </c>
      <c r="B2670" s="2" t="s">
        <v>35683</v>
      </c>
      <c r="C2670" s="2">
        <v>2019</v>
      </c>
      <c r="D2670" s="2" t="s">
        <v>35688</v>
      </c>
    </row>
    <row r="2671" spans="1:4" x14ac:dyDescent="0.15">
      <c r="A2671" s="2" t="s">
        <v>35690</v>
      </c>
      <c r="B2671" s="2" t="s">
        <v>35689</v>
      </c>
      <c r="C2671" s="2">
        <v>2021</v>
      </c>
      <c r="D2671" s="2" t="s">
        <v>35694</v>
      </c>
    </row>
    <row r="2672" spans="1:4" x14ac:dyDescent="0.15">
      <c r="A2672" s="2" t="s">
        <v>35700</v>
      </c>
      <c r="B2672" s="2" t="s">
        <v>35699</v>
      </c>
      <c r="C2672" s="2">
        <v>2021</v>
      </c>
      <c r="D2672" s="2" t="s">
        <v>35703</v>
      </c>
    </row>
    <row r="2673" spans="1:4" x14ac:dyDescent="0.15">
      <c r="A2673" s="2" t="s">
        <v>35705</v>
      </c>
      <c r="B2673" s="2" t="s">
        <v>35704</v>
      </c>
      <c r="C2673" s="2">
        <v>2016</v>
      </c>
      <c r="D2673" s="2" t="s">
        <v>35710</v>
      </c>
    </row>
    <row r="2674" spans="1:4" x14ac:dyDescent="0.15">
      <c r="A2674" s="2" t="s">
        <v>35712</v>
      </c>
      <c r="B2674" s="2" t="s">
        <v>35711</v>
      </c>
      <c r="C2674" s="2">
        <v>2017</v>
      </c>
      <c r="D2674" s="2" t="s">
        <v>35715</v>
      </c>
    </row>
    <row r="2675" spans="1:4" x14ac:dyDescent="0.15">
      <c r="A2675" s="2" t="s">
        <v>35724</v>
      </c>
      <c r="B2675" s="2" t="s">
        <v>35723</v>
      </c>
      <c r="C2675" s="2">
        <v>2014</v>
      </c>
      <c r="D2675" s="2" t="s">
        <v>35727</v>
      </c>
    </row>
    <row r="2676" spans="1:4" x14ac:dyDescent="0.15">
      <c r="A2676" s="2" t="s">
        <v>35733</v>
      </c>
      <c r="B2676" s="2" t="s">
        <v>35732</v>
      </c>
      <c r="C2676" s="2">
        <v>2020</v>
      </c>
      <c r="D2676" s="2" t="s">
        <v>35736</v>
      </c>
    </row>
    <row r="2677" spans="1:4" x14ac:dyDescent="0.15">
      <c r="A2677" s="2" t="s">
        <v>35746</v>
      </c>
      <c r="B2677" s="2" t="s">
        <v>35745</v>
      </c>
      <c r="C2677" s="2">
        <v>2020</v>
      </c>
      <c r="D2677" s="2" t="s">
        <v>35749</v>
      </c>
    </row>
    <row r="2678" spans="1:4" x14ac:dyDescent="0.15">
      <c r="A2678" s="2" t="s">
        <v>35751</v>
      </c>
      <c r="B2678" s="2" t="s">
        <v>35750</v>
      </c>
      <c r="C2678" s="2">
        <v>2015</v>
      </c>
      <c r="D2678" s="2" t="s">
        <v>35755</v>
      </c>
    </row>
    <row r="2679" spans="1:4" x14ac:dyDescent="0.15">
      <c r="A2679" s="2" t="s">
        <v>35757</v>
      </c>
      <c r="B2679" s="2" t="s">
        <v>35756</v>
      </c>
      <c r="C2679" s="2">
        <v>2013</v>
      </c>
      <c r="D2679" s="2" t="s">
        <v>35761</v>
      </c>
    </row>
    <row r="2680" spans="1:4" x14ac:dyDescent="0.15">
      <c r="A2680" s="2" t="s">
        <v>35767</v>
      </c>
      <c r="B2680" s="2" t="s">
        <v>35766</v>
      </c>
      <c r="C2680" s="2">
        <v>1991</v>
      </c>
      <c r="D2680" s="2" t="s">
        <v>35770</v>
      </c>
    </row>
    <row r="2681" spans="1:4" x14ac:dyDescent="0.15">
      <c r="A2681" s="2" t="s">
        <v>35772</v>
      </c>
      <c r="B2681" s="2" t="s">
        <v>35771</v>
      </c>
      <c r="C2681" s="2">
        <v>2018</v>
      </c>
      <c r="D2681" s="2" t="s">
        <v>35775</v>
      </c>
    </row>
    <row r="2682" spans="1:4" x14ac:dyDescent="0.15">
      <c r="A2682" s="2" t="s">
        <v>35777</v>
      </c>
      <c r="B2682" s="2" t="s">
        <v>35776</v>
      </c>
      <c r="C2682" s="2">
        <v>2021</v>
      </c>
      <c r="D2682" s="2" t="s">
        <v>35781</v>
      </c>
    </row>
    <row r="2683" spans="1:4" x14ac:dyDescent="0.15">
      <c r="A2683" s="2" t="s">
        <v>35783</v>
      </c>
      <c r="B2683" s="2" t="s">
        <v>35782</v>
      </c>
      <c r="C2683" s="2">
        <v>2020</v>
      </c>
      <c r="D2683" s="2" t="s">
        <v>35786</v>
      </c>
    </row>
    <row r="2684" spans="1:4" x14ac:dyDescent="0.15">
      <c r="A2684" s="2" t="s">
        <v>35799</v>
      </c>
      <c r="B2684" s="2" t="s">
        <v>35798</v>
      </c>
      <c r="C2684" s="2">
        <v>2021</v>
      </c>
      <c r="D2684" s="2" t="s">
        <v>35802</v>
      </c>
    </row>
    <row r="2685" spans="1:4" x14ac:dyDescent="0.15">
      <c r="A2685" s="2" t="s">
        <v>35818</v>
      </c>
      <c r="B2685" s="2" t="s">
        <v>35817</v>
      </c>
      <c r="C2685" s="2">
        <v>2017</v>
      </c>
      <c r="D2685" s="2" t="s">
        <v>35824</v>
      </c>
    </row>
    <row r="2686" spans="1:4" x14ac:dyDescent="0.15">
      <c r="A2686" s="2" t="s">
        <v>35828</v>
      </c>
      <c r="B2686" s="2" t="s">
        <v>35827</v>
      </c>
      <c r="C2686" s="2">
        <v>2021</v>
      </c>
      <c r="D2686" s="2" t="s">
        <v>35831</v>
      </c>
    </row>
    <row r="2687" spans="1:4" x14ac:dyDescent="0.15">
      <c r="A2687" s="2" t="s">
        <v>35833</v>
      </c>
      <c r="B2687" s="2" t="s">
        <v>35832</v>
      </c>
      <c r="C2687" s="2">
        <v>2021</v>
      </c>
      <c r="D2687" s="2" t="s">
        <v>35839</v>
      </c>
    </row>
    <row r="2688" spans="1:4" x14ac:dyDescent="0.15">
      <c r="A2688" s="2" t="s">
        <v>35841</v>
      </c>
      <c r="B2688" s="2" t="s">
        <v>35840</v>
      </c>
      <c r="C2688" s="2">
        <v>2021</v>
      </c>
      <c r="D2688" s="2" t="s">
        <v>35843</v>
      </c>
    </row>
    <row r="2689" spans="1:4" x14ac:dyDescent="0.15">
      <c r="A2689" s="2" t="s">
        <v>35845</v>
      </c>
      <c r="B2689" s="2" t="s">
        <v>35844</v>
      </c>
      <c r="C2689" s="2">
        <v>2006</v>
      </c>
      <c r="D2689" s="2" t="s">
        <v>35848</v>
      </c>
    </row>
    <row r="2690" spans="1:4" x14ac:dyDescent="0.15">
      <c r="A2690" s="2" t="s">
        <v>35859</v>
      </c>
      <c r="B2690" s="2" t="s">
        <v>35858</v>
      </c>
      <c r="C2690" s="2">
        <v>2022</v>
      </c>
      <c r="D2690" s="2" t="s">
        <v>35862</v>
      </c>
    </row>
    <row r="2691" spans="1:4" x14ac:dyDescent="0.15">
      <c r="A2691" s="2" t="s">
        <v>35864</v>
      </c>
      <c r="B2691" s="2" t="s">
        <v>35863</v>
      </c>
      <c r="C2691" s="2">
        <v>2012</v>
      </c>
      <c r="D2691" s="2" t="s">
        <v>18564</v>
      </c>
    </row>
    <row r="2692" spans="1:4" x14ac:dyDescent="0.15">
      <c r="A2692" s="2" t="s">
        <v>35869</v>
      </c>
      <c r="B2692" s="2" t="s">
        <v>35868</v>
      </c>
      <c r="C2692" s="2">
        <v>2019</v>
      </c>
      <c r="D2692" s="2" t="s">
        <v>35873</v>
      </c>
    </row>
    <row r="2693" spans="1:4" x14ac:dyDescent="0.15">
      <c r="A2693" s="2" t="s">
        <v>35875</v>
      </c>
      <c r="B2693" s="2" t="s">
        <v>35874</v>
      </c>
      <c r="C2693" s="2">
        <v>2017</v>
      </c>
      <c r="D2693" s="2" t="s">
        <v>35879</v>
      </c>
    </row>
    <row r="2694" spans="1:4" x14ac:dyDescent="0.15">
      <c r="A2694" s="2" t="s">
        <v>35881</v>
      </c>
      <c r="B2694" s="2" t="s">
        <v>35880</v>
      </c>
      <c r="C2694" s="2">
        <v>2013</v>
      </c>
      <c r="D2694" s="2" t="s">
        <v>35884</v>
      </c>
    </row>
    <row r="2695" spans="1:4" x14ac:dyDescent="0.15">
      <c r="A2695" s="2" t="s">
        <v>35886</v>
      </c>
      <c r="B2695" s="2" t="s">
        <v>35885</v>
      </c>
      <c r="C2695" s="2">
        <v>2020</v>
      </c>
      <c r="D2695" s="2" t="s">
        <v>35890</v>
      </c>
    </row>
    <row r="2696" spans="1:4" x14ac:dyDescent="0.15">
      <c r="A2696" s="2" t="s">
        <v>35892</v>
      </c>
      <c r="B2696" s="2" t="s">
        <v>35891</v>
      </c>
      <c r="C2696" s="2">
        <v>2005</v>
      </c>
      <c r="D2696" s="2" t="s">
        <v>35895</v>
      </c>
    </row>
    <row r="2697" spans="1:4" x14ac:dyDescent="0.15">
      <c r="A2697" s="2" t="s">
        <v>35902</v>
      </c>
      <c r="B2697" s="2" t="s">
        <v>35901</v>
      </c>
      <c r="C2697" s="2">
        <v>2015</v>
      </c>
      <c r="D2697" s="2" t="s">
        <v>35907</v>
      </c>
    </row>
    <row r="2698" spans="1:4" x14ac:dyDescent="0.15">
      <c r="A2698" s="2" t="s">
        <v>35909</v>
      </c>
      <c r="B2698" s="2" t="s">
        <v>35908</v>
      </c>
      <c r="C2698" s="2">
        <v>1992</v>
      </c>
      <c r="D2698" s="2" t="s">
        <v>35913</v>
      </c>
    </row>
    <row r="2699" spans="1:4" x14ac:dyDescent="0.15">
      <c r="A2699" s="2" t="s">
        <v>35918</v>
      </c>
      <c r="B2699" s="2" t="s">
        <v>35917</v>
      </c>
      <c r="C2699" s="2">
        <v>2005</v>
      </c>
      <c r="D2699" s="2" t="s">
        <v>35920</v>
      </c>
    </row>
    <row r="2700" spans="1:4" x14ac:dyDescent="0.15">
      <c r="A2700" s="2" t="s">
        <v>35922</v>
      </c>
      <c r="B2700" s="2" t="s">
        <v>35921</v>
      </c>
      <c r="C2700" s="2">
        <v>1986</v>
      </c>
      <c r="D2700" s="2" t="s">
        <v>35926</v>
      </c>
    </row>
    <row r="2701" spans="1:4" x14ac:dyDescent="0.15">
      <c r="A2701" s="2" t="s">
        <v>35928</v>
      </c>
      <c r="B2701" s="2" t="s">
        <v>35927</v>
      </c>
      <c r="C2701" s="2">
        <v>2015</v>
      </c>
      <c r="D2701" s="2" t="s">
        <v>35933</v>
      </c>
    </row>
    <row r="2702" spans="1:4" x14ac:dyDescent="0.15">
      <c r="A2702" s="2" t="s">
        <v>35938</v>
      </c>
      <c r="B2702" s="2" t="s">
        <v>35937</v>
      </c>
      <c r="C2702" s="2">
        <v>2013</v>
      </c>
      <c r="D2702" s="2" t="s">
        <v>35942</v>
      </c>
    </row>
    <row r="2703" spans="1:4" x14ac:dyDescent="0.15">
      <c r="A2703" s="2" t="s">
        <v>35953</v>
      </c>
      <c r="B2703" s="2" t="s">
        <v>35952</v>
      </c>
      <c r="C2703" s="2">
        <v>2018</v>
      </c>
      <c r="D2703" s="2" t="s">
        <v>35957</v>
      </c>
    </row>
    <row r="2704" spans="1:4" x14ac:dyDescent="0.15">
      <c r="A2704" s="2" t="s">
        <v>35959</v>
      </c>
      <c r="B2704" s="2" t="s">
        <v>35958</v>
      </c>
      <c r="C2704" s="2">
        <v>1990</v>
      </c>
      <c r="D2704" s="2" t="s">
        <v>35963</v>
      </c>
    </row>
    <row r="2705" spans="1:4" x14ac:dyDescent="0.15">
      <c r="A2705" s="2" t="s">
        <v>35965</v>
      </c>
      <c r="B2705" s="2" t="s">
        <v>35964</v>
      </c>
      <c r="C2705" s="2">
        <v>2010</v>
      </c>
      <c r="D2705" s="2" t="s">
        <v>35968</v>
      </c>
    </row>
    <row r="2706" spans="1:4" x14ac:dyDescent="0.15">
      <c r="A2706" s="2" t="s">
        <v>35970</v>
      </c>
      <c r="B2706" s="2" t="s">
        <v>35969</v>
      </c>
      <c r="C2706" s="2">
        <v>1982</v>
      </c>
      <c r="D2706" s="2" t="s">
        <v>35974</v>
      </c>
    </row>
    <row r="2707" spans="1:4" x14ac:dyDescent="0.15">
      <c r="A2707" s="2" t="s">
        <v>35976</v>
      </c>
      <c r="B2707" s="2" t="s">
        <v>35975</v>
      </c>
      <c r="C2707" s="2">
        <v>2010</v>
      </c>
      <c r="D2707" s="2" t="s">
        <v>35980</v>
      </c>
    </row>
    <row r="2708" spans="1:4" x14ac:dyDescent="0.15">
      <c r="A2708" s="2" t="s">
        <v>35982</v>
      </c>
      <c r="B2708" s="2" t="s">
        <v>35981</v>
      </c>
      <c r="C2708" s="2">
        <v>2014</v>
      </c>
      <c r="D2708" s="2" t="s">
        <v>35988</v>
      </c>
    </row>
    <row r="2709" spans="1:4" x14ac:dyDescent="0.15">
      <c r="A2709" s="2" t="s">
        <v>35994</v>
      </c>
      <c r="B2709" s="2" t="s">
        <v>35993</v>
      </c>
      <c r="C2709" s="2">
        <v>2017</v>
      </c>
      <c r="D2709" s="2" t="s">
        <v>35997</v>
      </c>
    </row>
    <row r="2710" spans="1:4" x14ac:dyDescent="0.15">
      <c r="A2710" s="2" t="s">
        <v>36005</v>
      </c>
      <c r="B2710" s="2" t="s">
        <v>36004</v>
      </c>
      <c r="C2710" s="2">
        <v>2004</v>
      </c>
      <c r="D2710" s="2" t="s">
        <v>36009</v>
      </c>
    </row>
    <row r="2711" spans="1:4" x14ac:dyDescent="0.15">
      <c r="A2711" s="2" t="s">
        <v>36011</v>
      </c>
      <c r="B2711" s="2" t="s">
        <v>36010</v>
      </c>
      <c r="C2711" s="2">
        <v>2007</v>
      </c>
      <c r="D2711" s="2" t="s">
        <v>36015</v>
      </c>
    </row>
    <row r="2712" spans="1:4" x14ac:dyDescent="0.15">
      <c r="A2712" s="2" t="s">
        <v>36020</v>
      </c>
      <c r="B2712" s="2" t="s">
        <v>36019</v>
      </c>
      <c r="C2712" s="2">
        <v>2007</v>
      </c>
      <c r="D2712" s="2" t="s">
        <v>36024</v>
      </c>
    </row>
    <row r="2713" spans="1:4" x14ac:dyDescent="0.15">
      <c r="A2713" s="2" t="s">
        <v>36026</v>
      </c>
      <c r="B2713" s="2" t="s">
        <v>36025</v>
      </c>
      <c r="C2713" s="2">
        <v>2013</v>
      </c>
      <c r="D2713" s="2" t="s">
        <v>36032</v>
      </c>
    </row>
    <row r="2714" spans="1:4" x14ac:dyDescent="0.15">
      <c r="A2714" s="2" t="s">
        <v>36034</v>
      </c>
      <c r="B2714" s="2" t="s">
        <v>36033</v>
      </c>
      <c r="C2714" s="2">
        <v>2018</v>
      </c>
      <c r="D2714" s="2" t="s">
        <v>36038</v>
      </c>
    </row>
    <row r="2715" spans="1:4" x14ac:dyDescent="0.15">
      <c r="A2715" s="2" t="s">
        <v>36043</v>
      </c>
      <c r="B2715" s="2" t="s">
        <v>36042</v>
      </c>
      <c r="C2715" s="2">
        <v>2013</v>
      </c>
      <c r="D2715" s="2" t="s">
        <v>36047</v>
      </c>
    </row>
    <row r="2716" spans="1:4" x14ac:dyDescent="0.15">
      <c r="A2716" s="2" t="s">
        <v>36053</v>
      </c>
      <c r="B2716" s="2" t="s">
        <v>36052</v>
      </c>
      <c r="C2716" s="2">
        <v>2018</v>
      </c>
      <c r="D2716" s="2" t="s">
        <v>36058</v>
      </c>
    </row>
    <row r="2717" spans="1:4" x14ac:dyDescent="0.15">
      <c r="A2717" s="2" t="s">
        <v>36060</v>
      </c>
      <c r="B2717" s="2" t="s">
        <v>36059</v>
      </c>
      <c r="C2717" s="2">
        <v>1988</v>
      </c>
      <c r="D2717" s="2" t="s">
        <v>36063</v>
      </c>
    </row>
    <row r="2718" spans="1:4" x14ac:dyDescent="0.15">
      <c r="A2718" s="2" t="s">
        <v>36069</v>
      </c>
      <c r="B2718" s="2" t="s">
        <v>36068</v>
      </c>
      <c r="C2718" s="2">
        <v>1992</v>
      </c>
      <c r="D2718" s="2"/>
    </row>
    <row r="2719" spans="1:4" x14ac:dyDescent="0.15">
      <c r="A2719" s="2" t="s">
        <v>36078</v>
      </c>
      <c r="B2719" s="2" t="s">
        <v>36077</v>
      </c>
      <c r="C2719" s="2">
        <v>1998</v>
      </c>
      <c r="D2719" s="2" t="s">
        <v>36081</v>
      </c>
    </row>
    <row r="2720" spans="1:4" x14ac:dyDescent="0.15">
      <c r="A2720" s="2" t="s">
        <v>36083</v>
      </c>
      <c r="B2720" s="2" t="s">
        <v>36082</v>
      </c>
      <c r="C2720" s="2">
        <v>2007</v>
      </c>
      <c r="D2720" s="2" t="s">
        <v>36087</v>
      </c>
    </row>
    <row r="2721" spans="1:4" x14ac:dyDescent="0.15">
      <c r="A2721" s="2" t="s">
        <v>36095</v>
      </c>
      <c r="B2721" s="2" t="s">
        <v>36094</v>
      </c>
      <c r="C2721" s="2">
        <v>2008</v>
      </c>
      <c r="D2721" s="2" t="s">
        <v>36099</v>
      </c>
    </row>
    <row r="2722" spans="1:4" x14ac:dyDescent="0.15">
      <c r="A2722" s="2" t="s">
        <v>36108</v>
      </c>
      <c r="B2722" s="2" t="s">
        <v>36107</v>
      </c>
      <c r="C2722" s="2">
        <v>2018</v>
      </c>
      <c r="D2722" s="2" t="s">
        <v>36112</v>
      </c>
    </row>
    <row r="2723" spans="1:4" x14ac:dyDescent="0.15">
      <c r="A2723" s="2" t="s">
        <v>36119</v>
      </c>
      <c r="B2723" s="2" t="s">
        <v>36118</v>
      </c>
      <c r="C2723" s="2">
        <v>1982</v>
      </c>
      <c r="D2723" s="2" t="s">
        <v>36123</v>
      </c>
    </row>
    <row r="2724" spans="1:4" x14ac:dyDescent="0.15">
      <c r="A2724" s="2" t="s">
        <v>36125</v>
      </c>
      <c r="B2724" s="2" t="s">
        <v>36124</v>
      </c>
      <c r="C2724" s="2">
        <v>2019</v>
      </c>
      <c r="D2724" s="2" t="s">
        <v>36128</v>
      </c>
    </row>
    <row r="2725" spans="1:4" x14ac:dyDescent="0.15">
      <c r="A2725" s="2" t="s">
        <v>36130</v>
      </c>
      <c r="B2725" s="2" t="s">
        <v>36129</v>
      </c>
      <c r="C2725" s="2">
        <v>2004</v>
      </c>
      <c r="D2725" s="2" t="s">
        <v>36133</v>
      </c>
    </row>
    <row r="2726" spans="1:4" x14ac:dyDescent="0.15">
      <c r="A2726" s="2" t="s">
        <v>36135</v>
      </c>
      <c r="B2726" s="2" t="s">
        <v>36134</v>
      </c>
      <c r="C2726" s="2">
        <v>2021</v>
      </c>
      <c r="D2726" s="2" t="s">
        <v>36139</v>
      </c>
    </row>
    <row r="2727" spans="1:4" x14ac:dyDescent="0.15">
      <c r="A2727" s="2" t="s">
        <v>36141</v>
      </c>
      <c r="B2727" s="2" t="s">
        <v>36140</v>
      </c>
      <c r="C2727" s="2">
        <v>2020</v>
      </c>
      <c r="D2727" s="2" t="s">
        <v>36146</v>
      </c>
    </row>
    <row r="2728" spans="1:4" x14ac:dyDescent="0.15">
      <c r="A2728" s="2" t="s">
        <v>36152</v>
      </c>
      <c r="B2728" s="2" t="s">
        <v>36151</v>
      </c>
      <c r="C2728" s="2">
        <v>2008</v>
      </c>
      <c r="D2728" s="2" t="s">
        <v>36156</v>
      </c>
    </row>
    <row r="2729" spans="1:4" x14ac:dyDescent="0.15">
      <c r="A2729" s="2" t="s">
        <v>36165</v>
      </c>
      <c r="B2729" s="2" t="s">
        <v>36164</v>
      </c>
      <c r="C2729" s="2">
        <v>2003</v>
      </c>
      <c r="D2729" s="2" t="s">
        <v>36168</v>
      </c>
    </row>
    <row r="2730" spans="1:4" x14ac:dyDescent="0.15">
      <c r="A2730" s="2" t="s">
        <v>36181</v>
      </c>
      <c r="B2730" s="2" t="s">
        <v>36180</v>
      </c>
      <c r="C2730" s="2">
        <v>2013</v>
      </c>
      <c r="D2730" s="2" t="s">
        <v>36183</v>
      </c>
    </row>
    <row r="2731" spans="1:4" x14ac:dyDescent="0.15">
      <c r="A2731" s="2" t="s">
        <v>36185</v>
      </c>
      <c r="B2731" s="2" t="s">
        <v>36184</v>
      </c>
      <c r="C2731" s="2">
        <v>2012</v>
      </c>
      <c r="D2731" s="2" t="s">
        <v>36189</v>
      </c>
    </row>
    <row r="2732" spans="1:4" x14ac:dyDescent="0.15">
      <c r="A2732" s="2" t="s">
        <v>36191</v>
      </c>
      <c r="B2732" s="2" t="s">
        <v>36190</v>
      </c>
      <c r="C2732" s="2">
        <v>2020</v>
      </c>
      <c r="D2732" s="2" t="s">
        <v>36194</v>
      </c>
    </row>
    <row r="2733" spans="1:4" x14ac:dyDescent="0.15">
      <c r="A2733" s="2" t="s">
        <v>36196</v>
      </c>
      <c r="B2733" s="2" t="s">
        <v>36195</v>
      </c>
      <c r="C2733" s="2">
        <v>1984</v>
      </c>
      <c r="D2733" s="2" t="s">
        <v>36200</v>
      </c>
    </row>
    <row r="2734" spans="1:4" x14ac:dyDescent="0.15">
      <c r="A2734" s="2" t="s">
        <v>36208</v>
      </c>
      <c r="B2734" s="2" t="s">
        <v>36207</v>
      </c>
      <c r="C2734" s="2">
        <v>2010</v>
      </c>
      <c r="D2734" s="2" t="s">
        <v>36211</v>
      </c>
    </row>
    <row r="2735" spans="1:4" x14ac:dyDescent="0.15">
      <c r="A2735" s="2" t="s">
        <v>36213</v>
      </c>
      <c r="B2735" s="2" t="s">
        <v>36212</v>
      </c>
      <c r="C2735" s="2">
        <v>2002</v>
      </c>
      <c r="D2735" s="2" t="s">
        <v>36217</v>
      </c>
    </row>
    <row r="2736" spans="1:4" x14ac:dyDescent="0.15">
      <c r="A2736" s="2" t="s">
        <v>36219</v>
      </c>
      <c r="B2736" s="2" t="s">
        <v>36218</v>
      </c>
      <c r="C2736" s="2">
        <v>1992</v>
      </c>
      <c r="D2736" s="2" t="s">
        <v>36223</v>
      </c>
    </row>
    <row r="2737" spans="1:4" x14ac:dyDescent="0.15">
      <c r="A2737" s="2" t="s">
        <v>36225</v>
      </c>
      <c r="B2737" s="2" t="s">
        <v>36224</v>
      </c>
      <c r="C2737" s="2">
        <v>2021</v>
      </c>
      <c r="D2737" s="2" t="s">
        <v>36228</v>
      </c>
    </row>
    <row r="2738" spans="1:4" x14ac:dyDescent="0.15">
      <c r="A2738" s="2" t="s">
        <v>36230</v>
      </c>
      <c r="B2738" s="2" t="s">
        <v>36229</v>
      </c>
      <c r="C2738" s="2">
        <v>2021</v>
      </c>
      <c r="D2738" s="2" t="s">
        <v>36234</v>
      </c>
    </row>
    <row r="2739" spans="1:4" x14ac:dyDescent="0.15">
      <c r="A2739" s="2" t="s">
        <v>36250</v>
      </c>
      <c r="B2739" s="2" t="s">
        <v>36249</v>
      </c>
      <c r="C2739" s="2">
        <v>1995</v>
      </c>
      <c r="D2739" s="2" t="s">
        <v>36254</v>
      </c>
    </row>
    <row r="2740" spans="1:4" x14ac:dyDescent="0.15">
      <c r="A2740" s="2" t="s">
        <v>36256</v>
      </c>
      <c r="B2740" s="2" t="s">
        <v>36255</v>
      </c>
      <c r="C2740" s="2">
        <v>2021</v>
      </c>
      <c r="D2740" s="2" t="s">
        <v>36260</v>
      </c>
    </row>
    <row r="2741" spans="1:4" x14ac:dyDescent="0.15">
      <c r="A2741" s="2" t="s">
        <v>36267</v>
      </c>
      <c r="B2741" s="2" t="s">
        <v>36266</v>
      </c>
      <c r="C2741" s="2">
        <v>1987</v>
      </c>
      <c r="D2741" s="2" t="s">
        <v>36270</v>
      </c>
    </row>
    <row r="2742" spans="1:4" x14ac:dyDescent="0.15">
      <c r="A2742" s="2" t="s">
        <v>36272</v>
      </c>
      <c r="B2742" s="2" t="s">
        <v>36271</v>
      </c>
      <c r="C2742" s="2">
        <v>2009</v>
      </c>
      <c r="D2742" s="2" t="s">
        <v>36276</v>
      </c>
    </row>
    <row r="2743" spans="1:4" x14ac:dyDescent="0.15">
      <c r="A2743" s="2" t="s">
        <v>36278</v>
      </c>
      <c r="B2743" s="2" t="s">
        <v>36277</v>
      </c>
      <c r="C2743" s="2">
        <v>2011</v>
      </c>
      <c r="D2743" s="2" t="s">
        <v>36283</v>
      </c>
    </row>
    <row r="2744" spans="1:4" x14ac:dyDescent="0.15">
      <c r="A2744" s="2" t="s">
        <v>36289</v>
      </c>
      <c r="B2744" s="2" t="s">
        <v>36288</v>
      </c>
      <c r="C2744" s="2">
        <v>2009</v>
      </c>
      <c r="D2744" s="2" t="s">
        <v>36293</v>
      </c>
    </row>
    <row r="2745" spans="1:4" x14ac:dyDescent="0.15">
      <c r="A2745" s="2" t="s">
        <v>36295</v>
      </c>
      <c r="B2745" s="2" t="s">
        <v>36294</v>
      </c>
      <c r="C2745" s="2">
        <v>2019</v>
      </c>
      <c r="D2745" s="2" t="s">
        <v>36300</v>
      </c>
    </row>
    <row r="2746" spans="1:4" x14ac:dyDescent="0.15">
      <c r="A2746" s="2" t="s">
        <v>36302</v>
      </c>
      <c r="B2746" s="2" t="s">
        <v>36301</v>
      </c>
      <c r="C2746" s="2">
        <v>2015</v>
      </c>
      <c r="D2746" s="2" t="s">
        <v>36306</v>
      </c>
    </row>
    <row r="2747" spans="1:4" x14ac:dyDescent="0.15">
      <c r="A2747" s="2" t="s">
        <v>36312</v>
      </c>
      <c r="B2747" s="2" t="s">
        <v>36311</v>
      </c>
      <c r="C2747" s="2">
        <v>2010</v>
      </c>
      <c r="D2747" s="2" t="s">
        <v>36316</v>
      </c>
    </row>
    <row r="2748" spans="1:4" x14ac:dyDescent="0.15">
      <c r="A2748" s="2" t="s">
        <v>36326</v>
      </c>
      <c r="B2748" s="2" t="s">
        <v>36325</v>
      </c>
      <c r="C2748" s="2">
        <v>1998</v>
      </c>
      <c r="D2748" s="2" t="s">
        <v>36330</v>
      </c>
    </row>
    <row r="2749" spans="1:4" x14ac:dyDescent="0.15">
      <c r="A2749" s="2" t="s">
        <v>36337</v>
      </c>
      <c r="B2749" s="2" t="s">
        <v>36336</v>
      </c>
      <c r="C2749" s="2">
        <v>2008</v>
      </c>
      <c r="D2749" s="2" t="s">
        <v>36342</v>
      </c>
    </row>
    <row r="2750" spans="1:4" x14ac:dyDescent="0.15">
      <c r="A2750" s="2" t="s">
        <v>36344</v>
      </c>
      <c r="B2750" s="2" t="s">
        <v>36343</v>
      </c>
      <c r="C2750" s="2">
        <v>2022</v>
      </c>
      <c r="D2750" s="2" t="s">
        <v>36347</v>
      </c>
    </row>
    <row r="2751" spans="1:4" x14ac:dyDescent="0.15">
      <c r="A2751" s="2" t="s">
        <v>36349</v>
      </c>
      <c r="B2751" s="2" t="s">
        <v>36348</v>
      </c>
      <c r="C2751" s="2">
        <v>2011</v>
      </c>
      <c r="D2751" s="2" t="s">
        <v>36353</v>
      </c>
    </row>
    <row r="2752" spans="1:4" x14ac:dyDescent="0.15">
      <c r="A2752" s="2" t="s">
        <v>36355</v>
      </c>
      <c r="B2752" s="2" t="s">
        <v>36354</v>
      </c>
      <c r="C2752" s="2">
        <v>2004</v>
      </c>
      <c r="D2752" s="2"/>
    </row>
    <row r="2753" spans="1:4" x14ac:dyDescent="0.15">
      <c r="A2753" s="2" t="s">
        <v>36364</v>
      </c>
      <c r="B2753" s="2" t="s">
        <v>36363</v>
      </c>
      <c r="C2753" s="2">
        <v>1994</v>
      </c>
      <c r="D2753" s="2"/>
    </row>
    <row r="2754" spans="1:4" x14ac:dyDescent="0.15">
      <c r="A2754" s="2" t="s">
        <v>36368</v>
      </c>
      <c r="B2754" s="2" t="s">
        <v>36367</v>
      </c>
      <c r="C2754" s="2">
        <v>2013</v>
      </c>
      <c r="D2754" s="2" t="s">
        <v>36372</v>
      </c>
    </row>
    <row r="2755" spans="1:4" x14ac:dyDescent="0.15">
      <c r="A2755" s="2" t="s">
        <v>36374</v>
      </c>
      <c r="B2755" s="2" t="s">
        <v>36373</v>
      </c>
      <c r="C2755" s="2">
        <v>1995</v>
      </c>
      <c r="D2755" s="2" t="s">
        <v>36378</v>
      </c>
    </row>
    <row r="2756" spans="1:4" x14ac:dyDescent="0.15">
      <c r="A2756" s="2" t="s">
        <v>36385</v>
      </c>
      <c r="B2756" s="2" t="s">
        <v>36384</v>
      </c>
      <c r="C2756" s="2">
        <v>2022</v>
      </c>
      <c r="D2756" s="2" t="s">
        <v>36387</v>
      </c>
    </row>
    <row r="2757" spans="1:4" x14ac:dyDescent="0.15">
      <c r="A2757" s="2" t="s">
        <v>36389</v>
      </c>
      <c r="B2757" s="2" t="s">
        <v>36388</v>
      </c>
      <c r="C2757" s="2">
        <v>2015</v>
      </c>
      <c r="D2757" s="2" t="s">
        <v>36393</v>
      </c>
    </row>
    <row r="2758" spans="1:4" x14ac:dyDescent="0.15">
      <c r="A2758" s="2" t="s">
        <v>36395</v>
      </c>
      <c r="B2758" s="2" t="s">
        <v>36394</v>
      </c>
      <c r="C2758" s="2">
        <v>1996</v>
      </c>
      <c r="D2758" s="2" t="s">
        <v>36398</v>
      </c>
    </row>
    <row r="2759" spans="1:4" x14ac:dyDescent="0.15">
      <c r="A2759" s="2" t="s">
        <v>36400</v>
      </c>
      <c r="B2759" s="2" t="s">
        <v>36399</v>
      </c>
      <c r="C2759" s="2">
        <v>2021</v>
      </c>
      <c r="D2759" s="2" t="s">
        <v>36404</v>
      </c>
    </row>
    <row r="2760" spans="1:4" x14ac:dyDescent="0.15">
      <c r="A2760" s="2" t="s">
        <v>36406</v>
      </c>
      <c r="B2760" s="2" t="s">
        <v>36405</v>
      </c>
      <c r="C2760" s="2">
        <v>2000</v>
      </c>
      <c r="D2760" s="2" t="s">
        <v>36410</v>
      </c>
    </row>
    <row r="2761" spans="1:4" x14ac:dyDescent="0.15">
      <c r="A2761" s="2" t="s">
        <v>36412</v>
      </c>
      <c r="B2761" s="2" t="s">
        <v>36411</v>
      </c>
      <c r="C2761" s="2">
        <v>2009</v>
      </c>
      <c r="D2761" s="2" t="s">
        <v>36416</v>
      </c>
    </row>
    <row r="2762" spans="1:4" x14ac:dyDescent="0.15">
      <c r="A2762" s="2" t="s">
        <v>36418</v>
      </c>
      <c r="B2762" s="2" t="s">
        <v>36417</v>
      </c>
      <c r="C2762" s="2">
        <v>2018</v>
      </c>
      <c r="D2762" s="2" t="s">
        <v>36422</v>
      </c>
    </row>
    <row r="2763" spans="1:4" x14ac:dyDescent="0.15">
      <c r="A2763" s="2" t="s">
        <v>36424</v>
      </c>
      <c r="B2763" s="2" t="s">
        <v>36423</v>
      </c>
      <c r="C2763" s="2">
        <v>1999</v>
      </c>
      <c r="D2763" s="2" t="s">
        <v>36427</v>
      </c>
    </row>
    <row r="2764" spans="1:4" x14ac:dyDescent="0.15">
      <c r="A2764" s="2" t="s">
        <v>36434</v>
      </c>
      <c r="B2764" s="2" t="s">
        <v>36433</v>
      </c>
      <c r="C2764" s="2">
        <v>2016</v>
      </c>
      <c r="D2764" s="2" t="s">
        <v>36438</v>
      </c>
    </row>
    <row r="2765" spans="1:4" x14ac:dyDescent="0.15">
      <c r="A2765" s="2" t="s">
        <v>36445</v>
      </c>
      <c r="B2765" s="2" t="s">
        <v>36444</v>
      </c>
      <c r="C2765" s="2">
        <v>2006</v>
      </c>
      <c r="D2765" s="2" t="s">
        <v>36448</v>
      </c>
    </row>
    <row r="2766" spans="1:4" x14ac:dyDescent="0.15">
      <c r="A2766" s="2" t="s">
        <v>36450</v>
      </c>
      <c r="B2766" s="2" t="s">
        <v>36449</v>
      </c>
      <c r="C2766" s="2">
        <v>2003</v>
      </c>
      <c r="D2766" s="2" t="s">
        <v>36453</v>
      </c>
    </row>
    <row r="2767" spans="1:4" x14ac:dyDescent="0.15">
      <c r="A2767" s="2" t="s">
        <v>36455</v>
      </c>
      <c r="B2767" s="2" t="s">
        <v>36454</v>
      </c>
      <c r="C2767" s="2">
        <v>1998</v>
      </c>
      <c r="D2767" s="2" t="s">
        <v>36459</v>
      </c>
    </row>
    <row r="2768" spans="1:4" x14ac:dyDescent="0.15">
      <c r="A2768" s="2" t="s">
        <v>36470</v>
      </c>
      <c r="B2768" s="2" t="s">
        <v>36469</v>
      </c>
      <c r="C2768" s="2">
        <v>1995</v>
      </c>
      <c r="D2768" s="2" t="s">
        <v>36474</v>
      </c>
    </row>
    <row r="2769" spans="1:4" x14ac:dyDescent="0.15">
      <c r="A2769" s="2" t="s">
        <v>36476</v>
      </c>
      <c r="B2769" s="2" t="s">
        <v>36475</v>
      </c>
      <c r="C2769" s="2">
        <v>2018</v>
      </c>
      <c r="D2769" s="2" t="s">
        <v>36480</v>
      </c>
    </row>
    <row r="2770" spans="1:4" x14ac:dyDescent="0.15">
      <c r="A2770" s="2" t="s">
        <v>36482</v>
      </c>
      <c r="B2770" s="2" t="s">
        <v>36481</v>
      </c>
      <c r="C2770" s="2">
        <v>2003</v>
      </c>
      <c r="D2770" s="2" t="s">
        <v>36487</v>
      </c>
    </row>
    <row r="2771" spans="1:4" x14ac:dyDescent="0.15">
      <c r="A2771" s="2" t="s">
        <v>36489</v>
      </c>
      <c r="B2771" s="2" t="s">
        <v>36488</v>
      </c>
      <c r="C2771" s="2">
        <v>2022</v>
      </c>
      <c r="D2771" s="2" t="s">
        <v>36493</v>
      </c>
    </row>
    <row r="2772" spans="1:4" x14ac:dyDescent="0.15">
      <c r="A2772" s="2" t="s">
        <v>36499</v>
      </c>
      <c r="B2772" s="2" t="s">
        <v>36498</v>
      </c>
      <c r="C2772" s="2">
        <v>2011</v>
      </c>
      <c r="D2772" s="2"/>
    </row>
    <row r="2773" spans="1:4" x14ac:dyDescent="0.15">
      <c r="A2773" s="2" t="s">
        <v>36504</v>
      </c>
      <c r="B2773" s="2" t="s">
        <v>36503</v>
      </c>
      <c r="C2773" s="2">
        <v>2005</v>
      </c>
      <c r="D2773" s="2" t="s">
        <v>36509</v>
      </c>
    </row>
    <row r="2774" spans="1:4" x14ac:dyDescent="0.15">
      <c r="A2774" s="2" t="s">
        <v>36511</v>
      </c>
      <c r="B2774" s="2" t="s">
        <v>36510</v>
      </c>
      <c r="C2774" s="2">
        <v>2013</v>
      </c>
      <c r="D2774" s="2" t="s">
        <v>36515</v>
      </c>
    </row>
    <row r="2775" spans="1:4" x14ac:dyDescent="0.15">
      <c r="A2775" s="2" t="s">
        <v>36517</v>
      </c>
      <c r="B2775" s="2" t="s">
        <v>36516</v>
      </c>
      <c r="C2775" s="2">
        <v>2017</v>
      </c>
      <c r="D2775" s="2" t="s">
        <v>36521</v>
      </c>
    </row>
    <row r="2776" spans="1:4" x14ac:dyDescent="0.15">
      <c r="A2776" s="2" t="s">
        <v>36528</v>
      </c>
      <c r="B2776" s="2" t="s">
        <v>36527</v>
      </c>
      <c r="C2776" s="2">
        <v>2000</v>
      </c>
      <c r="D2776" s="2" t="s">
        <v>36532</v>
      </c>
    </row>
    <row r="2777" spans="1:4" x14ac:dyDescent="0.15">
      <c r="A2777" s="2" t="s">
        <v>36534</v>
      </c>
      <c r="B2777" s="2" t="s">
        <v>36533</v>
      </c>
      <c r="C2777" s="2">
        <v>2005</v>
      </c>
      <c r="D2777" s="2" t="s">
        <v>36538</v>
      </c>
    </row>
    <row r="2778" spans="1:4" x14ac:dyDescent="0.15">
      <c r="A2778" s="2" t="s">
        <v>36540</v>
      </c>
      <c r="B2778" s="2" t="s">
        <v>36539</v>
      </c>
      <c r="C2778" s="2">
        <v>2006</v>
      </c>
      <c r="D2778" s="2" t="s">
        <v>36544</v>
      </c>
    </row>
    <row r="2779" spans="1:4" x14ac:dyDescent="0.15">
      <c r="A2779" s="2" t="s">
        <v>36553</v>
      </c>
      <c r="B2779" s="2" t="s">
        <v>36552</v>
      </c>
      <c r="C2779" s="2">
        <v>1992</v>
      </c>
      <c r="D2779" s="2" t="s">
        <v>36556</v>
      </c>
    </row>
    <row r="2780" spans="1:4" x14ac:dyDescent="0.15">
      <c r="A2780" s="2" t="s">
        <v>36558</v>
      </c>
      <c r="B2780" s="2" t="s">
        <v>36557</v>
      </c>
      <c r="C2780" s="2">
        <v>2019</v>
      </c>
      <c r="D2780" s="2" t="s">
        <v>36563</v>
      </c>
    </row>
    <row r="2781" spans="1:4" x14ac:dyDescent="0.15">
      <c r="A2781" s="2" t="s">
        <v>36565</v>
      </c>
      <c r="B2781" s="2" t="s">
        <v>36564</v>
      </c>
      <c r="C2781" s="2">
        <v>2007</v>
      </c>
      <c r="D2781" s="2" t="s">
        <v>36569</v>
      </c>
    </row>
    <row r="2782" spans="1:4" x14ac:dyDescent="0.15">
      <c r="A2782" s="2" t="s">
        <v>36571</v>
      </c>
      <c r="B2782" s="2" t="s">
        <v>36570</v>
      </c>
      <c r="C2782" s="2">
        <v>1997</v>
      </c>
      <c r="D2782" s="2" t="s">
        <v>36574</v>
      </c>
    </row>
    <row r="2783" spans="1:4" x14ac:dyDescent="0.15">
      <c r="A2783" s="2" t="s">
        <v>36576</v>
      </c>
      <c r="B2783" s="2" t="s">
        <v>36575</v>
      </c>
      <c r="C2783" s="2">
        <v>2015</v>
      </c>
      <c r="D2783" s="2" t="s">
        <v>36580</v>
      </c>
    </row>
    <row r="2784" spans="1:4" x14ac:dyDescent="0.15">
      <c r="A2784" s="2" t="s">
        <v>36582</v>
      </c>
      <c r="B2784" s="2" t="s">
        <v>36581</v>
      </c>
      <c r="C2784" s="2">
        <v>1999</v>
      </c>
      <c r="D2784" s="2" t="s">
        <v>36586</v>
      </c>
    </row>
    <row r="2785" spans="1:4" x14ac:dyDescent="0.15">
      <c r="A2785" s="2" t="s">
        <v>36588</v>
      </c>
      <c r="B2785" s="2" t="s">
        <v>36587</v>
      </c>
      <c r="C2785" s="2">
        <v>2018</v>
      </c>
      <c r="D2785" s="2" t="s">
        <v>36591</v>
      </c>
    </row>
    <row r="2786" spans="1:4" x14ac:dyDescent="0.15">
      <c r="A2786" s="2" t="s">
        <v>36593</v>
      </c>
      <c r="B2786" s="2" t="s">
        <v>36592</v>
      </c>
      <c r="C2786" s="2">
        <v>2008</v>
      </c>
      <c r="D2786" s="2" t="s">
        <v>36596</v>
      </c>
    </row>
    <row r="2787" spans="1:4" x14ac:dyDescent="0.15">
      <c r="A2787" s="2" t="s">
        <v>36598</v>
      </c>
      <c r="B2787" s="2" t="s">
        <v>36597</v>
      </c>
      <c r="C2787" s="2">
        <v>2004</v>
      </c>
      <c r="D2787" s="2" t="s">
        <v>36601</v>
      </c>
    </row>
    <row r="2788" spans="1:4" x14ac:dyDescent="0.15">
      <c r="A2788" s="2" t="s">
        <v>36607</v>
      </c>
      <c r="B2788" s="2" t="s">
        <v>36606</v>
      </c>
      <c r="C2788" s="2">
        <v>2000</v>
      </c>
      <c r="D2788" s="2" t="s">
        <v>36610</v>
      </c>
    </row>
    <row r="2789" spans="1:4" x14ac:dyDescent="0.15">
      <c r="A2789" s="2" t="s">
        <v>36612</v>
      </c>
      <c r="B2789" s="2" t="s">
        <v>36611</v>
      </c>
      <c r="C2789" s="2">
        <v>2007</v>
      </c>
      <c r="D2789" s="2" t="s">
        <v>36615</v>
      </c>
    </row>
    <row r="2790" spans="1:4" x14ac:dyDescent="0.15">
      <c r="A2790" s="2" t="s">
        <v>36617</v>
      </c>
      <c r="B2790" s="2" t="s">
        <v>36616</v>
      </c>
      <c r="C2790" s="2">
        <v>2002</v>
      </c>
      <c r="D2790" s="2" t="s">
        <v>36621</v>
      </c>
    </row>
    <row r="2791" spans="1:4" x14ac:dyDescent="0.15">
      <c r="A2791" s="2" t="s">
        <v>36623</v>
      </c>
      <c r="B2791" s="2" t="s">
        <v>36622</v>
      </c>
      <c r="C2791" s="2">
        <v>1996</v>
      </c>
      <c r="D2791" s="2" t="s">
        <v>36627</v>
      </c>
    </row>
    <row r="2792" spans="1:4" x14ac:dyDescent="0.15">
      <c r="A2792" s="2" t="s">
        <v>36629</v>
      </c>
      <c r="B2792" s="2" t="s">
        <v>36628</v>
      </c>
      <c r="C2792" s="2">
        <v>2016</v>
      </c>
      <c r="D2792" s="2" t="s">
        <v>36634</v>
      </c>
    </row>
    <row r="2793" spans="1:4" x14ac:dyDescent="0.15">
      <c r="A2793" s="2" t="s">
        <v>36636</v>
      </c>
      <c r="B2793" s="2" t="s">
        <v>36635</v>
      </c>
      <c r="C2793" s="2">
        <v>2015</v>
      </c>
      <c r="D2793" s="2" t="s">
        <v>36640</v>
      </c>
    </row>
    <row r="2794" spans="1:4" x14ac:dyDescent="0.15">
      <c r="A2794" s="2" t="s">
        <v>36642</v>
      </c>
      <c r="B2794" s="2" t="s">
        <v>36641</v>
      </c>
      <c r="C2794" s="2">
        <v>2005</v>
      </c>
      <c r="D2794" s="2" t="s">
        <v>36645</v>
      </c>
    </row>
    <row r="2795" spans="1:4" x14ac:dyDescent="0.15">
      <c r="A2795" s="2" t="s">
        <v>36654</v>
      </c>
      <c r="B2795" s="2" t="s">
        <v>36653</v>
      </c>
      <c r="C2795" s="2">
        <v>2006</v>
      </c>
      <c r="D2795" s="2" t="s">
        <v>36657</v>
      </c>
    </row>
    <row r="2796" spans="1:4" x14ac:dyDescent="0.15">
      <c r="A2796" s="2" t="s">
        <v>36659</v>
      </c>
      <c r="B2796" s="2" t="s">
        <v>36658</v>
      </c>
      <c r="C2796" s="2">
        <v>1996</v>
      </c>
      <c r="D2796" s="2"/>
    </row>
    <row r="2797" spans="1:4" x14ac:dyDescent="0.15">
      <c r="A2797" s="2" t="s">
        <v>36664</v>
      </c>
      <c r="B2797" s="2" t="s">
        <v>36663</v>
      </c>
      <c r="C2797" s="2">
        <v>2005</v>
      </c>
      <c r="D2797" s="2" t="s">
        <v>36668</v>
      </c>
    </row>
    <row r="2798" spans="1:4" x14ac:dyDescent="0.15">
      <c r="A2798" s="2" t="s">
        <v>36670</v>
      </c>
      <c r="B2798" s="2" t="s">
        <v>36669</v>
      </c>
      <c r="C2798" s="2">
        <v>2011</v>
      </c>
      <c r="D2798" s="2" t="s">
        <v>36673</v>
      </c>
    </row>
    <row r="2799" spans="1:4" x14ac:dyDescent="0.15">
      <c r="A2799" s="2" t="s">
        <v>36675</v>
      </c>
      <c r="B2799" s="2" t="s">
        <v>36674</v>
      </c>
      <c r="C2799" s="2">
        <v>2000</v>
      </c>
      <c r="D2799" s="2" t="s">
        <v>36678</v>
      </c>
    </row>
    <row r="2800" spans="1:4" x14ac:dyDescent="0.15">
      <c r="A2800" s="2" t="s">
        <v>36680</v>
      </c>
      <c r="B2800" s="2" t="s">
        <v>36679</v>
      </c>
      <c r="C2800" s="2">
        <v>2009</v>
      </c>
      <c r="D2800" s="2" t="s">
        <v>36684</v>
      </c>
    </row>
    <row r="2801" spans="1:4" x14ac:dyDescent="0.15">
      <c r="A2801" s="2" t="s">
        <v>36686</v>
      </c>
      <c r="B2801" s="2" t="s">
        <v>36685</v>
      </c>
      <c r="C2801" s="2">
        <v>2019</v>
      </c>
      <c r="D2801" s="2" t="s">
        <v>36690</v>
      </c>
    </row>
    <row r="2802" spans="1:4" x14ac:dyDescent="0.15">
      <c r="A2802" s="2" t="s">
        <v>36692</v>
      </c>
      <c r="B2802" s="2" t="s">
        <v>36691</v>
      </c>
      <c r="C2802" s="2">
        <v>2001</v>
      </c>
      <c r="D2802" s="2" t="s">
        <v>36695</v>
      </c>
    </row>
    <row r="2803" spans="1:4" x14ac:dyDescent="0.15">
      <c r="A2803" s="2" t="s">
        <v>36697</v>
      </c>
      <c r="B2803" s="2" t="s">
        <v>36696</v>
      </c>
      <c r="C2803" s="2">
        <v>2001</v>
      </c>
      <c r="D2803" s="2" t="s">
        <v>36700</v>
      </c>
    </row>
    <row r="2804" spans="1:4" x14ac:dyDescent="0.15">
      <c r="A2804" s="2" t="s">
        <v>36708</v>
      </c>
      <c r="B2804" s="2" t="s">
        <v>36707</v>
      </c>
      <c r="C2804" s="2">
        <v>2019</v>
      </c>
      <c r="D2804" s="2" t="s">
        <v>36714</v>
      </c>
    </row>
    <row r="2805" spans="1:4" x14ac:dyDescent="0.15">
      <c r="A2805" s="2" t="s">
        <v>36716</v>
      </c>
      <c r="B2805" s="2" t="s">
        <v>36715</v>
      </c>
      <c r="C2805" s="2">
        <v>2022</v>
      </c>
      <c r="D2805" s="2" t="s">
        <v>36718</v>
      </c>
    </row>
    <row r="2806" spans="1:4" x14ac:dyDescent="0.15">
      <c r="A2806" s="2" t="s">
        <v>36720</v>
      </c>
      <c r="B2806" s="2" t="s">
        <v>36719</v>
      </c>
      <c r="C2806" s="2">
        <v>2002</v>
      </c>
      <c r="D2806" s="2" t="s">
        <v>36723</v>
      </c>
    </row>
    <row r="2807" spans="1:4" x14ac:dyDescent="0.15">
      <c r="A2807" s="2" t="s">
        <v>36725</v>
      </c>
      <c r="B2807" s="2" t="s">
        <v>36724</v>
      </c>
      <c r="C2807" s="2">
        <v>1991</v>
      </c>
      <c r="D2807" s="2" t="s">
        <v>36729</v>
      </c>
    </row>
    <row r="2808" spans="1:4" x14ac:dyDescent="0.15">
      <c r="A2808" s="2" t="s">
        <v>36731</v>
      </c>
      <c r="B2808" s="2" t="s">
        <v>36730</v>
      </c>
      <c r="C2808" s="2">
        <v>2015</v>
      </c>
      <c r="D2808" s="2" t="s">
        <v>36735</v>
      </c>
    </row>
    <row r="2809" spans="1:4" x14ac:dyDescent="0.15">
      <c r="A2809" s="2" t="s">
        <v>36737</v>
      </c>
      <c r="B2809" s="2" t="s">
        <v>36736</v>
      </c>
      <c r="C2809" s="2">
        <v>2021</v>
      </c>
      <c r="D2809" s="2" t="s">
        <v>36741</v>
      </c>
    </row>
    <row r="2810" spans="1:4" x14ac:dyDescent="0.15">
      <c r="A2810" s="2" t="s">
        <v>36743</v>
      </c>
      <c r="B2810" s="2" t="s">
        <v>36742</v>
      </c>
      <c r="C2810" s="2">
        <v>1990</v>
      </c>
      <c r="D2810" s="2" t="s">
        <v>36747</v>
      </c>
    </row>
    <row r="2811" spans="1:4" x14ac:dyDescent="0.15">
      <c r="A2811" s="2" t="s">
        <v>36749</v>
      </c>
      <c r="B2811" s="2" t="s">
        <v>36748</v>
      </c>
      <c r="C2811" s="2">
        <v>1986</v>
      </c>
      <c r="D2811" s="2" t="s">
        <v>36753</v>
      </c>
    </row>
    <row r="2812" spans="1:4" x14ac:dyDescent="0.15">
      <c r="A2812" s="2" t="s">
        <v>36755</v>
      </c>
      <c r="B2812" s="2" t="s">
        <v>36754</v>
      </c>
      <c r="C2812" s="2">
        <v>2006</v>
      </c>
      <c r="D2812" s="2" t="s">
        <v>36758</v>
      </c>
    </row>
    <row r="2813" spans="1:4" x14ac:dyDescent="0.15">
      <c r="A2813" s="2" t="s">
        <v>36760</v>
      </c>
      <c r="B2813" s="2" t="s">
        <v>36759</v>
      </c>
      <c r="C2813" s="2">
        <v>2015</v>
      </c>
      <c r="D2813" s="2" t="s">
        <v>36764</v>
      </c>
    </row>
    <row r="2814" spans="1:4" x14ac:dyDescent="0.15">
      <c r="A2814" s="2" t="s">
        <v>36766</v>
      </c>
      <c r="B2814" s="2" t="s">
        <v>36765</v>
      </c>
      <c r="C2814" s="2">
        <v>1990</v>
      </c>
      <c r="D2814" s="2" t="s">
        <v>36770</v>
      </c>
    </row>
    <row r="2815" spans="1:4" x14ac:dyDescent="0.15">
      <c r="A2815" s="2" t="s">
        <v>36772</v>
      </c>
      <c r="B2815" s="2" t="s">
        <v>36771</v>
      </c>
      <c r="C2815" s="2">
        <v>1989</v>
      </c>
      <c r="D2815" s="2" t="s">
        <v>36776</v>
      </c>
    </row>
    <row r="2816" spans="1:4" x14ac:dyDescent="0.15">
      <c r="A2816" s="2" t="s">
        <v>36778</v>
      </c>
      <c r="B2816" s="2" t="s">
        <v>36777</v>
      </c>
      <c r="C2816" s="2">
        <v>2007</v>
      </c>
      <c r="D2816" s="2" t="s">
        <v>36782</v>
      </c>
    </row>
    <row r="2817" spans="1:4" x14ac:dyDescent="0.15">
      <c r="A2817" s="2" t="s">
        <v>36789</v>
      </c>
      <c r="B2817" s="2" t="s">
        <v>36788</v>
      </c>
      <c r="C2817" s="2">
        <v>2016</v>
      </c>
      <c r="D2817" s="2" t="s">
        <v>36794</v>
      </c>
    </row>
    <row r="2818" spans="1:4" x14ac:dyDescent="0.15">
      <c r="A2818" s="2" t="s">
        <v>36796</v>
      </c>
      <c r="B2818" s="2" t="s">
        <v>36795</v>
      </c>
      <c r="C2818" s="2">
        <v>2002</v>
      </c>
      <c r="D2818" s="2" t="s">
        <v>36800</v>
      </c>
    </row>
    <row r="2819" spans="1:4" x14ac:dyDescent="0.15">
      <c r="A2819" s="2" t="s">
        <v>36802</v>
      </c>
      <c r="B2819" s="2" t="s">
        <v>36801</v>
      </c>
      <c r="C2819" s="2">
        <v>2020</v>
      </c>
      <c r="D2819" s="2" t="s">
        <v>36806</v>
      </c>
    </row>
    <row r="2820" spans="1:4" x14ac:dyDescent="0.15">
      <c r="A2820" s="2" t="s">
        <v>36816</v>
      </c>
      <c r="B2820" s="2" t="s">
        <v>36815</v>
      </c>
      <c r="C2820" s="2">
        <v>1995</v>
      </c>
      <c r="D2820" s="2" t="s">
        <v>36820</v>
      </c>
    </row>
    <row r="2821" spans="1:4" x14ac:dyDescent="0.15">
      <c r="A2821" s="2" t="s">
        <v>36822</v>
      </c>
      <c r="B2821" s="2" t="s">
        <v>36821</v>
      </c>
      <c r="C2821" s="2">
        <v>2005</v>
      </c>
      <c r="D2821" s="2" t="s">
        <v>36825</v>
      </c>
    </row>
    <row r="2822" spans="1:4" x14ac:dyDescent="0.15">
      <c r="A2822" s="2" t="s">
        <v>36827</v>
      </c>
      <c r="B2822" s="2" t="s">
        <v>36826</v>
      </c>
      <c r="C2822" s="2">
        <v>2001</v>
      </c>
      <c r="D2822" s="2" t="s">
        <v>36831</v>
      </c>
    </row>
    <row r="2823" spans="1:4" x14ac:dyDescent="0.15">
      <c r="A2823" s="2" t="s">
        <v>36833</v>
      </c>
      <c r="B2823" s="2" t="s">
        <v>36832</v>
      </c>
      <c r="C2823" s="2">
        <v>2002</v>
      </c>
      <c r="D2823" s="2" t="s">
        <v>36837</v>
      </c>
    </row>
    <row r="2824" spans="1:4" x14ac:dyDescent="0.15">
      <c r="A2824" s="2" t="s">
        <v>36839</v>
      </c>
      <c r="B2824" s="2" t="s">
        <v>36838</v>
      </c>
      <c r="C2824" s="2">
        <v>2019</v>
      </c>
      <c r="D2824" s="2" t="s">
        <v>36844</v>
      </c>
    </row>
    <row r="2825" spans="1:4" x14ac:dyDescent="0.15">
      <c r="A2825" s="2" t="s">
        <v>36854</v>
      </c>
      <c r="B2825" s="2" t="s">
        <v>36853</v>
      </c>
      <c r="C2825" s="2">
        <v>2022</v>
      </c>
      <c r="D2825" s="2" t="s">
        <v>36858</v>
      </c>
    </row>
    <row r="2826" spans="1:4" x14ac:dyDescent="0.15">
      <c r="A2826" s="2" t="s">
        <v>36860</v>
      </c>
      <c r="B2826" s="2" t="s">
        <v>36859</v>
      </c>
      <c r="C2826" s="2">
        <v>2022</v>
      </c>
      <c r="D2826" s="2" t="s">
        <v>36864</v>
      </c>
    </row>
    <row r="2827" spans="1:4" x14ac:dyDescent="0.15">
      <c r="A2827" s="2" t="s">
        <v>36869</v>
      </c>
      <c r="B2827" s="2" t="s">
        <v>36868</v>
      </c>
      <c r="C2827" s="2">
        <v>1996</v>
      </c>
      <c r="D2827" s="2" t="s">
        <v>36871</v>
      </c>
    </row>
    <row r="2828" spans="1:4" x14ac:dyDescent="0.15">
      <c r="A2828" s="2" t="s">
        <v>36873</v>
      </c>
      <c r="B2828" s="2" t="s">
        <v>36872</v>
      </c>
      <c r="C2828" s="2">
        <v>2021</v>
      </c>
      <c r="D2828" s="2" t="s">
        <v>36878</v>
      </c>
    </row>
    <row r="2829" spans="1:4" x14ac:dyDescent="0.15">
      <c r="A2829" s="2" t="s">
        <v>36880</v>
      </c>
      <c r="B2829" s="2" t="s">
        <v>36879</v>
      </c>
      <c r="C2829" s="2">
        <v>2002</v>
      </c>
      <c r="D2829" s="2" t="s">
        <v>36884</v>
      </c>
    </row>
    <row r="2830" spans="1:4" x14ac:dyDescent="0.15">
      <c r="A2830" s="2" t="s">
        <v>36890</v>
      </c>
      <c r="B2830" s="2" t="s">
        <v>36889</v>
      </c>
      <c r="C2830" s="2">
        <v>2009</v>
      </c>
      <c r="D2830" s="2" t="s">
        <v>36894</v>
      </c>
    </row>
    <row r="2831" spans="1:4" x14ac:dyDescent="0.15">
      <c r="A2831" s="2" t="s">
        <v>36896</v>
      </c>
      <c r="B2831" s="2" t="s">
        <v>36895</v>
      </c>
      <c r="C2831" s="2">
        <v>2008</v>
      </c>
      <c r="D2831" s="2" t="s">
        <v>36900</v>
      </c>
    </row>
    <row r="2832" spans="1:4" x14ac:dyDescent="0.15">
      <c r="A2832" s="2" t="s">
        <v>36902</v>
      </c>
      <c r="B2832" s="2" t="s">
        <v>36901</v>
      </c>
      <c r="C2832" s="2">
        <v>1998</v>
      </c>
      <c r="D2832" s="2" t="s">
        <v>36905</v>
      </c>
    </row>
    <row r="2833" spans="1:4" x14ac:dyDescent="0.15">
      <c r="A2833" s="2" t="s">
        <v>36907</v>
      </c>
      <c r="B2833" s="2" t="s">
        <v>36906</v>
      </c>
      <c r="C2833" s="2">
        <v>1998</v>
      </c>
      <c r="D2833" s="2" t="s">
        <v>36911</v>
      </c>
    </row>
    <row r="2834" spans="1:4" x14ac:dyDescent="0.15">
      <c r="A2834" s="2" t="s">
        <v>36913</v>
      </c>
      <c r="B2834" s="2" t="s">
        <v>36912</v>
      </c>
      <c r="C2834" s="2">
        <v>2022</v>
      </c>
      <c r="D2834" s="2" t="s">
        <v>36916</v>
      </c>
    </row>
    <row r="2835" spans="1:4" x14ac:dyDescent="0.15">
      <c r="A2835" s="2" t="s">
        <v>36918</v>
      </c>
      <c r="B2835" s="2" t="s">
        <v>36917</v>
      </c>
      <c r="C2835" s="2">
        <v>2011</v>
      </c>
      <c r="D2835" s="2" t="s">
        <v>36922</v>
      </c>
    </row>
    <row r="2836" spans="1:4" x14ac:dyDescent="0.15">
      <c r="A2836" s="2" t="s">
        <v>36924</v>
      </c>
      <c r="B2836" s="2" t="s">
        <v>36923</v>
      </c>
      <c r="C2836" s="2">
        <v>1984</v>
      </c>
      <c r="D2836" s="2"/>
    </row>
    <row r="2837" spans="1:4" x14ac:dyDescent="0.15">
      <c r="A2837" s="2" t="s">
        <v>36929</v>
      </c>
      <c r="B2837" s="2" t="s">
        <v>36928</v>
      </c>
      <c r="C2837" s="2">
        <v>2003</v>
      </c>
      <c r="D2837" s="2" t="s">
        <v>36932</v>
      </c>
    </row>
    <row r="2838" spans="1:4" x14ac:dyDescent="0.15">
      <c r="A2838" s="2" t="s">
        <v>36934</v>
      </c>
      <c r="B2838" s="2" t="s">
        <v>36933</v>
      </c>
      <c r="C2838" s="2">
        <v>1995</v>
      </c>
      <c r="D2838" s="2" t="s">
        <v>36937</v>
      </c>
    </row>
    <row r="2839" spans="1:4" x14ac:dyDescent="0.15">
      <c r="A2839" s="2" t="s">
        <v>36939</v>
      </c>
      <c r="B2839" s="2" t="s">
        <v>36938</v>
      </c>
      <c r="C2839" s="2">
        <v>1997</v>
      </c>
      <c r="D2839" s="2" t="s">
        <v>36942</v>
      </c>
    </row>
    <row r="2840" spans="1:4" x14ac:dyDescent="0.15">
      <c r="A2840" s="2" t="s">
        <v>36947</v>
      </c>
      <c r="B2840" s="2" t="s">
        <v>36946</v>
      </c>
      <c r="C2840" s="2">
        <v>2011</v>
      </c>
      <c r="D2840" s="2" t="s">
        <v>36951</v>
      </c>
    </row>
    <row r="2841" spans="1:4" x14ac:dyDescent="0.15">
      <c r="A2841" s="2" t="s">
        <v>36953</v>
      </c>
      <c r="B2841" s="2" t="s">
        <v>36952</v>
      </c>
      <c r="C2841" s="2">
        <v>2018</v>
      </c>
      <c r="D2841" s="2" t="s">
        <v>36958</v>
      </c>
    </row>
    <row r="2842" spans="1:4" x14ac:dyDescent="0.15">
      <c r="A2842" s="2" t="s">
        <v>36965</v>
      </c>
      <c r="B2842" s="2" t="s">
        <v>36964</v>
      </c>
      <c r="C2842" s="2">
        <v>1997</v>
      </c>
      <c r="D2842" s="2" t="s">
        <v>36969</v>
      </c>
    </row>
    <row r="2843" spans="1:4" x14ac:dyDescent="0.15">
      <c r="A2843" s="2" t="s">
        <v>36971</v>
      </c>
      <c r="B2843" s="2" t="s">
        <v>36970</v>
      </c>
      <c r="C2843" s="2">
        <v>1996</v>
      </c>
      <c r="D2843" s="2" t="s">
        <v>36974</v>
      </c>
    </row>
    <row r="2844" spans="1:4" x14ac:dyDescent="0.15">
      <c r="A2844" s="2" t="s">
        <v>36976</v>
      </c>
      <c r="B2844" s="2" t="s">
        <v>36975</v>
      </c>
      <c r="C2844" s="2">
        <v>2011</v>
      </c>
      <c r="D2844" s="2" t="s">
        <v>36979</v>
      </c>
    </row>
    <row r="2845" spans="1:4" x14ac:dyDescent="0.15">
      <c r="A2845" s="2" t="s">
        <v>36981</v>
      </c>
      <c r="B2845" s="2" t="s">
        <v>36980</v>
      </c>
      <c r="C2845" s="2">
        <v>2021</v>
      </c>
      <c r="D2845" s="2" t="s">
        <v>36985</v>
      </c>
    </row>
    <row r="2846" spans="1:4" x14ac:dyDescent="0.15">
      <c r="A2846" s="2" t="s">
        <v>36987</v>
      </c>
      <c r="B2846" s="2" t="s">
        <v>36986</v>
      </c>
      <c r="C2846" s="2">
        <v>2007</v>
      </c>
      <c r="D2846" s="2" t="s">
        <v>36990</v>
      </c>
    </row>
    <row r="2847" spans="1:4" x14ac:dyDescent="0.15">
      <c r="A2847" s="2" t="s">
        <v>36992</v>
      </c>
      <c r="B2847" s="2" t="s">
        <v>36991</v>
      </c>
      <c r="C2847" s="2">
        <v>2020</v>
      </c>
      <c r="D2847" s="2" t="s">
        <v>36996</v>
      </c>
    </row>
    <row r="2848" spans="1:4" x14ac:dyDescent="0.15">
      <c r="A2848" s="2" t="s">
        <v>36998</v>
      </c>
      <c r="B2848" s="2" t="s">
        <v>36997</v>
      </c>
      <c r="C2848" s="2">
        <v>2022</v>
      </c>
      <c r="D2848" s="2" t="s">
        <v>37002</v>
      </c>
    </row>
    <row r="2849" spans="1:4" x14ac:dyDescent="0.15">
      <c r="A2849" s="2" t="s">
        <v>37004</v>
      </c>
      <c r="B2849" s="2" t="s">
        <v>37003</v>
      </c>
      <c r="C2849" s="2">
        <v>2009</v>
      </c>
      <c r="D2849" s="2" t="s">
        <v>37008</v>
      </c>
    </row>
    <row r="2850" spans="1:4" x14ac:dyDescent="0.15">
      <c r="A2850" s="2" t="s">
        <v>37013</v>
      </c>
      <c r="B2850" s="2" t="s">
        <v>37012</v>
      </c>
      <c r="C2850" s="2">
        <v>1994</v>
      </c>
      <c r="D2850" s="2" t="s">
        <v>37017</v>
      </c>
    </row>
    <row r="2851" spans="1:4" x14ac:dyDescent="0.15">
      <c r="A2851" s="2" t="s">
        <v>37025</v>
      </c>
      <c r="B2851" s="2" t="s">
        <v>37024</v>
      </c>
      <c r="C2851" s="2">
        <v>2022</v>
      </c>
      <c r="D2851" s="2" t="s">
        <v>37029</v>
      </c>
    </row>
    <row r="2852" spans="1:4" x14ac:dyDescent="0.15">
      <c r="A2852" s="2" t="s">
        <v>37031</v>
      </c>
      <c r="B2852" s="2" t="s">
        <v>37030</v>
      </c>
      <c r="C2852" s="2">
        <v>2007</v>
      </c>
      <c r="D2852" s="2" t="s">
        <v>37035</v>
      </c>
    </row>
    <row r="2853" spans="1:4" x14ac:dyDescent="0.15">
      <c r="A2853" s="2" t="s">
        <v>37037</v>
      </c>
      <c r="B2853" s="2" t="s">
        <v>37036</v>
      </c>
      <c r="C2853" s="2">
        <v>2002</v>
      </c>
      <c r="D2853" s="2" t="s">
        <v>37040</v>
      </c>
    </row>
    <row r="2854" spans="1:4" x14ac:dyDescent="0.15">
      <c r="A2854" s="2" t="s">
        <v>37046</v>
      </c>
      <c r="B2854" s="2" t="s">
        <v>37045</v>
      </c>
      <c r="C2854" s="2">
        <v>1975</v>
      </c>
      <c r="D2854" s="2"/>
    </row>
    <row r="2855" spans="1:4" x14ac:dyDescent="0.15">
      <c r="A2855" s="2" t="s">
        <v>37050</v>
      </c>
      <c r="B2855" s="2" t="s">
        <v>37049</v>
      </c>
      <c r="C2855" s="2">
        <v>2009</v>
      </c>
      <c r="D2855" s="2" t="s">
        <v>37054</v>
      </c>
    </row>
    <row r="2856" spans="1:4" x14ac:dyDescent="0.15">
      <c r="A2856" s="2" t="s">
        <v>37056</v>
      </c>
      <c r="B2856" s="2" t="s">
        <v>37055</v>
      </c>
      <c r="C2856" s="2">
        <v>2013</v>
      </c>
      <c r="D2856" s="2" t="s">
        <v>37060</v>
      </c>
    </row>
    <row r="2857" spans="1:4" x14ac:dyDescent="0.15">
      <c r="A2857" s="2" t="s">
        <v>37062</v>
      </c>
      <c r="B2857" s="2" t="s">
        <v>37061</v>
      </c>
      <c r="C2857" s="2">
        <v>2012</v>
      </c>
      <c r="D2857" s="2" t="s">
        <v>37066</v>
      </c>
    </row>
    <row r="2858" spans="1:4" x14ac:dyDescent="0.15">
      <c r="A2858" s="2" t="s">
        <v>37068</v>
      </c>
      <c r="B2858" s="2" t="s">
        <v>37067</v>
      </c>
      <c r="C2858" s="2">
        <v>2020</v>
      </c>
      <c r="D2858" s="2" t="s">
        <v>37074</v>
      </c>
    </row>
    <row r="2859" spans="1:4" x14ac:dyDescent="0.15">
      <c r="A2859" s="2" t="s">
        <v>37079</v>
      </c>
      <c r="B2859" s="2" t="s">
        <v>37078</v>
      </c>
      <c r="C2859" s="2">
        <v>2002</v>
      </c>
      <c r="D2859" s="2" t="s">
        <v>37082</v>
      </c>
    </row>
    <row r="2860" spans="1:4" x14ac:dyDescent="0.15">
      <c r="A2860" s="2" t="s">
        <v>37084</v>
      </c>
      <c r="B2860" s="2" t="s">
        <v>37083</v>
      </c>
      <c r="C2860" s="2">
        <v>2015</v>
      </c>
      <c r="D2860" s="2" t="s">
        <v>37088</v>
      </c>
    </row>
    <row r="2861" spans="1:4" x14ac:dyDescent="0.15">
      <c r="A2861" s="2" t="s">
        <v>37090</v>
      </c>
      <c r="B2861" s="2" t="s">
        <v>37089</v>
      </c>
      <c r="C2861" s="2">
        <v>1995</v>
      </c>
      <c r="D2861" s="2"/>
    </row>
    <row r="2862" spans="1:4" x14ac:dyDescent="0.15">
      <c r="A2862" s="2" t="s">
        <v>37095</v>
      </c>
      <c r="B2862" s="2" t="s">
        <v>37094</v>
      </c>
      <c r="C2862" s="2">
        <v>2000</v>
      </c>
      <c r="D2862" s="2" t="s">
        <v>37099</v>
      </c>
    </row>
    <row r="2863" spans="1:4" x14ac:dyDescent="0.15">
      <c r="A2863" s="2" t="s">
        <v>37101</v>
      </c>
      <c r="B2863" s="2" t="s">
        <v>37100</v>
      </c>
      <c r="C2863" s="2">
        <v>2022</v>
      </c>
      <c r="D2863" s="2" t="s">
        <v>37105</v>
      </c>
    </row>
    <row r="2864" spans="1:4" x14ac:dyDescent="0.15">
      <c r="A2864" s="2" t="s">
        <v>37107</v>
      </c>
      <c r="B2864" s="2" t="s">
        <v>37106</v>
      </c>
      <c r="C2864" s="2">
        <v>2018</v>
      </c>
      <c r="D2864" s="2" t="s">
        <v>37111</v>
      </c>
    </row>
    <row r="2865" spans="1:4" x14ac:dyDescent="0.15">
      <c r="A2865" s="2" t="s">
        <v>37117</v>
      </c>
      <c r="B2865" s="2" t="s">
        <v>37116</v>
      </c>
      <c r="C2865" s="2">
        <v>2002</v>
      </c>
      <c r="D2865" s="2" t="s">
        <v>37120</v>
      </c>
    </row>
    <row r="2866" spans="1:4" x14ac:dyDescent="0.15">
      <c r="A2866" s="2" t="s">
        <v>37122</v>
      </c>
      <c r="B2866" s="2" t="s">
        <v>37121</v>
      </c>
      <c r="C2866" s="2">
        <v>2004</v>
      </c>
      <c r="D2866" s="2" t="s">
        <v>37125</v>
      </c>
    </row>
    <row r="2867" spans="1:4" x14ac:dyDescent="0.15">
      <c r="A2867" s="2" t="s">
        <v>37127</v>
      </c>
      <c r="B2867" s="2" t="s">
        <v>37126</v>
      </c>
      <c r="C2867" s="2">
        <v>2005</v>
      </c>
      <c r="D2867" s="2" t="s">
        <v>37131</v>
      </c>
    </row>
    <row r="2868" spans="1:4" x14ac:dyDescent="0.15">
      <c r="A2868" s="2" t="s">
        <v>37133</v>
      </c>
      <c r="B2868" s="2" t="s">
        <v>37132</v>
      </c>
      <c r="C2868" s="2">
        <v>2019</v>
      </c>
      <c r="D2868" s="2" t="s">
        <v>37137</v>
      </c>
    </row>
    <row r="2869" spans="1:4" x14ac:dyDescent="0.15">
      <c r="A2869" s="2" t="s">
        <v>37139</v>
      </c>
      <c r="B2869" s="2" t="s">
        <v>37138</v>
      </c>
      <c r="C2869" s="2">
        <v>2005</v>
      </c>
      <c r="D2869" s="2" t="s">
        <v>37143</v>
      </c>
    </row>
    <row r="2870" spans="1:4" x14ac:dyDescent="0.15">
      <c r="A2870" s="2" t="s">
        <v>37145</v>
      </c>
      <c r="B2870" s="2" t="s">
        <v>37144</v>
      </c>
      <c r="C2870" s="2">
        <v>2016</v>
      </c>
      <c r="D2870" s="2" t="s">
        <v>37149</v>
      </c>
    </row>
    <row r="2871" spans="1:4" x14ac:dyDescent="0.15">
      <c r="A2871" s="2" t="s">
        <v>37151</v>
      </c>
      <c r="B2871" s="2" t="s">
        <v>37150</v>
      </c>
      <c r="C2871" s="2">
        <v>1999</v>
      </c>
      <c r="D2871" s="2" t="s">
        <v>37155</v>
      </c>
    </row>
    <row r="2872" spans="1:4" x14ac:dyDescent="0.15">
      <c r="A2872" s="2" t="s">
        <v>37157</v>
      </c>
      <c r="B2872" s="2" t="s">
        <v>37156</v>
      </c>
      <c r="C2872" s="2">
        <v>1999</v>
      </c>
      <c r="D2872" s="2" t="s">
        <v>37159</v>
      </c>
    </row>
    <row r="2873" spans="1:4" x14ac:dyDescent="0.15">
      <c r="A2873" s="2" t="s">
        <v>37169</v>
      </c>
      <c r="B2873" s="2" t="s">
        <v>37168</v>
      </c>
      <c r="C2873" s="2">
        <v>2020</v>
      </c>
      <c r="D2873" s="2" t="s">
        <v>37172</v>
      </c>
    </row>
    <row r="2874" spans="1:4" x14ac:dyDescent="0.15">
      <c r="A2874" s="2" t="s">
        <v>37174</v>
      </c>
      <c r="B2874" s="2" t="s">
        <v>37173</v>
      </c>
      <c r="C2874" s="2">
        <v>2002</v>
      </c>
      <c r="D2874" s="2"/>
    </row>
    <row r="2875" spans="1:4" x14ac:dyDescent="0.15">
      <c r="A2875" s="2" t="s">
        <v>37180</v>
      </c>
      <c r="B2875" s="2" t="s">
        <v>37179</v>
      </c>
      <c r="C2875" s="2">
        <v>2005</v>
      </c>
      <c r="D2875" s="2"/>
    </row>
    <row r="2876" spans="1:4" x14ac:dyDescent="0.15">
      <c r="A2876" s="2" t="s">
        <v>37185</v>
      </c>
      <c r="B2876" s="2" t="s">
        <v>37184</v>
      </c>
      <c r="C2876" s="2">
        <v>2019</v>
      </c>
      <c r="D2876" s="2" t="s">
        <v>37189</v>
      </c>
    </row>
    <row r="2877" spans="1:4" x14ac:dyDescent="0.15">
      <c r="A2877" s="2" t="s">
        <v>37195</v>
      </c>
      <c r="B2877" s="2" t="s">
        <v>37194</v>
      </c>
      <c r="C2877" s="2">
        <v>2001</v>
      </c>
      <c r="D2877" s="2" t="s">
        <v>37198</v>
      </c>
    </row>
    <row r="2878" spans="1:4" x14ac:dyDescent="0.15">
      <c r="A2878" s="2" t="s">
        <v>37200</v>
      </c>
      <c r="B2878" s="2" t="s">
        <v>37199</v>
      </c>
      <c r="C2878" s="2">
        <v>2014</v>
      </c>
      <c r="D2878" s="2" t="s">
        <v>37204</v>
      </c>
    </row>
    <row r="2879" spans="1:4" x14ac:dyDescent="0.15">
      <c r="A2879" s="2" t="s">
        <v>37206</v>
      </c>
      <c r="B2879" s="2" t="s">
        <v>37205</v>
      </c>
      <c r="C2879" s="2">
        <v>2022</v>
      </c>
      <c r="D2879" s="2" t="s">
        <v>37210</v>
      </c>
    </row>
    <row r="2880" spans="1:4" x14ac:dyDescent="0.15">
      <c r="A2880" s="2" t="s">
        <v>37212</v>
      </c>
      <c r="B2880" s="2" t="s">
        <v>37211</v>
      </c>
      <c r="C2880" s="2">
        <v>2021</v>
      </c>
      <c r="D2880" s="2" t="s">
        <v>37215</v>
      </c>
    </row>
    <row r="2881" spans="1:4" x14ac:dyDescent="0.15">
      <c r="A2881" s="2" t="s">
        <v>37217</v>
      </c>
      <c r="B2881" s="2" t="s">
        <v>37216</v>
      </c>
      <c r="C2881" s="2">
        <v>1999</v>
      </c>
      <c r="D2881" s="2" t="s">
        <v>37220</v>
      </c>
    </row>
    <row r="2882" spans="1:4" x14ac:dyDescent="0.15">
      <c r="A2882" s="2" t="s">
        <v>37222</v>
      </c>
      <c r="B2882" s="2" t="s">
        <v>37221</v>
      </c>
      <c r="C2882" s="2">
        <v>2017</v>
      </c>
      <c r="D2882" s="2" t="s">
        <v>37226</v>
      </c>
    </row>
    <row r="2883" spans="1:4" x14ac:dyDescent="0.15">
      <c r="A2883" s="2" t="s">
        <v>37228</v>
      </c>
      <c r="B2883" s="2" t="s">
        <v>37227</v>
      </c>
      <c r="C2883" s="2">
        <v>2004</v>
      </c>
      <c r="D2883" s="2" t="s">
        <v>37231</v>
      </c>
    </row>
    <row r="2884" spans="1:4" x14ac:dyDescent="0.15">
      <c r="A2884" s="2" t="s">
        <v>37233</v>
      </c>
      <c r="B2884" s="2" t="s">
        <v>37232</v>
      </c>
      <c r="C2884" s="2">
        <v>2004</v>
      </c>
      <c r="D2884" s="2" t="s">
        <v>37236</v>
      </c>
    </row>
    <row r="2885" spans="1:4" x14ac:dyDescent="0.15">
      <c r="A2885" s="2" t="s">
        <v>37238</v>
      </c>
      <c r="B2885" s="2" t="s">
        <v>37237</v>
      </c>
      <c r="C2885" s="2">
        <v>2010</v>
      </c>
      <c r="D2885" s="2" t="s">
        <v>37242</v>
      </c>
    </row>
    <row r="2886" spans="1:4" x14ac:dyDescent="0.15">
      <c r="A2886" s="2" t="s">
        <v>37244</v>
      </c>
      <c r="B2886" s="2" t="s">
        <v>37243</v>
      </c>
      <c r="C2886" s="2">
        <v>2013</v>
      </c>
      <c r="D2886" s="2" t="s">
        <v>37249</v>
      </c>
    </row>
    <row r="2887" spans="1:4" x14ac:dyDescent="0.15">
      <c r="A2887" s="2" t="s">
        <v>37251</v>
      </c>
      <c r="B2887" s="2" t="s">
        <v>37250</v>
      </c>
      <c r="C2887" s="2">
        <v>1997</v>
      </c>
      <c r="D2887" s="2" t="s">
        <v>37255</v>
      </c>
    </row>
    <row r="2888" spans="1:4" x14ac:dyDescent="0.15">
      <c r="A2888" s="2" t="s">
        <v>37257</v>
      </c>
      <c r="B2888" s="2" t="s">
        <v>37256</v>
      </c>
      <c r="C2888" s="2">
        <v>2003</v>
      </c>
      <c r="D2888" s="2" t="s">
        <v>37260</v>
      </c>
    </row>
    <row r="2889" spans="1:4" x14ac:dyDescent="0.15">
      <c r="A2889" s="2" t="s">
        <v>37267</v>
      </c>
      <c r="B2889" s="2" t="s">
        <v>37266</v>
      </c>
      <c r="C2889" s="2">
        <v>2018</v>
      </c>
      <c r="D2889" s="2" t="s">
        <v>37271</v>
      </c>
    </row>
    <row r="2890" spans="1:4" x14ac:dyDescent="0.15">
      <c r="A2890" s="2" t="s">
        <v>37273</v>
      </c>
      <c r="B2890" s="2" t="s">
        <v>37272</v>
      </c>
      <c r="C2890" s="2">
        <v>2015</v>
      </c>
      <c r="D2890" s="2" t="s">
        <v>37277</v>
      </c>
    </row>
    <row r="2891" spans="1:4" x14ac:dyDescent="0.15">
      <c r="A2891" s="2" t="s">
        <v>37287</v>
      </c>
      <c r="B2891" s="2" t="s">
        <v>37286</v>
      </c>
      <c r="C2891" s="2">
        <v>2019</v>
      </c>
      <c r="D2891" s="2" t="s">
        <v>37290</v>
      </c>
    </row>
    <row r="2892" spans="1:4" x14ac:dyDescent="0.15">
      <c r="A2892" s="2" t="s">
        <v>37304</v>
      </c>
      <c r="B2892" s="2" t="s">
        <v>37303</v>
      </c>
      <c r="C2892" s="2">
        <v>2022</v>
      </c>
      <c r="D2892" s="2" t="s">
        <v>37307</v>
      </c>
    </row>
    <row r="2893" spans="1:4" x14ac:dyDescent="0.15">
      <c r="A2893" s="2" t="s">
        <v>37309</v>
      </c>
      <c r="B2893" s="2" t="s">
        <v>37308</v>
      </c>
      <c r="C2893" s="2">
        <v>1999</v>
      </c>
      <c r="D2893" s="2"/>
    </row>
    <row r="2894" spans="1:4" x14ac:dyDescent="0.15">
      <c r="A2894" s="2" t="s">
        <v>37314</v>
      </c>
      <c r="B2894" s="2" t="s">
        <v>37313</v>
      </c>
      <c r="C2894" s="2">
        <v>2013</v>
      </c>
      <c r="D2894" s="2" t="s">
        <v>37318</v>
      </c>
    </row>
    <row r="2895" spans="1:4" x14ac:dyDescent="0.15">
      <c r="A2895" s="2" t="s">
        <v>37324</v>
      </c>
      <c r="B2895" s="2" t="s">
        <v>37323</v>
      </c>
      <c r="C2895" s="2">
        <v>2015</v>
      </c>
      <c r="D2895" s="2" t="s">
        <v>37327</v>
      </c>
    </row>
    <row r="2896" spans="1:4" x14ac:dyDescent="0.15">
      <c r="A2896" s="2" t="s">
        <v>37329</v>
      </c>
      <c r="B2896" s="2" t="s">
        <v>37328</v>
      </c>
      <c r="C2896" s="2">
        <v>2018</v>
      </c>
      <c r="D2896" s="2" t="s">
        <v>37332</v>
      </c>
    </row>
    <row r="2897" spans="1:4" x14ac:dyDescent="0.15">
      <c r="A2897" s="2" t="s">
        <v>37334</v>
      </c>
      <c r="B2897" s="2" t="s">
        <v>37333</v>
      </c>
      <c r="C2897" s="2">
        <v>2011</v>
      </c>
      <c r="D2897" s="2" t="s">
        <v>37338</v>
      </c>
    </row>
    <row r="2898" spans="1:4" x14ac:dyDescent="0.15">
      <c r="A2898" s="2" t="s">
        <v>37350</v>
      </c>
      <c r="B2898" s="2" t="s">
        <v>37349</v>
      </c>
      <c r="C2898" s="2">
        <v>2009</v>
      </c>
      <c r="D2898" s="2" t="s">
        <v>37353</v>
      </c>
    </row>
    <row r="2899" spans="1:4" x14ac:dyDescent="0.15">
      <c r="A2899" s="2" t="s">
        <v>37355</v>
      </c>
      <c r="B2899" s="2" t="s">
        <v>37354</v>
      </c>
      <c r="C2899" s="2">
        <v>2020</v>
      </c>
      <c r="D2899" s="2" t="s">
        <v>37359</v>
      </c>
    </row>
    <row r="2900" spans="1:4" x14ac:dyDescent="0.15">
      <c r="A2900" s="2" t="s">
        <v>37371</v>
      </c>
      <c r="B2900" s="2" t="s">
        <v>37370</v>
      </c>
      <c r="C2900" s="2">
        <v>2019</v>
      </c>
      <c r="D2900" s="2" t="s">
        <v>37375</v>
      </c>
    </row>
    <row r="2901" spans="1:4" x14ac:dyDescent="0.15">
      <c r="A2901" s="2" t="s">
        <v>37377</v>
      </c>
      <c r="B2901" s="2" t="s">
        <v>37376</v>
      </c>
      <c r="C2901" s="2">
        <v>2013</v>
      </c>
      <c r="D2901" s="2" t="s">
        <v>37381</v>
      </c>
    </row>
    <row r="2902" spans="1:4" x14ac:dyDescent="0.15">
      <c r="A2902" s="2" t="s">
        <v>37383</v>
      </c>
      <c r="B2902" s="2" t="s">
        <v>37382</v>
      </c>
      <c r="C2902" s="2">
        <v>2019</v>
      </c>
      <c r="D2902" s="2" t="s">
        <v>37386</v>
      </c>
    </row>
    <row r="2903" spans="1:4" x14ac:dyDescent="0.15">
      <c r="A2903" s="2" t="s">
        <v>37392</v>
      </c>
      <c r="B2903" s="2" t="s">
        <v>37391</v>
      </c>
      <c r="C2903" s="2">
        <v>2012</v>
      </c>
      <c r="D2903" s="2" t="s">
        <v>37396</v>
      </c>
    </row>
    <row r="2904" spans="1:4" x14ac:dyDescent="0.15">
      <c r="A2904" s="2" t="s">
        <v>37398</v>
      </c>
      <c r="B2904" s="2" t="s">
        <v>37397</v>
      </c>
      <c r="C2904" s="2">
        <v>2015</v>
      </c>
      <c r="D2904" s="2" t="s">
        <v>37401</v>
      </c>
    </row>
    <row r="2905" spans="1:4" x14ac:dyDescent="0.15">
      <c r="A2905" s="2" t="s">
        <v>37403</v>
      </c>
      <c r="B2905" s="2" t="s">
        <v>37402</v>
      </c>
      <c r="C2905" s="2">
        <v>2015</v>
      </c>
      <c r="D2905" s="2" t="s">
        <v>37407</v>
      </c>
    </row>
    <row r="2906" spans="1:4" x14ac:dyDescent="0.15">
      <c r="A2906" s="2" t="s">
        <v>37409</v>
      </c>
      <c r="B2906" s="2" t="s">
        <v>37408</v>
      </c>
      <c r="C2906" s="2">
        <v>2006</v>
      </c>
      <c r="D2906" s="2" t="s">
        <v>37412</v>
      </c>
    </row>
    <row r="2907" spans="1:4" x14ac:dyDescent="0.15">
      <c r="A2907" s="2" t="s">
        <v>37377</v>
      </c>
      <c r="B2907" s="2" t="s">
        <v>37415</v>
      </c>
      <c r="C2907" s="2">
        <v>2014</v>
      </c>
      <c r="D2907" s="2" t="s">
        <v>37418</v>
      </c>
    </row>
    <row r="2908" spans="1:4" x14ac:dyDescent="0.15">
      <c r="A2908" s="2" t="s">
        <v>37425</v>
      </c>
      <c r="B2908" s="2" t="s">
        <v>37424</v>
      </c>
      <c r="C2908" s="2">
        <v>2009</v>
      </c>
      <c r="D2908" s="2" t="s">
        <v>37429</v>
      </c>
    </row>
    <row r="2909" spans="1:4" x14ac:dyDescent="0.15">
      <c r="A2909" s="2" t="s">
        <v>37431</v>
      </c>
      <c r="B2909" s="2" t="s">
        <v>37430</v>
      </c>
      <c r="C2909" s="2">
        <v>2006</v>
      </c>
      <c r="D2909" s="2" t="s">
        <v>37435</v>
      </c>
    </row>
    <row r="2910" spans="1:4" x14ac:dyDescent="0.15">
      <c r="A2910" s="2" t="s">
        <v>37443</v>
      </c>
      <c r="B2910" s="2" t="s">
        <v>37442</v>
      </c>
      <c r="C2910" s="2">
        <v>2019</v>
      </c>
      <c r="D2910" s="2" t="s">
        <v>37446</v>
      </c>
    </row>
    <row r="2911" spans="1:4" x14ac:dyDescent="0.15">
      <c r="A2911" s="2" t="s">
        <v>37448</v>
      </c>
      <c r="B2911" s="2" t="s">
        <v>37447</v>
      </c>
      <c r="C2911" s="2">
        <v>2011</v>
      </c>
      <c r="D2911" s="2" t="s">
        <v>37452</v>
      </c>
    </row>
    <row r="2912" spans="1:4" x14ac:dyDescent="0.15">
      <c r="A2912" s="2" t="s">
        <v>37462</v>
      </c>
      <c r="B2912" s="2" t="s">
        <v>37461</v>
      </c>
      <c r="C2912" s="2">
        <v>2020</v>
      </c>
      <c r="D2912" s="2" t="s">
        <v>37465</v>
      </c>
    </row>
    <row r="2913" spans="1:4" x14ac:dyDescent="0.15">
      <c r="A2913" s="2" t="s">
        <v>37467</v>
      </c>
      <c r="B2913" s="2" t="s">
        <v>37466</v>
      </c>
      <c r="C2913" s="2">
        <v>2012</v>
      </c>
      <c r="D2913" s="2" t="s">
        <v>37470</v>
      </c>
    </row>
    <row r="2914" spans="1:4" x14ac:dyDescent="0.15">
      <c r="A2914" s="2" t="s">
        <v>37472</v>
      </c>
      <c r="B2914" s="2" t="s">
        <v>37471</v>
      </c>
      <c r="C2914" s="2">
        <v>2007</v>
      </c>
      <c r="D2914" s="2" t="s">
        <v>37475</v>
      </c>
    </row>
    <row r="2915" spans="1:4" x14ac:dyDescent="0.15">
      <c r="A2915" s="2" t="s">
        <v>37477</v>
      </c>
      <c r="B2915" s="2" t="s">
        <v>37476</v>
      </c>
      <c r="C2915" s="2">
        <v>2020</v>
      </c>
      <c r="D2915" s="2" t="s">
        <v>37481</v>
      </c>
    </row>
    <row r="2916" spans="1:4" x14ac:dyDescent="0.15">
      <c r="A2916" s="2" t="s">
        <v>37483</v>
      </c>
      <c r="B2916" s="2" t="s">
        <v>37482</v>
      </c>
      <c r="C2916" s="2">
        <v>2005</v>
      </c>
      <c r="D2916" s="2" t="s">
        <v>37486</v>
      </c>
    </row>
    <row r="2917" spans="1:4" x14ac:dyDescent="0.15">
      <c r="A2917" s="2" t="s">
        <v>37488</v>
      </c>
      <c r="B2917" s="2" t="s">
        <v>37487</v>
      </c>
      <c r="C2917" s="2">
        <v>2013</v>
      </c>
      <c r="D2917" s="2" t="s">
        <v>37492</v>
      </c>
    </row>
    <row r="2918" spans="1:4" x14ac:dyDescent="0.15">
      <c r="A2918" s="2" t="s">
        <v>37503</v>
      </c>
      <c r="B2918" s="2" t="s">
        <v>37502</v>
      </c>
      <c r="C2918" s="2">
        <v>2001</v>
      </c>
      <c r="D2918" s="2" t="s">
        <v>37507</v>
      </c>
    </row>
    <row r="2919" spans="1:4" x14ac:dyDescent="0.15">
      <c r="A2919" s="2" t="s">
        <v>37509</v>
      </c>
      <c r="B2919" s="2" t="s">
        <v>37508</v>
      </c>
      <c r="C2919" s="2">
        <v>2007</v>
      </c>
      <c r="D2919" s="2" t="s">
        <v>37513</v>
      </c>
    </row>
    <row r="2920" spans="1:4" x14ac:dyDescent="0.15">
      <c r="A2920" s="2" t="s">
        <v>37515</v>
      </c>
      <c r="B2920" s="2" t="s">
        <v>37514</v>
      </c>
      <c r="C2920" s="2">
        <v>2009</v>
      </c>
      <c r="D2920" s="2" t="s">
        <v>37519</v>
      </c>
    </row>
    <row r="2921" spans="1:4" x14ac:dyDescent="0.15">
      <c r="A2921" s="2" t="s">
        <v>37525</v>
      </c>
      <c r="B2921" s="2" t="s">
        <v>37524</v>
      </c>
      <c r="C2921" s="2">
        <v>2021</v>
      </c>
      <c r="D2921" s="2" t="s">
        <v>37529</v>
      </c>
    </row>
    <row r="2922" spans="1:4" x14ac:dyDescent="0.15">
      <c r="A2922" s="2" t="s">
        <v>37531</v>
      </c>
      <c r="B2922" s="2" t="s">
        <v>37530</v>
      </c>
      <c r="C2922" s="2">
        <v>2014</v>
      </c>
      <c r="D2922" s="2" t="s">
        <v>37535</v>
      </c>
    </row>
    <row r="2923" spans="1:4" x14ac:dyDescent="0.15">
      <c r="A2923" s="2" t="s">
        <v>37541</v>
      </c>
      <c r="B2923" s="2" t="s">
        <v>37540</v>
      </c>
      <c r="C2923" s="2">
        <v>2015</v>
      </c>
      <c r="D2923" s="2" t="s">
        <v>37544</v>
      </c>
    </row>
    <row r="2924" spans="1:4" x14ac:dyDescent="0.15">
      <c r="A2924" s="2" t="s">
        <v>37546</v>
      </c>
      <c r="B2924" s="2" t="s">
        <v>37545</v>
      </c>
      <c r="C2924" s="2">
        <v>2021</v>
      </c>
      <c r="D2924" s="2" t="s">
        <v>37549</v>
      </c>
    </row>
    <row r="2925" spans="1:4" x14ac:dyDescent="0.15">
      <c r="A2925" s="2" t="s">
        <v>37551</v>
      </c>
      <c r="B2925" s="2" t="s">
        <v>37550</v>
      </c>
      <c r="C2925" s="2">
        <v>2020</v>
      </c>
      <c r="D2925" s="2" t="s">
        <v>37555</v>
      </c>
    </row>
    <row r="2926" spans="1:4" x14ac:dyDescent="0.15">
      <c r="A2926" s="2" t="s">
        <v>37557</v>
      </c>
      <c r="B2926" s="2" t="s">
        <v>37556</v>
      </c>
      <c r="C2926" s="2">
        <v>2017</v>
      </c>
      <c r="D2926" s="2" t="s">
        <v>37562</v>
      </c>
    </row>
    <row r="2927" spans="1:4" x14ac:dyDescent="0.15">
      <c r="A2927" s="2" t="s">
        <v>37564</v>
      </c>
      <c r="B2927" s="2" t="s">
        <v>37563</v>
      </c>
      <c r="C2927" s="2">
        <v>2007</v>
      </c>
      <c r="D2927" s="2" t="s">
        <v>37568</v>
      </c>
    </row>
    <row r="2928" spans="1:4" x14ac:dyDescent="0.15">
      <c r="A2928" s="2" t="s">
        <v>37570</v>
      </c>
      <c r="B2928" s="2" t="s">
        <v>37569</v>
      </c>
      <c r="C2928" s="2">
        <v>2001</v>
      </c>
      <c r="D2928" s="2" t="s">
        <v>37575</v>
      </c>
    </row>
    <row r="2929" spans="1:4" x14ac:dyDescent="0.15">
      <c r="A2929" s="2" t="s">
        <v>37577</v>
      </c>
      <c r="B2929" s="2" t="s">
        <v>37576</v>
      </c>
      <c r="C2929" s="2">
        <v>2003</v>
      </c>
      <c r="D2929" s="2" t="s">
        <v>37581</v>
      </c>
    </row>
    <row r="2930" spans="1:4" x14ac:dyDescent="0.15">
      <c r="A2930" s="2" t="s">
        <v>37583</v>
      </c>
      <c r="B2930" s="2" t="s">
        <v>37582</v>
      </c>
      <c r="C2930" s="2">
        <v>2015</v>
      </c>
      <c r="D2930" s="2" t="s">
        <v>37588</v>
      </c>
    </row>
    <row r="2931" spans="1:4" x14ac:dyDescent="0.15">
      <c r="A2931" s="2" t="s">
        <v>37590</v>
      </c>
      <c r="B2931" s="2" t="s">
        <v>37589</v>
      </c>
      <c r="C2931" s="2">
        <v>2008</v>
      </c>
      <c r="D2931" s="2" t="s">
        <v>37593</v>
      </c>
    </row>
    <row r="2932" spans="1:4" x14ac:dyDescent="0.15">
      <c r="A2932" s="2" t="s">
        <v>37600</v>
      </c>
      <c r="B2932" s="2" t="s">
        <v>37599</v>
      </c>
      <c r="C2932" s="2">
        <v>2007</v>
      </c>
      <c r="D2932" s="2" t="s">
        <v>37604</v>
      </c>
    </row>
    <row r="2933" spans="1:4" x14ac:dyDescent="0.15">
      <c r="A2933" s="2" t="s">
        <v>37606</v>
      </c>
      <c r="B2933" s="2" t="s">
        <v>37605</v>
      </c>
      <c r="C2933" s="2">
        <v>2019</v>
      </c>
      <c r="D2933" s="2" t="s">
        <v>37609</v>
      </c>
    </row>
    <row r="2934" spans="1:4" x14ac:dyDescent="0.15">
      <c r="A2934" s="2" t="s">
        <v>37611</v>
      </c>
      <c r="B2934" s="2" t="s">
        <v>37610</v>
      </c>
      <c r="C2934" s="2">
        <v>2010</v>
      </c>
      <c r="D2934" s="2" t="s">
        <v>37615</v>
      </c>
    </row>
    <row r="2935" spans="1:4" x14ac:dyDescent="0.15">
      <c r="A2935" s="2" t="s">
        <v>37617</v>
      </c>
      <c r="B2935" s="2" t="s">
        <v>37616</v>
      </c>
      <c r="C2935" s="2">
        <v>2014</v>
      </c>
      <c r="D2935" s="2" t="s">
        <v>37622</v>
      </c>
    </row>
    <row r="2936" spans="1:4" x14ac:dyDescent="0.15">
      <c r="A2936" s="2" t="s">
        <v>37624</v>
      </c>
      <c r="B2936" s="2" t="s">
        <v>37623</v>
      </c>
      <c r="C2936" s="2">
        <v>1995</v>
      </c>
      <c r="D2936" s="2" t="s">
        <v>37627</v>
      </c>
    </row>
    <row r="2937" spans="1:4" x14ac:dyDescent="0.15">
      <c r="A2937" s="2" t="s">
        <v>37633</v>
      </c>
      <c r="B2937" s="2" t="s">
        <v>37632</v>
      </c>
      <c r="C2937" s="2">
        <v>2017</v>
      </c>
      <c r="D2937" s="2" t="s">
        <v>37638</v>
      </c>
    </row>
    <row r="2938" spans="1:4" x14ac:dyDescent="0.15">
      <c r="A2938" s="2" t="s">
        <v>37646</v>
      </c>
      <c r="B2938" s="2" t="s">
        <v>37645</v>
      </c>
      <c r="C2938" s="2">
        <v>2020</v>
      </c>
      <c r="D2938" s="2" t="s">
        <v>37650</v>
      </c>
    </row>
    <row r="2939" spans="1:4" x14ac:dyDescent="0.15">
      <c r="A2939" s="2" t="s">
        <v>37652</v>
      </c>
      <c r="B2939" s="2" t="s">
        <v>37651</v>
      </c>
      <c r="C2939" s="2">
        <v>2018</v>
      </c>
      <c r="D2939" s="2" t="s">
        <v>37655</v>
      </c>
    </row>
    <row r="2940" spans="1:4" x14ac:dyDescent="0.15">
      <c r="A2940" s="2" t="s">
        <v>37657</v>
      </c>
      <c r="B2940" s="2" t="s">
        <v>37656</v>
      </c>
      <c r="C2940" s="2">
        <v>2014</v>
      </c>
      <c r="D2940" s="2" t="s">
        <v>37661</v>
      </c>
    </row>
    <row r="2941" spans="1:4" x14ac:dyDescent="0.15">
      <c r="A2941" s="2" t="s">
        <v>37663</v>
      </c>
      <c r="B2941" s="2" t="s">
        <v>37662</v>
      </c>
      <c r="C2941" s="2">
        <v>2004</v>
      </c>
      <c r="D2941" s="2" t="s">
        <v>37666</v>
      </c>
    </row>
    <row r="2942" spans="1:4" x14ac:dyDescent="0.15">
      <c r="A2942" s="2" t="s">
        <v>37668</v>
      </c>
      <c r="B2942" s="2" t="s">
        <v>37667</v>
      </c>
      <c r="C2942" s="2">
        <v>2013</v>
      </c>
      <c r="D2942" s="2" t="s">
        <v>37672</v>
      </c>
    </row>
    <row r="2943" spans="1:4" x14ac:dyDescent="0.15">
      <c r="A2943" s="2" t="s">
        <v>37674</v>
      </c>
      <c r="B2943" s="2" t="s">
        <v>37673</v>
      </c>
      <c r="C2943" s="2">
        <v>2019</v>
      </c>
      <c r="D2943" s="2" t="s">
        <v>37678</v>
      </c>
    </row>
    <row r="2944" spans="1:4" x14ac:dyDescent="0.15">
      <c r="A2944" s="2" t="s">
        <v>37680</v>
      </c>
      <c r="B2944" s="2" t="s">
        <v>37679</v>
      </c>
      <c r="C2944" s="2">
        <v>2013</v>
      </c>
      <c r="D2944" s="2" t="s">
        <v>37684</v>
      </c>
    </row>
    <row r="2945" spans="1:4" x14ac:dyDescent="0.15">
      <c r="A2945" s="2" t="s">
        <v>37686</v>
      </c>
      <c r="B2945" s="2" t="s">
        <v>37685</v>
      </c>
      <c r="C2945" s="2">
        <v>2019</v>
      </c>
      <c r="D2945" s="2" t="s">
        <v>37690</v>
      </c>
    </row>
    <row r="2946" spans="1:4" x14ac:dyDescent="0.15">
      <c r="A2946" s="2" t="s">
        <v>37692</v>
      </c>
      <c r="B2946" s="2" t="s">
        <v>37691</v>
      </c>
      <c r="C2946" s="2">
        <v>2008</v>
      </c>
      <c r="D2946" s="2" t="s">
        <v>37696</v>
      </c>
    </row>
    <row r="2947" spans="1:4" x14ac:dyDescent="0.15">
      <c r="A2947" s="2" t="s">
        <v>37706</v>
      </c>
      <c r="B2947" s="2" t="s">
        <v>37705</v>
      </c>
      <c r="C2947" s="2">
        <v>2004</v>
      </c>
      <c r="D2947" s="2" t="s">
        <v>37710</v>
      </c>
    </row>
    <row r="2948" spans="1:4" x14ac:dyDescent="0.15">
      <c r="A2948" s="2" t="s">
        <v>37712</v>
      </c>
      <c r="B2948" s="2" t="s">
        <v>37711</v>
      </c>
      <c r="C2948" s="2">
        <v>2003</v>
      </c>
      <c r="D2948" s="2" t="s">
        <v>37715</v>
      </c>
    </row>
    <row r="2949" spans="1:4" x14ac:dyDescent="0.15">
      <c r="A2949" s="2" t="s">
        <v>37717</v>
      </c>
      <c r="B2949" s="2" t="s">
        <v>37716</v>
      </c>
      <c r="C2949" s="2">
        <v>2014</v>
      </c>
      <c r="D2949" s="2" t="s">
        <v>37721</v>
      </c>
    </row>
    <row r="2950" spans="1:4" x14ac:dyDescent="0.15">
      <c r="A2950" s="2" t="s">
        <v>37726</v>
      </c>
      <c r="B2950" s="2" t="s">
        <v>37725</v>
      </c>
      <c r="C2950" s="2">
        <v>1988</v>
      </c>
      <c r="D2950" s="2" t="s">
        <v>37730</v>
      </c>
    </row>
    <row r="2951" spans="1:4" x14ac:dyDescent="0.15">
      <c r="A2951" s="2" t="s">
        <v>37735</v>
      </c>
      <c r="B2951" s="2" t="s">
        <v>37734</v>
      </c>
      <c r="C2951" s="2">
        <v>2010</v>
      </c>
      <c r="D2951" s="2" t="s">
        <v>37739</v>
      </c>
    </row>
    <row r="2952" spans="1:4" x14ac:dyDescent="0.15">
      <c r="A2952" s="2" t="s">
        <v>37741</v>
      </c>
      <c r="B2952" s="2" t="s">
        <v>37740</v>
      </c>
      <c r="C2952" s="2">
        <v>2013</v>
      </c>
      <c r="D2952" s="2" t="s">
        <v>37744</v>
      </c>
    </row>
    <row r="2953" spans="1:4" x14ac:dyDescent="0.15">
      <c r="A2953" s="2" t="s">
        <v>37746</v>
      </c>
      <c r="B2953" s="2" t="s">
        <v>37745</v>
      </c>
      <c r="C2953" s="2">
        <v>2013</v>
      </c>
      <c r="D2953" s="2" t="s">
        <v>37749</v>
      </c>
    </row>
    <row r="2954" spans="1:4" x14ac:dyDescent="0.15">
      <c r="A2954" s="2" t="s">
        <v>37757</v>
      </c>
      <c r="B2954" s="2" t="s">
        <v>37756</v>
      </c>
      <c r="C2954" s="2">
        <v>2018</v>
      </c>
      <c r="D2954" s="2" t="s">
        <v>37761</v>
      </c>
    </row>
    <row r="2955" spans="1:4" x14ac:dyDescent="0.15">
      <c r="A2955" s="2" t="s">
        <v>37763</v>
      </c>
      <c r="B2955" s="2" t="s">
        <v>37762</v>
      </c>
      <c r="C2955" s="2">
        <v>2015</v>
      </c>
      <c r="D2955" s="2" t="s">
        <v>37767</v>
      </c>
    </row>
    <row r="2956" spans="1:4" x14ac:dyDescent="0.15">
      <c r="A2956" s="2" t="s">
        <v>37769</v>
      </c>
      <c r="B2956" s="2" t="s">
        <v>37768</v>
      </c>
      <c r="C2956" s="2">
        <v>2015</v>
      </c>
      <c r="D2956" s="2" t="s">
        <v>37773</v>
      </c>
    </row>
    <row r="2957" spans="1:4" x14ac:dyDescent="0.15">
      <c r="A2957" s="2" t="s">
        <v>37775</v>
      </c>
      <c r="B2957" s="2" t="s">
        <v>37774</v>
      </c>
      <c r="C2957" s="2">
        <v>2015</v>
      </c>
      <c r="D2957" s="2" t="s">
        <v>37778</v>
      </c>
    </row>
    <row r="2958" spans="1:4" x14ac:dyDescent="0.15">
      <c r="A2958" s="2" t="s">
        <v>37780</v>
      </c>
      <c r="B2958" s="2" t="s">
        <v>37779</v>
      </c>
      <c r="C2958" s="2">
        <v>2021</v>
      </c>
      <c r="D2958" s="2" t="s">
        <v>37785</v>
      </c>
    </row>
    <row r="2959" spans="1:4" x14ac:dyDescent="0.15">
      <c r="A2959" s="2" t="s">
        <v>37787</v>
      </c>
      <c r="B2959" s="2" t="s">
        <v>37786</v>
      </c>
      <c r="C2959" s="2">
        <v>2007</v>
      </c>
      <c r="D2959" s="2" t="s">
        <v>37790</v>
      </c>
    </row>
    <row r="2960" spans="1:4" x14ac:dyDescent="0.15">
      <c r="A2960" s="2" t="s">
        <v>37792</v>
      </c>
      <c r="B2960" s="2" t="s">
        <v>37791</v>
      </c>
      <c r="C2960" s="2">
        <v>2012</v>
      </c>
      <c r="D2960" s="2" t="s">
        <v>37796</v>
      </c>
    </row>
    <row r="2961" spans="1:4" x14ac:dyDescent="0.15">
      <c r="A2961" s="2" t="s">
        <v>37802</v>
      </c>
      <c r="B2961" s="2" t="s">
        <v>37801</v>
      </c>
      <c r="C2961" s="2">
        <v>2008</v>
      </c>
      <c r="D2961" s="2" t="s">
        <v>37806</v>
      </c>
    </row>
    <row r="2962" spans="1:4" x14ac:dyDescent="0.15">
      <c r="A2962" s="2" t="s">
        <v>37808</v>
      </c>
      <c r="B2962" s="2" t="s">
        <v>37807</v>
      </c>
      <c r="C2962" s="2">
        <v>2020</v>
      </c>
      <c r="D2962" s="2" t="s">
        <v>37811</v>
      </c>
    </row>
    <row r="2963" spans="1:4" x14ac:dyDescent="0.15">
      <c r="A2963" s="2" t="s">
        <v>37813</v>
      </c>
      <c r="B2963" s="2" t="s">
        <v>37812</v>
      </c>
      <c r="C2963" s="2">
        <v>2019</v>
      </c>
      <c r="D2963" s="2" t="s">
        <v>37817</v>
      </c>
    </row>
    <row r="2964" spans="1:4" x14ac:dyDescent="0.15">
      <c r="A2964" s="2" t="s">
        <v>37819</v>
      </c>
      <c r="B2964" s="2" t="s">
        <v>37818</v>
      </c>
      <c r="C2964" s="2">
        <v>2006</v>
      </c>
      <c r="D2964" s="2" t="s">
        <v>37823</v>
      </c>
    </row>
    <row r="2965" spans="1:4" x14ac:dyDescent="0.15">
      <c r="A2965" s="2" t="s">
        <v>37825</v>
      </c>
      <c r="B2965" s="2" t="s">
        <v>37824</v>
      </c>
      <c r="C2965" s="2">
        <v>2005</v>
      </c>
      <c r="D2965" s="2" t="s">
        <v>37828</v>
      </c>
    </row>
    <row r="2966" spans="1:4" x14ac:dyDescent="0.15">
      <c r="A2966" s="2" t="s">
        <v>37830</v>
      </c>
      <c r="B2966" s="2" t="s">
        <v>37829</v>
      </c>
      <c r="C2966" s="2">
        <v>2016</v>
      </c>
      <c r="D2966" s="2" t="s">
        <v>37834</v>
      </c>
    </row>
    <row r="2967" spans="1:4" x14ac:dyDescent="0.15">
      <c r="A2967" s="2" t="s">
        <v>37836</v>
      </c>
      <c r="B2967" s="2" t="s">
        <v>37835</v>
      </c>
      <c r="C2967" s="2">
        <v>2022</v>
      </c>
      <c r="D2967" s="2" t="s">
        <v>37842</v>
      </c>
    </row>
    <row r="2968" spans="1:4" x14ac:dyDescent="0.15">
      <c r="A2968" s="2" t="s">
        <v>37844</v>
      </c>
      <c r="B2968" s="2" t="s">
        <v>37843</v>
      </c>
      <c r="C2968" s="2">
        <v>2022</v>
      </c>
      <c r="D2968" s="2" t="s">
        <v>37847</v>
      </c>
    </row>
    <row r="2969" spans="1:4" x14ac:dyDescent="0.15">
      <c r="A2969" s="2" t="s">
        <v>37849</v>
      </c>
      <c r="B2969" s="2" t="s">
        <v>37848</v>
      </c>
      <c r="C2969" s="2">
        <v>2006</v>
      </c>
      <c r="D2969" s="2" t="s">
        <v>37853</v>
      </c>
    </row>
    <row r="2970" spans="1:4" x14ac:dyDescent="0.15">
      <c r="A2970" s="2" t="s">
        <v>37855</v>
      </c>
      <c r="B2970" s="2" t="s">
        <v>37854</v>
      </c>
      <c r="C2970" s="2">
        <v>2014</v>
      </c>
      <c r="D2970" s="2" t="s">
        <v>37858</v>
      </c>
    </row>
    <row r="2971" spans="1:4" x14ac:dyDescent="0.15">
      <c r="A2971" s="2" t="s">
        <v>37860</v>
      </c>
      <c r="B2971" s="2" t="s">
        <v>37859</v>
      </c>
      <c r="C2971" s="2">
        <v>2014</v>
      </c>
      <c r="D2971" s="2" t="s">
        <v>37864</v>
      </c>
    </row>
    <row r="2972" spans="1:4" x14ac:dyDescent="0.15">
      <c r="A2972" s="2" t="s">
        <v>37866</v>
      </c>
      <c r="B2972" s="2" t="s">
        <v>37865</v>
      </c>
      <c r="C2972" s="2">
        <v>2013</v>
      </c>
      <c r="D2972" s="2" t="s">
        <v>37870</v>
      </c>
    </row>
    <row r="2973" spans="1:4" x14ac:dyDescent="0.15">
      <c r="A2973" s="2" t="s">
        <v>37872</v>
      </c>
      <c r="B2973" s="2" t="s">
        <v>37871</v>
      </c>
      <c r="C2973" s="2">
        <v>2007</v>
      </c>
      <c r="D2973" s="2" t="s">
        <v>37876</v>
      </c>
    </row>
    <row r="2974" spans="1:4" x14ac:dyDescent="0.15">
      <c r="A2974" s="2" t="s">
        <v>37878</v>
      </c>
      <c r="B2974" s="2" t="s">
        <v>37877</v>
      </c>
      <c r="C2974" s="2">
        <v>2005</v>
      </c>
      <c r="D2974" s="2" t="s">
        <v>37881</v>
      </c>
    </row>
    <row r="2975" spans="1:4" x14ac:dyDescent="0.15">
      <c r="A2975" s="2" t="s">
        <v>37883</v>
      </c>
      <c r="B2975" s="2" t="s">
        <v>37882</v>
      </c>
      <c r="C2975" s="2">
        <v>2010</v>
      </c>
      <c r="D2975" s="2" t="s">
        <v>37887</v>
      </c>
    </row>
    <row r="2976" spans="1:4" x14ac:dyDescent="0.15">
      <c r="A2976" s="2" t="s">
        <v>37889</v>
      </c>
      <c r="B2976" s="2" t="s">
        <v>37888</v>
      </c>
      <c r="C2976" s="2">
        <v>2002</v>
      </c>
      <c r="D2976" s="2" t="s">
        <v>37892</v>
      </c>
    </row>
    <row r="2977" spans="1:4" x14ac:dyDescent="0.15">
      <c r="A2977" s="2" t="s">
        <v>37894</v>
      </c>
      <c r="B2977" s="2" t="s">
        <v>37893</v>
      </c>
      <c r="C2977" s="2">
        <v>2008</v>
      </c>
      <c r="D2977" s="2" t="s">
        <v>37897</v>
      </c>
    </row>
    <row r="2978" spans="1:4" x14ac:dyDescent="0.15">
      <c r="A2978" s="2" t="s">
        <v>37899</v>
      </c>
      <c r="B2978" s="2" t="s">
        <v>37898</v>
      </c>
      <c r="C2978" s="2">
        <v>2015</v>
      </c>
      <c r="D2978" s="2" t="s">
        <v>37901</v>
      </c>
    </row>
    <row r="2979" spans="1:4" x14ac:dyDescent="0.15">
      <c r="A2979" s="2" t="s">
        <v>37906</v>
      </c>
      <c r="B2979" s="2" t="s">
        <v>37905</v>
      </c>
      <c r="C2979" s="2">
        <v>1999</v>
      </c>
      <c r="D2979" s="2" t="s">
        <v>37910</v>
      </c>
    </row>
    <row r="2980" spans="1:4" x14ac:dyDescent="0.15">
      <c r="A2980" s="2" t="s">
        <v>37912</v>
      </c>
      <c r="B2980" s="2" t="s">
        <v>37911</v>
      </c>
      <c r="C2980" s="2">
        <v>2008</v>
      </c>
      <c r="D2980" s="2" t="s">
        <v>37916</v>
      </c>
    </row>
    <row r="2981" spans="1:4" x14ac:dyDescent="0.15">
      <c r="A2981" s="2" t="s">
        <v>37918</v>
      </c>
      <c r="B2981" s="2" t="s">
        <v>37917</v>
      </c>
      <c r="C2981" s="2">
        <v>2012</v>
      </c>
      <c r="D2981" s="2" t="s">
        <v>37921</v>
      </c>
    </row>
    <row r="2982" spans="1:4" x14ac:dyDescent="0.15">
      <c r="A2982" s="2" t="s">
        <v>37925</v>
      </c>
      <c r="B2982" s="2" t="s">
        <v>37924</v>
      </c>
      <c r="C2982" s="2">
        <v>2021</v>
      </c>
      <c r="D2982" s="2" t="s">
        <v>37929</v>
      </c>
    </row>
    <row r="2983" spans="1:4" x14ac:dyDescent="0.15">
      <c r="A2983" s="2" t="s">
        <v>37936</v>
      </c>
      <c r="B2983" s="2" t="s">
        <v>37935</v>
      </c>
      <c r="C2983" s="2">
        <v>2008</v>
      </c>
      <c r="D2983" s="2" t="s">
        <v>37938</v>
      </c>
    </row>
    <row r="2984" spans="1:4" x14ac:dyDescent="0.15">
      <c r="A2984" s="2" t="s">
        <v>37940</v>
      </c>
      <c r="B2984" s="2" t="s">
        <v>37939</v>
      </c>
      <c r="C2984" s="2">
        <v>2022</v>
      </c>
      <c r="D2984" s="2" t="s">
        <v>37943</v>
      </c>
    </row>
    <row r="2985" spans="1:4" x14ac:dyDescent="0.15">
      <c r="A2985" s="2" t="s">
        <v>37945</v>
      </c>
      <c r="B2985" s="2" t="s">
        <v>37944</v>
      </c>
      <c r="C2985" s="2">
        <v>2006</v>
      </c>
      <c r="D2985" s="2" t="s">
        <v>37949</v>
      </c>
    </row>
    <row r="2986" spans="1:4" x14ac:dyDescent="0.15">
      <c r="A2986" s="2" t="s">
        <v>37951</v>
      </c>
      <c r="B2986" s="2" t="s">
        <v>37950</v>
      </c>
      <c r="C2986" s="2">
        <v>2004</v>
      </c>
      <c r="D2986" s="2" t="s">
        <v>37955</v>
      </c>
    </row>
    <row r="2987" spans="1:4" x14ac:dyDescent="0.15">
      <c r="A2987" s="2" t="s">
        <v>37957</v>
      </c>
      <c r="B2987" s="2" t="s">
        <v>37956</v>
      </c>
      <c r="C2987" s="2">
        <v>2013</v>
      </c>
      <c r="D2987" s="2" t="s">
        <v>37961</v>
      </c>
    </row>
    <row r="2988" spans="1:4" x14ac:dyDescent="0.15">
      <c r="A2988" s="2" t="s">
        <v>37966</v>
      </c>
      <c r="B2988" s="2" t="s">
        <v>37965</v>
      </c>
      <c r="C2988" s="2">
        <v>2016</v>
      </c>
      <c r="D2988" s="2" t="s">
        <v>37969</v>
      </c>
    </row>
    <row r="2989" spans="1:4" x14ac:dyDescent="0.15">
      <c r="A2989" s="2" t="s">
        <v>37971</v>
      </c>
      <c r="B2989" s="2" t="s">
        <v>37970</v>
      </c>
      <c r="C2989" s="2">
        <v>2018</v>
      </c>
      <c r="D2989" s="2" t="s">
        <v>37975</v>
      </c>
    </row>
    <row r="2990" spans="1:4" x14ac:dyDescent="0.15">
      <c r="A2990" s="2" t="s">
        <v>37977</v>
      </c>
      <c r="B2990" s="2" t="s">
        <v>37976</v>
      </c>
      <c r="C2990" s="2">
        <v>2013</v>
      </c>
      <c r="D2990" s="2" t="s">
        <v>37980</v>
      </c>
    </row>
    <row r="2991" spans="1:4" x14ac:dyDescent="0.15">
      <c r="A2991" s="2" t="s">
        <v>37982</v>
      </c>
      <c r="B2991" s="2" t="s">
        <v>37981</v>
      </c>
      <c r="C2991" s="2">
        <v>2006</v>
      </c>
      <c r="D2991" s="2" t="s">
        <v>37986</v>
      </c>
    </row>
    <row r="2992" spans="1:4" x14ac:dyDescent="0.15">
      <c r="A2992" s="2" t="s">
        <v>37988</v>
      </c>
      <c r="B2992" s="2" t="s">
        <v>37987</v>
      </c>
      <c r="C2992" s="2">
        <v>1987</v>
      </c>
      <c r="D2992" s="2" t="s">
        <v>37991</v>
      </c>
    </row>
    <row r="2993" spans="1:4" x14ac:dyDescent="0.15">
      <c r="A2993" s="2" t="s">
        <v>37996</v>
      </c>
      <c r="B2993" s="2" t="s">
        <v>37995</v>
      </c>
      <c r="C2993" s="2">
        <v>2012</v>
      </c>
      <c r="D2993" s="2" t="s">
        <v>38000</v>
      </c>
    </row>
    <row r="2994" spans="1:4" x14ac:dyDescent="0.15">
      <c r="A2994" s="2" t="s">
        <v>38002</v>
      </c>
      <c r="B2994" s="2" t="s">
        <v>38001</v>
      </c>
      <c r="C2994" s="2">
        <v>1998</v>
      </c>
      <c r="D2994" s="2" t="s">
        <v>38005</v>
      </c>
    </row>
    <row r="2995" spans="1:4" x14ac:dyDescent="0.15">
      <c r="A2995" s="2" t="s">
        <v>38007</v>
      </c>
      <c r="B2995" s="2" t="s">
        <v>38006</v>
      </c>
      <c r="C2995" s="2">
        <v>1992</v>
      </c>
      <c r="D2995" s="2" t="s">
        <v>38010</v>
      </c>
    </row>
    <row r="2996" spans="1:4" x14ac:dyDescent="0.15">
      <c r="A2996" s="2" t="s">
        <v>38012</v>
      </c>
      <c r="B2996" s="2" t="s">
        <v>38011</v>
      </c>
      <c r="C2996" s="2">
        <v>2015</v>
      </c>
      <c r="D2996" s="2" t="s">
        <v>38016</v>
      </c>
    </row>
    <row r="2997" spans="1:4" x14ac:dyDescent="0.15">
      <c r="A2997" s="2" t="s">
        <v>38022</v>
      </c>
      <c r="B2997" s="2" t="s">
        <v>38021</v>
      </c>
      <c r="C2997" s="2">
        <v>2015</v>
      </c>
      <c r="D2997" s="2" t="s">
        <v>38026</v>
      </c>
    </row>
    <row r="2998" spans="1:4" x14ac:dyDescent="0.15">
      <c r="A2998" s="2" t="s">
        <v>38028</v>
      </c>
      <c r="B2998" s="2" t="s">
        <v>38027</v>
      </c>
      <c r="C2998" s="2">
        <v>2011</v>
      </c>
      <c r="D2998" s="2" t="s">
        <v>38033</v>
      </c>
    </row>
    <row r="2999" spans="1:4" x14ac:dyDescent="0.15">
      <c r="A2999" s="2" t="s">
        <v>38035</v>
      </c>
      <c r="B2999" s="2" t="s">
        <v>38034</v>
      </c>
      <c r="C2999" s="2">
        <v>2019</v>
      </c>
      <c r="D2999" s="2" t="s">
        <v>38038</v>
      </c>
    </row>
    <row r="3000" spans="1:4" x14ac:dyDescent="0.15">
      <c r="A3000" s="2" t="s">
        <v>38040</v>
      </c>
      <c r="B3000" s="2" t="s">
        <v>38039</v>
      </c>
      <c r="C3000" s="2">
        <v>1995</v>
      </c>
      <c r="D3000" s="2" t="s">
        <v>38043</v>
      </c>
    </row>
    <row r="3001" spans="1:4" x14ac:dyDescent="0.15">
      <c r="A3001" s="2" t="s">
        <v>38049</v>
      </c>
      <c r="B3001" s="2" t="s">
        <v>38048</v>
      </c>
      <c r="C3001" s="2">
        <v>2012</v>
      </c>
      <c r="D3001" s="2" t="s">
        <v>38053</v>
      </c>
    </row>
    <row r="3002" spans="1:4" x14ac:dyDescent="0.15">
      <c r="A3002" s="2" t="s">
        <v>38055</v>
      </c>
      <c r="B3002" s="2" t="s">
        <v>38054</v>
      </c>
      <c r="C3002" s="2">
        <v>2016</v>
      </c>
      <c r="D3002" s="2" t="s">
        <v>38059</v>
      </c>
    </row>
    <row r="3003" spans="1:4" x14ac:dyDescent="0.15">
      <c r="A3003" s="2" t="s">
        <v>37906</v>
      </c>
      <c r="B3003" s="2" t="s">
        <v>38065</v>
      </c>
      <c r="C3003" s="2">
        <v>1999</v>
      </c>
      <c r="D3003" s="2" t="s">
        <v>38068</v>
      </c>
    </row>
    <row r="3004" spans="1:4" x14ac:dyDescent="0.15">
      <c r="A3004" s="2" t="s">
        <v>38070</v>
      </c>
      <c r="B3004" s="2" t="s">
        <v>38069</v>
      </c>
      <c r="C3004" s="2">
        <v>2013</v>
      </c>
      <c r="D3004" s="2" t="s">
        <v>38073</v>
      </c>
    </row>
    <row r="3005" spans="1:4" x14ac:dyDescent="0.15">
      <c r="A3005" s="2" t="s">
        <v>38075</v>
      </c>
      <c r="B3005" s="2" t="s">
        <v>38074</v>
      </c>
      <c r="C3005" s="2">
        <v>2016</v>
      </c>
      <c r="D3005" s="2" t="s">
        <v>38078</v>
      </c>
    </row>
    <row r="3006" spans="1:4" x14ac:dyDescent="0.15">
      <c r="A3006" s="2" t="s">
        <v>38087</v>
      </c>
      <c r="B3006" s="2" t="s">
        <v>38086</v>
      </c>
      <c r="C3006" s="2">
        <v>2013</v>
      </c>
      <c r="D3006" s="2" t="s">
        <v>38091</v>
      </c>
    </row>
    <row r="3007" spans="1:4" x14ac:dyDescent="0.15">
      <c r="A3007" s="2" t="s">
        <v>38095</v>
      </c>
      <c r="B3007" s="2" t="s">
        <v>38094</v>
      </c>
      <c r="C3007" s="2">
        <v>2013</v>
      </c>
      <c r="D3007" s="2" t="s">
        <v>38099</v>
      </c>
    </row>
    <row r="3008" spans="1:4" x14ac:dyDescent="0.15">
      <c r="A3008" s="2" t="s">
        <v>38101</v>
      </c>
      <c r="B3008" s="2" t="s">
        <v>38100</v>
      </c>
      <c r="C3008" s="2">
        <v>2018</v>
      </c>
      <c r="D3008" s="2" t="s">
        <v>38105</v>
      </c>
    </row>
    <row r="3009" spans="1:4" x14ac:dyDescent="0.15">
      <c r="A3009" s="2" t="s">
        <v>38107</v>
      </c>
      <c r="B3009" s="2" t="s">
        <v>38106</v>
      </c>
      <c r="C3009" s="2">
        <v>2015</v>
      </c>
      <c r="D3009" s="2" t="s">
        <v>38112</v>
      </c>
    </row>
    <row r="3010" spans="1:4" x14ac:dyDescent="0.15">
      <c r="A3010" s="2" t="s">
        <v>38119</v>
      </c>
      <c r="B3010" s="2" t="s">
        <v>38118</v>
      </c>
      <c r="C3010" s="2">
        <v>2020</v>
      </c>
      <c r="D3010" s="2" t="s">
        <v>38123</v>
      </c>
    </row>
    <row r="3011" spans="1:4" x14ac:dyDescent="0.15">
      <c r="A3011" s="2" t="s">
        <v>38125</v>
      </c>
      <c r="B3011" s="2" t="s">
        <v>38124</v>
      </c>
      <c r="C3011" s="2">
        <v>2000</v>
      </c>
      <c r="D3011" s="2"/>
    </row>
    <row r="3012" spans="1:4" x14ac:dyDescent="0.15">
      <c r="A3012" s="2" t="s">
        <v>38130</v>
      </c>
      <c r="B3012" s="2" t="s">
        <v>38129</v>
      </c>
      <c r="C3012" s="2">
        <v>2019</v>
      </c>
      <c r="D3012" s="2" t="s">
        <v>38134</v>
      </c>
    </row>
    <row r="3013" spans="1:4" x14ac:dyDescent="0.15">
      <c r="A3013" s="2" t="s">
        <v>38136</v>
      </c>
      <c r="B3013" s="2" t="s">
        <v>38135</v>
      </c>
      <c r="C3013" s="2">
        <v>2003</v>
      </c>
      <c r="D3013" s="2" t="s">
        <v>38140</v>
      </c>
    </row>
    <row r="3014" spans="1:4" x14ac:dyDescent="0.15">
      <c r="A3014" s="2" t="s">
        <v>38142</v>
      </c>
      <c r="B3014" s="2" t="s">
        <v>38141</v>
      </c>
      <c r="C3014" s="2">
        <v>2013</v>
      </c>
      <c r="D3014" s="2" t="s">
        <v>38148</v>
      </c>
    </row>
    <row r="3015" spans="1:4" x14ac:dyDescent="0.15">
      <c r="A3015" s="2" t="s">
        <v>38150</v>
      </c>
      <c r="B3015" s="2" t="s">
        <v>38149</v>
      </c>
      <c r="C3015" s="2">
        <v>2014</v>
      </c>
      <c r="D3015" s="2" t="s">
        <v>38154</v>
      </c>
    </row>
    <row r="3016" spans="1:4" x14ac:dyDescent="0.15">
      <c r="A3016" s="2" t="s">
        <v>38160</v>
      </c>
      <c r="B3016" s="2" t="s">
        <v>38159</v>
      </c>
      <c r="C3016" s="2">
        <v>2007</v>
      </c>
      <c r="D3016" s="2" t="s">
        <v>38163</v>
      </c>
    </row>
    <row r="3017" spans="1:4" x14ac:dyDescent="0.15">
      <c r="A3017" s="2" t="s">
        <v>38165</v>
      </c>
      <c r="B3017" s="2" t="s">
        <v>38164</v>
      </c>
      <c r="C3017" s="2">
        <v>1984</v>
      </c>
      <c r="D3017" s="2" t="s">
        <v>38168</v>
      </c>
    </row>
    <row r="3018" spans="1:4" x14ac:dyDescent="0.15">
      <c r="A3018" s="2" t="s">
        <v>38170</v>
      </c>
      <c r="B3018" s="2" t="s">
        <v>38169</v>
      </c>
      <c r="C3018" s="2">
        <v>2003</v>
      </c>
      <c r="D3018" s="2" t="s">
        <v>38174</v>
      </c>
    </row>
    <row r="3019" spans="1:4" x14ac:dyDescent="0.15">
      <c r="A3019" s="2" t="s">
        <v>38182</v>
      </c>
      <c r="B3019" s="2" t="s">
        <v>38181</v>
      </c>
      <c r="C3019" s="2">
        <v>2018</v>
      </c>
      <c r="D3019" s="2" t="s">
        <v>38185</v>
      </c>
    </row>
    <row r="3020" spans="1:4" x14ac:dyDescent="0.15">
      <c r="A3020" s="2" t="s">
        <v>38187</v>
      </c>
      <c r="B3020" s="2" t="s">
        <v>38186</v>
      </c>
      <c r="C3020" s="2">
        <v>1990</v>
      </c>
      <c r="D3020" s="2" t="s">
        <v>38191</v>
      </c>
    </row>
    <row r="3021" spans="1:4" x14ac:dyDescent="0.15">
      <c r="A3021" s="2" t="s">
        <v>38198</v>
      </c>
      <c r="B3021" s="2" t="s">
        <v>38197</v>
      </c>
      <c r="C3021" s="2">
        <v>2009</v>
      </c>
      <c r="D3021" s="2" t="s">
        <v>38202</v>
      </c>
    </row>
    <row r="3022" spans="1:4" x14ac:dyDescent="0.15">
      <c r="A3022" s="2" t="s">
        <v>38209</v>
      </c>
      <c r="B3022" s="2" t="s">
        <v>38208</v>
      </c>
      <c r="C3022" s="2">
        <v>2012</v>
      </c>
      <c r="D3022" s="2" t="s">
        <v>38213</v>
      </c>
    </row>
    <row r="3023" spans="1:4" x14ac:dyDescent="0.15">
      <c r="A3023" s="2" t="s">
        <v>38215</v>
      </c>
      <c r="B3023" s="2" t="s">
        <v>38214</v>
      </c>
      <c r="C3023" s="2">
        <v>2022</v>
      </c>
      <c r="D3023" s="2" t="s">
        <v>38219</v>
      </c>
    </row>
    <row r="3024" spans="1:4" x14ac:dyDescent="0.15">
      <c r="A3024" s="2" t="s">
        <v>38221</v>
      </c>
      <c r="B3024" s="2" t="s">
        <v>38220</v>
      </c>
      <c r="C3024" s="2">
        <v>2006</v>
      </c>
      <c r="D3024" s="2" t="s">
        <v>38224</v>
      </c>
    </row>
    <row r="3025" spans="1:4" x14ac:dyDescent="0.15">
      <c r="A3025" s="2" t="s">
        <v>38226</v>
      </c>
      <c r="B3025" s="2" t="s">
        <v>38225</v>
      </c>
      <c r="C3025" s="2">
        <v>2019</v>
      </c>
      <c r="D3025" s="2" t="s">
        <v>38230</v>
      </c>
    </row>
    <row r="3026" spans="1:4" x14ac:dyDescent="0.15">
      <c r="A3026" s="2" t="s">
        <v>38232</v>
      </c>
      <c r="B3026" s="2" t="s">
        <v>38231</v>
      </c>
      <c r="C3026" s="2">
        <v>2019</v>
      </c>
      <c r="D3026" s="2" t="s">
        <v>38235</v>
      </c>
    </row>
    <row r="3027" spans="1:4" x14ac:dyDescent="0.15">
      <c r="A3027" s="2" t="s">
        <v>38237</v>
      </c>
      <c r="B3027" s="2" t="s">
        <v>38236</v>
      </c>
      <c r="C3027" s="2">
        <v>2012</v>
      </c>
      <c r="D3027" s="2" t="s">
        <v>38242</v>
      </c>
    </row>
    <row r="3028" spans="1:4" x14ac:dyDescent="0.15">
      <c r="A3028" s="2" t="s">
        <v>38244</v>
      </c>
      <c r="B3028" s="2" t="s">
        <v>38243</v>
      </c>
      <c r="C3028" s="2">
        <v>2014</v>
      </c>
      <c r="D3028" s="2" t="s">
        <v>38247</v>
      </c>
    </row>
    <row r="3029" spans="1:4" x14ac:dyDescent="0.15">
      <c r="A3029" s="2" t="s">
        <v>38249</v>
      </c>
      <c r="B3029" s="2" t="s">
        <v>38248</v>
      </c>
      <c r="C3029" s="2">
        <v>2014</v>
      </c>
      <c r="D3029" s="2" t="s">
        <v>38255</v>
      </c>
    </row>
    <row r="3030" spans="1:4" x14ac:dyDescent="0.15">
      <c r="A3030" s="2" t="s">
        <v>38257</v>
      </c>
      <c r="B3030" s="2" t="s">
        <v>38256</v>
      </c>
      <c r="C3030" s="2">
        <v>2010</v>
      </c>
      <c r="D3030" s="2" t="s">
        <v>38260</v>
      </c>
    </row>
    <row r="3031" spans="1:4" x14ac:dyDescent="0.15">
      <c r="A3031" s="2" t="s">
        <v>38262</v>
      </c>
      <c r="B3031" s="2" t="s">
        <v>38261</v>
      </c>
      <c r="C3031" s="2">
        <v>2000</v>
      </c>
      <c r="D3031" s="2"/>
    </row>
    <row r="3032" spans="1:4" x14ac:dyDescent="0.15">
      <c r="A3032" s="2" t="s">
        <v>38266</v>
      </c>
      <c r="B3032" s="2" t="s">
        <v>38265</v>
      </c>
      <c r="C3032" s="2">
        <v>2019</v>
      </c>
      <c r="D3032" s="2" t="s">
        <v>38270</v>
      </c>
    </row>
    <row r="3033" spans="1:4" x14ac:dyDescent="0.15">
      <c r="A3033" s="2" t="s">
        <v>38272</v>
      </c>
      <c r="B3033" s="2" t="s">
        <v>38271</v>
      </c>
      <c r="C3033" s="2">
        <v>2001</v>
      </c>
      <c r="D3033" s="2" t="s">
        <v>38276</v>
      </c>
    </row>
    <row r="3034" spans="1:4" x14ac:dyDescent="0.15">
      <c r="A3034" s="2" t="s">
        <v>38278</v>
      </c>
      <c r="B3034" s="2" t="s">
        <v>38277</v>
      </c>
      <c r="C3034" s="2">
        <v>2019</v>
      </c>
      <c r="D3034" s="2" t="s">
        <v>38284</v>
      </c>
    </row>
    <row r="3035" spans="1:4" x14ac:dyDescent="0.15">
      <c r="A3035" s="2" t="s">
        <v>38286</v>
      </c>
      <c r="B3035" s="2" t="s">
        <v>38285</v>
      </c>
      <c r="C3035" s="2">
        <v>2006</v>
      </c>
      <c r="D3035" s="2" t="s">
        <v>38290</v>
      </c>
    </row>
    <row r="3036" spans="1:4" x14ac:dyDescent="0.15">
      <c r="A3036" s="2" t="s">
        <v>38292</v>
      </c>
      <c r="B3036" s="2" t="s">
        <v>38291</v>
      </c>
      <c r="C3036" s="2">
        <v>2021</v>
      </c>
      <c r="D3036" s="2" t="s">
        <v>38297</v>
      </c>
    </row>
    <row r="3037" spans="1:4" x14ac:dyDescent="0.15">
      <c r="A3037" s="2" t="s">
        <v>38299</v>
      </c>
      <c r="B3037" s="2" t="s">
        <v>38298</v>
      </c>
      <c r="C3037" s="2">
        <v>2021</v>
      </c>
      <c r="D3037" s="2" t="s">
        <v>38302</v>
      </c>
    </row>
    <row r="3038" spans="1:4" x14ac:dyDescent="0.15">
      <c r="A3038" s="2" t="s">
        <v>38304</v>
      </c>
      <c r="B3038" s="2" t="s">
        <v>38303</v>
      </c>
      <c r="C3038" s="2">
        <v>1995</v>
      </c>
      <c r="D3038" s="2" t="s">
        <v>38307</v>
      </c>
    </row>
    <row r="3039" spans="1:4" x14ac:dyDescent="0.15">
      <c r="A3039" s="2" t="s">
        <v>38312</v>
      </c>
      <c r="B3039" s="2" t="s">
        <v>38311</v>
      </c>
      <c r="C3039" s="2">
        <v>2014</v>
      </c>
      <c r="D3039" s="2" t="s">
        <v>38314</v>
      </c>
    </row>
    <row r="3040" spans="1:4" x14ac:dyDescent="0.15">
      <c r="A3040" s="2" t="s">
        <v>38316</v>
      </c>
      <c r="B3040" s="2" t="s">
        <v>38315</v>
      </c>
      <c r="C3040" s="2">
        <v>2016</v>
      </c>
      <c r="D3040" s="2" t="s">
        <v>38320</v>
      </c>
    </row>
    <row r="3041" spans="1:4" x14ac:dyDescent="0.15">
      <c r="A3041" s="2" t="s">
        <v>38325</v>
      </c>
      <c r="B3041" s="2" t="s">
        <v>38324</v>
      </c>
      <c r="C3041" s="2">
        <v>2003</v>
      </c>
      <c r="D3041" s="2" t="s">
        <v>38329</v>
      </c>
    </row>
    <row r="3042" spans="1:4" x14ac:dyDescent="0.15">
      <c r="A3042" s="2" t="s">
        <v>38331</v>
      </c>
      <c r="B3042" s="2" t="s">
        <v>38330</v>
      </c>
      <c r="C3042" s="2">
        <v>2008</v>
      </c>
      <c r="D3042" s="2" t="s">
        <v>38335</v>
      </c>
    </row>
    <row r="3043" spans="1:4" x14ac:dyDescent="0.15">
      <c r="A3043" s="2" t="s">
        <v>38337</v>
      </c>
      <c r="B3043" s="2" t="s">
        <v>38336</v>
      </c>
      <c r="C3043" s="2">
        <v>2004</v>
      </c>
      <c r="D3043" s="2" t="s">
        <v>38341</v>
      </c>
    </row>
    <row r="3044" spans="1:4" x14ac:dyDescent="0.15">
      <c r="A3044" s="2" t="s">
        <v>38347</v>
      </c>
      <c r="B3044" s="2" t="s">
        <v>38346</v>
      </c>
      <c r="C3044" s="2">
        <v>2020</v>
      </c>
      <c r="D3044" s="2" t="s">
        <v>38351</v>
      </c>
    </row>
    <row r="3045" spans="1:4" x14ac:dyDescent="0.15">
      <c r="A3045" s="2" t="s">
        <v>38353</v>
      </c>
      <c r="B3045" s="2" t="s">
        <v>38352</v>
      </c>
      <c r="C3045" s="2">
        <v>2019</v>
      </c>
      <c r="D3045" s="2" t="s">
        <v>38357</v>
      </c>
    </row>
    <row r="3046" spans="1:4" x14ac:dyDescent="0.15">
      <c r="A3046" s="2" t="s">
        <v>38359</v>
      </c>
      <c r="B3046" s="2" t="s">
        <v>38358</v>
      </c>
      <c r="C3046" s="2">
        <v>2021</v>
      </c>
      <c r="D3046" s="2" t="s">
        <v>38363</v>
      </c>
    </row>
    <row r="3047" spans="1:4" x14ac:dyDescent="0.15">
      <c r="A3047" s="2" t="s">
        <v>38365</v>
      </c>
      <c r="B3047" s="2" t="s">
        <v>38364</v>
      </c>
      <c r="C3047" s="2">
        <v>2019</v>
      </c>
      <c r="D3047" s="2" t="s">
        <v>38369</v>
      </c>
    </row>
    <row r="3048" spans="1:4" x14ac:dyDescent="0.15">
      <c r="A3048" s="2" t="s">
        <v>38371</v>
      </c>
      <c r="B3048" s="2" t="s">
        <v>38370</v>
      </c>
      <c r="C3048" s="2">
        <v>1985</v>
      </c>
      <c r="D3048" s="2" t="s">
        <v>38375</v>
      </c>
    </row>
    <row r="3049" spans="1:4" x14ac:dyDescent="0.15">
      <c r="A3049" s="2" t="s">
        <v>38377</v>
      </c>
      <c r="B3049" s="2" t="s">
        <v>38376</v>
      </c>
      <c r="C3049" s="2">
        <v>2010</v>
      </c>
      <c r="D3049" s="2" t="s">
        <v>38380</v>
      </c>
    </row>
    <row r="3050" spans="1:4" x14ac:dyDescent="0.15">
      <c r="A3050" s="2" t="s">
        <v>38382</v>
      </c>
      <c r="B3050" s="2" t="s">
        <v>38381</v>
      </c>
      <c r="C3050" s="2">
        <v>2019</v>
      </c>
      <c r="D3050" s="2" t="s">
        <v>38385</v>
      </c>
    </row>
    <row r="3051" spans="1:4" x14ac:dyDescent="0.15">
      <c r="A3051" s="2" t="s">
        <v>38387</v>
      </c>
      <c r="B3051" s="2" t="s">
        <v>38386</v>
      </c>
      <c r="C3051" s="2">
        <v>2012</v>
      </c>
      <c r="D3051" s="2" t="s">
        <v>38390</v>
      </c>
    </row>
    <row r="3052" spans="1:4" x14ac:dyDescent="0.15">
      <c r="A3052" s="2" t="s">
        <v>38392</v>
      </c>
      <c r="B3052" s="2" t="s">
        <v>38391</v>
      </c>
      <c r="C3052" s="2">
        <v>2000</v>
      </c>
      <c r="D3052" s="2" t="s">
        <v>38396</v>
      </c>
    </row>
    <row r="3053" spans="1:4" x14ac:dyDescent="0.15">
      <c r="A3053" s="2" t="s">
        <v>38398</v>
      </c>
      <c r="B3053" s="2" t="s">
        <v>38397</v>
      </c>
      <c r="C3053" s="2">
        <v>1999</v>
      </c>
      <c r="D3053" s="2" t="s">
        <v>38402</v>
      </c>
    </row>
    <row r="3054" spans="1:4" x14ac:dyDescent="0.15">
      <c r="A3054" s="2" t="s">
        <v>38404</v>
      </c>
      <c r="B3054" s="2" t="s">
        <v>38403</v>
      </c>
      <c r="C3054" s="2">
        <v>2013</v>
      </c>
      <c r="D3054" s="2" t="s">
        <v>38407</v>
      </c>
    </row>
    <row r="3055" spans="1:4" x14ac:dyDescent="0.15">
      <c r="A3055" s="2" t="s">
        <v>38413</v>
      </c>
      <c r="B3055" s="2" t="s">
        <v>38412</v>
      </c>
      <c r="C3055" s="2">
        <v>2007</v>
      </c>
      <c r="D3055" s="2" t="s">
        <v>38417</v>
      </c>
    </row>
    <row r="3056" spans="1:4" x14ac:dyDescent="0.15">
      <c r="A3056" s="2" t="s">
        <v>38419</v>
      </c>
      <c r="B3056" s="2" t="s">
        <v>38418</v>
      </c>
      <c r="C3056" s="2">
        <v>2005</v>
      </c>
      <c r="D3056" s="2"/>
    </row>
    <row r="3057" spans="1:4" x14ac:dyDescent="0.15">
      <c r="A3057" s="2" t="s">
        <v>38424</v>
      </c>
      <c r="B3057" s="2" t="s">
        <v>38423</v>
      </c>
      <c r="C3057" s="2">
        <v>2010</v>
      </c>
      <c r="D3057" s="2" t="s">
        <v>38428</v>
      </c>
    </row>
    <row r="3058" spans="1:4" x14ac:dyDescent="0.15">
      <c r="A3058" s="2" t="s">
        <v>38430</v>
      </c>
      <c r="B3058" s="2" t="s">
        <v>38429</v>
      </c>
      <c r="C3058" s="2">
        <v>2019</v>
      </c>
      <c r="D3058" s="2" t="s">
        <v>38434</v>
      </c>
    </row>
    <row r="3059" spans="1:4" x14ac:dyDescent="0.15">
      <c r="A3059" s="2" t="s">
        <v>38436</v>
      </c>
      <c r="B3059" s="2" t="s">
        <v>38435</v>
      </c>
      <c r="C3059" s="2">
        <v>2011</v>
      </c>
      <c r="D3059" s="2" t="s">
        <v>38440</v>
      </c>
    </row>
    <row r="3060" spans="1:4" x14ac:dyDescent="0.15">
      <c r="A3060" s="2" t="s">
        <v>38442</v>
      </c>
      <c r="B3060" s="2" t="s">
        <v>38441</v>
      </c>
      <c r="C3060" s="2">
        <v>2007</v>
      </c>
      <c r="D3060" s="2" t="s">
        <v>38446</v>
      </c>
    </row>
    <row r="3061" spans="1:4" x14ac:dyDescent="0.15">
      <c r="A3061" s="2" t="s">
        <v>38453</v>
      </c>
      <c r="B3061" s="2" t="s">
        <v>38452</v>
      </c>
      <c r="C3061" s="2">
        <v>2022</v>
      </c>
      <c r="D3061" s="2" t="s">
        <v>38458</v>
      </c>
    </row>
    <row r="3062" spans="1:4" x14ac:dyDescent="0.15">
      <c r="A3062" s="2" t="s">
        <v>38460</v>
      </c>
      <c r="B3062" s="2" t="s">
        <v>38459</v>
      </c>
      <c r="C3062" s="2">
        <v>2001</v>
      </c>
      <c r="D3062" s="2" t="s">
        <v>38463</v>
      </c>
    </row>
    <row r="3063" spans="1:4" x14ac:dyDescent="0.15">
      <c r="A3063" s="2" t="s">
        <v>38465</v>
      </c>
      <c r="B3063" s="2" t="s">
        <v>38464</v>
      </c>
      <c r="C3063" s="2">
        <v>2014</v>
      </c>
      <c r="D3063" s="2" t="s">
        <v>38470</v>
      </c>
    </row>
    <row r="3064" spans="1:4" x14ac:dyDescent="0.15">
      <c r="A3064" s="2" t="s">
        <v>38475</v>
      </c>
      <c r="B3064" s="2" t="s">
        <v>38474</v>
      </c>
      <c r="C3064" s="2">
        <v>2018</v>
      </c>
      <c r="D3064" s="2" t="s">
        <v>38477</v>
      </c>
    </row>
    <row r="3065" spans="1:4" x14ac:dyDescent="0.15">
      <c r="A3065" s="2" t="s">
        <v>38483</v>
      </c>
      <c r="B3065" s="2" t="s">
        <v>38482</v>
      </c>
      <c r="C3065" s="2">
        <v>2013</v>
      </c>
      <c r="D3065" s="2" t="s">
        <v>38486</v>
      </c>
    </row>
    <row r="3066" spans="1:4" x14ac:dyDescent="0.15">
      <c r="A3066" s="2" t="s">
        <v>38488</v>
      </c>
      <c r="B3066" s="2" t="s">
        <v>38487</v>
      </c>
      <c r="C3066" s="2">
        <v>2016</v>
      </c>
      <c r="D3066" s="2" t="s">
        <v>38491</v>
      </c>
    </row>
    <row r="3067" spans="1:4" x14ac:dyDescent="0.15">
      <c r="A3067" s="2" t="s">
        <v>38498</v>
      </c>
      <c r="B3067" s="2" t="s">
        <v>38497</v>
      </c>
      <c r="C3067" s="2">
        <v>1990</v>
      </c>
      <c r="D3067" s="2" t="s">
        <v>38501</v>
      </c>
    </row>
    <row r="3068" spans="1:4" x14ac:dyDescent="0.15">
      <c r="A3068" s="2" t="s">
        <v>38506</v>
      </c>
      <c r="B3068" s="2" t="s">
        <v>38505</v>
      </c>
      <c r="C3068" s="2">
        <v>1999</v>
      </c>
      <c r="D3068" s="2" t="s">
        <v>38509</v>
      </c>
    </row>
    <row r="3069" spans="1:4" x14ac:dyDescent="0.15">
      <c r="A3069" s="2" t="s">
        <v>38511</v>
      </c>
      <c r="B3069" s="2" t="s">
        <v>38510</v>
      </c>
      <c r="C3069" s="2">
        <v>2001</v>
      </c>
      <c r="D3069" s="2" t="s">
        <v>38514</v>
      </c>
    </row>
    <row r="3070" spans="1:4" x14ac:dyDescent="0.15">
      <c r="A3070" s="2" t="s">
        <v>38527</v>
      </c>
      <c r="B3070" s="2" t="s">
        <v>38526</v>
      </c>
      <c r="C3070" s="2">
        <v>2000</v>
      </c>
      <c r="D3070" s="2" t="s">
        <v>38530</v>
      </c>
    </row>
    <row r="3071" spans="1:4" x14ac:dyDescent="0.15">
      <c r="A3071" s="2" t="s">
        <v>38535</v>
      </c>
      <c r="B3071" s="2" t="s">
        <v>38534</v>
      </c>
      <c r="C3071" s="2">
        <v>2021</v>
      </c>
      <c r="D3071" s="2" t="s">
        <v>38538</v>
      </c>
    </row>
    <row r="3072" spans="1:4" x14ac:dyDescent="0.15">
      <c r="A3072" s="2" t="s">
        <v>38548</v>
      </c>
      <c r="B3072" s="2" t="s">
        <v>38547</v>
      </c>
      <c r="C3072" s="2">
        <v>2011</v>
      </c>
      <c r="D3072" s="2" t="s">
        <v>38552</v>
      </c>
    </row>
    <row r="3073" spans="1:4" x14ac:dyDescent="0.15">
      <c r="A3073" s="2" t="s">
        <v>38554</v>
      </c>
      <c r="B3073" s="2" t="s">
        <v>38553</v>
      </c>
      <c r="C3073" s="2">
        <v>2010</v>
      </c>
      <c r="D3073" s="2" t="s">
        <v>38557</v>
      </c>
    </row>
    <row r="3074" spans="1:4" x14ac:dyDescent="0.15">
      <c r="A3074" s="2" t="s">
        <v>38559</v>
      </c>
      <c r="B3074" s="2" t="s">
        <v>38558</v>
      </c>
      <c r="C3074" s="2">
        <v>2022</v>
      </c>
      <c r="D3074" s="2" t="s">
        <v>38563</v>
      </c>
    </row>
    <row r="3075" spans="1:4" x14ac:dyDescent="0.15">
      <c r="A3075" s="2" t="s">
        <v>38565</v>
      </c>
      <c r="B3075" s="2" t="s">
        <v>38564</v>
      </c>
      <c r="C3075" s="2">
        <v>2010</v>
      </c>
      <c r="D3075" s="2" t="s">
        <v>38568</v>
      </c>
    </row>
    <row r="3076" spans="1:4" x14ac:dyDescent="0.15">
      <c r="A3076" s="2" t="s">
        <v>38578</v>
      </c>
      <c r="B3076" s="2" t="s">
        <v>38577</v>
      </c>
      <c r="C3076" s="2">
        <v>2012</v>
      </c>
      <c r="D3076" s="2" t="s">
        <v>38582</v>
      </c>
    </row>
    <row r="3077" spans="1:4" x14ac:dyDescent="0.15">
      <c r="A3077" s="2" t="s">
        <v>38584</v>
      </c>
      <c r="B3077" s="2" t="s">
        <v>38583</v>
      </c>
      <c r="C3077" s="2">
        <v>2007</v>
      </c>
      <c r="D3077" s="2" t="s">
        <v>38588</v>
      </c>
    </row>
    <row r="3078" spans="1:4" x14ac:dyDescent="0.15">
      <c r="A3078" s="2" t="s">
        <v>38590</v>
      </c>
      <c r="B3078" s="2" t="s">
        <v>38589</v>
      </c>
      <c r="C3078" s="2">
        <v>2005</v>
      </c>
      <c r="D3078" s="2" t="s">
        <v>38593</v>
      </c>
    </row>
    <row r="3079" spans="1:4" x14ac:dyDescent="0.15">
      <c r="A3079" s="2" t="s">
        <v>37936</v>
      </c>
      <c r="B3079" s="2" t="s">
        <v>38597</v>
      </c>
      <c r="C3079" s="2">
        <v>2006</v>
      </c>
      <c r="D3079" s="2" t="s">
        <v>38600</v>
      </c>
    </row>
    <row r="3080" spans="1:4" x14ac:dyDescent="0.15">
      <c r="A3080" s="2" t="s">
        <v>38602</v>
      </c>
      <c r="B3080" s="2" t="s">
        <v>38601</v>
      </c>
      <c r="C3080" s="2">
        <v>1998</v>
      </c>
      <c r="D3080" s="2" t="s">
        <v>38605</v>
      </c>
    </row>
    <row r="3081" spans="1:4" x14ac:dyDescent="0.15">
      <c r="A3081" s="2" t="s">
        <v>38607</v>
      </c>
      <c r="B3081" s="2" t="s">
        <v>38606</v>
      </c>
      <c r="C3081" s="2">
        <v>2017</v>
      </c>
      <c r="D3081" s="2" t="s">
        <v>38611</v>
      </c>
    </row>
    <row r="3082" spans="1:4" x14ac:dyDescent="0.15">
      <c r="A3082" s="2" t="s">
        <v>38613</v>
      </c>
      <c r="B3082" s="2" t="s">
        <v>38612</v>
      </c>
      <c r="C3082" s="2">
        <v>1995</v>
      </c>
      <c r="D3082" s="2" t="s">
        <v>38617</v>
      </c>
    </row>
    <row r="3083" spans="1:4" x14ac:dyDescent="0.15">
      <c r="A3083" s="2" t="s">
        <v>38623</v>
      </c>
      <c r="B3083" s="2" t="s">
        <v>38622</v>
      </c>
      <c r="C3083" s="2">
        <v>2001</v>
      </c>
      <c r="D3083" s="2" t="s">
        <v>38625</v>
      </c>
    </row>
    <row r="3084" spans="1:4" x14ac:dyDescent="0.15">
      <c r="A3084" s="2" t="s">
        <v>38627</v>
      </c>
      <c r="B3084" s="2" t="s">
        <v>38626</v>
      </c>
      <c r="C3084" s="2">
        <v>1996</v>
      </c>
      <c r="D3084" s="2" t="s">
        <v>38630</v>
      </c>
    </row>
    <row r="3085" spans="1:4" x14ac:dyDescent="0.15">
      <c r="A3085" s="2" t="s">
        <v>38632</v>
      </c>
      <c r="B3085" s="2" t="s">
        <v>38631</v>
      </c>
      <c r="C3085" s="2">
        <v>2020</v>
      </c>
      <c r="D3085" s="2" t="s">
        <v>38636</v>
      </c>
    </row>
    <row r="3086" spans="1:4" x14ac:dyDescent="0.15">
      <c r="A3086" s="2" t="s">
        <v>38642</v>
      </c>
      <c r="B3086" s="2" t="s">
        <v>38641</v>
      </c>
      <c r="C3086" s="2">
        <v>1998</v>
      </c>
      <c r="D3086" s="2" t="s">
        <v>38645</v>
      </c>
    </row>
    <row r="3087" spans="1:4" x14ac:dyDescent="0.15">
      <c r="A3087" s="2" t="s">
        <v>38651</v>
      </c>
      <c r="B3087" s="2" t="s">
        <v>38650</v>
      </c>
      <c r="C3087" s="2">
        <v>2006</v>
      </c>
      <c r="D3087" s="2"/>
    </row>
    <row r="3088" spans="1:4" x14ac:dyDescent="0.15">
      <c r="A3088" s="2" t="s">
        <v>38659</v>
      </c>
      <c r="B3088" s="2" t="s">
        <v>38658</v>
      </c>
      <c r="C3088" s="2">
        <v>2019</v>
      </c>
      <c r="D3088" s="2" t="s">
        <v>38664</v>
      </c>
    </row>
    <row r="3089" spans="1:4" x14ac:dyDescent="0.15">
      <c r="A3089" s="2" t="s">
        <v>38666</v>
      </c>
      <c r="B3089" s="2" t="s">
        <v>38665</v>
      </c>
      <c r="C3089" s="2">
        <v>2007</v>
      </c>
      <c r="D3089" s="2" t="s">
        <v>38669</v>
      </c>
    </row>
    <row r="3090" spans="1:4" x14ac:dyDescent="0.15">
      <c r="A3090" s="2" t="s">
        <v>38675</v>
      </c>
      <c r="B3090" s="2" t="s">
        <v>38674</v>
      </c>
      <c r="C3090" s="2">
        <v>2011</v>
      </c>
      <c r="D3090" s="2" t="s">
        <v>38679</v>
      </c>
    </row>
    <row r="3091" spans="1:4" x14ac:dyDescent="0.15">
      <c r="A3091" s="2" t="s">
        <v>38681</v>
      </c>
      <c r="B3091" s="2" t="s">
        <v>38680</v>
      </c>
      <c r="C3091" s="2">
        <v>2015</v>
      </c>
      <c r="D3091" s="2" t="s">
        <v>38684</v>
      </c>
    </row>
    <row r="3092" spans="1:4" x14ac:dyDescent="0.15">
      <c r="A3092" s="2" t="s">
        <v>38691</v>
      </c>
      <c r="B3092" s="2" t="s">
        <v>38690</v>
      </c>
      <c r="C3092" s="2">
        <v>2018</v>
      </c>
      <c r="D3092" s="2" t="s">
        <v>38693</v>
      </c>
    </row>
    <row r="3093" spans="1:4" x14ac:dyDescent="0.15">
      <c r="A3093" s="2" t="s">
        <v>38702</v>
      </c>
      <c r="B3093" s="2" t="s">
        <v>38701</v>
      </c>
      <c r="C3093" s="2">
        <v>2007</v>
      </c>
      <c r="D3093" s="2" t="s">
        <v>38706</v>
      </c>
    </row>
    <row r="3094" spans="1:4" x14ac:dyDescent="0.15">
      <c r="A3094" s="2" t="s">
        <v>38708</v>
      </c>
      <c r="B3094" s="2" t="s">
        <v>38707</v>
      </c>
      <c r="C3094" s="2">
        <v>2006</v>
      </c>
      <c r="D3094" s="2"/>
    </row>
    <row r="3095" spans="1:4" x14ac:dyDescent="0.15">
      <c r="A3095" s="2" t="s">
        <v>38712</v>
      </c>
      <c r="B3095" s="2" t="s">
        <v>38711</v>
      </c>
      <c r="C3095" s="2">
        <v>2009</v>
      </c>
      <c r="D3095" s="2" t="s">
        <v>38715</v>
      </c>
    </row>
    <row r="3096" spans="1:4" x14ac:dyDescent="0.15">
      <c r="A3096" s="2" t="s">
        <v>38717</v>
      </c>
      <c r="B3096" s="2" t="s">
        <v>38716</v>
      </c>
      <c r="C3096" s="2">
        <v>2009</v>
      </c>
      <c r="D3096" s="2" t="s">
        <v>38722</v>
      </c>
    </row>
    <row r="3097" spans="1:4" x14ac:dyDescent="0.15">
      <c r="A3097" s="2" t="s">
        <v>38739</v>
      </c>
      <c r="B3097" s="2" t="s">
        <v>38738</v>
      </c>
      <c r="C3097" s="2">
        <v>1987</v>
      </c>
      <c r="D3097" s="2" t="s">
        <v>38743</v>
      </c>
    </row>
    <row r="3098" spans="1:4" x14ac:dyDescent="0.15">
      <c r="A3098" s="2" t="s">
        <v>38745</v>
      </c>
      <c r="B3098" s="2" t="s">
        <v>38744</v>
      </c>
      <c r="C3098" s="2">
        <v>2011</v>
      </c>
      <c r="D3098" s="2" t="s">
        <v>38749</v>
      </c>
    </row>
    <row r="3099" spans="1:4" x14ac:dyDescent="0.15">
      <c r="A3099" s="2" t="s">
        <v>38751</v>
      </c>
      <c r="B3099" s="2" t="s">
        <v>38750</v>
      </c>
      <c r="C3099" s="2">
        <v>2002</v>
      </c>
      <c r="D3099" s="2" t="s">
        <v>38755</v>
      </c>
    </row>
    <row r="3100" spans="1:4" x14ac:dyDescent="0.15">
      <c r="A3100" s="2" t="s">
        <v>38757</v>
      </c>
      <c r="B3100" s="2" t="s">
        <v>38756</v>
      </c>
      <c r="C3100" s="2">
        <v>2009</v>
      </c>
      <c r="D3100" s="2" t="s">
        <v>38761</v>
      </c>
    </row>
    <row r="3101" spans="1:4" x14ac:dyDescent="0.15">
      <c r="A3101" s="2" t="s">
        <v>38763</v>
      </c>
      <c r="B3101" s="2" t="s">
        <v>38762</v>
      </c>
      <c r="C3101" s="2">
        <v>1996</v>
      </c>
      <c r="D3101" s="2" t="s">
        <v>38767</v>
      </c>
    </row>
    <row r="3102" spans="1:4" x14ac:dyDescent="0.15">
      <c r="A3102" s="2" t="s">
        <v>38773</v>
      </c>
      <c r="B3102" s="2" t="s">
        <v>38772</v>
      </c>
      <c r="C3102" s="2">
        <v>2001</v>
      </c>
      <c r="D3102" s="2" t="s">
        <v>38776</v>
      </c>
    </row>
    <row r="3103" spans="1:4" x14ac:dyDescent="0.15">
      <c r="A3103" s="2" t="s">
        <v>38778</v>
      </c>
      <c r="B3103" s="2" t="s">
        <v>38777</v>
      </c>
      <c r="C3103" s="2">
        <v>2011</v>
      </c>
      <c r="D3103" s="2" t="s">
        <v>38783</v>
      </c>
    </row>
    <row r="3104" spans="1:4" x14ac:dyDescent="0.15">
      <c r="A3104" s="2" t="s">
        <v>38785</v>
      </c>
      <c r="B3104" s="2" t="s">
        <v>38784</v>
      </c>
      <c r="C3104" s="2">
        <v>2000</v>
      </c>
      <c r="D3104" s="2" t="s">
        <v>38789</v>
      </c>
    </row>
    <row r="3105" spans="1:4" x14ac:dyDescent="0.15">
      <c r="A3105" s="2" t="s">
        <v>38797</v>
      </c>
      <c r="B3105" s="2" t="s">
        <v>38796</v>
      </c>
      <c r="C3105" s="2">
        <v>2010</v>
      </c>
      <c r="D3105" s="2" t="s">
        <v>38800</v>
      </c>
    </row>
    <row r="3106" spans="1:4" x14ac:dyDescent="0.15">
      <c r="A3106" s="2" t="s">
        <v>38802</v>
      </c>
      <c r="B3106" s="2" t="s">
        <v>38801</v>
      </c>
      <c r="C3106" s="2">
        <v>2014</v>
      </c>
      <c r="D3106" s="2" t="s">
        <v>38807</v>
      </c>
    </row>
    <row r="3107" spans="1:4" x14ac:dyDescent="0.15">
      <c r="A3107" s="2" t="s">
        <v>38831</v>
      </c>
      <c r="B3107" s="2" t="s">
        <v>38830</v>
      </c>
      <c r="C3107" s="2">
        <v>2007</v>
      </c>
      <c r="D3107" s="2" t="s">
        <v>38835</v>
      </c>
    </row>
    <row r="3108" spans="1:4" x14ac:dyDescent="0.15">
      <c r="A3108" s="2" t="s">
        <v>34748</v>
      </c>
      <c r="B3108" s="2" t="s">
        <v>38836</v>
      </c>
      <c r="C3108" s="2">
        <v>2018</v>
      </c>
      <c r="D3108" s="2" t="s">
        <v>38839</v>
      </c>
    </row>
    <row r="3109" spans="1:4" x14ac:dyDescent="0.15">
      <c r="A3109" s="2" t="s">
        <v>38841</v>
      </c>
      <c r="B3109" s="2" t="s">
        <v>38840</v>
      </c>
      <c r="C3109" s="2">
        <v>2012</v>
      </c>
      <c r="D3109" s="2" t="s">
        <v>38844</v>
      </c>
    </row>
    <row r="3110" spans="1:4" x14ac:dyDescent="0.15">
      <c r="A3110" s="2" t="s">
        <v>38846</v>
      </c>
      <c r="B3110" s="2" t="s">
        <v>38845</v>
      </c>
      <c r="C3110" s="2">
        <v>2014</v>
      </c>
      <c r="D3110" s="2" t="s">
        <v>38850</v>
      </c>
    </row>
    <row r="3111" spans="1:4" x14ac:dyDescent="0.15">
      <c r="A3111" s="2" t="s">
        <v>38852</v>
      </c>
      <c r="B3111" s="2" t="s">
        <v>38851</v>
      </c>
      <c r="C3111" s="2">
        <v>2005</v>
      </c>
      <c r="D3111" s="2" t="s">
        <v>38855</v>
      </c>
    </row>
    <row r="3112" spans="1:4" x14ac:dyDescent="0.15">
      <c r="A3112" s="2" t="s">
        <v>38857</v>
      </c>
      <c r="B3112" s="2" t="s">
        <v>38856</v>
      </c>
      <c r="C3112" s="2">
        <v>2007</v>
      </c>
      <c r="D3112" s="2" t="s">
        <v>38860</v>
      </c>
    </row>
    <row r="3113" spans="1:4" x14ac:dyDescent="0.15">
      <c r="A3113" s="2" t="s">
        <v>38862</v>
      </c>
      <c r="B3113" s="2" t="s">
        <v>38861</v>
      </c>
      <c r="C3113" s="2">
        <v>2000</v>
      </c>
      <c r="D3113" s="2" t="s">
        <v>38866</v>
      </c>
    </row>
    <row r="3114" spans="1:4" x14ac:dyDescent="0.15">
      <c r="A3114" s="2" t="s">
        <v>38868</v>
      </c>
      <c r="B3114" s="2" t="s">
        <v>38867</v>
      </c>
      <c r="C3114" s="2">
        <v>2018</v>
      </c>
      <c r="D3114" s="2" t="s">
        <v>38871</v>
      </c>
    </row>
    <row r="3115" spans="1:4" x14ac:dyDescent="0.15">
      <c r="A3115" s="2" t="s">
        <v>38878</v>
      </c>
      <c r="B3115" s="2" t="s">
        <v>38877</v>
      </c>
      <c r="C3115" s="2">
        <v>1996</v>
      </c>
      <c r="D3115" s="2" t="s">
        <v>38882</v>
      </c>
    </row>
    <row r="3116" spans="1:4" x14ac:dyDescent="0.15">
      <c r="A3116" s="2" t="s">
        <v>38884</v>
      </c>
      <c r="B3116" s="2" t="s">
        <v>38883</v>
      </c>
      <c r="C3116" s="2">
        <v>2021</v>
      </c>
      <c r="D3116" s="2" t="s">
        <v>38890</v>
      </c>
    </row>
    <row r="3117" spans="1:4" x14ac:dyDescent="0.15">
      <c r="A3117" s="2" t="s">
        <v>38892</v>
      </c>
      <c r="B3117" s="2" t="s">
        <v>38891</v>
      </c>
      <c r="C3117" s="2">
        <v>2009</v>
      </c>
      <c r="D3117" s="2" t="s">
        <v>38895</v>
      </c>
    </row>
    <row r="3118" spans="1:4" x14ac:dyDescent="0.15">
      <c r="A3118" s="2" t="s">
        <v>38897</v>
      </c>
      <c r="B3118" s="2" t="s">
        <v>38896</v>
      </c>
      <c r="C3118" s="2">
        <v>2013</v>
      </c>
      <c r="D3118" s="2" t="s">
        <v>38902</v>
      </c>
    </row>
    <row r="3119" spans="1:4" x14ac:dyDescent="0.15">
      <c r="A3119" s="2" t="s">
        <v>38908</v>
      </c>
      <c r="B3119" s="2" t="s">
        <v>38907</v>
      </c>
      <c r="C3119" s="2">
        <v>2017</v>
      </c>
      <c r="D3119" s="2" t="s">
        <v>38913</v>
      </c>
    </row>
    <row r="3120" spans="1:4" x14ac:dyDescent="0.15">
      <c r="A3120" s="2" t="s">
        <v>38915</v>
      </c>
      <c r="B3120" s="2" t="s">
        <v>38914</v>
      </c>
      <c r="C3120" s="2">
        <v>2014</v>
      </c>
      <c r="D3120" s="2" t="s">
        <v>38919</v>
      </c>
    </row>
    <row r="3121" spans="1:4" x14ac:dyDescent="0.15">
      <c r="A3121" s="2" t="s">
        <v>38924</v>
      </c>
      <c r="B3121" s="2" t="s">
        <v>38923</v>
      </c>
      <c r="C3121" s="2">
        <v>2007</v>
      </c>
      <c r="D3121" s="2" t="s">
        <v>38928</v>
      </c>
    </row>
    <row r="3122" spans="1:4" x14ac:dyDescent="0.15">
      <c r="A3122" s="2" t="s">
        <v>38930</v>
      </c>
      <c r="B3122" s="2" t="s">
        <v>38929</v>
      </c>
      <c r="C3122" s="2">
        <v>2001</v>
      </c>
      <c r="D3122" s="2" t="s">
        <v>38933</v>
      </c>
    </row>
    <row r="3123" spans="1:4" x14ac:dyDescent="0.15">
      <c r="A3123" s="2" t="s">
        <v>38939</v>
      </c>
      <c r="B3123" s="2" t="s">
        <v>38938</v>
      </c>
      <c r="C3123" s="2">
        <v>1983</v>
      </c>
      <c r="D3123" s="2" t="s">
        <v>38943</v>
      </c>
    </row>
    <row r="3124" spans="1:4" x14ac:dyDescent="0.15">
      <c r="A3124" s="2" t="s">
        <v>38945</v>
      </c>
      <c r="B3124" s="2" t="s">
        <v>38944</v>
      </c>
      <c r="C3124" s="2">
        <v>2021</v>
      </c>
      <c r="D3124" s="2" t="s">
        <v>38949</v>
      </c>
    </row>
    <row r="3125" spans="1:4" x14ac:dyDescent="0.15">
      <c r="A3125" s="2" t="s">
        <v>38951</v>
      </c>
      <c r="B3125" s="2" t="s">
        <v>38950</v>
      </c>
      <c r="C3125" s="2">
        <v>2015</v>
      </c>
      <c r="D3125" s="2" t="s">
        <v>38955</v>
      </c>
    </row>
    <row r="3126" spans="1:4" x14ac:dyDescent="0.15">
      <c r="A3126" s="2" t="s">
        <v>38957</v>
      </c>
      <c r="B3126" s="2" t="s">
        <v>38956</v>
      </c>
      <c r="C3126" s="2">
        <v>2013</v>
      </c>
      <c r="D3126" s="2" t="s">
        <v>38961</v>
      </c>
    </row>
    <row r="3127" spans="1:4" x14ac:dyDescent="0.15">
      <c r="A3127" s="2" t="s">
        <v>38968</v>
      </c>
      <c r="B3127" s="2" t="s">
        <v>38967</v>
      </c>
      <c r="C3127" s="2">
        <v>2014</v>
      </c>
      <c r="D3127" s="2" t="s">
        <v>38972</v>
      </c>
    </row>
    <row r="3128" spans="1:4" x14ac:dyDescent="0.15">
      <c r="A3128" s="2" t="s">
        <v>38979</v>
      </c>
      <c r="B3128" s="2" t="s">
        <v>38978</v>
      </c>
      <c r="C3128" s="2">
        <v>2020</v>
      </c>
      <c r="D3128" s="2" t="s">
        <v>38983</v>
      </c>
    </row>
    <row r="3129" spans="1:4" x14ac:dyDescent="0.15">
      <c r="A3129" s="2" t="s">
        <v>38985</v>
      </c>
      <c r="B3129" s="2" t="s">
        <v>38984</v>
      </c>
      <c r="C3129" s="2">
        <v>2007</v>
      </c>
      <c r="D3129" s="2" t="s">
        <v>38990</v>
      </c>
    </row>
    <row r="3130" spans="1:4" x14ac:dyDescent="0.15">
      <c r="A3130" s="2" t="s">
        <v>38992</v>
      </c>
      <c r="B3130" s="2" t="s">
        <v>38991</v>
      </c>
      <c r="C3130" s="2">
        <v>1997</v>
      </c>
      <c r="D3130" s="2"/>
    </row>
    <row r="3131" spans="1:4" x14ac:dyDescent="0.15">
      <c r="A3131" s="2" t="s">
        <v>38996</v>
      </c>
      <c r="B3131" s="2" t="s">
        <v>38995</v>
      </c>
      <c r="C3131" s="2">
        <v>2015</v>
      </c>
      <c r="D3131" s="2" t="s">
        <v>39000</v>
      </c>
    </row>
    <row r="3132" spans="1:4" x14ac:dyDescent="0.15">
      <c r="A3132" s="2" t="s">
        <v>39002</v>
      </c>
      <c r="B3132" s="2" t="s">
        <v>39001</v>
      </c>
      <c r="C3132" s="2">
        <v>2011</v>
      </c>
      <c r="D3132" s="2" t="s">
        <v>39005</v>
      </c>
    </row>
    <row r="3133" spans="1:4" x14ac:dyDescent="0.15">
      <c r="A3133" s="2" t="s">
        <v>39007</v>
      </c>
      <c r="B3133" s="2" t="s">
        <v>39006</v>
      </c>
      <c r="C3133" s="2">
        <v>2007</v>
      </c>
      <c r="D3133" s="2" t="s">
        <v>39011</v>
      </c>
    </row>
    <row r="3134" spans="1:4" x14ac:dyDescent="0.15">
      <c r="A3134" s="2" t="s">
        <v>39013</v>
      </c>
      <c r="B3134" s="2" t="s">
        <v>39012</v>
      </c>
      <c r="C3134" s="2">
        <v>2013</v>
      </c>
      <c r="D3134" s="2" t="s">
        <v>39018</v>
      </c>
    </row>
    <row r="3135" spans="1:4" x14ac:dyDescent="0.15">
      <c r="A3135" s="2" t="s">
        <v>39020</v>
      </c>
      <c r="B3135" s="2" t="s">
        <v>39019</v>
      </c>
      <c r="C3135" s="2">
        <v>2007</v>
      </c>
      <c r="D3135" s="2" t="s">
        <v>39024</v>
      </c>
    </row>
    <row r="3136" spans="1:4" x14ac:dyDescent="0.15">
      <c r="A3136" s="2" t="s">
        <v>39031</v>
      </c>
      <c r="B3136" s="2" t="s">
        <v>39030</v>
      </c>
      <c r="C3136" s="2">
        <v>1995</v>
      </c>
      <c r="D3136" s="2" t="s">
        <v>39035</v>
      </c>
    </row>
    <row r="3137" spans="1:4" x14ac:dyDescent="0.15">
      <c r="A3137" s="2" t="s">
        <v>39037</v>
      </c>
      <c r="B3137" s="2" t="s">
        <v>39036</v>
      </c>
      <c r="C3137" s="2">
        <v>2003</v>
      </c>
      <c r="D3137" s="2" t="s">
        <v>39039</v>
      </c>
    </row>
    <row r="3138" spans="1:4" x14ac:dyDescent="0.15">
      <c r="A3138" s="2" t="s">
        <v>39041</v>
      </c>
      <c r="B3138" s="2" t="s">
        <v>39040</v>
      </c>
      <c r="C3138" s="2">
        <v>2010</v>
      </c>
      <c r="D3138" s="2" t="s">
        <v>39045</v>
      </c>
    </row>
    <row r="3139" spans="1:4" x14ac:dyDescent="0.15">
      <c r="A3139" s="2" t="s">
        <v>39047</v>
      </c>
      <c r="B3139" s="2" t="s">
        <v>39046</v>
      </c>
      <c r="C3139" s="2">
        <v>2021</v>
      </c>
      <c r="D3139" s="2" t="s">
        <v>39052</v>
      </c>
    </row>
    <row r="3140" spans="1:4" x14ac:dyDescent="0.15">
      <c r="A3140" s="2" t="s">
        <v>39054</v>
      </c>
      <c r="B3140" s="2" t="s">
        <v>39053</v>
      </c>
      <c r="C3140" s="2">
        <v>2010</v>
      </c>
      <c r="D3140" s="2" t="s">
        <v>39057</v>
      </c>
    </row>
    <row r="3141" spans="1:4" x14ac:dyDescent="0.15">
      <c r="A3141" s="2" t="s">
        <v>39059</v>
      </c>
      <c r="B3141" s="2" t="s">
        <v>39058</v>
      </c>
      <c r="C3141" s="2">
        <v>2006</v>
      </c>
      <c r="D3141" s="2" t="s">
        <v>39062</v>
      </c>
    </row>
    <row r="3142" spans="1:4" x14ac:dyDescent="0.15">
      <c r="A3142" s="2" t="s">
        <v>39064</v>
      </c>
      <c r="B3142" s="2" t="s">
        <v>39063</v>
      </c>
      <c r="C3142" s="2">
        <v>2004</v>
      </c>
      <c r="D3142" s="2" t="s">
        <v>39068</v>
      </c>
    </row>
    <row r="3143" spans="1:4" x14ac:dyDescent="0.15">
      <c r="A3143" s="2" t="s">
        <v>39070</v>
      </c>
      <c r="B3143" s="2" t="s">
        <v>39069</v>
      </c>
      <c r="C3143" s="2">
        <v>2012</v>
      </c>
      <c r="D3143" s="2" t="s">
        <v>39074</v>
      </c>
    </row>
    <row r="3144" spans="1:4" x14ac:dyDescent="0.15">
      <c r="A3144" s="2" t="s">
        <v>39080</v>
      </c>
      <c r="B3144" s="2" t="s">
        <v>39079</v>
      </c>
      <c r="C3144" s="2">
        <v>2014</v>
      </c>
      <c r="D3144" s="2" t="s">
        <v>39084</v>
      </c>
    </row>
    <row r="3145" spans="1:4" x14ac:dyDescent="0.15">
      <c r="A3145" s="2" t="s">
        <v>39093</v>
      </c>
      <c r="B3145" s="2" t="s">
        <v>39092</v>
      </c>
      <c r="C3145" s="2">
        <v>1998</v>
      </c>
      <c r="D3145" s="2" t="s">
        <v>39096</v>
      </c>
    </row>
    <row r="3146" spans="1:4" x14ac:dyDescent="0.15">
      <c r="A3146" s="2" t="s">
        <v>39101</v>
      </c>
      <c r="B3146" s="2" t="s">
        <v>39100</v>
      </c>
      <c r="C3146" s="2">
        <v>2005</v>
      </c>
      <c r="D3146" s="2" t="s">
        <v>39105</v>
      </c>
    </row>
    <row r="3147" spans="1:4" x14ac:dyDescent="0.15">
      <c r="A3147" s="2" t="s">
        <v>39107</v>
      </c>
      <c r="B3147" s="2" t="s">
        <v>39106</v>
      </c>
      <c r="C3147" s="2">
        <v>1994</v>
      </c>
      <c r="D3147" s="2" t="s">
        <v>39109</v>
      </c>
    </row>
    <row r="3148" spans="1:4" x14ac:dyDescent="0.15">
      <c r="A3148" s="2" t="s">
        <v>39111</v>
      </c>
      <c r="B3148" s="2" t="s">
        <v>39110</v>
      </c>
      <c r="C3148" s="2">
        <v>2020</v>
      </c>
      <c r="D3148" s="2" t="s">
        <v>39115</v>
      </c>
    </row>
    <row r="3149" spans="1:4" x14ac:dyDescent="0.15">
      <c r="A3149" s="2" t="s">
        <v>39117</v>
      </c>
      <c r="B3149" s="2" t="s">
        <v>39116</v>
      </c>
      <c r="C3149" s="2">
        <v>2003</v>
      </c>
      <c r="D3149" s="2" t="s">
        <v>39121</v>
      </c>
    </row>
    <row r="3150" spans="1:4" x14ac:dyDescent="0.15">
      <c r="A3150" s="2" t="s">
        <v>39129</v>
      </c>
      <c r="B3150" s="2" t="s">
        <v>39128</v>
      </c>
      <c r="C3150" s="2">
        <v>2011</v>
      </c>
      <c r="D3150" s="2" t="s">
        <v>39134</v>
      </c>
    </row>
    <row r="3151" spans="1:4" x14ac:dyDescent="0.15">
      <c r="A3151" s="2" t="s">
        <v>39136</v>
      </c>
      <c r="B3151" s="2" t="s">
        <v>39135</v>
      </c>
      <c r="C3151" s="2">
        <v>2018</v>
      </c>
      <c r="D3151" s="2" t="s">
        <v>39140</v>
      </c>
    </row>
    <row r="3152" spans="1:4" x14ac:dyDescent="0.15">
      <c r="A3152" s="2" t="s">
        <v>39154</v>
      </c>
      <c r="B3152" s="2" t="s">
        <v>39153</v>
      </c>
      <c r="C3152" s="2">
        <v>2020</v>
      </c>
      <c r="D3152" s="2" t="s">
        <v>39159</v>
      </c>
    </row>
    <row r="3153" spans="1:4" x14ac:dyDescent="0.15">
      <c r="A3153" s="2" t="s">
        <v>39161</v>
      </c>
      <c r="B3153" s="2" t="s">
        <v>39160</v>
      </c>
      <c r="C3153" s="2">
        <v>2017</v>
      </c>
      <c r="D3153" s="2" t="s">
        <v>39164</v>
      </c>
    </row>
    <row r="3154" spans="1:4" x14ac:dyDescent="0.15">
      <c r="A3154" s="2" t="s">
        <v>39166</v>
      </c>
      <c r="B3154" s="2" t="s">
        <v>39165</v>
      </c>
      <c r="C3154" s="2">
        <v>2021</v>
      </c>
      <c r="D3154" s="2" t="s">
        <v>39169</v>
      </c>
    </row>
    <row r="3155" spans="1:4" x14ac:dyDescent="0.15">
      <c r="A3155" s="2" t="s">
        <v>39171</v>
      </c>
      <c r="B3155" s="2" t="s">
        <v>39170</v>
      </c>
      <c r="C3155" s="2">
        <v>2019</v>
      </c>
      <c r="D3155" s="2" t="s">
        <v>39174</v>
      </c>
    </row>
    <row r="3156" spans="1:4" x14ac:dyDescent="0.15">
      <c r="A3156" s="2" t="s">
        <v>39176</v>
      </c>
      <c r="B3156" s="2" t="s">
        <v>39175</v>
      </c>
      <c r="C3156" s="2">
        <v>2018</v>
      </c>
      <c r="D3156" s="2" t="s">
        <v>39180</v>
      </c>
    </row>
    <row r="3157" spans="1:4" x14ac:dyDescent="0.15">
      <c r="A3157" s="2" t="s">
        <v>39182</v>
      </c>
      <c r="B3157" s="2" t="s">
        <v>39181</v>
      </c>
      <c r="C3157" s="2">
        <v>2013</v>
      </c>
      <c r="D3157" s="2" t="s">
        <v>39187</v>
      </c>
    </row>
    <row r="3158" spans="1:4" x14ac:dyDescent="0.15">
      <c r="A3158" s="2" t="s">
        <v>39189</v>
      </c>
      <c r="B3158" s="2" t="s">
        <v>39188</v>
      </c>
      <c r="C3158" s="2">
        <v>2009</v>
      </c>
      <c r="D3158" s="2" t="s">
        <v>39193</v>
      </c>
    </row>
    <row r="3159" spans="1:4" x14ac:dyDescent="0.15">
      <c r="A3159" s="2" t="s">
        <v>39195</v>
      </c>
      <c r="B3159" s="2" t="s">
        <v>39194</v>
      </c>
      <c r="C3159" s="2">
        <v>2007</v>
      </c>
      <c r="D3159" s="2" t="s">
        <v>39199</v>
      </c>
    </row>
    <row r="3160" spans="1:4" x14ac:dyDescent="0.15">
      <c r="A3160" s="2" t="s">
        <v>39204</v>
      </c>
      <c r="B3160" s="2" t="s">
        <v>39203</v>
      </c>
      <c r="C3160" s="2">
        <v>2017</v>
      </c>
      <c r="D3160" s="2" t="s">
        <v>39209</v>
      </c>
    </row>
    <row r="3161" spans="1:4" x14ac:dyDescent="0.15">
      <c r="A3161" s="2" t="s">
        <v>39211</v>
      </c>
      <c r="B3161" s="2" t="s">
        <v>39210</v>
      </c>
      <c r="C3161" s="2">
        <v>2015</v>
      </c>
      <c r="D3161" s="2" t="s">
        <v>39214</v>
      </c>
    </row>
    <row r="3162" spans="1:4" x14ac:dyDescent="0.15">
      <c r="A3162" s="2" t="s">
        <v>39216</v>
      </c>
      <c r="B3162" s="2" t="s">
        <v>39215</v>
      </c>
      <c r="C3162" s="2">
        <v>2003</v>
      </c>
      <c r="D3162" s="2" t="s">
        <v>39219</v>
      </c>
    </row>
    <row r="3163" spans="1:4" x14ac:dyDescent="0.15">
      <c r="A3163" s="2" t="s">
        <v>39221</v>
      </c>
      <c r="B3163" s="2" t="s">
        <v>39220</v>
      </c>
      <c r="C3163" s="2">
        <v>2019</v>
      </c>
      <c r="D3163" s="2" t="s">
        <v>39226</v>
      </c>
    </row>
    <row r="3164" spans="1:4" x14ac:dyDescent="0.15">
      <c r="A3164" s="2" t="s">
        <v>39228</v>
      </c>
      <c r="B3164" s="2" t="s">
        <v>39227</v>
      </c>
      <c r="C3164" s="2">
        <v>2015</v>
      </c>
      <c r="D3164" s="2" t="s">
        <v>39232</v>
      </c>
    </row>
    <row r="3165" spans="1:4" x14ac:dyDescent="0.15">
      <c r="A3165" s="2" t="s">
        <v>39234</v>
      </c>
      <c r="B3165" s="2" t="s">
        <v>39233</v>
      </c>
      <c r="C3165" s="2">
        <v>2019</v>
      </c>
      <c r="D3165" s="2" t="s">
        <v>39237</v>
      </c>
    </row>
    <row r="3166" spans="1:4" x14ac:dyDescent="0.15">
      <c r="A3166" s="2" t="s">
        <v>39239</v>
      </c>
      <c r="B3166" s="2" t="s">
        <v>39238</v>
      </c>
      <c r="C3166" s="2">
        <v>2007</v>
      </c>
      <c r="D3166" s="2" t="s">
        <v>39243</v>
      </c>
    </row>
    <row r="3167" spans="1:4" x14ac:dyDescent="0.15">
      <c r="A3167" s="2" t="s">
        <v>39245</v>
      </c>
      <c r="B3167" s="2" t="s">
        <v>39244</v>
      </c>
      <c r="C3167" s="2">
        <v>2021</v>
      </c>
      <c r="D3167" s="2" t="s">
        <v>39249</v>
      </c>
    </row>
    <row r="3168" spans="1:4" x14ac:dyDescent="0.15">
      <c r="A3168" s="2" t="s">
        <v>39251</v>
      </c>
      <c r="B3168" s="2" t="s">
        <v>39250</v>
      </c>
      <c r="C3168" s="2">
        <v>2008</v>
      </c>
      <c r="D3168" s="2" t="s">
        <v>39255</v>
      </c>
    </row>
    <row r="3169" spans="1:4" x14ac:dyDescent="0.15">
      <c r="A3169" s="2" t="s">
        <v>39257</v>
      </c>
      <c r="B3169" s="2" t="s">
        <v>39256</v>
      </c>
      <c r="C3169" s="2">
        <v>2011</v>
      </c>
      <c r="D3169" s="2" t="s">
        <v>39261</v>
      </c>
    </row>
    <row r="3170" spans="1:4" x14ac:dyDescent="0.15">
      <c r="A3170" s="2" t="s">
        <v>39263</v>
      </c>
      <c r="B3170" s="2" t="s">
        <v>39262</v>
      </c>
      <c r="C3170" s="2">
        <v>2011</v>
      </c>
      <c r="D3170" s="2" t="s">
        <v>39267</v>
      </c>
    </row>
    <row r="3171" spans="1:4" x14ac:dyDescent="0.15">
      <c r="A3171" s="2" t="s">
        <v>39272</v>
      </c>
      <c r="B3171" s="2" t="s">
        <v>39271</v>
      </c>
      <c r="C3171" s="2">
        <v>1995</v>
      </c>
      <c r="D3171" s="2" t="s">
        <v>39275</v>
      </c>
    </row>
    <row r="3172" spans="1:4" x14ac:dyDescent="0.15">
      <c r="A3172" s="2" t="s">
        <v>39277</v>
      </c>
      <c r="B3172" s="2" t="s">
        <v>39276</v>
      </c>
      <c r="C3172" s="2">
        <v>1989</v>
      </c>
      <c r="D3172" s="2" t="s">
        <v>39280</v>
      </c>
    </row>
    <row r="3173" spans="1:4" x14ac:dyDescent="0.15">
      <c r="A3173" s="2" t="s">
        <v>39282</v>
      </c>
      <c r="B3173" s="2" t="s">
        <v>39281</v>
      </c>
      <c r="C3173" s="2">
        <v>1991</v>
      </c>
      <c r="D3173" s="2" t="s">
        <v>39286</v>
      </c>
    </row>
    <row r="3174" spans="1:4" x14ac:dyDescent="0.15">
      <c r="A3174" s="2" t="s">
        <v>39288</v>
      </c>
      <c r="B3174" s="2" t="s">
        <v>39287</v>
      </c>
      <c r="C3174" s="2">
        <v>2006</v>
      </c>
      <c r="D3174" s="2" t="s">
        <v>39291</v>
      </c>
    </row>
    <row r="3175" spans="1:4" x14ac:dyDescent="0.15">
      <c r="A3175" s="2" t="s">
        <v>39293</v>
      </c>
      <c r="B3175" s="2" t="s">
        <v>39292</v>
      </c>
      <c r="C3175" s="2">
        <v>2013</v>
      </c>
      <c r="D3175" s="2" t="s">
        <v>39298</v>
      </c>
    </row>
    <row r="3176" spans="1:4" x14ac:dyDescent="0.15">
      <c r="A3176" s="2" t="s">
        <v>39300</v>
      </c>
      <c r="B3176" s="2" t="s">
        <v>39299</v>
      </c>
      <c r="C3176" s="2">
        <v>2014</v>
      </c>
      <c r="D3176" s="2" t="s">
        <v>39303</v>
      </c>
    </row>
    <row r="3177" spans="1:4" x14ac:dyDescent="0.15">
      <c r="A3177" s="2" t="s">
        <v>39305</v>
      </c>
      <c r="B3177" s="2" t="s">
        <v>39304</v>
      </c>
      <c r="C3177" s="2">
        <v>2012</v>
      </c>
      <c r="D3177" s="2" t="s">
        <v>39311</v>
      </c>
    </row>
    <row r="3178" spans="1:4" x14ac:dyDescent="0.15">
      <c r="A3178" s="2" t="s">
        <v>39317</v>
      </c>
      <c r="B3178" s="2" t="s">
        <v>39316</v>
      </c>
      <c r="C3178" s="2">
        <v>2015</v>
      </c>
      <c r="D3178" s="2" t="s">
        <v>39321</v>
      </c>
    </row>
    <row r="3179" spans="1:4" x14ac:dyDescent="0.15">
      <c r="A3179" s="2" t="s">
        <v>39323</v>
      </c>
      <c r="B3179" s="2" t="s">
        <v>39322</v>
      </c>
      <c r="C3179" s="2">
        <v>1995</v>
      </c>
      <c r="D3179" s="2" t="s">
        <v>39327</v>
      </c>
    </row>
    <row r="3180" spans="1:4" x14ac:dyDescent="0.15">
      <c r="A3180" s="2" t="s">
        <v>39329</v>
      </c>
      <c r="B3180" s="2" t="s">
        <v>39328</v>
      </c>
      <c r="C3180" s="2">
        <v>2020</v>
      </c>
      <c r="D3180" s="2" t="s">
        <v>39332</v>
      </c>
    </row>
    <row r="3181" spans="1:4" x14ac:dyDescent="0.15">
      <c r="A3181" s="2" t="s">
        <v>39334</v>
      </c>
      <c r="B3181" s="2" t="s">
        <v>39333</v>
      </c>
      <c r="C3181" s="2">
        <v>1997</v>
      </c>
      <c r="D3181" s="2" t="s">
        <v>39337</v>
      </c>
    </row>
    <row r="3182" spans="1:4" x14ac:dyDescent="0.15">
      <c r="A3182" s="2" t="s">
        <v>39339</v>
      </c>
      <c r="B3182" s="2" t="s">
        <v>39338</v>
      </c>
      <c r="C3182" s="2">
        <v>2021</v>
      </c>
      <c r="D3182" s="2" t="s">
        <v>39342</v>
      </c>
    </row>
    <row r="3183" spans="1:4" x14ac:dyDescent="0.15">
      <c r="A3183" s="2" t="s">
        <v>39344</v>
      </c>
      <c r="B3183" s="2" t="s">
        <v>39343</v>
      </c>
      <c r="C3183" s="2">
        <v>2021</v>
      </c>
      <c r="D3183" s="2" t="s">
        <v>39348</v>
      </c>
    </row>
    <row r="3184" spans="1:4" x14ac:dyDescent="0.15">
      <c r="A3184" s="2" t="s">
        <v>39350</v>
      </c>
      <c r="B3184" s="2" t="s">
        <v>39349</v>
      </c>
      <c r="C3184" s="2">
        <v>2009</v>
      </c>
      <c r="D3184" s="2" t="s">
        <v>39354</v>
      </c>
    </row>
    <row r="3185" spans="1:4" x14ac:dyDescent="0.15">
      <c r="A3185" s="2" t="s">
        <v>39356</v>
      </c>
      <c r="B3185" s="2" t="s">
        <v>39355</v>
      </c>
      <c r="C3185" s="2">
        <v>2019</v>
      </c>
      <c r="D3185" s="2" t="s">
        <v>39359</v>
      </c>
    </row>
    <row r="3186" spans="1:4" x14ac:dyDescent="0.15">
      <c r="A3186" s="2" t="s">
        <v>39365</v>
      </c>
      <c r="B3186" s="2" t="s">
        <v>39364</v>
      </c>
      <c r="C3186" s="2">
        <v>1997</v>
      </c>
      <c r="D3186" s="2" t="s">
        <v>39368</v>
      </c>
    </row>
    <row r="3187" spans="1:4" x14ac:dyDescent="0.15">
      <c r="A3187" s="2" t="s">
        <v>39375</v>
      </c>
      <c r="B3187" s="2" t="s">
        <v>39374</v>
      </c>
      <c r="C3187" s="2">
        <v>2002</v>
      </c>
      <c r="D3187" s="2" t="s">
        <v>39379</v>
      </c>
    </row>
    <row r="3188" spans="1:4" x14ac:dyDescent="0.15">
      <c r="A3188" s="2" t="s">
        <v>39381</v>
      </c>
      <c r="B3188" s="2" t="s">
        <v>39380</v>
      </c>
      <c r="C3188" s="2">
        <v>2019</v>
      </c>
      <c r="D3188" s="2" t="s">
        <v>39385</v>
      </c>
    </row>
    <row r="3189" spans="1:4" x14ac:dyDescent="0.15">
      <c r="A3189" s="2" t="s">
        <v>39387</v>
      </c>
      <c r="B3189" s="2" t="s">
        <v>39386</v>
      </c>
      <c r="C3189" s="2">
        <v>2007</v>
      </c>
      <c r="D3189" s="2" t="s">
        <v>39391</v>
      </c>
    </row>
    <row r="3190" spans="1:4" x14ac:dyDescent="0.15">
      <c r="A3190" s="2" t="s">
        <v>39396</v>
      </c>
      <c r="B3190" s="2" t="s">
        <v>39395</v>
      </c>
      <c r="C3190" s="2">
        <v>1998</v>
      </c>
      <c r="D3190" s="2" t="s">
        <v>39399</v>
      </c>
    </row>
    <row r="3191" spans="1:4" x14ac:dyDescent="0.15">
      <c r="A3191" s="2" t="s">
        <v>39401</v>
      </c>
      <c r="B3191" s="2" t="s">
        <v>39400</v>
      </c>
      <c r="C3191" s="2">
        <v>2021</v>
      </c>
      <c r="D3191" s="2" t="s">
        <v>39404</v>
      </c>
    </row>
    <row r="3192" spans="1:4" x14ac:dyDescent="0.15">
      <c r="A3192" s="2" t="s">
        <v>39411</v>
      </c>
      <c r="B3192" s="2" t="s">
        <v>39410</v>
      </c>
      <c r="C3192" s="2">
        <v>2019</v>
      </c>
      <c r="D3192" s="2" t="s">
        <v>39415</v>
      </c>
    </row>
    <row r="3193" spans="1:4" x14ac:dyDescent="0.15">
      <c r="A3193" s="2" t="s">
        <v>39421</v>
      </c>
      <c r="B3193" s="2" t="s">
        <v>39420</v>
      </c>
      <c r="C3193" s="2">
        <v>2022</v>
      </c>
      <c r="D3193" s="2" t="s">
        <v>39425</v>
      </c>
    </row>
    <row r="3194" spans="1:4" x14ac:dyDescent="0.15">
      <c r="A3194" s="2" t="s">
        <v>39427</v>
      </c>
      <c r="B3194" s="2" t="s">
        <v>39426</v>
      </c>
      <c r="C3194" s="2">
        <v>2015</v>
      </c>
      <c r="D3194" s="2" t="s">
        <v>39431</v>
      </c>
    </row>
    <row r="3195" spans="1:4" x14ac:dyDescent="0.15">
      <c r="A3195" s="2" t="s">
        <v>39433</v>
      </c>
      <c r="B3195" s="2" t="s">
        <v>39432</v>
      </c>
      <c r="C3195" s="2">
        <v>2007</v>
      </c>
      <c r="D3195" s="2" t="s">
        <v>39435</v>
      </c>
    </row>
    <row r="3196" spans="1:4" x14ac:dyDescent="0.15">
      <c r="A3196" s="2" t="s">
        <v>39437</v>
      </c>
      <c r="B3196" s="2" t="s">
        <v>39436</v>
      </c>
      <c r="C3196" s="2">
        <v>1991</v>
      </c>
      <c r="D3196" s="2" t="s">
        <v>39441</v>
      </c>
    </row>
    <row r="3197" spans="1:4" x14ac:dyDescent="0.15">
      <c r="A3197" s="2" t="s">
        <v>39443</v>
      </c>
      <c r="B3197" s="2" t="s">
        <v>39442</v>
      </c>
      <c r="C3197" s="2">
        <v>2014</v>
      </c>
      <c r="D3197" s="2" t="s">
        <v>39446</v>
      </c>
    </row>
    <row r="3198" spans="1:4" x14ac:dyDescent="0.15">
      <c r="A3198" s="2" t="s">
        <v>39448</v>
      </c>
      <c r="B3198" s="2" t="s">
        <v>39447</v>
      </c>
      <c r="C3198" s="2">
        <v>2013</v>
      </c>
      <c r="D3198" s="2" t="s">
        <v>39452</v>
      </c>
    </row>
    <row r="3199" spans="1:4" x14ac:dyDescent="0.15">
      <c r="A3199" s="2" t="s">
        <v>39454</v>
      </c>
      <c r="B3199" s="2" t="s">
        <v>39453</v>
      </c>
      <c r="C3199" s="2">
        <v>2010</v>
      </c>
      <c r="D3199" s="2" t="s">
        <v>39457</v>
      </c>
    </row>
    <row r="3200" spans="1:4" x14ac:dyDescent="0.15">
      <c r="A3200" s="2" t="s">
        <v>39459</v>
      </c>
      <c r="B3200" s="2" t="s">
        <v>39458</v>
      </c>
      <c r="C3200" s="2">
        <v>2014</v>
      </c>
      <c r="D3200" s="2" t="s">
        <v>39462</v>
      </c>
    </row>
    <row r="3201" spans="1:4" x14ac:dyDescent="0.15">
      <c r="A3201" s="2" t="s">
        <v>39464</v>
      </c>
      <c r="B3201" s="2" t="s">
        <v>39463</v>
      </c>
      <c r="C3201" s="2">
        <v>2003</v>
      </c>
      <c r="D3201" s="2" t="s">
        <v>39469</v>
      </c>
    </row>
    <row r="3202" spans="1:4" x14ac:dyDescent="0.15">
      <c r="A3202" s="2" t="s">
        <v>39471</v>
      </c>
      <c r="B3202" s="2" t="s">
        <v>39470</v>
      </c>
      <c r="C3202" s="2">
        <v>2012</v>
      </c>
      <c r="D3202" s="2" t="s">
        <v>39475</v>
      </c>
    </row>
    <row r="3203" spans="1:4" x14ac:dyDescent="0.15">
      <c r="A3203" s="2" t="s">
        <v>39477</v>
      </c>
      <c r="B3203" s="2" t="s">
        <v>39476</v>
      </c>
      <c r="C3203" s="2">
        <v>2014</v>
      </c>
      <c r="D3203" s="2" t="s">
        <v>39481</v>
      </c>
    </row>
    <row r="3204" spans="1:4" x14ac:dyDescent="0.15">
      <c r="A3204" s="2" t="s">
        <v>39483</v>
      </c>
      <c r="B3204" s="2" t="s">
        <v>39482</v>
      </c>
      <c r="C3204" s="2">
        <v>2016</v>
      </c>
      <c r="D3204" s="2" t="s">
        <v>39486</v>
      </c>
    </row>
    <row r="3205" spans="1:4" x14ac:dyDescent="0.15">
      <c r="A3205" s="2" t="s">
        <v>39488</v>
      </c>
      <c r="B3205" s="2" t="s">
        <v>39487</v>
      </c>
      <c r="C3205" s="2">
        <v>2008</v>
      </c>
      <c r="D3205" s="2" t="s">
        <v>39491</v>
      </c>
    </row>
    <row r="3206" spans="1:4" x14ac:dyDescent="0.15">
      <c r="A3206" s="2" t="s">
        <v>39493</v>
      </c>
      <c r="B3206" s="2" t="s">
        <v>39492</v>
      </c>
      <c r="C3206" s="2">
        <v>2011</v>
      </c>
      <c r="D3206" s="2" t="s">
        <v>39498</v>
      </c>
    </row>
    <row r="3207" spans="1:4" x14ac:dyDescent="0.15">
      <c r="A3207" s="2" t="s">
        <v>39503</v>
      </c>
      <c r="B3207" s="2" t="s">
        <v>39502</v>
      </c>
      <c r="C3207" s="2">
        <v>2008</v>
      </c>
      <c r="D3207" s="2" t="s">
        <v>39506</v>
      </c>
    </row>
    <row r="3208" spans="1:4" x14ac:dyDescent="0.15">
      <c r="A3208" s="2" t="s">
        <v>39508</v>
      </c>
      <c r="B3208" s="2" t="s">
        <v>39507</v>
      </c>
      <c r="C3208" s="2">
        <v>2018</v>
      </c>
      <c r="D3208" s="2" t="s">
        <v>39511</v>
      </c>
    </row>
    <row r="3209" spans="1:4" x14ac:dyDescent="0.15">
      <c r="A3209" s="2" t="s">
        <v>39513</v>
      </c>
      <c r="B3209" s="2" t="s">
        <v>39512</v>
      </c>
      <c r="C3209" s="2">
        <v>2001</v>
      </c>
      <c r="D3209" s="2" t="s">
        <v>39516</v>
      </c>
    </row>
    <row r="3210" spans="1:4" x14ac:dyDescent="0.15">
      <c r="A3210" s="2" t="s">
        <v>39518</v>
      </c>
      <c r="B3210" s="2" t="s">
        <v>39517</v>
      </c>
      <c r="C3210" s="2">
        <v>2022</v>
      </c>
      <c r="D3210" s="2" t="s">
        <v>39522</v>
      </c>
    </row>
    <row r="3211" spans="1:4" x14ac:dyDescent="0.15">
      <c r="A3211" s="2" t="s">
        <v>39524</v>
      </c>
      <c r="B3211" s="2" t="s">
        <v>39523</v>
      </c>
      <c r="C3211" s="2">
        <v>2004</v>
      </c>
      <c r="D3211" s="2" t="s">
        <v>39527</v>
      </c>
    </row>
    <row r="3212" spans="1:4" x14ac:dyDescent="0.15">
      <c r="A3212" s="2" t="s">
        <v>39533</v>
      </c>
      <c r="B3212" s="2" t="s">
        <v>39532</v>
      </c>
      <c r="C3212" s="2">
        <v>2006</v>
      </c>
      <c r="D3212" s="2" t="s">
        <v>39535</v>
      </c>
    </row>
    <row r="3213" spans="1:4" x14ac:dyDescent="0.15">
      <c r="A3213" s="2" t="s">
        <v>39537</v>
      </c>
      <c r="B3213" s="2" t="s">
        <v>39536</v>
      </c>
      <c r="C3213" s="2">
        <v>2018</v>
      </c>
      <c r="D3213" s="2" t="s">
        <v>39540</v>
      </c>
    </row>
    <row r="3214" spans="1:4" x14ac:dyDescent="0.15">
      <c r="A3214" s="2" t="s">
        <v>39542</v>
      </c>
      <c r="B3214" s="2" t="s">
        <v>39541</v>
      </c>
      <c r="C3214" s="2">
        <v>2021</v>
      </c>
      <c r="D3214" s="2" t="s">
        <v>39546</v>
      </c>
    </row>
    <row r="3215" spans="1:4" x14ac:dyDescent="0.15">
      <c r="A3215" s="2" t="s">
        <v>39548</v>
      </c>
      <c r="B3215" s="2" t="s">
        <v>39547</v>
      </c>
      <c r="C3215" s="2">
        <v>2018</v>
      </c>
      <c r="D3215" s="2" t="s">
        <v>39551</v>
      </c>
    </row>
    <row r="3216" spans="1:4" x14ac:dyDescent="0.15">
      <c r="A3216" s="2" t="s">
        <v>39558</v>
      </c>
      <c r="B3216" s="2" t="s">
        <v>39557</v>
      </c>
      <c r="C3216" s="2">
        <v>2013</v>
      </c>
      <c r="D3216" s="2" t="s">
        <v>39562</v>
      </c>
    </row>
    <row r="3217" spans="1:4" x14ac:dyDescent="0.15">
      <c r="A3217" s="2" t="s">
        <v>39564</v>
      </c>
      <c r="B3217" s="2" t="s">
        <v>39563</v>
      </c>
      <c r="C3217" s="2">
        <v>2020</v>
      </c>
      <c r="D3217" s="2" t="s">
        <v>39566</v>
      </c>
    </row>
    <row r="3218" spans="1:4" x14ac:dyDescent="0.15">
      <c r="A3218" s="2" t="s">
        <v>39568</v>
      </c>
      <c r="B3218" s="2" t="s">
        <v>39567</v>
      </c>
      <c r="C3218" s="2">
        <v>2014</v>
      </c>
      <c r="D3218" s="2" t="s">
        <v>39572</v>
      </c>
    </row>
    <row r="3219" spans="1:4" x14ac:dyDescent="0.15">
      <c r="A3219" s="2" t="s">
        <v>39574</v>
      </c>
      <c r="B3219" s="2" t="s">
        <v>39573</v>
      </c>
      <c r="C3219" s="2">
        <v>2020</v>
      </c>
      <c r="D3219" s="2" t="s">
        <v>39577</v>
      </c>
    </row>
    <row r="3220" spans="1:4" x14ac:dyDescent="0.15">
      <c r="A3220" s="2" t="s">
        <v>39583</v>
      </c>
      <c r="B3220" s="2" t="s">
        <v>39582</v>
      </c>
      <c r="C3220" s="2">
        <v>2019</v>
      </c>
      <c r="D3220" s="2" t="s">
        <v>39587</v>
      </c>
    </row>
    <row r="3221" spans="1:4" x14ac:dyDescent="0.15">
      <c r="A3221" s="2" t="s">
        <v>39597</v>
      </c>
      <c r="B3221" s="2" t="s">
        <v>39596</v>
      </c>
      <c r="C3221" s="2">
        <v>2019</v>
      </c>
      <c r="D3221" s="2" t="s">
        <v>39601</v>
      </c>
    </row>
    <row r="3222" spans="1:4" x14ac:dyDescent="0.15">
      <c r="A3222" s="2" t="s">
        <v>39603</v>
      </c>
      <c r="B3222" s="2" t="s">
        <v>39602</v>
      </c>
      <c r="C3222" s="2">
        <v>2015</v>
      </c>
      <c r="D3222" s="2" t="s">
        <v>39609</v>
      </c>
    </row>
    <row r="3223" spans="1:4" x14ac:dyDescent="0.15">
      <c r="A3223" s="2" t="s">
        <v>39611</v>
      </c>
      <c r="B3223" s="2" t="s">
        <v>39610</v>
      </c>
      <c r="C3223" s="2">
        <v>2019</v>
      </c>
      <c r="D3223" s="2" t="s">
        <v>39616</v>
      </c>
    </row>
    <row r="3224" spans="1:4" x14ac:dyDescent="0.15">
      <c r="A3224" s="2" t="s">
        <v>39625</v>
      </c>
      <c r="B3224" s="2" t="s">
        <v>39624</v>
      </c>
      <c r="C3224" s="2">
        <v>2018</v>
      </c>
      <c r="D3224" s="2" t="s">
        <v>39629</v>
      </c>
    </row>
    <row r="3225" spans="1:4" x14ac:dyDescent="0.15">
      <c r="A3225" s="2" t="s">
        <v>39631</v>
      </c>
      <c r="B3225" s="2" t="s">
        <v>39630</v>
      </c>
      <c r="C3225" s="2">
        <v>2019</v>
      </c>
      <c r="D3225" s="2" t="s">
        <v>39634</v>
      </c>
    </row>
    <row r="3226" spans="1:4" x14ac:dyDescent="0.15">
      <c r="A3226" s="2" t="s">
        <v>39636</v>
      </c>
      <c r="B3226" s="2" t="s">
        <v>39635</v>
      </c>
      <c r="C3226" s="2">
        <v>2020</v>
      </c>
      <c r="D3226" s="2" t="s">
        <v>39642</v>
      </c>
    </row>
    <row r="3227" spans="1:4" x14ac:dyDescent="0.15">
      <c r="A3227" s="2" t="s">
        <v>39644</v>
      </c>
      <c r="B3227" s="2" t="s">
        <v>39643</v>
      </c>
      <c r="C3227" s="2">
        <v>2015</v>
      </c>
      <c r="D3227" s="2" t="s">
        <v>39649</v>
      </c>
    </row>
    <row r="3228" spans="1:4" x14ac:dyDescent="0.15">
      <c r="A3228" s="2" t="s">
        <v>39651</v>
      </c>
      <c r="B3228" s="2" t="s">
        <v>39650</v>
      </c>
      <c r="C3228" s="2">
        <v>2018</v>
      </c>
      <c r="D3228" s="2" t="s">
        <v>39654</v>
      </c>
    </row>
    <row r="3229" spans="1:4" x14ac:dyDescent="0.15">
      <c r="A3229" s="2" t="s">
        <v>39656</v>
      </c>
      <c r="B3229" s="2" t="s">
        <v>39655</v>
      </c>
      <c r="C3229" s="2">
        <v>2016</v>
      </c>
      <c r="D3229" s="2" t="s">
        <v>39660</v>
      </c>
    </row>
    <row r="3230" spans="1:4" x14ac:dyDescent="0.15">
      <c r="A3230" s="2" t="s">
        <v>39662</v>
      </c>
      <c r="B3230" s="2" t="s">
        <v>39661</v>
      </c>
      <c r="C3230" s="2">
        <v>2013</v>
      </c>
      <c r="D3230" s="2" t="s">
        <v>39666</v>
      </c>
    </row>
    <row r="3231" spans="1:4" x14ac:dyDescent="0.15">
      <c r="A3231" s="2" t="s">
        <v>39668</v>
      </c>
      <c r="B3231" s="2" t="s">
        <v>39667</v>
      </c>
      <c r="C3231" s="2">
        <v>2006</v>
      </c>
      <c r="D3231" s="2" t="s">
        <v>39671</v>
      </c>
    </row>
    <row r="3232" spans="1:4" x14ac:dyDescent="0.15">
      <c r="A3232" s="2" t="s">
        <v>39673</v>
      </c>
      <c r="B3232" s="2" t="s">
        <v>39672</v>
      </c>
      <c r="C3232" s="2">
        <v>2021</v>
      </c>
      <c r="D3232" s="2" t="s">
        <v>39677</v>
      </c>
    </row>
    <row r="3233" spans="1:4" x14ac:dyDescent="0.15">
      <c r="A3233" s="2" t="s">
        <v>39679</v>
      </c>
      <c r="B3233" s="2" t="s">
        <v>39678</v>
      </c>
      <c r="C3233" s="2">
        <v>2019</v>
      </c>
      <c r="D3233" s="2" t="s">
        <v>39683</v>
      </c>
    </row>
    <row r="3234" spans="1:4" x14ac:dyDescent="0.15">
      <c r="A3234" s="2" t="s">
        <v>39685</v>
      </c>
      <c r="B3234" s="2" t="s">
        <v>39684</v>
      </c>
      <c r="C3234" s="2">
        <v>2022</v>
      </c>
      <c r="D3234" s="2" t="s">
        <v>39689</v>
      </c>
    </row>
    <row r="3235" spans="1:4" x14ac:dyDescent="0.15">
      <c r="A3235" s="2" t="s">
        <v>39691</v>
      </c>
      <c r="B3235" s="2" t="s">
        <v>39690</v>
      </c>
      <c r="C3235" s="2">
        <v>2020</v>
      </c>
      <c r="D3235" s="2" t="s">
        <v>39696</v>
      </c>
    </row>
    <row r="3236" spans="1:4" x14ac:dyDescent="0.15">
      <c r="A3236" s="2" t="s">
        <v>39698</v>
      </c>
      <c r="B3236" s="2" t="s">
        <v>39697</v>
      </c>
      <c r="C3236" s="2">
        <v>2018</v>
      </c>
      <c r="D3236" s="2" t="s">
        <v>39703</v>
      </c>
    </row>
    <row r="3237" spans="1:4" x14ac:dyDescent="0.15">
      <c r="A3237" s="2" t="s">
        <v>39705</v>
      </c>
      <c r="B3237" s="2" t="s">
        <v>39704</v>
      </c>
      <c r="C3237" s="2">
        <v>2020</v>
      </c>
      <c r="D3237" s="2" t="s">
        <v>39709</v>
      </c>
    </row>
    <row r="3238" spans="1:4" x14ac:dyDescent="0.15">
      <c r="A3238" s="2" t="s">
        <v>39711</v>
      </c>
      <c r="B3238" s="2" t="s">
        <v>39710</v>
      </c>
      <c r="C3238" s="2">
        <v>1997</v>
      </c>
      <c r="D3238" s="2" t="s">
        <v>39714</v>
      </c>
    </row>
    <row r="3239" spans="1:4" x14ac:dyDescent="0.15">
      <c r="A3239" s="2" t="s">
        <v>39716</v>
      </c>
      <c r="B3239" s="2" t="s">
        <v>39715</v>
      </c>
      <c r="C3239" s="2">
        <v>2012</v>
      </c>
      <c r="D3239" s="2" t="s">
        <v>39719</v>
      </c>
    </row>
    <row r="3240" spans="1:4" x14ac:dyDescent="0.15">
      <c r="A3240" s="2" t="s">
        <v>39721</v>
      </c>
      <c r="B3240" s="2" t="s">
        <v>39720</v>
      </c>
      <c r="C3240" s="2">
        <v>2008</v>
      </c>
      <c r="D3240" s="2" t="s">
        <v>39725</v>
      </c>
    </row>
    <row r="3241" spans="1:4" x14ac:dyDescent="0.15">
      <c r="A3241" s="2" t="s">
        <v>39731</v>
      </c>
      <c r="B3241" s="2" t="s">
        <v>39730</v>
      </c>
      <c r="C3241" s="2">
        <v>2022</v>
      </c>
      <c r="D3241" s="2" t="s">
        <v>39734</v>
      </c>
    </row>
    <row r="3242" spans="1:4" x14ac:dyDescent="0.15">
      <c r="A3242" s="2" t="s">
        <v>39736</v>
      </c>
      <c r="B3242" s="2" t="s">
        <v>39735</v>
      </c>
      <c r="C3242" s="2">
        <v>2016</v>
      </c>
      <c r="D3242" s="2" t="s">
        <v>39740</v>
      </c>
    </row>
    <row r="3243" spans="1:4" x14ac:dyDescent="0.15">
      <c r="A3243" s="2" t="s">
        <v>39742</v>
      </c>
      <c r="B3243" s="2" t="s">
        <v>39741</v>
      </c>
      <c r="C3243" s="2">
        <v>2012</v>
      </c>
      <c r="D3243" s="2" t="s">
        <v>27360</v>
      </c>
    </row>
    <row r="3244" spans="1:4" x14ac:dyDescent="0.15">
      <c r="A3244" s="2" t="s">
        <v>39749</v>
      </c>
      <c r="B3244" s="2" t="s">
        <v>39748</v>
      </c>
      <c r="C3244" s="2">
        <v>2008</v>
      </c>
      <c r="D3244" s="2" t="s">
        <v>39752</v>
      </c>
    </row>
    <row r="3245" spans="1:4" x14ac:dyDescent="0.15">
      <c r="A3245" s="2" t="s">
        <v>39754</v>
      </c>
      <c r="B3245" s="2" t="s">
        <v>39753</v>
      </c>
      <c r="C3245" s="2">
        <v>2008</v>
      </c>
      <c r="D3245" s="2" t="s">
        <v>39758</v>
      </c>
    </row>
    <row r="3246" spans="1:4" x14ac:dyDescent="0.15">
      <c r="A3246" s="2" t="s">
        <v>39760</v>
      </c>
      <c r="B3246" s="2" t="s">
        <v>39759</v>
      </c>
      <c r="C3246" s="2">
        <v>2005</v>
      </c>
      <c r="D3246" s="2" t="s">
        <v>39764</v>
      </c>
    </row>
    <row r="3247" spans="1:4" x14ac:dyDescent="0.15">
      <c r="A3247" s="2" t="s">
        <v>39771</v>
      </c>
      <c r="B3247" s="2" t="s">
        <v>39770</v>
      </c>
      <c r="C3247" s="2">
        <v>2020</v>
      </c>
      <c r="D3247" s="2" t="s">
        <v>39775</v>
      </c>
    </row>
    <row r="3248" spans="1:4" x14ac:dyDescent="0.15">
      <c r="A3248" s="2" t="s">
        <v>39777</v>
      </c>
      <c r="B3248" s="2" t="s">
        <v>39776</v>
      </c>
      <c r="C3248" s="2">
        <v>2022</v>
      </c>
      <c r="D3248" s="2" t="s">
        <v>39781</v>
      </c>
    </row>
    <row r="3249" spans="1:4" x14ac:dyDescent="0.15">
      <c r="A3249" s="2" t="s">
        <v>39790</v>
      </c>
      <c r="B3249" s="2" t="s">
        <v>39789</v>
      </c>
      <c r="C3249" s="2">
        <v>2003</v>
      </c>
      <c r="D3249" s="2" t="s">
        <v>39794</v>
      </c>
    </row>
    <row r="3250" spans="1:4" x14ac:dyDescent="0.15">
      <c r="A3250" s="2" t="s">
        <v>39805</v>
      </c>
      <c r="B3250" s="2" t="s">
        <v>39804</v>
      </c>
      <c r="C3250" s="2">
        <v>2014</v>
      </c>
      <c r="D3250" s="2" t="s">
        <v>39808</v>
      </c>
    </row>
    <row r="3251" spans="1:4" x14ac:dyDescent="0.15">
      <c r="A3251" s="2" t="s">
        <v>39810</v>
      </c>
      <c r="B3251" s="2" t="s">
        <v>39809</v>
      </c>
      <c r="C3251" s="2">
        <v>2010</v>
      </c>
      <c r="D3251" s="2" t="s">
        <v>39814</v>
      </c>
    </row>
    <row r="3252" spans="1:4" x14ac:dyDescent="0.15">
      <c r="A3252" s="2" t="s">
        <v>39826</v>
      </c>
      <c r="B3252" s="2" t="s">
        <v>39825</v>
      </c>
      <c r="C3252" s="2">
        <v>2005</v>
      </c>
      <c r="D3252" s="2" t="s">
        <v>39830</v>
      </c>
    </row>
    <row r="3253" spans="1:4" x14ac:dyDescent="0.15">
      <c r="A3253" s="2" t="s">
        <v>39832</v>
      </c>
      <c r="B3253" s="2" t="s">
        <v>39831</v>
      </c>
      <c r="C3253" s="2">
        <v>2002</v>
      </c>
      <c r="D3253" s="2" t="s">
        <v>39837</v>
      </c>
    </row>
    <row r="3254" spans="1:4" x14ac:dyDescent="0.15">
      <c r="A3254" s="2" t="s">
        <v>39839</v>
      </c>
      <c r="B3254" s="2" t="s">
        <v>39838</v>
      </c>
      <c r="C3254" s="2">
        <v>1996</v>
      </c>
      <c r="D3254" s="2" t="s">
        <v>39842</v>
      </c>
    </row>
    <row r="3255" spans="1:4" x14ac:dyDescent="0.15">
      <c r="A3255" s="2" t="s">
        <v>39844</v>
      </c>
      <c r="B3255" s="2" t="s">
        <v>39843</v>
      </c>
      <c r="C3255" s="2">
        <v>2021</v>
      </c>
      <c r="D3255" s="2" t="s">
        <v>39848</v>
      </c>
    </row>
    <row r="3256" spans="1:4" x14ac:dyDescent="0.15">
      <c r="A3256" s="2" t="s">
        <v>39850</v>
      </c>
      <c r="B3256" s="2" t="s">
        <v>39849</v>
      </c>
      <c r="C3256" s="2">
        <v>2018</v>
      </c>
      <c r="D3256" s="2" t="s">
        <v>39853</v>
      </c>
    </row>
    <row r="3257" spans="1:4" x14ac:dyDescent="0.15">
      <c r="A3257" s="2" t="s">
        <v>39855</v>
      </c>
      <c r="B3257" s="2" t="s">
        <v>39854</v>
      </c>
      <c r="C3257" s="2">
        <v>2003</v>
      </c>
      <c r="D3257" s="2" t="s">
        <v>39859</v>
      </c>
    </row>
    <row r="3258" spans="1:4" x14ac:dyDescent="0.15">
      <c r="A3258" s="2" t="s">
        <v>39861</v>
      </c>
      <c r="B3258" s="2" t="s">
        <v>39860</v>
      </c>
      <c r="C3258" s="2">
        <v>2003</v>
      </c>
      <c r="D3258" s="2" t="s">
        <v>39866</v>
      </c>
    </row>
    <row r="3259" spans="1:4" x14ac:dyDescent="0.15">
      <c r="A3259" s="2" t="s">
        <v>39868</v>
      </c>
      <c r="B3259" s="2" t="s">
        <v>39867</v>
      </c>
      <c r="C3259" s="2">
        <v>2012</v>
      </c>
      <c r="D3259" s="2" t="s">
        <v>39872</v>
      </c>
    </row>
    <row r="3260" spans="1:4" x14ac:dyDescent="0.15">
      <c r="A3260" s="2" t="s">
        <v>39879</v>
      </c>
      <c r="B3260" s="2" t="s">
        <v>39878</v>
      </c>
      <c r="C3260" s="2">
        <v>2018</v>
      </c>
      <c r="D3260" s="2" t="s">
        <v>39882</v>
      </c>
    </row>
    <row r="3261" spans="1:4" x14ac:dyDescent="0.15">
      <c r="A3261" s="2" t="s">
        <v>39888</v>
      </c>
      <c r="B3261" s="2" t="s">
        <v>39887</v>
      </c>
      <c r="C3261" s="2">
        <v>2017</v>
      </c>
      <c r="D3261" s="2" t="s">
        <v>39891</v>
      </c>
    </row>
    <row r="3262" spans="1:4" x14ac:dyDescent="0.15">
      <c r="A3262" s="2" t="s">
        <v>39897</v>
      </c>
      <c r="B3262" s="2" t="s">
        <v>39896</v>
      </c>
      <c r="C3262" s="2">
        <v>2020</v>
      </c>
      <c r="D3262" s="2" t="s">
        <v>39901</v>
      </c>
    </row>
    <row r="3263" spans="1:4" x14ac:dyDescent="0.15">
      <c r="A3263" s="2" t="s">
        <v>39903</v>
      </c>
      <c r="B3263" s="2" t="s">
        <v>39902</v>
      </c>
      <c r="C3263" s="2">
        <v>2019</v>
      </c>
      <c r="D3263" s="2" t="s">
        <v>39907</v>
      </c>
    </row>
    <row r="3264" spans="1:4" x14ac:dyDescent="0.15">
      <c r="A3264" s="2" t="s">
        <v>39909</v>
      </c>
      <c r="B3264" s="2" t="s">
        <v>39908</v>
      </c>
      <c r="C3264" s="2">
        <v>2019</v>
      </c>
      <c r="D3264" s="2" t="s">
        <v>39913</v>
      </c>
    </row>
    <row r="3265" spans="1:4" x14ac:dyDescent="0.15">
      <c r="A3265" s="2" t="s">
        <v>39915</v>
      </c>
      <c r="B3265" s="2" t="s">
        <v>39914</v>
      </c>
      <c r="C3265" s="2">
        <v>2015</v>
      </c>
      <c r="D3265" s="2" t="s">
        <v>39919</v>
      </c>
    </row>
    <row r="3266" spans="1:4" x14ac:dyDescent="0.15">
      <c r="A3266" s="2" t="s">
        <v>39921</v>
      </c>
      <c r="B3266" s="2" t="s">
        <v>39920</v>
      </c>
      <c r="C3266" s="2">
        <v>2011</v>
      </c>
      <c r="D3266" s="2" t="s">
        <v>39927</v>
      </c>
    </row>
    <row r="3267" spans="1:4" x14ac:dyDescent="0.15">
      <c r="A3267" s="2" t="s">
        <v>39940</v>
      </c>
      <c r="B3267" s="2" t="s">
        <v>39939</v>
      </c>
      <c r="C3267" s="2">
        <v>2021</v>
      </c>
      <c r="D3267" s="2" t="s">
        <v>39946</v>
      </c>
    </row>
    <row r="3268" spans="1:4" x14ac:dyDescent="0.15">
      <c r="A3268" s="2" t="s">
        <v>39948</v>
      </c>
      <c r="B3268" s="2" t="s">
        <v>39947</v>
      </c>
      <c r="C3268" s="2">
        <v>2020</v>
      </c>
      <c r="D3268" s="2" t="s">
        <v>39952</v>
      </c>
    </row>
    <row r="3269" spans="1:4" x14ac:dyDescent="0.15">
      <c r="A3269" s="2" t="s">
        <v>39954</v>
      </c>
      <c r="B3269" s="2" t="s">
        <v>39953</v>
      </c>
      <c r="C3269" s="2">
        <v>2012</v>
      </c>
      <c r="D3269" s="2" t="s">
        <v>39959</v>
      </c>
    </row>
    <row r="3270" spans="1:4" x14ac:dyDescent="0.15">
      <c r="A3270" s="2" t="s">
        <v>39961</v>
      </c>
      <c r="B3270" s="2" t="s">
        <v>39960</v>
      </c>
      <c r="C3270" s="2">
        <v>2020</v>
      </c>
      <c r="D3270" s="2" t="s">
        <v>39965</v>
      </c>
    </row>
    <row r="3271" spans="1:4" x14ac:dyDescent="0.15">
      <c r="A3271" s="2" t="s">
        <v>39967</v>
      </c>
      <c r="B3271" s="2" t="s">
        <v>39966</v>
      </c>
      <c r="C3271" s="2">
        <v>2018</v>
      </c>
      <c r="D3271" s="2" t="s">
        <v>39972</v>
      </c>
    </row>
    <row r="3272" spans="1:4" x14ac:dyDescent="0.15">
      <c r="A3272" s="2" t="s">
        <v>39974</v>
      </c>
      <c r="B3272" s="2" t="s">
        <v>39973</v>
      </c>
      <c r="C3272" s="2">
        <v>2019</v>
      </c>
      <c r="D3272" s="2" t="s">
        <v>39978</v>
      </c>
    </row>
    <row r="3273" spans="1:4" x14ac:dyDescent="0.15">
      <c r="A3273" s="2" t="s">
        <v>39980</v>
      </c>
      <c r="B3273" s="2" t="s">
        <v>39979</v>
      </c>
      <c r="C3273" s="2">
        <v>2021</v>
      </c>
      <c r="D3273" s="2" t="s">
        <v>39983</v>
      </c>
    </row>
    <row r="3274" spans="1:4" x14ac:dyDescent="0.15">
      <c r="A3274" s="2" t="s">
        <v>39985</v>
      </c>
      <c r="B3274" s="2" t="s">
        <v>39984</v>
      </c>
      <c r="C3274" s="2">
        <v>2019</v>
      </c>
      <c r="D3274" s="2" t="s">
        <v>39989</v>
      </c>
    </row>
    <row r="3275" spans="1:4" x14ac:dyDescent="0.15">
      <c r="A3275" s="2" t="s">
        <v>39991</v>
      </c>
      <c r="B3275" s="2" t="s">
        <v>39990</v>
      </c>
      <c r="C3275" s="2">
        <v>2017</v>
      </c>
      <c r="D3275" s="2" t="s">
        <v>39996</v>
      </c>
    </row>
    <row r="3276" spans="1:4" x14ac:dyDescent="0.15">
      <c r="A3276" s="2" t="s">
        <v>39998</v>
      </c>
      <c r="B3276" s="2" t="s">
        <v>39997</v>
      </c>
      <c r="C3276" s="2">
        <v>2022</v>
      </c>
      <c r="D3276" s="2" t="s">
        <v>40002</v>
      </c>
    </row>
    <row r="3277" spans="1:4" x14ac:dyDescent="0.15">
      <c r="A3277" s="2" t="s">
        <v>40032</v>
      </c>
      <c r="B3277" s="2" t="s">
        <v>40031</v>
      </c>
      <c r="C3277" s="2">
        <v>2021</v>
      </c>
      <c r="D3277" s="2" t="s">
        <v>40036</v>
      </c>
    </row>
    <row r="3278" spans="1:4" x14ac:dyDescent="0.15">
      <c r="A3278" s="2" t="s">
        <v>40042</v>
      </c>
      <c r="B3278" s="2" t="s">
        <v>40041</v>
      </c>
      <c r="C3278" s="2">
        <v>2021</v>
      </c>
      <c r="D3278" s="2" t="s">
        <v>40047</v>
      </c>
    </row>
    <row r="3279" spans="1:4" x14ac:dyDescent="0.15">
      <c r="A3279" s="2" t="s">
        <v>40057</v>
      </c>
      <c r="B3279" s="2" t="s">
        <v>40056</v>
      </c>
      <c r="C3279" s="2">
        <v>2019</v>
      </c>
      <c r="D3279" s="2" t="s">
        <v>40062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2152"/>
  <sheetViews>
    <sheetView topLeftCell="BA1" workbookViewId="0">
      <selection activeCell="BN1" activeCellId="4" sqref="B1:B1048576 I1:I1048576 AU1:AU1048576 BE1:BE1048576 BN1:BN1048576"/>
    </sheetView>
  </sheetViews>
  <sheetFormatPr baseColWidth="10" defaultRowHeight="13" x14ac:dyDescent="0.15"/>
  <cols>
    <col min="1" max="33" width="8.83203125" customWidth="1"/>
    <col min="34" max="34" width="13" customWidth="1"/>
    <col min="35"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98</v>
      </c>
      <c r="B2" t="s">
        <v>28085</v>
      </c>
      <c r="C2" t="s">
        <v>74</v>
      </c>
      <c r="D2" t="s">
        <v>74</v>
      </c>
      <c r="E2" t="s">
        <v>74</v>
      </c>
      <c r="F2" t="s">
        <v>28086</v>
      </c>
      <c r="G2" t="s">
        <v>74</v>
      </c>
      <c r="H2" t="s">
        <v>74</v>
      </c>
      <c r="I2" t="s">
        <v>28087</v>
      </c>
      <c r="J2" t="s">
        <v>7376</v>
      </c>
      <c r="K2" t="s">
        <v>74</v>
      </c>
      <c r="L2" t="s">
        <v>74</v>
      </c>
      <c r="M2" t="s">
        <v>74</v>
      </c>
      <c r="N2" t="s">
        <v>103</v>
      </c>
      <c r="O2" t="s">
        <v>74</v>
      </c>
      <c r="P2" t="s">
        <v>74</v>
      </c>
      <c r="Q2" t="s">
        <v>74</v>
      </c>
      <c r="R2" t="s">
        <v>74</v>
      </c>
      <c r="S2" t="s">
        <v>74</v>
      </c>
      <c r="T2" t="s">
        <v>74</v>
      </c>
      <c r="U2" t="s">
        <v>28088</v>
      </c>
      <c r="V2" t="s">
        <v>28089</v>
      </c>
      <c r="W2" t="s">
        <v>28090</v>
      </c>
      <c r="X2" t="s">
        <v>28091</v>
      </c>
      <c r="Y2" t="s">
        <v>28092</v>
      </c>
      <c r="Z2" t="s">
        <v>28093</v>
      </c>
      <c r="AA2" t="s">
        <v>28094</v>
      </c>
      <c r="AB2" t="s">
        <v>28095</v>
      </c>
      <c r="AC2" t="s">
        <v>74</v>
      </c>
      <c r="AD2" t="s">
        <v>74</v>
      </c>
      <c r="AE2" t="s">
        <v>74</v>
      </c>
      <c r="AF2" t="s">
        <v>74</v>
      </c>
      <c r="AG2">
        <v>47</v>
      </c>
      <c r="AH2">
        <v>1433</v>
      </c>
      <c r="AI2">
        <v>1529</v>
      </c>
      <c r="AJ2">
        <v>39</v>
      </c>
      <c r="AK2">
        <v>639</v>
      </c>
      <c r="AL2" t="s">
        <v>74</v>
      </c>
      <c r="AM2" t="s">
        <v>74</v>
      </c>
      <c r="AN2" t="s">
        <v>74</v>
      </c>
      <c r="AO2" t="s">
        <v>7384</v>
      </c>
      <c r="AP2" t="s">
        <v>74</v>
      </c>
      <c r="AQ2" t="s">
        <v>74</v>
      </c>
      <c r="AR2" t="s">
        <v>74</v>
      </c>
      <c r="AS2" t="s">
        <v>74</v>
      </c>
      <c r="AT2" t="s">
        <v>7987</v>
      </c>
      <c r="AU2">
        <v>2012</v>
      </c>
      <c r="AV2">
        <v>490</v>
      </c>
      <c r="AW2">
        <v>7418</v>
      </c>
      <c r="AX2" t="s">
        <v>74</v>
      </c>
      <c r="AY2" t="s">
        <v>74</v>
      </c>
      <c r="AZ2" t="s">
        <v>74</v>
      </c>
      <c r="BA2" t="s">
        <v>74</v>
      </c>
      <c r="BB2">
        <v>49</v>
      </c>
      <c r="BC2">
        <v>54</v>
      </c>
      <c r="BD2" t="s">
        <v>74</v>
      </c>
      <c r="BE2" t="s">
        <v>28096</v>
      </c>
      <c r="BF2" t="str">
        <f>HYPERLINK("http://dx.doi.org/10.1038/nature11413","http://dx.doi.org/10.1038/nature11413")</f>
        <v>http://dx.doi.org/10.1038/nature11413</v>
      </c>
      <c r="BG2" t="s">
        <v>74</v>
      </c>
      <c r="BH2" t="s">
        <v>74</v>
      </c>
      <c r="BI2" t="s">
        <v>74</v>
      </c>
      <c r="BJ2" t="s">
        <v>152</v>
      </c>
      <c r="BK2" t="s">
        <v>117</v>
      </c>
      <c r="BL2" t="s">
        <v>153</v>
      </c>
      <c r="BM2" t="s">
        <v>74</v>
      </c>
      <c r="BN2">
        <v>22992520</v>
      </c>
      <c r="BO2" t="s">
        <v>74</v>
      </c>
      <c r="BP2" t="s">
        <v>193</v>
      </c>
      <c r="BQ2" t="s">
        <v>194</v>
      </c>
      <c r="BR2" t="s">
        <v>96</v>
      </c>
      <c r="BS2" t="s">
        <v>28097</v>
      </c>
      <c r="BT2" t="str">
        <f>HYPERLINK("https%3A%2F%2Fwww.webofscience.com%2Fwos%2Fwoscc%2Ffull-record%2FWOS:000309446800030","View Full Record in Web of Science")</f>
        <v>View Full Record in Web of Science</v>
      </c>
    </row>
    <row r="3" spans="1:72" x14ac:dyDescent="0.15">
      <c r="A3" t="s">
        <v>98</v>
      </c>
      <c r="B3" t="s">
        <v>8746</v>
      </c>
      <c r="C3" t="s">
        <v>74</v>
      </c>
      <c r="D3" t="s">
        <v>74</v>
      </c>
      <c r="E3" t="s">
        <v>74</v>
      </c>
      <c r="F3" t="s">
        <v>8747</v>
      </c>
      <c r="G3" t="s">
        <v>74</v>
      </c>
      <c r="H3" t="s">
        <v>74</v>
      </c>
      <c r="I3" t="s">
        <v>8748</v>
      </c>
      <c r="J3" t="s">
        <v>658</v>
      </c>
      <c r="K3" t="s">
        <v>74</v>
      </c>
      <c r="L3" t="s">
        <v>74</v>
      </c>
      <c r="M3" t="s">
        <v>74</v>
      </c>
      <c r="N3" t="s">
        <v>103</v>
      </c>
      <c r="O3" t="s">
        <v>74</v>
      </c>
      <c r="P3" t="s">
        <v>74</v>
      </c>
      <c r="Q3" t="s">
        <v>74</v>
      </c>
      <c r="R3" t="s">
        <v>74</v>
      </c>
      <c r="S3" t="s">
        <v>74</v>
      </c>
      <c r="T3" t="s">
        <v>8749</v>
      </c>
      <c r="U3" t="s">
        <v>8750</v>
      </c>
      <c r="V3" t="s">
        <v>8751</v>
      </c>
      <c r="W3" t="s">
        <v>8752</v>
      </c>
      <c r="X3" t="s">
        <v>8753</v>
      </c>
      <c r="Y3" t="s">
        <v>8754</v>
      </c>
      <c r="Z3" t="s">
        <v>8755</v>
      </c>
      <c r="AA3" t="s">
        <v>8756</v>
      </c>
      <c r="AB3" t="s">
        <v>8757</v>
      </c>
      <c r="AC3" t="s">
        <v>74</v>
      </c>
      <c r="AD3" t="s">
        <v>74</v>
      </c>
      <c r="AE3" t="s">
        <v>74</v>
      </c>
      <c r="AF3" t="s">
        <v>74</v>
      </c>
      <c r="AG3">
        <v>35</v>
      </c>
      <c r="AH3">
        <v>1127</v>
      </c>
      <c r="AI3">
        <v>1185</v>
      </c>
      <c r="AJ3">
        <v>4</v>
      </c>
      <c r="AK3">
        <v>147</v>
      </c>
      <c r="AL3" t="s">
        <v>74</v>
      </c>
      <c r="AM3" t="s">
        <v>74</v>
      </c>
      <c r="AN3" t="s">
        <v>74</v>
      </c>
      <c r="AO3" t="s">
        <v>668</v>
      </c>
      <c r="AP3" t="s">
        <v>74</v>
      </c>
      <c r="AQ3" t="s">
        <v>74</v>
      </c>
      <c r="AR3" t="s">
        <v>74</v>
      </c>
      <c r="AS3" t="s">
        <v>74</v>
      </c>
      <c r="AT3" t="s">
        <v>4495</v>
      </c>
      <c r="AU3">
        <v>2010</v>
      </c>
      <c r="AV3">
        <v>107</v>
      </c>
      <c r="AW3">
        <v>14</v>
      </c>
      <c r="AX3" t="s">
        <v>74</v>
      </c>
      <c r="AY3" t="s">
        <v>74</v>
      </c>
      <c r="AZ3" t="s">
        <v>74</v>
      </c>
      <c r="BA3" t="s">
        <v>74</v>
      </c>
      <c r="BB3">
        <v>6328</v>
      </c>
      <c r="BC3">
        <v>6333</v>
      </c>
      <c r="BD3" t="s">
        <v>74</v>
      </c>
      <c r="BE3" t="s">
        <v>8758</v>
      </c>
      <c r="BF3" t="str">
        <f>HYPERLINK("http://dx.doi.org/10.1073/pnas.0914843107","http://dx.doi.org/10.1073/pnas.0914843107")</f>
        <v>http://dx.doi.org/10.1073/pnas.0914843107</v>
      </c>
      <c r="BG3" t="s">
        <v>74</v>
      </c>
      <c r="BH3" t="s">
        <v>74</v>
      </c>
      <c r="BI3" t="s">
        <v>74</v>
      </c>
      <c r="BJ3" t="s">
        <v>152</v>
      </c>
      <c r="BK3" t="s">
        <v>117</v>
      </c>
      <c r="BL3" t="s">
        <v>153</v>
      </c>
      <c r="BM3" t="s">
        <v>74</v>
      </c>
      <c r="BN3">
        <v>20304794</v>
      </c>
      <c r="BO3" t="s">
        <v>74</v>
      </c>
      <c r="BP3" t="s">
        <v>74</v>
      </c>
      <c r="BQ3" t="s">
        <v>74</v>
      </c>
      <c r="BR3" t="s">
        <v>96</v>
      </c>
      <c r="BS3" t="s">
        <v>8759</v>
      </c>
      <c r="BT3" t="str">
        <f>HYPERLINK("https%3A%2F%2Fwww.webofscience.com%2Fwos%2Fwoscc%2Ffull-record%2FWOS:000276374400038","View Full Record in Web of Science")</f>
        <v>View Full Record in Web of Science</v>
      </c>
    </row>
    <row r="4" spans="1:72" x14ac:dyDescent="0.15">
      <c r="A4" t="s">
        <v>98</v>
      </c>
      <c r="B4" t="s">
        <v>26666</v>
      </c>
      <c r="C4" t="s">
        <v>74</v>
      </c>
      <c r="D4" t="s">
        <v>74</v>
      </c>
      <c r="E4" t="s">
        <v>74</v>
      </c>
      <c r="F4" t="s">
        <v>26667</v>
      </c>
      <c r="G4" t="s">
        <v>74</v>
      </c>
      <c r="H4" t="s">
        <v>74</v>
      </c>
      <c r="I4" t="s">
        <v>26668</v>
      </c>
      <c r="J4" t="s">
        <v>381</v>
      </c>
      <c r="K4" t="s">
        <v>74</v>
      </c>
      <c r="L4" t="s">
        <v>74</v>
      </c>
      <c r="M4" t="s">
        <v>74</v>
      </c>
      <c r="N4" t="s">
        <v>103</v>
      </c>
      <c r="O4" t="s">
        <v>74</v>
      </c>
      <c r="P4" t="s">
        <v>74</v>
      </c>
      <c r="Q4" t="s">
        <v>74</v>
      </c>
      <c r="R4" t="s">
        <v>74</v>
      </c>
      <c r="S4" t="s">
        <v>74</v>
      </c>
      <c r="T4" t="s">
        <v>26669</v>
      </c>
      <c r="U4" t="s">
        <v>26670</v>
      </c>
      <c r="V4" t="s">
        <v>26671</v>
      </c>
      <c r="W4" t="s">
        <v>26672</v>
      </c>
      <c r="X4" t="s">
        <v>23533</v>
      </c>
      <c r="Y4" t="s">
        <v>26673</v>
      </c>
      <c r="Z4" t="s">
        <v>26674</v>
      </c>
      <c r="AA4" t="s">
        <v>26675</v>
      </c>
      <c r="AB4" t="s">
        <v>26676</v>
      </c>
      <c r="AC4" t="s">
        <v>74</v>
      </c>
      <c r="AD4" t="s">
        <v>74</v>
      </c>
      <c r="AE4" t="s">
        <v>74</v>
      </c>
      <c r="AF4" t="s">
        <v>74</v>
      </c>
      <c r="AG4">
        <v>105</v>
      </c>
      <c r="AH4">
        <v>1018</v>
      </c>
      <c r="AI4">
        <v>1045</v>
      </c>
      <c r="AJ4">
        <v>55</v>
      </c>
      <c r="AK4">
        <v>1118</v>
      </c>
      <c r="AL4" t="s">
        <v>74</v>
      </c>
      <c r="AM4" t="s">
        <v>74</v>
      </c>
      <c r="AN4" t="s">
        <v>74</v>
      </c>
      <c r="AO4" t="s">
        <v>391</v>
      </c>
      <c r="AP4" t="s">
        <v>392</v>
      </c>
      <c r="AQ4" t="s">
        <v>74</v>
      </c>
      <c r="AR4" t="s">
        <v>74</v>
      </c>
      <c r="AS4" t="s">
        <v>74</v>
      </c>
      <c r="AT4" t="s">
        <v>17037</v>
      </c>
      <c r="AU4">
        <v>2011</v>
      </c>
      <c r="AV4">
        <v>152</v>
      </c>
      <c r="AW4">
        <v>1</v>
      </c>
      <c r="AX4" t="s">
        <v>74</v>
      </c>
      <c r="AY4" t="s">
        <v>74</v>
      </c>
      <c r="AZ4" t="s">
        <v>447</v>
      </c>
      <c r="BA4" t="s">
        <v>74</v>
      </c>
      <c r="BB4">
        <v>2</v>
      </c>
      <c r="BC4">
        <v>12</v>
      </c>
      <c r="BD4" t="s">
        <v>74</v>
      </c>
      <c r="BE4" t="s">
        <v>26677</v>
      </c>
      <c r="BF4" t="str">
        <f>HYPERLINK("http://dx.doi.org/10.1016/j.jconrel.2011.01.030","http://dx.doi.org/10.1016/j.jconrel.2011.01.030")</f>
        <v>http://dx.doi.org/10.1016/j.jconrel.2011.01.030</v>
      </c>
      <c r="BG4" t="s">
        <v>74</v>
      </c>
      <c r="BH4" t="s">
        <v>74</v>
      </c>
      <c r="BI4" t="s">
        <v>74</v>
      </c>
      <c r="BJ4" t="s">
        <v>396</v>
      </c>
      <c r="BK4" t="s">
        <v>117</v>
      </c>
      <c r="BL4" t="s">
        <v>397</v>
      </c>
      <c r="BM4" t="s">
        <v>74</v>
      </c>
      <c r="BN4">
        <v>21295087</v>
      </c>
      <c r="BO4" t="s">
        <v>74</v>
      </c>
      <c r="BP4" t="s">
        <v>74</v>
      </c>
      <c r="BQ4" t="s">
        <v>74</v>
      </c>
      <c r="BR4" t="s">
        <v>96</v>
      </c>
      <c r="BS4" t="s">
        <v>26678</v>
      </c>
      <c r="BT4" t="str">
        <f>HYPERLINK("https%3A%2F%2Fwww.webofscience.com%2Fwos%2Fwoscc%2Ffull-record%2FWOS:000292718200002","View Full Record in Web of Science")</f>
        <v>View Full Record in Web of Science</v>
      </c>
    </row>
    <row r="5" spans="1:72" x14ac:dyDescent="0.15">
      <c r="A5" t="s">
        <v>98</v>
      </c>
      <c r="B5" t="s">
        <v>5216</v>
      </c>
      <c r="C5" t="s">
        <v>74</v>
      </c>
      <c r="D5" t="s">
        <v>74</v>
      </c>
      <c r="E5" t="s">
        <v>74</v>
      </c>
      <c r="F5" t="s">
        <v>5217</v>
      </c>
      <c r="G5" t="s">
        <v>74</v>
      </c>
      <c r="H5" t="s">
        <v>74</v>
      </c>
      <c r="I5" t="s">
        <v>5218</v>
      </c>
      <c r="J5" t="s">
        <v>5219</v>
      </c>
      <c r="K5" t="s">
        <v>74</v>
      </c>
      <c r="L5" t="s">
        <v>74</v>
      </c>
      <c r="M5" t="s">
        <v>74</v>
      </c>
      <c r="N5" t="s">
        <v>103</v>
      </c>
      <c r="O5" t="s">
        <v>74</v>
      </c>
      <c r="P5" t="s">
        <v>74</v>
      </c>
      <c r="Q5" t="s">
        <v>74</v>
      </c>
      <c r="R5" t="s">
        <v>74</v>
      </c>
      <c r="S5" t="s">
        <v>74</v>
      </c>
      <c r="T5" t="s">
        <v>74</v>
      </c>
      <c r="U5" t="s">
        <v>5220</v>
      </c>
      <c r="V5" t="s">
        <v>5221</v>
      </c>
      <c r="W5" t="s">
        <v>5222</v>
      </c>
      <c r="X5" t="s">
        <v>5223</v>
      </c>
      <c r="Y5" t="s">
        <v>5224</v>
      </c>
      <c r="Z5" t="s">
        <v>5225</v>
      </c>
      <c r="AA5" t="s">
        <v>5226</v>
      </c>
      <c r="AB5" t="s">
        <v>5227</v>
      </c>
      <c r="AC5" t="s">
        <v>74</v>
      </c>
      <c r="AD5" t="s">
        <v>74</v>
      </c>
      <c r="AE5" t="s">
        <v>74</v>
      </c>
      <c r="AF5" t="s">
        <v>74</v>
      </c>
      <c r="AG5">
        <v>56</v>
      </c>
      <c r="AH5">
        <v>984</v>
      </c>
      <c r="AI5">
        <v>1020</v>
      </c>
      <c r="AJ5">
        <v>79</v>
      </c>
      <c r="AK5">
        <v>531</v>
      </c>
      <c r="AL5" t="s">
        <v>74</v>
      </c>
      <c r="AM5" t="s">
        <v>74</v>
      </c>
      <c r="AN5" t="s">
        <v>74</v>
      </c>
      <c r="AO5" t="s">
        <v>5228</v>
      </c>
      <c r="AP5" t="s">
        <v>5229</v>
      </c>
      <c r="AQ5" t="s">
        <v>74</v>
      </c>
      <c r="AR5" t="s">
        <v>74</v>
      </c>
      <c r="AS5" t="s">
        <v>74</v>
      </c>
      <c r="AT5" t="s">
        <v>3597</v>
      </c>
      <c r="AU5">
        <v>2019</v>
      </c>
      <c r="AV5">
        <v>177</v>
      </c>
      <c r="AW5">
        <v>2</v>
      </c>
      <c r="AX5" t="s">
        <v>74</v>
      </c>
      <c r="AY5" t="s">
        <v>74</v>
      </c>
      <c r="AZ5" t="s">
        <v>74</v>
      </c>
      <c r="BA5" t="s">
        <v>74</v>
      </c>
      <c r="BB5">
        <v>428</v>
      </c>
      <c r="BC5" t="s">
        <v>3390</v>
      </c>
      <c r="BD5" t="s">
        <v>74</v>
      </c>
      <c r="BE5" t="s">
        <v>5230</v>
      </c>
      <c r="BF5" t="str">
        <f>HYPERLINK("http://dx.doi.org/10.1016/j.cell.2019.02.029","http://dx.doi.org/10.1016/j.cell.2019.02.029")</f>
        <v>http://dx.doi.org/10.1016/j.cell.2019.02.029</v>
      </c>
      <c r="BG5" t="s">
        <v>74</v>
      </c>
      <c r="BH5" t="s">
        <v>74</v>
      </c>
      <c r="BI5" t="s">
        <v>74</v>
      </c>
      <c r="BJ5" t="s">
        <v>498</v>
      </c>
      <c r="BK5" t="s">
        <v>117</v>
      </c>
      <c r="BL5" t="s">
        <v>498</v>
      </c>
      <c r="BM5" t="s">
        <v>74</v>
      </c>
      <c r="BN5">
        <v>30951670</v>
      </c>
      <c r="BO5" t="s">
        <v>74</v>
      </c>
      <c r="BP5" t="s">
        <v>193</v>
      </c>
      <c r="BQ5" t="s">
        <v>194</v>
      </c>
      <c r="BR5" t="s">
        <v>96</v>
      </c>
      <c r="BS5" t="s">
        <v>5231</v>
      </c>
      <c r="BT5" t="str">
        <f>HYPERLINK("https%3A%2F%2Fwww.webofscience.com%2Fwos%2Fwoscc%2Ffull-record%2FWOS:000463346200020","View Full Record in Web of Science")</f>
        <v>View Full Record in Web of Science</v>
      </c>
    </row>
    <row r="6" spans="1:72" x14ac:dyDescent="0.15">
      <c r="A6" t="s">
        <v>98</v>
      </c>
      <c r="B6" t="s">
        <v>24779</v>
      </c>
      <c r="C6" t="s">
        <v>74</v>
      </c>
      <c r="D6" t="s">
        <v>74</v>
      </c>
      <c r="E6" t="s">
        <v>74</v>
      </c>
      <c r="F6" t="s">
        <v>24780</v>
      </c>
      <c r="G6" t="s">
        <v>74</v>
      </c>
      <c r="H6" t="s">
        <v>74</v>
      </c>
      <c r="I6" t="s">
        <v>24781</v>
      </c>
      <c r="J6" t="s">
        <v>24782</v>
      </c>
      <c r="K6" t="s">
        <v>74</v>
      </c>
      <c r="L6" t="s">
        <v>74</v>
      </c>
      <c r="M6" t="s">
        <v>74</v>
      </c>
      <c r="N6" t="s">
        <v>103</v>
      </c>
      <c r="O6" t="s">
        <v>74</v>
      </c>
      <c r="P6" t="s">
        <v>74</v>
      </c>
      <c r="Q6" t="s">
        <v>74</v>
      </c>
      <c r="R6" t="s">
        <v>74</v>
      </c>
      <c r="S6" t="s">
        <v>74</v>
      </c>
      <c r="T6" t="s">
        <v>74</v>
      </c>
      <c r="U6" t="s">
        <v>24783</v>
      </c>
      <c r="V6" t="s">
        <v>24784</v>
      </c>
      <c r="W6" t="s">
        <v>24785</v>
      </c>
      <c r="X6" t="s">
        <v>24786</v>
      </c>
      <c r="Y6" t="s">
        <v>24787</v>
      </c>
      <c r="Z6" t="s">
        <v>24788</v>
      </c>
      <c r="AA6" t="s">
        <v>74</v>
      </c>
      <c r="AB6" t="s">
        <v>24789</v>
      </c>
      <c r="AC6" t="s">
        <v>74</v>
      </c>
      <c r="AD6" t="s">
        <v>74</v>
      </c>
      <c r="AE6" t="s">
        <v>74</v>
      </c>
      <c r="AF6" t="s">
        <v>74</v>
      </c>
      <c r="AG6">
        <v>40</v>
      </c>
      <c r="AH6">
        <v>845</v>
      </c>
      <c r="AI6">
        <v>876</v>
      </c>
      <c r="AJ6">
        <v>29</v>
      </c>
      <c r="AK6">
        <v>198</v>
      </c>
      <c r="AL6" t="s">
        <v>74</v>
      </c>
      <c r="AM6" t="s">
        <v>74</v>
      </c>
      <c r="AN6" t="s">
        <v>74</v>
      </c>
      <c r="AO6" t="s">
        <v>24790</v>
      </c>
      <c r="AP6" t="s">
        <v>24791</v>
      </c>
      <c r="AQ6" t="s">
        <v>74</v>
      </c>
      <c r="AR6" t="s">
        <v>74</v>
      </c>
      <c r="AS6" t="s">
        <v>74</v>
      </c>
      <c r="AT6" t="s">
        <v>1029</v>
      </c>
      <c r="AU6">
        <v>2012</v>
      </c>
      <c r="AV6">
        <v>18</v>
      </c>
      <c r="AW6">
        <v>5</v>
      </c>
      <c r="AX6" t="s">
        <v>74</v>
      </c>
      <c r="AY6" t="s">
        <v>74</v>
      </c>
      <c r="AZ6" t="s">
        <v>74</v>
      </c>
      <c r="BA6" t="s">
        <v>74</v>
      </c>
      <c r="BB6">
        <v>759</v>
      </c>
      <c r="BC6" t="s">
        <v>24792</v>
      </c>
      <c r="BD6" t="s">
        <v>74</v>
      </c>
      <c r="BE6" t="s">
        <v>24793</v>
      </c>
      <c r="BF6" t="str">
        <f>HYPERLINK("http://dx.doi.org/10.1038/nm.2736","http://dx.doi.org/10.1038/nm.2736")</f>
        <v>http://dx.doi.org/10.1038/nm.2736</v>
      </c>
      <c r="BG6" t="s">
        <v>74</v>
      </c>
      <c r="BH6" t="s">
        <v>74</v>
      </c>
      <c r="BI6" t="s">
        <v>74</v>
      </c>
      <c r="BJ6" t="s">
        <v>24794</v>
      </c>
      <c r="BK6" t="s">
        <v>117</v>
      </c>
      <c r="BL6" t="s">
        <v>24795</v>
      </c>
      <c r="BM6" t="s">
        <v>74</v>
      </c>
      <c r="BN6">
        <v>22504485</v>
      </c>
      <c r="BO6" t="s">
        <v>74</v>
      </c>
      <c r="BP6" t="s">
        <v>193</v>
      </c>
      <c r="BQ6" t="s">
        <v>194</v>
      </c>
      <c r="BR6" t="s">
        <v>96</v>
      </c>
      <c r="BS6" t="s">
        <v>24796</v>
      </c>
      <c r="BT6" t="str">
        <f>HYPERLINK("https%3A%2F%2Fwww.webofscience.com%2Fwos%2Fwoscc%2Ffull-record%2FWOS:000303763500043","View Full Record in Web of Science")</f>
        <v>View Full Record in Web of Science</v>
      </c>
    </row>
    <row r="7" spans="1:72" x14ac:dyDescent="0.15">
      <c r="A7" t="s">
        <v>98</v>
      </c>
      <c r="B7" t="s">
        <v>25268</v>
      </c>
      <c r="C7" t="s">
        <v>74</v>
      </c>
      <c r="D7" t="s">
        <v>74</v>
      </c>
      <c r="E7" t="s">
        <v>74</v>
      </c>
      <c r="F7" t="s">
        <v>25269</v>
      </c>
      <c r="G7" t="s">
        <v>74</v>
      </c>
      <c r="H7" t="s">
        <v>74</v>
      </c>
      <c r="I7" t="s">
        <v>25270</v>
      </c>
      <c r="J7" t="s">
        <v>7376</v>
      </c>
      <c r="K7" t="s">
        <v>74</v>
      </c>
      <c r="L7" t="s">
        <v>74</v>
      </c>
      <c r="M7" t="s">
        <v>74</v>
      </c>
      <c r="N7" t="s">
        <v>103</v>
      </c>
      <c r="O7" t="s">
        <v>74</v>
      </c>
      <c r="P7" t="s">
        <v>74</v>
      </c>
      <c r="Q7" t="s">
        <v>74</v>
      </c>
      <c r="R7" t="s">
        <v>74</v>
      </c>
      <c r="S7" t="s">
        <v>74</v>
      </c>
      <c r="T7" t="s">
        <v>74</v>
      </c>
      <c r="U7" t="s">
        <v>25271</v>
      </c>
      <c r="V7" t="s">
        <v>25272</v>
      </c>
      <c r="W7" t="s">
        <v>25273</v>
      </c>
      <c r="X7" t="s">
        <v>25274</v>
      </c>
      <c r="Y7" t="s">
        <v>25275</v>
      </c>
      <c r="Z7" t="s">
        <v>25276</v>
      </c>
      <c r="AA7" t="s">
        <v>25277</v>
      </c>
      <c r="AB7" t="s">
        <v>25278</v>
      </c>
      <c r="AC7" t="s">
        <v>74</v>
      </c>
      <c r="AD7" t="s">
        <v>74</v>
      </c>
      <c r="AE7" t="s">
        <v>74</v>
      </c>
      <c r="AF7" t="s">
        <v>74</v>
      </c>
      <c r="AG7">
        <v>30</v>
      </c>
      <c r="AH7">
        <v>768</v>
      </c>
      <c r="AI7">
        <v>795</v>
      </c>
      <c r="AJ7">
        <v>5</v>
      </c>
      <c r="AK7">
        <v>61</v>
      </c>
      <c r="AL7" t="s">
        <v>74</v>
      </c>
      <c r="AM7" t="s">
        <v>74</v>
      </c>
      <c r="AN7" t="s">
        <v>74</v>
      </c>
      <c r="AO7" t="s">
        <v>7384</v>
      </c>
      <c r="AP7" t="s">
        <v>74</v>
      </c>
      <c r="AQ7" t="s">
        <v>74</v>
      </c>
      <c r="AR7" t="s">
        <v>74</v>
      </c>
      <c r="AS7" t="s">
        <v>74</v>
      </c>
      <c r="AT7" t="s">
        <v>1134</v>
      </c>
      <c r="AU7">
        <v>2007</v>
      </c>
      <c r="AV7">
        <v>450</v>
      </c>
      <c r="AW7">
        <v>7168</v>
      </c>
      <c r="AX7" t="s">
        <v>74</v>
      </c>
      <c r="AY7" t="s">
        <v>74</v>
      </c>
      <c r="AZ7" t="s">
        <v>74</v>
      </c>
      <c r="BA7" t="s">
        <v>74</v>
      </c>
      <c r="BB7">
        <v>435</v>
      </c>
      <c r="BC7">
        <v>439</v>
      </c>
      <c r="BD7" t="s">
        <v>74</v>
      </c>
      <c r="BE7" t="s">
        <v>25279</v>
      </c>
      <c r="BF7" t="str">
        <f>HYPERLINK("http://dx.doi.org/10.1038/nature06307","http://dx.doi.org/10.1038/nature06307")</f>
        <v>http://dx.doi.org/10.1038/nature06307</v>
      </c>
      <c r="BG7" t="s">
        <v>74</v>
      </c>
      <c r="BH7" t="s">
        <v>74</v>
      </c>
      <c r="BI7" t="s">
        <v>74</v>
      </c>
      <c r="BJ7" t="s">
        <v>152</v>
      </c>
      <c r="BK7" t="s">
        <v>117</v>
      </c>
      <c r="BL7" t="s">
        <v>153</v>
      </c>
      <c r="BM7" t="s">
        <v>74</v>
      </c>
      <c r="BN7">
        <v>17960135</v>
      </c>
      <c r="BO7" t="s">
        <v>74</v>
      </c>
      <c r="BP7" t="s">
        <v>74</v>
      </c>
      <c r="BQ7" t="s">
        <v>74</v>
      </c>
      <c r="BR7" t="s">
        <v>96</v>
      </c>
      <c r="BS7" t="s">
        <v>25280</v>
      </c>
      <c r="BT7" t="str">
        <f>HYPERLINK("https%3A%2F%2Fwww.webofscience.com%2Fwos%2Fwoscc%2Ffull-record%2FWOS:000250918600058","View Full Record in Web of Science")</f>
        <v>View Full Record in Web of Science</v>
      </c>
    </row>
    <row r="8" spans="1:72" x14ac:dyDescent="0.15">
      <c r="A8" t="s">
        <v>98</v>
      </c>
      <c r="B8" t="s">
        <v>9912</v>
      </c>
      <c r="C8" t="s">
        <v>74</v>
      </c>
      <c r="D8" t="s">
        <v>74</v>
      </c>
      <c r="E8" t="s">
        <v>74</v>
      </c>
      <c r="F8" t="s">
        <v>9913</v>
      </c>
      <c r="G8" t="s">
        <v>74</v>
      </c>
      <c r="H8" t="s">
        <v>74</v>
      </c>
      <c r="I8" t="s">
        <v>9914</v>
      </c>
      <c r="J8" t="s">
        <v>5139</v>
      </c>
      <c r="K8" t="s">
        <v>74</v>
      </c>
      <c r="L8" t="s">
        <v>74</v>
      </c>
      <c r="M8" t="s">
        <v>74</v>
      </c>
      <c r="N8" t="s">
        <v>103</v>
      </c>
      <c r="O8" t="s">
        <v>74</v>
      </c>
      <c r="P8" t="s">
        <v>74</v>
      </c>
      <c r="Q8" t="s">
        <v>74</v>
      </c>
      <c r="R8" t="s">
        <v>74</v>
      </c>
      <c r="S8" t="s">
        <v>74</v>
      </c>
      <c r="T8" t="s">
        <v>74</v>
      </c>
      <c r="U8" t="s">
        <v>9915</v>
      </c>
      <c r="V8" t="s">
        <v>9916</v>
      </c>
      <c r="W8" t="s">
        <v>9917</v>
      </c>
      <c r="X8" t="s">
        <v>9918</v>
      </c>
      <c r="Y8" t="s">
        <v>9919</v>
      </c>
      <c r="Z8" t="s">
        <v>9920</v>
      </c>
      <c r="AA8" t="s">
        <v>74</v>
      </c>
      <c r="AB8" t="s">
        <v>9921</v>
      </c>
      <c r="AC8" t="s">
        <v>74</v>
      </c>
      <c r="AD8" t="s">
        <v>74</v>
      </c>
      <c r="AE8" t="s">
        <v>74</v>
      </c>
      <c r="AF8" t="s">
        <v>74</v>
      </c>
      <c r="AG8">
        <v>60</v>
      </c>
      <c r="AH8">
        <v>729</v>
      </c>
      <c r="AI8">
        <v>754</v>
      </c>
      <c r="AJ8">
        <v>8</v>
      </c>
      <c r="AK8">
        <v>103</v>
      </c>
      <c r="AL8" t="s">
        <v>74</v>
      </c>
      <c r="AM8" t="s">
        <v>74</v>
      </c>
      <c r="AN8" t="s">
        <v>74</v>
      </c>
      <c r="AO8" t="s">
        <v>5148</v>
      </c>
      <c r="AP8" t="s">
        <v>74</v>
      </c>
      <c r="AQ8" t="s">
        <v>74</v>
      </c>
      <c r="AR8" t="s">
        <v>74</v>
      </c>
      <c r="AS8" t="s">
        <v>74</v>
      </c>
      <c r="AT8" t="s">
        <v>283</v>
      </c>
      <c r="AU8">
        <v>2011</v>
      </c>
      <c r="AV8">
        <v>2</v>
      </c>
      <c r="AW8" t="s">
        <v>74</v>
      </c>
      <c r="AX8" t="s">
        <v>74</v>
      </c>
      <c r="AY8" t="s">
        <v>74</v>
      </c>
      <c r="AZ8" t="s">
        <v>74</v>
      </c>
      <c r="BA8" t="s">
        <v>74</v>
      </c>
      <c r="BB8" t="s">
        <v>74</v>
      </c>
      <c r="BC8" t="s">
        <v>74</v>
      </c>
      <c r="BD8">
        <v>180</v>
      </c>
      <c r="BE8" t="s">
        <v>9922</v>
      </c>
      <c r="BF8" t="str">
        <f>HYPERLINK("http://dx.doi.org/10.1038/ncomms1180","http://dx.doi.org/10.1038/ncomms1180")</f>
        <v>http://dx.doi.org/10.1038/ncomms1180</v>
      </c>
      <c r="BG8" t="s">
        <v>74</v>
      </c>
      <c r="BH8" t="s">
        <v>74</v>
      </c>
      <c r="BI8" t="s">
        <v>74</v>
      </c>
      <c r="BJ8" t="s">
        <v>152</v>
      </c>
      <c r="BK8" t="s">
        <v>117</v>
      </c>
      <c r="BL8" t="s">
        <v>153</v>
      </c>
      <c r="BM8" t="s">
        <v>74</v>
      </c>
      <c r="BN8">
        <v>21285958</v>
      </c>
      <c r="BO8" t="s">
        <v>74</v>
      </c>
      <c r="BP8" t="s">
        <v>74</v>
      </c>
      <c r="BQ8" t="s">
        <v>74</v>
      </c>
      <c r="BR8" t="s">
        <v>96</v>
      </c>
      <c r="BS8" t="s">
        <v>9923</v>
      </c>
      <c r="BT8" t="str">
        <f>HYPERLINK("https%3A%2F%2Fwww.webofscience.com%2Fwos%2Fwoscc%2Ffull-record%2FWOS:000288225900009","View Full Record in Web of Science")</f>
        <v>View Full Record in Web of Science</v>
      </c>
    </row>
    <row r="9" spans="1:72" x14ac:dyDescent="0.15">
      <c r="A9" t="s">
        <v>98</v>
      </c>
      <c r="B9" t="s">
        <v>8480</v>
      </c>
      <c r="C9" t="s">
        <v>74</v>
      </c>
      <c r="D9" t="s">
        <v>74</v>
      </c>
      <c r="E9" t="s">
        <v>74</v>
      </c>
      <c r="F9" t="s">
        <v>8481</v>
      </c>
      <c r="G9" t="s">
        <v>74</v>
      </c>
      <c r="H9" t="s">
        <v>74</v>
      </c>
      <c r="I9" t="s">
        <v>8482</v>
      </c>
      <c r="J9" t="s">
        <v>8483</v>
      </c>
      <c r="K9" t="s">
        <v>74</v>
      </c>
      <c r="L9" t="s">
        <v>74</v>
      </c>
      <c r="M9" t="s">
        <v>74</v>
      </c>
      <c r="N9" t="s">
        <v>103</v>
      </c>
      <c r="O9" t="s">
        <v>74</v>
      </c>
      <c r="P9" t="s">
        <v>74</v>
      </c>
      <c r="Q9" t="s">
        <v>74</v>
      </c>
      <c r="R9" t="s">
        <v>74</v>
      </c>
      <c r="S9" t="s">
        <v>74</v>
      </c>
      <c r="T9" t="s">
        <v>74</v>
      </c>
      <c r="U9" t="s">
        <v>8484</v>
      </c>
      <c r="V9" t="s">
        <v>8485</v>
      </c>
      <c r="W9" t="s">
        <v>8486</v>
      </c>
      <c r="X9" t="s">
        <v>8487</v>
      </c>
      <c r="Y9" t="s">
        <v>8488</v>
      </c>
      <c r="Z9" t="s">
        <v>8489</v>
      </c>
      <c r="AA9" t="s">
        <v>8490</v>
      </c>
      <c r="AB9" t="s">
        <v>8491</v>
      </c>
      <c r="AC9" t="s">
        <v>74</v>
      </c>
      <c r="AD9" t="s">
        <v>74</v>
      </c>
      <c r="AE9" t="s">
        <v>74</v>
      </c>
      <c r="AF9" t="s">
        <v>74</v>
      </c>
      <c r="AG9">
        <v>54</v>
      </c>
      <c r="AH9">
        <v>662</v>
      </c>
      <c r="AI9">
        <v>671</v>
      </c>
      <c r="AJ9">
        <v>51</v>
      </c>
      <c r="AK9">
        <v>397</v>
      </c>
      <c r="AL9" t="s">
        <v>74</v>
      </c>
      <c r="AM9" t="s">
        <v>74</v>
      </c>
      <c r="AN9" t="s">
        <v>74</v>
      </c>
      <c r="AO9" t="s">
        <v>8492</v>
      </c>
      <c r="AP9" t="s">
        <v>8493</v>
      </c>
      <c r="AQ9" t="s">
        <v>74</v>
      </c>
      <c r="AR9" t="s">
        <v>74</v>
      </c>
      <c r="AS9" t="s">
        <v>74</v>
      </c>
      <c r="AT9" t="s">
        <v>565</v>
      </c>
      <c r="AU9">
        <v>2018</v>
      </c>
      <c r="AV9">
        <v>20</v>
      </c>
      <c r="AW9">
        <v>3</v>
      </c>
      <c r="AX9" t="s">
        <v>74</v>
      </c>
      <c r="AY9" t="s">
        <v>74</v>
      </c>
      <c r="AZ9" t="s">
        <v>74</v>
      </c>
      <c r="BA9" t="s">
        <v>74</v>
      </c>
      <c r="BB9">
        <v>332</v>
      </c>
      <c r="BC9" t="s">
        <v>3390</v>
      </c>
      <c r="BD9" t="s">
        <v>74</v>
      </c>
      <c r="BE9" t="s">
        <v>8494</v>
      </c>
      <c r="BF9" t="str">
        <f>HYPERLINK("http://dx.doi.org/10.1038/s41556-018-0040-4","http://dx.doi.org/10.1038/s41556-018-0040-4")</f>
        <v>http://dx.doi.org/10.1038/s41556-018-0040-4</v>
      </c>
      <c r="BG9" t="s">
        <v>74</v>
      </c>
      <c r="BH9" t="s">
        <v>74</v>
      </c>
      <c r="BI9" t="s">
        <v>74</v>
      </c>
      <c r="BJ9" t="s">
        <v>135</v>
      </c>
      <c r="BK9" t="s">
        <v>117</v>
      </c>
      <c r="BL9" t="s">
        <v>135</v>
      </c>
      <c r="BM9" t="s">
        <v>74</v>
      </c>
      <c r="BN9">
        <v>29459780</v>
      </c>
      <c r="BO9" t="s">
        <v>74</v>
      </c>
      <c r="BP9" t="s">
        <v>193</v>
      </c>
      <c r="BQ9" t="s">
        <v>194</v>
      </c>
      <c r="BR9" t="s">
        <v>96</v>
      </c>
      <c r="BS9" t="s">
        <v>8495</v>
      </c>
      <c r="BT9" t="str">
        <f>HYPERLINK("https%3A%2F%2Fwww.webofscience.com%2Fwos%2Fwoscc%2Ffull-record%2FWOS:000426059400015","View Full Record in Web of Science")</f>
        <v>View Full Record in Web of Science</v>
      </c>
    </row>
    <row r="10" spans="1:72" x14ac:dyDescent="0.15">
      <c r="A10" t="s">
        <v>98</v>
      </c>
      <c r="B10" t="s">
        <v>19712</v>
      </c>
      <c r="C10" t="s">
        <v>74</v>
      </c>
      <c r="D10" t="s">
        <v>74</v>
      </c>
      <c r="E10" t="s">
        <v>74</v>
      </c>
      <c r="F10" t="s">
        <v>19713</v>
      </c>
      <c r="G10" t="s">
        <v>74</v>
      </c>
      <c r="H10" t="s">
        <v>74</v>
      </c>
      <c r="I10" t="s">
        <v>19714</v>
      </c>
      <c r="J10" t="s">
        <v>4452</v>
      </c>
      <c r="K10" t="s">
        <v>74</v>
      </c>
      <c r="L10" t="s">
        <v>74</v>
      </c>
      <c r="M10" t="s">
        <v>74</v>
      </c>
      <c r="N10" t="s">
        <v>103</v>
      </c>
      <c r="O10" t="s">
        <v>74</v>
      </c>
      <c r="P10" t="s">
        <v>74</v>
      </c>
      <c r="Q10" t="s">
        <v>74</v>
      </c>
      <c r="R10" t="s">
        <v>74</v>
      </c>
      <c r="S10" t="s">
        <v>74</v>
      </c>
      <c r="T10" t="s">
        <v>19715</v>
      </c>
      <c r="U10" t="s">
        <v>19716</v>
      </c>
      <c r="V10" t="s">
        <v>19717</v>
      </c>
      <c r="W10" t="s">
        <v>19718</v>
      </c>
      <c r="X10" t="s">
        <v>19719</v>
      </c>
      <c r="Y10" t="s">
        <v>19720</v>
      </c>
      <c r="Z10" t="s">
        <v>19721</v>
      </c>
      <c r="AA10" t="s">
        <v>19722</v>
      </c>
      <c r="AB10" t="s">
        <v>19723</v>
      </c>
      <c r="AC10" t="s">
        <v>74</v>
      </c>
      <c r="AD10" t="s">
        <v>74</v>
      </c>
      <c r="AE10" t="s">
        <v>74</v>
      </c>
      <c r="AF10" t="s">
        <v>74</v>
      </c>
      <c r="AG10">
        <v>70</v>
      </c>
      <c r="AH10">
        <v>636</v>
      </c>
      <c r="AI10">
        <v>668</v>
      </c>
      <c r="AJ10">
        <v>17</v>
      </c>
      <c r="AK10">
        <v>196</v>
      </c>
      <c r="AL10" t="s">
        <v>74</v>
      </c>
      <c r="AM10" t="s">
        <v>74</v>
      </c>
      <c r="AN10" t="s">
        <v>74</v>
      </c>
      <c r="AO10" t="s">
        <v>4462</v>
      </c>
      <c r="AP10" t="s">
        <v>74</v>
      </c>
      <c r="AQ10" t="s">
        <v>74</v>
      </c>
      <c r="AR10" t="s">
        <v>74</v>
      </c>
      <c r="AS10" t="s">
        <v>74</v>
      </c>
      <c r="AT10" t="s">
        <v>1937</v>
      </c>
      <c r="AU10">
        <v>2013</v>
      </c>
      <c r="AV10">
        <v>14</v>
      </c>
      <c r="AW10" t="s">
        <v>74</v>
      </c>
      <c r="AX10" t="s">
        <v>74</v>
      </c>
      <c r="AY10" t="s">
        <v>74</v>
      </c>
      <c r="AZ10" t="s">
        <v>74</v>
      </c>
      <c r="BA10" t="s">
        <v>74</v>
      </c>
      <c r="BB10" t="s">
        <v>74</v>
      </c>
      <c r="BC10" t="s">
        <v>74</v>
      </c>
      <c r="BD10">
        <v>319</v>
      </c>
      <c r="BE10" t="s">
        <v>19724</v>
      </c>
      <c r="BF10" t="str">
        <f>HYPERLINK("http://dx.doi.org/10.1186/1471-2164-14-319","http://dx.doi.org/10.1186/1471-2164-14-319")</f>
        <v>http://dx.doi.org/10.1186/1471-2164-14-319</v>
      </c>
      <c r="BG10" t="s">
        <v>74</v>
      </c>
      <c r="BH10" t="s">
        <v>74</v>
      </c>
      <c r="BI10" t="s">
        <v>74</v>
      </c>
      <c r="BJ10" t="s">
        <v>4464</v>
      </c>
      <c r="BK10" t="s">
        <v>117</v>
      </c>
      <c r="BL10" t="s">
        <v>4464</v>
      </c>
      <c r="BM10" t="s">
        <v>74</v>
      </c>
      <c r="BN10">
        <v>23663360</v>
      </c>
      <c r="BO10" t="s">
        <v>74</v>
      </c>
      <c r="BP10" t="s">
        <v>193</v>
      </c>
      <c r="BQ10" t="s">
        <v>194</v>
      </c>
      <c r="BR10" t="s">
        <v>96</v>
      </c>
      <c r="BS10" t="s">
        <v>19725</v>
      </c>
      <c r="BT10" t="str">
        <f>HYPERLINK("https%3A%2F%2Fwww.webofscience.com%2Fwos%2Fwoscc%2Ffull-record%2FWOS:000318944200001","View Full Record in Web of Science")</f>
        <v>View Full Record in Web of Science</v>
      </c>
    </row>
    <row r="11" spans="1:72" x14ac:dyDescent="0.15">
      <c r="A11" t="s">
        <v>98</v>
      </c>
      <c r="B11" t="s">
        <v>13956</v>
      </c>
      <c r="C11" t="s">
        <v>74</v>
      </c>
      <c r="D11" t="s">
        <v>74</v>
      </c>
      <c r="E11" t="s">
        <v>74</v>
      </c>
      <c r="F11" t="s">
        <v>13957</v>
      </c>
      <c r="G11" t="s">
        <v>74</v>
      </c>
      <c r="H11" t="s">
        <v>74</v>
      </c>
      <c r="I11" t="s">
        <v>13958</v>
      </c>
      <c r="J11" t="s">
        <v>7841</v>
      </c>
      <c r="K11" t="s">
        <v>74</v>
      </c>
      <c r="L11" t="s">
        <v>74</v>
      </c>
      <c r="M11" t="s">
        <v>74</v>
      </c>
      <c r="N11" t="s">
        <v>103</v>
      </c>
      <c r="O11" t="s">
        <v>74</v>
      </c>
      <c r="P11" t="s">
        <v>74</v>
      </c>
      <c r="Q11" t="s">
        <v>74</v>
      </c>
      <c r="R11" t="s">
        <v>74</v>
      </c>
      <c r="S11" t="s">
        <v>74</v>
      </c>
      <c r="T11" t="s">
        <v>74</v>
      </c>
      <c r="U11" t="s">
        <v>13959</v>
      </c>
      <c r="V11" t="s">
        <v>13960</v>
      </c>
      <c r="W11" t="s">
        <v>13961</v>
      </c>
      <c r="X11" t="s">
        <v>13962</v>
      </c>
      <c r="Y11" t="s">
        <v>13963</v>
      </c>
      <c r="Z11" t="s">
        <v>13964</v>
      </c>
      <c r="AA11" t="s">
        <v>13965</v>
      </c>
      <c r="AB11" t="s">
        <v>13966</v>
      </c>
      <c r="AC11" t="s">
        <v>74</v>
      </c>
      <c r="AD11" t="s">
        <v>74</v>
      </c>
      <c r="AE11" t="s">
        <v>74</v>
      </c>
      <c r="AF11" t="s">
        <v>74</v>
      </c>
      <c r="AG11">
        <v>45</v>
      </c>
      <c r="AH11">
        <v>630</v>
      </c>
      <c r="AI11">
        <v>662</v>
      </c>
      <c r="AJ11">
        <v>8</v>
      </c>
      <c r="AK11">
        <v>65</v>
      </c>
      <c r="AL11" t="s">
        <v>74</v>
      </c>
      <c r="AM11" t="s">
        <v>74</v>
      </c>
      <c r="AN11" t="s">
        <v>74</v>
      </c>
      <c r="AO11" t="s">
        <v>7850</v>
      </c>
      <c r="AP11" t="s">
        <v>7851</v>
      </c>
      <c r="AQ11" t="s">
        <v>74</v>
      </c>
      <c r="AR11" t="s">
        <v>74</v>
      </c>
      <c r="AS11" t="s">
        <v>74</v>
      </c>
      <c r="AT11" t="s">
        <v>2321</v>
      </c>
      <c r="AU11">
        <v>2010</v>
      </c>
      <c r="AV11">
        <v>185</v>
      </c>
      <c r="AW11">
        <v>12</v>
      </c>
      <c r="AX11" t="s">
        <v>74</v>
      </c>
      <c r="AY11" t="s">
        <v>74</v>
      </c>
      <c r="AZ11" t="s">
        <v>74</v>
      </c>
      <c r="BA11" t="s">
        <v>74</v>
      </c>
      <c r="BB11">
        <v>7413</v>
      </c>
      <c r="BC11">
        <v>7425</v>
      </c>
      <c r="BD11" t="s">
        <v>74</v>
      </c>
      <c r="BE11" t="s">
        <v>13967</v>
      </c>
      <c r="BF11" t="str">
        <f>HYPERLINK("http://dx.doi.org/10.4049/jimmunol.1000675","http://dx.doi.org/10.4049/jimmunol.1000675")</f>
        <v>http://dx.doi.org/10.4049/jimmunol.1000675</v>
      </c>
      <c r="BG11" t="s">
        <v>74</v>
      </c>
      <c r="BH11" t="s">
        <v>74</v>
      </c>
      <c r="BI11" t="s">
        <v>74</v>
      </c>
      <c r="BJ11" t="s">
        <v>2064</v>
      </c>
      <c r="BK11" t="s">
        <v>117</v>
      </c>
      <c r="BL11" t="s">
        <v>2064</v>
      </c>
      <c r="BM11" t="s">
        <v>74</v>
      </c>
      <c r="BN11">
        <v>21098229</v>
      </c>
      <c r="BO11" t="s">
        <v>74</v>
      </c>
      <c r="BP11" t="s">
        <v>74</v>
      </c>
      <c r="BQ11" t="s">
        <v>74</v>
      </c>
      <c r="BR11" t="s">
        <v>96</v>
      </c>
      <c r="BS11" t="s">
        <v>13968</v>
      </c>
      <c r="BT11" t="str">
        <f>HYPERLINK("https%3A%2F%2Fwww.webofscience.com%2Fwos%2Fwoscc%2Ffull-record%2FWOS:000284878700038","View Full Record in Web of Science")</f>
        <v>View Full Record in Web of Science</v>
      </c>
    </row>
    <row r="12" spans="1:72" x14ac:dyDescent="0.15">
      <c r="A12" t="s">
        <v>98</v>
      </c>
      <c r="B12" t="s">
        <v>16730</v>
      </c>
      <c r="C12" t="s">
        <v>74</v>
      </c>
      <c r="D12" t="s">
        <v>74</v>
      </c>
      <c r="E12" t="s">
        <v>74</v>
      </c>
      <c r="F12" t="s">
        <v>16730</v>
      </c>
      <c r="G12" t="s">
        <v>74</v>
      </c>
      <c r="H12" t="s">
        <v>74</v>
      </c>
      <c r="I12" t="s">
        <v>16731</v>
      </c>
      <c r="J12" t="s">
        <v>8763</v>
      </c>
      <c r="K12" t="s">
        <v>74</v>
      </c>
      <c r="L12" t="s">
        <v>74</v>
      </c>
      <c r="M12" t="s">
        <v>74</v>
      </c>
      <c r="N12" t="s">
        <v>103</v>
      </c>
      <c r="O12" t="s">
        <v>74</v>
      </c>
      <c r="P12" t="s">
        <v>74</v>
      </c>
      <c r="Q12" t="s">
        <v>74</v>
      </c>
      <c r="R12" t="s">
        <v>74</v>
      </c>
      <c r="S12" t="s">
        <v>74</v>
      </c>
      <c r="T12" t="s">
        <v>74</v>
      </c>
      <c r="U12" t="s">
        <v>16732</v>
      </c>
      <c r="V12" t="s">
        <v>16733</v>
      </c>
      <c r="W12" t="s">
        <v>16734</v>
      </c>
      <c r="X12" t="s">
        <v>16735</v>
      </c>
      <c r="Y12" t="s">
        <v>16736</v>
      </c>
      <c r="Z12" t="s">
        <v>16737</v>
      </c>
      <c r="AA12" t="s">
        <v>16738</v>
      </c>
      <c r="AB12" t="s">
        <v>16739</v>
      </c>
      <c r="AC12" t="s">
        <v>74</v>
      </c>
      <c r="AD12" t="s">
        <v>74</v>
      </c>
      <c r="AE12" t="s">
        <v>74</v>
      </c>
      <c r="AF12" t="s">
        <v>74</v>
      </c>
      <c r="AG12">
        <v>64</v>
      </c>
      <c r="AH12">
        <v>620</v>
      </c>
      <c r="AI12">
        <v>655</v>
      </c>
      <c r="AJ12">
        <v>17</v>
      </c>
      <c r="AK12">
        <v>181</v>
      </c>
      <c r="AL12" t="s">
        <v>74</v>
      </c>
      <c r="AM12" t="s">
        <v>74</v>
      </c>
      <c r="AN12" t="s">
        <v>74</v>
      </c>
      <c r="AO12" t="s">
        <v>8772</v>
      </c>
      <c r="AP12" t="s">
        <v>8773</v>
      </c>
      <c r="AQ12" t="s">
        <v>74</v>
      </c>
      <c r="AR12" t="s">
        <v>74</v>
      </c>
      <c r="AS12" t="s">
        <v>74</v>
      </c>
      <c r="AT12" t="s">
        <v>283</v>
      </c>
      <c r="AU12">
        <v>2006</v>
      </c>
      <c r="AV12">
        <v>59</v>
      </c>
      <c r="AW12">
        <v>4</v>
      </c>
      <c r="AX12" t="s">
        <v>74</v>
      </c>
      <c r="AY12" t="s">
        <v>74</v>
      </c>
      <c r="AZ12" t="s">
        <v>74</v>
      </c>
      <c r="BA12" t="s">
        <v>74</v>
      </c>
      <c r="BB12">
        <v>1114</v>
      </c>
      <c r="BC12">
        <v>1128</v>
      </c>
      <c r="BD12" t="s">
        <v>74</v>
      </c>
      <c r="BE12" t="s">
        <v>16740</v>
      </c>
      <c r="BF12" t="str">
        <f>HYPERLINK("http://dx.doi.org/10.1111/j.1365-2958.2005.05008.x","http://dx.doi.org/10.1111/j.1365-2958.2005.05008.x")</f>
        <v>http://dx.doi.org/10.1111/j.1365-2958.2005.05008.x</v>
      </c>
      <c r="BG12" t="s">
        <v>74</v>
      </c>
      <c r="BH12" t="s">
        <v>74</v>
      </c>
      <c r="BI12" t="s">
        <v>74</v>
      </c>
      <c r="BJ12" t="s">
        <v>8775</v>
      </c>
      <c r="BK12" t="s">
        <v>117</v>
      </c>
      <c r="BL12" t="s">
        <v>8775</v>
      </c>
      <c r="BM12" t="s">
        <v>74</v>
      </c>
      <c r="BN12">
        <v>16430688</v>
      </c>
      <c r="BO12" t="s">
        <v>74</v>
      </c>
      <c r="BP12" t="s">
        <v>74</v>
      </c>
      <c r="BQ12" t="s">
        <v>74</v>
      </c>
      <c r="BR12" t="s">
        <v>96</v>
      </c>
      <c r="BS12" t="s">
        <v>16741</v>
      </c>
      <c r="BT12" t="str">
        <f>HYPERLINK("https%3A%2F%2Fwww.webofscience.com%2Fwos%2Fwoscc%2Ffull-record%2FWOS:000234800600004","View Full Record in Web of Science")</f>
        <v>View Full Record in Web of Science</v>
      </c>
    </row>
    <row r="13" spans="1:72" x14ac:dyDescent="0.15">
      <c r="A13" t="s">
        <v>98</v>
      </c>
      <c r="B13" t="s">
        <v>3697</v>
      </c>
      <c r="C13" t="s">
        <v>74</v>
      </c>
      <c r="D13" t="s">
        <v>74</v>
      </c>
      <c r="E13" t="s">
        <v>74</v>
      </c>
      <c r="F13" t="s">
        <v>3698</v>
      </c>
      <c r="G13" t="s">
        <v>74</v>
      </c>
      <c r="H13" t="s">
        <v>74</v>
      </c>
      <c r="I13" t="s">
        <v>3699</v>
      </c>
      <c r="J13" t="s">
        <v>3700</v>
      </c>
      <c r="K13" t="s">
        <v>74</v>
      </c>
      <c r="L13" t="s">
        <v>74</v>
      </c>
      <c r="M13" t="s">
        <v>74</v>
      </c>
      <c r="N13" t="s">
        <v>103</v>
      </c>
      <c r="O13" t="s">
        <v>74</v>
      </c>
      <c r="P13" t="s">
        <v>74</v>
      </c>
      <c r="Q13" t="s">
        <v>74</v>
      </c>
      <c r="R13" t="s">
        <v>74</v>
      </c>
      <c r="S13" t="s">
        <v>74</v>
      </c>
      <c r="T13" t="s">
        <v>3701</v>
      </c>
      <c r="U13" t="s">
        <v>3702</v>
      </c>
      <c r="V13" t="s">
        <v>3703</v>
      </c>
      <c r="W13" t="s">
        <v>3704</v>
      </c>
      <c r="X13" t="s">
        <v>3705</v>
      </c>
      <c r="Y13" t="s">
        <v>3706</v>
      </c>
      <c r="Z13" t="s">
        <v>3707</v>
      </c>
      <c r="AA13" t="s">
        <v>3708</v>
      </c>
      <c r="AB13" t="s">
        <v>3709</v>
      </c>
      <c r="AC13" t="s">
        <v>74</v>
      </c>
      <c r="AD13" t="s">
        <v>74</v>
      </c>
      <c r="AE13" t="s">
        <v>74</v>
      </c>
      <c r="AF13" t="s">
        <v>74</v>
      </c>
      <c r="AG13">
        <v>23</v>
      </c>
      <c r="AH13">
        <v>604</v>
      </c>
      <c r="AI13">
        <v>628</v>
      </c>
      <c r="AJ13">
        <v>7</v>
      </c>
      <c r="AK13">
        <v>82</v>
      </c>
      <c r="AL13" t="s">
        <v>74</v>
      </c>
      <c r="AM13" t="s">
        <v>74</v>
      </c>
      <c r="AN13" t="s">
        <v>74</v>
      </c>
      <c r="AO13" t="s">
        <v>3710</v>
      </c>
      <c r="AP13" t="s">
        <v>3711</v>
      </c>
      <c r="AQ13" t="s">
        <v>74</v>
      </c>
      <c r="AR13" t="s">
        <v>74</v>
      </c>
      <c r="AS13" t="s">
        <v>74</v>
      </c>
      <c r="AT13" t="s">
        <v>3712</v>
      </c>
      <c r="AU13">
        <v>2014</v>
      </c>
      <c r="AV13">
        <v>289</v>
      </c>
      <c r="AW13">
        <v>7</v>
      </c>
      <c r="AX13" t="s">
        <v>74</v>
      </c>
      <c r="AY13" t="s">
        <v>74</v>
      </c>
      <c r="AZ13" t="s">
        <v>74</v>
      </c>
      <c r="BA13" t="s">
        <v>74</v>
      </c>
      <c r="BB13">
        <v>3869</v>
      </c>
      <c r="BC13">
        <v>3875</v>
      </c>
      <c r="BD13" t="s">
        <v>74</v>
      </c>
      <c r="BE13" t="s">
        <v>3713</v>
      </c>
      <c r="BF13" t="str">
        <f>HYPERLINK("http://dx.doi.org/10.1074/jbc.C113.532267","http://dx.doi.org/10.1074/jbc.C113.532267")</f>
        <v>http://dx.doi.org/10.1074/jbc.C113.532267</v>
      </c>
      <c r="BG13" t="s">
        <v>74</v>
      </c>
      <c r="BH13" t="s">
        <v>74</v>
      </c>
      <c r="BI13" t="s">
        <v>74</v>
      </c>
      <c r="BJ13" t="s">
        <v>95</v>
      </c>
      <c r="BK13" t="s">
        <v>117</v>
      </c>
      <c r="BL13" t="s">
        <v>95</v>
      </c>
      <c r="BM13" t="s">
        <v>74</v>
      </c>
      <c r="BN13">
        <v>24398677</v>
      </c>
      <c r="BO13" t="s">
        <v>74</v>
      </c>
      <c r="BP13" t="s">
        <v>193</v>
      </c>
      <c r="BQ13" t="s">
        <v>194</v>
      </c>
      <c r="BR13" t="s">
        <v>96</v>
      </c>
      <c r="BS13" t="s">
        <v>3714</v>
      </c>
      <c r="BT13" t="str">
        <f>HYPERLINK("https%3A%2F%2Fwww.webofscience.com%2Fwos%2Fwoscc%2Ffull-record%2FWOS:000331403800004","View Full Record in Web of Science")</f>
        <v>View Full Record in Web of Science</v>
      </c>
    </row>
    <row r="14" spans="1:72" x14ac:dyDescent="0.15">
      <c r="A14" t="s">
        <v>98</v>
      </c>
      <c r="B14" t="s">
        <v>22050</v>
      </c>
      <c r="C14" t="s">
        <v>74</v>
      </c>
      <c r="D14" t="s">
        <v>74</v>
      </c>
      <c r="E14" t="s">
        <v>74</v>
      </c>
      <c r="F14" t="s">
        <v>22051</v>
      </c>
      <c r="G14" t="s">
        <v>74</v>
      </c>
      <c r="H14" t="s">
        <v>74</v>
      </c>
      <c r="I14" t="s">
        <v>22052</v>
      </c>
      <c r="J14" t="s">
        <v>7065</v>
      </c>
      <c r="K14" t="s">
        <v>74</v>
      </c>
      <c r="L14" t="s">
        <v>74</v>
      </c>
      <c r="M14" t="s">
        <v>74</v>
      </c>
      <c r="N14" t="s">
        <v>103</v>
      </c>
      <c r="O14" t="s">
        <v>74</v>
      </c>
      <c r="P14" t="s">
        <v>74</v>
      </c>
      <c r="Q14" t="s">
        <v>74</v>
      </c>
      <c r="R14" t="s">
        <v>74</v>
      </c>
      <c r="S14" t="s">
        <v>74</v>
      </c>
      <c r="T14" t="s">
        <v>74</v>
      </c>
      <c r="U14" t="s">
        <v>22053</v>
      </c>
      <c r="V14" t="s">
        <v>22054</v>
      </c>
      <c r="W14" t="s">
        <v>22055</v>
      </c>
      <c r="X14" t="s">
        <v>22056</v>
      </c>
      <c r="Y14" t="s">
        <v>22057</v>
      </c>
      <c r="Z14" t="s">
        <v>22058</v>
      </c>
      <c r="AA14" t="s">
        <v>22059</v>
      </c>
      <c r="AB14" t="s">
        <v>74</v>
      </c>
      <c r="AC14" t="s">
        <v>74</v>
      </c>
      <c r="AD14" t="s">
        <v>74</v>
      </c>
      <c r="AE14" t="s">
        <v>74</v>
      </c>
      <c r="AF14" t="s">
        <v>74</v>
      </c>
      <c r="AG14">
        <v>44</v>
      </c>
      <c r="AH14">
        <v>489</v>
      </c>
      <c r="AI14">
        <v>501</v>
      </c>
      <c r="AJ14">
        <v>1</v>
      </c>
      <c r="AK14">
        <v>93</v>
      </c>
      <c r="AL14" t="s">
        <v>74</v>
      </c>
      <c r="AM14" t="s">
        <v>74</v>
      </c>
      <c r="AN14" t="s">
        <v>74</v>
      </c>
      <c r="AO14" t="s">
        <v>7074</v>
      </c>
      <c r="AP14" t="s">
        <v>7075</v>
      </c>
      <c r="AQ14" t="s">
        <v>74</v>
      </c>
      <c r="AR14" t="s">
        <v>74</v>
      </c>
      <c r="AS14" t="s">
        <v>74</v>
      </c>
      <c r="AT14" t="s">
        <v>4146</v>
      </c>
      <c r="AU14">
        <v>2006</v>
      </c>
      <c r="AV14">
        <v>66</v>
      </c>
      <c r="AW14">
        <v>9</v>
      </c>
      <c r="AX14" t="s">
        <v>74</v>
      </c>
      <c r="AY14" t="s">
        <v>74</v>
      </c>
      <c r="AZ14" t="s">
        <v>74</v>
      </c>
      <c r="BA14" t="s">
        <v>74</v>
      </c>
      <c r="BB14">
        <v>4795</v>
      </c>
      <c r="BC14">
        <v>4801</v>
      </c>
      <c r="BD14" t="s">
        <v>74</v>
      </c>
      <c r="BE14" t="s">
        <v>22060</v>
      </c>
      <c r="BF14" t="str">
        <f>HYPERLINK("http://dx.doi.org/10.1158/0008-5472.CAN-05-4579","http://dx.doi.org/10.1158/0008-5472.CAN-05-4579")</f>
        <v>http://dx.doi.org/10.1158/0008-5472.CAN-05-4579</v>
      </c>
      <c r="BG14" t="s">
        <v>74</v>
      </c>
      <c r="BH14" t="s">
        <v>74</v>
      </c>
      <c r="BI14" t="s">
        <v>74</v>
      </c>
      <c r="BJ14" t="s">
        <v>267</v>
      </c>
      <c r="BK14" t="s">
        <v>117</v>
      </c>
      <c r="BL14" t="s">
        <v>267</v>
      </c>
      <c r="BM14" t="s">
        <v>74</v>
      </c>
      <c r="BN14">
        <v>16651434</v>
      </c>
      <c r="BO14" t="s">
        <v>74</v>
      </c>
      <c r="BP14" t="s">
        <v>74</v>
      </c>
      <c r="BQ14" t="s">
        <v>74</v>
      </c>
      <c r="BR14" t="s">
        <v>96</v>
      </c>
      <c r="BS14" t="s">
        <v>22061</v>
      </c>
      <c r="BT14" t="str">
        <f>HYPERLINK("https%3A%2F%2Fwww.webofscience.com%2Fwos%2Fwoscc%2Ffull-record%2FWOS:000237496900033","View Full Record in Web of Science")</f>
        <v>View Full Record in Web of Science</v>
      </c>
    </row>
    <row r="15" spans="1:72" x14ac:dyDescent="0.15">
      <c r="A15" t="s">
        <v>98</v>
      </c>
      <c r="B15" t="s">
        <v>5136</v>
      </c>
      <c r="C15" t="s">
        <v>74</v>
      </c>
      <c r="D15" t="s">
        <v>74</v>
      </c>
      <c r="E15" t="s">
        <v>74</v>
      </c>
      <c r="F15" t="s">
        <v>5137</v>
      </c>
      <c r="G15" t="s">
        <v>74</v>
      </c>
      <c r="H15" t="s">
        <v>74</v>
      </c>
      <c r="I15" t="s">
        <v>5138</v>
      </c>
      <c r="J15" t="s">
        <v>5139</v>
      </c>
      <c r="K15" t="s">
        <v>74</v>
      </c>
      <c r="L15" t="s">
        <v>74</v>
      </c>
      <c r="M15" t="s">
        <v>74</v>
      </c>
      <c r="N15" t="s">
        <v>103</v>
      </c>
      <c r="O15" t="s">
        <v>74</v>
      </c>
      <c r="P15" t="s">
        <v>74</v>
      </c>
      <c r="Q15" t="s">
        <v>74</v>
      </c>
      <c r="R15" t="s">
        <v>74</v>
      </c>
      <c r="S15" t="s">
        <v>74</v>
      </c>
      <c r="T15" t="s">
        <v>74</v>
      </c>
      <c r="U15" t="s">
        <v>5140</v>
      </c>
      <c r="V15" t="s">
        <v>5141</v>
      </c>
      <c r="W15" t="s">
        <v>5142</v>
      </c>
      <c r="X15" t="s">
        <v>5143</v>
      </c>
      <c r="Y15" t="s">
        <v>5144</v>
      </c>
      <c r="Z15" t="s">
        <v>5145</v>
      </c>
      <c r="AA15" t="s">
        <v>5146</v>
      </c>
      <c r="AB15" t="s">
        <v>5147</v>
      </c>
      <c r="AC15" t="s">
        <v>74</v>
      </c>
      <c r="AD15" t="s">
        <v>74</v>
      </c>
      <c r="AE15" t="s">
        <v>74</v>
      </c>
      <c r="AF15" t="s">
        <v>74</v>
      </c>
      <c r="AG15">
        <v>64</v>
      </c>
      <c r="AH15">
        <v>486</v>
      </c>
      <c r="AI15">
        <v>503</v>
      </c>
      <c r="AJ15">
        <v>22</v>
      </c>
      <c r="AK15">
        <v>140</v>
      </c>
      <c r="AL15" t="s">
        <v>74</v>
      </c>
      <c r="AM15" t="s">
        <v>74</v>
      </c>
      <c r="AN15" t="s">
        <v>74</v>
      </c>
      <c r="AO15" t="s">
        <v>5148</v>
      </c>
      <c r="AP15" t="s">
        <v>74</v>
      </c>
      <c r="AQ15" t="s">
        <v>74</v>
      </c>
      <c r="AR15" t="s">
        <v>74</v>
      </c>
      <c r="AS15" t="s">
        <v>74</v>
      </c>
      <c r="AT15" t="s">
        <v>189</v>
      </c>
      <c r="AU15">
        <v>2015</v>
      </c>
      <c r="AV15">
        <v>6</v>
      </c>
      <c r="AW15" t="s">
        <v>74</v>
      </c>
      <c r="AX15" t="s">
        <v>74</v>
      </c>
      <c r="AY15" t="s">
        <v>74</v>
      </c>
      <c r="AZ15" t="s">
        <v>74</v>
      </c>
      <c r="BA15" t="s">
        <v>74</v>
      </c>
      <c r="BB15" t="s">
        <v>74</v>
      </c>
      <c r="BC15" t="s">
        <v>74</v>
      </c>
      <c r="BD15">
        <v>8472</v>
      </c>
      <c r="BE15" t="s">
        <v>5149</v>
      </c>
      <c r="BF15" t="str">
        <f>HYPERLINK("http://dx.doi.org/10.1038/ncomms9472","http://dx.doi.org/10.1038/ncomms9472")</f>
        <v>http://dx.doi.org/10.1038/ncomms9472</v>
      </c>
      <c r="BG15" t="s">
        <v>74</v>
      </c>
      <c r="BH15" t="s">
        <v>74</v>
      </c>
      <c r="BI15" t="s">
        <v>74</v>
      </c>
      <c r="BJ15" t="s">
        <v>152</v>
      </c>
      <c r="BK15" t="s">
        <v>117</v>
      </c>
      <c r="BL15" t="s">
        <v>153</v>
      </c>
      <c r="BM15" t="s">
        <v>74</v>
      </c>
      <c r="BN15">
        <v>26442449</v>
      </c>
      <c r="BO15" t="s">
        <v>74</v>
      </c>
      <c r="BP15" t="s">
        <v>193</v>
      </c>
      <c r="BQ15" t="s">
        <v>194</v>
      </c>
      <c r="BR15" t="s">
        <v>96</v>
      </c>
      <c r="BS15" t="s">
        <v>5150</v>
      </c>
      <c r="BT15" t="str">
        <f>HYPERLINK("https%3A%2F%2Fwww.webofscience.com%2Fwos%2Fwoscc%2Ffull-record%2FWOS:000364926700001","View Full Record in Web of Science")</f>
        <v>View Full Record in Web of Science</v>
      </c>
    </row>
    <row r="16" spans="1:72" x14ac:dyDescent="0.15">
      <c r="A16" t="s">
        <v>98</v>
      </c>
      <c r="B16" t="s">
        <v>14974</v>
      </c>
      <c r="C16" t="s">
        <v>74</v>
      </c>
      <c r="D16" t="s">
        <v>74</v>
      </c>
      <c r="E16" t="s">
        <v>74</v>
      </c>
      <c r="F16" t="s">
        <v>14975</v>
      </c>
      <c r="G16" t="s">
        <v>74</v>
      </c>
      <c r="H16" t="s">
        <v>74</v>
      </c>
      <c r="I16" t="s">
        <v>14976</v>
      </c>
      <c r="J16" t="s">
        <v>3985</v>
      </c>
      <c r="K16" t="s">
        <v>74</v>
      </c>
      <c r="L16" t="s">
        <v>74</v>
      </c>
      <c r="M16" t="s">
        <v>74</v>
      </c>
      <c r="N16" t="s">
        <v>103</v>
      </c>
      <c r="O16" t="s">
        <v>74</v>
      </c>
      <c r="P16" t="s">
        <v>74</v>
      </c>
      <c r="Q16" t="s">
        <v>74</v>
      </c>
      <c r="R16" t="s">
        <v>74</v>
      </c>
      <c r="S16" t="s">
        <v>74</v>
      </c>
      <c r="T16" t="s">
        <v>74</v>
      </c>
      <c r="U16" t="s">
        <v>14977</v>
      </c>
      <c r="V16" t="s">
        <v>14978</v>
      </c>
      <c r="W16" t="s">
        <v>14979</v>
      </c>
      <c r="X16" t="s">
        <v>14980</v>
      </c>
      <c r="Y16" t="s">
        <v>14981</v>
      </c>
      <c r="Z16" t="s">
        <v>14982</v>
      </c>
      <c r="AA16" t="s">
        <v>74</v>
      </c>
      <c r="AB16" t="s">
        <v>74</v>
      </c>
      <c r="AC16" t="s">
        <v>74</v>
      </c>
      <c r="AD16" t="s">
        <v>74</v>
      </c>
      <c r="AE16" t="s">
        <v>74</v>
      </c>
      <c r="AF16" t="s">
        <v>74</v>
      </c>
      <c r="AG16">
        <v>33</v>
      </c>
      <c r="AH16">
        <v>467</v>
      </c>
      <c r="AI16">
        <v>495</v>
      </c>
      <c r="AJ16">
        <v>8</v>
      </c>
      <c r="AK16">
        <v>101</v>
      </c>
      <c r="AL16" t="s">
        <v>74</v>
      </c>
      <c r="AM16" t="s">
        <v>74</v>
      </c>
      <c r="AN16" t="s">
        <v>74</v>
      </c>
      <c r="AO16" t="s">
        <v>3994</v>
      </c>
      <c r="AP16" t="s">
        <v>74</v>
      </c>
      <c r="AQ16" t="s">
        <v>74</v>
      </c>
      <c r="AR16" t="s">
        <v>74</v>
      </c>
      <c r="AS16" t="s">
        <v>74</v>
      </c>
      <c r="AT16" t="s">
        <v>14983</v>
      </c>
      <c r="AU16">
        <v>2011</v>
      </c>
      <c r="AV16">
        <v>9</v>
      </c>
      <c r="AW16" t="s">
        <v>74</v>
      </c>
      <c r="AX16" t="s">
        <v>74</v>
      </c>
      <c r="AY16" t="s">
        <v>74</v>
      </c>
      <c r="AZ16" t="s">
        <v>74</v>
      </c>
      <c r="BA16" t="s">
        <v>74</v>
      </c>
      <c r="BB16" t="s">
        <v>74</v>
      </c>
      <c r="BC16" t="s">
        <v>74</v>
      </c>
      <c r="BD16">
        <v>86</v>
      </c>
      <c r="BE16" t="s">
        <v>14984</v>
      </c>
      <c r="BF16" t="str">
        <f>HYPERLINK("http://dx.doi.org/10.1186/1479-5876-9-86","http://dx.doi.org/10.1186/1479-5876-9-86")</f>
        <v>http://dx.doi.org/10.1186/1479-5876-9-86</v>
      </c>
      <c r="BG16" t="s">
        <v>74</v>
      </c>
      <c r="BH16" t="s">
        <v>74</v>
      </c>
      <c r="BI16" t="s">
        <v>74</v>
      </c>
      <c r="BJ16" t="s">
        <v>795</v>
      </c>
      <c r="BK16" t="s">
        <v>117</v>
      </c>
      <c r="BL16" t="s">
        <v>796</v>
      </c>
      <c r="BM16" t="s">
        <v>74</v>
      </c>
      <c r="BN16">
        <v>21651777</v>
      </c>
      <c r="BO16" t="s">
        <v>74</v>
      </c>
      <c r="BP16" t="s">
        <v>74</v>
      </c>
      <c r="BQ16" t="s">
        <v>74</v>
      </c>
      <c r="BR16" t="s">
        <v>96</v>
      </c>
      <c r="BS16" t="s">
        <v>14985</v>
      </c>
      <c r="BT16" t="str">
        <f>HYPERLINK("https%3A%2F%2Fwww.webofscience.com%2Fwos%2Fwoscc%2Ffull-record%2FWOS:000291822700001","View Full Record in Web of Science")</f>
        <v>View Full Record in Web of Science</v>
      </c>
    </row>
    <row r="17" spans="1:72" x14ac:dyDescent="0.15">
      <c r="A17" t="s">
        <v>98</v>
      </c>
      <c r="B17" t="s">
        <v>15363</v>
      </c>
      <c r="C17" t="s">
        <v>74</v>
      </c>
      <c r="D17" t="s">
        <v>74</v>
      </c>
      <c r="E17" t="s">
        <v>74</v>
      </c>
      <c r="F17" t="s">
        <v>15364</v>
      </c>
      <c r="G17" t="s">
        <v>74</v>
      </c>
      <c r="H17" t="s">
        <v>74</v>
      </c>
      <c r="I17" t="s">
        <v>15365</v>
      </c>
      <c r="J17" t="s">
        <v>658</v>
      </c>
      <c r="K17" t="s">
        <v>74</v>
      </c>
      <c r="L17" t="s">
        <v>74</v>
      </c>
      <c r="M17" t="s">
        <v>74</v>
      </c>
      <c r="N17" t="s">
        <v>103</v>
      </c>
      <c r="O17" t="s">
        <v>74</v>
      </c>
      <c r="P17" t="s">
        <v>74</v>
      </c>
      <c r="Q17" t="s">
        <v>74</v>
      </c>
      <c r="R17" t="s">
        <v>74</v>
      </c>
      <c r="S17" t="s">
        <v>74</v>
      </c>
      <c r="T17" t="s">
        <v>15366</v>
      </c>
      <c r="U17" t="s">
        <v>15367</v>
      </c>
      <c r="V17" t="s">
        <v>15368</v>
      </c>
      <c r="W17" t="s">
        <v>15369</v>
      </c>
      <c r="X17" t="s">
        <v>15370</v>
      </c>
      <c r="Y17" t="s">
        <v>15371</v>
      </c>
      <c r="Z17" t="s">
        <v>15372</v>
      </c>
      <c r="AA17" t="s">
        <v>15373</v>
      </c>
      <c r="AB17" t="s">
        <v>15374</v>
      </c>
      <c r="AC17" t="s">
        <v>74</v>
      </c>
      <c r="AD17" t="s">
        <v>74</v>
      </c>
      <c r="AE17" t="s">
        <v>74</v>
      </c>
      <c r="AF17" t="s">
        <v>74</v>
      </c>
      <c r="AG17">
        <v>72</v>
      </c>
      <c r="AH17">
        <v>467</v>
      </c>
      <c r="AI17">
        <v>490</v>
      </c>
      <c r="AJ17">
        <v>8</v>
      </c>
      <c r="AK17">
        <v>98</v>
      </c>
      <c r="AL17" t="s">
        <v>74</v>
      </c>
      <c r="AM17" t="s">
        <v>74</v>
      </c>
      <c r="AN17" t="s">
        <v>74</v>
      </c>
      <c r="AO17" t="s">
        <v>668</v>
      </c>
      <c r="AP17" t="s">
        <v>74</v>
      </c>
      <c r="AQ17" t="s">
        <v>74</v>
      </c>
      <c r="AR17" t="s">
        <v>74</v>
      </c>
      <c r="AS17" t="s">
        <v>74</v>
      </c>
      <c r="AT17" t="s">
        <v>15375</v>
      </c>
      <c r="AU17">
        <v>2007</v>
      </c>
      <c r="AV17">
        <v>104</v>
      </c>
      <c r="AW17">
        <v>19</v>
      </c>
      <c r="AX17" t="s">
        <v>74</v>
      </c>
      <c r="AY17" t="s">
        <v>74</v>
      </c>
      <c r="AZ17" t="s">
        <v>74</v>
      </c>
      <c r="BA17" t="s">
        <v>74</v>
      </c>
      <c r="BB17">
        <v>8113</v>
      </c>
      <c r="BC17">
        <v>8118</v>
      </c>
      <c r="BD17" t="s">
        <v>74</v>
      </c>
      <c r="BE17" t="s">
        <v>15376</v>
      </c>
      <c r="BF17" t="str">
        <f>HYPERLINK("http://dx.doi.org/10.1073/pnas.0610226104","http://dx.doi.org/10.1073/pnas.0610226104")</f>
        <v>http://dx.doi.org/10.1073/pnas.0610226104</v>
      </c>
      <c r="BG17" t="s">
        <v>74</v>
      </c>
      <c r="BH17" t="s">
        <v>74</v>
      </c>
      <c r="BI17" t="s">
        <v>74</v>
      </c>
      <c r="BJ17" t="s">
        <v>152</v>
      </c>
      <c r="BK17" t="s">
        <v>117</v>
      </c>
      <c r="BL17" t="s">
        <v>153</v>
      </c>
      <c r="BM17" t="s">
        <v>74</v>
      </c>
      <c r="BN17">
        <v>17452642</v>
      </c>
      <c r="BO17" t="s">
        <v>74</v>
      </c>
      <c r="BP17" t="s">
        <v>74</v>
      </c>
      <c r="BQ17" t="s">
        <v>74</v>
      </c>
      <c r="BR17" t="s">
        <v>96</v>
      </c>
      <c r="BS17" t="s">
        <v>15377</v>
      </c>
      <c r="BT17" t="str">
        <f>HYPERLINK("https%3A%2F%2Fwww.webofscience.com%2Fwos%2Fwoscc%2Ffull-record%2FWOS:000246461500068","View Full Record in Web of Science")</f>
        <v>View Full Record in Web of Science</v>
      </c>
    </row>
    <row r="18" spans="1:72" x14ac:dyDescent="0.15">
      <c r="A18" t="s">
        <v>98</v>
      </c>
      <c r="B18" t="s">
        <v>17286</v>
      </c>
      <c r="C18" t="s">
        <v>74</v>
      </c>
      <c r="D18" t="s">
        <v>74</v>
      </c>
      <c r="E18" t="s">
        <v>74</v>
      </c>
      <c r="F18" t="s">
        <v>17286</v>
      </c>
      <c r="G18" t="s">
        <v>74</v>
      </c>
      <c r="H18" t="s">
        <v>74</v>
      </c>
      <c r="I18" t="s">
        <v>17287</v>
      </c>
      <c r="J18" t="s">
        <v>6273</v>
      </c>
      <c r="K18" t="s">
        <v>74</v>
      </c>
      <c r="L18" t="s">
        <v>74</v>
      </c>
      <c r="M18" t="s">
        <v>74</v>
      </c>
      <c r="N18" t="s">
        <v>103</v>
      </c>
      <c r="O18" t="s">
        <v>74</v>
      </c>
      <c r="P18" t="s">
        <v>74</v>
      </c>
      <c r="Q18" t="s">
        <v>74</v>
      </c>
      <c r="R18" t="s">
        <v>74</v>
      </c>
      <c r="S18" t="s">
        <v>74</v>
      </c>
      <c r="T18" t="s">
        <v>74</v>
      </c>
      <c r="U18" t="s">
        <v>17288</v>
      </c>
      <c r="V18" t="s">
        <v>17289</v>
      </c>
      <c r="W18" t="s">
        <v>74</v>
      </c>
      <c r="X18" t="s">
        <v>74</v>
      </c>
      <c r="Y18" t="s">
        <v>17290</v>
      </c>
      <c r="Z18" t="s">
        <v>74</v>
      </c>
      <c r="AA18" t="s">
        <v>74</v>
      </c>
      <c r="AB18" t="s">
        <v>74</v>
      </c>
      <c r="AC18" t="s">
        <v>74</v>
      </c>
      <c r="AD18" t="s">
        <v>74</v>
      </c>
      <c r="AE18" t="s">
        <v>74</v>
      </c>
      <c r="AF18" t="s">
        <v>74</v>
      </c>
      <c r="AG18">
        <v>54</v>
      </c>
      <c r="AH18">
        <v>447</v>
      </c>
      <c r="AI18">
        <v>452</v>
      </c>
      <c r="AJ18">
        <v>7</v>
      </c>
      <c r="AK18">
        <v>43</v>
      </c>
      <c r="AL18" t="s">
        <v>74</v>
      </c>
      <c r="AM18" t="s">
        <v>74</v>
      </c>
      <c r="AN18" t="s">
        <v>74</v>
      </c>
      <c r="AO18" t="s">
        <v>6281</v>
      </c>
      <c r="AP18" t="s">
        <v>74</v>
      </c>
      <c r="AQ18" t="s">
        <v>74</v>
      </c>
      <c r="AR18" t="s">
        <v>74</v>
      </c>
      <c r="AS18" t="s">
        <v>74</v>
      </c>
      <c r="AT18" t="s">
        <v>614</v>
      </c>
      <c r="AU18">
        <v>1995</v>
      </c>
      <c r="AV18">
        <v>177</v>
      </c>
      <c r="AW18">
        <v>14</v>
      </c>
      <c r="AX18" t="s">
        <v>74</v>
      </c>
      <c r="AY18" t="s">
        <v>74</v>
      </c>
      <c r="AZ18" t="s">
        <v>74</v>
      </c>
      <c r="BA18" t="s">
        <v>74</v>
      </c>
      <c r="BB18">
        <v>3998</v>
      </c>
      <c r="BC18">
        <v>4008</v>
      </c>
      <c r="BD18" t="s">
        <v>74</v>
      </c>
      <c r="BE18" t="s">
        <v>17291</v>
      </c>
      <c r="BF18" t="str">
        <f>HYPERLINK("http://dx.doi.org/10.1128/jb.177.14.3998-4008.1995","http://dx.doi.org/10.1128/jb.177.14.3998-4008.1995")</f>
        <v>http://dx.doi.org/10.1128/jb.177.14.3998-4008.1995</v>
      </c>
      <c r="BG18" t="s">
        <v>74</v>
      </c>
      <c r="BH18" t="s">
        <v>74</v>
      </c>
      <c r="BI18" t="s">
        <v>74</v>
      </c>
      <c r="BJ18" t="s">
        <v>898</v>
      </c>
      <c r="BK18" t="s">
        <v>117</v>
      </c>
      <c r="BL18" t="s">
        <v>898</v>
      </c>
      <c r="BM18" t="s">
        <v>74</v>
      </c>
      <c r="BN18">
        <v>7608073</v>
      </c>
      <c r="BO18" t="s">
        <v>74</v>
      </c>
      <c r="BP18" t="s">
        <v>74</v>
      </c>
      <c r="BQ18" t="s">
        <v>74</v>
      </c>
      <c r="BR18" t="s">
        <v>96</v>
      </c>
      <c r="BS18" t="s">
        <v>17292</v>
      </c>
      <c r="BT18" t="str">
        <f>HYPERLINK("https%3A%2F%2Fwww.webofscience.com%2Fwos%2Fwoscc%2Ffull-record%2FWOS:A1995RH81000016","View Full Record in Web of Science")</f>
        <v>View Full Record in Web of Science</v>
      </c>
    </row>
    <row r="19" spans="1:72" x14ac:dyDescent="0.15">
      <c r="A19" t="s">
        <v>98</v>
      </c>
      <c r="B19" t="s">
        <v>6957</v>
      </c>
      <c r="C19" t="s">
        <v>74</v>
      </c>
      <c r="D19" t="s">
        <v>74</v>
      </c>
      <c r="E19" t="s">
        <v>74</v>
      </c>
      <c r="F19" t="s">
        <v>6958</v>
      </c>
      <c r="G19" t="s">
        <v>74</v>
      </c>
      <c r="H19" t="s">
        <v>74</v>
      </c>
      <c r="I19" t="s">
        <v>6959</v>
      </c>
      <c r="J19" t="s">
        <v>2410</v>
      </c>
      <c r="K19" t="s">
        <v>74</v>
      </c>
      <c r="L19" t="s">
        <v>74</v>
      </c>
      <c r="M19" t="s">
        <v>74</v>
      </c>
      <c r="N19" t="s">
        <v>103</v>
      </c>
      <c r="O19" t="s">
        <v>74</v>
      </c>
      <c r="P19" t="s">
        <v>74</v>
      </c>
      <c r="Q19" t="s">
        <v>74</v>
      </c>
      <c r="R19" t="s">
        <v>74</v>
      </c>
      <c r="S19" t="s">
        <v>74</v>
      </c>
      <c r="T19" t="s">
        <v>6960</v>
      </c>
      <c r="U19" t="s">
        <v>6961</v>
      </c>
      <c r="V19" t="s">
        <v>6962</v>
      </c>
      <c r="W19" t="s">
        <v>6963</v>
      </c>
      <c r="X19" t="s">
        <v>6324</v>
      </c>
      <c r="Y19" t="s">
        <v>6964</v>
      </c>
      <c r="Z19" t="s">
        <v>6326</v>
      </c>
      <c r="AA19" t="s">
        <v>6965</v>
      </c>
      <c r="AB19" t="s">
        <v>6966</v>
      </c>
      <c r="AC19" t="s">
        <v>74</v>
      </c>
      <c r="AD19" t="s">
        <v>74</v>
      </c>
      <c r="AE19" t="s">
        <v>74</v>
      </c>
      <c r="AF19" t="s">
        <v>74</v>
      </c>
      <c r="AG19">
        <v>51</v>
      </c>
      <c r="AH19">
        <v>427</v>
      </c>
      <c r="AI19">
        <v>444</v>
      </c>
      <c r="AJ19">
        <v>27</v>
      </c>
      <c r="AK19">
        <v>237</v>
      </c>
      <c r="AL19" t="s">
        <v>74</v>
      </c>
      <c r="AM19" t="s">
        <v>74</v>
      </c>
      <c r="AN19" t="s">
        <v>74</v>
      </c>
      <c r="AO19" t="s">
        <v>2418</v>
      </c>
      <c r="AP19" t="s">
        <v>2419</v>
      </c>
      <c r="AQ19" t="s">
        <v>74</v>
      </c>
      <c r="AR19" t="s">
        <v>74</v>
      </c>
      <c r="AS19" t="s">
        <v>74</v>
      </c>
      <c r="AT19" t="s">
        <v>74</v>
      </c>
      <c r="AU19">
        <v>2016</v>
      </c>
      <c r="AV19">
        <v>371</v>
      </c>
      <c r="AW19">
        <v>1</v>
      </c>
      <c r="AX19" t="s">
        <v>74</v>
      </c>
      <c r="AY19" t="s">
        <v>74</v>
      </c>
      <c r="AZ19" t="s">
        <v>74</v>
      </c>
      <c r="BA19" t="s">
        <v>74</v>
      </c>
      <c r="BB19">
        <v>48</v>
      </c>
      <c r="BC19">
        <v>61</v>
      </c>
      <c r="BD19" t="s">
        <v>74</v>
      </c>
      <c r="BE19" t="s">
        <v>6967</v>
      </c>
      <c r="BF19" t="str">
        <f>HYPERLINK("http://dx.doi.org/10.1016/j.canlet.2015.10.020","http://dx.doi.org/10.1016/j.canlet.2015.10.020")</f>
        <v>http://dx.doi.org/10.1016/j.canlet.2015.10.020</v>
      </c>
      <c r="BG19" t="s">
        <v>74</v>
      </c>
      <c r="BH19" t="s">
        <v>74</v>
      </c>
      <c r="BI19" t="s">
        <v>74</v>
      </c>
      <c r="BJ19" t="s">
        <v>267</v>
      </c>
      <c r="BK19" t="s">
        <v>117</v>
      </c>
      <c r="BL19" t="s">
        <v>267</v>
      </c>
      <c r="BM19" t="s">
        <v>74</v>
      </c>
      <c r="BN19">
        <v>26604130</v>
      </c>
      <c r="BO19" t="s">
        <v>74</v>
      </c>
      <c r="BP19" t="s">
        <v>193</v>
      </c>
      <c r="BQ19" t="s">
        <v>194</v>
      </c>
      <c r="BR19" t="s">
        <v>96</v>
      </c>
      <c r="BS19" t="s">
        <v>6968</v>
      </c>
      <c r="BT19" t="str">
        <f>HYPERLINK("https%3A%2F%2Fwww.webofscience.com%2Fwos%2Fwoscc%2Ffull-record%2FWOS:000369202300006","View Full Record in Web of Science")</f>
        <v>View Full Record in Web of Science</v>
      </c>
    </row>
    <row r="20" spans="1:72" x14ac:dyDescent="0.15">
      <c r="A20" t="s">
        <v>98</v>
      </c>
      <c r="B20" t="s">
        <v>2623</v>
      </c>
      <c r="C20" t="s">
        <v>74</v>
      </c>
      <c r="D20" t="s">
        <v>74</v>
      </c>
      <c r="E20" t="s">
        <v>74</v>
      </c>
      <c r="F20" t="s">
        <v>2624</v>
      </c>
      <c r="G20" t="s">
        <v>74</v>
      </c>
      <c r="H20" t="s">
        <v>74</v>
      </c>
      <c r="I20" t="s">
        <v>2625</v>
      </c>
      <c r="J20" t="s">
        <v>2626</v>
      </c>
      <c r="K20" t="s">
        <v>74</v>
      </c>
      <c r="L20" t="s">
        <v>74</v>
      </c>
      <c r="M20" t="s">
        <v>74</v>
      </c>
      <c r="N20" t="s">
        <v>103</v>
      </c>
      <c r="O20" t="s">
        <v>74</v>
      </c>
      <c r="P20" t="s">
        <v>74</v>
      </c>
      <c r="Q20" t="s">
        <v>74</v>
      </c>
      <c r="R20" t="s">
        <v>74</v>
      </c>
      <c r="S20" t="s">
        <v>74</v>
      </c>
      <c r="T20" t="s">
        <v>2627</v>
      </c>
      <c r="U20" t="s">
        <v>2628</v>
      </c>
      <c r="V20" t="s">
        <v>2629</v>
      </c>
      <c r="W20" t="s">
        <v>2630</v>
      </c>
      <c r="X20" t="s">
        <v>2631</v>
      </c>
      <c r="Y20" t="s">
        <v>2632</v>
      </c>
      <c r="Z20" t="s">
        <v>2633</v>
      </c>
      <c r="AA20" t="s">
        <v>2634</v>
      </c>
      <c r="AB20" t="s">
        <v>2635</v>
      </c>
      <c r="AC20" t="s">
        <v>74</v>
      </c>
      <c r="AD20" t="s">
        <v>74</v>
      </c>
      <c r="AE20" t="s">
        <v>74</v>
      </c>
      <c r="AF20" t="s">
        <v>74</v>
      </c>
      <c r="AG20">
        <v>20</v>
      </c>
      <c r="AH20">
        <v>425</v>
      </c>
      <c r="AI20">
        <v>438</v>
      </c>
      <c r="AJ20">
        <v>2</v>
      </c>
      <c r="AK20">
        <v>48</v>
      </c>
      <c r="AL20" t="s">
        <v>74</v>
      </c>
      <c r="AM20" t="s">
        <v>74</v>
      </c>
      <c r="AN20" t="s">
        <v>74</v>
      </c>
      <c r="AO20" t="s">
        <v>2636</v>
      </c>
      <c r="AP20" t="s">
        <v>2637</v>
      </c>
      <c r="AQ20" t="s">
        <v>74</v>
      </c>
      <c r="AR20" t="s">
        <v>74</v>
      </c>
      <c r="AS20" t="s">
        <v>74</v>
      </c>
      <c r="AT20" t="s">
        <v>114</v>
      </c>
      <c r="AU20">
        <v>2010</v>
      </c>
      <c r="AV20">
        <v>117</v>
      </c>
      <c r="AW20">
        <v>1</v>
      </c>
      <c r="AX20" t="s">
        <v>74</v>
      </c>
      <c r="AY20" t="s">
        <v>74</v>
      </c>
      <c r="AZ20" t="s">
        <v>74</v>
      </c>
      <c r="BA20" t="s">
        <v>74</v>
      </c>
      <c r="BB20">
        <v>1</v>
      </c>
      <c r="BC20">
        <v>4</v>
      </c>
      <c r="BD20" t="s">
        <v>74</v>
      </c>
      <c r="BE20" t="s">
        <v>2638</v>
      </c>
      <c r="BF20" t="str">
        <f>HYPERLINK("http://dx.doi.org/10.1007/s00702-009-0288-8","http://dx.doi.org/10.1007/s00702-009-0288-8")</f>
        <v>http://dx.doi.org/10.1007/s00702-009-0288-8</v>
      </c>
      <c r="BG20" t="s">
        <v>74</v>
      </c>
      <c r="BH20" t="s">
        <v>74</v>
      </c>
      <c r="BI20" t="s">
        <v>74</v>
      </c>
      <c r="BJ20" t="s">
        <v>2639</v>
      </c>
      <c r="BK20" t="s">
        <v>117</v>
      </c>
      <c r="BL20" t="s">
        <v>653</v>
      </c>
      <c r="BM20" t="s">
        <v>74</v>
      </c>
      <c r="BN20">
        <v>19680595</v>
      </c>
      <c r="BO20" t="s">
        <v>74</v>
      </c>
      <c r="BP20" t="s">
        <v>74</v>
      </c>
      <c r="BQ20" t="s">
        <v>74</v>
      </c>
      <c r="BR20" t="s">
        <v>96</v>
      </c>
      <c r="BS20" t="s">
        <v>2640</v>
      </c>
      <c r="BT20" t="str">
        <f>HYPERLINK("https%3A%2F%2Fwww.webofscience.com%2Fwos%2Fwoscc%2Ffull-record%2FWOS:000272464800001","View Full Record in Web of Science")</f>
        <v>View Full Record in Web of Science</v>
      </c>
    </row>
    <row r="21" spans="1:72" x14ac:dyDescent="0.15">
      <c r="A21" t="s">
        <v>98</v>
      </c>
      <c r="B21" t="s">
        <v>30209</v>
      </c>
      <c r="C21" t="s">
        <v>74</v>
      </c>
      <c r="D21" t="s">
        <v>74</v>
      </c>
      <c r="E21" t="s">
        <v>74</v>
      </c>
      <c r="F21" t="s">
        <v>30209</v>
      </c>
      <c r="G21" t="s">
        <v>74</v>
      </c>
      <c r="H21" t="s">
        <v>74</v>
      </c>
      <c r="I21" t="s">
        <v>30210</v>
      </c>
      <c r="J21" t="s">
        <v>1346</v>
      </c>
      <c r="K21" t="s">
        <v>74</v>
      </c>
      <c r="L21" t="s">
        <v>74</v>
      </c>
      <c r="M21" t="s">
        <v>74</v>
      </c>
      <c r="N21" t="s">
        <v>103</v>
      </c>
      <c r="O21" t="s">
        <v>74</v>
      </c>
      <c r="P21" t="s">
        <v>74</v>
      </c>
      <c r="Q21" t="s">
        <v>74</v>
      </c>
      <c r="R21" t="s">
        <v>74</v>
      </c>
      <c r="S21" t="s">
        <v>74</v>
      </c>
      <c r="T21" t="s">
        <v>74</v>
      </c>
      <c r="U21" t="s">
        <v>30211</v>
      </c>
      <c r="V21" t="s">
        <v>30212</v>
      </c>
      <c r="W21" t="s">
        <v>30213</v>
      </c>
      <c r="X21" t="s">
        <v>30214</v>
      </c>
      <c r="Y21" t="s">
        <v>74</v>
      </c>
      <c r="Z21" t="s">
        <v>74</v>
      </c>
      <c r="AA21" t="s">
        <v>74</v>
      </c>
      <c r="AB21" t="s">
        <v>30215</v>
      </c>
      <c r="AC21" t="s">
        <v>74</v>
      </c>
      <c r="AD21" t="s">
        <v>74</v>
      </c>
      <c r="AE21" t="s">
        <v>74</v>
      </c>
      <c r="AF21" t="s">
        <v>74</v>
      </c>
      <c r="AG21">
        <v>79</v>
      </c>
      <c r="AH21">
        <v>419</v>
      </c>
      <c r="AI21">
        <v>423</v>
      </c>
      <c r="AJ21">
        <v>1</v>
      </c>
      <c r="AK21">
        <v>7</v>
      </c>
      <c r="AL21" t="s">
        <v>74</v>
      </c>
      <c r="AM21" t="s">
        <v>74</v>
      </c>
      <c r="AN21" t="s">
        <v>74</v>
      </c>
      <c r="AO21" t="s">
        <v>1355</v>
      </c>
      <c r="AP21" t="s">
        <v>74</v>
      </c>
      <c r="AQ21" t="s">
        <v>74</v>
      </c>
      <c r="AR21" t="s">
        <v>74</v>
      </c>
      <c r="AS21" t="s">
        <v>74</v>
      </c>
      <c r="AT21" t="s">
        <v>132</v>
      </c>
      <c r="AU21">
        <v>1992</v>
      </c>
      <c r="AV21">
        <v>151</v>
      </c>
      <c r="AW21">
        <v>1</v>
      </c>
      <c r="AX21" t="s">
        <v>74</v>
      </c>
      <c r="AY21" t="s">
        <v>74</v>
      </c>
      <c r="AZ21" t="s">
        <v>74</v>
      </c>
      <c r="BA21" t="s">
        <v>74</v>
      </c>
      <c r="BB21">
        <v>81</v>
      </c>
      <c r="BC21">
        <v>93</v>
      </c>
      <c r="BD21" t="s">
        <v>74</v>
      </c>
      <c r="BE21" t="s">
        <v>30216</v>
      </c>
      <c r="BF21" t="str">
        <f>HYPERLINK("http://dx.doi.org/10.1002/jcp.1041510113","http://dx.doi.org/10.1002/jcp.1041510113")</f>
        <v>http://dx.doi.org/10.1002/jcp.1041510113</v>
      </c>
      <c r="BG21" t="s">
        <v>74</v>
      </c>
      <c r="BH21" t="s">
        <v>74</v>
      </c>
      <c r="BI21" t="s">
        <v>74</v>
      </c>
      <c r="BJ21" t="s">
        <v>1359</v>
      </c>
      <c r="BK21" t="s">
        <v>117</v>
      </c>
      <c r="BL21" t="s">
        <v>1359</v>
      </c>
      <c r="BM21" t="s">
        <v>74</v>
      </c>
      <c r="BN21">
        <v>1560052</v>
      </c>
      <c r="BO21" t="s">
        <v>74</v>
      </c>
      <c r="BP21" t="s">
        <v>74</v>
      </c>
      <c r="BQ21" t="s">
        <v>74</v>
      </c>
      <c r="BR21" t="s">
        <v>96</v>
      </c>
      <c r="BS21" t="s">
        <v>30217</v>
      </c>
      <c r="BT21" t="str">
        <f>HYPERLINK("https%3A%2F%2Fwww.webofscience.com%2Fwos%2Fwoscc%2Ffull-record%2FWOS:A1992HM96000012","View Full Record in Web of Science")</f>
        <v>View Full Record in Web of Science</v>
      </c>
    </row>
    <row r="22" spans="1:72" x14ac:dyDescent="0.15">
      <c r="A22" t="s">
        <v>98</v>
      </c>
      <c r="B22" t="s">
        <v>28663</v>
      </c>
      <c r="C22" t="s">
        <v>74</v>
      </c>
      <c r="D22" t="s">
        <v>74</v>
      </c>
      <c r="E22" t="s">
        <v>74</v>
      </c>
      <c r="F22" t="s">
        <v>28663</v>
      </c>
      <c r="G22" t="s">
        <v>74</v>
      </c>
      <c r="H22" t="s">
        <v>74</v>
      </c>
      <c r="I22" t="s">
        <v>28664</v>
      </c>
      <c r="J22" t="s">
        <v>26015</v>
      </c>
      <c r="K22" t="s">
        <v>74</v>
      </c>
      <c r="L22" t="s">
        <v>74</v>
      </c>
      <c r="M22" t="s">
        <v>74</v>
      </c>
      <c r="N22" t="s">
        <v>103</v>
      </c>
      <c r="O22" t="s">
        <v>74</v>
      </c>
      <c r="P22" t="s">
        <v>74</v>
      </c>
      <c r="Q22" t="s">
        <v>74</v>
      </c>
      <c r="R22" t="s">
        <v>74</v>
      </c>
      <c r="S22" t="s">
        <v>74</v>
      </c>
      <c r="T22" t="s">
        <v>74</v>
      </c>
      <c r="U22" t="s">
        <v>28665</v>
      </c>
      <c r="V22" t="s">
        <v>28666</v>
      </c>
      <c r="W22" t="s">
        <v>28667</v>
      </c>
      <c r="X22" t="s">
        <v>28668</v>
      </c>
      <c r="Y22" t="s">
        <v>28669</v>
      </c>
      <c r="Z22" t="s">
        <v>74</v>
      </c>
      <c r="AA22" t="s">
        <v>74</v>
      </c>
      <c r="AB22" t="s">
        <v>74</v>
      </c>
      <c r="AC22" t="s">
        <v>74</v>
      </c>
      <c r="AD22" t="s">
        <v>74</v>
      </c>
      <c r="AE22" t="s">
        <v>74</v>
      </c>
      <c r="AF22" t="s">
        <v>74</v>
      </c>
      <c r="AG22">
        <v>30</v>
      </c>
      <c r="AH22">
        <v>416</v>
      </c>
      <c r="AI22">
        <v>454</v>
      </c>
      <c r="AJ22">
        <v>0</v>
      </c>
      <c r="AK22">
        <v>38</v>
      </c>
      <c r="AL22" t="s">
        <v>74</v>
      </c>
      <c r="AM22" t="s">
        <v>74</v>
      </c>
      <c r="AN22" t="s">
        <v>74</v>
      </c>
      <c r="AO22" t="s">
        <v>26022</v>
      </c>
      <c r="AP22" t="s">
        <v>28670</v>
      </c>
      <c r="AQ22" t="s">
        <v>74</v>
      </c>
      <c r="AR22" t="s">
        <v>74</v>
      </c>
      <c r="AS22" t="s">
        <v>74</v>
      </c>
      <c r="AT22" t="s">
        <v>531</v>
      </c>
      <c r="AU22">
        <v>1998</v>
      </c>
      <c r="AV22">
        <v>41</v>
      </c>
      <c r="AW22">
        <v>9</v>
      </c>
      <c r="AX22" t="s">
        <v>74</v>
      </c>
      <c r="AY22" t="s">
        <v>74</v>
      </c>
      <c r="AZ22" t="s">
        <v>74</v>
      </c>
      <c r="BA22" t="s">
        <v>74</v>
      </c>
      <c r="BB22">
        <v>1632</v>
      </c>
      <c r="BC22">
        <v>1638</v>
      </c>
      <c r="BD22" t="s">
        <v>74</v>
      </c>
      <c r="BE22" t="s">
        <v>28671</v>
      </c>
      <c r="BF22" t="str">
        <f>HYPERLINK("http://dx.doi.org/10.1002/1529-0131(199809)41:9&lt;1632::AID-ART14&gt;3.0.CO;2-A","http://dx.doi.org/10.1002/1529-0131(199809)41:9&lt;1632::AID-ART14&gt;3.0.CO;2-A")</f>
        <v>http://dx.doi.org/10.1002/1529-0131(199809)41:9&lt;1632::AID-ART14&gt;3.0.CO;2-A</v>
      </c>
      <c r="BG22" t="s">
        <v>74</v>
      </c>
      <c r="BH22" t="s">
        <v>74</v>
      </c>
      <c r="BI22" t="s">
        <v>74</v>
      </c>
      <c r="BJ22" t="s">
        <v>16983</v>
      </c>
      <c r="BK22" t="s">
        <v>117</v>
      </c>
      <c r="BL22" t="s">
        <v>16983</v>
      </c>
      <c r="BM22" t="s">
        <v>74</v>
      </c>
      <c r="BN22">
        <v>9751096</v>
      </c>
      <c r="BO22" t="s">
        <v>74</v>
      </c>
      <c r="BP22" t="s">
        <v>74</v>
      </c>
      <c r="BQ22" t="s">
        <v>74</v>
      </c>
      <c r="BR22" t="s">
        <v>96</v>
      </c>
      <c r="BS22" t="s">
        <v>28672</v>
      </c>
      <c r="BT22" t="str">
        <f>HYPERLINK("https%3A%2F%2Fwww.webofscience.com%2Fwos%2Fwoscc%2Ffull-record%2FWOS:000076066400013","View Full Record in Web of Science")</f>
        <v>View Full Record in Web of Science</v>
      </c>
    </row>
    <row r="23" spans="1:72" x14ac:dyDescent="0.15">
      <c r="A23" t="s">
        <v>98</v>
      </c>
      <c r="B23" t="s">
        <v>3777</v>
      </c>
      <c r="C23" t="s">
        <v>74</v>
      </c>
      <c r="D23" t="s">
        <v>74</v>
      </c>
      <c r="E23" t="s">
        <v>74</v>
      </c>
      <c r="F23" t="s">
        <v>3778</v>
      </c>
      <c r="G23" t="s">
        <v>74</v>
      </c>
      <c r="H23" t="s">
        <v>74</v>
      </c>
      <c r="I23" t="s">
        <v>3779</v>
      </c>
      <c r="J23" t="s">
        <v>3780</v>
      </c>
      <c r="K23" t="s">
        <v>74</v>
      </c>
      <c r="L23" t="s">
        <v>74</v>
      </c>
      <c r="M23" t="s">
        <v>74</v>
      </c>
      <c r="N23" t="s">
        <v>103</v>
      </c>
      <c r="O23" t="s">
        <v>74</v>
      </c>
      <c r="P23" t="s">
        <v>74</v>
      </c>
      <c r="Q23" t="s">
        <v>74</v>
      </c>
      <c r="R23" t="s">
        <v>74</v>
      </c>
      <c r="S23" t="s">
        <v>74</v>
      </c>
      <c r="T23" t="s">
        <v>74</v>
      </c>
      <c r="U23" t="s">
        <v>3781</v>
      </c>
      <c r="V23" t="s">
        <v>3782</v>
      </c>
      <c r="W23" t="s">
        <v>3783</v>
      </c>
      <c r="X23" t="s">
        <v>3784</v>
      </c>
      <c r="Y23" t="s">
        <v>3785</v>
      </c>
      <c r="Z23" t="s">
        <v>3786</v>
      </c>
      <c r="AA23" t="s">
        <v>74</v>
      </c>
      <c r="AB23" t="s">
        <v>74</v>
      </c>
      <c r="AC23" t="s">
        <v>74</v>
      </c>
      <c r="AD23" t="s">
        <v>74</v>
      </c>
      <c r="AE23" t="s">
        <v>74</v>
      </c>
      <c r="AF23" t="s">
        <v>74</v>
      </c>
      <c r="AG23">
        <v>50</v>
      </c>
      <c r="AH23">
        <v>367</v>
      </c>
      <c r="AI23">
        <v>378</v>
      </c>
      <c r="AJ23">
        <v>44</v>
      </c>
      <c r="AK23">
        <v>437</v>
      </c>
      <c r="AL23" t="s">
        <v>74</v>
      </c>
      <c r="AM23" t="s">
        <v>74</v>
      </c>
      <c r="AN23" t="s">
        <v>74</v>
      </c>
      <c r="AO23" t="s">
        <v>3787</v>
      </c>
      <c r="AP23" t="s">
        <v>3788</v>
      </c>
      <c r="AQ23" t="s">
        <v>74</v>
      </c>
      <c r="AR23" t="s">
        <v>74</v>
      </c>
      <c r="AS23" t="s">
        <v>74</v>
      </c>
      <c r="AT23" t="s">
        <v>74</v>
      </c>
      <c r="AU23">
        <v>2014</v>
      </c>
      <c r="AV23">
        <v>14</v>
      </c>
      <c r="AW23">
        <v>11</v>
      </c>
      <c r="AX23" t="s">
        <v>74</v>
      </c>
      <c r="AY23" t="s">
        <v>74</v>
      </c>
      <c r="AZ23" t="s">
        <v>74</v>
      </c>
      <c r="BA23" t="s">
        <v>74</v>
      </c>
      <c r="BB23">
        <v>1891</v>
      </c>
      <c r="BC23">
        <v>1900</v>
      </c>
      <c r="BD23" t="s">
        <v>74</v>
      </c>
      <c r="BE23" t="s">
        <v>3789</v>
      </c>
      <c r="BF23" t="str">
        <f>HYPERLINK("http://dx.doi.org/10.1039/c4lc00136b","http://dx.doi.org/10.1039/c4lc00136b")</f>
        <v>http://dx.doi.org/10.1039/c4lc00136b</v>
      </c>
      <c r="BG23" t="s">
        <v>74</v>
      </c>
      <c r="BH23" t="s">
        <v>74</v>
      </c>
      <c r="BI23" t="s">
        <v>74</v>
      </c>
      <c r="BJ23" t="s">
        <v>3790</v>
      </c>
      <c r="BK23" t="s">
        <v>117</v>
      </c>
      <c r="BL23" t="s">
        <v>3791</v>
      </c>
      <c r="BM23" t="s">
        <v>74</v>
      </c>
      <c r="BN23">
        <v>24722878</v>
      </c>
      <c r="BO23" t="s">
        <v>74</v>
      </c>
      <c r="BP23" t="s">
        <v>193</v>
      </c>
      <c r="BQ23" t="s">
        <v>194</v>
      </c>
      <c r="BR23" t="s">
        <v>96</v>
      </c>
      <c r="BS23" t="s">
        <v>3792</v>
      </c>
      <c r="BT23" t="str">
        <f>HYPERLINK("https%3A%2F%2Fwww.webofscience.com%2Fwos%2Fwoscc%2Ffull-record%2FWOS:000335925400014","View Full Record in Web of Science")</f>
        <v>View Full Record in Web of Science</v>
      </c>
    </row>
    <row r="24" spans="1:72" x14ac:dyDescent="0.15">
      <c r="A24" t="s">
        <v>98</v>
      </c>
      <c r="B24" t="s">
        <v>6207</v>
      </c>
      <c r="C24" t="s">
        <v>74</v>
      </c>
      <c r="D24" t="s">
        <v>74</v>
      </c>
      <c r="E24" t="s">
        <v>74</v>
      </c>
      <c r="F24" t="s">
        <v>6208</v>
      </c>
      <c r="G24" t="s">
        <v>74</v>
      </c>
      <c r="H24" t="s">
        <v>74</v>
      </c>
      <c r="I24" t="s">
        <v>6209</v>
      </c>
      <c r="J24" t="s">
        <v>5139</v>
      </c>
      <c r="K24" t="s">
        <v>74</v>
      </c>
      <c r="L24" t="s">
        <v>74</v>
      </c>
      <c r="M24" t="s">
        <v>74</v>
      </c>
      <c r="N24" t="s">
        <v>103</v>
      </c>
      <c r="O24" t="s">
        <v>74</v>
      </c>
      <c r="P24" t="s">
        <v>74</v>
      </c>
      <c r="Q24" t="s">
        <v>74</v>
      </c>
      <c r="R24" t="s">
        <v>74</v>
      </c>
      <c r="S24" t="s">
        <v>74</v>
      </c>
      <c r="T24" t="s">
        <v>74</v>
      </c>
      <c r="U24" t="s">
        <v>6210</v>
      </c>
      <c r="V24" t="s">
        <v>6211</v>
      </c>
      <c r="W24" t="s">
        <v>6212</v>
      </c>
      <c r="X24" t="s">
        <v>6213</v>
      </c>
      <c r="Y24" t="s">
        <v>6214</v>
      </c>
      <c r="Z24" t="s">
        <v>6215</v>
      </c>
      <c r="AA24" t="s">
        <v>6216</v>
      </c>
      <c r="AB24" t="s">
        <v>6217</v>
      </c>
      <c r="AC24" t="s">
        <v>74</v>
      </c>
      <c r="AD24" t="s">
        <v>74</v>
      </c>
      <c r="AE24" t="s">
        <v>74</v>
      </c>
      <c r="AF24" t="s">
        <v>74</v>
      </c>
      <c r="AG24">
        <v>70</v>
      </c>
      <c r="AH24">
        <v>360</v>
      </c>
      <c r="AI24">
        <v>369</v>
      </c>
      <c r="AJ24">
        <v>15</v>
      </c>
      <c r="AK24">
        <v>127</v>
      </c>
      <c r="AL24" t="s">
        <v>74</v>
      </c>
      <c r="AM24" t="s">
        <v>74</v>
      </c>
      <c r="AN24" t="s">
        <v>74</v>
      </c>
      <c r="AO24" t="s">
        <v>5148</v>
      </c>
      <c r="AP24" t="s">
        <v>74</v>
      </c>
      <c r="AQ24" t="s">
        <v>74</v>
      </c>
      <c r="AR24" t="s">
        <v>74</v>
      </c>
      <c r="AS24" t="s">
        <v>74</v>
      </c>
      <c r="AT24" t="s">
        <v>6218</v>
      </c>
      <c r="AU24">
        <v>2017</v>
      </c>
      <c r="AV24">
        <v>8</v>
      </c>
      <c r="AW24" t="s">
        <v>74</v>
      </c>
      <c r="AX24" t="s">
        <v>74</v>
      </c>
      <c r="AY24" t="s">
        <v>74</v>
      </c>
      <c r="AZ24" t="s">
        <v>74</v>
      </c>
      <c r="BA24" t="s">
        <v>74</v>
      </c>
      <c r="BB24" t="s">
        <v>74</v>
      </c>
      <c r="BC24" t="s">
        <v>74</v>
      </c>
      <c r="BD24">
        <v>15287</v>
      </c>
      <c r="BE24" t="s">
        <v>6219</v>
      </c>
      <c r="BF24" t="str">
        <f>HYPERLINK("http://dx.doi.org/10.1038/ncomms15287","http://dx.doi.org/10.1038/ncomms15287")</f>
        <v>http://dx.doi.org/10.1038/ncomms15287</v>
      </c>
      <c r="BG24" t="s">
        <v>74</v>
      </c>
      <c r="BH24" t="s">
        <v>74</v>
      </c>
      <c r="BI24" t="s">
        <v>74</v>
      </c>
      <c r="BJ24" t="s">
        <v>152</v>
      </c>
      <c r="BK24" t="s">
        <v>117</v>
      </c>
      <c r="BL24" t="s">
        <v>153</v>
      </c>
      <c r="BM24" t="s">
        <v>74</v>
      </c>
      <c r="BN24">
        <v>28508895</v>
      </c>
      <c r="BO24" t="s">
        <v>74</v>
      </c>
      <c r="BP24" t="s">
        <v>193</v>
      </c>
      <c r="BQ24" t="s">
        <v>194</v>
      </c>
      <c r="BR24" t="s">
        <v>96</v>
      </c>
      <c r="BS24" t="s">
        <v>6220</v>
      </c>
      <c r="BT24" t="str">
        <f>HYPERLINK("https%3A%2F%2Fwww.webofscience.com%2Fwos%2Fwoscc%2Ffull-record%2FWOS:000401405200001","View Full Record in Web of Science")</f>
        <v>View Full Record in Web of Science</v>
      </c>
    </row>
    <row r="25" spans="1:72" x14ac:dyDescent="0.15">
      <c r="A25" t="s">
        <v>98</v>
      </c>
      <c r="B25" t="s">
        <v>21915</v>
      </c>
      <c r="C25" t="s">
        <v>74</v>
      </c>
      <c r="D25" t="s">
        <v>74</v>
      </c>
      <c r="E25" t="s">
        <v>74</v>
      </c>
      <c r="F25" t="s">
        <v>21916</v>
      </c>
      <c r="G25" t="s">
        <v>74</v>
      </c>
      <c r="H25" t="s">
        <v>74</v>
      </c>
      <c r="I25" t="s">
        <v>21917</v>
      </c>
      <c r="J25" t="s">
        <v>5139</v>
      </c>
      <c r="K25" t="s">
        <v>74</v>
      </c>
      <c r="L25" t="s">
        <v>74</v>
      </c>
      <c r="M25" t="s">
        <v>74</v>
      </c>
      <c r="N25" t="s">
        <v>103</v>
      </c>
      <c r="O25" t="s">
        <v>74</v>
      </c>
      <c r="P25" t="s">
        <v>74</v>
      </c>
      <c r="Q25" t="s">
        <v>74</v>
      </c>
      <c r="R25" t="s">
        <v>74</v>
      </c>
      <c r="S25" t="s">
        <v>74</v>
      </c>
      <c r="T25" t="s">
        <v>74</v>
      </c>
      <c r="U25" t="s">
        <v>21918</v>
      </c>
      <c r="V25" t="s">
        <v>21919</v>
      </c>
      <c r="W25" t="s">
        <v>21920</v>
      </c>
      <c r="X25" t="s">
        <v>21921</v>
      </c>
      <c r="Y25" t="s">
        <v>21922</v>
      </c>
      <c r="Z25" t="s">
        <v>21923</v>
      </c>
      <c r="AA25" t="s">
        <v>3611</v>
      </c>
      <c r="AB25" t="s">
        <v>21924</v>
      </c>
      <c r="AC25" t="s">
        <v>74</v>
      </c>
      <c r="AD25" t="s">
        <v>74</v>
      </c>
      <c r="AE25" t="s">
        <v>74</v>
      </c>
      <c r="AF25" t="s">
        <v>74</v>
      </c>
      <c r="AG25">
        <v>35</v>
      </c>
      <c r="AH25">
        <v>358</v>
      </c>
      <c r="AI25">
        <v>368</v>
      </c>
      <c r="AJ25">
        <v>34</v>
      </c>
      <c r="AK25">
        <v>263</v>
      </c>
      <c r="AL25" t="s">
        <v>74</v>
      </c>
      <c r="AM25" t="s">
        <v>74</v>
      </c>
      <c r="AN25" t="s">
        <v>74</v>
      </c>
      <c r="AO25" t="s">
        <v>5148</v>
      </c>
      <c r="AP25" t="s">
        <v>74</v>
      </c>
      <c r="AQ25" t="s">
        <v>74</v>
      </c>
      <c r="AR25" t="s">
        <v>74</v>
      </c>
      <c r="AS25" t="s">
        <v>74</v>
      </c>
      <c r="AT25" t="s">
        <v>1029</v>
      </c>
      <c r="AU25">
        <v>2015</v>
      </c>
      <c r="AV25">
        <v>6</v>
      </c>
      <c r="AW25" t="s">
        <v>74</v>
      </c>
      <c r="AX25" t="s">
        <v>74</v>
      </c>
      <c r="AY25" t="s">
        <v>74</v>
      </c>
      <c r="AZ25" t="s">
        <v>74</v>
      </c>
      <c r="BA25" t="s">
        <v>74</v>
      </c>
      <c r="BB25" t="s">
        <v>74</v>
      </c>
      <c r="BC25" t="s">
        <v>74</v>
      </c>
      <c r="BD25">
        <v>6999</v>
      </c>
      <c r="BE25" t="s">
        <v>21925</v>
      </c>
      <c r="BF25" t="str">
        <f>HYPERLINK("http://dx.doi.org/10.1038/ncomms7999","http://dx.doi.org/10.1038/ncomms7999")</f>
        <v>http://dx.doi.org/10.1038/ncomms7999</v>
      </c>
      <c r="BG25" t="s">
        <v>74</v>
      </c>
      <c r="BH25" t="s">
        <v>74</v>
      </c>
      <c r="BI25" t="s">
        <v>74</v>
      </c>
      <c r="BJ25" t="s">
        <v>152</v>
      </c>
      <c r="BK25" t="s">
        <v>117</v>
      </c>
      <c r="BL25" t="s">
        <v>153</v>
      </c>
      <c r="BM25" t="s">
        <v>74</v>
      </c>
      <c r="BN25">
        <v>25959588</v>
      </c>
      <c r="BO25" t="s">
        <v>74</v>
      </c>
      <c r="BP25" t="s">
        <v>193</v>
      </c>
      <c r="BQ25" t="s">
        <v>194</v>
      </c>
      <c r="BR25" t="s">
        <v>96</v>
      </c>
      <c r="BS25" t="s">
        <v>21926</v>
      </c>
      <c r="BT25" t="str">
        <f>HYPERLINK("https%3A%2F%2Fwww.webofscience.com%2Fwos%2Fwoscc%2Ffull-record%2FWOS:000355529100002","View Full Record in Web of Science")</f>
        <v>View Full Record in Web of Science</v>
      </c>
    </row>
    <row r="26" spans="1:72" x14ac:dyDescent="0.15">
      <c r="A26" t="s">
        <v>98</v>
      </c>
      <c r="B26" t="s">
        <v>19444</v>
      </c>
      <c r="C26" t="s">
        <v>74</v>
      </c>
      <c r="D26" t="s">
        <v>74</v>
      </c>
      <c r="E26" t="s">
        <v>74</v>
      </c>
      <c r="F26" t="s">
        <v>19444</v>
      </c>
      <c r="G26" t="s">
        <v>74</v>
      </c>
      <c r="H26" t="s">
        <v>74</v>
      </c>
      <c r="I26" t="s">
        <v>19445</v>
      </c>
      <c r="J26" t="s">
        <v>12261</v>
      </c>
      <c r="K26" t="s">
        <v>74</v>
      </c>
      <c r="L26" t="s">
        <v>74</v>
      </c>
      <c r="M26" t="s">
        <v>74</v>
      </c>
      <c r="N26" t="s">
        <v>103</v>
      </c>
      <c r="O26" t="s">
        <v>74</v>
      </c>
      <c r="P26" t="s">
        <v>74</v>
      </c>
      <c r="Q26" t="s">
        <v>74</v>
      </c>
      <c r="R26" t="s">
        <v>74</v>
      </c>
      <c r="S26" t="s">
        <v>74</v>
      </c>
      <c r="T26" t="s">
        <v>74</v>
      </c>
      <c r="U26" t="s">
        <v>19446</v>
      </c>
      <c r="V26" t="s">
        <v>19447</v>
      </c>
      <c r="W26" t="s">
        <v>19448</v>
      </c>
      <c r="X26" t="s">
        <v>19449</v>
      </c>
      <c r="Y26" t="s">
        <v>19450</v>
      </c>
      <c r="Z26" t="s">
        <v>11973</v>
      </c>
      <c r="AA26" t="s">
        <v>19451</v>
      </c>
      <c r="AB26" t="s">
        <v>19452</v>
      </c>
      <c r="AC26" t="s">
        <v>74</v>
      </c>
      <c r="AD26" t="s">
        <v>74</v>
      </c>
      <c r="AE26" t="s">
        <v>74</v>
      </c>
      <c r="AF26" t="s">
        <v>74</v>
      </c>
      <c r="AG26">
        <v>34</v>
      </c>
      <c r="AH26">
        <v>356</v>
      </c>
      <c r="AI26">
        <v>372</v>
      </c>
      <c r="AJ26">
        <v>0</v>
      </c>
      <c r="AK26">
        <v>19</v>
      </c>
      <c r="AL26" t="s">
        <v>74</v>
      </c>
      <c r="AM26" t="s">
        <v>74</v>
      </c>
      <c r="AN26" t="s">
        <v>74</v>
      </c>
      <c r="AO26" t="s">
        <v>12268</v>
      </c>
      <c r="AP26" t="s">
        <v>12269</v>
      </c>
      <c r="AQ26" t="s">
        <v>74</v>
      </c>
      <c r="AR26" t="s">
        <v>74</v>
      </c>
      <c r="AS26" t="s">
        <v>74</v>
      </c>
      <c r="AT26" t="s">
        <v>4965</v>
      </c>
      <c r="AU26">
        <v>2005</v>
      </c>
      <c r="AV26">
        <v>11</v>
      </c>
      <c r="AW26">
        <v>3</v>
      </c>
      <c r="AX26" t="s">
        <v>74</v>
      </c>
      <c r="AY26" t="s">
        <v>74</v>
      </c>
      <c r="AZ26" t="s">
        <v>74</v>
      </c>
      <c r="BA26" t="s">
        <v>74</v>
      </c>
      <c r="BB26">
        <v>1010</v>
      </c>
      <c r="BC26">
        <v>1020</v>
      </c>
      <c r="BD26" t="s">
        <v>74</v>
      </c>
      <c r="BE26" t="s">
        <v>74</v>
      </c>
      <c r="BF26" t="s">
        <v>74</v>
      </c>
      <c r="BG26" t="s">
        <v>74</v>
      </c>
      <c r="BH26" t="s">
        <v>74</v>
      </c>
      <c r="BI26" t="s">
        <v>74</v>
      </c>
      <c r="BJ26" t="s">
        <v>267</v>
      </c>
      <c r="BK26" t="s">
        <v>117</v>
      </c>
      <c r="BL26" t="s">
        <v>267</v>
      </c>
      <c r="BM26" t="s">
        <v>74</v>
      </c>
      <c r="BN26">
        <v>15709166</v>
      </c>
      <c r="BO26" t="s">
        <v>74</v>
      </c>
      <c r="BP26" t="s">
        <v>74</v>
      </c>
      <c r="BQ26" t="s">
        <v>74</v>
      </c>
      <c r="BR26" t="s">
        <v>96</v>
      </c>
      <c r="BS26" t="s">
        <v>19453</v>
      </c>
      <c r="BT26" t="str">
        <f>HYPERLINK("https%3A%2F%2Fwww.webofscience.com%2Fwos%2Fwoscc%2Ffull-record%2FWOS:000226740400008","View Full Record in Web of Science")</f>
        <v>View Full Record in Web of Science</v>
      </c>
    </row>
    <row r="27" spans="1:72" x14ac:dyDescent="0.15">
      <c r="A27" t="s">
        <v>98</v>
      </c>
      <c r="B27" t="s">
        <v>15038</v>
      </c>
      <c r="C27" t="s">
        <v>74</v>
      </c>
      <c r="D27" t="s">
        <v>74</v>
      </c>
      <c r="E27" t="s">
        <v>74</v>
      </c>
      <c r="F27" t="s">
        <v>15039</v>
      </c>
      <c r="G27" t="s">
        <v>74</v>
      </c>
      <c r="H27" t="s">
        <v>74</v>
      </c>
      <c r="I27" t="s">
        <v>15040</v>
      </c>
      <c r="J27" t="s">
        <v>9727</v>
      </c>
      <c r="K27" t="s">
        <v>74</v>
      </c>
      <c r="L27" t="s">
        <v>74</v>
      </c>
      <c r="M27" t="s">
        <v>74</v>
      </c>
      <c r="N27" t="s">
        <v>103</v>
      </c>
      <c r="O27" t="s">
        <v>74</v>
      </c>
      <c r="P27" t="s">
        <v>74</v>
      </c>
      <c r="Q27" t="s">
        <v>74</v>
      </c>
      <c r="R27" t="s">
        <v>74</v>
      </c>
      <c r="S27" t="s">
        <v>74</v>
      </c>
      <c r="T27" t="s">
        <v>74</v>
      </c>
      <c r="U27" t="s">
        <v>15041</v>
      </c>
      <c r="V27" t="s">
        <v>15042</v>
      </c>
      <c r="W27" t="s">
        <v>15043</v>
      </c>
      <c r="X27" t="s">
        <v>15044</v>
      </c>
      <c r="Y27" t="s">
        <v>15045</v>
      </c>
      <c r="Z27" t="s">
        <v>15046</v>
      </c>
      <c r="AA27" t="s">
        <v>15047</v>
      </c>
      <c r="AB27" t="s">
        <v>15048</v>
      </c>
      <c r="AC27" t="s">
        <v>74</v>
      </c>
      <c r="AD27" t="s">
        <v>74</v>
      </c>
      <c r="AE27" t="s">
        <v>74</v>
      </c>
      <c r="AF27" t="s">
        <v>74</v>
      </c>
      <c r="AG27">
        <v>44</v>
      </c>
      <c r="AH27">
        <v>354</v>
      </c>
      <c r="AI27">
        <v>359</v>
      </c>
      <c r="AJ27">
        <v>5</v>
      </c>
      <c r="AK27">
        <v>179</v>
      </c>
      <c r="AL27" t="s">
        <v>74</v>
      </c>
      <c r="AM27" t="s">
        <v>74</v>
      </c>
      <c r="AN27" t="s">
        <v>74</v>
      </c>
      <c r="AO27" t="s">
        <v>9736</v>
      </c>
      <c r="AP27" t="s">
        <v>74</v>
      </c>
      <c r="AQ27" t="s">
        <v>74</v>
      </c>
      <c r="AR27" t="s">
        <v>74</v>
      </c>
      <c r="AS27" t="s">
        <v>74</v>
      </c>
      <c r="AT27" t="s">
        <v>170</v>
      </c>
      <c r="AU27">
        <v>2007</v>
      </c>
      <c r="AV27">
        <v>8</v>
      </c>
      <c r="AW27">
        <v>6</v>
      </c>
      <c r="AX27" t="s">
        <v>74</v>
      </c>
      <c r="AY27" t="s">
        <v>74</v>
      </c>
      <c r="AZ27" t="s">
        <v>74</v>
      </c>
      <c r="BA27" t="s">
        <v>74</v>
      </c>
      <c r="BB27">
        <v>1966</v>
      </c>
      <c r="BC27">
        <v>1972</v>
      </c>
      <c r="BD27" t="s">
        <v>74</v>
      </c>
      <c r="BE27" t="s">
        <v>15049</v>
      </c>
      <c r="BF27" t="str">
        <f>HYPERLINK("http://dx.doi.org/10.1021/bm070085x","http://dx.doi.org/10.1021/bm070085x")</f>
        <v>http://dx.doi.org/10.1021/bm070085x</v>
      </c>
      <c r="BG27" t="s">
        <v>74</v>
      </c>
      <c r="BH27" t="s">
        <v>74</v>
      </c>
      <c r="BI27" t="s">
        <v>74</v>
      </c>
      <c r="BJ27" t="s">
        <v>9740</v>
      </c>
      <c r="BK27" t="s">
        <v>10246</v>
      </c>
      <c r="BL27" t="s">
        <v>9741</v>
      </c>
      <c r="BM27" t="s">
        <v>74</v>
      </c>
      <c r="BN27">
        <v>17497921</v>
      </c>
      <c r="BO27" t="s">
        <v>74</v>
      </c>
      <c r="BP27" t="s">
        <v>74</v>
      </c>
      <c r="BQ27" t="s">
        <v>74</v>
      </c>
      <c r="BR27" t="s">
        <v>96</v>
      </c>
      <c r="BS27" t="s">
        <v>15050</v>
      </c>
      <c r="BT27" t="str">
        <f>HYPERLINK("https%3A%2F%2Fwww.webofscience.com%2Fwos%2Fwoscc%2Ffull-record%2FWOS:000247107900027","View Full Record in Web of Science")</f>
        <v>View Full Record in Web of Science</v>
      </c>
    </row>
    <row r="28" spans="1:72" x14ac:dyDescent="0.15">
      <c r="A28" t="s">
        <v>98</v>
      </c>
      <c r="B28" t="s">
        <v>14921</v>
      </c>
      <c r="C28" t="s">
        <v>74</v>
      </c>
      <c r="D28" t="s">
        <v>74</v>
      </c>
      <c r="E28" t="s">
        <v>74</v>
      </c>
      <c r="F28" t="s">
        <v>14922</v>
      </c>
      <c r="G28" t="s">
        <v>74</v>
      </c>
      <c r="H28" t="s">
        <v>74</v>
      </c>
      <c r="I28" t="s">
        <v>14923</v>
      </c>
      <c r="J28" t="s">
        <v>7841</v>
      </c>
      <c r="K28" t="s">
        <v>74</v>
      </c>
      <c r="L28" t="s">
        <v>74</v>
      </c>
      <c r="M28" t="s">
        <v>74</v>
      </c>
      <c r="N28" t="s">
        <v>103</v>
      </c>
      <c r="O28" t="s">
        <v>74</v>
      </c>
      <c r="P28" t="s">
        <v>74</v>
      </c>
      <c r="Q28" t="s">
        <v>74</v>
      </c>
      <c r="R28" t="s">
        <v>74</v>
      </c>
      <c r="S28" t="s">
        <v>74</v>
      </c>
      <c r="T28" t="s">
        <v>74</v>
      </c>
      <c r="U28" t="s">
        <v>14924</v>
      </c>
      <c r="V28" t="s">
        <v>14925</v>
      </c>
      <c r="W28" t="s">
        <v>14926</v>
      </c>
      <c r="X28" t="s">
        <v>11971</v>
      </c>
      <c r="Y28" t="s">
        <v>14927</v>
      </c>
      <c r="Z28" t="s">
        <v>14928</v>
      </c>
      <c r="AA28" t="s">
        <v>74</v>
      </c>
      <c r="AB28" t="s">
        <v>14929</v>
      </c>
      <c r="AC28" t="s">
        <v>74</v>
      </c>
      <c r="AD28" t="s">
        <v>74</v>
      </c>
      <c r="AE28" t="s">
        <v>74</v>
      </c>
      <c r="AF28" t="s">
        <v>74</v>
      </c>
      <c r="AG28">
        <v>51</v>
      </c>
      <c r="AH28">
        <v>352</v>
      </c>
      <c r="AI28">
        <v>363</v>
      </c>
      <c r="AJ28">
        <v>0</v>
      </c>
      <c r="AK28">
        <v>17</v>
      </c>
      <c r="AL28" t="s">
        <v>74</v>
      </c>
      <c r="AM28" t="s">
        <v>74</v>
      </c>
      <c r="AN28" t="s">
        <v>74</v>
      </c>
      <c r="AO28" t="s">
        <v>7850</v>
      </c>
      <c r="AP28" t="s">
        <v>7851</v>
      </c>
      <c r="AQ28" t="s">
        <v>74</v>
      </c>
      <c r="AR28" t="s">
        <v>74</v>
      </c>
      <c r="AS28" t="s">
        <v>74</v>
      </c>
      <c r="AT28" t="s">
        <v>11850</v>
      </c>
      <c r="AU28">
        <v>2009</v>
      </c>
      <c r="AV28">
        <v>183</v>
      </c>
      <c r="AW28">
        <v>6</v>
      </c>
      <c r="AX28" t="s">
        <v>74</v>
      </c>
      <c r="AY28" t="s">
        <v>74</v>
      </c>
      <c r="AZ28" t="s">
        <v>74</v>
      </c>
      <c r="BA28" t="s">
        <v>74</v>
      </c>
      <c r="BB28">
        <v>3720</v>
      </c>
      <c r="BC28">
        <v>3730</v>
      </c>
      <c r="BD28" t="s">
        <v>74</v>
      </c>
      <c r="BE28" t="s">
        <v>14930</v>
      </c>
      <c r="BF28" t="str">
        <f>HYPERLINK("http://dx.doi.org/10.4049/jimmunol.0900970","http://dx.doi.org/10.4049/jimmunol.0900970")</f>
        <v>http://dx.doi.org/10.4049/jimmunol.0900970</v>
      </c>
      <c r="BG28" t="s">
        <v>74</v>
      </c>
      <c r="BH28" t="s">
        <v>74</v>
      </c>
      <c r="BI28" t="s">
        <v>74</v>
      </c>
      <c r="BJ28" t="s">
        <v>2064</v>
      </c>
      <c r="BK28" t="s">
        <v>117</v>
      </c>
      <c r="BL28" t="s">
        <v>2064</v>
      </c>
      <c r="BM28" t="s">
        <v>74</v>
      </c>
      <c r="BN28">
        <v>19692638</v>
      </c>
      <c r="BO28" t="s">
        <v>74</v>
      </c>
      <c r="BP28" t="s">
        <v>74</v>
      </c>
      <c r="BQ28" t="s">
        <v>74</v>
      </c>
      <c r="BR28" t="s">
        <v>96</v>
      </c>
      <c r="BS28" t="s">
        <v>14931</v>
      </c>
      <c r="BT28" t="str">
        <f>HYPERLINK("https%3A%2F%2Fwww.webofscience.com%2Fwos%2Fwoscc%2Ffull-record%2FWOS:000270179700023","View Full Record in Web of Science")</f>
        <v>View Full Record in Web of Science</v>
      </c>
    </row>
    <row r="29" spans="1:72" x14ac:dyDescent="0.15">
      <c r="A29" t="s">
        <v>98</v>
      </c>
      <c r="B29" t="s">
        <v>27325</v>
      </c>
      <c r="C29" t="s">
        <v>74</v>
      </c>
      <c r="D29" t="s">
        <v>74</v>
      </c>
      <c r="E29" t="s">
        <v>74</v>
      </c>
      <c r="F29" t="s">
        <v>27325</v>
      </c>
      <c r="G29" t="s">
        <v>74</v>
      </c>
      <c r="H29" t="s">
        <v>74</v>
      </c>
      <c r="I29" t="s">
        <v>27326</v>
      </c>
      <c r="J29" t="s">
        <v>638</v>
      </c>
      <c r="K29" t="s">
        <v>74</v>
      </c>
      <c r="L29" t="s">
        <v>74</v>
      </c>
      <c r="M29" t="s">
        <v>74</v>
      </c>
      <c r="N29" t="s">
        <v>103</v>
      </c>
      <c r="O29" t="s">
        <v>74</v>
      </c>
      <c r="P29" t="s">
        <v>74</v>
      </c>
      <c r="Q29" t="s">
        <v>74</v>
      </c>
      <c r="R29" t="s">
        <v>74</v>
      </c>
      <c r="S29" t="s">
        <v>74</v>
      </c>
      <c r="T29" t="s">
        <v>27327</v>
      </c>
      <c r="U29" t="s">
        <v>27328</v>
      </c>
      <c r="V29" t="s">
        <v>27329</v>
      </c>
      <c r="W29" t="s">
        <v>27330</v>
      </c>
      <c r="X29" t="s">
        <v>27331</v>
      </c>
      <c r="Y29" t="s">
        <v>27332</v>
      </c>
      <c r="Z29" t="s">
        <v>74</v>
      </c>
      <c r="AA29" t="s">
        <v>74</v>
      </c>
      <c r="AB29" t="s">
        <v>27333</v>
      </c>
      <c r="AC29" t="s">
        <v>74</v>
      </c>
      <c r="AD29" t="s">
        <v>74</v>
      </c>
      <c r="AE29" t="s">
        <v>74</v>
      </c>
      <c r="AF29" t="s">
        <v>74</v>
      </c>
      <c r="AG29">
        <v>75</v>
      </c>
      <c r="AH29">
        <v>352</v>
      </c>
      <c r="AI29">
        <v>360</v>
      </c>
      <c r="AJ29">
        <v>0</v>
      </c>
      <c r="AK29">
        <v>17</v>
      </c>
      <c r="AL29" t="s">
        <v>74</v>
      </c>
      <c r="AM29" t="s">
        <v>74</v>
      </c>
      <c r="AN29" t="s">
        <v>74</v>
      </c>
      <c r="AO29" t="s">
        <v>648</v>
      </c>
      <c r="AP29" t="s">
        <v>74</v>
      </c>
      <c r="AQ29" t="s">
        <v>74</v>
      </c>
      <c r="AR29" t="s">
        <v>74</v>
      </c>
      <c r="AS29" t="s">
        <v>74</v>
      </c>
      <c r="AT29" t="s">
        <v>11850</v>
      </c>
      <c r="AU29">
        <v>1996</v>
      </c>
      <c r="AV29">
        <v>16</v>
      </c>
      <c r="AW29">
        <v>18</v>
      </c>
      <c r="AX29" t="s">
        <v>74</v>
      </c>
      <c r="AY29" t="s">
        <v>74</v>
      </c>
      <c r="AZ29" t="s">
        <v>74</v>
      </c>
      <c r="BA29" t="s">
        <v>74</v>
      </c>
      <c r="BB29">
        <v>5795</v>
      </c>
      <c r="BC29">
        <v>5811</v>
      </c>
      <c r="BD29" t="s">
        <v>74</v>
      </c>
      <c r="BE29" t="s">
        <v>74</v>
      </c>
      <c r="BF29" t="s">
        <v>74</v>
      </c>
      <c r="BG29" t="s">
        <v>74</v>
      </c>
      <c r="BH29" t="s">
        <v>74</v>
      </c>
      <c r="BI29" t="s">
        <v>74</v>
      </c>
      <c r="BJ29" t="s">
        <v>652</v>
      </c>
      <c r="BK29" t="s">
        <v>117</v>
      </c>
      <c r="BL29" t="s">
        <v>653</v>
      </c>
      <c r="BM29" t="s">
        <v>74</v>
      </c>
      <c r="BN29">
        <v>8795633</v>
      </c>
      <c r="BO29" t="s">
        <v>74</v>
      </c>
      <c r="BP29" t="s">
        <v>74</v>
      </c>
      <c r="BQ29" t="s">
        <v>74</v>
      </c>
      <c r="BR29" t="s">
        <v>96</v>
      </c>
      <c r="BS29" t="s">
        <v>27334</v>
      </c>
      <c r="BT29" t="str">
        <f>HYPERLINK("https%3A%2F%2Fwww.webofscience.com%2Fwos%2Fwoscc%2Ffull-record%2FWOS:A1996VG90000021","View Full Record in Web of Science")</f>
        <v>View Full Record in Web of Science</v>
      </c>
    </row>
    <row r="30" spans="1:72" x14ac:dyDescent="0.15">
      <c r="A30" t="s">
        <v>98</v>
      </c>
      <c r="B30" t="s">
        <v>27374</v>
      </c>
      <c r="C30" t="s">
        <v>74</v>
      </c>
      <c r="D30" t="s">
        <v>74</v>
      </c>
      <c r="E30" t="s">
        <v>74</v>
      </c>
      <c r="F30" t="s">
        <v>27375</v>
      </c>
      <c r="G30" t="s">
        <v>74</v>
      </c>
      <c r="H30" t="s">
        <v>74</v>
      </c>
      <c r="I30" t="s">
        <v>27376</v>
      </c>
      <c r="J30" t="s">
        <v>27377</v>
      </c>
      <c r="K30" t="s">
        <v>74</v>
      </c>
      <c r="L30" t="s">
        <v>74</v>
      </c>
      <c r="M30" t="s">
        <v>74</v>
      </c>
      <c r="N30" t="s">
        <v>103</v>
      </c>
      <c r="O30" t="s">
        <v>74</v>
      </c>
      <c r="P30" t="s">
        <v>74</v>
      </c>
      <c r="Q30" t="s">
        <v>74</v>
      </c>
      <c r="R30" t="s">
        <v>74</v>
      </c>
      <c r="S30" t="s">
        <v>74</v>
      </c>
      <c r="T30" t="s">
        <v>74</v>
      </c>
      <c r="U30" t="s">
        <v>27378</v>
      </c>
      <c r="V30" t="s">
        <v>27379</v>
      </c>
      <c r="W30" t="s">
        <v>27380</v>
      </c>
      <c r="X30" t="s">
        <v>27381</v>
      </c>
      <c r="Y30" t="s">
        <v>27382</v>
      </c>
      <c r="Z30" t="s">
        <v>27383</v>
      </c>
      <c r="AA30" t="s">
        <v>27384</v>
      </c>
      <c r="AB30" t="s">
        <v>27385</v>
      </c>
      <c r="AC30" t="s">
        <v>74</v>
      </c>
      <c r="AD30" t="s">
        <v>74</v>
      </c>
      <c r="AE30" t="s">
        <v>74</v>
      </c>
      <c r="AF30" t="s">
        <v>74</v>
      </c>
      <c r="AG30">
        <v>29</v>
      </c>
      <c r="AH30">
        <v>351</v>
      </c>
      <c r="AI30">
        <v>357</v>
      </c>
      <c r="AJ30">
        <v>7</v>
      </c>
      <c r="AK30">
        <v>96</v>
      </c>
      <c r="AL30" t="s">
        <v>74</v>
      </c>
      <c r="AM30" t="s">
        <v>74</v>
      </c>
      <c r="AN30" t="s">
        <v>74</v>
      </c>
      <c r="AO30" t="s">
        <v>27386</v>
      </c>
      <c r="AP30" t="s">
        <v>27387</v>
      </c>
      <c r="AQ30" t="s">
        <v>74</v>
      </c>
      <c r="AR30" t="s">
        <v>74</v>
      </c>
      <c r="AS30" t="s">
        <v>74</v>
      </c>
      <c r="AT30" t="s">
        <v>211</v>
      </c>
      <c r="AU30">
        <v>2013</v>
      </c>
      <c r="AV30">
        <v>24</v>
      </c>
      <c r="AW30">
        <v>11</v>
      </c>
      <c r="AX30" t="s">
        <v>74</v>
      </c>
      <c r="AY30" t="s">
        <v>74</v>
      </c>
      <c r="AZ30" t="s">
        <v>74</v>
      </c>
      <c r="BA30" t="s">
        <v>74</v>
      </c>
      <c r="BB30">
        <v>1901</v>
      </c>
      <c r="BC30">
        <v>1912</v>
      </c>
      <c r="BD30" t="s">
        <v>74</v>
      </c>
      <c r="BE30" t="s">
        <v>27388</v>
      </c>
      <c r="BF30" t="str">
        <f>HYPERLINK("http://dx.doi.org/10.1681/ASN.2013020126","http://dx.doi.org/10.1681/ASN.2013020126")</f>
        <v>http://dx.doi.org/10.1681/ASN.2013020126</v>
      </c>
      <c r="BG30" t="s">
        <v>74</v>
      </c>
      <c r="BH30" t="s">
        <v>74</v>
      </c>
      <c r="BI30" t="s">
        <v>74</v>
      </c>
      <c r="BJ30" t="s">
        <v>2193</v>
      </c>
      <c r="BK30" t="s">
        <v>117</v>
      </c>
      <c r="BL30" t="s">
        <v>2193</v>
      </c>
      <c r="BM30" t="s">
        <v>74</v>
      </c>
      <c r="BN30">
        <v>23949796</v>
      </c>
      <c r="BO30" t="s">
        <v>74</v>
      </c>
      <c r="BP30" t="s">
        <v>193</v>
      </c>
      <c r="BQ30" t="s">
        <v>194</v>
      </c>
      <c r="BR30" t="s">
        <v>96</v>
      </c>
      <c r="BS30" t="s">
        <v>27389</v>
      </c>
      <c r="BT30" t="str">
        <f>HYPERLINK("https%3A%2F%2Fwww.webofscience.com%2Fwos%2Fwoscc%2Ffull-record%2FWOS:000329911300021","View Full Record in Web of Science")</f>
        <v>View Full Record in Web of Science</v>
      </c>
    </row>
    <row r="31" spans="1:72" x14ac:dyDescent="0.15">
      <c r="A31" t="s">
        <v>98</v>
      </c>
      <c r="B31" t="s">
        <v>14174</v>
      </c>
      <c r="C31" t="s">
        <v>74</v>
      </c>
      <c r="D31" t="s">
        <v>74</v>
      </c>
      <c r="E31" t="s">
        <v>74</v>
      </c>
      <c r="F31" t="s">
        <v>14175</v>
      </c>
      <c r="G31" t="s">
        <v>74</v>
      </c>
      <c r="H31" t="s">
        <v>74</v>
      </c>
      <c r="I31" t="s">
        <v>14176</v>
      </c>
      <c r="J31" t="s">
        <v>6747</v>
      </c>
      <c r="K31" t="s">
        <v>74</v>
      </c>
      <c r="L31" t="s">
        <v>74</v>
      </c>
      <c r="M31" t="s">
        <v>74</v>
      </c>
      <c r="N31" t="s">
        <v>103</v>
      </c>
      <c r="O31" t="s">
        <v>74</v>
      </c>
      <c r="P31" t="s">
        <v>74</v>
      </c>
      <c r="Q31" t="s">
        <v>74</v>
      </c>
      <c r="R31" t="s">
        <v>74</v>
      </c>
      <c r="S31" t="s">
        <v>74</v>
      </c>
      <c r="T31" t="s">
        <v>74</v>
      </c>
      <c r="U31" t="s">
        <v>14177</v>
      </c>
      <c r="V31" t="s">
        <v>14178</v>
      </c>
      <c r="W31" t="s">
        <v>14179</v>
      </c>
      <c r="X31" t="s">
        <v>14180</v>
      </c>
      <c r="Y31" t="s">
        <v>14181</v>
      </c>
      <c r="Z31" t="s">
        <v>14182</v>
      </c>
      <c r="AA31" t="s">
        <v>14183</v>
      </c>
      <c r="AB31" t="s">
        <v>14184</v>
      </c>
      <c r="AC31" t="s">
        <v>74</v>
      </c>
      <c r="AD31" t="s">
        <v>74</v>
      </c>
      <c r="AE31" t="s">
        <v>74</v>
      </c>
      <c r="AF31" t="s">
        <v>74</v>
      </c>
      <c r="AG31">
        <v>107</v>
      </c>
      <c r="AH31">
        <v>348</v>
      </c>
      <c r="AI31">
        <v>365</v>
      </c>
      <c r="AJ31">
        <v>6</v>
      </c>
      <c r="AK31">
        <v>61</v>
      </c>
      <c r="AL31" t="s">
        <v>74</v>
      </c>
      <c r="AM31" t="s">
        <v>74</v>
      </c>
      <c r="AN31" t="s">
        <v>74</v>
      </c>
      <c r="AO31" t="s">
        <v>6756</v>
      </c>
      <c r="AP31" t="s">
        <v>6757</v>
      </c>
      <c r="AQ31" t="s">
        <v>74</v>
      </c>
      <c r="AR31" t="s">
        <v>74</v>
      </c>
      <c r="AS31" t="s">
        <v>74</v>
      </c>
      <c r="AT31" t="s">
        <v>74</v>
      </c>
      <c r="AU31">
        <v>2014</v>
      </c>
      <c r="AV31">
        <v>42</v>
      </c>
      <c r="AW31">
        <v>11</v>
      </c>
      <c r="AX31" t="s">
        <v>74</v>
      </c>
      <c r="AY31" t="s">
        <v>74</v>
      </c>
      <c r="AZ31" t="s">
        <v>74</v>
      </c>
      <c r="BA31" t="s">
        <v>74</v>
      </c>
      <c r="BB31">
        <v>7290</v>
      </c>
      <c r="BC31">
        <v>7304</v>
      </c>
      <c r="BD31" t="s">
        <v>74</v>
      </c>
      <c r="BE31" t="s">
        <v>14185</v>
      </c>
      <c r="BF31" t="str">
        <f>HYPERLINK("http://dx.doi.org/10.1093/nar/gku347","http://dx.doi.org/10.1093/nar/gku347")</f>
        <v>http://dx.doi.org/10.1093/nar/gku347</v>
      </c>
      <c r="BG31" t="s">
        <v>74</v>
      </c>
      <c r="BH31" t="s">
        <v>74</v>
      </c>
      <c r="BI31" t="s">
        <v>74</v>
      </c>
      <c r="BJ31" t="s">
        <v>95</v>
      </c>
      <c r="BK31" t="s">
        <v>117</v>
      </c>
      <c r="BL31" t="s">
        <v>95</v>
      </c>
      <c r="BM31" t="s">
        <v>74</v>
      </c>
      <c r="BN31">
        <v>24838567</v>
      </c>
      <c r="BO31" t="s">
        <v>74</v>
      </c>
      <c r="BP31" t="s">
        <v>193</v>
      </c>
      <c r="BQ31" t="s">
        <v>194</v>
      </c>
      <c r="BR31" t="s">
        <v>96</v>
      </c>
      <c r="BS31" t="s">
        <v>14186</v>
      </c>
      <c r="BT31" t="str">
        <f>HYPERLINK("https%3A%2F%2Fwww.webofscience.com%2Fwos%2Fwoscc%2Ffull-record%2FWOS:000338769400048","View Full Record in Web of Science")</f>
        <v>View Full Record in Web of Science</v>
      </c>
    </row>
    <row r="32" spans="1:72" x14ac:dyDescent="0.15">
      <c r="A32" t="s">
        <v>98</v>
      </c>
      <c r="B32" t="s">
        <v>29439</v>
      </c>
      <c r="C32" t="s">
        <v>74</v>
      </c>
      <c r="D32" t="s">
        <v>74</v>
      </c>
      <c r="E32" t="s">
        <v>74</v>
      </c>
      <c r="F32" t="s">
        <v>29440</v>
      </c>
      <c r="G32" t="s">
        <v>74</v>
      </c>
      <c r="H32" t="s">
        <v>74</v>
      </c>
      <c r="I32" t="s">
        <v>29441</v>
      </c>
      <c r="J32" t="s">
        <v>6379</v>
      </c>
      <c r="K32" t="s">
        <v>74</v>
      </c>
      <c r="L32" t="s">
        <v>74</v>
      </c>
      <c r="M32" t="s">
        <v>74</v>
      </c>
      <c r="N32" t="s">
        <v>103</v>
      </c>
      <c r="O32" t="s">
        <v>74</v>
      </c>
      <c r="P32" t="s">
        <v>74</v>
      </c>
      <c r="Q32" t="s">
        <v>74</v>
      </c>
      <c r="R32" t="s">
        <v>74</v>
      </c>
      <c r="S32" t="s">
        <v>74</v>
      </c>
      <c r="T32" t="s">
        <v>29442</v>
      </c>
      <c r="U32" t="s">
        <v>29443</v>
      </c>
      <c r="V32" t="s">
        <v>29444</v>
      </c>
      <c r="W32" t="s">
        <v>29445</v>
      </c>
      <c r="X32" t="s">
        <v>29446</v>
      </c>
      <c r="Y32" t="s">
        <v>29447</v>
      </c>
      <c r="Z32" t="s">
        <v>29448</v>
      </c>
      <c r="AA32" t="s">
        <v>29449</v>
      </c>
      <c r="AB32" t="s">
        <v>29450</v>
      </c>
      <c r="AC32" t="s">
        <v>74</v>
      </c>
      <c r="AD32" t="s">
        <v>74</v>
      </c>
      <c r="AE32" t="s">
        <v>74</v>
      </c>
      <c r="AF32" t="s">
        <v>74</v>
      </c>
      <c r="AG32">
        <v>55</v>
      </c>
      <c r="AH32">
        <v>344</v>
      </c>
      <c r="AI32">
        <v>353</v>
      </c>
      <c r="AJ32">
        <v>2</v>
      </c>
      <c r="AK32">
        <v>54</v>
      </c>
      <c r="AL32" t="s">
        <v>74</v>
      </c>
      <c r="AM32" t="s">
        <v>74</v>
      </c>
      <c r="AN32" t="s">
        <v>74</v>
      </c>
      <c r="AO32" t="s">
        <v>6389</v>
      </c>
      <c r="AP32" t="s">
        <v>6390</v>
      </c>
      <c r="AQ32" t="s">
        <v>74</v>
      </c>
      <c r="AR32" t="s">
        <v>74</v>
      </c>
      <c r="AS32" t="s">
        <v>74</v>
      </c>
      <c r="AT32" t="s">
        <v>4880</v>
      </c>
      <c r="AU32">
        <v>2012</v>
      </c>
      <c r="AV32">
        <v>31</v>
      </c>
      <c r="AW32">
        <v>17</v>
      </c>
      <c r="AX32" t="s">
        <v>74</v>
      </c>
      <c r="AY32" t="s">
        <v>74</v>
      </c>
      <c r="AZ32" t="s">
        <v>74</v>
      </c>
      <c r="BA32" t="s">
        <v>74</v>
      </c>
      <c r="BB32">
        <v>3513</v>
      </c>
      <c r="BC32">
        <v>3523</v>
      </c>
      <c r="BD32" t="s">
        <v>74</v>
      </c>
      <c r="BE32" t="s">
        <v>29451</v>
      </c>
      <c r="BF32" t="str">
        <f>HYPERLINK("http://dx.doi.org/10.1038/emboj.2012.183","http://dx.doi.org/10.1038/emboj.2012.183")</f>
        <v>http://dx.doi.org/10.1038/emboj.2012.183</v>
      </c>
      <c r="BG32" t="s">
        <v>74</v>
      </c>
      <c r="BH32" t="s">
        <v>74</v>
      </c>
      <c r="BI32" t="s">
        <v>74</v>
      </c>
      <c r="BJ32" t="s">
        <v>498</v>
      </c>
      <c r="BK32" t="s">
        <v>117</v>
      </c>
      <c r="BL32" t="s">
        <v>498</v>
      </c>
      <c r="BM32" t="s">
        <v>74</v>
      </c>
      <c r="BN32">
        <v>22773185</v>
      </c>
      <c r="BO32" t="s">
        <v>74</v>
      </c>
      <c r="BP32" t="s">
        <v>74</v>
      </c>
      <c r="BQ32" t="s">
        <v>74</v>
      </c>
      <c r="BR32" t="s">
        <v>96</v>
      </c>
      <c r="BS32" t="s">
        <v>29452</v>
      </c>
      <c r="BT32" t="str">
        <f>HYPERLINK("https%3A%2F%2Fwww.webofscience.com%2Fwos%2Fwoscc%2Ffull-record%2FWOS:000308390700003","View Full Record in Web of Science")</f>
        <v>View Full Record in Web of Science</v>
      </c>
    </row>
    <row r="33" spans="1:72" x14ac:dyDescent="0.15">
      <c r="A33" t="s">
        <v>98</v>
      </c>
      <c r="B33" t="s">
        <v>20368</v>
      </c>
      <c r="C33" t="s">
        <v>74</v>
      </c>
      <c r="D33" t="s">
        <v>74</v>
      </c>
      <c r="E33" t="s">
        <v>74</v>
      </c>
      <c r="F33" t="s">
        <v>20369</v>
      </c>
      <c r="G33" t="s">
        <v>74</v>
      </c>
      <c r="H33" t="s">
        <v>74</v>
      </c>
      <c r="I33" t="s">
        <v>20370</v>
      </c>
      <c r="J33" t="s">
        <v>17027</v>
      </c>
      <c r="K33" t="s">
        <v>74</v>
      </c>
      <c r="L33" t="s">
        <v>74</v>
      </c>
      <c r="M33" t="s">
        <v>74</v>
      </c>
      <c r="N33" t="s">
        <v>103</v>
      </c>
      <c r="O33" t="s">
        <v>74</v>
      </c>
      <c r="P33" t="s">
        <v>74</v>
      </c>
      <c r="Q33" t="s">
        <v>74</v>
      </c>
      <c r="R33" t="s">
        <v>74</v>
      </c>
      <c r="S33" t="s">
        <v>74</v>
      </c>
      <c r="T33" t="s">
        <v>74</v>
      </c>
      <c r="U33" t="s">
        <v>20371</v>
      </c>
      <c r="V33" t="s">
        <v>20372</v>
      </c>
      <c r="W33" t="s">
        <v>20373</v>
      </c>
      <c r="X33" t="s">
        <v>20374</v>
      </c>
      <c r="Y33" t="s">
        <v>20375</v>
      </c>
      <c r="Z33" t="s">
        <v>20376</v>
      </c>
      <c r="AA33" t="s">
        <v>20377</v>
      </c>
      <c r="AB33" t="s">
        <v>20378</v>
      </c>
      <c r="AC33" t="s">
        <v>74</v>
      </c>
      <c r="AD33" t="s">
        <v>74</v>
      </c>
      <c r="AE33" t="s">
        <v>74</v>
      </c>
      <c r="AF33" t="s">
        <v>74</v>
      </c>
      <c r="AG33">
        <v>60</v>
      </c>
      <c r="AH33">
        <v>329</v>
      </c>
      <c r="AI33">
        <v>337</v>
      </c>
      <c r="AJ33">
        <v>4</v>
      </c>
      <c r="AK33">
        <v>66</v>
      </c>
      <c r="AL33" t="s">
        <v>74</v>
      </c>
      <c r="AM33" t="s">
        <v>74</v>
      </c>
      <c r="AN33" t="s">
        <v>74</v>
      </c>
      <c r="AO33" t="s">
        <v>17035</v>
      </c>
      <c r="AP33" t="s">
        <v>17036</v>
      </c>
      <c r="AQ33" t="s">
        <v>74</v>
      </c>
      <c r="AR33" t="s">
        <v>74</v>
      </c>
      <c r="AS33" t="s">
        <v>74</v>
      </c>
      <c r="AT33" t="s">
        <v>10215</v>
      </c>
      <c r="AU33">
        <v>2014</v>
      </c>
      <c r="AV33">
        <v>124</v>
      </c>
      <c r="AW33">
        <v>14</v>
      </c>
      <c r="AX33" t="s">
        <v>74</v>
      </c>
      <c r="AY33" t="s">
        <v>74</v>
      </c>
      <c r="AZ33" t="s">
        <v>74</v>
      </c>
      <c r="BA33" t="s">
        <v>74</v>
      </c>
      <c r="BB33">
        <v>2173</v>
      </c>
      <c r="BC33">
        <v>2183</v>
      </c>
      <c r="BD33" t="s">
        <v>74</v>
      </c>
      <c r="BE33" t="s">
        <v>20379</v>
      </c>
      <c r="BF33" t="str">
        <f>HYPERLINK("http://dx.doi.org/10.1182/blood-2014-05-573543","http://dx.doi.org/10.1182/blood-2014-05-573543")</f>
        <v>http://dx.doi.org/10.1182/blood-2014-05-573543</v>
      </c>
      <c r="BG33" t="s">
        <v>74</v>
      </c>
      <c r="BH33" t="s">
        <v>74</v>
      </c>
      <c r="BI33" t="s">
        <v>74</v>
      </c>
      <c r="BJ33" t="s">
        <v>2438</v>
      </c>
      <c r="BK33" t="s">
        <v>117</v>
      </c>
      <c r="BL33" t="s">
        <v>2438</v>
      </c>
      <c r="BM33" t="s">
        <v>74</v>
      </c>
      <c r="BN33">
        <v>25082876</v>
      </c>
      <c r="BO33" t="s">
        <v>74</v>
      </c>
      <c r="BP33" t="s">
        <v>193</v>
      </c>
      <c r="BQ33" t="s">
        <v>194</v>
      </c>
      <c r="BR33" t="s">
        <v>96</v>
      </c>
      <c r="BS33" t="s">
        <v>20380</v>
      </c>
      <c r="BT33" t="str">
        <f>HYPERLINK("https%3A%2F%2Fwww.webofscience.com%2Fwos%2Fwoscc%2Ffull-record%2FWOS:000342763900009","View Full Record in Web of Science")</f>
        <v>View Full Record in Web of Science</v>
      </c>
    </row>
    <row r="34" spans="1:72" x14ac:dyDescent="0.15">
      <c r="A34" t="s">
        <v>98</v>
      </c>
      <c r="B34" t="s">
        <v>6969</v>
      </c>
      <c r="C34" t="s">
        <v>74</v>
      </c>
      <c r="D34" t="s">
        <v>74</v>
      </c>
      <c r="E34" t="s">
        <v>74</v>
      </c>
      <c r="F34" t="s">
        <v>6970</v>
      </c>
      <c r="G34" t="s">
        <v>74</v>
      </c>
      <c r="H34" t="s">
        <v>74</v>
      </c>
      <c r="I34" t="s">
        <v>6971</v>
      </c>
      <c r="J34" t="s">
        <v>658</v>
      </c>
      <c r="K34" t="s">
        <v>74</v>
      </c>
      <c r="L34" t="s">
        <v>74</v>
      </c>
      <c r="M34" t="s">
        <v>74</v>
      </c>
      <c r="N34" t="s">
        <v>103</v>
      </c>
      <c r="O34" t="s">
        <v>74</v>
      </c>
      <c r="P34" t="s">
        <v>74</v>
      </c>
      <c r="Q34" t="s">
        <v>74</v>
      </c>
      <c r="R34" t="s">
        <v>74</v>
      </c>
      <c r="S34" t="s">
        <v>74</v>
      </c>
      <c r="T34" t="s">
        <v>6972</v>
      </c>
      <c r="U34" t="s">
        <v>6973</v>
      </c>
      <c r="V34" t="s">
        <v>6974</v>
      </c>
      <c r="W34" t="s">
        <v>6975</v>
      </c>
      <c r="X34" t="s">
        <v>6976</v>
      </c>
      <c r="Y34" t="s">
        <v>6977</v>
      </c>
      <c r="Z34" t="s">
        <v>6978</v>
      </c>
      <c r="AA34" t="s">
        <v>6979</v>
      </c>
      <c r="AB34" t="s">
        <v>6980</v>
      </c>
      <c r="AC34" t="s">
        <v>74</v>
      </c>
      <c r="AD34" t="s">
        <v>74</v>
      </c>
      <c r="AE34" t="s">
        <v>74</v>
      </c>
      <c r="AF34" t="s">
        <v>74</v>
      </c>
      <c r="AG34">
        <v>55</v>
      </c>
      <c r="AH34">
        <v>311</v>
      </c>
      <c r="AI34">
        <v>318</v>
      </c>
      <c r="AJ34">
        <v>15</v>
      </c>
      <c r="AK34">
        <v>65</v>
      </c>
      <c r="AL34" t="s">
        <v>74</v>
      </c>
      <c r="AM34" t="s">
        <v>74</v>
      </c>
      <c r="AN34" t="s">
        <v>74</v>
      </c>
      <c r="AO34" t="s">
        <v>668</v>
      </c>
      <c r="AP34" t="s">
        <v>74</v>
      </c>
      <c r="AQ34" t="s">
        <v>74</v>
      </c>
      <c r="AR34" t="s">
        <v>74</v>
      </c>
      <c r="AS34" t="s">
        <v>74</v>
      </c>
      <c r="AT34" t="s">
        <v>4866</v>
      </c>
      <c r="AU34">
        <v>2017</v>
      </c>
      <c r="AV34">
        <v>114</v>
      </c>
      <c r="AW34">
        <v>43</v>
      </c>
      <c r="AX34" t="s">
        <v>74</v>
      </c>
      <c r="AY34" t="s">
        <v>74</v>
      </c>
      <c r="AZ34" t="s">
        <v>74</v>
      </c>
      <c r="BA34" t="s">
        <v>74</v>
      </c>
      <c r="BB34" t="s">
        <v>6981</v>
      </c>
      <c r="BC34" t="s">
        <v>6982</v>
      </c>
      <c r="BD34" t="s">
        <v>74</v>
      </c>
      <c r="BE34" t="s">
        <v>6983</v>
      </c>
      <c r="BF34" t="str">
        <f>HYPERLINK("http://dx.doi.org/10.1073/pnas.1704862114","http://dx.doi.org/10.1073/pnas.1704862114")</f>
        <v>http://dx.doi.org/10.1073/pnas.1704862114</v>
      </c>
      <c r="BG34" t="s">
        <v>74</v>
      </c>
      <c r="BH34" t="s">
        <v>74</v>
      </c>
      <c r="BI34" t="s">
        <v>74</v>
      </c>
      <c r="BJ34" t="s">
        <v>152</v>
      </c>
      <c r="BK34" t="s">
        <v>117</v>
      </c>
      <c r="BL34" t="s">
        <v>153</v>
      </c>
      <c r="BM34" t="s">
        <v>74</v>
      </c>
      <c r="BN34">
        <v>29073103</v>
      </c>
      <c r="BO34" t="s">
        <v>74</v>
      </c>
      <c r="BP34" t="s">
        <v>193</v>
      </c>
      <c r="BQ34" t="s">
        <v>194</v>
      </c>
      <c r="BR34" t="s">
        <v>96</v>
      </c>
      <c r="BS34" t="s">
        <v>6984</v>
      </c>
      <c r="BT34" t="str">
        <f>HYPERLINK("https%3A%2F%2Fwww.webofscience.com%2Fwos%2Fwoscc%2Ffull-record%2FWOS:000413520700018","View Full Record in Web of Science")</f>
        <v>View Full Record in Web of Science</v>
      </c>
    </row>
    <row r="35" spans="1:72" x14ac:dyDescent="0.15">
      <c r="A35" t="s">
        <v>98</v>
      </c>
      <c r="B35" t="s">
        <v>17006</v>
      </c>
      <c r="C35" t="s">
        <v>74</v>
      </c>
      <c r="D35" t="s">
        <v>74</v>
      </c>
      <c r="E35" t="s">
        <v>74</v>
      </c>
      <c r="F35" t="s">
        <v>17007</v>
      </c>
      <c r="G35" t="s">
        <v>74</v>
      </c>
      <c r="H35" t="s">
        <v>74</v>
      </c>
      <c r="I35" t="s">
        <v>17008</v>
      </c>
      <c r="J35" t="s">
        <v>17009</v>
      </c>
      <c r="K35" t="s">
        <v>74</v>
      </c>
      <c r="L35" t="s">
        <v>74</v>
      </c>
      <c r="M35" t="s">
        <v>74</v>
      </c>
      <c r="N35" t="s">
        <v>103</v>
      </c>
      <c r="O35" t="s">
        <v>74</v>
      </c>
      <c r="P35" t="s">
        <v>74</v>
      </c>
      <c r="Q35" t="s">
        <v>74</v>
      </c>
      <c r="R35" t="s">
        <v>74</v>
      </c>
      <c r="S35" t="s">
        <v>74</v>
      </c>
      <c r="T35" t="s">
        <v>17010</v>
      </c>
      <c r="U35" t="s">
        <v>17011</v>
      </c>
      <c r="V35" t="s">
        <v>17012</v>
      </c>
      <c r="W35" t="s">
        <v>17013</v>
      </c>
      <c r="X35" t="s">
        <v>17014</v>
      </c>
      <c r="Y35" t="s">
        <v>17015</v>
      </c>
      <c r="Z35" t="s">
        <v>17016</v>
      </c>
      <c r="AA35" t="s">
        <v>17017</v>
      </c>
      <c r="AB35" t="s">
        <v>17018</v>
      </c>
      <c r="AC35" t="s">
        <v>74</v>
      </c>
      <c r="AD35" t="s">
        <v>74</v>
      </c>
      <c r="AE35" t="s">
        <v>74</v>
      </c>
      <c r="AF35" t="s">
        <v>74</v>
      </c>
      <c r="AG35">
        <v>45</v>
      </c>
      <c r="AH35">
        <v>302</v>
      </c>
      <c r="AI35">
        <v>312</v>
      </c>
      <c r="AJ35">
        <v>32</v>
      </c>
      <c r="AK35">
        <v>130</v>
      </c>
      <c r="AL35" t="s">
        <v>74</v>
      </c>
      <c r="AM35" t="s">
        <v>74</v>
      </c>
      <c r="AN35" t="s">
        <v>74</v>
      </c>
      <c r="AO35" t="s">
        <v>17019</v>
      </c>
      <c r="AP35" t="s">
        <v>17020</v>
      </c>
      <c r="AQ35" t="s">
        <v>74</v>
      </c>
      <c r="AR35" t="s">
        <v>74</v>
      </c>
      <c r="AS35" t="s">
        <v>74</v>
      </c>
      <c r="AT35" t="s">
        <v>17021</v>
      </c>
      <c r="AU35">
        <v>2016</v>
      </c>
      <c r="AV35">
        <v>18</v>
      </c>
      <c r="AW35" t="s">
        <v>74</v>
      </c>
      <c r="AX35" t="s">
        <v>74</v>
      </c>
      <c r="AY35" t="s">
        <v>74</v>
      </c>
      <c r="AZ35" t="s">
        <v>74</v>
      </c>
      <c r="BA35" t="s">
        <v>74</v>
      </c>
      <c r="BB35" t="s">
        <v>74</v>
      </c>
      <c r="BC35" t="s">
        <v>74</v>
      </c>
      <c r="BD35">
        <v>90</v>
      </c>
      <c r="BE35" t="s">
        <v>17022</v>
      </c>
      <c r="BF35" t="str">
        <f>HYPERLINK("http://dx.doi.org/10.1186/s13058-016-0753-x","http://dx.doi.org/10.1186/s13058-016-0753-x")</f>
        <v>http://dx.doi.org/10.1186/s13058-016-0753-x</v>
      </c>
      <c r="BG35" t="s">
        <v>74</v>
      </c>
      <c r="BH35" t="s">
        <v>74</v>
      </c>
      <c r="BI35" t="s">
        <v>74</v>
      </c>
      <c r="BJ35" t="s">
        <v>267</v>
      </c>
      <c r="BK35" t="s">
        <v>117</v>
      </c>
      <c r="BL35" t="s">
        <v>267</v>
      </c>
      <c r="BM35" t="s">
        <v>74</v>
      </c>
      <c r="BN35">
        <v>27608715</v>
      </c>
      <c r="BO35" t="s">
        <v>74</v>
      </c>
      <c r="BP35" t="s">
        <v>193</v>
      </c>
      <c r="BQ35" t="s">
        <v>194</v>
      </c>
      <c r="BR35" t="s">
        <v>96</v>
      </c>
      <c r="BS35" t="s">
        <v>17023</v>
      </c>
      <c r="BT35" t="str">
        <f>HYPERLINK("https%3A%2F%2Fwww.webofscience.com%2Fwos%2Fwoscc%2Ffull-record%2FWOS:000383431300001","View Full Record in Web of Science")</f>
        <v>View Full Record in Web of Science</v>
      </c>
    </row>
    <row r="36" spans="1:72" x14ac:dyDescent="0.15">
      <c r="A36" t="s">
        <v>98</v>
      </c>
      <c r="B36" t="s">
        <v>18112</v>
      </c>
      <c r="C36" t="s">
        <v>74</v>
      </c>
      <c r="D36" t="s">
        <v>74</v>
      </c>
      <c r="E36" t="s">
        <v>74</v>
      </c>
      <c r="F36" t="s">
        <v>18113</v>
      </c>
      <c r="G36" t="s">
        <v>74</v>
      </c>
      <c r="H36" t="s">
        <v>74</v>
      </c>
      <c r="I36" t="s">
        <v>18114</v>
      </c>
      <c r="J36" t="s">
        <v>7065</v>
      </c>
      <c r="K36" t="s">
        <v>74</v>
      </c>
      <c r="L36" t="s">
        <v>74</v>
      </c>
      <c r="M36" t="s">
        <v>74</v>
      </c>
      <c r="N36" t="s">
        <v>103</v>
      </c>
      <c r="O36" t="s">
        <v>74</v>
      </c>
      <c r="P36" t="s">
        <v>74</v>
      </c>
      <c r="Q36" t="s">
        <v>74</v>
      </c>
      <c r="R36" t="s">
        <v>74</v>
      </c>
      <c r="S36" t="s">
        <v>74</v>
      </c>
      <c r="T36" t="s">
        <v>74</v>
      </c>
      <c r="U36" t="s">
        <v>18115</v>
      </c>
      <c r="V36" t="s">
        <v>18116</v>
      </c>
      <c r="W36" t="s">
        <v>18117</v>
      </c>
      <c r="X36" t="s">
        <v>18118</v>
      </c>
      <c r="Y36" t="s">
        <v>18119</v>
      </c>
      <c r="Z36" t="s">
        <v>18120</v>
      </c>
      <c r="AA36" t="s">
        <v>18121</v>
      </c>
      <c r="AB36" t="s">
        <v>18122</v>
      </c>
      <c r="AC36" t="s">
        <v>74</v>
      </c>
      <c r="AD36" t="s">
        <v>74</v>
      </c>
      <c r="AE36" t="s">
        <v>74</v>
      </c>
      <c r="AF36" t="s">
        <v>74</v>
      </c>
      <c r="AG36">
        <v>34</v>
      </c>
      <c r="AH36">
        <v>301</v>
      </c>
      <c r="AI36">
        <v>309</v>
      </c>
      <c r="AJ36">
        <v>1</v>
      </c>
      <c r="AK36">
        <v>38</v>
      </c>
      <c r="AL36" t="s">
        <v>74</v>
      </c>
      <c r="AM36" t="s">
        <v>74</v>
      </c>
      <c r="AN36" t="s">
        <v>74</v>
      </c>
      <c r="AO36" t="s">
        <v>7074</v>
      </c>
      <c r="AP36" t="s">
        <v>7075</v>
      </c>
      <c r="AQ36" t="s">
        <v>74</v>
      </c>
      <c r="AR36" t="s">
        <v>74</v>
      </c>
      <c r="AS36" t="s">
        <v>74</v>
      </c>
      <c r="AT36" t="s">
        <v>1321</v>
      </c>
      <c r="AU36">
        <v>2008</v>
      </c>
      <c r="AV36">
        <v>68</v>
      </c>
      <c r="AW36">
        <v>19</v>
      </c>
      <c r="AX36" t="s">
        <v>74</v>
      </c>
      <c r="AY36" t="s">
        <v>74</v>
      </c>
      <c r="AZ36" t="s">
        <v>74</v>
      </c>
      <c r="BA36" t="s">
        <v>74</v>
      </c>
      <c r="BB36">
        <v>7864</v>
      </c>
      <c r="BC36">
        <v>7871</v>
      </c>
      <c r="BD36" t="s">
        <v>74</v>
      </c>
      <c r="BE36" t="s">
        <v>18123</v>
      </c>
      <c r="BF36" t="str">
        <f>HYPERLINK("http://dx.doi.org/10.1158/0008-5472.CAN-07-6538","http://dx.doi.org/10.1158/0008-5472.CAN-07-6538")</f>
        <v>http://dx.doi.org/10.1158/0008-5472.CAN-07-6538</v>
      </c>
      <c r="BG36" t="s">
        <v>74</v>
      </c>
      <c r="BH36" t="s">
        <v>74</v>
      </c>
      <c r="BI36" t="s">
        <v>74</v>
      </c>
      <c r="BJ36" t="s">
        <v>267</v>
      </c>
      <c r="BK36" t="s">
        <v>117</v>
      </c>
      <c r="BL36" t="s">
        <v>267</v>
      </c>
      <c r="BM36" t="s">
        <v>74</v>
      </c>
      <c r="BN36">
        <v>18829542</v>
      </c>
      <c r="BO36" t="s">
        <v>74</v>
      </c>
      <c r="BP36" t="s">
        <v>74</v>
      </c>
      <c r="BQ36" t="s">
        <v>74</v>
      </c>
      <c r="BR36" t="s">
        <v>96</v>
      </c>
      <c r="BS36" t="s">
        <v>18124</v>
      </c>
      <c r="BT36" t="str">
        <f>HYPERLINK("https%3A%2F%2Fwww.webofscience.com%2Fwos%2Fwoscc%2Ffull-record%2FWOS:000260029900022","View Full Record in Web of Science")</f>
        <v>View Full Record in Web of Science</v>
      </c>
    </row>
    <row r="37" spans="1:72" x14ac:dyDescent="0.15">
      <c r="A37" t="s">
        <v>98</v>
      </c>
      <c r="B37" t="s">
        <v>26133</v>
      </c>
      <c r="C37" t="s">
        <v>74</v>
      </c>
      <c r="D37" t="s">
        <v>74</v>
      </c>
      <c r="E37" t="s">
        <v>74</v>
      </c>
      <c r="F37" t="s">
        <v>26133</v>
      </c>
      <c r="G37" t="s">
        <v>74</v>
      </c>
      <c r="H37" t="s">
        <v>74</v>
      </c>
      <c r="I37" t="s">
        <v>26134</v>
      </c>
      <c r="J37" t="s">
        <v>26135</v>
      </c>
      <c r="K37" t="s">
        <v>74</v>
      </c>
      <c r="L37" t="s">
        <v>74</v>
      </c>
      <c r="M37" t="s">
        <v>74</v>
      </c>
      <c r="N37" t="s">
        <v>980</v>
      </c>
      <c r="O37" t="s">
        <v>26136</v>
      </c>
      <c r="P37" t="s">
        <v>26137</v>
      </c>
      <c r="Q37" t="s">
        <v>26138</v>
      </c>
      <c r="R37" t="s">
        <v>74</v>
      </c>
      <c r="S37" t="s">
        <v>74</v>
      </c>
      <c r="T37" t="s">
        <v>26139</v>
      </c>
      <c r="U37" t="s">
        <v>26140</v>
      </c>
      <c r="V37" t="s">
        <v>26141</v>
      </c>
      <c r="W37" t="s">
        <v>26142</v>
      </c>
      <c r="X37" t="s">
        <v>22031</v>
      </c>
      <c r="Y37" t="s">
        <v>26143</v>
      </c>
      <c r="Z37" t="s">
        <v>26144</v>
      </c>
      <c r="AA37" t="s">
        <v>74</v>
      </c>
      <c r="AB37" t="s">
        <v>74</v>
      </c>
      <c r="AC37" t="s">
        <v>74</v>
      </c>
      <c r="AD37" t="s">
        <v>74</v>
      </c>
      <c r="AE37" t="s">
        <v>74</v>
      </c>
      <c r="AF37" t="s">
        <v>74</v>
      </c>
      <c r="AG37">
        <v>327</v>
      </c>
      <c r="AH37">
        <v>291</v>
      </c>
      <c r="AI37">
        <v>311</v>
      </c>
      <c r="AJ37">
        <v>1</v>
      </c>
      <c r="AK37">
        <v>51</v>
      </c>
      <c r="AL37" t="s">
        <v>74</v>
      </c>
      <c r="AM37" t="s">
        <v>74</v>
      </c>
      <c r="AN37" t="s">
        <v>74</v>
      </c>
      <c r="AO37" t="s">
        <v>26145</v>
      </c>
      <c r="AP37" t="s">
        <v>26146</v>
      </c>
      <c r="AQ37" t="s">
        <v>74</v>
      </c>
      <c r="AR37" t="s">
        <v>74</v>
      </c>
      <c r="AS37" t="s">
        <v>74</v>
      </c>
      <c r="AT37" t="s">
        <v>114</v>
      </c>
      <c r="AU37">
        <v>2002</v>
      </c>
      <c r="AV37">
        <v>52</v>
      </c>
      <c r="AW37" t="s">
        <v>74</v>
      </c>
      <c r="AX37">
        <v>1</v>
      </c>
      <c r="AY37" t="s">
        <v>74</v>
      </c>
      <c r="AZ37" t="s">
        <v>74</v>
      </c>
      <c r="BA37" t="s">
        <v>74</v>
      </c>
      <c r="BB37">
        <v>7</v>
      </c>
      <c r="BC37">
        <v>76</v>
      </c>
      <c r="BD37" t="s">
        <v>74</v>
      </c>
      <c r="BE37" t="s">
        <v>26147</v>
      </c>
      <c r="BF37" t="str">
        <f>HYPERLINK("http://dx.doi.org/10.1099/00207713-52-1-7","http://dx.doi.org/10.1099/00207713-52-1-7")</f>
        <v>http://dx.doi.org/10.1099/00207713-52-1-7</v>
      </c>
      <c r="BG37" t="s">
        <v>74</v>
      </c>
      <c r="BH37" t="s">
        <v>74</v>
      </c>
      <c r="BI37" t="s">
        <v>74</v>
      </c>
      <c r="BJ37" t="s">
        <v>898</v>
      </c>
      <c r="BK37" t="s">
        <v>997</v>
      </c>
      <c r="BL37" t="s">
        <v>898</v>
      </c>
      <c r="BM37" t="s">
        <v>74</v>
      </c>
      <c r="BN37">
        <v>11837318</v>
      </c>
      <c r="BO37" t="s">
        <v>74</v>
      </c>
      <c r="BP37" t="s">
        <v>74</v>
      </c>
      <c r="BQ37" t="s">
        <v>74</v>
      </c>
      <c r="BR37" t="s">
        <v>96</v>
      </c>
      <c r="BS37" t="s">
        <v>26148</v>
      </c>
      <c r="BT37" t="str">
        <f>HYPERLINK("https%3A%2F%2Fwww.webofscience.com%2Fwos%2Fwoscc%2Ffull-record%2FWOS:000173464200002","View Full Record in Web of Science")</f>
        <v>View Full Record in Web of Science</v>
      </c>
    </row>
    <row r="38" spans="1:72" x14ac:dyDescent="0.15">
      <c r="A38" t="s">
        <v>98</v>
      </c>
      <c r="B38" t="s">
        <v>2195</v>
      </c>
      <c r="C38" t="s">
        <v>74</v>
      </c>
      <c r="D38" t="s">
        <v>74</v>
      </c>
      <c r="E38" t="s">
        <v>74</v>
      </c>
      <c r="F38" t="s">
        <v>2196</v>
      </c>
      <c r="G38" t="s">
        <v>74</v>
      </c>
      <c r="H38" t="s">
        <v>74</v>
      </c>
      <c r="I38" t="s">
        <v>2197</v>
      </c>
      <c r="J38" t="s">
        <v>2198</v>
      </c>
      <c r="K38" t="s">
        <v>74</v>
      </c>
      <c r="L38" t="s">
        <v>74</v>
      </c>
      <c r="M38" t="s">
        <v>74</v>
      </c>
      <c r="N38" t="s">
        <v>103</v>
      </c>
      <c r="O38" t="s">
        <v>74</v>
      </c>
      <c r="P38" t="s">
        <v>74</v>
      </c>
      <c r="Q38" t="s">
        <v>74</v>
      </c>
      <c r="R38" t="s">
        <v>74</v>
      </c>
      <c r="S38" t="s">
        <v>74</v>
      </c>
      <c r="T38" t="s">
        <v>2199</v>
      </c>
      <c r="U38" t="s">
        <v>2200</v>
      </c>
      <c r="V38" t="s">
        <v>2201</v>
      </c>
      <c r="W38" t="s">
        <v>2202</v>
      </c>
      <c r="X38" t="s">
        <v>2203</v>
      </c>
      <c r="Y38" t="s">
        <v>2204</v>
      </c>
      <c r="Z38" t="s">
        <v>2205</v>
      </c>
      <c r="AA38" t="s">
        <v>2206</v>
      </c>
      <c r="AB38" t="s">
        <v>2207</v>
      </c>
      <c r="AC38" t="s">
        <v>74</v>
      </c>
      <c r="AD38" t="s">
        <v>74</v>
      </c>
      <c r="AE38" t="s">
        <v>74</v>
      </c>
      <c r="AF38" t="s">
        <v>74</v>
      </c>
      <c r="AG38">
        <v>26</v>
      </c>
      <c r="AH38">
        <v>288</v>
      </c>
      <c r="AI38">
        <v>306</v>
      </c>
      <c r="AJ38">
        <v>5</v>
      </c>
      <c r="AK38">
        <v>52</v>
      </c>
      <c r="AL38" t="s">
        <v>74</v>
      </c>
      <c r="AM38" t="s">
        <v>74</v>
      </c>
      <c r="AN38" t="s">
        <v>74</v>
      </c>
      <c r="AO38" t="s">
        <v>2208</v>
      </c>
      <c r="AP38" t="s">
        <v>2209</v>
      </c>
      <c r="AQ38" t="s">
        <v>74</v>
      </c>
      <c r="AR38" t="s">
        <v>74</v>
      </c>
      <c r="AS38" t="s">
        <v>74</v>
      </c>
      <c r="AT38" t="s">
        <v>614</v>
      </c>
      <c r="AU38">
        <v>2010</v>
      </c>
      <c r="AV38">
        <v>78</v>
      </c>
      <c r="AW38">
        <v>2</v>
      </c>
      <c r="AX38" t="s">
        <v>74</v>
      </c>
      <c r="AY38" t="s">
        <v>74</v>
      </c>
      <c r="AZ38" t="s">
        <v>74</v>
      </c>
      <c r="BA38" t="s">
        <v>74</v>
      </c>
      <c r="BB38">
        <v>191</v>
      </c>
      <c r="BC38">
        <v>199</v>
      </c>
      <c r="BD38" t="s">
        <v>74</v>
      </c>
      <c r="BE38" t="s">
        <v>2210</v>
      </c>
      <c r="BF38" t="str">
        <f>HYPERLINK("http://dx.doi.org/10.1038/ki.2010.106","http://dx.doi.org/10.1038/ki.2010.106")</f>
        <v>http://dx.doi.org/10.1038/ki.2010.106</v>
      </c>
      <c r="BG38" t="s">
        <v>74</v>
      </c>
      <c r="BH38" t="s">
        <v>74</v>
      </c>
      <c r="BI38" t="s">
        <v>74</v>
      </c>
      <c r="BJ38" t="s">
        <v>2193</v>
      </c>
      <c r="BK38" t="s">
        <v>117</v>
      </c>
      <c r="BL38" t="s">
        <v>2193</v>
      </c>
      <c r="BM38" t="s">
        <v>74</v>
      </c>
      <c r="BN38">
        <v>20428099</v>
      </c>
      <c r="BO38" t="s">
        <v>74</v>
      </c>
      <c r="BP38" t="s">
        <v>74</v>
      </c>
      <c r="BQ38" t="s">
        <v>74</v>
      </c>
      <c r="BR38" t="s">
        <v>96</v>
      </c>
      <c r="BS38" t="s">
        <v>2211</v>
      </c>
      <c r="BT38" t="str">
        <f>HYPERLINK("https%3A%2F%2Fwww.webofscience.com%2Fwos%2Fwoscc%2Ffull-record%2FWOS:000279375200011","View Full Record in Web of Science")</f>
        <v>View Full Record in Web of Science</v>
      </c>
    </row>
    <row r="39" spans="1:72" x14ac:dyDescent="0.15">
      <c r="A39" t="s">
        <v>98</v>
      </c>
      <c r="B39" t="s">
        <v>10347</v>
      </c>
      <c r="C39" t="s">
        <v>74</v>
      </c>
      <c r="D39" t="s">
        <v>74</v>
      </c>
      <c r="E39" t="s">
        <v>74</v>
      </c>
      <c r="F39" t="s">
        <v>10347</v>
      </c>
      <c r="G39" t="s">
        <v>74</v>
      </c>
      <c r="H39" t="s">
        <v>74</v>
      </c>
      <c r="I39" t="s">
        <v>10348</v>
      </c>
      <c r="J39" t="s">
        <v>10349</v>
      </c>
      <c r="K39" t="s">
        <v>74</v>
      </c>
      <c r="L39" t="s">
        <v>74</v>
      </c>
      <c r="M39" t="s">
        <v>74</v>
      </c>
      <c r="N39" t="s">
        <v>103</v>
      </c>
      <c r="O39" t="s">
        <v>74</v>
      </c>
      <c r="P39" t="s">
        <v>74</v>
      </c>
      <c r="Q39" t="s">
        <v>74</v>
      </c>
      <c r="R39" t="s">
        <v>74</v>
      </c>
      <c r="S39" t="s">
        <v>74</v>
      </c>
      <c r="T39" t="s">
        <v>10350</v>
      </c>
      <c r="U39" t="s">
        <v>10351</v>
      </c>
      <c r="V39" t="s">
        <v>10352</v>
      </c>
      <c r="W39" t="s">
        <v>10353</v>
      </c>
      <c r="X39" t="s">
        <v>10354</v>
      </c>
      <c r="Y39" t="s">
        <v>10355</v>
      </c>
      <c r="Z39" t="s">
        <v>10356</v>
      </c>
      <c r="AA39" t="s">
        <v>74</v>
      </c>
      <c r="AB39" t="s">
        <v>74</v>
      </c>
      <c r="AC39" t="s">
        <v>74</v>
      </c>
      <c r="AD39" t="s">
        <v>74</v>
      </c>
      <c r="AE39" t="s">
        <v>74</v>
      </c>
      <c r="AF39" t="s">
        <v>74</v>
      </c>
      <c r="AG39">
        <v>44</v>
      </c>
      <c r="AH39">
        <v>282</v>
      </c>
      <c r="AI39">
        <v>305</v>
      </c>
      <c r="AJ39">
        <v>0</v>
      </c>
      <c r="AK39">
        <v>33</v>
      </c>
      <c r="AL39" t="s">
        <v>74</v>
      </c>
      <c r="AM39" t="s">
        <v>74</v>
      </c>
      <c r="AN39" t="s">
        <v>74</v>
      </c>
      <c r="AO39" t="s">
        <v>10357</v>
      </c>
      <c r="AP39" t="s">
        <v>10358</v>
      </c>
      <c r="AQ39" t="s">
        <v>74</v>
      </c>
      <c r="AR39" t="s">
        <v>74</v>
      </c>
      <c r="AS39" t="s">
        <v>74</v>
      </c>
      <c r="AT39" t="s">
        <v>10359</v>
      </c>
      <c r="AU39">
        <v>2005</v>
      </c>
      <c r="AV39">
        <v>92</v>
      </c>
      <c r="AW39">
        <v>2</v>
      </c>
      <c r="AX39" t="s">
        <v>74</v>
      </c>
      <c r="AY39" t="s">
        <v>74</v>
      </c>
      <c r="AZ39" t="s">
        <v>74</v>
      </c>
      <c r="BA39" t="s">
        <v>74</v>
      </c>
      <c r="BB39">
        <v>305</v>
      </c>
      <c r="BC39">
        <v>311</v>
      </c>
      <c r="BD39" t="s">
        <v>74</v>
      </c>
      <c r="BE39" t="s">
        <v>10360</v>
      </c>
      <c r="BF39" t="str">
        <f>HYPERLINK("http://dx.doi.org/10.1038/sj.bjc.6602316","http://dx.doi.org/10.1038/sj.bjc.6602316")</f>
        <v>http://dx.doi.org/10.1038/sj.bjc.6602316</v>
      </c>
      <c r="BG39" t="s">
        <v>74</v>
      </c>
      <c r="BH39" t="s">
        <v>74</v>
      </c>
      <c r="BI39" t="s">
        <v>74</v>
      </c>
      <c r="BJ39" t="s">
        <v>267</v>
      </c>
      <c r="BK39" t="s">
        <v>117</v>
      </c>
      <c r="BL39" t="s">
        <v>267</v>
      </c>
      <c r="BM39" t="s">
        <v>74</v>
      </c>
      <c r="BN39">
        <v>15655551</v>
      </c>
      <c r="BO39" t="s">
        <v>74</v>
      </c>
      <c r="BP39" t="s">
        <v>74</v>
      </c>
      <c r="BQ39" t="s">
        <v>74</v>
      </c>
      <c r="BR39" t="s">
        <v>96</v>
      </c>
      <c r="BS39" t="s">
        <v>10361</v>
      </c>
      <c r="BT39" t="str">
        <f>HYPERLINK("https%3A%2F%2Fwww.webofscience.com%2Fwos%2Fwoscc%2Ffull-record%2FWOS:000226543800019","View Full Record in Web of Science")</f>
        <v>View Full Record in Web of Science</v>
      </c>
    </row>
    <row r="40" spans="1:72" x14ac:dyDescent="0.15">
      <c r="A40" t="s">
        <v>98</v>
      </c>
      <c r="B40" t="s">
        <v>21820</v>
      </c>
      <c r="C40" t="s">
        <v>74</v>
      </c>
      <c r="D40" t="s">
        <v>74</v>
      </c>
      <c r="E40" t="s">
        <v>74</v>
      </c>
      <c r="F40" t="s">
        <v>21821</v>
      </c>
      <c r="G40" t="s">
        <v>74</v>
      </c>
      <c r="H40" t="s">
        <v>74</v>
      </c>
      <c r="I40" t="s">
        <v>21822</v>
      </c>
      <c r="J40" t="s">
        <v>4828</v>
      </c>
      <c r="K40" t="s">
        <v>74</v>
      </c>
      <c r="L40" t="s">
        <v>74</v>
      </c>
      <c r="M40" t="s">
        <v>74</v>
      </c>
      <c r="N40" t="s">
        <v>103</v>
      </c>
      <c r="O40" t="s">
        <v>74</v>
      </c>
      <c r="P40" t="s">
        <v>74</v>
      </c>
      <c r="Q40" t="s">
        <v>74</v>
      </c>
      <c r="R40" t="s">
        <v>74</v>
      </c>
      <c r="S40" t="s">
        <v>74</v>
      </c>
      <c r="T40" t="s">
        <v>21823</v>
      </c>
      <c r="U40" t="s">
        <v>21824</v>
      </c>
      <c r="V40" t="s">
        <v>21825</v>
      </c>
      <c r="W40" t="s">
        <v>21826</v>
      </c>
      <c r="X40" t="s">
        <v>21827</v>
      </c>
      <c r="Y40" t="s">
        <v>21828</v>
      </c>
      <c r="Z40" t="s">
        <v>3841</v>
      </c>
      <c r="AA40" t="s">
        <v>21829</v>
      </c>
      <c r="AB40" t="s">
        <v>21830</v>
      </c>
      <c r="AC40" t="s">
        <v>74</v>
      </c>
      <c r="AD40" t="s">
        <v>74</v>
      </c>
      <c r="AE40" t="s">
        <v>74</v>
      </c>
      <c r="AF40" t="s">
        <v>74</v>
      </c>
      <c r="AG40">
        <v>57</v>
      </c>
      <c r="AH40">
        <v>281</v>
      </c>
      <c r="AI40">
        <v>283</v>
      </c>
      <c r="AJ40">
        <v>80</v>
      </c>
      <c r="AK40">
        <v>984</v>
      </c>
      <c r="AL40" t="s">
        <v>74</v>
      </c>
      <c r="AM40" t="s">
        <v>74</v>
      </c>
      <c r="AN40" t="s">
        <v>74</v>
      </c>
      <c r="AO40" t="s">
        <v>4836</v>
      </c>
      <c r="AP40" t="s">
        <v>4837</v>
      </c>
      <c r="AQ40" t="s">
        <v>74</v>
      </c>
      <c r="AR40" t="s">
        <v>74</v>
      </c>
      <c r="AS40" t="s">
        <v>74</v>
      </c>
      <c r="AT40" t="s">
        <v>3542</v>
      </c>
      <c r="AU40">
        <v>2017</v>
      </c>
      <c r="AV40">
        <v>56</v>
      </c>
      <c r="AW40">
        <v>39</v>
      </c>
      <c r="AX40" t="s">
        <v>74</v>
      </c>
      <c r="AY40" t="s">
        <v>74</v>
      </c>
      <c r="AZ40" t="s">
        <v>74</v>
      </c>
      <c r="BA40" t="s">
        <v>74</v>
      </c>
      <c r="BB40">
        <v>11916</v>
      </c>
      <c r="BC40">
        <v>11920</v>
      </c>
      <c r="BD40" t="s">
        <v>74</v>
      </c>
      <c r="BE40" t="s">
        <v>21831</v>
      </c>
      <c r="BF40" t="str">
        <f>HYPERLINK("http://dx.doi.org/10.1002/anie.201703807","http://dx.doi.org/10.1002/anie.201703807")</f>
        <v>http://dx.doi.org/10.1002/anie.201703807</v>
      </c>
      <c r="BG40" t="s">
        <v>74</v>
      </c>
      <c r="BH40" t="s">
        <v>74</v>
      </c>
      <c r="BI40" t="s">
        <v>74</v>
      </c>
      <c r="BJ40" t="s">
        <v>1047</v>
      </c>
      <c r="BK40" t="s">
        <v>117</v>
      </c>
      <c r="BL40" t="s">
        <v>1048</v>
      </c>
      <c r="BM40" t="s">
        <v>74</v>
      </c>
      <c r="BN40">
        <v>28834063</v>
      </c>
      <c r="BO40" t="s">
        <v>74</v>
      </c>
      <c r="BP40" t="s">
        <v>193</v>
      </c>
      <c r="BQ40" t="s">
        <v>194</v>
      </c>
      <c r="BR40" t="s">
        <v>96</v>
      </c>
      <c r="BS40" t="s">
        <v>21832</v>
      </c>
      <c r="BT40" t="str">
        <f>HYPERLINK("https%3A%2F%2Fwww.webofscience.com%2Fwos%2Fwoscc%2Ffull-record%2FWOS:000410810600044","View Full Record in Web of Science")</f>
        <v>View Full Record in Web of Science</v>
      </c>
    </row>
    <row r="41" spans="1:72" x14ac:dyDescent="0.15">
      <c r="A41" t="s">
        <v>98</v>
      </c>
      <c r="B41" t="s">
        <v>26981</v>
      </c>
      <c r="C41" t="s">
        <v>74</v>
      </c>
      <c r="D41" t="s">
        <v>74</v>
      </c>
      <c r="E41" t="s">
        <v>74</v>
      </c>
      <c r="F41" t="s">
        <v>26981</v>
      </c>
      <c r="G41" t="s">
        <v>74</v>
      </c>
      <c r="H41" t="s">
        <v>74</v>
      </c>
      <c r="I41" t="s">
        <v>26982</v>
      </c>
      <c r="J41" t="s">
        <v>20070</v>
      </c>
      <c r="K41" t="s">
        <v>74</v>
      </c>
      <c r="L41" t="s">
        <v>74</v>
      </c>
      <c r="M41" t="s">
        <v>74</v>
      </c>
      <c r="N41" t="s">
        <v>103</v>
      </c>
      <c r="O41" t="s">
        <v>74</v>
      </c>
      <c r="P41" t="s">
        <v>74</v>
      </c>
      <c r="Q41" t="s">
        <v>74</v>
      </c>
      <c r="R41" t="s">
        <v>74</v>
      </c>
      <c r="S41" t="s">
        <v>74</v>
      </c>
      <c r="T41" t="s">
        <v>26983</v>
      </c>
      <c r="U41" t="s">
        <v>26984</v>
      </c>
      <c r="V41" t="s">
        <v>26985</v>
      </c>
      <c r="W41" t="s">
        <v>26986</v>
      </c>
      <c r="X41" t="s">
        <v>26987</v>
      </c>
      <c r="Y41" t="s">
        <v>74</v>
      </c>
      <c r="Z41" t="s">
        <v>74</v>
      </c>
      <c r="AA41" t="s">
        <v>26988</v>
      </c>
      <c r="AB41" t="s">
        <v>26989</v>
      </c>
      <c r="AC41" t="s">
        <v>74</v>
      </c>
      <c r="AD41" t="s">
        <v>74</v>
      </c>
      <c r="AE41" t="s">
        <v>74</v>
      </c>
      <c r="AF41" t="s">
        <v>74</v>
      </c>
      <c r="AG41">
        <v>36</v>
      </c>
      <c r="AH41">
        <v>279</v>
      </c>
      <c r="AI41">
        <v>284</v>
      </c>
      <c r="AJ41">
        <v>0</v>
      </c>
      <c r="AK41">
        <v>42</v>
      </c>
      <c r="AL41" t="s">
        <v>74</v>
      </c>
      <c r="AM41" t="s">
        <v>74</v>
      </c>
      <c r="AN41" t="s">
        <v>74</v>
      </c>
      <c r="AO41" t="s">
        <v>20077</v>
      </c>
      <c r="AP41" t="s">
        <v>74</v>
      </c>
      <c r="AQ41" t="s">
        <v>74</v>
      </c>
      <c r="AR41" t="s">
        <v>74</v>
      </c>
      <c r="AS41" t="s">
        <v>74</v>
      </c>
      <c r="AT41" t="s">
        <v>211</v>
      </c>
      <c r="AU41">
        <v>1996</v>
      </c>
      <c r="AV41">
        <v>3</v>
      </c>
      <c r="AW41">
        <v>11</v>
      </c>
      <c r="AX41" t="s">
        <v>74</v>
      </c>
      <c r="AY41" t="s">
        <v>74</v>
      </c>
      <c r="AZ41" t="s">
        <v>74</v>
      </c>
      <c r="BA41" t="s">
        <v>74</v>
      </c>
      <c r="BB41">
        <v>1010</v>
      </c>
      <c r="BC41">
        <v>1017</v>
      </c>
      <c r="BD41" t="s">
        <v>74</v>
      </c>
      <c r="BE41" t="s">
        <v>74</v>
      </c>
      <c r="BF41" t="s">
        <v>74</v>
      </c>
      <c r="BG41" t="s">
        <v>74</v>
      </c>
      <c r="BH41" t="s">
        <v>74</v>
      </c>
      <c r="BI41" t="s">
        <v>74</v>
      </c>
      <c r="BJ41" t="s">
        <v>20080</v>
      </c>
      <c r="BK41" t="s">
        <v>117</v>
      </c>
      <c r="BL41" t="s">
        <v>20081</v>
      </c>
      <c r="BM41" t="s">
        <v>74</v>
      </c>
      <c r="BN41">
        <v>9044741</v>
      </c>
      <c r="BO41" t="s">
        <v>74</v>
      </c>
      <c r="BP41" t="s">
        <v>74</v>
      </c>
      <c r="BQ41" t="s">
        <v>74</v>
      </c>
      <c r="BR41" t="s">
        <v>96</v>
      </c>
      <c r="BS41" t="s">
        <v>26990</v>
      </c>
      <c r="BT41" t="str">
        <f>HYPERLINK("https%3A%2F%2Fwww.webofscience.com%2Fwos%2Fwoscc%2Ffull-record%2FWOS:A1996VR64300010","View Full Record in Web of Science")</f>
        <v>View Full Record in Web of Science</v>
      </c>
    </row>
    <row r="42" spans="1:72" x14ac:dyDescent="0.15">
      <c r="A42" t="s">
        <v>98</v>
      </c>
      <c r="B42" t="s">
        <v>29304</v>
      </c>
      <c r="C42" t="s">
        <v>74</v>
      </c>
      <c r="D42" t="s">
        <v>74</v>
      </c>
      <c r="E42" t="s">
        <v>74</v>
      </c>
      <c r="F42" t="s">
        <v>29305</v>
      </c>
      <c r="G42" t="s">
        <v>74</v>
      </c>
      <c r="H42" t="s">
        <v>74</v>
      </c>
      <c r="I42" t="s">
        <v>29306</v>
      </c>
      <c r="J42" t="s">
        <v>29307</v>
      </c>
      <c r="K42" t="s">
        <v>74</v>
      </c>
      <c r="L42" t="s">
        <v>74</v>
      </c>
      <c r="M42" t="s">
        <v>74</v>
      </c>
      <c r="N42" t="s">
        <v>103</v>
      </c>
      <c r="O42" t="s">
        <v>74</v>
      </c>
      <c r="P42" t="s">
        <v>74</v>
      </c>
      <c r="Q42" t="s">
        <v>74</v>
      </c>
      <c r="R42" t="s">
        <v>74</v>
      </c>
      <c r="S42" t="s">
        <v>74</v>
      </c>
      <c r="T42" t="s">
        <v>74</v>
      </c>
      <c r="U42" t="s">
        <v>29308</v>
      </c>
      <c r="V42" t="s">
        <v>29309</v>
      </c>
      <c r="W42" t="s">
        <v>29310</v>
      </c>
      <c r="X42" t="s">
        <v>29311</v>
      </c>
      <c r="Y42" t="s">
        <v>29312</v>
      </c>
      <c r="Z42" t="s">
        <v>29313</v>
      </c>
      <c r="AA42" t="s">
        <v>29314</v>
      </c>
      <c r="AB42" t="s">
        <v>29315</v>
      </c>
      <c r="AC42" t="s">
        <v>74</v>
      </c>
      <c r="AD42" t="s">
        <v>74</v>
      </c>
      <c r="AE42" t="s">
        <v>74</v>
      </c>
      <c r="AF42" t="s">
        <v>74</v>
      </c>
      <c r="AG42">
        <v>46</v>
      </c>
      <c r="AH42">
        <v>279</v>
      </c>
      <c r="AI42">
        <v>281</v>
      </c>
      <c r="AJ42">
        <v>14</v>
      </c>
      <c r="AK42">
        <v>344</v>
      </c>
      <c r="AL42" t="s">
        <v>74</v>
      </c>
      <c r="AM42" t="s">
        <v>74</v>
      </c>
      <c r="AN42" t="s">
        <v>74</v>
      </c>
      <c r="AO42" t="s">
        <v>29316</v>
      </c>
      <c r="AP42" t="s">
        <v>29317</v>
      </c>
      <c r="AQ42" t="s">
        <v>74</v>
      </c>
      <c r="AR42" t="s">
        <v>74</v>
      </c>
      <c r="AS42" t="s">
        <v>74</v>
      </c>
      <c r="AT42" t="s">
        <v>1029</v>
      </c>
      <c r="AU42">
        <v>2015</v>
      </c>
      <c r="AV42">
        <v>14</v>
      </c>
      <c r="AW42">
        <v>5</v>
      </c>
      <c r="AX42" t="s">
        <v>74</v>
      </c>
      <c r="AY42" t="s">
        <v>74</v>
      </c>
      <c r="AZ42" t="s">
        <v>74</v>
      </c>
      <c r="BA42" t="s">
        <v>74</v>
      </c>
      <c r="BB42">
        <v>532</v>
      </c>
      <c r="BC42">
        <v>539</v>
      </c>
      <c r="BD42" t="s">
        <v>74</v>
      </c>
      <c r="BE42" t="s">
        <v>29318</v>
      </c>
      <c r="BF42" t="str">
        <f>HYPERLINK("http://dx.doi.org/10.1038/NMAT4249","http://dx.doi.org/10.1038/NMAT4249")</f>
        <v>http://dx.doi.org/10.1038/NMAT4249</v>
      </c>
      <c r="BG42" t="s">
        <v>74</v>
      </c>
      <c r="BH42" t="s">
        <v>74</v>
      </c>
      <c r="BI42" t="s">
        <v>74</v>
      </c>
      <c r="BJ42" t="s">
        <v>29319</v>
      </c>
      <c r="BK42" t="s">
        <v>117</v>
      </c>
      <c r="BL42" t="s">
        <v>29320</v>
      </c>
      <c r="BM42" t="s">
        <v>74</v>
      </c>
      <c r="BN42">
        <v>25822693</v>
      </c>
      <c r="BO42" t="s">
        <v>74</v>
      </c>
      <c r="BP42" t="s">
        <v>193</v>
      </c>
      <c r="BQ42" t="s">
        <v>194</v>
      </c>
      <c r="BR42" t="s">
        <v>96</v>
      </c>
      <c r="BS42" t="s">
        <v>29321</v>
      </c>
      <c r="BT42" t="str">
        <f>HYPERLINK("https%3A%2F%2Fwww.webofscience.com%2Fwos%2Fwoscc%2Ffull-record%2FWOS:000353305700021","View Full Record in Web of Science")</f>
        <v>View Full Record in Web of Science</v>
      </c>
    </row>
    <row r="43" spans="1:72" x14ac:dyDescent="0.15">
      <c r="A43" t="s">
        <v>98</v>
      </c>
      <c r="B43" t="s">
        <v>8993</v>
      </c>
      <c r="C43" t="s">
        <v>74</v>
      </c>
      <c r="D43" t="s">
        <v>74</v>
      </c>
      <c r="E43" t="s">
        <v>74</v>
      </c>
      <c r="F43" t="s">
        <v>8994</v>
      </c>
      <c r="G43" t="s">
        <v>74</v>
      </c>
      <c r="H43" t="s">
        <v>74</v>
      </c>
      <c r="I43" t="s">
        <v>8995</v>
      </c>
      <c r="J43" t="s">
        <v>8996</v>
      </c>
      <c r="K43" t="s">
        <v>74</v>
      </c>
      <c r="L43" t="s">
        <v>74</v>
      </c>
      <c r="M43" t="s">
        <v>74</v>
      </c>
      <c r="N43" t="s">
        <v>103</v>
      </c>
      <c r="O43" t="s">
        <v>74</v>
      </c>
      <c r="P43" t="s">
        <v>74</v>
      </c>
      <c r="Q43" t="s">
        <v>74</v>
      </c>
      <c r="R43" t="s">
        <v>74</v>
      </c>
      <c r="S43" t="s">
        <v>74</v>
      </c>
      <c r="T43" t="s">
        <v>74</v>
      </c>
      <c r="U43" t="s">
        <v>8997</v>
      </c>
      <c r="V43" t="s">
        <v>8998</v>
      </c>
      <c r="W43" t="s">
        <v>8999</v>
      </c>
      <c r="X43" t="s">
        <v>9000</v>
      </c>
      <c r="Y43" t="s">
        <v>9001</v>
      </c>
      <c r="Z43" t="s">
        <v>7594</v>
      </c>
      <c r="AA43" t="s">
        <v>9002</v>
      </c>
      <c r="AB43" t="s">
        <v>9003</v>
      </c>
      <c r="AC43" t="s">
        <v>74</v>
      </c>
      <c r="AD43" t="s">
        <v>74</v>
      </c>
      <c r="AE43" t="s">
        <v>74</v>
      </c>
      <c r="AF43" t="s">
        <v>74</v>
      </c>
      <c r="AG43">
        <v>29</v>
      </c>
      <c r="AH43">
        <v>275</v>
      </c>
      <c r="AI43">
        <v>283</v>
      </c>
      <c r="AJ43">
        <v>7</v>
      </c>
      <c r="AK43">
        <v>218</v>
      </c>
      <c r="AL43" t="s">
        <v>74</v>
      </c>
      <c r="AM43" t="s">
        <v>74</v>
      </c>
      <c r="AN43" t="s">
        <v>74</v>
      </c>
      <c r="AO43" t="s">
        <v>9004</v>
      </c>
      <c r="AP43" t="s">
        <v>9005</v>
      </c>
      <c r="AQ43" t="s">
        <v>74</v>
      </c>
      <c r="AR43" t="s">
        <v>74</v>
      </c>
      <c r="AS43" t="s">
        <v>74</v>
      </c>
      <c r="AT43" t="s">
        <v>9006</v>
      </c>
      <c r="AU43">
        <v>2014</v>
      </c>
      <c r="AV43">
        <v>343</v>
      </c>
      <c r="AW43">
        <v>6167</v>
      </c>
      <c r="AX43" t="s">
        <v>74</v>
      </c>
      <c r="AY43" t="s">
        <v>74</v>
      </c>
      <c r="AZ43" t="s">
        <v>74</v>
      </c>
      <c r="BA43" t="s">
        <v>74</v>
      </c>
      <c r="BB43">
        <v>183</v>
      </c>
      <c r="BC43">
        <v>186</v>
      </c>
      <c r="BD43" t="s">
        <v>74</v>
      </c>
      <c r="BE43" t="s">
        <v>9007</v>
      </c>
      <c r="BF43" t="str">
        <f>HYPERLINK("http://dx.doi.org/10.1126/science.1243457","http://dx.doi.org/10.1126/science.1243457")</f>
        <v>http://dx.doi.org/10.1126/science.1243457</v>
      </c>
      <c r="BG43" t="s">
        <v>74</v>
      </c>
      <c r="BH43" t="s">
        <v>74</v>
      </c>
      <c r="BI43" t="s">
        <v>74</v>
      </c>
      <c r="BJ43" t="s">
        <v>152</v>
      </c>
      <c r="BK43" t="s">
        <v>117</v>
      </c>
      <c r="BL43" t="s">
        <v>153</v>
      </c>
      <c r="BM43" t="s">
        <v>74</v>
      </c>
      <c r="BN43">
        <v>24408433</v>
      </c>
      <c r="BO43" t="s">
        <v>74</v>
      </c>
      <c r="BP43" t="s">
        <v>193</v>
      </c>
      <c r="BQ43" t="s">
        <v>194</v>
      </c>
      <c r="BR43" t="s">
        <v>96</v>
      </c>
      <c r="BS43" t="s">
        <v>9008</v>
      </c>
      <c r="BT43" t="str">
        <f>HYPERLINK("https%3A%2F%2Fwww.webofscience.com%2Fwos%2Fwoscc%2Ffull-record%2FWOS:000329440800042","View Full Record in Web of Science")</f>
        <v>View Full Record in Web of Science</v>
      </c>
    </row>
    <row r="44" spans="1:72" x14ac:dyDescent="0.15">
      <c r="A44" t="s">
        <v>98</v>
      </c>
      <c r="B44" t="s">
        <v>655</v>
      </c>
      <c r="C44" t="s">
        <v>74</v>
      </c>
      <c r="D44" t="s">
        <v>74</v>
      </c>
      <c r="E44" t="s">
        <v>74</v>
      </c>
      <c r="F44" t="s">
        <v>656</v>
      </c>
      <c r="G44" t="s">
        <v>74</v>
      </c>
      <c r="H44" t="s">
        <v>74</v>
      </c>
      <c r="I44" t="s">
        <v>657</v>
      </c>
      <c r="J44" t="s">
        <v>658</v>
      </c>
      <c r="K44" t="s">
        <v>74</v>
      </c>
      <c r="L44" t="s">
        <v>74</v>
      </c>
      <c r="M44" t="s">
        <v>74</v>
      </c>
      <c r="N44" t="s">
        <v>103</v>
      </c>
      <c r="O44" t="s">
        <v>74</v>
      </c>
      <c r="P44" t="s">
        <v>74</v>
      </c>
      <c r="Q44" t="s">
        <v>74</v>
      </c>
      <c r="R44" t="s">
        <v>74</v>
      </c>
      <c r="S44" t="s">
        <v>74</v>
      </c>
      <c r="T44" t="s">
        <v>659</v>
      </c>
      <c r="U44" t="s">
        <v>660</v>
      </c>
      <c r="V44" t="s">
        <v>661</v>
      </c>
      <c r="W44" t="s">
        <v>662</v>
      </c>
      <c r="X44" t="s">
        <v>663</v>
      </c>
      <c r="Y44" t="s">
        <v>664</v>
      </c>
      <c r="Z44" t="s">
        <v>665</v>
      </c>
      <c r="AA44" t="s">
        <v>666</v>
      </c>
      <c r="AB44" t="s">
        <v>667</v>
      </c>
      <c r="AC44" t="s">
        <v>74</v>
      </c>
      <c r="AD44" t="s">
        <v>74</v>
      </c>
      <c r="AE44" t="s">
        <v>74</v>
      </c>
      <c r="AF44" t="s">
        <v>74</v>
      </c>
      <c r="AG44">
        <v>75</v>
      </c>
      <c r="AH44">
        <v>274</v>
      </c>
      <c r="AI44">
        <v>291</v>
      </c>
      <c r="AJ44">
        <v>5</v>
      </c>
      <c r="AK44">
        <v>101</v>
      </c>
      <c r="AL44" t="s">
        <v>74</v>
      </c>
      <c r="AM44" t="s">
        <v>74</v>
      </c>
      <c r="AN44" t="s">
        <v>74</v>
      </c>
      <c r="AO44" t="s">
        <v>668</v>
      </c>
      <c r="AP44" t="s">
        <v>74</v>
      </c>
      <c r="AQ44" t="s">
        <v>74</v>
      </c>
      <c r="AR44" t="s">
        <v>74</v>
      </c>
      <c r="AS44" t="s">
        <v>74</v>
      </c>
      <c r="AT44" t="s">
        <v>669</v>
      </c>
      <c r="AU44">
        <v>2015</v>
      </c>
      <c r="AV44">
        <v>112</v>
      </c>
      <c r="AW44">
        <v>12</v>
      </c>
      <c r="AX44" t="s">
        <v>74</v>
      </c>
      <c r="AY44" t="s">
        <v>74</v>
      </c>
      <c r="AZ44" t="s">
        <v>74</v>
      </c>
      <c r="BA44" t="s">
        <v>74</v>
      </c>
      <c r="BB44" t="s">
        <v>670</v>
      </c>
      <c r="BC44" t="s">
        <v>671</v>
      </c>
      <c r="BD44" t="s">
        <v>74</v>
      </c>
      <c r="BE44" t="s">
        <v>672</v>
      </c>
      <c r="BF44" t="str">
        <f>HYPERLINK("http://dx.doi.org/10.1073/pnas.1418401112","http://dx.doi.org/10.1073/pnas.1418401112")</f>
        <v>http://dx.doi.org/10.1073/pnas.1418401112</v>
      </c>
      <c r="BG44" t="s">
        <v>74</v>
      </c>
      <c r="BH44" t="s">
        <v>74</v>
      </c>
      <c r="BI44" t="s">
        <v>74</v>
      </c>
      <c r="BJ44" t="s">
        <v>152</v>
      </c>
      <c r="BK44" t="s">
        <v>117</v>
      </c>
      <c r="BL44" t="s">
        <v>153</v>
      </c>
      <c r="BM44" t="s">
        <v>74</v>
      </c>
      <c r="BN44">
        <v>25713383</v>
      </c>
      <c r="BO44" t="s">
        <v>74</v>
      </c>
      <c r="BP44" t="s">
        <v>74</v>
      </c>
      <c r="BQ44" t="s">
        <v>74</v>
      </c>
      <c r="BR44" t="s">
        <v>96</v>
      </c>
      <c r="BS44" t="s">
        <v>673</v>
      </c>
      <c r="BT44" t="str">
        <f>HYPERLINK("https%3A%2F%2Fwww.webofscience.com%2Fwos%2Fwoscc%2Ffull-record%2FWOS:000351477000008","View Full Record in Web of Science")</f>
        <v>View Full Record in Web of Science</v>
      </c>
    </row>
    <row r="45" spans="1:72" x14ac:dyDescent="0.15">
      <c r="A45" t="s">
        <v>98</v>
      </c>
      <c r="B45" t="s">
        <v>1070</v>
      </c>
      <c r="C45" t="s">
        <v>74</v>
      </c>
      <c r="D45" t="s">
        <v>74</v>
      </c>
      <c r="E45" t="s">
        <v>74</v>
      </c>
      <c r="F45" t="s">
        <v>1071</v>
      </c>
      <c r="G45" t="s">
        <v>74</v>
      </c>
      <c r="H45" t="s">
        <v>74</v>
      </c>
      <c r="I45" t="s">
        <v>1072</v>
      </c>
      <c r="J45" t="s">
        <v>1073</v>
      </c>
      <c r="K45" t="s">
        <v>74</v>
      </c>
      <c r="L45" t="s">
        <v>74</v>
      </c>
      <c r="M45" t="s">
        <v>74</v>
      </c>
      <c r="N45" t="s">
        <v>103</v>
      </c>
      <c r="O45" t="s">
        <v>74</v>
      </c>
      <c r="P45" t="s">
        <v>74</v>
      </c>
      <c r="Q45" t="s">
        <v>74</v>
      </c>
      <c r="R45" t="s">
        <v>74</v>
      </c>
      <c r="S45" t="s">
        <v>74</v>
      </c>
      <c r="T45" t="s">
        <v>74</v>
      </c>
      <c r="U45" t="s">
        <v>1074</v>
      </c>
      <c r="V45" t="s">
        <v>1075</v>
      </c>
      <c r="W45" t="s">
        <v>1076</v>
      </c>
      <c r="X45" t="s">
        <v>1077</v>
      </c>
      <c r="Y45" t="s">
        <v>1078</v>
      </c>
      <c r="Z45" t="s">
        <v>1079</v>
      </c>
      <c r="AA45" t="s">
        <v>1080</v>
      </c>
      <c r="AB45" t="s">
        <v>1081</v>
      </c>
      <c r="AC45" t="s">
        <v>74</v>
      </c>
      <c r="AD45" t="s">
        <v>74</v>
      </c>
      <c r="AE45" t="s">
        <v>74</v>
      </c>
      <c r="AF45" t="s">
        <v>74</v>
      </c>
      <c r="AG45">
        <v>44</v>
      </c>
      <c r="AH45">
        <v>268</v>
      </c>
      <c r="AI45">
        <v>276</v>
      </c>
      <c r="AJ45">
        <v>3</v>
      </c>
      <c r="AK45">
        <v>54</v>
      </c>
      <c r="AL45" t="s">
        <v>74</v>
      </c>
      <c r="AM45" t="s">
        <v>74</v>
      </c>
      <c r="AN45" t="s">
        <v>74</v>
      </c>
      <c r="AO45" t="s">
        <v>1082</v>
      </c>
      <c r="AP45" t="s">
        <v>74</v>
      </c>
      <c r="AQ45" t="s">
        <v>74</v>
      </c>
      <c r="AR45" t="s">
        <v>74</v>
      </c>
      <c r="AS45" t="s">
        <v>74</v>
      </c>
      <c r="AT45" t="s">
        <v>1083</v>
      </c>
      <c r="AU45">
        <v>2012</v>
      </c>
      <c r="AV45">
        <v>7</v>
      </c>
      <c r="AW45">
        <v>4</v>
      </c>
      <c r="AX45" t="s">
        <v>74</v>
      </c>
      <c r="AY45" t="s">
        <v>74</v>
      </c>
      <c r="AZ45" t="s">
        <v>74</v>
      </c>
      <c r="BA45" t="s">
        <v>74</v>
      </c>
      <c r="BB45" t="s">
        <v>74</v>
      </c>
      <c r="BC45" t="s">
        <v>74</v>
      </c>
      <c r="BD45" t="s">
        <v>1084</v>
      </c>
      <c r="BE45" t="s">
        <v>1085</v>
      </c>
      <c r="BF45" t="str">
        <f>HYPERLINK("http://dx.doi.org/10.1371/journal.pone.0034653","http://dx.doi.org/10.1371/journal.pone.0034653")</f>
        <v>http://dx.doi.org/10.1371/journal.pone.0034653</v>
      </c>
      <c r="BG45" t="s">
        <v>74</v>
      </c>
      <c r="BH45" t="s">
        <v>74</v>
      </c>
      <c r="BI45" t="s">
        <v>74</v>
      </c>
      <c r="BJ45" t="s">
        <v>152</v>
      </c>
      <c r="BK45" t="s">
        <v>117</v>
      </c>
      <c r="BL45" t="s">
        <v>153</v>
      </c>
      <c r="BM45" t="s">
        <v>74</v>
      </c>
      <c r="BN45">
        <v>22506041</v>
      </c>
      <c r="BO45" t="s">
        <v>74</v>
      </c>
      <c r="BP45" t="s">
        <v>193</v>
      </c>
      <c r="BQ45" t="s">
        <v>194</v>
      </c>
      <c r="BR45" t="s">
        <v>96</v>
      </c>
      <c r="BS45" t="s">
        <v>1086</v>
      </c>
      <c r="BT45" t="str">
        <f>HYPERLINK("https%3A%2F%2Fwww.webofscience.com%2Fwos%2Fwoscc%2Ffull-record%2FWOS:000305297500049","View Full Record in Web of Science")</f>
        <v>View Full Record in Web of Science</v>
      </c>
    </row>
    <row r="46" spans="1:72" x14ac:dyDescent="0.15">
      <c r="A46" t="s">
        <v>98</v>
      </c>
      <c r="B46" t="s">
        <v>14057</v>
      </c>
      <c r="C46" t="s">
        <v>74</v>
      </c>
      <c r="D46" t="s">
        <v>74</v>
      </c>
      <c r="E46" t="s">
        <v>74</v>
      </c>
      <c r="F46" t="s">
        <v>14058</v>
      </c>
      <c r="G46" t="s">
        <v>74</v>
      </c>
      <c r="H46" t="s">
        <v>74</v>
      </c>
      <c r="I46" t="s">
        <v>14059</v>
      </c>
      <c r="J46" t="s">
        <v>5139</v>
      </c>
      <c r="K46" t="s">
        <v>74</v>
      </c>
      <c r="L46" t="s">
        <v>74</v>
      </c>
      <c r="M46" t="s">
        <v>74</v>
      </c>
      <c r="N46" t="s">
        <v>103</v>
      </c>
      <c r="O46" t="s">
        <v>74</v>
      </c>
      <c r="P46" t="s">
        <v>74</v>
      </c>
      <c r="Q46" t="s">
        <v>74</v>
      </c>
      <c r="R46" t="s">
        <v>74</v>
      </c>
      <c r="S46" t="s">
        <v>74</v>
      </c>
      <c r="T46" t="s">
        <v>74</v>
      </c>
      <c r="U46" t="s">
        <v>14060</v>
      </c>
      <c r="V46" t="s">
        <v>14061</v>
      </c>
      <c r="W46" t="s">
        <v>14062</v>
      </c>
      <c r="X46" t="s">
        <v>14063</v>
      </c>
      <c r="Y46" t="s">
        <v>14064</v>
      </c>
      <c r="Z46" t="s">
        <v>14065</v>
      </c>
      <c r="AA46" t="s">
        <v>14066</v>
      </c>
      <c r="AB46" t="s">
        <v>14067</v>
      </c>
      <c r="AC46" t="s">
        <v>74</v>
      </c>
      <c r="AD46" t="s">
        <v>74</v>
      </c>
      <c r="AE46" t="s">
        <v>74</v>
      </c>
      <c r="AF46" t="s">
        <v>74</v>
      </c>
      <c r="AG46">
        <v>70</v>
      </c>
      <c r="AH46">
        <v>268</v>
      </c>
      <c r="AI46">
        <v>276</v>
      </c>
      <c r="AJ46">
        <v>18</v>
      </c>
      <c r="AK46">
        <v>160</v>
      </c>
      <c r="AL46" t="s">
        <v>74</v>
      </c>
      <c r="AM46" t="s">
        <v>74</v>
      </c>
      <c r="AN46" t="s">
        <v>74</v>
      </c>
      <c r="AO46" t="s">
        <v>5148</v>
      </c>
      <c r="AP46" t="s">
        <v>74</v>
      </c>
      <c r="AQ46" t="s">
        <v>74</v>
      </c>
      <c r="AR46" t="s">
        <v>74</v>
      </c>
      <c r="AS46" t="s">
        <v>74</v>
      </c>
      <c r="AT46" t="s">
        <v>132</v>
      </c>
      <c r="AU46">
        <v>2016</v>
      </c>
      <c r="AV46">
        <v>7</v>
      </c>
      <c r="AW46" t="s">
        <v>74</v>
      </c>
      <c r="AX46" t="s">
        <v>74</v>
      </c>
      <c r="AY46" t="s">
        <v>74</v>
      </c>
      <c r="AZ46" t="s">
        <v>74</v>
      </c>
      <c r="BA46" t="s">
        <v>74</v>
      </c>
      <c r="BB46" t="s">
        <v>74</v>
      </c>
      <c r="BC46" t="s">
        <v>74</v>
      </c>
      <c r="BD46">
        <v>11220</v>
      </c>
      <c r="BE46" t="s">
        <v>14068</v>
      </c>
      <c r="BF46" t="str">
        <f>HYPERLINK("http://dx.doi.org/10.1038/ncomms11220","http://dx.doi.org/10.1038/ncomms11220")</f>
        <v>http://dx.doi.org/10.1038/ncomms11220</v>
      </c>
      <c r="BG46" t="s">
        <v>74</v>
      </c>
      <c r="BH46" t="s">
        <v>74</v>
      </c>
      <c r="BI46" t="s">
        <v>74</v>
      </c>
      <c r="BJ46" t="s">
        <v>152</v>
      </c>
      <c r="BK46" t="s">
        <v>117</v>
      </c>
      <c r="BL46" t="s">
        <v>153</v>
      </c>
      <c r="BM46" t="s">
        <v>74</v>
      </c>
      <c r="BN46">
        <v>27075392</v>
      </c>
      <c r="BO46" t="s">
        <v>74</v>
      </c>
      <c r="BP46" t="s">
        <v>193</v>
      </c>
      <c r="BQ46" t="s">
        <v>194</v>
      </c>
      <c r="BR46" t="s">
        <v>96</v>
      </c>
      <c r="BS46" t="s">
        <v>14069</v>
      </c>
      <c r="BT46" t="str">
        <f>HYPERLINK("https%3A%2F%2Fwww.webofscience.com%2Fwos%2Fwoscc%2Ffull-record%2FWOS:000374121100001","View Full Record in Web of Science")</f>
        <v>View Full Record in Web of Science</v>
      </c>
    </row>
    <row r="47" spans="1:72" x14ac:dyDescent="0.15">
      <c r="A47" t="s">
        <v>98</v>
      </c>
      <c r="B47" t="s">
        <v>1709</v>
      </c>
      <c r="C47" t="s">
        <v>74</v>
      </c>
      <c r="D47" t="s">
        <v>74</v>
      </c>
      <c r="E47" t="s">
        <v>74</v>
      </c>
      <c r="F47" t="s">
        <v>1710</v>
      </c>
      <c r="G47" t="s">
        <v>74</v>
      </c>
      <c r="H47" t="s">
        <v>74</v>
      </c>
      <c r="I47" t="s">
        <v>1711</v>
      </c>
      <c r="J47" t="s">
        <v>1712</v>
      </c>
      <c r="K47" t="s">
        <v>74</v>
      </c>
      <c r="L47" t="s">
        <v>74</v>
      </c>
      <c r="M47" t="s">
        <v>74</v>
      </c>
      <c r="N47" t="s">
        <v>103</v>
      </c>
      <c r="O47" t="s">
        <v>74</v>
      </c>
      <c r="P47" t="s">
        <v>74</v>
      </c>
      <c r="Q47" t="s">
        <v>74</v>
      </c>
      <c r="R47" t="s">
        <v>74</v>
      </c>
      <c r="S47" t="s">
        <v>74</v>
      </c>
      <c r="T47" t="s">
        <v>1713</v>
      </c>
      <c r="U47" t="s">
        <v>1714</v>
      </c>
      <c r="V47" t="s">
        <v>1715</v>
      </c>
      <c r="W47" t="s">
        <v>1716</v>
      </c>
      <c r="X47" t="s">
        <v>1717</v>
      </c>
      <c r="Y47" t="s">
        <v>1718</v>
      </c>
      <c r="Z47" t="s">
        <v>1719</v>
      </c>
      <c r="AA47" t="s">
        <v>1720</v>
      </c>
      <c r="AB47" t="s">
        <v>1721</v>
      </c>
      <c r="AC47" t="s">
        <v>74</v>
      </c>
      <c r="AD47" t="s">
        <v>74</v>
      </c>
      <c r="AE47" t="s">
        <v>74</v>
      </c>
      <c r="AF47" t="s">
        <v>74</v>
      </c>
      <c r="AG47">
        <v>32</v>
      </c>
      <c r="AH47">
        <v>264</v>
      </c>
      <c r="AI47">
        <v>266</v>
      </c>
      <c r="AJ47">
        <v>79</v>
      </c>
      <c r="AK47">
        <v>848</v>
      </c>
      <c r="AL47" t="s">
        <v>74</v>
      </c>
      <c r="AM47" t="s">
        <v>74</v>
      </c>
      <c r="AN47" t="s">
        <v>74</v>
      </c>
      <c r="AO47" t="s">
        <v>1722</v>
      </c>
      <c r="AP47" t="s">
        <v>1723</v>
      </c>
      <c r="AQ47" t="s">
        <v>74</v>
      </c>
      <c r="AR47" t="s">
        <v>74</v>
      </c>
      <c r="AS47" t="s">
        <v>74</v>
      </c>
      <c r="AT47" t="s">
        <v>132</v>
      </c>
      <c r="AU47">
        <v>2017</v>
      </c>
      <c r="AV47">
        <v>11</v>
      </c>
      <c r="AW47">
        <v>4</v>
      </c>
      <c r="AX47" t="s">
        <v>74</v>
      </c>
      <c r="AY47" t="s">
        <v>74</v>
      </c>
      <c r="AZ47" t="s">
        <v>74</v>
      </c>
      <c r="BA47" t="s">
        <v>74</v>
      </c>
      <c r="BB47">
        <v>3943</v>
      </c>
      <c r="BC47">
        <v>3949</v>
      </c>
      <c r="BD47" t="s">
        <v>74</v>
      </c>
      <c r="BE47" t="s">
        <v>1724</v>
      </c>
      <c r="BF47" t="str">
        <f>HYPERLINK("http://dx.doi.org/10.1021/acsnano.7b00373","http://dx.doi.org/10.1021/acsnano.7b00373")</f>
        <v>http://dx.doi.org/10.1021/acsnano.7b00373</v>
      </c>
      <c r="BG47" t="s">
        <v>74</v>
      </c>
      <c r="BH47" t="s">
        <v>74</v>
      </c>
      <c r="BI47" t="s">
        <v>74</v>
      </c>
      <c r="BJ47" t="s">
        <v>1725</v>
      </c>
      <c r="BK47" t="s">
        <v>117</v>
      </c>
      <c r="BL47" t="s">
        <v>1275</v>
      </c>
      <c r="BM47" t="s">
        <v>74</v>
      </c>
      <c r="BN47">
        <v>28287705</v>
      </c>
      <c r="BO47" t="s">
        <v>74</v>
      </c>
      <c r="BP47" t="s">
        <v>193</v>
      </c>
      <c r="BQ47" t="s">
        <v>194</v>
      </c>
      <c r="BR47" t="s">
        <v>96</v>
      </c>
      <c r="BS47" t="s">
        <v>1726</v>
      </c>
      <c r="BT47" t="str">
        <f>HYPERLINK("https%3A%2F%2Fwww.webofscience.com%2Fwos%2Fwoscc%2Ffull-record%2FWOS:000400233200053","View Full Record in Web of Science")</f>
        <v>View Full Record in Web of Science</v>
      </c>
    </row>
    <row r="48" spans="1:72" x14ac:dyDescent="0.15">
      <c r="A48" t="s">
        <v>98</v>
      </c>
      <c r="B48" t="s">
        <v>9939</v>
      </c>
      <c r="C48" t="s">
        <v>74</v>
      </c>
      <c r="D48" t="s">
        <v>74</v>
      </c>
      <c r="E48" t="s">
        <v>74</v>
      </c>
      <c r="F48" t="s">
        <v>9940</v>
      </c>
      <c r="G48" t="s">
        <v>74</v>
      </c>
      <c r="H48" t="s">
        <v>74</v>
      </c>
      <c r="I48" t="s">
        <v>9941</v>
      </c>
      <c r="J48" t="s">
        <v>123</v>
      </c>
      <c r="K48" t="s">
        <v>74</v>
      </c>
      <c r="L48" t="s">
        <v>74</v>
      </c>
      <c r="M48" t="s">
        <v>74</v>
      </c>
      <c r="N48" t="s">
        <v>103</v>
      </c>
      <c r="O48" t="s">
        <v>74</v>
      </c>
      <c r="P48" t="s">
        <v>74</v>
      </c>
      <c r="Q48" t="s">
        <v>74</v>
      </c>
      <c r="R48" t="s">
        <v>74</v>
      </c>
      <c r="S48" t="s">
        <v>74</v>
      </c>
      <c r="T48" t="s">
        <v>9942</v>
      </c>
      <c r="U48" t="s">
        <v>9943</v>
      </c>
      <c r="V48" t="s">
        <v>9944</v>
      </c>
      <c r="W48" t="s">
        <v>9945</v>
      </c>
      <c r="X48" t="s">
        <v>1704</v>
      </c>
      <c r="Y48" t="s">
        <v>9946</v>
      </c>
      <c r="Z48" t="s">
        <v>9947</v>
      </c>
      <c r="AA48" t="s">
        <v>74</v>
      </c>
      <c r="AB48" t="s">
        <v>4907</v>
      </c>
      <c r="AC48" t="s">
        <v>74</v>
      </c>
      <c r="AD48" t="s">
        <v>74</v>
      </c>
      <c r="AE48" t="s">
        <v>74</v>
      </c>
      <c r="AF48" t="s">
        <v>74</v>
      </c>
      <c r="AG48">
        <v>24</v>
      </c>
      <c r="AH48">
        <v>264</v>
      </c>
      <c r="AI48">
        <v>268</v>
      </c>
      <c r="AJ48">
        <v>5</v>
      </c>
      <c r="AK48">
        <v>34</v>
      </c>
      <c r="AL48" t="s">
        <v>74</v>
      </c>
      <c r="AM48" t="s">
        <v>74</v>
      </c>
      <c r="AN48" t="s">
        <v>74</v>
      </c>
      <c r="AO48" t="s">
        <v>74</v>
      </c>
      <c r="AP48" t="s">
        <v>131</v>
      </c>
      <c r="AQ48" t="s">
        <v>74</v>
      </c>
      <c r="AR48" t="s">
        <v>74</v>
      </c>
      <c r="AS48" t="s">
        <v>74</v>
      </c>
      <c r="AT48" t="s">
        <v>74</v>
      </c>
      <c r="AU48">
        <v>2015</v>
      </c>
      <c r="AV48">
        <v>4</v>
      </c>
      <c r="AW48" t="s">
        <v>74</v>
      </c>
      <c r="AX48" t="s">
        <v>74</v>
      </c>
      <c r="AY48" t="s">
        <v>74</v>
      </c>
      <c r="AZ48" t="s">
        <v>74</v>
      </c>
      <c r="BA48" t="s">
        <v>74</v>
      </c>
      <c r="BB48" t="s">
        <v>74</v>
      </c>
      <c r="BC48" t="s">
        <v>74</v>
      </c>
      <c r="BD48">
        <v>26238</v>
      </c>
      <c r="BE48" t="s">
        <v>9948</v>
      </c>
      <c r="BF48" t="str">
        <f>HYPERLINK("http://dx.doi.org/10.3402/jev.v4.26238","http://dx.doi.org/10.3402/jev.v4.26238")</f>
        <v>http://dx.doi.org/10.3402/jev.v4.26238</v>
      </c>
      <c r="BG48" t="s">
        <v>74</v>
      </c>
      <c r="BH48" t="s">
        <v>74</v>
      </c>
      <c r="BI48" t="s">
        <v>74</v>
      </c>
      <c r="BJ48" t="s">
        <v>135</v>
      </c>
      <c r="BK48" t="s">
        <v>467</v>
      </c>
      <c r="BL48" t="s">
        <v>135</v>
      </c>
      <c r="BM48" t="s">
        <v>74</v>
      </c>
      <c r="BN48">
        <v>25669322</v>
      </c>
      <c r="BO48" t="s">
        <v>74</v>
      </c>
      <c r="BP48" t="s">
        <v>74</v>
      </c>
      <c r="BQ48" t="s">
        <v>74</v>
      </c>
      <c r="BR48" t="s">
        <v>96</v>
      </c>
      <c r="BS48" t="s">
        <v>9949</v>
      </c>
      <c r="BT48" t="str">
        <f>HYPERLINK("https%3A%2F%2Fwww.webofscience.com%2Fwos%2Fwoscc%2Ffull-record%2FWOS:000365073700001","View Full Record in Web of Science")</f>
        <v>View Full Record in Web of Science</v>
      </c>
    </row>
    <row r="49" spans="1:72" x14ac:dyDescent="0.15">
      <c r="A49" t="s">
        <v>98</v>
      </c>
      <c r="B49" t="s">
        <v>10741</v>
      </c>
      <c r="C49" t="s">
        <v>74</v>
      </c>
      <c r="D49" t="s">
        <v>74</v>
      </c>
      <c r="E49" t="s">
        <v>74</v>
      </c>
      <c r="F49" t="s">
        <v>10742</v>
      </c>
      <c r="G49" t="s">
        <v>74</v>
      </c>
      <c r="H49" t="s">
        <v>74</v>
      </c>
      <c r="I49" t="s">
        <v>10743</v>
      </c>
      <c r="J49" t="s">
        <v>10744</v>
      </c>
      <c r="K49" t="s">
        <v>74</v>
      </c>
      <c r="L49" t="s">
        <v>74</v>
      </c>
      <c r="M49" t="s">
        <v>74</v>
      </c>
      <c r="N49" t="s">
        <v>103</v>
      </c>
      <c r="O49" t="s">
        <v>74</v>
      </c>
      <c r="P49" t="s">
        <v>74</v>
      </c>
      <c r="Q49" t="s">
        <v>74</v>
      </c>
      <c r="R49" t="s">
        <v>74</v>
      </c>
      <c r="S49" t="s">
        <v>74</v>
      </c>
      <c r="T49" t="s">
        <v>74</v>
      </c>
      <c r="U49" t="s">
        <v>10745</v>
      </c>
      <c r="V49" t="s">
        <v>10746</v>
      </c>
      <c r="W49" t="s">
        <v>10747</v>
      </c>
      <c r="X49" t="s">
        <v>10748</v>
      </c>
      <c r="Y49" t="s">
        <v>10749</v>
      </c>
      <c r="Z49" t="s">
        <v>10750</v>
      </c>
      <c r="AA49" t="s">
        <v>10751</v>
      </c>
      <c r="AB49" t="s">
        <v>10752</v>
      </c>
      <c r="AC49" t="s">
        <v>74</v>
      </c>
      <c r="AD49" t="s">
        <v>74</v>
      </c>
      <c r="AE49" t="s">
        <v>74</v>
      </c>
      <c r="AF49" t="s">
        <v>74</v>
      </c>
      <c r="AG49">
        <v>40</v>
      </c>
      <c r="AH49">
        <v>255</v>
      </c>
      <c r="AI49">
        <v>258</v>
      </c>
      <c r="AJ49">
        <v>17</v>
      </c>
      <c r="AK49">
        <v>90</v>
      </c>
      <c r="AL49" t="s">
        <v>74</v>
      </c>
      <c r="AM49" t="s">
        <v>74</v>
      </c>
      <c r="AN49" t="s">
        <v>74</v>
      </c>
      <c r="AO49" t="s">
        <v>10753</v>
      </c>
      <c r="AP49" t="s">
        <v>74</v>
      </c>
      <c r="AQ49" t="s">
        <v>74</v>
      </c>
      <c r="AR49" t="s">
        <v>74</v>
      </c>
      <c r="AS49" t="s">
        <v>74</v>
      </c>
      <c r="AT49" t="s">
        <v>565</v>
      </c>
      <c r="AU49">
        <v>2018</v>
      </c>
      <c r="AV49">
        <v>4</v>
      </c>
      <c r="AW49">
        <v>3</v>
      </c>
      <c r="AX49" t="s">
        <v>74</v>
      </c>
      <c r="AY49" t="s">
        <v>74</v>
      </c>
      <c r="AZ49" t="s">
        <v>74</v>
      </c>
      <c r="BA49" t="s">
        <v>74</v>
      </c>
      <c r="BB49" t="s">
        <v>74</v>
      </c>
      <c r="BC49" t="s">
        <v>74</v>
      </c>
      <c r="BD49" t="s">
        <v>10754</v>
      </c>
      <c r="BE49" t="s">
        <v>10755</v>
      </c>
      <c r="BF49" t="str">
        <f>HYPERLINK("http://dx.doi.org/10.1126/sciadv.aar2766","http://dx.doi.org/10.1126/sciadv.aar2766")</f>
        <v>http://dx.doi.org/10.1126/sciadv.aar2766</v>
      </c>
      <c r="BG49" t="s">
        <v>74</v>
      </c>
      <c r="BH49" t="s">
        <v>74</v>
      </c>
      <c r="BI49" t="s">
        <v>74</v>
      </c>
      <c r="BJ49" t="s">
        <v>152</v>
      </c>
      <c r="BK49" t="s">
        <v>117</v>
      </c>
      <c r="BL49" t="s">
        <v>153</v>
      </c>
      <c r="BM49" t="s">
        <v>74</v>
      </c>
      <c r="BN49">
        <v>29532035</v>
      </c>
      <c r="BO49" t="s">
        <v>74</v>
      </c>
      <c r="BP49" t="s">
        <v>193</v>
      </c>
      <c r="BQ49" t="s">
        <v>194</v>
      </c>
      <c r="BR49" t="s">
        <v>96</v>
      </c>
      <c r="BS49" t="s">
        <v>10756</v>
      </c>
      <c r="BT49" t="str">
        <f>HYPERLINK("https%3A%2F%2Fwww.webofscience.com%2Fwos%2Fwoscc%2Ffull-record%2FWOS:000427892700035","View Full Record in Web of Science")</f>
        <v>View Full Record in Web of Science</v>
      </c>
    </row>
    <row r="50" spans="1:72" x14ac:dyDescent="0.15">
      <c r="A50" t="s">
        <v>98</v>
      </c>
      <c r="B50" t="s">
        <v>25747</v>
      </c>
      <c r="C50" t="s">
        <v>74</v>
      </c>
      <c r="D50" t="s">
        <v>74</v>
      </c>
      <c r="E50" t="s">
        <v>74</v>
      </c>
      <c r="F50" t="s">
        <v>25747</v>
      </c>
      <c r="G50" t="s">
        <v>74</v>
      </c>
      <c r="H50" t="s">
        <v>74</v>
      </c>
      <c r="I50" t="s">
        <v>25748</v>
      </c>
      <c r="J50" t="s">
        <v>12865</v>
      </c>
      <c r="K50" t="s">
        <v>74</v>
      </c>
      <c r="L50" t="s">
        <v>74</v>
      </c>
      <c r="M50" t="s">
        <v>74</v>
      </c>
      <c r="N50" t="s">
        <v>103</v>
      </c>
      <c r="O50" t="s">
        <v>74</v>
      </c>
      <c r="P50" t="s">
        <v>74</v>
      </c>
      <c r="Q50" t="s">
        <v>74</v>
      </c>
      <c r="R50" t="s">
        <v>74</v>
      </c>
      <c r="S50" t="s">
        <v>74</v>
      </c>
      <c r="T50" t="s">
        <v>25749</v>
      </c>
      <c r="U50" t="s">
        <v>25750</v>
      </c>
      <c r="V50" t="s">
        <v>25751</v>
      </c>
      <c r="W50" t="s">
        <v>74</v>
      </c>
      <c r="X50" t="s">
        <v>74</v>
      </c>
      <c r="Y50" t="s">
        <v>25752</v>
      </c>
      <c r="Z50" t="s">
        <v>74</v>
      </c>
      <c r="AA50" t="s">
        <v>74</v>
      </c>
      <c r="AB50" t="s">
        <v>25753</v>
      </c>
      <c r="AC50" t="s">
        <v>74</v>
      </c>
      <c r="AD50" t="s">
        <v>74</v>
      </c>
      <c r="AE50" t="s">
        <v>74</v>
      </c>
      <c r="AF50" t="s">
        <v>74</v>
      </c>
      <c r="AG50">
        <v>213</v>
      </c>
      <c r="AH50">
        <v>245</v>
      </c>
      <c r="AI50">
        <v>251</v>
      </c>
      <c r="AJ50">
        <v>0</v>
      </c>
      <c r="AK50">
        <v>11</v>
      </c>
      <c r="AL50" t="s">
        <v>74</v>
      </c>
      <c r="AM50" t="s">
        <v>74</v>
      </c>
      <c r="AN50" t="s">
        <v>74</v>
      </c>
      <c r="AO50" t="s">
        <v>12873</v>
      </c>
      <c r="AP50" t="s">
        <v>12874</v>
      </c>
      <c r="AQ50" t="s">
        <v>74</v>
      </c>
      <c r="AR50" t="s">
        <v>74</v>
      </c>
      <c r="AS50" t="s">
        <v>74</v>
      </c>
      <c r="AT50" t="s">
        <v>25754</v>
      </c>
      <c r="AU50">
        <v>1995</v>
      </c>
      <c r="AV50">
        <v>149</v>
      </c>
      <c r="AW50" t="s">
        <v>74</v>
      </c>
      <c r="AX50" t="s">
        <v>74</v>
      </c>
      <c r="AY50" t="s">
        <v>74</v>
      </c>
      <c r="AZ50" t="s">
        <v>74</v>
      </c>
      <c r="BA50" t="s">
        <v>74</v>
      </c>
      <c r="BB50">
        <v>301</v>
      </c>
      <c r="BC50">
        <v>322</v>
      </c>
      <c r="BD50" t="s">
        <v>74</v>
      </c>
      <c r="BE50" t="s">
        <v>25755</v>
      </c>
      <c r="BF50" t="str">
        <f>HYPERLINK("http://dx.doi.org/10.1007/BF01076592","http://dx.doi.org/10.1007/BF01076592")</f>
        <v>http://dx.doi.org/10.1007/BF01076592</v>
      </c>
      <c r="BG50" t="s">
        <v>74</v>
      </c>
      <c r="BH50" t="s">
        <v>74</v>
      </c>
      <c r="BI50" t="s">
        <v>74</v>
      </c>
      <c r="BJ50" t="s">
        <v>135</v>
      </c>
      <c r="BK50" t="s">
        <v>117</v>
      </c>
      <c r="BL50" t="s">
        <v>135</v>
      </c>
      <c r="BM50" t="s">
        <v>74</v>
      </c>
      <c r="BN50">
        <v>8569746</v>
      </c>
      <c r="BO50" t="s">
        <v>74</v>
      </c>
      <c r="BP50" t="s">
        <v>74</v>
      </c>
      <c r="BQ50" t="s">
        <v>74</v>
      </c>
      <c r="BR50" t="s">
        <v>96</v>
      </c>
      <c r="BS50" t="s">
        <v>25756</v>
      </c>
      <c r="BT50" t="str">
        <f>HYPERLINK("https%3A%2F%2Fwww.webofscience.com%2Fwos%2Fwoscc%2Ffull-record%2FWOS:A1995TD09000036","View Full Record in Web of Science")</f>
        <v>View Full Record in Web of Science</v>
      </c>
    </row>
    <row r="51" spans="1:72" x14ac:dyDescent="0.15">
      <c r="A51" t="s">
        <v>98</v>
      </c>
      <c r="B51" t="s">
        <v>15616</v>
      </c>
      <c r="C51" t="s">
        <v>74</v>
      </c>
      <c r="D51" t="s">
        <v>74</v>
      </c>
      <c r="E51" t="s">
        <v>74</v>
      </c>
      <c r="F51" t="s">
        <v>15617</v>
      </c>
      <c r="G51" t="s">
        <v>74</v>
      </c>
      <c r="H51" t="s">
        <v>74</v>
      </c>
      <c r="I51" t="s">
        <v>15618</v>
      </c>
      <c r="J51" t="s">
        <v>2478</v>
      </c>
      <c r="K51" t="s">
        <v>74</v>
      </c>
      <c r="L51" t="s">
        <v>74</v>
      </c>
      <c r="M51" t="s">
        <v>74</v>
      </c>
      <c r="N51" t="s">
        <v>103</v>
      </c>
      <c r="O51" t="s">
        <v>74</v>
      </c>
      <c r="P51" t="s">
        <v>74</v>
      </c>
      <c r="Q51" t="s">
        <v>74</v>
      </c>
      <c r="R51" t="s">
        <v>74</v>
      </c>
      <c r="S51" t="s">
        <v>74</v>
      </c>
      <c r="T51" t="s">
        <v>15619</v>
      </c>
      <c r="U51" t="s">
        <v>15620</v>
      </c>
      <c r="V51" t="s">
        <v>15621</v>
      </c>
      <c r="W51" t="s">
        <v>15622</v>
      </c>
      <c r="X51" t="s">
        <v>15623</v>
      </c>
      <c r="Y51" t="s">
        <v>15624</v>
      </c>
      <c r="Z51" t="s">
        <v>11046</v>
      </c>
      <c r="AA51" t="s">
        <v>15625</v>
      </c>
      <c r="AB51" t="s">
        <v>15626</v>
      </c>
      <c r="AC51" t="s">
        <v>74</v>
      </c>
      <c r="AD51" t="s">
        <v>74</v>
      </c>
      <c r="AE51" t="s">
        <v>74</v>
      </c>
      <c r="AF51" t="s">
        <v>74</v>
      </c>
      <c r="AG51">
        <v>35</v>
      </c>
      <c r="AH51">
        <v>244</v>
      </c>
      <c r="AI51">
        <v>252</v>
      </c>
      <c r="AJ51">
        <v>8</v>
      </c>
      <c r="AK51">
        <v>88</v>
      </c>
      <c r="AL51" t="s">
        <v>74</v>
      </c>
      <c r="AM51" t="s">
        <v>74</v>
      </c>
      <c r="AN51" t="s">
        <v>74</v>
      </c>
      <c r="AO51" t="s">
        <v>2487</v>
      </c>
      <c r="AP51" t="s">
        <v>2488</v>
      </c>
      <c r="AQ51" t="s">
        <v>74</v>
      </c>
      <c r="AR51" t="s">
        <v>74</v>
      </c>
      <c r="AS51" t="s">
        <v>74</v>
      </c>
      <c r="AT51" t="s">
        <v>132</v>
      </c>
      <c r="AU51">
        <v>2017</v>
      </c>
      <c r="AV51">
        <v>28</v>
      </c>
      <c r="AW51">
        <v>4</v>
      </c>
      <c r="AX51" t="s">
        <v>74</v>
      </c>
      <c r="AY51" t="s">
        <v>74</v>
      </c>
      <c r="AZ51" t="s">
        <v>74</v>
      </c>
      <c r="BA51" t="s">
        <v>74</v>
      </c>
      <c r="BB51">
        <v>741</v>
      </c>
      <c r="BC51">
        <v>747</v>
      </c>
      <c r="BD51" t="s">
        <v>74</v>
      </c>
      <c r="BE51" t="s">
        <v>15627</v>
      </c>
      <c r="BF51" t="str">
        <f>HYPERLINK("http://dx.doi.org/10.1093/annonc/mdx004","http://dx.doi.org/10.1093/annonc/mdx004")</f>
        <v>http://dx.doi.org/10.1093/annonc/mdx004</v>
      </c>
      <c r="BG51" t="s">
        <v>74</v>
      </c>
      <c r="BH51" t="s">
        <v>74</v>
      </c>
      <c r="BI51" t="s">
        <v>74</v>
      </c>
      <c r="BJ51" t="s">
        <v>267</v>
      </c>
      <c r="BK51" t="s">
        <v>117</v>
      </c>
      <c r="BL51" t="s">
        <v>267</v>
      </c>
      <c r="BM51" t="s">
        <v>74</v>
      </c>
      <c r="BN51">
        <v>28104621</v>
      </c>
      <c r="BO51" t="s">
        <v>74</v>
      </c>
      <c r="BP51" t="s">
        <v>193</v>
      </c>
      <c r="BQ51" t="s">
        <v>194</v>
      </c>
      <c r="BR51" t="s">
        <v>96</v>
      </c>
      <c r="BS51" t="s">
        <v>15628</v>
      </c>
      <c r="BT51" t="str">
        <f>HYPERLINK("https%3A%2F%2Fwww.webofscience.com%2Fwos%2Fwoscc%2Ffull-record%2FWOS:000397622100014","View Full Record in Web of Science")</f>
        <v>View Full Record in Web of Science</v>
      </c>
    </row>
    <row r="52" spans="1:72" x14ac:dyDescent="0.15">
      <c r="A52" t="s">
        <v>98</v>
      </c>
      <c r="B52" t="s">
        <v>12578</v>
      </c>
      <c r="C52" t="s">
        <v>74</v>
      </c>
      <c r="D52" t="s">
        <v>74</v>
      </c>
      <c r="E52" t="s">
        <v>74</v>
      </c>
      <c r="F52" t="s">
        <v>12579</v>
      </c>
      <c r="G52" t="s">
        <v>74</v>
      </c>
      <c r="H52" t="s">
        <v>74</v>
      </c>
      <c r="I52" t="s">
        <v>16411</v>
      </c>
      <c r="J52" t="s">
        <v>1073</v>
      </c>
      <c r="K52" t="s">
        <v>74</v>
      </c>
      <c r="L52" t="s">
        <v>74</v>
      </c>
      <c r="M52" t="s">
        <v>74</v>
      </c>
      <c r="N52" t="s">
        <v>103</v>
      </c>
      <c r="O52" t="s">
        <v>74</v>
      </c>
      <c r="P52" t="s">
        <v>74</v>
      </c>
      <c r="Q52" t="s">
        <v>74</v>
      </c>
      <c r="R52" t="s">
        <v>74</v>
      </c>
      <c r="S52" t="s">
        <v>74</v>
      </c>
      <c r="T52" t="s">
        <v>74</v>
      </c>
      <c r="U52" t="s">
        <v>74</v>
      </c>
      <c r="V52" t="s">
        <v>16412</v>
      </c>
      <c r="W52" t="s">
        <v>16413</v>
      </c>
      <c r="X52" t="s">
        <v>16414</v>
      </c>
      <c r="Y52" t="s">
        <v>16415</v>
      </c>
      <c r="Z52" t="s">
        <v>12587</v>
      </c>
      <c r="AA52" t="s">
        <v>74</v>
      </c>
      <c r="AB52" t="s">
        <v>74</v>
      </c>
      <c r="AC52" t="s">
        <v>74</v>
      </c>
      <c r="AD52" t="s">
        <v>74</v>
      </c>
      <c r="AE52" t="s">
        <v>74</v>
      </c>
      <c r="AF52" t="s">
        <v>74</v>
      </c>
      <c r="AG52">
        <v>34</v>
      </c>
      <c r="AH52">
        <v>230</v>
      </c>
      <c r="AI52">
        <v>241</v>
      </c>
      <c r="AJ52">
        <v>5</v>
      </c>
      <c r="AK52">
        <v>38</v>
      </c>
      <c r="AL52" t="s">
        <v>74</v>
      </c>
      <c r="AM52" t="s">
        <v>74</v>
      </c>
      <c r="AN52" t="s">
        <v>74</v>
      </c>
      <c r="AO52" t="s">
        <v>1082</v>
      </c>
      <c r="AP52" t="s">
        <v>74</v>
      </c>
      <c r="AQ52" t="s">
        <v>74</v>
      </c>
      <c r="AR52" t="s">
        <v>74</v>
      </c>
      <c r="AS52" t="s">
        <v>74</v>
      </c>
      <c r="AT52" t="s">
        <v>5788</v>
      </c>
      <c r="AU52">
        <v>2009</v>
      </c>
      <c r="AV52">
        <v>4</v>
      </c>
      <c r="AW52">
        <v>1</v>
      </c>
      <c r="AX52" t="s">
        <v>74</v>
      </c>
      <c r="AY52" t="s">
        <v>74</v>
      </c>
      <c r="AZ52" t="s">
        <v>74</v>
      </c>
      <c r="BA52" t="s">
        <v>74</v>
      </c>
      <c r="BB52" t="s">
        <v>74</v>
      </c>
      <c r="BC52" t="s">
        <v>74</v>
      </c>
      <c r="BD52" t="s">
        <v>16416</v>
      </c>
      <c r="BE52" t="s">
        <v>16417</v>
      </c>
      <c r="BF52" t="str">
        <f>HYPERLINK("http://dx.doi.org/10.1371/journal.pone.0004160","http://dx.doi.org/10.1371/journal.pone.0004160")</f>
        <v>http://dx.doi.org/10.1371/journal.pone.0004160</v>
      </c>
      <c r="BG52" t="s">
        <v>74</v>
      </c>
      <c r="BH52" t="s">
        <v>74</v>
      </c>
      <c r="BI52" t="s">
        <v>74</v>
      </c>
      <c r="BJ52" t="s">
        <v>152</v>
      </c>
      <c r="BK52" t="s">
        <v>117</v>
      </c>
      <c r="BL52" t="s">
        <v>153</v>
      </c>
      <c r="BM52" t="s">
        <v>74</v>
      </c>
      <c r="BN52">
        <v>19129916</v>
      </c>
      <c r="BO52" t="s">
        <v>74</v>
      </c>
      <c r="BP52" t="s">
        <v>74</v>
      </c>
      <c r="BQ52" t="s">
        <v>74</v>
      </c>
      <c r="BR52" t="s">
        <v>96</v>
      </c>
      <c r="BS52" t="s">
        <v>16418</v>
      </c>
      <c r="BT52" t="str">
        <f>HYPERLINK("https%3A%2F%2Fwww.webofscience.com%2Fwos%2Fwoscc%2Ffull-record%2FWOS:000265473500007","View Full Record in Web of Science")</f>
        <v>View Full Record in Web of Science</v>
      </c>
    </row>
    <row r="53" spans="1:72" x14ac:dyDescent="0.15">
      <c r="A53" t="s">
        <v>98</v>
      </c>
      <c r="B53" t="s">
        <v>4928</v>
      </c>
      <c r="C53" t="s">
        <v>74</v>
      </c>
      <c r="D53" t="s">
        <v>74</v>
      </c>
      <c r="E53" t="s">
        <v>74</v>
      </c>
      <c r="F53" t="s">
        <v>4929</v>
      </c>
      <c r="G53" t="s">
        <v>74</v>
      </c>
      <c r="H53" t="s">
        <v>74</v>
      </c>
      <c r="I53" t="s">
        <v>4930</v>
      </c>
      <c r="J53" t="s">
        <v>140</v>
      </c>
      <c r="K53" t="s">
        <v>74</v>
      </c>
      <c r="L53" t="s">
        <v>74</v>
      </c>
      <c r="M53" t="s">
        <v>74</v>
      </c>
      <c r="N53" t="s">
        <v>103</v>
      </c>
      <c r="O53" t="s">
        <v>74</v>
      </c>
      <c r="P53" t="s">
        <v>74</v>
      </c>
      <c r="Q53" t="s">
        <v>74</v>
      </c>
      <c r="R53" t="s">
        <v>74</v>
      </c>
      <c r="S53" t="s">
        <v>74</v>
      </c>
      <c r="T53" t="s">
        <v>74</v>
      </c>
      <c r="U53" t="s">
        <v>4931</v>
      </c>
      <c r="V53" t="s">
        <v>4932</v>
      </c>
      <c r="W53" t="s">
        <v>4933</v>
      </c>
      <c r="X53" t="s">
        <v>4934</v>
      </c>
      <c r="Y53" t="s">
        <v>4935</v>
      </c>
      <c r="Z53" t="s">
        <v>4936</v>
      </c>
      <c r="AA53" t="s">
        <v>4937</v>
      </c>
      <c r="AB53" t="s">
        <v>4938</v>
      </c>
      <c r="AC53" t="s">
        <v>74</v>
      </c>
      <c r="AD53" t="s">
        <v>74</v>
      </c>
      <c r="AE53" t="s">
        <v>74</v>
      </c>
      <c r="AF53" t="s">
        <v>74</v>
      </c>
      <c r="AG53">
        <v>32</v>
      </c>
      <c r="AH53">
        <v>226</v>
      </c>
      <c r="AI53">
        <v>231</v>
      </c>
      <c r="AJ53">
        <v>23</v>
      </c>
      <c r="AK53">
        <v>98</v>
      </c>
      <c r="AL53" t="s">
        <v>74</v>
      </c>
      <c r="AM53" t="s">
        <v>74</v>
      </c>
      <c r="AN53" t="s">
        <v>74</v>
      </c>
      <c r="AO53" t="s">
        <v>149</v>
      </c>
      <c r="AP53" t="s">
        <v>74</v>
      </c>
      <c r="AQ53" t="s">
        <v>74</v>
      </c>
      <c r="AR53" t="s">
        <v>74</v>
      </c>
      <c r="AS53" t="s">
        <v>74</v>
      </c>
      <c r="AT53" t="s">
        <v>265</v>
      </c>
      <c r="AU53">
        <v>2016</v>
      </c>
      <c r="AV53">
        <v>6</v>
      </c>
      <c r="AW53" t="s">
        <v>74</v>
      </c>
      <c r="AX53" t="s">
        <v>74</v>
      </c>
      <c r="AY53" t="s">
        <v>74</v>
      </c>
      <c r="AZ53" t="s">
        <v>74</v>
      </c>
      <c r="BA53" t="s">
        <v>74</v>
      </c>
      <c r="BB53" t="s">
        <v>74</v>
      </c>
      <c r="BC53" t="s">
        <v>74</v>
      </c>
      <c r="BD53">
        <v>33935</v>
      </c>
      <c r="BE53" t="s">
        <v>4939</v>
      </c>
      <c r="BF53" t="str">
        <f>HYPERLINK("http://dx.doi.org/10.1038/srep33935","http://dx.doi.org/10.1038/srep33935")</f>
        <v>http://dx.doi.org/10.1038/srep33935</v>
      </c>
      <c r="BG53" t="s">
        <v>74</v>
      </c>
      <c r="BH53" t="s">
        <v>74</v>
      </c>
      <c r="BI53" t="s">
        <v>74</v>
      </c>
      <c r="BJ53" t="s">
        <v>152</v>
      </c>
      <c r="BK53" t="s">
        <v>117</v>
      </c>
      <c r="BL53" t="s">
        <v>153</v>
      </c>
      <c r="BM53" t="s">
        <v>74</v>
      </c>
      <c r="BN53">
        <v>27659060</v>
      </c>
      <c r="BO53" t="s">
        <v>74</v>
      </c>
      <c r="BP53" t="s">
        <v>74</v>
      </c>
      <c r="BQ53" t="s">
        <v>74</v>
      </c>
      <c r="BR53" t="s">
        <v>96</v>
      </c>
      <c r="BS53" t="s">
        <v>4940</v>
      </c>
      <c r="BT53" t="str">
        <f>HYPERLINK("https%3A%2F%2Fwww.webofscience.com%2Fwos%2Fwoscc%2Ffull-record%2FWOS:000384064500001","View Full Record in Web of Science")</f>
        <v>View Full Record in Web of Science</v>
      </c>
    </row>
    <row r="54" spans="1:72" x14ac:dyDescent="0.15">
      <c r="A54" t="s">
        <v>98</v>
      </c>
      <c r="B54" t="s">
        <v>19738</v>
      </c>
      <c r="C54" t="s">
        <v>74</v>
      </c>
      <c r="D54" t="s">
        <v>74</v>
      </c>
      <c r="E54" t="s">
        <v>74</v>
      </c>
      <c r="F54" t="s">
        <v>19739</v>
      </c>
      <c r="G54" t="s">
        <v>74</v>
      </c>
      <c r="H54" t="s">
        <v>74</v>
      </c>
      <c r="I54" t="s">
        <v>19740</v>
      </c>
      <c r="J54" t="s">
        <v>14163</v>
      </c>
      <c r="K54" t="s">
        <v>74</v>
      </c>
      <c r="L54" t="s">
        <v>74</v>
      </c>
      <c r="M54" t="s">
        <v>74</v>
      </c>
      <c r="N54" t="s">
        <v>103</v>
      </c>
      <c r="O54" t="s">
        <v>74</v>
      </c>
      <c r="P54" t="s">
        <v>74</v>
      </c>
      <c r="Q54" t="s">
        <v>74</v>
      </c>
      <c r="R54" t="s">
        <v>74</v>
      </c>
      <c r="S54" t="s">
        <v>74</v>
      </c>
      <c r="T54" t="s">
        <v>19741</v>
      </c>
      <c r="U54" t="s">
        <v>19742</v>
      </c>
      <c r="V54" t="s">
        <v>19743</v>
      </c>
      <c r="W54" t="s">
        <v>19744</v>
      </c>
      <c r="X54" t="s">
        <v>19745</v>
      </c>
      <c r="Y54" t="s">
        <v>19746</v>
      </c>
      <c r="Z54" t="s">
        <v>19747</v>
      </c>
      <c r="AA54" t="s">
        <v>19748</v>
      </c>
      <c r="AB54" t="s">
        <v>19749</v>
      </c>
      <c r="AC54" t="s">
        <v>74</v>
      </c>
      <c r="AD54" t="s">
        <v>74</v>
      </c>
      <c r="AE54" t="s">
        <v>74</v>
      </c>
      <c r="AF54" t="s">
        <v>74</v>
      </c>
      <c r="AG54">
        <v>40</v>
      </c>
      <c r="AH54">
        <v>226</v>
      </c>
      <c r="AI54">
        <v>229</v>
      </c>
      <c r="AJ54">
        <v>4</v>
      </c>
      <c r="AK54">
        <v>28</v>
      </c>
      <c r="AL54" t="s">
        <v>74</v>
      </c>
      <c r="AM54" t="s">
        <v>74</v>
      </c>
      <c r="AN54" t="s">
        <v>74</v>
      </c>
      <c r="AO54" t="s">
        <v>14170</v>
      </c>
      <c r="AP54" t="s">
        <v>74</v>
      </c>
      <c r="AQ54" t="s">
        <v>74</v>
      </c>
      <c r="AR54" t="s">
        <v>74</v>
      </c>
      <c r="AS54" t="s">
        <v>74</v>
      </c>
      <c r="AT54" t="s">
        <v>211</v>
      </c>
      <c r="AU54">
        <v>2008</v>
      </c>
      <c r="AV54">
        <v>15</v>
      </c>
      <c r="AW54">
        <v>11</v>
      </c>
      <c r="AX54" t="s">
        <v>74</v>
      </c>
      <c r="AY54" t="s">
        <v>74</v>
      </c>
      <c r="AZ54" t="s">
        <v>74</v>
      </c>
      <c r="BA54" t="s">
        <v>74</v>
      </c>
      <c r="BB54">
        <v>1723</v>
      </c>
      <c r="BC54">
        <v>1733</v>
      </c>
      <c r="BD54" t="s">
        <v>74</v>
      </c>
      <c r="BE54" t="s">
        <v>19750</v>
      </c>
      <c r="BF54" t="str">
        <f>HYPERLINK("http://dx.doi.org/10.1038/cdd.2008.104","http://dx.doi.org/10.1038/cdd.2008.104")</f>
        <v>http://dx.doi.org/10.1038/cdd.2008.104</v>
      </c>
      <c r="BG54" t="s">
        <v>74</v>
      </c>
      <c r="BH54" t="s">
        <v>74</v>
      </c>
      <c r="BI54" t="s">
        <v>74</v>
      </c>
      <c r="BJ54" t="s">
        <v>498</v>
      </c>
      <c r="BK54" t="s">
        <v>117</v>
      </c>
      <c r="BL54" t="s">
        <v>498</v>
      </c>
      <c r="BM54" t="s">
        <v>74</v>
      </c>
      <c r="BN54">
        <v>18617898</v>
      </c>
      <c r="BO54" t="s">
        <v>74</v>
      </c>
      <c r="BP54" t="s">
        <v>74</v>
      </c>
      <c r="BQ54" t="s">
        <v>74</v>
      </c>
      <c r="BR54" t="s">
        <v>96</v>
      </c>
      <c r="BS54" t="s">
        <v>19751</v>
      </c>
      <c r="BT54" t="str">
        <f>HYPERLINK("https%3A%2F%2Fwww.webofscience.com%2Fwos%2Fwoscc%2Ffull-record%2FWOS:000259970500006","View Full Record in Web of Science")</f>
        <v>View Full Record in Web of Science</v>
      </c>
    </row>
    <row r="55" spans="1:72" x14ac:dyDescent="0.15">
      <c r="A55" t="s">
        <v>98</v>
      </c>
      <c r="B55" t="s">
        <v>8653</v>
      </c>
      <c r="C55" t="s">
        <v>74</v>
      </c>
      <c r="D55" t="s">
        <v>74</v>
      </c>
      <c r="E55" t="s">
        <v>74</v>
      </c>
      <c r="F55" t="s">
        <v>8654</v>
      </c>
      <c r="G55" t="s">
        <v>74</v>
      </c>
      <c r="H55" t="s">
        <v>74</v>
      </c>
      <c r="I55" t="s">
        <v>8655</v>
      </c>
      <c r="J55" t="s">
        <v>8656</v>
      </c>
      <c r="K55" t="s">
        <v>74</v>
      </c>
      <c r="L55" t="s">
        <v>74</v>
      </c>
      <c r="M55" t="s">
        <v>74</v>
      </c>
      <c r="N55" t="s">
        <v>103</v>
      </c>
      <c r="O55" t="s">
        <v>74</v>
      </c>
      <c r="P55" t="s">
        <v>74</v>
      </c>
      <c r="Q55" t="s">
        <v>74</v>
      </c>
      <c r="R55" t="s">
        <v>74</v>
      </c>
      <c r="S55" t="s">
        <v>74</v>
      </c>
      <c r="T55" t="s">
        <v>8657</v>
      </c>
      <c r="U55" t="s">
        <v>8658</v>
      </c>
      <c r="V55" t="s">
        <v>8659</v>
      </c>
      <c r="W55" t="s">
        <v>8660</v>
      </c>
      <c r="X55" t="s">
        <v>8661</v>
      </c>
      <c r="Y55" t="s">
        <v>8662</v>
      </c>
      <c r="Z55" t="s">
        <v>8663</v>
      </c>
      <c r="AA55" t="s">
        <v>8664</v>
      </c>
      <c r="AB55" t="s">
        <v>8665</v>
      </c>
      <c r="AC55" t="s">
        <v>74</v>
      </c>
      <c r="AD55" t="s">
        <v>74</v>
      </c>
      <c r="AE55" t="s">
        <v>74</v>
      </c>
      <c r="AF55" t="s">
        <v>74</v>
      </c>
      <c r="AG55">
        <v>24</v>
      </c>
      <c r="AH55">
        <v>225</v>
      </c>
      <c r="AI55">
        <v>241</v>
      </c>
      <c r="AJ55">
        <v>4</v>
      </c>
      <c r="AK55">
        <v>103</v>
      </c>
      <c r="AL55" t="s">
        <v>74</v>
      </c>
      <c r="AM55" t="s">
        <v>74</v>
      </c>
      <c r="AN55" t="s">
        <v>74</v>
      </c>
      <c r="AO55" t="s">
        <v>8666</v>
      </c>
      <c r="AP55" t="s">
        <v>8667</v>
      </c>
      <c r="AQ55" t="s">
        <v>74</v>
      </c>
      <c r="AR55" t="s">
        <v>74</v>
      </c>
      <c r="AS55" t="s">
        <v>74</v>
      </c>
      <c r="AT55" t="s">
        <v>531</v>
      </c>
      <c r="AU55">
        <v>2014</v>
      </c>
      <c r="AV55">
        <v>38</v>
      </c>
      <c r="AW55">
        <v>9</v>
      </c>
      <c r="AX55" t="s">
        <v>74</v>
      </c>
      <c r="AY55" t="s">
        <v>74</v>
      </c>
      <c r="AZ55" t="s">
        <v>74</v>
      </c>
      <c r="BA55" t="s">
        <v>74</v>
      </c>
      <c r="BB55">
        <v>1076</v>
      </c>
      <c r="BC55">
        <v>1079</v>
      </c>
      <c r="BD55" t="s">
        <v>74</v>
      </c>
      <c r="BE55" t="s">
        <v>8668</v>
      </c>
      <c r="BF55" t="str">
        <f>HYPERLINK("http://dx.doi.org/10.1002/cbin.10301","http://dx.doi.org/10.1002/cbin.10301")</f>
        <v>http://dx.doi.org/10.1002/cbin.10301</v>
      </c>
      <c r="BG55" t="s">
        <v>74</v>
      </c>
      <c r="BH55" t="s">
        <v>74</v>
      </c>
      <c r="BI55" t="s">
        <v>74</v>
      </c>
      <c r="BJ55" t="s">
        <v>135</v>
      </c>
      <c r="BK55" t="s">
        <v>117</v>
      </c>
      <c r="BL55" t="s">
        <v>135</v>
      </c>
      <c r="BM55" t="s">
        <v>74</v>
      </c>
      <c r="BN55">
        <v>24798520</v>
      </c>
      <c r="BO55" t="s">
        <v>74</v>
      </c>
      <c r="BP55" t="s">
        <v>74</v>
      </c>
      <c r="BQ55" t="s">
        <v>74</v>
      </c>
      <c r="BR55" t="s">
        <v>96</v>
      </c>
      <c r="BS55" t="s">
        <v>8669</v>
      </c>
      <c r="BT55" t="str">
        <f>HYPERLINK("https%3A%2F%2Fwww.webofscience.com%2Fwos%2Fwoscc%2Ffull-record%2FWOS:000340256500010","View Full Record in Web of Science")</f>
        <v>View Full Record in Web of Science</v>
      </c>
    </row>
    <row r="56" spans="1:72" x14ac:dyDescent="0.15">
      <c r="A56" t="s">
        <v>98</v>
      </c>
      <c r="B56" t="s">
        <v>6882</v>
      </c>
      <c r="C56" t="s">
        <v>74</v>
      </c>
      <c r="D56" t="s">
        <v>74</v>
      </c>
      <c r="E56" t="s">
        <v>74</v>
      </c>
      <c r="F56" t="s">
        <v>6883</v>
      </c>
      <c r="G56" t="s">
        <v>74</v>
      </c>
      <c r="H56" t="s">
        <v>74</v>
      </c>
      <c r="I56" t="s">
        <v>6884</v>
      </c>
      <c r="J56" t="s">
        <v>6885</v>
      </c>
      <c r="K56" t="s">
        <v>74</v>
      </c>
      <c r="L56" t="s">
        <v>74</v>
      </c>
      <c r="M56" t="s">
        <v>74</v>
      </c>
      <c r="N56" t="s">
        <v>103</v>
      </c>
      <c r="O56" t="s">
        <v>74</v>
      </c>
      <c r="P56" t="s">
        <v>74</v>
      </c>
      <c r="Q56" t="s">
        <v>74</v>
      </c>
      <c r="R56" t="s">
        <v>74</v>
      </c>
      <c r="S56" t="s">
        <v>74</v>
      </c>
      <c r="T56" t="s">
        <v>6886</v>
      </c>
      <c r="U56" t="s">
        <v>6887</v>
      </c>
      <c r="V56" t="s">
        <v>6888</v>
      </c>
      <c r="W56" t="s">
        <v>6889</v>
      </c>
      <c r="X56" t="s">
        <v>6890</v>
      </c>
      <c r="Y56" t="s">
        <v>6891</v>
      </c>
      <c r="Z56" t="s">
        <v>5665</v>
      </c>
      <c r="AA56" t="s">
        <v>6892</v>
      </c>
      <c r="AB56" t="s">
        <v>6893</v>
      </c>
      <c r="AC56" t="s">
        <v>74</v>
      </c>
      <c r="AD56" t="s">
        <v>74</v>
      </c>
      <c r="AE56" t="s">
        <v>74</v>
      </c>
      <c r="AF56" t="s">
        <v>74</v>
      </c>
      <c r="AG56">
        <v>34</v>
      </c>
      <c r="AH56">
        <v>222</v>
      </c>
      <c r="AI56">
        <v>232</v>
      </c>
      <c r="AJ56">
        <v>14</v>
      </c>
      <c r="AK56">
        <v>61</v>
      </c>
      <c r="AL56" t="s">
        <v>74</v>
      </c>
      <c r="AM56" t="s">
        <v>74</v>
      </c>
      <c r="AN56" t="s">
        <v>74</v>
      </c>
      <c r="AO56" t="s">
        <v>6894</v>
      </c>
      <c r="AP56" t="s">
        <v>74</v>
      </c>
      <c r="AQ56" t="s">
        <v>74</v>
      </c>
      <c r="AR56" t="s">
        <v>74</v>
      </c>
      <c r="AS56" t="s">
        <v>74</v>
      </c>
      <c r="AT56" t="s">
        <v>614</v>
      </c>
      <c r="AU56">
        <v>2013</v>
      </c>
      <c r="AV56">
        <v>2</v>
      </c>
      <c r="AW56" t="s">
        <v>74</v>
      </c>
      <c r="AX56" t="s">
        <v>74</v>
      </c>
      <c r="AY56" t="s">
        <v>74</v>
      </c>
      <c r="AZ56" t="s">
        <v>74</v>
      </c>
      <c r="BA56" t="s">
        <v>74</v>
      </c>
      <c r="BB56" t="s">
        <v>74</v>
      </c>
      <c r="BC56" t="s">
        <v>74</v>
      </c>
      <c r="BD56" t="s">
        <v>6895</v>
      </c>
      <c r="BE56" t="s">
        <v>6896</v>
      </c>
      <c r="BF56" t="str">
        <f>HYPERLINK("http://dx.doi.org/10.1038/mtna.2013.28","http://dx.doi.org/10.1038/mtna.2013.28")</f>
        <v>http://dx.doi.org/10.1038/mtna.2013.28</v>
      </c>
      <c r="BG56" t="s">
        <v>74</v>
      </c>
      <c r="BH56" t="s">
        <v>74</v>
      </c>
      <c r="BI56" t="s">
        <v>74</v>
      </c>
      <c r="BJ56" t="s">
        <v>795</v>
      </c>
      <c r="BK56" t="s">
        <v>117</v>
      </c>
      <c r="BL56" t="s">
        <v>796</v>
      </c>
      <c r="BM56" t="s">
        <v>74</v>
      </c>
      <c r="BN56">
        <v>23881452</v>
      </c>
      <c r="BO56" t="s">
        <v>74</v>
      </c>
      <c r="BP56" t="s">
        <v>74</v>
      </c>
      <c r="BQ56" t="s">
        <v>74</v>
      </c>
      <c r="BR56" t="s">
        <v>96</v>
      </c>
      <c r="BS56" t="s">
        <v>6897</v>
      </c>
      <c r="BT56" t="str">
        <f>HYPERLINK("https%3A%2F%2Fwww.webofscience.com%2Fwos%2Fwoscc%2Ffull-record%2FWOS:000332467000008","View Full Record in Web of Science")</f>
        <v>View Full Record in Web of Science</v>
      </c>
    </row>
    <row r="57" spans="1:72" x14ac:dyDescent="0.15">
      <c r="A57" t="s">
        <v>98</v>
      </c>
      <c r="B57" t="s">
        <v>12287</v>
      </c>
      <c r="C57" t="s">
        <v>74</v>
      </c>
      <c r="D57" t="s">
        <v>74</v>
      </c>
      <c r="E57" t="s">
        <v>74</v>
      </c>
      <c r="F57" t="s">
        <v>12287</v>
      </c>
      <c r="G57" t="s">
        <v>74</v>
      </c>
      <c r="H57" t="s">
        <v>74</v>
      </c>
      <c r="I57" t="s">
        <v>12288</v>
      </c>
      <c r="J57" t="s">
        <v>12289</v>
      </c>
      <c r="K57" t="s">
        <v>74</v>
      </c>
      <c r="L57" t="s">
        <v>74</v>
      </c>
      <c r="M57" t="s">
        <v>74</v>
      </c>
      <c r="N57" t="s">
        <v>103</v>
      </c>
      <c r="O57" t="s">
        <v>74</v>
      </c>
      <c r="P57" t="s">
        <v>74</v>
      </c>
      <c r="Q57" t="s">
        <v>74</v>
      </c>
      <c r="R57" t="s">
        <v>74</v>
      </c>
      <c r="S57" t="s">
        <v>74</v>
      </c>
      <c r="T57" t="s">
        <v>74</v>
      </c>
      <c r="U57" t="s">
        <v>12290</v>
      </c>
      <c r="V57" t="s">
        <v>12291</v>
      </c>
      <c r="W57" t="s">
        <v>12292</v>
      </c>
      <c r="X57" t="s">
        <v>12293</v>
      </c>
      <c r="Y57" t="s">
        <v>12294</v>
      </c>
      <c r="Z57" t="s">
        <v>12295</v>
      </c>
      <c r="AA57" t="s">
        <v>74</v>
      </c>
      <c r="AB57" t="s">
        <v>74</v>
      </c>
      <c r="AC57" t="s">
        <v>74</v>
      </c>
      <c r="AD57" t="s">
        <v>74</v>
      </c>
      <c r="AE57" t="s">
        <v>74</v>
      </c>
      <c r="AF57" t="s">
        <v>74</v>
      </c>
      <c r="AG57">
        <v>33</v>
      </c>
      <c r="AH57">
        <v>222</v>
      </c>
      <c r="AI57">
        <v>230</v>
      </c>
      <c r="AJ57">
        <v>5</v>
      </c>
      <c r="AK57">
        <v>29</v>
      </c>
      <c r="AL57" t="s">
        <v>74</v>
      </c>
      <c r="AM57" t="s">
        <v>74</v>
      </c>
      <c r="AN57" t="s">
        <v>74</v>
      </c>
      <c r="AO57" t="s">
        <v>12296</v>
      </c>
      <c r="AP57" t="s">
        <v>12297</v>
      </c>
      <c r="AQ57" t="s">
        <v>74</v>
      </c>
      <c r="AR57" t="s">
        <v>74</v>
      </c>
      <c r="AS57" t="s">
        <v>74</v>
      </c>
      <c r="AT57" t="s">
        <v>614</v>
      </c>
      <c r="AU57">
        <v>2004</v>
      </c>
      <c r="AV57">
        <v>150</v>
      </c>
      <c r="AW57" t="s">
        <v>74</v>
      </c>
      <c r="AX57">
        <v>7</v>
      </c>
      <c r="AY57" t="s">
        <v>74</v>
      </c>
      <c r="AZ57" t="s">
        <v>74</v>
      </c>
      <c r="BA57" t="s">
        <v>74</v>
      </c>
      <c r="BB57">
        <v>2161</v>
      </c>
      <c r="BC57">
        <v>2169</v>
      </c>
      <c r="BD57" t="s">
        <v>74</v>
      </c>
      <c r="BE57" t="s">
        <v>12298</v>
      </c>
      <c r="BF57" t="str">
        <f>HYPERLINK("http://dx.doi.org/10.1099/mic.0.26841-0","http://dx.doi.org/10.1099/mic.0.26841-0")</f>
        <v>http://dx.doi.org/10.1099/mic.0.26841-0</v>
      </c>
      <c r="BG57" t="s">
        <v>74</v>
      </c>
      <c r="BH57" t="s">
        <v>74</v>
      </c>
      <c r="BI57" t="s">
        <v>74</v>
      </c>
      <c r="BJ57" t="s">
        <v>898</v>
      </c>
      <c r="BK57" t="s">
        <v>117</v>
      </c>
      <c r="BL57" t="s">
        <v>898</v>
      </c>
      <c r="BM57" t="s">
        <v>74</v>
      </c>
      <c r="BN57">
        <v>15256559</v>
      </c>
      <c r="BO57" t="s">
        <v>74</v>
      </c>
      <c r="BP57" t="s">
        <v>74</v>
      </c>
      <c r="BQ57" t="s">
        <v>74</v>
      </c>
      <c r="BR57" t="s">
        <v>96</v>
      </c>
      <c r="BS57" t="s">
        <v>12299</v>
      </c>
      <c r="BT57" t="str">
        <f>HYPERLINK("https%3A%2F%2Fwww.webofscience.com%2Fwos%2Fwoscc%2Ffull-record%2FWOS:000222857900017","View Full Record in Web of Science")</f>
        <v>View Full Record in Web of Science</v>
      </c>
    </row>
    <row r="58" spans="1:72" x14ac:dyDescent="0.15">
      <c r="A58" t="s">
        <v>98</v>
      </c>
      <c r="B58" t="s">
        <v>13573</v>
      </c>
      <c r="C58" t="s">
        <v>74</v>
      </c>
      <c r="D58" t="s">
        <v>74</v>
      </c>
      <c r="E58" t="s">
        <v>74</v>
      </c>
      <c r="F58" t="s">
        <v>13574</v>
      </c>
      <c r="G58" t="s">
        <v>74</v>
      </c>
      <c r="H58" t="s">
        <v>74</v>
      </c>
      <c r="I58" t="s">
        <v>13575</v>
      </c>
      <c r="J58" t="s">
        <v>8854</v>
      </c>
      <c r="K58" t="s">
        <v>74</v>
      </c>
      <c r="L58" t="s">
        <v>74</v>
      </c>
      <c r="M58" t="s">
        <v>74</v>
      </c>
      <c r="N58" t="s">
        <v>103</v>
      </c>
      <c r="O58" t="s">
        <v>74</v>
      </c>
      <c r="P58" t="s">
        <v>74</v>
      </c>
      <c r="Q58" t="s">
        <v>74</v>
      </c>
      <c r="R58" t="s">
        <v>74</v>
      </c>
      <c r="S58" t="s">
        <v>74</v>
      </c>
      <c r="T58" t="s">
        <v>74</v>
      </c>
      <c r="U58" t="s">
        <v>13576</v>
      </c>
      <c r="V58" t="s">
        <v>13577</v>
      </c>
      <c r="W58" t="s">
        <v>13578</v>
      </c>
      <c r="X58" t="s">
        <v>13579</v>
      </c>
      <c r="Y58" t="s">
        <v>13580</v>
      </c>
      <c r="Z58" t="s">
        <v>13581</v>
      </c>
      <c r="AA58" t="s">
        <v>13582</v>
      </c>
      <c r="AB58" t="s">
        <v>13583</v>
      </c>
      <c r="AC58" t="s">
        <v>74</v>
      </c>
      <c r="AD58" t="s">
        <v>74</v>
      </c>
      <c r="AE58" t="s">
        <v>74</v>
      </c>
      <c r="AF58" t="s">
        <v>74</v>
      </c>
      <c r="AG58">
        <v>50</v>
      </c>
      <c r="AH58">
        <v>217</v>
      </c>
      <c r="AI58">
        <v>233</v>
      </c>
      <c r="AJ58">
        <v>0</v>
      </c>
      <c r="AK58">
        <v>50</v>
      </c>
      <c r="AL58" t="s">
        <v>74</v>
      </c>
      <c r="AM58" t="s">
        <v>74</v>
      </c>
      <c r="AN58" t="s">
        <v>74</v>
      </c>
      <c r="AO58" t="s">
        <v>8862</v>
      </c>
      <c r="AP58" t="s">
        <v>74</v>
      </c>
      <c r="AQ58" t="s">
        <v>74</v>
      </c>
      <c r="AR58" t="s">
        <v>74</v>
      </c>
      <c r="AS58" t="s">
        <v>74</v>
      </c>
      <c r="AT58" t="s">
        <v>114</v>
      </c>
      <c r="AU58">
        <v>2013</v>
      </c>
      <c r="AV58">
        <v>21</v>
      </c>
      <c r="AW58">
        <v>1</v>
      </c>
      <c r="AX58" t="s">
        <v>74</v>
      </c>
      <c r="AY58" t="s">
        <v>74</v>
      </c>
      <c r="AZ58" t="s">
        <v>74</v>
      </c>
      <c r="BA58" t="s">
        <v>74</v>
      </c>
      <c r="BB58">
        <v>101</v>
      </c>
      <c r="BC58">
        <v>108</v>
      </c>
      <c r="BD58" t="s">
        <v>74</v>
      </c>
      <c r="BE58" t="s">
        <v>13584</v>
      </c>
      <c r="BF58" t="str">
        <f>HYPERLINK("http://dx.doi.org/10.1038/mt.2012.161","http://dx.doi.org/10.1038/mt.2012.161")</f>
        <v>http://dx.doi.org/10.1038/mt.2012.161</v>
      </c>
      <c r="BG58" t="s">
        <v>74</v>
      </c>
      <c r="BH58" t="s">
        <v>74</v>
      </c>
      <c r="BI58" t="s">
        <v>74</v>
      </c>
      <c r="BJ58" t="s">
        <v>2875</v>
      </c>
      <c r="BK58" t="s">
        <v>117</v>
      </c>
      <c r="BL58" t="s">
        <v>2876</v>
      </c>
      <c r="BM58" t="s">
        <v>74</v>
      </c>
      <c r="BN58">
        <v>22910294</v>
      </c>
      <c r="BO58" t="s">
        <v>74</v>
      </c>
      <c r="BP58" t="s">
        <v>74</v>
      </c>
      <c r="BQ58" t="s">
        <v>74</v>
      </c>
      <c r="BR58" t="s">
        <v>96</v>
      </c>
      <c r="BS58" t="s">
        <v>13585</v>
      </c>
      <c r="BT58" t="str">
        <f>HYPERLINK("https%3A%2F%2Fwww.webofscience.com%2Fwos%2Fwoscc%2Ffull-record%2FWOS:000313035000012","View Full Record in Web of Science")</f>
        <v>View Full Record in Web of Science</v>
      </c>
    </row>
    <row r="59" spans="1:72" x14ac:dyDescent="0.15">
      <c r="A59" t="s">
        <v>98</v>
      </c>
      <c r="B59" t="s">
        <v>8467</v>
      </c>
      <c r="C59" t="s">
        <v>74</v>
      </c>
      <c r="D59" t="s">
        <v>74</v>
      </c>
      <c r="E59" t="s">
        <v>74</v>
      </c>
      <c r="F59" t="s">
        <v>8468</v>
      </c>
      <c r="G59" t="s">
        <v>74</v>
      </c>
      <c r="H59" t="s">
        <v>74</v>
      </c>
      <c r="I59" t="s">
        <v>8469</v>
      </c>
      <c r="J59" t="s">
        <v>5139</v>
      </c>
      <c r="K59" t="s">
        <v>74</v>
      </c>
      <c r="L59" t="s">
        <v>74</v>
      </c>
      <c r="M59" t="s">
        <v>74</v>
      </c>
      <c r="N59" t="s">
        <v>103</v>
      </c>
      <c r="O59" t="s">
        <v>74</v>
      </c>
      <c r="P59" t="s">
        <v>74</v>
      </c>
      <c r="Q59" t="s">
        <v>74</v>
      </c>
      <c r="R59" t="s">
        <v>74</v>
      </c>
      <c r="S59" t="s">
        <v>74</v>
      </c>
      <c r="T59" t="s">
        <v>74</v>
      </c>
      <c r="U59" t="s">
        <v>8470</v>
      </c>
      <c r="V59" t="s">
        <v>8471</v>
      </c>
      <c r="W59" t="s">
        <v>8472</v>
      </c>
      <c r="X59" t="s">
        <v>8473</v>
      </c>
      <c r="Y59" t="s">
        <v>8474</v>
      </c>
      <c r="Z59" t="s">
        <v>8475</v>
      </c>
      <c r="AA59" t="s">
        <v>8476</v>
      </c>
      <c r="AB59" t="s">
        <v>8477</v>
      </c>
      <c r="AC59" t="s">
        <v>74</v>
      </c>
      <c r="AD59" t="s">
        <v>74</v>
      </c>
      <c r="AE59" t="s">
        <v>74</v>
      </c>
      <c r="AF59" t="s">
        <v>74</v>
      </c>
      <c r="AG59">
        <v>35</v>
      </c>
      <c r="AH59">
        <v>213</v>
      </c>
      <c r="AI59">
        <v>222</v>
      </c>
      <c r="AJ59">
        <v>24</v>
      </c>
      <c r="AK59">
        <v>173</v>
      </c>
      <c r="AL59" t="s">
        <v>74</v>
      </c>
      <c r="AM59" t="s">
        <v>74</v>
      </c>
      <c r="AN59" t="s">
        <v>74</v>
      </c>
      <c r="AO59" t="s">
        <v>5148</v>
      </c>
      <c r="AP59" t="s">
        <v>74</v>
      </c>
      <c r="AQ59" t="s">
        <v>74</v>
      </c>
      <c r="AR59" t="s">
        <v>74</v>
      </c>
      <c r="AS59" t="s">
        <v>74</v>
      </c>
      <c r="AT59" t="s">
        <v>2906</v>
      </c>
      <c r="AU59">
        <v>2018</v>
      </c>
      <c r="AV59">
        <v>9</v>
      </c>
      <c r="AW59" t="s">
        <v>74</v>
      </c>
      <c r="AX59" t="s">
        <v>74</v>
      </c>
      <c r="AY59" t="s">
        <v>74</v>
      </c>
      <c r="AZ59" t="s">
        <v>74</v>
      </c>
      <c r="BA59" t="s">
        <v>74</v>
      </c>
      <c r="BB59" t="s">
        <v>74</v>
      </c>
      <c r="BC59" t="s">
        <v>74</v>
      </c>
      <c r="BD59">
        <v>2359</v>
      </c>
      <c r="BE59" t="s">
        <v>8478</v>
      </c>
      <c r="BF59" t="str">
        <f>HYPERLINK("http://dx.doi.org/10.1038/s41467-018-04791-8","http://dx.doi.org/10.1038/s41467-018-04791-8")</f>
        <v>http://dx.doi.org/10.1038/s41467-018-04791-8</v>
      </c>
      <c r="BG59" t="s">
        <v>74</v>
      </c>
      <c r="BH59" t="s">
        <v>74</v>
      </c>
      <c r="BI59" t="s">
        <v>74</v>
      </c>
      <c r="BJ59" t="s">
        <v>152</v>
      </c>
      <c r="BK59" t="s">
        <v>117</v>
      </c>
      <c r="BL59" t="s">
        <v>153</v>
      </c>
      <c r="BM59" t="s">
        <v>74</v>
      </c>
      <c r="BN59">
        <v>29907766</v>
      </c>
      <c r="BO59" t="s">
        <v>74</v>
      </c>
      <c r="BP59" t="s">
        <v>193</v>
      </c>
      <c r="BQ59" t="s">
        <v>194</v>
      </c>
      <c r="BR59" t="s">
        <v>96</v>
      </c>
      <c r="BS59" t="s">
        <v>8479</v>
      </c>
      <c r="BT59" t="str">
        <f>HYPERLINK("https%3A%2F%2Fwww.webofscience.com%2Fwos%2Fwoscc%2Ffull-record%2FWOS:000435438300003","View Full Record in Web of Science")</f>
        <v>View Full Record in Web of Science</v>
      </c>
    </row>
    <row r="60" spans="1:72" x14ac:dyDescent="0.15">
      <c r="A60" t="s">
        <v>98</v>
      </c>
      <c r="B60" t="s">
        <v>14228</v>
      </c>
      <c r="C60" t="s">
        <v>74</v>
      </c>
      <c r="D60" t="s">
        <v>74</v>
      </c>
      <c r="E60" t="s">
        <v>74</v>
      </c>
      <c r="F60" t="s">
        <v>14229</v>
      </c>
      <c r="G60" t="s">
        <v>74</v>
      </c>
      <c r="H60" t="s">
        <v>74</v>
      </c>
      <c r="I60" t="s">
        <v>14230</v>
      </c>
      <c r="J60" t="s">
        <v>13494</v>
      </c>
      <c r="K60" t="s">
        <v>74</v>
      </c>
      <c r="L60" t="s">
        <v>74</v>
      </c>
      <c r="M60" t="s">
        <v>74</v>
      </c>
      <c r="N60" t="s">
        <v>103</v>
      </c>
      <c r="O60" t="s">
        <v>74</v>
      </c>
      <c r="P60" t="s">
        <v>74</v>
      </c>
      <c r="Q60" t="s">
        <v>74</v>
      </c>
      <c r="R60" t="s">
        <v>74</v>
      </c>
      <c r="S60" t="s">
        <v>74</v>
      </c>
      <c r="T60" t="s">
        <v>74</v>
      </c>
      <c r="U60" t="s">
        <v>14231</v>
      </c>
      <c r="V60" t="s">
        <v>14232</v>
      </c>
      <c r="W60" t="s">
        <v>14233</v>
      </c>
      <c r="X60" t="s">
        <v>14234</v>
      </c>
      <c r="Y60" t="s">
        <v>14235</v>
      </c>
      <c r="Z60" t="s">
        <v>14236</v>
      </c>
      <c r="AA60" t="s">
        <v>14237</v>
      </c>
      <c r="AB60" t="s">
        <v>14238</v>
      </c>
      <c r="AC60" t="s">
        <v>74</v>
      </c>
      <c r="AD60" t="s">
        <v>74</v>
      </c>
      <c r="AE60" t="s">
        <v>74</v>
      </c>
      <c r="AF60" t="s">
        <v>74</v>
      </c>
      <c r="AG60">
        <v>43</v>
      </c>
      <c r="AH60">
        <v>212</v>
      </c>
      <c r="AI60">
        <v>233</v>
      </c>
      <c r="AJ60">
        <v>2</v>
      </c>
      <c r="AK60">
        <v>43</v>
      </c>
      <c r="AL60" t="s">
        <v>74</v>
      </c>
      <c r="AM60" t="s">
        <v>74</v>
      </c>
      <c r="AN60" t="s">
        <v>74</v>
      </c>
      <c r="AO60" t="s">
        <v>13502</v>
      </c>
      <c r="AP60" t="s">
        <v>13503</v>
      </c>
      <c r="AQ60" t="s">
        <v>74</v>
      </c>
      <c r="AR60" t="s">
        <v>74</v>
      </c>
      <c r="AS60" t="s">
        <v>74</v>
      </c>
      <c r="AT60" t="s">
        <v>8050</v>
      </c>
      <c r="AU60">
        <v>2014</v>
      </c>
      <c r="AV60">
        <v>33</v>
      </c>
      <c r="AW60">
        <v>37</v>
      </c>
      <c r="AX60" t="s">
        <v>74</v>
      </c>
      <c r="AY60" t="s">
        <v>74</v>
      </c>
      <c r="AZ60" t="s">
        <v>74</v>
      </c>
      <c r="BA60" t="s">
        <v>74</v>
      </c>
      <c r="BB60">
        <v>4613</v>
      </c>
      <c r="BC60">
        <v>4622</v>
      </c>
      <c r="BD60" t="s">
        <v>74</v>
      </c>
      <c r="BE60" t="s">
        <v>14239</v>
      </c>
      <c r="BF60" t="str">
        <f>HYPERLINK("http://dx.doi.org/10.1038/onc.2014.66","http://dx.doi.org/10.1038/onc.2014.66")</f>
        <v>http://dx.doi.org/10.1038/onc.2014.66</v>
      </c>
      <c r="BG60" t="s">
        <v>74</v>
      </c>
      <c r="BH60" t="s">
        <v>74</v>
      </c>
      <c r="BI60" t="s">
        <v>74</v>
      </c>
      <c r="BJ60" t="s">
        <v>13505</v>
      </c>
      <c r="BK60" t="s">
        <v>117</v>
      </c>
      <c r="BL60" t="s">
        <v>13505</v>
      </c>
      <c r="BM60" t="s">
        <v>74</v>
      </c>
      <c r="BN60">
        <v>24662828</v>
      </c>
      <c r="BO60" t="s">
        <v>74</v>
      </c>
      <c r="BP60" t="s">
        <v>74</v>
      </c>
      <c r="BQ60" t="s">
        <v>74</v>
      </c>
      <c r="BR60" t="s">
        <v>96</v>
      </c>
      <c r="BS60" t="s">
        <v>14240</v>
      </c>
      <c r="BT60" t="str">
        <f>HYPERLINK("https%3A%2F%2Fwww.webofscience.com%2Fwos%2Fwoscc%2Ffull-record%2FWOS:000342004800008","View Full Record in Web of Science")</f>
        <v>View Full Record in Web of Science</v>
      </c>
    </row>
    <row r="61" spans="1:72" x14ac:dyDescent="0.15">
      <c r="A61" t="s">
        <v>98</v>
      </c>
      <c r="B61" t="s">
        <v>11743</v>
      </c>
      <c r="C61" t="s">
        <v>74</v>
      </c>
      <c r="D61" t="s">
        <v>74</v>
      </c>
      <c r="E61" t="s">
        <v>74</v>
      </c>
      <c r="F61" t="s">
        <v>11744</v>
      </c>
      <c r="G61" t="s">
        <v>74</v>
      </c>
      <c r="H61" t="s">
        <v>74</v>
      </c>
      <c r="I61" t="s">
        <v>11745</v>
      </c>
      <c r="J61" t="s">
        <v>11746</v>
      </c>
      <c r="K61" t="s">
        <v>74</v>
      </c>
      <c r="L61" t="s">
        <v>74</v>
      </c>
      <c r="M61" t="s">
        <v>74</v>
      </c>
      <c r="N61" t="s">
        <v>103</v>
      </c>
      <c r="O61" t="s">
        <v>74</v>
      </c>
      <c r="P61" t="s">
        <v>74</v>
      </c>
      <c r="Q61" t="s">
        <v>74</v>
      </c>
      <c r="R61" t="s">
        <v>74</v>
      </c>
      <c r="S61" t="s">
        <v>74</v>
      </c>
      <c r="T61" t="s">
        <v>74</v>
      </c>
      <c r="U61" t="s">
        <v>11747</v>
      </c>
      <c r="V61" t="s">
        <v>11748</v>
      </c>
      <c r="W61" t="s">
        <v>11749</v>
      </c>
      <c r="X61" t="s">
        <v>11750</v>
      </c>
      <c r="Y61" t="s">
        <v>11751</v>
      </c>
      <c r="Z61" t="s">
        <v>11752</v>
      </c>
      <c r="AA61" t="s">
        <v>11694</v>
      </c>
      <c r="AB61" t="s">
        <v>11695</v>
      </c>
      <c r="AC61" t="s">
        <v>74</v>
      </c>
      <c r="AD61" t="s">
        <v>74</v>
      </c>
      <c r="AE61" t="s">
        <v>74</v>
      </c>
      <c r="AF61" t="s">
        <v>74</v>
      </c>
      <c r="AG61">
        <v>59</v>
      </c>
      <c r="AH61">
        <v>209</v>
      </c>
      <c r="AI61">
        <v>214</v>
      </c>
      <c r="AJ61">
        <v>1</v>
      </c>
      <c r="AK61">
        <v>38</v>
      </c>
      <c r="AL61" t="s">
        <v>74</v>
      </c>
      <c r="AM61" t="s">
        <v>74</v>
      </c>
      <c r="AN61" t="s">
        <v>74</v>
      </c>
      <c r="AO61" t="s">
        <v>11753</v>
      </c>
      <c r="AP61" t="s">
        <v>11754</v>
      </c>
      <c r="AQ61" t="s">
        <v>74</v>
      </c>
      <c r="AR61" t="s">
        <v>74</v>
      </c>
      <c r="AS61" t="s">
        <v>74</v>
      </c>
      <c r="AT61" t="s">
        <v>5955</v>
      </c>
      <c r="AU61">
        <v>2012</v>
      </c>
      <c r="AV61">
        <v>5</v>
      </c>
      <c r="AW61">
        <v>243</v>
      </c>
      <c r="AX61" t="s">
        <v>74</v>
      </c>
      <c r="AY61" t="s">
        <v>74</v>
      </c>
      <c r="AZ61" t="s">
        <v>74</v>
      </c>
      <c r="BA61" t="s">
        <v>74</v>
      </c>
      <c r="BB61" t="s">
        <v>74</v>
      </c>
      <c r="BC61" t="s">
        <v>74</v>
      </c>
      <c r="BD61" t="s">
        <v>11755</v>
      </c>
      <c r="BE61" t="s">
        <v>11756</v>
      </c>
      <c r="BF61" t="str">
        <f>HYPERLINK("http://dx.doi.org/10.1126/scisignal.2003084","http://dx.doi.org/10.1126/scisignal.2003084")</f>
        <v>http://dx.doi.org/10.1126/scisignal.2003084</v>
      </c>
      <c r="BG61" t="s">
        <v>74</v>
      </c>
      <c r="BH61" t="s">
        <v>74</v>
      </c>
      <c r="BI61" t="s">
        <v>74</v>
      </c>
      <c r="BJ61" t="s">
        <v>498</v>
      </c>
      <c r="BK61" t="s">
        <v>117</v>
      </c>
      <c r="BL61" t="s">
        <v>498</v>
      </c>
      <c r="BM61" t="s">
        <v>74</v>
      </c>
      <c r="BN61">
        <v>23012657</v>
      </c>
      <c r="BO61" t="s">
        <v>74</v>
      </c>
      <c r="BP61" t="s">
        <v>74</v>
      </c>
      <c r="BQ61" t="s">
        <v>74</v>
      </c>
      <c r="BR61" t="s">
        <v>96</v>
      </c>
      <c r="BS61" t="s">
        <v>11757</v>
      </c>
      <c r="BT61" t="str">
        <f>HYPERLINK("https%3A%2F%2Fwww.webofscience.com%2Fwos%2Fwoscc%2Ffull-record%2FWOS:000309511900006","View Full Record in Web of Science")</f>
        <v>View Full Record in Web of Science</v>
      </c>
    </row>
    <row r="62" spans="1:72" x14ac:dyDescent="0.15">
      <c r="A62" t="s">
        <v>98</v>
      </c>
      <c r="B62" t="s">
        <v>28459</v>
      </c>
      <c r="C62" t="s">
        <v>74</v>
      </c>
      <c r="D62" t="s">
        <v>74</v>
      </c>
      <c r="E62" t="s">
        <v>74</v>
      </c>
      <c r="F62" t="s">
        <v>28459</v>
      </c>
      <c r="G62" t="s">
        <v>74</v>
      </c>
      <c r="H62" t="s">
        <v>74</v>
      </c>
      <c r="I62" t="s">
        <v>28460</v>
      </c>
      <c r="J62" t="s">
        <v>3700</v>
      </c>
      <c r="K62" t="s">
        <v>74</v>
      </c>
      <c r="L62" t="s">
        <v>74</v>
      </c>
      <c r="M62" t="s">
        <v>74</v>
      </c>
      <c r="N62" t="s">
        <v>103</v>
      </c>
      <c r="O62" t="s">
        <v>74</v>
      </c>
      <c r="P62" t="s">
        <v>74</v>
      </c>
      <c r="Q62" t="s">
        <v>74</v>
      </c>
      <c r="R62" t="s">
        <v>74</v>
      </c>
      <c r="S62" t="s">
        <v>74</v>
      </c>
      <c r="T62" t="s">
        <v>74</v>
      </c>
      <c r="U62" t="s">
        <v>28461</v>
      </c>
      <c r="V62" t="s">
        <v>28462</v>
      </c>
      <c r="W62" t="s">
        <v>28463</v>
      </c>
      <c r="X62" t="s">
        <v>28464</v>
      </c>
      <c r="Y62" t="s">
        <v>28465</v>
      </c>
      <c r="Z62" t="s">
        <v>74</v>
      </c>
      <c r="AA62" t="s">
        <v>74</v>
      </c>
      <c r="AB62" t="s">
        <v>74</v>
      </c>
      <c r="AC62" t="s">
        <v>74</v>
      </c>
      <c r="AD62" t="s">
        <v>74</v>
      </c>
      <c r="AE62" t="s">
        <v>74</v>
      </c>
      <c r="AF62" t="s">
        <v>74</v>
      </c>
      <c r="AG62">
        <v>52</v>
      </c>
      <c r="AH62">
        <v>209</v>
      </c>
      <c r="AI62">
        <v>210</v>
      </c>
      <c r="AJ62">
        <v>1</v>
      </c>
      <c r="AK62">
        <v>3</v>
      </c>
      <c r="AL62" t="s">
        <v>74</v>
      </c>
      <c r="AM62" t="s">
        <v>74</v>
      </c>
      <c r="AN62" t="s">
        <v>74</v>
      </c>
      <c r="AO62" t="s">
        <v>3710</v>
      </c>
      <c r="AP62" t="s">
        <v>74</v>
      </c>
      <c r="AQ62" t="s">
        <v>74</v>
      </c>
      <c r="AR62" t="s">
        <v>74</v>
      </c>
      <c r="AS62" t="s">
        <v>74</v>
      </c>
      <c r="AT62" t="s">
        <v>9537</v>
      </c>
      <c r="AU62">
        <v>1995</v>
      </c>
      <c r="AV62">
        <v>270</v>
      </c>
      <c r="AW62">
        <v>40</v>
      </c>
      <c r="AX62" t="s">
        <v>74</v>
      </c>
      <c r="AY62" t="s">
        <v>74</v>
      </c>
      <c r="AZ62" t="s">
        <v>74</v>
      </c>
      <c r="BA62" t="s">
        <v>74</v>
      </c>
      <c r="BB62">
        <v>23619</v>
      </c>
      <c r="BC62">
        <v>23626</v>
      </c>
      <c r="BD62" t="s">
        <v>74</v>
      </c>
      <c r="BE62" t="s">
        <v>28466</v>
      </c>
      <c r="BF62" t="str">
        <f>HYPERLINK("http://dx.doi.org/10.1074/jbc.270.40.23619","http://dx.doi.org/10.1074/jbc.270.40.23619")</f>
        <v>http://dx.doi.org/10.1074/jbc.270.40.23619</v>
      </c>
      <c r="BG62" t="s">
        <v>74</v>
      </c>
      <c r="BH62" t="s">
        <v>74</v>
      </c>
      <c r="BI62" t="s">
        <v>74</v>
      </c>
      <c r="BJ62" t="s">
        <v>95</v>
      </c>
      <c r="BK62" t="s">
        <v>117</v>
      </c>
      <c r="BL62" t="s">
        <v>95</v>
      </c>
      <c r="BM62" t="s">
        <v>74</v>
      </c>
      <c r="BN62">
        <v>7559528</v>
      </c>
      <c r="BO62" t="s">
        <v>74</v>
      </c>
      <c r="BP62" t="s">
        <v>74</v>
      </c>
      <c r="BQ62" t="s">
        <v>74</v>
      </c>
      <c r="BR62" t="s">
        <v>96</v>
      </c>
      <c r="BS62" t="s">
        <v>28467</v>
      </c>
      <c r="BT62" t="str">
        <f>HYPERLINK("https%3A%2F%2Fwww.webofscience.com%2Fwos%2Fwoscc%2Ffull-record%2FWOS:A1995RY90900057","View Full Record in Web of Science")</f>
        <v>View Full Record in Web of Science</v>
      </c>
    </row>
    <row r="63" spans="1:72" x14ac:dyDescent="0.15">
      <c r="A63" t="s">
        <v>98</v>
      </c>
      <c r="B63" t="s">
        <v>10476</v>
      </c>
      <c r="C63" t="s">
        <v>74</v>
      </c>
      <c r="D63" t="s">
        <v>74</v>
      </c>
      <c r="E63" t="s">
        <v>74</v>
      </c>
      <c r="F63" t="s">
        <v>10477</v>
      </c>
      <c r="G63" t="s">
        <v>74</v>
      </c>
      <c r="H63" t="s">
        <v>74</v>
      </c>
      <c r="I63" t="s">
        <v>10478</v>
      </c>
      <c r="J63" t="s">
        <v>10479</v>
      </c>
      <c r="K63" t="s">
        <v>74</v>
      </c>
      <c r="L63" t="s">
        <v>74</v>
      </c>
      <c r="M63" t="s">
        <v>74</v>
      </c>
      <c r="N63" t="s">
        <v>103</v>
      </c>
      <c r="O63" t="s">
        <v>74</v>
      </c>
      <c r="P63" t="s">
        <v>74</v>
      </c>
      <c r="Q63" t="s">
        <v>74</v>
      </c>
      <c r="R63" t="s">
        <v>74</v>
      </c>
      <c r="S63" t="s">
        <v>74</v>
      </c>
      <c r="T63" t="s">
        <v>10480</v>
      </c>
      <c r="U63" t="s">
        <v>10481</v>
      </c>
      <c r="V63" t="s">
        <v>10482</v>
      </c>
      <c r="W63" t="s">
        <v>10483</v>
      </c>
      <c r="X63" t="s">
        <v>1368</v>
      </c>
      <c r="Y63" t="s">
        <v>10484</v>
      </c>
      <c r="Z63" t="s">
        <v>1370</v>
      </c>
      <c r="AA63" t="s">
        <v>74</v>
      </c>
      <c r="AB63" t="s">
        <v>74</v>
      </c>
      <c r="AC63" t="s">
        <v>74</v>
      </c>
      <c r="AD63" t="s">
        <v>74</v>
      </c>
      <c r="AE63" t="s">
        <v>74</v>
      </c>
      <c r="AF63" t="s">
        <v>74</v>
      </c>
      <c r="AG63">
        <v>212</v>
      </c>
      <c r="AH63">
        <v>204</v>
      </c>
      <c r="AI63">
        <v>208</v>
      </c>
      <c r="AJ63">
        <v>2</v>
      </c>
      <c r="AK63">
        <v>30</v>
      </c>
      <c r="AL63" t="s">
        <v>74</v>
      </c>
      <c r="AM63" t="s">
        <v>74</v>
      </c>
      <c r="AN63" t="s">
        <v>74</v>
      </c>
      <c r="AO63" t="s">
        <v>10485</v>
      </c>
      <c r="AP63" t="s">
        <v>10486</v>
      </c>
      <c r="AQ63" t="s">
        <v>74</v>
      </c>
      <c r="AR63" t="s">
        <v>74</v>
      </c>
      <c r="AS63" t="s">
        <v>74</v>
      </c>
      <c r="AT63" t="s">
        <v>211</v>
      </c>
      <c r="AU63">
        <v>2010</v>
      </c>
      <c r="AV63">
        <v>36</v>
      </c>
      <c r="AW63">
        <v>8</v>
      </c>
      <c r="AX63" t="s">
        <v>74</v>
      </c>
      <c r="AY63" t="s">
        <v>74</v>
      </c>
      <c r="AZ63" t="s">
        <v>74</v>
      </c>
      <c r="BA63" t="s">
        <v>74</v>
      </c>
      <c r="BB63">
        <v>888</v>
      </c>
      <c r="BC63">
        <v>906</v>
      </c>
      <c r="BD63" t="s">
        <v>74</v>
      </c>
      <c r="BE63" t="s">
        <v>10487</v>
      </c>
      <c r="BF63" t="str">
        <f>HYPERLINK("http://dx.doi.org/10.1055/s-0030-1267043","http://dx.doi.org/10.1055/s-0030-1267043")</f>
        <v>http://dx.doi.org/10.1055/s-0030-1267043</v>
      </c>
      <c r="BG63" t="s">
        <v>74</v>
      </c>
      <c r="BH63" t="s">
        <v>74</v>
      </c>
      <c r="BI63" t="s">
        <v>74</v>
      </c>
      <c r="BJ63" t="s">
        <v>584</v>
      </c>
      <c r="BK63" t="s">
        <v>117</v>
      </c>
      <c r="BL63" t="s">
        <v>585</v>
      </c>
      <c r="BM63" t="s">
        <v>74</v>
      </c>
      <c r="BN63">
        <v>21049390</v>
      </c>
      <c r="BO63" t="s">
        <v>74</v>
      </c>
      <c r="BP63" t="s">
        <v>74</v>
      </c>
      <c r="BQ63" t="s">
        <v>74</v>
      </c>
      <c r="BR63" t="s">
        <v>96</v>
      </c>
      <c r="BS63" t="s">
        <v>10488</v>
      </c>
      <c r="BT63" t="str">
        <f>HYPERLINK("https%3A%2F%2Fwww.webofscience.com%2Fwos%2Fwoscc%2Ffull-record%2FWOS:000283532800013","View Full Record in Web of Science")</f>
        <v>View Full Record in Web of Science</v>
      </c>
    </row>
    <row r="64" spans="1:72" x14ac:dyDescent="0.15">
      <c r="A64" t="s">
        <v>98</v>
      </c>
      <c r="B64" t="s">
        <v>2177</v>
      </c>
      <c r="C64" t="s">
        <v>74</v>
      </c>
      <c r="D64" t="s">
        <v>74</v>
      </c>
      <c r="E64" t="s">
        <v>74</v>
      </c>
      <c r="F64" t="s">
        <v>2178</v>
      </c>
      <c r="G64" t="s">
        <v>74</v>
      </c>
      <c r="H64" t="s">
        <v>74</v>
      </c>
      <c r="I64" t="s">
        <v>2179</v>
      </c>
      <c r="J64" t="s">
        <v>2180</v>
      </c>
      <c r="K64" t="s">
        <v>74</v>
      </c>
      <c r="L64" t="s">
        <v>74</v>
      </c>
      <c r="M64" t="s">
        <v>74</v>
      </c>
      <c r="N64" t="s">
        <v>103</v>
      </c>
      <c r="O64" t="s">
        <v>74</v>
      </c>
      <c r="P64" t="s">
        <v>74</v>
      </c>
      <c r="Q64" t="s">
        <v>74</v>
      </c>
      <c r="R64" t="s">
        <v>74</v>
      </c>
      <c r="S64" t="s">
        <v>74</v>
      </c>
      <c r="T64" t="s">
        <v>2181</v>
      </c>
      <c r="U64" t="s">
        <v>2182</v>
      </c>
      <c r="V64" t="s">
        <v>2183</v>
      </c>
      <c r="W64" t="s">
        <v>2184</v>
      </c>
      <c r="X64" t="s">
        <v>2185</v>
      </c>
      <c r="Y64" t="s">
        <v>2186</v>
      </c>
      <c r="Z64" t="s">
        <v>2187</v>
      </c>
      <c r="AA64" t="s">
        <v>2188</v>
      </c>
      <c r="AB64" t="s">
        <v>2189</v>
      </c>
      <c r="AC64" t="s">
        <v>74</v>
      </c>
      <c r="AD64" t="s">
        <v>74</v>
      </c>
      <c r="AE64" t="s">
        <v>74</v>
      </c>
      <c r="AF64" t="s">
        <v>74</v>
      </c>
      <c r="AG64">
        <v>71</v>
      </c>
      <c r="AH64">
        <v>203</v>
      </c>
      <c r="AI64">
        <v>209</v>
      </c>
      <c r="AJ64">
        <v>1</v>
      </c>
      <c r="AK64">
        <v>92</v>
      </c>
      <c r="AL64" t="s">
        <v>74</v>
      </c>
      <c r="AM64" t="s">
        <v>74</v>
      </c>
      <c r="AN64" t="s">
        <v>74</v>
      </c>
      <c r="AO64" t="s">
        <v>2190</v>
      </c>
      <c r="AP64" t="s">
        <v>2191</v>
      </c>
      <c r="AQ64" t="s">
        <v>74</v>
      </c>
      <c r="AR64" t="s">
        <v>74</v>
      </c>
      <c r="AS64" t="s">
        <v>74</v>
      </c>
      <c r="AT64" t="s">
        <v>1029</v>
      </c>
      <c r="AU64">
        <v>2011</v>
      </c>
      <c r="AV64">
        <v>59</v>
      </c>
      <c r="AW64">
        <v>5</v>
      </c>
      <c r="AX64" t="s">
        <v>74</v>
      </c>
      <c r="AY64" t="s">
        <v>74</v>
      </c>
      <c r="AZ64" t="s">
        <v>74</v>
      </c>
      <c r="BA64" t="s">
        <v>74</v>
      </c>
      <c r="BB64">
        <v>823</v>
      </c>
      <c r="BC64">
        <v>831</v>
      </c>
      <c r="BD64" t="s">
        <v>74</v>
      </c>
      <c r="BE64" t="s">
        <v>2192</v>
      </c>
      <c r="BF64" t="str">
        <f>HYPERLINK("http://dx.doi.org/10.1016/j.eururo.2010.12.031","http://dx.doi.org/10.1016/j.eururo.2010.12.031")</f>
        <v>http://dx.doi.org/10.1016/j.eururo.2010.12.031</v>
      </c>
      <c r="BG64" t="s">
        <v>74</v>
      </c>
      <c r="BH64" t="s">
        <v>74</v>
      </c>
      <c r="BI64" t="s">
        <v>74</v>
      </c>
      <c r="BJ64" t="s">
        <v>2193</v>
      </c>
      <c r="BK64" t="s">
        <v>117</v>
      </c>
      <c r="BL64" t="s">
        <v>2193</v>
      </c>
      <c r="BM64" t="s">
        <v>74</v>
      </c>
      <c r="BN64">
        <v>21196075</v>
      </c>
      <c r="BO64" t="s">
        <v>74</v>
      </c>
      <c r="BP64" t="s">
        <v>74</v>
      </c>
      <c r="BQ64" t="s">
        <v>74</v>
      </c>
      <c r="BR64" t="s">
        <v>96</v>
      </c>
      <c r="BS64" t="s">
        <v>2194</v>
      </c>
      <c r="BT64" t="str">
        <f>HYPERLINK("https%3A%2F%2Fwww.webofscience.com%2Fwos%2Fwoscc%2Ffull-record%2FWOS:000288991500029","View Full Record in Web of Science")</f>
        <v>View Full Record in Web of Science</v>
      </c>
    </row>
    <row r="65" spans="1:72" x14ac:dyDescent="0.15">
      <c r="A65" t="s">
        <v>98</v>
      </c>
      <c r="B65" t="s">
        <v>23188</v>
      </c>
      <c r="C65" t="s">
        <v>74</v>
      </c>
      <c r="D65" t="s">
        <v>74</v>
      </c>
      <c r="E65" t="s">
        <v>74</v>
      </c>
      <c r="F65" t="s">
        <v>23189</v>
      </c>
      <c r="G65" t="s">
        <v>74</v>
      </c>
      <c r="H65" t="s">
        <v>74</v>
      </c>
      <c r="I65" t="s">
        <v>23190</v>
      </c>
      <c r="J65" t="s">
        <v>7065</v>
      </c>
      <c r="K65" t="s">
        <v>74</v>
      </c>
      <c r="L65" t="s">
        <v>74</v>
      </c>
      <c r="M65" t="s">
        <v>74</v>
      </c>
      <c r="N65" t="s">
        <v>103</v>
      </c>
      <c r="O65" t="s">
        <v>74</v>
      </c>
      <c r="P65" t="s">
        <v>74</v>
      </c>
      <c r="Q65" t="s">
        <v>74</v>
      </c>
      <c r="R65" t="s">
        <v>74</v>
      </c>
      <c r="S65" t="s">
        <v>74</v>
      </c>
      <c r="T65" t="s">
        <v>74</v>
      </c>
      <c r="U65" t="s">
        <v>23191</v>
      </c>
      <c r="V65" t="s">
        <v>23192</v>
      </c>
      <c r="W65" t="s">
        <v>23193</v>
      </c>
      <c r="X65" t="s">
        <v>23194</v>
      </c>
      <c r="Y65" t="s">
        <v>23195</v>
      </c>
      <c r="Z65" t="s">
        <v>23196</v>
      </c>
      <c r="AA65" t="s">
        <v>23197</v>
      </c>
      <c r="AB65" t="s">
        <v>23198</v>
      </c>
      <c r="AC65" t="s">
        <v>74</v>
      </c>
      <c r="AD65" t="s">
        <v>74</v>
      </c>
      <c r="AE65" t="s">
        <v>74</v>
      </c>
      <c r="AF65" t="s">
        <v>74</v>
      </c>
      <c r="AG65">
        <v>32</v>
      </c>
      <c r="AH65">
        <v>203</v>
      </c>
      <c r="AI65">
        <v>211</v>
      </c>
      <c r="AJ65">
        <v>3</v>
      </c>
      <c r="AK65">
        <v>20</v>
      </c>
      <c r="AL65" t="s">
        <v>74</v>
      </c>
      <c r="AM65" t="s">
        <v>74</v>
      </c>
      <c r="AN65" t="s">
        <v>74</v>
      </c>
      <c r="AO65" t="s">
        <v>7074</v>
      </c>
      <c r="AP65" t="s">
        <v>74</v>
      </c>
      <c r="AQ65" t="s">
        <v>74</v>
      </c>
      <c r="AR65" t="s">
        <v>74</v>
      </c>
      <c r="AS65" t="s">
        <v>74</v>
      </c>
      <c r="AT65" t="s">
        <v>3660</v>
      </c>
      <c r="AU65">
        <v>2008</v>
      </c>
      <c r="AV65">
        <v>68</v>
      </c>
      <c r="AW65">
        <v>4</v>
      </c>
      <c r="AX65" t="s">
        <v>74</v>
      </c>
      <c r="AY65" t="s">
        <v>74</v>
      </c>
      <c r="AZ65" t="s">
        <v>74</v>
      </c>
      <c r="BA65" t="s">
        <v>74</v>
      </c>
      <c r="BB65">
        <v>1228</v>
      </c>
      <c r="BC65">
        <v>1235</v>
      </c>
      <c r="BD65" t="s">
        <v>74</v>
      </c>
      <c r="BE65" t="s">
        <v>23199</v>
      </c>
      <c r="BF65" t="str">
        <f>HYPERLINK("http://dx.doi.org/10.1158/0008-5472.CAN-07-3163","http://dx.doi.org/10.1158/0008-5472.CAN-07-3163")</f>
        <v>http://dx.doi.org/10.1158/0008-5472.CAN-07-3163</v>
      </c>
      <c r="BG65" t="s">
        <v>74</v>
      </c>
      <c r="BH65" t="s">
        <v>74</v>
      </c>
      <c r="BI65" t="s">
        <v>74</v>
      </c>
      <c r="BJ65" t="s">
        <v>267</v>
      </c>
      <c r="BK65" t="s">
        <v>117</v>
      </c>
      <c r="BL65" t="s">
        <v>267</v>
      </c>
      <c r="BM65" t="s">
        <v>74</v>
      </c>
      <c r="BN65">
        <v>18281500</v>
      </c>
      <c r="BO65" t="s">
        <v>74</v>
      </c>
      <c r="BP65" t="s">
        <v>74</v>
      </c>
      <c r="BQ65" t="s">
        <v>74</v>
      </c>
      <c r="BR65" t="s">
        <v>96</v>
      </c>
      <c r="BS65" t="s">
        <v>23200</v>
      </c>
      <c r="BT65" t="str">
        <f>HYPERLINK("https%3A%2F%2Fwww.webofscience.com%2Fwos%2Fwoscc%2Ffull-record%2FWOS:000253251900035","View Full Record in Web of Science")</f>
        <v>View Full Record in Web of Science</v>
      </c>
    </row>
    <row r="66" spans="1:72" x14ac:dyDescent="0.15">
      <c r="A66" t="s">
        <v>98</v>
      </c>
      <c r="B66" t="s">
        <v>28736</v>
      </c>
      <c r="C66" t="s">
        <v>74</v>
      </c>
      <c r="D66" t="s">
        <v>74</v>
      </c>
      <c r="E66" t="s">
        <v>74</v>
      </c>
      <c r="F66" t="s">
        <v>28736</v>
      </c>
      <c r="G66" t="s">
        <v>74</v>
      </c>
      <c r="H66" t="s">
        <v>74</v>
      </c>
      <c r="I66" t="s">
        <v>28737</v>
      </c>
      <c r="J66" t="s">
        <v>658</v>
      </c>
      <c r="K66" t="s">
        <v>74</v>
      </c>
      <c r="L66" t="s">
        <v>74</v>
      </c>
      <c r="M66" t="s">
        <v>74</v>
      </c>
      <c r="N66" t="s">
        <v>103</v>
      </c>
      <c r="O66" t="s">
        <v>74</v>
      </c>
      <c r="P66" t="s">
        <v>74</v>
      </c>
      <c r="Q66" t="s">
        <v>74</v>
      </c>
      <c r="R66" t="s">
        <v>74</v>
      </c>
      <c r="S66" t="s">
        <v>74</v>
      </c>
      <c r="T66" t="s">
        <v>74</v>
      </c>
      <c r="U66" t="s">
        <v>28738</v>
      </c>
      <c r="V66" t="s">
        <v>28739</v>
      </c>
      <c r="W66" t="s">
        <v>28740</v>
      </c>
      <c r="X66" t="s">
        <v>28741</v>
      </c>
      <c r="Y66" t="s">
        <v>28742</v>
      </c>
      <c r="Z66" t="s">
        <v>74</v>
      </c>
      <c r="AA66" t="s">
        <v>28743</v>
      </c>
      <c r="AB66" t="s">
        <v>28744</v>
      </c>
      <c r="AC66" t="s">
        <v>74</v>
      </c>
      <c r="AD66" t="s">
        <v>74</v>
      </c>
      <c r="AE66" t="s">
        <v>74</v>
      </c>
      <c r="AF66" t="s">
        <v>74</v>
      </c>
      <c r="AG66">
        <v>34</v>
      </c>
      <c r="AH66">
        <v>202</v>
      </c>
      <c r="AI66">
        <v>222</v>
      </c>
      <c r="AJ66">
        <v>1</v>
      </c>
      <c r="AK66">
        <v>26</v>
      </c>
      <c r="AL66" t="s">
        <v>74</v>
      </c>
      <c r="AM66" t="s">
        <v>74</v>
      </c>
      <c r="AN66" t="s">
        <v>74</v>
      </c>
      <c r="AO66" t="s">
        <v>668</v>
      </c>
      <c r="AP66" t="s">
        <v>74</v>
      </c>
      <c r="AQ66" t="s">
        <v>74</v>
      </c>
      <c r="AR66" t="s">
        <v>74</v>
      </c>
      <c r="AS66" t="s">
        <v>74</v>
      </c>
      <c r="AT66" t="s">
        <v>11613</v>
      </c>
      <c r="AU66">
        <v>2003</v>
      </c>
      <c r="AV66">
        <v>100</v>
      </c>
      <c r="AW66">
        <v>26</v>
      </c>
      <c r="AX66" t="s">
        <v>74</v>
      </c>
      <c r="AY66" t="s">
        <v>74</v>
      </c>
      <c r="AZ66" t="s">
        <v>74</v>
      </c>
      <c r="BA66" t="s">
        <v>74</v>
      </c>
      <c r="BB66">
        <v>16095</v>
      </c>
      <c r="BC66">
        <v>16100</v>
      </c>
      <c r="BD66" t="s">
        <v>74</v>
      </c>
      <c r="BE66" t="s">
        <v>28745</v>
      </c>
      <c r="BF66" t="str">
        <f>HYPERLINK("http://dx.doi.org/10.1073/pnas.2530568100","http://dx.doi.org/10.1073/pnas.2530568100")</f>
        <v>http://dx.doi.org/10.1073/pnas.2530568100</v>
      </c>
      <c r="BG66" t="s">
        <v>74</v>
      </c>
      <c r="BH66" t="s">
        <v>74</v>
      </c>
      <c r="BI66" t="s">
        <v>74</v>
      </c>
      <c r="BJ66" t="s">
        <v>152</v>
      </c>
      <c r="BK66" t="s">
        <v>117</v>
      </c>
      <c r="BL66" t="s">
        <v>153</v>
      </c>
      <c r="BM66" t="s">
        <v>74</v>
      </c>
      <c r="BN66">
        <v>14657332</v>
      </c>
      <c r="BO66" t="s">
        <v>74</v>
      </c>
      <c r="BP66" t="s">
        <v>74</v>
      </c>
      <c r="BQ66" t="s">
        <v>74</v>
      </c>
      <c r="BR66" t="s">
        <v>96</v>
      </c>
      <c r="BS66" t="s">
        <v>28746</v>
      </c>
      <c r="BT66" t="str">
        <f>HYPERLINK("https%3A%2F%2Fwww.webofscience.com%2Fwos%2Fwoscc%2Ffull-record%2FWOS:000187554600142","View Full Record in Web of Science")</f>
        <v>View Full Record in Web of Science</v>
      </c>
    </row>
    <row r="67" spans="1:72" x14ac:dyDescent="0.15">
      <c r="A67" t="s">
        <v>98</v>
      </c>
      <c r="B67" t="s">
        <v>4150</v>
      </c>
      <c r="C67" t="s">
        <v>74</v>
      </c>
      <c r="D67" t="s">
        <v>74</v>
      </c>
      <c r="E67" t="s">
        <v>74</v>
      </c>
      <c r="F67" t="s">
        <v>4151</v>
      </c>
      <c r="G67" t="s">
        <v>74</v>
      </c>
      <c r="H67" t="s">
        <v>74</v>
      </c>
      <c r="I67" t="s">
        <v>4152</v>
      </c>
      <c r="J67" t="s">
        <v>1073</v>
      </c>
      <c r="K67" t="s">
        <v>74</v>
      </c>
      <c r="L67" t="s">
        <v>74</v>
      </c>
      <c r="M67" t="s">
        <v>74</v>
      </c>
      <c r="N67" t="s">
        <v>103</v>
      </c>
      <c r="O67" t="s">
        <v>74</v>
      </c>
      <c r="P67" t="s">
        <v>74</v>
      </c>
      <c r="Q67" t="s">
        <v>74</v>
      </c>
      <c r="R67" t="s">
        <v>74</v>
      </c>
      <c r="S67" t="s">
        <v>74</v>
      </c>
      <c r="T67" t="s">
        <v>74</v>
      </c>
      <c r="U67" t="s">
        <v>4153</v>
      </c>
      <c r="V67" t="s">
        <v>4154</v>
      </c>
      <c r="W67" t="s">
        <v>4155</v>
      </c>
      <c r="X67" t="s">
        <v>4156</v>
      </c>
      <c r="Y67" t="s">
        <v>4157</v>
      </c>
      <c r="Z67" t="s">
        <v>4158</v>
      </c>
      <c r="AA67" t="s">
        <v>74</v>
      </c>
      <c r="AB67" t="s">
        <v>3462</v>
      </c>
      <c r="AC67" t="s">
        <v>74</v>
      </c>
      <c r="AD67" t="s">
        <v>74</v>
      </c>
      <c r="AE67" t="s">
        <v>74</v>
      </c>
      <c r="AF67" t="s">
        <v>74</v>
      </c>
      <c r="AG67">
        <v>48</v>
      </c>
      <c r="AH67">
        <v>198</v>
      </c>
      <c r="AI67">
        <v>205</v>
      </c>
      <c r="AJ67">
        <v>2</v>
      </c>
      <c r="AK67">
        <v>29</v>
      </c>
      <c r="AL67" t="s">
        <v>74</v>
      </c>
      <c r="AM67" t="s">
        <v>74</v>
      </c>
      <c r="AN67" t="s">
        <v>74</v>
      </c>
      <c r="AO67" t="s">
        <v>1082</v>
      </c>
      <c r="AP67" t="s">
        <v>74</v>
      </c>
      <c r="AQ67" t="s">
        <v>74</v>
      </c>
      <c r="AR67" t="s">
        <v>74</v>
      </c>
      <c r="AS67" t="s">
        <v>74</v>
      </c>
      <c r="AT67" t="s">
        <v>4159</v>
      </c>
      <c r="AU67">
        <v>2015</v>
      </c>
      <c r="AV67">
        <v>10</v>
      </c>
      <c r="AW67">
        <v>8</v>
      </c>
      <c r="AX67" t="s">
        <v>74</v>
      </c>
      <c r="AY67" t="s">
        <v>74</v>
      </c>
      <c r="AZ67" t="s">
        <v>74</v>
      </c>
      <c r="BA67" t="s">
        <v>74</v>
      </c>
      <c r="BB67" t="s">
        <v>74</v>
      </c>
      <c r="BC67" t="s">
        <v>74</v>
      </c>
      <c r="BD67" t="s">
        <v>4160</v>
      </c>
      <c r="BE67" t="s">
        <v>4161</v>
      </c>
      <c r="BF67" t="str">
        <f>HYPERLINK("http://dx.doi.org/10.1371/journal.pone.0136133","http://dx.doi.org/10.1371/journal.pone.0136133")</f>
        <v>http://dx.doi.org/10.1371/journal.pone.0136133</v>
      </c>
      <c r="BG67" t="s">
        <v>74</v>
      </c>
      <c r="BH67" t="s">
        <v>74</v>
      </c>
      <c r="BI67" t="s">
        <v>74</v>
      </c>
      <c r="BJ67" t="s">
        <v>152</v>
      </c>
      <c r="BK67" t="s">
        <v>117</v>
      </c>
      <c r="BL67" t="s">
        <v>153</v>
      </c>
      <c r="BM67" t="s">
        <v>74</v>
      </c>
      <c r="BN67">
        <v>26317354</v>
      </c>
      <c r="BO67" t="s">
        <v>74</v>
      </c>
      <c r="BP67" t="s">
        <v>193</v>
      </c>
      <c r="BQ67" t="s">
        <v>194</v>
      </c>
      <c r="BR67" t="s">
        <v>96</v>
      </c>
      <c r="BS67" t="s">
        <v>4162</v>
      </c>
      <c r="BT67" t="str">
        <f>HYPERLINK("https%3A%2F%2Fwww.webofscience.com%2Fwos%2Fwoscc%2Ffull-record%2FWOS:000360299100059","View Full Record in Web of Science")</f>
        <v>View Full Record in Web of Science</v>
      </c>
    </row>
    <row r="68" spans="1:72" x14ac:dyDescent="0.15">
      <c r="A68" t="s">
        <v>98</v>
      </c>
      <c r="B68" t="s">
        <v>14949</v>
      </c>
      <c r="C68" t="s">
        <v>74</v>
      </c>
      <c r="D68" t="s">
        <v>74</v>
      </c>
      <c r="E68" t="s">
        <v>74</v>
      </c>
      <c r="F68" t="s">
        <v>14949</v>
      </c>
      <c r="G68" t="s">
        <v>74</v>
      </c>
      <c r="H68" t="s">
        <v>74</v>
      </c>
      <c r="I68" t="s">
        <v>14950</v>
      </c>
      <c r="J68" t="s">
        <v>7841</v>
      </c>
      <c r="K68" t="s">
        <v>74</v>
      </c>
      <c r="L68" t="s">
        <v>74</v>
      </c>
      <c r="M68" t="s">
        <v>74</v>
      </c>
      <c r="N68" t="s">
        <v>103</v>
      </c>
      <c r="O68" t="s">
        <v>74</v>
      </c>
      <c r="P68" t="s">
        <v>74</v>
      </c>
      <c r="Q68" t="s">
        <v>74</v>
      </c>
      <c r="R68" t="s">
        <v>74</v>
      </c>
      <c r="S68" t="s">
        <v>74</v>
      </c>
      <c r="T68" t="s">
        <v>74</v>
      </c>
      <c r="U68" t="s">
        <v>14951</v>
      </c>
      <c r="V68" t="s">
        <v>14952</v>
      </c>
      <c r="W68" t="s">
        <v>14953</v>
      </c>
      <c r="X68" t="s">
        <v>14954</v>
      </c>
      <c r="Y68" t="s">
        <v>14955</v>
      </c>
      <c r="Z68" t="s">
        <v>14956</v>
      </c>
      <c r="AA68" t="s">
        <v>14957</v>
      </c>
      <c r="AB68" t="s">
        <v>14958</v>
      </c>
      <c r="AC68" t="s">
        <v>74</v>
      </c>
      <c r="AD68" t="s">
        <v>74</v>
      </c>
      <c r="AE68" t="s">
        <v>74</v>
      </c>
      <c r="AF68" t="s">
        <v>74</v>
      </c>
      <c r="AG68">
        <v>58</v>
      </c>
      <c r="AH68">
        <v>196</v>
      </c>
      <c r="AI68">
        <v>208</v>
      </c>
      <c r="AJ68">
        <v>3</v>
      </c>
      <c r="AK68">
        <v>21</v>
      </c>
      <c r="AL68" t="s">
        <v>74</v>
      </c>
      <c r="AM68" t="s">
        <v>74</v>
      </c>
      <c r="AN68" t="s">
        <v>74</v>
      </c>
      <c r="AO68" t="s">
        <v>7850</v>
      </c>
      <c r="AP68" t="s">
        <v>7851</v>
      </c>
      <c r="AQ68" t="s">
        <v>74</v>
      </c>
      <c r="AR68" t="s">
        <v>74</v>
      </c>
      <c r="AS68" t="s">
        <v>74</v>
      </c>
      <c r="AT68" t="s">
        <v>3660</v>
      </c>
      <c r="AU68">
        <v>2004</v>
      </c>
      <c r="AV68">
        <v>172</v>
      </c>
      <c r="AW68">
        <v>4</v>
      </c>
      <c r="AX68" t="s">
        <v>74</v>
      </c>
      <c r="AY68" t="s">
        <v>74</v>
      </c>
      <c r="AZ68" t="s">
        <v>74</v>
      </c>
      <c r="BA68" t="s">
        <v>74</v>
      </c>
      <c r="BB68">
        <v>2137</v>
      </c>
      <c r="BC68">
        <v>2146</v>
      </c>
      <c r="BD68" t="s">
        <v>74</v>
      </c>
      <c r="BE68" t="s">
        <v>14959</v>
      </c>
      <c r="BF68" t="str">
        <f>HYPERLINK("http://dx.doi.org/10.4049/jimmunol.172.4.2137","http://dx.doi.org/10.4049/jimmunol.172.4.2137")</f>
        <v>http://dx.doi.org/10.4049/jimmunol.172.4.2137</v>
      </c>
      <c r="BG68" t="s">
        <v>74</v>
      </c>
      <c r="BH68" t="s">
        <v>74</v>
      </c>
      <c r="BI68" t="s">
        <v>74</v>
      </c>
      <c r="BJ68" t="s">
        <v>2064</v>
      </c>
      <c r="BK68" t="s">
        <v>117</v>
      </c>
      <c r="BL68" t="s">
        <v>2064</v>
      </c>
      <c r="BM68" t="s">
        <v>74</v>
      </c>
      <c r="BN68">
        <v>14764679</v>
      </c>
      <c r="BO68" t="s">
        <v>74</v>
      </c>
      <c r="BP68" t="s">
        <v>74</v>
      </c>
      <c r="BQ68" t="s">
        <v>74</v>
      </c>
      <c r="BR68" t="s">
        <v>96</v>
      </c>
      <c r="BS68" t="s">
        <v>14960</v>
      </c>
      <c r="BT68" t="str">
        <f>HYPERLINK("https%3A%2F%2Fwww.webofscience.com%2Fwos%2Fwoscc%2Ffull-record%2FWOS:000188788600020","View Full Record in Web of Science")</f>
        <v>View Full Record in Web of Science</v>
      </c>
    </row>
    <row r="69" spans="1:72" x14ac:dyDescent="0.15">
      <c r="A69" t="s">
        <v>98</v>
      </c>
      <c r="B69" t="s">
        <v>23099</v>
      </c>
      <c r="C69" t="s">
        <v>74</v>
      </c>
      <c r="D69" t="s">
        <v>74</v>
      </c>
      <c r="E69" t="s">
        <v>74</v>
      </c>
      <c r="F69" t="s">
        <v>23099</v>
      </c>
      <c r="G69" t="s">
        <v>74</v>
      </c>
      <c r="H69" t="s">
        <v>74</v>
      </c>
      <c r="I69" t="s">
        <v>23100</v>
      </c>
      <c r="J69" t="s">
        <v>2536</v>
      </c>
      <c r="K69" t="s">
        <v>74</v>
      </c>
      <c r="L69" t="s">
        <v>74</v>
      </c>
      <c r="M69" t="s">
        <v>74</v>
      </c>
      <c r="N69" t="s">
        <v>103</v>
      </c>
      <c r="O69" t="s">
        <v>74</v>
      </c>
      <c r="P69" t="s">
        <v>74</v>
      </c>
      <c r="Q69" t="s">
        <v>74</v>
      </c>
      <c r="R69" t="s">
        <v>74</v>
      </c>
      <c r="S69" t="s">
        <v>74</v>
      </c>
      <c r="T69" t="s">
        <v>74</v>
      </c>
      <c r="U69" t="s">
        <v>23101</v>
      </c>
      <c r="V69" t="s">
        <v>23102</v>
      </c>
      <c r="W69" t="s">
        <v>23103</v>
      </c>
      <c r="X69" t="s">
        <v>23104</v>
      </c>
      <c r="Y69" t="s">
        <v>23105</v>
      </c>
      <c r="Z69" t="s">
        <v>74</v>
      </c>
      <c r="AA69" t="s">
        <v>23106</v>
      </c>
      <c r="AB69" t="s">
        <v>23107</v>
      </c>
      <c r="AC69" t="s">
        <v>74</v>
      </c>
      <c r="AD69" t="s">
        <v>74</v>
      </c>
      <c r="AE69" t="s">
        <v>74</v>
      </c>
      <c r="AF69" t="s">
        <v>74</v>
      </c>
      <c r="AG69">
        <v>51</v>
      </c>
      <c r="AH69">
        <v>195</v>
      </c>
      <c r="AI69">
        <v>198</v>
      </c>
      <c r="AJ69">
        <v>0</v>
      </c>
      <c r="AK69">
        <v>5</v>
      </c>
      <c r="AL69" t="s">
        <v>74</v>
      </c>
      <c r="AM69" t="s">
        <v>74</v>
      </c>
      <c r="AN69" t="s">
        <v>74</v>
      </c>
      <c r="AO69" t="s">
        <v>2544</v>
      </c>
      <c r="AP69" t="s">
        <v>74</v>
      </c>
      <c r="AQ69" t="s">
        <v>74</v>
      </c>
      <c r="AR69" t="s">
        <v>74</v>
      </c>
      <c r="AS69" t="s">
        <v>74</v>
      </c>
      <c r="AT69" t="s">
        <v>170</v>
      </c>
      <c r="AU69">
        <v>1995</v>
      </c>
      <c r="AV69">
        <v>69</v>
      </c>
      <c r="AW69">
        <v>6</v>
      </c>
      <c r="AX69" t="s">
        <v>74</v>
      </c>
      <c r="AY69" t="s">
        <v>74</v>
      </c>
      <c r="AZ69" t="s">
        <v>74</v>
      </c>
      <c r="BA69" t="s">
        <v>74</v>
      </c>
      <c r="BB69">
        <v>3407</v>
      </c>
      <c r="BC69">
        <v>3419</v>
      </c>
      <c r="BD69" t="s">
        <v>74</v>
      </c>
      <c r="BE69" t="s">
        <v>74</v>
      </c>
      <c r="BF69" t="s">
        <v>74</v>
      </c>
      <c r="BG69" t="s">
        <v>74</v>
      </c>
      <c r="BH69" t="s">
        <v>74</v>
      </c>
      <c r="BI69" t="s">
        <v>74</v>
      </c>
      <c r="BJ69" t="s">
        <v>932</v>
      </c>
      <c r="BK69" t="s">
        <v>117</v>
      </c>
      <c r="BL69" t="s">
        <v>932</v>
      </c>
      <c r="BM69" t="s">
        <v>74</v>
      </c>
      <c r="BN69">
        <v>7745687</v>
      </c>
      <c r="BO69" t="s">
        <v>74</v>
      </c>
      <c r="BP69" t="s">
        <v>74</v>
      </c>
      <c r="BQ69" t="s">
        <v>74</v>
      </c>
      <c r="BR69" t="s">
        <v>96</v>
      </c>
      <c r="BS69" t="s">
        <v>23108</v>
      </c>
      <c r="BT69" t="str">
        <f>HYPERLINK("https%3A%2F%2Fwww.webofscience.com%2Fwos%2Fwoscc%2Ffull-record%2FWOS:A1995QX93100019","View Full Record in Web of Science")</f>
        <v>View Full Record in Web of Science</v>
      </c>
    </row>
    <row r="70" spans="1:72" x14ac:dyDescent="0.15">
      <c r="A70" t="s">
        <v>98</v>
      </c>
      <c r="B70" t="s">
        <v>21271</v>
      </c>
      <c r="C70" t="s">
        <v>74</v>
      </c>
      <c r="D70" t="s">
        <v>74</v>
      </c>
      <c r="E70" t="s">
        <v>74</v>
      </c>
      <c r="F70" t="s">
        <v>21272</v>
      </c>
      <c r="G70" t="s">
        <v>74</v>
      </c>
      <c r="H70" t="s">
        <v>74</v>
      </c>
      <c r="I70" t="s">
        <v>21273</v>
      </c>
      <c r="J70" t="s">
        <v>8483</v>
      </c>
      <c r="K70" t="s">
        <v>74</v>
      </c>
      <c r="L70" t="s">
        <v>74</v>
      </c>
      <c r="M70" t="s">
        <v>74</v>
      </c>
      <c r="N70" t="s">
        <v>103</v>
      </c>
      <c r="O70" t="s">
        <v>74</v>
      </c>
      <c r="P70" t="s">
        <v>74</v>
      </c>
      <c r="Q70" t="s">
        <v>74</v>
      </c>
      <c r="R70" t="s">
        <v>74</v>
      </c>
      <c r="S70" t="s">
        <v>74</v>
      </c>
      <c r="T70" t="s">
        <v>74</v>
      </c>
      <c r="U70" t="s">
        <v>21274</v>
      </c>
      <c r="V70" t="s">
        <v>21275</v>
      </c>
      <c r="W70" t="s">
        <v>21276</v>
      </c>
      <c r="X70" t="s">
        <v>21277</v>
      </c>
      <c r="Y70" t="s">
        <v>21278</v>
      </c>
      <c r="Z70" t="s">
        <v>21279</v>
      </c>
      <c r="AA70" t="s">
        <v>21280</v>
      </c>
      <c r="AB70" t="s">
        <v>21281</v>
      </c>
      <c r="AC70" t="s">
        <v>74</v>
      </c>
      <c r="AD70" t="s">
        <v>74</v>
      </c>
      <c r="AE70" t="s">
        <v>74</v>
      </c>
      <c r="AF70" t="s">
        <v>74</v>
      </c>
      <c r="AG70">
        <v>64</v>
      </c>
      <c r="AH70">
        <v>191</v>
      </c>
      <c r="AI70">
        <v>205</v>
      </c>
      <c r="AJ70">
        <v>11</v>
      </c>
      <c r="AK70">
        <v>75</v>
      </c>
      <c r="AL70" t="s">
        <v>74</v>
      </c>
      <c r="AM70" t="s">
        <v>74</v>
      </c>
      <c r="AN70" t="s">
        <v>74</v>
      </c>
      <c r="AO70" t="s">
        <v>8492</v>
      </c>
      <c r="AP70" t="s">
        <v>8493</v>
      </c>
      <c r="AQ70" t="s">
        <v>74</v>
      </c>
      <c r="AR70" t="s">
        <v>74</v>
      </c>
      <c r="AS70" t="s">
        <v>74</v>
      </c>
      <c r="AT70" t="s">
        <v>1029</v>
      </c>
      <c r="AU70">
        <v>2018</v>
      </c>
      <c r="AV70">
        <v>20</v>
      </c>
      <c r="AW70">
        <v>5</v>
      </c>
      <c r="AX70" t="s">
        <v>74</v>
      </c>
      <c r="AY70" t="s">
        <v>74</v>
      </c>
      <c r="AZ70" t="s">
        <v>74</v>
      </c>
      <c r="BA70" t="s">
        <v>74</v>
      </c>
      <c r="BB70">
        <v>597</v>
      </c>
      <c r="BC70" t="s">
        <v>3390</v>
      </c>
      <c r="BD70" t="s">
        <v>74</v>
      </c>
      <c r="BE70" t="s">
        <v>21282</v>
      </c>
      <c r="BF70" t="str">
        <f>HYPERLINK("http://dx.doi.org/10.1038/s41556-018-0083-6","http://dx.doi.org/10.1038/s41556-018-0083-6")</f>
        <v>http://dx.doi.org/10.1038/s41556-018-0083-6</v>
      </c>
      <c r="BG70" t="s">
        <v>74</v>
      </c>
      <c r="BH70" t="s">
        <v>74</v>
      </c>
      <c r="BI70" t="s">
        <v>74</v>
      </c>
      <c r="BJ70" t="s">
        <v>135</v>
      </c>
      <c r="BK70" t="s">
        <v>117</v>
      </c>
      <c r="BL70" t="s">
        <v>135</v>
      </c>
      <c r="BM70" t="s">
        <v>74</v>
      </c>
      <c r="BN70">
        <v>29662176</v>
      </c>
      <c r="BO70" t="s">
        <v>74</v>
      </c>
      <c r="BP70" t="s">
        <v>74</v>
      </c>
      <c r="BQ70" t="s">
        <v>74</v>
      </c>
      <c r="BR70" t="s">
        <v>96</v>
      </c>
      <c r="BS70" t="s">
        <v>21283</v>
      </c>
      <c r="BT70" t="str">
        <f>HYPERLINK("https%3A%2F%2Fwww.webofscience.com%2Fwos%2Fwoscc%2Ffull-record%2FWOS:000431064700016","View Full Record in Web of Science")</f>
        <v>View Full Record in Web of Science</v>
      </c>
    </row>
    <row r="71" spans="1:72" x14ac:dyDescent="0.15">
      <c r="A71" t="s">
        <v>98</v>
      </c>
      <c r="B71" t="s">
        <v>175</v>
      </c>
      <c r="C71" t="s">
        <v>74</v>
      </c>
      <c r="D71" t="s">
        <v>74</v>
      </c>
      <c r="E71" t="s">
        <v>74</v>
      </c>
      <c r="F71" t="s">
        <v>176</v>
      </c>
      <c r="G71" t="s">
        <v>74</v>
      </c>
      <c r="H71" t="s">
        <v>74</v>
      </c>
      <c r="I71" t="s">
        <v>177</v>
      </c>
      <c r="J71" t="s">
        <v>178</v>
      </c>
      <c r="K71" t="s">
        <v>74</v>
      </c>
      <c r="L71" t="s">
        <v>74</v>
      </c>
      <c r="M71" t="s">
        <v>74</v>
      </c>
      <c r="N71" t="s">
        <v>103</v>
      </c>
      <c r="O71" t="s">
        <v>74</v>
      </c>
      <c r="P71" t="s">
        <v>74</v>
      </c>
      <c r="Q71" t="s">
        <v>74</v>
      </c>
      <c r="R71" t="s">
        <v>74</v>
      </c>
      <c r="S71" t="s">
        <v>74</v>
      </c>
      <c r="T71" t="s">
        <v>179</v>
      </c>
      <c r="U71" t="s">
        <v>180</v>
      </c>
      <c r="V71" t="s">
        <v>181</v>
      </c>
      <c r="W71" t="s">
        <v>182</v>
      </c>
      <c r="X71" t="s">
        <v>183</v>
      </c>
      <c r="Y71" t="s">
        <v>184</v>
      </c>
      <c r="Z71" t="s">
        <v>185</v>
      </c>
      <c r="AA71" t="s">
        <v>186</v>
      </c>
      <c r="AB71" t="s">
        <v>187</v>
      </c>
      <c r="AC71" t="s">
        <v>74</v>
      </c>
      <c r="AD71" t="s">
        <v>74</v>
      </c>
      <c r="AE71" t="s">
        <v>74</v>
      </c>
      <c r="AF71" t="s">
        <v>74</v>
      </c>
      <c r="AG71">
        <v>47</v>
      </c>
      <c r="AH71">
        <v>188</v>
      </c>
      <c r="AI71">
        <v>192</v>
      </c>
      <c r="AJ71">
        <v>18</v>
      </c>
      <c r="AK71">
        <v>128</v>
      </c>
      <c r="AL71" t="s">
        <v>74</v>
      </c>
      <c r="AM71" t="s">
        <v>74</v>
      </c>
      <c r="AN71" t="s">
        <v>74</v>
      </c>
      <c r="AO71" t="s">
        <v>188</v>
      </c>
      <c r="AP71" t="s">
        <v>74</v>
      </c>
      <c r="AQ71" t="s">
        <v>74</v>
      </c>
      <c r="AR71" t="s">
        <v>74</v>
      </c>
      <c r="AS71" t="s">
        <v>74</v>
      </c>
      <c r="AT71" t="s">
        <v>189</v>
      </c>
      <c r="AU71">
        <v>2015</v>
      </c>
      <c r="AV71">
        <v>12</v>
      </c>
      <c r="AW71">
        <v>10</v>
      </c>
      <c r="AX71" t="s">
        <v>74</v>
      </c>
      <c r="AY71" t="s">
        <v>74</v>
      </c>
      <c r="AZ71" t="s">
        <v>74</v>
      </c>
      <c r="BA71" t="s">
        <v>74</v>
      </c>
      <c r="BB71">
        <v>3650</v>
      </c>
      <c r="BC71">
        <v>3657</v>
      </c>
      <c r="BD71" t="s">
        <v>74</v>
      </c>
      <c r="BE71" t="s">
        <v>190</v>
      </c>
      <c r="BF71" t="str">
        <f>HYPERLINK("http://dx.doi.org/10.1021/acs.molpharmaceut.5b00364","http://dx.doi.org/10.1021/acs.molpharmaceut.5b00364")</f>
        <v>http://dx.doi.org/10.1021/acs.molpharmaceut.5b00364</v>
      </c>
      <c r="BG71" t="s">
        <v>74</v>
      </c>
      <c r="BH71" t="s">
        <v>74</v>
      </c>
      <c r="BI71" t="s">
        <v>74</v>
      </c>
      <c r="BJ71" t="s">
        <v>191</v>
      </c>
      <c r="BK71" t="s">
        <v>117</v>
      </c>
      <c r="BL71" t="s">
        <v>192</v>
      </c>
      <c r="BM71" t="s">
        <v>74</v>
      </c>
      <c r="BN71">
        <v>26376343</v>
      </c>
      <c r="BO71" t="s">
        <v>74</v>
      </c>
      <c r="BP71" t="s">
        <v>193</v>
      </c>
      <c r="BQ71" t="s">
        <v>194</v>
      </c>
      <c r="BR71" t="s">
        <v>96</v>
      </c>
      <c r="BS71" t="s">
        <v>195</v>
      </c>
      <c r="BT71" t="str">
        <f>HYPERLINK("https%3A%2F%2Fwww.webofscience.com%2Fwos%2Fwoscc%2Ffull-record%2FWOS:000362460500015","View Full Record in Web of Science")</f>
        <v>View Full Record in Web of Science</v>
      </c>
    </row>
    <row r="72" spans="1:72" x14ac:dyDescent="0.15">
      <c r="A72" t="s">
        <v>98</v>
      </c>
      <c r="B72" t="s">
        <v>24918</v>
      </c>
      <c r="C72" t="s">
        <v>74</v>
      </c>
      <c r="D72" t="s">
        <v>74</v>
      </c>
      <c r="E72" t="s">
        <v>74</v>
      </c>
      <c r="F72" t="s">
        <v>24919</v>
      </c>
      <c r="G72" t="s">
        <v>74</v>
      </c>
      <c r="H72" t="s">
        <v>74</v>
      </c>
      <c r="I72" t="s">
        <v>24920</v>
      </c>
      <c r="J72" t="s">
        <v>13494</v>
      </c>
      <c r="K72" t="s">
        <v>74</v>
      </c>
      <c r="L72" t="s">
        <v>74</v>
      </c>
      <c r="M72" t="s">
        <v>74</v>
      </c>
      <c r="N72" t="s">
        <v>103</v>
      </c>
      <c r="O72" t="s">
        <v>74</v>
      </c>
      <c r="P72" t="s">
        <v>74</v>
      </c>
      <c r="Q72" t="s">
        <v>74</v>
      </c>
      <c r="R72" t="s">
        <v>74</v>
      </c>
      <c r="S72" t="s">
        <v>74</v>
      </c>
      <c r="T72" t="s">
        <v>74</v>
      </c>
      <c r="U72" t="s">
        <v>24921</v>
      </c>
      <c r="V72" t="s">
        <v>24922</v>
      </c>
      <c r="W72" t="s">
        <v>24923</v>
      </c>
      <c r="X72" t="s">
        <v>24924</v>
      </c>
      <c r="Y72" t="s">
        <v>24925</v>
      </c>
      <c r="Z72" t="s">
        <v>24926</v>
      </c>
      <c r="AA72" t="s">
        <v>74</v>
      </c>
      <c r="AB72" t="s">
        <v>24927</v>
      </c>
      <c r="AC72" t="s">
        <v>74</v>
      </c>
      <c r="AD72" t="s">
        <v>74</v>
      </c>
      <c r="AE72" t="s">
        <v>74</v>
      </c>
      <c r="AF72" t="s">
        <v>74</v>
      </c>
      <c r="AG72">
        <v>39</v>
      </c>
      <c r="AH72">
        <v>187</v>
      </c>
      <c r="AI72">
        <v>200</v>
      </c>
      <c r="AJ72">
        <v>15</v>
      </c>
      <c r="AK72">
        <v>64</v>
      </c>
      <c r="AL72" t="s">
        <v>74</v>
      </c>
      <c r="AM72" t="s">
        <v>74</v>
      </c>
      <c r="AN72" t="s">
        <v>74</v>
      </c>
      <c r="AO72" t="s">
        <v>13502</v>
      </c>
      <c r="AP72" t="s">
        <v>13503</v>
      </c>
      <c r="AQ72" t="s">
        <v>74</v>
      </c>
      <c r="AR72" t="s">
        <v>74</v>
      </c>
      <c r="AS72" t="s">
        <v>74</v>
      </c>
      <c r="AT72" t="s">
        <v>9738</v>
      </c>
      <c r="AU72">
        <v>2019</v>
      </c>
      <c r="AV72">
        <v>38</v>
      </c>
      <c r="AW72">
        <v>15</v>
      </c>
      <c r="AX72" t="s">
        <v>74</v>
      </c>
      <c r="AY72" t="s">
        <v>74</v>
      </c>
      <c r="AZ72" t="s">
        <v>74</v>
      </c>
      <c r="BA72" t="s">
        <v>74</v>
      </c>
      <c r="BB72">
        <v>2844</v>
      </c>
      <c r="BC72">
        <v>2859</v>
      </c>
      <c r="BD72" t="s">
        <v>74</v>
      </c>
      <c r="BE72" t="s">
        <v>24928</v>
      </c>
      <c r="BF72" t="str">
        <f>HYPERLINK("http://dx.doi.org/10.1038/s41388-018-0619-z","http://dx.doi.org/10.1038/s41388-018-0619-z")</f>
        <v>http://dx.doi.org/10.1038/s41388-018-0619-z</v>
      </c>
      <c r="BG72" t="s">
        <v>74</v>
      </c>
      <c r="BH72" t="s">
        <v>74</v>
      </c>
      <c r="BI72" t="s">
        <v>74</v>
      </c>
      <c r="BJ72" t="s">
        <v>13505</v>
      </c>
      <c r="BK72" t="s">
        <v>117</v>
      </c>
      <c r="BL72" t="s">
        <v>13505</v>
      </c>
      <c r="BM72" t="s">
        <v>74</v>
      </c>
      <c r="BN72">
        <v>30546088</v>
      </c>
      <c r="BO72" t="s">
        <v>74</v>
      </c>
      <c r="BP72" t="s">
        <v>193</v>
      </c>
      <c r="BQ72" t="s">
        <v>194</v>
      </c>
      <c r="BR72" t="s">
        <v>96</v>
      </c>
      <c r="BS72" t="s">
        <v>24929</v>
      </c>
      <c r="BT72" t="str">
        <f>HYPERLINK("https%3A%2F%2Fwww.webofscience.com%2Fwos%2Fwoscc%2Ffull-record%2FWOS:000464121600013","View Full Record in Web of Science")</f>
        <v>View Full Record in Web of Science</v>
      </c>
    </row>
    <row r="73" spans="1:72" x14ac:dyDescent="0.15">
      <c r="A73" t="s">
        <v>98</v>
      </c>
      <c r="B73" t="s">
        <v>15080</v>
      </c>
      <c r="C73" t="s">
        <v>74</v>
      </c>
      <c r="D73" t="s">
        <v>74</v>
      </c>
      <c r="E73" t="s">
        <v>74</v>
      </c>
      <c r="F73" t="s">
        <v>15081</v>
      </c>
      <c r="G73" t="s">
        <v>74</v>
      </c>
      <c r="H73" t="s">
        <v>74</v>
      </c>
      <c r="I73" t="s">
        <v>15082</v>
      </c>
      <c r="J73" t="s">
        <v>7841</v>
      </c>
      <c r="K73" t="s">
        <v>74</v>
      </c>
      <c r="L73" t="s">
        <v>74</v>
      </c>
      <c r="M73" t="s">
        <v>74</v>
      </c>
      <c r="N73" t="s">
        <v>103</v>
      </c>
      <c r="O73" t="s">
        <v>74</v>
      </c>
      <c r="P73" t="s">
        <v>74</v>
      </c>
      <c r="Q73" t="s">
        <v>74</v>
      </c>
      <c r="R73" t="s">
        <v>74</v>
      </c>
      <c r="S73" t="s">
        <v>74</v>
      </c>
      <c r="T73" t="s">
        <v>74</v>
      </c>
      <c r="U73" t="s">
        <v>15083</v>
      </c>
      <c r="V73" t="s">
        <v>15084</v>
      </c>
      <c r="W73" t="s">
        <v>15085</v>
      </c>
      <c r="X73" t="s">
        <v>15086</v>
      </c>
      <c r="Y73" t="s">
        <v>15087</v>
      </c>
      <c r="Z73" t="s">
        <v>15088</v>
      </c>
      <c r="AA73" t="s">
        <v>74</v>
      </c>
      <c r="AB73" t="s">
        <v>15089</v>
      </c>
      <c r="AC73" t="s">
        <v>74</v>
      </c>
      <c r="AD73" t="s">
        <v>74</v>
      </c>
      <c r="AE73" t="s">
        <v>74</v>
      </c>
      <c r="AF73" t="s">
        <v>74</v>
      </c>
      <c r="AG73">
        <v>41</v>
      </c>
      <c r="AH73">
        <v>185</v>
      </c>
      <c r="AI73">
        <v>195</v>
      </c>
      <c r="AJ73">
        <v>1</v>
      </c>
      <c r="AK73">
        <v>18</v>
      </c>
      <c r="AL73" t="s">
        <v>74</v>
      </c>
      <c r="AM73" t="s">
        <v>74</v>
      </c>
      <c r="AN73" t="s">
        <v>74</v>
      </c>
      <c r="AO73" t="s">
        <v>7850</v>
      </c>
      <c r="AP73" t="s">
        <v>7851</v>
      </c>
      <c r="AQ73" t="s">
        <v>74</v>
      </c>
      <c r="AR73" t="s">
        <v>74</v>
      </c>
      <c r="AS73" t="s">
        <v>74</v>
      </c>
      <c r="AT73" t="s">
        <v>4822</v>
      </c>
      <c r="AU73">
        <v>2013</v>
      </c>
      <c r="AV73">
        <v>190</v>
      </c>
      <c r="AW73">
        <v>8</v>
      </c>
      <c r="AX73" t="s">
        <v>74</v>
      </c>
      <c r="AY73" t="s">
        <v>74</v>
      </c>
      <c r="AZ73" t="s">
        <v>74</v>
      </c>
      <c r="BA73" t="s">
        <v>74</v>
      </c>
      <c r="BB73">
        <v>4136</v>
      </c>
      <c r="BC73">
        <v>4148</v>
      </c>
      <c r="BD73" t="s">
        <v>74</v>
      </c>
      <c r="BE73" t="s">
        <v>15090</v>
      </c>
      <c r="BF73" t="str">
        <f>HYPERLINK("http://dx.doi.org/10.4049/jimmunol.1202671","http://dx.doi.org/10.4049/jimmunol.1202671")</f>
        <v>http://dx.doi.org/10.4049/jimmunol.1202671</v>
      </c>
      <c r="BG73" t="s">
        <v>74</v>
      </c>
      <c r="BH73" t="s">
        <v>74</v>
      </c>
      <c r="BI73" t="s">
        <v>74</v>
      </c>
      <c r="BJ73" t="s">
        <v>2064</v>
      </c>
      <c r="BK73" t="s">
        <v>117</v>
      </c>
      <c r="BL73" t="s">
        <v>2064</v>
      </c>
      <c r="BM73" t="s">
        <v>74</v>
      </c>
      <c r="BN73">
        <v>23509360</v>
      </c>
      <c r="BO73" t="s">
        <v>74</v>
      </c>
      <c r="BP73" t="s">
        <v>74</v>
      </c>
      <c r="BQ73" t="s">
        <v>74</v>
      </c>
      <c r="BR73" t="s">
        <v>96</v>
      </c>
      <c r="BS73" t="s">
        <v>15091</v>
      </c>
      <c r="BT73" t="str">
        <f>HYPERLINK("https%3A%2F%2Fwww.webofscience.com%2Fwos%2Fwoscc%2Ffull-record%2FWOS:000317274500032","View Full Record in Web of Science")</f>
        <v>View Full Record in Web of Science</v>
      </c>
    </row>
    <row r="74" spans="1:72" x14ac:dyDescent="0.15">
      <c r="A74" t="s">
        <v>98</v>
      </c>
      <c r="B74" t="s">
        <v>4809</v>
      </c>
      <c r="C74" t="s">
        <v>74</v>
      </c>
      <c r="D74" t="s">
        <v>74</v>
      </c>
      <c r="E74" t="s">
        <v>74</v>
      </c>
      <c r="F74" t="s">
        <v>4810</v>
      </c>
      <c r="G74" t="s">
        <v>74</v>
      </c>
      <c r="H74" t="s">
        <v>74</v>
      </c>
      <c r="I74" t="s">
        <v>4811</v>
      </c>
      <c r="J74" t="s">
        <v>4812</v>
      </c>
      <c r="K74" t="s">
        <v>74</v>
      </c>
      <c r="L74" t="s">
        <v>74</v>
      </c>
      <c r="M74" t="s">
        <v>74</v>
      </c>
      <c r="N74" t="s">
        <v>103</v>
      </c>
      <c r="O74" t="s">
        <v>74</v>
      </c>
      <c r="P74" t="s">
        <v>74</v>
      </c>
      <c r="Q74" t="s">
        <v>74</v>
      </c>
      <c r="R74" t="s">
        <v>74</v>
      </c>
      <c r="S74" t="s">
        <v>74</v>
      </c>
      <c r="T74" t="s">
        <v>4813</v>
      </c>
      <c r="U74" t="s">
        <v>4814</v>
      </c>
      <c r="V74" t="s">
        <v>4815</v>
      </c>
      <c r="W74" t="s">
        <v>4816</v>
      </c>
      <c r="X74" t="s">
        <v>4817</v>
      </c>
      <c r="Y74" t="s">
        <v>4818</v>
      </c>
      <c r="Z74" t="s">
        <v>4819</v>
      </c>
      <c r="AA74" t="s">
        <v>74</v>
      </c>
      <c r="AB74" t="s">
        <v>74</v>
      </c>
      <c r="AC74" t="s">
        <v>74</v>
      </c>
      <c r="AD74" t="s">
        <v>74</v>
      </c>
      <c r="AE74" t="s">
        <v>74</v>
      </c>
      <c r="AF74" t="s">
        <v>74</v>
      </c>
      <c r="AG74">
        <v>97</v>
      </c>
      <c r="AH74">
        <v>183</v>
      </c>
      <c r="AI74">
        <v>194</v>
      </c>
      <c r="AJ74">
        <v>15</v>
      </c>
      <c r="AK74">
        <v>187</v>
      </c>
      <c r="AL74" t="s">
        <v>74</v>
      </c>
      <c r="AM74" t="s">
        <v>74</v>
      </c>
      <c r="AN74" t="s">
        <v>74</v>
      </c>
      <c r="AO74" t="s">
        <v>4820</v>
      </c>
      <c r="AP74" t="s">
        <v>4821</v>
      </c>
      <c r="AQ74" t="s">
        <v>74</v>
      </c>
      <c r="AR74" t="s">
        <v>74</v>
      </c>
      <c r="AS74" t="s">
        <v>74</v>
      </c>
      <c r="AT74" t="s">
        <v>4822</v>
      </c>
      <c r="AU74">
        <v>2017</v>
      </c>
      <c r="AV74">
        <v>521</v>
      </c>
      <c r="AW74" t="s">
        <v>1694</v>
      </c>
      <c r="AX74" t="s">
        <v>74</v>
      </c>
      <c r="AY74" t="s">
        <v>74</v>
      </c>
      <c r="AZ74" t="s">
        <v>74</v>
      </c>
      <c r="BA74" t="s">
        <v>74</v>
      </c>
      <c r="BB74">
        <v>167</v>
      </c>
      <c r="BC74">
        <v>175</v>
      </c>
      <c r="BD74" t="s">
        <v>74</v>
      </c>
      <c r="BE74" t="s">
        <v>4823</v>
      </c>
      <c r="BF74" t="str">
        <f>HYPERLINK("http://dx.doi.org/10.1016/j.ijpharm.2017.02.038","http://dx.doi.org/10.1016/j.ijpharm.2017.02.038")</f>
        <v>http://dx.doi.org/10.1016/j.ijpharm.2017.02.038</v>
      </c>
      <c r="BG74" t="s">
        <v>74</v>
      </c>
      <c r="BH74" t="s">
        <v>74</v>
      </c>
      <c r="BI74" t="s">
        <v>74</v>
      </c>
      <c r="BJ74" t="s">
        <v>533</v>
      </c>
      <c r="BK74" t="s">
        <v>117</v>
      </c>
      <c r="BL74" t="s">
        <v>533</v>
      </c>
      <c r="BM74" t="s">
        <v>74</v>
      </c>
      <c r="BN74">
        <v>28216464</v>
      </c>
      <c r="BO74" t="s">
        <v>74</v>
      </c>
      <c r="BP74" t="s">
        <v>193</v>
      </c>
      <c r="BQ74" t="s">
        <v>194</v>
      </c>
      <c r="BR74" t="s">
        <v>96</v>
      </c>
      <c r="BS74" t="s">
        <v>4824</v>
      </c>
      <c r="BT74" t="str">
        <f>HYPERLINK("https%3A%2F%2Fwww.webofscience.com%2Fwos%2Fwoscc%2Ffull-record%2FWOS:000397613700019","View Full Record in Web of Science")</f>
        <v>View Full Record in Web of Science</v>
      </c>
    </row>
    <row r="75" spans="1:72" x14ac:dyDescent="0.15">
      <c r="A75" t="s">
        <v>98</v>
      </c>
      <c r="B75" t="s">
        <v>11050</v>
      </c>
      <c r="C75" t="s">
        <v>74</v>
      </c>
      <c r="D75" t="s">
        <v>74</v>
      </c>
      <c r="E75" t="s">
        <v>74</v>
      </c>
      <c r="F75" t="s">
        <v>11051</v>
      </c>
      <c r="G75" t="s">
        <v>74</v>
      </c>
      <c r="H75" t="s">
        <v>74</v>
      </c>
      <c r="I75" t="s">
        <v>11052</v>
      </c>
      <c r="J75" t="s">
        <v>3032</v>
      </c>
      <c r="K75" t="s">
        <v>74</v>
      </c>
      <c r="L75" t="s">
        <v>74</v>
      </c>
      <c r="M75" t="s">
        <v>74</v>
      </c>
      <c r="N75" t="s">
        <v>103</v>
      </c>
      <c r="O75" t="s">
        <v>74</v>
      </c>
      <c r="P75" t="s">
        <v>74</v>
      </c>
      <c r="Q75" t="s">
        <v>74</v>
      </c>
      <c r="R75" t="s">
        <v>74</v>
      </c>
      <c r="S75" t="s">
        <v>74</v>
      </c>
      <c r="T75" t="s">
        <v>74</v>
      </c>
      <c r="U75" t="s">
        <v>11053</v>
      </c>
      <c r="V75" t="s">
        <v>11054</v>
      </c>
      <c r="W75" t="s">
        <v>11055</v>
      </c>
      <c r="X75" t="s">
        <v>11056</v>
      </c>
      <c r="Y75" t="s">
        <v>11057</v>
      </c>
      <c r="Z75" t="s">
        <v>11058</v>
      </c>
      <c r="AA75" t="s">
        <v>11059</v>
      </c>
      <c r="AB75" t="s">
        <v>11060</v>
      </c>
      <c r="AC75" t="s">
        <v>74</v>
      </c>
      <c r="AD75" t="s">
        <v>74</v>
      </c>
      <c r="AE75" t="s">
        <v>74</v>
      </c>
      <c r="AF75" t="s">
        <v>74</v>
      </c>
      <c r="AG75">
        <v>57</v>
      </c>
      <c r="AH75">
        <v>181</v>
      </c>
      <c r="AI75">
        <v>187</v>
      </c>
      <c r="AJ75">
        <v>5</v>
      </c>
      <c r="AK75">
        <v>55</v>
      </c>
      <c r="AL75" t="s">
        <v>74</v>
      </c>
      <c r="AM75" t="s">
        <v>74</v>
      </c>
      <c r="AN75" t="s">
        <v>74</v>
      </c>
      <c r="AO75" t="s">
        <v>3041</v>
      </c>
      <c r="AP75" t="s">
        <v>3042</v>
      </c>
      <c r="AQ75" t="s">
        <v>74</v>
      </c>
      <c r="AR75" t="s">
        <v>74</v>
      </c>
      <c r="AS75" t="s">
        <v>74</v>
      </c>
      <c r="AT75" t="s">
        <v>4146</v>
      </c>
      <c r="AU75">
        <v>2009</v>
      </c>
      <c r="AV75">
        <v>75</v>
      </c>
      <c r="AW75">
        <v>9</v>
      </c>
      <c r="AX75" t="s">
        <v>74</v>
      </c>
      <c r="AY75" t="s">
        <v>74</v>
      </c>
      <c r="AZ75" t="s">
        <v>74</v>
      </c>
      <c r="BA75" t="s">
        <v>74</v>
      </c>
      <c r="BB75">
        <v>2861</v>
      </c>
      <c r="BC75">
        <v>2868</v>
      </c>
      <c r="BD75" t="s">
        <v>74</v>
      </c>
      <c r="BE75" t="s">
        <v>11061</v>
      </c>
      <c r="BF75" t="str">
        <f>HYPERLINK("http://dx.doi.org/10.1128/AEM.01317-08","http://dx.doi.org/10.1128/AEM.01317-08")</f>
        <v>http://dx.doi.org/10.1128/AEM.01317-08</v>
      </c>
      <c r="BG75" t="s">
        <v>74</v>
      </c>
      <c r="BH75" t="s">
        <v>74</v>
      </c>
      <c r="BI75" t="s">
        <v>74</v>
      </c>
      <c r="BJ75" t="s">
        <v>1464</v>
      </c>
      <c r="BK75" t="s">
        <v>117</v>
      </c>
      <c r="BL75" t="s">
        <v>1464</v>
      </c>
      <c r="BM75" t="s">
        <v>74</v>
      </c>
      <c r="BN75">
        <v>19251901</v>
      </c>
      <c r="BO75" t="s">
        <v>74</v>
      </c>
      <c r="BP75" t="s">
        <v>74</v>
      </c>
      <c r="BQ75" t="s">
        <v>74</v>
      </c>
      <c r="BR75" t="s">
        <v>96</v>
      </c>
      <c r="BS75" t="s">
        <v>11062</v>
      </c>
      <c r="BT75" t="str">
        <f>HYPERLINK("https%3A%2F%2Fwww.webofscience.com%2Fwos%2Fwoscc%2Ffull-record%2FWOS:000265586900032","View Full Record in Web of Science")</f>
        <v>View Full Record in Web of Science</v>
      </c>
    </row>
    <row r="76" spans="1:72" x14ac:dyDescent="0.15">
      <c r="A76" t="s">
        <v>98</v>
      </c>
      <c r="B76" t="s">
        <v>25772</v>
      </c>
      <c r="C76" t="s">
        <v>74</v>
      </c>
      <c r="D76" t="s">
        <v>74</v>
      </c>
      <c r="E76" t="s">
        <v>74</v>
      </c>
      <c r="F76" t="s">
        <v>25772</v>
      </c>
      <c r="G76" t="s">
        <v>74</v>
      </c>
      <c r="H76" t="s">
        <v>74</v>
      </c>
      <c r="I76" t="s">
        <v>25773</v>
      </c>
      <c r="J76" t="s">
        <v>2536</v>
      </c>
      <c r="K76" t="s">
        <v>74</v>
      </c>
      <c r="L76" t="s">
        <v>74</v>
      </c>
      <c r="M76" t="s">
        <v>74</v>
      </c>
      <c r="N76" t="s">
        <v>103</v>
      </c>
      <c r="O76" t="s">
        <v>74</v>
      </c>
      <c r="P76" t="s">
        <v>74</v>
      </c>
      <c r="Q76" t="s">
        <v>74</v>
      </c>
      <c r="R76" t="s">
        <v>74</v>
      </c>
      <c r="S76" t="s">
        <v>74</v>
      </c>
      <c r="T76" t="s">
        <v>74</v>
      </c>
      <c r="U76" t="s">
        <v>25774</v>
      </c>
      <c r="V76" t="s">
        <v>25775</v>
      </c>
      <c r="W76" t="s">
        <v>25776</v>
      </c>
      <c r="X76" t="s">
        <v>22938</v>
      </c>
      <c r="Y76" t="s">
        <v>25777</v>
      </c>
      <c r="Z76" t="s">
        <v>25778</v>
      </c>
      <c r="AA76" t="s">
        <v>25779</v>
      </c>
      <c r="AB76" t="s">
        <v>25780</v>
      </c>
      <c r="AC76" t="s">
        <v>74</v>
      </c>
      <c r="AD76" t="s">
        <v>74</v>
      </c>
      <c r="AE76" t="s">
        <v>74</v>
      </c>
      <c r="AF76" t="s">
        <v>74</v>
      </c>
      <c r="AG76">
        <v>65</v>
      </c>
      <c r="AH76">
        <v>181</v>
      </c>
      <c r="AI76">
        <v>181</v>
      </c>
      <c r="AJ76">
        <v>0</v>
      </c>
      <c r="AK76">
        <v>8</v>
      </c>
      <c r="AL76" t="s">
        <v>74</v>
      </c>
      <c r="AM76" t="s">
        <v>74</v>
      </c>
      <c r="AN76" t="s">
        <v>74</v>
      </c>
      <c r="AO76" t="s">
        <v>2544</v>
      </c>
      <c r="AP76" t="s">
        <v>2545</v>
      </c>
      <c r="AQ76" t="s">
        <v>74</v>
      </c>
      <c r="AR76" t="s">
        <v>74</v>
      </c>
      <c r="AS76" t="s">
        <v>74</v>
      </c>
      <c r="AT76" t="s">
        <v>283</v>
      </c>
      <c r="AU76">
        <v>1999</v>
      </c>
      <c r="AV76">
        <v>73</v>
      </c>
      <c r="AW76">
        <v>2</v>
      </c>
      <c r="AX76" t="s">
        <v>74</v>
      </c>
      <c r="AY76" t="s">
        <v>74</v>
      </c>
      <c r="AZ76" t="s">
        <v>74</v>
      </c>
      <c r="BA76" t="s">
        <v>74</v>
      </c>
      <c r="BB76">
        <v>1460</v>
      </c>
      <c r="BC76">
        <v>1467</v>
      </c>
      <c r="BD76" t="s">
        <v>74</v>
      </c>
      <c r="BE76" t="s">
        <v>25781</v>
      </c>
      <c r="BF76" t="str">
        <f>HYPERLINK("http://dx.doi.org/10.1128/JVI.73.2.1460-1467.1999","http://dx.doi.org/10.1128/JVI.73.2.1460-1467.1999")</f>
        <v>http://dx.doi.org/10.1128/JVI.73.2.1460-1467.1999</v>
      </c>
      <c r="BG76" t="s">
        <v>74</v>
      </c>
      <c r="BH76" t="s">
        <v>74</v>
      </c>
      <c r="BI76" t="s">
        <v>74</v>
      </c>
      <c r="BJ76" t="s">
        <v>932</v>
      </c>
      <c r="BK76" t="s">
        <v>117</v>
      </c>
      <c r="BL76" t="s">
        <v>932</v>
      </c>
      <c r="BM76" t="s">
        <v>74</v>
      </c>
      <c r="BN76">
        <v>9882352</v>
      </c>
      <c r="BO76" t="s">
        <v>74</v>
      </c>
      <c r="BP76" t="s">
        <v>74</v>
      </c>
      <c r="BQ76" t="s">
        <v>74</v>
      </c>
      <c r="BR76" t="s">
        <v>96</v>
      </c>
      <c r="BS76" t="s">
        <v>25782</v>
      </c>
      <c r="BT76" t="str">
        <f>HYPERLINK("https%3A%2F%2Fwww.webofscience.com%2Fwos%2Fwoscc%2Ffull-record%2FWOS:000078017500067","View Full Record in Web of Science")</f>
        <v>View Full Record in Web of Science</v>
      </c>
    </row>
    <row r="77" spans="1:72" x14ac:dyDescent="0.15">
      <c r="A77" t="s">
        <v>98</v>
      </c>
      <c r="B77" t="s">
        <v>12367</v>
      </c>
      <c r="C77" t="s">
        <v>74</v>
      </c>
      <c r="D77" t="s">
        <v>74</v>
      </c>
      <c r="E77" t="s">
        <v>74</v>
      </c>
      <c r="F77" t="s">
        <v>12367</v>
      </c>
      <c r="G77" t="s">
        <v>74</v>
      </c>
      <c r="H77" t="s">
        <v>74</v>
      </c>
      <c r="I77" t="s">
        <v>12368</v>
      </c>
      <c r="J77" t="s">
        <v>12369</v>
      </c>
      <c r="K77" t="s">
        <v>74</v>
      </c>
      <c r="L77" t="s">
        <v>74</v>
      </c>
      <c r="M77" t="s">
        <v>74</v>
      </c>
      <c r="N77" t="s">
        <v>103</v>
      </c>
      <c r="O77" t="s">
        <v>74</v>
      </c>
      <c r="P77" t="s">
        <v>74</v>
      </c>
      <c r="Q77" t="s">
        <v>74</v>
      </c>
      <c r="R77" t="s">
        <v>74</v>
      </c>
      <c r="S77" t="s">
        <v>74</v>
      </c>
      <c r="T77" t="s">
        <v>74</v>
      </c>
      <c r="U77" t="s">
        <v>12370</v>
      </c>
      <c r="V77" t="s">
        <v>12371</v>
      </c>
      <c r="W77" t="s">
        <v>74</v>
      </c>
      <c r="X77" t="s">
        <v>74</v>
      </c>
      <c r="Y77" t="s">
        <v>12372</v>
      </c>
      <c r="Z77" t="s">
        <v>74</v>
      </c>
      <c r="AA77" t="s">
        <v>12373</v>
      </c>
      <c r="AB77" t="s">
        <v>74</v>
      </c>
      <c r="AC77" t="s">
        <v>74</v>
      </c>
      <c r="AD77" t="s">
        <v>74</v>
      </c>
      <c r="AE77" t="s">
        <v>74</v>
      </c>
      <c r="AF77" t="s">
        <v>74</v>
      </c>
      <c r="AG77">
        <v>46</v>
      </c>
      <c r="AH77">
        <v>180</v>
      </c>
      <c r="AI77">
        <v>181</v>
      </c>
      <c r="AJ77">
        <v>0</v>
      </c>
      <c r="AK77">
        <v>6</v>
      </c>
      <c r="AL77" t="s">
        <v>74</v>
      </c>
      <c r="AM77" t="s">
        <v>74</v>
      </c>
      <c r="AN77" t="s">
        <v>74</v>
      </c>
      <c r="AO77" t="s">
        <v>12374</v>
      </c>
      <c r="AP77" t="s">
        <v>74</v>
      </c>
      <c r="AQ77" t="s">
        <v>74</v>
      </c>
      <c r="AR77" t="s">
        <v>74</v>
      </c>
      <c r="AS77" t="s">
        <v>74</v>
      </c>
      <c r="AT77" t="s">
        <v>1807</v>
      </c>
      <c r="AU77">
        <v>1997</v>
      </c>
      <c r="AV77">
        <v>230</v>
      </c>
      <c r="AW77">
        <v>1</v>
      </c>
      <c r="AX77" t="s">
        <v>74</v>
      </c>
      <c r="AY77" t="s">
        <v>74</v>
      </c>
      <c r="AZ77" t="s">
        <v>74</v>
      </c>
      <c r="BA77" t="s">
        <v>74</v>
      </c>
      <c r="BB77">
        <v>134</v>
      </c>
      <c r="BC77">
        <v>144</v>
      </c>
      <c r="BD77" t="s">
        <v>74</v>
      </c>
      <c r="BE77" t="s">
        <v>12375</v>
      </c>
      <c r="BF77" t="str">
        <f>HYPERLINK("http://dx.doi.org/10.1006/viro.1997.8499","http://dx.doi.org/10.1006/viro.1997.8499")</f>
        <v>http://dx.doi.org/10.1006/viro.1997.8499</v>
      </c>
      <c r="BG77" t="s">
        <v>74</v>
      </c>
      <c r="BH77" t="s">
        <v>74</v>
      </c>
      <c r="BI77" t="s">
        <v>74</v>
      </c>
      <c r="BJ77" t="s">
        <v>932</v>
      </c>
      <c r="BK77" t="s">
        <v>117</v>
      </c>
      <c r="BL77" t="s">
        <v>932</v>
      </c>
      <c r="BM77" t="s">
        <v>74</v>
      </c>
      <c r="BN77">
        <v>9126269</v>
      </c>
      <c r="BO77" t="s">
        <v>74</v>
      </c>
      <c r="BP77" t="s">
        <v>74</v>
      </c>
      <c r="BQ77" t="s">
        <v>74</v>
      </c>
      <c r="BR77" t="s">
        <v>96</v>
      </c>
      <c r="BS77" t="s">
        <v>12376</v>
      </c>
      <c r="BT77" t="str">
        <f>HYPERLINK("https%3A%2F%2Fwww.webofscience.com%2Fwos%2Fwoscc%2Ffull-record%2FWOS:A1997WT71700013","View Full Record in Web of Science")</f>
        <v>View Full Record in Web of Science</v>
      </c>
    </row>
    <row r="78" spans="1:72" x14ac:dyDescent="0.15">
      <c r="A78" t="s">
        <v>98</v>
      </c>
      <c r="B78" t="s">
        <v>18215</v>
      </c>
      <c r="C78" t="s">
        <v>74</v>
      </c>
      <c r="D78" t="s">
        <v>74</v>
      </c>
      <c r="E78" t="s">
        <v>74</v>
      </c>
      <c r="F78" t="s">
        <v>18216</v>
      </c>
      <c r="G78" t="s">
        <v>74</v>
      </c>
      <c r="H78" t="s">
        <v>74</v>
      </c>
      <c r="I78" t="s">
        <v>18217</v>
      </c>
      <c r="J78" t="s">
        <v>12156</v>
      </c>
      <c r="K78" t="s">
        <v>74</v>
      </c>
      <c r="L78" t="s">
        <v>74</v>
      </c>
      <c r="M78" t="s">
        <v>74</v>
      </c>
      <c r="N78" t="s">
        <v>103</v>
      </c>
      <c r="O78" t="s">
        <v>74</v>
      </c>
      <c r="P78" t="s">
        <v>74</v>
      </c>
      <c r="Q78" t="s">
        <v>74</v>
      </c>
      <c r="R78" t="s">
        <v>74</v>
      </c>
      <c r="S78" t="s">
        <v>74</v>
      </c>
      <c r="T78" t="s">
        <v>18218</v>
      </c>
      <c r="U78" t="s">
        <v>18219</v>
      </c>
      <c r="V78" t="s">
        <v>18220</v>
      </c>
      <c r="W78" t="s">
        <v>18221</v>
      </c>
      <c r="X78" t="s">
        <v>18222</v>
      </c>
      <c r="Y78" t="s">
        <v>18223</v>
      </c>
      <c r="Z78" t="s">
        <v>74</v>
      </c>
      <c r="AA78" t="s">
        <v>18224</v>
      </c>
      <c r="AB78" t="s">
        <v>18225</v>
      </c>
      <c r="AC78" t="s">
        <v>74</v>
      </c>
      <c r="AD78" t="s">
        <v>74</v>
      </c>
      <c r="AE78" t="s">
        <v>74</v>
      </c>
      <c r="AF78" t="s">
        <v>74</v>
      </c>
      <c r="AG78">
        <v>49</v>
      </c>
      <c r="AH78">
        <v>180</v>
      </c>
      <c r="AI78">
        <v>188</v>
      </c>
      <c r="AJ78">
        <v>0</v>
      </c>
      <c r="AK78">
        <v>30</v>
      </c>
      <c r="AL78" t="s">
        <v>74</v>
      </c>
      <c r="AM78" t="s">
        <v>74</v>
      </c>
      <c r="AN78" t="s">
        <v>74</v>
      </c>
      <c r="AO78" t="s">
        <v>12164</v>
      </c>
      <c r="AP78" t="s">
        <v>12165</v>
      </c>
      <c r="AQ78" t="s">
        <v>74</v>
      </c>
      <c r="AR78" t="s">
        <v>74</v>
      </c>
      <c r="AS78" t="s">
        <v>74</v>
      </c>
      <c r="AT78" t="s">
        <v>2081</v>
      </c>
      <c r="AU78">
        <v>2010</v>
      </c>
      <c r="AV78">
        <v>316</v>
      </c>
      <c r="AW78">
        <v>12</v>
      </c>
      <c r="AX78" t="s">
        <v>74</v>
      </c>
      <c r="AY78" t="s">
        <v>74</v>
      </c>
      <c r="AZ78" t="s">
        <v>74</v>
      </c>
      <c r="BA78" t="s">
        <v>74</v>
      </c>
      <c r="BB78">
        <v>1977</v>
      </c>
      <c r="BC78">
        <v>1984</v>
      </c>
      <c r="BD78" t="s">
        <v>74</v>
      </c>
      <c r="BE78" t="s">
        <v>18226</v>
      </c>
      <c r="BF78" t="str">
        <f>HYPERLINK("http://dx.doi.org/10.1016/j.yexcr.2010.04.006","http://dx.doi.org/10.1016/j.yexcr.2010.04.006")</f>
        <v>http://dx.doi.org/10.1016/j.yexcr.2010.04.006</v>
      </c>
      <c r="BG78" t="s">
        <v>74</v>
      </c>
      <c r="BH78" t="s">
        <v>74</v>
      </c>
      <c r="BI78" t="s">
        <v>74</v>
      </c>
      <c r="BJ78" t="s">
        <v>848</v>
      </c>
      <c r="BK78" t="s">
        <v>117</v>
      </c>
      <c r="BL78" t="s">
        <v>848</v>
      </c>
      <c r="BM78" t="s">
        <v>74</v>
      </c>
      <c r="BN78">
        <v>20399774</v>
      </c>
      <c r="BO78" t="s">
        <v>74</v>
      </c>
      <c r="BP78" t="s">
        <v>74</v>
      </c>
      <c r="BQ78" t="s">
        <v>74</v>
      </c>
      <c r="BR78" t="s">
        <v>96</v>
      </c>
      <c r="BS78" t="s">
        <v>18227</v>
      </c>
      <c r="BT78" t="str">
        <f>HYPERLINK("https%3A%2F%2Fwww.webofscience.com%2Fwos%2Fwoscc%2Ffull-record%2FWOS:000278731000008","View Full Record in Web of Science")</f>
        <v>View Full Record in Web of Science</v>
      </c>
    </row>
    <row r="79" spans="1:72" x14ac:dyDescent="0.15">
      <c r="A79" t="s">
        <v>98</v>
      </c>
      <c r="B79" t="s">
        <v>20410</v>
      </c>
      <c r="C79" t="s">
        <v>74</v>
      </c>
      <c r="D79" t="s">
        <v>74</v>
      </c>
      <c r="E79" t="s">
        <v>74</v>
      </c>
      <c r="F79" t="s">
        <v>20411</v>
      </c>
      <c r="G79" t="s">
        <v>74</v>
      </c>
      <c r="H79" t="s">
        <v>74</v>
      </c>
      <c r="I79" t="s">
        <v>20412</v>
      </c>
      <c r="J79" t="s">
        <v>8168</v>
      </c>
      <c r="K79" t="s">
        <v>74</v>
      </c>
      <c r="L79" t="s">
        <v>74</v>
      </c>
      <c r="M79" t="s">
        <v>74</v>
      </c>
      <c r="N79" t="s">
        <v>103</v>
      </c>
      <c r="O79" t="s">
        <v>74</v>
      </c>
      <c r="P79" t="s">
        <v>74</v>
      </c>
      <c r="Q79" t="s">
        <v>74</v>
      </c>
      <c r="R79" t="s">
        <v>74</v>
      </c>
      <c r="S79" t="s">
        <v>74</v>
      </c>
      <c r="T79" t="s">
        <v>74</v>
      </c>
      <c r="U79" t="s">
        <v>20413</v>
      </c>
      <c r="V79" t="s">
        <v>20414</v>
      </c>
      <c r="W79" t="s">
        <v>20415</v>
      </c>
      <c r="X79" t="s">
        <v>20416</v>
      </c>
      <c r="Y79" t="s">
        <v>20417</v>
      </c>
      <c r="Z79" t="s">
        <v>20418</v>
      </c>
      <c r="AA79" t="s">
        <v>20419</v>
      </c>
      <c r="AB79" t="s">
        <v>20420</v>
      </c>
      <c r="AC79" t="s">
        <v>74</v>
      </c>
      <c r="AD79" t="s">
        <v>74</v>
      </c>
      <c r="AE79" t="s">
        <v>74</v>
      </c>
      <c r="AF79" t="s">
        <v>74</v>
      </c>
      <c r="AG79">
        <v>48</v>
      </c>
      <c r="AH79">
        <v>178</v>
      </c>
      <c r="AI79">
        <v>179</v>
      </c>
      <c r="AJ79">
        <v>0</v>
      </c>
      <c r="AK79">
        <v>31</v>
      </c>
      <c r="AL79" t="s">
        <v>74</v>
      </c>
      <c r="AM79" t="s">
        <v>74</v>
      </c>
      <c r="AN79" t="s">
        <v>74</v>
      </c>
      <c r="AO79" t="s">
        <v>8177</v>
      </c>
      <c r="AP79" t="s">
        <v>8178</v>
      </c>
      <c r="AQ79" t="s">
        <v>74</v>
      </c>
      <c r="AR79" t="s">
        <v>74</v>
      </c>
      <c r="AS79" t="s">
        <v>74</v>
      </c>
      <c r="AT79" t="s">
        <v>15814</v>
      </c>
      <c r="AU79">
        <v>2015</v>
      </c>
      <c r="AV79">
        <v>211</v>
      </c>
      <c r="AW79">
        <v>4</v>
      </c>
      <c r="AX79" t="s">
        <v>74</v>
      </c>
      <c r="AY79" t="s">
        <v>74</v>
      </c>
      <c r="AZ79" t="s">
        <v>74</v>
      </c>
      <c r="BA79" t="s">
        <v>74</v>
      </c>
      <c r="BB79">
        <v>897</v>
      </c>
      <c r="BC79">
        <v>911</v>
      </c>
      <c r="BD79" t="s">
        <v>74</v>
      </c>
      <c r="BE79" t="s">
        <v>20421</v>
      </c>
      <c r="BF79" t="str">
        <f>HYPERLINK("http://dx.doi.org/10.1083/jcb.201504057","http://dx.doi.org/10.1083/jcb.201504057")</f>
        <v>http://dx.doi.org/10.1083/jcb.201504057</v>
      </c>
      <c r="BG79" t="s">
        <v>74</v>
      </c>
      <c r="BH79" t="s">
        <v>74</v>
      </c>
      <c r="BI79" t="s">
        <v>74</v>
      </c>
      <c r="BJ79" t="s">
        <v>135</v>
      </c>
      <c r="BK79" t="s">
        <v>117</v>
      </c>
      <c r="BL79" t="s">
        <v>135</v>
      </c>
      <c r="BM79" t="s">
        <v>74</v>
      </c>
      <c r="BN79">
        <v>26598621</v>
      </c>
      <c r="BO79" t="s">
        <v>74</v>
      </c>
      <c r="BP79" t="s">
        <v>74</v>
      </c>
      <c r="BQ79" t="s">
        <v>74</v>
      </c>
      <c r="BR79" t="s">
        <v>96</v>
      </c>
      <c r="BS79" t="s">
        <v>20422</v>
      </c>
      <c r="BT79" t="str">
        <f>HYPERLINK("https%3A%2F%2Fwww.webofscience.com%2Fwos%2Fwoscc%2Ffull-record%2FWOS:000365708100019","View Full Record in Web of Science")</f>
        <v>View Full Record in Web of Science</v>
      </c>
    </row>
    <row r="80" spans="1:72" x14ac:dyDescent="0.15">
      <c r="A80" t="s">
        <v>98</v>
      </c>
      <c r="B80" t="s">
        <v>29209</v>
      </c>
      <c r="C80" t="s">
        <v>74</v>
      </c>
      <c r="D80" t="s">
        <v>74</v>
      </c>
      <c r="E80" t="s">
        <v>74</v>
      </c>
      <c r="F80" t="s">
        <v>29210</v>
      </c>
      <c r="G80" t="s">
        <v>74</v>
      </c>
      <c r="H80" t="s">
        <v>74</v>
      </c>
      <c r="I80" t="s">
        <v>29211</v>
      </c>
      <c r="J80" t="s">
        <v>5139</v>
      </c>
      <c r="K80" t="s">
        <v>74</v>
      </c>
      <c r="L80" t="s">
        <v>74</v>
      </c>
      <c r="M80" t="s">
        <v>74</v>
      </c>
      <c r="N80" t="s">
        <v>103</v>
      </c>
      <c r="O80" t="s">
        <v>74</v>
      </c>
      <c r="P80" t="s">
        <v>74</v>
      </c>
      <c r="Q80" t="s">
        <v>74</v>
      </c>
      <c r="R80" t="s">
        <v>74</v>
      </c>
      <c r="S80" t="s">
        <v>74</v>
      </c>
      <c r="T80" t="s">
        <v>74</v>
      </c>
      <c r="U80" t="s">
        <v>29212</v>
      </c>
      <c r="V80" t="s">
        <v>29213</v>
      </c>
      <c r="W80" t="s">
        <v>29214</v>
      </c>
      <c r="X80" t="s">
        <v>10354</v>
      </c>
      <c r="Y80" t="s">
        <v>29215</v>
      </c>
      <c r="Z80" t="s">
        <v>29216</v>
      </c>
      <c r="AA80" t="s">
        <v>74</v>
      </c>
      <c r="AB80" t="s">
        <v>29217</v>
      </c>
      <c r="AC80" t="s">
        <v>74</v>
      </c>
      <c r="AD80" t="s">
        <v>74</v>
      </c>
      <c r="AE80" t="s">
        <v>74</v>
      </c>
      <c r="AF80" t="s">
        <v>74</v>
      </c>
      <c r="AG80">
        <v>36</v>
      </c>
      <c r="AH80">
        <v>178</v>
      </c>
      <c r="AI80">
        <v>185</v>
      </c>
      <c r="AJ80">
        <v>31</v>
      </c>
      <c r="AK80">
        <v>149</v>
      </c>
      <c r="AL80" t="s">
        <v>74</v>
      </c>
      <c r="AM80" t="s">
        <v>74</v>
      </c>
      <c r="AN80" t="s">
        <v>74</v>
      </c>
      <c r="AO80" t="s">
        <v>5148</v>
      </c>
      <c r="AP80" t="s">
        <v>74</v>
      </c>
      <c r="AQ80" t="s">
        <v>74</v>
      </c>
      <c r="AR80" t="s">
        <v>74</v>
      </c>
      <c r="AS80" t="s">
        <v>74</v>
      </c>
      <c r="AT80" t="s">
        <v>1029</v>
      </c>
      <c r="AU80">
        <v>2013</v>
      </c>
      <c r="AV80">
        <v>4</v>
      </c>
      <c r="AW80" t="s">
        <v>74</v>
      </c>
      <c r="AX80" t="s">
        <v>74</v>
      </c>
      <c r="AY80" t="s">
        <v>74</v>
      </c>
      <c r="AZ80" t="s">
        <v>74</v>
      </c>
      <c r="BA80" t="s">
        <v>74</v>
      </c>
      <c r="BB80" t="s">
        <v>74</v>
      </c>
      <c r="BC80" t="s">
        <v>74</v>
      </c>
      <c r="BD80">
        <v>1867</v>
      </c>
      <c r="BE80" t="s">
        <v>29218</v>
      </c>
      <c r="BF80" t="str">
        <f>HYPERLINK("http://dx.doi.org/10.1038/ncomms2886","http://dx.doi.org/10.1038/ncomms2886")</f>
        <v>http://dx.doi.org/10.1038/ncomms2886</v>
      </c>
      <c r="BG80" t="s">
        <v>74</v>
      </c>
      <c r="BH80" t="s">
        <v>74</v>
      </c>
      <c r="BI80" t="s">
        <v>74</v>
      </c>
      <c r="BJ80" t="s">
        <v>152</v>
      </c>
      <c r="BK80" t="s">
        <v>117</v>
      </c>
      <c r="BL80" t="s">
        <v>153</v>
      </c>
      <c r="BM80" t="s">
        <v>74</v>
      </c>
      <c r="BN80">
        <v>23695661</v>
      </c>
      <c r="BO80" t="s">
        <v>74</v>
      </c>
      <c r="BP80" t="s">
        <v>74</v>
      </c>
      <c r="BQ80" t="s">
        <v>74</v>
      </c>
      <c r="BR80" t="s">
        <v>96</v>
      </c>
      <c r="BS80" t="s">
        <v>29219</v>
      </c>
      <c r="BT80" t="str">
        <f>HYPERLINK("https%3A%2F%2Fwww.webofscience.com%2Fwos%2Fwoscc%2Ffull-record%2FWOS:000320589900063","View Full Record in Web of Science")</f>
        <v>View Full Record in Web of Science</v>
      </c>
    </row>
    <row r="81" spans="1:72" x14ac:dyDescent="0.15">
      <c r="A81" t="s">
        <v>98</v>
      </c>
      <c r="B81" t="s">
        <v>17742</v>
      </c>
      <c r="C81" t="s">
        <v>74</v>
      </c>
      <c r="D81" t="s">
        <v>74</v>
      </c>
      <c r="E81" t="s">
        <v>74</v>
      </c>
      <c r="F81" t="s">
        <v>17743</v>
      </c>
      <c r="G81" t="s">
        <v>74</v>
      </c>
      <c r="H81" t="s">
        <v>74</v>
      </c>
      <c r="I81" t="s">
        <v>17744</v>
      </c>
      <c r="J81" t="s">
        <v>1544</v>
      </c>
      <c r="K81" t="s">
        <v>74</v>
      </c>
      <c r="L81" t="s">
        <v>74</v>
      </c>
      <c r="M81" t="s">
        <v>74</v>
      </c>
      <c r="N81" t="s">
        <v>103</v>
      </c>
      <c r="O81" t="s">
        <v>74</v>
      </c>
      <c r="P81" t="s">
        <v>74</v>
      </c>
      <c r="Q81" t="s">
        <v>74</v>
      </c>
      <c r="R81" t="s">
        <v>74</v>
      </c>
      <c r="S81" t="s">
        <v>74</v>
      </c>
      <c r="T81" t="s">
        <v>17745</v>
      </c>
      <c r="U81" t="s">
        <v>17746</v>
      </c>
      <c r="V81" t="s">
        <v>17747</v>
      </c>
      <c r="W81" t="s">
        <v>17748</v>
      </c>
      <c r="X81" t="s">
        <v>17749</v>
      </c>
      <c r="Y81" t="s">
        <v>17750</v>
      </c>
      <c r="Z81" t="s">
        <v>17751</v>
      </c>
      <c r="AA81" t="s">
        <v>74</v>
      </c>
      <c r="AB81" t="s">
        <v>17752</v>
      </c>
      <c r="AC81" t="s">
        <v>74</v>
      </c>
      <c r="AD81" t="s">
        <v>74</v>
      </c>
      <c r="AE81" t="s">
        <v>74</v>
      </c>
      <c r="AF81" t="s">
        <v>74</v>
      </c>
      <c r="AG81">
        <v>39</v>
      </c>
      <c r="AH81">
        <v>175</v>
      </c>
      <c r="AI81">
        <v>185</v>
      </c>
      <c r="AJ81">
        <v>8</v>
      </c>
      <c r="AK81">
        <v>88</v>
      </c>
      <c r="AL81" t="s">
        <v>74</v>
      </c>
      <c r="AM81" t="s">
        <v>74</v>
      </c>
      <c r="AN81" t="s">
        <v>74</v>
      </c>
      <c r="AO81" t="s">
        <v>1554</v>
      </c>
      <c r="AP81" t="s">
        <v>1555</v>
      </c>
      <c r="AQ81" t="s">
        <v>74</v>
      </c>
      <c r="AR81" t="s">
        <v>74</v>
      </c>
      <c r="AS81" t="s">
        <v>74</v>
      </c>
      <c r="AT81" t="s">
        <v>114</v>
      </c>
      <c r="AU81">
        <v>2019</v>
      </c>
      <c r="AV81">
        <v>156</v>
      </c>
      <c r="AW81">
        <v>1</v>
      </c>
      <c r="AX81" t="s">
        <v>74</v>
      </c>
      <c r="AY81" t="s">
        <v>74</v>
      </c>
      <c r="AZ81" t="s">
        <v>74</v>
      </c>
      <c r="BA81" t="s">
        <v>74</v>
      </c>
      <c r="BB81">
        <v>108</v>
      </c>
      <c r="BC81" t="s">
        <v>3390</v>
      </c>
      <c r="BD81" t="s">
        <v>74</v>
      </c>
      <c r="BE81" t="s">
        <v>17753</v>
      </c>
      <c r="BF81" t="str">
        <f>HYPERLINK("http://dx.doi.org/10.1053/j.gastro.2018.09.022","http://dx.doi.org/10.1053/j.gastro.2018.09.022")</f>
        <v>http://dx.doi.org/10.1053/j.gastro.2018.09.022</v>
      </c>
      <c r="BG81" t="s">
        <v>74</v>
      </c>
      <c r="BH81" t="s">
        <v>74</v>
      </c>
      <c r="BI81" t="s">
        <v>74</v>
      </c>
      <c r="BJ81" t="s">
        <v>633</v>
      </c>
      <c r="BK81" t="s">
        <v>117</v>
      </c>
      <c r="BL81" t="s">
        <v>633</v>
      </c>
      <c r="BM81" t="s">
        <v>74</v>
      </c>
      <c r="BN81">
        <v>30240661</v>
      </c>
      <c r="BO81" t="s">
        <v>74</v>
      </c>
      <c r="BP81" t="s">
        <v>193</v>
      </c>
      <c r="BQ81" t="s">
        <v>194</v>
      </c>
      <c r="BR81" t="s">
        <v>96</v>
      </c>
      <c r="BS81" t="s">
        <v>17754</v>
      </c>
      <c r="BT81" t="str">
        <f>HYPERLINK("https%3A%2F%2Fwww.webofscience.com%2Fwos%2Fwoscc%2Ffull-record%2FWOS:000453401000027","View Full Record in Web of Science")</f>
        <v>View Full Record in Web of Science</v>
      </c>
    </row>
    <row r="82" spans="1:72" x14ac:dyDescent="0.15">
      <c r="A82" t="s">
        <v>98</v>
      </c>
      <c r="B82" t="s">
        <v>16545</v>
      </c>
      <c r="C82" t="s">
        <v>74</v>
      </c>
      <c r="D82" t="s">
        <v>74</v>
      </c>
      <c r="E82" t="s">
        <v>74</v>
      </c>
      <c r="F82" t="s">
        <v>16546</v>
      </c>
      <c r="G82" t="s">
        <v>74</v>
      </c>
      <c r="H82" t="s">
        <v>74</v>
      </c>
      <c r="I82" t="s">
        <v>16547</v>
      </c>
      <c r="J82" t="s">
        <v>1073</v>
      </c>
      <c r="K82" t="s">
        <v>74</v>
      </c>
      <c r="L82" t="s">
        <v>74</v>
      </c>
      <c r="M82" t="s">
        <v>74</v>
      </c>
      <c r="N82" t="s">
        <v>103</v>
      </c>
      <c r="O82" t="s">
        <v>74</v>
      </c>
      <c r="P82" t="s">
        <v>74</v>
      </c>
      <c r="Q82" t="s">
        <v>74</v>
      </c>
      <c r="R82" t="s">
        <v>74</v>
      </c>
      <c r="S82" t="s">
        <v>74</v>
      </c>
      <c r="T82" t="s">
        <v>74</v>
      </c>
      <c r="U82" t="s">
        <v>74</v>
      </c>
      <c r="V82" t="s">
        <v>16548</v>
      </c>
      <c r="W82" t="s">
        <v>16549</v>
      </c>
      <c r="X82" t="s">
        <v>16550</v>
      </c>
      <c r="Y82" t="s">
        <v>16551</v>
      </c>
      <c r="Z82" t="s">
        <v>16552</v>
      </c>
      <c r="AA82" t="s">
        <v>16553</v>
      </c>
      <c r="AB82" t="s">
        <v>16554</v>
      </c>
      <c r="AC82" t="s">
        <v>74</v>
      </c>
      <c r="AD82" t="s">
        <v>74</v>
      </c>
      <c r="AE82" t="s">
        <v>74</v>
      </c>
      <c r="AF82" t="s">
        <v>74</v>
      </c>
      <c r="AG82">
        <v>40</v>
      </c>
      <c r="AH82">
        <v>170</v>
      </c>
      <c r="AI82">
        <v>177</v>
      </c>
      <c r="AJ82">
        <v>1</v>
      </c>
      <c r="AK82">
        <v>7</v>
      </c>
      <c r="AL82" t="s">
        <v>74</v>
      </c>
      <c r="AM82" t="s">
        <v>74</v>
      </c>
      <c r="AN82" t="s">
        <v>74</v>
      </c>
      <c r="AO82" t="s">
        <v>1082</v>
      </c>
      <c r="AP82" t="s">
        <v>74</v>
      </c>
      <c r="AQ82" t="s">
        <v>74</v>
      </c>
      <c r="AR82" t="s">
        <v>74</v>
      </c>
      <c r="AS82" t="s">
        <v>74</v>
      </c>
      <c r="AT82" t="s">
        <v>16555</v>
      </c>
      <c r="AU82">
        <v>2008</v>
      </c>
      <c r="AV82">
        <v>3</v>
      </c>
      <c r="AW82">
        <v>10</v>
      </c>
      <c r="AX82" t="s">
        <v>74</v>
      </c>
      <c r="AY82" t="s">
        <v>74</v>
      </c>
      <c r="AZ82" t="s">
        <v>74</v>
      </c>
      <c r="BA82" t="s">
        <v>74</v>
      </c>
      <c r="BB82" t="s">
        <v>74</v>
      </c>
      <c r="BC82" t="s">
        <v>74</v>
      </c>
      <c r="BD82" t="s">
        <v>16556</v>
      </c>
      <c r="BE82" t="s">
        <v>16557</v>
      </c>
      <c r="BF82" t="str">
        <f>HYPERLINK("http://dx.doi.org/10.1371/journal.pone.0003377","http://dx.doi.org/10.1371/journal.pone.0003377")</f>
        <v>http://dx.doi.org/10.1371/journal.pone.0003377</v>
      </c>
      <c r="BG82" t="s">
        <v>74</v>
      </c>
      <c r="BH82" t="s">
        <v>74</v>
      </c>
      <c r="BI82" t="s">
        <v>74</v>
      </c>
      <c r="BJ82" t="s">
        <v>152</v>
      </c>
      <c r="BK82" t="s">
        <v>117</v>
      </c>
      <c r="BL82" t="s">
        <v>153</v>
      </c>
      <c r="BM82" t="s">
        <v>74</v>
      </c>
      <c r="BN82">
        <v>18852879</v>
      </c>
      <c r="BO82" t="s">
        <v>74</v>
      </c>
      <c r="BP82" t="s">
        <v>74</v>
      </c>
      <c r="BQ82" t="s">
        <v>74</v>
      </c>
      <c r="BR82" t="s">
        <v>96</v>
      </c>
      <c r="BS82" t="s">
        <v>16558</v>
      </c>
      <c r="BT82" t="str">
        <f>HYPERLINK("https%3A%2F%2Fwww.webofscience.com%2Fwos%2Fwoscc%2Ffull-record%2FWOS:000265121600003","View Full Record in Web of Science")</f>
        <v>View Full Record in Web of Science</v>
      </c>
    </row>
    <row r="83" spans="1:72" x14ac:dyDescent="0.15">
      <c r="A83" t="s">
        <v>98</v>
      </c>
      <c r="B83" t="s">
        <v>26936</v>
      </c>
      <c r="C83" t="s">
        <v>74</v>
      </c>
      <c r="D83" t="s">
        <v>74</v>
      </c>
      <c r="E83" t="s">
        <v>74</v>
      </c>
      <c r="F83" t="s">
        <v>26936</v>
      </c>
      <c r="G83" t="s">
        <v>74</v>
      </c>
      <c r="H83" t="s">
        <v>74</v>
      </c>
      <c r="I83" t="s">
        <v>26937</v>
      </c>
      <c r="J83" t="s">
        <v>2069</v>
      </c>
      <c r="K83" t="s">
        <v>74</v>
      </c>
      <c r="L83" t="s">
        <v>74</v>
      </c>
      <c r="M83" t="s">
        <v>74</v>
      </c>
      <c r="N83" t="s">
        <v>103</v>
      </c>
      <c r="O83" t="s">
        <v>74</v>
      </c>
      <c r="P83" t="s">
        <v>74</v>
      </c>
      <c r="Q83" t="s">
        <v>74</v>
      </c>
      <c r="R83" t="s">
        <v>74</v>
      </c>
      <c r="S83" t="s">
        <v>74</v>
      </c>
      <c r="T83" t="s">
        <v>26938</v>
      </c>
      <c r="U83" t="s">
        <v>26939</v>
      </c>
      <c r="V83" t="s">
        <v>26940</v>
      </c>
      <c r="W83" t="s">
        <v>26941</v>
      </c>
      <c r="X83" t="s">
        <v>26942</v>
      </c>
      <c r="Y83" t="s">
        <v>26943</v>
      </c>
      <c r="Z83" t="s">
        <v>26944</v>
      </c>
      <c r="AA83" t="s">
        <v>74</v>
      </c>
      <c r="AB83" t="s">
        <v>74</v>
      </c>
      <c r="AC83" t="s">
        <v>74</v>
      </c>
      <c r="AD83" t="s">
        <v>74</v>
      </c>
      <c r="AE83" t="s">
        <v>74</v>
      </c>
      <c r="AF83" t="s">
        <v>74</v>
      </c>
      <c r="AG83">
        <v>43</v>
      </c>
      <c r="AH83">
        <v>170</v>
      </c>
      <c r="AI83">
        <v>170</v>
      </c>
      <c r="AJ83">
        <v>0</v>
      </c>
      <c r="AK83">
        <v>3</v>
      </c>
      <c r="AL83" t="s">
        <v>74</v>
      </c>
      <c r="AM83" t="s">
        <v>74</v>
      </c>
      <c r="AN83" t="s">
        <v>74</v>
      </c>
      <c r="AO83" t="s">
        <v>2079</v>
      </c>
      <c r="AP83" t="s">
        <v>74</v>
      </c>
      <c r="AQ83" t="s">
        <v>74</v>
      </c>
      <c r="AR83" t="s">
        <v>74</v>
      </c>
      <c r="AS83" t="s">
        <v>74</v>
      </c>
      <c r="AT83" t="s">
        <v>565</v>
      </c>
      <c r="AU83">
        <v>1998</v>
      </c>
      <c r="AV83">
        <v>125</v>
      </c>
      <c r="AW83">
        <v>5</v>
      </c>
      <c r="AX83" t="s">
        <v>74</v>
      </c>
      <c r="AY83" t="s">
        <v>74</v>
      </c>
      <c r="AZ83" t="s">
        <v>74</v>
      </c>
      <c r="BA83" t="s">
        <v>74</v>
      </c>
      <c r="BB83">
        <v>803</v>
      </c>
      <c r="BC83">
        <v>812</v>
      </c>
      <c r="BD83" t="s">
        <v>74</v>
      </c>
      <c r="BE83" t="s">
        <v>74</v>
      </c>
      <c r="BF83" t="s">
        <v>74</v>
      </c>
      <c r="BG83" t="s">
        <v>74</v>
      </c>
      <c r="BH83" t="s">
        <v>74</v>
      </c>
      <c r="BI83" t="s">
        <v>74</v>
      </c>
      <c r="BJ83" t="s">
        <v>2083</v>
      </c>
      <c r="BK83" t="s">
        <v>117</v>
      </c>
      <c r="BL83" t="s">
        <v>2083</v>
      </c>
      <c r="BM83" t="s">
        <v>74</v>
      </c>
      <c r="BN83">
        <v>9449663</v>
      </c>
      <c r="BO83" t="s">
        <v>74</v>
      </c>
      <c r="BP83" t="s">
        <v>74</v>
      </c>
      <c r="BQ83" t="s">
        <v>74</v>
      </c>
      <c r="BR83" t="s">
        <v>96</v>
      </c>
      <c r="BS83" t="s">
        <v>26945</v>
      </c>
      <c r="BT83" t="str">
        <f>HYPERLINK("https%3A%2F%2Fwww.webofscience.com%2Fwos%2Fwoscc%2Ffull-record%2FWOS:000072761800002","View Full Record in Web of Science")</f>
        <v>View Full Record in Web of Science</v>
      </c>
    </row>
    <row r="84" spans="1:72" x14ac:dyDescent="0.15">
      <c r="A84" t="s">
        <v>98</v>
      </c>
      <c r="B84" t="s">
        <v>3601</v>
      </c>
      <c r="C84" t="s">
        <v>74</v>
      </c>
      <c r="D84" t="s">
        <v>74</v>
      </c>
      <c r="E84" t="s">
        <v>74</v>
      </c>
      <c r="F84" t="s">
        <v>3602</v>
      </c>
      <c r="G84" t="s">
        <v>74</v>
      </c>
      <c r="H84" t="s">
        <v>74</v>
      </c>
      <c r="I84" t="s">
        <v>3603</v>
      </c>
      <c r="J84" t="s">
        <v>1712</v>
      </c>
      <c r="K84" t="s">
        <v>74</v>
      </c>
      <c r="L84" t="s">
        <v>74</v>
      </c>
      <c r="M84" t="s">
        <v>74</v>
      </c>
      <c r="N84" t="s">
        <v>103</v>
      </c>
      <c r="O84" t="s">
        <v>74</v>
      </c>
      <c r="P84" t="s">
        <v>74</v>
      </c>
      <c r="Q84" t="s">
        <v>74</v>
      </c>
      <c r="R84" t="s">
        <v>74</v>
      </c>
      <c r="S84" t="s">
        <v>74</v>
      </c>
      <c r="T84" t="s">
        <v>3604</v>
      </c>
      <c r="U84" t="s">
        <v>3605</v>
      </c>
      <c r="V84" t="s">
        <v>3606</v>
      </c>
      <c r="W84" t="s">
        <v>3607</v>
      </c>
      <c r="X84" t="s">
        <v>3608</v>
      </c>
      <c r="Y84" t="s">
        <v>3609</v>
      </c>
      <c r="Z84" t="s">
        <v>3610</v>
      </c>
      <c r="AA84" t="s">
        <v>3611</v>
      </c>
      <c r="AB84" t="s">
        <v>3612</v>
      </c>
      <c r="AC84" t="s">
        <v>74</v>
      </c>
      <c r="AD84" t="s">
        <v>74</v>
      </c>
      <c r="AE84" t="s">
        <v>74</v>
      </c>
      <c r="AF84" t="s">
        <v>74</v>
      </c>
      <c r="AG84">
        <v>39</v>
      </c>
      <c r="AH84">
        <v>169</v>
      </c>
      <c r="AI84">
        <v>180</v>
      </c>
      <c r="AJ84">
        <v>19</v>
      </c>
      <c r="AK84">
        <v>288</v>
      </c>
      <c r="AL84" t="s">
        <v>74</v>
      </c>
      <c r="AM84" t="s">
        <v>74</v>
      </c>
      <c r="AN84" t="s">
        <v>74</v>
      </c>
      <c r="AO84" t="s">
        <v>1722</v>
      </c>
      <c r="AP84" t="s">
        <v>1723</v>
      </c>
      <c r="AQ84" t="s">
        <v>74</v>
      </c>
      <c r="AR84" t="s">
        <v>74</v>
      </c>
      <c r="AS84" t="s">
        <v>74</v>
      </c>
      <c r="AT84" t="s">
        <v>614</v>
      </c>
      <c r="AU84">
        <v>2017</v>
      </c>
      <c r="AV84">
        <v>11</v>
      </c>
      <c r="AW84">
        <v>7</v>
      </c>
      <c r="AX84" t="s">
        <v>74</v>
      </c>
      <c r="AY84" t="s">
        <v>74</v>
      </c>
      <c r="AZ84" t="s">
        <v>74</v>
      </c>
      <c r="BA84" t="s">
        <v>74</v>
      </c>
      <c r="BB84">
        <v>6641</v>
      </c>
      <c r="BC84">
        <v>6651</v>
      </c>
      <c r="BD84" t="s">
        <v>74</v>
      </c>
      <c r="BE84" t="s">
        <v>3613</v>
      </c>
      <c r="BF84" t="str">
        <f>HYPERLINK("http://dx.doi.org/10.1021/acsnano.7b00549","http://dx.doi.org/10.1021/acsnano.7b00549")</f>
        <v>http://dx.doi.org/10.1021/acsnano.7b00549</v>
      </c>
      <c r="BG84" t="s">
        <v>74</v>
      </c>
      <c r="BH84" t="s">
        <v>74</v>
      </c>
      <c r="BI84" t="s">
        <v>74</v>
      </c>
      <c r="BJ84" t="s">
        <v>1725</v>
      </c>
      <c r="BK84" t="s">
        <v>117</v>
      </c>
      <c r="BL84" t="s">
        <v>1275</v>
      </c>
      <c r="BM84" t="s">
        <v>74</v>
      </c>
      <c r="BN84">
        <v>28671449</v>
      </c>
      <c r="BO84" t="s">
        <v>74</v>
      </c>
      <c r="BP84" t="s">
        <v>74</v>
      </c>
      <c r="BQ84" t="s">
        <v>74</v>
      </c>
      <c r="BR84" t="s">
        <v>96</v>
      </c>
      <c r="BS84" t="s">
        <v>3614</v>
      </c>
      <c r="BT84" t="str">
        <f>HYPERLINK("https%3A%2F%2Fwww.webofscience.com%2Fwos%2Fwoscc%2Ffull-record%2FWOS:000406649700012","View Full Record in Web of Science")</f>
        <v>View Full Record in Web of Science</v>
      </c>
    </row>
    <row r="85" spans="1:72" x14ac:dyDescent="0.15">
      <c r="A85" t="s">
        <v>98</v>
      </c>
      <c r="B85" t="s">
        <v>5995</v>
      </c>
      <c r="C85" t="s">
        <v>74</v>
      </c>
      <c r="D85" t="s">
        <v>74</v>
      </c>
      <c r="E85" t="s">
        <v>74</v>
      </c>
      <c r="F85" t="s">
        <v>5996</v>
      </c>
      <c r="G85" t="s">
        <v>74</v>
      </c>
      <c r="H85" t="s">
        <v>74</v>
      </c>
      <c r="I85" t="s">
        <v>5997</v>
      </c>
      <c r="J85" t="s">
        <v>1123</v>
      </c>
      <c r="K85" t="s">
        <v>74</v>
      </c>
      <c r="L85" t="s">
        <v>74</v>
      </c>
      <c r="M85" t="s">
        <v>74</v>
      </c>
      <c r="N85" t="s">
        <v>103</v>
      </c>
      <c r="O85" t="s">
        <v>74</v>
      </c>
      <c r="P85" t="s">
        <v>74</v>
      </c>
      <c r="Q85" t="s">
        <v>74</v>
      </c>
      <c r="R85" t="s">
        <v>74</v>
      </c>
      <c r="S85" t="s">
        <v>74</v>
      </c>
      <c r="T85" t="s">
        <v>5998</v>
      </c>
      <c r="U85" t="s">
        <v>5999</v>
      </c>
      <c r="V85" t="s">
        <v>6000</v>
      </c>
      <c r="W85" t="s">
        <v>6001</v>
      </c>
      <c r="X85" t="s">
        <v>6002</v>
      </c>
      <c r="Y85" t="s">
        <v>6003</v>
      </c>
      <c r="Z85" t="s">
        <v>6004</v>
      </c>
      <c r="AA85" t="s">
        <v>6005</v>
      </c>
      <c r="AB85" t="s">
        <v>6006</v>
      </c>
      <c r="AC85" t="s">
        <v>74</v>
      </c>
      <c r="AD85" t="s">
        <v>74</v>
      </c>
      <c r="AE85" t="s">
        <v>74</v>
      </c>
      <c r="AF85" t="s">
        <v>74</v>
      </c>
      <c r="AG85">
        <v>60</v>
      </c>
      <c r="AH85">
        <v>168</v>
      </c>
      <c r="AI85">
        <v>170</v>
      </c>
      <c r="AJ85">
        <v>37</v>
      </c>
      <c r="AK85">
        <v>557</v>
      </c>
      <c r="AL85" t="s">
        <v>74</v>
      </c>
      <c r="AM85" t="s">
        <v>74</v>
      </c>
      <c r="AN85" t="s">
        <v>74</v>
      </c>
      <c r="AO85" t="s">
        <v>1132</v>
      </c>
      <c r="AP85" t="s">
        <v>1133</v>
      </c>
      <c r="AQ85" t="s">
        <v>74</v>
      </c>
      <c r="AR85" t="s">
        <v>74</v>
      </c>
      <c r="AS85" t="s">
        <v>74</v>
      </c>
      <c r="AT85" t="s">
        <v>2906</v>
      </c>
      <c r="AU85">
        <v>2017</v>
      </c>
      <c r="AV85">
        <v>92</v>
      </c>
      <c r="AW85" t="s">
        <v>74</v>
      </c>
      <c r="AX85" t="s">
        <v>74</v>
      </c>
      <c r="AY85" t="s">
        <v>74</v>
      </c>
      <c r="AZ85" t="s">
        <v>74</v>
      </c>
      <c r="BA85" t="s">
        <v>74</v>
      </c>
      <c r="BB85">
        <v>8</v>
      </c>
      <c r="BC85">
        <v>15</v>
      </c>
      <c r="BD85" t="s">
        <v>74</v>
      </c>
      <c r="BE85" t="s">
        <v>6007</v>
      </c>
      <c r="BF85" t="str">
        <f>HYPERLINK("http://dx.doi.org/10.1016/j.bios.2017.01.063","http://dx.doi.org/10.1016/j.bios.2017.01.063")</f>
        <v>http://dx.doi.org/10.1016/j.bios.2017.01.063</v>
      </c>
      <c r="BG85" t="s">
        <v>74</v>
      </c>
      <c r="BH85" t="s">
        <v>74</v>
      </c>
      <c r="BI85" t="s">
        <v>74</v>
      </c>
      <c r="BJ85" t="s">
        <v>1137</v>
      </c>
      <c r="BK85" t="s">
        <v>117</v>
      </c>
      <c r="BL85" t="s">
        <v>1138</v>
      </c>
      <c r="BM85" t="s">
        <v>74</v>
      </c>
      <c r="BN85">
        <v>28167415</v>
      </c>
      <c r="BO85" t="s">
        <v>74</v>
      </c>
      <c r="BP85" t="s">
        <v>193</v>
      </c>
      <c r="BQ85" t="s">
        <v>194</v>
      </c>
      <c r="BR85" t="s">
        <v>96</v>
      </c>
      <c r="BS85" t="s">
        <v>6008</v>
      </c>
      <c r="BT85" t="str">
        <f>HYPERLINK("https%3A%2F%2Fwww.webofscience.com%2Fwos%2Fwoscc%2Ffull-record%2FWOS:000396946600002","View Full Record in Web of Science")</f>
        <v>View Full Record in Web of Science</v>
      </c>
    </row>
    <row r="86" spans="1:72" x14ac:dyDescent="0.15">
      <c r="A86" t="s">
        <v>98</v>
      </c>
      <c r="B86" t="s">
        <v>15092</v>
      </c>
      <c r="C86" t="s">
        <v>74</v>
      </c>
      <c r="D86" t="s">
        <v>74</v>
      </c>
      <c r="E86" t="s">
        <v>74</v>
      </c>
      <c r="F86" t="s">
        <v>15092</v>
      </c>
      <c r="G86" t="s">
        <v>74</v>
      </c>
      <c r="H86" t="s">
        <v>74</v>
      </c>
      <c r="I86" t="s">
        <v>15093</v>
      </c>
      <c r="J86" t="s">
        <v>3700</v>
      </c>
      <c r="K86" t="s">
        <v>74</v>
      </c>
      <c r="L86" t="s">
        <v>74</v>
      </c>
      <c r="M86" t="s">
        <v>74</v>
      </c>
      <c r="N86" t="s">
        <v>103</v>
      </c>
      <c r="O86" t="s">
        <v>74</v>
      </c>
      <c r="P86" t="s">
        <v>74</v>
      </c>
      <c r="Q86" t="s">
        <v>74</v>
      </c>
      <c r="R86" t="s">
        <v>74</v>
      </c>
      <c r="S86" t="s">
        <v>74</v>
      </c>
      <c r="T86" t="s">
        <v>74</v>
      </c>
      <c r="U86" t="s">
        <v>15094</v>
      </c>
      <c r="V86" t="s">
        <v>15095</v>
      </c>
      <c r="W86" t="s">
        <v>15096</v>
      </c>
      <c r="X86" t="s">
        <v>15097</v>
      </c>
      <c r="Y86" t="s">
        <v>15098</v>
      </c>
      <c r="Z86" t="s">
        <v>15099</v>
      </c>
      <c r="AA86" t="s">
        <v>74</v>
      </c>
      <c r="AB86" t="s">
        <v>15100</v>
      </c>
      <c r="AC86" t="s">
        <v>74</v>
      </c>
      <c r="AD86" t="s">
        <v>74</v>
      </c>
      <c r="AE86" t="s">
        <v>74</v>
      </c>
      <c r="AF86" t="s">
        <v>74</v>
      </c>
      <c r="AG86">
        <v>46</v>
      </c>
      <c r="AH86">
        <v>168</v>
      </c>
      <c r="AI86">
        <v>175</v>
      </c>
      <c r="AJ86">
        <v>1</v>
      </c>
      <c r="AK86">
        <v>26</v>
      </c>
      <c r="AL86" t="s">
        <v>74</v>
      </c>
      <c r="AM86" t="s">
        <v>74</v>
      </c>
      <c r="AN86" t="s">
        <v>74</v>
      </c>
      <c r="AO86" t="s">
        <v>3710</v>
      </c>
      <c r="AP86" t="s">
        <v>3711</v>
      </c>
      <c r="AQ86" t="s">
        <v>74</v>
      </c>
      <c r="AR86" t="s">
        <v>74</v>
      </c>
      <c r="AS86" t="s">
        <v>74</v>
      </c>
      <c r="AT86" t="s">
        <v>15101</v>
      </c>
      <c r="AU86">
        <v>2004</v>
      </c>
      <c r="AV86">
        <v>279</v>
      </c>
      <c r="AW86">
        <v>17</v>
      </c>
      <c r="AX86" t="s">
        <v>74</v>
      </c>
      <c r="AY86" t="s">
        <v>74</v>
      </c>
      <c r="AZ86" t="s">
        <v>74</v>
      </c>
      <c r="BA86" t="s">
        <v>74</v>
      </c>
      <c r="BB86">
        <v>17951</v>
      </c>
      <c r="BC86">
        <v>17956</v>
      </c>
      <c r="BD86" t="s">
        <v>74</v>
      </c>
      <c r="BE86" t="s">
        <v>15102</v>
      </c>
      <c r="BF86" t="str">
        <f>HYPERLINK("http://dx.doi.org/10.1074/jbc.M311440200","http://dx.doi.org/10.1074/jbc.M311440200")</f>
        <v>http://dx.doi.org/10.1074/jbc.M311440200</v>
      </c>
      <c r="BG86" t="s">
        <v>74</v>
      </c>
      <c r="BH86" t="s">
        <v>74</v>
      </c>
      <c r="BI86" t="s">
        <v>74</v>
      </c>
      <c r="BJ86" t="s">
        <v>95</v>
      </c>
      <c r="BK86" t="s">
        <v>117</v>
      </c>
      <c r="BL86" t="s">
        <v>95</v>
      </c>
      <c r="BM86" t="s">
        <v>74</v>
      </c>
      <c r="BN86">
        <v>14963039</v>
      </c>
      <c r="BO86" t="s">
        <v>74</v>
      </c>
      <c r="BP86" t="s">
        <v>74</v>
      </c>
      <c r="BQ86" t="s">
        <v>74</v>
      </c>
      <c r="BR86" t="s">
        <v>96</v>
      </c>
      <c r="BS86" t="s">
        <v>15103</v>
      </c>
      <c r="BT86" t="str">
        <f>HYPERLINK("https%3A%2F%2Fwww.webofscience.com%2Fwos%2Fwoscc%2Ffull-record%2FWOS:000220870400129","View Full Record in Web of Science")</f>
        <v>View Full Record in Web of Science</v>
      </c>
    </row>
    <row r="87" spans="1:72" x14ac:dyDescent="0.15">
      <c r="A87" t="s">
        <v>98</v>
      </c>
      <c r="B87" t="s">
        <v>23830</v>
      </c>
      <c r="C87" t="s">
        <v>74</v>
      </c>
      <c r="D87" t="s">
        <v>74</v>
      </c>
      <c r="E87" t="s">
        <v>74</v>
      </c>
      <c r="F87" t="s">
        <v>23831</v>
      </c>
      <c r="G87" t="s">
        <v>74</v>
      </c>
      <c r="H87" t="s">
        <v>74</v>
      </c>
      <c r="I87" t="s">
        <v>23832</v>
      </c>
      <c r="J87" t="s">
        <v>23833</v>
      </c>
      <c r="K87" t="s">
        <v>74</v>
      </c>
      <c r="L87" t="s">
        <v>74</v>
      </c>
      <c r="M87" t="s">
        <v>74</v>
      </c>
      <c r="N87" t="s">
        <v>103</v>
      </c>
      <c r="O87" t="s">
        <v>74</v>
      </c>
      <c r="P87" t="s">
        <v>74</v>
      </c>
      <c r="Q87" t="s">
        <v>74</v>
      </c>
      <c r="R87" t="s">
        <v>74</v>
      </c>
      <c r="S87" t="s">
        <v>74</v>
      </c>
      <c r="T87" t="s">
        <v>23834</v>
      </c>
      <c r="U87" t="s">
        <v>23835</v>
      </c>
      <c r="V87" t="s">
        <v>23836</v>
      </c>
      <c r="W87" t="s">
        <v>23837</v>
      </c>
      <c r="X87" t="s">
        <v>23838</v>
      </c>
      <c r="Y87" t="s">
        <v>23839</v>
      </c>
      <c r="Z87" t="s">
        <v>23840</v>
      </c>
      <c r="AA87" t="s">
        <v>23841</v>
      </c>
      <c r="AB87" t="s">
        <v>23842</v>
      </c>
      <c r="AC87" t="s">
        <v>74</v>
      </c>
      <c r="AD87" t="s">
        <v>74</v>
      </c>
      <c r="AE87" t="s">
        <v>74</v>
      </c>
      <c r="AF87" t="s">
        <v>74</v>
      </c>
      <c r="AG87">
        <v>55</v>
      </c>
      <c r="AH87">
        <v>168</v>
      </c>
      <c r="AI87">
        <v>172</v>
      </c>
      <c r="AJ87">
        <v>5</v>
      </c>
      <c r="AK87">
        <v>40</v>
      </c>
      <c r="AL87" t="s">
        <v>74</v>
      </c>
      <c r="AM87" t="s">
        <v>74</v>
      </c>
      <c r="AN87" t="s">
        <v>74</v>
      </c>
      <c r="AO87" t="s">
        <v>23843</v>
      </c>
      <c r="AP87" t="s">
        <v>23844</v>
      </c>
      <c r="AQ87" t="s">
        <v>74</v>
      </c>
      <c r="AR87" t="s">
        <v>74</v>
      </c>
      <c r="AS87" t="s">
        <v>74</v>
      </c>
      <c r="AT87" t="s">
        <v>967</v>
      </c>
      <c r="AU87">
        <v>2016</v>
      </c>
      <c r="AV87">
        <v>139</v>
      </c>
      <c r="AW87" t="s">
        <v>74</v>
      </c>
      <c r="AX87">
        <v>12</v>
      </c>
      <c r="AY87" t="s">
        <v>74</v>
      </c>
      <c r="AZ87" t="s">
        <v>74</v>
      </c>
      <c r="BA87" t="s">
        <v>74</v>
      </c>
      <c r="BB87">
        <v>3187</v>
      </c>
      <c r="BC87">
        <v>3201</v>
      </c>
      <c r="BD87" t="s">
        <v>74</v>
      </c>
      <c r="BE87" t="s">
        <v>23845</v>
      </c>
      <c r="BF87" t="str">
        <f>HYPERLINK("http://dx.doi.org/10.1093/brain/aww237","http://dx.doi.org/10.1093/brain/aww237")</f>
        <v>http://dx.doi.org/10.1093/brain/aww237</v>
      </c>
      <c r="BG87" t="s">
        <v>74</v>
      </c>
      <c r="BH87" t="s">
        <v>74</v>
      </c>
      <c r="BI87" t="s">
        <v>74</v>
      </c>
      <c r="BJ87" t="s">
        <v>2639</v>
      </c>
      <c r="BK87" t="s">
        <v>117</v>
      </c>
      <c r="BL87" t="s">
        <v>653</v>
      </c>
      <c r="BM87" t="s">
        <v>74</v>
      </c>
      <c r="BN87">
        <v>27679482</v>
      </c>
      <c r="BO87" t="s">
        <v>74</v>
      </c>
      <c r="BP87" t="s">
        <v>74</v>
      </c>
      <c r="BQ87" t="s">
        <v>74</v>
      </c>
      <c r="BR87" t="s">
        <v>96</v>
      </c>
      <c r="BS87" t="s">
        <v>23846</v>
      </c>
      <c r="BT87" t="str">
        <f>HYPERLINK("https%3A%2F%2Fwww.webofscience.com%2Fwos%2Fwoscc%2Ffull-record%2FWOS:000392709800020","View Full Record in Web of Science")</f>
        <v>View Full Record in Web of Science</v>
      </c>
    </row>
    <row r="88" spans="1:72" x14ac:dyDescent="0.15">
      <c r="A88" t="s">
        <v>98</v>
      </c>
      <c r="B88" t="s">
        <v>500</v>
      </c>
      <c r="C88" t="s">
        <v>74</v>
      </c>
      <c r="D88" t="s">
        <v>74</v>
      </c>
      <c r="E88" t="s">
        <v>74</v>
      </c>
      <c r="F88" t="s">
        <v>501</v>
      </c>
      <c r="G88" t="s">
        <v>74</v>
      </c>
      <c r="H88" t="s">
        <v>74</v>
      </c>
      <c r="I88" t="s">
        <v>502</v>
      </c>
      <c r="J88" t="s">
        <v>503</v>
      </c>
      <c r="K88" t="s">
        <v>74</v>
      </c>
      <c r="L88" t="s">
        <v>74</v>
      </c>
      <c r="M88" t="s">
        <v>74</v>
      </c>
      <c r="N88" t="s">
        <v>103</v>
      </c>
      <c r="O88" t="s">
        <v>74</v>
      </c>
      <c r="P88" t="s">
        <v>74</v>
      </c>
      <c r="Q88" t="s">
        <v>74</v>
      </c>
      <c r="R88" t="s">
        <v>74</v>
      </c>
      <c r="S88" t="s">
        <v>74</v>
      </c>
      <c r="T88" t="s">
        <v>74</v>
      </c>
      <c r="U88" t="s">
        <v>504</v>
      </c>
      <c r="V88" t="s">
        <v>505</v>
      </c>
      <c r="W88" t="s">
        <v>506</v>
      </c>
      <c r="X88" t="s">
        <v>507</v>
      </c>
      <c r="Y88" t="s">
        <v>508</v>
      </c>
      <c r="Z88" t="s">
        <v>509</v>
      </c>
      <c r="AA88" t="s">
        <v>510</v>
      </c>
      <c r="AB88" t="s">
        <v>511</v>
      </c>
      <c r="AC88" t="s">
        <v>74</v>
      </c>
      <c r="AD88" t="s">
        <v>74</v>
      </c>
      <c r="AE88" t="s">
        <v>74</v>
      </c>
      <c r="AF88" t="s">
        <v>74</v>
      </c>
      <c r="AG88">
        <v>27</v>
      </c>
      <c r="AH88">
        <v>165</v>
      </c>
      <c r="AI88">
        <v>170</v>
      </c>
      <c r="AJ88">
        <v>1</v>
      </c>
      <c r="AK88">
        <v>51</v>
      </c>
      <c r="AL88" t="s">
        <v>74</v>
      </c>
      <c r="AM88" t="s">
        <v>74</v>
      </c>
      <c r="AN88" t="s">
        <v>74</v>
      </c>
      <c r="AO88" t="s">
        <v>512</v>
      </c>
      <c r="AP88" t="s">
        <v>513</v>
      </c>
      <c r="AQ88" t="s">
        <v>74</v>
      </c>
      <c r="AR88" t="s">
        <v>74</v>
      </c>
      <c r="AS88" t="s">
        <v>74</v>
      </c>
      <c r="AT88" t="s">
        <v>189</v>
      </c>
      <c r="AU88">
        <v>2014</v>
      </c>
      <c r="AV88">
        <v>74</v>
      </c>
      <c r="AW88">
        <v>14</v>
      </c>
      <c r="AX88" t="s">
        <v>74</v>
      </c>
      <c r="AY88" t="s">
        <v>74</v>
      </c>
      <c r="AZ88" t="s">
        <v>74</v>
      </c>
      <c r="BA88" t="s">
        <v>74</v>
      </c>
      <c r="BB88">
        <v>1379</v>
      </c>
      <c r="BC88">
        <v>1390</v>
      </c>
      <c r="BD88" t="s">
        <v>74</v>
      </c>
      <c r="BE88" t="s">
        <v>514</v>
      </c>
      <c r="BF88" t="str">
        <f>HYPERLINK("http://dx.doi.org/10.1002/pros.22853","http://dx.doi.org/10.1002/pros.22853")</f>
        <v>http://dx.doi.org/10.1002/pros.22853</v>
      </c>
      <c r="BG88" t="s">
        <v>74</v>
      </c>
      <c r="BH88" t="s">
        <v>74</v>
      </c>
      <c r="BI88" t="s">
        <v>74</v>
      </c>
      <c r="BJ88" t="s">
        <v>515</v>
      </c>
      <c r="BK88" t="s">
        <v>117</v>
      </c>
      <c r="BL88" t="s">
        <v>515</v>
      </c>
      <c r="BM88" t="s">
        <v>74</v>
      </c>
      <c r="BN88">
        <v>25111183</v>
      </c>
      <c r="BO88" t="s">
        <v>74</v>
      </c>
      <c r="BP88" t="s">
        <v>74</v>
      </c>
      <c r="BQ88" t="s">
        <v>74</v>
      </c>
      <c r="BR88" t="s">
        <v>96</v>
      </c>
      <c r="BS88" t="s">
        <v>516</v>
      </c>
      <c r="BT88" t="str">
        <f>HYPERLINK("https%3A%2F%2Fwww.webofscience.com%2Fwos%2Fwoscc%2Ffull-record%2FWOS:000341019400003","View Full Record in Web of Science")</f>
        <v>View Full Record in Web of Science</v>
      </c>
    </row>
    <row r="89" spans="1:72" x14ac:dyDescent="0.15">
      <c r="A89" t="s">
        <v>98</v>
      </c>
      <c r="B89" t="s">
        <v>10374</v>
      </c>
      <c r="C89" t="s">
        <v>74</v>
      </c>
      <c r="D89" t="s">
        <v>74</v>
      </c>
      <c r="E89" t="s">
        <v>74</v>
      </c>
      <c r="F89" t="s">
        <v>10375</v>
      </c>
      <c r="G89" t="s">
        <v>74</v>
      </c>
      <c r="H89" t="s">
        <v>74</v>
      </c>
      <c r="I89" t="s">
        <v>10376</v>
      </c>
      <c r="J89" t="s">
        <v>6273</v>
      </c>
      <c r="K89" t="s">
        <v>74</v>
      </c>
      <c r="L89" t="s">
        <v>74</v>
      </c>
      <c r="M89" t="s">
        <v>74</v>
      </c>
      <c r="N89" t="s">
        <v>103</v>
      </c>
      <c r="O89" t="s">
        <v>74</v>
      </c>
      <c r="P89" t="s">
        <v>74</v>
      </c>
      <c r="Q89" t="s">
        <v>74</v>
      </c>
      <c r="R89" t="s">
        <v>74</v>
      </c>
      <c r="S89" t="s">
        <v>74</v>
      </c>
      <c r="T89" t="s">
        <v>74</v>
      </c>
      <c r="U89" t="s">
        <v>10377</v>
      </c>
      <c r="V89" t="s">
        <v>10378</v>
      </c>
      <c r="W89" t="s">
        <v>10379</v>
      </c>
      <c r="X89" t="s">
        <v>10380</v>
      </c>
      <c r="Y89" t="s">
        <v>10381</v>
      </c>
      <c r="Z89" t="s">
        <v>8392</v>
      </c>
      <c r="AA89" t="s">
        <v>10382</v>
      </c>
      <c r="AB89" t="s">
        <v>10383</v>
      </c>
      <c r="AC89" t="s">
        <v>74</v>
      </c>
      <c r="AD89" t="s">
        <v>74</v>
      </c>
      <c r="AE89" t="s">
        <v>74</v>
      </c>
      <c r="AF89" t="s">
        <v>74</v>
      </c>
      <c r="AG89">
        <v>81</v>
      </c>
      <c r="AH89">
        <v>165</v>
      </c>
      <c r="AI89">
        <v>175</v>
      </c>
      <c r="AJ89">
        <v>2</v>
      </c>
      <c r="AK89">
        <v>55</v>
      </c>
      <c r="AL89" t="s">
        <v>74</v>
      </c>
      <c r="AM89" t="s">
        <v>74</v>
      </c>
      <c r="AN89" t="s">
        <v>74</v>
      </c>
      <c r="AO89" t="s">
        <v>6281</v>
      </c>
      <c r="AP89" t="s">
        <v>6282</v>
      </c>
      <c r="AQ89" t="s">
        <v>74</v>
      </c>
      <c r="AR89" t="s">
        <v>74</v>
      </c>
      <c r="AS89" t="s">
        <v>74</v>
      </c>
      <c r="AT89" t="s">
        <v>614</v>
      </c>
      <c r="AU89">
        <v>2014</v>
      </c>
      <c r="AV89">
        <v>196</v>
      </c>
      <c r="AW89">
        <v>13</v>
      </c>
      <c r="AX89" t="s">
        <v>74</v>
      </c>
      <c r="AY89" t="s">
        <v>74</v>
      </c>
      <c r="AZ89" t="s">
        <v>74</v>
      </c>
      <c r="BA89" t="s">
        <v>74</v>
      </c>
      <c r="BB89">
        <v>2355</v>
      </c>
      <c r="BC89">
        <v>2366</v>
      </c>
      <c r="BD89" t="s">
        <v>74</v>
      </c>
      <c r="BE89" t="s">
        <v>10384</v>
      </c>
      <c r="BF89" t="str">
        <f>HYPERLINK("http://dx.doi.org/10.1128/JB.01493-14","http://dx.doi.org/10.1128/JB.01493-14")</f>
        <v>http://dx.doi.org/10.1128/JB.01493-14</v>
      </c>
      <c r="BG89" t="s">
        <v>74</v>
      </c>
      <c r="BH89" t="s">
        <v>74</v>
      </c>
      <c r="BI89" t="s">
        <v>74</v>
      </c>
      <c r="BJ89" t="s">
        <v>898</v>
      </c>
      <c r="BK89" t="s">
        <v>117</v>
      </c>
      <c r="BL89" t="s">
        <v>898</v>
      </c>
      <c r="BM89" t="s">
        <v>74</v>
      </c>
      <c r="BN89">
        <v>24748612</v>
      </c>
      <c r="BO89" t="s">
        <v>74</v>
      </c>
      <c r="BP89" t="s">
        <v>74</v>
      </c>
      <c r="BQ89" t="s">
        <v>74</v>
      </c>
      <c r="BR89" t="s">
        <v>96</v>
      </c>
      <c r="BS89" t="s">
        <v>10385</v>
      </c>
      <c r="BT89" t="str">
        <f>HYPERLINK("https%3A%2F%2Fwww.webofscience.com%2Fwos%2Fwoscc%2Ffull-record%2FWOS:000337239900004","View Full Record in Web of Science")</f>
        <v>View Full Record in Web of Science</v>
      </c>
    </row>
    <row r="90" spans="1:72" x14ac:dyDescent="0.15">
      <c r="A90" t="s">
        <v>98</v>
      </c>
      <c r="B90" t="s">
        <v>26853</v>
      </c>
      <c r="C90" t="s">
        <v>74</v>
      </c>
      <c r="D90" t="s">
        <v>74</v>
      </c>
      <c r="E90" t="s">
        <v>74</v>
      </c>
      <c r="F90" t="s">
        <v>26853</v>
      </c>
      <c r="G90" t="s">
        <v>74</v>
      </c>
      <c r="H90" t="s">
        <v>74</v>
      </c>
      <c r="I90" t="s">
        <v>26854</v>
      </c>
      <c r="J90" t="s">
        <v>2536</v>
      </c>
      <c r="K90" t="s">
        <v>74</v>
      </c>
      <c r="L90" t="s">
        <v>74</v>
      </c>
      <c r="M90" t="s">
        <v>74</v>
      </c>
      <c r="N90" t="s">
        <v>103</v>
      </c>
      <c r="O90" t="s">
        <v>74</v>
      </c>
      <c r="P90" t="s">
        <v>74</v>
      </c>
      <c r="Q90" t="s">
        <v>74</v>
      </c>
      <c r="R90" t="s">
        <v>74</v>
      </c>
      <c r="S90" t="s">
        <v>74</v>
      </c>
      <c r="T90" t="s">
        <v>74</v>
      </c>
      <c r="U90" t="s">
        <v>26855</v>
      </c>
      <c r="V90" t="s">
        <v>26856</v>
      </c>
      <c r="W90" t="s">
        <v>26857</v>
      </c>
      <c r="X90" t="s">
        <v>26858</v>
      </c>
      <c r="Y90" t="s">
        <v>26859</v>
      </c>
      <c r="Z90" t="s">
        <v>26860</v>
      </c>
      <c r="AA90" t="s">
        <v>26861</v>
      </c>
      <c r="AB90" t="s">
        <v>74</v>
      </c>
      <c r="AC90" t="s">
        <v>74</v>
      </c>
      <c r="AD90" t="s">
        <v>74</v>
      </c>
      <c r="AE90" t="s">
        <v>74</v>
      </c>
      <c r="AF90" t="s">
        <v>74</v>
      </c>
      <c r="AG90">
        <v>46</v>
      </c>
      <c r="AH90">
        <v>165</v>
      </c>
      <c r="AI90">
        <v>175</v>
      </c>
      <c r="AJ90">
        <v>0</v>
      </c>
      <c r="AK90">
        <v>3</v>
      </c>
      <c r="AL90" t="s">
        <v>74</v>
      </c>
      <c r="AM90" t="s">
        <v>74</v>
      </c>
      <c r="AN90" t="s">
        <v>74</v>
      </c>
      <c r="AO90" t="s">
        <v>2544</v>
      </c>
      <c r="AP90" t="s">
        <v>2545</v>
      </c>
      <c r="AQ90" t="s">
        <v>74</v>
      </c>
      <c r="AR90" t="s">
        <v>74</v>
      </c>
      <c r="AS90" t="s">
        <v>74</v>
      </c>
      <c r="AT90" t="s">
        <v>211</v>
      </c>
      <c r="AU90">
        <v>2000</v>
      </c>
      <c r="AV90">
        <v>74</v>
      </c>
      <c r="AW90">
        <v>21</v>
      </c>
      <c r="AX90" t="s">
        <v>74</v>
      </c>
      <c r="AY90" t="s">
        <v>74</v>
      </c>
      <c r="AZ90" t="s">
        <v>74</v>
      </c>
      <c r="BA90" t="s">
        <v>74</v>
      </c>
      <c r="BB90">
        <v>10063</v>
      </c>
      <c r="BC90">
        <v>10073</v>
      </c>
      <c r="BD90" t="s">
        <v>74</v>
      </c>
      <c r="BE90" t="s">
        <v>26862</v>
      </c>
      <c r="BF90" t="str">
        <f>HYPERLINK("http://dx.doi.org/10.1128/JVI.74.21.10063-10073.2000","http://dx.doi.org/10.1128/JVI.74.21.10063-10073.2000")</f>
        <v>http://dx.doi.org/10.1128/JVI.74.21.10063-10073.2000</v>
      </c>
      <c r="BG90" t="s">
        <v>74</v>
      </c>
      <c r="BH90" t="s">
        <v>74</v>
      </c>
      <c r="BI90" t="s">
        <v>74</v>
      </c>
      <c r="BJ90" t="s">
        <v>932</v>
      </c>
      <c r="BK90" t="s">
        <v>117</v>
      </c>
      <c r="BL90" t="s">
        <v>932</v>
      </c>
      <c r="BM90" t="s">
        <v>74</v>
      </c>
      <c r="BN90">
        <v>11024135</v>
      </c>
      <c r="BO90" t="s">
        <v>74</v>
      </c>
      <c r="BP90" t="s">
        <v>74</v>
      </c>
      <c r="BQ90" t="s">
        <v>74</v>
      </c>
      <c r="BR90" t="s">
        <v>96</v>
      </c>
      <c r="BS90" t="s">
        <v>26863</v>
      </c>
      <c r="BT90" t="str">
        <f>HYPERLINK("https%3A%2F%2Fwww.webofscience.com%2Fwos%2Fwoscc%2Ffull-record%2FWOS:000089819900029","View Full Record in Web of Science")</f>
        <v>View Full Record in Web of Science</v>
      </c>
    </row>
    <row r="91" spans="1:72" x14ac:dyDescent="0.15">
      <c r="A91" t="s">
        <v>98</v>
      </c>
      <c r="B91" t="s">
        <v>1292</v>
      </c>
      <c r="C91" t="s">
        <v>74</v>
      </c>
      <c r="D91" t="s">
        <v>74</v>
      </c>
      <c r="E91" t="s">
        <v>74</v>
      </c>
      <c r="F91" t="s">
        <v>1293</v>
      </c>
      <c r="G91" t="s">
        <v>74</v>
      </c>
      <c r="H91" t="s">
        <v>74</v>
      </c>
      <c r="I91" t="s">
        <v>1294</v>
      </c>
      <c r="J91" t="s">
        <v>123</v>
      </c>
      <c r="K91" t="s">
        <v>74</v>
      </c>
      <c r="L91" t="s">
        <v>74</v>
      </c>
      <c r="M91" t="s">
        <v>74</v>
      </c>
      <c r="N91" t="s">
        <v>103</v>
      </c>
      <c r="O91" t="s">
        <v>74</v>
      </c>
      <c r="P91" t="s">
        <v>74</v>
      </c>
      <c r="Q91" t="s">
        <v>74</v>
      </c>
      <c r="R91" t="s">
        <v>74</v>
      </c>
      <c r="S91" t="s">
        <v>74</v>
      </c>
      <c r="T91" t="s">
        <v>1295</v>
      </c>
      <c r="U91" t="s">
        <v>1296</v>
      </c>
      <c r="V91" t="s">
        <v>1297</v>
      </c>
      <c r="W91" t="s">
        <v>1298</v>
      </c>
      <c r="X91" t="s">
        <v>1299</v>
      </c>
      <c r="Y91" t="s">
        <v>1300</v>
      </c>
      <c r="Z91" t="s">
        <v>1301</v>
      </c>
      <c r="AA91" t="s">
        <v>1302</v>
      </c>
      <c r="AB91" t="s">
        <v>1303</v>
      </c>
      <c r="AC91" t="s">
        <v>74</v>
      </c>
      <c r="AD91" t="s">
        <v>74</v>
      </c>
      <c r="AE91" t="s">
        <v>74</v>
      </c>
      <c r="AF91" t="s">
        <v>74</v>
      </c>
      <c r="AG91">
        <v>50</v>
      </c>
      <c r="AH91">
        <v>164</v>
      </c>
      <c r="AI91">
        <v>166</v>
      </c>
      <c r="AJ91">
        <v>10</v>
      </c>
      <c r="AK91">
        <v>36</v>
      </c>
      <c r="AL91" t="s">
        <v>74</v>
      </c>
      <c r="AM91" t="s">
        <v>74</v>
      </c>
      <c r="AN91" t="s">
        <v>74</v>
      </c>
      <c r="AO91" t="s">
        <v>131</v>
      </c>
      <c r="AP91" t="s">
        <v>74</v>
      </c>
      <c r="AQ91" t="s">
        <v>74</v>
      </c>
      <c r="AR91" t="s">
        <v>74</v>
      </c>
      <c r="AS91" t="s">
        <v>74</v>
      </c>
      <c r="AT91" t="s">
        <v>1304</v>
      </c>
      <c r="AU91">
        <v>2018</v>
      </c>
      <c r="AV91">
        <v>7</v>
      </c>
      <c r="AW91">
        <v>1</v>
      </c>
      <c r="AX91" t="s">
        <v>74</v>
      </c>
      <c r="AY91" t="s">
        <v>74</v>
      </c>
      <c r="AZ91" t="s">
        <v>74</v>
      </c>
      <c r="BA91" t="s">
        <v>74</v>
      </c>
      <c r="BB91" t="s">
        <v>74</v>
      </c>
      <c r="BC91" t="s">
        <v>74</v>
      </c>
      <c r="BD91">
        <v>1505403</v>
      </c>
      <c r="BE91" t="s">
        <v>1305</v>
      </c>
      <c r="BF91" t="str">
        <f>HYPERLINK("http://dx.doi.org/10.1080/20013078.2018.1505403","http://dx.doi.org/10.1080/20013078.2018.1505403")</f>
        <v>http://dx.doi.org/10.1080/20013078.2018.1505403</v>
      </c>
      <c r="BG91" t="s">
        <v>74</v>
      </c>
      <c r="BH91" t="s">
        <v>74</v>
      </c>
      <c r="BI91" t="s">
        <v>74</v>
      </c>
      <c r="BJ91" t="s">
        <v>135</v>
      </c>
      <c r="BK91" t="s">
        <v>117</v>
      </c>
      <c r="BL91" t="s">
        <v>135</v>
      </c>
      <c r="BM91" t="s">
        <v>74</v>
      </c>
      <c r="BN91">
        <v>30108686</v>
      </c>
      <c r="BO91" t="s">
        <v>74</v>
      </c>
      <c r="BP91" t="s">
        <v>193</v>
      </c>
      <c r="BQ91" t="s">
        <v>194</v>
      </c>
      <c r="BR91" t="s">
        <v>96</v>
      </c>
      <c r="BS91" t="s">
        <v>1306</v>
      </c>
      <c r="BT91" t="str">
        <f>HYPERLINK("https%3A%2F%2Fwww.webofscience.com%2Fwos%2Fwoscc%2Ffull-record%2FWOS:000441055200001","View Full Record in Web of Science")</f>
        <v>View Full Record in Web of Science</v>
      </c>
    </row>
    <row r="92" spans="1:72" x14ac:dyDescent="0.15">
      <c r="A92" t="s">
        <v>98</v>
      </c>
      <c r="B92" t="s">
        <v>4855</v>
      </c>
      <c r="C92" t="s">
        <v>74</v>
      </c>
      <c r="D92" t="s">
        <v>74</v>
      </c>
      <c r="E92" t="s">
        <v>74</v>
      </c>
      <c r="F92" t="s">
        <v>4856</v>
      </c>
      <c r="G92" t="s">
        <v>74</v>
      </c>
      <c r="H92" t="s">
        <v>74</v>
      </c>
      <c r="I92" t="s">
        <v>4857</v>
      </c>
      <c r="J92" t="s">
        <v>658</v>
      </c>
      <c r="K92" t="s">
        <v>74</v>
      </c>
      <c r="L92" t="s">
        <v>74</v>
      </c>
      <c r="M92" t="s">
        <v>74</v>
      </c>
      <c r="N92" t="s">
        <v>103</v>
      </c>
      <c r="O92" t="s">
        <v>74</v>
      </c>
      <c r="P92" t="s">
        <v>74</v>
      </c>
      <c r="Q92" t="s">
        <v>74</v>
      </c>
      <c r="R92" t="s">
        <v>74</v>
      </c>
      <c r="S92" t="s">
        <v>74</v>
      </c>
      <c r="T92" t="s">
        <v>4858</v>
      </c>
      <c r="U92" t="s">
        <v>4859</v>
      </c>
      <c r="V92" t="s">
        <v>4860</v>
      </c>
      <c r="W92" t="s">
        <v>4861</v>
      </c>
      <c r="X92" t="s">
        <v>4862</v>
      </c>
      <c r="Y92" t="s">
        <v>4863</v>
      </c>
      <c r="Z92" t="s">
        <v>4864</v>
      </c>
      <c r="AA92" t="s">
        <v>74</v>
      </c>
      <c r="AB92" t="s">
        <v>4865</v>
      </c>
      <c r="AC92" t="s">
        <v>74</v>
      </c>
      <c r="AD92" t="s">
        <v>74</v>
      </c>
      <c r="AE92" t="s">
        <v>74</v>
      </c>
      <c r="AF92" t="s">
        <v>74</v>
      </c>
      <c r="AG92">
        <v>57</v>
      </c>
      <c r="AH92">
        <v>164</v>
      </c>
      <c r="AI92">
        <v>165</v>
      </c>
      <c r="AJ92">
        <v>3</v>
      </c>
      <c r="AK92">
        <v>22</v>
      </c>
      <c r="AL92" t="s">
        <v>74</v>
      </c>
      <c r="AM92" t="s">
        <v>74</v>
      </c>
      <c r="AN92" t="s">
        <v>74</v>
      </c>
      <c r="AO92" t="s">
        <v>668</v>
      </c>
      <c r="AP92" t="s">
        <v>74</v>
      </c>
      <c r="AQ92" t="s">
        <v>74</v>
      </c>
      <c r="AR92" t="s">
        <v>74</v>
      </c>
      <c r="AS92" t="s">
        <v>74</v>
      </c>
      <c r="AT92" t="s">
        <v>4866</v>
      </c>
      <c r="AU92">
        <v>2017</v>
      </c>
      <c r="AV92">
        <v>114</v>
      </c>
      <c r="AW92">
        <v>43</v>
      </c>
      <c r="AX92" t="s">
        <v>74</v>
      </c>
      <c r="AY92" t="s">
        <v>74</v>
      </c>
      <c r="AZ92" t="s">
        <v>74</v>
      </c>
      <c r="BA92" t="s">
        <v>74</v>
      </c>
      <c r="BB92" t="s">
        <v>4867</v>
      </c>
      <c r="BC92" t="s">
        <v>4868</v>
      </c>
      <c r="BD92" t="s">
        <v>74</v>
      </c>
      <c r="BE92" t="s">
        <v>4869</v>
      </c>
      <c r="BF92" t="str">
        <f>HYPERLINK("http://dx.doi.org/10.1073/pnas.1712108114","http://dx.doi.org/10.1073/pnas.1712108114")</f>
        <v>http://dx.doi.org/10.1073/pnas.1712108114</v>
      </c>
      <c r="BG92" t="s">
        <v>74</v>
      </c>
      <c r="BH92" t="s">
        <v>74</v>
      </c>
      <c r="BI92" t="s">
        <v>74</v>
      </c>
      <c r="BJ92" t="s">
        <v>152</v>
      </c>
      <c r="BK92" t="s">
        <v>117</v>
      </c>
      <c r="BL92" t="s">
        <v>153</v>
      </c>
      <c r="BM92" t="s">
        <v>74</v>
      </c>
      <c r="BN92">
        <v>29073095</v>
      </c>
      <c r="BO92" t="s">
        <v>74</v>
      </c>
      <c r="BP92" t="s">
        <v>74</v>
      </c>
      <c r="BQ92" t="s">
        <v>74</v>
      </c>
      <c r="BR92" t="s">
        <v>96</v>
      </c>
      <c r="BS92" t="s">
        <v>4870</v>
      </c>
      <c r="BT92" t="str">
        <f>HYPERLINK("https%3A%2F%2Fwww.webofscience.com%2Fwos%2Fwoscc%2Ffull-record%2FWOS:000413520700010","View Full Record in Web of Science")</f>
        <v>View Full Record in Web of Science</v>
      </c>
    </row>
    <row r="93" spans="1:72" x14ac:dyDescent="0.15">
      <c r="A93" t="s">
        <v>98</v>
      </c>
      <c r="B93" t="s">
        <v>4899</v>
      </c>
      <c r="C93" t="s">
        <v>74</v>
      </c>
      <c r="D93" t="s">
        <v>74</v>
      </c>
      <c r="E93" t="s">
        <v>74</v>
      </c>
      <c r="F93" t="s">
        <v>4900</v>
      </c>
      <c r="G93" t="s">
        <v>74</v>
      </c>
      <c r="H93" t="s">
        <v>74</v>
      </c>
      <c r="I93" t="s">
        <v>4901</v>
      </c>
      <c r="J93" t="s">
        <v>1972</v>
      </c>
      <c r="K93" t="s">
        <v>74</v>
      </c>
      <c r="L93" t="s">
        <v>74</v>
      </c>
      <c r="M93" t="s">
        <v>74</v>
      </c>
      <c r="N93" t="s">
        <v>103</v>
      </c>
      <c r="O93" t="s">
        <v>74</v>
      </c>
      <c r="P93" t="s">
        <v>74</v>
      </c>
      <c r="Q93" t="s">
        <v>74</v>
      </c>
      <c r="R93" t="s">
        <v>74</v>
      </c>
      <c r="S93" t="s">
        <v>74</v>
      </c>
      <c r="T93" t="s">
        <v>4902</v>
      </c>
      <c r="U93" t="s">
        <v>4903</v>
      </c>
      <c r="V93" t="s">
        <v>4904</v>
      </c>
      <c r="W93" t="s">
        <v>4905</v>
      </c>
      <c r="X93" t="s">
        <v>1704</v>
      </c>
      <c r="Y93" t="s">
        <v>1978</v>
      </c>
      <c r="Z93" t="s">
        <v>1706</v>
      </c>
      <c r="AA93" t="s">
        <v>4906</v>
      </c>
      <c r="AB93" t="s">
        <v>4907</v>
      </c>
      <c r="AC93" t="s">
        <v>74</v>
      </c>
      <c r="AD93" t="s">
        <v>74</v>
      </c>
      <c r="AE93" t="s">
        <v>74</v>
      </c>
      <c r="AF93" t="s">
        <v>74</v>
      </c>
      <c r="AG93">
        <v>54</v>
      </c>
      <c r="AH93">
        <v>163</v>
      </c>
      <c r="AI93">
        <v>168</v>
      </c>
      <c r="AJ93">
        <v>12</v>
      </c>
      <c r="AK93">
        <v>204</v>
      </c>
      <c r="AL93" t="s">
        <v>74</v>
      </c>
      <c r="AM93" t="s">
        <v>74</v>
      </c>
      <c r="AN93" t="s">
        <v>74</v>
      </c>
      <c r="AO93" t="s">
        <v>1980</v>
      </c>
      <c r="AP93" t="s">
        <v>1981</v>
      </c>
      <c r="AQ93" t="s">
        <v>74</v>
      </c>
      <c r="AR93" t="s">
        <v>74</v>
      </c>
      <c r="AS93" t="s">
        <v>74</v>
      </c>
      <c r="AT93" t="s">
        <v>967</v>
      </c>
      <c r="AU93">
        <v>2016</v>
      </c>
      <c r="AV93">
        <v>111</v>
      </c>
      <c r="AW93" t="s">
        <v>74</v>
      </c>
      <c r="AX93" t="s">
        <v>74</v>
      </c>
      <c r="AY93" t="s">
        <v>74</v>
      </c>
      <c r="AZ93" t="s">
        <v>74</v>
      </c>
      <c r="BA93" t="s">
        <v>74</v>
      </c>
      <c r="BB93">
        <v>55</v>
      </c>
      <c r="BC93">
        <v>65</v>
      </c>
      <c r="BD93" t="s">
        <v>74</v>
      </c>
      <c r="BE93" t="s">
        <v>4908</v>
      </c>
      <c r="BF93" t="str">
        <f>HYPERLINK("http://dx.doi.org/10.1016/j.biomaterials.2016.09.031","http://dx.doi.org/10.1016/j.biomaterials.2016.09.031")</f>
        <v>http://dx.doi.org/10.1016/j.biomaterials.2016.09.031</v>
      </c>
      <c r="BG93" t="s">
        <v>74</v>
      </c>
      <c r="BH93" t="s">
        <v>74</v>
      </c>
      <c r="BI93" t="s">
        <v>74</v>
      </c>
      <c r="BJ93" t="s">
        <v>1983</v>
      </c>
      <c r="BK93" t="s">
        <v>117</v>
      </c>
      <c r="BL93" t="s">
        <v>1984</v>
      </c>
      <c r="BM93" t="s">
        <v>74</v>
      </c>
      <c r="BN93">
        <v>27723556</v>
      </c>
      <c r="BO93" t="s">
        <v>74</v>
      </c>
      <c r="BP93" t="s">
        <v>74</v>
      </c>
      <c r="BQ93" t="s">
        <v>74</v>
      </c>
      <c r="BR93" t="s">
        <v>96</v>
      </c>
      <c r="BS93" t="s">
        <v>4909</v>
      </c>
      <c r="BT93" t="str">
        <f>HYPERLINK("https%3A%2F%2Fwww.webofscience.com%2Fwos%2Fwoscc%2Ffull-record%2FWOS:000388047900005","View Full Record in Web of Science")</f>
        <v>View Full Record in Web of Science</v>
      </c>
    </row>
    <row r="94" spans="1:72" x14ac:dyDescent="0.15">
      <c r="A94" t="s">
        <v>98</v>
      </c>
      <c r="B94" t="s">
        <v>28241</v>
      </c>
      <c r="C94" t="s">
        <v>74</v>
      </c>
      <c r="D94" t="s">
        <v>74</v>
      </c>
      <c r="E94" t="s">
        <v>74</v>
      </c>
      <c r="F94" t="s">
        <v>28242</v>
      </c>
      <c r="G94" t="s">
        <v>74</v>
      </c>
      <c r="H94" t="s">
        <v>74</v>
      </c>
      <c r="I94" t="s">
        <v>28243</v>
      </c>
      <c r="J94" t="s">
        <v>28244</v>
      </c>
      <c r="K94" t="s">
        <v>74</v>
      </c>
      <c r="L94" t="s">
        <v>74</v>
      </c>
      <c r="M94" t="s">
        <v>74</v>
      </c>
      <c r="N94" t="s">
        <v>103</v>
      </c>
      <c r="O94" t="s">
        <v>74</v>
      </c>
      <c r="P94" t="s">
        <v>74</v>
      </c>
      <c r="Q94" t="s">
        <v>74</v>
      </c>
      <c r="R94" t="s">
        <v>74</v>
      </c>
      <c r="S94" t="s">
        <v>74</v>
      </c>
      <c r="T94" t="s">
        <v>74</v>
      </c>
      <c r="U94" t="s">
        <v>28245</v>
      </c>
      <c r="V94" t="s">
        <v>28246</v>
      </c>
      <c r="W94" t="s">
        <v>28247</v>
      </c>
      <c r="X94" t="s">
        <v>28248</v>
      </c>
      <c r="Y94" t="s">
        <v>28249</v>
      </c>
      <c r="Z94" t="s">
        <v>28250</v>
      </c>
      <c r="AA94" t="s">
        <v>28251</v>
      </c>
      <c r="AB94" t="s">
        <v>28252</v>
      </c>
      <c r="AC94" t="s">
        <v>74</v>
      </c>
      <c r="AD94" t="s">
        <v>74</v>
      </c>
      <c r="AE94" t="s">
        <v>74</v>
      </c>
      <c r="AF94" t="s">
        <v>74</v>
      </c>
      <c r="AG94">
        <v>47</v>
      </c>
      <c r="AH94">
        <v>163</v>
      </c>
      <c r="AI94">
        <v>165</v>
      </c>
      <c r="AJ94">
        <v>1</v>
      </c>
      <c r="AK94">
        <v>36</v>
      </c>
      <c r="AL94" t="s">
        <v>74</v>
      </c>
      <c r="AM94" t="s">
        <v>74</v>
      </c>
      <c r="AN94" t="s">
        <v>74</v>
      </c>
      <c r="AO94" t="s">
        <v>28253</v>
      </c>
      <c r="AP94" t="s">
        <v>28254</v>
      </c>
      <c r="AQ94" t="s">
        <v>74</v>
      </c>
      <c r="AR94" t="s">
        <v>74</v>
      </c>
      <c r="AS94" t="s">
        <v>74</v>
      </c>
      <c r="AT94" t="s">
        <v>170</v>
      </c>
      <c r="AU94">
        <v>2012</v>
      </c>
      <c r="AV94">
        <v>44</v>
      </c>
      <c r="AW94">
        <v>6</v>
      </c>
      <c r="AX94" t="s">
        <v>74</v>
      </c>
      <c r="AY94" t="s">
        <v>74</v>
      </c>
      <c r="AZ94" t="s">
        <v>74</v>
      </c>
      <c r="BA94" t="s">
        <v>74</v>
      </c>
      <c r="BB94">
        <v>704</v>
      </c>
      <c r="BC94" t="s">
        <v>28255</v>
      </c>
      <c r="BD94" t="s">
        <v>74</v>
      </c>
      <c r="BE94" t="s">
        <v>28256</v>
      </c>
      <c r="BF94" t="str">
        <f>HYPERLINK("http://dx.doi.org/10.1038/ng.2254","http://dx.doi.org/10.1038/ng.2254")</f>
        <v>http://dx.doi.org/10.1038/ng.2254</v>
      </c>
      <c r="BG94" t="s">
        <v>74</v>
      </c>
      <c r="BH94" t="s">
        <v>74</v>
      </c>
      <c r="BI94" t="s">
        <v>74</v>
      </c>
      <c r="BJ94" t="s">
        <v>285</v>
      </c>
      <c r="BK94" t="s">
        <v>117</v>
      </c>
      <c r="BL94" t="s">
        <v>285</v>
      </c>
      <c r="BM94" t="s">
        <v>74</v>
      </c>
      <c r="BN94">
        <v>22544365</v>
      </c>
      <c r="BO94" t="s">
        <v>74</v>
      </c>
      <c r="BP94" t="s">
        <v>74</v>
      </c>
      <c r="BQ94" t="s">
        <v>74</v>
      </c>
      <c r="BR94" t="s">
        <v>96</v>
      </c>
      <c r="BS94" t="s">
        <v>28257</v>
      </c>
      <c r="BT94" t="str">
        <f>HYPERLINK("https%3A%2F%2Fwww.webofscience.com%2Fwos%2Fwoscc%2Ffull-record%2FWOS:000304551100020","View Full Record in Web of Science")</f>
        <v>View Full Record in Web of Science</v>
      </c>
    </row>
    <row r="95" spans="1:72" x14ac:dyDescent="0.15">
      <c r="A95" t="s">
        <v>98</v>
      </c>
      <c r="B95" t="s">
        <v>29729</v>
      </c>
      <c r="C95" t="s">
        <v>74</v>
      </c>
      <c r="D95" t="s">
        <v>74</v>
      </c>
      <c r="E95" t="s">
        <v>74</v>
      </c>
      <c r="F95" t="s">
        <v>29730</v>
      </c>
      <c r="G95" t="s">
        <v>74</v>
      </c>
      <c r="H95" t="s">
        <v>74</v>
      </c>
      <c r="I95" t="s">
        <v>29731</v>
      </c>
      <c r="J95" t="s">
        <v>6467</v>
      </c>
      <c r="K95" t="s">
        <v>74</v>
      </c>
      <c r="L95" t="s">
        <v>74</v>
      </c>
      <c r="M95" t="s">
        <v>74</v>
      </c>
      <c r="N95" t="s">
        <v>103</v>
      </c>
      <c r="O95" t="s">
        <v>74</v>
      </c>
      <c r="P95" t="s">
        <v>74</v>
      </c>
      <c r="Q95" t="s">
        <v>74</v>
      </c>
      <c r="R95" t="s">
        <v>74</v>
      </c>
      <c r="S95" t="s">
        <v>74</v>
      </c>
      <c r="T95" t="s">
        <v>74</v>
      </c>
      <c r="U95" t="s">
        <v>29732</v>
      </c>
      <c r="V95" t="s">
        <v>29733</v>
      </c>
      <c r="W95" t="s">
        <v>29734</v>
      </c>
      <c r="X95" t="s">
        <v>29735</v>
      </c>
      <c r="Y95" t="s">
        <v>29736</v>
      </c>
      <c r="Z95" t="s">
        <v>29737</v>
      </c>
      <c r="AA95" t="s">
        <v>29738</v>
      </c>
      <c r="AB95" t="s">
        <v>29739</v>
      </c>
      <c r="AC95" t="s">
        <v>74</v>
      </c>
      <c r="AD95" t="s">
        <v>74</v>
      </c>
      <c r="AE95" t="s">
        <v>74</v>
      </c>
      <c r="AF95" t="s">
        <v>74</v>
      </c>
      <c r="AG95">
        <v>78</v>
      </c>
      <c r="AH95">
        <v>158</v>
      </c>
      <c r="AI95">
        <v>159</v>
      </c>
      <c r="AJ95">
        <v>4</v>
      </c>
      <c r="AK95">
        <v>37</v>
      </c>
      <c r="AL95" t="s">
        <v>74</v>
      </c>
      <c r="AM95" t="s">
        <v>74</v>
      </c>
      <c r="AN95" t="s">
        <v>74</v>
      </c>
      <c r="AO95" t="s">
        <v>6476</v>
      </c>
      <c r="AP95" t="s">
        <v>6477</v>
      </c>
      <c r="AQ95" t="s">
        <v>74</v>
      </c>
      <c r="AR95" t="s">
        <v>74</v>
      </c>
      <c r="AS95" t="s">
        <v>74</v>
      </c>
      <c r="AT95" t="s">
        <v>5823</v>
      </c>
      <c r="AU95">
        <v>2018</v>
      </c>
      <c r="AV95">
        <v>46</v>
      </c>
      <c r="AW95">
        <v>4</v>
      </c>
      <c r="AX95" t="s">
        <v>74</v>
      </c>
      <c r="AY95" t="s">
        <v>74</v>
      </c>
      <c r="AZ95" t="s">
        <v>74</v>
      </c>
      <c r="BA95" t="s">
        <v>74</v>
      </c>
      <c r="BB95">
        <v>481</v>
      </c>
      <c r="BC95" t="s">
        <v>3390</v>
      </c>
      <c r="BD95" t="s">
        <v>74</v>
      </c>
      <c r="BE95" t="s">
        <v>29740</v>
      </c>
      <c r="BF95" t="str">
        <f>HYPERLINK("http://dx.doi.org/10.1016/j.devcel.2018.06.023","http://dx.doi.org/10.1016/j.devcel.2018.06.023")</f>
        <v>http://dx.doi.org/10.1016/j.devcel.2018.06.023</v>
      </c>
      <c r="BG95" t="s">
        <v>74</v>
      </c>
      <c r="BH95" t="s">
        <v>74</v>
      </c>
      <c r="BI95" t="s">
        <v>74</v>
      </c>
      <c r="BJ95" t="s">
        <v>1100</v>
      </c>
      <c r="BK95" t="s">
        <v>117</v>
      </c>
      <c r="BL95" t="s">
        <v>1100</v>
      </c>
      <c r="BM95" t="s">
        <v>74</v>
      </c>
      <c r="BN95">
        <v>30057273</v>
      </c>
      <c r="BO95" t="s">
        <v>74</v>
      </c>
      <c r="BP95" t="s">
        <v>74</v>
      </c>
      <c r="BQ95" t="s">
        <v>74</v>
      </c>
      <c r="BR95" t="s">
        <v>96</v>
      </c>
      <c r="BS95" t="s">
        <v>29741</v>
      </c>
      <c r="BT95" t="str">
        <f>HYPERLINK("https%3A%2F%2Fwww.webofscience.com%2Fwos%2Fwoscc%2Ffull-record%2FWOS:000442143300008","View Full Record in Web of Science")</f>
        <v>View Full Record in Web of Science</v>
      </c>
    </row>
    <row r="96" spans="1:72" x14ac:dyDescent="0.15">
      <c r="A96" t="s">
        <v>98</v>
      </c>
      <c r="B96" t="s">
        <v>20233</v>
      </c>
      <c r="C96" t="s">
        <v>74</v>
      </c>
      <c r="D96" t="s">
        <v>74</v>
      </c>
      <c r="E96" t="s">
        <v>74</v>
      </c>
      <c r="F96" t="s">
        <v>20234</v>
      </c>
      <c r="G96" t="s">
        <v>74</v>
      </c>
      <c r="H96" t="s">
        <v>74</v>
      </c>
      <c r="I96" t="s">
        <v>20235</v>
      </c>
      <c r="J96" t="s">
        <v>8996</v>
      </c>
      <c r="K96" t="s">
        <v>74</v>
      </c>
      <c r="L96" t="s">
        <v>74</v>
      </c>
      <c r="M96" t="s">
        <v>74</v>
      </c>
      <c r="N96" t="s">
        <v>103</v>
      </c>
      <c r="O96" t="s">
        <v>74</v>
      </c>
      <c r="P96" t="s">
        <v>74</v>
      </c>
      <c r="Q96" t="s">
        <v>74</v>
      </c>
      <c r="R96" t="s">
        <v>74</v>
      </c>
      <c r="S96" t="s">
        <v>74</v>
      </c>
      <c r="T96" t="s">
        <v>74</v>
      </c>
      <c r="U96" t="s">
        <v>20236</v>
      </c>
      <c r="V96" t="s">
        <v>20237</v>
      </c>
      <c r="W96" t="s">
        <v>20238</v>
      </c>
      <c r="X96" t="s">
        <v>20239</v>
      </c>
      <c r="Y96" t="s">
        <v>20240</v>
      </c>
      <c r="Z96" t="s">
        <v>20241</v>
      </c>
      <c r="AA96" t="s">
        <v>20242</v>
      </c>
      <c r="AB96" t="s">
        <v>20243</v>
      </c>
      <c r="AC96" t="s">
        <v>74</v>
      </c>
      <c r="AD96" t="s">
        <v>74</v>
      </c>
      <c r="AE96" t="s">
        <v>74</v>
      </c>
      <c r="AF96" t="s">
        <v>74</v>
      </c>
      <c r="AG96">
        <v>34</v>
      </c>
      <c r="AH96">
        <v>157</v>
      </c>
      <c r="AI96">
        <v>162</v>
      </c>
      <c r="AJ96">
        <v>5</v>
      </c>
      <c r="AK96">
        <v>59</v>
      </c>
      <c r="AL96" t="s">
        <v>74</v>
      </c>
      <c r="AM96" t="s">
        <v>74</v>
      </c>
      <c r="AN96" t="s">
        <v>74</v>
      </c>
      <c r="AO96" t="s">
        <v>9004</v>
      </c>
      <c r="AP96" t="s">
        <v>9005</v>
      </c>
      <c r="AQ96" t="s">
        <v>74</v>
      </c>
      <c r="AR96" t="s">
        <v>74</v>
      </c>
      <c r="AS96" t="s">
        <v>74</v>
      </c>
      <c r="AT96" t="s">
        <v>8050</v>
      </c>
      <c r="AU96">
        <v>2015</v>
      </c>
      <c r="AV96">
        <v>349</v>
      </c>
      <c r="AW96">
        <v>6253</v>
      </c>
      <c r="AX96" t="s">
        <v>74</v>
      </c>
      <c r="AY96" t="s">
        <v>74</v>
      </c>
      <c r="AZ96" t="s">
        <v>74</v>
      </c>
      <c r="BA96" t="s">
        <v>74</v>
      </c>
      <c r="BB96">
        <v>1232</v>
      </c>
      <c r="BC96">
        <v>1236</v>
      </c>
      <c r="BD96" t="s">
        <v>74</v>
      </c>
      <c r="BE96" t="s">
        <v>20244</v>
      </c>
      <c r="BF96" t="str">
        <f>HYPERLINK("http://dx.doi.org/10.1126/science.aab3628","http://dx.doi.org/10.1126/science.aab3628")</f>
        <v>http://dx.doi.org/10.1126/science.aab3628</v>
      </c>
      <c r="BG96" t="s">
        <v>74</v>
      </c>
      <c r="BH96" t="s">
        <v>74</v>
      </c>
      <c r="BI96" t="s">
        <v>74</v>
      </c>
      <c r="BJ96" t="s">
        <v>152</v>
      </c>
      <c r="BK96" t="s">
        <v>117</v>
      </c>
      <c r="BL96" t="s">
        <v>153</v>
      </c>
      <c r="BM96" t="s">
        <v>74</v>
      </c>
      <c r="BN96">
        <v>26229115</v>
      </c>
      <c r="BO96" t="s">
        <v>74</v>
      </c>
      <c r="BP96" t="s">
        <v>74</v>
      </c>
      <c r="BQ96" t="s">
        <v>74</v>
      </c>
      <c r="BR96" t="s">
        <v>96</v>
      </c>
      <c r="BS96" t="s">
        <v>20245</v>
      </c>
      <c r="BT96" t="str">
        <f>HYPERLINK("https%3A%2F%2Fwww.webofscience.com%2Fwos%2Fwoscc%2Ffull-record%2FWOS:000360968400045","View Full Record in Web of Science")</f>
        <v>View Full Record in Web of Science</v>
      </c>
    </row>
    <row r="97" spans="1:72" x14ac:dyDescent="0.15">
      <c r="A97" t="s">
        <v>98</v>
      </c>
      <c r="B97" t="s">
        <v>16668</v>
      </c>
      <c r="C97" t="s">
        <v>74</v>
      </c>
      <c r="D97" t="s">
        <v>74</v>
      </c>
      <c r="E97" t="s">
        <v>74</v>
      </c>
      <c r="F97" t="s">
        <v>16669</v>
      </c>
      <c r="G97" t="s">
        <v>74</v>
      </c>
      <c r="H97" t="s">
        <v>74</v>
      </c>
      <c r="I97" t="s">
        <v>16670</v>
      </c>
      <c r="J97" t="s">
        <v>7065</v>
      </c>
      <c r="K97" t="s">
        <v>74</v>
      </c>
      <c r="L97" t="s">
        <v>74</v>
      </c>
      <c r="M97" t="s">
        <v>74</v>
      </c>
      <c r="N97" t="s">
        <v>103</v>
      </c>
      <c r="O97" t="s">
        <v>74</v>
      </c>
      <c r="P97" t="s">
        <v>74</v>
      </c>
      <c r="Q97" t="s">
        <v>74</v>
      </c>
      <c r="R97" t="s">
        <v>74</v>
      </c>
      <c r="S97" t="s">
        <v>74</v>
      </c>
      <c r="T97" t="s">
        <v>74</v>
      </c>
      <c r="U97" t="s">
        <v>16671</v>
      </c>
      <c r="V97" t="s">
        <v>16672</v>
      </c>
      <c r="W97" t="s">
        <v>16673</v>
      </c>
      <c r="X97" t="s">
        <v>16674</v>
      </c>
      <c r="Y97" t="s">
        <v>16675</v>
      </c>
      <c r="Z97" t="s">
        <v>16676</v>
      </c>
      <c r="AA97" t="s">
        <v>74</v>
      </c>
      <c r="AB97" t="s">
        <v>74</v>
      </c>
      <c r="AC97" t="s">
        <v>74</v>
      </c>
      <c r="AD97" t="s">
        <v>74</v>
      </c>
      <c r="AE97" t="s">
        <v>74</v>
      </c>
      <c r="AF97" t="s">
        <v>74</v>
      </c>
      <c r="AG97">
        <v>47</v>
      </c>
      <c r="AH97">
        <v>156</v>
      </c>
      <c r="AI97">
        <v>167</v>
      </c>
      <c r="AJ97">
        <v>17</v>
      </c>
      <c r="AK97">
        <v>57</v>
      </c>
      <c r="AL97" t="s">
        <v>74</v>
      </c>
      <c r="AM97" t="s">
        <v>74</v>
      </c>
      <c r="AN97" t="s">
        <v>74</v>
      </c>
      <c r="AO97" t="s">
        <v>7074</v>
      </c>
      <c r="AP97" t="s">
        <v>7075</v>
      </c>
      <c r="AQ97" t="s">
        <v>74</v>
      </c>
      <c r="AR97" t="s">
        <v>74</v>
      </c>
      <c r="AS97" t="s">
        <v>74</v>
      </c>
      <c r="AT97" t="s">
        <v>11850</v>
      </c>
      <c r="AU97">
        <v>2018</v>
      </c>
      <c r="AV97">
        <v>78</v>
      </c>
      <c r="AW97">
        <v>18</v>
      </c>
      <c r="AX97" t="s">
        <v>74</v>
      </c>
      <c r="AY97" t="s">
        <v>74</v>
      </c>
      <c r="AZ97" t="s">
        <v>74</v>
      </c>
      <c r="BA97" t="s">
        <v>74</v>
      </c>
      <c r="BB97">
        <v>5287</v>
      </c>
      <c r="BC97">
        <v>5299</v>
      </c>
      <c r="BD97" t="s">
        <v>74</v>
      </c>
      <c r="BE97" t="s">
        <v>16677</v>
      </c>
      <c r="BF97" t="str">
        <f>HYPERLINK("http://dx.doi.org/10.1158/0008-5472.CAN-18-0124","http://dx.doi.org/10.1158/0008-5472.CAN-18-0124")</f>
        <v>http://dx.doi.org/10.1158/0008-5472.CAN-18-0124</v>
      </c>
      <c r="BG97" t="s">
        <v>74</v>
      </c>
      <c r="BH97" t="s">
        <v>74</v>
      </c>
      <c r="BI97" t="s">
        <v>74</v>
      </c>
      <c r="BJ97" t="s">
        <v>267</v>
      </c>
      <c r="BK97" t="s">
        <v>117</v>
      </c>
      <c r="BL97" t="s">
        <v>267</v>
      </c>
      <c r="BM97" t="s">
        <v>74</v>
      </c>
      <c r="BN97">
        <v>30042153</v>
      </c>
      <c r="BO97" t="s">
        <v>74</v>
      </c>
      <c r="BP97" t="s">
        <v>193</v>
      </c>
      <c r="BQ97" t="s">
        <v>194</v>
      </c>
      <c r="BR97" t="s">
        <v>96</v>
      </c>
      <c r="BS97" t="s">
        <v>16678</v>
      </c>
      <c r="BT97" t="str">
        <f>HYPERLINK("https%3A%2F%2Fwww.webofscience.com%2Fwos%2Fwoscc%2Ffull-record%2FWOS:000444803700009","View Full Record in Web of Science")</f>
        <v>View Full Record in Web of Science</v>
      </c>
    </row>
    <row r="98" spans="1:72" x14ac:dyDescent="0.15">
      <c r="A98" t="s">
        <v>98</v>
      </c>
      <c r="B98" t="s">
        <v>11685</v>
      </c>
      <c r="C98" t="s">
        <v>74</v>
      </c>
      <c r="D98" t="s">
        <v>74</v>
      </c>
      <c r="E98" t="s">
        <v>74</v>
      </c>
      <c r="F98" t="s">
        <v>11686</v>
      </c>
      <c r="G98" t="s">
        <v>74</v>
      </c>
      <c r="H98" t="s">
        <v>74</v>
      </c>
      <c r="I98" t="s">
        <v>11687</v>
      </c>
      <c r="J98" t="s">
        <v>8854</v>
      </c>
      <c r="K98" t="s">
        <v>74</v>
      </c>
      <c r="L98" t="s">
        <v>74</v>
      </c>
      <c r="M98" t="s">
        <v>74</v>
      </c>
      <c r="N98" t="s">
        <v>103</v>
      </c>
      <c r="O98" t="s">
        <v>74</v>
      </c>
      <c r="P98" t="s">
        <v>74</v>
      </c>
      <c r="Q98" t="s">
        <v>74</v>
      </c>
      <c r="R98" t="s">
        <v>74</v>
      </c>
      <c r="S98" t="s">
        <v>74</v>
      </c>
      <c r="T98" t="s">
        <v>74</v>
      </c>
      <c r="U98" t="s">
        <v>11688</v>
      </c>
      <c r="V98" t="s">
        <v>11689</v>
      </c>
      <c r="W98" t="s">
        <v>11690</v>
      </c>
      <c r="X98" t="s">
        <v>11691</v>
      </c>
      <c r="Y98" t="s">
        <v>11692</v>
      </c>
      <c r="Z98" t="s">
        <v>11693</v>
      </c>
      <c r="AA98" t="s">
        <v>11694</v>
      </c>
      <c r="AB98" t="s">
        <v>11695</v>
      </c>
      <c r="AC98" t="s">
        <v>74</v>
      </c>
      <c r="AD98" t="s">
        <v>74</v>
      </c>
      <c r="AE98" t="s">
        <v>74</v>
      </c>
      <c r="AF98" t="s">
        <v>74</v>
      </c>
      <c r="AG98">
        <v>41</v>
      </c>
      <c r="AH98">
        <v>154</v>
      </c>
      <c r="AI98">
        <v>159</v>
      </c>
      <c r="AJ98">
        <v>17</v>
      </c>
      <c r="AK98">
        <v>80</v>
      </c>
      <c r="AL98" t="s">
        <v>74</v>
      </c>
      <c r="AM98" t="s">
        <v>74</v>
      </c>
      <c r="AN98" t="s">
        <v>74</v>
      </c>
      <c r="AO98" t="s">
        <v>8862</v>
      </c>
      <c r="AP98" t="s">
        <v>8863</v>
      </c>
      <c r="AQ98" t="s">
        <v>74</v>
      </c>
      <c r="AR98" t="s">
        <v>74</v>
      </c>
      <c r="AS98" t="s">
        <v>74</v>
      </c>
      <c r="AT98" t="s">
        <v>11696</v>
      </c>
      <c r="AU98">
        <v>2017</v>
      </c>
      <c r="AV98">
        <v>25</v>
      </c>
      <c r="AW98">
        <v>6</v>
      </c>
      <c r="AX98" t="s">
        <v>74</v>
      </c>
      <c r="AY98" t="s">
        <v>74</v>
      </c>
      <c r="AZ98" t="s">
        <v>74</v>
      </c>
      <c r="BA98" t="s">
        <v>74</v>
      </c>
      <c r="BB98">
        <v>1269</v>
      </c>
      <c r="BC98">
        <v>1278</v>
      </c>
      <c r="BD98" t="s">
        <v>74</v>
      </c>
      <c r="BE98" t="s">
        <v>11697</v>
      </c>
      <c r="BF98" t="str">
        <f>HYPERLINK("http://dx.doi.org/10.1016/j.ymthe.2017.03.030","http://dx.doi.org/10.1016/j.ymthe.2017.03.030")</f>
        <v>http://dx.doi.org/10.1016/j.ymthe.2017.03.030</v>
      </c>
      <c r="BG98" t="s">
        <v>74</v>
      </c>
      <c r="BH98" t="s">
        <v>74</v>
      </c>
      <c r="BI98" t="s">
        <v>74</v>
      </c>
      <c r="BJ98" t="s">
        <v>2875</v>
      </c>
      <c r="BK98" t="s">
        <v>117</v>
      </c>
      <c r="BL98" t="s">
        <v>2876</v>
      </c>
      <c r="BM98" t="s">
        <v>74</v>
      </c>
      <c r="BN98">
        <v>28412169</v>
      </c>
      <c r="BO98" t="s">
        <v>74</v>
      </c>
      <c r="BP98" t="s">
        <v>193</v>
      </c>
      <c r="BQ98" t="s">
        <v>194</v>
      </c>
      <c r="BR98" t="s">
        <v>96</v>
      </c>
      <c r="BS98" t="s">
        <v>11698</v>
      </c>
      <c r="BT98" t="str">
        <f>HYPERLINK("https%3A%2F%2Fwww.webofscience.com%2Fwos%2Fwoscc%2Ffull-record%2FWOS:000403196300004","View Full Record in Web of Science")</f>
        <v>View Full Record in Web of Science</v>
      </c>
    </row>
    <row r="99" spans="1:72" x14ac:dyDescent="0.15">
      <c r="A99" t="s">
        <v>98</v>
      </c>
      <c r="B99" t="s">
        <v>21144</v>
      </c>
      <c r="C99" t="s">
        <v>74</v>
      </c>
      <c r="D99" t="s">
        <v>74</v>
      </c>
      <c r="E99" t="s">
        <v>74</v>
      </c>
      <c r="F99" t="s">
        <v>21145</v>
      </c>
      <c r="G99" t="s">
        <v>74</v>
      </c>
      <c r="H99" t="s">
        <v>74</v>
      </c>
      <c r="I99" t="s">
        <v>21146</v>
      </c>
      <c r="J99" t="s">
        <v>658</v>
      </c>
      <c r="K99" t="s">
        <v>74</v>
      </c>
      <c r="L99" t="s">
        <v>74</v>
      </c>
      <c r="M99" t="s">
        <v>74</v>
      </c>
      <c r="N99" t="s">
        <v>103</v>
      </c>
      <c r="O99" t="s">
        <v>74</v>
      </c>
      <c r="P99" t="s">
        <v>74</v>
      </c>
      <c r="Q99" t="s">
        <v>74</v>
      </c>
      <c r="R99" t="s">
        <v>74</v>
      </c>
      <c r="S99" t="s">
        <v>74</v>
      </c>
      <c r="T99" t="s">
        <v>74</v>
      </c>
      <c r="U99" t="s">
        <v>21147</v>
      </c>
      <c r="V99" t="s">
        <v>21148</v>
      </c>
      <c r="W99" t="s">
        <v>21149</v>
      </c>
      <c r="X99" t="s">
        <v>21150</v>
      </c>
      <c r="Y99" t="s">
        <v>21151</v>
      </c>
      <c r="Z99" t="s">
        <v>21152</v>
      </c>
      <c r="AA99" t="s">
        <v>21153</v>
      </c>
      <c r="AB99" t="s">
        <v>21154</v>
      </c>
      <c r="AC99" t="s">
        <v>74</v>
      </c>
      <c r="AD99" t="s">
        <v>74</v>
      </c>
      <c r="AE99" t="s">
        <v>74</v>
      </c>
      <c r="AF99" t="s">
        <v>74</v>
      </c>
      <c r="AG99">
        <v>50</v>
      </c>
      <c r="AH99">
        <v>154</v>
      </c>
      <c r="AI99">
        <v>158</v>
      </c>
      <c r="AJ99">
        <v>4</v>
      </c>
      <c r="AK99">
        <v>48</v>
      </c>
      <c r="AL99" t="s">
        <v>74</v>
      </c>
      <c r="AM99" t="s">
        <v>74</v>
      </c>
      <c r="AN99" t="s">
        <v>74</v>
      </c>
      <c r="AO99" t="s">
        <v>668</v>
      </c>
      <c r="AP99" t="s">
        <v>74</v>
      </c>
      <c r="AQ99" t="s">
        <v>74</v>
      </c>
      <c r="AR99" t="s">
        <v>74</v>
      </c>
      <c r="AS99" t="s">
        <v>74</v>
      </c>
      <c r="AT99" t="s">
        <v>2062</v>
      </c>
      <c r="AU99">
        <v>2011</v>
      </c>
      <c r="AV99">
        <v>108</v>
      </c>
      <c r="AW99">
        <v>21</v>
      </c>
      <c r="AX99" t="s">
        <v>74</v>
      </c>
      <c r="AY99" t="s">
        <v>74</v>
      </c>
      <c r="AZ99" t="s">
        <v>74</v>
      </c>
      <c r="BA99" t="s">
        <v>74</v>
      </c>
      <c r="BB99">
        <v>8809</v>
      </c>
      <c r="BC99">
        <v>8814</v>
      </c>
      <c r="BD99" t="s">
        <v>74</v>
      </c>
      <c r="BE99" t="s">
        <v>21155</v>
      </c>
      <c r="BF99" t="str">
        <f>HYPERLINK("http://dx.doi.org/10.1073/pnas.1019330108","http://dx.doi.org/10.1073/pnas.1019330108")</f>
        <v>http://dx.doi.org/10.1073/pnas.1019330108</v>
      </c>
      <c r="BG99" t="s">
        <v>74</v>
      </c>
      <c r="BH99" t="s">
        <v>74</v>
      </c>
      <c r="BI99" t="s">
        <v>74</v>
      </c>
      <c r="BJ99" t="s">
        <v>152</v>
      </c>
      <c r="BK99" t="s">
        <v>117</v>
      </c>
      <c r="BL99" t="s">
        <v>153</v>
      </c>
      <c r="BM99" t="s">
        <v>74</v>
      </c>
      <c r="BN99">
        <v>21555566</v>
      </c>
      <c r="BO99" t="s">
        <v>74</v>
      </c>
      <c r="BP99" t="s">
        <v>74</v>
      </c>
      <c r="BQ99" t="s">
        <v>74</v>
      </c>
      <c r="BR99" t="s">
        <v>96</v>
      </c>
      <c r="BS99" t="s">
        <v>21156</v>
      </c>
      <c r="BT99" t="str">
        <f>HYPERLINK("https%3A%2F%2Fwww.webofscience.com%2Fwos%2Fwoscc%2Ffull-record%2FWOS:000290908000058","View Full Record in Web of Science")</f>
        <v>View Full Record in Web of Science</v>
      </c>
    </row>
    <row r="100" spans="1:72" x14ac:dyDescent="0.15">
      <c r="A100" t="s">
        <v>98</v>
      </c>
      <c r="B100" t="s">
        <v>766</v>
      </c>
      <c r="C100" t="s">
        <v>74</v>
      </c>
      <c r="D100" t="s">
        <v>74</v>
      </c>
      <c r="E100" t="s">
        <v>74</v>
      </c>
      <c r="F100" t="s">
        <v>767</v>
      </c>
      <c r="G100" t="s">
        <v>74</v>
      </c>
      <c r="H100" t="s">
        <v>74</v>
      </c>
      <c r="I100" t="s">
        <v>768</v>
      </c>
      <c r="J100" t="s">
        <v>123</v>
      </c>
      <c r="K100" t="s">
        <v>74</v>
      </c>
      <c r="L100" t="s">
        <v>74</v>
      </c>
      <c r="M100" t="s">
        <v>74</v>
      </c>
      <c r="N100" t="s">
        <v>103</v>
      </c>
      <c r="O100" t="s">
        <v>74</v>
      </c>
      <c r="P100" t="s">
        <v>74</v>
      </c>
      <c r="Q100" t="s">
        <v>74</v>
      </c>
      <c r="R100" t="s">
        <v>74</v>
      </c>
      <c r="S100" t="s">
        <v>74</v>
      </c>
      <c r="T100" t="s">
        <v>769</v>
      </c>
      <c r="U100" t="s">
        <v>770</v>
      </c>
      <c r="V100" t="s">
        <v>771</v>
      </c>
      <c r="W100" t="s">
        <v>772</v>
      </c>
      <c r="X100" t="s">
        <v>204</v>
      </c>
      <c r="Y100" t="s">
        <v>773</v>
      </c>
      <c r="Z100" t="s">
        <v>774</v>
      </c>
      <c r="AA100" t="s">
        <v>775</v>
      </c>
      <c r="AB100" t="s">
        <v>776</v>
      </c>
      <c r="AC100" t="s">
        <v>74</v>
      </c>
      <c r="AD100" t="s">
        <v>74</v>
      </c>
      <c r="AE100" t="s">
        <v>74</v>
      </c>
      <c r="AF100" t="s">
        <v>74</v>
      </c>
      <c r="AG100">
        <v>68</v>
      </c>
      <c r="AH100">
        <v>153</v>
      </c>
      <c r="AI100">
        <v>160</v>
      </c>
      <c r="AJ100">
        <v>5</v>
      </c>
      <c r="AK100">
        <v>23</v>
      </c>
      <c r="AL100" t="s">
        <v>74</v>
      </c>
      <c r="AM100" t="s">
        <v>74</v>
      </c>
      <c r="AN100" t="s">
        <v>74</v>
      </c>
      <c r="AO100" t="s">
        <v>74</v>
      </c>
      <c r="AP100" t="s">
        <v>131</v>
      </c>
      <c r="AQ100" t="s">
        <v>74</v>
      </c>
      <c r="AR100" t="s">
        <v>74</v>
      </c>
      <c r="AS100" t="s">
        <v>74</v>
      </c>
      <c r="AT100" t="s">
        <v>74</v>
      </c>
      <c r="AU100">
        <v>2015</v>
      </c>
      <c r="AV100">
        <v>4</v>
      </c>
      <c r="AW100" t="s">
        <v>74</v>
      </c>
      <c r="AX100" t="s">
        <v>74</v>
      </c>
      <c r="AY100" t="s">
        <v>74</v>
      </c>
      <c r="AZ100" t="s">
        <v>74</v>
      </c>
      <c r="BA100" t="s">
        <v>74</v>
      </c>
      <c r="BB100" t="s">
        <v>74</v>
      </c>
      <c r="BC100" t="s">
        <v>74</v>
      </c>
      <c r="BD100">
        <v>28239</v>
      </c>
      <c r="BE100" t="s">
        <v>777</v>
      </c>
      <c r="BF100" t="str">
        <f>HYPERLINK("http://dx.doi.org/10.3402/jev.v4.28239","http://dx.doi.org/10.3402/jev.v4.28239")</f>
        <v>http://dx.doi.org/10.3402/jev.v4.28239</v>
      </c>
      <c r="BG100" t="s">
        <v>74</v>
      </c>
      <c r="BH100" t="s">
        <v>74</v>
      </c>
      <c r="BI100" t="s">
        <v>74</v>
      </c>
      <c r="BJ100" t="s">
        <v>135</v>
      </c>
      <c r="BK100" t="s">
        <v>467</v>
      </c>
      <c r="BL100" t="s">
        <v>135</v>
      </c>
      <c r="BM100" t="s">
        <v>74</v>
      </c>
      <c r="BN100">
        <v>26142461</v>
      </c>
      <c r="BO100" t="s">
        <v>74</v>
      </c>
      <c r="BP100" t="s">
        <v>74</v>
      </c>
      <c r="BQ100" t="s">
        <v>74</v>
      </c>
      <c r="BR100" t="s">
        <v>96</v>
      </c>
      <c r="BS100" t="s">
        <v>778</v>
      </c>
      <c r="BT100" t="str">
        <f>HYPERLINK("https%3A%2F%2Fwww.webofscience.com%2Fwos%2Fwoscc%2Ffull-record%2FWOS:000365074800001","View Full Record in Web of Science")</f>
        <v>View Full Record in Web of Science</v>
      </c>
    </row>
    <row r="101" spans="1:72" x14ac:dyDescent="0.15">
      <c r="A101" t="s">
        <v>98</v>
      </c>
      <c r="B101" t="s">
        <v>15168</v>
      </c>
      <c r="C101" t="s">
        <v>74</v>
      </c>
      <c r="D101" t="s">
        <v>74</v>
      </c>
      <c r="E101" t="s">
        <v>74</v>
      </c>
      <c r="F101" t="s">
        <v>15169</v>
      </c>
      <c r="G101" t="s">
        <v>74</v>
      </c>
      <c r="H101" t="s">
        <v>74</v>
      </c>
      <c r="I101" t="s">
        <v>15170</v>
      </c>
      <c r="J101" t="s">
        <v>4486</v>
      </c>
      <c r="K101" t="s">
        <v>74</v>
      </c>
      <c r="L101" t="s">
        <v>74</v>
      </c>
      <c r="M101" t="s">
        <v>74</v>
      </c>
      <c r="N101" t="s">
        <v>103</v>
      </c>
      <c r="O101" t="s">
        <v>74</v>
      </c>
      <c r="P101" t="s">
        <v>74</v>
      </c>
      <c r="Q101" t="s">
        <v>74</v>
      </c>
      <c r="R101" t="s">
        <v>74</v>
      </c>
      <c r="S101" t="s">
        <v>74</v>
      </c>
      <c r="T101" t="s">
        <v>74</v>
      </c>
      <c r="U101" t="s">
        <v>15171</v>
      </c>
      <c r="V101" t="s">
        <v>15172</v>
      </c>
      <c r="W101" t="s">
        <v>15173</v>
      </c>
      <c r="X101" t="s">
        <v>8677</v>
      </c>
      <c r="Y101" t="s">
        <v>15174</v>
      </c>
      <c r="Z101" t="s">
        <v>15175</v>
      </c>
      <c r="AA101" t="s">
        <v>15176</v>
      </c>
      <c r="AB101" t="s">
        <v>15177</v>
      </c>
      <c r="AC101" t="s">
        <v>74</v>
      </c>
      <c r="AD101" t="s">
        <v>74</v>
      </c>
      <c r="AE101" t="s">
        <v>74</v>
      </c>
      <c r="AF101" t="s">
        <v>74</v>
      </c>
      <c r="AG101">
        <v>43</v>
      </c>
      <c r="AH101">
        <v>153</v>
      </c>
      <c r="AI101">
        <v>153</v>
      </c>
      <c r="AJ101">
        <v>41</v>
      </c>
      <c r="AK101">
        <v>457</v>
      </c>
      <c r="AL101" t="s">
        <v>74</v>
      </c>
      <c r="AM101" t="s">
        <v>74</v>
      </c>
      <c r="AN101" t="s">
        <v>74</v>
      </c>
      <c r="AO101" t="s">
        <v>4493</v>
      </c>
      <c r="AP101" t="s">
        <v>4494</v>
      </c>
      <c r="AQ101" t="s">
        <v>74</v>
      </c>
      <c r="AR101" t="s">
        <v>74</v>
      </c>
      <c r="AS101" t="s">
        <v>74</v>
      </c>
      <c r="AT101" t="s">
        <v>3255</v>
      </c>
      <c r="AU101">
        <v>2017</v>
      </c>
      <c r="AV101">
        <v>89</v>
      </c>
      <c r="AW101">
        <v>22</v>
      </c>
      <c r="AX101" t="s">
        <v>74</v>
      </c>
      <c r="AY101" t="s">
        <v>74</v>
      </c>
      <c r="AZ101" t="s">
        <v>74</v>
      </c>
      <c r="BA101" t="s">
        <v>74</v>
      </c>
      <c r="BB101">
        <v>12327</v>
      </c>
      <c r="BC101">
        <v>12333</v>
      </c>
      <c r="BD101" t="s">
        <v>74</v>
      </c>
      <c r="BE101" t="s">
        <v>15178</v>
      </c>
      <c r="BF101" t="str">
        <f>HYPERLINK("http://dx.doi.org/10.1021/acs.analchem.7b03335","http://dx.doi.org/10.1021/acs.analchem.7b03335")</f>
        <v>http://dx.doi.org/10.1021/acs.analchem.7b03335</v>
      </c>
      <c r="BG101" t="s">
        <v>74</v>
      </c>
      <c r="BH101" t="s">
        <v>74</v>
      </c>
      <c r="BI101" t="s">
        <v>74</v>
      </c>
      <c r="BJ101" t="s">
        <v>1118</v>
      </c>
      <c r="BK101" t="s">
        <v>117</v>
      </c>
      <c r="BL101" t="s">
        <v>1048</v>
      </c>
      <c r="BM101" t="s">
        <v>74</v>
      </c>
      <c r="BN101">
        <v>29069893</v>
      </c>
      <c r="BO101" t="s">
        <v>74</v>
      </c>
      <c r="BP101" t="s">
        <v>74</v>
      </c>
      <c r="BQ101" t="s">
        <v>74</v>
      </c>
      <c r="BR101" t="s">
        <v>96</v>
      </c>
      <c r="BS101" t="s">
        <v>15179</v>
      </c>
      <c r="BT101" t="str">
        <f>HYPERLINK("https%3A%2F%2Fwww.webofscience.com%2Fwos%2Fwoscc%2Ffull-record%2FWOS:000416498100061","View Full Record in Web of Science")</f>
        <v>View Full Record in Web of Science</v>
      </c>
    </row>
    <row r="102" spans="1:72" x14ac:dyDescent="0.15">
      <c r="A102" t="s">
        <v>98</v>
      </c>
      <c r="B102" t="s">
        <v>24738</v>
      </c>
      <c r="C102" t="s">
        <v>74</v>
      </c>
      <c r="D102" t="s">
        <v>74</v>
      </c>
      <c r="E102" t="s">
        <v>74</v>
      </c>
      <c r="F102" t="s">
        <v>24739</v>
      </c>
      <c r="G102" t="s">
        <v>74</v>
      </c>
      <c r="H102" t="s">
        <v>74</v>
      </c>
      <c r="I102" t="s">
        <v>24740</v>
      </c>
      <c r="J102" t="s">
        <v>1159</v>
      </c>
      <c r="K102" t="s">
        <v>74</v>
      </c>
      <c r="L102" t="s">
        <v>74</v>
      </c>
      <c r="M102" t="s">
        <v>74</v>
      </c>
      <c r="N102" t="s">
        <v>103</v>
      </c>
      <c r="O102" t="s">
        <v>74</v>
      </c>
      <c r="P102" t="s">
        <v>74</v>
      </c>
      <c r="Q102" t="s">
        <v>74</v>
      </c>
      <c r="R102" t="s">
        <v>74</v>
      </c>
      <c r="S102" t="s">
        <v>74</v>
      </c>
      <c r="T102" t="s">
        <v>24741</v>
      </c>
      <c r="U102" t="s">
        <v>24742</v>
      </c>
      <c r="V102" t="s">
        <v>24743</v>
      </c>
      <c r="W102" t="s">
        <v>24744</v>
      </c>
      <c r="X102" t="s">
        <v>24745</v>
      </c>
      <c r="Y102" t="s">
        <v>24746</v>
      </c>
      <c r="Z102" t="s">
        <v>24747</v>
      </c>
      <c r="AA102" t="s">
        <v>24748</v>
      </c>
      <c r="AB102" t="s">
        <v>24749</v>
      </c>
      <c r="AC102" t="s">
        <v>74</v>
      </c>
      <c r="AD102" t="s">
        <v>74</v>
      </c>
      <c r="AE102" t="s">
        <v>74</v>
      </c>
      <c r="AF102" t="s">
        <v>74</v>
      </c>
      <c r="AG102">
        <v>19</v>
      </c>
      <c r="AH102">
        <v>153</v>
      </c>
      <c r="AI102">
        <v>160</v>
      </c>
      <c r="AJ102">
        <v>1</v>
      </c>
      <c r="AK102">
        <v>21</v>
      </c>
      <c r="AL102" t="s">
        <v>74</v>
      </c>
      <c r="AM102" t="s">
        <v>74</v>
      </c>
      <c r="AN102" t="s">
        <v>74</v>
      </c>
      <c r="AO102" t="s">
        <v>74</v>
      </c>
      <c r="AP102" t="s">
        <v>1168</v>
      </c>
      <c r="AQ102" t="s">
        <v>74</v>
      </c>
      <c r="AR102" t="s">
        <v>74</v>
      </c>
      <c r="AS102" t="s">
        <v>74</v>
      </c>
      <c r="AT102" t="s">
        <v>9059</v>
      </c>
      <c r="AU102">
        <v>2018</v>
      </c>
      <c r="AV102">
        <v>17</v>
      </c>
      <c r="AW102" t="s">
        <v>74</v>
      </c>
      <c r="AX102" t="s">
        <v>74</v>
      </c>
      <c r="AY102" t="s">
        <v>74</v>
      </c>
      <c r="AZ102" t="s">
        <v>74</v>
      </c>
      <c r="BA102" t="s">
        <v>74</v>
      </c>
      <c r="BB102" t="s">
        <v>74</v>
      </c>
      <c r="BC102" t="s">
        <v>74</v>
      </c>
      <c r="BD102">
        <v>74</v>
      </c>
      <c r="BE102" t="s">
        <v>24750</v>
      </c>
      <c r="BF102" t="str">
        <f>HYPERLINK("http://dx.doi.org/10.1186/s12943-018-0822-0","http://dx.doi.org/10.1186/s12943-018-0822-0")</f>
        <v>http://dx.doi.org/10.1186/s12943-018-0822-0</v>
      </c>
      <c r="BG102" t="s">
        <v>74</v>
      </c>
      <c r="BH102" t="s">
        <v>74</v>
      </c>
      <c r="BI102" t="s">
        <v>74</v>
      </c>
      <c r="BJ102" t="s">
        <v>357</v>
      </c>
      <c r="BK102" t="s">
        <v>117</v>
      </c>
      <c r="BL102" t="s">
        <v>357</v>
      </c>
      <c r="BM102" t="s">
        <v>74</v>
      </c>
      <c r="BN102">
        <v>29558959</v>
      </c>
      <c r="BO102" t="s">
        <v>74</v>
      </c>
      <c r="BP102" t="s">
        <v>74</v>
      </c>
      <c r="BQ102" t="s">
        <v>74</v>
      </c>
      <c r="BR102" t="s">
        <v>96</v>
      </c>
      <c r="BS102" t="s">
        <v>24751</v>
      </c>
      <c r="BT102" t="str">
        <f>HYPERLINK("https%3A%2F%2Fwww.webofscience.com%2Fwos%2Fwoscc%2Ffull-record%2FWOS:000427850200001","View Full Record in Web of Science")</f>
        <v>View Full Record in Web of Science</v>
      </c>
    </row>
    <row r="103" spans="1:72" x14ac:dyDescent="0.15">
      <c r="A103" t="s">
        <v>98</v>
      </c>
      <c r="B103" t="s">
        <v>13038</v>
      </c>
      <c r="C103" t="s">
        <v>74</v>
      </c>
      <c r="D103" t="s">
        <v>74</v>
      </c>
      <c r="E103" t="s">
        <v>74</v>
      </c>
      <c r="F103" t="s">
        <v>13039</v>
      </c>
      <c r="G103" t="s">
        <v>74</v>
      </c>
      <c r="H103" t="s">
        <v>74</v>
      </c>
      <c r="I103" t="s">
        <v>13040</v>
      </c>
      <c r="J103" t="s">
        <v>13041</v>
      </c>
      <c r="K103" t="s">
        <v>74</v>
      </c>
      <c r="L103" t="s">
        <v>74</v>
      </c>
      <c r="M103" t="s">
        <v>74</v>
      </c>
      <c r="N103" t="s">
        <v>103</v>
      </c>
      <c r="O103" t="s">
        <v>74</v>
      </c>
      <c r="P103" t="s">
        <v>74</v>
      </c>
      <c r="Q103" t="s">
        <v>74</v>
      </c>
      <c r="R103" t="s">
        <v>74</v>
      </c>
      <c r="S103" t="s">
        <v>74</v>
      </c>
      <c r="T103" t="s">
        <v>13042</v>
      </c>
      <c r="U103" t="s">
        <v>13043</v>
      </c>
      <c r="V103" t="s">
        <v>13044</v>
      </c>
      <c r="W103" t="s">
        <v>13045</v>
      </c>
      <c r="X103" t="s">
        <v>13046</v>
      </c>
      <c r="Y103" t="s">
        <v>13047</v>
      </c>
      <c r="Z103" t="s">
        <v>13048</v>
      </c>
      <c r="AA103" t="s">
        <v>13049</v>
      </c>
      <c r="AB103" t="s">
        <v>13050</v>
      </c>
      <c r="AC103" t="s">
        <v>74</v>
      </c>
      <c r="AD103" t="s">
        <v>74</v>
      </c>
      <c r="AE103" t="s">
        <v>74</v>
      </c>
      <c r="AF103" t="s">
        <v>74</v>
      </c>
      <c r="AG103">
        <v>51</v>
      </c>
      <c r="AH103">
        <v>152</v>
      </c>
      <c r="AI103">
        <v>154</v>
      </c>
      <c r="AJ103">
        <v>8</v>
      </c>
      <c r="AK103">
        <v>94</v>
      </c>
      <c r="AL103" t="s">
        <v>74</v>
      </c>
      <c r="AM103" t="s">
        <v>74</v>
      </c>
      <c r="AN103" t="s">
        <v>74</v>
      </c>
      <c r="AO103" t="s">
        <v>13051</v>
      </c>
      <c r="AP103" t="s">
        <v>13052</v>
      </c>
      <c r="AQ103" t="s">
        <v>74</v>
      </c>
      <c r="AR103" t="s">
        <v>74</v>
      </c>
      <c r="AS103" t="s">
        <v>74</v>
      </c>
      <c r="AT103" t="s">
        <v>114</v>
      </c>
      <c r="AU103">
        <v>2017</v>
      </c>
      <c r="AV103">
        <v>312</v>
      </c>
      <c r="AW103">
        <v>1</v>
      </c>
      <c r="AX103" t="s">
        <v>74</v>
      </c>
      <c r="AY103" t="s">
        <v>74</v>
      </c>
      <c r="AZ103" t="s">
        <v>74</v>
      </c>
      <c r="BA103" t="s">
        <v>74</v>
      </c>
      <c r="BB103" t="s">
        <v>13053</v>
      </c>
      <c r="BC103" t="s">
        <v>13054</v>
      </c>
      <c r="BD103" t="s">
        <v>74</v>
      </c>
      <c r="BE103" t="s">
        <v>13055</v>
      </c>
      <c r="BF103" t="str">
        <f>HYPERLINK("http://dx.doi.org/10.1152/ajplung.00423.2016","http://dx.doi.org/10.1152/ajplung.00423.2016")</f>
        <v>http://dx.doi.org/10.1152/ajplung.00423.2016</v>
      </c>
      <c r="BG103" t="s">
        <v>74</v>
      </c>
      <c r="BH103" t="s">
        <v>74</v>
      </c>
      <c r="BI103" t="s">
        <v>74</v>
      </c>
      <c r="BJ103" t="s">
        <v>13056</v>
      </c>
      <c r="BK103" t="s">
        <v>117</v>
      </c>
      <c r="BL103" t="s">
        <v>13056</v>
      </c>
      <c r="BM103" t="s">
        <v>74</v>
      </c>
      <c r="BN103">
        <v>27881406</v>
      </c>
      <c r="BO103" t="s">
        <v>74</v>
      </c>
      <c r="BP103" t="s">
        <v>193</v>
      </c>
      <c r="BQ103" t="s">
        <v>194</v>
      </c>
      <c r="BR103" t="s">
        <v>96</v>
      </c>
      <c r="BS103" t="s">
        <v>13057</v>
      </c>
      <c r="BT103" t="str">
        <f>HYPERLINK("https%3A%2F%2Fwww.webofscience.com%2Fwos%2Fwoscc%2Ffull-record%2FWOS:000393791100011","View Full Record in Web of Science")</f>
        <v>View Full Record in Web of Science</v>
      </c>
    </row>
    <row r="104" spans="1:72" x14ac:dyDescent="0.15">
      <c r="A104" t="s">
        <v>98</v>
      </c>
      <c r="B104" t="s">
        <v>2977</v>
      </c>
      <c r="C104" t="s">
        <v>74</v>
      </c>
      <c r="D104" t="s">
        <v>74</v>
      </c>
      <c r="E104" t="s">
        <v>74</v>
      </c>
      <c r="F104" t="s">
        <v>2978</v>
      </c>
      <c r="G104" t="s">
        <v>74</v>
      </c>
      <c r="H104" t="s">
        <v>74</v>
      </c>
      <c r="I104" t="s">
        <v>2979</v>
      </c>
      <c r="J104" t="s">
        <v>2980</v>
      </c>
      <c r="K104" t="s">
        <v>74</v>
      </c>
      <c r="L104" t="s">
        <v>74</v>
      </c>
      <c r="M104" t="s">
        <v>74</v>
      </c>
      <c r="N104" t="s">
        <v>103</v>
      </c>
      <c r="O104" t="s">
        <v>74</v>
      </c>
      <c r="P104" t="s">
        <v>74</v>
      </c>
      <c r="Q104" t="s">
        <v>74</v>
      </c>
      <c r="R104" t="s">
        <v>74</v>
      </c>
      <c r="S104" t="s">
        <v>74</v>
      </c>
      <c r="T104" t="s">
        <v>2981</v>
      </c>
      <c r="U104" t="s">
        <v>2982</v>
      </c>
      <c r="V104" t="s">
        <v>2983</v>
      </c>
      <c r="W104" t="s">
        <v>2984</v>
      </c>
      <c r="X104" t="s">
        <v>2985</v>
      </c>
      <c r="Y104" t="s">
        <v>2986</v>
      </c>
      <c r="Z104" t="s">
        <v>2987</v>
      </c>
      <c r="AA104" t="s">
        <v>2988</v>
      </c>
      <c r="AB104" t="s">
        <v>74</v>
      </c>
      <c r="AC104" t="s">
        <v>74</v>
      </c>
      <c r="AD104" t="s">
        <v>74</v>
      </c>
      <c r="AE104" t="s">
        <v>74</v>
      </c>
      <c r="AF104" t="s">
        <v>74</v>
      </c>
      <c r="AG104">
        <v>35</v>
      </c>
      <c r="AH104">
        <v>151</v>
      </c>
      <c r="AI104">
        <v>157</v>
      </c>
      <c r="AJ104">
        <v>1</v>
      </c>
      <c r="AK104">
        <v>21</v>
      </c>
      <c r="AL104" t="s">
        <v>74</v>
      </c>
      <c r="AM104" t="s">
        <v>74</v>
      </c>
      <c r="AN104" t="s">
        <v>74</v>
      </c>
      <c r="AO104" t="s">
        <v>2989</v>
      </c>
      <c r="AP104" t="s">
        <v>74</v>
      </c>
      <c r="AQ104" t="s">
        <v>74</v>
      </c>
      <c r="AR104" t="s">
        <v>74</v>
      </c>
      <c r="AS104" t="s">
        <v>74</v>
      </c>
      <c r="AT104" t="s">
        <v>230</v>
      </c>
      <c r="AU104">
        <v>2013</v>
      </c>
      <c r="AV104">
        <v>5</v>
      </c>
      <c r="AW104">
        <v>4</v>
      </c>
      <c r="AX104" t="s">
        <v>74</v>
      </c>
      <c r="AY104" t="s">
        <v>74</v>
      </c>
      <c r="AZ104" t="s">
        <v>74</v>
      </c>
      <c r="BA104" t="s">
        <v>74</v>
      </c>
      <c r="BB104">
        <v>227</v>
      </c>
      <c r="BC104">
        <v>238</v>
      </c>
      <c r="BD104" t="s">
        <v>74</v>
      </c>
      <c r="BE104" t="s">
        <v>2990</v>
      </c>
      <c r="BF104" t="str">
        <f>HYPERLINK("http://dx.doi.org/10.1093/jmcb/mjt011","http://dx.doi.org/10.1093/jmcb/mjt011")</f>
        <v>http://dx.doi.org/10.1093/jmcb/mjt011</v>
      </c>
      <c r="BG104" t="s">
        <v>74</v>
      </c>
      <c r="BH104" t="s">
        <v>74</v>
      </c>
      <c r="BI104" t="s">
        <v>74</v>
      </c>
      <c r="BJ104" t="s">
        <v>135</v>
      </c>
      <c r="BK104" t="s">
        <v>117</v>
      </c>
      <c r="BL104" t="s">
        <v>135</v>
      </c>
      <c r="BM104" t="s">
        <v>74</v>
      </c>
      <c r="BN104">
        <v>23580760</v>
      </c>
      <c r="BO104" t="s">
        <v>74</v>
      </c>
      <c r="BP104" t="s">
        <v>74</v>
      </c>
      <c r="BQ104" t="s">
        <v>74</v>
      </c>
      <c r="BR104" t="s">
        <v>96</v>
      </c>
      <c r="BS104" t="s">
        <v>2991</v>
      </c>
      <c r="BT104" t="str">
        <f>HYPERLINK("https%3A%2F%2Fwww.webofscience.com%2Fwos%2Fwoscc%2Ffull-record%2FWOS:000322914000003","View Full Record in Web of Science")</f>
        <v>View Full Record in Web of Science</v>
      </c>
    </row>
    <row r="105" spans="1:72" x14ac:dyDescent="0.15">
      <c r="A105" t="s">
        <v>98</v>
      </c>
      <c r="B105" t="s">
        <v>8611</v>
      </c>
      <c r="C105" t="s">
        <v>74</v>
      </c>
      <c r="D105" t="s">
        <v>74</v>
      </c>
      <c r="E105" t="s">
        <v>74</v>
      </c>
      <c r="F105" t="s">
        <v>8612</v>
      </c>
      <c r="G105" t="s">
        <v>74</v>
      </c>
      <c r="H105" t="s">
        <v>74</v>
      </c>
      <c r="I105" t="s">
        <v>8613</v>
      </c>
      <c r="J105" t="s">
        <v>5139</v>
      </c>
      <c r="K105" t="s">
        <v>74</v>
      </c>
      <c r="L105" t="s">
        <v>74</v>
      </c>
      <c r="M105" t="s">
        <v>74</v>
      </c>
      <c r="N105" t="s">
        <v>103</v>
      </c>
      <c r="O105" t="s">
        <v>74</v>
      </c>
      <c r="P105" t="s">
        <v>74</v>
      </c>
      <c r="Q105" t="s">
        <v>74</v>
      </c>
      <c r="R105" t="s">
        <v>74</v>
      </c>
      <c r="S105" t="s">
        <v>74</v>
      </c>
      <c r="T105" t="s">
        <v>74</v>
      </c>
      <c r="U105" t="s">
        <v>8614</v>
      </c>
      <c r="V105" t="s">
        <v>8615</v>
      </c>
      <c r="W105" t="s">
        <v>8616</v>
      </c>
      <c r="X105" t="s">
        <v>8617</v>
      </c>
      <c r="Y105" t="s">
        <v>8618</v>
      </c>
      <c r="Z105" t="s">
        <v>8619</v>
      </c>
      <c r="AA105" t="s">
        <v>8620</v>
      </c>
      <c r="AB105" t="s">
        <v>8621</v>
      </c>
      <c r="AC105" t="s">
        <v>74</v>
      </c>
      <c r="AD105" t="s">
        <v>74</v>
      </c>
      <c r="AE105" t="s">
        <v>74</v>
      </c>
      <c r="AF105" t="s">
        <v>74</v>
      </c>
      <c r="AG105">
        <v>61</v>
      </c>
      <c r="AH105">
        <v>151</v>
      </c>
      <c r="AI105">
        <v>153</v>
      </c>
      <c r="AJ105">
        <v>13</v>
      </c>
      <c r="AK105">
        <v>148</v>
      </c>
      <c r="AL105" t="s">
        <v>74</v>
      </c>
      <c r="AM105" t="s">
        <v>74</v>
      </c>
      <c r="AN105" t="s">
        <v>74</v>
      </c>
      <c r="AO105" t="s">
        <v>5148</v>
      </c>
      <c r="AP105" t="s">
        <v>74</v>
      </c>
      <c r="AQ105" t="s">
        <v>74</v>
      </c>
      <c r="AR105" t="s">
        <v>74</v>
      </c>
      <c r="AS105" t="s">
        <v>74</v>
      </c>
      <c r="AT105" t="s">
        <v>3875</v>
      </c>
      <c r="AU105">
        <v>2018</v>
      </c>
      <c r="AV105">
        <v>9</v>
      </c>
      <c r="AW105" t="s">
        <v>74</v>
      </c>
      <c r="AX105" t="s">
        <v>74</v>
      </c>
      <c r="AY105" t="s">
        <v>74</v>
      </c>
      <c r="AZ105" t="s">
        <v>74</v>
      </c>
      <c r="BA105" t="s">
        <v>74</v>
      </c>
      <c r="BB105" t="s">
        <v>74</v>
      </c>
      <c r="BC105" t="s">
        <v>74</v>
      </c>
      <c r="BD105">
        <v>175</v>
      </c>
      <c r="BE105" t="s">
        <v>8622</v>
      </c>
      <c r="BF105" t="str">
        <f>HYPERLINK("http://dx.doi.org/10.1038/s41467-017-02261-1","http://dx.doi.org/10.1038/s41467-017-02261-1")</f>
        <v>http://dx.doi.org/10.1038/s41467-017-02261-1</v>
      </c>
      <c r="BG105" t="s">
        <v>74</v>
      </c>
      <c r="BH105" t="s">
        <v>74</v>
      </c>
      <c r="BI105" t="s">
        <v>74</v>
      </c>
      <c r="BJ105" t="s">
        <v>152</v>
      </c>
      <c r="BK105" t="s">
        <v>117</v>
      </c>
      <c r="BL105" t="s">
        <v>153</v>
      </c>
      <c r="BM105" t="s">
        <v>74</v>
      </c>
      <c r="BN105">
        <v>29330365</v>
      </c>
      <c r="BO105" t="s">
        <v>74</v>
      </c>
      <c r="BP105" t="s">
        <v>74</v>
      </c>
      <c r="BQ105" t="s">
        <v>74</v>
      </c>
      <c r="BR105" t="s">
        <v>96</v>
      </c>
      <c r="BS105" t="s">
        <v>8623</v>
      </c>
      <c r="BT105" t="str">
        <f>HYPERLINK("https%3A%2F%2Fwww.webofscience.com%2Fwos%2Fwoscc%2Ffull-record%2FWOS:000419949200002","View Full Record in Web of Science")</f>
        <v>View Full Record in Web of Science</v>
      </c>
    </row>
    <row r="106" spans="1:72" x14ac:dyDescent="0.15">
      <c r="A106" t="s">
        <v>98</v>
      </c>
      <c r="B106" t="s">
        <v>22903</v>
      </c>
      <c r="C106" t="s">
        <v>74</v>
      </c>
      <c r="D106" t="s">
        <v>74</v>
      </c>
      <c r="E106" t="s">
        <v>74</v>
      </c>
      <c r="F106" t="s">
        <v>22904</v>
      </c>
      <c r="G106" t="s">
        <v>74</v>
      </c>
      <c r="H106" t="s">
        <v>74</v>
      </c>
      <c r="I106" t="s">
        <v>22905</v>
      </c>
      <c r="J106" t="s">
        <v>13420</v>
      </c>
      <c r="K106" t="s">
        <v>74</v>
      </c>
      <c r="L106" t="s">
        <v>74</v>
      </c>
      <c r="M106" t="s">
        <v>74</v>
      </c>
      <c r="N106" t="s">
        <v>103</v>
      </c>
      <c r="O106" t="s">
        <v>74</v>
      </c>
      <c r="P106" t="s">
        <v>74</v>
      </c>
      <c r="Q106" t="s">
        <v>74</v>
      </c>
      <c r="R106" t="s">
        <v>74</v>
      </c>
      <c r="S106" t="s">
        <v>74</v>
      </c>
      <c r="T106" t="s">
        <v>74</v>
      </c>
      <c r="U106" t="s">
        <v>22906</v>
      </c>
      <c r="V106" t="s">
        <v>22907</v>
      </c>
      <c r="W106" t="s">
        <v>22908</v>
      </c>
      <c r="X106" t="s">
        <v>22909</v>
      </c>
      <c r="Y106" t="s">
        <v>22910</v>
      </c>
      <c r="Z106" t="s">
        <v>22911</v>
      </c>
      <c r="AA106" t="s">
        <v>22912</v>
      </c>
      <c r="AB106" t="s">
        <v>22913</v>
      </c>
      <c r="AC106" t="s">
        <v>74</v>
      </c>
      <c r="AD106" t="s">
        <v>74</v>
      </c>
      <c r="AE106" t="s">
        <v>74</v>
      </c>
      <c r="AF106" t="s">
        <v>74</v>
      </c>
      <c r="AG106">
        <v>46</v>
      </c>
      <c r="AH106">
        <v>151</v>
      </c>
      <c r="AI106">
        <v>172</v>
      </c>
      <c r="AJ106">
        <v>2</v>
      </c>
      <c r="AK106">
        <v>41</v>
      </c>
      <c r="AL106" t="s">
        <v>74</v>
      </c>
      <c r="AM106" t="s">
        <v>74</v>
      </c>
      <c r="AN106" t="s">
        <v>74</v>
      </c>
      <c r="AO106" t="s">
        <v>13429</v>
      </c>
      <c r="AP106" t="s">
        <v>13430</v>
      </c>
      <c r="AQ106" t="s">
        <v>74</v>
      </c>
      <c r="AR106" t="s">
        <v>74</v>
      </c>
      <c r="AS106" t="s">
        <v>74</v>
      </c>
      <c r="AT106" t="s">
        <v>9537</v>
      </c>
      <c r="AU106">
        <v>2015</v>
      </c>
      <c r="AV106">
        <v>22</v>
      </c>
      <c r="AW106">
        <v>4</v>
      </c>
      <c r="AX106" t="s">
        <v>74</v>
      </c>
      <c r="AY106" t="s">
        <v>74</v>
      </c>
      <c r="AZ106" t="s">
        <v>74</v>
      </c>
      <c r="BA106" t="s">
        <v>74</v>
      </c>
      <c r="BB106">
        <v>606</v>
      </c>
      <c r="BC106">
        <v>618</v>
      </c>
      <c r="BD106" t="s">
        <v>74</v>
      </c>
      <c r="BE106" t="s">
        <v>22914</v>
      </c>
      <c r="BF106" t="str">
        <f>HYPERLINK("http://dx.doi.org/10.1016/j.cmet.2015.08.018","http://dx.doi.org/10.1016/j.cmet.2015.08.018")</f>
        <v>http://dx.doi.org/10.1016/j.cmet.2015.08.018</v>
      </c>
      <c r="BG106" t="s">
        <v>74</v>
      </c>
      <c r="BH106" t="s">
        <v>74</v>
      </c>
      <c r="BI106" t="s">
        <v>74</v>
      </c>
      <c r="BJ106" t="s">
        <v>13432</v>
      </c>
      <c r="BK106" t="s">
        <v>117</v>
      </c>
      <c r="BL106" t="s">
        <v>13432</v>
      </c>
      <c r="BM106" t="s">
        <v>74</v>
      </c>
      <c r="BN106">
        <v>26365178</v>
      </c>
      <c r="BO106" t="s">
        <v>74</v>
      </c>
      <c r="BP106" t="s">
        <v>74</v>
      </c>
      <c r="BQ106" t="s">
        <v>74</v>
      </c>
      <c r="BR106" t="s">
        <v>96</v>
      </c>
      <c r="BS106" t="s">
        <v>22915</v>
      </c>
      <c r="BT106" t="str">
        <f>HYPERLINK("https%3A%2F%2Fwww.webofscience.com%2Fwos%2Fwoscc%2Ffull-record%2FWOS:000365192600011","View Full Record in Web of Science")</f>
        <v>View Full Record in Web of Science</v>
      </c>
    </row>
    <row r="107" spans="1:72" x14ac:dyDescent="0.15">
      <c r="A107" t="s">
        <v>98</v>
      </c>
      <c r="B107" t="s">
        <v>13187</v>
      </c>
      <c r="C107" t="s">
        <v>74</v>
      </c>
      <c r="D107" t="s">
        <v>74</v>
      </c>
      <c r="E107" t="s">
        <v>74</v>
      </c>
      <c r="F107" t="s">
        <v>13188</v>
      </c>
      <c r="G107" t="s">
        <v>74</v>
      </c>
      <c r="H107" t="s">
        <v>74</v>
      </c>
      <c r="I107" t="s">
        <v>13189</v>
      </c>
      <c r="J107" t="s">
        <v>13190</v>
      </c>
      <c r="K107" t="s">
        <v>74</v>
      </c>
      <c r="L107" t="s">
        <v>74</v>
      </c>
      <c r="M107" t="s">
        <v>74</v>
      </c>
      <c r="N107" t="s">
        <v>103</v>
      </c>
      <c r="O107" t="s">
        <v>74</v>
      </c>
      <c r="P107" t="s">
        <v>74</v>
      </c>
      <c r="Q107" t="s">
        <v>74</v>
      </c>
      <c r="R107" t="s">
        <v>74</v>
      </c>
      <c r="S107" t="s">
        <v>74</v>
      </c>
      <c r="T107" t="s">
        <v>13191</v>
      </c>
      <c r="U107" t="s">
        <v>13192</v>
      </c>
      <c r="V107" t="s">
        <v>13193</v>
      </c>
      <c r="W107" t="s">
        <v>13194</v>
      </c>
      <c r="X107" t="s">
        <v>13195</v>
      </c>
      <c r="Y107" t="s">
        <v>13196</v>
      </c>
      <c r="Z107" t="s">
        <v>13197</v>
      </c>
      <c r="AA107" t="s">
        <v>13198</v>
      </c>
      <c r="AB107" t="s">
        <v>13199</v>
      </c>
      <c r="AC107" t="s">
        <v>74</v>
      </c>
      <c r="AD107" t="s">
        <v>74</v>
      </c>
      <c r="AE107" t="s">
        <v>74</v>
      </c>
      <c r="AF107" t="s">
        <v>74</v>
      </c>
      <c r="AG107">
        <v>28</v>
      </c>
      <c r="AH107">
        <v>149</v>
      </c>
      <c r="AI107">
        <v>149</v>
      </c>
      <c r="AJ107">
        <v>34</v>
      </c>
      <c r="AK107">
        <v>348</v>
      </c>
      <c r="AL107" t="s">
        <v>74</v>
      </c>
      <c r="AM107" t="s">
        <v>74</v>
      </c>
      <c r="AN107" t="s">
        <v>74</v>
      </c>
      <c r="AO107" t="s">
        <v>13200</v>
      </c>
      <c r="AP107" t="s">
        <v>13201</v>
      </c>
      <c r="AQ107" t="s">
        <v>74</v>
      </c>
      <c r="AR107" t="s">
        <v>74</v>
      </c>
      <c r="AS107" t="s">
        <v>74</v>
      </c>
      <c r="AT107" t="s">
        <v>1408</v>
      </c>
      <c r="AU107">
        <v>2016</v>
      </c>
      <c r="AV107">
        <v>97</v>
      </c>
      <c r="AW107" t="s">
        <v>74</v>
      </c>
      <c r="AX107" t="s">
        <v>74</v>
      </c>
      <c r="AY107" t="s">
        <v>74</v>
      </c>
      <c r="AZ107" t="s">
        <v>74</v>
      </c>
      <c r="BA107" t="s">
        <v>74</v>
      </c>
      <c r="BB107">
        <v>88</v>
      </c>
      <c r="BC107">
        <v>93</v>
      </c>
      <c r="BD107" t="s">
        <v>74</v>
      </c>
      <c r="BE107" t="s">
        <v>13202</v>
      </c>
      <c r="BF107" t="str">
        <f>HYPERLINK("http://dx.doi.org/10.1016/j.ymeth.2015.10.012","http://dx.doi.org/10.1016/j.ymeth.2015.10.012")</f>
        <v>http://dx.doi.org/10.1016/j.ymeth.2015.10.012</v>
      </c>
      <c r="BG107" t="s">
        <v>74</v>
      </c>
      <c r="BH107" t="s">
        <v>74</v>
      </c>
      <c r="BI107" t="s">
        <v>74</v>
      </c>
      <c r="BJ107" t="s">
        <v>93</v>
      </c>
      <c r="BK107" t="s">
        <v>117</v>
      </c>
      <c r="BL107" t="s">
        <v>95</v>
      </c>
      <c r="BM107" t="s">
        <v>74</v>
      </c>
      <c r="BN107">
        <v>26500145</v>
      </c>
      <c r="BO107" t="s">
        <v>74</v>
      </c>
      <c r="BP107" t="s">
        <v>74</v>
      </c>
      <c r="BQ107" t="s">
        <v>74</v>
      </c>
      <c r="BR107" t="s">
        <v>96</v>
      </c>
      <c r="BS107" t="s">
        <v>13203</v>
      </c>
      <c r="BT107" t="str">
        <f>HYPERLINK("https%3A%2F%2Fwww.webofscience.com%2Fwos%2Fwoscc%2Ffull-record%2FWOS:000372759300012","View Full Record in Web of Science")</f>
        <v>View Full Record in Web of Science</v>
      </c>
    </row>
    <row r="108" spans="1:72" x14ac:dyDescent="0.15">
      <c r="A108" t="s">
        <v>98</v>
      </c>
      <c r="B108" t="s">
        <v>15779</v>
      </c>
      <c r="C108" t="s">
        <v>74</v>
      </c>
      <c r="D108" t="s">
        <v>74</v>
      </c>
      <c r="E108" t="s">
        <v>74</v>
      </c>
      <c r="F108" t="s">
        <v>15780</v>
      </c>
      <c r="G108" t="s">
        <v>74</v>
      </c>
      <c r="H108" t="s">
        <v>74</v>
      </c>
      <c r="I108" t="s">
        <v>15781</v>
      </c>
      <c r="J108" t="s">
        <v>1712</v>
      </c>
      <c r="K108" t="s">
        <v>74</v>
      </c>
      <c r="L108" t="s">
        <v>74</v>
      </c>
      <c r="M108" t="s">
        <v>74</v>
      </c>
      <c r="N108" t="s">
        <v>103</v>
      </c>
      <c r="O108" t="s">
        <v>74</v>
      </c>
      <c r="P108" t="s">
        <v>74</v>
      </c>
      <c r="Q108" t="s">
        <v>74</v>
      </c>
      <c r="R108" t="s">
        <v>74</v>
      </c>
      <c r="S108" t="s">
        <v>74</v>
      </c>
      <c r="T108" t="s">
        <v>15782</v>
      </c>
      <c r="U108" t="s">
        <v>15783</v>
      </c>
      <c r="V108" t="s">
        <v>15784</v>
      </c>
      <c r="W108" t="s">
        <v>15785</v>
      </c>
      <c r="X108" t="s">
        <v>15786</v>
      </c>
      <c r="Y108" t="s">
        <v>15787</v>
      </c>
      <c r="Z108" t="s">
        <v>15788</v>
      </c>
      <c r="AA108" t="s">
        <v>11033</v>
      </c>
      <c r="AB108" t="s">
        <v>11863</v>
      </c>
      <c r="AC108" t="s">
        <v>74</v>
      </c>
      <c r="AD108" t="s">
        <v>74</v>
      </c>
      <c r="AE108" t="s">
        <v>74</v>
      </c>
      <c r="AF108" t="s">
        <v>74</v>
      </c>
      <c r="AG108">
        <v>41</v>
      </c>
      <c r="AH108">
        <v>148</v>
      </c>
      <c r="AI108">
        <v>152</v>
      </c>
      <c r="AJ108">
        <v>20</v>
      </c>
      <c r="AK108">
        <v>194</v>
      </c>
      <c r="AL108" t="s">
        <v>74</v>
      </c>
      <c r="AM108" t="s">
        <v>74</v>
      </c>
      <c r="AN108" t="s">
        <v>74</v>
      </c>
      <c r="AO108" t="s">
        <v>1722</v>
      </c>
      <c r="AP108" t="s">
        <v>1723</v>
      </c>
      <c r="AQ108" t="s">
        <v>74</v>
      </c>
      <c r="AR108" t="s">
        <v>74</v>
      </c>
      <c r="AS108" t="s">
        <v>74</v>
      </c>
      <c r="AT108" t="s">
        <v>132</v>
      </c>
      <c r="AU108">
        <v>2018</v>
      </c>
      <c r="AV108">
        <v>12</v>
      </c>
      <c r="AW108">
        <v>4</v>
      </c>
      <c r="AX108" t="s">
        <v>74</v>
      </c>
      <c r="AY108" t="s">
        <v>74</v>
      </c>
      <c r="AZ108" t="s">
        <v>74</v>
      </c>
      <c r="BA108" t="s">
        <v>74</v>
      </c>
      <c r="BB108">
        <v>3311</v>
      </c>
      <c r="BC108">
        <v>3320</v>
      </c>
      <c r="BD108" t="s">
        <v>74</v>
      </c>
      <c r="BE108" t="s">
        <v>15789</v>
      </c>
      <c r="BF108" t="str">
        <f>HYPERLINK("http://dx.doi.org/10.1021/acsnano.7b08199","http://dx.doi.org/10.1021/acsnano.7b08199")</f>
        <v>http://dx.doi.org/10.1021/acsnano.7b08199</v>
      </c>
      <c r="BG108" t="s">
        <v>74</v>
      </c>
      <c r="BH108" t="s">
        <v>74</v>
      </c>
      <c r="BI108" t="s">
        <v>74</v>
      </c>
      <c r="BJ108" t="s">
        <v>1725</v>
      </c>
      <c r="BK108" t="s">
        <v>117</v>
      </c>
      <c r="BL108" t="s">
        <v>1275</v>
      </c>
      <c r="BM108" t="s">
        <v>74</v>
      </c>
      <c r="BN108">
        <v>29570265</v>
      </c>
      <c r="BO108" t="s">
        <v>74</v>
      </c>
      <c r="BP108" t="s">
        <v>74</v>
      </c>
      <c r="BQ108" t="s">
        <v>74</v>
      </c>
      <c r="BR108" t="s">
        <v>96</v>
      </c>
      <c r="BS108" t="s">
        <v>15790</v>
      </c>
      <c r="BT108" t="str">
        <f>HYPERLINK("https%3A%2F%2Fwww.webofscience.com%2Fwos%2Fwoscc%2Ffull-record%2FWOS:000431088200027","View Full Record in Web of Science")</f>
        <v>View Full Record in Web of Science</v>
      </c>
    </row>
    <row r="109" spans="1:72" x14ac:dyDescent="0.15">
      <c r="A109" t="s">
        <v>98</v>
      </c>
      <c r="B109" t="s">
        <v>16138</v>
      </c>
      <c r="C109" t="s">
        <v>74</v>
      </c>
      <c r="D109" t="s">
        <v>74</v>
      </c>
      <c r="E109" t="s">
        <v>74</v>
      </c>
      <c r="F109" t="s">
        <v>16139</v>
      </c>
      <c r="G109" t="s">
        <v>74</v>
      </c>
      <c r="H109" t="s">
        <v>74</v>
      </c>
      <c r="I109" t="s">
        <v>16140</v>
      </c>
      <c r="J109" t="s">
        <v>16141</v>
      </c>
      <c r="K109" t="s">
        <v>74</v>
      </c>
      <c r="L109" t="s">
        <v>74</v>
      </c>
      <c r="M109" t="s">
        <v>74</v>
      </c>
      <c r="N109" t="s">
        <v>103</v>
      </c>
      <c r="O109" t="s">
        <v>74</v>
      </c>
      <c r="P109" t="s">
        <v>74</v>
      </c>
      <c r="Q109" t="s">
        <v>74</v>
      </c>
      <c r="R109" t="s">
        <v>74</v>
      </c>
      <c r="S109" t="s">
        <v>74</v>
      </c>
      <c r="T109" t="s">
        <v>74</v>
      </c>
      <c r="U109" t="s">
        <v>16142</v>
      </c>
      <c r="V109" t="s">
        <v>16143</v>
      </c>
      <c r="W109" t="s">
        <v>16144</v>
      </c>
      <c r="X109" t="s">
        <v>16145</v>
      </c>
      <c r="Y109" t="s">
        <v>16146</v>
      </c>
      <c r="Z109" t="s">
        <v>16147</v>
      </c>
      <c r="AA109" t="s">
        <v>16148</v>
      </c>
      <c r="AB109" t="s">
        <v>16149</v>
      </c>
      <c r="AC109" t="s">
        <v>74</v>
      </c>
      <c r="AD109" t="s">
        <v>74</v>
      </c>
      <c r="AE109" t="s">
        <v>74</v>
      </c>
      <c r="AF109" t="s">
        <v>74</v>
      </c>
      <c r="AG109">
        <v>45</v>
      </c>
      <c r="AH109">
        <v>147</v>
      </c>
      <c r="AI109">
        <v>148</v>
      </c>
      <c r="AJ109">
        <v>11</v>
      </c>
      <c r="AK109">
        <v>47</v>
      </c>
      <c r="AL109" t="s">
        <v>74</v>
      </c>
      <c r="AM109" t="s">
        <v>74</v>
      </c>
      <c r="AN109" t="s">
        <v>74</v>
      </c>
      <c r="AO109" t="s">
        <v>16150</v>
      </c>
      <c r="AP109" t="s">
        <v>16151</v>
      </c>
      <c r="AQ109" t="s">
        <v>74</v>
      </c>
      <c r="AR109" t="s">
        <v>74</v>
      </c>
      <c r="AS109" t="s">
        <v>74</v>
      </c>
      <c r="AT109" t="s">
        <v>230</v>
      </c>
      <c r="AU109">
        <v>2018</v>
      </c>
      <c r="AV109">
        <v>6</v>
      </c>
      <c r="AW109">
        <v>8</v>
      </c>
      <c r="AX109" t="s">
        <v>74</v>
      </c>
      <c r="AY109" t="s">
        <v>74</v>
      </c>
      <c r="AZ109" t="s">
        <v>74</v>
      </c>
      <c r="BA109" t="s">
        <v>74</v>
      </c>
      <c r="BB109">
        <v>910</v>
      </c>
      <c r="BC109">
        <v>920</v>
      </c>
      <c r="BD109" t="s">
        <v>74</v>
      </c>
      <c r="BE109" t="s">
        <v>16152</v>
      </c>
      <c r="BF109" t="str">
        <f>HYPERLINK("http://dx.doi.org/10.1158/2326-6066.CIR-17-0581","http://dx.doi.org/10.1158/2326-6066.CIR-17-0581")</f>
        <v>http://dx.doi.org/10.1158/2326-6066.CIR-17-0581</v>
      </c>
      <c r="BG109" t="s">
        <v>74</v>
      </c>
      <c r="BH109" t="s">
        <v>74</v>
      </c>
      <c r="BI109" t="s">
        <v>74</v>
      </c>
      <c r="BJ109" t="s">
        <v>7255</v>
      </c>
      <c r="BK109" t="s">
        <v>117</v>
      </c>
      <c r="BL109" t="s">
        <v>7255</v>
      </c>
      <c r="BM109" t="s">
        <v>74</v>
      </c>
      <c r="BN109">
        <v>29907693</v>
      </c>
      <c r="BO109" t="s">
        <v>74</v>
      </c>
      <c r="BP109" t="s">
        <v>193</v>
      </c>
      <c r="BQ109" t="s">
        <v>194</v>
      </c>
      <c r="BR109" t="s">
        <v>96</v>
      </c>
      <c r="BS109" t="s">
        <v>16153</v>
      </c>
      <c r="BT109" t="str">
        <f>HYPERLINK("https%3A%2F%2Fwww.webofscience.com%2Fwos%2Fwoscc%2Ffull-record%2FWOS:000440814700004","View Full Record in Web of Science")</f>
        <v>View Full Record in Web of Science</v>
      </c>
    </row>
    <row r="110" spans="1:72" x14ac:dyDescent="0.15">
      <c r="A110" t="s">
        <v>98</v>
      </c>
      <c r="B110" t="s">
        <v>23672</v>
      </c>
      <c r="C110" t="s">
        <v>74</v>
      </c>
      <c r="D110" t="s">
        <v>74</v>
      </c>
      <c r="E110" t="s">
        <v>74</v>
      </c>
      <c r="F110" t="s">
        <v>23673</v>
      </c>
      <c r="G110" t="s">
        <v>74</v>
      </c>
      <c r="H110" t="s">
        <v>74</v>
      </c>
      <c r="I110" t="s">
        <v>23674</v>
      </c>
      <c r="J110" t="s">
        <v>8996</v>
      </c>
      <c r="K110" t="s">
        <v>74</v>
      </c>
      <c r="L110" t="s">
        <v>74</v>
      </c>
      <c r="M110" t="s">
        <v>74</v>
      </c>
      <c r="N110" t="s">
        <v>103</v>
      </c>
      <c r="O110" t="s">
        <v>74</v>
      </c>
      <c r="P110" t="s">
        <v>74</v>
      </c>
      <c r="Q110" t="s">
        <v>74</v>
      </c>
      <c r="R110" t="s">
        <v>74</v>
      </c>
      <c r="S110" t="s">
        <v>74</v>
      </c>
      <c r="T110" t="s">
        <v>74</v>
      </c>
      <c r="U110" t="s">
        <v>23675</v>
      </c>
      <c r="V110" t="s">
        <v>23676</v>
      </c>
      <c r="W110" t="s">
        <v>23677</v>
      </c>
      <c r="X110" t="s">
        <v>23678</v>
      </c>
      <c r="Y110" t="s">
        <v>23679</v>
      </c>
      <c r="Z110" t="s">
        <v>23680</v>
      </c>
      <c r="AA110" t="s">
        <v>23681</v>
      </c>
      <c r="AB110" t="s">
        <v>23682</v>
      </c>
      <c r="AC110" t="s">
        <v>74</v>
      </c>
      <c r="AD110" t="s">
        <v>74</v>
      </c>
      <c r="AE110" t="s">
        <v>74</v>
      </c>
      <c r="AF110" t="s">
        <v>74</v>
      </c>
      <c r="AG110">
        <v>27</v>
      </c>
      <c r="AH110">
        <v>147</v>
      </c>
      <c r="AI110">
        <v>152</v>
      </c>
      <c r="AJ110">
        <v>3</v>
      </c>
      <c r="AK110">
        <v>48</v>
      </c>
      <c r="AL110" t="s">
        <v>74</v>
      </c>
      <c r="AM110" t="s">
        <v>74</v>
      </c>
      <c r="AN110" t="s">
        <v>74</v>
      </c>
      <c r="AO110" t="s">
        <v>9004</v>
      </c>
      <c r="AP110" t="s">
        <v>9005</v>
      </c>
      <c r="AQ110" t="s">
        <v>74</v>
      </c>
      <c r="AR110" t="s">
        <v>74</v>
      </c>
      <c r="AS110" t="s">
        <v>74</v>
      </c>
      <c r="AT110" t="s">
        <v>8050</v>
      </c>
      <c r="AU110">
        <v>2015</v>
      </c>
      <c r="AV110">
        <v>349</v>
      </c>
      <c r="AW110">
        <v>6253</v>
      </c>
      <c r="AX110" t="s">
        <v>74</v>
      </c>
      <c r="AY110" t="s">
        <v>74</v>
      </c>
      <c r="AZ110" t="s">
        <v>74</v>
      </c>
      <c r="BA110" t="s">
        <v>74</v>
      </c>
      <c r="BB110">
        <v>1228</v>
      </c>
      <c r="BC110">
        <v>1232</v>
      </c>
      <c r="BD110" t="s">
        <v>74</v>
      </c>
      <c r="BE110" t="s">
        <v>23683</v>
      </c>
      <c r="BF110" t="str">
        <f>HYPERLINK("http://dx.doi.org/10.1126/science.aab3632","http://dx.doi.org/10.1126/science.aab3632")</f>
        <v>http://dx.doi.org/10.1126/science.aab3632</v>
      </c>
      <c r="BG110" t="s">
        <v>74</v>
      </c>
      <c r="BH110" t="s">
        <v>74</v>
      </c>
      <c r="BI110" t="s">
        <v>74</v>
      </c>
      <c r="BJ110" t="s">
        <v>152</v>
      </c>
      <c r="BK110" t="s">
        <v>117</v>
      </c>
      <c r="BL110" t="s">
        <v>153</v>
      </c>
      <c r="BM110" t="s">
        <v>74</v>
      </c>
      <c r="BN110">
        <v>26229117</v>
      </c>
      <c r="BO110" t="s">
        <v>74</v>
      </c>
      <c r="BP110" t="s">
        <v>74</v>
      </c>
      <c r="BQ110" t="s">
        <v>74</v>
      </c>
      <c r="BR110" t="s">
        <v>96</v>
      </c>
      <c r="BS110" t="s">
        <v>23684</v>
      </c>
      <c r="BT110" t="str">
        <f>HYPERLINK("https%3A%2F%2Fwww.webofscience.com%2Fwos%2Fwoscc%2Ffull-record%2FWOS:000360968400044","View Full Record in Web of Science")</f>
        <v>View Full Record in Web of Science</v>
      </c>
    </row>
    <row r="111" spans="1:72" x14ac:dyDescent="0.15">
      <c r="A111" t="s">
        <v>98</v>
      </c>
      <c r="B111" t="s">
        <v>22158</v>
      </c>
      <c r="C111" t="s">
        <v>74</v>
      </c>
      <c r="D111" t="s">
        <v>74</v>
      </c>
      <c r="E111" t="s">
        <v>74</v>
      </c>
      <c r="F111" t="s">
        <v>22159</v>
      </c>
      <c r="G111" t="s">
        <v>74</v>
      </c>
      <c r="H111" t="s">
        <v>74</v>
      </c>
      <c r="I111" t="s">
        <v>22160</v>
      </c>
      <c r="J111" t="s">
        <v>22161</v>
      </c>
      <c r="K111" t="s">
        <v>74</v>
      </c>
      <c r="L111" t="s">
        <v>74</v>
      </c>
      <c r="M111" t="s">
        <v>74</v>
      </c>
      <c r="N111" t="s">
        <v>103</v>
      </c>
      <c r="O111" t="s">
        <v>74</v>
      </c>
      <c r="P111" t="s">
        <v>74</v>
      </c>
      <c r="Q111" t="s">
        <v>74</v>
      </c>
      <c r="R111" t="s">
        <v>74</v>
      </c>
      <c r="S111" t="s">
        <v>74</v>
      </c>
      <c r="T111" t="s">
        <v>22162</v>
      </c>
      <c r="U111" t="s">
        <v>22163</v>
      </c>
      <c r="V111" t="s">
        <v>22164</v>
      </c>
      <c r="W111" t="s">
        <v>22165</v>
      </c>
      <c r="X111" t="s">
        <v>22166</v>
      </c>
      <c r="Y111" t="s">
        <v>22167</v>
      </c>
      <c r="Z111" t="s">
        <v>22168</v>
      </c>
      <c r="AA111" t="s">
        <v>22169</v>
      </c>
      <c r="AB111" t="s">
        <v>22170</v>
      </c>
      <c r="AC111" t="s">
        <v>74</v>
      </c>
      <c r="AD111" t="s">
        <v>74</v>
      </c>
      <c r="AE111" t="s">
        <v>74</v>
      </c>
      <c r="AF111" t="s">
        <v>74</v>
      </c>
      <c r="AG111">
        <v>48</v>
      </c>
      <c r="AH111">
        <v>145</v>
      </c>
      <c r="AI111">
        <v>150</v>
      </c>
      <c r="AJ111">
        <v>2</v>
      </c>
      <c r="AK111">
        <v>78</v>
      </c>
      <c r="AL111" t="s">
        <v>74</v>
      </c>
      <c r="AM111" t="s">
        <v>74</v>
      </c>
      <c r="AN111" t="s">
        <v>74</v>
      </c>
      <c r="AO111" t="s">
        <v>22171</v>
      </c>
      <c r="AP111" t="s">
        <v>22172</v>
      </c>
      <c r="AQ111" t="s">
        <v>74</v>
      </c>
      <c r="AR111" t="s">
        <v>74</v>
      </c>
      <c r="AS111" t="s">
        <v>74</v>
      </c>
      <c r="AT111" t="s">
        <v>8524</v>
      </c>
      <c r="AU111">
        <v>2016</v>
      </c>
      <c r="AV111">
        <v>216</v>
      </c>
      <c r="AW111" t="s">
        <v>74</v>
      </c>
      <c r="AX111" t="s">
        <v>74</v>
      </c>
      <c r="AY111" t="s">
        <v>74</v>
      </c>
      <c r="AZ111" t="s">
        <v>74</v>
      </c>
      <c r="BA111" t="s">
        <v>74</v>
      </c>
      <c r="BB111">
        <v>173</v>
      </c>
      <c r="BC111">
        <v>185</v>
      </c>
      <c r="BD111" t="s">
        <v>74</v>
      </c>
      <c r="BE111" t="s">
        <v>22173</v>
      </c>
      <c r="BF111" t="str">
        <f>HYPERLINK("http://dx.doi.org/10.1016/j.ijcard.2016.04.061","http://dx.doi.org/10.1016/j.ijcard.2016.04.061")</f>
        <v>http://dx.doi.org/10.1016/j.ijcard.2016.04.061</v>
      </c>
      <c r="BG111" t="s">
        <v>74</v>
      </c>
      <c r="BH111" t="s">
        <v>74</v>
      </c>
      <c r="BI111" t="s">
        <v>74</v>
      </c>
      <c r="BJ111" t="s">
        <v>3811</v>
      </c>
      <c r="BK111" t="s">
        <v>117</v>
      </c>
      <c r="BL111" t="s">
        <v>3812</v>
      </c>
      <c r="BM111" t="s">
        <v>74</v>
      </c>
      <c r="BN111">
        <v>27156061</v>
      </c>
      <c r="BO111" t="s">
        <v>74</v>
      </c>
      <c r="BP111" t="s">
        <v>74</v>
      </c>
      <c r="BQ111" t="s">
        <v>74</v>
      </c>
      <c r="BR111" t="s">
        <v>96</v>
      </c>
      <c r="BS111" t="s">
        <v>22174</v>
      </c>
      <c r="BT111" t="str">
        <f>HYPERLINK("https%3A%2F%2Fwww.webofscience.com%2Fwos%2Fwoscc%2Ffull-record%2FWOS:000376820700031","View Full Record in Web of Science")</f>
        <v>View Full Record in Web of Science</v>
      </c>
    </row>
    <row r="112" spans="1:72" x14ac:dyDescent="0.15">
      <c r="A112" t="s">
        <v>98</v>
      </c>
      <c r="B112" t="s">
        <v>18889</v>
      </c>
      <c r="C112" t="s">
        <v>74</v>
      </c>
      <c r="D112" t="s">
        <v>74</v>
      </c>
      <c r="E112" t="s">
        <v>74</v>
      </c>
      <c r="F112" t="s">
        <v>18890</v>
      </c>
      <c r="G112" t="s">
        <v>74</v>
      </c>
      <c r="H112" t="s">
        <v>74</v>
      </c>
      <c r="I112" t="s">
        <v>18891</v>
      </c>
      <c r="J112" t="s">
        <v>6349</v>
      </c>
      <c r="K112" t="s">
        <v>74</v>
      </c>
      <c r="L112" t="s">
        <v>74</v>
      </c>
      <c r="M112" t="s">
        <v>74</v>
      </c>
      <c r="N112" t="s">
        <v>103</v>
      </c>
      <c r="O112" t="s">
        <v>74</v>
      </c>
      <c r="P112" t="s">
        <v>74</v>
      </c>
      <c r="Q112" t="s">
        <v>74</v>
      </c>
      <c r="R112" t="s">
        <v>74</v>
      </c>
      <c r="S112" t="s">
        <v>74</v>
      </c>
      <c r="T112" t="s">
        <v>74</v>
      </c>
      <c r="U112" t="s">
        <v>18892</v>
      </c>
      <c r="V112" t="s">
        <v>18893</v>
      </c>
      <c r="W112" t="s">
        <v>18894</v>
      </c>
      <c r="X112" t="s">
        <v>18895</v>
      </c>
      <c r="Y112" t="s">
        <v>18896</v>
      </c>
      <c r="Z112" t="s">
        <v>18897</v>
      </c>
      <c r="AA112" t="s">
        <v>18898</v>
      </c>
      <c r="AB112" t="s">
        <v>18899</v>
      </c>
      <c r="AC112" t="s">
        <v>74</v>
      </c>
      <c r="AD112" t="s">
        <v>74</v>
      </c>
      <c r="AE112" t="s">
        <v>74</v>
      </c>
      <c r="AF112" t="s">
        <v>74</v>
      </c>
      <c r="AG112">
        <v>68</v>
      </c>
      <c r="AH112">
        <v>144</v>
      </c>
      <c r="AI112">
        <v>148</v>
      </c>
      <c r="AJ112">
        <v>2</v>
      </c>
      <c r="AK112">
        <v>50</v>
      </c>
      <c r="AL112" t="s">
        <v>74</v>
      </c>
      <c r="AM112" t="s">
        <v>74</v>
      </c>
      <c r="AN112" t="s">
        <v>74</v>
      </c>
      <c r="AO112" t="s">
        <v>6359</v>
      </c>
      <c r="AP112" t="s">
        <v>74</v>
      </c>
      <c r="AQ112" t="s">
        <v>74</v>
      </c>
      <c r="AR112" t="s">
        <v>74</v>
      </c>
      <c r="AS112" t="s">
        <v>74</v>
      </c>
      <c r="AT112" t="s">
        <v>6360</v>
      </c>
      <c r="AU112">
        <v>2013</v>
      </c>
      <c r="AV112">
        <v>4</v>
      </c>
      <c r="AW112">
        <v>5</v>
      </c>
      <c r="AX112" t="s">
        <v>74</v>
      </c>
      <c r="AY112" t="s">
        <v>74</v>
      </c>
      <c r="AZ112" t="s">
        <v>74</v>
      </c>
      <c r="BA112" t="s">
        <v>74</v>
      </c>
      <c r="BB112" t="s">
        <v>74</v>
      </c>
      <c r="BC112" t="s">
        <v>74</v>
      </c>
      <c r="BD112" t="s">
        <v>18900</v>
      </c>
      <c r="BE112" t="s">
        <v>18901</v>
      </c>
      <c r="BF112" t="str">
        <f>HYPERLINK("http://dx.doi.org/10.1128/mBio.00645-13","http://dx.doi.org/10.1128/mBio.00645-13")</f>
        <v>http://dx.doi.org/10.1128/mBio.00645-13</v>
      </c>
      <c r="BG112" t="s">
        <v>74</v>
      </c>
      <c r="BH112" t="s">
        <v>74</v>
      </c>
      <c r="BI112" t="s">
        <v>74</v>
      </c>
      <c r="BJ112" t="s">
        <v>898</v>
      </c>
      <c r="BK112" t="s">
        <v>117</v>
      </c>
      <c r="BL112" t="s">
        <v>898</v>
      </c>
      <c r="BM112" t="s">
        <v>74</v>
      </c>
      <c r="BN112">
        <v>24023384</v>
      </c>
      <c r="BO112" t="s">
        <v>74</v>
      </c>
      <c r="BP112" t="s">
        <v>74</v>
      </c>
      <c r="BQ112" t="s">
        <v>74</v>
      </c>
      <c r="BR112" t="s">
        <v>96</v>
      </c>
      <c r="BS112" t="s">
        <v>18902</v>
      </c>
      <c r="BT112" t="str">
        <f>HYPERLINK("https%3A%2F%2Fwww.webofscience.com%2Fwos%2Fwoscc%2Ffull-record%2FWOS:000326881800026","View Full Record in Web of Science")</f>
        <v>View Full Record in Web of Science</v>
      </c>
    </row>
    <row r="113" spans="1:72" x14ac:dyDescent="0.15">
      <c r="A113" t="s">
        <v>98</v>
      </c>
      <c r="B113" t="s">
        <v>27214</v>
      </c>
      <c r="C113" t="s">
        <v>74</v>
      </c>
      <c r="D113" t="s">
        <v>74</v>
      </c>
      <c r="E113" t="s">
        <v>74</v>
      </c>
      <c r="F113" t="s">
        <v>27214</v>
      </c>
      <c r="G113" t="s">
        <v>74</v>
      </c>
      <c r="H113" t="s">
        <v>74</v>
      </c>
      <c r="I113" t="s">
        <v>27215</v>
      </c>
      <c r="J113" t="s">
        <v>7841</v>
      </c>
      <c r="K113" t="s">
        <v>74</v>
      </c>
      <c r="L113" t="s">
        <v>74</v>
      </c>
      <c r="M113" t="s">
        <v>74</v>
      </c>
      <c r="N113" t="s">
        <v>103</v>
      </c>
      <c r="O113" t="s">
        <v>74</v>
      </c>
      <c r="P113" t="s">
        <v>74</v>
      </c>
      <c r="Q113" t="s">
        <v>74</v>
      </c>
      <c r="R113" t="s">
        <v>74</v>
      </c>
      <c r="S113" t="s">
        <v>74</v>
      </c>
      <c r="T113" t="s">
        <v>74</v>
      </c>
      <c r="U113" t="s">
        <v>27216</v>
      </c>
      <c r="V113" t="s">
        <v>27217</v>
      </c>
      <c r="W113" t="s">
        <v>27218</v>
      </c>
      <c r="X113" t="s">
        <v>27219</v>
      </c>
      <c r="Y113" t="s">
        <v>27220</v>
      </c>
      <c r="Z113" t="s">
        <v>74</v>
      </c>
      <c r="AA113" t="s">
        <v>27221</v>
      </c>
      <c r="AB113" t="s">
        <v>27222</v>
      </c>
      <c r="AC113" t="s">
        <v>74</v>
      </c>
      <c r="AD113" t="s">
        <v>74</v>
      </c>
      <c r="AE113" t="s">
        <v>74</v>
      </c>
      <c r="AF113" t="s">
        <v>74</v>
      </c>
      <c r="AG113">
        <v>36</v>
      </c>
      <c r="AH113">
        <v>144</v>
      </c>
      <c r="AI113">
        <v>157</v>
      </c>
      <c r="AJ113">
        <v>0</v>
      </c>
      <c r="AK113">
        <v>6</v>
      </c>
      <c r="AL113" t="s">
        <v>74</v>
      </c>
      <c r="AM113" t="s">
        <v>74</v>
      </c>
      <c r="AN113" t="s">
        <v>74</v>
      </c>
      <c r="AO113" t="s">
        <v>7850</v>
      </c>
      <c r="AP113" t="s">
        <v>74</v>
      </c>
      <c r="AQ113" t="s">
        <v>74</v>
      </c>
      <c r="AR113" t="s">
        <v>74</v>
      </c>
      <c r="AS113" t="s">
        <v>74</v>
      </c>
      <c r="AT113" t="s">
        <v>2081</v>
      </c>
      <c r="AU113">
        <v>2000</v>
      </c>
      <c r="AV113">
        <v>165</v>
      </c>
      <c r="AW113">
        <v>2</v>
      </c>
      <c r="AX113" t="s">
        <v>74</v>
      </c>
      <c r="AY113" t="s">
        <v>74</v>
      </c>
      <c r="AZ113" t="s">
        <v>74</v>
      </c>
      <c r="BA113" t="s">
        <v>74</v>
      </c>
      <c r="BB113">
        <v>663</v>
      </c>
      <c r="BC113">
        <v>670</v>
      </c>
      <c r="BD113" t="s">
        <v>74</v>
      </c>
      <c r="BE113" t="s">
        <v>27223</v>
      </c>
      <c r="BF113" t="str">
        <f>HYPERLINK("http://dx.doi.org/10.4049/jimmunol.165.2.663","http://dx.doi.org/10.4049/jimmunol.165.2.663")</f>
        <v>http://dx.doi.org/10.4049/jimmunol.165.2.663</v>
      </c>
      <c r="BG113" t="s">
        <v>74</v>
      </c>
      <c r="BH113" t="s">
        <v>74</v>
      </c>
      <c r="BI113" t="s">
        <v>74</v>
      </c>
      <c r="BJ113" t="s">
        <v>2064</v>
      </c>
      <c r="BK113" t="s">
        <v>117</v>
      </c>
      <c r="BL113" t="s">
        <v>2064</v>
      </c>
      <c r="BM113" t="s">
        <v>74</v>
      </c>
      <c r="BN113">
        <v>10878338</v>
      </c>
      <c r="BO113" t="s">
        <v>74</v>
      </c>
      <c r="BP113" t="s">
        <v>74</v>
      </c>
      <c r="BQ113" t="s">
        <v>74</v>
      </c>
      <c r="BR113" t="s">
        <v>96</v>
      </c>
      <c r="BS113" t="s">
        <v>27224</v>
      </c>
      <c r="BT113" t="str">
        <f>HYPERLINK("https%3A%2F%2Fwww.webofscience.com%2Fwos%2Fwoscc%2Ffull-record%2FWOS:000088085600009","View Full Record in Web of Science")</f>
        <v>View Full Record in Web of Science</v>
      </c>
    </row>
    <row r="114" spans="1:72" x14ac:dyDescent="0.15">
      <c r="A114" t="s">
        <v>98</v>
      </c>
      <c r="B114" t="s">
        <v>11076</v>
      </c>
      <c r="C114" t="s">
        <v>74</v>
      </c>
      <c r="D114" t="s">
        <v>74</v>
      </c>
      <c r="E114" t="s">
        <v>74</v>
      </c>
      <c r="F114" t="s">
        <v>11077</v>
      </c>
      <c r="G114" t="s">
        <v>74</v>
      </c>
      <c r="H114" t="s">
        <v>74</v>
      </c>
      <c r="I114" t="s">
        <v>11078</v>
      </c>
      <c r="J114" t="s">
        <v>8763</v>
      </c>
      <c r="K114" t="s">
        <v>74</v>
      </c>
      <c r="L114" t="s">
        <v>74</v>
      </c>
      <c r="M114" t="s">
        <v>74</v>
      </c>
      <c r="N114" t="s">
        <v>103</v>
      </c>
      <c r="O114" t="s">
        <v>74</v>
      </c>
      <c r="P114" t="s">
        <v>74</v>
      </c>
      <c r="Q114" t="s">
        <v>74</v>
      </c>
      <c r="R114" t="s">
        <v>74</v>
      </c>
      <c r="S114" t="s">
        <v>74</v>
      </c>
      <c r="T114" t="s">
        <v>74</v>
      </c>
      <c r="U114" t="s">
        <v>11079</v>
      </c>
      <c r="V114" t="s">
        <v>11080</v>
      </c>
      <c r="W114" t="s">
        <v>11081</v>
      </c>
      <c r="X114" t="s">
        <v>11082</v>
      </c>
      <c r="Y114" t="s">
        <v>11083</v>
      </c>
      <c r="Z114" t="s">
        <v>11084</v>
      </c>
      <c r="AA114" t="s">
        <v>11085</v>
      </c>
      <c r="AB114" t="s">
        <v>11086</v>
      </c>
      <c r="AC114" t="s">
        <v>74</v>
      </c>
      <c r="AD114" t="s">
        <v>74</v>
      </c>
      <c r="AE114" t="s">
        <v>74</v>
      </c>
      <c r="AF114" t="s">
        <v>74</v>
      </c>
      <c r="AG114">
        <v>129</v>
      </c>
      <c r="AH114">
        <v>143</v>
      </c>
      <c r="AI114">
        <v>150</v>
      </c>
      <c r="AJ114">
        <v>2</v>
      </c>
      <c r="AK114">
        <v>77</v>
      </c>
      <c r="AL114" t="s">
        <v>74</v>
      </c>
      <c r="AM114" t="s">
        <v>74</v>
      </c>
      <c r="AN114" t="s">
        <v>74</v>
      </c>
      <c r="AO114" t="s">
        <v>8772</v>
      </c>
      <c r="AP114" t="s">
        <v>8773</v>
      </c>
      <c r="AQ114" t="s">
        <v>74</v>
      </c>
      <c r="AR114" t="s">
        <v>74</v>
      </c>
      <c r="AS114" t="s">
        <v>74</v>
      </c>
      <c r="AT114" t="s">
        <v>211</v>
      </c>
      <c r="AU114">
        <v>2011</v>
      </c>
      <c r="AV114">
        <v>82</v>
      </c>
      <c r="AW114">
        <v>4</v>
      </c>
      <c r="AX114" t="s">
        <v>74</v>
      </c>
      <c r="AY114" t="s">
        <v>74</v>
      </c>
      <c r="AZ114" t="s">
        <v>74</v>
      </c>
      <c r="BA114" t="s">
        <v>74</v>
      </c>
      <c r="BB114">
        <v>1015</v>
      </c>
      <c r="BC114">
        <v>1037</v>
      </c>
      <c r="BD114" t="s">
        <v>74</v>
      </c>
      <c r="BE114" t="s">
        <v>11087</v>
      </c>
      <c r="BF114" t="str">
        <f>HYPERLINK("http://dx.doi.org/10.1111/j.1365-2958.2011.07867.x","http://dx.doi.org/10.1111/j.1365-2958.2011.07867.x")</f>
        <v>http://dx.doi.org/10.1111/j.1365-2958.2011.07867.x</v>
      </c>
      <c r="BG114" t="s">
        <v>74</v>
      </c>
      <c r="BH114" t="s">
        <v>74</v>
      </c>
      <c r="BI114" t="s">
        <v>74</v>
      </c>
      <c r="BJ114" t="s">
        <v>8775</v>
      </c>
      <c r="BK114" t="s">
        <v>117</v>
      </c>
      <c r="BL114" t="s">
        <v>8775</v>
      </c>
      <c r="BM114" t="s">
        <v>74</v>
      </c>
      <c r="BN114">
        <v>22032623</v>
      </c>
      <c r="BO114" t="s">
        <v>74</v>
      </c>
      <c r="BP114" t="s">
        <v>74</v>
      </c>
      <c r="BQ114" t="s">
        <v>74</v>
      </c>
      <c r="BR114" t="s">
        <v>96</v>
      </c>
      <c r="BS114" t="s">
        <v>11088</v>
      </c>
      <c r="BT114" t="str">
        <f>HYPERLINK("https%3A%2F%2Fwww.webofscience.com%2Fwos%2Fwoscc%2Ffull-record%2FWOS:000297546600019","View Full Record in Web of Science")</f>
        <v>View Full Record in Web of Science</v>
      </c>
    </row>
    <row r="115" spans="1:72" x14ac:dyDescent="0.15">
      <c r="A115" t="s">
        <v>98</v>
      </c>
      <c r="B115" t="s">
        <v>18404</v>
      </c>
      <c r="C115" t="s">
        <v>74</v>
      </c>
      <c r="D115" t="s">
        <v>74</v>
      </c>
      <c r="E115" t="s">
        <v>74</v>
      </c>
      <c r="F115" t="s">
        <v>18405</v>
      </c>
      <c r="G115" t="s">
        <v>74</v>
      </c>
      <c r="H115" t="s">
        <v>74</v>
      </c>
      <c r="I115" t="s">
        <v>18406</v>
      </c>
      <c r="J115" t="s">
        <v>1159</v>
      </c>
      <c r="K115" t="s">
        <v>74</v>
      </c>
      <c r="L115" t="s">
        <v>74</v>
      </c>
      <c r="M115" t="s">
        <v>74</v>
      </c>
      <c r="N115" t="s">
        <v>103</v>
      </c>
      <c r="O115" t="s">
        <v>74</v>
      </c>
      <c r="P115" t="s">
        <v>74</v>
      </c>
      <c r="Q115" t="s">
        <v>74</v>
      </c>
      <c r="R115" t="s">
        <v>74</v>
      </c>
      <c r="S115" t="s">
        <v>74</v>
      </c>
      <c r="T115" t="s">
        <v>74</v>
      </c>
      <c r="U115" t="s">
        <v>18407</v>
      </c>
      <c r="V115" t="s">
        <v>18408</v>
      </c>
      <c r="W115" t="s">
        <v>18409</v>
      </c>
      <c r="X115" t="s">
        <v>18410</v>
      </c>
      <c r="Y115" t="s">
        <v>18411</v>
      </c>
      <c r="Z115" t="s">
        <v>17016</v>
      </c>
      <c r="AA115" t="s">
        <v>17017</v>
      </c>
      <c r="AB115" t="s">
        <v>18412</v>
      </c>
      <c r="AC115" t="s">
        <v>74</v>
      </c>
      <c r="AD115" t="s">
        <v>74</v>
      </c>
      <c r="AE115" t="s">
        <v>74</v>
      </c>
      <c r="AF115" t="s">
        <v>74</v>
      </c>
      <c r="AG115">
        <v>48</v>
      </c>
      <c r="AH115">
        <v>143</v>
      </c>
      <c r="AI115">
        <v>151</v>
      </c>
      <c r="AJ115">
        <v>4</v>
      </c>
      <c r="AK115">
        <v>47</v>
      </c>
      <c r="AL115" t="s">
        <v>74</v>
      </c>
      <c r="AM115" t="s">
        <v>74</v>
      </c>
      <c r="AN115" t="s">
        <v>74</v>
      </c>
      <c r="AO115" t="s">
        <v>74</v>
      </c>
      <c r="AP115" t="s">
        <v>1168</v>
      </c>
      <c r="AQ115" t="s">
        <v>74</v>
      </c>
      <c r="AR115" t="s">
        <v>74</v>
      </c>
      <c r="AS115" t="s">
        <v>74</v>
      </c>
      <c r="AT115" t="s">
        <v>10188</v>
      </c>
      <c r="AU115">
        <v>2015</v>
      </c>
      <c r="AV115">
        <v>14</v>
      </c>
      <c r="AW115" t="s">
        <v>74</v>
      </c>
      <c r="AX115" t="s">
        <v>74</v>
      </c>
      <c r="AY115" t="s">
        <v>74</v>
      </c>
      <c r="AZ115" t="s">
        <v>74</v>
      </c>
      <c r="BA115" t="s">
        <v>74</v>
      </c>
      <c r="BB115" t="s">
        <v>74</v>
      </c>
      <c r="BC115" t="s">
        <v>74</v>
      </c>
      <c r="BD115">
        <v>133</v>
      </c>
      <c r="BE115" t="s">
        <v>18413</v>
      </c>
      <c r="BF115" t="str">
        <f>HYPERLINK("http://dx.doi.org/10.1186/s12943-015-0400-7","http://dx.doi.org/10.1186/s12943-015-0400-7")</f>
        <v>http://dx.doi.org/10.1186/s12943-015-0400-7</v>
      </c>
      <c r="BG115" t="s">
        <v>74</v>
      </c>
      <c r="BH115" t="s">
        <v>74</v>
      </c>
      <c r="BI115" t="s">
        <v>74</v>
      </c>
      <c r="BJ115" t="s">
        <v>357</v>
      </c>
      <c r="BK115" t="s">
        <v>117</v>
      </c>
      <c r="BL115" t="s">
        <v>357</v>
      </c>
      <c r="BM115" t="s">
        <v>74</v>
      </c>
      <c r="BN115">
        <v>26178901</v>
      </c>
      <c r="BO115" t="s">
        <v>74</v>
      </c>
      <c r="BP115" t="s">
        <v>74</v>
      </c>
      <c r="BQ115" t="s">
        <v>74</v>
      </c>
      <c r="BR115" t="s">
        <v>96</v>
      </c>
      <c r="BS115" t="s">
        <v>18414</v>
      </c>
      <c r="BT115" t="str">
        <f>HYPERLINK("https%3A%2F%2Fwww.webofscience.com%2Fwos%2Fwoscc%2Ffull-record%2FWOS:000357926400002","View Full Record in Web of Science")</f>
        <v>View Full Record in Web of Science</v>
      </c>
    </row>
    <row r="116" spans="1:72" x14ac:dyDescent="0.15">
      <c r="A116" t="s">
        <v>98</v>
      </c>
      <c r="B116" t="s">
        <v>19554</v>
      </c>
      <c r="C116" t="s">
        <v>74</v>
      </c>
      <c r="D116" t="s">
        <v>74</v>
      </c>
      <c r="E116" t="s">
        <v>74</v>
      </c>
      <c r="F116" t="s">
        <v>19555</v>
      </c>
      <c r="G116" t="s">
        <v>74</v>
      </c>
      <c r="H116" t="s">
        <v>74</v>
      </c>
      <c r="I116" t="s">
        <v>19556</v>
      </c>
      <c r="J116" t="s">
        <v>19557</v>
      </c>
      <c r="K116" t="s">
        <v>74</v>
      </c>
      <c r="L116" t="s">
        <v>74</v>
      </c>
      <c r="M116" t="s">
        <v>74</v>
      </c>
      <c r="N116" t="s">
        <v>103</v>
      </c>
      <c r="O116" t="s">
        <v>74</v>
      </c>
      <c r="P116" t="s">
        <v>74</v>
      </c>
      <c r="Q116" t="s">
        <v>74</v>
      </c>
      <c r="R116" t="s">
        <v>74</v>
      </c>
      <c r="S116" t="s">
        <v>74</v>
      </c>
      <c r="T116" t="s">
        <v>19558</v>
      </c>
      <c r="U116" t="s">
        <v>19559</v>
      </c>
      <c r="V116" t="s">
        <v>19560</v>
      </c>
      <c r="W116" t="s">
        <v>19561</v>
      </c>
      <c r="X116" t="s">
        <v>19562</v>
      </c>
      <c r="Y116" t="s">
        <v>19563</v>
      </c>
      <c r="Z116" t="s">
        <v>19564</v>
      </c>
      <c r="AA116" t="s">
        <v>19565</v>
      </c>
      <c r="AB116" t="s">
        <v>19566</v>
      </c>
      <c r="AC116" t="s">
        <v>74</v>
      </c>
      <c r="AD116" t="s">
        <v>74</v>
      </c>
      <c r="AE116" t="s">
        <v>74</v>
      </c>
      <c r="AF116" t="s">
        <v>74</v>
      </c>
      <c r="AG116">
        <v>31</v>
      </c>
      <c r="AH116">
        <v>142</v>
      </c>
      <c r="AI116">
        <v>145</v>
      </c>
      <c r="AJ116">
        <v>2</v>
      </c>
      <c r="AK116">
        <v>34</v>
      </c>
      <c r="AL116" t="s">
        <v>74</v>
      </c>
      <c r="AM116" t="s">
        <v>74</v>
      </c>
      <c r="AN116" t="s">
        <v>74</v>
      </c>
      <c r="AO116" t="s">
        <v>19567</v>
      </c>
      <c r="AP116" t="s">
        <v>74</v>
      </c>
      <c r="AQ116" t="s">
        <v>74</v>
      </c>
      <c r="AR116" t="s">
        <v>74</v>
      </c>
      <c r="AS116" t="s">
        <v>74</v>
      </c>
      <c r="AT116" t="s">
        <v>565</v>
      </c>
      <c r="AU116">
        <v>2012</v>
      </c>
      <c r="AV116">
        <v>11</v>
      </c>
      <c r="AW116">
        <v>2</v>
      </c>
      <c r="AX116" t="s">
        <v>74</v>
      </c>
      <c r="AY116" t="s">
        <v>74</v>
      </c>
      <c r="AZ116" t="s">
        <v>74</v>
      </c>
      <c r="BA116" t="s">
        <v>74</v>
      </c>
      <c r="BB116">
        <v>84</v>
      </c>
      <c r="BC116">
        <v>92</v>
      </c>
      <c r="BD116" t="s">
        <v>74</v>
      </c>
      <c r="BE116" t="s">
        <v>19568</v>
      </c>
      <c r="BF116" t="str">
        <f>HYPERLINK("http://dx.doi.org/10.1016/j.jcf.2011.09.008","http://dx.doi.org/10.1016/j.jcf.2011.09.008")</f>
        <v>http://dx.doi.org/10.1016/j.jcf.2011.09.008</v>
      </c>
      <c r="BG116" t="s">
        <v>74</v>
      </c>
      <c r="BH116" t="s">
        <v>74</v>
      </c>
      <c r="BI116" t="s">
        <v>74</v>
      </c>
      <c r="BJ116" t="s">
        <v>4148</v>
      </c>
      <c r="BK116" t="s">
        <v>117</v>
      </c>
      <c r="BL116" t="s">
        <v>4148</v>
      </c>
      <c r="BM116" t="s">
        <v>74</v>
      </c>
      <c r="BN116">
        <v>21996135</v>
      </c>
      <c r="BO116" t="s">
        <v>74</v>
      </c>
      <c r="BP116" t="s">
        <v>74</v>
      </c>
      <c r="BQ116" t="s">
        <v>74</v>
      </c>
      <c r="BR116" t="s">
        <v>96</v>
      </c>
      <c r="BS116" t="s">
        <v>19569</v>
      </c>
      <c r="BT116" t="str">
        <f>HYPERLINK("https%3A%2F%2Fwww.webofscience.com%2Fwos%2Fwoscc%2Ffull-record%2FWOS:000302423300003","View Full Record in Web of Science")</f>
        <v>View Full Record in Web of Science</v>
      </c>
    </row>
    <row r="117" spans="1:72" x14ac:dyDescent="0.15">
      <c r="A117" t="s">
        <v>98</v>
      </c>
      <c r="B117" t="s">
        <v>26068</v>
      </c>
      <c r="C117" t="s">
        <v>74</v>
      </c>
      <c r="D117" t="s">
        <v>74</v>
      </c>
      <c r="E117" t="s">
        <v>74</v>
      </c>
      <c r="F117" t="s">
        <v>26068</v>
      </c>
      <c r="G117" t="s">
        <v>74</v>
      </c>
      <c r="H117" t="s">
        <v>74</v>
      </c>
      <c r="I117" t="s">
        <v>26069</v>
      </c>
      <c r="J117" t="s">
        <v>2536</v>
      </c>
      <c r="K117" t="s">
        <v>74</v>
      </c>
      <c r="L117" t="s">
        <v>74</v>
      </c>
      <c r="M117" t="s">
        <v>74</v>
      </c>
      <c r="N117" t="s">
        <v>103</v>
      </c>
      <c r="O117" t="s">
        <v>74</v>
      </c>
      <c r="P117" t="s">
        <v>74</v>
      </c>
      <c r="Q117" t="s">
        <v>74</v>
      </c>
      <c r="R117" t="s">
        <v>74</v>
      </c>
      <c r="S117" t="s">
        <v>74</v>
      </c>
      <c r="T117" t="s">
        <v>74</v>
      </c>
      <c r="U117" t="s">
        <v>26070</v>
      </c>
      <c r="V117" t="s">
        <v>26071</v>
      </c>
      <c r="W117" t="s">
        <v>26072</v>
      </c>
      <c r="X117" t="s">
        <v>26073</v>
      </c>
      <c r="Y117" t="s">
        <v>74</v>
      </c>
      <c r="Z117" t="s">
        <v>74</v>
      </c>
      <c r="AA117" t="s">
        <v>74</v>
      </c>
      <c r="AB117" t="s">
        <v>26074</v>
      </c>
      <c r="AC117" t="s">
        <v>74</v>
      </c>
      <c r="AD117" t="s">
        <v>74</v>
      </c>
      <c r="AE117" t="s">
        <v>74</v>
      </c>
      <c r="AF117" t="s">
        <v>74</v>
      </c>
      <c r="AG117">
        <v>48</v>
      </c>
      <c r="AH117">
        <v>142</v>
      </c>
      <c r="AI117">
        <v>145</v>
      </c>
      <c r="AJ117">
        <v>0</v>
      </c>
      <c r="AK117">
        <v>2</v>
      </c>
      <c r="AL117" t="s">
        <v>74</v>
      </c>
      <c r="AM117" t="s">
        <v>74</v>
      </c>
      <c r="AN117" t="s">
        <v>74</v>
      </c>
      <c r="AO117" t="s">
        <v>2544</v>
      </c>
      <c r="AP117" t="s">
        <v>2545</v>
      </c>
      <c r="AQ117" t="s">
        <v>74</v>
      </c>
      <c r="AR117" t="s">
        <v>74</v>
      </c>
      <c r="AS117" t="s">
        <v>74</v>
      </c>
      <c r="AT117" t="s">
        <v>967</v>
      </c>
      <c r="AU117">
        <v>1991</v>
      </c>
      <c r="AV117">
        <v>65</v>
      </c>
      <c r="AW117">
        <v>12</v>
      </c>
      <c r="AX117" t="s">
        <v>74</v>
      </c>
      <c r="AY117" t="s">
        <v>74</v>
      </c>
      <c r="AZ117" t="s">
        <v>74</v>
      </c>
      <c r="BA117" t="s">
        <v>74</v>
      </c>
      <c r="BB117">
        <v>6414</v>
      </c>
      <c r="BC117">
        <v>6424</v>
      </c>
      <c r="BD117" t="s">
        <v>74</v>
      </c>
      <c r="BE117" t="s">
        <v>26075</v>
      </c>
      <c r="BF117" t="str">
        <f>HYPERLINK("http://dx.doi.org/10.1128/JVI.65.12.6414-6424.1991","http://dx.doi.org/10.1128/JVI.65.12.6414-6424.1991")</f>
        <v>http://dx.doi.org/10.1128/JVI.65.12.6414-6424.1991</v>
      </c>
      <c r="BG117" t="s">
        <v>74</v>
      </c>
      <c r="BH117" t="s">
        <v>74</v>
      </c>
      <c r="BI117" t="s">
        <v>74</v>
      </c>
      <c r="BJ117" t="s">
        <v>932</v>
      </c>
      <c r="BK117" t="s">
        <v>117</v>
      </c>
      <c r="BL117" t="s">
        <v>932</v>
      </c>
      <c r="BM117" t="s">
        <v>74</v>
      </c>
      <c r="BN117">
        <v>1719228</v>
      </c>
      <c r="BO117" t="s">
        <v>74</v>
      </c>
      <c r="BP117" t="s">
        <v>74</v>
      </c>
      <c r="BQ117" t="s">
        <v>74</v>
      </c>
      <c r="BR117" t="s">
        <v>96</v>
      </c>
      <c r="BS117" t="s">
        <v>26076</v>
      </c>
      <c r="BT117" t="str">
        <f>HYPERLINK("https%3A%2F%2Fwww.webofscience.com%2Fwos%2Fwoscc%2Ffull-record%2FWOS:A1991GP87800005","View Full Record in Web of Science")</f>
        <v>View Full Record in Web of Science</v>
      </c>
    </row>
    <row r="118" spans="1:72" x14ac:dyDescent="0.15">
      <c r="A118" t="s">
        <v>98</v>
      </c>
      <c r="B118" t="s">
        <v>4871</v>
      </c>
      <c r="C118" t="s">
        <v>74</v>
      </c>
      <c r="D118" t="s">
        <v>74</v>
      </c>
      <c r="E118" t="s">
        <v>74</v>
      </c>
      <c r="F118" t="s">
        <v>4872</v>
      </c>
      <c r="G118" t="s">
        <v>74</v>
      </c>
      <c r="H118" t="s">
        <v>74</v>
      </c>
      <c r="I118" t="s">
        <v>4873</v>
      </c>
      <c r="J118" t="s">
        <v>1073</v>
      </c>
      <c r="K118" t="s">
        <v>74</v>
      </c>
      <c r="L118" t="s">
        <v>74</v>
      </c>
      <c r="M118" t="s">
        <v>74</v>
      </c>
      <c r="N118" t="s">
        <v>103</v>
      </c>
      <c r="O118" t="s">
        <v>74</v>
      </c>
      <c r="P118" t="s">
        <v>74</v>
      </c>
      <c r="Q118" t="s">
        <v>74</v>
      </c>
      <c r="R118" t="s">
        <v>74</v>
      </c>
      <c r="S118" t="s">
        <v>74</v>
      </c>
      <c r="T118" t="s">
        <v>74</v>
      </c>
      <c r="U118" t="s">
        <v>4874</v>
      </c>
      <c r="V118" t="s">
        <v>4875</v>
      </c>
      <c r="W118" t="s">
        <v>4876</v>
      </c>
      <c r="X118" t="s">
        <v>4877</v>
      </c>
      <c r="Y118" t="s">
        <v>4878</v>
      </c>
      <c r="Z118" t="s">
        <v>4879</v>
      </c>
      <c r="AA118" t="s">
        <v>74</v>
      </c>
      <c r="AB118" t="s">
        <v>74</v>
      </c>
      <c r="AC118" t="s">
        <v>74</v>
      </c>
      <c r="AD118" t="s">
        <v>74</v>
      </c>
      <c r="AE118" t="s">
        <v>74</v>
      </c>
      <c r="AF118" t="s">
        <v>74</v>
      </c>
      <c r="AG118">
        <v>21</v>
      </c>
      <c r="AH118">
        <v>141</v>
      </c>
      <c r="AI118">
        <v>145</v>
      </c>
      <c r="AJ118">
        <v>1</v>
      </c>
      <c r="AK118">
        <v>23</v>
      </c>
      <c r="AL118" t="s">
        <v>74</v>
      </c>
      <c r="AM118" t="s">
        <v>74</v>
      </c>
      <c r="AN118" t="s">
        <v>74</v>
      </c>
      <c r="AO118" t="s">
        <v>1082</v>
      </c>
      <c r="AP118" t="s">
        <v>74</v>
      </c>
      <c r="AQ118" t="s">
        <v>74</v>
      </c>
      <c r="AR118" t="s">
        <v>74</v>
      </c>
      <c r="AS118" t="s">
        <v>74</v>
      </c>
      <c r="AT118" t="s">
        <v>4880</v>
      </c>
      <c r="AU118">
        <v>2017</v>
      </c>
      <c r="AV118">
        <v>12</v>
      </c>
      <c r="AW118">
        <v>8</v>
      </c>
      <c r="AX118" t="s">
        <v>74</v>
      </c>
      <c r="AY118" t="s">
        <v>74</v>
      </c>
      <c r="AZ118" t="s">
        <v>74</v>
      </c>
      <c r="BA118" t="s">
        <v>74</v>
      </c>
      <c r="BB118" t="s">
        <v>74</v>
      </c>
      <c r="BC118" t="s">
        <v>74</v>
      </c>
      <c r="BD118" t="s">
        <v>4881</v>
      </c>
      <c r="BE118" t="s">
        <v>4882</v>
      </c>
      <c r="BF118" t="str">
        <f>HYPERLINK("http://dx.doi.org/10.1371/journal.pone.0183915","http://dx.doi.org/10.1371/journal.pone.0183915")</f>
        <v>http://dx.doi.org/10.1371/journal.pone.0183915</v>
      </c>
      <c r="BG118" t="s">
        <v>74</v>
      </c>
      <c r="BH118" t="s">
        <v>74</v>
      </c>
      <c r="BI118" t="s">
        <v>74</v>
      </c>
      <c r="BJ118" t="s">
        <v>152</v>
      </c>
      <c r="BK118" t="s">
        <v>117</v>
      </c>
      <c r="BL118" t="s">
        <v>153</v>
      </c>
      <c r="BM118" t="s">
        <v>74</v>
      </c>
      <c r="BN118">
        <v>28850588</v>
      </c>
      <c r="BO118" t="s">
        <v>74</v>
      </c>
      <c r="BP118" t="s">
        <v>74</v>
      </c>
      <c r="BQ118" t="s">
        <v>74</v>
      </c>
      <c r="BR118" t="s">
        <v>96</v>
      </c>
      <c r="BS118" t="s">
        <v>4883</v>
      </c>
      <c r="BT118" t="str">
        <f>HYPERLINK("https%3A%2F%2Fwww.webofscience.com%2Fwos%2Fwoscc%2Ffull-record%2FWOS:000408544200041","View Full Record in Web of Science")</f>
        <v>View Full Record in Web of Science</v>
      </c>
    </row>
    <row r="119" spans="1:72" x14ac:dyDescent="0.15">
      <c r="A119" t="s">
        <v>98</v>
      </c>
      <c r="B119" t="s">
        <v>8269</v>
      </c>
      <c r="C119" t="s">
        <v>74</v>
      </c>
      <c r="D119" t="s">
        <v>74</v>
      </c>
      <c r="E119" t="s">
        <v>74</v>
      </c>
      <c r="F119" t="s">
        <v>8270</v>
      </c>
      <c r="G119" t="s">
        <v>74</v>
      </c>
      <c r="H119" t="s">
        <v>74</v>
      </c>
      <c r="I119" t="s">
        <v>8271</v>
      </c>
      <c r="J119" t="s">
        <v>1073</v>
      </c>
      <c r="K119" t="s">
        <v>74</v>
      </c>
      <c r="L119" t="s">
        <v>74</v>
      </c>
      <c r="M119" t="s">
        <v>74</v>
      </c>
      <c r="N119" t="s">
        <v>103</v>
      </c>
      <c r="O119" t="s">
        <v>74</v>
      </c>
      <c r="P119" t="s">
        <v>74</v>
      </c>
      <c r="Q119" t="s">
        <v>74</v>
      </c>
      <c r="R119" t="s">
        <v>74</v>
      </c>
      <c r="S119" t="s">
        <v>74</v>
      </c>
      <c r="T119" t="s">
        <v>74</v>
      </c>
      <c r="U119" t="s">
        <v>8272</v>
      </c>
      <c r="V119" t="s">
        <v>8273</v>
      </c>
      <c r="W119" t="s">
        <v>8274</v>
      </c>
      <c r="X119" t="s">
        <v>8275</v>
      </c>
      <c r="Y119" t="s">
        <v>8276</v>
      </c>
      <c r="Z119" t="s">
        <v>8277</v>
      </c>
      <c r="AA119" t="s">
        <v>74</v>
      </c>
      <c r="AB119" t="s">
        <v>8278</v>
      </c>
      <c r="AC119" t="s">
        <v>74</v>
      </c>
      <c r="AD119" t="s">
        <v>74</v>
      </c>
      <c r="AE119" t="s">
        <v>74</v>
      </c>
      <c r="AF119" t="s">
        <v>74</v>
      </c>
      <c r="AG119">
        <v>28</v>
      </c>
      <c r="AH119">
        <v>140</v>
      </c>
      <c r="AI119">
        <v>150</v>
      </c>
      <c r="AJ119">
        <v>2</v>
      </c>
      <c r="AK119">
        <v>36</v>
      </c>
      <c r="AL119" t="s">
        <v>74</v>
      </c>
      <c r="AM119" t="s">
        <v>74</v>
      </c>
      <c r="AN119" t="s">
        <v>74</v>
      </c>
      <c r="AO119" t="s">
        <v>1082</v>
      </c>
      <c r="AP119" t="s">
        <v>74</v>
      </c>
      <c r="AQ119" t="s">
        <v>74</v>
      </c>
      <c r="AR119" t="s">
        <v>74</v>
      </c>
      <c r="AS119" t="s">
        <v>74</v>
      </c>
      <c r="AT119" t="s">
        <v>8279</v>
      </c>
      <c r="AU119">
        <v>2014</v>
      </c>
      <c r="AV119">
        <v>9</v>
      </c>
      <c r="AW119">
        <v>2</v>
      </c>
      <c r="AX119" t="s">
        <v>74</v>
      </c>
      <c r="AY119" t="s">
        <v>74</v>
      </c>
      <c r="AZ119" t="s">
        <v>74</v>
      </c>
      <c r="BA119" t="s">
        <v>74</v>
      </c>
      <c r="BB119" t="s">
        <v>74</v>
      </c>
      <c r="BC119" t="s">
        <v>74</v>
      </c>
      <c r="BD119" t="s">
        <v>8280</v>
      </c>
      <c r="BE119" t="s">
        <v>8281</v>
      </c>
      <c r="BF119" t="str">
        <f>HYPERLINK("http://dx.doi.org/10.1371/journal.pone.0089534","http://dx.doi.org/10.1371/journal.pone.0089534")</f>
        <v>http://dx.doi.org/10.1371/journal.pone.0089534</v>
      </c>
      <c r="BG119" t="s">
        <v>74</v>
      </c>
      <c r="BH119" t="s">
        <v>74</v>
      </c>
      <c r="BI119" t="s">
        <v>74</v>
      </c>
      <c r="BJ119" t="s">
        <v>152</v>
      </c>
      <c r="BK119" t="s">
        <v>117</v>
      </c>
      <c r="BL119" t="s">
        <v>153</v>
      </c>
      <c r="BM119" t="s">
        <v>74</v>
      </c>
      <c r="BN119">
        <v>24586853</v>
      </c>
      <c r="BO119" t="s">
        <v>74</v>
      </c>
      <c r="BP119" t="s">
        <v>74</v>
      </c>
      <c r="BQ119" t="s">
        <v>74</v>
      </c>
      <c r="BR119" t="s">
        <v>96</v>
      </c>
      <c r="BS119" t="s">
        <v>8282</v>
      </c>
      <c r="BT119" t="str">
        <f>HYPERLINK("https%3A%2F%2Fwww.webofscience.com%2Fwos%2Fwoscc%2Ffull-record%2FWOS:000331717900118","View Full Record in Web of Science")</f>
        <v>View Full Record in Web of Science</v>
      </c>
    </row>
    <row r="120" spans="1:72" x14ac:dyDescent="0.15">
      <c r="A120" t="s">
        <v>98</v>
      </c>
      <c r="B120" t="s">
        <v>25477</v>
      </c>
      <c r="C120" t="s">
        <v>74</v>
      </c>
      <c r="D120" t="s">
        <v>74</v>
      </c>
      <c r="E120" t="s">
        <v>74</v>
      </c>
      <c r="F120" t="s">
        <v>25477</v>
      </c>
      <c r="G120" t="s">
        <v>74</v>
      </c>
      <c r="H120" t="s">
        <v>74</v>
      </c>
      <c r="I120" t="s">
        <v>25478</v>
      </c>
      <c r="J120" t="s">
        <v>19867</v>
      </c>
      <c r="K120" t="s">
        <v>74</v>
      </c>
      <c r="L120" t="s">
        <v>74</v>
      </c>
      <c r="M120" t="s">
        <v>74</v>
      </c>
      <c r="N120" t="s">
        <v>103</v>
      </c>
      <c r="O120" t="s">
        <v>74</v>
      </c>
      <c r="P120" t="s">
        <v>74</v>
      </c>
      <c r="Q120" t="s">
        <v>74</v>
      </c>
      <c r="R120" t="s">
        <v>74</v>
      </c>
      <c r="S120" t="s">
        <v>74</v>
      </c>
      <c r="T120" t="s">
        <v>25479</v>
      </c>
      <c r="U120" t="s">
        <v>25480</v>
      </c>
      <c r="V120" t="s">
        <v>25481</v>
      </c>
      <c r="W120" t="s">
        <v>25482</v>
      </c>
      <c r="X120" t="s">
        <v>25483</v>
      </c>
      <c r="Y120" t="s">
        <v>25484</v>
      </c>
      <c r="Z120" t="s">
        <v>74</v>
      </c>
      <c r="AA120" t="s">
        <v>25485</v>
      </c>
      <c r="AB120" t="s">
        <v>74</v>
      </c>
      <c r="AC120" t="s">
        <v>74</v>
      </c>
      <c r="AD120" t="s">
        <v>74</v>
      </c>
      <c r="AE120" t="s">
        <v>74</v>
      </c>
      <c r="AF120" t="s">
        <v>74</v>
      </c>
      <c r="AG120">
        <v>62</v>
      </c>
      <c r="AH120">
        <v>138</v>
      </c>
      <c r="AI120">
        <v>141</v>
      </c>
      <c r="AJ120">
        <v>0</v>
      </c>
      <c r="AK120">
        <v>6</v>
      </c>
      <c r="AL120" t="s">
        <v>74</v>
      </c>
      <c r="AM120" t="s">
        <v>74</v>
      </c>
      <c r="AN120" t="s">
        <v>74</v>
      </c>
      <c r="AO120" t="s">
        <v>19876</v>
      </c>
      <c r="AP120" t="s">
        <v>19877</v>
      </c>
      <c r="AQ120" t="s">
        <v>74</v>
      </c>
      <c r="AR120" t="s">
        <v>74</v>
      </c>
      <c r="AS120" t="s">
        <v>74</v>
      </c>
      <c r="AT120" t="s">
        <v>4822</v>
      </c>
      <c r="AU120">
        <v>1996</v>
      </c>
      <c r="AV120">
        <v>97</v>
      </c>
      <c r="AW120">
        <v>8</v>
      </c>
      <c r="AX120" t="s">
        <v>74</v>
      </c>
      <c r="AY120" t="s">
        <v>74</v>
      </c>
      <c r="AZ120" t="s">
        <v>74</v>
      </c>
      <c r="BA120" t="s">
        <v>74</v>
      </c>
      <c r="BB120">
        <v>1804</v>
      </c>
      <c r="BC120">
        <v>1817</v>
      </c>
      <c r="BD120" t="s">
        <v>74</v>
      </c>
      <c r="BE120" t="s">
        <v>25486</v>
      </c>
      <c r="BF120" t="str">
        <f>HYPERLINK("http://dx.doi.org/10.1172/JCI118610","http://dx.doi.org/10.1172/JCI118610")</f>
        <v>http://dx.doi.org/10.1172/JCI118610</v>
      </c>
      <c r="BG120" t="s">
        <v>74</v>
      </c>
      <c r="BH120" t="s">
        <v>74</v>
      </c>
      <c r="BI120" t="s">
        <v>74</v>
      </c>
      <c r="BJ120" t="s">
        <v>795</v>
      </c>
      <c r="BK120" t="s">
        <v>117</v>
      </c>
      <c r="BL120" t="s">
        <v>796</v>
      </c>
      <c r="BM120" t="s">
        <v>74</v>
      </c>
      <c r="BN120">
        <v>8621763</v>
      </c>
      <c r="BO120" t="s">
        <v>74</v>
      </c>
      <c r="BP120" t="s">
        <v>74</v>
      </c>
      <c r="BQ120" t="s">
        <v>74</v>
      </c>
      <c r="BR120" t="s">
        <v>96</v>
      </c>
      <c r="BS120" t="s">
        <v>25487</v>
      </c>
      <c r="BT120" t="str">
        <f>HYPERLINK("https%3A%2F%2Fwww.webofscience.com%2Fwos%2Fwoscc%2Ffull-record%2FWOS:A1996UG08300004","View Full Record in Web of Science")</f>
        <v>View Full Record in Web of Science</v>
      </c>
    </row>
    <row r="121" spans="1:72" x14ac:dyDescent="0.15">
      <c r="A121" t="s">
        <v>98</v>
      </c>
      <c r="B121" t="s">
        <v>3833</v>
      </c>
      <c r="C121" t="s">
        <v>74</v>
      </c>
      <c r="D121" t="s">
        <v>74</v>
      </c>
      <c r="E121" t="s">
        <v>74</v>
      </c>
      <c r="F121" t="s">
        <v>3834</v>
      </c>
      <c r="G121" t="s">
        <v>74</v>
      </c>
      <c r="H121" t="s">
        <v>74</v>
      </c>
      <c r="I121" t="s">
        <v>3835</v>
      </c>
      <c r="J121" t="s">
        <v>1035</v>
      </c>
      <c r="K121" t="s">
        <v>74</v>
      </c>
      <c r="L121" t="s">
        <v>74</v>
      </c>
      <c r="M121" t="s">
        <v>74</v>
      </c>
      <c r="N121" t="s">
        <v>103</v>
      </c>
      <c r="O121" t="s">
        <v>74</v>
      </c>
      <c r="P121" t="s">
        <v>74</v>
      </c>
      <c r="Q121" t="s">
        <v>74</v>
      </c>
      <c r="R121" t="s">
        <v>74</v>
      </c>
      <c r="S121" t="s">
        <v>74</v>
      </c>
      <c r="T121" t="s">
        <v>74</v>
      </c>
      <c r="U121" t="s">
        <v>3836</v>
      </c>
      <c r="V121" t="s">
        <v>3837</v>
      </c>
      <c r="W121" t="s">
        <v>3838</v>
      </c>
      <c r="X121" t="s">
        <v>3839</v>
      </c>
      <c r="Y121" t="s">
        <v>3840</v>
      </c>
      <c r="Z121" t="s">
        <v>3841</v>
      </c>
      <c r="AA121" t="s">
        <v>3842</v>
      </c>
      <c r="AB121" t="s">
        <v>3843</v>
      </c>
      <c r="AC121" t="s">
        <v>74</v>
      </c>
      <c r="AD121" t="s">
        <v>74</v>
      </c>
      <c r="AE121" t="s">
        <v>74</v>
      </c>
      <c r="AF121" t="s">
        <v>74</v>
      </c>
      <c r="AG121">
        <v>33</v>
      </c>
      <c r="AH121">
        <v>137</v>
      </c>
      <c r="AI121">
        <v>138</v>
      </c>
      <c r="AJ121">
        <v>21</v>
      </c>
      <c r="AK121">
        <v>516</v>
      </c>
      <c r="AL121" t="s">
        <v>74</v>
      </c>
      <c r="AM121" t="s">
        <v>74</v>
      </c>
      <c r="AN121" t="s">
        <v>74</v>
      </c>
      <c r="AO121" t="s">
        <v>1044</v>
      </c>
      <c r="AP121" t="s">
        <v>74</v>
      </c>
      <c r="AQ121" t="s">
        <v>74</v>
      </c>
      <c r="AR121" t="s">
        <v>74</v>
      </c>
      <c r="AS121" t="s">
        <v>74</v>
      </c>
      <c r="AT121" t="s">
        <v>3844</v>
      </c>
      <c r="AU121">
        <v>2017</v>
      </c>
      <c r="AV121">
        <v>139</v>
      </c>
      <c r="AW121">
        <v>15</v>
      </c>
      <c r="AX121" t="s">
        <v>74</v>
      </c>
      <c r="AY121" t="s">
        <v>74</v>
      </c>
      <c r="AZ121" t="s">
        <v>74</v>
      </c>
      <c r="BA121" t="s">
        <v>74</v>
      </c>
      <c r="BB121">
        <v>5289</v>
      </c>
      <c r="BC121">
        <v>5292</v>
      </c>
      <c r="BD121" t="s">
        <v>74</v>
      </c>
      <c r="BE121" t="s">
        <v>3845</v>
      </c>
      <c r="BF121" t="str">
        <f>HYPERLINK("http://dx.doi.org/10.1021/jacs.7b00319","http://dx.doi.org/10.1021/jacs.7b00319")</f>
        <v>http://dx.doi.org/10.1021/jacs.7b00319</v>
      </c>
      <c r="BG121" t="s">
        <v>74</v>
      </c>
      <c r="BH121" t="s">
        <v>74</v>
      </c>
      <c r="BI121" t="s">
        <v>74</v>
      </c>
      <c r="BJ121" t="s">
        <v>1047</v>
      </c>
      <c r="BK121" t="s">
        <v>117</v>
      </c>
      <c r="BL121" t="s">
        <v>1048</v>
      </c>
      <c r="BM121" t="s">
        <v>74</v>
      </c>
      <c r="BN121">
        <v>28332837</v>
      </c>
      <c r="BO121" t="s">
        <v>74</v>
      </c>
      <c r="BP121" t="s">
        <v>74</v>
      </c>
      <c r="BQ121" t="s">
        <v>74</v>
      </c>
      <c r="BR121" t="s">
        <v>96</v>
      </c>
      <c r="BS121" t="s">
        <v>3846</v>
      </c>
      <c r="BT121" t="str">
        <f>HYPERLINK("https%3A%2F%2Fwww.webofscience.com%2Fwos%2Fwoscc%2Ffull-record%2FWOS:000399966000005","View Full Record in Web of Science")</f>
        <v>View Full Record in Web of Science</v>
      </c>
    </row>
    <row r="122" spans="1:72" x14ac:dyDescent="0.15">
      <c r="A122" t="s">
        <v>98</v>
      </c>
      <c r="B122" t="s">
        <v>26462</v>
      </c>
      <c r="C122" t="s">
        <v>74</v>
      </c>
      <c r="D122" t="s">
        <v>74</v>
      </c>
      <c r="E122" t="s">
        <v>74</v>
      </c>
      <c r="F122" t="s">
        <v>26462</v>
      </c>
      <c r="G122" t="s">
        <v>74</v>
      </c>
      <c r="H122" t="s">
        <v>74</v>
      </c>
      <c r="I122" t="s">
        <v>26463</v>
      </c>
      <c r="J122" t="s">
        <v>26464</v>
      </c>
      <c r="K122" t="s">
        <v>74</v>
      </c>
      <c r="L122" t="s">
        <v>74</v>
      </c>
      <c r="M122" t="s">
        <v>74</v>
      </c>
      <c r="N122" t="s">
        <v>103</v>
      </c>
      <c r="O122" t="s">
        <v>74</v>
      </c>
      <c r="P122" t="s">
        <v>74</v>
      </c>
      <c r="Q122" t="s">
        <v>74</v>
      </c>
      <c r="R122" t="s">
        <v>74</v>
      </c>
      <c r="S122" t="s">
        <v>74</v>
      </c>
      <c r="T122" t="s">
        <v>26465</v>
      </c>
      <c r="U122" t="s">
        <v>26466</v>
      </c>
      <c r="V122" t="s">
        <v>26467</v>
      </c>
      <c r="W122" t="s">
        <v>26468</v>
      </c>
      <c r="X122" t="s">
        <v>26469</v>
      </c>
      <c r="Y122" t="s">
        <v>26470</v>
      </c>
      <c r="Z122" t="s">
        <v>26471</v>
      </c>
      <c r="AA122" t="s">
        <v>26472</v>
      </c>
      <c r="AB122" t="s">
        <v>26473</v>
      </c>
      <c r="AC122" t="s">
        <v>74</v>
      </c>
      <c r="AD122" t="s">
        <v>74</v>
      </c>
      <c r="AE122" t="s">
        <v>74</v>
      </c>
      <c r="AF122" t="s">
        <v>74</v>
      </c>
      <c r="AG122">
        <v>45</v>
      </c>
      <c r="AH122">
        <v>137</v>
      </c>
      <c r="AI122">
        <v>141</v>
      </c>
      <c r="AJ122">
        <v>0</v>
      </c>
      <c r="AK122">
        <v>9</v>
      </c>
      <c r="AL122" t="s">
        <v>74</v>
      </c>
      <c r="AM122" t="s">
        <v>74</v>
      </c>
      <c r="AN122" t="s">
        <v>74</v>
      </c>
      <c r="AO122" t="s">
        <v>26474</v>
      </c>
      <c r="AP122" t="s">
        <v>26475</v>
      </c>
      <c r="AQ122" t="s">
        <v>74</v>
      </c>
      <c r="AR122" t="s">
        <v>74</v>
      </c>
      <c r="AS122" t="s">
        <v>74</v>
      </c>
      <c r="AT122" t="s">
        <v>230</v>
      </c>
      <c r="AU122">
        <v>2004</v>
      </c>
      <c r="AV122">
        <v>16</v>
      </c>
      <c r="AW122">
        <v>8</v>
      </c>
      <c r="AX122" t="s">
        <v>74</v>
      </c>
      <c r="AY122" t="s">
        <v>74</v>
      </c>
      <c r="AZ122" t="s">
        <v>74</v>
      </c>
      <c r="BA122" t="s">
        <v>74</v>
      </c>
      <c r="BB122">
        <v>1143</v>
      </c>
      <c r="BC122">
        <v>1154</v>
      </c>
      <c r="BD122" t="s">
        <v>74</v>
      </c>
      <c r="BE122" t="s">
        <v>26476</v>
      </c>
      <c r="BF122" t="str">
        <f>HYPERLINK("http://dx.doi.org/10.1093/intimm/dxh115","http://dx.doi.org/10.1093/intimm/dxh115")</f>
        <v>http://dx.doi.org/10.1093/intimm/dxh115</v>
      </c>
      <c r="BG122" t="s">
        <v>74</v>
      </c>
      <c r="BH122" t="s">
        <v>74</v>
      </c>
      <c r="BI122" t="s">
        <v>74</v>
      </c>
      <c r="BJ122" t="s">
        <v>2064</v>
      </c>
      <c r="BK122" t="s">
        <v>117</v>
      </c>
      <c r="BL122" t="s">
        <v>2064</v>
      </c>
      <c r="BM122" t="s">
        <v>74</v>
      </c>
      <c r="BN122">
        <v>15226270</v>
      </c>
      <c r="BO122" t="s">
        <v>74</v>
      </c>
      <c r="BP122" t="s">
        <v>74</v>
      </c>
      <c r="BQ122" t="s">
        <v>74</v>
      </c>
      <c r="BR122" t="s">
        <v>96</v>
      </c>
      <c r="BS122" t="s">
        <v>26477</v>
      </c>
      <c r="BT122" t="str">
        <f>HYPERLINK("https%3A%2F%2Fwww.webofscience.com%2Fwos%2Fwoscc%2Ffull-record%2FWOS:000223172000009","View Full Record in Web of Science")</f>
        <v>View Full Record in Web of Science</v>
      </c>
    </row>
    <row r="123" spans="1:72" x14ac:dyDescent="0.15">
      <c r="A123" t="s">
        <v>98</v>
      </c>
      <c r="B123" t="s">
        <v>1512</v>
      </c>
      <c r="C123" t="s">
        <v>74</v>
      </c>
      <c r="D123" t="s">
        <v>74</v>
      </c>
      <c r="E123" t="s">
        <v>74</v>
      </c>
      <c r="F123" t="s">
        <v>1513</v>
      </c>
      <c r="G123" t="s">
        <v>74</v>
      </c>
      <c r="H123" t="s">
        <v>74</v>
      </c>
      <c r="I123" t="s">
        <v>1514</v>
      </c>
      <c r="J123" t="s">
        <v>123</v>
      </c>
      <c r="K123" t="s">
        <v>74</v>
      </c>
      <c r="L123" t="s">
        <v>74</v>
      </c>
      <c r="M123" t="s">
        <v>74</v>
      </c>
      <c r="N123" t="s">
        <v>103</v>
      </c>
      <c r="O123" t="s">
        <v>74</v>
      </c>
      <c r="P123" t="s">
        <v>74</v>
      </c>
      <c r="Q123" t="s">
        <v>74</v>
      </c>
      <c r="R123" t="s">
        <v>74</v>
      </c>
      <c r="S123" t="s">
        <v>74</v>
      </c>
      <c r="T123" t="s">
        <v>1515</v>
      </c>
      <c r="U123" t="s">
        <v>1516</v>
      </c>
      <c r="V123" t="s">
        <v>1517</v>
      </c>
      <c r="W123" t="s">
        <v>1518</v>
      </c>
      <c r="X123" t="s">
        <v>609</v>
      </c>
      <c r="Y123" t="s">
        <v>1519</v>
      </c>
      <c r="Z123" t="s">
        <v>1520</v>
      </c>
      <c r="AA123" t="s">
        <v>1521</v>
      </c>
      <c r="AB123" t="s">
        <v>1522</v>
      </c>
      <c r="AC123" t="s">
        <v>74</v>
      </c>
      <c r="AD123" t="s">
        <v>74</v>
      </c>
      <c r="AE123" t="s">
        <v>74</v>
      </c>
      <c r="AF123" t="s">
        <v>74</v>
      </c>
      <c r="AG123">
        <v>36</v>
      </c>
      <c r="AH123">
        <v>136</v>
      </c>
      <c r="AI123">
        <v>138</v>
      </c>
      <c r="AJ123">
        <v>0</v>
      </c>
      <c r="AK123">
        <v>3</v>
      </c>
      <c r="AL123" t="s">
        <v>74</v>
      </c>
      <c r="AM123" t="s">
        <v>74</v>
      </c>
      <c r="AN123" t="s">
        <v>74</v>
      </c>
      <c r="AO123" t="s">
        <v>74</v>
      </c>
      <c r="AP123" t="s">
        <v>131</v>
      </c>
      <c r="AQ123" t="s">
        <v>74</v>
      </c>
      <c r="AR123" t="s">
        <v>74</v>
      </c>
      <c r="AS123" t="s">
        <v>74</v>
      </c>
      <c r="AT123" t="s">
        <v>74</v>
      </c>
      <c r="AU123">
        <v>2012</v>
      </c>
      <c r="AV123">
        <v>1</v>
      </c>
      <c r="AW123">
        <v>1</v>
      </c>
      <c r="AX123" t="s">
        <v>74</v>
      </c>
      <c r="AY123" t="s">
        <v>74</v>
      </c>
      <c r="AZ123" t="s">
        <v>74</v>
      </c>
      <c r="BA123" t="s">
        <v>74</v>
      </c>
      <c r="BB123" t="s">
        <v>74</v>
      </c>
      <c r="BC123" t="s">
        <v>74</v>
      </c>
      <c r="BD123">
        <v>18389</v>
      </c>
      <c r="BE123" t="s">
        <v>1523</v>
      </c>
      <c r="BF123" t="str">
        <f>HYPERLINK("http://dx.doi.org/10.3402/jev.v1i0.18389","http://dx.doi.org/10.3402/jev.v1i0.18389")</f>
        <v>http://dx.doi.org/10.3402/jev.v1i0.18389</v>
      </c>
      <c r="BG123" t="s">
        <v>74</v>
      </c>
      <c r="BH123" t="s">
        <v>74</v>
      </c>
      <c r="BI123" t="s">
        <v>74</v>
      </c>
      <c r="BJ123" t="s">
        <v>135</v>
      </c>
      <c r="BK123" t="s">
        <v>467</v>
      </c>
      <c r="BL123" t="s">
        <v>135</v>
      </c>
      <c r="BM123" t="s">
        <v>74</v>
      </c>
      <c r="BN123">
        <v>24009880</v>
      </c>
      <c r="BO123" t="s">
        <v>74</v>
      </c>
      <c r="BP123" t="s">
        <v>74</v>
      </c>
      <c r="BQ123" t="s">
        <v>74</v>
      </c>
      <c r="BR123" t="s">
        <v>96</v>
      </c>
      <c r="BS123" t="s">
        <v>1524</v>
      </c>
      <c r="BT123" t="str">
        <f>HYPERLINK("https%3A%2F%2Fwww.webofscience.com%2Fwos%2Fwoscc%2Ffull-record%2FWOS:000215614200005","View Full Record in Web of Science")</f>
        <v>View Full Record in Web of Science</v>
      </c>
    </row>
    <row r="124" spans="1:72" x14ac:dyDescent="0.15">
      <c r="A124" t="s">
        <v>98</v>
      </c>
      <c r="B124" t="s">
        <v>13288</v>
      </c>
      <c r="C124" t="s">
        <v>74</v>
      </c>
      <c r="D124" t="s">
        <v>74</v>
      </c>
      <c r="E124" t="s">
        <v>74</v>
      </c>
      <c r="F124" t="s">
        <v>13289</v>
      </c>
      <c r="G124" t="s">
        <v>74</v>
      </c>
      <c r="H124" t="s">
        <v>74</v>
      </c>
      <c r="I124" t="s">
        <v>13290</v>
      </c>
      <c r="J124" t="s">
        <v>7841</v>
      </c>
      <c r="K124" t="s">
        <v>74</v>
      </c>
      <c r="L124" t="s">
        <v>74</v>
      </c>
      <c r="M124" t="s">
        <v>74</v>
      </c>
      <c r="N124" t="s">
        <v>103</v>
      </c>
      <c r="O124" t="s">
        <v>74</v>
      </c>
      <c r="P124" t="s">
        <v>74</v>
      </c>
      <c r="Q124" t="s">
        <v>74</v>
      </c>
      <c r="R124" t="s">
        <v>74</v>
      </c>
      <c r="S124" t="s">
        <v>74</v>
      </c>
      <c r="T124" t="s">
        <v>74</v>
      </c>
      <c r="U124" t="s">
        <v>13291</v>
      </c>
      <c r="V124" t="s">
        <v>13292</v>
      </c>
      <c r="W124" t="s">
        <v>13293</v>
      </c>
      <c r="X124" t="s">
        <v>13294</v>
      </c>
      <c r="Y124" t="s">
        <v>13295</v>
      </c>
      <c r="Z124" t="s">
        <v>13296</v>
      </c>
      <c r="AA124" t="s">
        <v>13297</v>
      </c>
      <c r="AB124" t="s">
        <v>13298</v>
      </c>
      <c r="AC124" t="s">
        <v>74</v>
      </c>
      <c r="AD124" t="s">
        <v>74</v>
      </c>
      <c r="AE124" t="s">
        <v>74</v>
      </c>
      <c r="AF124" t="s">
        <v>74</v>
      </c>
      <c r="AG124">
        <v>56</v>
      </c>
      <c r="AH124">
        <v>136</v>
      </c>
      <c r="AI124">
        <v>140</v>
      </c>
      <c r="AJ124">
        <v>1</v>
      </c>
      <c r="AK124">
        <v>27</v>
      </c>
      <c r="AL124" t="s">
        <v>74</v>
      </c>
      <c r="AM124" t="s">
        <v>74</v>
      </c>
      <c r="AN124" t="s">
        <v>74</v>
      </c>
      <c r="AO124" t="s">
        <v>7850</v>
      </c>
      <c r="AP124" t="s">
        <v>7851</v>
      </c>
      <c r="AQ124" t="s">
        <v>74</v>
      </c>
      <c r="AR124" t="s">
        <v>74</v>
      </c>
      <c r="AS124" t="s">
        <v>74</v>
      </c>
      <c r="AT124" t="s">
        <v>3660</v>
      </c>
      <c r="AU124">
        <v>2017</v>
      </c>
      <c r="AV124">
        <v>198</v>
      </c>
      <c r="AW124">
        <v>4</v>
      </c>
      <c r="AX124" t="s">
        <v>74</v>
      </c>
      <c r="AY124" t="s">
        <v>74</v>
      </c>
      <c r="AZ124" t="s">
        <v>74</v>
      </c>
      <c r="BA124" t="s">
        <v>74</v>
      </c>
      <c r="BB124">
        <v>1649</v>
      </c>
      <c r="BC124">
        <v>1659</v>
      </c>
      <c r="BD124" t="s">
        <v>74</v>
      </c>
      <c r="BE124" t="s">
        <v>13299</v>
      </c>
      <c r="BF124" t="str">
        <f>HYPERLINK("http://dx.doi.org/10.4049/jimmunol.1601694","http://dx.doi.org/10.4049/jimmunol.1601694")</f>
        <v>http://dx.doi.org/10.4049/jimmunol.1601694</v>
      </c>
      <c r="BG124" t="s">
        <v>74</v>
      </c>
      <c r="BH124" t="s">
        <v>74</v>
      </c>
      <c r="BI124" t="s">
        <v>74</v>
      </c>
      <c r="BJ124" t="s">
        <v>2064</v>
      </c>
      <c r="BK124" t="s">
        <v>117</v>
      </c>
      <c r="BL124" t="s">
        <v>2064</v>
      </c>
      <c r="BM124" t="s">
        <v>74</v>
      </c>
      <c r="BN124">
        <v>28069806</v>
      </c>
      <c r="BO124" t="s">
        <v>74</v>
      </c>
      <c r="BP124" t="s">
        <v>74</v>
      </c>
      <c r="BQ124" t="s">
        <v>74</v>
      </c>
      <c r="BR124" t="s">
        <v>96</v>
      </c>
      <c r="BS124" t="s">
        <v>13300</v>
      </c>
      <c r="BT124" t="str">
        <f>HYPERLINK("https%3A%2F%2Fwww.webofscience.com%2Fwos%2Fwoscc%2Ffull-record%2FWOS:000395898600028","View Full Record in Web of Science")</f>
        <v>View Full Record in Web of Science</v>
      </c>
    </row>
    <row r="125" spans="1:72" x14ac:dyDescent="0.15">
      <c r="A125" t="s">
        <v>98</v>
      </c>
      <c r="B125" t="s">
        <v>8527</v>
      </c>
      <c r="C125" t="s">
        <v>74</v>
      </c>
      <c r="D125" t="s">
        <v>74</v>
      </c>
      <c r="E125" t="s">
        <v>74</v>
      </c>
      <c r="F125" t="s">
        <v>8528</v>
      </c>
      <c r="G125" t="s">
        <v>74</v>
      </c>
      <c r="H125" t="s">
        <v>74</v>
      </c>
      <c r="I125" t="s">
        <v>8529</v>
      </c>
      <c r="J125" t="s">
        <v>8530</v>
      </c>
      <c r="K125" t="s">
        <v>74</v>
      </c>
      <c r="L125" t="s">
        <v>74</v>
      </c>
      <c r="M125" t="s">
        <v>74</v>
      </c>
      <c r="N125" t="s">
        <v>103</v>
      </c>
      <c r="O125" t="s">
        <v>74</v>
      </c>
      <c r="P125" t="s">
        <v>74</v>
      </c>
      <c r="Q125" t="s">
        <v>74</v>
      </c>
      <c r="R125" t="s">
        <v>74</v>
      </c>
      <c r="S125" t="s">
        <v>74</v>
      </c>
      <c r="T125" t="s">
        <v>8531</v>
      </c>
      <c r="U125" t="s">
        <v>8532</v>
      </c>
      <c r="V125" t="s">
        <v>8533</v>
      </c>
      <c r="W125" t="s">
        <v>8534</v>
      </c>
      <c r="X125" t="s">
        <v>8535</v>
      </c>
      <c r="Y125" t="s">
        <v>8536</v>
      </c>
      <c r="Z125" t="s">
        <v>8537</v>
      </c>
      <c r="AA125" t="s">
        <v>8538</v>
      </c>
      <c r="AB125" t="s">
        <v>8539</v>
      </c>
      <c r="AC125" t="s">
        <v>74</v>
      </c>
      <c r="AD125" t="s">
        <v>74</v>
      </c>
      <c r="AE125" t="s">
        <v>74</v>
      </c>
      <c r="AF125" t="s">
        <v>74</v>
      </c>
      <c r="AG125">
        <v>40</v>
      </c>
      <c r="AH125">
        <v>135</v>
      </c>
      <c r="AI125">
        <v>138</v>
      </c>
      <c r="AJ125">
        <v>1</v>
      </c>
      <c r="AK125">
        <v>37</v>
      </c>
      <c r="AL125" t="s">
        <v>74</v>
      </c>
      <c r="AM125" t="s">
        <v>74</v>
      </c>
      <c r="AN125" t="s">
        <v>74</v>
      </c>
      <c r="AO125" t="s">
        <v>8540</v>
      </c>
      <c r="AP125" t="s">
        <v>8541</v>
      </c>
      <c r="AQ125" t="s">
        <v>74</v>
      </c>
      <c r="AR125" t="s">
        <v>74</v>
      </c>
      <c r="AS125" t="s">
        <v>74</v>
      </c>
      <c r="AT125" t="s">
        <v>74</v>
      </c>
      <c r="AU125">
        <v>2017</v>
      </c>
      <c r="AV125">
        <v>18</v>
      </c>
      <c r="AW125">
        <v>3</v>
      </c>
      <c r="AX125" t="s">
        <v>74</v>
      </c>
      <c r="AY125" t="s">
        <v>74</v>
      </c>
      <c r="AZ125" t="s">
        <v>74</v>
      </c>
      <c r="BA125" t="s">
        <v>74</v>
      </c>
      <c r="BB125">
        <v>158</v>
      </c>
      <c r="BC125">
        <v>165</v>
      </c>
      <c r="BD125" t="s">
        <v>74</v>
      </c>
      <c r="BE125" t="s">
        <v>8542</v>
      </c>
      <c r="BF125" t="str">
        <f>HYPERLINK("http://dx.doi.org/10.1080/15384047.2017.1281499","http://dx.doi.org/10.1080/15384047.2017.1281499")</f>
        <v>http://dx.doi.org/10.1080/15384047.2017.1281499</v>
      </c>
      <c r="BG125" t="s">
        <v>74</v>
      </c>
      <c r="BH125" t="s">
        <v>74</v>
      </c>
      <c r="BI125" t="s">
        <v>74</v>
      </c>
      <c r="BJ125" t="s">
        <v>267</v>
      </c>
      <c r="BK125" t="s">
        <v>117</v>
      </c>
      <c r="BL125" t="s">
        <v>267</v>
      </c>
      <c r="BM125" t="s">
        <v>74</v>
      </c>
      <c r="BN125">
        <v>28121262</v>
      </c>
      <c r="BO125" t="s">
        <v>74</v>
      </c>
      <c r="BP125" t="s">
        <v>74</v>
      </c>
      <c r="BQ125" t="s">
        <v>74</v>
      </c>
      <c r="BR125" t="s">
        <v>96</v>
      </c>
      <c r="BS125" t="s">
        <v>8543</v>
      </c>
      <c r="BT125" t="str">
        <f>HYPERLINK("https%3A%2F%2Fwww.webofscience.com%2Fwos%2Fwoscc%2Ffull-record%2FWOS:000399501600006","View Full Record in Web of Science")</f>
        <v>View Full Record in Web of Science</v>
      </c>
    </row>
    <row r="126" spans="1:72" x14ac:dyDescent="0.15">
      <c r="A126" t="s">
        <v>98</v>
      </c>
      <c r="B126" t="s">
        <v>12046</v>
      </c>
      <c r="C126" t="s">
        <v>74</v>
      </c>
      <c r="D126" t="s">
        <v>74</v>
      </c>
      <c r="E126" t="s">
        <v>74</v>
      </c>
      <c r="F126" t="s">
        <v>12047</v>
      </c>
      <c r="G126" t="s">
        <v>74</v>
      </c>
      <c r="H126" t="s">
        <v>74</v>
      </c>
      <c r="I126" t="s">
        <v>12048</v>
      </c>
      <c r="J126" t="s">
        <v>2742</v>
      </c>
      <c r="K126" t="s">
        <v>74</v>
      </c>
      <c r="L126" t="s">
        <v>74</v>
      </c>
      <c r="M126" t="s">
        <v>74</v>
      </c>
      <c r="N126" t="s">
        <v>103</v>
      </c>
      <c r="O126" t="s">
        <v>74</v>
      </c>
      <c r="P126" t="s">
        <v>74</v>
      </c>
      <c r="Q126" t="s">
        <v>74</v>
      </c>
      <c r="R126" t="s">
        <v>74</v>
      </c>
      <c r="S126" t="s">
        <v>74</v>
      </c>
      <c r="T126" t="s">
        <v>12049</v>
      </c>
      <c r="U126" t="s">
        <v>12050</v>
      </c>
      <c r="V126" t="s">
        <v>12051</v>
      </c>
      <c r="W126" t="s">
        <v>12052</v>
      </c>
      <c r="X126" t="s">
        <v>12053</v>
      </c>
      <c r="Y126" t="s">
        <v>12054</v>
      </c>
      <c r="Z126" t="s">
        <v>12055</v>
      </c>
      <c r="AA126" t="s">
        <v>12056</v>
      </c>
      <c r="AB126" t="s">
        <v>12057</v>
      </c>
      <c r="AC126" t="s">
        <v>74</v>
      </c>
      <c r="AD126" t="s">
        <v>74</v>
      </c>
      <c r="AE126" t="s">
        <v>74</v>
      </c>
      <c r="AF126" t="s">
        <v>74</v>
      </c>
      <c r="AG126">
        <v>71</v>
      </c>
      <c r="AH126">
        <v>135</v>
      </c>
      <c r="AI126">
        <v>137</v>
      </c>
      <c r="AJ126">
        <v>8</v>
      </c>
      <c r="AK126">
        <v>120</v>
      </c>
      <c r="AL126" t="s">
        <v>74</v>
      </c>
      <c r="AM126" t="s">
        <v>74</v>
      </c>
      <c r="AN126" t="s">
        <v>74</v>
      </c>
      <c r="AO126" t="s">
        <v>2752</v>
      </c>
      <c r="AP126" t="s">
        <v>74</v>
      </c>
      <c r="AQ126" t="s">
        <v>74</v>
      </c>
      <c r="AR126" t="s">
        <v>74</v>
      </c>
      <c r="AS126" t="s">
        <v>74</v>
      </c>
      <c r="AT126" t="s">
        <v>189</v>
      </c>
      <c r="AU126">
        <v>2012</v>
      </c>
      <c r="AV126">
        <v>11</v>
      </c>
      <c r="AW126">
        <v>10</v>
      </c>
      <c r="AX126" t="s">
        <v>74</v>
      </c>
      <c r="AY126" t="s">
        <v>74</v>
      </c>
      <c r="AZ126" t="s">
        <v>74</v>
      </c>
      <c r="BA126" t="s">
        <v>74</v>
      </c>
      <c r="BB126">
        <v>4906</v>
      </c>
      <c r="BC126">
        <v>4915</v>
      </c>
      <c r="BD126" t="s">
        <v>74</v>
      </c>
      <c r="BE126" t="s">
        <v>12058</v>
      </c>
      <c r="BF126" t="str">
        <f>HYPERLINK("http://dx.doi.org/10.1021/pr300395j","http://dx.doi.org/10.1021/pr300395j")</f>
        <v>http://dx.doi.org/10.1021/pr300395j</v>
      </c>
      <c r="BG126" t="s">
        <v>74</v>
      </c>
      <c r="BH126" t="s">
        <v>74</v>
      </c>
      <c r="BI126" t="s">
        <v>74</v>
      </c>
      <c r="BJ126" t="s">
        <v>812</v>
      </c>
      <c r="BK126" t="s">
        <v>117</v>
      </c>
      <c r="BL126" t="s">
        <v>95</v>
      </c>
      <c r="BM126" t="s">
        <v>74</v>
      </c>
      <c r="BN126">
        <v>22909304</v>
      </c>
      <c r="BO126" t="s">
        <v>74</v>
      </c>
      <c r="BP126" t="s">
        <v>74</v>
      </c>
      <c r="BQ126" t="s">
        <v>74</v>
      </c>
      <c r="BR126" t="s">
        <v>96</v>
      </c>
      <c r="BS126" t="s">
        <v>12059</v>
      </c>
      <c r="BT126" t="str">
        <f>HYPERLINK("https%3A%2F%2Fwww.webofscience.com%2Fwos%2Fwoscc%2Ffull-record%2FWOS:000309441000013","View Full Record in Web of Science")</f>
        <v>View Full Record in Web of Science</v>
      </c>
    </row>
    <row r="127" spans="1:72" x14ac:dyDescent="0.15">
      <c r="A127" t="s">
        <v>98</v>
      </c>
      <c r="B127" t="s">
        <v>6681</v>
      </c>
      <c r="C127" t="s">
        <v>74</v>
      </c>
      <c r="D127" t="s">
        <v>74</v>
      </c>
      <c r="E127" t="s">
        <v>74</v>
      </c>
      <c r="F127" t="s">
        <v>6682</v>
      </c>
      <c r="G127" t="s">
        <v>74</v>
      </c>
      <c r="H127" t="s">
        <v>74</v>
      </c>
      <c r="I127" t="s">
        <v>6683</v>
      </c>
      <c r="J127" t="s">
        <v>5139</v>
      </c>
      <c r="K127" t="s">
        <v>74</v>
      </c>
      <c r="L127" t="s">
        <v>74</v>
      </c>
      <c r="M127" t="s">
        <v>74</v>
      </c>
      <c r="N127" t="s">
        <v>103</v>
      </c>
      <c r="O127" t="s">
        <v>74</v>
      </c>
      <c r="P127" t="s">
        <v>74</v>
      </c>
      <c r="Q127" t="s">
        <v>74</v>
      </c>
      <c r="R127" t="s">
        <v>74</v>
      </c>
      <c r="S127" t="s">
        <v>74</v>
      </c>
      <c r="T127" t="s">
        <v>74</v>
      </c>
      <c r="U127" t="s">
        <v>6684</v>
      </c>
      <c r="V127" t="s">
        <v>6685</v>
      </c>
      <c r="W127" t="s">
        <v>6686</v>
      </c>
      <c r="X127" t="s">
        <v>6687</v>
      </c>
      <c r="Y127" t="s">
        <v>6688</v>
      </c>
      <c r="Z127" t="s">
        <v>6689</v>
      </c>
      <c r="AA127" t="s">
        <v>6690</v>
      </c>
      <c r="AB127" t="s">
        <v>6691</v>
      </c>
      <c r="AC127" t="s">
        <v>74</v>
      </c>
      <c r="AD127" t="s">
        <v>74</v>
      </c>
      <c r="AE127" t="s">
        <v>74</v>
      </c>
      <c r="AF127" t="s">
        <v>74</v>
      </c>
      <c r="AG127">
        <v>70</v>
      </c>
      <c r="AH127">
        <v>134</v>
      </c>
      <c r="AI127">
        <v>141</v>
      </c>
      <c r="AJ127">
        <v>4</v>
      </c>
      <c r="AK127">
        <v>42</v>
      </c>
      <c r="AL127" t="s">
        <v>74</v>
      </c>
      <c r="AM127" t="s">
        <v>74</v>
      </c>
      <c r="AN127" t="s">
        <v>74</v>
      </c>
      <c r="AO127" t="s">
        <v>5148</v>
      </c>
      <c r="AP127" t="s">
        <v>74</v>
      </c>
      <c r="AQ127" t="s">
        <v>74</v>
      </c>
      <c r="AR127" t="s">
        <v>74</v>
      </c>
      <c r="AS127" t="s">
        <v>74</v>
      </c>
      <c r="AT127" t="s">
        <v>6692</v>
      </c>
      <c r="AU127">
        <v>2018</v>
      </c>
      <c r="AV127">
        <v>9</v>
      </c>
      <c r="AW127" t="s">
        <v>74</v>
      </c>
      <c r="AX127" t="s">
        <v>74</v>
      </c>
      <c r="AY127" t="s">
        <v>74</v>
      </c>
      <c r="AZ127" t="s">
        <v>74</v>
      </c>
      <c r="BA127" t="s">
        <v>74</v>
      </c>
      <c r="BB127" t="s">
        <v>74</v>
      </c>
      <c r="BC127" t="s">
        <v>74</v>
      </c>
      <c r="BD127">
        <v>2658</v>
      </c>
      <c r="BE127" t="s">
        <v>6693</v>
      </c>
      <c r="BF127" t="str">
        <f>HYPERLINK("http://dx.doi.org/10.1038/s41467-018-05077-9","http://dx.doi.org/10.1038/s41467-018-05077-9")</f>
        <v>http://dx.doi.org/10.1038/s41467-018-05077-9</v>
      </c>
      <c r="BG127" t="s">
        <v>74</v>
      </c>
      <c r="BH127" t="s">
        <v>74</v>
      </c>
      <c r="BI127" t="s">
        <v>74</v>
      </c>
      <c r="BJ127" t="s">
        <v>152</v>
      </c>
      <c r="BK127" t="s">
        <v>117</v>
      </c>
      <c r="BL127" t="s">
        <v>153</v>
      </c>
      <c r="BM127" t="s">
        <v>74</v>
      </c>
      <c r="BN127">
        <v>29985392</v>
      </c>
      <c r="BO127" t="s">
        <v>74</v>
      </c>
      <c r="BP127" t="s">
        <v>74</v>
      </c>
      <c r="BQ127" t="s">
        <v>74</v>
      </c>
      <c r="BR127" t="s">
        <v>96</v>
      </c>
      <c r="BS127" t="s">
        <v>6694</v>
      </c>
      <c r="BT127" t="str">
        <f>HYPERLINK("https%3A%2F%2Fwww.webofscience.com%2Fwos%2Fwoscc%2Ffull-record%2FWOS:000437834400005","View Full Record in Web of Science")</f>
        <v>View Full Record in Web of Science</v>
      </c>
    </row>
    <row r="128" spans="1:72" x14ac:dyDescent="0.15">
      <c r="A128" t="s">
        <v>98</v>
      </c>
      <c r="B128" t="s">
        <v>12527</v>
      </c>
      <c r="C128" t="s">
        <v>74</v>
      </c>
      <c r="D128" t="s">
        <v>74</v>
      </c>
      <c r="E128" t="s">
        <v>74</v>
      </c>
      <c r="F128" t="s">
        <v>12528</v>
      </c>
      <c r="G128" t="s">
        <v>74</v>
      </c>
      <c r="H128" t="s">
        <v>74</v>
      </c>
      <c r="I128" t="s">
        <v>12529</v>
      </c>
      <c r="J128" t="s">
        <v>4486</v>
      </c>
      <c r="K128" t="s">
        <v>74</v>
      </c>
      <c r="L128" t="s">
        <v>74</v>
      </c>
      <c r="M128" t="s">
        <v>74</v>
      </c>
      <c r="N128" t="s">
        <v>103</v>
      </c>
      <c r="O128" t="s">
        <v>74</v>
      </c>
      <c r="P128" t="s">
        <v>74</v>
      </c>
      <c r="Q128" t="s">
        <v>74</v>
      </c>
      <c r="R128" t="s">
        <v>74</v>
      </c>
      <c r="S128" t="s">
        <v>74</v>
      </c>
      <c r="T128" t="s">
        <v>74</v>
      </c>
      <c r="U128" t="s">
        <v>12530</v>
      </c>
      <c r="V128" t="s">
        <v>12531</v>
      </c>
      <c r="W128" t="s">
        <v>12532</v>
      </c>
      <c r="X128" t="s">
        <v>12533</v>
      </c>
      <c r="Y128" t="s">
        <v>12534</v>
      </c>
      <c r="Z128" t="s">
        <v>12535</v>
      </c>
      <c r="AA128" t="s">
        <v>12536</v>
      </c>
      <c r="AB128" t="s">
        <v>12537</v>
      </c>
      <c r="AC128" t="s">
        <v>74</v>
      </c>
      <c r="AD128" t="s">
        <v>74</v>
      </c>
      <c r="AE128" t="s">
        <v>74</v>
      </c>
      <c r="AF128" t="s">
        <v>74</v>
      </c>
      <c r="AG128">
        <v>50</v>
      </c>
      <c r="AH128">
        <v>134</v>
      </c>
      <c r="AI128">
        <v>134</v>
      </c>
      <c r="AJ128">
        <v>35</v>
      </c>
      <c r="AK128">
        <v>501</v>
      </c>
      <c r="AL128" t="s">
        <v>74</v>
      </c>
      <c r="AM128" t="s">
        <v>74</v>
      </c>
      <c r="AN128" t="s">
        <v>74</v>
      </c>
      <c r="AO128" t="s">
        <v>4493</v>
      </c>
      <c r="AP128" t="s">
        <v>4494</v>
      </c>
      <c r="AQ128" t="s">
        <v>74</v>
      </c>
      <c r="AR128" t="s">
        <v>74</v>
      </c>
      <c r="AS128" t="s">
        <v>74</v>
      </c>
      <c r="AT128" t="s">
        <v>3744</v>
      </c>
      <c r="AU128">
        <v>2018</v>
      </c>
      <c r="AV128">
        <v>90</v>
      </c>
      <c r="AW128">
        <v>7</v>
      </c>
      <c r="AX128" t="s">
        <v>74</v>
      </c>
      <c r="AY128" t="s">
        <v>74</v>
      </c>
      <c r="AZ128" t="s">
        <v>74</v>
      </c>
      <c r="BA128" t="s">
        <v>74</v>
      </c>
      <c r="BB128">
        <v>4507</v>
      </c>
      <c r="BC128">
        <v>4513</v>
      </c>
      <c r="BD128" t="s">
        <v>74</v>
      </c>
      <c r="BE128" t="s">
        <v>12538</v>
      </c>
      <c r="BF128" t="str">
        <f>HYPERLINK("http://dx.doi.org/10.1021/acs.analchem.7b04863","http://dx.doi.org/10.1021/acs.analchem.7b04863")</f>
        <v>http://dx.doi.org/10.1021/acs.analchem.7b04863</v>
      </c>
      <c r="BG128" t="s">
        <v>74</v>
      </c>
      <c r="BH128" t="s">
        <v>74</v>
      </c>
      <c r="BI128" t="s">
        <v>74</v>
      </c>
      <c r="BJ128" t="s">
        <v>1118</v>
      </c>
      <c r="BK128" t="s">
        <v>117</v>
      </c>
      <c r="BL128" t="s">
        <v>1048</v>
      </c>
      <c r="BM128" t="s">
        <v>74</v>
      </c>
      <c r="BN128">
        <v>29512380</v>
      </c>
      <c r="BO128" t="s">
        <v>74</v>
      </c>
      <c r="BP128" t="s">
        <v>74</v>
      </c>
      <c r="BQ128" t="s">
        <v>74</v>
      </c>
      <c r="BR128" t="s">
        <v>96</v>
      </c>
      <c r="BS128" t="s">
        <v>12539</v>
      </c>
      <c r="BT128" t="str">
        <f>HYPERLINK("https%3A%2F%2Fwww.webofscience.com%2Fwos%2Fwoscc%2Ffull-record%2FWOS:000429385800039","View Full Record in Web of Science")</f>
        <v>View Full Record in Web of Science</v>
      </c>
    </row>
    <row r="129" spans="1:72" x14ac:dyDescent="0.15">
      <c r="A129" t="s">
        <v>98</v>
      </c>
      <c r="B129" t="s">
        <v>29003</v>
      </c>
      <c r="C129" t="s">
        <v>74</v>
      </c>
      <c r="D129" t="s">
        <v>74</v>
      </c>
      <c r="E129" t="s">
        <v>74</v>
      </c>
      <c r="F129" t="s">
        <v>29004</v>
      </c>
      <c r="G129" t="s">
        <v>74</v>
      </c>
      <c r="H129" t="s">
        <v>74</v>
      </c>
      <c r="I129" t="s">
        <v>29005</v>
      </c>
      <c r="J129" t="s">
        <v>14163</v>
      </c>
      <c r="K129" t="s">
        <v>74</v>
      </c>
      <c r="L129" t="s">
        <v>74</v>
      </c>
      <c r="M129" t="s">
        <v>74</v>
      </c>
      <c r="N129" t="s">
        <v>103</v>
      </c>
      <c r="O129" t="s">
        <v>74</v>
      </c>
      <c r="P129" t="s">
        <v>74</v>
      </c>
      <c r="Q129" t="s">
        <v>74</v>
      </c>
      <c r="R129" t="s">
        <v>74</v>
      </c>
      <c r="S129" t="s">
        <v>74</v>
      </c>
      <c r="T129" t="s">
        <v>29006</v>
      </c>
      <c r="U129" t="s">
        <v>29007</v>
      </c>
      <c r="V129" t="s">
        <v>29008</v>
      </c>
      <c r="W129" t="s">
        <v>29009</v>
      </c>
      <c r="X129" t="s">
        <v>14476</v>
      </c>
      <c r="Y129" t="s">
        <v>29010</v>
      </c>
      <c r="Z129" t="s">
        <v>29011</v>
      </c>
      <c r="AA129" t="s">
        <v>29012</v>
      </c>
      <c r="AB129" t="s">
        <v>29013</v>
      </c>
      <c r="AC129" t="s">
        <v>74</v>
      </c>
      <c r="AD129" t="s">
        <v>74</v>
      </c>
      <c r="AE129" t="s">
        <v>74</v>
      </c>
      <c r="AF129" t="s">
        <v>74</v>
      </c>
      <c r="AG129">
        <v>38</v>
      </c>
      <c r="AH129">
        <v>134</v>
      </c>
      <c r="AI129">
        <v>138</v>
      </c>
      <c r="AJ129">
        <v>0</v>
      </c>
      <c r="AK129">
        <v>11</v>
      </c>
      <c r="AL129" t="s">
        <v>74</v>
      </c>
      <c r="AM129" t="s">
        <v>74</v>
      </c>
      <c r="AN129" t="s">
        <v>74</v>
      </c>
      <c r="AO129" t="s">
        <v>14170</v>
      </c>
      <c r="AP129" t="s">
        <v>74</v>
      </c>
      <c r="AQ129" t="s">
        <v>74</v>
      </c>
      <c r="AR129" t="s">
        <v>74</v>
      </c>
      <c r="AS129" t="s">
        <v>74</v>
      </c>
      <c r="AT129" t="s">
        <v>114</v>
      </c>
      <c r="AU129">
        <v>2008</v>
      </c>
      <c r="AV129">
        <v>15</v>
      </c>
      <c r="AW129">
        <v>1</v>
      </c>
      <c r="AX129" t="s">
        <v>74</v>
      </c>
      <c r="AY129" t="s">
        <v>74</v>
      </c>
      <c r="AZ129" t="s">
        <v>74</v>
      </c>
      <c r="BA129" t="s">
        <v>74</v>
      </c>
      <c r="BB129">
        <v>183</v>
      </c>
      <c r="BC129">
        <v>191</v>
      </c>
      <c r="BD129" t="s">
        <v>74</v>
      </c>
      <c r="BE129" t="s">
        <v>29014</v>
      </c>
      <c r="BF129" t="str">
        <f>HYPERLINK("http://dx.doi.org/10.1038/sj.cdd.4402239","http://dx.doi.org/10.1038/sj.cdd.4402239")</f>
        <v>http://dx.doi.org/10.1038/sj.cdd.4402239</v>
      </c>
      <c r="BG129" t="s">
        <v>74</v>
      </c>
      <c r="BH129" t="s">
        <v>74</v>
      </c>
      <c r="BI129" t="s">
        <v>74</v>
      </c>
      <c r="BJ129" t="s">
        <v>498</v>
      </c>
      <c r="BK129" t="s">
        <v>117</v>
      </c>
      <c r="BL129" t="s">
        <v>498</v>
      </c>
      <c r="BM129" t="s">
        <v>74</v>
      </c>
      <c r="BN129">
        <v>17932498</v>
      </c>
      <c r="BO129" t="s">
        <v>74</v>
      </c>
      <c r="BP129" t="s">
        <v>74</v>
      </c>
      <c r="BQ129" t="s">
        <v>74</v>
      </c>
      <c r="BR129" t="s">
        <v>96</v>
      </c>
      <c r="BS129" t="s">
        <v>29015</v>
      </c>
      <c r="BT129" t="str">
        <f>HYPERLINK("https%3A%2F%2Fwww.webofscience.com%2Fwos%2Fwoscc%2Ffull-record%2FWOS:000251820900021","View Full Record in Web of Science")</f>
        <v>View Full Record in Web of Science</v>
      </c>
    </row>
    <row r="130" spans="1:72" x14ac:dyDescent="0.15">
      <c r="A130" t="s">
        <v>98</v>
      </c>
      <c r="B130" t="s">
        <v>14595</v>
      </c>
      <c r="C130" t="s">
        <v>74</v>
      </c>
      <c r="D130" t="s">
        <v>74</v>
      </c>
      <c r="E130" t="s">
        <v>74</v>
      </c>
      <c r="F130" t="s">
        <v>14595</v>
      </c>
      <c r="G130" t="s">
        <v>74</v>
      </c>
      <c r="H130" t="s">
        <v>74</v>
      </c>
      <c r="I130" t="s">
        <v>14596</v>
      </c>
      <c r="J130" t="s">
        <v>14597</v>
      </c>
      <c r="K130" t="s">
        <v>74</v>
      </c>
      <c r="L130" t="s">
        <v>74</v>
      </c>
      <c r="M130" t="s">
        <v>74</v>
      </c>
      <c r="N130" t="s">
        <v>103</v>
      </c>
      <c r="O130" t="s">
        <v>74</v>
      </c>
      <c r="P130" t="s">
        <v>74</v>
      </c>
      <c r="Q130" t="s">
        <v>74</v>
      </c>
      <c r="R130" t="s">
        <v>74</v>
      </c>
      <c r="S130" t="s">
        <v>74</v>
      </c>
      <c r="T130" t="s">
        <v>14598</v>
      </c>
      <c r="U130" t="s">
        <v>14599</v>
      </c>
      <c r="V130" t="s">
        <v>14600</v>
      </c>
      <c r="W130" t="s">
        <v>14601</v>
      </c>
      <c r="X130" t="s">
        <v>14602</v>
      </c>
      <c r="Y130" t="s">
        <v>14603</v>
      </c>
      <c r="Z130" t="s">
        <v>74</v>
      </c>
      <c r="AA130" t="s">
        <v>74</v>
      </c>
      <c r="AB130" t="s">
        <v>74</v>
      </c>
      <c r="AC130" t="s">
        <v>74</v>
      </c>
      <c r="AD130" t="s">
        <v>74</v>
      </c>
      <c r="AE130" t="s">
        <v>74</v>
      </c>
      <c r="AF130" t="s">
        <v>74</v>
      </c>
      <c r="AG130">
        <v>22</v>
      </c>
      <c r="AH130">
        <v>132</v>
      </c>
      <c r="AI130">
        <v>144</v>
      </c>
      <c r="AJ130">
        <v>0</v>
      </c>
      <c r="AK130">
        <v>0</v>
      </c>
      <c r="AL130" t="s">
        <v>74</v>
      </c>
      <c r="AM130" t="s">
        <v>74</v>
      </c>
      <c r="AN130" t="s">
        <v>74</v>
      </c>
      <c r="AO130" t="s">
        <v>14604</v>
      </c>
      <c r="AP130" t="s">
        <v>74</v>
      </c>
      <c r="AQ130" t="s">
        <v>74</v>
      </c>
      <c r="AR130" t="s">
        <v>74</v>
      </c>
      <c r="AS130" t="s">
        <v>74</v>
      </c>
      <c r="AT130" t="s">
        <v>211</v>
      </c>
      <c r="AU130">
        <v>1995</v>
      </c>
      <c r="AV130">
        <v>19</v>
      </c>
      <c r="AW130">
        <v>11</v>
      </c>
      <c r="AX130" t="s">
        <v>74</v>
      </c>
      <c r="AY130" t="s">
        <v>74</v>
      </c>
      <c r="AZ130" t="s">
        <v>74</v>
      </c>
      <c r="BA130" t="s">
        <v>74</v>
      </c>
      <c r="BB130">
        <v>1245</v>
      </c>
      <c r="BC130">
        <v>1256</v>
      </c>
      <c r="BD130" t="s">
        <v>74</v>
      </c>
      <c r="BE130" t="s">
        <v>14605</v>
      </c>
      <c r="BF130" t="str">
        <f>HYPERLINK("http://dx.doi.org/10.1097/00000478-199511000-00004","http://dx.doi.org/10.1097/00000478-199511000-00004")</f>
        <v>http://dx.doi.org/10.1097/00000478-199511000-00004</v>
      </c>
      <c r="BG130" t="s">
        <v>74</v>
      </c>
      <c r="BH130" t="s">
        <v>74</v>
      </c>
      <c r="BI130" t="s">
        <v>74</v>
      </c>
      <c r="BJ130" t="s">
        <v>14606</v>
      </c>
      <c r="BK130" t="s">
        <v>117</v>
      </c>
      <c r="BL130" t="s">
        <v>14606</v>
      </c>
      <c r="BM130" t="s">
        <v>74</v>
      </c>
      <c r="BN130">
        <v>7573686</v>
      </c>
      <c r="BO130" t="s">
        <v>74</v>
      </c>
      <c r="BP130" t="s">
        <v>74</v>
      </c>
      <c r="BQ130" t="s">
        <v>74</v>
      </c>
      <c r="BR130" t="s">
        <v>96</v>
      </c>
      <c r="BS130" t="s">
        <v>14607</v>
      </c>
      <c r="BT130" t="str">
        <f>HYPERLINK("https%3A%2F%2Fwww.webofscience.com%2Fwos%2Fwoscc%2Ffull-record%2FWOS:A1995TA13000004","View Full Record in Web of Science")</f>
        <v>View Full Record in Web of Science</v>
      </c>
    </row>
    <row r="131" spans="1:72" x14ac:dyDescent="0.15">
      <c r="A131" t="s">
        <v>98</v>
      </c>
      <c r="B131" t="s">
        <v>15994</v>
      </c>
      <c r="C131" t="s">
        <v>74</v>
      </c>
      <c r="D131" t="s">
        <v>74</v>
      </c>
      <c r="E131" t="s">
        <v>74</v>
      </c>
      <c r="F131" t="s">
        <v>15994</v>
      </c>
      <c r="G131" t="s">
        <v>74</v>
      </c>
      <c r="H131" t="s">
        <v>74</v>
      </c>
      <c r="I131" t="s">
        <v>15995</v>
      </c>
      <c r="J131" t="s">
        <v>15996</v>
      </c>
      <c r="K131" t="s">
        <v>74</v>
      </c>
      <c r="L131" t="s">
        <v>74</v>
      </c>
      <c r="M131" t="s">
        <v>74</v>
      </c>
      <c r="N131" t="s">
        <v>103</v>
      </c>
      <c r="O131" t="s">
        <v>74</v>
      </c>
      <c r="P131" t="s">
        <v>74</v>
      </c>
      <c r="Q131" t="s">
        <v>74</v>
      </c>
      <c r="R131" t="s">
        <v>74</v>
      </c>
      <c r="S131" t="s">
        <v>74</v>
      </c>
      <c r="T131" t="s">
        <v>15997</v>
      </c>
      <c r="U131" t="s">
        <v>15998</v>
      </c>
      <c r="V131" t="s">
        <v>15999</v>
      </c>
      <c r="W131" t="s">
        <v>16000</v>
      </c>
      <c r="X131" t="s">
        <v>15747</v>
      </c>
      <c r="Y131" t="s">
        <v>16001</v>
      </c>
      <c r="Z131" t="s">
        <v>16002</v>
      </c>
      <c r="AA131" t="s">
        <v>74</v>
      </c>
      <c r="AB131" t="s">
        <v>74</v>
      </c>
      <c r="AC131" t="s">
        <v>74</v>
      </c>
      <c r="AD131" t="s">
        <v>74</v>
      </c>
      <c r="AE131" t="s">
        <v>74</v>
      </c>
      <c r="AF131" t="s">
        <v>74</v>
      </c>
      <c r="AG131">
        <v>35</v>
      </c>
      <c r="AH131">
        <v>132</v>
      </c>
      <c r="AI131">
        <v>133</v>
      </c>
      <c r="AJ131">
        <v>0</v>
      </c>
      <c r="AK131">
        <v>7</v>
      </c>
      <c r="AL131" t="s">
        <v>74</v>
      </c>
      <c r="AM131" t="s">
        <v>74</v>
      </c>
      <c r="AN131" t="s">
        <v>74</v>
      </c>
      <c r="AO131" t="s">
        <v>16003</v>
      </c>
      <c r="AP131" t="s">
        <v>16004</v>
      </c>
      <c r="AQ131" t="s">
        <v>74</v>
      </c>
      <c r="AR131" t="s">
        <v>74</v>
      </c>
      <c r="AS131" t="s">
        <v>74</v>
      </c>
      <c r="AT131" t="s">
        <v>967</v>
      </c>
      <c r="AU131">
        <v>2005</v>
      </c>
      <c r="AV131">
        <v>73</v>
      </c>
      <c r="AW131">
        <v>6</v>
      </c>
      <c r="AX131" t="s">
        <v>74</v>
      </c>
      <c r="AY131" t="s">
        <v>74</v>
      </c>
      <c r="AZ131" t="s">
        <v>74</v>
      </c>
      <c r="BA131" t="s">
        <v>74</v>
      </c>
      <c r="BB131">
        <v>1174</v>
      </c>
      <c r="BC131">
        <v>1181</v>
      </c>
      <c r="BD131" t="s">
        <v>74</v>
      </c>
      <c r="BE131" t="s">
        <v>16005</v>
      </c>
      <c r="BF131" t="str">
        <f>HYPERLINK("http://dx.doi.org/10.1095/biolreprod.105.045666","http://dx.doi.org/10.1095/biolreprod.105.045666")</f>
        <v>http://dx.doi.org/10.1095/biolreprod.105.045666</v>
      </c>
      <c r="BG131" t="s">
        <v>74</v>
      </c>
      <c r="BH131" t="s">
        <v>74</v>
      </c>
      <c r="BI131" t="s">
        <v>74</v>
      </c>
      <c r="BJ131" t="s">
        <v>13659</v>
      </c>
      <c r="BK131" t="s">
        <v>117</v>
      </c>
      <c r="BL131" t="s">
        <v>13659</v>
      </c>
      <c r="BM131" t="s">
        <v>74</v>
      </c>
      <c r="BN131">
        <v>16107606</v>
      </c>
      <c r="BO131" t="s">
        <v>74</v>
      </c>
      <c r="BP131" t="s">
        <v>74</v>
      </c>
      <c r="BQ131" t="s">
        <v>74</v>
      </c>
      <c r="BR131" t="s">
        <v>96</v>
      </c>
      <c r="BS131" t="s">
        <v>16006</v>
      </c>
      <c r="BT131" t="str">
        <f>HYPERLINK("https%3A%2F%2Fwww.webofscience.com%2Fwos%2Fwoscc%2Ffull-record%2FWOS:000233580700012","View Full Record in Web of Science")</f>
        <v>View Full Record in Web of Science</v>
      </c>
    </row>
    <row r="132" spans="1:72" x14ac:dyDescent="0.15">
      <c r="A132" t="s">
        <v>98</v>
      </c>
      <c r="B132" t="s">
        <v>21576</v>
      </c>
      <c r="C132" t="s">
        <v>74</v>
      </c>
      <c r="D132" t="s">
        <v>74</v>
      </c>
      <c r="E132" t="s">
        <v>74</v>
      </c>
      <c r="F132" t="s">
        <v>21577</v>
      </c>
      <c r="G132" t="s">
        <v>74</v>
      </c>
      <c r="H132" t="s">
        <v>74</v>
      </c>
      <c r="I132" t="s">
        <v>21578</v>
      </c>
      <c r="J132" t="s">
        <v>140</v>
      </c>
      <c r="K132" t="s">
        <v>74</v>
      </c>
      <c r="L132" t="s">
        <v>74</v>
      </c>
      <c r="M132" t="s">
        <v>74</v>
      </c>
      <c r="N132" t="s">
        <v>103</v>
      </c>
      <c r="O132" t="s">
        <v>74</v>
      </c>
      <c r="P132" t="s">
        <v>74</v>
      </c>
      <c r="Q132" t="s">
        <v>74</v>
      </c>
      <c r="R132" t="s">
        <v>74</v>
      </c>
      <c r="S132" t="s">
        <v>74</v>
      </c>
      <c r="T132" t="s">
        <v>74</v>
      </c>
      <c r="U132" t="s">
        <v>21579</v>
      </c>
      <c r="V132" t="s">
        <v>21580</v>
      </c>
      <c r="W132" t="s">
        <v>21581</v>
      </c>
      <c r="X132" t="s">
        <v>21582</v>
      </c>
      <c r="Y132" t="s">
        <v>21583</v>
      </c>
      <c r="Z132" t="s">
        <v>21584</v>
      </c>
      <c r="AA132" t="s">
        <v>74</v>
      </c>
      <c r="AB132" t="s">
        <v>21585</v>
      </c>
      <c r="AC132" t="s">
        <v>74</v>
      </c>
      <c r="AD132" t="s">
        <v>74</v>
      </c>
      <c r="AE132" t="s">
        <v>74</v>
      </c>
      <c r="AF132" t="s">
        <v>74</v>
      </c>
      <c r="AG132">
        <v>45</v>
      </c>
      <c r="AH132">
        <v>132</v>
      </c>
      <c r="AI132">
        <v>134</v>
      </c>
      <c r="AJ132">
        <v>3</v>
      </c>
      <c r="AK132">
        <v>15</v>
      </c>
      <c r="AL132" t="s">
        <v>74</v>
      </c>
      <c r="AM132" t="s">
        <v>74</v>
      </c>
      <c r="AN132" t="s">
        <v>74</v>
      </c>
      <c r="AO132" t="s">
        <v>149</v>
      </c>
      <c r="AP132" t="s">
        <v>74</v>
      </c>
      <c r="AQ132" t="s">
        <v>74</v>
      </c>
      <c r="AR132" t="s">
        <v>74</v>
      </c>
      <c r="AS132" t="s">
        <v>74</v>
      </c>
      <c r="AT132" t="s">
        <v>21586</v>
      </c>
      <c r="AU132">
        <v>2017</v>
      </c>
      <c r="AV132">
        <v>7</v>
      </c>
      <c r="AW132" t="s">
        <v>74</v>
      </c>
      <c r="AX132" t="s">
        <v>74</v>
      </c>
      <c r="AY132" t="s">
        <v>74</v>
      </c>
      <c r="AZ132" t="s">
        <v>74</v>
      </c>
      <c r="BA132" t="s">
        <v>74</v>
      </c>
      <c r="BB132" t="s">
        <v>74</v>
      </c>
      <c r="BC132" t="s">
        <v>74</v>
      </c>
      <c r="BD132">
        <v>14293</v>
      </c>
      <c r="BE132" t="s">
        <v>21587</v>
      </c>
      <c r="BF132" t="str">
        <f>HYPERLINK("http://dx.doi.org/10.1038/s41598-017-14301-3","http://dx.doi.org/10.1038/s41598-017-14301-3")</f>
        <v>http://dx.doi.org/10.1038/s41598-017-14301-3</v>
      </c>
      <c r="BG132" t="s">
        <v>74</v>
      </c>
      <c r="BH132" t="s">
        <v>74</v>
      </c>
      <c r="BI132" t="s">
        <v>74</v>
      </c>
      <c r="BJ132" t="s">
        <v>152</v>
      </c>
      <c r="BK132" t="s">
        <v>117</v>
      </c>
      <c r="BL132" t="s">
        <v>153</v>
      </c>
      <c r="BM132" t="s">
        <v>74</v>
      </c>
      <c r="BN132">
        <v>29084979</v>
      </c>
      <c r="BO132" t="s">
        <v>74</v>
      </c>
      <c r="BP132" t="s">
        <v>74</v>
      </c>
      <c r="BQ132" t="s">
        <v>74</v>
      </c>
      <c r="BR132" t="s">
        <v>96</v>
      </c>
      <c r="BS132" t="s">
        <v>21588</v>
      </c>
      <c r="BT132" t="str">
        <f>HYPERLINK("https%3A%2F%2Fwww.webofscience.com%2Fwos%2Fwoscc%2Ffull-record%2FWOS:000414129700005","View Full Record in Web of Science")</f>
        <v>View Full Record in Web of Science</v>
      </c>
    </row>
    <row r="133" spans="1:72" x14ac:dyDescent="0.15">
      <c r="A133" t="s">
        <v>98</v>
      </c>
      <c r="B133" t="s">
        <v>21235</v>
      </c>
      <c r="C133" t="s">
        <v>74</v>
      </c>
      <c r="D133" t="s">
        <v>74</v>
      </c>
      <c r="E133" t="s">
        <v>74</v>
      </c>
      <c r="F133" t="s">
        <v>21236</v>
      </c>
      <c r="G133" t="s">
        <v>74</v>
      </c>
      <c r="H133" t="s">
        <v>74</v>
      </c>
      <c r="I133" t="s">
        <v>21237</v>
      </c>
      <c r="J133" t="s">
        <v>20682</v>
      </c>
      <c r="K133" t="s">
        <v>74</v>
      </c>
      <c r="L133" t="s">
        <v>74</v>
      </c>
      <c r="M133" t="s">
        <v>74</v>
      </c>
      <c r="N133" t="s">
        <v>103</v>
      </c>
      <c r="O133" t="s">
        <v>74</v>
      </c>
      <c r="P133" t="s">
        <v>74</v>
      </c>
      <c r="Q133" t="s">
        <v>74</v>
      </c>
      <c r="R133" t="s">
        <v>74</v>
      </c>
      <c r="S133" t="s">
        <v>74</v>
      </c>
      <c r="T133" t="s">
        <v>74</v>
      </c>
      <c r="U133" t="s">
        <v>21238</v>
      </c>
      <c r="V133" t="s">
        <v>21239</v>
      </c>
      <c r="W133" t="s">
        <v>21240</v>
      </c>
      <c r="X133" t="s">
        <v>21241</v>
      </c>
      <c r="Y133" t="s">
        <v>21242</v>
      </c>
      <c r="Z133" t="s">
        <v>21243</v>
      </c>
      <c r="AA133" t="s">
        <v>74</v>
      </c>
      <c r="AB133" t="s">
        <v>74</v>
      </c>
      <c r="AC133" t="s">
        <v>74</v>
      </c>
      <c r="AD133" t="s">
        <v>74</v>
      </c>
      <c r="AE133" t="s">
        <v>74</v>
      </c>
      <c r="AF133" t="s">
        <v>74</v>
      </c>
      <c r="AG133">
        <v>221</v>
      </c>
      <c r="AH133">
        <v>131</v>
      </c>
      <c r="AI133">
        <v>141</v>
      </c>
      <c r="AJ133">
        <v>4</v>
      </c>
      <c r="AK133">
        <v>62</v>
      </c>
      <c r="AL133" t="s">
        <v>74</v>
      </c>
      <c r="AM133" t="s">
        <v>74</v>
      </c>
      <c r="AN133" t="s">
        <v>74</v>
      </c>
      <c r="AO133" t="s">
        <v>20691</v>
      </c>
      <c r="AP133" t="s">
        <v>20692</v>
      </c>
      <c r="AQ133" t="s">
        <v>74</v>
      </c>
      <c r="AR133" t="s">
        <v>74</v>
      </c>
      <c r="AS133" t="s">
        <v>74</v>
      </c>
      <c r="AT133" t="s">
        <v>1029</v>
      </c>
      <c r="AU133">
        <v>2015</v>
      </c>
      <c r="AV133">
        <v>17</v>
      </c>
      <c r="AW133">
        <v>3</v>
      </c>
      <c r="AX133" t="s">
        <v>74</v>
      </c>
      <c r="AY133" t="s">
        <v>74</v>
      </c>
      <c r="AZ133" t="s">
        <v>74</v>
      </c>
      <c r="BA133" t="s">
        <v>74</v>
      </c>
      <c r="BB133">
        <v>209</v>
      </c>
      <c r="BC133">
        <v>224</v>
      </c>
      <c r="BD133" t="s">
        <v>74</v>
      </c>
      <c r="BE133" t="s">
        <v>21244</v>
      </c>
      <c r="BF133" t="str">
        <f>HYPERLINK("http://dx.doi.org/10.1016/j.jmoldx.2015.02.001","http://dx.doi.org/10.1016/j.jmoldx.2015.02.001")</f>
        <v>http://dx.doi.org/10.1016/j.jmoldx.2015.02.001</v>
      </c>
      <c r="BG133" t="s">
        <v>74</v>
      </c>
      <c r="BH133" t="s">
        <v>74</v>
      </c>
      <c r="BI133" t="s">
        <v>74</v>
      </c>
      <c r="BJ133" t="s">
        <v>20694</v>
      </c>
      <c r="BK133" t="s">
        <v>117</v>
      </c>
      <c r="BL133" t="s">
        <v>20694</v>
      </c>
      <c r="BM133" t="s">
        <v>74</v>
      </c>
      <c r="BN133">
        <v>25908243</v>
      </c>
      <c r="BO133" t="s">
        <v>74</v>
      </c>
      <c r="BP133" t="s">
        <v>74</v>
      </c>
      <c r="BQ133" t="s">
        <v>74</v>
      </c>
      <c r="BR133" t="s">
        <v>96</v>
      </c>
      <c r="BS133" t="s">
        <v>21245</v>
      </c>
      <c r="BT133" t="str">
        <f>HYPERLINK("https%3A%2F%2Fwww.webofscience.com%2Fwos%2Fwoscc%2Ffull-record%2FWOS:000353843900001","View Full Record in Web of Science")</f>
        <v>View Full Record in Web of Science</v>
      </c>
    </row>
    <row r="134" spans="1:72" x14ac:dyDescent="0.15">
      <c r="A134" t="s">
        <v>98</v>
      </c>
      <c r="B134" t="s">
        <v>28905</v>
      </c>
      <c r="C134" t="s">
        <v>74</v>
      </c>
      <c r="D134" t="s">
        <v>74</v>
      </c>
      <c r="E134" t="s">
        <v>74</v>
      </c>
      <c r="F134" t="s">
        <v>28906</v>
      </c>
      <c r="G134" t="s">
        <v>74</v>
      </c>
      <c r="H134" t="s">
        <v>74</v>
      </c>
      <c r="I134" t="s">
        <v>28907</v>
      </c>
      <c r="J134" t="s">
        <v>2536</v>
      </c>
      <c r="K134" t="s">
        <v>74</v>
      </c>
      <c r="L134" t="s">
        <v>74</v>
      </c>
      <c r="M134" t="s">
        <v>74</v>
      </c>
      <c r="N134" t="s">
        <v>103</v>
      </c>
      <c r="O134" t="s">
        <v>74</v>
      </c>
      <c r="P134" t="s">
        <v>74</v>
      </c>
      <c r="Q134" t="s">
        <v>74</v>
      </c>
      <c r="R134" t="s">
        <v>74</v>
      </c>
      <c r="S134" t="s">
        <v>74</v>
      </c>
      <c r="T134" t="s">
        <v>74</v>
      </c>
      <c r="U134" t="s">
        <v>28908</v>
      </c>
      <c r="V134" t="s">
        <v>28909</v>
      </c>
      <c r="W134" t="s">
        <v>28910</v>
      </c>
      <c r="X134" t="s">
        <v>28911</v>
      </c>
      <c r="Y134" t="s">
        <v>28912</v>
      </c>
      <c r="Z134" t="s">
        <v>23896</v>
      </c>
      <c r="AA134" t="s">
        <v>74</v>
      </c>
      <c r="AB134" t="s">
        <v>28913</v>
      </c>
      <c r="AC134" t="s">
        <v>74</v>
      </c>
      <c r="AD134" t="s">
        <v>74</v>
      </c>
      <c r="AE134" t="s">
        <v>74</v>
      </c>
      <c r="AF134" t="s">
        <v>74</v>
      </c>
      <c r="AG134">
        <v>56</v>
      </c>
      <c r="AH134">
        <v>131</v>
      </c>
      <c r="AI134">
        <v>135</v>
      </c>
      <c r="AJ134">
        <v>0</v>
      </c>
      <c r="AK134">
        <v>22</v>
      </c>
      <c r="AL134" t="s">
        <v>74</v>
      </c>
      <c r="AM134" t="s">
        <v>74</v>
      </c>
      <c r="AN134" t="s">
        <v>74</v>
      </c>
      <c r="AO134" t="s">
        <v>2544</v>
      </c>
      <c r="AP134" t="s">
        <v>2545</v>
      </c>
      <c r="AQ134" t="s">
        <v>74</v>
      </c>
      <c r="AR134" t="s">
        <v>74</v>
      </c>
      <c r="AS134" t="s">
        <v>74</v>
      </c>
      <c r="AT134" t="s">
        <v>230</v>
      </c>
      <c r="AU134">
        <v>2013</v>
      </c>
      <c r="AV134">
        <v>87</v>
      </c>
      <c r="AW134">
        <v>15</v>
      </c>
      <c r="AX134" t="s">
        <v>74</v>
      </c>
      <c r="AY134" t="s">
        <v>74</v>
      </c>
      <c r="AZ134" t="s">
        <v>74</v>
      </c>
      <c r="BA134" t="s">
        <v>74</v>
      </c>
      <c r="BB134">
        <v>8606</v>
      </c>
      <c r="BC134">
        <v>8623</v>
      </c>
      <c r="BD134" t="s">
        <v>74</v>
      </c>
      <c r="BE134" t="s">
        <v>28914</v>
      </c>
      <c r="BF134" t="str">
        <f>HYPERLINK("http://dx.doi.org/10.1128/JVI.00805-13","http://dx.doi.org/10.1128/JVI.00805-13")</f>
        <v>http://dx.doi.org/10.1128/JVI.00805-13</v>
      </c>
      <c r="BG134" t="s">
        <v>74</v>
      </c>
      <c r="BH134" t="s">
        <v>74</v>
      </c>
      <c r="BI134" t="s">
        <v>74</v>
      </c>
      <c r="BJ134" t="s">
        <v>932</v>
      </c>
      <c r="BK134" t="s">
        <v>117</v>
      </c>
      <c r="BL134" t="s">
        <v>932</v>
      </c>
      <c r="BM134" t="s">
        <v>74</v>
      </c>
      <c r="BN134">
        <v>23720728</v>
      </c>
      <c r="BO134" t="s">
        <v>74</v>
      </c>
      <c r="BP134" t="s">
        <v>74</v>
      </c>
      <c r="BQ134" t="s">
        <v>74</v>
      </c>
      <c r="BR134" t="s">
        <v>96</v>
      </c>
      <c r="BS134" t="s">
        <v>28915</v>
      </c>
      <c r="BT134" t="str">
        <f>HYPERLINK("https%3A%2F%2Fwww.webofscience.com%2Fwos%2Fwoscc%2Ffull-record%2FWOS:000321590200031","View Full Record in Web of Science")</f>
        <v>View Full Record in Web of Science</v>
      </c>
    </row>
    <row r="135" spans="1:72" x14ac:dyDescent="0.15">
      <c r="A135" t="s">
        <v>98</v>
      </c>
      <c r="B135" t="s">
        <v>8513</v>
      </c>
      <c r="C135" t="s">
        <v>74</v>
      </c>
      <c r="D135" t="s">
        <v>74</v>
      </c>
      <c r="E135" t="s">
        <v>74</v>
      </c>
      <c r="F135" t="s">
        <v>8514</v>
      </c>
      <c r="G135" t="s">
        <v>74</v>
      </c>
      <c r="H135" t="s">
        <v>74</v>
      </c>
      <c r="I135" t="s">
        <v>8515</v>
      </c>
      <c r="J135" t="s">
        <v>140</v>
      </c>
      <c r="K135" t="s">
        <v>74</v>
      </c>
      <c r="L135" t="s">
        <v>74</v>
      </c>
      <c r="M135" t="s">
        <v>74</v>
      </c>
      <c r="N135" t="s">
        <v>103</v>
      </c>
      <c r="O135" t="s">
        <v>74</v>
      </c>
      <c r="P135" t="s">
        <v>74</v>
      </c>
      <c r="Q135" t="s">
        <v>74</v>
      </c>
      <c r="R135" t="s">
        <v>74</v>
      </c>
      <c r="S135" t="s">
        <v>74</v>
      </c>
      <c r="T135" t="s">
        <v>74</v>
      </c>
      <c r="U135" t="s">
        <v>8516</v>
      </c>
      <c r="V135" t="s">
        <v>8517</v>
      </c>
      <c r="W135" t="s">
        <v>8518</v>
      </c>
      <c r="X135" t="s">
        <v>8519</v>
      </c>
      <c r="Y135" t="s">
        <v>8520</v>
      </c>
      <c r="Z135" t="s">
        <v>8521</v>
      </c>
      <c r="AA135" t="s">
        <v>8522</v>
      </c>
      <c r="AB135" t="s">
        <v>8523</v>
      </c>
      <c r="AC135" t="s">
        <v>74</v>
      </c>
      <c r="AD135" t="s">
        <v>74</v>
      </c>
      <c r="AE135" t="s">
        <v>74</v>
      </c>
      <c r="AF135" t="s">
        <v>74</v>
      </c>
      <c r="AG135">
        <v>58</v>
      </c>
      <c r="AH135">
        <v>130</v>
      </c>
      <c r="AI135">
        <v>132</v>
      </c>
      <c r="AJ135">
        <v>4</v>
      </c>
      <c r="AK135">
        <v>20</v>
      </c>
      <c r="AL135" t="s">
        <v>74</v>
      </c>
      <c r="AM135" t="s">
        <v>74</v>
      </c>
      <c r="AN135" t="s">
        <v>74</v>
      </c>
      <c r="AO135" t="s">
        <v>149</v>
      </c>
      <c r="AP135" t="s">
        <v>74</v>
      </c>
      <c r="AQ135" t="s">
        <v>74</v>
      </c>
      <c r="AR135" t="s">
        <v>74</v>
      </c>
      <c r="AS135" t="s">
        <v>74</v>
      </c>
      <c r="AT135" t="s">
        <v>8524</v>
      </c>
      <c r="AU135">
        <v>2017</v>
      </c>
      <c r="AV135">
        <v>7</v>
      </c>
      <c r="AW135" t="s">
        <v>74</v>
      </c>
      <c r="AX135" t="s">
        <v>74</v>
      </c>
      <c r="AY135" t="s">
        <v>74</v>
      </c>
      <c r="AZ135" t="s">
        <v>74</v>
      </c>
      <c r="BA135" t="s">
        <v>74</v>
      </c>
      <c r="BB135" t="s">
        <v>74</v>
      </c>
      <c r="BC135" t="s">
        <v>74</v>
      </c>
      <c r="BD135">
        <v>7072</v>
      </c>
      <c r="BE135" t="s">
        <v>8525</v>
      </c>
      <c r="BF135" t="str">
        <f>HYPERLINK("http://dx.doi.org/10.1038/s41598-017-07288-4","http://dx.doi.org/10.1038/s41598-017-07288-4")</f>
        <v>http://dx.doi.org/10.1038/s41598-017-07288-4</v>
      </c>
      <c r="BG135" t="s">
        <v>74</v>
      </c>
      <c r="BH135" t="s">
        <v>74</v>
      </c>
      <c r="BI135" t="s">
        <v>74</v>
      </c>
      <c r="BJ135" t="s">
        <v>152</v>
      </c>
      <c r="BK135" t="s">
        <v>117</v>
      </c>
      <c r="BL135" t="s">
        <v>153</v>
      </c>
      <c r="BM135" t="s">
        <v>74</v>
      </c>
      <c r="BN135">
        <v>28765539</v>
      </c>
      <c r="BO135" t="s">
        <v>74</v>
      </c>
      <c r="BP135" t="s">
        <v>74</v>
      </c>
      <c r="BQ135" t="s">
        <v>74</v>
      </c>
      <c r="BR135" t="s">
        <v>96</v>
      </c>
      <c r="BS135" t="s">
        <v>8526</v>
      </c>
      <c r="BT135" t="str">
        <f>HYPERLINK("https%3A%2F%2Fwww.webofscience.com%2Fwos%2Fwoscc%2Ffull-record%2FWOS:000406764200104","View Full Record in Web of Science")</f>
        <v>View Full Record in Web of Science</v>
      </c>
    </row>
    <row r="136" spans="1:72" x14ac:dyDescent="0.15">
      <c r="A136" t="s">
        <v>98</v>
      </c>
      <c r="B136" t="s">
        <v>10160</v>
      </c>
      <c r="C136" t="s">
        <v>74</v>
      </c>
      <c r="D136" t="s">
        <v>74</v>
      </c>
      <c r="E136" t="s">
        <v>74</v>
      </c>
      <c r="F136" t="s">
        <v>10161</v>
      </c>
      <c r="G136" t="s">
        <v>74</v>
      </c>
      <c r="H136" t="s">
        <v>74</v>
      </c>
      <c r="I136" t="s">
        <v>10162</v>
      </c>
      <c r="J136" t="s">
        <v>10163</v>
      </c>
      <c r="K136" t="s">
        <v>74</v>
      </c>
      <c r="L136" t="s">
        <v>74</v>
      </c>
      <c r="M136" t="s">
        <v>74</v>
      </c>
      <c r="N136" t="s">
        <v>103</v>
      </c>
      <c r="O136" t="s">
        <v>74</v>
      </c>
      <c r="P136" t="s">
        <v>74</v>
      </c>
      <c r="Q136" t="s">
        <v>74</v>
      </c>
      <c r="R136" t="s">
        <v>74</v>
      </c>
      <c r="S136" t="s">
        <v>74</v>
      </c>
      <c r="T136" t="s">
        <v>74</v>
      </c>
      <c r="U136" t="s">
        <v>10164</v>
      </c>
      <c r="V136" t="s">
        <v>10165</v>
      </c>
      <c r="W136" t="s">
        <v>10166</v>
      </c>
      <c r="X136" t="s">
        <v>10167</v>
      </c>
      <c r="Y136" t="s">
        <v>10168</v>
      </c>
      <c r="Z136" t="s">
        <v>10169</v>
      </c>
      <c r="AA136" t="s">
        <v>10170</v>
      </c>
      <c r="AB136" t="s">
        <v>10171</v>
      </c>
      <c r="AC136" t="s">
        <v>74</v>
      </c>
      <c r="AD136" t="s">
        <v>74</v>
      </c>
      <c r="AE136" t="s">
        <v>74</v>
      </c>
      <c r="AF136" t="s">
        <v>74</v>
      </c>
      <c r="AG136">
        <v>64</v>
      </c>
      <c r="AH136">
        <v>130</v>
      </c>
      <c r="AI136">
        <v>133</v>
      </c>
      <c r="AJ136">
        <v>36</v>
      </c>
      <c r="AK136">
        <v>227</v>
      </c>
      <c r="AL136" t="s">
        <v>74</v>
      </c>
      <c r="AM136" t="s">
        <v>74</v>
      </c>
      <c r="AN136" t="s">
        <v>74</v>
      </c>
      <c r="AO136" t="s">
        <v>10172</v>
      </c>
      <c r="AP136" t="s">
        <v>74</v>
      </c>
      <c r="AQ136" t="s">
        <v>74</v>
      </c>
      <c r="AR136" t="s">
        <v>74</v>
      </c>
      <c r="AS136" t="s">
        <v>74</v>
      </c>
      <c r="AT136" t="s">
        <v>132</v>
      </c>
      <c r="AU136">
        <v>2017</v>
      </c>
      <c r="AV136">
        <v>1</v>
      </c>
      <c r="AW136">
        <v>4</v>
      </c>
      <c r="AX136" t="s">
        <v>74</v>
      </c>
      <c r="AY136" t="s">
        <v>74</v>
      </c>
      <c r="AZ136" t="s">
        <v>74</v>
      </c>
      <c r="BA136" t="s">
        <v>74</v>
      </c>
      <c r="BB136" t="s">
        <v>74</v>
      </c>
      <c r="BC136" t="s">
        <v>74</v>
      </c>
      <c r="BD136">
        <v>58</v>
      </c>
      <c r="BE136" t="s">
        <v>10173</v>
      </c>
      <c r="BF136" t="str">
        <f>HYPERLINK("http://dx.doi.org/10.1038/s41551-017-0058","http://dx.doi.org/10.1038/s41551-017-0058")</f>
        <v>http://dx.doi.org/10.1038/s41551-017-0058</v>
      </c>
      <c r="BG136" t="s">
        <v>74</v>
      </c>
      <c r="BH136" t="s">
        <v>74</v>
      </c>
      <c r="BI136" t="s">
        <v>74</v>
      </c>
      <c r="BJ136" t="s">
        <v>10174</v>
      </c>
      <c r="BK136" t="s">
        <v>117</v>
      </c>
      <c r="BL136" t="s">
        <v>7748</v>
      </c>
      <c r="BM136" t="s">
        <v>74</v>
      </c>
      <c r="BN136">
        <v>28966872</v>
      </c>
      <c r="BO136" t="s">
        <v>74</v>
      </c>
      <c r="BP136" t="s">
        <v>74</v>
      </c>
      <c r="BQ136" t="s">
        <v>74</v>
      </c>
      <c r="BR136" t="s">
        <v>96</v>
      </c>
      <c r="BS136" t="s">
        <v>10175</v>
      </c>
      <c r="BT136" t="str">
        <f>HYPERLINK("https%3A%2F%2Fwww.webofscience.com%2Fwos%2Fwoscc%2Ffull-record%2FWOS:000418855100009","View Full Record in Web of Science")</f>
        <v>View Full Record in Web of Science</v>
      </c>
    </row>
    <row r="137" spans="1:72" x14ac:dyDescent="0.15">
      <c r="A137" t="s">
        <v>98</v>
      </c>
      <c r="B137" t="s">
        <v>25821</v>
      </c>
      <c r="C137" t="s">
        <v>74</v>
      </c>
      <c r="D137" t="s">
        <v>74</v>
      </c>
      <c r="E137" t="s">
        <v>74</v>
      </c>
      <c r="F137" t="s">
        <v>25822</v>
      </c>
      <c r="G137" t="s">
        <v>74</v>
      </c>
      <c r="H137" t="s">
        <v>74</v>
      </c>
      <c r="I137" t="s">
        <v>25823</v>
      </c>
      <c r="J137" t="s">
        <v>1562</v>
      </c>
      <c r="K137" t="s">
        <v>74</v>
      </c>
      <c r="L137" t="s">
        <v>74</v>
      </c>
      <c r="M137" t="s">
        <v>74</v>
      </c>
      <c r="N137" t="s">
        <v>103</v>
      </c>
      <c r="O137" t="s">
        <v>74</v>
      </c>
      <c r="P137" t="s">
        <v>74</v>
      </c>
      <c r="Q137" t="s">
        <v>74</v>
      </c>
      <c r="R137" t="s">
        <v>74</v>
      </c>
      <c r="S137" t="s">
        <v>74</v>
      </c>
      <c r="T137" t="s">
        <v>74</v>
      </c>
      <c r="U137" t="s">
        <v>25824</v>
      </c>
      <c r="V137" t="s">
        <v>25825</v>
      </c>
      <c r="W137" t="s">
        <v>25826</v>
      </c>
      <c r="X137" t="s">
        <v>25827</v>
      </c>
      <c r="Y137" t="s">
        <v>25828</v>
      </c>
      <c r="Z137" t="s">
        <v>25829</v>
      </c>
      <c r="AA137" t="s">
        <v>25830</v>
      </c>
      <c r="AB137" t="s">
        <v>25831</v>
      </c>
      <c r="AC137" t="s">
        <v>74</v>
      </c>
      <c r="AD137" t="s">
        <v>74</v>
      </c>
      <c r="AE137" t="s">
        <v>74</v>
      </c>
      <c r="AF137" t="s">
        <v>74</v>
      </c>
      <c r="AG137">
        <v>41</v>
      </c>
      <c r="AH137">
        <v>130</v>
      </c>
      <c r="AI137">
        <v>134</v>
      </c>
      <c r="AJ137">
        <v>1</v>
      </c>
      <c r="AK137">
        <v>41</v>
      </c>
      <c r="AL137" t="s">
        <v>74</v>
      </c>
      <c r="AM137" t="s">
        <v>74</v>
      </c>
      <c r="AN137" t="s">
        <v>74</v>
      </c>
      <c r="AO137" t="s">
        <v>1569</v>
      </c>
      <c r="AP137" t="s">
        <v>74</v>
      </c>
      <c r="AQ137" t="s">
        <v>74</v>
      </c>
      <c r="AR137" t="s">
        <v>74</v>
      </c>
      <c r="AS137" t="s">
        <v>74</v>
      </c>
      <c r="AT137" t="s">
        <v>23313</v>
      </c>
      <c r="AU137">
        <v>2015</v>
      </c>
      <c r="AV137">
        <v>11</v>
      </c>
      <c r="AW137">
        <v>3</v>
      </c>
      <c r="AX137" t="s">
        <v>74</v>
      </c>
      <c r="AY137" t="s">
        <v>74</v>
      </c>
      <c r="AZ137" t="s">
        <v>74</v>
      </c>
      <c r="BA137" t="s">
        <v>74</v>
      </c>
      <c r="BB137">
        <v>474</v>
      </c>
      <c r="BC137">
        <v>485</v>
      </c>
      <c r="BD137" t="s">
        <v>74</v>
      </c>
      <c r="BE137" t="s">
        <v>25832</v>
      </c>
      <c r="BF137" t="str">
        <f>HYPERLINK("http://dx.doi.org/10.1016/j.celrep.2015.03.043","http://dx.doi.org/10.1016/j.celrep.2015.03.043")</f>
        <v>http://dx.doi.org/10.1016/j.celrep.2015.03.043</v>
      </c>
      <c r="BG137" t="s">
        <v>74</v>
      </c>
      <c r="BH137" t="s">
        <v>74</v>
      </c>
      <c r="BI137" t="s">
        <v>74</v>
      </c>
      <c r="BJ137" t="s">
        <v>135</v>
      </c>
      <c r="BK137" t="s">
        <v>117</v>
      </c>
      <c r="BL137" t="s">
        <v>135</v>
      </c>
      <c r="BM137" t="s">
        <v>74</v>
      </c>
      <c r="BN137">
        <v>25900080</v>
      </c>
      <c r="BO137" t="s">
        <v>74</v>
      </c>
      <c r="BP137" t="s">
        <v>74</v>
      </c>
      <c r="BQ137" t="s">
        <v>74</v>
      </c>
      <c r="BR137" t="s">
        <v>96</v>
      </c>
      <c r="BS137" t="s">
        <v>25833</v>
      </c>
      <c r="BT137" t="str">
        <f>HYPERLINK("https%3A%2F%2Fwww.webofscience.com%2Fwos%2Fwoscc%2Ffull-record%2FWOS:000353351600013","View Full Record in Web of Science")</f>
        <v>View Full Record in Web of Science</v>
      </c>
    </row>
    <row r="138" spans="1:72" x14ac:dyDescent="0.15">
      <c r="A138" t="s">
        <v>98</v>
      </c>
      <c r="B138" t="s">
        <v>26283</v>
      </c>
      <c r="C138" t="s">
        <v>74</v>
      </c>
      <c r="D138" t="s">
        <v>74</v>
      </c>
      <c r="E138" t="s">
        <v>74</v>
      </c>
      <c r="F138" t="s">
        <v>26283</v>
      </c>
      <c r="G138" t="s">
        <v>74</v>
      </c>
      <c r="H138" t="s">
        <v>74</v>
      </c>
      <c r="I138" t="s">
        <v>26284</v>
      </c>
      <c r="J138" t="s">
        <v>6698</v>
      </c>
      <c r="K138" t="s">
        <v>74</v>
      </c>
      <c r="L138" t="s">
        <v>74</v>
      </c>
      <c r="M138" t="s">
        <v>74</v>
      </c>
      <c r="N138" t="s">
        <v>980</v>
      </c>
      <c r="O138" t="s">
        <v>26285</v>
      </c>
      <c r="P138">
        <v>2002</v>
      </c>
      <c r="Q138" t="s">
        <v>26286</v>
      </c>
      <c r="R138" t="s">
        <v>74</v>
      </c>
      <c r="S138" t="s">
        <v>74</v>
      </c>
      <c r="T138" t="s">
        <v>26287</v>
      </c>
      <c r="U138" t="s">
        <v>26288</v>
      </c>
      <c r="V138" t="s">
        <v>26289</v>
      </c>
      <c r="W138" t="s">
        <v>26290</v>
      </c>
      <c r="X138" t="s">
        <v>26291</v>
      </c>
      <c r="Y138" t="s">
        <v>26292</v>
      </c>
      <c r="Z138" t="s">
        <v>26293</v>
      </c>
      <c r="AA138" t="s">
        <v>26294</v>
      </c>
      <c r="AB138" t="s">
        <v>26295</v>
      </c>
      <c r="AC138" t="s">
        <v>74</v>
      </c>
      <c r="AD138" t="s">
        <v>74</v>
      </c>
      <c r="AE138" t="s">
        <v>74</v>
      </c>
      <c r="AF138" t="s">
        <v>74</v>
      </c>
      <c r="AG138">
        <v>54</v>
      </c>
      <c r="AH138">
        <v>127</v>
      </c>
      <c r="AI138">
        <v>133</v>
      </c>
      <c r="AJ138">
        <v>1</v>
      </c>
      <c r="AK138">
        <v>20</v>
      </c>
      <c r="AL138" t="s">
        <v>74</v>
      </c>
      <c r="AM138" t="s">
        <v>74</v>
      </c>
      <c r="AN138" t="s">
        <v>74</v>
      </c>
      <c r="AO138" t="s">
        <v>6707</v>
      </c>
      <c r="AP138" t="s">
        <v>6708</v>
      </c>
      <c r="AQ138" t="s">
        <v>74</v>
      </c>
      <c r="AR138" t="s">
        <v>74</v>
      </c>
      <c r="AS138" t="s">
        <v>74</v>
      </c>
      <c r="AT138" t="s">
        <v>531</v>
      </c>
      <c r="AU138">
        <v>2004</v>
      </c>
      <c r="AV138">
        <v>4</v>
      </c>
      <c r="AW138" t="s">
        <v>8037</v>
      </c>
      <c r="AX138" t="s">
        <v>74</v>
      </c>
      <c r="AY138" t="s">
        <v>74</v>
      </c>
      <c r="AZ138" t="s">
        <v>74</v>
      </c>
      <c r="BA138" t="s">
        <v>74</v>
      </c>
      <c r="BB138">
        <v>715</v>
      </c>
      <c r="BC138">
        <v>728</v>
      </c>
      <c r="BD138" t="s">
        <v>74</v>
      </c>
      <c r="BE138" t="s">
        <v>26296</v>
      </c>
      <c r="BF138" t="str">
        <f>HYPERLINK("http://dx.doi.org/10.1016/j.mito.2004.07.022","http://dx.doi.org/10.1016/j.mito.2004.07.022")</f>
        <v>http://dx.doi.org/10.1016/j.mito.2004.07.022</v>
      </c>
      <c r="BG138" t="s">
        <v>74</v>
      </c>
      <c r="BH138" t="s">
        <v>74</v>
      </c>
      <c r="BI138" t="s">
        <v>74</v>
      </c>
      <c r="BJ138" t="s">
        <v>6710</v>
      </c>
      <c r="BK138" t="s">
        <v>997</v>
      </c>
      <c r="BL138" t="s">
        <v>6710</v>
      </c>
      <c r="BM138" t="s">
        <v>74</v>
      </c>
      <c r="BN138">
        <v>16120427</v>
      </c>
      <c r="BO138" t="s">
        <v>74</v>
      </c>
      <c r="BP138" t="s">
        <v>74</v>
      </c>
      <c r="BQ138" t="s">
        <v>74</v>
      </c>
      <c r="BR138" t="s">
        <v>96</v>
      </c>
      <c r="BS138" t="s">
        <v>26297</v>
      </c>
      <c r="BT138" t="str">
        <f>HYPERLINK("https%3A%2F%2Fwww.webofscience.com%2Fwos%2Fwoscc%2Ffull-record%2FWOS:000226172600032","View Full Record in Web of Science")</f>
        <v>View Full Record in Web of Science</v>
      </c>
    </row>
    <row r="139" spans="1:72" x14ac:dyDescent="0.15">
      <c r="A139" t="s">
        <v>98</v>
      </c>
      <c r="B139" t="s">
        <v>26692</v>
      </c>
      <c r="C139" t="s">
        <v>74</v>
      </c>
      <c r="D139" t="s">
        <v>74</v>
      </c>
      <c r="E139" t="s">
        <v>74</v>
      </c>
      <c r="F139" t="s">
        <v>26693</v>
      </c>
      <c r="G139" t="s">
        <v>74</v>
      </c>
      <c r="H139" t="s">
        <v>74</v>
      </c>
      <c r="I139" t="s">
        <v>26694</v>
      </c>
      <c r="J139" t="s">
        <v>6853</v>
      </c>
      <c r="K139" t="s">
        <v>74</v>
      </c>
      <c r="L139" t="s">
        <v>74</v>
      </c>
      <c r="M139" t="s">
        <v>74</v>
      </c>
      <c r="N139" t="s">
        <v>103</v>
      </c>
      <c r="O139" t="s">
        <v>74</v>
      </c>
      <c r="P139" t="s">
        <v>74</v>
      </c>
      <c r="Q139" t="s">
        <v>74</v>
      </c>
      <c r="R139" t="s">
        <v>74</v>
      </c>
      <c r="S139" t="s">
        <v>74</v>
      </c>
      <c r="T139" t="s">
        <v>26695</v>
      </c>
      <c r="U139" t="s">
        <v>26696</v>
      </c>
      <c r="V139" t="s">
        <v>26697</v>
      </c>
      <c r="W139" t="s">
        <v>26698</v>
      </c>
      <c r="X139" t="s">
        <v>26699</v>
      </c>
      <c r="Y139" t="s">
        <v>26700</v>
      </c>
      <c r="Z139" t="s">
        <v>26701</v>
      </c>
      <c r="AA139" t="s">
        <v>26702</v>
      </c>
      <c r="AB139" t="s">
        <v>26703</v>
      </c>
      <c r="AC139" t="s">
        <v>74</v>
      </c>
      <c r="AD139" t="s">
        <v>74</v>
      </c>
      <c r="AE139" t="s">
        <v>74</v>
      </c>
      <c r="AF139" t="s">
        <v>74</v>
      </c>
      <c r="AG139">
        <v>41</v>
      </c>
      <c r="AH139">
        <v>126</v>
      </c>
      <c r="AI139">
        <v>140</v>
      </c>
      <c r="AJ139">
        <v>1</v>
      </c>
      <c r="AK139">
        <v>38</v>
      </c>
      <c r="AL139" t="s">
        <v>74</v>
      </c>
      <c r="AM139" t="s">
        <v>74</v>
      </c>
      <c r="AN139" t="s">
        <v>74</v>
      </c>
      <c r="AO139" t="s">
        <v>6861</v>
      </c>
      <c r="AP139" t="s">
        <v>6862</v>
      </c>
      <c r="AQ139" t="s">
        <v>74</v>
      </c>
      <c r="AR139" t="s">
        <v>74</v>
      </c>
      <c r="AS139" t="s">
        <v>74</v>
      </c>
      <c r="AT139" t="s">
        <v>1321</v>
      </c>
      <c r="AU139">
        <v>2015</v>
      </c>
      <c r="AV139">
        <v>129</v>
      </c>
      <c r="AW139">
        <v>8</v>
      </c>
      <c r="AX139" t="s">
        <v>74</v>
      </c>
      <c r="AY139" t="s">
        <v>74</v>
      </c>
      <c r="AZ139" t="s">
        <v>74</v>
      </c>
      <c r="BA139" t="s">
        <v>74</v>
      </c>
      <c r="BB139">
        <v>675</v>
      </c>
      <c r="BC139">
        <v>685</v>
      </c>
      <c r="BD139" t="s">
        <v>74</v>
      </c>
      <c r="BE139" t="s">
        <v>26704</v>
      </c>
      <c r="BF139" t="str">
        <f>HYPERLINK("http://dx.doi.org/10.1042/CS20150121","http://dx.doi.org/10.1042/CS20150121")</f>
        <v>http://dx.doi.org/10.1042/CS20150121</v>
      </c>
      <c r="BG139" t="s">
        <v>74</v>
      </c>
      <c r="BH139" t="s">
        <v>74</v>
      </c>
      <c r="BI139" t="s">
        <v>74</v>
      </c>
      <c r="BJ139" t="s">
        <v>795</v>
      </c>
      <c r="BK139" t="s">
        <v>117</v>
      </c>
      <c r="BL139" t="s">
        <v>796</v>
      </c>
      <c r="BM139" t="s">
        <v>74</v>
      </c>
      <c r="BN139">
        <v>26201019</v>
      </c>
      <c r="BO139" t="s">
        <v>74</v>
      </c>
      <c r="BP139" t="s">
        <v>74</v>
      </c>
      <c r="BQ139" t="s">
        <v>74</v>
      </c>
      <c r="BR139" t="s">
        <v>96</v>
      </c>
      <c r="BS139" t="s">
        <v>26705</v>
      </c>
      <c r="BT139" t="str">
        <f>HYPERLINK("https%3A%2F%2Fwww.webofscience.com%2Fwos%2Fwoscc%2Ffull-record%2FWOS:000361047000001","View Full Record in Web of Science")</f>
        <v>View Full Record in Web of Science</v>
      </c>
    </row>
    <row r="140" spans="1:72" x14ac:dyDescent="0.15">
      <c r="A140" t="s">
        <v>98</v>
      </c>
      <c r="B140" t="s">
        <v>11037</v>
      </c>
      <c r="C140" t="s">
        <v>74</v>
      </c>
      <c r="D140" t="s">
        <v>74</v>
      </c>
      <c r="E140" t="s">
        <v>74</v>
      </c>
      <c r="F140" t="s">
        <v>11038</v>
      </c>
      <c r="G140" t="s">
        <v>74</v>
      </c>
      <c r="H140" t="s">
        <v>74</v>
      </c>
      <c r="I140" t="s">
        <v>11039</v>
      </c>
      <c r="J140" t="s">
        <v>2478</v>
      </c>
      <c r="K140" t="s">
        <v>74</v>
      </c>
      <c r="L140" t="s">
        <v>74</v>
      </c>
      <c r="M140" t="s">
        <v>74</v>
      </c>
      <c r="N140" t="s">
        <v>103</v>
      </c>
      <c r="O140" t="s">
        <v>74</v>
      </c>
      <c r="P140" t="s">
        <v>74</v>
      </c>
      <c r="Q140" t="s">
        <v>74</v>
      </c>
      <c r="R140" t="s">
        <v>74</v>
      </c>
      <c r="S140" t="s">
        <v>74</v>
      </c>
      <c r="T140" t="s">
        <v>11040</v>
      </c>
      <c r="U140" t="s">
        <v>11041</v>
      </c>
      <c r="V140" t="s">
        <v>11042</v>
      </c>
      <c r="W140" t="s">
        <v>11043</v>
      </c>
      <c r="X140" t="s">
        <v>11044</v>
      </c>
      <c r="Y140" t="s">
        <v>11045</v>
      </c>
      <c r="Z140" t="s">
        <v>11046</v>
      </c>
      <c r="AA140" t="s">
        <v>74</v>
      </c>
      <c r="AB140" t="s">
        <v>11047</v>
      </c>
      <c r="AC140" t="s">
        <v>74</v>
      </c>
      <c r="AD140" t="s">
        <v>74</v>
      </c>
      <c r="AE140" t="s">
        <v>74</v>
      </c>
      <c r="AF140" t="s">
        <v>74</v>
      </c>
      <c r="AG140">
        <v>27</v>
      </c>
      <c r="AH140">
        <v>125</v>
      </c>
      <c r="AI140">
        <v>126</v>
      </c>
      <c r="AJ140">
        <v>0</v>
      </c>
      <c r="AK140">
        <v>27</v>
      </c>
      <c r="AL140" t="s">
        <v>74</v>
      </c>
      <c r="AM140" t="s">
        <v>74</v>
      </c>
      <c r="AN140" t="s">
        <v>74</v>
      </c>
      <c r="AO140" t="s">
        <v>2487</v>
      </c>
      <c r="AP140" t="s">
        <v>2488</v>
      </c>
      <c r="AQ140" t="s">
        <v>74</v>
      </c>
      <c r="AR140" t="s">
        <v>74</v>
      </c>
      <c r="AS140" t="s">
        <v>74</v>
      </c>
      <c r="AT140" t="s">
        <v>132</v>
      </c>
      <c r="AU140">
        <v>2016</v>
      </c>
      <c r="AV140">
        <v>27</v>
      </c>
      <c r="AW140">
        <v>4</v>
      </c>
      <c r="AX140" t="s">
        <v>74</v>
      </c>
      <c r="AY140" t="s">
        <v>74</v>
      </c>
      <c r="AZ140" t="s">
        <v>74</v>
      </c>
      <c r="BA140" t="s">
        <v>74</v>
      </c>
      <c r="BB140">
        <v>635</v>
      </c>
      <c r="BC140">
        <v>641</v>
      </c>
      <c r="BD140" t="s">
        <v>74</v>
      </c>
      <c r="BE140" t="s">
        <v>11048</v>
      </c>
      <c r="BF140" t="str">
        <f>HYPERLINK("http://dx.doi.org/10.1093/annonc/mdv604","http://dx.doi.org/10.1093/annonc/mdv604")</f>
        <v>http://dx.doi.org/10.1093/annonc/mdv604</v>
      </c>
      <c r="BG140" t="s">
        <v>74</v>
      </c>
      <c r="BH140" t="s">
        <v>74</v>
      </c>
      <c r="BI140" t="s">
        <v>74</v>
      </c>
      <c r="BJ140" t="s">
        <v>267</v>
      </c>
      <c r="BK140" t="s">
        <v>117</v>
      </c>
      <c r="BL140" t="s">
        <v>267</v>
      </c>
      <c r="BM140" t="s">
        <v>74</v>
      </c>
      <c r="BN140">
        <v>26681674</v>
      </c>
      <c r="BO140" t="s">
        <v>74</v>
      </c>
      <c r="BP140" t="s">
        <v>74</v>
      </c>
      <c r="BQ140" t="s">
        <v>74</v>
      </c>
      <c r="BR140" t="s">
        <v>96</v>
      </c>
      <c r="BS140" t="s">
        <v>11049</v>
      </c>
      <c r="BT140" t="str">
        <f>HYPERLINK("https%3A%2F%2Fwww.webofscience.com%2Fwos%2Fwoscc%2Ffull-record%2FWOS:000374237700011","View Full Record in Web of Science")</f>
        <v>View Full Record in Web of Science</v>
      </c>
    </row>
    <row r="141" spans="1:72" x14ac:dyDescent="0.15">
      <c r="A141" t="s">
        <v>98</v>
      </c>
      <c r="B141" t="s">
        <v>29992</v>
      </c>
      <c r="C141" t="s">
        <v>74</v>
      </c>
      <c r="D141" t="s">
        <v>74</v>
      </c>
      <c r="E141" t="s">
        <v>74</v>
      </c>
      <c r="F141" t="s">
        <v>29992</v>
      </c>
      <c r="G141" t="s">
        <v>74</v>
      </c>
      <c r="H141" t="s">
        <v>74</v>
      </c>
      <c r="I141" t="s">
        <v>29993</v>
      </c>
      <c r="J141" t="s">
        <v>6273</v>
      </c>
      <c r="K141" t="s">
        <v>74</v>
      </c>
      <c r="L141" t="s">
        <v>74</v>
      </c>
      <c r="M141" t="s">
        <v>74</v>
      </c>
      <c r="N141" t="s">
        <v>103</v>
      </c>
      <c r="O141" t="s">
        <v>74</v>
      </c>
      <c r="P141" t="s">
        <v>74</v>
      </c>
      <c r="Q141" t="s">
        <v>74</v>
      </c>
      <c r="R141" t="s">
        <v>74</v>
      </c>
      <c r="S141" t="s">
        <v>74</v>
      </c>
      <c r="T141" t="s">
        <v>74</v>
      </c>
      <c r="U141" t="s">
        <v>29994</v>
      </c>
      <c r="V141" t="s">
        <v>29995</v>
      </c>
      <c r="W141" t="s">
        <v>29996</v>
      </c>
      <c r="X141" t="s">
        <v>29997</v>
      </c>
      <c r="Y141" t="s">
        <v>29998</v>
      </c>
      <c r="Z141" t="s">
        <v>74</v>
      </c>
      <c r="AA141" t="s">
        <v>74</v>
      </c>
      <c r="AB141" t="s">
        <v>74</v>
      </c>
      <c r="AC141" t="s">
        <v>74</v>
      </c>
      <c r="AD141" t="s">
        <v>74</v>
      </c>
      <c r="AE141" t="s">
        <v>74</v>
      </c>
      <c r="AF141" t="s">
        <v>74</v>
      </c>
      <c r="AG141">
        <v>36</v>
      </c>
      <c r="AH141">
        <v>124</v>
      </c>
      <c r="AI141">
        <v>124</v>
      </c>
      <c r="AJ141">
        <v>1</v>
      </c>
      <c r="AK141">
        <v>1</v>
      </c>
      <c r="AL141" t="s">
        <v>74</v>
      </c>
      <c r="AM141" t="s">
        <v>74</v>
      </c>
      <c r="AN141" t="s">
        <v>74</v>
      </c>
      <c r="AO141" t="s">
        <v>6281</v>
      </c>
      <c r="AP141" t="s">
        <v>74</v>
      </c>
      <c r="AQ141" t="s">
        <v>74</v>
      </c>
      <c r="AR141" t="s">
        <v>74</v>
      </c>
      <c r="AS141" t="s">
        <v>74</v>
      </c>
      <c r="AT141" t="s">
        <v>1029</v>
      </c>
      <c r="AU141">
        <v>1996</v>
      </c>
      <c r="AV141">
        <v>178</v>
      </c>
      <c r="AW141">
        <v>10</v>
      </c>
      <c r="AX141" t="s">
        <v>74</v>
      </c>
      <c r="AY141" t="s">
        <v>74</v>
      </c>
      <c r="AZ141" t="s">
        <v>74</v>
      </c>
      <c r="BA141" t="s">
        <v>74</v>
      </c>
      <c r="BB141">
        <v>2818</v>
      </c>
      <c r="BC141">
        <v>2824</v>
      </c>
      <c r="BD141" t="s">
        <v>74</v>
      </c>
      <c r="BE141" t="s">
        <v>29999</v>
      </c>
      <c r="BF141" t="str">
        <f>HYPERLINK("http://dx.doi.org/10.1128/jb.178.10.2818-2824.1996","http://dx.doi.org/10.1128/jb.178.10.2818-2824.1996")</f>
        <v>http://dx.doi.org/10.1128/jb.178.10.2818-2824.1996</v>
      </c>
      <c r="BG141" t="s">
        <v>74</v>
      </c>
      <c r="BH141" t="s">
        <v>74</v>
      </c>
      <c r="BI141" t="s">
        <v>74</v>
      </c>
      <c r="BJ141" t="s">
        <v>898</v>
      </c>
      <c r="BK141" t="s">
        <v>117</v>
      </c>
      <c r="BL141" t="s">
        <v>898</v>
      </c>
      <c r="BM141" t="s">
        <v>74</v>
      </c>
      <c r="BN141">
        <v>8631669</v>
      </c>
      <c r="BO141" t="s">
        <v>74</v>
      </c>
      <c r="BP141" t="s">
        <v>74</v>
      </c>
      <c r="BQ141" t="s">
        <v>74</v>
      </c>
      <c r="BR141" t="s">
        <v>96</v>
      </c>
      <c r="BS141" t="s">
        <v>30000</v>
      </c>
      <c r="BT141" t="str">
        <f>HYPERLINK("https%3A%2F%2Fwww.webofscience.com%2Fwos%2Fwoscc%2Ffull-record%2FWOS:A1996UL27500012","View Full Record in Web of Science")</f>
        <v>View Full Record in Web of Science</v>
      </c>
    </row>
    <row r="142" spans="1:72" x14ac:dyDescent="0.15">
      <c r="A142" t="s">
        <v>98</v>
      </c>
      <c r="B142" t="s">
        <v>3814</v>
      </c>
      <c r="C142" t="s">
        <v>74</v>
      </c>
      <c r="D142" t="s">
        <v>74</v>
      </c>
      <c r="E142" t="s">
        <v>74</v>
      </c>
      <c r="F142" t="s">
        <v>3815</v>
      </c>
      <c r="G142" t="s">
        <v>74</v>
      </c>
      <c r="H142" t="s">
        <v>74</v>
      </c>
      <c r="I142" t="s">
        <v>3816</v>
      </c>
      <c r="J142" t="s">
        <v>3817</v>
      </c>
      <c r="K142" t="s">
        <v>74</v>
      </c>
      <c r="L142" t="s">
        <v>74</v>
      </c>
      <c r="M142" t="s">
        <v>74</v>
      </c>
      <c r="N142" t="s">
        <v>103</v>
      </c>
      <c r="O142" t="s">
        <v>74</v>
      </c>
      <c r="P142" t="s">
        <v>74</v>
      </c>
      <c r="Q142" t="s">
        <v>74</v>
      </c>
      <c r="R142" t="s">
        <v>74</v>
      </c>
      <c r="S142" t="s">
        <v>74</v>
      </c>
      <c r="T142" t="s">
        <v>3818</v>
      </c>
      <c r="U142" t="s">
        <v>3819</v>
      </c>
      <c r="V142" t="s">
        <v>3820</v>
      </c>
      <c r="W142" t="s">
        <v>3821</v>
      </c>
      <c r="X142" t="s">
        <v>3822</v>
      </c>
      <c r="Y142" t="s">
        <v>3823</v>
      </c>
      <c r="Z142" t="s">
        <v>3824</v>
      </c>
      <c r="AA142" t="s">
        <v>3825</v>
      </c>
      <c r="AB142" t="s">
        <v>3826</v>
      </c>
      <c r="AC142" t="s">
        <v>74</v>
      </c>
      <c r="AD142" t="s">
        <v>74</v>
      </c>
      <c r="AE142" t="s">
        <v>74</v>
      </c>
      <c r="AF142" t="s">
        <v>74</v>
      </c>
      <c r="AG142">
        <v>36</v>
      </c>
      <c r="AH142">
        <v>123</v>
      </c>
      <c r="AI142">
        <v>127</v>
      </c>
      <c r="AJ142">
        <v>1</v>
      </c>
      <c r="AK142">
        <v>17</v>
      </c>
      <c r="AL142" t="s">
        <v>74</v>
      </c>
      <c r="AM142" t="s">
        <v>74</v>
      </c>
      <c r="AN142" t="s">
        <v>74</v>
      </c>
      <c r="AO142" t="s">
        <v>3827</v>
      </c>
      <c r="AP142" t="s">
        <v>3828</v>
      </c>
      <c r="AQ142" t="s">
        <v>74</v>
      </c>
      <c r="AR142" t="s">
        <v>74</v>
      </c>
      <c r="AS142" t="s">
        <v>74</v>
      </c>
      <c r="AT142" t="s">
        <v>170</v>
      </c>
      <c r="AU142">
        <v>2016</v>
      </c>
      <c r="AV142">
        <v>35</v>
      </c>
      <c r="AW142">
        <v>6</v>
      </c>
      <c r="AX142" t="s">
        <v>74</v>
      </c>
      <c r="AY142" t="s">
        <v>74</v>
      </c>
      <c r="AZ142" t="s">
        <v>74</v>
      </c>
      <c r="BA142" t="s">
        <v>74</v>
      </c>
      <c r="BB142">
        <v>795</v>
      </c>
      <c r="BC142">
        <v>807</v>
      </c>
      <c r="BD142" t="s">
        <v>74</v>
      </c>
      <c r="BE142" t="s">
        <v>3829</v>
      </c>
      <c r="BF142" t="str">
        <f>HYPERLINK("http://dx.doi.org/10.1016/j.healun.2016.01.013","http://dx.doi.org/10.1016/j.healun.2016.01.013")</f>
        <v>http://dx.doi.org/10.1016/j.healun.2016.01.013</v>
      </c>
      <c r="BG142" t="s">
        <v>74</v>
      </c>
      <c r="BH142" t="s">
        <v>74</v>
      </c>
      <c r="BI142" t="s">
        <v>74</v>
      </c>
      <c r="BJ142" t="s">
        <v>3830</v>
      </c>
      <c r="BK142" t="s">
        <v>117</v>
      </c>
      <c r="BL142" t="s">
        <v>3831</v>
      </c>
      <c r="BM142" t="s">
        <v>74</v>
      </c>
      <c r="BN142">
        <v>27041495</v>
      </c>
      <c r="BO142" t="s">
        <v>74</v>
      </c>
      <c r="BP142" t="s">
        <v>74</v>
      </c>
      <c r="BQ142" t="s">
        <v>74</v>
      </c>
      <c r="BR142" t="s">
        <v>96</v>
      </c>
      <c r="BS142" t="s">
        <v>3832</v>
      </c>
      <c r="BT142" t="str">
        <f>HYPERLINK("https%3A%2F%2Fwww.webofscience.com%2Fwos%2Fwoscc%2Ffull-record%2FWOS:000379367700013","View Full Record in Web of Science")</f>
        <v>View Full Record in Web of Science</v>
      </c>
    </row>
    <row r="143" spans="1:72" x14ac:dyDescent="0.15">
      <c r="A143" t="s">
        <v>98</v>
      </c>
      <c r="B143" t="s">
        <v>6093</v>
      </c>
      <c r="C143" t="s">
        <v>74</v>
      </c>
      <c r="D143" t="s">
        <v>74</v>
      </c>
      <c r="E143" t="s">
        <v>74</v>
      </c>
      <c r="F143" t="s">
        <v>6094</v>
      </c>
      <c r="G143" t="s">
        <v>74</v>
      </c>
      <c r="H143" t="s">
        <v>74</v>
      </c>
      <c r="I143" t="s">
        <v>6095</v>
      </c>
      <c r="J143" t="s">
        <v>140</v>
      </c>
      <c r="K143" t="s">
        <v>74</v>
      </c>
      <c r="L143" t="s">
        <v>74</v>
      </c>
      <c r="M143" t="s">
        <v>74</v>
      </c>
      <c r="N143" t="s">
        <v>103</v>
      </c>
      <c r="O143" t="s">
        <v>74</v>
      </c>
      <c r="P143" t="s">
        <v>74</v>
      </c>
      <c r="Q143" t="s">
        <v>74</v>
      </c>
      <c r="R143" t="s">
        <v>74</v>
      </c>
      <c r="S143" t="s">
        <v>74</v>
      </c>
      <c r="T143" t="s">
        <v>74</v>
      </c>
      <c r="U143" t="s">
        <v>6096</v>
      </c>
      <c r="V143" t="s">
        <v>6097</v>
      </c>
      <c r="W143" t="s">
        <v>6098</v>
      </c>
      <c r="X143" t="s">
        <v>6099</v>
      </c>
      <c r="Y143" t="s">
        <v>6100</v>
      </c>
      <c r="Z143" t="s">
        <v>6101</v>
      </c>
      <c r="AA143" t="s">
        <v>6102</v>
      </c>
      <c r="AB143" t="s">
        <v>6103</v>
      </c>
      <c r="AC143" t="s">
        <v>74</v>
      </c>
      <c r="AD143" t="s">
        <v>74</v>
      </c>
      <c r="AE143" t="s">
        <v>74</v>
      </c>
      <c r="AF143" t="s">
        <v>74</v>
      </c>
      <c r="AG143">
        <v>58</v>
      </c>
      <c r="AH143">
        <v>123</v>
      </c>
      <c r="AI143">
        <v>126</v>
      </c>
      <c r="AJ143">
        <v>1</v>
      </c>
      <c r="AK143">
        <v>21</v>
      </c>
      <c r="AL143" t="s">
        <v>74</v>
      </c>
      <c r="AM143" t="s">
        <v>74</v>
      </c>
      <c r="AN143" t="s">
        <v>74</v>
      </c>
      <c r="AO143" t="s">
        <v>149</v>
      </c>
      <c r="AP143" t="s">
        <v>74</v>
      </c>
      <c r="AQ143" t="s">
        <v>74</v>
      </c>
      <c r="AR143" t="s">
        <v>74</v>
      </c>
      <c r="AS143" t="s">
        <v>74</v>
      </c>
      <c r="AT143" t="s">
        <v>6104</v>
      </c>
      <c r="AU143">
        <v>2017</v>
      </c>
      <c r="AV143">
        <v>7</v>
      </c>
      <c r="AW143" t="s">
        <v>74</v>
      </c>
      <c r="AX143" t="s">
        <v>74</v>
      </c>
      <c r="AY143" t="s">
        <v>74</v>
      </c>
      <c r="AZ143" t="s">
        <v>74</v>
      </c>
      <c r="BA143" t="s">
        <v>74</v>
      </c>
      <c r="BB143" t="s">
        <v>74</v>
      </c>
      <c r="BC143" t="s">
        <v>74</v>
      </c>
      <c r="BD143">
        <v>6438</v>
      </c>
      <c r="BE143" t="s">
        <v>6105</v>
      </c>
      <c r="BF143" t="str">
        <f>HYPERLINK("http://dx.doi.org/10.1038/s41598-017-06893-7","http://dx.doi.org/10.1038/s41598-017-06893-7")</f>
        <v>http://dx.doi.org/10.1038/s41598-017-06893-7</v>
      </c>
      <c r="BG143" t="s">
        <v>74</v>
      </c>
      <c r="BH143" t="s">
        <v>74</v>
      </c>
      <c r="BI143" t="s">
        <v>74</v>
      </c>
      <c r="BJ143" t="s">
        <v>152</v>
      </c>
      <c r="BK143" t="s">
        <v>117</v>
      </c>
      <c r="BL143" t="s">
        <v>153</v>
      </c>
      <c r="BM143" t="s">
        <v>74</v>
      </c>
      <c r="BN143">
        <v>28743887</v>
      </c>
      <c r="BO143" t="s">
        <v>74</v>
      </c>
      <c r="BP143" t="s">
        <v>74</v>
      </c>
      <c r="BQ143" t="s">
        <v>74</v>
      </c>
      <c r="BR143" t="s">
        <v>96</v>
      </c>
      <c r="BS143" t="s">
        <v>6106</v>
      </c>
      <c r="BT143" t="str">
        <f>HYPERLINK("https%3A%2F%2Fwww.webofscience.com%2Fwos%2Fwoscc%2Ffull-record%2FWOS:000406281400003","View Full Record in Web of Science")</f>
        <v>View Full Record in Web of Science</v>
      </c>
    </row>
    <row r="144" spans="1:72" x14ac:dyDescent="0.15">
      <c r="A144" t="s">
        <v>98</v>
      </c>
      <c r="B144" t="s">
        <v>2641</v>
      </c>
      <c r="C144" t="s">
        <v>74</v>
      </c>
      <c r="D144" t="s">
        <v>74</v>
      </c>
      <c r="E144" t="s">
        <v>74</v>
      </c>
      <c r="F144" t="s">
        <v>2642</v>
      </c>
      <c r="G144" t="s">
        <v>74</v>
      </c>
      <c r="H144" t="s">
        <v>74</v>
      </c>
      <c r="I144" t="s">
        <v>2643</v>
      </c>
      <c r="J144" t="s">
        <v>2644</v>
      </c>
      <c r="K144" t="s">
        <v>74</v>
      </c>
      <c r="L144" t="s">
        <v>74</v>
      </c>
      <c r="M144" t="s">
        <v>74</v>
      </c>
      <c r="N144" t="s">
        <v>103</v>
      </c>
      <c r="O144" t="s">
        <v>74</v>
      </c>
      <c r="P144" t="s">
        <v>74</v>
      </c>
      <c r="Q144" t="s">
        <v>74</v>
      </c>
      <c r="R144" t="s">
        <v>74</v>
      </c>
      <c r="S144" t="s">
        <v>74</v>
      </c>
      <c r="T144" t="s">
        <v>74</v>
      </c>
      <c r="U144" t="s">
        <v>2645</v>
      </c>
      <c r="V144" t="s">
        <v>2646</v>
      </c>
      <c r="W144" t="s">
        <v>2647</v>
      </c>
      <c r="X144" t="s">
        <v>2648</v>
      </c>
      <c r="Y144" t="s">
        <v>2649</v>
      </c>
      <c r="Z144" t="s">
        <v>2650</v>
      </c>
      <c r="AA144" t="s">
        <v>2651</v>
      </c>
      <c r="AB144" t="s">
        <v>2652</v>
      </c>
      <c r="AC144" t="s">
        <v>74</v>
      </c>
      <c r="AD144" t="s">
        <v>74</v>
      </c>
      <c r="AE144" t="s">
        <v>74</v>
      </c>
      <c r="AF144" t="s">
        <v>74</v>
      </c>
      <c r="AG144">
        <v>59</v>
      </c>
      <c r="AH144">
        <v>122</v>
      </c>
      <c r="AI144">
        <v>131</v>
      </c>
      <c r="AJ144">
        <v>1</v>
      </c>
      <c r="AK144">
        <v>32</v>
      </c>
      <c r="AL144" t="s">
        <v>74</v>
      </c>
      <c r="AM144" t="s">
        <v>74</v>
      </c>
      <c r="AN144" t="s">
        <v>74</v>
      </c>
      <c r="AO144" t="s">
        <v>2653</v>
      </c>
      <c r="AP144" t="s">
        <v>2654</v>
      </c>
      <c r="AQ144" t="s">
        <v>74</v>
      </c>
      <c r="AR144" t="s">
        <v>74</v>
      </c>
      <c r="AS144" t="s">
        <v>74</v>
      </c>
      <c r="AT144" t="s">
        <v>211</v>
      </c>
      <c r="AU144">
        <v>2016</v>
      </c>
      <c r="AV144">
        <v>30</v>
      </c>
      <c r="AW144">
        <v>11</v>
      </c>
      <c r="AX144" t="s">
        <v>74</v>
      </c>
      <c r="AY144" t="s">
        <v>74</v>
      </c>
      <c r="AZ144" t="s">
        <v>74</v>
      </c>
      <c r="BA144" t="s">
        <v>74</v>
      </c>
      <c r="BB144">
        <v>2221</v>
      </c>
      <c r="BC144">
        <v>2231</v>
      </c>
      <c r="BD144" t="s">
        <v>74</v>
      </c>
      <c r="BE144" t="s">
        <v>2655</v>
      </c>
      <c r="BF144" t="str">
        <f>HYPERLINK("http://dx.doi.org/10.1038/leu.2016.107","http://dx.doi.org/10.1038/leu.2016.107")</f>
        <v>http://dx.doi.org/10.1038/leu.2016.107</v>
      </c>
      <c r="BG144" t="s">
        <v>74</v>
      </c>
      <c r="BH144" t="s">
        <v>74</v>
      </c>
      <c r="BI144" t="s">
        <v>74</v>
      </c>
      <c r="BJ144" t="s">
        <v>2656</v>
      </c>
      <c r="BK144" t="s">
        <v>117</v>
      </c>
      <c r="BL144" t="s">
        <v>2656</v>
      </c>
      <c r="BM144" t="s">
        <v>74</v>
      </c>
      <c r="BN144">
        <v>27150009</v>
      </c>
      <c r="BO144" t="s">
        <v>74</v>
      </c>
      <c r="BP144" t="s">
        <v>74</v>
      </c>
      <c r="BQ144" t="s">
        <v>74</v>
      </c>
      <c r="BR144" t="s">
        <v>96</v>
      </c>
      <c r="BS144" t="s">
        <v>2657</v>
      </c>
      <c r="BT144" t="str">
        <f>HYPERLINK("https%3A%2F%2Fwww.webofscience.com%2Fwos%2Fwoscc%2Ffull-record%2FWOS:000387803100013","View Full Record in Web of Science")</f>
        <v>View Full Record in Web of Science</v>
      </c>
    </row>
    <row r="145" spans="1:72" x14ac:dyDescent="0.15">
      <c r="A145" t="s">
        <v>98</v>
      </c>
      <c r="B145" t="s">
        <v>19430</v>
      </c>
      <c r="C145" t="s">
        <v>74</v>
      </c>
      <c r="D145" t="s">
        <v>74</v>
      </c>
      <c r="E145" t="s">
        <v>74</v>
      </c>
      <c r="F145" t="s">
        <v>19431</v>
      </c>
      <c r="G145" t="s">
        <v>74</v>
      </c>
      <c r="H145" t="s">
        <v>74</v>
      </c>
      <c r="I145" t="s">
        <v>19432</v>
      </c>
      <c r="J145" t="s">
        <v>1053</v>
      </c>
      <c r="K145" t="s">
        <v>74</v>
      </c>
      <c r="L145" t="s">
        <v>74</v>
      </c>
      <c r="M145" t="s">
        <v>74</v>
      </c>
      <c r="N145" t="s">
        <v>103</v>
      </c>
      <c r="O145" t="s">
        <v>74</v>
      </c>
      <c r="P145" t="s">
        <v>74</v>
      </c>
      <c r="Q145" t="s">
        <v>74</v>
      </c>
      <c r="R145" t="s">
        <v>74</v>
      </c>
      <c r="S145" t="s">
        <v>74</v>
      </c>
      <c r="T145" t="s">
        <v>19433</v>
      </c>
      <c r="U145" t="s">
        <v>19434</v>
      </c>
      <c r="V145" t="s">
        <v>19435</v>
      </c>
      <c r="W145" t="s">
        <v>19436</v>
      </c>
      <c r="X145" t="s">
        <v>19437</v>
      </c>
      <c r="Y145" t="s">
        <v>19438</v>
      </c>
      <c r="Z145" t="s">
        <v>19439</v>
      </c>
      <c r="AA145" t="s">
        <v>19440</v>
      </c>
      <c r="AB145" t="s">
        <v>19441</v>
      </c>
      <c r="AC145" t="s">
        <v>74</v>
      </c>
      <c r="AD145" t="s">
        <v>74</v>
      </c>
      <c r="AE145" t="s">
        <v>74</v>
      </c>
      <c r="AF145" t="s">
        <v>74</v>
      </c>
      <c r="AG145">
        <v>43</v>
      </c>
      <c r="AH145">
        <v>122</v>
      </c>
      <c r="AI145">
        <v>123</v>
      </c>
      <c r="AJ145">
        <v>7</v>
      </c>
      <c r="AK145">
        <v>41</v>
      </c>
      <c r="AL145" t="s">
        <v>74</v>
      </c>
      <c r="AM145" t="s">
        <v>74</v>
      </c>
      <c r="AN145" t="s">
        <v>74</v>
      </c>
      <c r="AO145" t="s">
        <v>1063</v>
      </c>
      <c r="AP145" t="s">
        <v>1064</v>
      </c>
      <c r="AQ145" t="s">
        <v>74</v>
      </c>
      <c r="AR145" t="s">
        <v>74</v>
      </c>
      <c r="AS145" t="s">
        <v>74</v>
      </c>
      <c r="AT145" t="s">
        <v>565</v>
      </c>
      <c r="AU145">
        <v>2020</v>
      </c>
      <c r="AV145">
        <v>34</v>
      </c>
      <c r="AW145">
        <v>3</v>
      </c>
      <c r="AX145" t="s">
        <v>74</v>
      </c>
      <c r="AY145" t="s">
        <v>74</v>
      </c>
      <c r="AZ145" t="s">
        <v>74</v>
      </c>
      <c r="BA145" t="s">
        <v>74</v>
      </c>
      <c r="BB145">
        <v>3616</v>
      </c>
      <c r="BC145">
        <v>3630</v>
      </c>
      <c r="BD145" t="s">
        <v>74</v>
      </c>
      <c r="BE145" t="s">
        <v>19442</v>
      </c>
      <c r="BF145" t="str">
        <f>HYPERLINK("http://dx.doi.org/10.1096/fj.201901917RR","http://dx.doi.org/10.1096/fj.201901917RR")</f>
        <v>http://dx.doi.org/10.1096/fj.201901917RR</v>
      </c>
      <c r="BG145" t="s">
        <v>74</v>
      </c>
      <c r="BH145" t="s">
        <v>4780</v>
      </c>
      <c r="BI145" t="s">
        <v>74</v>
      </c>
      <c r="BJ145" t="s">
        <v>1067</v>
      </c>
      <c r="BK145" t="s">
        <v>117</v>
      </c>
      <c r="BL145" t="s">
        <v>1068</v>
      </c>
      <c r="BM145" t="s">
        <v>74</v>
      </c>
      <c r="BN145">
        <v>31957088</v>
      </c>
      <c r="BO145" t="s">
        <v>74</v>
      </c>
      <c r="BP145" t="s">
        <v>193</v>
      </c>
      <c r="BQ145" t="s">
        <v>194</v>
      </c>
      <c r="BR145" t="s">
        <v>96</v>
      </c>
      <c r="BS145" t="s">
        <v>19443</v>
      </c>
      <c r="BT145" t="str">
        <f>HYPERLINK("https%3A%2F%2Fwww.webofscience.com%2Fwos%2Fwoscc%2Ffull-record%2FWOS:000508135400001","View Full Record in Web of Science")</f>
        <v>View Full Record in Web of Science</v>
      </c>
    </row>
    <row r="146" spans="1:72" x14ac:dyDescent="0.15">
      <c r="A146" t="s">
        <v>98</v>
      </c>
      <c r="B146" t="s">
        <v>26013</v>
      </c>
      <c r="C146" t="s">
        <v>74</v>
      </c>
      <c r="D146" t="s">
        <v>74</v>
      </c>
      <c r="E146" t="s">
        <v>74</v>
      </c>
      <c r="F146" t="s">
        <v>26013</v>
      </c>
      <c r="G146" t="s">
        <v>74</v>
      </c>
      <c r="H146" t="s">
        <v>74</v>
      </c>
      <c r="I146" t="s">
        <v>26014</v>
      </c>
      <c r="J146" t="s">
        <v>26015</v>
      </c>
      <c r="K146" t="s">
        <v>74</v>
      </c>
      <c r="L146" t="s">
        <v>74</v>
      </c>
      <c r="M146" t="s">
        <v>74</v>
      </c>
      <c r="N146" t="s">
        <v>103</v>
      </c>
      <c r="O146" t="s">
        <v>74</v>
      </c>
      <c r="P146" t="s">
        <v>74</v>
      </c>
      <c r="Q146" t="s">
        <v>74</v>
      </c>
      <c r="R146" t="s">
        <v>74</v>
      </c>
      <c r="S146" t="s">
        <v>74</v>
      </c>
      <c r="T146" t="s">
        <v>74</v>
      </c>
      <c r="U146" t="s">
        <v>26016</v>
      </c>
      <c r="V146" t="s">
        <v>26017</v>
      </c>
      <c r="W146" t="s">
        <v>26018</v>
      </c>
      <c r="X146" t="s">
        <v>26019</v>
      </c>
      <c r="Y146" t="s">
        <v>26020</v>
      </c>
      <c r="Z146" t="s">
        <v>74</v>
      </c>
      <c r="AA146" t="s">
        <v>74</v>
      </c>
      <c r="AB146" t="s">
        <v>26021</v>
      </c>
      <c r="AC146" t="s">
        <v>74</v>
      </c>
      <c r="AD146" t="s">
        <v>74</v>
      </c>
      <c r="AE146" t="s">
        <v>74</v>
      </c>
      <c r="AF146" t="s">
        <v>74</v>
      </c>
      <c r="AG146">
        <v>52</v>
      </c>
      <c r="AH146">
        <v>122</v>
      </c>
      <c r="AI146">
        <v>125</v>
      </c>
      <c r="AJ146">
        <v>0</v>
      </c>
      <c r="AK146">
        <v>4</v>
      </c>
      <c r="AL146" t="s">
        <v>74</v>
      </c>
      <c r="AM146" t="s">
        <v>74</v>
      </c>
      <c r="AN146" t="s">
        <v>74</v>
      </c>
      <c r="AO146" t="s">
        <v>26022</v>
      </c>
      <c r="AP146" t="s">
        <v>74</v>
      </c>
      <c r="AQ146" t="s">
        <v>74</v>
      </c>
      <c r="AR146" t="s">
        <v>74</v>
      </c>
      <c r="AS146" t="s">
        <v>74</v>
      </c>
      <c r="AT146" t="s">
        <v>1029</v>
      </c>
      <c r="AU146">
        <v>2001</v>
      </c>
      <c r="AV146">
        <v>44</v>
      </c>
      <c r="AW146">
        <v>5</v>
      </c>
      <c r="AX146" t="s">
        <v>74</v>
      </c>
      <c r="AY146" t="s">
        <v>74</v>
      </c>
      <c r="AZ146" t="s">
        <v>74</v>
      </c>
      <c r="BA146" t="s">
        <v>74</v>
      </c>
      <c r="BB146">
        <v>1071</v>
      </c>
      <c r="BC146">
        <v>1081</v>
      </c>
      <c r="BD146" t="s">
        <v>74</v>
      </c>
      <c r="BE146" t="s">
        <v>26023</v>
      </c>
      <c r="BF146" t="str">
        <f>HYPERLINK("http://dx.doi.org/10.1002/1529-0131(200105)44:5&lt;1071::AID-ANR187&gt;3.3.CO;2-V","http://dx.doi.org/10.1002/1529-0131(200105)44:5&lt;1071::AID-ANR187&gt;3.3.CO;2-V")</f>
        <v>http://dx.doi.org/10.1002/1529-0131(200105)44:5&lt;1071::AID-ANR187&gt;3.3.CO;2-V</v>
      </c>
      <c r="BG146" t="s">
        <v>74</v>
      </c>
      <c r="BH146" t="s">
        <v>74</v>
      </c>
      <c r="BI146" t="s">
        <v>74</v>
      </c>
      <c r="BJ146" t="s">
        <v>16983</v>
      </c>
      <c r="BK146" t="s">
        <v>117</v>
      </c>
      <c r="BL146" t="s">
        <v>16983</v>
      </c>
      <c r="BM146" t="s">
        <v>74</v>
      </c>
      <c r="BN146">
        <v>11352238</v>
      </c>
      <c r="BO146" t="s">
        <v>74</v>
      </c>
      <c r="BP146" t="s">
        <v>74</v>
      </c>
      <c r="BQ146" t="s">
        <v>74</v>
      </c>
      <c r="BR146" t="s">
        <v>96</v>
      </c>
      <c r="BS146" t="s">
        <v>26024</v>
      </c>
      <c r="BT146" t="str">
        <f>HYPERLINK("https%3A%2F%2Fwww.webofscience.com%2Fwos%2Fwoscc%2Ffull-record%2FWOS:000171751000012","View Full Record in Web of Science")</f>
        <v>View Full Record in Web of Science</v>
      </c>
    </row>
    <row r="147" spans="1:72" x14ac:dyDescent="0.15">
      <c r="A147" t="s">
        <v>98</v>
      </c>
      <c r="B147" t="s">
        <v>28480</v>
      </c>
      <c r="C147" t="s">
        <v>74</v>
      </c>
      <c r="D147" t="s">
        <v>74</v>
      </c>
      <c r="E147" t="s">
        <v>74</v>
      </c>
      <c r="F147" t="s">
        <v>28481</v>
      </c>
      <c r="G147" t="s">
        <v>74</v>
      </c>
      <c r="H147" t="s">
        <v>74</v>
      </c>
      <c r="I147" t="s">
        <v>28482</v>
      </c>
      <c r="J147" t="s">
        <v>3780</v>
      </c>
      <c r="K147" t="s">
        <v>74</v>
      </c>
      <c r="L147" t="s">
        <v>74</v>
      </c>
      <c r="M147" t="s">
        <v>74</v>
      </c>
      <c r="N147" t="s">
        <v>103</v>
      </c>
      <c r="O147" t="s">
        <v>74</v>
      </c>
      <c r="P147" t="s">
        <v>74</v>
      </c>
      <c r="Q147" t="s">
        <v>74</v>
      </c>
      <c r="R147" t="s">
        <v>74</v>
      </c>
      <c r="S147" t="s">
        <v>74</v>
      </c>
      <c r="T147" t="s">
        <v>74</v>
      </c>
      <c r="U147" t="s">
        <v>28483</v>
      </c>
      <c r="V147" t="s">
        <v>28484</v>
      </c>
      <c r="W147" t="s">
        <v>28485</v>
      </c>
      <c r="X147" t="s">
        <v>7918</v>
      </c>
      <c r="Y147" t="s">
        <v>28486</v>
      </c>
      <c r="Z147" t="s">
        <v>28487</v>
      </c>
      <c r="AA147" t="s">
        <v>28488</v>
      </c>
      <c r="AB147" t="s">
        <v>28489</v>
      </c>
      <c r="AC147" t="s">
        <v>74</v>
      </c>
      <c r="AD147" t="s">
        <v>74</v>
      </c>
      <c r="AE147" t="s">
        <v>74</v>
      </c>
      <c r="AF147" t="s">
        <v>74</v>
      </c>
      <c r="AG147">
        <v>66</v>
      </c>
      <c r="AH147">
        <v>122</v>
      </c>
      <c r="AI147">
        <v>123</v>
      </c>
      <c r="AJ147">
        <v>15</v>
      </c>
      <c r="AK147">
        <v>250</v>
      </c>
      <c r="AL147" t="s">
        <v>74</v>
      </c>
      <c r="AM147" t="s">
        <v>74</v>
      </c>
      <c r="AN147" t="s">
        <v>74</v>
      </c>
      <c r="AO147" t="s">
        <v>3787</v>
      </c>
      <c r="AP147" t="s">
        <v>3788</v>
      </c>
      <c r="AQ147" t="s">
        <v>74</v>
      </c>
      <c r="AR147" t="s">
        <v>74</v>
      </c>
      <c r="AS147" t="s">
        <v>74</v>
      </c>
      <c r="AT147" t="s">
        <v>74</v>
      </c>
      <c r="AU147">
        <v>2015</v>
      </c>
      <c r="AV147">
        <v>15</v>
      </c>
      <c r="AW147">
        <v>7</v>
      </c>
      <c r="AX147" t="s">
        <v>74</v>
      </c>
      <c r="AY147" t="s">
        <v>74</v>
      </c>
      <c r="AZ147" t="s">
        <v>74</v>
      </c>
      <c r="BA147" t="s">
        <v>74</v>
      </c>
      <c r="BB147">
        <v>1656</v>
      </c>
      <c r="BC147">
        <v>1666</v>
      </c>
      <c r="BD147" t="s">
        <v>74</v>
      </c>
      <c r="BE147" t="s">
        <v>28490</v>
      </c>
      <c r="BF147" t="str">
        <f>HYPERLINK("http://dx.doi.org/10.1039/c5lc00036j","http://dx.doi.org/10.1039/c5lc00036j")</f>
        <v>http://dx.doi.org/10.1039/c5lc00036j</v>
      </c>
      <c r="BG147" t="s">
        <v>74</v>
      </c>
      <c r="BH147" t="s">
        <v>74</v>
      </c>
      <c r="BI147" t="s">
        <v>74</v>
      </c>
      <c r="BJ147" t="s">
        <v>3790</v>
      </c>
      <c r="BK147" t="s">
        <v>117</v>
      </c>
      <c r="BL147" t="s">
        <v>3791</v>
      </c>
      <c r="BM147" t="s">
        <v>74</v>
      </c>
      <c r="BN147">
        <v>25690152</v>
      </c>
      <c r="BO147" t="s">
        <v>74</v>
      </c>
      <c r="BP147" t="s">
        <v>74</v>
      </c>
      <c r="BQ147" t="s">
        <v>74</v>
      </c>
      <c r="BR147" t="s">
        <v>96</v>
      </c>
      <c r="BS147" t="s">
        <v>28491</v>
      </c>
      <c r="BT147" t="str">
        <f>HYPERLINK("https%3A%2F%2Fwww.webofscience.com%2Fwos%2Fwoscc%2Ffull-record%2FWOS:000351493100007","View Full Record in Web of Science")</f>
        <v>View Full Record in Web of Science</v>
      </c>
    </row>
    <row r="148" spans="1:72" x14ac:dyDescent="0.15">
      <c r="A148" t="s">
        <v>98</v>
      </c>
      <c r="B148" t="s">
        <v>16996</v>
      </c>
      <c r="C148" t="s">
        <v>74</v>
      </c>
      <c r="D148" t="s">
        <v>74</v>
      </c>
      <c r="E148" t="s">
        <v>74</v>
      </c>
      <c r="F148" t="s">
        <v>16996</v>
      </c>
      <c r="G148" t="s">
        <v>74</v>
      </c>
      <c r="H148" t="s">
        <v>74</v>
      </c>
      <c r="I148" t="s">
        <v>16997</v>
      </c>
      <c r="J148" t="s">
        <v>8168</v>
      </c>
      <c r="K148" t="s">
        <v>74</v>
      </c>
      <c r="L148" t="s">
        <v>74</v>
      </c>
      <c r="M148" t="s">
        <v>74</v>
      </c>
      <c r="N148" t="s">
        <v>103</v>
      </c>
      <c r="O148" t="s">
        <v>74</v>
      </c>
      <c r="P148" t="s">
        <v>74</v>
      </c>
      <c r="Q148" t="s">
        <v>74</v>
      </c>
      <c r="R148" t="s">
        <v>74</v>
      </c>
      <c r="S148" t="s">
        <v>74</v>
      </c>
      <c r="T148" t="s">
        <v>74</v>
      </c>
      <c r="U148" t="s">
        <v>16998</v>
      </c>
      <c r="V148" t="s">
        <v>16999</v>
      </c>
      <c r="W148" t="s">
        <v>17000</v>
      </c>
      <c r="X148" t="s">
        <v>17001</v>
      </c>
      <c r="Y148" t="s">
        <v>17002</v>
      </c>
      <c r="Z148" t="s">
        <v>74</v>
      </c>
      <c r="AA148" t="s">
        <v>74</v>
      </c>
      <c r="AB148" t="s">
        <v>17003</v>
      </c>
      <c r="AC148" t="s">
        <v>74</v>
      </c>
      <c r="AD148" t="s">
        <v>74</v>
      </c>
      <c r="AE148" t="s">
        <v>74</v>
      </c>
      <c r="AF148" t="s">
        <v>74</v>
      </c>
      <c r="AG148">
        <v>69</v>
      </c>
      <c r="AH148">
        <v>121</v>
      </c>
      <c r="AI148">
        <v>123</v>
      </c>
      <c r="AJ148">
        <v>0</v>
      </c>
      <c r="AK148">
        <v>7</v>
      </c>
      <c r="AL148" t="s">
        <v>74</v>
      </c>
      <c r="AM148" t="s">
        <v>74</v>
      </c>
      <c r="AN148" t="s">
        <v>74</v>
      </c>
      <c r="AO148" t="s">
        <v>8177</v>
      </c>
      <c r="AP148" t="s">
        <v>8178</v>
      </c>
      <c r="AQ148" t="s">
        <v>74</v>
      </c>
      <c r="AR148" t="s">
        <v>74</v>
      </c>
      <c r="AS148" t="s">
        <v>74</v>
      </c>
      <c r="AT148" t="s">
        <v>283</v>
      </c>
      <c r="AU148">
        <v>1991</v>
      </c>
      <c r="AV148">
        <v>112</v>
      </c>
      <c r="AW148">
        <v>3</v>
      </c>
      <c r="AX148" t="s">
        <v>74</v>
      </c>
      <c r="AY148" t="s">
        <v>74</v>
      </c>
      <c r="AZ148" t="s">
        <v>74</v>
      </c>
      <c r="BA148" t="s">
        <v>74</v>
      </c>
      <c r="BB148">
        <v>501</v>
      </c>
      <c r="BC148">
        <v>513</v>
      </c>
      <c r="BD148" t="s">
        <v>74</v>
      </c>
      <c r="BE148" t="s">
        <v>17004</v>
      </c>
      <c r="BF148" t="str">
        <f>HYPERLINK("http://dx.doi.org/10.1083/jcb.112.3.501","http://dx.doi.org/10.1083/jcb.112.3.501")</f>
        <v>http://dx.doi.org/10.1083/jcb.112.3.501</v>
      </c>
      <c r="BG148" t="s">
        <v>74</v>
      </c>
      <c r="BH148" t="s">
        <v>74</v>
      </c>
      <c r="BI148" t="s">
        <v>74</v>
      </c>
      <c r="BJ148" t="s">
        <v>135</v>
      </c>
      <c r="BK148" t="s">
        <v>117</v>
      </c>
      <c r="BL148" t="s">
        <v>135</v>
      </c>
      <c r="BM148" t="s">
        <v>74</v>
      </c>
      <c r="BN148">
        <v>1991793</v>
      </c>
      <c r="BO148" t="s">
        <v>74</v>
      </c>
      <c r="BP148" t="s">
        <v>74</v>
      </c>
      <c r="BQ148" t="s">
        <v>74</v>
      </c>
      <c r="BR148" t="s">
        <v>96</v>
      </c>
      <c r="BS148" t="s">
        <v>17005</v>
      </c>
      <c r="BT148" t="str">
        <f>HYPERLINK("https%3A%2F%2Fwww.webofscience.com%2Fwos%2Fwoscc%2Ffull-record%2FWOS:A1991EV17700013","View Full Record in Web of Science")</f>
        <v>View Full Record in Web of Science</v>
      </c>
    </row>
    <row r="149" spans="1:72" x14ac:dyDescent="0.15">
      <c r="A149" t="s">
        <v>98</v>
      </c>
      <c r="B149" t="s">
        <v>2066</v>
      </c>
      <c r="C149" t="s">
        <v>74</v>
      </c>
      <c r="D149" t="s">
        <v>74</v>
      </c>
      <c r="E149" t="s">
        <v>74</v>
      </c>
      <c r="F149" t="s">
        <v>2067</v>
      </c>
      <c r="G149" t="s">
        <v>74</v>
      </c>
      <c r="H149" t="s">
        <v>74</v>
      </c>
      <c r="I149" t="s">
        <v>2068</v>
      </c>
      <c r="J149" t="s">
        <v>2069</v>
      </c>
      <c r="K149" t="s">
        <v>74</v>
      </c>
      <c r="L149" t="s">
        <v>74</v>
      </c>
      <c r="M149" t="s">
        <v>74</v>
      </c>
      <c r="N149" t="s">
        <v>103</v>
      </c>
      <c r="O149" t="s">
        <v>74</v>
      </c>
      <c r="P149" t="s">
        <v>74</v>
      </c>
      <c r="Q149" t="s">
        <v>74</v>
      </c>
      <c r="R149" t="s">
        <v>74</v>
      </c>
      <c r="S149" t="s">
        <v>74</v>
      </c>
      <c r="T149" t="s">
        <v>2070</v>
      </c>
      <c r="U149" t="s">
        <v>2071</v>
      </c>
      <c r="V149" t="s">
        <v>2072</v>
      </c>
      <c r="W149" t="s">
        <v>2073</v>
      </c>
      <c r="X149" t="s">
        <v>2074</v>
      </c>
      <c r="Y149" t="s">
        <v>2075</v>
      </c>
      <c r="Z149" t="s">
        <v>2076</v>
      </c>
      <c r="AA149" t="s">
        <v>2077</v>
      </c>
      <c r="AB149" t="s">
        <v>2078</v>
      </c>
      <c r="AC149" t="s">
        <v>74</v>
      </c>
      <c r="AD149" t="s">
        <v>74</v>
      </c>
      <c r="AE149" t="s">
        <v>74</v>
      </c>
      <c r="AF149" t="s">
        <v>74</v>
      </c>
      <c r="AG149">
        <v>151</v>
      </c>
      <c r="AH149">
        <v>120</v>
      </c>
      <c r="AI149">
        <v>120</v>
      </c>
      <c r="AJ149">
        <v>3</v>
      </c>
      <c r="AK149">
        <v>22</v>
      </c>
      <c r="AL149" t="s">
        <v>74</v>
      </c>
      <c r="AM149" t="s">
        <v>74</v>
      </c>
      <c r="AN149" t="s">
        <v>74</v>
      </c>
      <c r="AO149" t="s">
        <v>2079</v>
      </c>
      <c r="AP149" t="s">
        <v>2080</v>
      </c>
      <c r="AQ149" t="s">
        <v>74</v>
      </c>
      <c r="AR149" t="s">
        <v>74</v>
      </c>
      <c r="AS149" t="s">
        <v>74</v>
      </c>
      <c r="AT149" t="s">
        <v>2081</v>
      </c>
      <c r="AU149">
        <v>2016</v>
      </c>
      <c r="AV149">
        <v>143</v>
      </c>
      <c r="AW149">
        <v>14</v>
      </c>
      <c r="AX149" t="s">
        <v>74</v>
      </c>
      <c r="AY149" t="s">
        <v>74</v>
      </c>
      <c r="AZ149" t="s">
        <v>74</v>
      </c>
      <c r="BA149" t="s">
        <v>74</v>
      </c>
      <c r="BB149">
        <v>2482</v>
      </c>
      <c r="BC149">
        <v>2493</v>
      </c>
      <c r="BD149" t="s">
        <v>74</v>
      </c>
      <c r="BE149" t="s">
        <v>2082</v>
      </c>
      <c r="BF149" t="str">
        <f>HYPERLINK("http://dx.doi.org/10.1242/dev.126516","http://dx.doi.org/10.1242/dev.126516")</f>
        <v>http://dx.doi.org/10.1242/dev.126516</v>
      </c>
      <c r="BG149" t="s">
        <v>74</v>
      </c>
      <c r="BH149" t="s">
        <v>74</v>
      </c>
      <c r="BI149" t="s">
        <v>74</v>
      </c>
      <c r="BJ149" t="s">
        <v>2083</v>
      </c>
      <c r="BK149" t="s">
        <v>117</v>
      </c>
      <c r="BL149" t="s">
        <v>2083</v>
      </c>
      <c r="BM149" t="s">
        <v>74</v>
      </c>
      <c r="BN149">
        <v>27436038</v>
      </c>
      <c r="BO149" t="s">
        <v>74</v>
      </c>
      <c r="BP149" t="s">
        <v>74</v>
      </c>
      <c r="BQ149" t="s">
        <v>74</v>
      </c>
      <c r="BR149" t="s">
        <v>96</v>
      </c>
      <c r="BS149" t="s">
        <v>2084</v>
      </c>
      <c r="BT149" t="str">
        <f>HYPERLINK("https%3A%2F%2Fwww.webofscience.com%2Fwos%2Fwoscc%2Ffull-record%2FWOS:000392715600002","View Full Record in Web of Science")</f>
        <v>View Full Record in Web of Science</v>
      </c>
    </row>
    <row r="150" spans="1:72" x14ac:dyDescent="0.15">
      <c r="A150" t="s">
        <v>98</v>
      </c>
      <c r="B150" t="s">
        <v>22715</v>
      </c>
      <c r="C150" t="s">
        <v>74</v>
      </c>
      <c r="D150" t="s">
        <v>74</v>
      </c>
      <c r="E150" t="s">
        <v>74</v>
      </c>
      <c r="F150" t="s">
        <v>22716</v>
      </c>
      <c r="G150" t="s">
        <v>74</v>
      </c>
      <c r="H150" t="s">
        <v>74</v>
      </c>
      <c r="I150" t="s">
        <v>22717</v>
      </c>
      <c r="J150" t="s">
        <v>658</v>
      </c>
      <c r="K150" t="s">
        <v>74</v>
      </c>
      <c r="L150" t="s">
        <v>74</v>
      </c>
      <c r="M150" t="s">
        <v>74</v>
      </c>
      <c r="N150" t="s">
        <v>103</v>
      </c>
      <c r="O150" t="s">
        <v>74</v>
      </c>
      <c r="P150" t="s">
        <v>74</v>
      </c>
      <c r="Q150" t="s">
        <v>74</v>
      </c>
      <c r="R150" t="s">
        <v>74</v>
      </c>
      <c r="S150" t="s">
        <v>74</v>
      </c>
      <c r="T150" t="s">
        <v>22718</v>
      </c>
      <c r="U150" t="s">
        <v>22719</v>
      </c>
      <c r="V150" t="s">
        <v>22720</v>
      </c>
      <c r="W150" t="s">
        <v>22721</v>
      </c>
      <c r="X150" t="s">
        <v>22722</v>
      </c>
      <c r="Y150" t="s">
        <v>22723</v>
      </c>
      <c r="Z150" t="s">
        <v>22724</v>
      </c>
      <c r="AA150" t="s">
        <v>22725</v>
      </c>
      <c r="AB150" t="s">
        <v>22726</v>
      </c>
      <c r="AC150" t="s">
        <v>74</v>
      </c>
      <c r="AD150" t="s">
        <v>74</v>
      </c>
      <c r="AE150" t="s">
        <v>74</v>
      </c>
      <c r="AF150" t="s">
        <v>74</v>
      </c>
      <c r="AG150">
        <v>58</v>
      </c>
      <c r="AH150">
        <v>120</v>
      </c>
      <c r="AI150">
        <v>121</v>
      </c>
      <c r="AJ150">
        <v>1</v>
      </c>
      <c r="AK150">
        <v>19</v>
      </c>
      <c r="AL150" t="s">
        <v>74</v>
      </c>
      <c r="AM150" t="s">
        <v>74</v>
      </c>
      <c r="AN150" t="s">
        <v>74</v>
      </c>
      <c r="AO150" t="s">
        <v>668</v>
      </c>
      <c r="AP150" t="s">
        <v>74</v>
      </c>
      <c r="AQ150" t="s">
        <v>74</v>
      </c>
      <c r="AR150" t="s">
        <v>74</v>
      </c>
      <c r="AS150" t="s">
        <v>74</v>
      </c>
      <c r="AT150" t="s">
        <v>22727</v>
      </c>
      <c r="AU150">
        <v>2014</v>
      </c>
      <c r="AV150">
        <v>111</v>
      </c>
      <c r="AW150">
        <v>27</v>
      </c>
      <c r="AX150" t="s">
        <v>74</v>
      </c>
      <c r="AY150" t="s">
        <v>74</v>
      </c>
      <c r="AZ150" t="s">
        <v>74</v>
      </c>
      <c r="BA150" t="s">
        <v>74</v>
      </c>
      <c r="BB150">
        <v>9977</v>
      </c>
      <c r="BC150">
        <v>9982</v>
      </c>
      <c r="BD150" t="s">
        <v>74</v>
      </c>
      <c r="BE150" t="s">
        <v>22728</v>
      </c>
      <c r="BF150" t="str">
        <f>HYPERLINK("http://dx.doi.org/10.1073/pnas.1402134111","http://dx.doi.org/10.1073/pnas.1402134111")</f>
        <v>http://dx.doi.org/10.1073/pnas.1402134111</v>
      </c>
      <c r="BG150" t="s">
        <v>74</v>
      </c>
      <c r="BH150" t="s">
        <v>74</v>
      </c>
      <c r="BI150" t="s">
        <v>74</v>
      </c>
      <c r="BJ150" t="s">
        <v>152</v>
      </c>
      <c r="BK150" t="s">
        <v>117</v>
      </c>
      <c r="BL150" t="s">
        <v>153</v>
      </c>
      <c r="BM150" t="s">
        <v>74</v>
      </c>
      <c r="BN150">
        <v>24979780</v>
      </c>
      <c r="BO150" t="s">
        <v>74</v>
      </c>
      <c r="BP150" t="s">
        <v>74</v>
      </c>
      <c r="BQ150" t="s">
        <v>74</v>
      </c>
      <c r="BR150" t="s">
        <v>96</v>
      </c>
      <c r="BS150" t="s">
        <v>22729</v>
      </c>
      <c r="BT150" t="str">
        <f>HYPERLINK("https%3A%2F%2Fwww.webofscience.com%2Fwos%2Fwoscc%2Ffull-record%2FWOS:000338514800062","View Full Record in Web of Science")</f>
        <v>View Full Record in Web of Science</v>
      </c>
    </row>
    <row r="151" spans="1:72" x14ac:dyDescent="0.15">
      <c r="A151" t="s">
        <v>98</v>
      </c>
      <c r="B151" t="s">
        <v>6042</v>
      </c>
      <c r="C151" t="s">
        <v>74</v>
      </c>
      <c r="D151" t="s">
        <v>74</v>
      </c>
      <c r="E151" t="s">
        <v>74</v>
      </c>
      <c r="F151" t="s">
        <v>6043</v>
      </c>
      <c r="G151" t="s">
        <v>74</v>
      </c>
      <c r="H151" t="s">
        <v>74</v>
      </c>
      <c r="I151" t="s">
        <v>6044</v>
      </c>
      <c r="J151" t="s">
        <v>2833</v>
      </c>
      <c r="K151" t="s">
        <v>74</v>
      </c>
      <c r="L151" t="s">
        <v>74</v>
      </c>
      <c r="M151" t="s">
        <v>74</v>
      </c>
      <c r="N151" t="s">
        <v>103</v>
      </c>
      <c r="O151" t="s">
        <v>74</v>
      </c>
      <c r="P151" t="s">
        <v>74</v>
      </c>
      <c r="Q151" t="s">
        <v>74</v>
      </c>
      <c r="R151" t="s">
        <v>74</v>
      </c>
      <c r="S151" t="s">
        <v>74</v>
      </c>
      <c r="T151" t="s">
        <v>6045</v>
      </c>
      <c r="U151" t="s">
        <v>6046</v>
      </c>
      <c r="V151" t="s">
        <v>6047</v>
      </c>
      <c r="W151" t="s">
        <v>6048</v>
      </c>
      <c r="X151" t="s">
        <v>6049</v>
      </c>
      <c r="Y151" t="s">
        <v>6050</v>
      </c>
      <c r="Z151" t="s">
        <v>1370</v>
      </c>
      <c r="AA151" t="s">
        <v>74</v>
      </c>
      <c r="AB151" t="s">
        <v>6051</v>
      </c>
      <c r="AC151" t="s">
        <v>74</v>
      </c>
      <c r="AD151" t="s">
        <v>74</v>
      </c>
      <c r="AE151" t="s">
        <v>74</v>
      </c>
      <c r="AF151" t="s">
        <v>74</v>
      </c>
      <c r="AG151">
        <v>32</v>
      </c>
      <c r="AH151">
        <v>119</v>
      </c>
      <c r="AI151">
        <v>123</v>
      </c>
      <c r="AJ151">
        <v>0</v>
      </c>
      <c r="AK151">
        <v>8</v>
      </c>
      <c r="AL151" t="s">
        <v>74</v>
      </c>
      <c r="AM151" t="s">
        <v>74</v>
      </c>
      <c r="AN151" t="s">
        <v>74</v>
      </c>
      <c r="AO151" t="s">
        <v>2841</v>
      </c>
      <c r="AP151" t="s">
        <v>2842</v>
      </c>
      <c r="AQ151" t="s">
        <v>74</v>
      </c>
      <c r="AR151" t="s">
        <v>74</v>
      </c>
      <c r="AS151" t="s">
        <v>74</v>
      </c>
      <c r="AT151" t="s">
        <v>6052</v>
      </c>
      <c r="AU151">
        <v>2014</v>
      </c>
      <c r="AV151">
        <v>451</v>
      </c>
      <c r="AW151">
        <v>2</v>
      </c>
      <c r="AX151" t="s">
        <v>74</v>
      </c>
      <c r="AY151" t="s">
        <v>74</v>
      </c>
      <c r="AZ151" t="s">
        <v>74</v>
      </c>
      <c r="BA151" t="s">
        <v>74</v>
      </c>
      <c r="BB151">
        <v>295</v>
      </c>
      <c r="BC151">
        <v>301</v>
      </c>
      <c r="BD151" t="s">
        <v>74</v>
      </c>
      <c r="BE151" t="s">
        <v>6053</v>
      </c>
      <c r="BF151" t="str">
        <f>HYPERLINK("http://dx.doi.org/10.1016/j.bbrc.2014.07.109","http://dx.doi.org/10.1016/j.bbrc.2014.07.109")</f>
        <v>http://dx.doi.org/10.1016/j.bbrc.2014.07.109</v>
      </c>
      <c r="BG151" t="s">
        <v>74</v>
      </c>
      <c r="BH151" t="s">
        <v>74</v>
      </c>
      <c r="BI151" t="s">
        <v>74</v>
      </c>
      <c r="BJ151" t="s">
        <v>2845</v>
      </c>
      <c r="BK151" t="s">
        <v>117</v>
      </c>
      <c r="BL151" t="s">
        <v>2845</v>
      </c>
      <c r="BM151" t="s">
        <v>74</v>
      </c>
      <c r="BN151">
        <v>25086355</v>
      </c>
      <c r="BO151" t="s">
        <v>74</v>
      </c>
      <c r="BP151" t="s">
        <v>74</v>
      </c>
      <c r="BQ151" t="s">
        <v>74</v>
      </c>
      <c r="BR151" t="s">
        <v>96</v>
      </c>
      <c r="BS151" t="s">
        <v>6054</v>
      </c>
      <c r="BT151" t="str">
        <f>HYPERLINK("https%3A%2F%2Fwww.webofscience.com%2Fwos%2Fwoscc%2Ffull-record%2FWOS:000348743200022","View Full Record in Web of Science")</f>
        <v>View Full Record in Web of Science</v>
      </c>
    </row>
    <row r="152" spans="1:72" x14ac:dyDescent="0.15">
      <c r="A152" t="s">
        <v>98</v>
      </c>
      <c r="B152" t="s">
        <v>22790</v>
      </c>
      <c r="C152" t="s">
        <v>74</v>
      </c>
      <c r="D152" t="s">
        <v>74</v>
      </c>
      <c r="E152" t="s">
        <v>74</v>
      </c>
      <c r="F152" t="s">
        <v>22790</v>
      </c>
      <c r="G152" t="s">
        <v>74</v>
      </c>
      <c r="H152" t="s">
        <v>74</v>
      </c>
      <c r="I152" t="s">
        <v>22791</v>
      </c>
      <c r="J152" t="s">
        <v>3700</v>
      </c>
      <c r="K152" t="s">
        <v>74</v>
      </c>
      <c r="L152" t="s">
        <v>74</v>
      </c>
      <c r="M152" t="s">
        <v>74</v>
      </c>
      <c r="N152" t="s">
        <v>103</v>
      </c>
      <c r="O152" t="s">
        <v>74</v>
      </c>
      <c r="P152" t="s">
        <v>74</v>
      </c>
      <c r="Q152" t="s">
        <v>74</v>
      </c>
      <c r="R152" t="s">
        <v>74</v>
      </c>
      <c r="S152" t="s">
        <v>74</v>
      </c>
      <c r="T152" t="s">
        <v>74</v>
      </c>
      <c r="U152" t="s">
        <v>22792</v>
      </c>
      <c r="V152" t="s">
        <v>22793</v>
      </c>
      <c r="W152" t="s">
        <v>22794</v>
      </c>
      <c r="X152" t="s">
        <v>22795</v>
      </c>
      <c r="Y152" t="s">
        <v>74</v>
      </c>
      <c r="Z152" t="s">
        <v>74</v>
      </c>
      <c r="AA152" t="s">
        <v>22796</v>
      </c>
      <c r="AB152" t="s">
        <v>74</v>
      </c>
      <c r="AC152" t="s">
        <v>74</v>
      </c>
      <c r="AD152" t="s">
        <v>74</v>
      </c>
      <c r="AE152" t="s">
        <v>74</v>
      </c>
      <c r="AF152" t="s">
        <v>74</v>
      </c>
      <c r="AG152">
        <v>59</v>
      </c>
      <c r="AH152">
        <v>118</v>
      </c>
      <c r="AI152">
        <v>119</v>
      </c>
      <c r="AJ152">
        <v>0</v>
      </c>
      <c r="AK152">
        <v>2</v>
      </c>
      <c r="AL152" t="s">
        <v>74</v>
      </c>
      <c r="AM152" t="s">
        <v>74</v>
      </c>
      <c r="AN152" t="s">
        <v>74</v>
      </c>
      <c r="AO152" t="s">
        <v>3710</v>
      </c>
      <c r="AP152" t="s">
        <v>74</v>
      </c>
      <c r="AQ152" t="s">
        <v>74</v>
      </c>
      <c r="AR152" t="s">
        <v>74</v>
      </c>
      <c r="AS152" t="s">
        <v>74</v>
      </c>
      <c r="AT152" t="s">
        <v>16555</v>
      </c>
      <c r="AU152">
        <v>1995</v>
      </c>
      <c r="AV152">
        <v>270</v>
      </c>
      <c r="AW152">
        <v>41</v>
      </c>
      <c r="AX152" t="s">
        <v>74</v>
      </c>
      <c r="AY152" t="s">
        <v>74</v>
      </c>
      <c r="AZ152" t="s">
        <v>74</v>
      </c>
      <c r="BA152" t="s">
        <v>74</v>
      </c>
      <c r="BB152">
        <v>24361</v>
      </c>
      <c r="BC152">
        <v>24369</v>
      </c>
      <c r="BD152" t="s">
        <v>74</v>
      </c>
      <c r="BE152" t="s">
        <v>22797</v>
      </c>
      <c r="BF152" t="str">
        <f>HYPERLINK("http://dx.doi.org/10.1074/jbc.270.41.24361","http://dx.doi.org/10.1074/jbc.270.41.24361")</f>
        <v>http://dx.doi.org/10.1074/jbc.270.41.24361</v>
      </c>
      <c r="BG152" t="s">
        <v>74</v>
      </c>
      <c r="BH152" t="s">
        <v>74</v>
      </c>
      <c r="BI152" t="s">
        <v>74</v>
      </c>
      <c r="BJ152" t="s">
        <v>95</v>
      </c>
      <c r="BK152" t="s">
        <v>117</v>
      </c>
      <c r="BL152" t="s">
        <v>95</v>
      </c>
      <c r="BM152" t="s">
        <v>74</v>
      </c>
      <c r="BN152">
        <v>7592648</v>
      </c>
      <c r="BO152" t="s">
        <v>74</v>
      </c>
      <c r="BP152" t="s">
        <v>74</v>
      </c>
      <c r="BQ152" t="s">
        <v>74</v>
      </c>
      <c r="BR152" t="s">
        <v>96</v>
      </c>
      <c r="BS152" t="s">
        <v>22798</v>
      </c>
      <c r="BT152" t="str">
        <f>HYPERLINK("https%3A%2F%2Fwww.webofscience.com%2Fwos%2Fwoscc%2Ffull-record%2FWOS:A1995TA21700076","View Full Record in Web of Science")</f>
        <v>View Full Record in Web of Science</v>
      </c>
    </row>
    <row r="153" spans="1:72" x14ac:dyDescent="0.15">
      <c r="A153" t="s">
        <v>98</v>
      </c>
      <c r="B153" t="s">
        <v>25678</v>
      </c>
      <c r="C153" t="s">
        <v>74</v>
      </c>
      <c r="D153" t="s">
        <v>74</v>
      </c>
      <c r="E153" t="s">
        <v>74</v>
      </c>
      <c r="F153" t="s">
        <v>25678</v>
      </c>
      <c r="G153" t="s">
        <v>74</v>
      </c>
      <c r="H153" t="s">
        <v>74</v>
      </c>
      <c r="I153" t="s">
        <v>25679</v>
      </c>
      <c r="J153" t="s">
        <v>25680</v>
      </c>
      <c r="K153" t="s">
        <v>74</v>
      </c>
      <c r="L153" t="s">
        <v>74</v>
      </c>
      <c r="M153" t="s">
        <v>74</v>
      </c>
      <c r="N153" t="s">
        <v>103</v>
      </c>
      <c r="O153" t="s">
        <v>74</v>
      </c>
      <c r="P153" t="s">
        <v>74</v>
      </c>
      <c r="Q153" t="s">
        <v>74</v>
      </c>
      <c r="R153" t="s">
        <v>74</v>
      </c>
      <c r="S153" t="s">
        <v>74</v>
      </c>
      <c r="T153" t="s">
        <v>74</v>
      </c>
      <c r="U153" t="s">
        <v>25681</v>
      </c>
      <c r="V153" t="s">
        <v>25682</v>
      </c>
      <c r="W153" t="s">
        <v>25683</v>
      </c>
      <c r="X153" t="s">
        <v>17672</v>
      </c>
      <c r="Y153" t="s">
        <v>25684</v>
      </c>
      <c r="Z153" t="s">
        <v>74</v>
      </c>
      <c r="AA153" t="s">
        <v>74</v>
      </c>
      <c r="AB153" t="s">
        <v>74</v>
      </c>
      <c r="AC153" t="s">
        <v>74</v>
      </c>
      <c r="AD153" t="s">
        <v>74</v>
      </c>
      <c r="AE153" t="s">
        <v>74</v>
      </c>
      <c r="AF153" t="s">
        <v>74</v>
      </c>
      <c r="AG153">
        <v>27</v>
      </c>
      <c r="AH153">
        <v>118</v>
      </c>
      <c r="AI153">
        <v>127</v>
      </c>
      <c r="AJ153">
        <v>1</v>
      </c>
      <c r="AK153">
        <v>17</v>
      </c>
      <c r="AL153" t="s">
        <v>74</v>
      </c>
      <c r="AM153" t="s">
        <v>74</v>
      </c>
      <c r="AN153" t="s">
        <v>74</v>
      </c>
      <c r="AO153" t="s">
        <v>25685</v>
      </c>
      <c r="AP153" t="s">
        <v>74</v>
      </c>
      <c r="AQ153" t="s">
        <v>74</v>
      </c>
      <c r="AR153" t="s">
        <v>74</v>
      </c>
      <c r="AS153" t="s">
        <v>74</v>
      </c>
      <c r="AT153" t="s">
        <v>132</v>
      </c>
      <c r="AU153">
        <v>2002</v>
      </c>
      <c r="AV153">
        <v>28</v>
      </c>
      <c r="AW153">
        <v>4</v>
      </c>
      <c r="AX153" t="s">
        <v>74</v>
      </c>
      <c r="AY153" t="s">
        <v>74</v>
      </c>
      <c r="AZ153" t="s">
        <v>74</v>
      </c>
      <c r="BA153" t="s">
        <v>74</v>
      </c>
      <c r="BB153">
        <v>304</v>
      </c>
      <c r="BC153">
        <v>310</v>
      </c>
      <c r="BD153" t="s">
        <v>74</v>
      </c>
      <c r="BE153" t="s">
        <v>25686</v>
      </c>
      <c r="BF153" t="str">
        <f>HYPERLINK("http://dx.doi.org/10.1097/00004770-200204000-00011","http://dx.doi.org/10.1097/00004770-200204000-00011")</f>
        <v>http://dx.doi.org/10.1097/00004770-200204000-00011</v>
      </c>
      <c r="BG153" t="s">
        <v>74</v>
      </c>
      <c r="BH153" t="s">
        <v>74</v>
      </c>
      <c r="BI153" t="s">
        <v>74</v>
      </c>
      <c r="BJ153" t="s">
        <v>13772</v>
      </c>
      <c r="BK153" t="s">
        <v>117</v>
      </c>
      <c r="BL153" t="s">
        <v>13772</v>
      </c>
      <c r="BM153" t="s">
        <v>74</v>
      </c>
      <c r="BN153">
        <v>12043869</v>
      </c>
      <c r="BO153" t="s">
        <v>74</v>
      </c>
      <c r="BP153" t="s">
        <v>74</v>
      </c>
      <c r="BQ153" t="s">
        <v>74</v>
      </c>
      <c r="BR153" t="s">
        <v>96</v>
      </c>
      <c r="BS153" t="s">
        <v>25687</v>
      </c>
      <c r="BT153" t="str">
        <f>HYPERLINK("https%3A%2F%2Fwww.webofscience.com%2Fwos%2Fwoscc%2Ffull-record%2FWOS:000174808100011","View Full Record in Web of Science")</f>
        <v>View Full Record in Web of Science</v>
      </c>
    </row>
    <row r="154" spans="1:72" x14ac:dyDescent="0.15">
      <c r="A154" t="s">
        <v>98</v>
      </c>
      <c r="B154" t="s">
        <v>833</v>
      </c>
      <c r="C154" t="s">
        <v>74</v>
      </c>
      <c r="D154" t="s">
        <v>74</v>
      </c>
      <c r="E154" t="s">
        <v>74</v>
      </c>
      <c r="F154" t="s">
        <v>834</v>
      </c>
      <c r="G154" t="s">
        <v>74</v>
      </c>
      <c r="H154" t="s">
        <v>74</v>
      </c>
      <c r="I154" t="s">
        <v>835</v>
      </c>
      <c r="J154" t="s">
        <v>836</v>
      </c>
      <c r="K154" t="s">
        <v>74</v>
      </c>
      <c r="L154" t="s">
        <v>74</v>
      </c>
      <c r="M154" t="s">
        <v>74</v>
      </c>
      <c r="N154" t="s">
        <v>103</v>
      </c>
      <c r="O154" t="s">
        <v>74</v>
      </c>
      <c r="P154" t="s">
        <v>74</v>
      </c>
      <c r="Q154" t="s">
        <v>74</v>
      </c>
      <c r="R154" t="s">
        <v>74</v>
      </c>
      <c r="S154" t="s">
        <v>74</v>
      </c>
      <c r="T154" t="s">
        <v>837</v>
      </c>
      <c r="U154" t="s">
        <v>838</v>
      </c>
      <c r="V154" t="s">
        <v>839</v>
      </c>
      <c r="W154" t="s">
        <v>840</v>
      </c>
      <c r="X154" t="s">
        <v>841</v>
      </c>
      <c r="Y154" t="s">
        <v>842</v>
      </c>
      <c r="Z154" t="s">
        <v>843</v>
      </c>
      <c r="AA154" t="s">
        <v>844</v>
      </c>
      <c r="AB154" t="s">
        <v>845</v>
      </c>
      <c r="AC154" t="s">
        <v>74</v>
      </c>
      <c r="AD154" t="s">
        <v>74</v>
      </c>
      <c r="AE154" t="s">
        <v>74</v>
      </c>
      <c r="AF154" t="s">
        <v>74</v>
      </c>
      <c r="AG154">
        <v>33</v>
      </c>
      <c r="AH154">
        <v>117</v>
      </c>
      <c r="AI154">
        <v>121</v>
      </c>
      <c r="AJ154">
        <v>2</v>
      </c>
      <c r="AK154">
        <v>32</v>
      </c>
      <c r="AL154" t="s">
        <v>74</v>
      </c>
      <c r="AM154" t="s">
        <v>74</v>
      </c>
      <c r="AN154" t="s">
        <v>74</v>
      </c>
      <c r="AO154" t="s">
        <v>74</v>
      </c>
      <c r="AP154" t="s">
        <v>846</v>
      </c>
      <c r="AQ154" t="s">
        <v>74</v>
      </c>
      <c r="AR154" t="s">
        <v>74</v>
      </c>
      <c r="AS154" t="s">
        <v>74</v>
      </c>
      <c r="AT154" t="s">
        <v>686</v>
      </c>
      <c r="AU154">
        <v>2017</v>
      </c>
      <c r="AV154">
        <v>8</v>
      </c>
      <c r="AW154">
        <v>1</v>
      </c>
      <c r="AX154" t="s">
        <v>74</v>
      </c>
      <c r="AY154" t="s">
        <v>74</v>
      </c>
      <c r="AZ154" t="s">
        <v>74</v>
      </c>
      <c r="BA154" t="s">
        <v>74</v>
      </c>
      <c r="BB154">
        <v>1416</v>
      </c>
      <c r="BC154">
        <v>1428</v>
      </c>
      <c r="BD154" t="s">
        <v>74</v>
      </c>
      <c r="BE154" t="s">
        <v>847</v>
      </c>
      <c r="BF154" t="str">
        <f>HYPERLINK("http://dx.doi.org/10.18632/oncotarget.13635","http://dx.doi.org/10.18632/oncotarget.13635")</f>
        <v>http://dx.doi.org/10.18632/oncotarget.13635</v>
      </c>
      <c r="BG154" t="s">
        <v>74</v>
      </c>
      <c r="BH154" t="s">
        <v>74</v>
      </c>
      <c r="BI154" t="s">
        <v>74</v>
      </c>
      <c r="BJ154" t="s">
        <v>848</v>
      </c>
      <c r="BK154" t="s">
        <v>117</v>
      </c>
      <c r="BL154" t="s">
        <v>848</v>
      </c>
      <c r="BM154" t="s">
        <v>74</v>
      </c>
      <c r="BN154">
        <v>27902458</v>
      </c>
      <c r="BO154" t="s">
        <v>74</v>
      </c>
      <c r="BP154" t="s">
        <v>74</v>
      </c>
      <c r="BQ154" t="s">
        <v>74</v>
      </c>
      <c r="BR154" t="s">
        <v>96</v>
      </c>
      <c r="BS154" t="s">
        <v>849</v>
      </c>
      <c r="BT154" t="str">
        <f>HYPERLINK("https%3A%2F%2Fwww.webofscience.com%2Fwos%2Fwoscc%2Ffull-record%2FWOS:000391503300110","View Full Record in Web of Science")</f>
        <v>View Full Record in Web of Science</v>
      </c>
    </row>
    <row r="155" spans="1:72" x14ac:dyDescent="0.15">
      <c r="A155" t="s">
        <v>98</v>
      </c>
      <c r="B155" t="s">
        <v>14129</v>
      </c>
      <c r="C155" t="s">
        <v>74</v>
      </c>
      <c r="D155" t="s">
        <v>74</v>
      </c>
      <c r="E155" t="s">
        <v>74</v>
      </c>
      <c r="F155" t="s">
        <v>14130</v>
      </c>
      <c r="G155" t="s">
        <v>74</v>
      </c>
      <c r="H155" t="s">
        <v>74</v>
      </c>
      <c r="I155" t="s">
        <v>14131</v>
      </c>
      <c r="J155" t="s">
        <v>658</v>
      </c>
      <c r="K155" t="s">
        <v>74</v>
      </c>
      <c r="L155" t="s">
        <v>74</v>
      </c>
      <c r="M155" t="s">
        <v>74</v>
      </c>
      <c r="N155" t="s">
        <v>103</v>
      </c>
      <c r="O155" t="s">
        <v>74</v>
      </c>
      <c r="P155" t="s">
        <v>74</v>
      </c>
      <c r="Q155" t="s">
        <v>74</v>
      </c>
      <c r="R155" t="s">
        <v>74</v>
      </c>
      <c r="S155" t="s">
        <v>74</v>
      </c>
      <c r="T155" t="s">
        <v>14132</v>
      </c>
      <c r="U155" t="s">
        <v>14133</v>
      </c>
      <c r="V155" t="s">
        <v>14134</v>
      </c>
      <c r="W155" t="s">
        <v>14135</v>
      </c>
      <c r="X155" t="s">
        <v>14136</v>
      </c>
      <c r="Y155" t="s">
        <v>14137</v>
      </c>
      <c r="Z155" t="s">
        <v>14138</v>
      </c>
      <c r="AA155" t="s">
        <v>74</v>
      </c>
      <c r="AB155" t="s">
        <v>74</v>
      </c>
      <c r="AC155" t="s">
        <v>74</v>
      </c>
      <c r="AD155" t="s">
        <v>74</v>
      </c>
      <c r="AE155" t="s">
        <v>74</v>
      </c>
      <c r="AF155" t="s">
        <v>74</v>
      </c>
      <c r="AG155">
        <v>43</v>
      </c>
      <c r="AH155">
        <v>117</v>
      </c>
      <c r="AI155">
        <v>119</v>
      </c>
      <c r="AJ155">
        <v>0</v>
      </c>
      <c r="AK155">
        <v>32</v>
      </c>
      <c r="AL155" t="s">
        <v>74</v>
      </c>
      <c r="AM155" t="s">
        <v>74</v>
      </c>
      <c r="AN155" t="s">
        <v>74</v>
      </c>
      <c r="AO155" t="s">
        <v>668</v>
      </c>
      <c r="AP155" t="s">
        <v>74</v>
      </c>
      <c r="AQ155" t="s">
        <v>74</v>
      </c>
      <c r="AR155" t="s">
        <v>74</v>
      </c>
      <c r="AS155" t="s">
        <v>74</v>
      </c>
      <c r="AT155" t="s">
        <v>4239</v>
      </c>
      <c r="AU155">
        <v>2014</v>
      </c>
      <c r="AV155">
        <v>111</v>
      </c>
      <c r="AW155">
        <v>46</v>
      </c>
      <c r="AX155" t="s">
        <v>74</v>
      </c>
      <c r="AY155" t="s">
        <v>74</v>
      </c>
      <c r="AZ155" t="s">
        <v>74</v>
      </c>
      <c r="BA155" t="s">
        <v>74</v>
      </c>
      <c r="BB155" t="s">
        <v>14139</v>
      </c>
      <c r="BC155" t="s">
        <v>14140</v>
      </c>
      <c r="BD155" t="s">
        <v>74</v>
      </c>
      <c r="BE155" t="s">
        <v>14141</v>
      </c>
      <c r="BF155" t="str">
        <f>HYPERLINK("http://dx.doi.org/10.1073/pnas.1419338111","http://dx.doi.org/10.1073/pnas.1419338111")</f>
        <v>http://dx.doi.org/10.1073/pnas.1419338111</v>
      </c>
      <c r="BG155" t="s">
        <v>74</v>
      </c>
      <c r="BH155" t="s">
        <v>74</v>
      </c>
      <c r="BI155" t="s">
        <v>74</v>
      </c>
      <c r="BJ155" t="s">
        <v>152</v>
      </c>
      <c r="BK155" t="s">
        <v>117</v>
      </c>
      <c r="BL155" t="s">
        <v>153</v>
      </c>
      <c r="BM155" t="s">
        <v>74</v>
      </c>
      <c r="BN155">
        <v>25368198</v>
      </c>
      <c r="BO155" t="s">
        <v>74</v>
      </c>
      <c r="BP155" t="s">
        <v>74</v>
      </c>
      <c r="BQ155" t="s">
        <v>74</v>
      </c>
      <c r="BR155" t="s">
        <v>96</v>
      </c>
      <c r="BS155" t="s">
        <v>14142</v>
      </c>
      <c r="BT155" t="str">
        <f>HYPERLINK("https%3A%2F%2Fwww.webofscience.com%2Fwos%2Fwoscc%2Ffull-record%2FWOS:000345153300014","View Full Record in Web of Science")</f>
        <v>View Full Record in Web of Science</v>
      </c>
    </row>
    <row r="156" spans="1:72" x14ac:dyDescent="0.15">
      <c r="A156" t="s">
        <v>98</v>
      </c>
      <c r="B156" t="s">
        <v>1665</v>
      </c>
      <c r="C156" t="s">
        <v>74</v>
      </c>
      <c r="D156" t="s">
        <v>74</v>
      </c>
      <c r="E156" t="s">
        <v>74</v>
      </c>
      <c r="F156" t="s">
        <v>1666</v>
      </c>
      <c r="G156" t="s">
        <v>74</v>
      </c>
      <c r="H156" t="s">
        <v>74</v>
      </c>
      <c r="I156" t="s">
        <v>1667</v>
      </c>
      <c r="J156" t="s">
        <v>1668</v>
      </c>
      <c r="K156" t="s">
        <v>74</v>
      </c>
      <c r="L156" t="s">
        <v>74</v>
      </c>
      <c r="M156" t="s">
        <v>74</v>
      </c>
      <c r="N156" t="s">
        <v>103</v>
      </c>
      <c r="O156" t="s">
        <v>74</v>
      </c>
      <c r="P156" t="s">
        <v>74</v>
      </c>
      <c r="Q156" t="s">
        <v>74</v>
      </c>
      <c r="R156" t="s">
        <v>74</v>
      </c>
      <c r="S156" t="s">
        <v>74</v>
      </c>
      <c r="T156" t="s">
        <v>1669</v>
      </c>
      <c r="U156" t="s">
        <v>1670</v>
      </c>
      <c r="V156" t="s">
        <v>1671</v>
      </c>
      <c r="W156" t="s">
        <v>1672</v>
      </c>
      <c r="X156" t="s">
        <v>1673</v>
      </c>
      <c r="Y156" t="s">
        <v>1674</v>
      </c>
      <c r="Z156" t="s">
        <v>1675</v>
      </c>
      <c r="AA156" t="s">
        <v>1676</v>
      </c>
      <c r="AB156" t="s">
        <v>74</v>
      </c>
      <c r="AC156" t="s">
        <v>74</v>
      </c>
      <c r="AD156" t="s">
        <v>74</v>
      </c>
      <c r="AE156" t="s">
        <v>74</v>
      </c>
      <c r="AF156" t="s">
        <v>74</v>
      </c>
      <c r="AG156">
        <v>52</v>
      </c>
      <c r="AH156">
        <v>116</v>
      </c>
      <c r="AI156">
        <v>122</v>
      </c>
      <c r="AJ156">
        <v>2</v>
      </c>
      <c r="AK156">
        <v>15</v>
      </c>
      <c r="AL156" t="s">
        <v>74</v>
      </c>
      <c r="AM156" t="s">
        <v>74</v>
      </c>
      <c r="AN156" t="s">
        <v>74</v>
      </c>
      <c r="AO156" t="s">
        <v>1677</v>
      </c>
      <c r="AP156" t="s">
        <v>1678</v>
      </c>
      <c r="AQ156" t="s">
        <v>74</v>
      </c>
      <c r="AR156" t="s">
        <v>74</v>
      </c>
      <c r="AS156" t="s">
        <v>74</v>
      </c>
      <c r="AT156" t="s">
        <v>74</v>
      </c>
      <c r="AU156">
        <v>2018</v>
      </c>
      <c r="AV156">
        <v>47</v>
      </c>
      <c r="AW156">
        <v>1</v>
      </c>
      <c r="AX156" t="s">
        <v>74</v>
      </c>
      <c r="AY156" t="s">
        <v>74</v>
      </c>
      <c r="AZ156" t="s">
        <v>74</v>
      </c>
      <c r="BA156" t="s">
        <v>74</v>
      </c>
      <c r="BB156">
        <v>11</v>
      </c>
      <c r="BC156">
        <v>25</v>
      </c>
      <c r="BD156" t="s">
        <v>74</v>
      </c>
      <c r="BE156" t="s">
        <v>1679</v>
      </c>
      <c r="BF156" t="str">
        <f>HYPERLINK("http://dx.doi.org/10.1159/000489739","http://dx.doi.org/10.1159/000489739")</f>
        <v>http://dx.doi.org/10.1159/000489739</v>
      </c>
      <c r="BG156" t="s">
        <v>74</v>
      </c>
      <c r="BH156" t="s">
        <v>74</v>
      </c>
      <c r="BI156" t="s">
        <v>74</v>
      </c>
      <c r="BJ156" t="s">
        <v>1359</v>
      </c>
      <c r="BK156" t="s">
        <v>117</v>
      </c>
      <c r="BL156" t="s">
        <v>1359</v>
      </c>
      <c r="BM156" t="s">
        <v>74</v>
      </c>
      <c r="BN156">
        <v>29763932</v>
      </c>
      <c r="BO156" t="s">
        <v>74</v>
      </c>
      <c r="BP156" t="s">
        <v>74</v>
      </c>
      <c r="BQ156" t="s">
        <v>74</v>
      </c>
      <c r="BR156" t="s">
        <v>96</v>
      </c>
      <c r="BS156" t="s">
        <v>1680</v>
      </c>
      <c r="BT156" t="str">
        <f>HYPERLINK("https%3A%2F%2Fwww.webofscience.com%2Fwos%2Fwoscc%2Ffull-record%2FWOS:000434795200002","View Full Record in Web of Science")</f>
        <v>View Full Record in Web of Science</v>
      </c>
    </row>
    <row r="157" spans="1:72" x14ac:dyDescent="0.15">
      <c r="A157" t="s">
        <v>98</v>
      </c>
      <c r="B157" t="s">
        <v>14327</v>
      </c>
      <c r="C157" t="s">
        <v>74</v>
      </c>
      <c r="D157" t="s">
        <v>74</v>
      </c>
      <c r="E157" t="s">
        <v>74</v>
      </c>
      <c r="F157" t="s">
        <v>14328</v>
      </c>
      <c r="G157" t="s">
        <v>74</v>
      </c>
      <c r="H157" t="s">
        <v>74</v>
      </c>
      <c r="I157" t="s">
        <v>14329</v>
      </c>
      <c r="J157" t="s">
        <v>2536</v>
      </c>
      <c r="K157" t="s">
        <v>74</v>
      </c>
      <c r="L157" t="s">
        <v>74</v>
      </c>
      <c r="M157" t="s">
        <v>74</v>
      </c>
      <c r="N157" t="s">
        <v>103</v>
      </c>
      <c r="O157" t="s">
        <v>74</v>
      </c>
      <c r="P157" t="s">
        <v>74</v>
      </c>
      <c r="Q157" t="s">
        <v>74</v>
      </c>
      <c r="R157" t="s">
        <v>74</v>
      </c>
      <c r="S157" t="s">
        <v>74</v>
      </c>
      <c r="T157" t="s">
        <v>74</v>
      </c>
      <c r="U157" t="s">
        <v>14330</v>
      </c>
      <c r="V157" t="s">
        <v>14331</v>
      </c>
      <c r="W157" t="s">
        <v>14332</v>
      </c>
      <c r="X157" t="s">
        <v>14333</v>
      </c>
      <c r="Y157" t="s">
        <v>14334</v>
      </c>
      <c r="Z157" t="s">
        <v>14335</v>
      </c>
      <c r="AA157" t="s">
        <v>74</v>
      </c>
      <c r="AB157" t="s">
        <v>74</v>
      </c>
      <c r="AC157" t="s">
        <v>74</v>
      </c>
      <c r="AD157" t="s">
        <v>74</v>
      </c>
      <c r="AE157" t="s">
        <v>74</v>
      </c>
      <c r="AF157" t="s">
        <v>74</v>
      </c>
      <c r="AG157">
        <v>84</v>
      </c>
      <c r="AH157">
        <v>116</v>
      </c>
      <c r="AI157">
        <v>123</v>
      </c>
      <c r="AJ157">
        <v>0</v>
      </c>
      <c r="AK157">
        <v>11</v>
      </c>
      <c r="AL157" t="s">
        <v>74</v>
      </c>
      <c r="AM157" t="s">
        <v>74</v>
      </c>
      <c r="AN157" t="s">
        <v>74</v>
      </c>
      <c r="AO157" t="s">
        <v>2544</v>
      </c>
      <c r="AP157" t="s">
        <v>2545</v>
      </c>
      <c r="AQ157" t="s">
        <v>74</v>
      </c>
      <c r="AR157" t="s">
        <v>74</v>
      </c>
      <c r="AS157" t="s">
        <v>74</v>
      </c>
      <c r="AT157" t="s">
        <v>1116</v>
      </c>
      <c r="AU157">
        <v>2009</v>
      </c>
      <c r="AV157">
        <v>83</v>
      </c>
      <c r="AW157">
        <v>2</v>
      </c>
      <c r="AX157" t="s">
        <v>74</v>
      </c>
      <c r="AY157" t="s">
        <v>74</v>
      </c>
      <c r="AZ157" t="s">
        <v>74</v>
      </c>
      <c r="BA157" t="s">
        <v>74</v>
      </c>
      <c r="BB157">
        <v>512</v>
      </c>
      <c r="BC157">
        <v>521</v>
      </c>
      <c r="BD157" t="s">
        <v>74</v>
      </c>
      <c r="BE157" t="s">
        <v>14336</v>
      </c>
      <c r="BF157" t="str">
        <f>HYPERLINK("http://dx.doi.org/10.1128/JVI.01658-08","http://dx.doi.org/10.1128/JVI.01658-08")</f>
        <v>http://dx.doi.org/10.1128/JVI.01658-08</v>
      </c>
      <c r="BG157" t="s">
        <v>74</v>
      </c>
      <c r="BH157" t="s">
        <v>74</v>
      </c>
      <c r="BI157" t="s">
        <v>74</v>
      </c>
      <c r="BJ157" t="s">
        <v>932</v>
      </c>
      <c r="BK157" t="s">
        <v>117</v>
      </c>
      <c r="BL157" t="s">
        <v>932</v>
      </c>
      <c r="BM157" t="s">
        <v>74</v>
      </c>
      <c r="BN157">
        <v>18987139</v>
      </c>
      <c r="BO157" t="s">
        <v>74</v>
      </c>
      <c r="BP157" t="s">
        <v>74</v>
      </c>
      <c r="BQ157" t="s">
        <v>74</v>
      </c>
      <c r="BR157" t="s">
        <v>96</v>
      </c>
      <c r="BS157" t="s">
        <v>14337</v>
      </c>
      <c r="BT157" t="str">
        <f>HYPERLINK("https%3A%2F%2Fwww.webofscience.com%2Fwos%2Fwoscc%2Ffull-record%2FWOS:000262045000003","View Full Record in Web of Science")</f>
        <v>View Full Record in Web of Science</v>
      </c>
    </row>
    <row r="158" spans="1:72" x14ac:dyDescent="0.15">
      <c r="A158" t="s">
        <v>98</v>
      </c>
      <c r="B158" t="s">
        <v>26311</v>
      </c>
      <c r="C158" t="s">
        <v>74</v>
      </c>
      <c r="D158" t="s">
        <v>74</v>
      </c>
      <c r="E158" t="s">
        <v>74</v>
      </c>
      <c r="F158" t="s">
        <v>26311</v>
      </c>
      <c r="G158" t="s">
        <v>74</v>
      </c>
      <c r="H158" t="s">
        <v>74</v>
      </c>
      <c r="I158" t="s">
        <v>26312</v>
      </c>
      <c r="J158" t="s">
        <v>19867</v>
      </c>
      <c r="K158" t="s">
        <v>74</v>
      </c>
      <c r="L158" t="s">
        <v>74</v>
      </c>
      <c r="M158" t="s">
        <v>74</v>
      </c>
      <c r="N158" t="s">
        <v>103</v>
      </c>
      <c r="O158" t="s">
        <v>74</v>
      </c>
      <c r="P158" t="s">
        <v>74</v>
      </c>
      <c r="Q158" t="s">
        <v>74</v>
      </c>
      <c r="R158" t="s">
        <v>74</v>
      </c>
      <c r="S158" t="s">
        <v>74</v>
      </c>
      <c r="T158" t="s">
        <v>26313</v>
      </c>
      <c r="U158" t="s">
        <v>26314</v>
      </c>
      <c r="V158" t="s">
        <v>26315</v>
      </c>
      <c r="W158" t="s">
        <v>26316</v>
      </c>
      <c r="X158" t="s">
        <v>26317</v>
      </c>
      <c r="Y158" t="s">
        <v>26318</v>
      </c>
      <c r="Z158" t="s">
        <v>74</v>
      </c>
      <c r="AA158" t="s">
        <v>74</v>
      </c>
      <c r="AB158" t="s">
        <v>74</v>
      </c>
      <c r="AC158" t="s">
        <v>74</v>
      </c>
      <c r="AD158" t="s">
        <v>74</v>
      </c>
      <c r="AE158" t="s">
        <v>74</v>
      </c>
      <c r="AF158" t="s">
        <v>74</v>
      </c>
      <c r="AG158">
        <v>28</v>
      </c>
      <c r="AH158">
        <v>116</v>
      </c>
      <c r="AI158">
        <v>116</v>
      </c>
      <c r="AJ158">
        <v>0</v>
      </c>
      <c r="AK158">
        <v>2</v>
      </c>
      <c r="AL158" t="s">
        <v>74</v>
      </c>
      <c r="AM158" t="s">
        <v>74</v>
      </c>
      <c r="AN158" t="s">
        <v>74</v>
      </c>
      <c r="AO158" t="s">
        <v>19876</v>
      </c>
      <c r="AP158" t="s">
        <v>74</v>
      </c>
      <c r="AQ158" t="s">
        <v>74</v>
      </c>
      <c r="AR158" t="s">
        <v>74</v>
      </c>
      <c r="AS158" t="s">
        <v>74</v>
      </c>
      <c r="AT158" t="s">
        <v>283</v>
      </c>
      <c r="AU158">
        <v>1991</v>
      </c>
      <c r="AV158">
        <v>87</v>
      </c>
      <c r="AW158">
        <v>2</v>
      </c>
      <c r="AX158" t="s">
        <v>74</v>
      </c>
      <c r="AY158" t="s">
        <v>74</v>
      </c>
      <c r="AZ158" t="s">
        <v>74</v>
      </c>
      <c r="BA158" t="s">
        <v>74</v>
      </c>
      <c r="BB158">
        <v>734</v>
      </c>
      <c r="BC158">
        <v>738</v>
      </c>
      <c r="BD158" t="s">
        <v>74</v>
      </c>
      <c r="BE158" t="s">
        <v>26319</v>
      </c>
      <c r="BF158" t="str">
        <f>HYPERLINK("http://dx.doi.org/10.1172/JCI115054","http://dx.doi.org/10.1172/JCI115054")</f>
        <v>http://dx.doi.org/10.1172/JCI115054</v>
      </c>
      <c r="BG158" t="s">
        <v>74</v>
      </c>
      <c r="BH158" t="s">
        <v>74</v>
      </c>
      <c r="BI158" t="s">
        <v>74</v>
      </c>
      <c r="BJ158" t="s">
        <v>795</v>
      </c>
      <c r="BK158" t="s">
        <v>117</v>
      </c>
      <c r="BL158" t="s">
        <v>796</v>
      </c>
      <c r="BM158" t="s">
        <v>74</v>
      </c>
      <c r="BN158">
        <v>1846881</v>
      </c>
      <c r="BO158" t="s">
        <v>74</v>
      </c>
      <c r="BP158" t="s">
        <v>74</v>
      </c>
      <c r="BQ158" t="s">
        <v>74</v>
      </c>
      <c r="BR158" t="s">
        <v>96</v>
      </c>
      <c r="BS158" t="s">
        <v>26320</v>
      </c>
      <c r="BT158" t="str">
        <f>HYPERLINK("https%3A%2F%2Fwww.webofscience.com%2Fwos%2Fwoscc%2Ffull-record%2FWOS:A1991EW29500048","View Full Record in Web of Science")</f>
        <v>View Full Record in Web of Science</v>
      </c>
    </row>
    <row r="159" spans="1:72" x14ac:dyDescent="0.15">
      <c r="A159" t="s">
        <v>98</v>
      </c>
      <c r="B159" t="s">
        <v>6316</v>
      </c>
      <c r="C159" t="s">
        <v>74</v>
      </c>
      <c r="D159" t="s">
        <v>74</v>
      </c>
      <c r="E159" t="s">
        <v>74</v>
      </c>
      <c r="F159" t="s">
        <v>6317</v>
      </c>
      <c r="G159" t="s">
        <v>74</v>
      </c>
      <c r="H159" t="s">
        <v>74</v>
      </c>
      <c r="I159" t="s">
        <v>6318</v>
      </c>
      <c r="J159" t="s">
        <v>6319</v>
      </c>
      <c r="K159" t="s">
        <v>74</v>
      </c>
      <c r="L159" t="s">
        <v>74</v>
      </c>
      <c r="M159" t="s">
        <v>74</v>
      </c>
      <c r="N159" t="s">
        <v>103</v>
      </c>
      <c r="O159" t="s">
        <v>74</v>
      </c>
      <c r="P159" t="s">
        <v>74</v>
      </c>
      <c r="Q159" t="s">
        <v>74</v>
      </c>
      <c r="R159" t="s">
        <v>74</v>
      </c>
      <c r="S159" t="s">
        <v>74</v>
      </c>
      <c r="T159" t="s">
        <v>6320</v>
      </c>
      <c r="U159" t="s">
        <v>6321</v>
      </c>
      <c r="V159" t="s">
        <v>6322</v>
      </c>
      <c r="W159" t="s">
        <v>6323</v>
      </c>
      <c r="X159" t="s">
        <v>6324</v>
      </c>
      <c r="Y159" t="s">
        <v>6325</v>
      </c>
      <c r="Z159" t="s">
        <v>6326</v>
      </c>
      <c r="AA159" t="s">
        <v>6327</v>
      </c>
      <c r="AB159" t="s">
        <v>6328</v>
      </c>
      <c r="AC159" t="s">
        <v>74</v>
      </c>
      <c r="AD159" t="s">
        <v>74</v>
      </c>
      <c r="AE159" t="s">
        <v>74</v>
      </c>
      <c r="AF159" t="s">
        <v>74</v>
      </c>
      <c r="AG159">
        <v>61</v>
      </c>
      <c r="AH159">
        <v>115</v>
      </c>
      <c r="AI159">
        <v>120</v>
      </c>
      <c r="AJ159">
        <v>5</v>
      </c>
      <c r="AK159">
        <v>37</v>
      </c>
      <c r="AL159" t="s">
        <v>74</v>
      </c>
      <c r="AM159" t="s">
        <v>74</v>
      </c>
      <c r="AN159" t="s">
        <v>74</v>
      </c>
      <c r="AO159" t="s">
        <v>6329</v>
      </c>
      <c r="AP159" t="s">
        <v>74</v>
      </c>
      <c r="AQ159" t="s">
        <v>74</v>
      </c>
      <c r="AR159" t="s">
        <v>74</v>
      </c>
      <c r="AS159" t="s">
        <v>74</v>
      </c>
      <c r="AT159" t="s">
        <v>211</v>
      </c>
      <c r="AU159">
        <v>2017</v>
      </c>
      <c r="AV159">
        <v>19</v>
      </c>
      <c r="AW159">
        <v>6</v>
      </c>
      <c r="AX159" t="s">
        <v>74</v>
      </c>
      <c r="AY159" t="s">
        <v>74</v>
      </c>
      <c r="AZ159" t="s">
        <v>74</v>
      </c>
      <c r="BA159" t="s">
        <v>74</v>
      </c>
      <c r="BB159">
        <v>1691</v>
      </c>
      <c r="BC159">
        <v>1702</v>
      </c>
      <c r="BD159" t="s">
        <v>74</v>
      </c>
      <c r="BE159" t="s">
        <v>6330</v>
      </c>
      <c r="BF159" t="str">
        <f>HYPERLINK("http://dx.doi.org/10.1208/s12248-017-0154-9","http://dx.doi.org/10.1208/s12248-017-0154-9")</f>
        <v>http://dx.doi.org/10.1208/s12248-017-0154-9</v>
      </c>
      <c r="BG159" t="s">
        <v>74</v>
      </c>
      <c r="BH159" t="s">
        <v>74</v>
      </c>
      <c r="BI159" t="s">
        <v>74</v>
      </c>
      <c r="BJ159" t="s">
        <v>533</v>
      </c>
      <c r="BK159" t="s">
        <v>117</v>
      </c>
      <c r="BL159" t="s">
        <v>533</v>
      </c>
      <c r="BM159" t="s">
        <v>74</v>
      </c>
      <c r="BN159">
        <v>29047044</v>
      </c>
      <c r="BO159" t="s">
        <v>74</v>
      </c>
      <c r="BP159" t="s">
        <v>74</v>
      </c>
      <c r="BQ159" t="s">
        <v>74</v>
      </c>
      <c r="BR159" t="s">
        <v>96</v>
      </c>
      <c r="BS159" t="s">
        <v>6331</v>
      </c>
      <c r="BT159" t="str">
        <f>HYPERLINK("https%3A%2F%2Fwww.webofscience.com%2Fwos%2Fwoscc%2Ffull-record%2FWOS:000415057700015","View Full Record in Web of Science")</f>
        <v>View Full Record in Web of Science</v>
      </c>
    </row>
    <row r="160" spans="1:72" x14ac:dyDescent="0.15">
      <c r="A160" t="s">
        <v>98</v>
      </c>
      <c r="B160" t="s">
        <v>17348</v>
      </c>
      <c r="C160" t="s">
        <v>74</v>
      </c>
      <c r="D160" t="s">
        <v>74</v>
      </c>
      <c r="E160" t="s">
        <v>74</v>
      </c>
      <c r="F160" t="s">
        <v>17349</v>
      </c>
      <c r="G160" t="s">
        <v>74</v>
      </c>
      <c r="H160" t="s">
        <v>74</v>
      </c>
      <c r="I160" t="s">
        <v>17350</v>
      </c>
      <c r="J160" t="s">
        <v>2478</v>
      </c>
      <c r="K160" t="s">
        <v>74</v>
      </c>
      <c r="L160" t="s">
        <v>74</v>
      </c>
      <c r="M160" t="s">
        <v>74</v>
      </c>
      <c r="N160" t="s">
        <v>103</v>
      </c>
      <c r="O160" t="s">
        <v>74</v>
      </c>
      <c r="P160" t="s">
        <v>74</v>
      </c>
      <c r="Q160" t="s">
        <v>74</v>
      </c>
      <c r="R160" t="s">
        <v>74</v>
      </c>
      <c r="S160" t="s">
        <v>74</v>
      </c>
      <c r="T160" t="s">
        <v>17351</v>
      </c>
      <c r="U160" t="s">
        <v>17352</v>
      </c>
      <c r="V160" t="s">
        <v>17353</v>
      </c>
      <c r="W160" t="s">
        <v>17354</v>
      </c>
      <c r="X160" t="s">
        <v>17355</v>
      </c>
      <c r="Y160" t="s">
        <v>3460</v>
      </c>
      <c r="Z160" t="s">
        <v>17356</v>
      </c>
      <c r="AA160" t="s">
        <v>17357</v>
      </c>
      <c r="AB160" t="s">
        <v>17358</v>
      </c>
      <c r="AC160" t="s">
        <v>74</v>
      </c>
      <c r="AD160" t="s">
        <v>74</v>
      </c>
      <c r="AE160" t="s">
        <v>74</v>
      </c>
      <c r="AF160" t="s">
        <v>74</v>
      </c>
      <c r="AG160">
        <v>38</v>
      </c>
      <c r="AH160">
        <v>114</v>
      </c>
      <c r="AI160">
        <v>120</v>
      </c>
      <c r="AJ160">
        <v>1</v>
      </c>
      <c r="AK160">
        <v>34</v>
      </c>
      <c r="AL160" t="s">
        <v>74</v>
      </c>
      <c r="AM160" t="s">
        <v>74</v>
      </c>
      <c r="AN160" t="s">
        <v>74</v>
      </c>
      <c r="AO160" t="s">
        <v>2487</v>
      </c>
      <c r="AP160" t="s">
        <v>2488</v>
      </c>
      <c r="AQ160" t="s">
        <v>74</v>
      </c>
      <c r="AR160" t="s">
        <v>74</v>
      </c>
      <c r="AS160" t="s">
        <v>74</v>
      </c>
      <c r="AT160" t="s">
        <v>565</v>
      </c>
      <c r="AU160">
        <v>2018</v>
      </c>
      <c r="AV160">
        <v>29</v>
      </c>
      <c r="AW160">
        <v>3</v>
      </c>
      <c r="AX160" t="s">
        <v>74</v>
      </c>
      <c r="AY160" t="s">
        <v>74</v>
      </c>
      <c r="AZ160" t="s">
        <v>74</v>
      </c>
      <c r="BA160" t="s">
        <v>74</v>
      </c>
      <c r="BB160">
        <v>700</v>
      </c>
      <c r="BC160">
        <v>706</v>
      </c>
      <c r="BD160" t="s">
        <v>74</v>
      </c>
      <c r="BE160" t="s">
        <v>17359</v>
      </c>
      <c r="BF160" t="str">
        <f>HYPERLINK("http://dx.doi.org/10.1093/annonc/mdx765","http://dx.doi.org/10.1093/annonc/mdx765")</f>
        <v>http://dx.doi.org/10.1093/annonc/mdx765</v>
      </c>
      <c r="BG160" t="s">
        <v>74</v>
      </c>
      <c r="BH160" t="s">
        <v>74</v>
      </c>
      <c r="BI160" t="s">
        <v>74</v>
      </c>
      <c r="BJ160" t="s">
        <v>267</v>
      </c>
      <c r="BK160" t="s">
        <v>117</v>
      </c>
      <c r="BL160" t="s">
        <v>267</v>
      </c>
      <c r="BM160" t="s">
        <v>74</v>
      </c>
      <c r="BN160">
        <v>29216356</v>
      </c>
      <c r="BO160" t="s">
        <v>74</v>
      </c>
      <c r="BP160" t="s">
        <v>74</v>
      </c>
      <c r="BQ160" t="s">
        <v>74</v>
      </c>
      <c r="BR160" t="s">
        <v>96</v>
      </c>
      <c r="BS160" t="s">
        <v>17360</v>
      </c>
      <c r="BT160" t="str">
        <f>HYPERLINK("https%3A%2F%2Fwww.webofscience.com%2Fwos%2Fwoscc%2Ffull-record%2FWOS:000429455000027","View Full Record in Web of Science")</f>
        <v>View Full Record in Web of Science</v>
      </c>
    </row>
    <row r="161" spans="1:72" x14ac:dyDescent="0.15">
      <c r="A161" t="s">
        <v>98</v>
      </c>
      <c r="B161" t="s">
        <v>1172</v>
      </c>
      <c r="C161" t="s">
        <v>74</v>
      </c>
      <c r="D161" t="s">
        <v>74</v>
      </c>
      <c r="E161" t="s">
        <v>74</v>
      </c>
      <c r="F161" t="s">
        <v>1173</v>
      </c>
      <c r="G161" t="s">
        <v>74</v>
      </c>
      <c r="H161" t="s">
        <v>74</v>
      </c>
      <c r="I161" t="s">
        <v>1174</v>
      </c>
      <c r="J161" t="s">
        <v>123</v>
      </c>
      <c r="K161" t="s">
        <v>74</v>
      </c>
      <c r="L161" t="s">
        <v>74</v>
      </c>
      <c r="M161" t="s">
        <v>74</v>
      </c>
      <c r="N161" t="s">
        <v>103</v>
      </c>
      <c r="O161" t="s">
        <v>74</v>
      </c>
      <c r="P161" t="s">
        <v>74</v>
      </c>
      <c r="Q161" t="s">
        <v>74</v>
      </c>
      <c r="R161" t="s">
        <v>74</v>
      </c>
      <c r="S161" t="s">
        <v>74</v>
      </c>
      <c r="T161" t="s">
        <v>1175</v>
      </c>
      <c r="U161" t="s">
        <v>1176</v>
      </c>
      <c r="V161" t="s">
        <v>1177</v>
      </c>
      <c r="W161" t="s">
        <v>1178</v>
      </c>
      <c r="X161" t="s">
        <v>1179</v>
      </c>
      <c r="Y161" t="s">
        <v>1180</v>
      </c>
      <c r="Z161" t="s">
        <v>1181</v>
      </c>
      <c r="AA161" t="s">
        <v>1182</v>
      </c>
      <c r="AB161" t="s">
        <v>1183</v>
      </c>
      <c r="AC161" t="s">
        <v>74</v>
      </c>
      <c r="AD161" t="s">
        <v>74</v>
      </c>
      <c r="AE161" t="s">
        <v>74</v>
      </c>
      <c r="AF161" t="s">
        <v>74</v>
      </c>
      <c r="AG161">
        <v>32</v>
      </c>
      <c r="AH161">
        <v>113</v>
      </c>
      <c r="AI161">
        <v>116</v>
      </c>
      <c r="AJ161">
        <v>6</v>
      </c>
      <c r="AK161">
        <v>14</v>
      </c>
      <c r="AL161" t="s">
        <v>74</v>
      </c>
      <c r="AM161" t="s">
        <v>74</v>
      </c>
      <c r="AN161" t="s">
        <v>74</v>
      </c>
      <c r="AO161" t="s">
        <v>74</v>
      </c>
      <c r="AP161" t="s">
        <v>131</v>
      </c>
      <c r="AQ161" t="s">
        <v>74</v>
      </c>
      <c r="AR161" t="s">
        <v>74</v>
      </c>
      <c r="AS161" t="s">
        <v>74</v>
      </c>
      <c r="AT161" t="s">
        <v>74</v>
      </c>
      <c r="AU161">
        <v>2012</v>
      </c>
      <c r="AV161">
        <v>1</v>
      </c>
      <c r="AW161">
        <v>1</v>
      </c>
      <c r="AX161" t="s">
        <v>74</v>
      </c>
      <c r="AY161" t="s">
        <v>74</v>
      </c>
      <c r="AZ161" t="s">
        <v>74</v>
      </c>
      <c r="BA161" t="s">
        <v>74</v>
      </c>
      <c r="BB161" t="s">
        <v>74</v>
      </c>
      <c r="BC161" t="s">
        <v>74</v>
      </c>
      <c r="BD161">
        <v>19179</v>
      </c>
      <c r="BE161" t="s">
        <v>1184</v>
      </c>
      <c r="BF161" t="str">
        <f>HYPERLINK("http://dx.doi.org/10.3402/jev.v1i0.19179","http://dx.doi.org/10.3402/jev.v1i0.19179")</f>
        <v>http://dx.doi.org/10.3402/jev.v1i0.19179</v>
      </c>
      <c r="BG161" t="s">
        <v>74</v>
      </c>
      <c r="BH161" t="s">
        <v>74</v>
      </c>
      <c r="BI161" t="s">
        <v>74</v>
      </c>
      <c r="BJ161" t="s">
        <v>135</v>
      </c>
      <c r="BK161" t="s">
        <v>467</v>
      </c>
      <c r="BL161" t="s">
        <v>135</v>
      </c>
      <c r="BM161" t="s">
        <v>74</v>
      </c>
      <c r="BN161">
        <v>24009887</v>
      </c>
      <c r="BO161" t="s">
        <v>74</v>
      </c>
      <c r="BP161" t="s">
        <v>74</v>
      </c>
      <c r="BQ161" t="s">
        <v>74</v>
      </c>
      <c r="BR161" t="s">
        <v>96</v>
      </c>
      <c r="BS161" t="s">
        <v>1185</v>
      </c>
      <c r="BT161" t="str">
        <f>HYPERLINK("https%3A%2F%2Fwww.webofscience.com%2Fwos%2Fwoscc%2Ffull-record%2FWOS:000215614200011","View Full Record in Web of Science")</f>
        <v>View Full Record in Web of Science</v>
      </c>
    </row>
    <row r="162" spans="1:72" x14ac:dyDescent="0.15">
      <c r="A162" t="s">
        <v>98</v>
      </c>
      <c r="B162" t="s">
        <v>5316</v>
      </c>
      <c r="C162" t="s">
        <v>74</v>
      </c>
      <c r="D162" t="s">
        <v>74</v>
      </c>
      <c r="E162" t="s">
        <v>74</v>
      </c>
      <c r="F162" t="s">
        <v>5317</v>
      </c>
      <c r="G162" t="s">
        <v>74</v>
      </c>
      <c r="H162" t="s">
        <v>74</v>
      </c>
      <c r="I162" t="s">
        <v>5318</v>
      </c>
      <c r="J162" t="s">
        <v>140</v>
      </c>
      <c r="K162" t="s">
        <v>74</v>
      </c>
      <c r="L162" t="s">
        <v>74</v>
      </c>
      <c r="M162" t="s">
        <v>74</v>
      </c>
      <c r="N162" t="s">
        <v>103</v>
      </c>
      <c r="O162" t="s">
        <v>74</v>
      </c>
      <c r="P162" t="s">
        <v>74</v>
      </c>
      <c r="Q162" t="s">
        <v>74</v>
      </c>
      <c r="R162" t="s">
        <v>74</v>
      </c>
      <c r="S162" t="s">
        <v>74</v>
      </c>
      <c r="T162" t="s">
        <v>74</v>
      </c>
      <c r="U162" t="s">
        <v>5319</v>
      </c>
      <c r="V162" t="s">
        <v>5320</v>
      </c>
      <c r="W162" t="s">
        <v>5321</v>
      </c>
      <c r="X162" t="s">
        <v>5322</v>
      </c>
      <c r="Y162" t="s">
        <v>5323</v>
      </c>
      <c r="Z162" t="s">
        <v>2870</v>
      </c>
      <c r="AA162" t="s">
        <v>74</v>
      </c>
      <c r="AB162" t="s">
        <v>5324</v>
      </c>
      <c r="AC162" t="s">
        <v>74</v>
      </c>
      <c r="AD162" t="s">
        <v>74</v>
      </c>
      <c r="AE162" t="s">
        <v>74</v>
      </c>
      <c r="AF162" t="s">
        <v>74</v>
      </c>
      <c r="AG162">
        <v>47</v>
      </c>
      <c r="AH162">
        <v>113</v>
      </c>
      <c r="AI162">
        <v>114</v>
      </c>
      <c r="AJ162">
        <v>1</v>
      </c>
      <c r="AK162">
        <v>34</v>
      </c>
      <c r="AL162" t="s">
        <v>74</v>
      </c>
      <c r="AM162" t="s">
        <v>74</v>
      </c>
      <c r="AN162" t="s">
        <v>74</v>
      </c>
      <c r="AO162" t="s">
        <v>149</v>
      </c>
      <c r="AP162" t="s">
        <v>74</v>
      </c>
      <c r="AQ162" t="s">
        <v>74</v>
      </c>
      <c r="AR162" t="s">
        <v>74</v>
      </c>
      <c r="AS162" t="s">
        <v>74</v>
      </c>
      <c r="AT162" t="s">
        <v>5325</v>
      </c>
      <c r="AU162">
        <v>2015</v>
      </c>
      <c r="AV162">
        <v>5</v>
      </c>
      <c r="AW162" t="s">
        <v>74</v>
      </c>
      <c r="AX162" t="s">
        <v>74</v>
      </c>
      <c r="AY162" t="s">
        <v>74</v>
      </c>
      <c r="AZ162" t="s">
        <v>74</v>
      </c>
      <c r="BA162" t="s">
        <v>74</v>
      </c>
      <c r="BB162" t="s">
        <v>74</v>
      </c>
      <c r="BC162" t="s">
        <v>74</v>
      </c>
      <c r="BD162">
        <v>10266</v>
      </c>
      <c r="BE162" t="s">
        <v>5326</v>
      </c>
      <c r="BF162" t="str">
        <f>HYPERLINK("http://dx.doi.org/10.1038/srep10266","http://dx.doi.org/10.1038/srep10266")</f>
        <v>http://dx.doi.org/10.1038/srep10266</v>
      </c>
      <c r="BG162" t="s">
        <v>74</v>
      </c>
      <c r="BH162" t="s">
        <v>74</v>
      </c>
      <c r="BI162" t="s">
        <v>74</v>
      </c>
      <c r="BJ162" t="s">
        <v>152</v>
      </c>
      <c r="BK162" t="s">
        <v>117</v>
      </c>
      <c r="BL162" t="s">
        <v>153</v>
      </c>
      <c r="BM162" t="s">
        <v>74</v>
      </c>
      <c r="BN162">
        <v>25988257</v>
      </c>
      <c r="BO162" t="s">
        <v>74</v>
      </c>
      <c r="BP162" t="s">
        <v>74</v>
      </c>
      <c r="BQ162" t="s">
        <v>74</v>
      </c>
      <c r="BR162" t="s">
        <v>96</v>
      </c>
      <c r="BS162" t="s">
        <v>5327</v>
      </c>
      <c r="BT162" t="str">
        <f>HYPERLINK("https%3A%2F%2Fwww.webofscience.com%2Fwos%2Fwoscc%2Ffull-record%2FWOS:000355296800001","View Full Record in Web of Science")</f>
        <v>View Full Record in Web of Science</v>
      </c>
    </row>
    <row r="163" spans="1:72" x14ac:dyDescent="0.15">
      <c r="A163" t="s">
        <v>98</v>
      </c>
      <c r="B163" t="s">
        <v>27362</v>
      </c>
      <c r="C163" t="s">
        <v>74</v>
      </c>
      <c r="D163" t="s">
        <v>74</v>
      </c>
      <c r="E163" t="s">
        <v>74</v>
      </c>
      <c r="F163" t="s">
        <v>27362</v>
      </c>
      <c r="G163" t="s">
        <v>74</v>
      </c>
      <c r="H163" t="s">
        <v>74</v>
      </c>
      <c r="I163" t="s">
        <v>27363</v>
      </c>
      <c r="J163" t="s">
        <v>16745</v>
      </c>
      <c r="K163" t="s">
        <v>74</v>
      </c>
      <c r="L163" t="s">
        <v>74</v>
      </c>
      <c r="M163" t="s">
        <v>74</v>
      </c>
      <c r="N163" t="s">
        <v>103</v>
      </c>
      <c r="O163" t="s">
        <v>74</v>
      </c>
      <c r="P163" t="s">
        <v>74</v>
      </c>
      <c r="Q163" t="s">
        <v>74</v>
      </c>
      <c r="R163" t="s">
        <v>74</v>
      </c>
      <c r="S163" t="s">
        <v>74</v>
      </c>
      <c r="T163" t="s">
        <v>74</v>
      </c>
      <c r="U163" t="s">
        <v>27364</v>
      </c>
      <c r="V163" t="s">
        <v>27365</v>
      </c>
      <c r="W163" t="s">
        <v>27366</v>
      </c>
      <c r="X163" t="s">
        <v>27367</v>
      </c>
      <c r="Y163" t="s">
        <v>27368</v>
      </c>
      <c r="Z163" t="s">
        <v>27369</v>
      </c>
      <c r="AA163" t="s">
        <v>27370</v>
      </c>
      <c r="AB163" t="s">
        <v>27371</v>
      </c>
      <c r="AC163" t="s">
        <v>74</v>
      </c>
      <c r="AD163" t="s">
        <v>74</v>
      </c>
      <c r="AE163" t="s">
        <v>74</v>
      </c>
      <c r="AF163" t="s">
        <v>74</v>
      </c>
      <c r="AG163">
        <v>74</v>
      </c>
      <c r="AH163">
        <v>113</v>
      </c>
      <c r="AI163">
        <v>124</v>
      </c>
      <c r="AJ163">
        <v>0</v>
      </c>
      <c r="AK163">
        <v>7</v>
      </c>
      <c r="AL163" t="s">
        <v>74</v>
      </c>
      <c r="AM163" t="s">
        <v>74</v>
      </c>
      <c r="AN163" t="s">
        <v>74</v>
      </c>
      <c r="AO163" t="s">
        <v>16754</v>
      </c>
      <c r="AP163" t="s">
        <v>16755</v>
      </c>
      <c r="AQ163" t="s">
        <v>74</v>
      </c>
      <c r="AR163" t="s">
        <v>74</v>
      </c>
      <c r="AS163" t="s">
        <v>74</v>
      </c>
      <c r="AT163" t="s">
        <v>283</v>
      </c>
      <c r="AU163">
        <v>2004</v>
      </c>
      <c r="AV163">
        <v>72</v>
      </c>
      <c r="AW163">
        <v>2</v>
      </c>
      <c r="AX163" t="s">
        <v>74</v>
      </c>
      <c r="AY163" t="s">
        <v>74</v>
      </c>
      <c r="AZ163" t="s">
        <v>74</v>
      </c>
      <c r="BA163" t="s">
        <v>74</v>
      </c>
      <c r="BB163">
        <v>1019</v>
      </c>
      <c r="BC163">
        <v>1028</v>
      </c>
      <c r="BD163" t="s">
        <v>74</v>
      </c>
      <c r="BE163" t="s">
        <v>27372</v>
      </c>
      <c r="BF163" t="str">
        <f>HYPERLINK("http://dx.doi.org/10.1128/IAI.72.2.1019-1028.2004","http://dx.doi.org/10.1128/IAI.72.2.1019-1028.2004")</f>
        <v>http://dx.doi.org/10.1128/IAI.72.2.1019-1028.2004</v>
      </c>
      <c r="BG163" t="s">
        <v>74</v>
      </c>
      <c r="BH163" t="s">
        <v>74</v>
      </c>
      <c r="BI163" t="s">
        <v>74</v>
      </c>
      <c r="BJ163" t="s">
        <v>16757</v>
      </c>
      <c r="BK163" t="s">
        <v>117</v>
      </c>
      <c r="BL163" t="s">
        <v>16757</v>
      </c>
      <c r="BM163" t="s">
        <v>74</v>
      </c>
      <c r="BN163">
        <v>14742549</v>
      </c>
      <c r="BO163" t="s">
        <v>74</v>
      </c>
      <c r="BP163" t="s">
        <v>74</v>
      </c>
      <c r="BQ163" t="s">
        <v>74</v>
      </c>
      <c r="BR163" t="s">
        <v>96</v>
      </c>
      <c r="BS163" t="s">
        <v>27373</v>
      </c>
      <c r="BT163" t="str">
        <f>HYPERLINK("https%3A%2F%2Fwww.webofscience.com%2Fwos%2Fwoscc%2Ffull-record%2FWOS:000188766400049","View Full Record in Web of Science")</f>
        <v>View Full Record in Web of Science</v>
      </c>
    </row>
    <row r="164" spans="1:72" x14ac:dyDescent="0.15">
      <c r="A164" t="s">
        <v>98</v>
      </c>
      <c r="B164" t="s">
        <v>29056</v>
      </c>
      <c r="C164" t="s">
        <v>74</v>
      </c>
      <c r="D164" t="s">
        <v>74</v>
      </c>
      <c r="E164" t="s">
        <v>74</v>
      </c>
      <c r="F164" t="s">
        <v>29057</v>
      </c>
      <c r="G164" t="s">
        <v>74</v>
      </c>
      <c r="H164" t="s">
        <v>74</v>
      </c>
      <c r="I164" t="s">
        <v>29058</v>
      </c>
      <c r="J164" t="s">
        <v>2536</v>
      </c>
      <c r="K164" t="s">
        <v>74</v>
      </c>
      <c r="L164" t="s">
        <v>74</v>
      </c>
      <c r="M164" t="s">
        <v>74</v>
      </c>
      <c r="N164" t="s">
        <v>103</v>
      </c>
      <c r="O164" t="s">
        <v>74</v>
      </c>
      <c r="P164" t="s">
        <v>74</v>
      </c>
      <c r="Q164" t="s">
        <v>74</v>
      </c>
      <c r="R164" t="s">
        <v>74</v>
      </c>
      <c r="S164" t="s">
        <v>74</v>
      </c>
      <c r="T164" t="s">
        <v>74</v>
      </c>
      <c r="U164" t="s">
        <v>29059</v>
      </c>
      <c r="V164" t="s">
        <v>29060</v>
      </c>
      <c r="W164" t="s">
        <v>29061</v>
      </c>
      <c r="X164" t="s">
        <v>12806</v>
      </c>
      <c r="Y164" t="s">
        <v>28912</v>
      </c>
      <c r="Z164" t="s">
        <v>23896</v>
      </c>
      <c r="AA164" t="s">
        <v>29062</v>
      </c>
      <c r="AB164" t="s">
        <v>29063</v>
      </c>
      <c r="AC164" t="s">
        <v>74</v>
      </c>
      <c r="AD164" t="s">
        <v>74</v>
      </c>
      <c r="AE164" t="s">
        <v>74</v>
      </c>
      <c r="AF164" t="s">
        <v>74</v>
      </c>
      <c r="AG164">
        <v>47</v>
      </c>
      <c r="AH164">
        <v>113</v>
      </c>
      <c r="AI164">
        <v>115</v>
      </c>
      <c r="AJ164">
        <v>0</v>
      </c>
      <c r="AK164">
        <v>5</v>
      </c>
      <c r="AL164" t="s">
        <v>74</v>
      </c>
      <c r="AM164" t="s">
        <v>74</v>
      </c>
      <c r="AN164" t="s">
        <v>74</v>
      </c>
      <c r="AO164" t="s">
        <v>2544</v>
      </c>
      <c r="AP164" t="s">
        <v>2545</v>
      </c>
      <c r="AQ164" t="s">
        <v>74</v>
      </c>
      <c r="AR164" t="s">
        <v>74</v>
      </c>
      <c r="AS164" t="s">
        <v>74</v>
      </c>
      <c r="AT164" t="s">
        <v>132</v>
      </c>
      <c r="AU164">
        <v>2013</v>
      </c>
      <c r="AV164">
        <v>87</v>
      </c>
      <c r="AW164">
        <v>8</v>
      </c>
      <c r="AX164" t="s">
        <v>74</v>
      </c>
      <c r="AY164" t="s">
        <v>74</v>
      </c>
      <c r="AZ164" t="s">
        <v>74</v>
      </c>
      <c r="BA164" t="s">
        <v>74</v>
      </c>
      <c r="BB164">
        <v>4417</v>
      </c>
      <c r="BC164">
        <v>4431</v>
      </c>
      <c r="BD164" t="s">
        <v>74</v>
      </c>
      <c r="BE164" t="s">
        <v>29064</v>
      </c>
      <c r="BF164" t="str">
        <f>HYPERLINK("http://dx.doi.org/10.1128/JVI.03282-12","http://dx.doi.org/10.1128/JVI.03282-12")</f>
        <v>http://dx.doi.org/10.1128/JVI.03282-12</v>
      </c>
      <c r="BG164" t="s">
        <v>74</v>
      </c>
      <c r="BH164" t="s">
        <v>74</v>
      </c>
      <c r="BI164" t="s">
        <v>74</v>
      </c>
      <c r="BJ164" t="s">
        <v>932</v>
      </c>
      <c r="BK164" t="s">
        <v>117</v>
      </c>
      <c r="BL164" t="s">
        <v>932</v>
      </c>
      <c r="BM164" t="s">
        <v>74</v>
      </c>
      <c r="BN164">
        <v>23388709</v>
      </c>
      <c r="BO164" t="s">
        <v>74</v>
      </c>
      <c r="BP164" t="s">
        <v>74</v>
      </c>
      <c r="BQ164" t="s">
        <v>74</v>
      </c>
      <c r="BR164" t="s">
        <v>96</v>
      </c>
      <c r="BS164" t="s">
        <v>29065</v>
      </c>
      <c r="BT164" t="str">
        <f>HYPERLINK("https%3A%2F%2Fwww.webofscience.com%2Fwos%2Fwoscc%2Ffull-record%2FWOS:000316671000027","View Full Record in Web of Science")</f>
        <v>View Full Record in Web of Science</v>
      </c>
    </row>
    <row r="165" spans="1:72" x14ac:dyDescent="0.15">
      <c r="A165" t="s">
        <v>98</v>
      </c>
      <c r="B165" t="s">
        <v>21347</v>
      </c>
      <c r="C165" t="s">
        <v>74</v>
      </c>
      <c r="D165" t="s">
        <v>74</v>
      </c>
      <c r="E165" t="s">
        <v>74</v>
      </c>
      <c r="F165" t="s">
        <v>21348</v>
      </c>
      <c r="G165" t="s">
        <v>74</v>
      </c>
      <c r="H165" t="s">
        <v>74</v>
      </c>
      <c r="I165" t="s">
        <v>21349</v>
      </c>
      <c r="J165" t="s">
        <v>4486</v>
      </c>
      <c r="K165" t="s">
        <v>74</v>
      </c>
      <c r="L165" t="s">
        <v>74</v>
      </c>
      <c r="M165" t="s">
        <v>74</v>
      </c>
      <c r="N165" t="s">
        <v>103</v>
      </c>
      <c r="O165" t="s">
        <v>74</v>
      </c>
      <c r="P165" t="s">
        <v>74</v>
      </c>
      <c r="Q165" t="s">
        <v>74</v>
      </c>
      <c r="R165" t="s">
        <v>74</v>
      </c>
      <c r="S165" t="s">
        <v>74</v>
      </c>
      <c r="T165" t="s">
        <v>74</v>
      </c>
      <c r="U165" t="s">
        <v>21350</v>
      </c>
      <c r="V165" t="s">
        <v>21351</v>
      </c>
      <c r="W165" t="s">
        <v>21352</v>
      </c>
      <c r="X165" t="s">
        <v>21353</v>
      </c>
      <c r="Y165" t="s">
        <v>21354</v>
      </c>
      <c r="Z165" t="s">
        <v>21355</v>
      </c>
      <c r="AA165" t="s">
        <v>21356</v>
      </c>
      <c r="AB165" t="s">
        <v>74</v>
      </c>
      <c r="AC165" t="s">
        <v>74</v>
      </c>
      <c r="AD165" t="s">
        <v>74</v>
      </c>
      <c r="AE165" t="s">
        <v>74</v>
      </c>
      <c r="AF165" t="s">
        <v>74</v>
      </c>
      <c r="AG165">
        <v>43</v>
      </c>
      <c r="AH165">
        <v>112</v>
      </c>
      <c r="AI165">
        <v>114</v>
      </c>
      <c r="AJ165">
        <v>37</v>
      </c>
      <c r="AK165">
        <v>444</v>
      </c>
      <c r="AL165" t="s">
        <v>74</v>
      </c>
      <c r="AM165" t="s">
        <v>74</v>
      </c>
      <c r="AN165" t="s">
        <v>74</v>
      </c>
      <c r="AO165" t="s">
        <v>4493</v>
      </c>
      <c r="AP165" t="s">
        <v>4494</v>
      </c>
      <c r="AQ165" t="s">
        <v>74</v>
      </c>
      <c r="AR165" t="s">
        <v>74</v>
      </c>
      <c r="AS165" t="s">
        <v>74</v>
      </c>
      <c r="AT165" t="s">
        <v>1304</v>
      </c>
      <c r="AU165">
        <v>2018</v>
      </c>
      <c r="AV165">
        <v>90</v>
      </c>
      <c r="AW165">
        <v>15</v>
      </c>
      <c r="AX165" t="s">
        <v>74</v>
      </c>
      <c r="AY165" t="s">
        <v>74</v>
      </c>
      <c r="AZ165" t="s">
        <v>74</v>
      </c>
      <c r="BA165" t="s">
        <v>74</v>
      </c>
      <c r="BB165">
        <v>8969</v>
      </c>
      <c r="BC165">
        <v>8976</v>
      </c>
      <c r="BD165" t="s">
        <v>74</v>
      </c>
      <c r="BE165" t="s">
        <v>21357</v>
      </c>
      <c r="BF165" t="str">
        <f>HYPERLINK("http://dx.doi.org/10.1021/acs.analchem.8b01143","http://dx.doi.org/10.1021/acs.analchem.8b01143")</f>
        <v>http://dx.doi.org/10.1021/acs.analchem.8b01143</v>
      </c>
      <c r="BG165" t="s">
        <v>74</v>
      </c>
      <c r="BH165" t="s">
        <v>74</v>
      </c>
      <c r="BI165" t="s">
        <v>74</v>
      </c>
      <c r="BJ165" t="s">
        <v>1118</v>
      </c>
      <c r="BK165" t="s">
        <v>117</v>
      </c>
      <c r="BL165" t="s">
        <v>1048</v>
      </c>
      <c r="BM165" t="s">
        <v>74</v>
      </c>
      <c r="BN165">
        <v>29973048</v>
      </c>
      <c r="BO165" t="s">
        <v>74</v>
      </c>
      <c r="BP165" t="s">
        <v>74</v>
      </c>
      <c r="BQ165" t="s">
        <v>74</v>
      </c>
      <c r="BR165" t="s">
        <v>96</v>
      </c>
      <c r="BS165" t="s">
        <v>21358</v>
      </c>
      <c r="BT165" t="str">
        <f>HYPERLINK("https%3A%2F%2Fwww.webofscience.com%2Fwos%2Fwoscc%2Ffull-record%2FWOS:000441476600035","View Full Record in Web of Science")</f>
        <v>View Full Record in Web of Science</v>
      </c>
    </row>
    <row r="166" spans="1:72" x14ac:dyDescent="0.15">
      <c r="A166" t="s">
        <v>98</v>
      </c>
      <c r="B166" t="s">
        <v>3715</v>
      </c>
      <c r="C166" t="s">
        <v>74</v>
      </c>
      <c r="D166" t="s">
        <v>74</v>
      </c>
      <c r="E166" t="s">
        <v>74</v>
      </c>
      <c r="F166" t="s">
        <v>3716</v>
      </c>
      <c r="G166" t="s">
        <v>74</v>
      </c>
      <c r="H166" t="s">
        <v>74</v>
      </c>
      <c r="I166" t="s">
        <v>3717</v>
      </c>
      <c r="J166" t="s">
        <v>1143</v>
      </c>
      <c r="K166" t="s">
        <v>74</v>
      </c>
      <c r="L166" t="s">
        <v>74</v>
      </c>
      <c r="M166" t="s">
        <v>74</v>
      </c>
      <c r="N166" t="s">
        <v>103</v>
      </c>
      <c r="O166" t="s">
        <v>74</v>
      </c>
      <c r="P166" t="s">
        <v>74</v>
      </c>
      <c r="Q166" t="s">
        <v>74</v>
      </c>
      <c r="R166" t="s">
        <v>74</v>
      </c>
      <c r="S166" t="s">
        <v>74</v>
      </c>
      <c r="T166" t="s">
        <v>3718</v>
      </c>
      <c r="U166" t="s">
        <v>3719</v>
      </c>
      <c r="V166" t="s">
        <v>3720</v>
      </c>
      <c r="W166" t="s">
        <v>3721</v>
      </c>
      <c r="X166" t="s">
        <v>3722</v>
      </c>
      <c r="Y166" t="s">
        <v>3723</v>
      </c>
      <c r="Z166" t="s">
        <v>3724</v>
      </c>
      <c r="AA166" t="s">
        <v>3725</v>
      </c>
      <c r="AB166" t="s">
        <v>3726</v>
      </c>
      <c r="AC166" t="s">
        <v>74</v>
      </c>
      <c r="AD166" t="s">
        <v>74</v>
      </c>
      <c r="AE166" t="s">
        <v>74</v>
      </c>
      <c r="AF166" t="s">
        <v>74</v>
      </c>
      <c r="AG166">
        <v>42</v>
      </c>
      <c r="AH166">
        <v>111</v>
      </c>
      <c r="AI166">
        <v>114</v>
      </c>
      <c r="AJ166">
        <v>2</v>
      </c>
      <c r="AK166">
        <v>24</v>
      </c>
      <c r="AL166" t="s">
        <v>74</v>
      </c>
      <c r="AM166" t="s">
        <v>74</v>
      </c>
      <c r="AN166" t="s">
        <v>74</v>
      </c>
      <c r="AO166" t="s">
        <v>1153</v>
      </c>
      <c r="AP166" t="s">
        <v>74</v>
      </c>
      <c r="AQ166" t="s">
        <v>74</v>
      </c>
      <c r="AR166" t="s">
        <v>74</v>
      </c>
      <c r="AS166" t="s">
        <v>74</v>
      </c>
      <c r="AT166" t="s">
        <v>74</v>
      </c>
      <c r="AU166">
        <v>2017</v>
      </c>
      <c r="AV166">
        <v>7</v>
      </c>
      <c r="AW166">
        <v>16</v>
      </c>
      <c r="AX166" t="s">
        <v>74</v>
      </c>
      <c r="AY166" t="s">
        <v>74</v>
      </c>
      <c r="AZ166" t="s">
        <v>74</v>
      </c>
      <c r="BA166" t="s">
        <v>74</v>
      </c>
      <c r="BB166">
        <v>3824</v>
      </c>
      <c r="BC166">
        <v>3841</v>
      </c>
      <c r="BD166" t="s">
        <v>74</v>
      </c>
      <c r="BE166" t="s">
        <v>3727</v>
      </c>
      <c r="BF166" t="str">
        <f>HYPERLINK("http://dx.doi.org/10.7150/thno.19890","http://dx.doi.org/10.7150/thno.19890")</f>
        <v>http://dx.doi.org/10.7150/thno.19890</v>
      </c>
      <c r="BG166" t="s">
        <v>74</v>
      </c>
      <c r="BH166" t="s">
        <v>74</v>
      </c>
      <c r="BI166" t="s">
        <v>74</v>
      </c>
      <c r="BJ166" t="s">
        <v>795</v>
      </c>
      <c r="BK166" t="s">
        <v>117</v>
      </c>
      <c r="BL166" t="s">
        <v>796</v>
      </c>
      <c r="BM166" t="s">
        <v>74</v>
      </c>
      <c r="BN166">
        <v>29109780</v>
      </c>
      <c r="BO166" t="s">
        <v>74</v>
      </c>
      <c r="BP166" t="s">
        <v>74</v>
      </c>
      <c r="BQ166" t="s">
        <v>74</v>
      </c>
      <c r="BR166" t="s">
        <v>96</v>
      </c>
      <c r="BS166" t="s">
        <v>3728</v>
      </c>
      <c r="BT166" t="str">
        <f>HYPERLINK("https%3A%2F%2Fwww.webofscience.com%2Fwos%2Fwoscc%2Ffull-record%2FWOS:000410122600002","View Full Record in Web of Science")</f>
        <v>View Full Record in Web of Science</v>
      </c>
    </row>
    <row r="167" spans="1:72" x14ac:dyDescent="0.15">
      <c r="A167" t="s">
        <v>98</v>
      </c>
      <c r="B167" t="s">
        <v>12168</v>
      </c>
      <c r="C167" t="s">
        <v>74</v>
      </c>
      <c r="D167" t="s">
        <v>74</v>
      </c>
      <c r="E167" t="s">
        <v>74</v>
      </c>
      <c r="F167" t="s">
        <v>12169</v>
      </c>
      <c r="G167" t="s">
        <v>74</v>
      </c>
      <c r="H167" t="s">
        <v>74</v>
      </c>
      <c r="I167" t="s">
        <v>12170</v>
      </c>
      <c r="J167" t="s">
        <v>4486</v>
      </c>
      <c r="K167" t="s">
        <v>74</v>
      </c>
      <c r="L167" t="s">
        <v>74</v>
      </c>
      <c r="M167" t="s">
        <v>74</v>
      </c>
      <c r="N167" t="s">
        <v>103</v>
      </c>
      <c r="O167" t="s">
        <v>74</v>
      </c>
      <c r="P167" t="s">
        <v>74</v>
      </c>
      <c r="Q167" t="s">
        <v>74</v>
      </c>
      <c r="R167" t="s">
        <v>74</v>
      </c>
      <c r="S167" t="s">
        <v>74</v>
      </c>
      <c r="T167" t="s">
        <v>74</v>
      </c>
      <c r="U167" t="s">
        <v>12171</v>
      </c>
      <c r="V167" t="s">
        <v>12172</v>
      </c>
      <c r="W167" t="s">
        <v>12173</v>
      </c>
      <c r="X167" t="s">
        <v>12174</v>
      </c>
      <c r="Y167" t="s">
        <v>12175</v>
      </c>
      <c r="Z167" t="s">
        <v>12176</v>
      </c>
      <c r="AA167" t="s">
        <v>74</v>
      </c>
      <c r="AB167" t="s">
        <v>10944</v>
      </c>
      <c r="AC167" t="s">
        <v>74</v>
      </c>
      <c r="AD167" t="s">
        <v>74</v>
      </c>
      <c r="AE167" t="s">
        <v>74</v>
      </c>
      <c r="AF167" t="s">
        <v>74</v>
      </c>
      <c r="AG167">
        <v>50</v>
      </c>
      <c r="AH167">
        <v>109</v>
      </c>
      <c r="AI167">
        <v>109</v>
      </c>
      <c r="AJ167">
        <v>23</v>
      </c>
      <c r="AK167">
        <v>222</v>
      </c>
      <c r="AL167" t="s">
        <v>74</v>
      </c>
      <c r="AM167" t="s">
        <v>74</v>
      </c>
      <c r="AN167" t="s">
        <v>74</v>
      </c>
      <c r="AO167" t="s">
        <v>4493</v>
      </c>
      <c r="AP167" t="s">
        <v>4494</v>
      </c>
      <c r="AQ167" t="s">
        <v>74</v>
      </c>
      <c r="AR167" t="s">
        <v>74</v>
      </c>
      <c r="AS167" t="s">
        <v>74</v>
      </c>
      <c r="AT167" t="s">
        <v>12177</v>
      </c>
      <c r="AU167">
        <v>2017</v>
      </c>
      <c r="AV167">
        <v>89</v>
      </c>
      <c r="AW167">
        <v>23</v>
      </c>
      <c r="AX167" t="s">
        <v>74</v>
      </c>
      <c r="AY167" t="s">
        <v>74</v>
      </c>
      <c r="AZ167" t="s">
        <v>74</v>
      </c>
      <c r="BA167" t="s">
        <v>74</v>
      </c>
      <c r="BB167">
        <v>12968</v>
      </c>
      <c r="BC167">
        <v>12975</v>
      </c>
      <c r="BD167" t="s">
        <v>74</v>
      </c>
      <c r="BE167" t="s">
        <v>12178</v>
      </c>
      <c r="BF167" t="str">
        <f>HYPERLINK("http://dx.doi.org/10.1021/acs.analchem.7b03919","http://dx.doi.org/10.1021/acs.analchem.7b03919")</f>
        <v>http://dx.doi.org/10.1021/acs.analchem.7b03919</v>
      </c>
      <c r="BG167" t="s">
        <v>74</v>
      </c>
      <c r="BH167" t="s">
        <v>74</v>
      </c>
      <c r="BI167" t="s">
        <v>74</v>
      </c>
      <c r="BJ167" t="s">
        <v>1118</v>
      </c>
      <c r="BK167" t="s">
        <v>117</v>
      </c>
      <c r="BL167" t="s">
        <v>1048</v>
      </c>
      <c r="BM167" t="s">
        <v>74</v>
      </c>
      <c r="BN167">
        <v>29139297</v>
      </c>
      <c r="BO167" t="s">
        <v>74</v>
      </c>
      <c r="BP167" t="s">
        <v>74</v>
      </c>
      <c r="BQ167" t="s">
        <v>74</v>
      </c>
      <c r="BR167" t="s">
        <v>96</v>
      </c>
      <c r="BS167" t="s">
        <v>12179</v>
      </c>
      <c r="BT167" t="str">
        <f>HYPERLINK("https%3A%2F%2Fwww.webofscience.com%2Fwos%2Fwoscc%2Ffull-record%2FWOS:000417549600051","View Full Record in Web of Science")</f>
        <v>View Full Record in Web of Science</v>
      </c>
    </row>
    <row r="168" spans="1:72" x14ac:dyDescent="0.15">
      <c r="A168" t="s">
        <v>98</v>
      </c>
      <c r="B168" t="s">
        <v>15983</v>
      </c>
      <c r="C168" t="s">
        <v>74</v>
      </c>
      <c r="D168" t="s">
        <v>74</v>
      </c>
      <c r="E168" t="s">
        <v>74</v>
      </c>
      <c r="F168" t="s">
        <v>15984</v>
      </c>
      <c r="G168" t="s">
        <v>74</v>
      </c>
      <c r="H168" t="s">
        <v>74</v>
      </c>
      <c r="I168" t="s">
        <v>15985</v>
      </c>
      <c r="J168" t="s">
        <v>2478</v>
      </c>
      <c r="K168" t="s">
        <v>74</v>
      </c>
      <c r="L168" t="s">
        <v>74</v>
      </c>
      <c r="M168" t="s">
        <v>74</v>
      </c>
      <c r="N168" t="s">
        <v>103</v>
      </c>
      <c r="O168" t="s">
        <v>74</v>
      </c>
      <c r="P168" t="s">
        <v>74</v>
      </c>
      <c r="Q168" t="s">
        <v>74</v>
      </c>
      <c r="R168" t="s">
        <v>74</v>
      </c>
      <c r="S168" t="s">
        <v>74</v>
      </c>
      <c r="T168" t="s">
        <v>15986</v>
      </c>
      <c r="U168" t="s">
        <v>15987</v>
      </c>
      <c r="V168" t="s">
        <v>15988</v>
      </c>
      <c r="W168" t="s">
        <v>15989</v>
      </c>
      <c r="X168" t="s">
        <v>15990</v>
      </c>
      <c r="Y168" t="s">
        <v>11045</v>
      </c>
      <c r="Z168" t="s">
        <v>11046</v>
      </c>
      <c r="AA168" t="s">
        <v>74</v>
      </c>
      <c r="AB168" t="s">
        <v>15991</v>
      </c>
      <c r="AC168" t="s">
        <v>74</v>
      </c>
      <c r="AD168" t="s">
        <v>74</v>
      </c>
      <c r="AE168" t="s">
        <v>74</v>
      </c>
      <c r="AF168" t="s">
        <v>74</v>
      </c>
      <c r="AG168">
        <v>24</v>
      </c>
      <c r="AH168">
        <v>109</v>
      </c>
      <c r="AI168">
        <v>110</v>
      </c>
      <c r="AJ168">
        <v>16</v>
      </c>
      <c r="AK168">
        <v>91</v>
      </c>
      <c r="AL168" t="s">
        <v>74</v>
      </c>
      <c r="AM168" t="s">
        <v>74</v>
      </c>
      <c r="AN168" t="s">
        <v>74</v>
      </c>
      <c r="AO168" t="s">
        <v>2487</v>
      </c>
      <c r="AP168" t="s">
        <v>2488</v>
      </c>
      <c r="AQ168" t="s">
        <v>74</v>
      </c>
      <c r="AR168" t="s">
        <v>74</v>
      </c>
      <c r="AS168" t="s">
        <v>74</v>
      </c>
      <c r="AT168" t="s">
        <v>114</v>
      </c>
      <c r="AU168">
        <v>2018</v>
      </c>
      <c r="AV168">
        <v>29</v>
      </c>
      <c r="AW168">
        <v>1</v>
      </c>
      <c r="AX168" t="s">
        <v>74</v>
      </c>
      <c r="AY168" t="s">
        <v>74</v>
      </c>
      <c r="AZ168" t="s">
        <v>74</v>
      </c>
      <c r="BA168" t="s">
        <v>74</v>
      </c>
      <c r="BB168">
        <v>223</v>
      </c>
      <c r="BC168">
        <v>229</v>
      </c>
      <c r="BD168" t="s">
        <v>74</v>
      </c>
      <c r="BE168" t="s">
        <v>15992</v>
      </c>
      <c r="BF168" t="str">
        <f>HYPERLINK("http://dx.doi.org/10.1093/annonc/mdx542","http://dx.doi.org/10.1093/annonc/mdx542")</f>
        <v>http://dx.doi.org/10.1093/annonc/mdx542</v>
      </c>
      <c r="BG168" t="s">
        <v>74</v>
      </c>
      <c r="BH168" t="s">
        <v>74</v>
      </c>
      <c r="BI168" t="s">
        <v>74</v>
      </c>
      <c r="BJ168" t="s">
        <v>267</v>
      </c>
      <c r="BK168" t="s">
        <v>117</v>
      </c>
      <c r="BL168" t="s">
        <v>267</v>
      </c>
      <c r="BM168" t="s">
        <v>74</v>
      </c>
      <c r="BN168">
        <v>29045505</v>
      </c>
      <c r="BO168" t="s">
        <v>74</v>
      </c>
      <c r="BP168" t="s">
        <v>74</v>
      </c>
      <c r="BQ168" t="s">
        <v>74</v>
      </c>
      <c r="BR168" t="s">
        <v>96</v>
      </c>
      <c r="BS168" t="s">
        <v>15993</v>
      </c>
      <c r="BT168" t="str">
        <f>HYPERLINK("https%3A%2F%2Fwww.webofscience.com%2Fwos%2Fwoscc%2Ffull-record%2FWOS:000423741500033","View Full Record in Web of Science")</f>
        <v>View Full Record in Web of Science</v>
      </c>
    </row>
    <row r="169" spans="1:72" x14ac:dyDescent="0.15">
      <c r="A169" t="s">
        <v>98</v>
      </c>
      <c r="B169" t="s">
        <v>28406</v>
      </c>
      <c r="C169" t="s">
        <v>74</v>
      </c>
      <c r="D169" t="s">
        <v>74</v>
      </c>
      <c r="E169" t="s">
        <v>74</v>
      </c>
      <c r="F169" t="s">
        <v>28407</v>
      </c>
      <c r="G169" t="s">
        <v>74</v>
      </c>
      <c r="H169" t="s">
        <v>74</v>
      </c>
      <c r="I169" t="s">
        <v>28408</v>
      </c>
      <c r="J169" t="s">
        <v>817</v>
      </c>
      <c r="K169" t="s">
        <v>74</v>
      </c>
      <c r="L169" t="s">
        <v>74</v>
      </c>
      <c r="M169" t="s">
        <v>74</v>
      </c>
      <c r="N169" t="s">
        <v>103</v>
      </c>
      <c r="O169" t="s">
        <v>74</v>
      </c>
      <c r="P169" t="s">
        <v>74</v>
      </c>
      <c r="Q169" t="s">
        <v>74</v>
      </c>
      <c r="R169" t="s">
        <v>74</v>
      </c>
      <c r="S169" t="s">
        <v>74</v>
      </c>
      <c r="T169" t="s">
        <v>28409</v>
      </c>
      <c r="U169" t="s">
        <v>28410</v>
      </c>
      <c r="V169" t="s">
        <v>28411</v>
      </c>
      <c r="W169" t="s">
        <v>28412</v>
      </c>
      <c r="X169" t="s">
        <v>28413</v>
      </c>
      <c r="Y169" t="s">
        <v>28414</v>
      </c>
      <c r="Z169" t="s">
        <v>28415</v>
      </c>
      <c r="AA169" t="s">
        <v>28416</v>
      </c>
      <c r="AB169" t="s">
        <v>28417</v>
      </c>
      <c r="AC169" t="s">
        <v>74</v>
      </c>
      <c r="AD169" t="s">
        <v>74</v>
      </c>
      <c r="AE169" t="s">
        <v>74</v>
      </c>
      <c r="AF169" t="s">
        <v>74</v>
      </c>
      <c r="AG169">
        <v>45</v>
      </c>
      <c r="AH169">
        <v>109</v>
      </c>
      <c r="AI169">
        <v>111</v>
      </c>
      <c r="AJ169">
        <v>3</v>
      </c>
      <c r="AK169">
        <v>11</v>
      </c>
      <c r="AL169" t="s">
        <v>74</v>
      </c>
      <c r="AM169" t="s">
        <v>74</v>
      </c>
      <c r="AN169" t="s">
        <v>74</v>
      </c>
      <c r="AO169" t="s">
        <v>827</v>
      </c>
      <c r="AP169" t="s">
        <v>74</v>
      </c>
      <c r="AQ169" t="s">
        <v>74</v>
      </c>
      <c r="AR169" t="s">
        <v>74</v>
      </c>
      <c r="AS169" t="s">
        <v>74</v>
      </c>
      <c r="AT169" t="s">
        <v>283</v>
      </c>
      <c r="AU169">
        <v>2018</v>
      </c>
      <c r="AV169">
        <v>19</v>
      </c>
      <c r="AW169">
        <v>2</v>
      </c>
      <c r="AX169" t="s">
        <v>74</v>
      </c>
      <c r="AY169" t="s">
        <v>74</v>
      </c>
      <c r="AZ169" t="s">
        <v>74</v>
      </c>
      <c r="BA169" t="s">
        <v>74</v>
      </c>
      <c r="BB169" t="s">
        <v>74</v>
      </c>
      <c r="BC169" t="s">
        <v>74</v>
      </c>
      <c r="BD169">
        <v>480</v>
      </c>
      <c r="BE169" t="s">
        <v>28418</v>
      </c>
      <c r="BF169" t="str">
        <f>HYPERLINK("http://dx.doi.org/10.3390/ijms19020480","http://dx.doi.org/10.3390/ijms19020480")</f>
        <v>http://dx.doi.org/10.3390/ijms19020480</v>
      </c>
      <c r="BG169" t="s">
        <v>74</v>
      </c>
      <c r="BH169" t="s">
        <v>74</v>
      </c>
      <c r="BI169" t="s">
        <v>74</v>
      </c>
      <c r="BJ169" t="s">
        <v>830</v>
      </c>
      <c r="BK169" t="s">
        <v>117</v>
      </c>
      <c r="BL169" t="s">
        <v>831</v>
      </c>
      <c r="BM169" t="s">
        <v>74</v>
      </c>
      <c r="BN169">
        <v>29415469</v>
      </c>
      <c r="BO169" t="s">
        <v>74</v>
      </c>
      <c r="BP169" t="s">
        <v>74</v>
      </c>
      <c r="BQ169" t="s">
        <v>74</v>
      </c>
      <c r="BR169" t="s">
        <v>96</v>
      </c>
      <c r="BS169" t="s">
        <v>28419</v>
      </c>
      <c r="BT169" t="str">
        <f>HYPERLINK("https%3A%2F%2Fwww.webofscience.com%2Fwos%2Fwoscc%2Ffull-record%2FWOS:000427527400164","View Full Record in Web of Science")</f>
        <v>View Full Record in Web of Science</v>
      </c>
    </row>
    <row r="170" spans="1:72" x14ac:dyDescent="0.15">
      <c r="A170" t="s">
        <v>98</v>
      </c>
      <c r="B170" t="s">
        <v>3479</v>
      </c>
      <c r="C170" t="s">
        <v>74</v>
      </c>
      <c r="D170" t="s">
        <v>74</v>
      </c>
      <c r="E170" t="s">
        <v>74</v>
      </c>
      <c r="F170" t="s">
        <v>3480</v>
      </c>
      <c r="G170" t="s">
        <v>74</v>
      </c>
      <c r="H170" t="s">
        <v>74</v>
      </c>
      <c r="I170" t="s">
        <v>3481</v>
      </c>
      <c r="J170" t="s">
        <v>836</v>
      </c>
      <c r="K170" t="s">
        <v>74</v>
      </c>
      <c r="L170" t="s">
        <v>74</v>
      </c>
      <c r="M170" t="s">
        <v>74</v>
      </c>
      <c r="N170" t="s">
        <v>103</v>
      </c>
      <c r="O170" t="s">
        <v>74</v>
      </c>
      <c r="P170" t="s">
        <v>74</v>
      </c>
      <c r="Q170" t="s">
        <v>74</v>
      </c>
      <c r="R170" t="s">
        <v>74</v>
      </c>
      <c r="S170" t="s">
        <v>74</v>
      </c>
      <c r="T170" t="s">
        <v>3482</v>
      </c>
      <c r="U170" t="s">
        <v>3483</v>
      </c>
      <c r="V170" t="s">
        <v>3484</v>
      </c>
      <c r="W170" t="s">
        <v>3485</v>
      </c>
      <c r="X170" t="s">
        <v>3486</v>
      </c>
      <c r="Y170" t="s">
        <v>3487</v>
      </c>
      <c r="Z170" t="s">
        <v>3488</v>
      </c>
      <c r="AA170" t="s">
        <v>74</v>
      </c>
      <c r="AB170" t="s">
        <v>74</v>
      </c>
      <c r="AC170" t="s">
        <v>74</v>
      </c>
      <c r="AD170" t="s">
        <v>74</v>
      </c>
      <c r="AE170" t="s">
        <v>74</v>
      </c>
      <c r="AF170" t="s">
        <v>74</v>
      </c>
      <c r="AG170">
        <v>37</v>
      </c>
      <c r="AH170">
        <v>108</v>
      </c>
      <c r="AI170">
        <v>118</v>
      </c>
      <c r="AJ170">
        <v>3</v>
      </c>
      <c r="AK170">
        <v>28</v>
      </c>
      <c r="AL170" t="s">
        <v>74</v>
      </c>
      <c r="AM170" t="s">
        <v>74</v>
      </c>
      <c r="AN170" t="s">
        <v>74</v>
      </c>
      <c r="AO170" t="s">
        <v>74</v>
      </c>
      <c r="AP170" t="s">
        <v>846</v>
      </c>
      <c r="AQ170" t="s">
        <v>74</v>
      </c>
      <c r="AR170" t="s">
        <v>74</v>
      </c>
      <c r="AS170" t="s">
        <v>74</v>
      </c>
      <c r="AT170" t="s">
        <v>3489</v>
      </c>
      <c r="AU170">
        <v>2016</v>
      </c>
      <c r="AV170">
        <v>7</v>
      </c>
      <c r="AW170">
        <v>34</v>
      </c>
      <c r="AX170" t="s">
        <v>74</v>
      </c>
      <c r="AY170" t="s">
        <v>74</v>
      </c>
      <c r="AZ170" t="s">
        <v>74</v>
      </c>
      <c r="BA170" t="s">
        <v>74</v>
      </c>
      <c r="BB170">
        <v>54852</v>
      </c>
      <c r="BC170">
        <v>54866</v>
      </c>
      <c r="BD170" t="s">
        <v>74</v>
      </c>
      <c r="BE170" t="s">
        <v>3490</v>
      </c>
      <c r="BF170" t="str">
        <f>HYPERLINK("http://dx.doi.org/10.18632/oncotarget.10243","http://dx.doi.org/10.18632/oncotarget.10243")</f>
        <v>http://dx.doi.org/10.18632/oncotarget.10243</v>
      </c>
      <c r="BG170" t="s">
        <v>74</v>
      </c>
      <c r="BH170" t="s">
        <v>74</v>
      </c>
      <c r="BI170" t="s">
        <v>74</v>
      </c>
      <c r="BJ170" t="s">
        <v>848</v>
      </c>
      <c r="BK170" t="s">
        <v>117</v>
      </c>
      <c r="BL170" t="s">
        <v>848</v>
      </c>
      <c r="BM170" t="s">
        <v>74</v>
      </c>
      <c r="BN170">
        <v>27363026</v>
      </c>
      <c r="BO170" t="s">
        <v>74</v>
      </c>
      <c r="BP170" t="s">
        <v>74</v>
      </c>
      <c r="BQ170" t="s">
        <v>74</v>
      </c>
      <c r="BR170" t="s">
        <v>96</v>
      </c>
      <c r="BS170" t="s">
        <v>3491</v>
      </c>
      <c r="BT170" t="str">
        <f>HYPERLINK("https%3A%2F%2Fwww.webofscience.com%2Fwos%2Fwoscc%2Ffull-record%2FWOS:000385435000062","View Full Record in Web of Science")</f>
        <v>View Full Record in Web of Science</v>
      </c>
    </row>
    <row r="171" spans="1:72" x14ac:dyDescent="0.15">
      <c r="A171" t="s">
        <v>98</v>
      </c>
      <c r="B171" t="s">
        <v>29935</v>
      </c>
      <c r="C171" t="s">
        <v>74</v>
      </c>
      <c r="D171" t="s">
        <v>74</v>
      </c>
      <c r="E171" t="s">
        <v>74</v>
      </c>
      <c r="F171" t="s">
        <v>29935</v>
      </c>
      <c r="G171" t="s">
        <v>74</v>
      </c>
      <c r="H171" t="s">
        <v>74</v>
      </c>
      <c r="I171" t="s">
        <v>29936</v>
      </c>
      <c r="J171" t="s">
        <v>16745</v>
      </c>
      <c r="K171" t="s">
        <v>74</v>
      </c>
      <c r="L171" t="s">
        <v>74</v>
      </c>
      <c r="M171" t="s">
        <v>74</v>
      </c>
      <c r="N171" t="s">
        <v>103</v>
      </c>
      <c r="O171" t="s">
        <v>74</v>
      </c>
      <c r="P171" t="s">
        <v>74</v>
      </c>
      <c r="Q171" t="s">
        <v>74</v>
      </c>
      <c r="R171" t="s">
        <v>74</v>
      </c>
      <c r="S171" t="s">
        <v>74</v>
      </c>
      <c r="T171" t="s">
        <v>74</v>
      </c>
      <c r="U171" t="s">
        <v>29937</v>
      </c>
      <c r="V171" t="s">
        <v>29938</v>
      </c>
      <c r="W171" t="s">
        <v>29939</v>
      </c>
      <c r="X171" t="s">
        <v>29940</v>
      </c>
      <c r="Y171" t="s">
        <v>74</v>
      </c>
      <c r="Z171" t="s">
        <v>74</v>
      </c>
      <c r="AA171" t="s">
        <v>74</v>
      </c>
      <c r="AB171" t="s">
        <v>74</v>
      </c>
      <c r="AC171" t="s">
        <v>74</v>
      </c>
      <c r="AD171" t="s">
        <v>74</v>
      </c>
      <c r="AE171" t="s">
        <v>74</v>
      </c>
      <c r="AF171" t="s">
        <v>74</v>
      </c>
      <c r="AG171">
        <v>47</v>
      </c>
      <c r="AH171">
        <v>108</v>
      </c>
      <c r="AI171">
        <v>132</v>
      </c>
      <c r="AJ171">
        <v>0</v>
      </c>
      <c r="AK171">
        <v>2</v>
      </c>
      <c r="AL171" t="s">
        <v>74</v>
      </c>
      <c r="AM171" t="s">
        <v>74</v>
      </c>
      <c r="AN171" t="s">
        <v>74</v>
      </c>
      <c r="AO171" t="s">
        <v>16754</v>
      </c>
      <c r="AP171" t="s">
        <v>16755</v>
      </c>
      <c r="AQ171" t="s">
        <v>74</v>
      </c>
      <c r="AR171" t="s">
        <v>74</v>
      </c>
      <c r="AS171" t="s">
        <v>74</v>
      </c>
      <c r="AT171" t="s">
        <v>283</v>
      </c>
      <c r="AU171">
        <v>1997</v>
      </c>
      <c r="AV171">
        <v>65</v>
      </c>
      <c r="AW171">
        <v>2</v>
      </c>
      <c r="AX171" t="s">
        <v>74</v>
      </c>
      <c r="AY171" t="s">
        <v>74</v>
      </c>
      <c r="AZ171" t="s">
        <v>74</v>
      </c>
      <c r="BA171" t="s">
        <v>74</v>
      </c>
      <c r="BB171">
        <v>729</v>
      </c>
      <c r="BC171">
        <v>738</v>
      </c>
      <c r="BD171" t="s">
        <v>74</v>
      </c>
      <c r="BE171" t="s">
        <v>29941</v>
      </c>
      <c r="BF171" t="str">
        <f>HYPERLINK("http://dx.doi.org/10.1128/IAI.65.2.729-738.1997","http://dx.doi.org/10.1128/IAI.65.2.729-738.1997")</f>
        <v>http://dx.doi.org/10.1128/IAI.65.2.729-738.1997</v>
      </c>
      <c r="BG171" t="s">
        <v>74</v>
      </c>
      <c r="BH171" t="s">
        <v>74</v>
      </c>
      <c r="BI171" t="s">
        <v>74</v>
      </c>
      <c r="BJ171" t="s">
        <v>16757</v>
      </c>
      <c r="BK171" t="s">
        <v>117</v>
      </c>
      <c r="BL171" t="s">
        <v>16757</v>
      </c>
      <c r="BM171" t="s">
        <v>74</v>
      </c>
      <c r="BN171">
        <v>9009336</v>
      </c>
      <c r="BO171" t="s">
        <v>74</v>
      </c>
      <c r="BP171" t="s">
        <v>74</v>
      </c>
      <c r="BQ171" t="s">
        <v>74</v>
      </c>
      <c r="BR171" t="s">
        <v>96</v>
      </c>
      <c r="BS171" t="s">
        <v>29942</v>
      </c>
      <c r="BT171" t="str">
        <f>HYPERLINK("https%3A%2F%2Fwww.webofscience.com%2Fwos%2Fwoscc%2Ffull-record%2FWOS:A1997WE90000055","View Full Record in Web of Science")</f>
        <v>View Full Record in Web of Science</v>
      </c>
    </row>
    <row r="172" spans="1:72" x14ac:dyDescent="0.15">
      <c r="A172" t="s">
        <v>98</v>
      </c>
      <c r="B172" t="s">
        <v>13084</v>
      </c>
      <c r="C172" t="s">
        <v>74</v>
      </c>
      <c r="D172" t="s">
        <v>74</v>
      </c>
      <c r="E172" t="s">
        <v>74</v>
      </c>
      <c r="F172" t="s">
        <v>13085</v>
      </c>
      <c r="G172" t="s">
        <v>74</v>
      </c>
      <c r="H172" t="s">
        <v>74</v>
      </c>
      <c r="I172" t="s">
        <v>13086</v>
      </c>
      <c r="J172" t="s">
        <v>12261</v>
      </c>
      <c r="K172" t="s">
        <v>74</v>
      </c>
      <c r="L172" t="s">
        <v>74</v>
      </c>
      <c r="M172" t="s">
        <v>74</v>
      </c>
      <c r="N172" t="s">
        <v>103</v>
      </c>
      <c r="O172" t="s">
        <v>74</v>
      </c>
      <c r="P172" t="s">
        <v>74</v>
      </c>
      <c r="Q172" t="s">
        <v>74</v>
      </c>
      <c r="R172" t="s">
        <v>74</v>
      </c>
      <c r="S172" t="s">
        <v>74</v>
      </c>
      <c r="T172" t="s">
        <v>74</v>
      </c>
      <c r="U172" t="s">
        <v>13087</v>
      </c>
      <c r="V172" t="s">
        <v>13088</v>
      </c>
      <c r="W172" t="s">
        <v>13089</v>
      </c>
      <c r="X172" t="s">
        <v>13090</v>
      </c>
      <c r="Y172" t="s">
        <v>13091</v>
      </c>
      <c r="Z172" t="s">
        <v>13092</v>
      </c>
      <c r="AA172" t="s">
        <v>13093</v>
      </c>
      <c r="AB172" t="s">
        <v>13094</v>
      </c>
      <c r="AC172" t="s">
        <v>74</v>
      </c>
      <c r="AD172" t="s">
        <v>74</v>
      </c>
      <c r="AE172" t="s">
        <v>74</v>
      </c>
      <c r="AF172" t="s">
        <v>74</v>
      </c>
      <c r="AG172">
        <v>50</v>
      </c>
      <c r="AH172">
        <v>107</v>
      </c>
      <c r="AI172">
        <v>113</v>
      </c>
      <c r="AJ172">
        <v>6</v>
      </c>
      <c r="AK172">
        <v>34</v>
      </c>
      <c r="AL172" t="s">
        <v>74</v>
      </c>
      <c r="AM172" t="s">
        <v>74</v>
      </c>
      <c r="AN172" t="s">
        <v>74</v>
      </c>
      <c r="AO172" t="s">
        <v>12268</v>
      </c>
      <c r="AP172" t="s">
        <v>12269</v>
      </c>
      <c r="AQ172" t="s">
        <v>74</v>
      </c>
      <c r="AR172" t="s">
        <v>74</v>
      </c>
      <c r="AS172" t="s">
        <v>74</v>
      </c>
      <c r="AT172" t="s">
        <v>9418</v>
      </c>
      <c r="AU172">
        <v>2016</v>
      </c>
      <c r="AV172">
        <v>22</v>
      </c>
      <c r="AW172">
        <v>7</v>
      </c>
      <c r="AX172" t="s">
        <v>74</v>
      </c>
      <c r="AY172" t="s">
        <v>74</v>
      </c>
      <c r="AZ172" t="s">
        <v>74</v>
      </c>
      <c r="BA172" t="s">
        <v>74</v>
      </c>
      <c r="BB172">
        <v>1757</v>
      </c>
      <c r="BC172">
        <v>1766</v>
      </c>
      <c r="BD172" t="s">
        <v>74</v>
      </c>
      <c r="BE172" t="s">
        <v>13095</v>
      </c>
      <c r="BF172" t="str">
        <f>HYPERLINK("http://dx.doi.org/10.1158/1078-0432.CCR-15-0654","http://dx.doi.org/10.1158/1078-0432.CCR-15-0654")</f>
        <v>http://dx.doi.org/10.1158/1078-0432.CCR-15-0654</v>
      </c>
      <c r="BG172" t="s">
        <v>74</v>
      </c>
      <c r="BH172" t="s">
        <v>74</v>
      </c>
      <c r="BI172" t="s">
        <v>74</v>
      </c>
      <c r="BJ172" t="s">
        <v>267</v>
      </c>
      <c r="BK172" t="s">
        <v>117</v>
      </c>
      <c r="BL172" t="s">
        <v>267</v>
      </c>
      <c r="BM172" t="s">
        <v>74</v>
      </c>
      <c r="BN172">
        <v>26603257</v>
      </c>
      <c r="BO172" t="s">
        <v>74</v>
      </c>
      <c r="BP172" t="s">
        <v>74</v>
      </c>
      <c r="BQ172" t="s">
        <v>74</v>
      </c>
      <c r="BR172" t="s">
        <v>96</v>
      </c>
      <c r="BS172" t="s">
        <v>13096</v>
      </c>
      <c r="BT172" t="str">
        <f>HYPERLINK("https%3A%2F%2Fwww.webofscience.com%2Fwos%2Fwoscc%2Ffull-record%2FWOS:000373360600023","View Full Record in Web of Science")</f>
        <v>View Full Record in Web of Science</v>
      </c>
    </row>
    <row r="173" spans="1:72" x14ac:dyDescent="0.15">
      <c r="A173" t="s">
        <v>98</v>
      </c>
      <c r="B173" t="s">
        <v>24065</v>
      </c>
      <c r="C173" t="s">
        <v>74</v>
      </c>
      <c r="D173" t="s">
        <v>74</v>
      </c>
      <c r="E173" t="s">
        <v>74</v>
      </c>
      <c r="F173" t="s">
        <v>24066</v>
      </c>
      <c r="G173" t="s">
        <v>74</v>
      </c>
      <c r="H173" t="s">
        <v>74</v>
      </c>
      <c r="I173" t="s">
        <v>24067</v>
      </c>
      <c r="J173" t="s">
        <v>12984</v>
      </c>
      <c r="K173" t="s">
        <v>74</v>
      </c>
      <c r="L173" t="s">
        <v>74</v>
      </c>
      <c r="M173" t="s">
        <v>74</v>
      </c>
      <c r="N173" t="s">
        <v>103</v>
      </c>
      <c r="O173" t="s">
        <v>74</v>
      </c>
      <c r="P173" t="s">
        <v>74</v>
      </c>
      <c r="Q173" t="s">
        <v>74</v>
      </c>
      <c r="R173" t="s">
        <v>74</v>
      </c>
      <c r="S173" t="s">
        <v>74</v>
      </c>
      <c r="T173" t="s">
        <v>74</v>
      </c>
      <c r="U173" t="s">
        <v>24068</v>
      </c>
      <c r="V173" t="s">
        <v>24069</v>
      </c>
      <c r="W173" t="s">
        <v>24070</v>
      </c>
      <c r="X173" t="s">
        <v>24071</v>
      </c>
      <c r="Y173" t="s">
        <v>24072</v>
      </c>
      <c r="Z173" t="s">
        <v>24073</v>
      </c>
      <c r="AA173" t="s">
        <v>24074</v>
      </c>
      <c r="AB173" t="s">
        <v>24075</v>
      </c>
      <c r="AC173" t="s">
        <v>74</v>
      </c>
      <c r="AD173" t="s">
        <v>74</v>
      </c>
      <c r="AE173" t="s">
        <v>74</v>
      </c>
      <c r="AF173" t="s">
        <v>74</v>
      </c>
      <c r="AG173">
        <v>114</v>
      </c>
      <c r="AH173">
        <v>107</v>
      </c>
      <c r="AI173">
        <v>112</v>
      </c>
      <c r="AJ173">
        <v>0</v>
      </c>
      <c r="AK173">
        <v>19</v>
      </c>
      <c r="AL173" t="s">
        <v>74</v>
      </c>
      <c r="AM173" t="s">
        <v>74</v>
      </c>
      <c r="AN173" t="s">
        <v>74</v>
      </c>
      <c r="AO173" t="s">
        <v>12992</v>
      </c>
      <c r="AP173" t="s">
        <v>12993</v>
      </c>
      <c r="AQ173" t="s">
        <v>74</v>
      </c>
      <c r="AR173" t="s">
        <v>74</v>
      </c>
      <c r="AS173" t="s">
        <v>74</v>
      </c>
      <c r="AT173" t="s">
        <v>614</v>
      </c>
      <c r="AU173">
        <v>2013</v>
      </c>
      <c r="AV173">
        <v>9</v>
      </c>
      <c r="AW173">
        <v>7</v>
      </c>
      <c r="AX173" t="s">
        <v>74</v>
      </c>
      <c r="AY173" t="s">
        <v>74</v>
      </c>
      <c r="AZ173" t="s">
        <v>74</v>
      </c>
      <c r="BA173" t="s">
        <v>74</v>
      </c>
      <c r="BB173" t="s">
        <v>74</v>
      </c>
      <c r="BC173" t="s">
        <v>74</v>
      </c>
      <c r="BD173" t="s">
        <v>24076</v>
      </c>
      <c r="BE173" t="s">
        <v>24077</v>
      </c>
      <c r="BF173" t="str">
        <f>HYPERLINK("http://dx.doi.org/10.1371/journal.ppat.1003484","http://dx.doi.org/10.1371/journal.ppat.1003484")</f>
        <v>http://dx.doi.org/10.1371/journal.ppat.1003484</v>
      </c>
      <c r="BG173" t="s">
        <v>74</v>
      </c>
      <c r="BH173" t="s">
        <v>74</v>
      </c>
      <c r="BI173" t="s">
        <v>74</v>
      </c>
      <c r="BJ173" t="s">
        <v>12996</v>
      </c>
      <c r="BK173" t="s">
        <v>117</v>
      </c>
      <c r="BL173" t="s">
        <v>12996</v>
      </c>
      <c r="BM173" t="s">
        <v>74</v>
      </c>
      <c r="BN173">
        <v>23874201</v>
      </c>
      <c r="BO173" t="s">
        <v>74</v>
      </c>
      <c r="BP173" t="s">
        <v>74</v>
      </c>
      <c r="BQ173" t="s">
        <v>74</v>
      </c>
      <c r="BR173" t="s">
        <v>96</v>
      </c>
      <c r="BS173" t="s">
        <v>24078</v>
      </c>
      <c r="BT173" t="str">
        <f>HYPERLINK("https%3A%2F%2Fwww.webofscience.com%2Fwos%2Fwoscc%2Ffull-record%2FWOS:000322316700031","View Full Record in Web of Science")</f>
        <v>View Full Record in Web of Science</v>
      </c>
    </row>
    <row r="174" spans="1:72" x14ac:dyDescent="0.15">
      <c r="A174" t="s">
        <v>98</v>
      </c>
      <c r="B174" t="s">
        <v>18511</v>
      </c>
      <c r="C174" t="s">
        <v>74</v>
      </c>
      <c r="D174" t="s">
        <v>74</v>
      </c>
      <c r="E174" t="s">
        <v>74</v>
      </c>
      <c r="F174" t="s">
        <v>18512</v>
      </c>
      <c r="G174" t="s">
        <v>74</v>
      </c>
      <c r="H174" t="s">
        <v>74</v>
      </c>
      <c r="I174" t="s">
        <v>18513</v>
      </c>
      <c r="J174" t="s">
        <v>1123</v>
      </c>
      <c r="K174" t="s">
        <v>74</v>
      </c>
      <c r="L174" t="s">
        <v>74</v>
      </c>
      <c r="M174" t="s">
        <v>74</v>
      </c>
      <c r="N174" t="s">
        <v>103</v>
      </c>
      <c r="O174" t="s">
        <v>74</v>
      </c>
      <c r="P174" t="s">
        <v>74</v>
      </c>
      <c r="Q174" t="s">
        <v>74</v>
      </c>
      <c r="R174" t="s">
        <v>74</v>
      </c>
      <c r="S174" t="s">
        <v>74</v>
      </c>
      <c r="T174" t="s">
        <v>18514</v>
      </c>
      <c r="U174" t="s">
        <v>18515</v>
      </c>
      <c r="V174" t="s">
        <v>18516</v>
      </c>
      <c r="W174" t="s">
        <v>18517</v>
      </c>
      <c r="X174" t="s">
        <v>18518</v>
      </c>
      <c r="Y174" t="s">
        <v>18519</v>
      </c>
      <c r="Z174" t="s">
        <v>18520</v>
      </c>
      <c r="AA174" t="s">
        <v>11390</v>
      </c>
      <c r="AB174" t="s">
        <v>74</v>
      </c>
      <c r="AC174" t="s">
        <v>74</v>
      </c>
      <c r="AD174" t="s">
        <v>74</v>
      </c>
      <c r="AE174" t="s">
        <v>74</v>
      </c>
      <c r="AF174" t="s">
        <v>74</v>
      </c>
      <c r="AG174">
        <v>42</v>
      </c>
      <c r="AH174">
        <v>106</v>
      </c>
      <c r="AI174">
        <v>108</v>
      </c>
      <c r="AJ174">
        <v>38</v>
      </c>
      <c r="AK174">
        <v>519</v>
      </c>
      <c r="AL174" t="s">
        <v>74</v>
      </c>
      <c r="AM174" t="s">
        <v>74</v>
      </c>
      <c r="AN174" t="s">
        <v>74</v>
      </c>
      <c r="AO174" t="s">
        <v>1132</v>
      </c>
      <c r="AP174" t="s">
        <v>1133</v>
      </c>
      <c r="AQ174" t="s">
        <v>74</v>
      </c>
      <c r="AR174" t="s">
        <v>74</v>
      </c>
      <c r="AS174" t="s">
        <v>74</v>
      </c>
      <c r="AT174" t="s">
        <v>4822</v>
      </c>
      <c r="AU174">
        <v>2018</v>
      </c>
      <c r="AV174">
        <v>102</v>
      </c>
      <c r="AW174" t="s">
        <v>74</v>
      </c>
      <c r="AX174" t="s">
        <v>74</v>
      </c>
      <c r="AY174" t="s">
        <v>74</v>
      </c>
      <c r="AZ174" t="s">
        <v>74</v>
      </c>
      <c r="BA174" t="s">
        <v>74</v>
      </c>
      <c r="BB174">
        <v>33</v>
      </c>
      <c r="BC174">
        <v>40</v>
      </c>
      <c r="BD174" t="s">
        <v>74</v>
      </c>
      <c r="BE174" t="s">
        <v>18521</v>
      </c>
      <c r="BF174" t="str">
        <f>HYPERLINK("http://dx.doi.org/10.1016/j.bios.2017.10.050","http://dx.doi.org/10.1016/j.bios.2017.10.050")</f>
        <v>http://dx.doi.org/10.1016/j.bios.2017.10.050</v>
      </c>
      <c r="BG174" t="s">
        <v>74</v>
      </c>
      <c r="BH174" t="s">
        <v>74</v>
      </c>
      <c r="BI174" t="s">
        <v>74</v>
      </c>
      <c r="BJ174" t="s">
        <v>1137</v>
      </c>
      <c r="BK174" t="s">
        <v>117</v>
      </c>
      <c r="BL174" t="s">
        <v>1138</v>
      </c>
      <c r="BM174" t="s">
        <v>74</v>
      </c>
      <c r="BN174">
        <v>29121557</v>
      </c>
      <c r="BO174" t="s">
        <v>74</v>
      </c>
      <c r="BP174" t="s">
        <v>74</v>
      </c>
      <c r="BQ174" t="s">
        <v>74</v>
      </c>
      <c r="BR174" t="s">
        <v>96</v>
      </c>
      <c r="BS174" t="s">
        <v>18522</v>
      </c>
      <c r="BT174" t="str">
        <f>HYPERLINK("https%3A%2F%2Fwww.webofscience.com%2Fwos%2Fwoscc%2Ffull-record%2FWOS:000424176600005","View Full Record in Web of Science")</f>
        <v>View Full Record in Web of Science</v>
      </c>
    </row>
    <row r="175" spans="1:72" x14ac:dyDescent="0.15">
      <c r="A175" t="s">
        <v>98</v>
      </c>
      <c r="B175" t="s">
        <v>21208</v>
      </c>
      <c r="C175" t="s">
        <v>74</v>
      </c>
      <c r="D175" t="s">
        <v>74</v>
      </c>
      <c r="E175" t="s">
        <v>74</v>
      </c>
      <c r="F175" t="s">
        <v>21209</v>
      </c>
      <c r="G175" t="s">
        <v>74</v>
      </c>
      <c r="H175" t="s">
        <v>74</v>
      </c>
      <c r="I175" t="s">
        <v>21210</v>
      </c>
      <c r="J175" t="s">
        <v>658</v>
      </c>
      <c r="K175" t="s">
        <v>74</v>
      </c>
      <c r="L175" t="s">
        <v>74</v>
      </c>
      <c r="M175" t="s">
        <v>74</v>
      </c>
      <c r="N175" t="s">
        <v>103</v>
      </c>
      <c r="O175" t="s">
        <v>74</v>
      </c>
      <c r="P175" t="s">
        <v>74</v>
      </c>
      <c r="Q175" t="s">
        <v>74</v>
      </c>
      <c r="R175" t="s">
        <v>74</v>
      </c>
      <c r="S175" t="s">
        <v>74</v>
      </c>
      <c r="T175" t="s">
        <v>21211</v>
      </c>
      <c r="U175" t="s">
        <v>21212</v>
      </c>
      <c r="V175" t="s">
        <v>21213</v>
      </c>
      <c r="W175" t="s">
        <v>21214</v>
      </c>
      <c r="X175" t="s">
        <v>21215</v>
      </c>
      <c r="Y175" t="s">
        <v>21216</v>
      </c>
      <c r="Z175" t="s">
        <v>21217</v>
      </c>
      <c r="AA175" t="s">
        <v>21218</v>
      </c>
      <c r="AB175" t="s">
        <v>21219</v>
      </c>
      <c r="AC175" t="s">
        <v>74</v>
      </c>
      <c r="AD175" t="s">
        <v>74</v>
      </c>
      <c r="AE175" t="s">
        <v>74</v>
      </c>
      <c r="AF175" t="s">
        <v>74</v>
      </c>
      <c r="AG175">
        <v>49</v>
      </c>
      <c r="AH175">
        <v>105</v>
      </c>
      <c r="AI175">
        <v>107</v>
      </c>
      <c r="AJ175">
        <v>0</v>
      </c>
      <c r="AK175">
        <v>26</v>
      </c>
      <c r="AL175" t="s">
        <v>74</v>
      </c>
      <c r="AM175" t="s">
        <v>74</v>
      </c>
      <c r="AN175" t="s">
        <v>74</v>
      </c>
      <c r="AO175" t="s">
        <v>668</v>
      </c>
      <c r="AP175" t="s">
        <v>74</v>
      </c>
      <c r="AQ175" t="s">
        <v>74</v>
      </c>
      <c r="AR175" t="s">
        <v>74</v>
      </c>
      <c r="AS175" t="s">
        <v>74</v>
      </c>
      <c r="AT175" t="s">
        <v>21220</v>
      </c>
      <c r="AU175">
        <v>2010</v>
      </c>
      <c r="AV175">
        <v>107</v>
      </c>
      <c r="AW175">
        <v>40</v>
      </c>
      <c r="AX175" t="s">
        <v>74</v>
      </c>
      <c r="AY175" t="s">
        <v>74</v>
      </c>
      <c r="AZ175" t="s">
        <v>74</v>
      </c>
      <c r="BA175" t="s">
        <v>74</v>
      </c>
      <c r="BB175">
        <v>17339</v>
      </c>
      <c r="BC175">
        <v>17344</v>
      </c>
      <c r="BD175" t="s">
        <v>74</v>
      </c>
      <c r="BE175" t="s">
        <v>21221</v>
      </c>
      <c r="BF175" t="str">
        <f>HYPERLINK("http://dx.doi.org/10.1073/pnas.1010026107","http://dx.doi.org/10.1073/pnas.1010026107")</f>
        <v>http://dx.doi.org/10.1073/pnas.1010026107</v>
      </c>
      <c r="BG175" t="s">
        <v>74</v>
      </c>
      <c r="BH175" t="s">
        <v>74</v>
      </c>
      <c r="BI175" t="s">
        <v>74</v>
      </c>
      <c r="BJ175" t="s">
        <v>152</v>
      </c>
      <c r="BK175" t="s">
        <v>117</v>
      </c>
      <c r="BL175" t="s">
        <v>153</v>
      </c>
      <c r="BM175" t="s">
        <v>74</v>
      </c>
      <c r="BN175">
        <v>20823220</v>
      </c>
      <c r="BO175" t="s">
        <v>74</v>
      </c>
      <c r="BP175" t="s">
        <v>74</v>
      </c>
      <c r="BQ175" t="s">
        <v>74</v>
      </c>
      <c r="BR175" t="s">
        <v>96</v>
      </c>
      <c r="BS175" t="s">
        <v>21222</v>
      </c>
      <c r="BT175" t="str">
        <f>HYPERLINK("https%3A%2F%2Fwww.webofscience.com%2Fwos%2Fwoscc%2Ffull-record%2FWOS:000282512000053","View Full Record in Web of Science")</f>
        <v>View Full Record in Web of Science</v>
      </c>
    </row>
    <row r="176" spans="1:72" x14ac:dyDescent="0.15">
      <c r="A176" t="s">
        <v>98</v>
      </c>
      <c r="B176" t="s">
        <v>1032</v>
      </c>
      <c r="C176" t="s">
        <v>74</v>
      </c>
      <c r="D176" t="s">
        <v>74</v>
      </c>
      <c r="E176" t="s">
        <v>74</v>
      </c>
      <c r="F176" t="s">
        <v>1033</v>
      </c>
      <c r="G176" t="s">
        <v>74</v>
      </c>
      <c r="H176" t="s">
        <v>74</v>
      </c>
      <c r="I176" t="s">
        <v>1034</v>
      </c>
      <c r="J176" t="s">
        <v>1035</v>
      </c>
      <c r="K176" t="s">
        <v>74</v>
      </c>
      <c r="L176" t="s">
        <v>74</v>
      </c>
      <c r="M176" t="s">
        <v>74</v>
      </c>
      <c r="N176" t="s">
        <v>103</v>
      </c>
      <c r="O176" t="s">
        <v>74</v>
      </c>
      <c r="P176" t="s">
        <v>74</v>
      </c>
      <c r="Q176" t="s">
        <v>74</v>
      </c>
      <c r="R176" t="s">
        <v>74</v>
      </c>
      <c r="S176" t="s">
        <v>74</v>
      </c>
      <c r="T176" t="s">
        <v>74</v>
      </c>
      <c r="U176" t="s">
        <v>1036</v>
      </c>
      <c r="V176" t="s">
        <v>1037</v>
      </c>
      <c r="W176" t="s">
        <v>1038</v>
      </c>
      <c r="X176" t="s">
        <v>1039</v>
      </c>
      <c r="Y176" t="s">
        <v>1040</v>
      </c>
      <c r="Z176" t="s">
        <v>1041</v>
      </c>
      <c r="AA176" t="s">
        <v>1042</v>
      </c>
      <c r="AB176" t="s">
        <v>1043</v>
      </c>
      <c r="AC176" t="s">
        <v>74</v>
      </c>
      <c r="AD176" t="s">
        <v>74</v>
      </c>
      <c r="AE176" t="s">
        <v>74</v>
      </c>
      <c r="AF176" t="s">
        <v>74</v>
      </c>
      <c r="AG176">
        <v>31</v>
      </c>
      <c r="AH176">
        <v>103</v>
      </c>
      <c r="AI176">
        <v>103</v>
      </c>
      <c r="AJ176">
        <v>23</v>
      </c>
      <c r="AK176">
        <v>248</v>
      </c>
      <c r="AL176" t="s">
        <v>74</v>
      </c>
      <c r="AM176" t="s">
        <v>74</v>
      </c>
      <c r="AN176" t="s">
        <v>74</v>
      </c>
      <c r="AO176" t="s">
        <v>1044</v>
      </c>
      <c r="AP176" t="s">
        <v>74</v>
      </c>
      <c r="AQ176" t="s">
        <v>74</v>
      </c>
      <c r="AR176" t="s">
        <v>74</v>
      </c>
      <c r="AS176" t="s">
        <v>74</v>
      </c>
      <c r="AT176" t="s">
        <v>1045</v>
      </c>
      <c r="AU176">
        <v>2019</v>
      </c>
      <c r="AV176">
        <v>141</v>
      </c>
      <c r="AW176">
        <v>9</v>
      </c>
      <c r="AX176" t="s">
        <v>74</v>
      </c>
      <c r="AY176" t="s">
        <v>74</v>
      </c>
      <c r="AZ176" t="s">
        <v>74</v>
      </c>
      <c r="BA176" t="s">
        <v>74</v>
      </c>
      <c r="BB176">
        <v>3817</v>
      </c>
      <c r="BC176">
        <v>3821</v>
      </c>
      <c r="BD176" t="s">
        <v>74</v>
      </c>
      <c r="BE176" t="s">
        <v>1046</v>
      </c>
      <c r="BF176" t="str">
        <f>HYPERLINK("http://dx.doi.org/10.1021/jacs.9b00007","http://dx.doi.org/10.1021/jacs.9b00007")</f>
        <v>http://dx.doi.org/10.1021/jacs.9b00007</v>
      </c>
      <c r="BG176" t="s">
        <v>74</v>
      </c>
      <c r="BH176" t="s">
        <v>74</v>
      </c>
      <c r="BI176" t="s">
        <v>74</v>
      </c>
      <c r="BJ176" t="s">
        <v>1047</v>
      </c>
      <c r="BK176" t="s">
        <v>117</v>
      </c>
      <c r="BL176" t="s">
        <v>1048</v>
      </c>
      <c r="BM176" t="s">
        <v>74</v>
      </c>
      <c r="BN176">
        <v>30789261</v>
      </c>
      <c r="BO176" t="s">
        <v>74</v>
      </c>
      <c r="BP176" t="s">
        <v>74</v>
      </c>
      <c r="BQ176" t="s">
        <v>74</v>
      </c>
      <c r="BR176" t="s">
        <v>96</v>
      </c>
      <c r="BS176" t="s">
        <v>1049</v>
      </c>
      <c r="BT176" t="str">
        <f>HYPERLINK("https%3A%2F%2Fwww.webofscience.com%2Fwos%2Fwoscc%2Ffull-record%2FWOS:000460996500013","View Full Record in Web of Science")</f>
        <v>View Full Record in Web of Science</v>
      </c>
    </row>
    <row r="177" spans="1:72" x14ac:dyDescent="0.15">
      <c r="A177" t="s">
        <v>98</v>
      </c>
      <c r="B177" t="s">
        <v>5232</v>
      </c>
      <c r="C177" t="s">
        <v>74</v>
      </c>
      <c r="D177" t="s">
        <v>74</v>
      </c>
      <c r="E177" t="s">
        <v>74</v>
      </c>
      <c r="F177" t="s">
        <v>5233</v>
      </c>
      <c r="G177" t="s">
        <v>74</v>
      </c>
      <c r="H177" t="s">
        <v>74</v>
      </c>
      <c r="I177" t="s">
        <v>5234</v>
      </c>
      <c r="J177" t="s">
        <v>5154</v>
      </c>
      <c r="K177" t="s">
        <v>74</v>
      </c>
      <c r="L177" t="s">
        <v>74</v>
      </c>
      <c r="M177" t="s">
        <v>74</v>
      </c>
      <c r="N177" t="s">
        <v>103</v>
      </c>
      <c r="O177" t="s">
        <v>74</v>
      </c>
      <c r="P177" t="s">
        <v>74</v>
      </c>
      <c r="Q177" t="s">
        <v>74</v>
      </c>
      <c r="R177" t="s">
        <v>74</v>
      </c>
      <c r="S177" t="s">
        <v>74</v>
      </c>
      <c r="T177" t="s">
        <v>5235</v>
      </c>
      <c r="U177" t="s">
        <v>5236</v>
      </c>
      <c r="V177" t="s">
        <v>5237</v>
      </c>
      <c r="W177" t="s">
        <v>5238</v>
      </c>
      <c r="X177" t="s">
        <v>5239</v>
      </c>
      <c r="Y177" t="s">
        <v>5240</v>
      </c>
      <c r="Z177" t="s">
        <v>5241</v>
      </c>
      <c r="AA177" t="s">
        <v>5242</v>
      </c>
      <c r="AB177" t="s">
        <v>5243</v>
      </c>
      <c r="AC177" t="s">
        <v>74</v>
      </c>
      <c r="AD177" t="s">
        <v>74</v>
      </c>
      <c r="AE177" t="s">
        <v>74</v>
      </c>
      <c r="AF177" t="s">
        <v>74</v>
      </c>
      <c r="AG177">
        <v>21</v>
      </c>
      <c r="AH177">
        <v>103</v>
      </c>
      <c r="AI177">
        <v>106</v>
      </c>
      <c r="AJ177">
        <v>3</v>
      </c>
      <c r="AK177">
        <v>17</v>
      </c>
      <c r="AL177" t="s">
        <v>74</v>
      </c>
      <c r="AM177" t="s">
        <v>74</v>
      </c>
      <c r="AN177" t="s">
        <v>74</v>
      </c>
      <c r="AO177" t="s">
        <v>5164</v>
      </c>
      <c r="AP177" t="s">
        <v>5165</v>
      </c>
      <c r="AQ177" t="s">
        <v>74</v>
      </c>
      <c r="AR177" t="s">
        <v>74</v>
      </c>
      <c r="AS177" t="s">
        <v>74</v>
      </c>
      <c r="AT177" t="s">
        <v>211</v>
      </c>
      <c r="AU177">
        <v>2017</v>
      </c>
      <c r="AV177">
        <v>19</v>
      </c>
      <c r="AW177">
        <v>11</v>
      </c>
      <c r="AX177" t="s">
        <v>74</v>
      </c>
      <c r="AY177" t="s">
        <v>74</v>
      </c>
      <c r="AZ177" t="s">
        <v>74</v>
      </c>
      <c r="BA177" t="s">
        <v>74</v>
      </c>
      <c r="BB177">
        <v>1494</v>
      </c>
      <c r="BC177">
        <v>1502</v>
      </c>
      <c r="BD177" t="s">
        <v>74</v>
      </c>
      <c r="BE177" t="s">
        <v>5244</v>
      </c>
      <c r="BF177" t="str">
        <f>HYPERLINK("http://dx.doi.org/10.1093/neuonc/nox085","http://dx.doi.org/10.1093/neuonc/nox085")</f>
        <v>http://dx.doi.org/10.1093/neuonc/nox085</v>
      </c>
      <c r="BG177" t="s">
        <v>74</v>
      </c>
      <c r="BH177" t="s">
        <v>74</v>
      </c>
      <c r="BI177" t="s">
        <v>74</v>
      </c>
      <c r="BJ177" t="s">
        <v>5167</v>
      </c>
      <c r="BK177" t="s">
        <v>117</v>
      </c>
      <c r="BL177" t="s">
        <v>5168</v>
      </c>
      <c r="BM177" t="s">
        <v>74</v>
      </c>
      <c r="BN177">
        <v>28453784</v>
      </c>
      <c r="BO177" t="s">
        <v>74</v>
      </c>
      <c r="BP177" t="s">
        <v>74</v>
      </c>
      <c r="BQ177" t="s">
        <v>74</v>
      </c>
      <c r="BR177" t="s">
        <v>96</v>
      </c>
      <c r="BS177" t="s">
        <v>5245</v>
      </c>
      <c r="BT177" t="str">
        <f>HYPERLINK("https%3A%2F%2Fwww.webofscience.com%2Fwos%2Fwoscc%2Ffull-record%2FWOS:000413219400010","View Full Record in Web of Science")</f>
        <v>View Full Record in Web of Science</v>
      </c>
    </row>
    <row r="178" spans="1:72" x14ac:dyDescent="0.15">
      <c r="A178" t="s">
        <v>98</v>
      </c>
      <c r="B178" t="s">
        <v>13340</v>
      </c>
      <c r="C178" t="s">
        <v>74</v>
      </c>
      <c r="D178" t="s">
        <v>74</v>
      </c>
      <c r="E178" t="s">
        <v>74</v>
      </c>
      <c r="F178" t="s">
        <v>13341</v>
      </c>
      <c r="G178" t="s">
        <v>74</v>
      </c>
      <c r="H178" t="s">
        <v>74</v>
      </c>
      <c r="I178" t="s">
        <v>13342</v>
      </c>
      <c r="J178" t="s">
        <v>7572</v>
      </c>
      <c r="K178" t="s">
        <v>74</v>
      </c>
      <c r="L178" t="s">
        <v>74</v>
      </c>
      <c r="M178" t="s">
        <v>74</v>
      </c>
      <c r="N178" t="s">
        <v>103</v>
      </c>
      <c r="O178" t="s">
        <v>74</v>
      </c>
      <c r="P178" t="s">
        <v>74</v>
      </c>
      <c r="Q178" t="s">
        <v>74</v>
      </c>
      <c r="R178" t="s">
        <v>74</v>
      </c>
      <c r="S178" t="s">
        <v>74</v>
      </c>
      <c r="T178" t="s">
        <v>74</v>
      </c>
      <c r="U178" t="s">
        <v>13343</v>
      </c>
      <c r="V178" t="s">
        <v>13344</v>
      </c>
      <c r="W178" t="s">
        <v>13345</v>
      </c>
      <c r="X178" t="s">
        <v>13346</v>
      </c>
      <c r="Y178" t="s">
        <v>13347</v>
      </c>
      <c r="Z178" t="s">
        <v>13348</v>
      </c>
      <c r="AA178" t="s">
        <v>74</v>
      </c>
      <c r="AB178" t="s">
        <v>74</v>
      </c>
      <c r="AC178" t="s">
        <v>74</v>
      </c>
      <c r="AD178" t="s">
        <v>74</v>
      </c>
      <c r="AE178" t="s">
        <v>74</v>
      </c>
      <c r="AF178" t="s">
        <v>74</v>
      </c>
      <c r="AG178">
        <v>54</v>
      </c>
      <c r="AH178">
        <v>103</v>
      </c>
      <c r="AI178">
        <v>106</v>
      </c>
      <c r="AJ178">
        <v>3</v>
      </c>
      <c r="AK178">
        <v>30</v>
      </c>
      <c r="AL178" t="s">
        <v>74</v>
      </c>
      <c r="AM178" t="s">
        <v>74</v>
      </c>
      <c r="AN178" t="s">
        <v>74</v>
      </c>
      <c r="AO178" t="s">
        <v>7581</v>
      </c>
      <c r="AP178" t="s">
        <v>7582</v>
      </c>
      <c r="AQ178" t="s">
        <v>74</v>
      </c>
      <c r="AR178" t="s">
        <v>74</v>
      </c>
      <c r="AS178" t="s">
        <v>74</v>
      </c>
      <c r="AT178" t="s">
        <v>170</v>
      </c>
      <c r="AU178">
        <v>2010</v>
      </c>
      <c r="AV178">
        <v>12</v>
      </c>
      <c r="AW178">
        <v>6</v>
      </c>
      <c r="AX178" t="s">
        <v>74</v>
      </c>
      <c r="AY178" t="s">
        <v>74</v>
      </c>
      <c r="AZ178" t="s">
        <v>74</v>
      </c>
      <c r="BA178" t="s">
        <v>74</v>
      </c>
      <c r="BB178">
        <v>1621</v>
      </c>
      <c r="BC178">
        <v>1629</v>
      </c>
      <c r="BD178" t="s">
        <v>74</v>
      </c>
      <c r="BE178" t="s">
        <v>13349</v>
      </c>
      <c r="BF178" t="str">
        <f>HYPERLINK("http://dx.doi.org/10.1111/j.1462-2920.2010.02208.x","http://dx.doi.org/10.1111/j.1462-2920.2010.02208.x")</f>
        <v>http://dx.doi.org/10.1111/j.1462-2920.2010.02208.x</v>
      </c>
      <c r="BG178" t="s">
        <v>74</v>
      </c>
      <c r="BH178" t="s">
        <v>74</v>
      </c>
      <c r="BI178" t="s">
        <v>74</v>
      </c>
      <c r="BJ178" t="s">
        <v>898</v>
      </c>
      <c r="BK178" t="s">
        <v>117</v>
      </c>
      <c r="BL178" t="s">
        <v>898</v>
      </c>
      <c r="BM178" t="s">
        <v>74</v>
      </c>
      <c r="BN178">
        <v>20370819</v>
      </c>
      <c r="BO178" t="s">
        <v>74</v>
      </c>
      <c r="BP178" t="s">
        <v>74</v>
      </c>
      <c r="BQ178" t="s">
        <v>74</v>
      </c>
      <c r="BR178" t="s">
        <v>96</v>
      </c>
      <c r="BS178" t="s">
        <v>13350</v>
      </c>
      <c r="BT178" t="str">
        <f>HYPERLINK("https%3A%2F%2Fwww.webofscience.com%2Fwos%2Fwoscc%2Ffull-record%2FWOS:000278394400019","View Full Record in Web of Science")</f>
        <v>View Full Record in Web of Science</v>
      </c>
    </row>
    <row r="179" spans="1:72" x14ac:dyDescent="0.15">
      <c r="A179" t="s">
        <v>98</v>
      </c>
      <c r="B179" t="s">
        <v>23405</v>
      </c>
      <c r="C179" t="s">
        <v>74</v>
      </c>
      <c r="D179" t="s">
        <v>74</v>
      </c>
      <c r="E179" t="s">
        <v>74</v>
      </c>
      <c r="F179" t="s">
        <v>23406</v>
      </c>
      <c r="G179" t="s">
        <v>74</v>
      </c>
      <c r="H179" t="s">
        <v>74</v>
      </c>
      <c r="I179" t="s">
        <v>23407</v>
      </c>
      <c r="J179" t="s">
        <v>140</v>
      </c>
      <c r="K179" t="s">
        <v>74</v>
      </c>
      <c r="L179" t="s">
        <v>74</v>
      </c>
      <c r="M179" t="s">
        <v>74</v>
      </c>
      <c r="N179" t="s">
        <v>103</v>
      </c>
      <c r="O179" t="s">
        <v>74</v>
      </c>
      <c r="P179" t="s">
        <v>74</v>
      </c>
      <c r="Q179" t="s">
        <v>74</v>
      </c>
      <c r="R179" t="s">
        <v>74</v>
      </c>
      <c r="S179" t="s">
        <v>74</v>
      </c>
      <c r="T179" t="s">
        <v>74</v>
      </c>
      <c r="U179" t="s">
        <v>23408</v>
      </c>
      <c r="V179" t="s">
        <v>23409</v>
      </c>
      <c r="W179" t="s">
        <v>23410</v>
      </c>
      <c r="X179" t="s">
        <v>23411</v>
      </c>
      <c r="Y179" t="s">
        <v>23412</v>
      </c>
      <c r="Z179" t="s">
        <v>14372</v>
      </c>
      <c r="AA179" t="s">
        <v>23413</v>
      </c>
      <c r="AB179" t="s">
        <v>23414</v>
      </c>
      <c r="AC179" t="s">
        <v>74</v>
      </c>
      <c r="AD179" t="s">
        <v>74</v>
      </c>
      <c r="AE179" t="s">
        <v>74</v>
      </c>
      <c r="AF179" t="s">
        <v>74</v>
      </c>
      <c r="AG179">
        <v>50</v>
      </c>
      <c r="AH179">
        <v>103</v>
      </c>
      <c r="AI179">
        <v>108</v>
      </c>
      <c r="AJ179">
        <v>5</v>
      </c>
      <c r="AK179">
        <v>89</v>
      </c>
      <c r="AL179" t="s">
        <v>74</v>
      </c>
      <c r="AM179" t="s">
        <v>74</v>
      </c>
      <c r="AN179" t="s">
        <v>74</v>
      </c>
      <c r="AO179" t="s">
        <v>149</v>
      </c>
      <c r="AP179" t="s">
        <v>74</v>
      </c>
      <c r="AQ179" t="s">
        <v>74</v>
      </c>
      <c r="AR179" t="s">
        <v>74</v>
      </c>
      <c r="AS179" t="s">
        <v>74</v>
      </c>
      <c r="AT179" t="s">
        <v>4952</v>
      </c>
      <c r="AU179">
        <v>2016</v>
      </c>
      <c r="AV179">
        <v>6</v>
      </c>
      <c r="AW179" t="s">
        <v>74</v>
      </c>
      <c r="AX179" t="s">
        <v>74</v>
      </c>
      <c r="AY179" t="s">
        <v>74</v>
      </c>
      <c r="AZ179" t="s">
        <v>74</v>
      </c>
      <c r="BA179" t="s">
        <v>74</v>
      </c>
      <c r="BB179" t="s">
        <v>74</v>
      </c>
      <c r="BC179" t="s">
        <v>74</v>
      </c>
      <c r="BD179">
        <v>30110</v>
      </c>
      <c r="BE179" t="s">
        <v>23415</v>
      </c>
      <c r="BF179" t="str">
        <f>HYPERLINK("http://dx.doi.org/10.1038/srep30110","http://dx.doi.org/10.1038/srep30110")</f>
        <v>http://dx.doi.org/10.1038/srep30110</v>
      </c>
      <c r="BG179" t="s">
        <v>74</v>
      </c>
      <c r="BH179" t="s">
        <v>74</v>
      </c>
      <c r="BI179" t="s">
        <v>74</v>
      </c>
      <c r="BJ179" t="s">
        <v>152</v>
      </c>
      <c r="BK179" t="s">
        <v>117</v>
      </c>
      <c r="BL179" t="s">
        <v>153</v>
      </c>
      <c r="BM179" t="s">
        <v>74</v>
      </c>
      <c r="BN179">
        <v>27443190</v>
      </c>
      <c r="BO179" t="s">
        <v>74</v>
      </c>
      <c r="BP179" t="s">
        <v>74</v>
      </c>
      <c r="BQ179" t="s">
        <v>74</v>
      </c>
      <c r="BR179" t="s">
        <v>96</v>
      </c>
      <c r="BS179" t="s">
        <v>23416</v>
      </c>
      <c r="BT179" t="str">
        <f>HYPERLINK("https%3A%2F%2Fwww.webofscience.com%2Fwos%2Fwoscc%2Ffull-record%2FWOS:000380028900001","View Full Record in Web of Science")</f>
        <v>View Full Record in Web of Science</v>
      </c>
    </row>
    <row r="180" spans="1:72" x14ac:dyDescent="0.15">
      <c r="A180" t="s">
        <v>98</v>
      </c>
      <c r="B180" t="s">
        <v>10501</v>
      </c>
      <c r="C180" t="s">
        <v>74</v>
      </c>
      <c r="D180" t="s">
        <v>74</v>
      </c>
      <c r="E180" t="s">
        <v>74</v>
      </c>
      <c r="F180" t="s">
        <v>10502</v>
      </c>
      <c r="G180" t="s">
        <v>74</v>
      </c>
      <c r="H180" t="s">
        <v>74</v>
      </c>
      <c r="I180" t="s">
        <v>10503</v>
      </c>
      <c r="J180" t="s">
        <v>3700</v>
      </c>
      <c r="K180" t="s">
        <v>74</v>
      </c>
      <c r="L180" t="s">
        <v>74</v>
      </c>
      <c r="M180" t="s">
        <v>74</v>
      </c>
      <c r="N180" t="s">
        <v>103</v>
      </c>
      <c r="O180" t="s">
        <v>74</v>
      </c>
      <c r="P180" t="s">
        <v>74</v>
      </c>
      <c r="Q180" t="s">
        <v>74</v>
      </c>
      <c r="R180" t="s">
        <v>74</v>
      </c>
      <c r="S180" t="s">
        <v>74</v>
      </c>
      <c r="T180" t="s">
        <v>74</v>
      </c>
      <c r="U180" t="s">
        <v>10504</v>
      </c>
      <c r="V180" t="s">
        <v>10505</v>
      </c>
      <c r="W180" t="s">
        <v>10506</v>
      </c>
      <c r="X180" t="s">
        <v>10507</v>
      </c>
      <c r="Y180" t="s">
        <v>10508</v>
      </c>
      <c r="Z180" t="s">
        <v>1834</v>
      </c>
      <c r="AA180" t="s">
        <v>10509</v>
      </c>
      <c r="AB180" t="s">
        <v>10510</v>
      </c>
      <c r="AC180" t="s">
        <v>74</v>
      </c>
      <c r="AD180" t="s">
        <v>74</v>
      </c>
      <c r="AE180" t="s">
        <v>74</v>
      </c>
      <c r="AF180" t="s">
        <v>74</v>
      </c>
      <c r="AG180">
        <v>134</v>
      </c>
      <c r="AH180">
        <v>102</v>
      </c>
      <c r="AI180">
        <v>108</v>
      </c>
      <c r="AJ180">
        <v>0</v>
      </c>
      <c r="AK180">
        <v>19</v>
      </c>
      <c r="AL180" t="s">
        <v>74</v>
      </c>
      <c r="AM180" t="s">
        <v>74</v>
      </c>
      <c r="AN180" t="s">
        <v>74</v>
      </c>
      <c r="AO180" t="s">
        <v>74</v>
      </c>
      <c r="AP180" t="s">
        <v>3711</v>
      </c>
      <c r="AQ180" t="s">
        <v>74</v>
      </c>
      <c r="AR180" t="s">
        <v>74</v>
      </c>
      <c r="AS180" t="s">
        <v>74</v>
      </c>
      <c r="AT180" t="s">
        <v>10511</v>
      </c>
      <c r="AU180">
        <v>2014</v>
      </c>
      <c r="AV180">
        <v>289</v>
      </c>
      <c r="AW180">
        <v>32</v>
      </c>
      <c r="AX180" t="s">
        <v>74</v>
      </c>
      <c r="AY180" t="s">
        <v>74</v>
      </c>
      <c r="AZ180" t="s">
        <v>74</v>
      </c>
      <c r="BA180" t="s">
        <v>74</v>
      </c>
      <c r="BB180">
        <v>22284</v>
      </c>
      <c r="BC180">
        <v>22305</v>
      </c>
      <c r="BD180" t="s">
        <v>74</v>
      </c>
      <c r="BE180" t="s">
        <v>10512</v>
      </c>
      <c r="BF180" t="str">
        <f>HYPERLINK("http://dx.doi.org/10.1074/jbc.M114.549659","http://dx.doi.org/10.1074/jbc.M114.549659")</f>
        <v>http://dx.doi.org/10.1074/jbc.M114.549659</v>
      </c>
      <c r="BG180" t="s">
        <v>74</v>
      </c>
      <c r="BH180" t="s">
        <v>74</v>
      </c>
      <c r="BI180" t="s">
        <v>74</v>
      </c>
      <c r="BJ180" t="s">
        <v>95</v>
      </c>
      <c r="BK180" t="s">
        <v>117</v>
      </c>
      <c r="BL180" t="s">
        <v>95</v>
      </c>
      <c r="BM180" t="s">
        <v>74</v>
      </c>
      <c r="BN180">
        <v>24939845</v>
      </c>
      <c r="BO180" t="s">
        <v>74</v>
      </c>
      <c r="BP180" t="s">
        <v>74</v>
      </c>
      <c r="BQ180" t="s">
        <v>74</v>
      </c>
      <c r="BR180" t="s">
        <v>96</v>
      </c>
      <c r="BS180" t="s">
        <v>10513</v>
      </c>
      <c r="BT180" t="str">
        <f>HYPERLINK("https%3A%2F%2Fwww.webofscience.com%2Fwos%2Fwoscc%2Ffull-record%2FWOS:000340593500041","View Full Record in Web of Science")</f>
        <v>View Full Record in Web of Science</v>
      </c>
    </row>
    <row r="181" spans="1:72" x14ac:dyDescent="0.15">
      <c r="A181" t="s">
        <v>98</v>
      </c>
      <c r="B181" t="s">
        <v>21949</v>
      </c>
      <c r="C181" t="s">
        <v>74</v>
      </c>
      <c r="D181" t="s">
        <v>74</v>
      </c>
      <c r="E181" t="s">
        <v>74</v>
      </c>
      <c r="F181" t="s">
        <v>21950</v>
      </c>
      <c r="G181" t="s">
        <v>74</v>
      </c>
      <c r="H181" t="s">
        <v>74</v>
      </c>
      <c r="I181" t="s">
        <v>21951</v>
      </c>
      <c r="J181" t="s">
        <v>381</v>
      </c>
      <c r="K181" t="s">
        <v>74</v>
      </c>
      <c r="L181" t="s">
        <v>74</v>
      </c>
      <c r="M181" t="s">
        <v>74</v>
      </c>
      <c r="N181" t="s">
        <v>103</v>
      </c>
      <c r="O181" t="s">
        <v>74</v>
      </c>
      <c r="P181" t="s">
        <v>74</v>
      </c>
      <c r="Q181" t="s">
        <v>74</v>
      </c>
      <c r="R181" t="s">
        <v>74</v>
      </c>
      <c r="S181" t="s">
        <v>74</v>
      </c>
      <c r="T181" t="s">
        <v>21952</v>
      </c>
      <c r="U181" t="s">
        <v>21953</v>
      </c>
      <c r="V181" t="s">
        <v>21954</v>
      </c>
      <c r="W181" t="s">
        <v>21955</v>
      </c>
      <c r="X181" t="s">
        <v>21956</v>
      </c>
      <c r="Y181" t="s">
        <v>21957</v>
      </c>
      <c r="Z181" t="s">
        <v>21958</v>
      </c>
      <c r="AA181" t="s">
        <v>21959</v>
      </c>
      <c r="AB181" t="s">
        <v>21960</v>
      </c>
      <c r="AC181" t="s">
        <v>74</v>
      </c>
      <c r="AD181" t="s">
        <v>74</v>
      </c>
      <c r="AE181" t="s">
        <v>74</v>
      </c>
      <c r="AF181" t="s">
        <v>74</v>
      </c>
      <c r="AG181">
        <v>47</v>
      </c>
      <c r="AH181">
        <v>102</v>
      </c>
      <c r="AI181">
        <v>105</v>
      </c>
      <c r="AJ181">
        <v>3</v>
      </c>
      <c r="AK181">
        <v>126</v>
      </c>
      <c r="AL181" t="s">
        <v>74</v>
      </c>
      <c r="AM181" t="s">
        <v>74</v>
      </c>
      <c r="AN181" t="s">
        <v>74</v>
      </c>
      <c r="AO181" t="s">
        <v>391</v>
      </c>
      <c r="AP181" t="s">
        <v>74</v>
      </c>
      <c r="AQ181" t="s">
        <v>74</v>
      </c>
      <c r="AR181" t="s">
        <v>74</v>
      </c>
      <c r="AS181" t="s">
        <v>74</v>
      </c>
      <c r="AT181" t="s">
        <v>21961</v>
      </c>
      <c r="AU181">
        <v>2012</v>
      </c>
      <c r="AV181">
        <v>163</v>
      </c>
      <c r="AW181">
        <v>3</v>
      </c>
      <c r="AX181" t="s">
        <v>74</v>
      </c>
      <c r="AY181" t="s">
        <v>74</v>
      </c>
      <c r="AZ181" t="s">
        <v>74</v>
      </c>
      <c r="BA181" t="s">
        <v>74</v>
      </c>
      <c r="BB181">
        <v>293</v>
      </c>
      <c r="BC181">
        <v>303</v>
      </c>
      <c r="BD181" t="s">
        <v>74</v>
      </c>
      <c r="BE181" t="s">
        <v>21962</v>
      </c>
      <c r="BF181" t="str">
        <f>HYPERLINK("http://dx.doi.org/10.1016/j.jconrel.2012.09.019","http://dx.doi.org/10.1016/j.jconrel.2012.09.019")</f>
        <v>http://dx.doi.org/10.1016/j.jconrel.2012.09.019</v>
      </c>
      <c r="BG181" t="s">
        <v>74</v>
      </c>
      <c r="BH181" t="s">
        <v>74</v>
      </c>
      <c r="BI181" t="s">
        <v>74</v>
      </c>
      <c r="BJ181" t="s">
        <v>396</v>
      </c>
      <c r="BK181" t="s">
        <v>117</v>
      </c>
      <c r="BL181" t="s">
        <v>397</v>
      </c>
      <c r="BM181" t="s">
        <v>74</v>
      </c>
      <c r="BN181">
        <v>23041543</v>
      </c>
      <c r="BO181" t="s">
        <v>74</v>
      </c>
      <c r="BP181" t="s">
        <v>74</v>
      </c>
      <c r="BQ181" t="s">
        <v>74</v>
      </c>
      <c r="BR181" t="s">
        <v>96</v>
      </c>
      <c r="BS181" t="s">
        <v>21963</v>
      </c>
      <c r="BT181" t="str">
        <f>HYPERLINK("https%3A%2F%2Fwww.webofscience.com%2Fwos%2Fwoscc%2Ffull-record%2FWOS:000312266500004","View Full Record in Web of Science")</f>
        <v>View Full Record in Web of Science</v>
      </c>
    </row>
    <row r="182" spans="1:72" x14ac:dyDescent="0.15">
      <c r="A182" t="s">
        <v>98</v>
      </c>
      <c r="B182" t="s">
        <v>21435</v>
      </c>
      <c r="C182" t="s">
        <v>74</v>
      </c>
      <c r="D182" t="s">
        <v>74</v>
      </c>
      <c r="E182" t="s">
        <v>74</v>
      </c>
      <c r="F182" t="s">
        <v>21436</v>
      </c>
      <c r="G182" t="s">
        <v>74</v>
      </c>
      <c r="H182" t="s">
        <v>74</v>
      </c>
      <c r="I182" t="s">
        <v>21437</v>
      </c>
      <c r="J182" t="s">
        <v>21438</v>
      </c>
      <c r="K182" t="s">
        <v>74</v>
      </c>
      <c r="L182" t="s">
        <v>74</v>
      </c>
      <c r="M182" t="s">
        <v>74</v>
      </c>
      <c r="N182" t="s">
        <v>103</v>
      </c>
      <c r="O182" t="s">
        <v>74</v>
      </c>
      <c r="P182" t="s">
        <v>74</v>
      </c>
      <c r="Q182" t="s">
        <v>74</v>
      </c>
      <c r="R182" t="s">
        <v>74</v>
      </c>
      <c r="S182" t="s">
        <v>74</v>
      </c>
      <c r="T182" t="s">
        <v>21439</v>
      </c>
      <c r="U182" t="s">
        <v>21440</v>
      </c>
      <c r="V182" t="s">
        <v>21441</v>
      </c>
      <c r="W182" t="s">
        <v>21442</v>
      </c>
      <c r="X182" t="s">
        <v>21443</v>
      </c>
      <c r="Y182" t="s">
        <v>21444</v>
      </c>
      <c r="Z182" t="s">
        <v>21445</v>
      </c>
      <c r="AA182" t="s">
        <v>21446</v>
      </c>
      <c r="AB182" t="s">
        <v>21447</v>
      </c>
      <c r="AC182" t="s">
        <v>74</v>
      </c>
      <c r="AD182" t="s">
        <v>74</v>
      </c>
      <c r="AE182" t="s">
        <v>74</v>
      </c>
      <c r="AF182" t="s">
        <v>74</v>
      </c>
      <c r="AG182">
        <v>64</v>
      </c>
      <c r="AH182">
        <v>101</v>
      </c>
      <c r="AI182">
        <v>106</v>
      </c>
      <c r="AJ182">
        <v>8</v>
      </c>
      <c r="AK182">
        <v>81</v>
      </c>
      <c r="AL182" t="s">
        <v>74</v>
      </c>
      <c r="AM182" t="s">
        <v>74</v>
      </c>
      <c r="AN182" t="s">
        <v>74</v>
      </c>
      <c r="AO182" t="s">
        <v>21448</v>
      </c>
      <c r="AP182" t="s">
        <v>21449</v>
      </c>
      <c r="AQ182" t="s">
        <v>74</v>
      </c>
      <c r="AR182" t="s">
        <v>74</v>
      </c>
      <c r="AS182" t="s">
        <v>74</v>
      </c>
      <c r="AT182" t="s">
        <v>170</v>
      </c>
      <c r="AU182">
        <v>2017</v>
      </c>
      <c r="AV182">
        <v>27</v>
      </c>
      <c r="AW182">
        <v>6</v>
      </c>
      <c r="AX182" t="s">
        <v>74</v>
      </c>
      <c r="AY182" t="s">
        <v>74</v>
      </c>
      <c r="AZ182" t="s">
        <v>74</v>
      </c>
      <c r="BA182" t="s">
        <v>74</v>
      </c>
      <c r="BB182">
        <v>784</v>
      </c>
      <c r="BC182">
        <v>800</v>
      </c>
      <c r="BD182" t="s">
        <v>74</v>
      </c>
      <c r="BE182" t="s">
        <v>21450</v>
      </c>
      <c r="BF182" t="str">
        <f>HYPERLINK("http://dx.doi.org/10.1038/cr.2017.54","http://dx.doi.org/10.1038/cr.2017.54")</f>
        <v>http://dx.doi.org/10.1038/cr.2017.54</v>
      </c>
      <c r="BG182" t="s">
        <v>74</v>
      </c>
      <c r="BH182" t="s">
        <v>74</v>
      </c>
      <c r="BI182" t="s">
        <v>74</v>
      </c>
      <c r="BJ182" t="s">
        <v>135</v>
      </c>
      <c r="BK182" t="s">
        <v>117</v>
      </c>
      <c r="BL182" t="s">
        <v>135</v>
      </c>
      <c r="BM182" t="s">
        <v>74</v>
      </c>
      <c r="BN182">
        <v>28409562</v>
      </c>
      <c r="BO182" t="s">
        <v>74</v>
      </c>
      <c r="BP182" t="s">
        <v>74</v>
      </c>
      <c r="BQ182" t="s">
        <v>74</v>
      </c>
      <c r="BR182" t="s">
        <v>96</v>
      </c>
      <c r="BS182" t="s">
        <v>21451</v>
      </c>
      <c r="BT182" t="str">
        <f>HYPERLINK("https%3A%2F%2Fwww.webofscience.com%2Fwos%2Fwoscc%2Ffull-record%2FWOS:000402545200009","View Full Record in Web of Science")</f>
        <v>View Full Record in Web of Science</v>
      </c>
    </row>
    <row r="183" spans="1:72" x14ac:dyDescent="0.15">
      <c r="A183" t="s">
        <v>98</v>
      </c>
      <c r="B183" t="s">
        <v>22772</v>
      </c>
      <c r="C183" t="s">
        <v>74</v>
      </c>
      <c r="D183" t="s">
        <v>74</v>
      </c>
      <c r="E183" t="s">
        <v>74</v>
      </c>
      <c r="F183" t="s">
        <v>22773</v>
      </c>
      <c r="G183" t="s">
        <v>74</v>
      </c>
      <c r="H183" t="s">
        <v>74</v>
      </c>
      <c r="I183" t="s">
        <v>22774</v>
      </c>
      <c r="J183" t="s">
        <v>22775</v>
      </c>
      <c r="K183" t="s">
        <v>74</v>
      </c>
      <c r="L183" t="s">
        <v>74</v>
      </c>
      <c r="M183" t="s">
        <v>74</v>
      </c>
      <c r="N183" t="s">
        <v>103</v>
      </c>
      <c r="O183" t="s">
        <v>74</v>
      </c>
      <c r="P183" t="s">
        <v>74</v>
      </c>
      <c r="Q183" t="s">
        <v>74</v>
      </c>
      <c r="R183" t="s">
        <v>74</v>
      </c>
      <c r="S183" t="s">
        <v>74</v>
      </c>
      <c r="T183" t="s">
        <v>74</v>
      </c>
      <c r="U183" t="s">
        <v>22776</v>
      </c>
      <c r="V183" t="s">
        <v>22777</v>
      </c>
      <c r="W183" t="s">
        <v>22778</v>
      </c>
      <c r="X183" t="s">
        <v>22779</v>
      </c>
      <c r="Y183" t="s">
        <v>22780</v>
      </c>
      <c r="Z183" t="s">
        <v>22781</v>
      </c>
      <c r="AA183" t="s">
        <v>22782</v>
      </c>
      <c r="AB183" t="s">
        <v>22783</v>
      </c>
      <c r="AC183" t="s">
        <v>74</v>
      </c>
      <c r="AD183" t="s">
        <v>74</v>
      </c>
      <c r="AE183" t="s">
        <v>74</v>
      </c>
      <c r="AF183" t="s">
        <v>74</v>
      </c>
      <c r="AG183">
        <v>42</v>
      </c>
      <c r="AH183">
        <v>100</v>
      </c>
      <c r="AI183">
        <v>101</v>
      </c>
      <c r="AJ183">
        <v>0</v>
      </c>
      <c r="AK183">
        <v>7</v>
      </c>
      <c r="AL183" t="s">
        <v>74</v>
      </c>
      <c r="AM183" t="s">
        <v>74</v>
      </c>
      <c r="AN183" t="s">
        <v>74</v>
      </c>
      <c r="AO183" t="s">
        <v>22784</v>
      </c>
      <c r="AP183" t="s">
        <v>74</v>
      </c>
      <c r="AQ183" t="s">
        <v>74</v>
      </c>
      <c r="AR183" t="s">
        <v>74</v>
      </c>
      <c r="AS183" t="s">
        <v>74</v>
      </c>
      <c r="AT183" t="s">
        <v>170</v>
      </c>
      <c r="AU183">
        <v>2017</v>
      </c>
      <c r="AV183">
        <v>15</v>
      </c>
      <c r="AW183">
        <v>6</v>
      </c>
      <c r="AX183" t="s">
        <v>74</v>
      </c>
      <c r="AY183" t="s">
        <v>74</v>
      </c>
      <c r="AZ183" t="s">
        <v>74</v>
      </c>
      <c r="BA183" t="s">
        <v>74</v>
      </c>
      <c r="BB183" t="s">
        <v>74</v>
      </c>
      <c r="BC183" t="s">
        <v>74</v>
      </c>
      <c r="BD183" t="s">
        <v>22785</v>
      </c>
      <c r="BE183" t="s">
        <v>22786</v>
      </c>
      <c r="BF183" t="str">
        <f>HYPERLINK("http://dx.doi.org/10.1371/journal.pbio.2002711","http://dx.doi.org/10.1371/journal.pbio.2002711")</f>
        <v>http://dx.doi.org/10.1371/journal.pbio.2002711</v>
      </c>
      <c r="BG183" t="s">
        <v>74</v>
      </c>
      <c r="BH183" t="s">
        <v>74</v>
      </c>
      <c r="BI183" t="s">
        <v>74</v>
      </c>
      <c r="BJ183" t="s">
        <v>22787</v>
      </c>
      <c r="BK183" t="s">
        <v>117</v>
      </c>
      <c r="BL183" t="s">
        <v>22788</v>
      </c>
      <c r="BM183" t="s">
        <v>74</v>
      </c>
      <c r="BN183">
        <v>28650960</v>
      </c>
      <c r="BO183" t="s">
        <v>74</v>
      </c>
      <c r="BP183" t="s">
        <v>74</v>
      </c>
      <c r="BQ183" t="s">
        <v>74</v>
      </c>
      <c r="BR183" t="s">
        <v>96</v>
      </c>
      <c r="BS183" t="s">
        <v>22789</v>
      </c>
      <c r="BT183" t="str">
        <f>HYPERLINK("https%3A%2F%2Fwww.webofscience.com%2Fwos%2Fwoscc%2Ffull-record%2FWOS:000404510400023","View Full Record in Web of Science")</f>
        <v>View Full Record in Web of Science</v>
      </c>
    </row>
    <row r="184" spans="1:72" x14ac:dyDescent="0.15">
      <c r="A184" t="s">
        <v>98</v>
      </c>
      <c r="B184" t="s">
        <v>24982</v>
      </c>
      <c r="C184" t="s">
        <v>74</v>
      </c>
      <c r="D184" t="s">
        <v>74</v>
      </c>
      <c r="E184" t="s">
        <v>74</v>
      </c>
      <c r="F184" t="s">
        <v>24982</v>
      </c>
      <c r="G184" t="s">
        <v>74</v>
      </c>
      <c r="H184" t="s">
        <v>74</v>
      </c>
      <c r="I184" t="s">
        <v>24983</v>
      </c>
      <c r="J184" t="s">
        <v>20726</v>
      </c>
      <c r="K184" t="s">
        <v>74</v>
      </c>
      <c r="L184" t="s">
        <v>74</v>
      </c>
      <c r="M184" t="s">
        <v>74</v>
      </c>
      <c r="N184" t="s">
        <v>103</v>
      </c>
      <c r="O184" t="s">
        <v>74</v>
      </c>
      <c r="P184" t="s">
        <v>74</v>
      </c>
      <c r="Q184" t="s">
        <v>74</v>
      </c>
      <c r="R184" t="s">
        <v>74</v>
      </c>
      <c r="S184" t="s">
        <v>74</v>
      </c>
      <c r="T184" t="s">
        <v>74</v>
      </c>
      <c r="U184" t="s">
        <v>24984</v>
      </c>
      <c r="V184" t="s">
        <v>24985</v>
      </c>
      <c r="W184" t="s">
        <v>24986</v>
      </c>
      <c r="X184" t="s">
        <v>24987</v>
      </c>
      <c r="Y184" t="s">
        <v>74</v>
      </c>
      <c r="Z184" t="s">
        <v>74</v>
      </c>
      <c r="AA184" t="s">
        <v>74</v>
      </c>
      <c r="AB184" t="s">
        <v>74</v>
      </c>
      <c r="AC184" t="s">
        <v>74</v>
      </c>
      <c r="AD184" t="s">
        <v>74</v>
      </c>
      <c r="AE184" t="s">
        <v>74</v>
      </c>
      <c r="AF184" t="s">
        <v>74</v>
      </c>
      <c r="AG184">
        <v>32</v>
      </c>
      <c r="AH184">
        <v>100</v>
      </c>
      <c r="AI184">
        <v>102</v>
      </c>
      <c r="AJ184">
        <v>0</v>
      </c>
      <c r="AK184">
        <v>2</v>
      </c>
      <c r="AL184" t="s">
        <v>74</v>
      </c>
      <c r="AM184" t="s">
        <v>74</v>
      </c>
      <c r="AN184" t="s">
        <v>74</v>
      </c>
      <c r="AO184" t="s">
        <v>20733</v>
      </c>
      <c r="AP184" t="s">
        <v>74</v>
      </c>
      <c r="AQ184" t="s">
        <v>74</v>
      </c>
      <c r="AR184" t="s">
        <v>74</v>
      </c>
      <c r="AS184" t="s">
        <v>74</v>
      </c>
      <c r="AT184" t="s">
        <v>13457</v>
      </c>
      <c r="AU184">
        <v>1995</v>
      </c>
      <c r="AV184">
        <v>34</v>
      </c>
      <c r="AW184">
        <v>24</v>
      </c>
      <c r="AX184" t="s">
        <v>74</v>
      </c>
      <c r="AY184" t="s">
        <v>74</v>
      </c>
      <c r="AZ184" t="s">
        <v>74</v>
      </c>
      <c r="BA184" t="s">
        <v>74</v>
      </c>
      <c r="BB184">
        <v>7788</v>
      </c>
      <c r="BC184">
        <v>7795</v>
      </c>
      <c r="BD184" t="s">
        <v>74</v>
      </c>
      <c r="BE184" t="s">
        <v>24988</v>
      </c>
      <c r="BF184" t="str">
        <f>HYPERLINK("http://dx.doi.org/10.1021/bi00024a002","http://dx.doi.org/10.1021/bi00024a002")</f>
        <v>http://dx.doi.org/10.1021/bi00024a002</v>
      </c>
      <c r="BG184" t="s">
        <v>74</v>
      </c>
      <c r="BH184" t="s">
        <v>74</v>
      </c>
      <c r="BI184" t="s">
        <v>74</v>
      </c>
      <c r="BJ184" t="s">
        <v>95</v>
      </c>
      <c r="BK184" t="s">
        <v>117</v>
      </c>
      <c r="BL184" t="s">
        <v>95</v>
      </c>
      <c r="BM184" t="s">
        <v>74</v>
      </c>
      <c r="BN184">
        <v>7794889</v>
      </c>
      <c r="BO184" t="s">
        <v>74</v>
      </c>
      <c r="BP184" t="s">
        <v>74</v>
      </c>
      <c r="BQ184" t="s">
        <v>74</v>
      </c>
      <c r="BR184" t="s">
        <v>96</v>
      </c>
      <c r="BS184" t="s">
        <v>24989</v>
      </c>
      <c r="BT184" t="str">
        <f>HYPERLINK("https%3A%2F%2Fwww.webofscience.com%2Fwos%2Fwoscc%2Ffull-record%2FWOS:A1995RE64500002","View Full Record in Web of Science")</f>
        <v>View Full Record in Web of Science</v>
      </c>
    </row>
    <row r="185" spans="1:72" x14ac:dyDescent="0.15">
      <c r="A185" t="s">
        <v>98</v>
      </c>
      <c r="B185" t="s">
        <v>22282</v>
      </c>
      <c r="C185" t="s">
        <v>74</v>
      </c>
      <c r="D185" t="s">
        <v>74</v>
      </c>
      <c r="E185" t="s">
        <v>74</v>
      </c>
      <c r="F185" t="s">
        <v>22283</v>
      </c>
      <c r="G185" t="s">
        <v>74</v>
      </c>
      <c r="H185" t="s">
        <v>74</v>
      </c>
      <c r="I185" t="s">
        <v>22284</v>
      </c>
      <c r="J185" t="s">
        <v>22285</v>
      </c>
      <c r="K185" t="s">
        <v>74</v>
      </c>
      <c r="L185" t="s">
        <v>74</v>
      </c>
      <c r="M185" t="s">
        <v>74</v>
      </c>
      <c r="N185" t="s">
        <v>103</v>
      </c>
      <c r="O185" t="s">
        <v>74</v>
      </c>
      <c r="P185" t="s">
        <v>74</v>
      </c>
      <c r="Q185" t="s">
        <v>74</v>
      </c>
      <c r="R185" t="s">
        <v>74</v>
      </c>
      <c r="S185" t="s">
        <v>74</v>
      </c>
      <c r="T185" t="s">
        <v>22286</v>
      </c>
      <c r="U185" t="s">
        <v>22287</v>
      </c>
      <c r="V185" t="s">
        <v>22288</v>
      </c>
      <c r="W185" t="s">
        <v>22289</v>
      </c>
      <c r="X185" t="s">
        <v>22290</v>
      </c>
      <c r="Y185" t="s">
        <v>22291</v>
      </c>
      <c r="Z185" t="s">
        <v>22292</v>
      </c>
      <c r="AA185" t="s">
        <v>22293</v>
      </c>
      <c r="AB185" t="s">
        <v>74</v>
      </c>
      <c r="AC185" t="s">
        <v>74</v>
      </c>
      <c r="AD185" t="s">
        <v>74</v>
      </c>
      <c r="AE185" t="s">
        <v>74</v>
      </c>
      <c r="AF185" t="s">
        <v>74</v>
      </c>
      <c r="AG185">
        <v>48</v>
      </c>
      <c r="AH185">
        <v>99</v>
      </c>
      <c r="AI185">
        <v>112</v>
      </c>
      <c r="AJ185">
        <v>4</v>
      </c>
      <c r="AK185">
        <v>28</v>
      </c>
      <c r="AL185" t="s">
        <v>74</v>
      </c>
      <c r="AM185" t="s">
        <v>74</v>
      </c>
      <c r="AN185" t="s">
        <v>74</v>
      </c>
      <c r="AO185" t="s">
        <v>22294</v>
      </c>
      <c r="AP185" t="s">
        <v>22295</v>
      </c>
      <c r="AQ185" t="s">
        <v>74</v>
      </c>
      <c r="AR185" t="s">
        <v>74</v>
      </c>
      <c r="AS185" t="s">
        <v>74</v>
      </c>
      <c r="AT185" t="s">
        <v>17423</v>
      </c>
      <c r="AU185">
        <v>2015</v>
      </c>
      <c r="AV185">
        <v>12</v>
      </c>
      <c r="AW185">
        <v>12</v>
      </c>
      <c r="AX185" t="s">
        <v>74</v>
      </c>
      <c r="AY185" t="s">
        <v>74</v>
      </c>
      <c r="AZ185" t="s">
        <v>74</v>
      </c>
      <c r="BA185" t="s">
        <v>74</v>
      </c>
      <c r="BB185">
        <v>1355</v>
      </c>
      <c r="BC185">
        <v>1363</v>
      </c>
      <c r="BD185" t="s">
        <v>74</v>
      </c>
      <c r="BE185" t="s">
        <v>22296</v>
      </c>
      <c r="BF185" t="str">
        <f>HYPERLINK("http://dx.doi.org/10.1080/15476286.2015.1100795","http://dx.doi.org/10.1080/15476286.2015.1100795")</f>
        <v>http://dx.doi.org/10.1080/15476286.2015.1100795</v>
      </c>
      <c r="BG185" t="s">
        <v>74</v>
      </c>
      <c r="BH185" t="s">
        <v>74</v>
      </c>
      <c r="BI185" t="s">
        <v>74</v>
      </c>
      <c r="BJ185" t="s">
        <v>95</v>
      </c>
      <c r="BK185" t="s">
        <v>117</v>
      </c>
      <c r="BL185" t="s">
        <v>95</v>
      </c>
      <c r="BM185" t="s">
        <v>74</v>
      </c>
      <c r="BN185">
        <v>26488306</v>
      </c>
      <c r="BO185" t="s">
        <v>74</v>
      </c>
      <c r="BP185" t="s">
        <v>74</v>
      </c>
      <c r="BQ185" t="s">
        <v>74</v>
      </c>
      <c r="BR185" t="s">
        <v>96</v>
      </c>
      <c r="BS185" t="s">
        <v>22297</v>
      </c>
      <c r="BT185" t="str">
        <f>HYPERLINK("https%3A%2F%2Fwww.webofscience.com%2Fwos%2Fwoscc%2Ffull-record%2FWOS:000368027500008","View Full Record in Web of Science")</f>
        <v>View Full Record in Web of Science</v>
      </c>
    </row>
    <row r="186" spans="1:72" x14ac:dyDescent="0.15">
      <c r="A186" t="s">
        <v>98</v>
      </c>
      <c r="B186" t="s">
        <v>12800</v>
      </c>
      <c r="C186" t="s">
        <v>74</v>
      </c>
      <c r="D186" t="s">
        <v>74</v>
      </c>
      <c r="E186" t="s">
        <v>74</v>
      </c>
      <c r="F186" t="s">
        <v>12801</v>
      </c>
      <c r="G186" t="s">
        <v>74</v>
      </c>
      <c r="H186" t="s">
        <v>74</v>
      </c>
      <c r="I186" t="s">
        <v>12802</v>
      </c>
      <c r="J186" t="s">
        <v>1073</v>
      </c>
      <c r="K186" t="s">
        <v>74</v>
      </c>
      <c r="L186" t="s">
        <v>74</v>
      </c>
      <c r="M186" t="s">
        <v>74</v>
      </c>
      <c r="N186" t="s">
        <v>103</v>
      </c>
      <c r="O186" t="s">
        <v>74</v>
      </c>
      <c r="P186" t="s">
        <v>74</v>
      </c>
      <c r="Q186" t="s">
        <v>74</v>
      </c>
      <c r="R186" t="s">
        <v>74</v>
      </c>
      <c r="S186" t="s">
        <v>74</v>
      </c>
      <c r="T186" t="s">
        <v>74</v>
      </c>
      <c r="U186" t="s">
        <v>12803</v>
      </c>
      <c r="V186" t="s">
        <v>12804</v>
      </c>
      <c r="W186" t="s">
        <v>12805</v>
      </c>
      <c r="X186" t="s">
        <v>12806</v>
      </c>
      <c r="Y186" t="s">
        <v>12807</v>
      </c>
      <c r="Z186" t="s">
        <v>12808</v>
      </c>
      <c r="AA186" t="s">
        <v>74</v>
      </c>
      <c r="AB186" t="s">
        <v>74</v>
      </c>
      <c r="AC186" t="s">
        <v>74</v>
      </c>
      <c r="AD186" t="s">
        <v>74</v>
      </c>
      <c r="AE186" t="s">
        <v>74</v>
      </c>
      <c r="AF186" t="s">
        <v>74</v>
      </c>
      <c r="AG186">
        <v>74</v>
      </c>
      <c r="AH186">
        <v>98</v>
      </c>
      <c r="AI186">
        <v>103</v>
      </c>
      <c r="AJ186">
        <v>1</v>
      </c>
      <c r="AK186">
        <v>39</v>
      </c>
      <c r="AL186" t="s">
        <v>74</v>
      </c>
      <c r="AM186" t="s">
        <v>74</v>
      </c>
      <c r="AN186" t="s">
        <v>74</v>
      </c>
      <c r="AO186" t="s">
        <v>1082</v>
      </c>
      <c r="AP186" t="s">
        <v>74</v>
      </c>
      <c r="AQ186" t="s">
        <v>74</v>
      </c>
      <c r="AR186" t="s">
        <v>74</v>
      </c>
      <c r="AS186" t="s">
        <v>74</v>
      </c>
      <c r="AT186" t="s">
        <v>12712</v>
      </c>
      <c r="AU186">
        <v>2014</v>
      </c>
      <c r="AV186">
        <v>9</v>
      </c>
      <c r="AW186">
        <v>5</v>
      </c>
      <c r="AX186" t="s">
        <v>74</v>
      </c>
      <c r="AY186" t="s">
        <v>74</v>
      </c>
      <c r="AZ186" t="s">
        <v>74</v>
      </c>
      <c r="BA186" t="s">
        <v>74</v>
      </c>
      <c r="BB186" t="s">
        <v>74</v>
      </c>
      <c r="BC186" t="s">
        <v>74</v>
      </c>
      <c r="BD186" t="s">
        <v>12809</v>
      </c>
      <c r="BE186" t="s">
        <v>12810</v>
      </c>
      <c r="BF186" t="str">
        <f>HYPERLINK("http://dx.doi.org/10.1371/journal.pone.0097580","http://dx.doi.org/10.1371/journal.pone.0097580")</f>
        <v>http://dx.doi.org/10.1371/journal.pone.0097580</v>
      </c>
      <c r="BG186" t="s">
        <v>74</v>
      </c>
      <c r="BH186" t="s">
        <v>74</v>
      </c>
      <c r="BI186" t="s">
        <v>74</v>
      </c>
      <c r="BJ186" t="s">
        <v>152</v>
      </c>
      <c r="BK186" t="s">
        <v>117</v>
      </c>
      <c r="BL186" t="s">
        <v>153</v>
      </c>
      <c r="BM186" t="s">
        <v>74</v>
      </c>
      <c r="BN186">
        <v>24831807</v>
      </c>
      <c r="BO186" t="s">
        <v>74</v>
      </c>
      <c r="BP186" t="s">
        <v>74</v>
      </c>
      <c r="BQ186" t="s">
        <v>74</v>
      </c>
      <c r="BR186" t="s">
        <v>96</v>
      </c>
      <c r="BS186" t="s">
        <v>12811</v>
      </c>
      <c r="BT186" t="str">
        <f>HYPERLINK("https%3A%2F%2Fwww.webofscience.com%2Fwos%2Fwoscc%2Ffull-record%2FWOS:000336789500081","View Full Record in Web of Science")</f>
        <v>View Full Record in Web of Science</v>
      </c>
    </row>
    <row r="187" spans="1:72" x14ac:dyDescent="0.15">
      <c r="A187" t="s">
        <v>98</v>
      </c>
      <c r="B187" t="s">
        <v>19161</v>
      </c>
      <c r="C187" t="s">
        <v>74</v>
      </c>
      <c r="D187" t="s">
        <v>74</v>
      </c>
      <c r="E187" t="s">
        <v>74</v>
      </c>
      <c r="F187" t="s">
        <v>19162</v>
      </c>
      <c r="G187" t="s">
        <v>74</v>
      </c>
      <c r="H187" t="s">
        <v>74</v>
      </c>
      <c r="I187" t="s">
        <v>19163</v>
      </c>
      <c r="J187" t="s">
        <v>19164</v>
      </c>
      <c r="K187" t="s">
        <v>74</v>
      </c>
      <c r="L187" t="s">
        <v>74</v>
      </c>
      <c r="M187" t="s">
        <v>74</v>
      </c>
      <c r="N187" t="s">
        <v>103</v>
      </c>
      <c r="O187" t="s">
        <v>74</v>
      </c>
      <c r="P187" t="s">
        <v>74</v>
      </c>
      <c r="Q187" t="s">
        <v>74</v>
      </c>
      <c r="R187" t="s">
        <v>74</v>
      </c>
      <c r="S187" t="s">
        <v>74</v>
      </c>
      <c r="T187" t="s">
        <v>19165</v>
      </c>
      <c r="U187" t="s">
        <v>19166</v>
      </c>
      <c r="V187" t="s">
        <v>19167</v>
      </c>
      <c r="W187" t="s">
        <v>19168</v>
      </c>
      <c r="X187" t="s">
        <v>19169</v>
      </c>
      <c r="Y187" t="s">
        <v>19170</v>
      </c>
      <c r="Z187" t="s">
        <v>19171</v>
      </c>
      <c r="AA187" t="s">
        <v>10538</v>
      </c>
      <c r="AB187" t="s">
        <v>19172</v>
      </c>
      <c r="AC187" t="s">
        <v>74</v>
      </c>
      <c r="AD187" t="s">
        <v>74</v>
      </c>
      <c r="AE187" t="s">
        <v>74</v>
      </c>
      <c r="AF187" t="s">
        <v>74</v>
      </c>
      <c r="AG187">
        <v>57</v>
      </c>
      <c r="AH187">
        <v>98</v>
      </c>
      <c r="AI187">
        <v>100</v>
      </c>
      <c r="AJ187">
        <v>7</v>
      </c>
      <c r="AK187">
        <v>70</v>
      </c>
      <c r="AL187" t="s">
        <v>74</v>
      </c>
      <c r="AM187" t="s">
        <v>74</v>
      </c>
      <c r="AN187" t="s">
        <v>74</v>
      </c>
      <c r="AO187" t="s">
        <v>19173</v>
      </c>
      <c r="AP187" t="s">
        <v>19174</v>
      </c>
      <c r="AQ187" t="s">
        <v>74</v>
      </c>
      <c r="AR187" t="s">
        <v>74</v>
      </c>
      <c r="AS187" t="s">
        <v>74</v>
      </c>
      <c r="AT187" t="s">
        <v>189</v>
      </c>
      <c r="AU187">
        <v>2017</v>
      </c>
      <c r="AV187">
        <v>61</v>
      </c>
      <c r="AW187">
        <v>10</v>
      </c>
      <c r="AX187" t="s">
        <v>74</v>
      </c>
      <c r="AY187" t="s">
        <v>74</v>
      </c>
      <c r="AZ187" t="s">
        <v>74</v>
      </c>
      <c r="BA187" t="s">
        <v>74</v>
      </c>
      <c r="BB187" t="s">
        <v>74</v>
      </c>
      <c r="BC187" t="s">
        <v>74</v>
      </c>
      <c r="BD187">
        <v>1700009</v>
      </c>
      <c r="BE187" t="s">
        <v>19175</v>
      </c>
      <c r="BF187" t="str">
        <f>HYPERLINK("http://dx.doi.org/10.1002/mnfr.201700009","http://dx.doi.org/10.1002/mnfr.201700009")</f>
        <v>http://dx.doi.org/10.1002/mnfr.201700009</v>
      </c>
      <c r="BG187" t="s">
        <v>74</v>
      </c>
      <c r="BH187" t="s">
        <v>74</v>
      </c>
      <c r="BI187" t="s">
        <v>74</v>
      </c>
      <c r="BJ187" t="s">
        <v>15248</v>
      </c>
      <c r="BK187" t="s">
        <v>117</v>
      </c>
      <c r="BL187" t="s">
        <v>15248</v>
      </c>
      <c r="BM187" t="s">
        <v>74</v>
      </c>
      <c r="BN187">
        <v>28643865</v>
      </c>
      <c r="BO187" t="s">
        <v>74</v>
      </c>
      <c r="BP187" t="s">
        <v>74</v>
      </c>
      <c r="BQ187" t="s">
        <v>74</v>
      </c>
      <c r="BR187" t="s">
        <v>96</v>
      </c>
      <c r="BS187" t="s">
        <v>19176</v>
      </c>
      <c r="BT187" t="str">
        <f>HYPERLINK("https%3A%2F%2Fwww.webofscience.com%2Fwos%2Fwoscc%2Ffull-record%2FWOS:000412325200033","View Full Record in Web of Science")</f>
        <v>View Full Record in Web of Science</v>
      </c>
    </row>
    <row r="188" spans="1:72" x14ac:dyDescent="0.15">
      <c r="A188" t="s">
        <v>98</v>
      </c>
      <c r="B188" t="s">
        <v>9662</v>
      </c>
      <c r="C188" t="s">
        <v>74</v>
      </c>
      <c r="D188" t="s">
        <v>74</v>
      </c>
      <c r="E188" t="s">
        <v>74</v>
      </c>
      <c r="F188" t="s">
        <v>9663</v>
      </c>
      <c r="G188" t="s">
        <v>74</v>
      </c>
      <c r="H188" t="s">
        <v>74</v>
      </c>
      <c r="I188" t="s">
        <v>9664</v>
      </c>
      <c r="J188" t="s">
        <v>1073</v>
      </c>
      <c r="K188" t="s">
        <v>74</v>
      </c>
      <c r="L188" t="s">
        <v>74</v>
      </c>
      <c r="M188" t="s">
        <v>74</v>
      </c>
      <c r="N188" t="s">
        <v>103</v>
      </c>
      <c r="O188" t="s">
        <v>74</v>
      </c>
      <c r="P188" t="s">
        <v>74</v>
      </c>
      <c r="Q188" t="s">
        <v>74</v>
      </c>
      <c r="R188" t="s">
        <v>74</v>
      </c>
      <c r="S188" t="s">
        <v>74</v>
      </c>
      <c r="T188" t="s">
        <v>74</v>
      </c>
      <c r="U188" t="s">
        <v>9665</v>
      </c>
      <c r="V188" t="s">
        <v>9666</v>
      </c>
      <c r="W188" t="s">
        <v>9667</v>
      </c>
      <c r="X188" t="s">
        <v>9668</v>
      </c>
      <c r="Y188" t="s">
        <v>9669</v>
      </c>
      <c r="Z188" t="s">
        <v>9670</v>
      </c>
      <c r="AA188" t="s">
        <v>9671</v>
      </c>
      <c r="AB188" t="s">
        <v>9672</v>
      </c>
      <c r="AC188" t="s">
        <v>74</v>
      </c>
      <c r="AD188" t="s">
        <v>74</v>
      </c>
      <c r="AE188" t="s">
        <v>74</v>
      </c>
      <c r="AF188" t="s">
        <v>74</v>
      </c>
      <c r="AG188">
        <v>32</v>
      </c>
      <c r="AH188">
        <v>97</v>
      </c>
      <c r="AI188">
        <v>102</v>
      </c>
      <c r="AJ188">
        <v>1</v>
      </c>
      <c r="AK188">
        <v>10</v>
      </c>
      <c r="AL188" t="s">
        <v>74</v>
      </c>
      <c r="AM188" t="s">
        <v>74</v>
      </c>
      <c r="AN188" t="s">
        <v>74</v>
      </c>
      <c r="AO188" t="s">
        <v>1082</v>
      </c>
      <c r="AP188" t="s">
        <v>74</v>
      </c>
      <c r="AQ188" t="s">
        <v>74</v>
      </c>
      <c r="AR188" t="s">
        <v>74</v>
      </c>
      <c r="AS188" t="s">
        <v>74</v>
      </c>
      <c r="AT188" t="s">
        <v>2605</v>
      </c>
      <c r="AU188">
        <v>2016</v>
      </c>
      <c r="AV188">
        <v>11</v>
      </c>
      <c r="AW188">
        <v>3</v>
      </c>
      <c r="AX188" t="s">
        <v>74</v>
      </c>
      <c r="AY188" t="s">
        <v>74</v>
      </c>
      <c r="AZ188" t="s">
        <v>74</v>
      </c>
      <c r="BA188" t="s">
        <v>74</v>
      </c>
      <c r="BB188" t="s">
        <v>74</v>
      </c>
      <c r="BC188" t="s">
        <v>74</v>
      </c>
      <c r="BD188" t="s">
        <v>9673</v>
      </c>
      <c r="BE188" t="s">
        <v>9674</v>
      </c>
      <c r="BF188" t="str">
        <f>HYPERLINK("http://dx.doi.org/10.1371/journal.pone.0152213","http://dx.doi.org/10.1371/journal.pone.0152213")</f>
        <v>http://dx.doi.org/10.1371/journal.pone.0152213</v>
      </c>
      <c r="BG188" t="s">
        <v>74</v>
      </c>
      <c r="BH188" t="s">
        <v>74</v>
      </c>
      <c r="BI188" t="s">
        <v>74</v>
      </c>
      <c r="BJ188" t="s">
        <v>152</v>
      </c>
      <c r="BK188" t="s">
        <v>117</v>
      </c>
      <c r="BL188" t="s">
        <v>153</v>
      </c>
      <c r="BM188" t="s">
        <v>74</v>
      </c>
      <c r="BN188">
        <v>27006994</v>
      </c>
      <c r="BO188" t="s">
        <v>74</v>
      </c>
      <c r="BP188" t="s">
        <v>74</v>
      </c>
      <c r="BQ188" t="s">
        <v>74</v>
      </c>
      <c r="BR188" t="s">
        <v>96</v>
      </c>
      <c r="BS188" t="s">
        <v>9675</v>
      </c>
      <c r="BT188" t="str">
        <f>HYPERLINK("https%3A%2F%2Fwww.webofscience.com%2Fwos%2Fwoscc%2Ffull-record%2FWOS:000372701200111","View Full Record in Web of Science")</f>
        <v>View Full Record in Web of Science</v>
      </c>
    </row>
    <row r="189" spans="1:72" x14ac:dyDescent="0.15">
      <c r="A189" t="s">
        <v>98</v>
      </c>
      <c r="B189" t="s">
        <v>18027</v>
      </c>
      <c r="C189" t="s">
        <v>74</v>
      </c>
      <c r="D189" t="s">
        <v>74</v>
      </c>
      <c r="E189" t="s">
        <v>74</v>
      </c>
      <c r="F189" t="s">
        <v>18028</v>
      </c>
      <c r="G189" t="s">
        <v>74</v>
      </c>
      <c r="H189" t="s">
        <v>74</v>
      </c>
      <c r="I189" t="s">
        <v>18029</v>
      </c>
      <c r="J189" t="s">
        <v>817</v>
      </c>
      <c r="K189" t="s">
        <v>74</v>
      </c>
      <c r="L189" t="s">
        <v>74</v>
      </c>
      <c r="M189" t="s">
        <v>74</v>
      </c>
      <c r="N189" t="s">
        <v>103</v>
      </c>
      <c r="O189" t="s">
        <v>74</v>
      </c>
      <c r="P189" t="s">
        <v>74</v>
      </c>
      <c r="Q189" t="s">
        <v>74</v>
      </c>
      <c r="R189" t="s">
        <v>74</v>
      </c>
      <c r="S189" t="s">
        <v>74</v>
      </c>
      <c r="T189" t="s">
        <v>18030</v>
      </c>
      <c r="U189" t="s">
        <v>18031</v>
      </c>
      <c r="V189" t="s">
        <v>18032</v>
      </c>
      <c r="W189" t="s">
        <v>18033</v>
      </c>
      <c r="X189" t="s">
        <v>17152</v>
      </c>
      <c r="Y189" t="s">
        <v>18034</v>
      </c>
      <c r="Z189" t="s">
        <v>18035</v>
      </c>
      <c r="AA189" t="s">
        <v>74</v>
      </c>
      <c r="AB189" t="s">
        <v>74</v>
      </c>
      <c r="AC189" t="s">
        <v>74</v>
      </c>
      <c r="AD189" t="s">
        <v>74</v>
      </c>
      <c r="AE189" t="s">
        <v>74</v>
      </c>
      <c r="AF189" t="s">
        <v>74</v>
      </c>
      <c r="AG189">
        <v>57</v>
      </c>
      <c r="AH189">
        <v>97</v>
      </c>
      <c r="AI189">
        <v>116</v>
      </c>
      <c r="AJ189">
        <v>0</v>
      </c>
      <c r="AK189">
        <v>12</v>
      </c>
      <c r="AL189" t="s">
        <v>74</v>
      </c>
      <c r="AM189" t="s">
        <v>74</v>
      </c>
      <c r="AN189" t="s">
        <v>74</v>
      </c>
      <c r="AO189" t="s">
        <v>74</v>
      </c>
      <c r="AP189" t="s">
        <v>827</v>
      </c>
      <c r="AQ189" t="s">
        <v>74</v>
      </c>
      <c r="AR189" t="s">
        <v>74</v>
      </c>
      <c r="AS189" t="s">
        <v>74</v>
      </c>
      <c r="AT189" t="s">
        <v>114</v>
      </c>
      <c r="AU189">
        <v>2014</v>
      </c>
      <c r="AV189">
        <v>15</v>
      </c>
      <c r="AW189">
        <v>1</v>
      </c>
      <c r="AX189" t="s">
        <v>74</v>
      </c>
      <c r="AY189" t="s">
        <v>74</v>
      </c>
      <c r="AZ189" t="s">
        <v>74</v>
      </c>
      <c r="BA189" t="s">
        <v>74</v>
      </c>
      <c r="BB189">
        <v>758</v>
      </c>
      <c r="BC189">
        <v>773</v>
      </c>
      <c r="BD189" t="s">
        <v>74</v>
      </c>
      <c r="BE189" t="s">
        <v>18036</v>
      </c>
      <c r="BF189" t="str">
        <f>HYPERLINK("http://dx.doi.org/10.3390/ijms15010758","http://dx.doi.org/10.3390/ijms15010758")</f>
        <v>http://dx.doi.org/10.3390/ijms15010758</v>
      </c>
      <c r="BG189" t="s">
        <v>74</v>
      </c>
      <c r="BH189" t="s">
        <v>74</v>
      </c>
      <c r="BI189" t="s">
        <v>74</v>
      </c>
      <c r="BJ189" t="s">
        <v>830</v>
      </c>
      <c r="BK189" t="s">
        <v>117</v>
      </c>
      <c r="BL189" t="s">
        <v>831</v>
      </c>
      <c r="BM189" t="s">
        <v>74</v>
      </c>
      <c r="BN189">
        <v>24406730</v>
      </c>
      <c r="BO189" t="s">
        <v>74</v>
      </c>
      <c r="BP189" t="s">
        <v>74</v>
      </c>
      <c r="BQ189" t="s">
        <v>74</v>
      </c>
      <c r="BR189" t="s">
        <v>96</v>
      </c>
      <c r="BS189" t="s">
        <v>18037</v>
      </c>
      <c r="BT189" t="str">
        <f>HYPERLINK("https%3A%2F%2Fwww.webofscience.com%2Fwos%2Fwoscc%2Ffull-record%2FWOS:000335776100043","View Full Record in Web of Science")</f>
        <v>View Full Record in Web of Science</v>
      </c>
    </row>
    <row r="190" spans="1:72" x14ac:dyDescent="0.15">
      <c r="A190" t="s">
        <v>98</v>
      </c>
      <c r="B190" t="s">
        <v>18263</v>
      </c>
      <c r="C190" t="s">
        <v>74</v>
      </c>
      <c r="D190" t="s">
        <v>74</v>
      </c>
      <c r="E190" t="s">
        <v>74</v>
      </c>
      <c r="F190" t="s">
        <v>18264</v>
      </c>
      <c r="G190" t="s">
        <v>74</v>
      </c>
      <c r="H190" t="s">
        <v>74</v>
      </c>
      <c r="I190" t="s">
        <v>18265</v>
      </c>
      <c r="J190" t="s">
        <v>140</v>
      </c>
      <c r="K190" t="s">
        <v>74</v>
      </c>
      <c r="L190" t="s">
        <v>74</v>
      </c>
      <c r="M190" t="s">
        <v>74</v>
      </c>
      <c r="N190" t="s">
        <v>103</v>
      </c>
      <c r="O190" t="s">
        <v>74</v>
      </c>
      <c r="P190" t="s">
        <v>74</v>
      </c>
      <c r="Q190" t="s">
        <v>74</v>
      </c>
      <c r="R190" t="s">
        <v>74</v>
      </c>
      <c r="S190" t="s">
        <v>74</v>
      </c>
      <c r="T190" t="s">
        <v>74</v>
      </c>
      <c r="U190" t="s">
        <v>18266</v>
      </c>
      <c r="V190" t="s">
        <v>18267</v>
      </c>
      <c r="W190" t="s">
        <v>18268</v>
      </c>
      <c r="X190" t="s">
        <v>18269</v>
      </c>
      <c r="Y190" t="s">
        <v>18270</v>
      </c>
      <c r="Z190" t="s">
        <v>5424</v>
      </c>
      <c r="AA190" t="s">
        <v>74</v>
      </c>
      <c r="AB190" t="s">
        <v>18271</v>
      </c>
      <c r="AC190" t="s">
        <v>74</v>
      </c>
      <c r="AD190" t="s">
        <v>74</v>
      </c>
      <c r="AE190" t="s">
        <v>74</v>
      </c>
      <c r="AF190" t="s">
        <v>74</v>
      </c>
      <c r="AG190">
        <v>52</v>
      </c>
      <c r="AH190">
        <v>97</v>
      </c>
      <c r="AI190">
        <v>99</v>
      </c>
      <c r="AJ190">
        <v>5</v>
      </c>
      <c r="AK190">
        <v>57</v>
      </c>
      <c r="AL190" t="s">
        <v>74</v>
      </c>
      <c r="AM190" t="s">
        <v>74</v>
      </c>
      <c r="AN190" t="s">
        <v>74</v>
      </c>
      <c r="AO190" t="s">
        <v>149</v>
      </c>
      <c r="AP190" t="s">
        <v>74</v>
      </c>
      <c r="AQ190" t="s">
        <v>74</v>
      </c>
      <c r="AR190" t="s">
        <v>74</v>
      </c>
      <c r="AS190" t="s">
        <v>74</v>
      </c>
      <c r="AT190" t="s">
        <v>18272</v>
      </c>
      <c r="AU190">
        <v>2016</v>
      </c>
      <c r="AV190">
        <v>6</v>
      </c>
      <c r="AW190" t="s">
        <v>74</v>
      </c>
      <c r="AX190" t="s">
        <v>74</v>
      </c>
      <c r="AY190" t="s">
        <v>74</v>
      </c>
      <c r="AZ190" t="s">
        <v>74</v>
      </c>
      <c r="BA190" t="s">
        <v>74</v>
      </c>
      <c r="BB190" t="s">
        <v>74</v>
      </c>
      <c r="BC190" t="s">
        <v>74</v>
      </c>
      <c r="BD190">
        <v>38541</v>
      </c>
      <c r="BE190" t="s">
        <v>18273</v>
      </c>
      <c r="BF190" t="str">
        <f>HYPERLINK("http://dx.doi.org/10.1038/srep38541","http://dx.doi.org/10.1038/srep38541")</f>
        <v>http://dx.doi.org/10.1038/srep38541</v>
      </c>
      <c r="BG190" t="s">
        <v>74</v>
      </c>
      <c r="BH190" t="s">
        <v>74</v>
      </c>
      <c r="BI190" t="s">
        <v>74</v>
      </c>
      <c r="BJ190" t="s">
        <v>152</v>
      </c>
      <c r="BK190" t="s">
        <v>117</v>
      </c>
      <c r="BL190" t="s">
        <v>153</v>
      </c>
      <c r="BM190" t="s">
        <v>74</v>
      </c>
      <c r="BN190">
        <v>27941871</v>
      </c>
      <c r="BO190" t="s">
        <v>74</v>
      </c>
      <c r="BP190" t="s">
        <v>74</v>
      </c>
      <c r="BQ190" t="s">
        <v>74</v>
      </c>
      <c r="BR190" t="s">
        <v>96</v>
      </c>
      <c r="BS190" t="s">
        <v>18274</v>
      </c>
      <c r="BT190" t="str">
        <f>HYPERLINK("https%3A%2F%2Fwww.webofscience.com%2Fwos%2Fwoscc%2Ffull-record%2FWOS:000389644900001","View Full Record in Web of Science")</f>
        <v>View Full Record in Web of Science</v>
      </c>
    </row>
    <row r="191" spans="1:72" x14ac:dyDescent="0.15">
      <c r="A191" t="s">
        <v>98</v>
      </c>
      <c r="B191" t="s">
        <v>22341</v>
      </c>
      <c r="C191" t="s">
        <v>74</v>
      </c>
      <c r="D191" t="s">
        <v>74</v>
      </c>
      <c r="E191" t="s">
        <v>74</v>
      </c>
      <c r="F191" t="s">
        <v>22342</v>
      </c>
      <c r="G191" t="s">
        <v>74</v>
      </c>
      <c r="H191" t="s">
        <v>74</v>
      </c>
      <c r="I191" t="s">
        <v>22343</v>
      </c>
      <c r="J191" t="s">
        <v>22344</v>
      </c>
      <c r="K191" t="s">
        <v>74</v>
      </c>
      <c r="L191" t="s">
        <v>74</v>
      </c>
      <c r="M191" t="s">
        <v>74</v>
      </c>
      <c r="N191" t="s">
        <v>103</v>
      </c>
      <c r="O191" t="s">
        <v>74</v>
      </c>
      <c r="P191" t="s">
        <v>74</v>
      </c>
      <c r="Q191" t="s">
        <v>74</v>
      </c>
      <c r="R191" t="s">
        <v>74</v>
      </c>
      <c r="S191" t="s">
        <v>74</v>
      </c>
      <c r="T191" t="s">
        <v>22345</v>
      </c>
      <c r="U191" t="s">
        <v>22346</v>
      </c>
      <c r="V191" t="s">
        <v>22347</v>
      </c>
      <c r="W191" t="s">
        <v>22348</v>
      </c>
      <c r="X191" t="s">
        <v>22349</v>
      </c>
      <c r="Y191" t="s">
        <v>22350</v>
      </c>
      <c r="Z191" t="s">
        <v>19670</v>
      </c>
      <c r="AA191" t="s">
        <v>74</v>
      </c>
      <c r="AB191" t="s">
        <v>22351</v>
      </c>
      <c r="AC191" t="s">
        <v>74</v>
      </c>
      <c r="AD191" t="s">
        <v>74</v>
      </c>
      <c r="AE191" t="s">
        <v>74</v>
      </c>
      <c r="AF191" t="s">
        <v>74</v>
      </c>
      <c r="AG191">
        <v>73</v>
      </c>
      <c r="AH191">
        <v>97</v>
      </c>
      <c r="AI191">
        <v>103</v>
      </c>
      <c r="AJ191">
        <v>3</v>
      </c>
      <c r="AK191">
        <v>47</v>
      </c>
      <c r="AL191" t="s">
        <v>74</v>
      </c>
      <c r="AM191" t="s">
        <v>74</v>
      </c>
      <c r="AN191" t="s">
        <v>74</v>
      </c>
      <c r="AO191" t="s">
        <v>22352</v>
      </c>
      <c r="AP191" t="s">
        <v>74</v>
      </c>
      <c r="AQ191" t="s">
        <v>74</v>
      </c>
      <c r="AR191" t="s">
        <v>74</v>
      </c>
      <c r="AS191" t="s">
        <v>74</v>
      </c>
      <c r="AT191" t="s">
        <v>132</v>
      </c>
      <c r="AU191">
        <v>2014</v>
      </c>
      <c r="AV191">
        <v>111</v>
      </c>
      <c r="AW191">
        <v>4</v>
      </c>
      <c r="AX191" t="s">
        <v>74</v>
      </c>
      <c r="AY191" t="s">
        <v>74</v>
      </c>
      <c r="AZ191" t="s">
        <v>74</v>
      </c>
      <c r="BA191" t="s">
        <v>74</v>
      </c>
      <c r="BB191">
        <v>570</v>
      </c>
      <c r="BC191">
        <v>574</v>
      </c>
      <c r="BD191" t="s">
        <v>74</v>
      </c>
      <c r="BE191" t="s">
        <v>22353</v>
      </c>
      <c r="BF191" t="str">
        <f>HYPERLINK("http://dx.doi.org/10.1160/TH13-10-0812","http://dx.doi.org/10.1160/TH13-10-0812")</f>
        <v>http://dx.doi.org/10.1160/TH13-10-0812</v>
      </c>
      <c r="BG191" t="s">
        <v>74</v>
      </c>
      <c r="BH191" t="s">
        <v>74</v>
      </c>
      <c r="BI191" t="s">
        <v>74</v>
      </c>
      <c r="BJ191" t="s">
        <v>584</v>
      </c>
      <c r="BK191" t="s">
        <v>117</v>
      </c>
      <c r="BL191" t="s">
        <v>585</v>
      </c>
      <c r="BM191" t="s">
        <v>74</v>
      </c>
      <c r="BN191">
        <v>24573314</v>
      </c>
      <c r="BO191" t="s">
        <v>74</v>
      </c>
      <c r="BP191" t="s">
        <v>74</v>
      </c>
      <c r="BQ191" t="s">
        <v>74</v>
      </c>
      <c r="BR191" t="s">
        <v>96</v>
      </c>
      <c r="BS191" t="s">
        <v>22354</v>
      </c>
      <c r="BT191" t="str">
        <f>HYPERLINK("https%3A%2F%2Fwww.webofscience.com%2Fwos%2Fwoscc%2Ffull-record%2FWOS:000334152900004","View Full Record in Web of Science")</f>
        <v>View Full Record in Web of Science</v>
      </c>
    </row>
    <row r="192" spans="1:72" x14ac:dyDescent="0.15">
      <c r="A192" t="s">
        <v>98</v>
      </c>
      <c r="B192" t="s">
        <v>27292</v>
      </c>
      <c r="C192" t="s">
        <v>74</v>
      </c>
      <c r="D192" t="s">
        <v>74</v>
      </c>
      <c r="E192" t="s">
        <v>74</v>
      </c>
      <c r="F192" t="s">
        <v>27292</v>
      </c>
      <c r="G192" t="s">
        <v>74</v>
      </c>
      <c r="H192" t="s">
        <v>74</v>
      </c>
      <c r="I192" t="s">
        <v>27293</v>
      </c>
      <c r="J192" t="s">
        <v>27294</v>
      </c>
      <c r="K192" t="s">
        <v>74</v>
      </c>
      <c r="L192" t="s">
        <v>74</v>
      </c>
      <c r="M192" t="s">
        <v>74</v>
      </c>
      <c r="N192" t="s">
        <v>103</v>
      </c>
      <c r="O192" t="s">
        <v>74</v>
      </c>
      <c r="P192" t="s">
        <v>74</v>
      </c>
      <c r="Q192" t="s">
        <v>74</v>
      </c>
      <c r="R192" t="s">
        <v>74</v>
      </c>
      <c r="S192" t="s">
        <v>74</v>
      </c>
      <c r="T192" t="s">
        <v>27295</v>
      </c>
      <c r="U192" t="s">
        <v>27296</v>
      </c>
      <c r="V192" t="s">
        <v>27297</v>
      </c>
      <c r="W192" t="s">
        <v>27298</v>
      </c>
      <c r="X192" t="s">
        <v>27299</v>
      </c>
      <c r="Y192" t="s">
        <v>27300</v>
      </c>
      <c r="Z192" t="s">
        <v>27301</v>
      </c>
      <c r="AA192" t="s">
        <v>27302</v>
      </c>
      <c r="AB192" t="s">
        <v>27303</v>
      </c>
      <c r="AC192" t="s">
        <v>74</v>
      </c>
      <c r="AD192" t="s">
        <v>74</v>
      </c>
      <c r="AE192" t="s">
        <v>74</v>
      </c>
      <c r="AF192" t="s">
        <v>74</v>
      </c>
      <c r="AG192">
        <v>46</v>
      </c>
      <c r="AH192">
        <v>97</v>
      </c>
      <c r="AI192">
        <v>97</v>
      </c>
      <c r="AJ192">
        <v>0</v>
      </c>
      <c r="AK192">
        <v>25</v>
      </c>
      <c r="AL192" t="s">
        <v>74</v>
      </c>
      <c r="AM192" t="s">
        <v>74</v>
      </c>
      <c r="AN192" t="s">
        <v>74</v>
      </c>
      <c r="AO192" t="s">
        <v>27304</v>
      </c>
      <c r="AP192" t="s">
        <v>27305</v>
      </c>
      <c r="AQ192" t="s">
        <v>74</v>
      </c>
      <c r="AR192" t="s">
        <v>74</v>
      </c>
      <c r="AS192" t="s">
        <v>74</v>
      </c>
      <c r="AT192" t="s">
        <v>189</v>
      </c>
      <c r="AU192">
        <v>1999</v>
      </c>
      <c r="AV192">
        <v>6</v>
      </c>
      <c r="AW192">
        <v>10</v>
      </c>
      <c r="AX192" t="s">
        <v>74</v>
      </c>
      <c r="AY192" t="s">
        <v>74</v>
      </c>
      <c r="AZ192" t="s">
        <v>74</v>
      </c>
      <c r="BA192" t="s">
        <v>74</v>
      </c>
      <c r="BB192">
        <v>717</v>
      </c>
      <c r="BC192">
        <v>729</v>
      </c>
      <c r="BD192" t="s">
        <v>74</v>
      </c>
      <c r="BE192" t="s">
        <v>27306</v>
      </c>
      <c r="BF192" t="str">
        <f>HYPERLINK("http://dx.doi.org/10.1016/S1074-5521(00)80019-8","http://dx.doi.org/10.1016/S1074-5521(00)80019-8")</f>
        <v>http://dx.doi.org/10.1016/S1074-5521(00)80019-8</v>
      </c>
      <c r="BG192" t="s">
        <v>74</v>
      </c>
      <c r="BH192" t="s">
        <v>74</v>
      </c>
      <c r="BI192" t="s">
        <v>74</v>
      </c>
      <c r="BJ192" t="s">
        <v>95</v>
      </c>
      <c r="BK192" t="s">
        <v>117</v>
      </c>
      <c r="BL192" t="s">
        <v>95</v>
      </c>
      <c r="BM192" t="s">
        <v>74</v>
      </c>
      <c r="BN192">
        <v>10508681</v>
      </c>
      <c r="BO192" t="s">
        <v>74</v>
      </c>
      <c r="BP192" t="s">
        <v>74</v>
      </c>
      <c r="BQ192" t="s">
        <v>74</v>
      </c>
      <c r="BR192" t="s">
        <v>96</v>
      </c>
      <c r="BS192" t="s">
        <v>27307</v>
      </c>
      <c r="BT192" t="str">
        <f>HYPERLINK("https%3A%2F%2Fwww.webofscience.com%2Fwos%2Fwoscc%2Ffull-record%2FWOS:000083182300007","View Full Record in Web of Science")</f>
        <v>View Full Record in Web of Science</v>
      </c>
    </row>
    <row r="193" spans="1:72" x14ac:dyDescent="0.15">
      <c r="A193" t="s">
        <v>98</v>
      </c>
      <c r="B193" t="s">
        <v>23847</v>
      </c>
      <c r="C193" t="s">
        <v>74</v>
      </c>
      <c r="D193" t="s">
        <v>74</v>
      </c>
      <c r="E193" t="s">
        <v>74</v>
      </c>
      <c r="F193" t="s">
        <v>23847</v>
      </c>
      <c r="G193" t="s">
        <v>74</v>
      </c>
      <c r="H193" t="s">
        <v>74</v>
      </c>
      <c r="I193" t="s">
        <v>23848</v>
      </c>
      <c r="J193" t="s">
        <v>658</v>
      </c>
      <c r="K193" t="s">
        <v>74</v>
      </c>
      <c r="L193" t="s">
        <v>74</v>
      </c>
      <c r="M193" t="s">
        <v>74</v>
      </c>
      <c r="N193" t="s">
        <v>103</v>
      </c>
      <c r="O193" t="s">
        <v>74</v>
      </c>
      <c r="P193" t="s">
        <v>74</v>
      </c>
      <c r="Q193" t="s">
        <v>74</v>
      </c>
      <c r="R193" t="s">
        <v>74</v>
      </c>
      <c r="S193" t="s">
        <v>74</v>
      </c>
      <c r="T193" t="s">
        <v>23849</v>
      </c>
      <c r="U193" t="s">
        <v>23850</v>
      </c>
      <c r="V193" t="s">
        <v>23851</v>
      </c>
      <c r="W193" t="s">
        <v>23852</v>
      </c>
      <c r="X193" t="s">
        <v>23853</v>
      </c>
      <c r="Y193" t="s">
        <v>23854</v>
      </c>
      <c r="Z193" t="s">
        <v>23855</v>
      </c>
      <c r="AA193" t="s">
        <v>23856</v>
      </c>
      <c r="AB193" t="s">
        <v>23857</v>
      </c>
      <c r="AC193" t="s">
        <v>74</v>
      </c>
      <c r="AD193" t="s">
        <v>74</v>
      </c>
      <c r="AE193" t="s">
        <v>74</v>
      </c>
      <c r="AF193" t="s">
        <v>74</v>
      </c>
      <c r="AG193">
        <v>35</v>
      </c>
      <c r="AH193">
        <v>96</v>
      </c>
      <c r="AI193">
        <v>101</v>
      </c>
      <c r="AJ193">
        <v>0</v>
      </c>
      <c r="AK193">
        <v>3</v>
      </c>
      <c r="AL193" t="s">
        <v>74</v>
      </c>
      <c r="AM193" t="s">
        <v>74</v>
      </c>
      <c r="AN193" t="s">
        <v>74</v>
      </c>
      <c r="AO193" t="s">
        <v>668</v>
      </c>
      <c r="AP193" t="s">
        <v>74</v>
      </c>
      <c r="AQ193" t="s">
        <v>74</v>
      </c>
      <c r="AR193" t="s">
        <v>74</v>
      </c>
      <c r="AS193" t="s">
        <v>74</v>
      </c>
      <c r="AT193" t="s">
        <v>1134</v>
      </c>
      <c r="AU193">
        <v>2005</v>
      </c>
      <c r="AV193">
        <v>102</v>
      </c>
      <c r="AW193">
        <v>46</v>
      </c>
      <c r="AX193" t="s">
        <v>74</v>
      </c>
      <c r="AY193" t="s">
        <v>74</v>
      </c>
      <c r="AZ193" t="s">
        <v>74</v>
      </c>
      <c r="BA193" t="s">
        <v>74</v>
      </c>
      <c r="BB193">
        <v>16886</v>
      </c>
      <c r="BC193">
        <v>16891</v>
      </c>
      <c r="BD193" t="s">
        <v>74</v>
      </c>
      <c r="BE193" t="s">
        <v>23858</v>
      </c>
      <c r="BF193" t="str">
        <f>HYPERLINK("http://dx.doi.org/10.1073/pnas.0508599102","http://dx.doi.org/10.1073/pnas.0508599102")</f>
        <v>http://dx.doi.org/10.1073/pnas.0508599102</v>
      </c>
      <c r="BG193" t="s">
        <v>74</v>
      </c>
      <c r="BH193" t="s">
        <v>74</v>
      </c>
      <c r="BI193" t="s">
        <v>74</v>
      </c>
      <c r="BJ193" t="s">
        <v>152</v>
      </c>
      <c r="BK193" t="s">
        <v>117</v>
      </c>
      <c r="BL193" t="s">
        <v>153</v>
      </c>
      <c r="BM193" t="s">
        <v>74</v>
      </c>
      <c r="BN193">
        <v>16275924</v>
      </c>
      <c r="BO193" t="s">
        <v>74</v>
      </c>
      <c r="BP193" t="s">
        <v>74</v>
      </c>
      <c r="BQ193" t="s">
        <v>74</v>
      </c>
      <c r="BR193" t="s">
        <v>96</v>
      </c>
      <c r="BS193" t="s">
        <v>23859</v>
      </c>
      <c r="BT193" t="str">
        <f>HYPERLINK("https%3A%2F%2Fwww.webofscience.com%2Fwos%2Fwoscc%2Ffull-record%2FWOS:000233462900065","View Full Record in Web of Science")</f>
        <v>View Full Record in Web of Science</v>
      </c>
    </row>
    <row r="194" spans="1:72" x14ac:dyDescent="0.15">
      <c r="A194" t="s">
        <v>98</v>
      </c>
      <c r="B194" t="s">
        <v>24652</v>
      </c>
      <c r="C194" t="s">
        <v>74</v>
      </c>
      <c r="D194" t="s">
        <v>74</v>
      </c>
      <c r="E194" t="s">
        <v>74</v>
      </c>
      <c r="F194" t="s">
        <v>24653</v>
      </c>
      <c r="G194" t="s">
        <v>74</v>
      </c>
      <c r="H194" t="s">
        <v>74</v>
      </c>
      <c r="I194" t="s">
        <v>24654</v>
      </c>
      <c r="J194" t="s">
        <v>140</v>
      </c>
      <c r="K194" t="s">
        <v>74</v>
      </c>
      <c r="L194" t="s">
        <v>74</v>
      </c>
      <c r="M194" t="s">
        <v>74</v>
      </c>
      <c r="N194" t="s">
        <v>103</v>
      </c>
      <c r="O194" t="s">
        <v>74</v>
      </c>
      <c r="P194" t="s">
        <v>74</v>
      </c>
      <c r="Q194" t="s">
        <v>74</v>
      </c>
      <c r="R194" t="s">
        <v>74</v>
      </c>
      <c r="S194" t="s">
        <v>74</v>
      </c>
      <c r="T194" t="s">
        <v>74</v>
      </c>
      <c r="U194" t="s">
        <v>24655</v>
      </c>
      <c r="V194" t="s">
        <v>24656</v>
      </c>
      <c r="W194" t="s">
        <v>24657</v>
      </c>
      <c r="X194" t="s">
        <v>24658</v>
      </c>
      <c r="Y194" t="s">
        <v>24659</v>
      </c>
      <c r="Z194" t="s">
        <v>24660</v>
      </c>
      <c r="AA194" t="s">
        <v>24661</v>
      </c>
      <c r="AB194" t="s">
        <v>24662</v>
      </c>
      <c r="AC194" t="s">
        <v>74</v>
      </c>
      <c r="AD194" t="s">
        <v>74</v>
      </c>
      <c r="AE194" t="s">
        <v>74</v>
      </c>
      <c r="AF194" t="s">
        <v>74</v>
      </c>
      <c r="AG194">
        <v>58</v>
      </c>
      <c r="AH194">
        <v>96</v>
      </c>
      <c r="AI194">
        <v>104</v>
      </c>
      <c r="AJ194">
        <v>1</v>
      </c>
      <c r="AK194">
        <v>18</v>
      </c>
      <c r="AL194" t="s">
        <v>74</v>
      </c>
      <c r="AM194" t="s">
        <v>74</v>
      </c>
      <c r="AN194" t="s">
        <v>74</v>
      </c>
      <c r="AO194" t="s">
        <v>149</v>
      </c>
      <c r="AP194" t="s">
        <v>74</v>
      </c>
      <c r="AQ194" t="s">
        <v>74</v>
      </c>
      <c r="AR194" t="s">
        <v>74</v>
      </c>
      <c r="AS194" t="s">
        <v>74</v>
      </c>
      <c r="AT194" t="s">
        <v>10498</v>
      </c>
      <c r="AU194">
        <v>2016</v>
      </c>
      <c r="AV194">
        <v>6</v>
      </c>
      <c r="AW194" t="s">
        <v>74</v>
      </c>
      <c r="AX194" t="s">
        <v>74</v>
      </c>
      <c r="AY194" t="s">
        <v>74</v>
      </c>
      <c r="AZ194" t="s">
        <v>74</v>
      </c>
      <c r="BA194" t="s">
        <v>74</v>
      </c>
      <c r="BB194" t="s">
        <v>74</v>
      </c>
      <c r="BC194" t="s">
        <v>74</v>
      </c>
      <c r="BD194">
        <v>23120</v>
      </c>
      <c r="BE194" t="s">
        <v>24663</v>
      </c>
      <c r="BF194" t="str">
        <f>HYPERLINK("http://dx.doi.org/10.1038/srep23120","http://dx.doi.org/10.1038/srep23120")</f>
        <v>http://dx.doi.org/10.1038/srep23120</v>
      </c>
      <c r="BG194" t="s">
        <v>74</v>
      </c>
      <c r="BH194" t="s">
        <v>74</v>
      </c>
      <c r="BI194" t="s">
        <v>74</v>
      </c>
      <c r="BJ194" t="s">
        <v>152</v>
      </c>
      <c r="BK194" t="s">
        <v>117</v>
      </c>
      <c r="BL194" t="s">
        <v>153</v>
      </c>
      <c r="BM194" t="s">
        <v>74</v>
      </c>
      <c r="BN194">
        <v>26979400</v>
      </c>
      <c r="BO194" t="s">
        <v>74</v>
      </c>
      <c r="BP194" t="s">
        <v>74</v>
      </c>
      <c r="BQ194" t="s">
        <v>74</v>
      </c>
      <c r="BR194" t="s">
        <v>96</v>
      </c>
      <c r="BS194" t="s">
        <v>24664</v>
      </c>
      <c r="BT194" t="str">
        <f>HYPERLINK("https%3A%2F%2Fwww.webofscience.com%2Fwos%2Fwoscc%2Ffull-record%2FWOS:000372060800001","View Full Record in Web of Science")</f>
        <v>View Full Record in Web of Science</v>
      </c>
    </row>
    <row r="195" spans="1:72" x14ac:dyDescent="0.15">
      <c r="A195" t="s">
        <v>98</v>
      </c>
      <c r="B195" t="s">
        <v>28762</v>
      </c>
      <c r="C195" t="s">
        <v>74</v>
      </c>
      <c r="D195" t="s">
        <v>74</v>
      </c>
      <c r="E195" t="s">
        <v>74</v>
      </c>
      <c r="F195" t="s">
        <v>28763</v>
      </c>
      <c r="G195" t="s">
        <v>74</v>
      </c>
      <c r="H195" t="s">
        <v>74</v>
      </c>
      <c r="I195" t="s">
        <v>28764</v>
      </c>
      <c r="J195" t="s">
        <v>17027</v>
      </c>
      <c r="K195" t="s">
        <v>74</v>
      </c>
      <c r="L195" t="s">
        <v>74</v>
      </c>
      <c r="M195" t="s">
        <v>74</v>
      </c>
      <c r="N195" t="s">
        <v>103</v>
      </c>
      <c r="O195" t="s">
        <v>74</v>
      </c>
      <c r="P195" t="s">
        <v>74</v>
      </c>
      <c r="Q195" t="s">
        <v>74</v>
      </c>
      <c r="R195" t="s">
        <v>74</v>
      </c>
      <c r="S195" t="s">
        <v>74</v>
      </c>
      <c r="T195" t="s">
        <v>74</v>
      </c>
      <c r="U195" t="s">
        <v>28765</v>
      </c>
      <c r="V195" t="s">
        <v>28766</v>
      </c>
      <c r="W195" t="s">
        <v>28767</v>
      </c>
      <c r="X195" t="s">
        <v>28768</v>
      </c>
      <c r="Y195" t="s">
        <v>28769</v>
      </c>
      <c r="Z195" t="s">
        <v>28770</v>
      </c>
      <c r="AA195" t="s">
        <v>28771</v>
      </c>
      <c r="AB195" t="s">
        <v>28772</v>
      </c>
      <c r="AC195" t="s">
        <v>74</v>
      </c>
      <c r="AD195" t="s">
        <v>74</v>
      </c>
      <c r="AE195" t="s">
        <v>74</v>
      </c>
      <c r="AF195" t="s">
        <v>74</v>
      </c>
      <c r="AG195">
        <v>100</v>
      </c>
      <c r="AH195">
        <v>96</v>
      </c>
      <c r="AI195">
        <v>99</v>
      </c>
      <c r="AJ195">
        <v>2</v>
      </c>
      <c r="AK195">
        <v>11</v>
      </c>
      <c r="AL195" t="s">
        <v>74</v>
      </c>
      <c r="AM195" t="s">
        <v>74</v>
      </c>
      <c r="AN195" t="s">
        <v>74</v>
      </c>
      <c r="AO195" t="s">
        <v>17035</v>
      </c>
      <c r="AP195" t="s">
        <v>17036</v>
      </c>
      <c r="AQ195" t="s">
        <v>74</v>
      </c>
      <c r="AR195" t="s">
        <v>74</v>
      </c>
      <c r="AS195" t="s">
        <v>74</v>
      </c>
      <c r="AT195" t="s">
        <v>930</v>
      </c>
      <c r="AU195">
        <v>2018</v>
      </c>
      <c r="AV195">
        <v>132</v>
      </c>
      <c r="AW195">
        <v>12</v>
      </c>
      <c r="AX195" t="s">
        <v>74</v>
      </c>
      <c r="AY195" t="s">
        <v>74</v>
      </c>
      <c r="AZ195" t="s">
        <v>74</v>
      </c>
      <c r="BA195" t="s">
        <v>74</v>
      </c>
      <c r="BB195">
        <v>1225</v>
      </c>
      <c r="BC195">
        <v>1240</v>
      </c>
      <c r="BD195" t="s">
        <v>74</v>
      </c>
      <c r="BE195" t="s">
        <v>28773</v>
      </c>
      <c r="BF195" t="str">
        <f>HYPERLINK("http://dx.doi.org/10.1182/blood-2018-04-843771","http://dx.doi.org/10.1182/blood-2018-04-843771")</f>
        <v>http://dx.doi.org/10.1182/blood-2018-04-843771</v>
      </c>
      <c r="BG195" t="s">
        <v>74</v>
      </c>
      <c r="BH195" t="s">
        <v>74</v>
      </c>
      <c r="BI195" t="s">
        <v>74</v>
      </c>
      <c r="BJ195" t="s">
        <v>2438</v>
      </c>
      <c r="BK195" t="s">
        <v>117</v>
      </c>
      <c r="BL195" t="s">
        <v>2438</v>
      </c>
      <c r="BM195" t="s">
        <v>74</v>
      </c>
      <c r="BN195">
        <v>29930011</v>
      </c>
      <c r="BO195" t="s">
        <v>74</v>
      </c>
      <c r="BP195" t="s">
        <v>74</v>
      </c>
      <c r="BQ195" t="s">
        <v>74</v>
      </c>
      <c r="BR195" t="s">
        <v>96</v>
      </c>
      <c r="BS195" t="s">
        <v>28774</v>
      </c>
      <c r="BT195" t="str">
        <f>HYPERLINK("https%3A%2F%2Fwww.webofscience.com%2Fwos%2Fwoscc%2Ffull-record%2FWOS:000445097300005","View Full Record in Web of Science")</f>
        <v>View Full Record in Web of Science</v>
      </c>
    </row>
    <row r="196" spans="1:72" x14ac:dyDescent="0.15">
      <c r="A196" t="s">
        <v>98</v>
      </c>
      <c r="B196" t="s">
        <v>7357</v>
      </c>
      <c r="C196" t="s">
        <v>74</v>
      </c>
      <c r="D196" t="s">
        <v>74</v>
      </c>
      <c r="E196" t="s">
        <v>74</v>
      </c>
      <c r="F196" t="s">
        <v>7358</v>
      </c>
      <c r="G196" t="s">
        <v>74</v>
      </c>
      <c r="H196" t="s">
        <v>74</v>
      </c>
      <c r="I196" t="s">
        <v>7359</v>
      </c>
      <c r="J196" t="s">
        <v>7360</v>
      </c>
      <c r="K196" t="s">
        <v>74</v>
      </c>
      <c r="L196" t="s">
        <v>74</v>
      </c>
      <c r="M196" t="s">
        <v>74</v>
      </c>
      <c r="N196" t="s">
        <v>103</v>
      </c>
      <c r="O196" t="s">
        <v>74</v>
      </c>
      <c r="P196" t="s">
        <v>74</v>
      </c>
      <c r="Q196" t="s">
        <v>74</v>
      </c>
      <c r="R196" t="s">
        <v>74</v>
      </c>
      <c r="S196" t="s">
        <v>74</v>
      </c>
      <c r="T196" t="s">
        <v>7361</v>
      </c>
      <c r="U196" t="s">
        <v>7362</v>
      </c>
      <c r="V196" t="s">
        <v>7363</v>
      </c>
      <c r="W196" t="s">
        <v>7364</v>
      </c>
      <c r="X196" t="s">
        <v>7365</v>
      </c>
      <c r="Y196" t="s">
        <v>7366</v>
      </c>
      <c r="Z196" t="s">
        <v>4286</v>
      </c>
      <c r="AA196" t="s">
        <v>74</v>
      </c>
      <c r="AB196" t="s">
        <v>7367</v>
      </c>
      <c r="AC196" t="s">
        <v>74</v>
      </c>
      <c r="AD196" t="s">
        <v>74</v>
      </c>
      <c r="AE196" t="s">
        <v>74</v>
      </c>
      <c r="AF196" t="s">
        <v>74</v>
      </c>
      <c r="AG196">
        <v>52</v>
      </c>
      <c r="AH196">
        <v>95</v>
      </c>
      <c r="AI196">
        <v>101</v>
      </c>
      <c r="AJ196">
        <v>0</v>
      </c>
      <c r="AK196">
        <v>39</v>
      </c>
      <c r="AL196" t="s">
        <v>74</v>
      </c>
      <c r="AM196" t="s">
        <v>74</v>
      </c>
      <c r="AN196" t="s">
        <v>74</v>
      </c>
      <c r="AO196" t="s">
        <v>7368</v>
      </c>
      <c r="AP196" t="s">
        <v>7369</v>
      </c>
      <c r="AQ196" t="s">
        <v>74</v>
      </c>
      <c r="AR196" t="s">
        <v>74</v>
      </c>
      <c r="AS196" t="s">
        <v>74</v>
      </c>
      <c r="AT196" t="s">
        <v>283</v>
      </c>
      <c r="AU196">
        <v>2015</v>
      </c>
      <c r="AV196">
        <v>772</v>
      </c>
      <c r="AW196" t="s">
        <v>74</v>
      </c>
      <c r="AX196" t="s">
        <v>74</v>
      </c>
      <c r="AY196" t="s">
        <v>74</v>
      </c>
      <c r="AZ196" t="s">
        <v>74</v>
      </c>
      <c r="BA196" t="s">
        <v>74</v>
      </c>
      <c r="BB196">
        <v>38</v>
      </c>
      <c r="BC196">
        <v>45</v>
      </c>
      <c r="BD196" t="s">
        <v>74</v>
      </c>
      <c r="BE196" t="s">
        <v>7370</v>
      </c>
      <c r="BF196" t="str">
        <f>HYPERLINK("http://dx.doi.org/10.1016/j.mrfmmm.2014.12.007","http://dx.doi.org/10.1016/j.mrfmmm.2014.12.007")</f>
        <v>http://dx.doi.org/10.1016/j.mrfmmm.2014.12.007</v>
      </c>
      <c r="BG196" t="s">
        <v>74</v>
      </c>
      <c r="BH196" t="s">
        <v>74</v>
      </c>
      <c r="BI196" t="s">
        <v>74</v>
      </c>
      <c r="BJ196" t="s">
        <v>7371</v>
      </c>
      <c r="BK196" t="s">
        <v>117</v>
      </c>
      <c r="BL196" t="s">
        <v>7371</v>
      </c>
      <c r="BM196" t="s">
        <v>74</v>
      </c>
      <c r="BN196">
        <v>25772109</v>
      </c>
      <c r="BO196" t="s">
        <v>74</v>
      </c>
      <c r="BP196" t="s">
        <v>74</v>
      </c>
      <c r="BQ196" t="s">
        <v>74</v>
      </c>
      <c r="BR196" t="s">
        <v>96</v>
      </c>
      <c r="BS196" t="s">
        <v>7372</v>
      </c>
      <c r="BT196" t="str">
        <f>HYPERLINK("https%3A%2F%2Fwww.webofscience.com%2Fwos%2Fwoscc%2Ffull-record%2FWOS:000352665900008","View Full Record in Web of Science")</f>
        <v>View Full Record in Web of Science</v>
      </c>
    </row>
    <row r="197" spans="1:72" x14ac:dyDescent="0.15">
      <c r="A197" t="s">
        <v>98</v>
      </c>
      <c r="B197" t="s">
        <v>16885</v>
      </c>
      <c r="C197" t="s">
        <v>74</v>
      </c>
      <c r="D197" t="s">
        <v>74</v>
      </c>
      <c r="E197" t="s">
        <v>74</v>
      </c>
      <c r="F197" t="s">
        <v>16886</v>
      </c>
      <c r="G197" t="s">
        <v>74</v>
      </c>
      <c r="H197" t="s">
        <v>74</v>
      </c>
      <c r="I197" t="s">
        <v>16887</v>
      </c>
      <c r="J197" t="s">
        <v>12984</v>
      </c>
      <c r="K197" t="s">
        <v>74</v>
      </c>
      <c r="L197" t="s">
        <v>74</v>
      </c>
      <c r="M197" t="s">
        <v>74</v>
      </c>
      <c r="N197" t="s">
        <v>103</v>
      </c>
      <c r="O197" t="s">
        <v>74</v>
      </c>
      <c r="P197" t="s">
        <v>74</v>
      </c>
      <c r="Q197" t="s">
        <v>74</v>
      </c>
      <c r="R197" t="s">
        <v>74</v>
      </c>
      <c r="S197" t="s">
        <v>74</v>
      </c>
      <c r="T197" t="s">
        <v>74</v>
      </c>
      <c r="U197" t="s">
        <v>16888</v>
      </c>
      <c r="V197" t="s">
        <v>16889</v>
      </c>
      <c r="W197" t="s">
        <v>16890</v>
      </c>
      <c r="X197" t="s">
        <v>16891</v>
      </c>
      <c r="Y197" t="s">
        <v>16892</v>
      </c>
      <c r="Z197" t="s">
        <v>16893</v>
      </c>
      <c r="AA197" t="s">
        <v>74</v>
      </c>
      <c r="AB197" t="s">
        <v>16894</v>
      </c>
      <c r="AC197" t="s">
        <v>74</v>
      </c>
      <c r="AD197" t="s">
        <v>74</v>
      </c>
      <c r="AE197" t="s">
        <v>74</v>
      </c>
      <c r="AF197" t="s">
        <v>74</v>
      </c>
      <c r="AG197">
        <v>68</v>
      </c>
      <c r="AH197">
        <v>95</v>
      </c>
      <c r="AI197">
        <v>99</v>
      </c>
      <c r="AJ197">
        <v>0</v>
      </c>
      <c r="AK197">
        <v>11</v>
      </c>
      <c r="AL197" t="s">
        <v>74</v>
      </c>
      <c r="AM197" t="s">
        <v>74</v>
      </c>
      <c r="AN197" t="s">
        <v>74</v>
      </c>
      <c r="AO197" t="s">
        <v>12992</v>
      </c>
      <c r="AP197" t="s">
        <v>12993</v>
      </c>
      <c r="AQ197" t="s">
        <v>74</v>
      </c>
      <c r="AR197" t="s">
        <v>74</v>
      </c>
      <c r="AS197" t="s">
        <v>74</v>
      </c>
      <c r="AT197" t="s">
        <v>114</v>
      </c>
      <c r="AU197">
        <v>2010</v>
      </c>
      <c r="AV197">
        <v>6</v>
      </c>
      <c r="AW197">
        <v>1</v>
      </c>
      <c r="AX197" t="s">
        <v>74</v>
      </c>
      <c r="AY197" t="s">
        <v>74</v>
      </c>
      <c r="AZ197" t="s">
        <v>74</v>
      </c>
      <c r="BA197" t="s">
        <v>74</v>
      </c>
      <c r="BB197" t="s">
        <v>74</v>
      </c>
      <c r="BC197" t="s">
        <v>74</v>
      </c>
      <c r="BD197" t="s">
        <v>16895</v>
      </c>
      <c r="BE197" t="s">
        <v>16896</v>
      </c>
      <c r="BF197" t="str">
        <f>HYPERLINK("http://dx.doi.org/10.1371/journal.ppat.1000724","http://dx.doi.org/10.1371/journal.ppat.1000724")</f>
        <v>http://dx.doi.org/10.1371/journal.ppat.1000724</v>
      </c>
      <c r="BG197" t="s">
        <v>74</v>
      </c>
      <c r="BH197" t="s">
        <v>74</v>
      </c>
      <c r="BI197" t="s">
        <v>74</v>
      </c>
      <c r="BJ197" t="s">
        <v>12996</v>
      </c>
      <c r="BK197" t="s">
        <v>117</v>
      </c>
      <c r="BL197" t="s">
        <v>12996</v>
      </c>
      <c r="BM197" t="s">
        <v>74</v>
      </c>
      <c r="BN197">
        <v>20090836</v>
      </c>
      <c r="BO197" t="s">
        <v>74</v>
      </c>
      <c r="BP197" t="s">
        <v>74</v>
      </c>
      <c r="BQ197" t="s">
        <v>74</v>
      </c>
      <c r="BR197" t="s">
        <v>96</v>
      </c>
      <c r="BS197" t="s">
        <v>16897</v>
      </c>
      <c r="BT197" t="str">
        <f>HYPERLINK("https%3A%2F%2Fwww.webofscience.com%2Fwos%2Fwoscc%2Ffull-record%2FWOS:000274227100015","View Full Record in Web of Science")</f>
        <v>View Full Record in Web of Science</v>
      </c>
    </row>
    <row r="198" spans="1:72" x14ac:dyDescent="0.15">
      <c r="A198" t="s">
        <v>98</v>
      </c>
      <c r="B198" t="s">
        <v>25429</v>
      </c>
      <c r="C198" t="s">
        <v>74</v>
      </c>
      <c r="D198" t="s">
        <v>74</v>
      </c>
      <c r="E198" t="s">
        <v>74</v>
      </c>
      <c r="F198" t="s">
        <v>25430</v>
      </c>
      <c r="G198" t="s">
        <v>74</v>
      </c>
      <c r="H198" t="s">
        <v>74</v>
      </c>
      <c r="I198" t="s">
        <v>25431</v>
      </c>
      <c r="J198" t="s">
        <v>2505</v>
      </c>
      <c r="K198" t="s">
        <v>74</v>
      </c>
      <c r="L198" t="s">
        <v>74</v>
      </c>
      <c r="M198" t="s">
        <v>74</v>
      </c>
      <c r="N198" t="s">
        <v>103</v>
      </c>
      <c r="O198" t="s">
        <v>74</v>
      </c>
      <c r="P198" t="s">
        <v>74</v>
      </c>
      <c r="Q198" t="s">
        <v>74</v>
      </c>
      <c r="R198" t="s">
        <v>74</v>
      </c>
      <c r="S198" t="s">
        <v>74</v>
      </c>
      <c r="T198" t="s">
        <v>25432</v>
      </c>
      <c r="U198" t="s">
        <v>25433</v>
      </c>
      <c r="V198" t="s">
        <v>25434</v>
      </c>
      <c r="W198" t="s">
        <v>25435</v>
      </c>
      <c r="X198" t="s">
        <v>25436</v>
      </c>
      <c r="Y198" t="s">
        <v>25437</v>
      </c>
      <c r="Z198" t="s">
        <v>25438</v>
      </c>
      <c r="AA198" t="s">
        <v>25439</v>
      </c>
      <c r="AB198" t="s">
        <v>25440</v>
      </c>
      <c r="AC198" t="s">
        <v>74</v>
      </c>
      <c r="AD198" t="s">
        <v>74</v>
      </c>
      <c r="AE198" t="s">
        <v>74</v>
      </c>
      <c r="AF198" t="s">
        <v>74</v>
      </c>
      <c r="AG198">
        <v>33</v>
      </c>
      <c r="AH198">
        <v>95</v>
      </c>
      <c r="AI198">
        <v>99</v>
      </c>
      <c r="AJ198">
        <v>3</v>
      </c>
      <c r="AK198">
        <v>21</v>
      </c>
      <c r="AL198" t="s">
        <v>74</v>
      </c>
      <c r="AM198" t="s">
        <v>74</v>
      </c>
      <c r="AN198" t="s">
        <v>74</v>
      </c>
      <c r="AO198" t="s">
        <v>2513</v>
      </c>
      <c r="AP198" t="s">
        <v>2514</v>
      </c>
      <c r="AQ198" t="s">
        <v>74</v>
      </c>
      <c r="AR198" t="s">
        <v>74</v>
      </c>
      <c r="AS198" t="s">
        <v>74</v>
      </c>
      <c r="AT198" t="s">
        <v>170</v>
      </c>
      <c r="AU198">
        <v>2018</v>
      </c>
      <c r="AV198">
        <v>119</v>
      </c>
      <c r="AW198">
        <v>6</v>
      </c>
      <c r="AX198" t="s">
        <v>74</v>
      </c>
      <c r="AY198" t="s">
        <v>74</v>
      </c>
      <c r="AZ198" t="s">
        <v>74</v>
      </c>
      <c r="BA198" t="s">
        <v>74</v>
      </c>
      <c r="BB198">
        <v>4711</v>
      </c>
      <c r="BC198">
        <v>4716</v>
      </c>
      <c r="BD198" t="s">
        <v>74</v>
      </c>
      <c r="BE198" t="s">
        <v>25441</v>
      </c>
      <c r="BF198" t="str">
        <f>HYPERLINK("http://dx.doi.org/10.1002/jcb.26650","http://dx.doi.org/10.1002/jcb.26650")</f>
        <v>http://dx.doi.org/10.1002/jcb.26650</v>
      </c>
      <c r="BG198" t="s">
        <v>74</v>
      </c>
      <c r="BH198" t="s">
        <v>74</v>
      </c>
      <c r="BI198" t="s">
        <v>74</v>
      </c>
      <c r="BJ198" t="s">
        <v>498</v>
      </c>
      <c r="BK198" t="s">
        <v>117</v>
      </c>
      <c r="BL198" t="s">
        <v>498</v>
      </c>
      <c r="BM198" t="s">
        <v>74</v>
      </c>
      <c r="BN198">
        <v>29278659</v>
      </c>
      <c r="BO198" t="s">
        <v>74</v>
      </c>
      <c r="BP198" t="s">
        <v>74</v>
      </c>
      <c r="BQ198" t="s">
        <v>74</v>
      </c>
      <c r="BR198" t="s">
        <v>96</v>
      </c>
      <c r="BS198" t="s">
        <v>25442</v>
      </c>
      <c r="BT198" t="str">
        <f>HYPERLINK("https%3A%2F%2Fwww.webofscience.com%2Fwos%2Fwoscc%2Ffull-record%2FWOS:000430667200044","View Full Record in Web of Science")</f>
        <v>View Full Record in Web of Science</v>
      </c>
    </row>
    <row r="199" spans="1:72" x14ac:dyDescent="0.15">
      <c r="A199" t="s">
        <v>98</v>
      </c>
      <c r="B199" t="s">
        <v>26872</v>
      </c>
      <c r="C199" t="s">
        <v>74</v>
      </c>
      <c r="D199" t="s">
        <v>74</v>
      </c>
      <c r="E199" t="s">
        <v>74</v>
      </c>
      <c r="F199" t="s">
        <v>26873</v>
      </c>
      <c r="G199" t="s">
        <v>74</v>
      </c>
      <c r="H199" t="s">
        <v>74</v>
      </c>
      <c r="I199" t="s">
        <v>26874</v>
      </c>
      <c r="J199" t="s">
        <v>20610</v>
      </c>
      <c r="K199" t="s">
        <v>74</v>
      </c>
      <c r="L199" t="s">
        <v>74</v>
      </c>
      <c r="M199" t="s">
        <v>74</v>
      </c>
      <c r="N199" t="s">
        <v>103</v>
      </c>
      <c r="O199" t="s">
        <v>74</v>
      </c>
      <c r="P199" t="s">
        <v>74</v>
      </c>
      <c r="Q199" t="s">
        <v>74</v>
      </c>
      <c r="R199" t="s">
        <v>74</v>
      </c>
      <c r="S199" t="s">
        <v>74</v>
      </c>
      <c r="T199" t="s">
        <v>74</v>
      </c>
      <c r="U199" t="s">
        <v>26875</v>
      </c>
      <c r="V199" t="s">
        <v>26876</v>
      </c>
      <c r="W199" t="s">
        <v>26877</v>
      </c>
      <c r="X199" t="s">
        <v>26878</v>
      </c>
      <c r="Y199" t="s">
        <v>26879</v>
      </c>
      <c r="Z199" t="s">
        <v>26880</v>
      </c>
      <c r="AA199" t="s">
        <v>26881</v>
      </c>
      <c r="AB199" t="s">
        <v>26882</v>
      </c>
      <c r="AC199" t="s">
        <v>74</v>
      </c>
      <c r="AD199" t="s">
        <v>74</v>
      </c>
      <c r="AE199" t="s">
        <v>74</v>
      </c>
      <c r="AF199" t="s">
        <v>74</v>
      </c>
      <c r="AG199">
        <v>41</v>
      </c>
      <c r="AH199">
        <v>95</v>
      </c>
      <c r="AI199">
        <v>100</v>
      </c>
      <c r="AJ199">
        <v>1</v>
      </c>
      <c r="AK199">
        <v>55</v>
      </c>
      <c r="AL199" t="s">
        <v>74</v>
      </c>
      <c r="AM199" t="s">
        <v>74</v>
      </c>
      <c r="AN199" t="s">
        <v>74</v>
      </c>
      <c r="AO199" t="s">
        <v>20618</v>
      </c>
      <c r="AP199" t="s">
        <v>20619</v>
      </c>
      <c r="AQ199" t="s">
        <v>74</v>
      </c>
      <c r="AR199" t="s">
        <v>74</v>
      </c>
      <c r="AS199" t="s">
        <v>74</v>
      </c>
      <c r="AT199" t="s">
        <v>114</v>
      </c>
      <c r="AU199">
        <v>2015</v>
      </c>
      <c r="AV199">
        <v>64</v>
      </c>
      <c r="AW199">
        <v>1</v>
      </c>
      <c r="AX199" t="s">
        <v>74</v>
      </c>
      <c r="AY199" t="s">
        <v>74</v>
      </c>
      <c r="AZ199" t="s">
        <v>74</v>
      </c>
      <c r="BA199" t="s">
        <v>74</v>
      </c>
      <c r="BB199">
        <v>156</v>
      </c>
      <c r="BC199">
        <v>167</v>
      </c>
      <c r="BD199" t="s">
        <v>74</v>
      </c>
      <c r="BE199" t="s">
        <v>26883</v>
      </c>
      <c r="BF199" t="str">
        <f>HYPERLINK("http://dx.doi.org/10.1136/gutjnl-2013-305715","http://dx.doi.org/10.1136/gutjnl-2013-305715")</f>
        <v>http://dx.doi.org/10.1136/gutjnl-2013-305715</v>
      </c>
      <c r="BG199" t="s">
        <v>74</v>
      </c>
      <c r="BH199" t="s">
        <v>74</v>
      </c>
      <c r="BI199" t="s">
        <v>74</v>
      </c>
      <c r="BJ199" t="s">
        <v>633</v>
      </c>
      <c r="BK199" t="s">
        <v>117</v>
      </c>
      <c r="BL199" t="s">
        <v>633</v>
      </c>
      <c r="BM199" t="s">
        <v>74</v>
      </c>
      <c r="BN199">
        <v>24572141</v>
      </c>
      <c r="BO199" t="s">
        <v>74</v>
      </c>
      <c r="BP199" t="s">
        <v>74</v>
      </c>
      <c r="BQ199" t="s">
        <v>74</v>
      </c>
      <c r="BR199" t="s">
        <v>96</v>
      </c>
      <c r="BS199" t="s">
        <v>26884</v>
      </c>
      <c r="BT199" t="str">
        <f>HYPERLINK("https%3A%2F%2Fwww.webofscience.com%2Fwos%2Fwoscc%2Ffull-record%2FWOS:000346167700021","View Full Record in Web of Science")</f>
        <v>View Full Record in Web of Science</v>
      </c>
    </row>
    <row r="200" spans="1:72" x14ac:dyDescent="0.15">
      <c r="A200" t="s">
        <v>98</v>
      </c>
      <c r="B200" t="s">
        <v>2387</v>
      </c>
      <c r="C200" t="s">
        <v>74</v>
      </c>
      <c r="D200" t="s">
        <v>74</v>
      </c>
      <c r="E200" t="s">
        <v>74</v>
      </c>
      <c r="F200" t="s">
        <v>2388</v>
      </c>
      <c r="G200" t="s">
        <v>74</v>
      </c>
      <c r="H200" t="s">
        <v>74</v>
      </c>
      <c r="I200" t="s">
        <v>2389</v>
      </c>
      <c r="J200" t="s">
        <v>2390</v>
      </c>
      <c r="K200" t="s">
        <v>74</v>
      </c>
      <c r="L200" t="s">
        <v>74</v>
      </c>
      <c r="M200" t="s">
        <v>74</v>
      </c>
      <c r="N200" t="s">
        <v>103</v>
      </c>
      <c r="O200" t="s">
        <v>74</v>
      </c>
      <c r="P200" t="s">
        <v>74</v>
      </c>
      <c r="Q200" t="s">
        <v>74</v>
      </c>
      <c r="R200" t="s">
        <v>74</v>
      </c>
      <c r="S200" t="s">
        <v>74</v>
      </c>
      <c r="T200" t="s">
        <v>2391</v>
      </c>
      <c r="U200" t="s">
        <v>2392</v>
      </c>
      <c r="V200" t="s">
        <v>2393</v>
      </c>
      <c r="W200" t="s">
        <v>2394</v>
      </c>
      <c r="X200" t="s">
        <v>2395</v>
      </c>
      <c r="Y200" t="s">
        <v>2396</v>
      </c>
      <c r="Z200" t="s">
        <v>2397</v>
      </c>
      <c r="AA200" t="s">
        <v>2398</v>
      </c>
      <c r="AB200" t="s">
        <v>2399</v>
      </c>
      <c r="AC200" t="s">
        <v>74</v>
      </c>
      <c r="AD200" t="s">
        <v>74</v>
      </c>
      <c r="AE200" t="s">
        <v>74</v>
      </c>
      <c r="AF200" t="s">
        <v>74</v>
      </c>
      <c r="AG200">
        <v>37</v>
      </c>
      <c r="AH200">
        <v>94</v>
      </c>
      <c r="AI200">
        <v>97</v>
      </c>
      <c r="AJ200">
        <v>7</v>
      </c>
      <c r="AK200">
        <v>23</v>
      </c>
      <c r="AL200" t="s">
        <v>74</v>
      </c>
      <c r="AM200" t="s">
        <v>74</v>
      </c>
      <c r="AN200" t="s">
        <v>74</v>
      </c>
      <c r="AO200" t="s">
        <v>2400</v>
      </c>
      <c r="AP200" t="s">
        <v>2401</v>
      </c>
      <c r="AQ200" t="s">
        <v>74</v>
      </c>
      <c r="AR200" t="s">
        <v>74</v>
      </c>
      <c r="AS200" t="s">
        <v>74</v>
      </c>
      <c r="AT200" t="s">
        <v>2402</v>
      </c>
      <c r="AU200">
        <v>2019</v>
      </c>
      <c r="AV200">
        <v>125</v>
      </c>
      <c r="AW200">
        <v>1</v>
      </c>
      <c r="AX200" t="s">
        <v>74</v>
      </c>
      <c r="AY200" t="s">
        <v>74</v>
      </c>
      <c r="AZ200" t="s">
        <v>74</v>
      </c>
      <c r="BA200" t="s">
        <v>74</v>
      </c>
      <c r="BB200">
        <v>43</v>
      </c>
      <c r="BC200">
        <v>52</v>
      </c>
      <c r="BD200" t="s">
        <v>74</v>
      </c>
      <c r="BE200" t="s">
        <v>2403</v>
      </c>
      <c r="BF200" t="str">
        <f>HYPERLINK("http://dx.doi.org/10.1161/CIRCRESAHA.118.314601","http://dx.doi.org/10.1161/CIRCRESAHA.118.314601")</f>
        <v>http://dx.doi.org/10.1161/CIRCRESAHA.118.314601</v>
      </c>
      <c r="BG200" t="s">
        <v>74</v>
      </c>
      <c r="BH200" t="s">
        <v>74</v>
      </c>
      <c r="BI200" t="s">
        <v>74</v>
      </c>
      <c r="BJ200" t="s">
        <v>2404</v>
      </c>
      <c r="BK200" t="s">
        <v>117</v>
      </c>
      <c r="BL200" t="s">
        <v>2405</v>
      </c>
      <c r="BM200" t="s">
        <v>74</v>
      </c>
      <c r="BN200">
        <v>31219742</v>
      </c>
      <c r="BO200" t="s">
        <v>74</v>
      </c>
      <c r="BP200" t="s">
        <v>193</v>
      </c>
      <c r="BQ200" t="s">
        <v>194</v>
      </c>
      <c r="BR200" t="s">
        <v>96</v>
      </c>
      <c r="BS200" t="s">
        <v>2406</v>
      </c>
      <c r="BT200" t="str">
        <f>HYPERLINK("https%3A%2F%2Fwww.webofscience.com%2Fwos%2Fwoscc%2Ffull-record%2FWOS:000472205200011","View Full Record in Web of Science")</f>
        <v>View Full Record in Web of Science</v>
      </c>
    </row>
    <row r="201" spans="1:72" x14ac:dyDescent="0.15">
      <c r="A201" t="s">
        <v>98</v>
      </c>
      <c r="B201" t="s">
        <v>2895</v>
      </c>
      <c r="C201" t="s">
        <v>74</v>
      </c>
      <c r="D201" t="s">
        <v>74</v>
      </c>
      <c r="E201" t="s">
        <v>74</v>
      </c>
      <c r="F201" t="s">
        <v>2896</v>
      </c>
      <c r="G201" t="s">
        <v>74</v>
      </c>
      <c r="H201" t="s">
        <v>74</v>
      </c>
      <c r="I201" t="s">
        <v>2897</v>
      </c>
      <c r="J201" t="s">
        <v>1073</v>
      </c>
      <c r="K201" t="s">
        <v>74</v>
      </c>
      <c r="L201" t="s">
        <v>74</v>
      </c>
      <c r="M201" t="s">
        <v>74</v>
      </c>
      <c r="N201" t="s">
        <v>103</v>
      </c>
      <c r="O201" t="s">
        <v>74</v>
      </c>
      <c r="P201" t="s">
        <v>74</v>
      </c>
      <c r="Q201" t="s">
        <v>74</v>
      </c>
      <c r="R201" t="s">
        <v>74</v>
      </c>
      <c r="S201" t="s">
        <v>74</v>
      </c>
      <c r="T201" t="s">
        <v>74</v>
      </c>
      <c r="U201" t="s">
        <v>2898</v>
      </c>
      <c r="V201" t="s">
        <v>2899</v>
      </c>
      <c r="W201" t="s">
        <v>2900</v>
      </c>
      <c r="X201" t="s">
        <v>2901</v>
      </c>
      <c r="Y201" t="s">
        <v>2902</v>
      </c>
      <c r="Z201" t="s">
        <v>2903</v>
      </c>
      <c r="AA201" t="s">
        <v>2904</v>
      </c>
      <c r="AB201" t="s">
        <v>2905</v>
      </c>
      <c r="AC201" t="s">
        <v>74</v>
      </c>
      <c r="AD201" t="s">
        <v>74</v>
      </c>
      <c r="AE201" t="s">
        <v>74</v>
      </c>
      <c r="AF201" t="s">
        <v>74</v>
      </c>
      <c r="AG201">
        <v>60</v>
      </c>
      <c r="AH201">
        <v>94</v>
      </c>
      <c r="AI201">
        <v>98</v>
      </c>
      <c r="AJ201">
        <v>4</v>
      </c>
      <c r="AK201">
        <v>57</v>
      </c>
      <c r="AL201" t="s">
        <v>74</v>
      </c>
      <c r="AM201" t="s">
        <v>74</v>
      </c>
      <c r="AN201" t="s">
        <v>74</v>
      </c>
      <c r="AO201" t="s">
        <v>1082</v>
      </c>
      <c r="AP201" t="s">
        <v>74</v>
      </c>
      <c r="AQ201" t="s">
        <v>74</v>
      </c>
      <c r="AR201" t="s">
        <v>74</v>
      </c>
      <c r="AS201" t="s">
        <v>74</v>
      </c>
      <c r="AT201" t="s">
        <v>2906</v>
      </c>
      <c r="AU201">
        <v>2016</v>
      </c>
      <c r="AV201">
        <v>11</v>
      </c>
      <c r="AW201">
        <v>6</v>
      </c>
      <c r="AX201" t="s">
        <v>74</v>
      </c>
      <c r="AY201" t="s">
        <v>74</v>
      </c>
      <c r="AZ201" t="s">
        <v>74</v>
      </c>
      <c r="BA201" t="s">
        <v>74</v>
      </c>
      <c r="BB201" t="s">
        <v>74</v>
      </c>
      <c r="BC201" t="s">
        <v>74</v>
      </c>
      <c r="BD201" t="s">
        <v>2907</v>
      </c>
      <c r="BE201" t="s">
        <v>2908</v>
      </c>
      <c r="BF201" t="str">
        <f>HYPERLINK("http://dx.doi.org/10.1371/journal.pone.0157566","http://dx.doi.org/10.1371/journal.pone.0157566")</f>
        <v>http://dx.doi.org/10.1371/journal.pone.0157566</v>
      </c>
      <c r="BG201" t="s">
        <v>74</v>
      </c>
      <c r="BH201" t="s">
        <v>74</v>
      </c>
      <c r="BI201" t="s">
        <v>74</v>
      </c>
      <c r="BJ201" t="s">
        <v>152</v>
      </c>
      <c r="BK201" t="s">
        <v>117</v>
      </c>
      <c r="BL201" t="s">
        <v>153</v>
      </c>
      <c r="BM201" t="s">
        <v>74</v>
      </c>
      <c r="BN201">
        <v>27305142</v>
      </c>
      <c r="BO201" t="s">
        <v>74</v>
      </c>
      <c r="BP201" t="s">
        <v>74</v>
      </c>
      <c r="BQ201" t="s">
        <v>74</v>
      </c>
      <c r="BR201" t="s">
        <v>96</v>
      </c>
      <c r="BS201" t="s">
        <v>2909</v>
      </c>
      <c r="BT201" t="str">
        <f>HYPERLINK("https%3A%2F%2Fwww.webofscience.com%2Fwos%2Fwoscc%2Ffull-record%2FWOS:000377824800073","View Full Record in Web of Science")</f>
        <v>View Full Record in Web of Science</v>
      </c>
    </row>
    <row r="202" spans="1:72" x14ac:dyDescent="0.15">
      <c r="A202" t="s">
        <v>98</v>
      </c>
      <c r="B202" t="s">
        <v>6836</v>
      </c>
      <c r="C202" t="s">
        <v>74</v>
      </c>
      <c r="D202" t="s">
        <v>74</v>
      </c>
      <c r="E202" t="s">
        <v>74</v>
      </c>
      <c r="F202" t="s">
        <v>6837</v>
      </c>
      <c r="G202" t="s">
        <v>74</v>
      </c>
      <c r="H202" t="s">
        <v>74</v>
      </c>
      <c r="I202" t="s">
        <v>6838</v>
      </c>
      <c r="J202" t="s">
        <v>4061</v>
      </c>
      <c r="K202" t="s">
        <v>74</v>
      </c>
      <c r="L202" t="s">
        <v>74</v>
      </c>
      <c r="M202" t="s">
        <v>74</v>
      </c>
      <c r="N202" t="s">
        <v>103</v>
      </c>
      <c r="O202" t="s">
        <v>74</v>
      </c>
      <c r="P202" t="s">
        <v>74</v>
      </c>
      <c r="Q202" t="s">
        <v>74</v>
      </c>
      <c r="R202" t="s">
        <v>74</v>
      </c>
      <c r="S202" t="s">
        <v>74</v>
      </c>
      <c r="T202" t="s">
        <v>6839</v>
      </c>
      <c r="U202" t="s">
        <v>6840</v>
      </c>
      <c r="V202" t="s">
        <v>6841</v>
      </c>
      <c r="W202" t="s">
        <v>6842</v>
      </c>
      <c r="X202" t="s">
        <v>6843</v>
      </c>
      <c r="Y202" t="s">
        <v>6844</v>
      </c>
      <c r="Z202" t="s">
        <v>6845</v>
      </c>
      <c r="AA202" t="s">
        <v>6846</v>
      </c>
      <c r="AB202" t="s">
        <v>6847</v>
      </c>
      <c r="AC202" t="s">
        <v>74</v>
      </c>
      <c r="AD202" t="s">
        <v>74</v>
      </c>
      <c r="AE202" t="s">
        <v>74</v>
      </c>
      <c r="AF202" t="s">
        <v>74</v>
      </c>
      <c r="AG202">
        <v>51</v>
      </c>
      <c r="AH202">
        <v>94</v>
      </c>
      <c r="AI202">
        <v>95</v>
      </c>
      <c r="AJ202">
        <v>2</v>
      </c>
      <c r="AK202">
        <v>21</v>
      </c>
      <c r="AL202" t="s">
        <v>74</v>
      </c>
      <c r="AM202" t="s">
        <v>74</v>
      </c>
      <c r="AN202" t="s">
        <v>74</v>
      </c>
      <c r="AO202" t="s">
        <v>4070</v>
      </c>
      <c r="AP202" t="s">
        <v>74</v>
      </c>
      <c r="AQ202" t="s">
        <v>74</v>
      </c>
      <c r="AR202" t="s">
        <v>74</v>
      </c>
      <c r="AS202" t="s">
        <v>74</v>
      </c>
      <c r="AT202" t="s">
        <v>132</v>
      </c>
      <c r="AU202">
        <v>2015</v>
      </c>
      <c r="AV202">
        <v>4</v>
      </c>
      <c r="AW202">
        <v>2</v>
      </c>
      <c r="AX202" t="s">
        <v>74</v>
      </c>
      <c r="AY202" t="s">
        <v>74</v>
      </c>
      <c r="AZ202" t="s">
        <v>74</v>
      </c>
      <c r="BA202" t="s">
        <v>74</v>
      </c>
      <c r="BB202">
        <v>252</v>
      </c>
      <c r="BC202">
        <v>266</v>
      </c>
      <c r="BD202" t="s">
        <v>74</v>
      </c>
      <c r="BE202" t="s">
        <v>6848</v>
      </c>
      <c r="BF202" t="str">
        <f>HYPERLINK("http://dx.doi.org/10.1002/mbo3.235","http://dx.doi.org/10.1002/mbo3.235")</f>
        <v>http://dx.doi.org/10.1002/mbo3.235</v>
      </c>
      <c r="BG202" t="s">
        <v>74</v>
      </c>
      <c r="BH202" t="s">
        <v>74</v>
      </c>
      <c r="BI202" t="s">
        <v>74</v>
      </c>
      <c r="BJ202" t="s">
        <v>898</v>
      </c>
      <c r="BK202" t="s">
        <v>117</v>
      </c>
      <c r="BL202" t="s">
        <v>898</v>
      </c>
      <c r="BM202" t="s">
        <v>74</v>
      </c>
      <c r="BN202">
        <v>25611733</v>
      </c>
      <c r="BO202" t="s">
        <v>74</v>
      </c>
      <c r="BP202" t="s">
        <v>74</v>
      </c>
      <c r="BQ202" t="s">
        <v>74</v>
      </c>
      <c r="BR202" t="s">
        <v>96</v>
      </c>
      <c r="BS202" t="s">
        <v>6849</v>
      </c>
      <c r="BT202" t="str">
        <f>HYPERLINK("https%3A%2F%2Fwww.webofscience.com%2Fwos%2Fwoscc%2Ffull-record%2FWOS:000352575900005","View Full Record in Web of Science")</f>
        <v>View Full Record in Web of Science</v>
      </c>
    </row>
    <row r="203" spans="1:72" x14ac:dyDescent="0.15">
      <c r="A203" t="s">
        <v>98</v>
      </c>
      <c r="B203" t="s">
        <v>10986</v>
      </c>
      <c r="C203" t="s">
        <v>74</v>
      </c>
      <c r="D203" t="s">
        <v>74</v>
      </c>
      <c r="E203" t="s">
        <v>74</v>
      </c>
      <c r="F203" t="s">
        <v>10987</v>
      </c>
      <c r="G203" t="s">
        <v>74</v>
      </c>
      <c r="H203" t="s">
        <v>74</v>
      </c>
      <c r="I203" t="s">
        <v>10988</v>
      </c>
      <c r="J203" t="s">
        <v>10744</v>
      </c>
      <c r="K203" t="s">
        <v>74</v>
      </c>
      <c r="L203" t="s">
        <v>74</v>
      </c>
      <c r="M203" t="s">
        <v>74</v>
      </c>
      <c r="N203" t="s">
        <v>103</v>
      </c>
      <c r="O203" t="s">
        <v>74</v>
      </c>
      <c r="P203" t="s">
        <v>74</v>
      </c>
      <c r="Q203" t="s">
        <v>74</v>
      </c>
      <c r="R203" t="s">
        <v>74</v>
      </c>
      <c r="S203" t="s">
        <v>74</v>
      </c>
      <c r="T203" t="s">
        <v>74</v>
      </c>
      <c r="U203" t="s">
        <v>10989</v>
      </c>
      <c r="V203" t="s">
        <v>10990</v>
      </c>
      <c r="W203" t="s">
        <v>10991</v>
      </c>
      <c r="X203" t="s">
        <v>10992</v>
      </c>
      <c r="Y203" t="s">
        <v>10993</v>
      </c>
      <c r="Z203" t="s">
        <v>10044</v>
      </c>
      <c r="AA203" t="s">
        <v>74</v>
      </c>
      <c r="AB203" t="s">
        <v>10994</v>
      </c>
      <c r="AC203" t="s">
        <v>74</v>
      </c>
      <c r="AD203" t="s">
        <v>74</v>
      </c>
      <c r="AE203" t="s">
        <v>74</v>
      </c>
      <c r="AF203" t="s">
        <v>74</v>
      </c>
      <c r="AG203">
        <v>40</v>
      </c>
      <c r="AH203">
        <v>94</v>
      </c>
      <c r="AI203">
        <v>96</v>
      </c>
      <c r="AJ203">
        <v>5</v>
      </c>
      <c r="AK203">
        <v>22</v>
      </c>
      <c r="AL203" t="s">
        <v>74</v>
      </c>
      <c r="AM203" t="s">
        <v>74</v>
      </c>
      <c r="AN203" t="s">
        <v>74</v>
      </c>
      <c r="AO203" t="s">
        <v>10753</v>
      </c>
      <c r="AP203" t="s">
        <v>74</v>
      </c>
      <c r="AQ203" t="s">
        <v>74</v>
      </c>
      <c r="AR203" t="s">
        <v>74</v>
      </c>
      <c r="AS203" t="s">
        <v>74</v>
      </c>
      <c r="AT203" t="s">
        <v>211</v>
      </c>
      <c r="AU203">
        <v>2019</v>
      </c>
      <c r="AV203">
        <v>5</v>
      </c>
      <c r="AW203">
        <v>11</v>
      </c>
      <c r="AX203" t="s">
        <v>74</v>
      </c>
      <c r="AY203" t="s">
        <v>74</v>
      </c>
      <c r="AZ203" t="s">
        <v>74</v>
      </c>
      <c r="BA203" t="s">
        <v>74</v>
      </c>
      <c r="BB203" t="s">
        <v>74</v>
      </c>
      <c r="BC203" t="s">
        <v>74</v>
      </c>
      <c r="BD203" t="s">
        <v>10995</v>
      </c>
      <c r="BE203" t="s">
        <v>10996</v>
      </c>
      <c r="BF203" t="str">
        <f>HYPERLINK("http://dx.doi.org/10.1126/sciadv.aax8849","http://dx.doi.org/10.1126/sciadv.aax8849")</f>
        <v>http://dx.doi.org/10.1126/sciadv.aax8849</v>
      </c>
      <c r="BG203" t="s">
        <v>74</v>
      </c>
      <c r="BH203" t="s">
        <v>74</v>
      </c>
      <c r="BI203" t="s">
        <v>74</v>
      </c>
      <c r="BJ203" t="s">
        <v>152</v>
      </c>
      <c r="BK203" t="s">
        <v>117</v>
      </c>
      <c r="BL203" t="s">
        <v>153</v>
      </c>
      <c r="BM203" t="s">
        <v>74</v>
      </c>
      <c r="BN203">
        <v>31799396</v>
      </c>
      <c r="BO203" t="s">
        <v>74</v>
      </c>
      <c r="BP203" t="s">
        <v>74</v>
      </c>
      <c r="BQ203" t="s">
        <v>74</v>
      </c>
      <c r="BR203" t="s">
        <v>96</v>
      </c>
      <c r="BS203" t="s">
        <v>10997</v>
      </c>
      <c r="BT203" t="str">
        <f>HYPERLINK("https%3A%2F%2Fwww.webofscience.com%2Fwos%2Fwoscc%2Ffull-record%2FWOS:000499736100073","View Full Record in Web of Science")</f>
        <v>View Full Record in Web of Science</v>
      </c>
    </row>
    <row r="204" spans="1:72" x14ac:dyDescent="0.15">
      <c r="A204" t="s">
        <v>98</v>
      </c>
      <c r="B204" t="s">
        <v>17874</v>
      </c>
      <c r="C204" t="s">
        <v>74</v>
      </c>
      <c r="D204" t="s">
        <v>74</v>
      </c>
      <c r="E204" t="s">
        <v>74</v>
      </c>
      <c r="F204" t="s">
        <v>17875</v>
      </c>
      <c r="G204" t="s">
        <v>74</v>
      </c>
      <c r="H204" t="s">
        <v>74</v>
      </c>
      <c r="I204" t="s">
        <v>17876</v>
      </c>
      <c r="J204" t="s">
        <v>1073</v>
      </c>
      <c r="K204" t="s">
        <v>74</v>
      </c>
      <c r="L204" t="s">
        <v>74</v>
      </c>
      <c r="M204" t="s">
        <v>74</v>
      </c>
      <c r="N204" t="s">
        <v>103</v>
      </c>
      <c r="O204" t="s">
        <v>74</v>
      </c>
      <c r="P204" t="s">
        <v>74</v>
      </c>
      <c r="Q204" t="s">
        <v>74</v>
      </c>
      <c r="R204" t="s">
        <v>74</v>
      </c>
      <c r="S204" t="s">
        <v>74</v>
      </c>
      <c r="T204" t="s">
        <v>74</v>
      </c>
      <c r="U204" t="s">
        <v>17877</v>
      </c>
      <c r="V204" t="s">
        <v>17878</v>
      </c>
      <c r="W204" t="s">
        <v>17879</v>
      </c>
      <c r="X204" t="s">
        <v>17880</v>
      </c>
      <c r="Y204" t="s">
        <v>17881</v>
      </c>
      <c r="Z204" t="s">
        <v>17882</v>
      </c>
      <c r="AA204" t="s">
        <v>17883</v>
      </c>
      <c r="AB204" t="s">
        <v>17884</v>
      </c>
      <c r="AC204" t="s">
        <v>74</v>
      </c>
      <c r="AD204" t="s">
        <v>74</v>
      </c>
      <c r="AE204" t="s">
        <v>74</v>
      </c>
      <c r="AF204" t="s">
        <v>74</v>
      </c>
      <c r="AG204">
        <v>62</v>
      </c>
      <c r="AH204">
        <v>94</v>
      </c>
      <c r="AI204">
        <v>97</v>
      </c>
      <c r="AJ204">
        <v>2</v>
      </c>
      <c r="AK204">
        <v>48</v>
      </c>
      <c r="AL204" t="s">
        <v>74</v>
      </c>
      <c r="AM204" t="s">
        <v>74</v>
      </c>
      <c r="AN204" t="s">
        <v>74</v>
      </c>
      <c r="AO204" t="s">
        <v>1082</v>
      </c>
      <c r="AP204" t="s">
        <v>74</v>
      </c>
      <c r="AQ204" t="s">
        <v>74</v>
      </c>
      <c r="AR204" t="s">
        <v>74</v>
      </c>
      <c r="AS204" t="s">
        <v>74</v>
      </c>
      <c r="AT204" t="s">
        <v>3844</v>
      </c>
      <c r="AU204">
        <v>2013</v>
      </c>
      <c r="AV204">
        <v>8</v>
      </c>
      <c r="AW204">
        <v>4</v>
      </c>
      <c r="AX204" t="s">
        <v>74</v>
      </c>
      <c r="AY204" t="s">
        <v>74</v>
      </c>
      <c r="AZ204" t="s">
        <v>74</v>
      </c>
      <c r="BA204" t="s">
        <v>74</v>
      </c>
      <c r="BB204" t="s">
        <v>74</v>
      </c>
      <c r="BC204" t="s">
        <v>74</v>
      </c>
      <c r="BD204" t="s">
        <v>17885</v>
      </c>
      <c r="BE204" t="s">
        <v>17886</v>
      </c>
      <c r="BF204" t="str">
        <f>HYPERLINK("http://dx.doi.org/10.1371/journal.pone.0061852","http://dx.doi.org/10.1371/journal.pone.0061852")</f>
        <v>http://dx.doi.org/10.1371/journal.pone.0061852</v>
      </c>
      <c r="BG204" t="s">
        <v>74</v>
      </c>
      <c r="BH204" t="s">
        <v>74</v>
      </c>
      <c r="BI204" t="s">
        <v>74</v>
      </c>
      <c r="BJ204" t="s">
        <v>152</v>
      </c>
      <c r="BK204" t="s">
        <v>117</v>
      </c>
      <c r="BL204" t="s">
        <v>153</v>
      </c>
      <c r="BM204" t="s">
        <v>74</v>
      </c>
      <c r="BN204">
        <v>23620794</v>
      </c>
      <c r="BO204" t="s">
        <v>74</v>
      </c>
      <c r="BP204" t="s">
        <v>74</v>
      </c>
      <c r="BQ204" t="s">
        <v>74</v>
      </c>
      <c r="BR204" t="s">
        <v>96</v>
      </c>
      <c r="BS204" t="s">
        <v>17887</v>
      </c>
      <c r="BT204" t="str">
        <f>HYPERLINK("https%3A%2F%2Fwww.webofscience.com%2Fwos%2Fwoscc%2Ffull-record%2FWOS:000317909500074","View Full Record in Web of Science")</f>
        <v>View Full Record in Web of Science</v>
      </c>
    </row>
    <row r="205" spans="1:72" x14ac:dyDescent="0.15">
      <c r="A205" t="s">
        <v>98</v>
      </c>
      <c r="B205" t="s">
        <v>18608</v>
      </c>
      <c r="C205" t="s">
        <v>74</v>
      </c>
      <c r="D205" t="s">
        <v>74</v>
      </c>
      <c r="E205" t="s">
        <v>74</v>
      </c>
      <c r="F205" t="s">
        <v>18609</v>
      </c>
      <c r="G205" t="s">
        <v>74</v>
      </c>
      <c r="H205" t="s">
        <v>74</v>
      </c>
      <c r="I205" t="s">
        <v>18610</v>
      </c>
      <c r="J205" t="s">
        <v>2373</v>
      </c>
      <c r="K205" t="s">
        <v>74</v>
      </c>
      <c r="L205" t="s">
        <v>74</v>
      </c>
      <c r="M205" t="s">
        <v>74</v>
      </c>
      <c r="N205" t="s">
        <v>103</v>
      </c>
      <c r="O205" t="s">
        <v>74</v>
      </c>
      <c r="P205" t="s">
        <v>74</v>
      </c>
      <c r="Q205" t="s">
        <v>74</v>
      </c>
      <c r="R205" t="s">
        <v>74</v>
      </c>
      <c r="S205" t="s">
        <v>74</v>
      </c>
      <c r="T205" t="s">
        <v>18611</v>
      </c>
      <c r="U205" t="s">
        <v>18612</v>
      </c>
      <c r="V205" t="s">
        <v>18613</v>
      </c>
      <c r="W205" t="s">
        <v>18614</v>
      </c>
      <c r="X205" t="s">
        <v>18615</v>
      </c>
      <c r="Y205" t="s">
        <v>18616</v>
      </c>
      <c r="Z205" t="s">
        <v>18617</v>
      </c>
      <c r="AA205" t="s">
        <v>18618</v>
      </c>
      <c r="AB205" t="s">
        <v>18619</v>
      </c>
      <c r="AC205" t="s">
        <v>74</v>
      </c>
      <c r="AD205" t="s">
        <v>74</v>
      </c>
      <c r="AE205" t="s">
        <v>74</v>
      </c>
      <c r="AF205" t="s">
        <v>74</v>
      </c>
      <c r="AG205">
        <v>19</v>
      </c>
      <c r="AH205">
        <v>94</v>
      </c>
      <c r="AI205">
        <v>101</v>
      </c>
      <c r="AJ205">
        <v>0</v>
      </c>
      <c r="AK205">
        <v>0</v>
      </c>
      <c r="AL205" t="s">
        <v>74</v>
      </c>
      <c r="AM205" t="s">
        <v>74</v>
      </c>
      <c r="AN205" t="s">
        <v>74</v>
      </c>
      <c r="AO205" t="s">
        <v>2382</v>
      </c>
      <c r="AP205" t="s">
        <v>2383</v>
      </c>
      <c r="AQ205" t="s">
        <v>74</v>
      </c>
      <c r="AR205" t="s">
        <v>74</v>
      </c>
      <c r="AS205" t="s">
        <v>74</v>
      </c>
      <c r="AT205" t="s">
        <v>614</v>
      </c>
      <c r="AU205">
        <v>2009</v>
      </c>
      <c r="AV205">
        <v>10</v>
      </c>
      <c r="AW205">
        <v>7</v>
      </c>
      <c r="AX205" t="s">
        <v>74</v>
      </c>
      <c r="AY205" t="s">
        <v>74</v>
      </c>
      <c r="AZ205" t="s">
        <v>74</v>
      </c>
      <c r="BA205" t="s">
        <v>74</v>
      </c>
      <c r="BB205">
        <v>783</v>
      </c>
      <c r="BC205">
        <v>789</v>
      </c>
      <c r="BD205" t="s">
        <v>74</v>
      </c>
      <c r="BE205" t="s">
        <v>18620</v>
      </c>
      <c r="BF205" t="str">
        <f>HYPERLINK("http://dx.doi.org/10.1038/embor.2009.81","http://dx.doi.org/10.1038/embor.2009.81")</f>
        <v>http://dx.doi.org/10.1038/embor.2009.81</v>
      </c>
      <c r="BG205" t="s">
        <v>74</v>
      </c>
      <c r="BH205" t="s">
        <v>74</v>
      </c>
      <c r="BI205" t="s">
        <v>74</v>
      </c>
      <c r="BJ205" t="s">
        <v>498</v>
      </c>
      <c r="BK205" t="s">
        <v>117</v>
      </c>
      <c r="BL205" t="s">
        <v>498</v>
      </c>
      <c r="BM205" t="s">
        <v>74</v>
      </c>
      <c r="BN205">
        <v>19483673</v>
      </c>
      <c r="BO205" t="s">
        <v>74</v>
      </c>
      <c r="BP205" t="s">
        <v>74</v>
      </c>
      <c r="BQ205" t="s">
        <v>74</v>
      </c>
      <c r="BR205" t="s">
        <v>96</v>
      </c>
      <c r="BS205" t="s">
        <v>18621</v>
      </c>
      <c r="BT205" t="str">
        <f>HYPERLINK("https%3A%2F%2Fwww.webofscience.com%2Fwos%2Fwoscc%2Ffull-record%2FWOS:000267599700023","View Full Record in Web of Science")</f>
        <v>View Full Record in Web of Science</v>
      </c>
    </row>
    <row r="206" spans="1:72" x14ac:dyDescent="0.15">
      <c r="A206" t="s">
        <v>98</v>
      </c>
      <c r="B206" t="s">
        <v>15913</v>
      </c>
      <c r="C206" t="s">
        <v>74</v>
      </c>
      <c r="D206" t="s">
        <v>74</v>
      </c>
      <c r="E206" t="s">
        <v>74</v>
      </c>
      <c r="F206" t="s">
        <v>15914</v>
      </c>
      <c r="G206" t="s">
        <v>74</v>
      </c>
      <c r="H206" t="s">
        <v>74</v>
      </c>
      <c r="I206" t="s">
        <v>15915</v>
      </c>
      <c r="J206" t="s">
        <v>1073</v>
      </c>
      <c r="K206" t="s">
        <v>74</v>
      </c>
      <c r="L206" t="s">
        <v>74</v>
      </c>
      <c r="M206" t="s">
        <v>74</v>
      </c>
      <c r="N206" t="s">
        <v>103</v>
      </c>
      <c r="O206" t="s">
        <v>74</v>
      </c>
      <c r="P206" t="s">
        <v>74</v>
      </c>
      <c r="Q206" t="s">
        <v>74</v>
      </c>
      <c r="R206" t="s">
        <v>74</v>
      </c>
      <c r="S206" t="s">
        <v>74</v>
      </c>
      <c r="T206" t="s">
        <v>74</v>
      </c>
      <c r="U206" t="s">
        <v>15916</v>
      </c>
      <c r="V206" t="s">
        <v>15917</v>
      </c>
      <c r="W206" t="s">
        <v>15918</v>
      </c>
      <c r="X206" t="s">
        <v>15919</v>
      </c>
      <c r="Y206" t="s">
        <v>15920</v>
      </c>
      <c r="Z206" t="s">
        <v>15921</v>
      </c>
      <c r="AA206" t="s">
        <v>15922</v>
      </c>
      <c r="AB206" t="s">
        <v>15923</v>
      </c>
      <c r="AC206" t="s">
        <v>74</v>
      </c>
      <c r="AD206" t="s">
        <v>74</v>
      </c>
      <c r="AE206" t="s">
        <v>74</v>
      </c>
      <c r="AF206" t="s">
        <v>74</v>
      </c>
      <c r="AG206">
        <v>41</v>
      </c>
      <c r="AH206">
        <v>93</v>
      </c>
      <c r="AI206">
        <v>98</v>
      </c>
      <c r="AJ206">
        <v>2</v>
      </c>
      <c r="AK206">
        <v>15</v>
      </c>
      <c r="AL206" t="s">
        <v>74</v>
      </c>
      <c r="AM206" t="s">
        <v>74</v>
      </c>
      <c r="AN206" t="s">
        <v>74</v>
      </c>
      <c r="AO206" t="s">
        <v>1082</v>
      </c>
      <c r="AP206" t="s">
        <v>74</v>
      </c>
      <c r="AQ206" t="s">
        <v>74</v>
      </c>
      <c r="AR206" t="s">
        <v>74</v>
      </c>
      <c r="AS206" t="s">
        <v>74</v>
      </c>
      <c r="AT206" t="s">
        <v>4372</v>
      </c>
      <c r="AU206">
        <v>2014</v>
      </c>
      <c r="AV206">
        <v>9</v>
      </c>
      <c r="AW206">
        <v>7</v>
      </c>
      <c r="AX206" t="s">
        <v>74</v>
      </c>
      <c r="AY206" t="s">
        <v>74</v>
      </c>
      <c r="AZ206" t="s">
        <v>74</v>
      </c>
      <c r="BA206" t="s">
        <v>74</v>
      </c>
      <c r="BB206" t="s">
        <v>74</v>
      </c>
      <c r="BC206" t="s">
        <v>74</v>
      </c>
      <c r="BD206" t="s">
        <v>15924</v>
      </c>
      <c r="BE206" t="s">
        <v>15925</v>
      </c>
      <c r="BF206" t="str">
        <f>HYPERLINK("http://dx.doi.org/10.1371/journal.pone.0101629","http://dx.doi.org/10.1371/journal.pone.0101629")</f>
        <v>http://dx.doi.org/10.1371/journal.pone.0101629</v>
      </c>
      <c r="BG206" t="s">
        <v>74</v>
      </c>
      <c r="BH206" t="s">
        <v>74</v>
      </c>
      <c r="BI206" t="s">
        <v>74</v>
      </c>
      <c r="BJ206" t="s">
        <v>152</v>
      </c>
      <c r="BK206" t="s">
        <v>117</v>
      </c>
      <c r="BL206" t="s">
        <v>153</v>
      </c>
      <c r="BM206" t="s">
        <v>74</v>
      </c>
      <c r="BN206">
        <v>24992257</v>
      </c>
      <c r="BO206" t="s">
        <v>74</v>
      </c>
      <c r="BP206" t="s">
        <v>74</v>
      </c>
      <c r="BQ206" t="s">
        <v>74</v>
      </c>
      <c r="BR206" t="s">
        <v>96</v>
      </c>
      <c r="BS206" t="s">
        <v>15926</v>
      </c>
      <c r="BT206" t="str">
        <f>HYPERLINK("https%3A%2F%2Fwww.webofscience.com%2Fwos%2Fwoscc%2Ffull-record%2FWOS:000341253400100","View Full Record in Web of Science")</f>
        <v>View Full Record in Web of Science</v>
      </c>
    </row>
    <row r="207" spans="1:72" x14ac:dyDescent="0.15">
      <c r="A207" t="s">
        <v>98</v>
      </c>
      <c r="B207" t="s">
        <v>23952</v>
      </c>
      <c r="C207" t="s">
        <v>74</v>
      </c>
      <c r="D207" t="s">
        <v>74</v>
      </c>
      <c r="E207" t="s">
        <v>74</v>
      </c>
      <c r="F207" t="s">
        <v>23953</v>
      </c>
      <c r="G207" t="s">
        <v>74</v>
      </c>
      <c r="H207" t="s">
        <v>74</v>
      </c>
      <c r="I207" t="s">
        <v>23954</v>
      </c>
      <c r="J207" t="s">
        <v>23955</v>
      </c>
      <c r="K207" t="s">
        <v>74</v>
      </c>
      <c r="L207" t="s">
        <v>74</v>
      </c>
      <c r="M207" t="s">
        <v>74</v>
      </c>
      <c r="N207" t="s">
        <v>103</v>
      </c>
      <c r="O207" t="s">
        <v>74</v>
      </c>
      <c r="P207" t="s">
        <v>74</v>
      </c>
      <c r="Q207" t="s">
        <v>74</v>
      </c>
      <c r="R207" t="s">
        <v>74</v>
      </c>
      <c r="S207" t="s">
        <v>74</v>
      </c>
      <c r="T207" t="s">
        <v>23956</v>
      </c>
      <c r="U207" t="s">
        <v>23957</v>
      </c>
      <c r="V207" t="s">
        <v>23958</v>
      </c>
      <c r="W207" t="s">
        <v>23959</v>
      </c>
      <c r="X207" t="s">
        <v>23960</v>
      </c>
      <c r="Y207" t="s">
        <v>23961</v>
      </c>
      <c r="Z207" t="s">
        <v>23962</v>
      </c>
      <c r="AA207" t="s">
        <v>74</v>
      </c>
      <c r="AB207" t="s">
        <v>74</v>
      </c>
      <c r="AC207" t="s">
        <v>74</v>
      </c>
      <c r="AD207" t="s">
        <v>74</v>
      </c>
      <c r="AE207" t="s">
        <v>74</v>
      </c>
      <c r="AF207" t="s">
        <v>74</v>
      </c>
      <c r="AG207">
        <v>41</v>
      </c>
      <c r="AH207">
        <v>93</v>
      </c>
      <c r="AI207">
        <v>98</v>
      </c>
      <c r="AJ207">
        <v>1</v>
      </c>
      <c r="AK207">
        <v>34</v>
      </c>
      <c r="AL207" t="s">
        <v>74</v>
      </c>
      <c r="AM207" t="s">
        <v>74</v>
      </c>
      <c r="AN207" t="s">
        <v>74</v>
      </c>
      <c r="AO207" t="s">
        <v>23963</v>
      </c>
      <c r="AP207" t="s">
        <v>23964</v>
      </c>
      <c r="AQ207" t="s">
        <v>74</v>
      </c>
      <c r="AR207" t="s">
        <v>74</v>
      </c>
      <c r="AS207" t="s">
        <v>74</v>
      </c>
      <c r="AT207" t="s">
        <v>283</v>
      </c>
      <c r="AU207">
        <v>2015</v>
      </c>
      <c r="AV207">
        <v>35</v>
      </c>
      <c r="AW207">
        <v>2</v>
      </c>
      <c r="AX207" t="s">
        <v>74</v>
      </c>
      <c r="AY207" t="s">
        <v>74</v>
      </c>
      <c r="AZ207" t="s">
        <v>74</v>
      </c>
      <c r="BA207" t="s">
        <v>74</v>
      </c>
      <c r="BB207">
        <v>532</v>
      </c>
      <c r="BC207">
        <v>541</v>
      </c>
      <c r="BD207" t="s">
        <v>74</v>
      </c>
      <c r="BE207" t="s">
        <v>23965</v>
      </c>
      <c r="BF207" t="str">
        <f>HYPERLINK("http://dx.doi.org/10.1111/liv.12633","http://dx.doi.org/10.1111/liv.12633")</f>
        <v>http://dx.doi.org/10.1111/liv.12633</v>
      </c>
      <c r="BG207" t="s">
        <v>74</v>
      </c>
      <c r="BH207" t="s">
        <v>74</v>
      </c>
      <c r="BI207" t="s">
        <v>74</v>
      </c>
      <c r="BJ207" t="s">
        <v>633</v>
      </c>
      <c r="BK207" t="s">
        <v>117</v>
      </c>
      <c r="BL207" t="s">
        <v>633</v>
      </c>
      <c r="BM207" t="s">
        <v>74</v>
      </c>
      <c r="BN207">
        <v>25040043</v>
      </c>
      <c r="BO207" t="s">
        <v>74</v>
      </c>
      <c r="BP207" t="s">
        <v>74</v>
      </c>
      <c r="BQ207" t="s">
        <v>74</v>
      </c>
      <c r="BR207" t="s">
        <v>96</v>
      </c>
      <c r="BS207" t="s">
        <v>23966</v>
      </c>
      <c r="BT207" t="str">
        <f>HYPERLINK("https%3A%2F%2Fwww.webofscience.com%2Fwos%2Fwoscc%2Ffull-record%2FWOS:000348714500032","View Full Record in Web of Science")</f>
        <v>View Full Record in Web of Science</v>
      </c>
    </row>
    <row r="208" spans="1:72" x14ac:dyDescent="0.15">
      <c r="A208" t="s">
        <v>98</v>
      </c>
      <c r="B208" t="s">
        <v>26784</v>
      </c>
      <c r="C208" t="s">
        <v>74</v>
      </c>
      <c r="D208" t="s">
        <v>74</v>
      </c>
      <c r="E208" t="s">
        <v>74</v>
      </c>
      <c r="F208" t="s">
        <v>26785</v>
      </c>
      <c r="G208" t="s">
        <v>74</v>
      </c>
      <c r="H208" t="s">
        <v>74</v>
      </c>
      <c r="I208" t="s">
        <v>26786</v>
      </c>
      <c r="J208" t="s">
        <v>26787</v>
      </c>
      <c r="K208" t="s">
        <v>74</v>
      </c>
      <c r="L208" t="s">
        <v>74</v>
      </c>
      <c r="M208" t="s">
        <v>74</v>
      </c>
      <c r="N208" t="s">
        <v>980</v>
      </c>
      <c r="O208" t="s">
        <v>26788</v>
      </c>
      <c r="P208" t="s">
        <v>26789</v>
      </c>
      <c r="Q208" t="s">
        <v>26790</v>
      </c>
      <c r="R208" t="s">
        <v>74</v>
      </c>
      <c r="S208" t="s">
        <v>74</v>
      </c>
      <c r="T208" t="s">
        <v>74</v>
      </c>
      <c r="U208" t="s">
        <v>26791</v>
      </c>
      <c r="V208" t="s">
        <v>26792</v>
      </c>
      <c r="W208" t="s">
        <v>26793</v>
      </c>
      <c r="X208" t="s">
        <v>22437</v>
      </c>
      <c r="Y208" t="s">
        <v>26794</v>
      </c>
      <c r="Z208" t="s">
        <v>26795</v>
      </c>
      <c r="AA208" t="s">
        <v>74</v>
      </c>
      <c r="AB208" t="s">
        <v>74</v>
      </c>
      <c r="AC208" t="s">
        <v>74</v>
      </c>
      <c r="AD208" t="s">
        <v>74</v>
      </c>
      <c r="AE208" t="s">
        <v>74</v>
      </c>
      <c r="AF208" t="s">
        <v>74</v>
      </c>
      <c r="AG208">
        <v>67</v>
      </c>
      <c r="AH208">
        <v>93</v>
      </c>
      <c r="AI208">
        <v>93</v>
      </c>
      <c r="AJ208">
        <v>6</v>
      </c>
      <c r="AK208">
        <v>58</v>
      </c>
      <c r="AL208" t="s">
        <v>74</v>
      </c>
      <c r="AM208" t="s">
        <v>74</v>
      </c>
      <c r="AN208" t="s">
        <v>74</v>
      </c>
      <c r="AO208" t="s">
        <v>26796</v>
      </c>
      <c r="AP208" t="s">
        <v>26797</v>
      </c>
      <c r="AQ208" t="s">
        <v>74</v>
      </c>
      <c r="AR208" t="s">
        <v>74</v>
      </c>
      <c r="AS208" t="s">
        <v>74</v>
      </c>
      <c r="AT208" t="s">
        <v>74</v>
      </c>
      <c r="AU208">
        <v>2017</v>
      </c>
      <c r="AV208">
        <v>164</v>
      </c>
      <c r="AW208">
        <v>5</v>
      </c>
      <c r="AX208" t="s">
        <v>74</v>
      </c>
      <c r="AY208" t="s">
        <v>74</v>
      </c>
      <c r="AZ208" t="s">
        <v>74</v>
      </c>
      <c r="BA208" t="s">
        <v>74</v>
      </c>
      <c r="BB208" t="s">
        <v>26798</v>
      </c>
      <c r="BC208" t="s">
        <v>26799</v>
      </c>
      <c r="BD208" t="s">
        <v>74</v>
      </c>
      <c r="BE208" t="s">
        <v>26800</v>
      </c>
      <c r="BF208" t="str">
        <f>HYPERLINK("http://dx.doi.org/10.1149/2.0071705jes","http://dx.doi.org/10.1149/2.0071705jes")</f>
        <v>http://dx.doi.org/10.1149/2.0071705jes</v>
      </c>
      <c r="BG208" t="s">
        <v>74</v>
      </c>
      <c r="BH208" t="s">
        <v>74</v>
      </c>
      <c r="BI208" t="s">
        <v>74</v>
      </c>
      <c r="BJ208" t="s">
        <v>26801</v>
      </c>
      <c r="BK208" t="s">
        <v>997</v>
      </c>
      <c r="BL208" t="s">
        <v>26802</v>
      </c>
      <c r="BM208" t="s">
        <v>74</v>
      </c>
      <c r="BN208" t="s">
        <v>74</v>
      </c>
      <c r="BO208" t="s">
        <v>74</v>
      </c>
      <c r="BP208" t="s">
        <v>74</v>
      </c>
      <c r="BQ208" t="s">
        <v>74</v>
      </c>
      <c r="BR208" t="s">
        <v>96</v>
      </c>
      <c r="BS208" t="s">
        <v>26803</v>
      </c>
      <c r="BT208" t="str">
        <f>HYPERLINK("https%3A%2F%2Fwww.webofscience.com%2Fwos%2Fwoscc%2Ffull-record%2FWOS:000400961300007","View Full Record in Web of Science")</f>
        <v>View Full Record in Web of Science</v>
      </c>
    </row>
    <row r="209" spans="1:72" x14ac:dyDescent="0.15">
      <c r="A209" t="s">
        <v>98</v>
      </c>
      <c r="B209" t="s">
        <v>17426</v>
      </c>
      <c r="C209" t="s">
        <v>74</v>
      </c>
      <c r="D209" t="s">
        <v>74</v>
      </c>
      <c r="E209" t="s">
        <v>74</v>
      </c>
      <c r="F209" t="s">
        <v>17427</v>
      </c>
      <c r="G209" t="s">
        <v>74</v>
      </c>
      <c r="H209" t="s">
        <v>74</v>
      </c>
      <c r="I209" t="s">
        <v>17428</v>
      </c>
      <c r="J209" t="s">
        <v>4332</v>
      </c>
      <c r="K209" t="s">
        <v>74</v>
      </c>
      <c r="L209" t="s">
        <v>74</v>
      </c>
      <c r="M209" t="s">
        <v>74</v>
      </c>
      <c r="N209" t="s">
        <v>103</v>
      </c>
      <c r="O209" t="s">
        <v>74</v>
      </c>
      <c r="P209" t="s">
        <v>74</v>
      </c>
      <c r="Q209" t="s">
        <v>74</v>
      </c>
      <c r="R209" t="s">
        <v>74</v>
      </c>
      <c r="S209" t="s">
        <v>74</v>
      </c>
      <c r="T209" t="s">
        <v>17429</v>
      </c>
      <c r="U209" t="s">
        <v>17430</v>
      </c>
      <c r="V209" t="s">
        <v>17431</v>
      </c>
      <c r="W209" t="s">
        <v>17432</v>
      </c>
      <c r="X209" t="s">
        <v>17433</v>
      </c>
      <c r="Y209" t="s">
        <v>17434</v>
      </c>
      <c r="Z209" t="s">
        <v>17435</v>
      </c>
      <c r="AA209" t="s">
        <v>17436</v>
      </c>
      <c r="AB209" t="s">
        <v>17437</v>
      </c>
      <c r="AC209" t="s">
        <v>74</v>
      </c>
      <c r="AD209" t="s">
        <v>74</v>
      </c>
      <c r="AE209" t="s">
        <v>74</v>
      </c>
      <c r="AF209" t="s">
        <v>74</v>
      </c>
      <c r="AG209">
        <v>67</v>
      </c>
      <c r="AH209">
        <v>92</v>
      </c>
      <c r="AI209">
        <v>97</v>
      </c>
      <c r="AJ209">
        <v>6</v>
      </c>
      <c r="AK209">
        <v>21</v>
      </c>
      <c r="AL209" t="s">
        <v>74</v>
      </c>
      <c r="AM209" t="s">
        <v>74</v>
      </c>
      <c r="AN209" t="s">
        <v>74</v>
      </c>
      <c r="AO209" t="s">
        <v>74</v>
      </c>
      <c r="AP209" t="s">
        <v>4342</v>
      </c>
      <c r="AQ209" t="s">
        <v>74</v>
      </c>
      <c r="AR209" t="s">
        <v>74</v>
      </c>
      <c r="AS209" t="s">
        <v>74</v>
      </c>
      <c r="AT209" t="s">
        <v>17438</v>
      </c>
      <c r="AU209">
        <v>2019</v>
      </c>
      <c r="AV209">
        <v>38</v>
      </c>
      <c r="AW209" t="s">
        <v>74</v>
      </c>
      <c r="AX209" t="s">
        <v>74</v>
      </c>
      <c r="AY209" t="s">
        <v>74</v>
      </c>
      <c r="AZ209" t="s">
        <v>74</v>
      </c>
      <c r="BA209" t="s">
        <v>74</v>
      </c>
      <c r="BB209" t="s">
        <v>74</v>
      </c>
      <c r="BC209" t="s">
        <v>74</v>
      </c>
      <c r="BD209">
        <v>166</v>
      </c>
      <c r="BE209" t="s">
        <v>17439</v>
      </c>
      <c r="BF209" t="str">
        <f>HYPERLINK("http://dx.doi.org/10.1186/s13046-019-1139-6","http://dx.doi.org/10.1186/s13046-019-1139-6")</f>
        <v>http://dx.doi.org/10.1186/s13046-019-1139-6</v>
      </c>
      <c r="BG209" t="s">
        <v>74</v>
      </c>
      <c r="BH209" t="s">
        <v>74</v>
      </c>
      <c r="BI209" t="s">
        <v>74</v>
      </c>
      <c r="BJ209" t="s">
        <v>267</v>
      </c>
      <c r="BK209" t="s">
        <v>117</v>
      </c>
      <c r="BL209" t="s">
        <v>267</v>
      </c>
      <c r="BM209" t="s">
        <v>74</v>
      </c>
      <c r="BN209">
        <v>30992025</v>
      </c>
      <c r="BO209" t="s">
        <v>74</v>
      </c>
      <c r="BP209" t="s">
        <v>193</v>
      </c>
      <c r="BQ209" t="s">
        <v>194</v>
      </c>
      <c r="BR209" t="s">
        <v>96</v>
      </c>
      <c r="BS209" t="s">
        <v>17440</v>
      </c>
      <c r="BT209" t="str">
        <f>HYPERLINK("https%3A%2F%2Fwww.webofscience.com%2Fwos%2Fwoscc%2Ffull-record%2FWOS:000464893900001","View Full Record in Web of Science")</f>
        <v>View Full Record in Web of Science</v>
      </c>
    </row>
    <row r="210" spans="1:72" x14ac:dyDescent="0.15">
      <c r="A210" t="s">
        <v>98</v>
      </c>
      <c r="B210" t="s">
        <v>17683</v>
      </c>
      <c r="C210" t="s">
        <v>74</v>
      </c>
      <c r="D210" t="s">
        <v>74</v>
      </c>
      <c r="E210" t="s">
        <v>74</v>
      </c>
      <c r="F210" t="s">
        <v>17684</v>
      </c>
      <c r="G210" t="s">
        <v>74</v>
      </c>
      <c r="H210" t="s">
        <v>74</v>
      </c>
      <c r="I210" t="s">
        <v>17685</v>
      </c>
      <c r="J210" t="s">
        <v>658</v>
      </c>
      <c r="K210" t="s">
        <v>74</v>
      </c>
      <c r="L210" t="s">
        <v>74</v>
      </c>
      <c r="M210" t="s">
        <v>74</v>
      </c>
      <c r="N210" t="s">
        <v>103</v>
      </c>
      <c r="O210" t="s">
        <v>74</v>
      </c>
      <c r="P210" t="s">
        <v>74</v>
      </c>
      <c r="Q210" t="s">
        <v>74</v>
      </c>
      <c r="R210" t="s">
        <v>74</v>
      </c>
      <c r="S210" t="s">
        <v>74</v>
      </c>
      <c r="T210" t="s">
        <v>17686</v>
      </c>
      <c r="U210" t="s">
        <v>17687</v>
      </c>
      <c r="V210" t="s">
        <v>17688</v>
      </c>
      <c r="W210" t="s">
        <v>17689</v>
      </c>
      <c r="X210" t="s">
        <v>17690</v>
      </c>
      <c r="Y210" t="s">
        <v>17691</v>
      </c>
      <c r="Z210" t="s">
        <v>8755</v>
      </c>
      <c r="AA210" t="s">
        <v>17692</v>
      </c>
      <c r="AB210" t="s">
        <v>17693</v>
      </c>
      <c r="AC210" t="s">
        <v>74</v>
      </c>
      <c r="AD210" t="s">
        <v>74</v>
      </c>
      <c r="AE210" t="s">
        <v>74</v>
      </c>
      <c r="AF210" t="s">
        <v>74</v>
      </c>
      <c r="AG210">
        <v>71</v>
      </c>
      <c r="AH210">
        <v>92</v>
      </c>
      <c r="AI210">
        <v>99</v>
      </c>
      <c r="AJ210">
        <v>1</v>
      </c>
      <c r="AK210">
        <v>28</v>
      </c>
      <c r="AL210" t="s">
        <v>74</v>
      </c>
      <c r="AM210" t="s">
        <v>74</v>
      </c>
      <c r="AN210" t="s">
        <v>74</v>
      </c>
      <c r="AO210" t="s">
        <v>668</v>
      </c>
      <c r="AP210" t="s">
        <v>74</v>
      </c>
      <c r="AQ210" t="s">
        <v>74</v>
      </c>
      <c r="AR210" t="s">
        <v>74</v>
      </c>
      <c r="AS210" t="s">
        <v>74</v>
      </c>
      <c r="AT210" t="s">
        <v>17694</v>
      </c>
      <c r="AU210">
        <v>2016</v>
      </c>
      <c r="AV210">
        <v>113</v>
      </c>
      <c r="AW210">
        <v>5</v>
      </c>
      <c r="AX210" t="s">
        <v>74</v>
      </c>
      <c r="AY210" t="s">
        <v>74</v>
      </c>
      <c r="AZ210" t="s">
        <v>74</v>
      </c>
      <c r="BA210" t="s">
        <v>74</v>
      </c>
      <c r="BB210" t="s">
        <v>17695</v>
      </c>
      <c r="BC210" t="s">
        <v>17696</v>
      </c>
      <c r="BD210" t="s">
        <v>74</v>
      </c>
      <c r="BE210" t="s">
        <v>17697</v>
      </c>
      <c r="BF210" t="str">
        <f>HYPERLINK("http://dx.doi.org/10.1073/pnas.1518130113","http://dx.doi.org/10.1073/pnas.1518130113")</f>
        <v>http://dx.doi.org/10.1073/pnas.1518130113</v>
      </c>
      <c r="BG210" t="s">
        <v>74</v>
      </c>
      <c r="BH210" t="s">
        <v>74</v>
      </c>
      <c r="BI210" t="s">
        <v>74</v>
      </c>
      <c r="BJ210" t="s">
        <v>152</v>
      </c>
      <c r="BK210" t="s">
        <v>117</v>
      </c>
      <c r="BL210" t="s">
        <v>153</v>
      </c>
      <c r="BM210" t="s">
        <v>74</v>
      </c>
      <c r="BN210">
        <v>26768848</v>
      </c>
      <c r="BO210" t="s">
        <v>74</v>
      </c>
      <c r="BP210" t="s">
        <v>74</v>
      </c>
      <c r="BQ210" t="s">
        <v>74</v>
      </c>
      <c r="BR210" t="s">
        <v>96</v>
      </c>
      <c r="BS210" t="s">
        <v>17698</v>
      </c>
      <c r="BT210" t="str">
        <f>HYPERLINK("https%3A%2F%2Fwww.webofscience.com%2Fwos%2Fwoscc%2Ffull-record%2FWOS:000369085100015","View Full Record in Web of Science")</f>
        <v>View Full Record in Web of Science</v>
      </c>
    </row>
    <row r="211" spans="1:72" x14ac:dyDescent="0.15">
      <c r="A211" t="s">
        <v>98</v>
      </c>
      <c r="B211" t="s">
        <v>19822</v>
      </c>
      <c r="C211" t="s">
        <v>74</v>
      </c>
      <c r="D211" t="s">
        <v>74</v>
      </c>
      <c r="E211" t="s">
        <v>74</v>
      </c>
      <c r="F211" t="s">
        <v>19823</v>
      </c>
      <c r="G211" t="s">
        <v>74</v>
      </c>
      <c r="H211" t="s">
        <v>74</v>
      </c>
      <c r="I211" t="s">
        <v>19824</v>
      </c>
      <c r="J211" t="s">
        <v>836</v>
      </c>
      <c r="K211" t="s">
        <v>74</v>
      </c>
      <c r="L211" t="s">
        <v>74</v>
      </c>
      <c r="M211" t="s">
        <v>74</v>
      </c>
      <c r="N211" t="s">
        <v>103</v>
      </c>
      <c r="O211" t="s">
        <v>74</v>
      </c>
      <c r="P211" t="s">
        <v>74</v>
      </c>
      <c r="Q211" t="s">
        <v>74</v>
      </c>
      <c r="R211" t="s">
        <v>74</v>
      </c>
      <c r="S211" t="s">
        <v>74</v>
      </c>
      <c r="T211" t="s">
        <v>19825</v>
      </c>
      <c r="U211" t="s">
        <v>19826</v>
      </c>
      <c r="V211" t="s">
        <v>19827</v>
      </c>
      <c r="W211" t="s">
        <v>19828</v>
      </c>
      <c r="X211" t="s">
        <v>19829</v>
      </c>
      <c r="Y211" t="s">
        <v>19830</v>
      </c>
      <c r="Z211" t="s">
        <v>19068</v>
      </c>
      <c r="AA211" t="s">
        <v>19831</v>
      </c>
      <c r="AB211" t="s">
        <v>19832</v>
      </c>
      <c r="AC211" t="s">
        <v>74</v>
      </c>
      <c r="AD211" t="s">
        <v>74</v>
      </c>
      <c r="AE211" t="s">
        <v>74</v>
      </c>
      <c r="AF211" t="s">
        <v>74</v>
      </c>
      <c r="AG211">
        <v>144</v>
      </c>
      <c r="AH211">
        <v>92</v>
      </c>
      <c r="AI211">
        <v>97</v>
      </c>
      <c r="AJ211">
        <v>0</v>
      </c>
      <c r="AK211">
        <v>21</v>
      </c>
      <c r="AL211" t="s">
        <v>74</v>
      </c>
      <c r="AM211" t="s">
        <v>74</v>
      </c>
      <c r="AN211" t="s">
        <v>74</v>
      </c>
      <c r="AO211" t="s">
        <v>74</v>
      </c>
      <c r="AP211" t="s">
        <v>846</v>
      </c>
      <c r="AQ211" t="s">
        <v>74</v>
      </c>
      <c r="AR211" t="s">
        <v>74</v>
      </c>
      <c r="AS211" t="s">
        <v>74</v>
      </c>
      <c r="AT211" t="s">
        <v>17257</v>
      </c>
      <c r="AU211">
        <v>2015</v>
      </c>
      <c r="AV211">
        <v>6</v>
      </c>
      <c r="AW211">
        <v>34</v>
      </c>
      <c r="AX211" t="s">
        <v>74</v>
      </c>
      <c r="AY211" t="s">
        <v>74</v>
      </c>
      <c r="AZ211" t="s">
        <v>74</v>
      </c>
      <c r="BA211" t="s">
        <v>74</v>
      </c>
      <c r="BB211">
        <v>35509</v>
      </c>
      <c r="BC211">
        <v>35521</v>
      </c>
      <c r="BD211" t="s">
        <v>74</v>
      </c>
      <c r="BE211" t="s">
        <v>19833</v>
      </c>
      <c r="BF211" t="str">
        <f>HYPERLINK("http://dx.doi.org/10.18632/oncotarget.5899","http://dx.doi.org/10.18632/oncotarget.5899")</f>
        <v>http://dx.doi.org/10.18632/oncotarget.5899</v>
      </c>
      <c r="BG211" t="s">
        <v>74</v>
      </c>
      <c r="BH211" t="s">
        <v>74</v>
      </c>
      <c r="BI211" t="s">
        <v>74</v>
      </c>
      <c r="BJ211" t="s">
        <v>848</v>
      </c>
      <c r="BK211" t="s">
        <v>117</v>
      </c>
      <c r="BL211" t="s">
        <v>848</v>
      </c>
      <c r="BM211" t="s">
        <v>74</v>
      </c>
      <c r="BN211">
        <v>26431329</v>
      </c>
      <c r="BO211" t="s">
        <v>74</v>
      </c>
      <c r="BP211" t="s">
        <v>74</v>
      </c>
      <c r="BQ211" t="s">
        <v>74</v>
      </c>
      <c r="BR211" t="s">
        <v>96</v>
      </c>
      <c r="BS211" t="s">
        <v>19834</v>
      </c>
      <c r="BT211" t="str">
        <f>HYPERLINK("https%3A%2F%2Fwww.webofscience.com%2Fwos%2Fwoscc%2Ffull-record%2FWOS:000366111900040","View Full Record in Web of Science")</f>
        <v>View Full Record in Web of Science</v>
      </c>
    </row>
    <row r="212" spans="1:72" x14ac:dyDescent="0.15">
      <c r="A212" t="s">
        <v>98</v>
      </c>
      <c r="B212" t="s">
        <v>23615</v>
      </c>
      <c r="C212" t="s">
        <v>74</v>
      </c>
      <c r="D212" t="s">
        <v>74</v>
      </c>
      <c r="E212" t="s">
        <v>74</v>
      </c>
      <c r="F212" t="s">
        <v>23616</v>
      </c>
      <c r="G212" t="s">
        <v>74</v>
      </c>
      <c r="H212" t="s">
        <v>74</v>
      </c>
      <c r="I212" t="s">
        <v>23617</v>
      </c>
      <c r="J212" t="s">
        <v>19615</v>
      </c>
      <c r="K212" t="s">
        <v>74</v>
      </c>
      <c r="L212" t="s">
        <v>74</v>
      </c>
      <c r="M212" t="s">
        <v>74</v>
      </c>
      <c r="N212" t="s">
        <v>103</v>
      </c>
      <c r="O212" t="s">
        <v>74</v>
      </c>
      <c r="P212" t="s">
        <v>74</v>
      </c>
      <c r="Q212" t="s">
        <v>74</v>
      </c>
      <c r="R212" t="s">
        <v>74</v>
      </c>
      <c r="S212" t="s">
        <v>74</v>
      </c>
      <c r="T212" t="s">
        <v>23618</v>
      </c>
      <c r="U212" t="s">
        <v>23619</v>
      </c>
      <c r="V212" t="s">
        <v>23620</v>
      </c>
      <c r="W212" t="s">
        <v>23621</v>
      </c>
      <c r="X212" t="s">
        <v>23622</v>
      </c>
      <c r="Y212" t="s">
        <v>23623</v>
      </c>
      <c r="Z212" t="s">
        <v>23624</v>
      </c>
      <c r="AA212" t="s">
        <v>23625</v>
      </c>
      <c r="AB212" t="s">
        <v>74</v>
      </c>
      <c r="AC212" t="s">
        <v>74</v>
      </c>
      <c r="AD212" t="s">
        <v>74</v>
      </c>
      <c r="AE212" t="s">
        <v>74</v>
      </c>
      <c r="AF212" t="s">
        <v>74</v>
      </c>
      <c r="AG212">
        <v>67</v>
      </c>
      <c r="AH212">
        <v>92</v>
      </c>
      <c r="AI212">
        <v>93</v>
      </c>
      <c r="AJ212">
        <v>32</v>
      </c>
      <c r="AK212">
        <v>371</v>
      </c>
      <c r="AL212" t="s">
        <v>74</v>
      </c>
      <c r="AM212" t="s">
        <v>74</v>
      </c>
      <c r="AN212" t="s">
        <v>74</v>
      </c>
      <c r="AO212" t="s">
        <v>19625</v>
      </c>
      <c r="AP212" t="s">
        <v>19626</v>
      </c>
      <c r="AQ212" t="s">
        <v>74</v>
      </c>
      <c r="AR212" t="s">
        <v>74</v>
      </c>
      <c r="AS212" t="s">
        <v>74</v>
      </c>
      <c r="AT212" t="s">
        <v>21291</v>
      </c>
      <c r="AU212">
        <v>2018</v>
      </c>
      <c r="AV212">
        <v>28</v>
      </c>
      <c r="AW212">
        <v>17</v>
      </c>
      <c r="AX212" t="s">
        <v>74</v>
      </c>
      <c r="AY212" t="s">
        <v>74</v>
      </c>
      <c r="AZ212" t="s">
        <v>74</v>
      </c>
      <c r="BA212" t="s">
        <v>74</v>
      </c>
      <c r="BB212" t="s">
        <v>74</v>
      </c>
      <c r="BC212" t="s">
        <v>74</v>
      </c>
      <c r="BD212">
        <v>1707371</v>
      </c>
      <c r="BE212" t="s">
        <v>23626</v>
      </c>
      <c r="BF212" t="str">
        <f>HYPERLINK("http://dx.doi.org/10.1002/adfm.201707371","http://dx.doi.org/10.1002/adfm.201707371")</f>
        <v>http://dx.doi.org/10.1002/adfm.201707371</v>
      </c>
      <c r="BG212" t="s">
        <v>74</v>
      </c>
      <c r="BH212" t="s">
        <v>74</v>
      </c>
      <c r="BI212" t="s">
        <v>74</v>
      </c>
      <c r="BJ212" t="s">
        <v>250</v>
      </c>
      <c r="BK212" t="s">
        <v>117</v>
      </c>
      <c r="BL212" t="s">
        <v>251</v>
      </c>
      <c r="BM212" t="s">
        <v>74</v>
      </c>
      <c r="BN212" t="s">
        <v>74</v>
      </c>
      <c r="BO212" t="s">
        <v>74</v>
      </c>
      <c r="BP212" t="s">
        <v>74</v>
      </c>
      <c r="BQ212" t="s">
        <v>74</v>
      </c>
      <c r="BR212" t="s">
        <v>96</v>
      </c>
      <c r="BS212" t="s">
        <v>23627</v>
      </c>
      <c r="BT212" t="str">
        <f>HYPERLINK("https%3A%2F%2Fwww.webofscience.com%2Fwos%2Fwoscc%2Ffull-record%2FWOS:000430658300027","View Full Record in Web of Science")</f>
        <v>View Full Record in Web of Science</v>
      </c>
    </row>
    <row r="213" spans="1:72" x14ac:dyDescent="0.15">
      <c r="A213" t="s">
        <v>98</v>
      </c>
      <c r="B213" t="s">
        <v>27575</v>
      </c>
      <c r="C213" t="s">
        <v>74</v>
      </c>
      <c r="D213" t="s">
        <v>74</v>
      </c>
      <c r="E213" t="s">
        <v>74</v>
      </c>
      <c r="F213" t="s">
        <v>27575</v>
      </c>
      <c r="G213" t="s">
        <v>74</v>
      </c>
      <c r="H213" t="s">
        <v>74</v>
      </c>
      <c r="I213" t="s">
        <v>27576</v>
      </c>
      <c r="J213" t="s">
        <v>19867</v>
      </c>
      <c r="K213" t="s">
        <v>74</v>
      </c>
      <c r="L213" t="s">
        <v>74</v>
      </c>
      <c r="M213" t="s">
        <v>74</v>
      </c>
      <c r="N213" t="s">
        <v>103</v>
      </c>
      <c r="O213" t="s">
        <v>74</v>
      </c>
      <c r="P213" t="s">
        <v>74</v>
      </c>
      <c r="Q213" t="s">
        <v>74</v>
      </c>
      <c r="R213" t="s">
        <v>74</v>
      </c>
      <c r="S213" t="s">
        <v>74</v>
      </c>
      <c r="T213" t="s">
        <v>27577</v>
      </c>
      <c r="U213" t="s">
        <v>27578</v>
      </c>
      <c r="V213" t="s">
        <v>27579</v>
      </c>
      <c r="W213" t="s">
        <v>27580</v>
      </c>
      <c r="X213" t="s">
        <v>27581</v>
      </c>
      <c r="Y213" t="s">
        <v>27582</v>
      </c>
      <c r="Z213" t="s">
        <v>74</v>
      </c>
      <c r="AA213" t="s">
        <v>27583</v>
      </c>
      <c r="AB213" t="s">
        <v>27584</v>
      </c>
      <c r="AC213" t="s">
        <v>74</v>
      </c>
      <c r="AD213" t="s">
        <v>74</v>
      </c>
      <c r="AE213" t="s">
        <v>74</v>
      </c>
      <c r="AF213" t="s">
        <v>74</v>
      </c>
      <c r="AG213">
        <v>49</v>
      </c>
      <c r="AH213">
        <v>92</v>
      </c>
      <c r="AI213">
        <v>93</v>
      </c>
      <c r="AJ213">
        <v>0</v>
      </c>
      <c r="AK213">
        <v>4</v>
      </c>
      <c r="AL213" t="s">
        <v>74</v>
      </c>
      <c r="AM213" t="s">
        <v>74</v>
      </c>
      <c r="AN213" t="s">
        <v>74</v>
      </c>
      <c r="AO213" t="s">
        <v>19876</v>
      </c>
      <c r="AP213" t="s">
        <v>19877</v>
      </c>
      <c r="AQ213" t="s">
        <v>74</v>
      </c>
      <c r="AR213" t="s">
        <v>74</v>
      </c>
      <c r="AS213" t="s">
        <v>74</v>
      </c>
      <c r="AT213" t="s">
        <v>114</v>
      </c>
      <c r="AU213">
        <v>1994</v>
      </c>
      <c r="AV213">
        <v>93</v>
      </c>
      <c r="AW213">
        <v>1</v>
      </c>
      <c r="AX213" t="s">
        <v>74</v>
      </c>
      <c r="AY213" t="s">
        <v>74</v>
      </c>
      <c r="AZ213" t="s">
        <v>74</v>
      </c>
      <c r="BA213" t="s">
        <v>74</v>
      </c>
      <c r="BB213">
        <v>121</v>
      </c>
      <c r="BC213">
        <v>130</v>
      </c>
      <c r="BD213" t="s">
        <v>74</v>
      </c>
      <c r="BE213" t="s">
        <v>27585</v>
      </c>
      <c r="BF213" t="str">
        <f>HYPERLINK("http://dx.doi.org/10.1172/JCI116935","http://dx.doi.org/10.1172/JCI116935")</f>
        <v>http://dx.doi.org/10.1172/JCI116935</v>
      </c>
      <c r="BG213" t="s">
        <v>74</v>
      </c>
      <c r="BH213" t="s">
        <v>74</v>
      </c>
      <c r="BI213" t="s">
        <v>74</v>
      </c>
      <c r="BJ213" t="s">
        <v>795</v>
      </c>
      <c r="BK213" t="s">
        <v>117</v>
      </c>
      <c r="BL213" t="s">
        <v>796</v>
      </c>
      <c r="BM213" t="s">
        <v>74</v>
      </c>
      <c r="BN213">
        <v>8282779</v>
      </c>
      <c r="BO213" t="s">
        <v>74</v>
      </c>
      <c r="BP213" t="s">
        <v>74</v>
      </c>
      <c r="BQ213" t="s">
        <v>74</v>
      </c>
      <c r="BR213" t="s">
        <v>96</v>
      </c>
      <c r="BS213" t="s">
        <v>27586</v>
      </c>
      <c r="BT213" t="str">
        <f>HYPERLINK("https%3A%2F%2Fwww.webofscience.com%2Fwos%2Fwoscc%2Ffull-record%2FWOS:A1994MY15900018","View Full Record in Web of Science")</f>
        <v>View Full Record in Web of Science</v>
      </c>
    </row>
    <row r="214" spans="1:72" x14ac:dyDescent="0.15">
      <c r="A214" t="s">
        <v>98</v>
      </c>
      <c r="B214" t="s">
        <v>517</v>
      </c>
      <c r="C214" t="s">
        <v>74</v>
      </c>
      <c r="D214" t="s">
        <v>74</v>
      </c>
      <c r="E214" t="s">
        <v>74</v>
      </c>
      <c r="F214" t="s">
        <v>518</v>
      </c>
      <c r="G214" t="s">
        <v>74</v>
      </c>
      <c r="H214" t="s">
        <v>74</v>
      </c>
      <c r="I214" t="s">
        <v>519</v>
      </c>
      <c r="J214" t="s">
        <v>520</v>
      </c>
      <c r="K214" t="s">
        <v>74</v>
      </c>
      <c r="L214" t="s">
        <v>74</v>
      </c>
      <c r="M214" t="s">
        <v>74</v>
      </c>
      <c r="N214" t="s">
        <v>103</v>
      </c>
      <c r="O214" t="s">
        <v>74</v>
      </c>
      <c r="P214" t="s">
        <v>74</v>
      </c>
      <c r="Q214" t="s">
        <v>74</v>
      </c>
      <c r="R214" t="s">
        <v>74</v>
      </c>
      <c r="S214" t="s">
        <v>74</v>
      </c>
      <c r="T214" t="s">
        <v>521</v>
      </c>
      <c r="U214" t="s">
        <v>522</v>
      </c>
      <c r="V214" t="s">
        <v>523</v>
      </c>
      <c r="W214" t="s">
        <v>524</v>
      </c>
      <c r="X214" t="s">
        <v>525</v>
      </c>
      <c r="Y214" t="s">
        <v>526</v>
      </c>
      <c r="Z214" t="s">
        <v>527</v>
      </c>
      <c r="AA214" t="s">
        <v>528</v>
      </c>
      <c r="AB214" t="s">
        <v>529</v>
      </c>
      <c r="AC214" t="s">
        <v>74</v>
      </c>
      <c r="AD214" t="s">
        <v>74</v>
      </c>
      <c r="AE214" t="s">
        <v>74</v>
      </c>
      <c r="AF214" t="s">
        <v>74</v>
      </c>
      <c r="AG214">
        <v>144</v>
      </c>
      <c r="AH214">
        <v>91</v>
      </c>
      <c r="AI214">
        <v>98</v>
      </c>
      <c r="AJ214">
        <v>2</v>
      </c>
      <c r="AK214">
        <v>44</v>
      </c>
      <c r="AL214" t="s">
        <v>74</v>
      </c>
      <c r="AM214" t="s">
        <v>74</v>
      </c>
      <c r="AN214" t="s">
        <v>74</v>
      </c>
      <c r="AO214" t="s">
        <v>530</v>
      </c>
      <c r="AP214" t="s">
        <v>74</v>
      </c>
      <c r="AQ214" t="s">
        <v>74</v>
      </c>
      <c r="AR214" t="s">
        <v>74</v>
      </c>
      <c r="AS214" t="s">
        <v>74</v>
      </c>
      <c r="AT214" t="s">
        <v>531</v>
      </c>
      <c r="AU214">
        <v>2016</v>
      </c>
      <c r="AV214">
        <v>111</v>
      </c>
      <c r="AW214" t="s">
        <v>74</v>
      </c>
      <c r="AX214" t="s">
        <v>74</v>
      </c>
      <c r="AY214" t="s">
        <v>74</v>
      </c>
      <c r="AZ214" t="s">
        <v>74</v>
      </c>
      <c r="BA214" t="s">
        <v>74</v>
      </c>
      <c r="BB214">
        <v>487</v>
      </c>
      <c r="BC214">
        <v>500</v>
      </c>
      <c r="BD214" t="s">
        <v>74</v>
      </c>
      <c r="BE214" t="s">
        <v>532</v>
      </c>
      <c r="BF214" t="str">
        <f>HYPERLINK("http://dx.doi.org/10.1016/j.phrs.2016.07.006","http://dx.doi.org/10.1016/j.phrs.2016.07.006")</f>
        <v>http://dx.doi.org/10.1016/j.phrs.2016.07.006</v>
      </c>
      <c r="BG214" t="s">
        <v>74</v>
      </c>
      <c r="BH214" t="s">
        <v>74</v>
      </c>
      <c r="BI214" t="s">
        <v>74</v>
      </c>
      <c r="BJ214" t="s">
        <v>533</v>
      </c>
      <c r="BK214" t="s">
        <v>117</v>
      </c>
      <c r="BL214" t="s">
        <v>533</v>
      </c>
      <c r="BM214" t="s">
        <v>74</v>
      </c>
      <c r="BN214">
        <v>27394168</v>
      </c>
      <c r="BO214" t="s">
        <v>74</v>
      </c>
      <c r="BP214" t="s">
        <v>74</v>
      </c>
      <c r="BQ214" t="s">
        <v>74</v>
      </c>
      <c r="BR214" t="s">
        <v>96</v>
      </c>
      <c r="BS214" t="s">
        <v>534</v>
      </c>
      <c r="BT214" t="str">
        <f>HYPERLINK("https%3A%2F%2Fwww.webofscience.com%2Fwos%2Fwoscc%2Ffull-record%2FWOS:000384784000047","View Full Record in Web of Science")</f>
        <v>View Full Record in Web of Science</v>
      </c>
    </row>
    <row r="215" spans="1:72" x14ac:dyDescent="0.15">
      <c r="A215" t="s">
        <v>98</v>
      </c>
      <c r="B215" t="s">
        <v>14046</v>
      </c>
      <c r="C215" t="s">
        <v>74</v>
      </c>
      <c r="D215" t="s">
        <v>74</v>
      </c>
      <c r="E215" t="s">
        <v>74</v>
      </c>
      <c r="F215" t="s">
        <v>14047</v>
      </c>
      <c r="G215" t="s">
        <v>74</v>
      </c>
      <c r="H215" t="s">
        <v>74</v>
      </c>
      <c r="I215" t="s">
        <v>14048</v>
      </c>
      <c r="J215" t="s">
        <v>12568</v>
      </c>
      <c r="K215" t="s">
        <v>74</v>
      </c>
      <c r="L215" t="s">
        <v>74</v>
      </c>
      <c r="M215" t="s">
        <v>74</v>
      </c>
      <c r="N215" t="s">
        <v>103</v>
      </c>
      <c r="O215" t="s">
        <v>74</v>
      </c>
      <c r="P215" t="s">
        <v>74</v>
      </c>
      <c r="Q215" t="s">
        <v>74</v>
      </c>
      <c r="R215" t="s">
        <v>74</v>
      </c>
      <c r="S215" t="s">
        <v>74</v>
      </c>
      <c r="T215" t="s">
        <v>14049</v>
      </c>
      <c r="U215" t="s">
        <v>14050</v>
      </c>
      <c r="V215" t="s">
        <v>14051</v>
      </c>
      <c r="W215" t="s">
        <v>14052</v>
      </c>
      <c r="X215" t="s">
        <v>1635</v>
      </c>
      <c r="Y215" t="s">
        <v>14053</v>
      </c>
      <c r="Z215" t="s">
        <v>1637</v>
      </c>
      <c r="AA215" t="s">
        <v>74</v>
      </c>
      <c r="AB215" t="s">
        <v>14054</v>
      </c>
      <c r="AC215" t="s">
        <v>74</v>
      </c>
      <c r="AD215" t="s">
        <v>74</v>
      </c>
      <c r="AE215" t="s">
        <v>74</v>
      </c>
      <c r="AF215" t="s">
        <v>74</v>
      </c>
      <c r="AG215">
        <v>66</v>
      </c>
      <c r="AH215">
        <v>91</v>
      </c>
      <c r="AI215">
        <v>94</v>
      </c>
      <c r="AJ215">
        <v>1</v>
      </c>
      <c r="AK215">
        <v>16</v>
      </c>
      <c r="AL215" t="s">
        <v>74</v>
      </c>
      <c r="AM215" t="s">
        <v>74</v>
      </c>
      <c r="AN215" t="s">
        <v>74</v>
      </c>
      <c r="AO215" t="s">
        <v>12574</v>
      </c>
      <c r="AP215" t="s">
        <v>74</v>
      </c>
      <c r="AQ215" t="s">
        <v>74</v>
      </c>
      <c r="AR215" t="s">
        <v>74</v>
      </c>
      <c r="AS215" t="s">
        <v>74</v>
      </c>
      <c r="AT215" t="s">
        <v>5474</v>
      </c>
      <c r="AU215">
        <v>2014</v>
      </c>
      <c r="AV215">
        <v>11</v>
      </c>
      <c r="AW215" t="s">
        <v>74</v>
      </c>
      <c r="AX215" t="s">
        <v>74</v>
      </c>
      <c r="AY215" t="s">
        <v>74</v>
      </c>
      <c r="AZ215" t="s">
        <v>74</v>
      </c>
      <c r="BA215" t="s">
        <v>74</v>
      </c>
      <c r="BB215" t="s">
        <v>74</v>
      </c>
      <c r="BC215" t="s">
        <v>74</v>
      </c>
      <c r="BD215">
        <v>102</v>
      </c>
      <c r="BE215" t="s">
        <v>14055</v>
      </c>
      <c r="BF215" t="str">
        <f>HYPERLINK("http://dx.doi.org/10.1186/s12977-014-0102-z","http://dx.doi.org/10.1186/s12977-014-0102-z")</f>
        <v>http://dx.doi.org/10.1186/s12977-014-0102-z</v>
      </c>
      <c r="BG215" t="s">
        <v>74</v>
      </c>
      <c r="BH215" t="s">
        <v>74</v>
      </c>
      <c r="BI215" t="s">
        <v>74</v>
      </c>
      <c r="BJ215" t="s">
        <v>932</v>
      </c>
      <c r="BK215" t="s">
        <v>117</v>
      </c>
      <c r="BL215" t="s">
        <v>932</v>
      </c>
      <c r="BM215" t="s">
        <v>74</v>
      </c>
      <c r="BN215">
        <v>25407601</v>
      </c>
      <c r="BO215" t="s">
        <v>74</v>
      </c>
      <c r="BP215" t="s">
        <v>74</v>
      </c>
      <c r="BQ215" t="s">
        <v>74</v>
      </c>
      <c r="BR215" t="s">
        <v>96</v>
      </c>
      <c r="BS215" t="s">
        <v>14056</v>
      </c>
      <c r="BT215" t="str">
        <f>HYPERLINK("https%3A%2F%2Fwww.webofscience.com%2Fwos%2Fwoscc%2Ffull-record%2FWOS:000345706500001","View Full Record in Web of Science")</f>
        <v>View Full Record in Web of Science</v>
      </c>
    </row>
    <row r="216" spans="1:72" x14ac:dyDescent="0.15">
      <c r="A216" t="s">
        <v>98</v>
      </c>
      <c r="B216" t="s">
        <v>16866</v>
      </c>
      <c r="C216" t="s">
        <v>74</v>
      </c>
      <c r="D216" t="s">
        <v>74</v>
      </c>
      <c r="E216" t="s">
        <v>74</v>
      </c>
      <c r="F216" t="s">
        <v>16867</v>
      </c>
      <c r="G216" t="s">
        <v>74</v>
      </c>
      <c r="H216" t="s">
        <v>74</v>
      </c>
      <c r="I216" t="s">
        <v>16868</v>
      </c>
      <c r="J216" t="s">
        <v>16869</v>
      </c>
      <c r="K216" t="s">
        <v>74</v>
      </c>
      <c r="L216" t="s">
        <v>74</v>
      </c>
      <c r="M216" t="s">
        <v>74</v>
      </c>
      <c r="N216" t="s">
        <v>980</v>
      </c>
      <c r="O216" t="s">
        <v>16870</v>
      </c>
      <c r="P216" t="s">
        <v>16871</v>
      </c>
      <c r="Q216" t="s">
        <v>16872</v>
      </c>
      <c r="R216" t="s">
        <v>74</v>
      </c>
      <c r="S216" t="s">
        <v>74</v>
      </c>
      <c r="T216" t="s">
        <v>16873</v>
      </c>
      <c r="U216" t="s">
        <v>16874</v>
      </c>
      <c r="V216" t="s">
        <v>16875</v>
      </c>
      <c r="W216" t="s">
        <v>16876</v>
      </c>
      <c r="X216" t="s">
        <v>16877</v>
      </c>
      <c r="Y216" t="s">
        <v>16878</v>
      </c>
      <c r="Z216" t="s">
        <v>16879</v>
      </c>
      <c r="AA216" t="s">
        <v>74</v>
      </c>
      <c r="AB216" t="s">
        <v>16880</v>
      </c>
      <c r="AC216" t="s">
        <v>74</v>
      </c>
      <c r="AD216" t="s">
        <v>74</v>
      </c>
      <c r="AE216" t="s">
        <v>74</v>
      </c>
      <c r="AF216" t="s">
        <v>74</v>
      </c>
      <c r="AG216">
        <v>51</v>
      </c>
      <c r="AH216">
        <v>91</v>
      </c>
      <c r="AI216">
        <v>96</v>
      </c>
      <c r="AJ216">
        <v>0</v>
      </c>
      <c r="AK216">
        <v>5</v>
      </c>
      <c r="AL216" t="s">
        <v>74</v>
      </c>
      <c r="AM216" t="s">
        <v>74</v>
      </c>
      <c r="AN216" t="s">
        <v>74</v>
      </c>
      <c r="AO216" t="s">
        <v>16881</v>
      </c>
      <c r="AP216" t="s">
        <v>74</v>
      </c>
      <c r="AQ216" t="s">
        <v>74</v>
      </c>
      <c r="AR216" t="s">
        <v>74</v>
      </c>
      <c r="AS216" t="s">
        <v>74</v>
      </c>
      <c r="AT216" t="s">
        <v>283</v>
      </c>
      <c r="AU216">
        <v>2007</v>
      </c>
      <c r="AV216">
        <v>27</v>
      </c>
      <c r="AW216">
        <v>2</v>
      </c>
      <c r="AX216" t="s">
        <v>74</v>
      </c>
      <c r="AY216" t="s">
        <v>74</v>
      </c>
      <c r="AZ216" t="s">
        <v>74</v>
      </c>
      <c r="BA216" t="s">
        <v>74</v>
      </c>
      <c r="BB216">
        <v>430</v>
      </c>
      <c r="BC216">
        <v>435</v>
      </c>
      <c r="BD216" t="s">
        <v>74</v>
      </c>
      <c r="BE216" t="s">
        <v>16882</v>
      </c>
      <c r="BF216" t="str">
        <f>HYPERLINK("http://dx.doi.org/10.1161/01.ATV.0000254674.47693.e8","http://dx.doi.org/10.1161/01.ATV.0000254674.47693.e8")</f>
        <v>http://dx.doi.org/10.1161/01.ATV.0000254674.47693.e8</v>
      </c>
      <c r="BG216" t="s">
        <v>74</v>
      </c>
      <c r="BH216" t="s">
        <v>74</v>
      </c>
      <c r="BI216" t="s">
        <v>74</v>
      </c>
      <c r="BJ216" t="s">
        <v>584</v>
      </c>
      <c r="BK216" t="s">
        <v>16883</v>
      </c>
      <c r="BL216" t="s">
        <v>585</v>
      </c>
      <c r="BM216" t="s">
        <v>74</v>
      </c>
      <c r="BN216">
        <v>17158353</v>
      </c>
      <c r="BO216" t="s">
        <v>74</v>
      </c>
      <c r="BP216" t="s">
        <v>74</v>
      </c>
      <c r="BQ216" t="s">
        <v>74</v>
      </c>
      <c r="BR216" t="s">
        <v>96</v>
      </c>
      <c r="BS216" t="s">
        <v>16884</v>
      </c>
      <c r="BT216" t="str">
        <f>HYPERLINK("https%3A%2F%2Fwww.webofscience.com%2Fwos%2Fwoscc%2Ffull-record%2FWOS:000243593500028","View Full Record in Web of Science")</f>
        <v>View Full Record in Web of Science</v>
      </c>
    </row>
    <row r="217" spans="1:72" x14ac:dyDescent="0.15">
      <c r="A217" t="s">
        <v>98</v>
      </c>
      <c r="B217" t="s">
        <v>11838</v>
      </c>
      <c r="C217" t="s">
        <v>74</v>
      </c>
      <c r="D217" t="s">
        <v>74</v>
      </c>
      <c r="E217" t="s">
        <v>74</v>
      </c>
      <c r="F217" t="s">
        <v>11839</v>
      </c>
      <c r="G217" t="s">
        <v>74</v>
      </c>
      <c r="H217" t="s">
        <v>74</v>
      </c>
      <c r="I217" t="s">
        <v>11840</v>
      </c>
      <c r="J217" t="s">
        <v>836</v>
      </c>
      <c r="K217" t="s">
        <v>74</v>
      </c>
      <c r="L217" t="s">
        <v>74</v>
      </c>
      <c r="M217" t="s">
        <v>74</v>
      </c>
      <c r="N217" t="s">
        <v>103</v>
      </c>
      <c r="O217" t="s">
        <v>74</v>
      </c>
      <c r="P217" t="s">
        <v>74</v>
      </c>
      <c r="Q217" t="s">
        <v>74</v>
      </c>
      <c r="R217" t="s">
        <v>74</v>
      </c>
      <c r="S217" t="s">
        <v>74</v>
      </c>
      <c r="T217" t="s">
        <v>11841</v>
      </c>
      <c r="U217" t="s">
        <v>11842</v>
      </c>
      <c r="V217" t="s">
        <v>11843</v>
      </c>
      <c r="W217" t="s">
        <v>11844</v>
      </c>
      <c r="X217" t="s">
        <v>11845</v>
      </c>
      <c r="Y217" t="s">
        <v>11846</v>
      </c>
      <c r="Z217" t="s">
        <v>11847</v>
      </c>
      <c r="AA217" t="s">
        <v>11848</v>
      </c>
      <c r="AB217" t="s">
        <v>11849</v>
      </c>
      <c r="AC217" t="s">
        <v>74</v>
      </c>
      <c r="AD217" t="s">
        <v>74</v>
      </c>
      <c r="AE217" t="s">
        <v>74</v>
      </c>
      <c r="AF217" t="s">
        <v>74</v>
      </c>
      <c r="AG217">
        <v>58</v>
      </c>
      <c r="AH217">
        <v>90</v>
      </c>
      <c r="AI217">
        <v>96</v>
      </c>
      <c r="AJ217">
        <v>2</v>
      </c>
      <c r="AK217">
        <v>11</v>
      </c>
      <c r="AL217" t="s">
        <v>74</v>
      </c>
      <c r="AM217" t="s">
        <v>74</v>
      </c>
      <c r="AN217" t="s">
        <v>74</v>
      </c>
      <c r="AO217" t="s">
        <v>74</v>
      </c>
      <c r="AP217" t="s">
        <v>846</v>
      </c>
      <c r="AQ217" t="s">
        <v>74</v>
      </c>
      <c r="AR217" t="s">
        <v>74</v>
      </c>
      <c r="AS217" t="s">
        <v>74</v>
      </c>
      <c r="AT217" t="s">
        <v>11850</v>
      </c>
      <c r="AU217">
        <v>2015</v>
      </c>
      <c r="AV217">
        <v>6</v>
      </c>
      <c r="AW217">
        <v>27</v>
      </c>
      <c r="AX217" t="s">
        <v>74</v>
      </c>
      <c r="AY217" t="s">
        <v>74</v>
      </c>
      <c r="AZ217" t="s">
        <v>74</v>
      </c>
      <c r="BA217" t="s">
        <v>74</v>
      </c>
      <c r="BB217">
        <v>24178</v>
      </c>
      <c r="BC217">
        <v>24191</v>
      </c>
      <c r="BD217" t="s">
        <v>74</v>
      </c>
      <c r="BE217" t="s">
        <v>11851</v>
      </c>
      <c r="BF217" t="str">
        <f>HYPERLINK("http://dx.doi.org/10.18632/oncotarget.4680","http://dx.doi.org/10.18632/oncotarget.4680")</f>
        <v>http://dx.doi.org/10.18632/oncotarget.4680</v>
      </c>
      <c r="BG217" t="s">
        <v>74</v>
      </c>
      <c r="BH217" t="s">
        <v>74</v>
      </c>
      <c r="BI217" t="s">
        <v>74</v>
      </c>
      <c r="BJ217" t="s">
        <v>848</v>
      </c>
      <c r="BK217" t="s">
        <v>117</v>
      </c>
      <c r="BL217" t="s">
        <v>848</v>
      </c>
      <c r="BM217" t="s">
        <v>74</v>
      </c>
      <c r="BN217">
        <v>26172304</v>
      </c>
      <c r="BO217" t="s">
        <v>74</v>
      </c>
      <c r="BP217" t="s">
        <v>74</v>
      </c>
      <c r="BQ217" t="s">
        <v>74</v>
      </c>
      <c r="BR217" t="s">
        <v>96</v>
      </c>
      <c r="BS217" t="s">
        <v>11852</v>
      </c>
      <c r="BT217" t="str">
        <f>HYPERLINK("https%3A%2F%2Fwww.webofscience.com%2Fwos%2Fwoscc%2Ffull-record%2FWOS:000363157700081","View Full Record in Web of Science")</f>
        <v>View Full Record in Web of Science</v>
      </c>
    </row>
    <row r="218" spans="1:72" x14ac:dyDescent="0.15">
      <c r="A218" t="s">
        <v>98</v>
      </c>
      <c r="B218" t="s">
        <v>13661</v>
      </c>
      <c r="C218" t="s">
        <v>74</v>
      </c>
      <c r="D218" t="s">
        <v>74</v>
      </c>
      <c r="E218" t="s">
        <v>74</v>
      </c>
      <c r="F218" t="s">
        <v>13662</v>
      </c>
      <c r="G218" t="s">
        <v>74</v>
      </c>
      <c r="H218" t="s">
        <v>74</v>
      </c>
      <c r="I218" t="s">
        <v>13663</v>
      </c>
      <c r="J218" t="s">
        <v>5139</v>
      </c>
      <c r="K218" t="s">
        <v>74</v>
      </c>
      <c r="L218" t="s">
        <v>74</v>
      </c>
      <c r="M218" t="s">
        <v>74</v>
      </c>
      <c r="N218" t="s">
        <v>103</v>
      </c>
      <c r="O218" t="s">
        <v>74</v>
      </c>
      <c r="P218" t="s">
        <v>74</v>
      </c>
      <c r="Q218" t="s">
        <v>74</v>
      </c>
      <c r="R218" t="s">
        <v>74</v>
      </c>
      <c r="S218" t="s">
        <v>74</v>
      </c>
      <c r="T218" t="s">
        <v>74</v>
      </c>
      <c r="U218" t="s">
        <v>13664</v>
      </c>
      <c r="V218" t="s">
        <v>13665</v>
      </c>
      <c r="W218" t="s">
        <v>13666</v>
      </c>
      <c r="X218" t="s">
        <v>13667</v>
      </c>
      <c r="Y218" t="s">
        <v>13668</v>
      </c>
      <c r="Z218" t="s">
        <v>13669</v>
      </c>
      <c r="AA218" t="s">
        <v>13670</v>
      </c>
      <c r="AB218" t="s">
        <v>13671</v>
      </c>
      <c r="AC218" t="s">
        <v>74</v>
      </c>
      <c r="AD218" t="s">
        <v>74</v>
      </c>
      <c r="AE218" t="s">
        <v>74</v>
      </c>
      <c r="AF218" t="s">
        <v>74</v>
      </c>
      <c r="AG218">
        <v>28</v>
      </c>
      <c r="AH218">
        <v>90</v>
      </c>
      <c r="AI218">
        <v>90</v>
      </c>
      <c r="AJ218">
        <v>13</v>
      </c>
      <c r="AK218">
        <v>59</v>
      </c>
      <c r="AL218" t="s">
        <v>74</v>
      </c>
      <c r="AM218" t="s">
        <v>74</v>
      </c>
      <c r="AN218" t="s">
        <v>74</v>
      </c>
      <c r="AO218" t="s">
        <v>5148</v>
      </c>
      <c r="AP218" t="s">
        <v>74</v>
      </c>
      <c r="AQ218" t="s">
        <v>74</v>
      </c>
      <c r="AR218" t="s">
        <v>74</v>
      </c>
      <c r="AS218" t="s">
        <v>74</v>
      </c>
      <c r="AT218" t="s">
        <v>13672</v>
      </c>
      <c r="AU218">
        <v>2019</v>
      </c>
      <c r="AV218">
        <v>10</v>
      </c>
      <c r="AW218" t="s">
        <v>74</v>
      </c>
      <c r="AX218" t="s">
        <v>74</v>
      </c>
      <c r="AY218" t="s">
        <v>74</v>
      </c>
      <c r="AZ218" t="s">
        <v>74</v>
      </c>
      <c r="BA218" t="s">
        <v>74</v>
      </c>
      <c r="BB218" t="s">
        <v>74</v>
      </c>
      <c r="BC218" t="s">
        <v>74</v>
      </c>
      <c r="BD218">
        <v>3854</v>
      </c>
      <c r="BE218" t="s">
        <v>13673</v>
      </c>
      <c r="BF218" t="str">
        <f>HYPERLINK("http://dx.doi.org/10.1038/s41467-019-11486-1","http://dx.doi.org/10.1038/s41467-019-11486-1")</f>
        <v>http://dx.doi.org/10.1038/s41467-019-11486-1</v>
      </c>
      <c r="BG218" t="s">
        <v>74</v>
      </c>
      <c r="BH218" t="s">
        <v>74</v>
      </c>
      <c r="BI218" t="s">
        <v>74</v>
      </c>
      <c r="BJ218" t="s">
        <v>152</v>
      </c>
      <c r="BK218" t="s">
        <v>117</v>
      </c>
      <c r="BL218" t="s">
        <v>153</v>
      </c>
      <c r="BM218" t="s">
        <v>74</v>
      </c>
      <c r="BN218">
        <v>31451692</v>
      </c>
      <c r="BO218" t="s">
        <v>74</v>
      </c>
      <c r="BP218" t="s">
        <v>74</v>
      </c>
      <c r="BQ218" t="s">
        <v>74</v>
      </c>
      <c r="BR218" t="s">
        <v>96</v>
      </c>
      <c r="BS218" t="s">
        <v>13674</v>
      </c>
      <c r="BT218" t="str">
        <f>HYPERLINK("https%3A%2F%2Fwww.webofscience.com%2Fwos%2Fwoscc%2Ffull-record%2FWOS:000482567200002","View Full Record in Web of Science")</f>
        <v>View Full Record in Web of Science</v>
      </c>
    </row>
    <row r="219" spans="1:72" x14ac:dyDescent="0.15">
      <c r="A219" t="s">
        <v>98</v>
      </c>
      <c r="B219" t="s">
        <v>14569</v>
      </c>
      <c r="C219" t="s">
        <v>74</v>
      </c>
      <c r="D219" t="s">
        <v>74</v>
      </c>
      <c r="E219" t="s">
        <v>74</v>
      </c>
      <c r="F219" t="s">
        <v>14570</v>
      </c>
      <c r="G219" t="s">
        <v>74</v>
      </c>
      <c r="H219" t="s">
        <v>74</v>
      </c>
      <c r="I219" t="s">
        <v>14571</v>
      </c>
      <c r="J219" t="s">
        <v>2410</v>
      </c>
      <c r="K219" t="s">
        <v>74</v>
      </c>
      <c r="L219" t="s">
        <v>74</v>
      </c>
      <c r="M219" t="s">
        <v>74</v>
      </c>
      <c r="N219" t="s">
        <v>103</v>
      </c>
      <c r="O219" t="s">
        <v>74</v>
      </c>
      <c r="P219" t="s">
        <v>74</v>
      </c>
      <c r="Q219" t="s">
        <v>74</v>
      </c>
      <c r="R219" t="s">
        <v>74</v>
      </c>
      <c r="S219" t="s">
        <v>74</v>
      </c>
      <c r="T219" t="s">
        <v>14572</v>
      </c>
      <c r="U219" t="s">
        <v>14573</v>
      </c>
      <c r="V219" t="s">
        <v>14574</v>
      </c>
      <c r="W219" t="s">
        <v>14575</v>
      </c>
      <c r="X219" t="s">
        <v>14576</v>
      </c>
      <c r="Y219" t="s">
        <v>14577</v>
      </c>
      <c r="Z219" t="s">
        <v>14578</v>
      </c>
      <c r="AA219" t="s">
        <v>14579</v>
      </c>
      <c r="AB219" t="s">
        <v>14580</v>
      </c>
      <c r="AC219" t="s">
        <v>74</v>
      </c>
      <c r="AD219" t="s">
        <v>74</v>
      </c>
      <c r="AE219" t="s">
        <v>74</v>
      </c>
      <c r="AF219" t="s">
        <v>74</v>
      </c>
      <c r="AG219">
        <v>27</v>
      </c>
      <c r="AH219">
        <v>90</v>
      </c>
      <c r="AI219">
        <v>93</v>
      </c>
      <c r="AJ219">
        <v>5</v>
      </c>
      <c r="AK219">
        <v>27</v>
      </c>
      <c r="AL219" t="s">
        <v>74</v>
      </c>
      <c r="AM219" t="s">
        <v>74</v>
      </c>
      <c r="AN219" t="s">
        <v>74</v>
      </c>
      <c r="AO219" t="s">
        <v>2418</v>
      </c>
      <c r="AP219" t="s">
        <v>2419</v>
      </c>
      <c r="AQ219" t="s">
        <v>74</v>
      </c>
      <c r="AR219" t="s">
        <v>74</v>
      </c>
      <c r="AS219" t="s">
        <v>74</v>
      </c>
      <c r="AT219" t="s">
        <v>74</v>
      </c>
      <c r="AU219">
        <v>2018</v>
      </c>
      <c r="AV219">
        <v>436</v>
      </c>
      <c r="AW219" t="s">
        <v>74</v>
      </c>
      <c r="AX219" t="s">
        <v>74</v>
      </c>
      <c r="AY219" t="s">
        <v>74</v>
      </c>
      <c r="AZ219" t="s">
        <v>74</v>
      </c>
      <c r="BA219" t="s">
        <v>74</v>
      </c>
      <c r="BB219">
        <v>10</v>
      </c>
      <c r="BC219">
        <v>21</v>
      </c>
      <c r="BD219" t="s">
        <v>74</v>
      </c>
      <c r="BE219" t="s">
        <v>14581</v>
      </c>
      <c r="BF219" t="str">
        <f>HYPERLINK("http://dx.doi.org/10.1016/j.canlet.2018.08.004","http://dx.doi.org/10.1016/j.canlet.2018.08.004")</f>
        <v>http://dx.doi.org/10.1016/j.canlet.2018.08.004</v>
      </c>
      <c r="BG219" t="s">
        <v>74</v>
      </c>
      <c r="BH219" t="s">
        <v>74</v>
      </c>
      <c r="BI219" t="s">
        <v>74</v>
      </c>
      <c r="BJ219" t="s">
        <v>267</v>
      </c>
      <c r="BK219" t="s">
        <v>117</v>
      </c>
      <c r="BL219" t="s">
        <v>267</v>
      </c>
      <c r="BM219" t="s">
        <v>74</v>
      </c>
      <c r="BN219">
        <v>30102952</v>
      </c>
      <c r="BO219" t="s">
        <v>74</v>
      </c>
      <c r="BP219" t="s">
        <v>74</v>
      </c>
      <c r="BQ219" t="s">
        <v>74</v>
      </c>
      <c r="BR219" t="s">
        <v>96</v>
      </c>
      <c r="BS219" t="s">
        <v>14582</v>
      </c>
      <c r="BT219" t="str">
        <f>HYPERLINK("https%3A%2F%2Fwww.webofscience.com%2Fwos%2Fwoscc%2Ffull-record%2FWOS:000447095000002","View Full Record in Web of Science")</f>
        <v>View Full Record in Web of Science</v>
      </c>
    </row>
    <row r="220" spans="1:72" x14ac:dyDescent="0.15">
      <c r="A220" t="s">
        <v>98</v>
      </c>
      <c r="B220" t="s">
        <v>19640</v>
      </c>
      <c r="C220" t="s">
        <v>74</v>
      </c>
      <c r="D220" t="s">
        <v>74</v>
      </c>
      <c r="E220" t="s">
        <v>74</v>
      </c>
      <c r="F220" t="s">
        <v>19641</v>
      </c>
      <c r="G220" t="s">
        <v>74</v>
      </c>
      <c r="H220" t="s">
        <v>74</v>
      </c>
      <c r="I220" t="s">
        <v>19642</v>
      </c>
      <c r="J220" t="s">
        <v>19643</v>
      </c>
      <c r="K220" t="s">
        <v>74</v>
      </c>
      <c r="L220" t="s">
        <v>74</v>
      </c>
      <c r="M220" t="s">
        <v>74</v>
      </c>
      <c r="N220" t="s">
        <v>103</v>
      </c>
      <c r="O220" t="s">
        <v>74</v>
      </c>
      <c r="P220" t="s">
        <v>74</v>
      </c>
      <c r="Q220" t="s">
        <v>74</v>
      </c>
      <c r="R220" t="s">
        <v>74</v>
      </c>
      <c r="S220" t="s">
        <v>74</v>
      </c>
      <c r="T220" t="s">
        <v>19644</v>
      </c>
      <c r="U220" t="s">
        <v>19645</v>
      </c>
      <c r="V220" t="s">
        <v>19646</v>
      </c>
      <c r="W220" t="s">
        <v>19647</v>
      </c>
      <c r="X220" t="s">
        <v>19648</v>
      </c>
      <c r="Y220" t="s">
        <v>19649</v>
      </c>
      <c r="Z220" t="s">
        <v>19650</v>
      </c>
      <c r="AA220" t="s">
        <v>19651</v>
      </c>
      <c r="AB220" t="s">
        <v>19652</v>
      </c>
      <c r="AC220" t="s">
        <v>74</v>
      </c>
      <c r="AD220" t="s">
        <v>74</v>
      </c>
      <c r="AE220" t="s">
        <v>74</v>
      </c>
      <c r="AF220" t="s">
        <v>74</v>
      </c>
      <c r="AG220">
        <v>35</v>
      </c>
      <c r="AH220">
        <v>90</v>
      </c>
      <c r="AI220">
        <v>92</v>
      </c>
      <c r="AJ220">
        <v>0</v>
      </c>
      <c r="AK220">
        <v>14</v>
      </c>
      <c r="AL220" t="s">
        <v>74</v>
      </c>
      <c r="AM220" t="s">
        <v>74</v>
      </c>
      <c r="AN220" t="s">
        <v>74</v>
      </c>
      <c r="AO220" t="s">
        <v>19653</v>
      </c>
      <c r="AP220" t="s">
        <v>19654</v>
      </c>
      <c r="AQ220" t="s">
        <v>74</v>
      </c>
      <c r="AR220" t="s">
        <v>74</v>
      </c>
      <c r="AS220" t="s">
        <v>74</v>
      </c>
      <c r="AT220" t="s">
        <v>531</v>
      </c>
      <c r="AU220">
        <v>2014</v>
      </c>
      <c r="AV220">
        <v>15</v>
      </c>
      <c r="AW220" t="s">
        <v>8037</v>
      </c>
      <c r="AX220" t="s">
        <v>74</v>
      </c>
      <c r="AY220" t="s">
        <v>74</v>
      </c>
      <c r="AZ220" t="s">
        <v>74</v>
      </c>
      <c r="BA220" t="s">
        <v>74</v>
      </c>
      <c r="BB220">
        <v>351</v>
      </c>
      <c r="BC220">
        <v>356</v>
      </c>
      <c r="BD220" t="s">
        <v>74</v>
      </c>
      <c r="BE220" t="s">
        <v>19655</v>
      </c>
      <c r="BF220" t="str">
        <f>HYPERLINK("http://dx.doi.org/10.3109/21678421.2014.905606","http://dx.doi.org/10.3109/21678421.2014.905606")</f>
        <v>http://dx.doi.org/10.3109/21678421.2014.905606</v>
      </c>
      <c r="BG220" t="s">
        <v>74</v>
      </c>
      <c r="BH220" t="s">
        <v>74</v>
      </c>
      <c r="BI220" t="s">
        <v>74</v>
      </c>
      <c r="BJ220" t="s">
        <v>19656</v>
      </c>
      <c r="BK220" t="s">
        <v>117</v>
      </c>
      <c r="BL220" t="s">
        <v>653</v>
      </c>
      <c r="BM220" t="s">
        <v>74</v>
      </c>
      <c r="BN220">
        <v>24834468</v>
      </c>
      <c r="BO220" t="s">
        <v>74</v>
      </c>
      <c r="BP220" t="s">
        <v>74</v>
      </c>
      <c r="BQ220" t="s">
        <v>74</v>
      </c>
      <c r="BR220" t="s">
        <v>96</v>
      </c>
      <c r="BS220" t="s">
        <v>19657</v>
      </c>
      <c r="BT220" t="str">
        <f>HYPERLINK("https%3A%2F%2Fwww.webofscience.com%2Fwos%2Fwoscc%2Ffull-record%2FWOS:000340827800004","View Full Record in Web of Science")</f>
        <v>View Full Record in Web of Science</v>
      </c>
    </row>
    <row r="221" spans="1:72" x14ac:dyDescent="0.15">
      <c r="A221" t="s">
        <v>98</v>
      </c>
      <c r="B221" t="s">
        <v>23087</v>
      </c>
      <c r="C221" t="s">
        <v>74</v>
      </c>
      <c r="D221" t="s">
        <v>74</v>
      </c>
      <c r="E221" t="s">
        <v>74</v>
      </c>
      <c r="F221" t="s">
        <v>23087</v>
      </c>
      <c r="G221" t="s">
        <v>74</v>
      </c>
      <c r="H221" t="s">
        <v>74</v>
      </c>
      <c r="I221" t="s">
        <v>23088</v>
      </c>
      <c r="J221" t="s">
        <v>3700</v>
      </c>
      <c r="K221" t="s">
        <v>74</v>
      </c>
      <c r="L221" t="s">
        <v>74</v>
      </c>
      <c r="M221" t="s">
        <v>74</v>
      </c>
      <c r="N221" t="s">
        <v>103</v>
      </c>
      <c r="O221" t="s">
        <v>74</v>
      </c>
      <c r="P221" t="s">
        <v>74</v>
      </c>
      <c r="Q221" t="s">
        <v>74</v>
      </c>
      <c r="R221" t="s">
        <v>74</v>
      </c>
      <c r="S221" t="s">
        <v>74</v>
      </c>
      <c r="T221" t="s">
        <v>74</v>
      </c>
      <c r="U221" t="s">
        <v>23089</v>
      </c>
      <c r="V221" t="s">
        <v>23090</v>
      </c>
      <c r="W221" t="s">
        <v>23091</v>
      </c>
      <c r="X221" t="s">
        <v>23092</v>
      </c>
      <c r="Y221" t="s">
        <v>23093</v>
      </c>
      <c r="Z221" t="s">
        <v>23094</v>
      </c>
      <c r="AA221" t="s">
        <v>23095</v>
      </c>
      <c r="AB221" t="s">
        <v>23096</v>
      </c>
      <c r="AC221" t="s">
        <v>74</v>
      </c>
      <c r="AD221" t="s">
        <v>74</v>
      </c>
      <c r="AE221" t="s">
        <v>74</v>
      </c>
      <c r="AF221" t="s">
        <v>74</v>
      </c>
      <c r="AG221">
        <v>53</v>
      </c>
      <c r="AH221">
        <v>90</v>
      </c>
      <c r="AI221">
        <v>91</v>
      </c>
      <c r="AJ221">
        <v>0</v>
      </c>
      <c r="AK221">
        <v>3</v>
      </c>
      <c r="AL221" t="s">
        <v>74</v>
      </c>
      <c r="AM221" t="s">
        <v>74</v>
      </c>
      <c r="AN221" t="s">
        <v>74</v>
      </c>
      <c r="AO221" t="s">
        <v>3710</v>
      </c>
      <c r="AP221" t="s">
        <v>3711</v>
      </c>
      <c r="AQ221" t="s">
        <v>74</v>
      </c>
      <c r="AR221" t="s">
        <v>74</v>
      </c>
      <c r="AS221" t="s">
        <v>74</v>
      </c>
      <c r="AT221" t="s">
        <v>16081</v>
      </c>
      <c r="AU221">
        <v>2005</v>
      </c>
      <c r="AV221">
        <v>280</v>
      </c>
      <c r="AW221">
        <v>43</v>
      </c>
      <c r="AX221" t="s">
        <v>74</v>
      </c>
      <c r="AY221" t="s">
        <v>74</v>
      </c>
      <c r="AZ221" t="s">
        <v>74</v>
      </c>
      <c r="BA221" t="s">
        <v>74</v>
      </c>
      <c r="BB221">
        <v>36442</v>
      </c>
      <c r="BC221">
        <v>36451</v>
      </c>
      <c r="BD221" t="s">
        <v>74</v>
      </c>
      <c r="BE221" t="s">
        <v>23097</v>
      </c>
      <c r="BF221" t="str">
        <f>HYPERLINK("http://dx.doi.org/10.1074/jbc.M504945200","http://dx.doi.org/10.1074/jbc.M504945200")</f>
        <v>http://dx.doi.org/10.1074/jbc.M504945200</v>
      </c>
      <c r="BG221" t="s">
        <v>74</v>
      </c>
      <c r="BH221" t="s">
        <v>74</v>
      </c>
      <c r="BI221" t="s">
        <v>74</v>
      </c>
      <c r="BJ221" t="s">
        <v>95</v>
      </c>
      <c r="BK221" t="s">
        <v>117</v>
      </c>
      <c r="BL221" t="s">
        <v>95</v>
      </c>
      <c r="BM221" t="s">
        <v>74</v>
      </c>
      <c r="BN221">
        <v>16055444</v>
      </c>
      <c r="BO221" t="s">
        <v>74</v>
      </c>
      <c r="BP221" t="s">
        <v>74</v>
      </c>
      <c r="BQ221" t="s">
        <v>74</v>
      </c>
      <c r="BR221" t="s">
        <v>96</v>
      </c>
      <c r="BS221" t="s">
        <v>23098</v>
      </c>
      <c r="BT221" t="str">
        <f>HYPERLINK("https%3A%2F%2Fwww.webofscience.com%2Fwos%2Fwoscc%2Ffull-record%2FWOS:000232726900078","View Full Record in Web of Science")</f>
        <v>View Full Record in Web of Science</v>
      </c>
    </row>
    <row r="222" spans="1:72" x14ac:dyDescent="0.15">
      <c r="A222" t="s">
        <v>98</v>
      </c>
      <c r="B222" t="s">
        <v>27898</v>
      </c>
      <c r="C222" t="s">
        <v>74</v>
      </c>
      <c r="D222" t="s">
        <v>74</v>
      </c>
      <c r="E222" t="s">
        <v>74</v>
      </c>
      <c r="F222" t="s">
        <v>27898</v>
      </c>
      <c r="G222" t="s">
        <v>74</v>
      </c>
      <c r="H222" t="s">
        <v>74</v>
      </c>
      <c r="I222" t="s">
        <v>27899</v>
      </c>
      <c r="J222" t="s">
        <v>27900</v>
      </c>
      <c r="K222" t="s">
        <v>74</v>
      </c>
      <c r="L222" t="s">
        <v>74</v>
      </c>
      <c r="M222" t="s">
        <v>74</v>
      </c>
      <c r="N222" t="s">
        <v>103</v>
      </c>
      <c r="O222" t="s">
        <v>74</v>
      </c>
      <c r="P222" t="s">
        <v>74</v>
      </c>
      <c r="Q222" t="s">
        <v>74</v>
      </c>
      <c r="R222" t="s">
        <v>74</v>
      </c>
      <c r="S222" t="s">
        <v>74</v>
      </c>
      <c r="T222" t="s">
        <v>27901</v>
      </c>
      <c r="U222" t="s">
        <v>27902</v>
      </c>
      <c r="V222" t="s">
        <v>27903</v>
      </c>
      <c r="W222" t="s">
        <v>27904</v>
      </c>
      <c r="X222" t="s">
        <v>27905</v>
      </c>
      <c r="Y222" t="s">
        <v>74</v>
      </c>
      <c r="Z222" t="s">
        <v>74</v>
      </c>
      <c r="AA222" t="s">
        <v>74</v>
      </c>
      <c r="AB222" t="s">
        <v>27906</v>
      </c>
      <c r="AC222" t="s">
        <v>74</v>
      </c>
      <c r="AD222" t="s">
        <v>74</v>
      </c>
      <c r="AE222" t="s">
        <v>74</v>
      </c>
      <c r="AF222" t="s">
        <v>74</v>
      </c>
      <c r="AG222">
        <v>39</v>
      </c>
      <c r="AH222">
        <v>90</v>
      </c>
      <c r="AI222">
        <v>91</v>
      </c>
      <c r="AJ222">
        <v>0</v>
      </c>
      <c r="AK222">
        <v>16</v>
      </c>
      <c r="AL222" t="s">
        <v>74</v>
      </c>
      <c r="AM222" t="s">
        <v>74</v>
      </c>
      <c r="AN222" t="s">
        <v>74</v>
      </c>
      <c r="AO222" t="s">
        <v>27907</v>
      </c>
      <c r="AP222" t="s">
        <v>74</v>
      </c>
      <c r="AQ222" t="s">
        <v>74</v>
      </c>
      <c r="AR222" t="s">
        <v>74</v>
      </c>
      <c r="AS222" t="s">
        <v>74</v>
      </c>
      <c r="AT222" t="s">
        <v>614</v>
      </c>
      <c r="AU222">
        <v>1996</v>
      </c>
      <c r="AV222">
        <v>152</v>
      </c>
      <c r="AW222">
        <v>1</v>
      </c>
      <c r="AX222" t="s">
        <v>74</v>
      </c>
      <c r="AY222" t="s">
        <v>74</v>
      </c>
      <c r="AZ222" t="s">
        <v>74</v>
      </c>
      <c r="BA222" t="s">
        <v>74</v>
      </c>
      <c r="BB222">
        <v>65</v>
      </c>
      <c r="BC222">
        <v>75</v>
      </c>
      <c r="BD222" t="s">
        <v>74</v>
      </c>
      <c r="BE222" t="s">
        <v>27908</v>
      </c>
      <c r="BF222" t="str">
        <f>HYPERLINK("http://dx.doi.org/10.1007/s002329900086","http://dx.doi.org/10.1007/s002329900086")</f>
        <v>http://dx.doi.org/10.1007/s002329900086</v>
      </c>
      <c r="BG222" t="s">
        <v>74</v>
      </c>
      <c r="BH222" t="s">
        <v>74</v>
      </c>
      <c r="BI222" t="s">
        <v>74</v>
      </c>
      <c r="BJ222" t="s">
        <v>27909</v>
      </c>
      <c r="BK222" t="s">
        <v>117</v>
      </c>
      <c r="BL222" t="s">
        <v>27909</v>
      </c>
      <c r="BM222" t="s">
        <v>74</v>
      </c>
      <c r="BN222">
        <v>8660406</v>
      </c>
      <c r="BO222" t="s">
        <v>74</v>
      </c>
      <c r="BP222" t="s">
        <v>74</v>
      </c>
      <c r="BQ222" t="s">
        <v>74</v>
      </c>
      <c r="BR222" t="s">
        <v>96</v>
      </c>
      <c r="BS222" t="s">
        <v>27910</v>
      </c>
      <c r="BT222" t="str">
        <f>HYPERLINK("https%3A%2F%2Fwww.webofscience.com%2Fwos%2Fwoscc%2Ffull-record%2FWOS:A1996UW68000007","View Full Record in Web of Science")</f>
        <v>View Full Record in Web of Science</v>
      </c>
    </row>
    <row r="223" spans="1:72" x14ac:dyDescent="0.15">
      <c r="A223" t="s">
        <v>98</v>
      </c>
      <c r="B223" t="s">
        <v>2674</v>
      </c>
      <c r="C223" t="s">
        <v>74</v>
      </c>
      <c r="D223" t="s">
        <v>74</v>
      </c>
      <c r="E223" t="s">
        <v>74</v>
      </c>
      <c r="F223" t="s">
        <v>2675</v>
      </c>
      <c r="G223" t="s">
        <v>74</v>
      </c>
      <c r="H223" t="s">
        <v>74</v>
      </c>
      <c r="I223" t="s">
        <v>2676</v>
      </c>
      <c r="J223" t="s">
        <v>2051</v>
      </c>
      <c r="K223" t="s">
        <v>74</v>
      </c>
      <c r="L223" t="s">
        <v>74</v>
      </c>
      <c r="M223" t="s">
        <v>74</v>
      </c>
      <c r="N223" t="s">
        <v>103</v>
      </c>
      <c r="O223" t="s">
        <v>74</v>
      </c>
      <c r="P223" t="s">
        <v>74</v>
      </c>
      <c r="Q223" t="s">
        <v>74</v>
      </c>
      <c r="R223" t="s">
        <v>74</v>
      </c>
      <c r="S223" t="s">
        <v>74</v>
      </c>
      <c r="T223" t="s">
        <v>2677</v>
      </c>
      <c r="U223" t="s">
        <v>2678</v>
      </c>
      <c r="V223" t="s">
        <v>2679</v>
      </c>
      <c r="W223" t="s">
        <v>2680</v>
      </c>
      <c r="X223" t="s">
        <v>2681</v>
      </c>
      <c r="Y223" t="s">
        <v>2682</v>
      </c>
      <c r="Z223" t="s">
        <v>2683</v>
      </c>
      <c r="AA223" t="s">
        <v>2684</v>
      </c>
      <c r="AB223" t="s">
        <v>2685</v>
      </c>
      <c r="AC223" t="s">
        <v>74</v>
      </c>
      <c r="AD223" t="s">
        <v>74</v>
      </c>
      <c r="AE223" t="s">
        <v>74</v>
      </c>
      <c r="AF223" t="s">
        <v>74</v>
      </c>
      <c r="AG223">
        <v>44</v>
      </c>
      <c r="AH223">
        <v>89</v>
      </c>
      <c r="AI223">
        <v>101</v>
      </c>
      <c r="AJ223">
        <v>1</v>
      </c>
      <c r="AK223">
        <v>27</v>
      </c>
      <c r="AL223" t="s">
        <v>74</v>
      </c>
      <c r="AM223" t="s">
        <v>74</v>
      </c>
      <c r="AN223" t="s">
        <v>74</v>
      </c>
      <c r="AO223" t="s">
        <v>2061</v>
      </c>
      <c r="AP223" t="s">
        <v>74</v>
      </c>
      <c r="AQ223" t="s">
        <v>74</v>
      </c>
      <c r="AR223" t="s">
        <v>74</v>
      </c>
      <c r="AS223" t="s">
        <v>74</v>
      </c>
      <c r="AT223" t="s">
        <v>2686</v>
      </c>
      <c r="AU223">
        <v>2016</v>
      </c>
      <c r="AV223">
        <v>7</v>
      </c>
      <c r="AW223" t="s">
        <v>74</v>
      </c>
      <c r="AX223" t="s">
        <v>74</v>
      </c>
      <c r="AY223" t="s">
        <v>74</v>
      </c>
      <c r="AZ223" t="s">
        <v>74</v>
      </c>
      <c r="BA223" t="s">
        <v>74</v>
      </c>
      <c r="BB223" t="s">
        <v>74</v>
      </c>
      <c r="BC223" t="s">
        <v>74</v>
      </c>
      <c r="BD223">
        <v>335</v>
      </c>
      <c r="BE223" t="s">
        <v>2687</v>
      </c>
      <c r="BF223" t="str">
        <f>HYPERLINK("http://dx.doi.org/10.3389/fimmu.2016.00335","http://dx.doi.org/10.3389/fimmu.2016.00335")</f>
        <v>http://dx.doi.org/10.3389/fimmu.2016.00335</v>
      </c>
      <c r="BG223" t="s">
        <v>74</v>
      </c>
      <c r="BH223" t="s">
        <v>74</v>
      </c>
      <c r="BI223" t="s">
        <v>74</v>
      </c>
      <c r="BJ223" t="s">
        <v>2064</v>
      </c>
      <c r="BK223" t="s">
        <v>117</v>
      </c>
      <c r="BL223" t="s">
        <v>2064</v>
      </c>
      <c r="BM223" t="s">
        <v>74</v>
      </c>
      <c r="BN223">
        <v>27630638</v>
      </c>
      <c r="BO223" t="s">
        <v>74</v>
      </c>
      <c r="BP223" t="s">
        <v>74</v>
      </c>
      <c r="BQ223" t="s">
        <v>74</v>
      </c>
      <c r="BR223" t="s">
        <v>96</v>
      </c>
      <c r="BS223" t="s">
        <v>2688</v>
      </c>
      <c r="BT223" t="str">
        <f>HYPERLINK("https%3A%2F%2Fwww.webofscience.com%2Fwos%2Fwoscc%2Ffull-record%2FWOS:000382232400001","View Full Record in Web of Science")</f>
        <v>View Full Record in Web of Science</v>
      </c>
    </row>
    <row r="224" spans="1:72" x14ac:dyDescent="0.15">
      <c r="A224" t="s">
        <v>98</v>
      </c>
      <c r="B224" t="s">
        <v>11380</v>
      </c>
      <c r="C224" t="s">
        <v>74</v>
      </c>
      <c r="D224" t="s">
        <v>74</v>
      </c>
      <c r="E224" t="s">
        <v>74</v>
      </c>
      <c r="F224" t="s">
        <v>11381</v>
      </c>
      <c r="G224" t="s">
        <v>74</v>
      </c>
      <c r="H224" t="s">
        <v>74</v>
      </c>
      <c r="I224" t="s">
        <v>11382</v>
      </c>
      <c r="J224" t="s">
        <v>1123</v>
      </c>
      <c r="K224" t="s">
        <v>74</v>
      </c>
      <c r="L224" t="s">
        <v>74</v>
      </c>
      <c r="M224" t="s">
        <v>74</v>
      </c>
      <c r="N224" t="s">
        <v>103</v>
      </c>
      <c r="O224" t="s">
        <v>74</v>
      </c>
      <c r="P224" t="s">
        <v>74</v>
      </c>
      <c r="Q224" t="s">
        <v>74</v>
      </c>
      <c r="R224" t="s">
        <v>74</v>
      </c>
      <c r="S224" t="s">
        <v>74</v>
      </c>
      <c r="T224" t="s">
        <v>11383</v>
      </c>
      <c r="U224" t="s">
        <v>11384</v>
      </c>
      <c r="V224" t="s">
        <v>11385</v>
      </c>
      <c r="W224" t="s">
        <v>11386</v>
      </c>
      <c r="X224" t="s">
        <v>11387</v>
      </c>
      <c r="Y224" t="s">
        <v>11388</v>
      </c>
      <c r="Z224" t="s">
        <v>11389</v>
      </c>
      <c r="AA224" t="s">
        <v>11390</v>
      </c>
      <c r="AB224" t="s">
        <v>11391</v>
      </c>
      <c r="AC224" t="s">
        <v>74</v>
      </c>
      <c r="AD224" t="s">
        <v>74</v>
      </c>
      <c r="AE224" t="s">
        <v>74</v>
      </c>
      <c r="AF224" t="s">
        <v>74</v>
      </c>
      <c r="AG224">
        <v>54</v>
      </c>
      <c r="AH224">
        <v>89</v>
      </c>
      <c r="AI224">
        <v>88</v>
      </c>
      <c r="AJ224">
        <v>25</v>
      </c>
      <c r="AK224">
        <v>457</v>
      </c>
      <c r="AL224" t="s">
        <v>74</v>
      </c>
      <c r="AM224" t="s">
        <v>74</v>
      </c>
      <c r="AN224" t="s">
        <v>74</v>
      </c>
      <c r="AO224" t="s">
        <v>1132</v>
      </c>
      <c r="AP224" t="s">
        <v>1133</v>
      </c>
      <c r="AQ224" t="s">
        <v>74</v>
      </c>
      <c r="AR224" t="s">
        <v>74</v>
      </c>
      <c r="AS224" t="s">
        <v>74</v>
      </c>
      <c r="AT224" t="s">
        <v>4822</v>
      </c>
      <c r="AU224">
        <v>2018</v>
      </c>
      <c r="AV224">
        <v>102</v>
      </c>
      <c r="AW224" t="s">
        <v>74</v>
      </c>
      <c r="AX224" t="s">
        <v>74</v>
      </c>
      <c r="AY224" t="s">
        <v>74</v>
      </c>
      <c r="AZ224" t="s">
        <v>74</v>
      </c>
      <c r="BA224" t="s">
        <v>74</v>
      </c>
      <c r="BB224">
        <v>582</v>
      </c>
      <c r="BC224">
        <v>588</v>
      </c>
      <c r="BD224" t="s">
        <v>74</v>
      </c>
      <c r="BE224" t="s">
        <v>11392</v>
      </c>
      <c r="BF224" t="str">
        <f>HYPERLINK("http://dx.doi.org/10.1016/j.bios.2017.12.012","http://dx.doi.org/10.1016/j.bios.2017.12.012")</f>
        <v>http://dx.doi.org/10.1016/j.bios.2017.12.012</v>
      </c>
      <c r="BG224" t="s">
        <v>74</v>
      </c>
      <c r="BH224" t="s">
        <v>74</v>
      </c>
      <c r="BI224" t="s">
        <v>74</v>
      </c>
      <c r="BJ224" t="s">
        <v>1137</v>
      </c>
      <c r="BK224" t="s">
        <v>117</v>
      </c>
      <c r="BL224" t="s">
        <v>1138</v>
      </c>
      <c r="BM224" t="s">
        <v>74</v>
      </c>
      <c r="BN224">
        <v>29241062</v>
      </c>
      <c r="BO224" t="s">
        <v>74</v>
      </c>
      <c r="BP224" t="s">
        <v>74</v>
      </c>
      <c r="BQ224" t="s">
        <v>74</v>
      </c>
      <c r="BR224" t="s">
        <v>96</v>
      </c>
      <c r="BS224" t="s">
        <v>11393</v>
      </c>
      <c r="BT224" t="str">
        <f>HYPERLINK("https%3A%2F%2Fwww.webofscience.com%2Fwos%2Fwoscc%2Ffull-record%2FWOS:000424176600077","View Full Record in Web of Science")</f>
        <v>View Full Record in Web of Science</v>
      </c>
    </row>
    <row r="225" spans="1:72" x14ac:dyDescent="0.15">
      <c r="A225" t="s">
        <v>98</v>
      </c>
      <c r="B225" t="s">
        <v>18779</v>
      </c>
      <c r="C225" t="s">
        <v>74</v>
      </c>
      <c r="D225" t="s">
        <v>74</v>
      </c>
      <c r="E225" t="s">
        <v>74</v>
      </c>
      <c r="F225" t="s">
        <v>18780</v>
      </c>
      <c r="G225" t="s">
        <v>74</v>
      </c>
      <c r="H225" t="s">
        <v>74</v>
      </c>
      <c r="I225" t="s">
        <v>18781</v>
      </c>
      <c r="J225" t="s">
        <v>12156</v>
      </c>
      <c r="K225" t="s">
        <v>74</v>
      </c>
      <c r="L225" t="s">
        <v>74</v>
      </c>
      <c r="M225" t="s">
        <v>74</v>
      </c>
      <c r="N225" t="s">
        <v>103</v>
      </c>
      <c r="O225" t="s">
        <v>74</v>
      </c>
      <c r="P225" t="s">
        <v>74</v>
      </c>
      <c r="Q225" t="s">
        <v>74</v>
      </c>
      <c r="R225" t="s">
        <v>74</v>
      </c>
      <c r="S225" t="s">
        <v>74</v>
      </c>
      <c r="T225" t="s">
        <v>18782</v>
      </c>
      <c r="U225" t="s">
        <v>18783</v>
      </c>
      <c r="V225" t="s">
        <v>18784</v>
      </c>
      <c r="W225" t="s">
        <v>18785</v>
      </c>
      <c r="X225" t="s">
        <v>4171</v>
      </c>
      <c r="Y225" t="s">
        <v>18786</v>
      </c>
      <c r="Z225" t="s">
        <v>6034</v>
      </c>
      <c r="AA225" t="s">
        <v>74</v>
      </c>
      <c r="AB225" t="s">
        <v>74</v>
      </c>
      <c r="AC225" t="s">
        <v>74</v>
      </c>
      <c r="AD225" t="s">
        <v>74</v>
      </c>
      <c r="AE225" t="s">
        <v>74</v>
      </c>
      <c r="AF225" t="s">
        <v>74</v>
      </c>
      <c r="AG225">
        <v>44</v>
      </c>
      <c r="AH225">
        <v>89</v>
      </c>
      <c r="AI225">
        <v>91</v>
      </c>
      <c r="AJ225">
        <v>1</v>
      </c>
      <c r="AK225">
        <v>12</v>
      </c>
      <c r="AL225" t="s">
        <v>74</v>
      </c>
      <c r="AM225" t="s">
        <v>74</v>
      </c>
      <c r="AN225" t="s">
        <v>74</v>
      </c>
      <c r="AO225" t="s">
        <v>12164</v>
      </c>
      <c r="AP225" t="s">
        <v>12165</v>
      </c>
      <c r="AQ225" t="s">
        <v>74</v>
      </c>
      <c r="AR225" t="s">
        <v>74</v>
      </c>
      <c r="AS225" t="s">
        <v>74</v>
      </c>
      <c r="AT225" t="s">
        <v>3419</v>
      </c>
      <c r="AU225">
        <v>2009</v>
      </c>
      <c r="AV225">
        <v>315</v>
      </c>
      <c r="AW225">
        <v>5</v>
      </c>
      <c r="AX225" t="s">
        <v>74</v>
      </c>
      <c r="AY225" t="s">
        <v>74</v>
      </c>
      <c r="AZ225" t="s">
        <v>74</v>
      </c>
      <c r="BA225" t="s">
        <v>74</v>
      </c>
      <c r="BB225">
        <v>760</v>
      </c>
      <c r="BC225">
        <v>768</v>
      </c>
      <c r="BD225" t="s">
        <v>74</v>
      </c>
      <c r="BE225" t="s">
        <v>18787</v>
      </c>
      <c r="BF225" t="str">
        <f>HYPERLINK("http://dx.doi.org/10.1016/j.yexcr.2008.12.014","http://dx.doi.org/10.1016/j.yexcr.2008.12.014")</f>
        <v>http://dx.doi.org/10.1016/j.yexcr.2008.12.014</v>
      </c>
      <c r="BG225" t="s">
        <v>74</v>
      </c>
      <c r="BH225" t="s">
        <v>74</v>
      </c>
      <c r="BI225" t="s">
        <v>74</v>
      </c>
      <c r="BJ225" t="s">
        <v>848</v>
      </c>
      <c r="BK225" t="s">
        <v>117</v>
      </c>
      <c r="BL225" t="s">
        <v>848</v>
      </c>
      <c r="BM225" t="s">
        <v>74</v>
      </c>
      <c r="BN225">
        <v>19146850</v>
      </c>
      <c r="BO225" t="s">
        <v>74</v>
      </c>
      <c r="BP225" t="s">
        <v>74</v>
      </c>
      <c r="BQ225" t="s">
        <v>74</v>
      </c>
      <c r="BR225" t="s">
        <v>96</v>
      </c>
      <c r="BS225" t="s">
        <v>18788</v>
      </c>
      <c r="BT225" t="str">
        <f>HYPERLINK("https%3A%2F%2Fwww.webofscience.com%2Fwos%2Fwoscc%2Ffull-record%2FWOS:000263859200004","View Full Record in Web of Science")</f>
        <v>View Full Record in Web of Science</v>
      </c>
    </row>
    <row r="226" spans="1:72" x14ac:dyDescent="0.15">
      <c r="A226" t="s">
        <v>98</v>
      </c>
      <c r="B226" t="s">
        <v>882</v>
      </c>
      <c r="C226" t="s">
        <v>74</v>
      </c>
      <c r="D226" t="s">
        <v>74</v>
      </c>
      <c r="E226" t="s">
        <v>74</v>
      </c>
      <c r="F226" t="s">
        <v>883</v>
      </c>
      <c r="G226" t="s">
        <v>74</v>
      </c>
      <c r="H226" t="s">
        <v>74</v>
      </c>
      <c r="I226" t="s">
        <v>884</v>
      </c>
      <c r="J226" t="s">
        <v>885</v>
      </c>
      <c r="K226" t="s">
        <v>74</v>
      </c>
      <c r="L226" t="s">
        <v>74</v>
      </c>
      <c r="M226" t="s">
        <v>74</v>
      </c>
      <c r="N226" t="s">
        <v>103</v>
      </c>
      <c r="O226" t="s">
        <v>74</v>
      </c>
      <c r="P226" t="s">
        <v>74</v>
      </c>
      <c r="Q226" t="s">
        <v>74</v>
      </c>
      <c r="R226" t="s">
        <v>74</v>
      </c>
      <c r="S226" t="s">
        <v>74</v>
      </c>
      <c r="T226" t="s">
        <v>886</v>
      </c>
      <c r="U226" t="s">
        <v>887</v>
      </c>
      <c r="V226" t="s">
        <v>888</v>
      </c>
      <c r="W226" t="s">
        <v>889</v>
      </c>
      <c r="X226" t="s">
        <v>890</v>
      </c>
      <c r="Y226" t="s">
        <v>891</v>
      </c>
      <c r="Z226" t="s">
        <v>892</v>
      </c>
      <c r="AA226" t="s">
        <v>893</v>
      </c>
      <c r="AB226" t="s">
        <v>894</v>
      </c>
      <c r="AC226" t="s">
        <v>74</v>
      </c>
      <c r="AD226" t="s">
        <v>74</v>
      </c>
      <c r="AE226" t="s">
        <v>74</v>
      </c>
      <c r="AF226" t="s">
        <v>74</v>
      </c>
      <c r="AG226">
        <v>39</v>
      </c>
      <c r="AH226">
        <v>88</v>
      </c>
      <c r="AI226">
        <v>90</v>
      </c>
      <c r="AJ226">
        <v>4</v>
      </c>
      <c r="AK226">
        <v>28</v>
      </c>
      <c r="AL226" t="s">
        <v>74</v>
      </c>
      <c r="AM226" t="s">
        <v>74</v>
      </c>
      <c r="AN226" t="s">
        <v>74</v>
      </c>
      <c r="AO226" t="s">
        <v>895</v>
      </c>
      <c r="AP226" t="s">
        <v>896</v>
      </c>
      <c r="AQ226" t="s">
        <v>74</v>
      </c>
      <c r="AR226" t="s">
        <v>74</v>
      </c>
      <c r="AS226" t="s">
        <v>74</v>
      </c>
      <c r="AT226" t="s">
        <v>170</v>
      </c>
      <c r="AU226">
        <v>2008</v>
      </c>
      <c r="AV226">
        <v>159</v>
      </c>
      <c r="AW226">
        <v>5</v>
      </c>
      <c r="AX226" t="s">
        <v>74</v>
      </c>
      <c r="AY226" t="s">
        <v>74</v>
      </c>
      <c r="AZ226" t="s">
        <v>447</v>
      </c>
      <c r="BA226" t="s">
        <v>74</v>
      </c>
      <c r="BB226">
        <v>390</v>
      </c>
      <c r="BC226">
        <v>399</v>
      </c>
      <c r="BD226" t="s">
        <v>74</v>
      </c>
      <c r="BE226" t="s">
        <v>897</v>
      </c>
      <c r="BF226" t="str">
        <f>HYPERLINK("http://dx.doi.org/10.1016/j.resmic.2008.04.015","http://dx.doi.org/10.1016/j.resmic.2008.04.015")</f>
        <v>http://dx.doi.org/10.1016/j.resmic.2008.04.015</v>
      </c>
      <c r="BG226" t="s">
        <v>74</v>
      </c>
      <c r="BH226" t="s">
        <v>74</v>
      </c>
      <c r="BI226" t="s">
        <v>74</v>
      </c>
      <c r="BJ226" t="s">
        <v>898</v>
      </c>
      <c r="BK226" t="s">
        <v>117</v>
      </c>
      <c r="BL226" t="s">
        <v>898</v>
      </c>
      <c r="BM226" t="s">
        <v>74</v>
      </c>
      <c r="BN226">
        <v>18625304</v>
      </c>
      <c r="BO226" t="s">
        <v>74</v>
      </c>
      <c r="BP226" t="s">
        <v>74</v>
      </c>
      <c r="BQ226" t="s">
        <v>74</v>
      </c>
      <c r="BR226" t="s">
        <v>96</v>
      </c>
      <c r="BS226" t="s">
        <v>899</v>
      </c>
      <c r="BT226" t="str">
        <f>HYPERLINK("https%3A%2F%2Fwww.webofscience.com%2Fwos%2Fwoscc%2Ffull-record%2FWOS:000259413800012","View Full Record in Web of Science")</f>
        <v>View Full Record in Web of Science</v>
      </c>
    </row>
    <row r="227" spans="1:72" x14ac:dyDescent="0.15">
      <c r="A227" t="s">
        <v>98</v>
      </c>
      <c r="B227" t="s">
        <v>14730</v>
      </c>
      <c r="C227" t="s">
        <v>74</v>
      </c>
      <c r="D227" t="s">
        <v>74</v>
      </c>
      <c r="E227" t="s">
        <v>74</v>
      </c>
      <c r="F227" t="s">
        <v>14731</v>
      </c>
      <c r="G227" t="s">
        <v>74</v>
      </c>
      <c r="H227" t="s">
        <v>74</v>
      </c>
      <c r="I227" t="s">
        <v>14732</v>
      </c>
      <c r="J227" t="s">
        <v>5139</v>
      </c>
      <c r="K227" t="s">
        <v>74</v>
      </c>
      <c r="L227" t="s">
        <v>74</v>
      </c>
      <c r="M227" t="s">
        <v>74</v>
      </c>
      <c r="N227" t="s">
        <v>103</v>
      </c>
      <c r="O227" t="s">
        <v>74</v>
      </c>
      <c r="P227" t="s">
        <v>74</v>
      </c>
      <c r="Q227" t="s">
        <v>74</v>
      </c>
      <c r="R227" t="s">
        <v>74</v>
      </c>
      <c r="S227" t="s">
        <v>74</v>
      </c>
      <c r="T227" t="s">
        <v>74</v>
      </c>
      <c r="U227" t="s">
        <v>14733</v>
      </c>
      <c r="V227" t="s">
        <v>14734</v>
      </c>
      <c r="W227" t="s">
        <v>14735</v>
      </c>
      <c r="X227" t="s">
        <v>14736</v>
      </c>
      <c r="Y227" t="s">
        <v>14737</v>
      </c>
      <c r="Z227" t="s">
        <v>14738</v>
      </c>
      <c r="AA227" t="s">
        <v>74</v>
      </c>
      <c r="AB227" t="s">
        <v>74</v>
      </c>
      <c r="AC227" t="s">
        <v>74</v>
      </c>
      <c r="AD227" t="s">
        <v>74</v>
      </c>
      <c r="AE227" t="s">
        <v>74</v>
      </c>
      <c r="AF227" t="s">
        <v>74</v>
      </c>
      <c r="AG227">
        <v>33</v>
      </c>
      <c r="AH227">
        <v>88</v>
      </c>
      <c r="AI227">
        <v>94</v>
      </c>
      <c r="AJ227">
        <v>2</v>
      </c>
      <c r="AK227">
        <v>39</v>
      </c>
      <c r="AL227" t="s">
        <v>74</v>
      </c>
      <c r="AM227" t="s">
        <v>74</v>
      </c>
      <c r="AN227" t="s">
        <v>74</v>
      </c>
      <c r="AO227" t="s">
        <v>5148</v>
      </c>
      <c r="AP227" t="s">
        <v>74</v>
      </c>
      <c r="AQ227" t="s">
        <v>74</v>
      </c>
      <c r="AR227" t="s">
        <v>74</v>
      </c>
      <c r="AS227" t="s">
        <v>74</v>
      </c>
      <c r="AT227" t="s">
        <v>1045</v>
      </c>
      <c r="AU227">
        <v>2018</v>
      </c>
      <c r="AV227">
        <v>9</v>
      </c>
      <c r="AW227" t="s">
        <v>74</v>
      </c>
      <c r="AX227" t="s">
        <v>74</v>
      </c>
      <c r="AY227" t="s">
        <v>74</v>
      </c>
      <c r="AZ227" t="s">
        <v>74</v>
      </c>
      <c r="BA227" t="s">
        <v>74</v>
      </c>
      <c r="BB227" t="s">
        <v>74</v>
      </c>
      <c r="BC227" t="s">
        <v>74</v>
      </c>
      <c r="BD227">
        <v>960</v>
      </c>
      <c r="BE227" t="s">
        <v>14739</v>
      </c>
      <c r="BF227" t="str">
        <f>HYPERLINK("http://dx.doi.org/10.1038/s41467-018-03390-x","http://dx.doi.org/10.1038/s41467-018-03390-x")</f>
        <v>http://dx.doi.org/10.1038/s41467-018-03390-x</v>
      </c>
      <c r="BG227" t="s">
        <v>74</v>
      </c>
      <c r="BH227" t="s">
        <v>74</v>
      </c>
      <c r="BI227" t="s">
        <v>74</v>
      </c>
      <c r="BJ227" t="s">
        <v>152</v>
      </c>
      <c r="BK227" t="s">
        <v>117</v>
      </c>
      <c r="BL227" t="s">
        <v>153</v>
      </c>
      <c r="BM227" t="s">
        <v>74</v>
      </c>
      <c r="BN227">
        <v>29511190</v>
      </c>
      <c r="BO227" t="s">
        <v>74</v>
      </c>
      <c r="BP227" t="s">
        <v>74</v>
      </c>
      <c r="BQ227" t="s">
        <v>74</v>
      </c>
      <c r="BR227" t="s">
        <v>96</v>
      </c>
      <c r="BS227" t="s">
        <v>14740</v>
      </c>
      <c r="BT227" t="str">
        <f>HYPERLINK("https%3A%2F%2Fwww.webofscience.com%2Fwos%2Fwoscc%2Ffull-record%2FWOS:000426659300006","View Full Record in Web of Science")</f>
        <v>View Full Record in Web of Science</v>
      </c>
    </row>
    <row r="228" spans="1:72" x14ac:dyDescent="0.15">
      <c r="A228" t="s">
        <v>98</v>
      </c>
      <c r="B228" t="s">
        <v>7329</v>
      </c>
      <c r="C228" t="s">
        <v>74</v>
      </c>
      <c r="D228" t="s">
        <v>74</v>
      </c>
      <c r="E228" t="s">
        <v>74</v>
      </c>
      <c r="F228" t="s">
        <v>7330</v>
      </c>
      <c r="G228" t="s">
        <v>74</v>
      </c>
      <c r="H228" t="s">
        <v>74</v>
      </c>
      <c r="I228" t="s">
        <v>7331</v>
      </c>
      <c r="J228" t="s">
        <v>5139</v>
      </c>
      <c r="K228" t="s">
        <v>74</v>
      </c>
      <c r="L228" t="s">
        <v>74</v>
      </c>
      <c r="M228" t="s">
        <v>74</v>
      </c>
      <c r="N228" t="s">
        <v>103</v>
      </c>
      <c r="O228" t="s">
        <v>74</v>
      </c>
      <c r="P228" t="s">
        <v>74</v>
      </c>
      <c r="Q228" t="s">
        <v>74</v>
      </c>
      <c r="R228" t="s">
        <v>74</v>
      </c>
      <c r="S228" t="s">
        <v>74</v>
      </c>
      <c r="T228" t="s">
        <v>74</v>
      </c>
      <c r="U228" t="s">
        <v>7332</v>
      </c>
      <c r="V228" t="s">
        <v>7333</v>
      </c>
      <c r="W228" t="s">
        <v>7334</v>
      </c>
      <c r="X228" t="s">
        <v>7335</v>
      </c>
      <c r="Y228" t="s">
        <v>7336</v>
      </c>
      <c r="Z228" t="s">
        <v>7337</v>
      </c>
      <c r="AA228" t="s">
        <v>7338</v>
      </c>
      <c r="AB228" t="s">
        <v>7339</v>
      </c>
      <c r="AC228" t="s">
        <v>74</v>
      </c>
      <c r="AD228" t="s">
        <v>74</v>
      </c>
      <c r="AE228" t="s">
        <v>74</v>
      </c>
      <c r="AF228" t="s">
        <v>74</v>
      </c>
      <c r="AG228">
        <v>73</v>
      </c>
      <c r="AH228">
        <v>87</v>
      </c>
      <c r="AI228">
        <v>88</v>
      </c>
      <c r="AJ228">
        <v>2</v>
      </c>
      <c r="AK228">
        <v>13</v>
      </c>
      <c r="AL228" t="s">
        <v>74</v>
      </c>
      <c r="AM228" t="s">
        <v>74</v>
      </c>
      <c r="AN228" t="s">
        <v>74</v>
      </c>
      <c r="AO228" t="s">
        <v>5148</v>
      </c>
      <c r="AP228" t="s">
        <v>74</v>
      </c>
      <c r="AQ228" t="s">
        <v>74</v>
      </c>
      <c r="AR228" t="s">
        <v>74</v>
      </c>
      <c r="AS228" t="s">
        <v>74</v>
      </c>
      <c r="AT228" t="s">
        <v>7340</v>
      </c>
      <c r="AU228">
        <v>2017</v>
      </c>
      <c r="AV228">
        <v>8</v>
      </c>
      <c r="AW228" t="s">
        <v>74</v>
      </c>
      <c r="AX228" t="s">
        <v>74</v>
      </c>
      <c r="AY228" t="s">
        <v>74</v>
      </c>
      <c r="AZ228" t="s">
        <v>74</v>
      </c>
      <c r="BA228" t="s">
        <v>74</v>
      </c>
      <c r="BB228" t="s">
        <v>74</v>
      </c>
      <c r="BC228" t="s">
        <v>74</v>
      </c>
      <c r="BD228">
        <v>1985</v>
      </c>
      <c r="BE228" t="s">
        <v>7341</v>
      </c>
      <c r="BF228" t="str">
        <f>HYPERLINK("http://dx.doi.org/10.1038/s41467-017-02083-1","http://dx.doi.org/10.1038/s41467-017-02083-1")</f>
        <v>http://dx.doi.org/10.1038/s41467-017-02083-1</v>
      </c>
      <c r="BG228" t="s">
        <v>74</v>
      </c>
      <c r="BH228" t="s">
        <v>74</v>
      </c>
      <c r="BI228" t="s">
        <v>74</v>
      </c>
      <c r="BJ228" t="s">
        <v>152</v>
      </c>
      <c r="BK228" t="s">
        <v>117</v>
      </c>
      <c r="BL228" t="s">
        <v>153</v>
      </c>
      <c r="BM228" t="s">
        <v>74</v>
      </c>
      <c r="BN228">
        <v>29215015</v>
      </c>
      <c r="BO228" t="s">
        <v>74</v>
      </c>
      <c r="BP228" t="s">
        <v>74</v>
      </c>
      <c r="BQ228" t="s">
        <v>74</v>
      </c>
      <c r="BR228" t="s">
        <v>96</v>
      </c>
      <c r="BS228" t="s">
        <v>7342</v>
      </c>
      <c r="BT228" t="str">
        <f>HYPERLINK("https%3A%2F%2Fwww.webofscience.com%2Fwos%2Fwoscc%2Ffull-record%2FWOS:000417336800002","View Full Record in Web of Science")</f>
        <v>View Full Record in Web of Science</v>
      </c>
    </row>
    <row r="229" spans="1:72" x14ac:dyDescent="0.15">
      <c r="A229" t="s">
        <v>98</v>
      </c>
      <c r="B229" t="s">
        <v>10935</v>
      </c>
      <c r="C229" t="s">
        <v>74</v>
      </c>
      <c r="D229" t="s">
        <v>74</v>
      </c>
      <c r="E229" t="s">
        <v>74</v>
      </c>
      <c r="F229" t="s">
        <v>10936</v>
      </c>
      <c r="G229" t="s">
        <v>74</v>
      </c>
      <c r="H229" t="s">
        <v>74</v>
      </c>
      <c r="I229" t="s">
        <v>10937</v>
      </c>
      <c r="J229" t="s">
        <v>7316</v>
      </c>
      <c r="K229" t="s">
        <v>74</v>
      </c>
      <c r="L229" t="s">
        <v>74</v>
      </c>
      <c r="M229" t="s">
        <v>74</v>
      </c>
      <c r="N229" t="s">
        <v>103</v>
      </c>
      <c r="O229" t="s">
        <v>74</v>
      </c>
      <c r="P229" t="s">
        <v>74</v>
      </c>
      <c r="Q229" t="s">
        <v>74</v>
      </c>
      <c r="R229" t="s">
        <v>74</v>
      </c>
      <c r="S229" t="s">
        <v>74</v>
      </c>
      <c r="T229" t="s">
        <v>74</v>
      </c>
      <c r="U229" t="s">
        <v>10938</v>
      </c>
      <c r="V229" t="s">
        <v>10939</v>
      </c>
      <c r="W229" t="s">
        <v>10940</v>
      </c>
      <c r="X229" t="s">
        <v>10941</v>
      </c>
      <c r="Y229" t="s">
        <v>10942</v>
      </c>
      <c r="Z229" t="s">
        <v>10943</v>
      </c>
      <c r="AA229" t="s">
        <v>74</v>
      </c>
      <c r="AB229" t="s">
        <v>10944</v>
      </c>
      <c r="AC229" t="s">
        <v>74</v>
      </c>
      <c r="AD229" t="s">
        <v>74</v>
      </c>
      <c r="AE229" t="s">
        <v>74</v>
      </c>
      <c r="AF229" t="s">
        <v>74</v>
      </c>
      <c r="AG229">
        <v>36</v>
      </c>
      <c r="AH229">
        <v>87</v>
      </c>
      <c r="AI229">
        <v>88</v>
      </c>
      <c r="AJ229">
        <v>19</v>
      </c>
      <c r="AK229">
        <v>252</v>
      </c>
      <c r="AL229" t="s">
        <v>74</v>
      </c>
      <c r="AM229" t="s">
        <v>74</v>
      </c>
      <c r="AN229" t="s">
        <v>74</v>
      </c>
      <c r="AO229" t="s">
        <v>7324</v>
      </c>
      <c r="AP229" t="s">
        <v>7325</v>
      </c>
      <c r="AQ229" t="s">
        <v>74</v>
      </c>
      <c r="AR229" t="s">
        <v>74</v>
      </c>
      <c r="AS229" t="s">
        <v>74</v>
      </c>
      <c r="AT229" t="s">
        <v>10945</v>
      </c>
      <c r="AU229">
        <v>2018</v>
      </c>
      <c r="AV229">
        <v>143</v>
      </c>
      <c r="AW229">
        <v>20</v>
      </c>
      <c r="AX229" t="s">
        <v>74</v>
      </c>
      <c r="AY229" t="s">
        <v>74</v>
      </c>
      <c r="AZ229" t="s">
        <v>74</v>
      </c>
      <c r="BA229" t="s">
        <v>74</v>
      </c>
      <c r="BB229">
        <v>4915</v>
      </c>
      <c r="BC229">
        <v>4922</v>
      </c>
      <c r="BD229" t="s">
        <v>74</v>
      </c>
      <c r="BE229" t="s">
        <v>10946</v>
      </c>
      <c r="BF229" t="str">
        <f>HYPERLINK("http://dx.doi.org/10.1039/c8an01041b","http://dx.doi.org/10.1039/c8an01041b")</f>
        <v>http://dx.doi.org/10.1039/c8an01041b</v>
      </c>
      <c r="BG229" t="s">
        <v>74</v>
      </c>
      <c r="BH229" t="s">
        <v>74</v>
      </c>
      <c r="BI229" t="s">
        <v>74</v>
      </c>
      <c r="BJ229" t="s">
        <v>1118</v>
      </c>
      <c r="BK229" t="s">
        <v>117</v>
      </c>
      <c r="BL229" t="s">
        <v>1048</v>
      </c>
      <c r="BM229" t="s">
        <v>74</v>
      </c>
      <c r="BN229">
        <v>30225507</v>
      </c>
      <c r="BO229" t="s">
        <v>74</v>
      </c>
      <c r="BP229" t="s">
        <v>74</v>
      </c>
      <c r="BQ229" t="s">
        <v>74</v>
      </c>
      <c r="BR229" t="s">
        <v>96</v>
      </c>
      <c r="BS229" t="s">
        <v>10947</v>
      </c>
      <c r="BT229" t="str">
        <f>HYPERLINK("https%3A%2F%2Fwww.webofscience.com%2Fwos%2Fwoscc%2Ffull-record%2FWOS:000448338200013","View Full Record in Web of Science")</f>
        <v>View Full Record in Web of Science</v>
      </c>
    </row>
    <row r="230" spans="1:72" x14ac:dyDescent="0.15">
      <c r="A230" t="s">
        <v>98</v>
      </c>
      <c r="B230" t="s">
        <v>17133</v>
      </c>
      <c r="C230" t="s">
        <v>74</v>
      </c>
      <c r="D230" t="s">
        <v>74</v>
      </c>
      <c r="E230" t="s">
        <v>74</v>
      </c>
      <c r="F230" t="s">
        <v>17134</v>
      </c>
      <c r="G230" t="s">
        <v>74</v>
      </c>
      <c r="H230" t="s">
        <v>74</v>
      </c>
      <c r="I230" t="s">
        <v>17135</v>
      </c>
      <c r="J230" t="s">
        <v>1073</v>
      </c>
      <c r="K230" t="s">
        <v>74</v>
      </c>
      <c r="L230" t="s">
        <v>74</v>
      </c>
      <c r="M230" t="s">
        <v>74</v>
      </c>
      <c r="N230" t="s">
        <v>103</v>
      </c>
      <c r="O230" t="s">
        <v>74</v>
      </c>
      <c r="P230" t="s">
        <v>74</v>
      </c>
      <c r="Q230" t="s">
        <v>74</v>
      </c>
      <c r="R230" t="s">
        <v>74</v>
      </c>
      <c r="S230" t="s">
        <v>74</v>
      </c>
      <c r="T230" t="s">
        <v>74</v>
      </c>
      <c r="U230" t="s">
        <v>17136</v>
      </c>
      <c r="V230" t="s">
        <v>17137</v>
      </c>
      <c r="W230" t="s">
        <v>17138</v>
      </c>
      <c r="X230" t="s">
        <v>17139</v>
      </c>
      <c r="Y230" t="s">
        <v>17140</v>
      </c>
      <c r="Z230" t="s">
        <v>2205</v>
      </c>
      <c r="AA230" t="s">
        <v>74</v>
      </c>
      <c r="AB230" t="s">
        <v>17141</v>
      </c>
      <c r="AC230" t="s">
        <v>74</v>
      </c>
      <c r="AD230" t="s">
        <v>74</v>
      </c>
      <c r="AE230" t="s">
        <v>74</v>
      </c>
      <c r="AF230" t="s">
        <v>74</v>
      </c>
      <c r="AG230">
        <v>35</v>
      </c>
      <c r="AH230">
        <v>87</v>
      </c>
      <c r="AI230">
        <v>88</v>
      </c>
      <c r="AJ230">
        <v>3</v>
      </c>
      <c r="AK230">
        <v>16</v>
      </c>
      <c r="AL230" t="s">
        <v>74</v>
      </c>
      <c r="AM230" t="s">
        <v>74</v>
      </c>
      <c r="AN230" t="s">
        <v>74</v>
      </c>
      <c r="AO230" t="s">
        <v>1082</v>
      </c>
      <c r="AP230" t="s">
        <v>74</v>
      </c>
      <c r="AQ230" t="s">
        <v>74</v>
      </c>
      <c r="AR230" t="s">
        <v>74</v>
      </c>
      <c r="AS230" t="s">
        <v>74</v>
      </c>
      <c r="AT230" t="s">
        <v>17142</v>
      </c>
      <c r="AU230">
        <v>2014</v>
      </c>
      <c r="AV230">
        <v>9</v>
      </c>
      <c r="AW230">
        <v>5</v>
      </c>
      <c r="AX230" t="s">
        <v>74</v>
      </c>
      <c r="AY230" t="s">
        <v>74</v>
      </c>
      <c r="AZ230" t="s">
        <v>74</v>
      </c>
      <c r="BA230" t="s">
        <v>74</v>
      </c>
      <c r="BB230" t="s">
        <v>74</v>
      </c>
      <c r="BC230" t="s">
        <v>74</v>
      </c>
      <c r="BD230" t="s">
        <v>17143</v>
      </c>
      <c r="BE230" t="s">
        <v>17144</v>
      </c>
      <c r="BF230" t="str">
        <f>HYPERLINK("http://dx.doi.org/10.1371/journal.pone.0096094","http://dx.doi.org/10.1371/journal.pone.0096094")</f>
        <v>http://dx.doi.org/10.1371/journal.pone.0096094</v>
      </c>
      <c r="BG230" t="s">
        <v>74</v>
      </c>
      <c r="BH230" t="s">
        <v>74</v>
      </c>
      <c r="BI230" t="s">
        <v>74</v>
      </c>
      <c r="BJ230" t="s">
        <v>152</v>
      </c>
      <c r="BK230" t="s">
        <v>117</v>
      </c>
      <c r="BL230" t="s">
        <v>153</v>
      </c>
      <c r="BM230" t="s">
        <v>74</v>
      </c>
      <c r="BN230">
        <v>24816817</v>
      </c>
      <c r="BO230" t="s">
        <v>74</v>
      </c>
      <c r="BP230" t="s">
        <v>74</v>
      </c>
      <c r="BQ230" t="s">
        <v>74</v>
      </c>
      <c r="BR230" t="s">
        <v>96</v>
      </c>
      <c r="BS230" t="s">
        <v>17145</v>
      </c>
      <c r="BT230" t="str">
        <f>HYPERLINK("https%3A%2F%2Fwww.webofscience.com%2Fwos%2Fwoscc%2Ffull-record%2FWOS:000336838000023","View Full Record in Web of Science")</f>
        <v>View Full Record in Web of Science</v>
      </c>
    </row>
    <row r="231" spans="1:72" x14ac:dyDescent="0.15">
      <c r="A231" t="s">
        <v>98</v>
      </c>
      <c r="B231" t="s">
        <v>22856</v>
      </c>
      <c r="C231" t="s">
        <v>74</v>
      </c>
      <c r="D231" t="s">
        <v>74</v>
      </c>
      <c r="E231" t="s">
        <v>74</v>
      </c>
      <c r="F231" t="s">
        <v>22857</v>
      </c>
      <c r="G231" t="s">
        <v>74</v>
      </c>
      <c r="H231" t="s">
        <v>74</v>
      </c>
      <c r="I231" t="s">
        <v>22858</v>
      </c>
      <c r="J231" t="s">
        <v>658</v>
      </c>
      <c r="K231" t="s">
        <v>74</v>
      </c>
      <c r="L231" t="s">
        <v>74</v>
      </c>
      <c r="M231" t="s">
        <v>74</v>
      </c>
      <c r="N231" t="s">
        <v>103</v>
      </c>
      <c r="O231" t="s">
        <v>74</v>
      </c>
      <c r="P231" t="s">
        <v>74</v>
      </c>
      <c r="Q231" t="s">
        <v>74</v>
      </c>
      <c r="R231" t="s">
        <v>74</v>
      </c>
      <c r="S231" t="s">
        <v>74</v>
      </c>
      <c r="T231" t="s">
        <v>22859</v>
      </c>
      <c r="U231" t="s">
        <v>22860</v>
      </c>
      <c r="V231" t="s">
        <v>22861</v>
      </c>
      <c r="W231" t="s">
        <v>22862</v>
      </c>
      <c r="X231" t="s">
        <v>22863</v>
      </c>
      <c r="Y231" t="s">
        <v>22864</v>
      </c>
      <c r="Z231" t="s">
        <v>22865</v>
      </c>
      <c r="AA231" t="s">
        <v>22866</v>
      </c>
      <c r="AB231" t="s">
        <v>22867</v>
      </c>
      <c r="AC231" t="s">
        <v>74</v>
      </c>
      <c r="AD231" t="s">
        <v>74</v>
      </c>
      <c r="AE231" t="s">
        <v>74</v>
      </c>
      <c r="AF231" t="s">
        <v>74</v>
      </c>
      <c r="AG231">
        <v>46</v>
      </c>
      <c r="AH231">
        <v>87</v>
      </c>
      <c r="AI231">
        <v>91</v>
      </c>
      <c r="AJ231">
        <v>2</v>
      </c>
      <c r="AK231">
        <v>19</v>
      </c>
      <c r="AL231" t="s">
        <v>74</v>
      </c>
      <c r="AM231" t="s">
        <v>74</v>
      </c>
      <c r="AN231" t="s">
        <v>74</v>
      </c>
      <c r="AO231" t="s">
        <v>668</v>
      </c>
      <c r="AP231" t="s">
        <v>74</v>
      </c>
      <c r="AQ231" t="s">
        <v>74</v>
      </c>
      <c r="AR231" t="s">
        <v>74</v>
      </c>
      <c r="AS231" t="s">
        <v>74</v>
      </c>
      <c r="AT231" t="s">
        <v>1807</v>
      </c>
      <c r="AU231">
        <v>2020</v>
      </c>
      <c r="AV231">
        <v>117</v>
      </c>
      <c r="AW231">
        <v>13</v>
      </c>
      <c r="AX231" t="s">
        <v>74</v>
      </c>
      <c r="AY231" t="s">
        <v>74</v>
      </c>
      <c r="AZ231" t="s">
        <v>74</v>
      </c>
      <c r="BA231" t="s">
        <v>74</v>
      </c>
      <c r="BB231">
        <v>7326</v>
      </c>
      <c r="BC231">
        <v>7337</v>
      </c>
      <c r="BD231" t="s">
        <v>74</v>
      </c>
      <c r="BE231" t="s">
        <v>22868</v>
      </c>
      <c r="BF231" t="str">
        <f>HYPERLINK("http://dx.doi.org/10.1073/pnas.1909546117","http://dx.doi.org/10.1073/pnas.1909546117")</f>
        <v>http://dx.doi.org/10.1073/pnas.1909546117</v>
      </c>
      <c r="BG231" t="s">
        <v>74</v>
      </c>
      <c r="BH231" t="s">
        <v>74</v>
      </c>
      <c r="BI231" t="s">
        <v>74</v>
      </c>
      <c r="BJ231" t="s">
        <v>152</v>
      </c>
      <c r="BK231" t="s">
        <v>117</v>
      </c>
      <c r="BL231" t="s">
        <v>153</v>
      </c>
      <c r="BM231" t="s">
        <v>74</v>
      </c>
      <c r="BN231">
        <v>32170015</v>
      </c>
      <c r="BO231" t="s">
        <v>74</v>
      </c>
      <c r="BP231" t="s">
        <v>74</v>
      </c>
      <c r="BQ231" t="s">
        <v>74</v>
      </c>
      <c r="BR231" t="s">
        <v>96</v>
      </c>
      <c r="BS231" t="s">
        <v>22869</v>
      </c>
      <c r="BT231" t="str">
        <f>HYPERLINK("https%3A%2F%2Fwww.webofscience.com%2Fwos%2Fwoscc%2Ffull-record%2FWOS:000523188100054","View Full Record in Web of Science")</f>
        <v>View Full Record in Web of Science</v>
      </c>
    </row>
    <row r="232" spans="1:72" x14ac:dyDescent="0.15">
      <c r="A232" t="s">
        <v>98</v>
      </c>
      <c r="B232" t="s">
        <v>5465</v>
      </c>
      <c r="C232" t="s">
        <v>74</v>
      </c>
      <c r="D232" t="s">
        <v>74</v>
      </c>
      <c r="E232" t="s">
        <v>74</v>
      </c>
      <c r="F232" t="s">
        <v>5466</v>
      </c>
      <c r="G232" t="s">
        <v>74</v>
      </c>
      <c r="H232" t="s">
        <v>74</v>
      </c>
      <c r="I232" t="s">
        <v>5467</v>
      </c>
      <c r="J232" t="s">
        <v>4486</v>
      </c>
      <c r="K232" t="s">
        <v>74</v>
      </c>
      <c r="L232" t="s">
        <v>74</v>
      </c>
      <c r="M232" t="s">
        <v>74</v>
      </c>
      <c r="N232" t="s">
        <v>103</v>
      </c>
      <c r="O232" t="s">
        <v>74</v>
      </c>
      <c r="P232" t="s">
        <v>74</v>
      </c>
      <c r="Q232" t="s">
        <v>74</v>
      </c>
      <c r="R232" t="s">
        <v>74</v>
      </c>
      <c r="S232" t="s">
        <v>74</v>
      </c>
      <c r="T232" t="s">
        <v>74</v>
      </c>
      <c r="U232" t="s">
        <v>5468</v>
      </c>
      <c r="V232" t="s">
        <v>5469</v>
      </c>
      <c r="W232" t="s">
        <v>5470</v>
      </c>
      <c r="X232" t="s">
        <v>5471</v>
      </c>
      <c r="Y232" t="s">
        <v>5472</v>
      </c>
      <c r="Z232" t="s">
        <v>5473</v>
      </c>
      <c r="AA232" t="s">
        <v>74</v>
      </c>
      <c r="AB232" t="s">
        <v>74</v>
      </c>
      <c r="AC232" t="s">
        <v>74</v>
      </c>
      <c r="AD232" t="s">
        <v>74</v>
      </c>
      <c r="AE232" t="s">
        <v>74</v>
      </c>
      <c r="AF232" t="s">
        <v>74</v>
      </c>
      <c r="AG232">
        <v>38</v>
      </c>
      <c r="AH232">
        <v>86</v>
      </c>
      <c r="AI232">
        <v>89</v>
      </c>
      <c r="AJ232">
        <v>45</v>
      </c>
      <c r="AK232">
        <v>346</v>
      </c>
      <c r="AL232" t="s">
        <v>74</v>
      </c>
      <c r="AM232" t="s">
        <v>74</v>
      </c>
      <c r="AN232" t="s">
        <v>74</v>
      </c>
      <c r="AO232" t="s">
        <v>4493</v>
      </c>
      <c r="AP232" t="s">
        <v>4494</v>
      </c>
      <c r="AQ232" t="s">
        <v>74</v>
      </c>
      <c r="AR232" t="s">
        <v>74</v>
      </c>
      <c r="AS232" t="s">
        <v>74</v>
      </c>
      <c r="AT232" t="s">
        <v>5474</v>
      </c>
      <c r="AU232">
        <v>2019</v>
      </c>
      <c r="AV232">
        <v>91</v>
      </c>
      <c r="AW232">
        <v>22</v>
      </c>
      <c r="AX232" t="s">
        <v>74</v>
      </c>
      <c r="AY232" t="s">
        <v>74</v>
      </c>
      <c r="AZ232" t="s">
        <v>74</v>
      </c>
      <c r="BA232" t="s">
        <v>74</v>
      </c>
      <c r="BB232">
        <v>14773</v>
      </c>
      <c r="BC232">
        <v>14779</v>
      </c>
      <c r="BD232" t="s">
        <v>74</v>
      </c>
      <c r="BE232" t="s">
        <v>5475</v>
      </c>
      <c r="BF232" t="str">
        <f>HYPERLINK("http://dx.doi.org/10.1021/acs.analchem.9b04282","http://dx.doi.org/10.1021/acs.analchem.9b04282")</f>
        <v>http://dx.doi.org/10.1021/acs.analchem.9b04282</v>
      </c>
      <c r="BG232" t="s">
        <v>74</v>
      </c>
      <c r="BH232" t="s">
        <v>74</v>
      </c>
      <c r="BI232" t="s">
        <v>74</v>
      </c>
      <c r="BJ232" t="s">
        <v>1118</v>
      </c>
      <c r="BK232" t="s">
        <v>117</v>
      </c>
      <c r="BL232" t="s">
        <v>1048</v>
      </c>
      <c r="BM232" t="s">
        <v>74</v>
      </c>
      <c r="BN232">
        <v>31660712</v>
      </c>
      <c r="BO232" t="s">
        <v>74</v>
      </c>
      <c r="BP232" t="s">
        <v>74</v>
      </c>
      <c r="BQ232" t="s">
        <v>74</v>
      </c>
      <c r="BR232" t="s">
        <v>96</v>
      </c>
      <c r="BS232" t="s">
        <v>5476</v>
      </c>
      <c r="BT232" t="str">
        <f>HYPERLINK("https%3A%2F%2Fwww.webofscience.com%2Fwos%2Fwoscc%2Ffull-record%2FWOS:000498280100082","View Full Record in Web of Science")</f>
        <v>View Full Record in Web of Science</v>
      </c>
    </row>
    <row r="233" spans="1:72" x14ac:dyDescent="0.15">
      <c r="A233" t="s">
        <v>98</v>
      </c>
      <c r="B233" t="s">
        <v>11322</v>
      </c>
      <c r="C233" t="s">
        <v>74</v>
      </c>
      <c r="D233" t="s">
        <v>74</v>
      </c>
      <c r="E233" t="s">
        <v>74</v>
      </c>
      <c r="F233" t="s">
        <v>11323</v>
      </c>
      <c r="G233" t="s">
        <v>74</v>
      </c>
      <c r="H233" t="s">
        <v>74</v>
      </c>
      <c r="I233" t="s">
        <v>11324</v>
      </c>
      <c r="J233" t="s">
        <v>140</v>
      </c>
      <c r="K233" t="s">
        <v>74</v>
      </c>
      <c r="L233" t="s">
        <v>74</v>
      </c>
      <c r="M233" t="s">
        <v>74</v>
      </c>
      <c r="N233" t="s">
        <v>103</v>
      </c>
      <c r="O233" t="s">
        <v>74</v>
      </c>
      <c r="P233" t="s">
        <v>74</v>
      </c>
      <c r="Q233" t="s">
        <v>74</v>
      </c>
      <c r="R233" t="s">
        <v>74</v>
      </c>
      <c r="S233" t="s">
        <v>74</v>
      </c>
      <c r="T233" t="s">
        <v>74</v>
      </c>
      <c r="U233" t="s">
        <v>11325</v>
      </c>
      <c r="V233" t="s">
        <v>11326</v>
      </c>
      <c r="W233" t="s">
        <v>11327</v>
      </c>
      <c r="X233" t="s">
        <v>11328</v>
      </c>
      <c r="Y233" t="s">
        <v>11329</v>
      </c>
      <c r="Z233" t="s">
        <v>11330</v>
      </c>
      <c r="AA233" t="s">
        <v>74</v>
      </c>
      <c r="AB233" t="s">
        <v>11331</v>
      </c>
      <c r="AC233" t="s">
        <v>74</v>
      </c>
      <c r="AD233" t="s">
        <v>74</v>
      </c>
      <c r="AE233" t="s">
        <v>74</v>
      </c>
      <c r="AF233" t="s">
        <v>74</v>
      </c>
      <c r="AG233">
        <v>40</v>
      </c>
      <c r="AH233">
        <v>86</v>
      </c>
      <c r="AI233">
        <v>89</v>
      </c>
      <c r="AJ233">
        <v>6</v>
      </c>
      <c r="AK233">
        <v>39</v>
      </c>
      <c r="AL233" t="s">
        <v>74</v>
      </c>
      <c r="AM233" t="s">
        <v>74</v>
      </c>
      <c r="AN233" t="s">
        <v>74</v>
      </c>
      <c r="AO233" t="s">
        <v>149</v>
      </c>
      <c r="AP233" t="s">
        <v>74</v>
      </c>
      <c r="AQ233" t="s">
        <v>74</v>
      </c>
      <c r="AR233" t="s">
        <v>74</v>
      </c>
      <c r="AS233" t="s">
        <v>74</v>
      </c>
      <c r="AT233" t="s">
        <v>11332</v>
      </c>
      <c r="AU233">
        <v>2015</v>
      </c>
      <c r="AV233">
        <v>5</v>
      </c>
      <c r="AW233" t="s">
        <v>74</v>
      </c>
      <c r="AX233" t="s">
        <v>74</v>
      </c>
      <c r="AY233" t="s">
        <v>74</v>
      </c>
      <c r="AZ233" t="s">
        <v>74</v>
      </c>
      <c r="BA233" t="s">
        <v>74</v>
      </c>
      <c r="BB233" t="s">
        <v>74</v>
      </c>
      <c r="BC233" t="s">
        <v>74</v>
      </c>
      <c r="BD233">
        <v>15878</v>
      </c>
      <c r="BE233" t="s">
        <v>11333</v>
      </c>
      <c r="BF233" t="str">
        <f>HYPERLINK("http://dx.doi.org/10.1038/srep15878","http://dx.doi.org/10.1038/srep15878")</f>
        <v>http://dx.doi.org/10.1038/srep15878</v>
      </c>
      <c r="BG233" t="s">
        <v>74</v>
      </c>
      <c r="BH233" t="s">
        <v>74</v>
      </c>
      <c r="BI233" t="s">
        <v>74</v>
      </c>
      <c r="BJ233" t="s">
        <v>152</v>
      </c>
      <c r="BK233" t="s">
        <v>117</v>
      </c>
      <c r="BL233" t="s">
        <v>153</v>
      </c>
      <c r="BM233" t="s">
        <v>74</v>
      </c>
      <c r="BN233">
        <v>26510393</v>
      </c>
      <c r="BO233" t="s">
        <v>74</v>
      </c>
      <c r="BP233" t="s">
        <v>74</v>
      </c>
      <c r="BQ233" t="s">
        <v>74</v>
      </c>
      <c r="BR233" t="s">
        <v>96</v>
      </c>
      <c r="BS233" t="s">
        <v>11334</v>
      </c>
      <c r="BT233" t="str">
        <f>HYPERLINK("https%3A%2F%2Fwww.webofscience.com%2Fwos%2Fwoscc%2Ffull-record%2FWOS:000363627800001","View Full Record in Web of Science")</f>
        <v>View Full Record in Web of Science</v>
      </c>
    </row>
    <row r="234" spans="1:72" x14ac:dyDescent="0.15">
      <c r="A234" t="s">
        <v>98</v>
      </c>
      <c r="B234" t="s">
        <v>17619</v>
      </c>
      <c r="C234" t="s">
        <v>74</v>
      </c>
      <c r="D234" t="s">
        <v>74</v>
      </c>
      <c r="E234" t="s">
        <v>74</v>
      </c>
      <c r="F234" t="s">
        <v>17620</v>
      </c>
      <c r="G234" t="s">
        <v>74</v>
      </c>
      <c r="H234" t="s">
        <v>74</v>
      </c>
      <c r="I234" t="s">
        <v>17621</v>
      </c>
      <c r="J234" t="s">
        <v>17622</v>
      </c>
      <c r="K234" t="s">
        <v>74</v>
      </c>
      <c r="L234" t="s">
        <v>74</v>
      </c>
      <c r="M234" t="s">
        <v>74</v>
      </c>
      <c r="N234" t="s">
        <v>103</v>
      </c>
      <c r="O234" t="s">
        <v>74</v>
      </c>
      <c r="P234" t="s">
        <v>74</v>
      </c>
      <c r="Q234" t="s">
        <v>74</v>
      </c>
      <c r="R234" t="s">
        <v>74</v>
      </c>
      <c r="S234" t="s">
        <v>74</v>
      </c>
      <c r="T234" t="s">
        <v>74</v>
      </c>
      <c r="U234" t="s">
        <v>17623</v>
      </c>
      <c r="V234" t="s">
        <v>17624</v>
      </c>
      <c r="W234" t="s">
        <v>17625</v>
      </c>
      <c r="X234" t="s">
        <v>17626</v>
      </c>
      <c r="Y234" t="s">
        <v>17627</v>
      </c>
      <c r="Z234" t="s">
        <v>17628</v>
      </c>
      <c r="AA234" t="s">
        <v>17629</v>
      </c>
      <c r="AB234" t="s">
        <v>74</v>
      </c>
      <c r="AC234" t="s">
        <v>74</v>
      </c>
      <c r="AD234" t="s">
        <v>74</v>
      </c>
      <c r="AE234" t="s">
        <v>74</v>
      </c>
      <c r="AF234" t="s">
        <v>74</v>
      </c>
      <c r="AG234">
        <v>44</v>
      </c>
      <c r="AH234">
        <v>86</v>
      </c>
      <c r="AI234">
        <v>87</v>
      </c>
      <c r="AJ234">
        <v>0</v>
      </c>
      <c r="AK234">
        <v>14</v>
      </c>
      <c r="AL234" t="s">
        <v>74</v>
      </c>
      <c r="AM234" t="s">
        <v>74</v>
      </c>
      <c r="AN234" t="s">
        <v>74</v>
      </c>
      <c r="AO234" t="s">
        <v>17630</v>
      </c>
      <c r="AP234" t="s">
        <v>74</v>
      </c>
      <c r="AQ234" t="s">
        <v>74</v>
      </c>
      <c r="AR234" t="s">
        <v>74</v>
      </c>
      <c r="AS234" t="s">
        <v>74</v>
      </c>
      <c r="AT234" t="s">
        <v>17631</v>
      </c>
      <c r="AU234">
        <v>2008</v>
      </c>
      <c r="AV234">
        <v>8</v>
      </c>
      <c r="AW234" t="s">
        <v>74</v>
      </c>
      <c r="AX234" t="s">
        <v>74</v>
      </c>
      <c r="AY234" t="s">
        <v>74</v>
      </c>
      <c r="AZ234" t="s">
        <v>74</v>
      </c>
      <c r="BA234" t="s">
        <v>74</v>
      </c>
      <c r="BB234" t="s">
        <v>74</v>
      </c>
      <c r="BC234" t="s">
        <v>74</v>
      </c>
      <c r="BD234">
        <v>87</v>
      </c>
      <c r="BE234" t="s">
        <v>17632</v>
      </c>
      <c r="BF234" t="str">
        <f>HYPERLINK("http://dx.doi.org/10.1186/1471-2180-8-87","http://dx.doi.org/10.1186/1471-2180-8-87")</f>
        <v>http://dx.doi.org/10.1186/1471-2180-8-87</v>
      </c>
      <c r="BG234" t="s">
        <v>74</v>
      </c>
      <c r="BH234" t="s">
        <v>74</v>
      </c>
      <c r="BI234" t="s">
        <v>74</v>
      </c>
      <c r="BJ234" t="s">
        <v>898</v>
      </c>
      <c r="BK234" t="s">
        <v>117</v>
      </c>
      <c r="BL234" t="s">
        <v>898</v>
      </c>
      <c r="BM234" t="s">
        <v>74</v>
      </c>
      <c r="BN234">
        <v>18518965</v>
      </c>
      <c r="BO234" t="s">
        <v>74</v>
      </c>
      <c r="BP234" t="s">
        <v>74</v>
      </c>
      <c r="BQ234" t="s">
        <v>74</v>
      </c>
      <c r="BR234" t="s">
        <v>96</v>
      </c>
      <c r="BS234" t="s">
        <v>17633</v>
      </c>
      <c r="BT234" t="str">
        <f>HYPERLINK("https%3A%2F%2Fwww.webofscience.com%2Fwos%2Fwoscc%2Ffull-record%2FWOS:000257076500001","View Full Record in Web of Science")</f>
        <v>View Full Record in Web of Science</v>
      </c>
    </row>
    <row r="235" spans="1:72" x14ac:dyDescent="0.15">
      <c r="A235" t="s">
        <v>98</v>
      </c>
      <c r="B235" t="s">
        <v>19149</v>
      </c>
      <c r="C235" t="s">
        <v>74</v>
      </c>
      <c r="D235" t="s">
        <v>74</v>
      </c>
      <c r="E235" t="s">
        <v>74</v>
      </c>
      <c r="F235" t="s">
        <v>19150</v>
      </c>
      <c r="G235" t="s">
        <v>74</v>
      </c>
      <c r="H235" t="s">
        <v>74</v>
      </c>
      <c r="I235" t="s">
        <v>19151</v>
      </c>
      <c r="J235" t="s">
        <v>4519</v>
      </c>
      <c r="K235" t="s">
        <v>74</v>
      </c>
      <c r="L235" t="s">
        <v>74</v>
      </c>
      <c r="M235" t="s">
        <v>74</v>
      </c>
      <c r="N235" t="s">
        <v>103</v>
      </c>
      <c r="O235" t="s">
        <v>74</v>
      </c>
      <c r="P235" t="s">
        <v>74</v>
      </c>
      <c r="Q235" t="s">
        <v>74</v>
      </c>
      <c r="R235" t="s">
        <v>74</v>
      </c>
      <c r="S235" t="s">
        <v>74</v>
      </c>
      <c r="T235" t="s">
        <v>74</v>
      </c>
      <c r="U235" t="s">
        <v>19152</v>
      </c>
      <c r="V235" t="s">
        <v>19153</v>
      </c>
      <c r="W235" t="s">
        <v>19154</v>
      </c>
      <c r="X235" t="s">
        <v>19155</v>
      </c>
      <c r="Y235" t="s">
        <v>19156</v>
      </c>
      <c r="Z235" t="s">
        <v>19157</v>
      </c>
      <c r="AA235" t="s">
        <v>19158</v>
      </c>
      <c r="AB235" t="s">
        <v>18345</v>
      </c>
      <c r="AC235" t="s">
        <v>74</v>
      </c>
      <c r="AD235" t="s">
        <v>74</v>
      </c>
      <c r="AE235" t="s">
        <v>74</v>
      </c>
      <c r="AF235" t="s">
        <v>74</v>
      </c>
      <c r="AG235">
        <v>19</v>
      </c>
      <c r="AH235">
        <v>86</v>
      </c>
      <c r="AI235">
        <v>87</v>
      </c>
      <c r="AJ235">
        <v>73</v>
      </c>
      <c r="AK235">
        <v>378</v>
      </c>
      <c r="AL235" t="s">
        <v>74</v>
      </c>
      <c r="AM235" t="s">
        <v>74</v>
      </c>
      <c r="AN235" t="s">
        <v>74</v>
      </c>
      <c r="AO235" t="s">
        <v>4528</v>
      </c>
      <c r="AP235" t="s">
        <v>4529</v>
      </c>
      <c r="AQ235" t="s">
        <v>74</v>
      </c>
      <c r="AR235" t="s">
        <v>74</v>
      </c>
      <c r="AS235" t="s">
        <v>74</v>
      </c>
      <c r="AT235" t="s">
        <v>4530</v>
      </c>
      <c r="AU235">
        <v>2020</v>
      </c>
      <c r="AV235">
        <v>12</v>
      </c>
      <c r="AW235">
        <v>4</v>
      </c>
      <c r="AX235" t="s">
        <v>74</v>
      </c>
      <c r="AY235" t="s">
        <v>74</v>
      </c>
      <c r="AZ235" t="s">
        <v>74</v>
      </c>
      <c r="BA235" t="s">
        <v>74</v>
      </c>
      <c r="BB235">
        <v>2445</v>
      </c>
      <c r="BC235">
        <v>2451</v>
      </c>
      <c r="BD235" t="s">
        <v>74</v>
      </c>
      <c r="BE235" t="s">
        <v>19159</v>
      </c>
      <c r="BF235" t="str">
        <f>HYPERLINK("http://dx.doi.org/10.1039/c9nr08747h","http://dx.doi.org/10.1039/c9nr08747h")</f>
        <v>http://dx.doi.org/10.1039/c9nr08747h</v>
      </c>
      <c r="BG235" t="s">
        <v>74</v>
      </c>
      <c r="BH235" t="s">
        <v>74</v>
      </c>
      <c r="BI235" t="s">
        <v>74</v>
      </c>
      <c r="BJ235" t="s">
        <v>4532</v>
      </c>
      <c r="BK235" t="s">
        <v>117</v>
      </c>
      <c r="BL235" t="s">
        <v>251</v>
      </c>
      <c r="BM235" t="s">
        <v>74</v>
      </c>
      <c r="BN235">
        <v>31894795</v>
      </c>
      <c r="BO235" t="s">
        <v>74</v>
      </c>
      <c r="BP235" t="s">
        <v>193</v>
      </c>
      <c r="BQ235" t="s">
        <v>194</v>
      </c>
      <c r="BR235" t="s">
        <v>96</v>
      </c>
      <c r="BS235" t="s">
        <v>19160</v>
      </c>
      <c r="BT235" t="str">
        <f>HYPERLINK("https%3A%2F%2Fwww.webofscience.com%2Fwos%2Fwoscc%2Ffull-record%2FWOS:000517839900022","View Full Record in Web of Science")</f>
        <v>View Full Record in Web of Science</v>
      </c>
    </row>
    <row r="236" spans="1:72" x14ac:dyDescent="0.15">
      <c r="A236" t="s">
        <v>98</v>
      </c>
      <c r="B236" t="s">
        <v>20246</v>
      </c>
      <c r="C236" t="s">
        <v>74</v>
      </c>
      <c r="D236" t="s">
        <v>74</v>
      </c>
      <c r="E236" t="s">
        <v>74</v>
      </c>
      <c r="F236" t="s">
        <v>20246</v>
      </c>
      <c r="G236" t="s">
        <v>74</v>
      </c>
      <c r="H236" t="s">
        <v>74</v>
      </c>
      <c r="I236" t="s">
        <v>20247</v>
      </c>
      <c r="J236" t="s">
        <v>3700</v>
      </c>
      <c r="K236" t="s">
        <v>74</v>
      </c>
      <c r="L236" t="s">
        <v>74</v>
      </c>
      <c r="M236" t="s">
        <v>74</v>
      </c>
      <c r="N236" t="s">
        <v>103</v>
      </c>
      <c r="O236" t="s">
        <v>74</v>
      </c>
      <c r="P236" t="s">
        <v>74</v>
      </c>
      <c r="Q236" t="s">
        <v>74</v>
      </c>
      <c r="R236" t="s">
        <v>74</v>
      </c>
      <c r="S236" t="s">
        <v>74</v>
      </c>
      <c r="T236" t="s">
        <v>74</v>
      </c>
      <c r="U236" t="s">
        <v>20248</v>
      </c>
      <c r="V236" t="s">
        <v>20249</v>
      </c>
      <c r="W236" t="s">
        <v>20250</v>
      </c>
      <c r="X236" t="s">
        <v>20251</v>
      </c>
      <c r="Y236" t="s">
        <v>20252</v>
      </c>
      <c r="Z236" t="s">
        <v>20253</v>
      </c>
      <c r="AA236" t="s">
        <v>74</v>
      </c>
      <c r="AB236" t="s">
        <v>20254</v>
      </c>
      <c r="AC236" t="s">
        <v>74</v>
      </c>
      <c r="AD236" t="s">
        <v>74</v>
      </c>
      <c r="AE236" t="s">
        <v>74</v>
      </c>
      <c r="AF236" t="s">
        <v>74</v>
      </c>
      <c r="AG236">
        <v>34</v>
      </c>
      <c r="AH236">
        <v>86</v>
      </c>
      <c r="AI236">
        <v>88</v>
      </c>
      <c r="AJ236">
        <v>0</v>
      </c>
      <c r="AK236">
        <v>0</v>
      </c>
      <c r="AL236" t="s">
        <v>74</v>
      </c>
      <c r="AM236" t="s">
        <v>74</v>
      </c>
      <c r="AN236" t="s">
        <v>74</v>
      </c>
      <c r="AO236" t="s">
        <v>3710</v>
      </c>
      <c r="AP236" t="s">
        <v>3711</v>
      </c>
      <c r="AQ236" t="s">
        <v>74</v>
      </c>
      <c r="AR236" t="s">
        <v>74</v>
      </c>
      <c r="AS236" t="s">
        <v>74</v>
      </c>
      <c r="AT236" t="s">
        <v>14551</v>
      </c>
      <c r="AU236">
        <v>1999</v>
      </c>
      <c r="AV236">
        <v>274</v>
      </c>
      <c r="AW236">
        <v>43</v>
      </c>
      <c r="AX236" t="s">
        <v>74</v>
      </c>
      <c r="AY236" t="s">
        <v>74</v>
      </c>
      <c r="AZ236" t="s">
        <v>74</v>
      </c>
      <c r="BA236" t="s">
        <v>74</v>
      </c>
      <c r="BB236">
        <v>30468</v>
      </c>
      <c r="BC236">
        <v>30473</v>
      </c>
      <c r="BD236" t="s">
        <v>74</v>
      </c>
      <c r="BE236" t="s">
        <v>20255</v>
      </c>
      <c r="BF236" t="str">
        <f>HYPERLINK("http://dx.doi.org/10.1074/jbc.274.43.30468","http://dx.doi.org/10.1074/jbc.274.43.30468")</f>
        <v>http://dx.doi.org/10.1074/jbc.274.43.30468</v>
      </c>
      <c r="BG236" t="s">
        <v>74</v>
      </c>
      <c r="BH236" t="s">
        <v>74</v>
      </c>
      <c r="BI236" t="s">
        <v>74</v>
      </c>
      <c r="BJ236" t="s">
        <v>95</v>
      </c>
      <c r="BK236" t="s">
        <v>117</v>
      </c>
      <c r="BL236" t="s">
        <v>95</v>
      </c>
      <c r="BM236" t="s">
        <v>74</v>
      </c>
      <c r="BN236">
        <v>10521426</v>
      </c>
      <c r="BO236" t="s">
        <v>74</v>
      </c>
      <c r="BP236" t="s">
        <v>74</v>
      </c>
      <c r="BQ236" t="s">
        <v>74</v>
      </c>
      <c r="BR236" t="s">
        <v>96</v>
      </c>
      <c r="BS236" t="s">
        <v>20256</v>
      </c>
      <c r="BT236" t="str">
        <f>HYPERLINK("https%3A%2F%2Fwww.webofscience.com%2Fwos%2Fwoscc%2Ffull-record%2FWOS:000083276700022","View Full Record in Web of Science")</f>
        <v>View Full Record in Web of Science</v>
      </c>
    </row>
    <row r="237" spans="1:72" x14ac:dyDescent="0.15">
      <c r="A237" t="s">
        <v>98</v>
      </c>
      <c r="B237" t="s">
        <v>23783</v>
      </c>
      <c r="C237" t="s">
        <v>74</v>
      </c>
      <c r="D237" t="s">
        <v>74</v>
      </c>
      <c r="E237" t="s">
        <v>74</v>
      </c>
      <c r="F237" t="s">
        <v>23784</v>
      </c>
      <c r="G237" t="s">
        <v>74</v>
      </c>
      <c r="H237" t="s">
        <v>74</v>
      </c>
      <c r="I237" t="s">
        <v>23785</v>
      </c>
      <c r="J237" t="s">
        <v>658</v>
      </c>
      <c r="K237" t="s">
        <v>74</v>
      </c>
      <c r="L237" t="s">
        <v>74</v>
      </c>
      <c r="M237" t="s">
        <v>74</v>
      </c>
      <c r="N237" t="s">
        <v>103</v>
      </c>
      <c r="O237" t="s">
        <v>74</v>
      </c>
      <c r="P237" t="s">
        <v>74</v>
      </c>
      <c r="Q237" t="s">
        <v>74</v>
      </c>
      <c r="R237" t="s">
        <v>74</v>
      </c>
      <c r="S237" t="s">
        <v>74</v>
      </c>
      <c r="T237" t="s">
        <v>23786</v>
      </c>
      <c r="U237" t="s">
        <v>23787</v>
      </c>
      <c r="V237" t="s">
        <v>23788</v>
      </c>
      <c r="W237" t="s">
        <v>23789</v>
      </c>
      <c r="X237" t="s">
        <v>23790</v>
      </c>
      <c r="Y237" t="s">
        <v>23791</v>
      </c>
      <c r="Z237" t="s">
        <v>23792</v>
      </c>
      <c r="AA237" t="s">
        <v>23793</v>
      </c>
      <c r="AB237" t="s">
        <v>23794</v>
      </c>
      <c r="AC237" t="s">
        <v>74</v>
      </c>
      <c r="AD237" t="s">
        <v>74</v>
      </c>
      <c r="AE237" t="s">
        <v>74</v>
      </c>
      <c r="AF237" t="s">
        <v>74</v>
      </c>
      <c r="AG237">
        <v>41</v>
      </c>
      <c r="AH237">
        <v>86</v>
      </c>
      <c r="AI237">
        <v>87</v>
      </c>
      <c r="AJ237">
        <v>1</v>
      </c>
      <c r="AK237">
        <v>85</v>
      </c>
      <c r="AL237" t="s">
        <v>74</v>
      </c>
      <c r="AM237" t="s">
        <v>74</v>
      </c>
      <c r="AN237" t="s">
        <v>74</v>
      </c>
      <c r="AO237" t="s">
        <v>668</v>
      </c>
      <c r="AP237" t="s">
        <v>74</v>
      </c>
      <c r="AQ237" t="s">
        <v>74</v>
      </c>
      <c r="AR237" t="s">
        <v>74</v>
      </c>
      <c r="AS237" t="s">
        <v>74</v>
      </c>
      <c r="AT237" t="s">
        <v>4530</v>
      </c>
      <c r="AU237">
        <v>2014</v>
      </c>
      <c r="AV237">
        <v>111</v>
      </c>
      <c r="AW237">
        <v>4</v>
      </c>
      <c r="AX237" t="s">
        <v>74</v>
      </c>
      <c r="AY237" t="s">
        <v>74</v>
      </c>
      <c r="AZ237" t="s">
        <v>74</v>
      </c>
      <c r="BA237" t="s">
        <v>74</v>
      </c>
      <c r="BB237">
        <v>1310</v>
      </c>
      <c r="BC237">
        <v>1315</v>
      </c>
      <c r="BD237" t="s">
        <v>74</v>
      </c>
      <c r="BE237" t="s">
        <v>23795</v>
      </c>
      <c r="BF237" t="str">
        <f>HYPERLINK("http://dx.doi.org/10.1073/pnas.1318602111","http://dx.doi.org/10.1073/pnas.1318602111")</f>
        <v>http://dx.doi.org/10.1073/pnas.1318602111</v>
      </c>
      <c r="BG237" t="s">
        <v>74</v>
      </c>
      <c r="BH237" t="s">
        <v>74</v>
      </c>
      <c r="BI237" t="s">
        <v>74</v>
      </c>
      <c r="BJ237" t="s">
        <v>152</v>
      </c>
      <c r="BK237" t="s">
        <v>117</v>
      </c>
      <c r="BL237" t="s">
        <v>153</v>
      </c>
      <c r="BM237" t="s">
        <v>74</v>
      </c>
      <c r="BN237">
        <v>24474753</v>
      </c>
      <c r="BO237" t="s">
        <v>74</v>
      </c>
      <c r="BP237" t="s">
        <v>74</v>
      </c>
      <c r="BQ237" t="s">
        <v>74</v>
      </c>
      <c r="BR237" t="s">
        <v>96</v>
      </c>
      <c r="BS237" t="s">
        <v>23796</v>
      </c>
      <c r="BT237" t="str">
        <f>HYPERLINK("https%3A%2F%2Fwww.webofscience.com%2Fwos%2Fwoscc%2Ffull-record%2FWOS:000330231100034","View Full Record in Web of Science")</f>
        <v>View Full Record in Web of Science</v>
      </c>
    </row>
    <row r="238" spans="1:72" x14ac:dyDescent="0.15">
      <c r="A238" t="s">
        <v>98</v>
      </c>
      <c r="B238" t="s">
        <v>8670</v>
      </c>
      <c r="C238" t="s">
        <v>74</v>
      </c>
      <c r="D238" t="s">
        <v>74</v>
      </c>
      <c r="E238" t="s">
        <v>74</v>
      </c>
      <c r="F238" t="s">
        <v>8671</v>
      </c>
      <c r="G238" t="s">
        <v>74</v>
      </c>
      <c r="H238" t="s">
        <v>74</v>
      </c>
      <c r="I238" t="s">
        <v>8672</v>
      </c>
      <c r="J238" t="s">
        <v>1123</v>
      </c>
      <c r="K238" t="s">
        <v>74</v>
      </c>
      <c r="L238" t="s">
        <v>74</v>
      </c>
      <c r="M238" t="s">
        <v>74</v>
      </c>
      <c r="N238" t="s">
        <v>103</v>
      </c>
      <c r="O238" t="s">
        <v>74</v>
      </c>
      <c r="P238" t="s">
        <v>74</v>
      </c>
      <c r="Q238" t="s">
        <v>74</v>
      </c>
      <c r="R238" t="s">
        <v>74</v>
      </c>
      <c r="S238" t="s">
        <v>74</v>
      </c>
      <c r="T238" t="s">
        <v>8673</v>
      </c>
      <c r="U238" t="s">
        <v>8674</v>
      </c>
      <c r="V238" t="s">
        <v>8675</v>
      </c>
      <c r="W238" t="s">
        <v>8676</v>
      </c>
      <c r="X238" t="s">
        <v>8677</v>
      </c>
      <c r="Y238" t="s">
        <v>8678</v>
      </c>
      <c r="Z238" t="s">
        <v>8679</v>
      </c>
      <c r="AA238" t="s">
        <v>74</v>
      </c>
      <c r="AB238" t="s">
        <v>8680</v>
      </c>
      <c r="AC238" t="s">
        <v>74</v>
      </c>
      <c r="AD238" t="s">
        <v>74</v>
      </c>
      <c r="AE238" t="s">
        <v>74</v>
      </c>
      <c r="AF238" t="s">
        <v>74</v>
      </c>
      <c r="AG238">
        <v>47</v>
      </c>
      <c r="AH238">
        <v>85</v>
      </c>
      <c r="AI238">
        <v>85</v>
      </c>
      <c r="AJ238">
        <v>32</v>
      </c>
      <c r="AK238">
        <v>321</v>
      </c>
      <c r="AL238" t="s">
        <v>74</v>
      </c>
      <c r="AM238" t="s">
        <v>74</v>
      </c>
      <c r="AN238" t="s">
        <v>74</v>
      </c>
      <c r="AO238" t="s">
        <v>1132</v>
      </c>
      <c r="AP238" t="s">
        <v>1133</v>
      </c>
      <c r="AQ238" t="s">
        <v>74</v>
      </c>
      <c r="AR238" t="s">
        <v>74</v>
      </c>
      <c r="AS238" t="s">
        <v>74</v>
      </c>
      <c r="AT238" t="s">
        <v>2906</v>
      </c>
      <c r="AU238">
        <v>2019</v>
      </c>
      <c r="AV238">
        <v>135</v>
      </c>
      <c r="AW238" t="s">
        <v>74</v>
      </c>
      <c r="AX238" t="s">
        <v>74</v>
      </c>
      <c r="AY238" t="s">
        <v>74</v>
      </c>
      <c r="AZ238" t="s">
        <v>74</v>
      </c>
      <c r="BA238" t="s">
        <v>74</v>
      </c>
      <c r="BB238">
        <v>129</v>
      </c>
      <c r="BC238">
        <v>136</v>
      </c>
      <c r="BD238" t="s">
        <v>74</v>
      </c>
      <c r="BE238" t="s">
        <v>8681</v>
      </c>
      <c r="BF238" t="str">
        <f>HYPERLINK("http://dx.doi.org/10.1016/j.bios.2019.04.013","http://dx.doi.org/10.1016/j.bios.2019.04.013")</f>
        <v>http://dx.doi.org/10.1016/j.bios.2019.04.013</v>
      </c>
      <c r="BG238" t="s">
        <v>74</v>
      </c>
      <c r="BH238" t="s">
        <v>74</v>
      </c>
      <c r="BI238" t="s">
        <v>74</v>
      </c>
      <c r="BJ238" t="s">
        <v>1137</v>
      </c>
      <c r="BK238" t="s">
        <v>117</v>
      </c>
      <c r="BL238" t="s">
        <v>1138</v>
      </c>
      <c r="BM238" t="s">
        <v>74</v>
      </c>
      <c r="BN238">
        <v>31004923</v>
      </c>
      <c r="BO238" t="s">
        <v>74</v>
      </c>
      <c r="BP238" t="s">
        <v>74</v>
      </c>
      <c r="BQ238" t="s">
        <v>74</v>
      </c>
      <c r="BR238" t="s">
        <v>96</v>
      </c>
      <c r="BS238" t="s">
        <v>8682</v>
      </c>
      <c r="BT238" t="str">
        <f>HYPERLINK("https%3A%2F%2Fwww.webofscience.com%2Fwos%2Fwoscc%2Ffull-record%2FWOS:000469157800017","View Full Record in Web of Science")</f>
        <v>View Full Record in Web of Science</v>
      </c>
    </row>
    <row r="239" spans="1:72" x14ac:dyDescent="0.15">
      <c r="A239" t="s">
        <v>98</v>
      </c>
      <c r="B239" t="s">
        <v>24297</v>
      </c>
      <c r="C239" t="s">
        <v>74</v>
      </c>
      <c r="D239" t="s">
        <v>74</v>
      </c>
      <c r="E239" t="s">
        <v>74</v>
      </c>
      <c r="F239" t="s">
        <v>24298</v>
      </c>
      <c r="G239" t="s">
        <v>74</v>
      </c>
      <c r="H239" t="s">
        <v>74</v>
      </c>
      <c r="I239" t="s">
        <v>24299</v>
      </c>
      <c r="J239" t="s">
        <v>19867</v>
      </c>
      <c r="K239" t="s">
        <v>74</v>
      </c>
      <c r="L239" t="s">
        <v>74</v>
      </c>
      <c r="M239" t="s">
        <v>74</v>
      </c>
      <c r="N239" t="s">
        <v>103</v>
      </c>
      <c r="O239" t="s">
        <v>74</v>
      </c>
      <c r="P239" t="s">
        <v>74</v>
      </c>
      <c r="Q239" t="s">
        <v>74</v>
      </c>
      <c r="R239" t="s">
        <v>74</v>
      </c>
      <c r="S239" t="s">
        <v>74</v>
      </c>
      <c r="T239" t="s">
        <v>74</v>
      </c>
      <c r="U239" t="s">
        <v>24300</v>
      </c>
      <c r="V239" t="s">
        <v>24301</v>
      </c>
      <c r="W239" t="s">
        <v>24302</v>
      </c>
      <c r="X239" t="s">
        <v>24303</v>
      </c>
      <c r="Y239" t="s">
        <v>24304</v>
      </c>
      <c r="Z239" t="s">
        <v>24305</v>
      </c>
      <c r="AA239" t="s">
        <v>24306</v>
      </c>
      <c r="AB239" t="s">
        <v>24307</v>
      </c>
      <c r="AC239" t="s">
        <v>74</v>
      </c>
      <c r="AD239" t="s">
        <v>74</v>
      </c>
      <c r="AE239" t="s">
        <v>74</v>
      </c>
      <c r="AF239" t="s">
        <v>74</v>
      </c>
      <c r="AG239">
        <v>59</v>
      </c>
      <c r="AH239">
        <v>85</v>
      </c>
      <c r="AI239">
        <v>90</v>
      </c>
      <c r="AJ239">
        <v>0</v>
      </c>
      <c r="AK239">
        <v>32</v>
      </c>
      <c r="AL239" t="s">
        <v>74</v>
      </c>
      <c r="AM239" t="s">
        <v>74</v>
      </c>
      <c r="AN239" t="s">
        <v>74</v>
      </c>
      <c r="AO239" t="s">
        <v>19876</v>
      </c>
      <c r="AP239" t="s">
        <v>19877</v>
      </c>
      <c r="AQ239" t="s">
        <v>74</v>
      </c>
      <c r="AR239" t="s">
        <v>74</v>
      </c>
      <c r="AS239" t="s">
        <v>74</v>
      </c>
      <c r="AT239" t="s">
        <v>3744</v>
      </c>
      <c r="AU239">
        <v>2017</v>
      </c>
      <c r="AV239">
        <v>127</v>
      </c>
      <c r="AW239">
        <v>4</v>
      </c>
      <c r="AX239" t="s">
        <v>74</v>
      </c>
      <c r="AY239" t="s">
        <v>74</v>
      </c>
      <c r="AZ239" t="s">
        <v>74</v>
      </c>
      <c r="BA239" t="s">
        <v>74</v>
      </c>
      <c r="BB239">
        <v>1375</v>
      </c>
      <c r="BC239">
        <v>1391</v>
      </c>
      <c r="BD239" t="s">
        <v>74</v>
      </c>
      <c r="BE239" t="s">
        <v>24308</v>
      </c>
      <c r="BF239" t="str">
        <f>HYPERLINK("http://dx.doi.org/10.1172/JCI87993","http://dx.doi.org/10.1172/JCI87993")</f>
        <v>http://dx.doi.org/10.1172/JCI87993</v>
      </c>
      <c r="BG239" t="s">
        <v>74</v>
      </c>
      <c r="BH239" t="s">
        <v>74</v>
      </c>
      <c r="BI239" t="s">
        <v>74</v>
      </c>
      <c r="BJ239" t="s">
        <v>795</v>
      </c>
      <c r="BK239" t="s">
        <v>117</v>
      </c>
      <c r="BL239" t="s">
        <v>796</v>
      </c>
      <c r="BM239" t="s">
        <v>74</v>
      </c>
      <c r="BN239">
        <v>28319051</v>
      </c>
      <c r="BO239" t="s">
        <v>74</v>
      </c>
      <c r="BP239" t="s">
        <v>74</v>
      </c>
      <c r="BQ239" t="s">
        <v>74</v>
      </c>
      <c r="BR239" t="s">
        <v>96</v>
      </c>
      <c r="BS239" t="s">
        <v>24309</v>
      </c>
      <c r="BT239" t="str">
        <f>HYPERLINK("https%3A%2F%2Fwww.webofscience.com%2Fwos%2Fwoscc%2Ffull-record%2FWOS:000398183300027","View Full Record in Web of Science")</f>
        <v>View Full Record in Web of Science</v>
      </c>
    </row>
    <row r="240" spans="1:72" x14ac:dyDescent="0.15">
      <c r="A240" t="s">
        <v>98</v>
      </c>
      <c r="B240" t="s">
        <v>16742</v>
      </c>
      <c r="C240" t="s">
        <v>74</v>
      </c>
      <c r="D240" t="s">
        <v>74</v>
      </c>
      <c r="E240" t="s">
        <v>74</v>
      </c>
      <c r="F240" t="s">
        <v>16743</v>
      </c>
      <c r="G240" t="s">
        <v>74</v>
      </c>
      <c r="H240" t="s">
        <v>74</v>
      </c>
      <c r="I240" t="s">
        <v>16744</v>
      </c>
      <c r="J240" t="s">
        <v>16745</v>
      </c>
      <c r="K240" t="s">
        <v>74</v>
      </c>
      <c r="L240" t="s">
        <v>74</v>
      </c>
      <c r="M240" t="s">
        <v>74</v>
      </c>
      <c r="N240" t="s">
        <v>103</v>
      </c>
      <c r="O240" t="s">
        <v>74</v>
      </c>
      <c r="P240" t="s">
        <v>74</v>
      </c>
      <c r="Q240" t="s">
        <v>74</v>
      </c>
      <c r="R240" t="s">
        <v>74</v>
      </c>
      <c r="S240" t="s">
        <v>74</v>
      </c>
      <c r="T240" t="s">
        <v>74</v>
      </c>
      <c r="U240" t="s">
        <v>16746</v>
      </c>
      <c r="V240" t="s">
        <v>16747</v>
      </c>
      <c r="W240" t="s">
        <v>16748</v>
      </c>
      <c r="X240" t="s">
        <v>16749</v>
      </c>
      <c r="Y240" t="s">
        <v>16750</v>
      </c>
      <c r="Z240" t="s">
        <v>16751</v>
      </c>
      <c r="AA240" t="s">
        <v>16752</v>
      </c>
      <c r="AB240" t="s">
        <v>16753</v>
      </c>
      <c r="AC240" t="s">
        <v>74</v>
      </c>
      <c r="AD240" t="s">
        <v>74</v>
      </c>
      <c r="AE240" t="s">
        <v>74</v>
      </c>
      <c r="AF240" t="s">
        <v>74</v>
      </c>
      <c r="AG240">
        <v>56</v>
      </c>
      <c r="AH240">
        <v>84</v>
      </c>
      <c r="AI240">
        <v>88</v>
      </c>
      <c r="AJ240">
        <v>1</v>
      </c>
      <c r="AK240">
        <v>9</v>
      </c>
      <c r="AL240" t="s">
        <v>74</v>
      </c>
      <c r="AM240" t="s">
        <v>74</v>
      </c>
      <c r="AN240" t="s">
        <v>74</v>
      </c>
      <c r="AO240" t="s">
        <v>16754</v>
      </c>
      <c r="AP240" t="s">
        <v>16755</v>
      </c>
      <c r="AQ240" t="s">
        <v>74</v>
      </c>
      <c r="AR240" t="s">
        <v>74</v>
      </c>
      <c r="AS240" t="s">
        <v>74</v>
      </c>
      <c r="AT240" t="s">
        <v>211</v>
      </c>
      <c r="AU240">
        <v>2011</v>
      </c>
      <c r="AV240">
        <v>79</v>
      </c>
      <c r="AW240">
        <v>11</v>
      </c>
      <c r="AX240" t="s">
        <v>74</v>
      </c>
      <c r="AY240" t="s">
        <v>74</v>
      </c>
      <c r="AZ240" t="s">
        <v>74</v>
      </c>
      <c r="BA240" t="s">
        <v>74</v>
      </c>
      <c r="BB240">
        <v>4361</v>
      </c>
      <c r="BC240">
        <v>4369</v>
      </c>
      <c r="BD240" t="s">
        <v>74</v>
      </c>
      <c r="BE240" t="s">
        <v>16756</v>
      </c>
      <c r="BF240" t="str">
        <f>HYPERLINK("http://dx.doi.org/10.1128/IAI.05332-11","http://dx.doi.org/10.1128/IAI.05332-11")</f>
        <v>http://dx.doi.org/10.1128/IAI.05332-11</v>
      </c>
      <c r="BG240" t="s">
        <v>74</v>
      </c>
      <c r="BH240" t="s">
        <v>74</v>
      </c>
      <c r="BI240" t="s">
        <v>74</v>
      </c>
      <c r="BJ240" t="s">
        <v>16757</v>
      </c>
      <c r="BK240" t="s">
        <v>117</v>
      </c>
      <c r="BL240" t="s">
        <v>16757</v>
      </c>
      <c r="BM240" t="s">
        <v>74</v>
      </c>
      <c r="BN240">
        <v>21875967</v>
      </c>
      <c r="BO240" t="s">
        <v>74</v>
      </c>
      <c r="BP240" t="s">
        <v>74</v>
      </c>
      <c r="BQ240" t="s">
        <v>74</v>
      </c>
      <c r="BR240" t="s">
        <v>96</v>
      </c>
      <c r="BS240" t="s">
        <v>16758</v>
      </c>
      <c r="BT240" t="str">
        <f>HYPERLINK("https%3A%2F%2Fwww.webofscience.com%2Fwos%2Fwoscc%2Ffull-record%2FWOS:000296352400008","View Full Record in Web of Science")</f>
        <v>View Full Record in Web of Science</v>
      </c>
    </row>
    <row r="241" spans="1:72" x14ac:dyDescent="0.15">
      <c r="A241" t="s">
        <v>98</v>
      </c>
      <c r="B241" t="s">
        <v>4996</v>
      </c>
      <c r="C241" t="s">
        <v>74</v>
      </c>
      <c r="D241" t="s">
        <v>74</v>
      </c>
      <c r="E241" t="s">
        <v>74</v>
      </c>
      <c r="F241" t="s">
        <v>4997</v>
      </c>
      <c r="G241" t="s">
        <v>74</v>
      </c>
      <c r="H241" t="s">
        <v>74</v>
      </c>
      <c r="I241" t="s">
        <v>4998</v>
      </c>
      <c r="J241" t="s">
        <v>123</v>
      </c>
      <c r="K241" t="s">
        <v>74</v>
      </c>
      <c r="L241" t="s">
        <v>74</v>
      </c>
      <c r="M241" t="s">
        <v>74</v>
      </c>
      <c r="N241" t="s">
        <v>103</v>
      </c>
      <c r="O241" t="s">
        <v>74</v>
      </c>
      <c r="P241" t="s">
        <v>74</v>
      </c>
      <c r="Q241" t="s">
        <v>74</v>
      </c>
      <c r="R241" t="s">
        <v>74</v>
      </c>
      <c r="S241" t="s">
        <v>74</v>
      </c>
      <c r="T241" t="s">
        <v>4999</v>
      </c>
      <c r="U241" t="s">
        <v>5000</v>
      </c>
      <c r="V241" t="s">
        <v>5001</v>
      </c>
      <c r="W241" t="s">
        <v>5002</v>
      </c>
      <c r="X241" t="s">
        <v>5003</v>
      </c>
      <c r="Y241" t="s">
        <v>5004</v>
      </c>
      <c r="Z241" t="s">
        <v>5005</v>
      </c>
      <c r="AA241" t="s">
        <v>5006</v>
      </c>
      <c r="AB241" t="s">
        <v>5007</v>
      </c>
      <c r="AC241" t="s">
        <v>74</v>
      </c>
      <c r="AD241" t="s">
        <v>74</v>
      </c>
      <c r="AE241" t="s">
        <v>74</v>
      </c>
      <c r="AF241" t="s">
        <v>74</v>
      </c>
      <c r="AG241">
        <v>27</v>
      </c>
      <c r="AH241">
        <v>83</v>
      </c>
      <c r="AI241">
        <v>83</v>
      </c>
      <c r="AJ241">
        <v>2</v>
      </c>
      <c r="AK241">
        <v>15</v>
      </c>
      <c r="AL241" t="s">
        <v>74</v>
      </c>
      <c r="AM241" t="s">
        <v>74</v>
      </c>
      <c r="AN241" t="s">
        <v>74</v>
      </c>
      <c r="AO241" t="s">
        <v>74</v>
      </c>
      <c r="AP241" t="s">
        <v>131</v>
      </c>
      <c r="AQ241" t="s">
        <v>74</v>
      </c>
      <c r="AR241" t="s">
        <v>74</v>
      </c>
      <c r="AS241" t="s">
        <v>74</v>
      </c>
      <c r="AT241" t="s">
        <v>74</v>
      </c>
      <c r="AU241">
        <v>2015</v>
      </c>
      <c r="AV241">
        <v>4</v>
      </c>
      <c r="AW241" t="s">
        <v>74</v>
      </c>
      <c r="AX241" t="s">
        <v>74</v>
      </c>
      <c r="AY241" t="s">
        <v>74</v>
      </c>
      <c r="AZ241" t="s">
        <v>74</v>
      </c>
      <c r="BA241" t="s">
        <v>74</v>
      </c>
      <c r="BB241" t="s">
        <v>74</v>
      </c>
      <c r="BC241" t="s">
        <v>74</v>
      </c>
      <c r="BD241">
        <v>26373</v>
      </c>
      <c r="BE241" t="s">
        <v>5008</v>
      </c>
      <c r="BF241" t="str">
        <f>HYPERLINK("http://dx.doi.org/10.3402/jev.v4.26373","http://dx.doi.org/10.3402/jev.v4.26373")</f>
        <v>http://dx.doi.org/10.3402/jev.v4.26373</v>
      </c>
      <c r="BG241" t="s">
        <v>74</v>
      </c>
      <c r="BH241" t="s">
        <v>74</v>
      </c>
      <c r="BI241" t="s">
        <v>74</v>
      </c>
      <c r="BJ241" t="s">
        <v>135</v>
      </c>
      <c r="BK241" t="s">
        <v>467</v>
      </c>
      <c r="BL241" t="s">
        <v>135</v>
      </c>
      <c r="BM241" t="s">
        <v>74</v>
      </c>
      <c r="BN241">
        <v>25819213</v>
      </c>
      <c r="BO241" t="s">
        <v>74</v>
      </c>
      <c r="BP241" t="s">
        <v>74</v>
      </c>
      <c r="BQ241" t="s">
        <v>74</v>
      </c>
      <c r="BR241" t="s">
        <v>96</v>
      </c>
      <c r="BS241" t="s">
        <v>5009</v>
      </c>
      <c r="BT241" t="str">
        <f>HYPERLINK("https%3A%2F%2Fwww.webofscience.com%2Fwos%2Fwoscc%2Ffull-record%2FWOS:000365074000001","View Full Record in Web of Science")</f>
        <v>View Full Record in Web of Science</v>
      </c>
    </row>
    <row r="242" spans="1:72" x14ac:dyDescent="0.15">
      <c r="A242" t="s">
        <v>98</v>
      </c>
      <c r="B242" t="s">
        <v>7257</v>
      </c>
      <c r="C242" t="s">
        <v>74</v>
      </c>
      <c r="D242" t="s">
        <v>74</v>
      </c>
      <c r="E242" t="s">
        <v>74</v>
      </c>
      <c r="F242" t="s">
        <v>7258</v>
      </c>
      <c r="G242" t="s">
        <v>74</v>
      </c>
      <c r="H242" t="s">
        <v>74</v>
      </c>
      <c r="I242" t="s">
        <v>7259</v>
      </c>
      <c r="J242" t="s">
        <v>7260</v>
      </c>
      <c r="K242" t="s">
        <v>74</v>
      </c>
      <c r="L242" t="s">
        <v>74</v>
      </c>
      <c r="M242" t="s">
        <v>74</v>
      </c>
      <c r="N242" t="s">
        <v>103</v>
      </c>
      <c r="O242" t="s">
        <v>74</v>
      </c>
      <c r="P242" t="s">
        <v>74</v>
      </c>
      <c r="Q242" t="s">
        <v>74</v>
      </c>
      <c r="R242" t="s">
        <v>74</v>
      </c>
      <c r="S242" t="s">
        <v>74</v>
      </c>
      <c r="T242" t="s">
        <v>7261</v>
      </c>
      <c r="U242" t="s">
        <v>7262</v>
      </c>
      <c r="V242" t="s">
        <v>7263</v>
      </c>
      <c r="W242" t="s">
        <v>7264</v>
      </c>
      <c r="X242" t="s">
        <v>7265</v>
      </c>
      <c r="Y242" t="s">
        <v>7266</v>
      </c>
      <c r="Z242" t="s">
        <v>7267</v>
      </c>
      <c r="AA242" t="s">
        <v>7268</v>
      </c>
      <c r="AB242" t="s">
        <v>7269</v>
      </c>
      <c r="AC242" t="s">
        <v>74</v>
      </c>
      <c r="AD242" t="s">
        <v>74</v>
      </c>
      <c r="AE242" t="s">
        <v>74</v>
      </c>
      <c r="AF242" t="s">
        <v>74</v>
      </c>
      <c r="AG242">
        <v>31</v>
      </c>
      <c r="AH242">
        <v>83</v>
      </c>
      <c r="AI242">
        <v>87</v>
      </c>
      <c r="AJ242">
        <v>1</v>
      </c>
      <c r="AK242">
        <v>26</v>
      </c>
      <c r="AL242" t="s">
        <v>74</v>
      </c>
      <c r="AM242" t="s">
        <v>74</v>
      </c>
      <c r="AN242" t="s">
        <v>74</v>
      </c>
      <c r="AO242" t="s">
        <v>7270</v>
      </c>
      <c r="AP242" t="s">
        <v>7271</v>
      </c>
      <c r="AQ242" t="s">
        <v>74</v>
      </c>
      <c r="AR242" t="s">
        <v>74</v>
      </c>
      <c r="AS242" t="s">
        <v>74</v>
      </c>
      <c r="AT242" t="s">
        <v>132</v>
      </c>
      <c r="AU242">
        <v>2014</v>
      </c>
      <c r="AV242">
        <v>69</v>
      </c>
      <c r="AW242">
        <v>4</v>
      </c>
      <c r="AX242" t="s">
        <v>74</v>
      </c>
      <c r="AY242" t="s">
        <v>74</v>
      </c>
      <c r="AZ242" t="s">
        <v>74</v>
      </c>
      <c r="BA242" t="s">
        <v>74</v>
      </c>
      <c r="BB242">
        <v>517</v>
      </c>
      <c r="BC242">
        <v>526</v>
      </c>
      <c r="BD242" t="s">
        <v>74</v>
      </c>
      <c r="BE242" t="s">
        <v>7272</v>
      </c>
      <c r="BF242" t="str">
        <f>HYPERLINK("http://dx.doi.org/10.1111/all.12374","http://dx.doi.org/10.1111/all.12374")</f>
        <v>http://dx.doi.org/10.1111/all.12374</v>
      </c>
      <c r="BG242" t="s">
        <v>74</v>
      </c>
      <c r="BH242" t="s">
        <v>74</v>
      </c>
      <c r="BI242" t="s">
        <v>74</v>
      </c>
      <c r="BJ242" t="s">
        <v>4195</v>
      </c>
      <c r="BK242" t="s">
        <v>117</v>
      </c>
      <c r="BL242" t="s">
        <v>4195</v>
      </c>
      <c r="BM242" t="s">
        <v>74</v>
      </c>
      <c r="BN242">
        <v>24611950</v>
      </c>
      <c r="BO242" t="s">
        <v>74</v>
      </c>
      <c r="BP242" t="s">
        <v>74</v>
      </c>
      <c r="BQ242" t="s">
        <v>74</v>
      </c>
      <c r="BR242" t="s">
        <v>96</v>
      </c>
      <c r="BS242" t="s">
        <v>7273</v>
      </c>
      <c r="BT242" t="str">
        <f>HYPERLINK("https%3A%2F%2Fwww.webofscience.com%2Fwos%2Fwoscc%2Ffull-record%2FWOS:000332186200013","View Full Record in Web of Science")</f>
        <v>View Full Record in Web of Science</v>
      </c>
    </row>
    <row r="243" spans="1:72" x14ac:dyDescent="0.15">
      <c r="A243" t="s">
        <v>98</v>
      </c>
      <c r="B243" t="s">
        <v>16514</v>
      </c>
      <c r="C243" t="s">
        <v>74</v>
      </c>
      <c r="D243" t="s">
        <v>74</v>
      </c>
      <c r="E243" t="s">
        <v>74</v>
      </c>
      <c r="F243" t="s">
        <v>16515</v>
      </c>
      <c r="G243" t="s">
        <v>74</v>
      </c>
      <c r="H243" t="s">
        <v>74</v>
      </c>
      <c r="I243" t="s">
        <v>16516</v>
      </c>
      <c r="J243" t="s">
        <v>16517</v>
      </c>
      <c r="K243" t="s">
        <v>74</v>
      </c>
      <c r="L243" t="s">
        <v>74</v>
      </c>
      <c r="M243" t="s">
        <v>74</v>
      </c>
      <c r="N243" t="s">
        <v>103</v>
      </c>
      <c r="O243" t="s">
        <v>74</v>
      </c>
      <c r="P243" t="s">
        <v>74</v>
      </c>
      <c r="Q243" t="s">
        <v>74</v>
      </c>
      <c r="R243" t="s">
        <v>74</v>
      </c>
      <c r="S243" t="s">
        <v>74</v>
      </c>
      <c r="T243" t="s">
        <v>16518</v>
      </c>
      <c r="U243" t="s">
        <v>16519</v>
      </c>
      <c r="V243" t="s">
        <v>16520</v>
      </c>
      <c r="W243" t="s">
        <v>16521</v>
      </c>
      <c r="X243" t="s">
        <v>6661</v>
      </c>
      <c r="Y243" t="s">
        <v>16522</v>
      </c>
      <c r="Z243" t="s">
        <v>16523</v>
      </c>
      <c r="AA243" t="s">
        <v>16524</v>
      </c>
      <c r="AB243" t="s">
        <v>74</v>
      </c>
      <c r="AC243" t="s">
        <v>74</v>
      </c>
      <c r="AD243" t="s">
        <v>74</v>
      </c>
      <c r="AE243" t="s">
        <v>74</v>
      </c>
      <c r="AF243" t="s">
        <v>74</v>
      </c>
      <c r="AG243">
        <v>70</v>
      </c>
      <c r="AH243">
        <v>83</v>
      </c>
      <c r="AI243">
        <v>87</v>
      </c>
      <c r="AJ243">
        <v>2</v>
      </c>
      <c r="AK243">
        <v>37</v>
      </c>
      <c r="AL243" t="s">
        <v>74</v>
      </c>
      <c r="AM243" t="s">
        <v>74</v>
      </c>
      <c r="AN243" t="s">
        <v>74</v>
      </c>
      <c r="AO243" t="s">
        <v>16525</v>
      </c>
      <c r="AP243" t="s">
        <v>16526</v>
      </c>
      <c r="AQ243" t="s">
        <v>74</v>
      </c>
      <c r="AR243" t="s">
        <v>74</v>
      </c>
      <c r="AS243" t="s">
        <v>74</v>
      </c>
      <c r="AT243" t="s">
        <v>114</v>
      </c>
      <c r="AU243">
        <v>2018</v>
      </c>
      <c r="AV243">
        <v>64</v>
      </c>
      <c r="AW243">
        <v>1</v>
      </c>
      <c r="AX243" t="s">
        <v>74</v>
      </c>
      <c r="AY243" t="s">
        <v>74</v>
      </c>
      <c r="AZ243" t="s">
        <v>74</v>
      </c>
      <c r="BA243" t="s">
        <v>74</v>
      </c>
      <c r="BB243" t="s">
        <v>74</v>
      </c>
      <c r="BC243" t="s">
        <v>74</v>
      </c>
      <c r="BD243" t="s">
        <v>16527</v>
      </c>
      <c r="BE243" t="s">
        <v>16528</v>
      </c>
      <c r="BF243" t="str">
        <f>HYPERLINK("http://dx.doi.org/10.1111/jpi.12455","http://dx.doi.org/10.1111/jpi.12455")</f>
        <v>http://dx.doi.org/10.1111/jpi.12455</v>
      </c>
      <c r="BG243" t="s">
        <v>74</v>
      </c>
      <c r="BH243" t="s">
        <v>74</v>
      </c>
      <c r="BI243" t="s">
        <v>74</v>
      </c>
      <c r="BJ243" t="s">
        <v>16529</v>
      </c>
      <c r="BK243" t="s">
        <v>117</v>
      </c>
      <c r="BL243" t="s">
        <v>16530</v>
      </c>
      <c r="BM243" t="s">
        <v>74</v>
      </c>
      <c r="BN243">
        <v>29149454</v>
      </c>
      <c r="BO243" t="s">
        <v>74</v>
      </c>
      <c r="BP243" t="s">
        <v>74</v>
      </c>
      <c r="BQ243" t="s">
        <v>74</v>
      </c>
      <c r="BR243" t="s">
        <v>96</v>
      </c>
      <c r="BS243" t="s">
        <v>16531</v>
      </c>
      <c r="BT243" t="str">
        <f>HYPERLINK("https%3A%2F%2Fwww.webofscience.com%2Fwos%2Fwoscc%2Ffull-record%2FWOS:000417884900006","View Full Record in Web of Science")</f>
        <v>View Full Record in Web of Science</v>
      </c>
    </row>
    <row r="244" spans="1:72" x14ac:dyDescent="0.15">
      <c r="A244" t="s">
        <v>98</v>
      </c>
      <c r="B244" t="s">
        <v>20042</v>
      </c>
      <c r="C244" t="s">
        <v>74</v>
      </c>
      <c r="D244" t="s">
        <v>74</v>
      </c>
      <c r="E244" t="s">
        <v>74</v>
      </c>
      <c r="F244" t="s">
        <v>20043</v>
      </c>
      <c r="G244" t="s">
        <v>74</v>
      </c>
      <c r="H244" t="s">
        <v>74</v>
      </c>
      <c r="I244" t="s">
        <v>20044</v>
      </c>
      <c r="J244" t="s">
        <v>2536</v>
      </c>
      <c r="K244" t="s">
        <v>74</v>
      </c>
      <c r="L244" t="s">
        <v>74</v>
      </c>
      <c r="M244" t="s">
        <v>74</v>
      </c>
      <c r="N244" t="s">
        <v>103</v>
      </c>
      <c r="O244" t="s">
        <v>74</v>
      </c>
      <c r="P244" t="s">
        <v>74</v>
      </c>
      <c r="Q244" t="s">
        <v>74</v>
      </c>
      <c r="R244" t="s">
        <v>74</v>
      </c>
      <c r="S244" t="s">
        <v>74</v>
      </c>
      <c r="T244" t="s">
        <v>74</v>
      </c>
      <c r="U244" t="s">
        <v>20045</v>
      </c>
      <c r="V244" t="s">
        <v>20046</v>
      </c>
      <c r="W244" t="s">
        <v>20047</v>
      </c>
      <c r="X244" t="s">
        <v>20048</v>
      </c>
      <c r="Y244" t="s">
        <v>20049</v>
      </c>
      <c r="Z244" t="s">
        <v>20050</v>
      </c>
      <c r="AA244" t="s">
        <v>74</v>
      </c>
      <c r="AB244" t="s">
        <v>74</v>
      </c>
      <c r="AC244" t="s">
        <v>74</v>
      </c>
      <c r="AD244" t="s">
        <v>74</v>
      </c>
      <c r="AE244" t="s">
        <v>74</v>
      </c>
      <c r="AF244" t="s">
        <v>74</v>
      </c>
      <c r="AG244">
        <v>69</v>
      </c>
      <c r="AH244">
        <v>83</v>
      </c>
      <c r="AI244">
        <v>85</v>
      </c>
      <c r="AJ244">
        <v>0</v>
      </c>
      <c r="AK244">
        <v>14</v>
      </c>
      <c r="AL244" t="s">
        <v>74</v>
      </c>
      <c r="AM244" t="s">
        <v>74</v>
      </c>
      <c r="AN244" t="s">
        <v>74</v>
      </c>
      <c r="AO244" t="s">
        <v>2544</v>
      </c>
      <c r="AP244" t="s">
        <v>74</v>
      </c>
      <c r="AQ244" t="s">
        <v>74</v>
      </c>
      <c r="AR244" t="s">
        <v>74</v>
      </c>
      <c r="AS244" t="s">
        <v>74</v>
      </c>
      <c r="AT244" t="s">
        <v>531</v>
      </c>
      <c r="AU244">
        <v>2012</v>
      </c>
      <c r="AV244">
        <v>86</v>
      </c>
      <c r="AW244">
        <v>18</v>
      </c>
      <c r="AX244" t="s">
        <v>74</v>
      </c>
      <c r="AY244" t="s">
        <v>74</v>
      </c>
      <c r="AZ244" t="s">
        <v>74</v>
      </c>
      <c r="BA244" t="s">
        <v>74</v>
      </c>
      <c r="BB244">
        <v>9875</v>
      </c>
      <c r="BC244">
        <v>9887</v>
      </c>
      <c r="BD244" t="s">
        <v>74</v>
      </c>
      <c r="BE244" t="s">
        <v>20051</v>
      </c>
      <c r="BF244" t="str">
        <f>HYPERLINK("http://dx.doi.org/10.1128/JVI.00980-12","http://dx.doi.org/10.1128/JVI.00980-12")</f>
        <v>http://dx.doi.org/10.1128/JVI.00980-12</v>
      </c>
      <c r="BG244" t="s">
        <v>74</v>
      </c>
      <c r="BH244" t="s">
        <v>74</v>
      </c>
      <c r="BI244" t="s">
        <v>74</v>
      </c>
      <c r="BJ244" t="s">
        <v>932</v>
      </c>
      <c r="BK244" t="s">
        <v>117</v>
      </c>
      <c r="BL244" t="s">
        <v>932</v>
      </c>
      <c r="BM244" t="s">
        <v>74</v>
      </c>
      <c r="BN244">
        <v>22761365</v>
      </c>
      <c r="BO244" t="s">
        <v>74</v>
      </c>
      <c r="BP244" t="s">
        <v>74</v>
      </c>
      <c r="BQ244" t="s">
        <v>74</v>
      </c>
      <c r="BR244" t="s">
        <v>96</v>
      </c>
      <c r="BS244" t="s">
        <v>20052</v>
      </c>
      <c r="BT244" t="str">
        <f>HYPERLINK("https%3A%2F%2Fwww.webofscience.com%2Fwos%2Fwoscc%2Ffull-record%2FWOS:000308337500030","View Full Record in Web of Science")</f>
        <v>View Full Record in Web of Science</v>
      </c>
    </row>
    <row r="245" spans="1:72" x14ac:dyDescent="0.15">
      <c r="A245" t="s">
        <v>98</v>
      </c>
      <c r="B245" t="s">
        <v>29591</v>
      </c>
      <c r="C245" t="s">
        <v>74</v>
      </c>
      <c r="D245" t="s">
        <v>74</v>
      </c>
      <c r="E245" t="s">
        <v>74</v>
      </c>
      <c r="F245" t="s">
        <v>29592</v>
      </c>
      <c r="G245" t="s">
        <v>74</v>
      </c>
      <c r="H245" t="s">
        <v>74</v>
      </c>
      <c r="I245" t="s">
        <v>29593</v>
      </c>
      <c r="J245" t="s">
        <v>8124</v>
      </c>
      <c r="K245" t="s">
        <v>74</v>
      </c>
      <c r="L245" t="s">
        <v>74</v>
      </c>
      <c r="M245" t="s">
        <v>74</v>
      </c>
      <c r="N245" t="s">
        <v>103</v>
      </c>
      <c r="O245" t="s">
        <v>74</v>
      </c>
      <c r="P245" t="s">
        <v>74</v>
      </c>
      <c r="Q245" t="s">
        <v>74</v>
      </c>
      <c r="R245" t="s">
        <v>74</v>
      </c>
      <c r="S245" t="s">
        <v>74</v>
      </c>
      <c r="T245" t="s">
        <v>29594</v>
      </c>
      <c r="U245" t="s">
        <v>29595</v>
      </c>
      <c r="V245" t="s">
        <v>29596</v>
      </c>
      <c r="W245" t="s">
        <v>29597</v>
      </c>
      <c r="X245" t="s">
        <v>29598</v>
      </c>
      <c r="Y245" t="s">
        <v>29599</v>
      </c>
      <c r="Z245" t="s">
        <v>29600</v>
      </c>
      <c r="AA245" t="s">
        <v>29601</v>
      </c>
      <c r="AB245" t="s">
        <v>29602</v>
      </c>
      <c r="AC245" t="s">
        <v>74</v>
      </c>
      <c r="AD245" t="s">
        <v>74</v>
      </c>
      <c r="AE245" t="s">
        <v>74</v>
      </c>
      <c r="AF245" t="s">
        <v>74</v>
      </c>
      <c r="AG245">
        <v>42</v>
      </c>
      <c r="AH245">
        <v>83</v>
      </c>
      <c r="AI245">
        <v>85</v>
      </c>
      <c r="AJ245">
        <v>0</v>
      </c>
      <c r="AK245">
        <v>11</v>
      </c>
      <c r="AL245" t="s">
        <v>74</v>
      </c>
      <c r="AM245" t="s">
        <v>74</v>
      </c>
      <c r="AN245" t="s">
        <v>74</v>
      </c>
      <c r="AO245" t="s">
        <v>8134</v>
      </c>
      <c r="AP245" t="s">
        <v>8135</v>
      </c>
      <c r="AQ245" t="s">
        <v>74</v>
      </c>
      <c r="AR245" t="s">
        <v>74</v>
      </c>
      <c r="AS245" t="s">
        <v>74</v>
      </c>
      <c r="AT245" t="s">
        <v>967</v>
      </c>
      <c r="AU245">
        <v>2008</v>
      </c>
      <c r="AV245">
        <v>12</v>
      </c>
      <c r="AW245" t="s">
        <v>29603</v>
      </c>
      <c r="AX245" t="s">
        <v>74</v>
      </c>
      <c r="AY245" t="s">
        <v>74</v>
      </c>
      <c r="AZ245" t="s">
        <v>74</v>
      </c>
      <c r="BA245" t="s">
        <v>74</v>
      </c>
      <c r="BB245">
        <v>2628</v>
      </c>
      <c r="BC245">
        <v>2643</v>
      </c>
      <c r="BD245" t="s">
        <v>74</v>
      </c>
      <c r="BE245" t="s">
        <v>29604</v>
      </c>
      <c r="BF245" t="str">
        <f>HYPERLINK("http://dx.doi.org/10.1111/j.1582-4934.2008.00317.x","http://dx.doi.org/10.1111/j.1582-4934.2008.00317.x")</f>
        <v>http://dx.doi.org/10.1111/j.1582-4934.2008.00317.x</v>
      </c>
      <c r="BG245" t="s">
        <v>74</v>
      </c>
      <c r="BH245" t="s">
        <v>74</v>
      </c>
      <c r="BI245" t="s">
        <v>74</v>
      </c>
      <c r="BJ245" t="s">
        <v>8137</v>
      </c>
      <c r="BK245" t="s">
        <v>117</v>
      </c>
      <c r="BL245" t="s">
        <v>3116</v>
      </c>
      <c r="BM245" t="s">
        <v>74</v>
      </c>
      <c r="BN245">
        <v>18373740</v>
      </c>
      <c r="BO245" t="s">
        <v>74</v>
      </c>
      <c r="BP245" t="s">
        <v>74</v>
      </c>
      <c r="BQ245" t="s">
        <v>74</v>
      </c>
      <c r="BR245" t="s">
        <v>96</v>
      </c>
      <c r="BS245" t="s">
        <v>29605</v>
      </c>
      <c r="BT245" t="str">
        <f>HYPERLINK("https%3A%2F%2Fwww.webofscience.com%2Fwos%2Fwoscc%2Ffull-record%2FWOS:000262311700009","View Full Record in Web of Science")</f>
        <v>View Full Record in Web of Science</v>
      </c>
    </row>
    <row r="246" spans="1:72" x14ac:dyDescent="0.15">
      <c r="A246" t="s">
        <v>98</v>
      </c>
      <c r="B246" t="s">
        <v>1811</v>
      </c>
      <c r="C246" t="s">
        <v>74</v>
      </c>
      <c r="D246" t="s">
        <v>74</v>
      </c>
      <c r="E246" t="s">
        <v>74</v>
      </c>
      <c r="F246" t="s">
        <v>1812</v>
      </c>
      <c r="G246" t="s">
        <v>74</v>
      </c>
      <c r="H246" t="s">
        <v>74</v>
      </c>
      <c r="I246" t="s">
        <v>1813</v>
      </c>
      <c r="J246" t="s">
        <v>123</v>
      </c>
      <c r="K246" t="s">
        <v>74</v>
      </c>
      <c r="L246" t="s">
        <v>74</v>
      </c>
      <c r="M246" t="s">
        <v>74</v>
      </c>
      <c r="N246" t="s">
        <v>103</v>
      </c>
      <c r="O246" t="s">
        <v>74</v>
      </c>
      <c r="P246" t="s">
        <v>74</v>
      </c>
      <c r="Q246" t="s">
        <v>74</v>
      </c>
      <c r="R246" t="s">
        <v>74</v>
      </c>
      <c r="S246" t="s">
        <v>74</v>
      </c>
      <c r="T246" t="s">
        <v>1814</v>
      </c>
      <c r="U246" t="s">
        <v>1815</v>
      </c>
      <c r="V246" t="s">
        <v>1816</v>
      </c>
      <c r="W246" t="s">
        <v>1817</v>
      </c>
      <c r="X246" t="s">
        <v>1818</v>
      </c>
      <c r="Y246" t="s">
        <v>1819</v>
      </c>
      <c r="Z246" t="s">
        <v>774</v>
      </c>
      <c r="AA246" t="s">
        <v>1820</v>
      </c>
      <c r="AB246" t="s">
        <v>1821</v>
      </c>
      <c r="AC246" t="s">
        <v>74</v>
      </c>
      <c r="AD246" t="s">
        <v>74</v>
      </c>
      <c r="AE246" t="s">
        <v>74</v>
      </c>
      <c r="AF246" t="s">
        <v>74</v>
      </c>
      <c r="AG246">
        <v>67</v>
      </c>
      <c r="AH246">
        <v>82</v>
      </c>
      <c r="AI246">
        <v>84</v>
      </c>
      <c r="AJ246">
        <v>3</v>
      </c>
      <c r="AK246">
        <v>110</v>
      </c>
      <c r="AL246" t="s">
        <v>74</v>
      </c>
      <c r="AM246" t="s">
        <v>74</v>
      </c>
      <c r="AN246" t="s">
        <v>74</v>
      </c>
      <c r="AO246" t="s">
        <v>131</v>
      </c>
      <c r="AP246" t="s">
        <v>74</v>
      </c>
      <c r="AQ246" t="s">
        <v>74</v>
      </c>
      <c r="AR246" t="s">
        <v>74</v>
      </c>
      <c r="AS246" t="s">
        <v>74</v>
      </c>
      <c r="AT246" t="s">
        <v>319</v>
      </c>
      <c r="AU246">
        <v>2019</v>
      </c>
      <c r="AV246">
        <v>8</v>
      </c>
      <c r="AW246">
        <v>1</v>
      </c>
      <c r="AX246" t="s">
        <v>74</v>
      </c>
      <c r="AY246" t="s">
        <v>74</v>
      </c>
      <c r="AZ246" t="s">
        <v>74</v>
      </c>
      <c r="BA246" t="s">
        <v>74</v>
      </c>
      <c r="BB246" t="s">
        <v>74</v>
      </c>
      <c r="BC246" t="s">
        <v>74</v>
      </c>
      <c r="BD246">
        <v>1615820</v>
      </c>
      <c r="BE246" t="s">
        <v>1822</v>
      </c>
      <c r="BF246" t="str">
        <f>HYPERLINK("http://dx.doi.org/10.1080/20013078.2019.1615820","http://dx.doi.org/10.1080/20013078.2019.1615820")</f>
        <v>http://dx.doi.org/10.1080/20013078.2019.1615820</v>
      </c>
      <c r="BG246" t="s">
        <v>74</v>
      </c>
      <c r="BH246" t="s">
        <v>74</v>
      </c>
      <c r="BI246" t="s">
        <v>74</v>
      </c>
      <c r="BJ246" t="s">
        <v>135</v>
      </c>
      <c r="BK246" t="s">
        <v>117</v>
      </c>
      <c r="BL246" t="s">
        <v>135</v>
      </c>
      <c r="BM246" t="s">
        <v>74</v>
      </c>
      <c r="BN246">
        <v>31191831</v>
      </c>
      <c r="BO246" t="s">
        <v>74</v>
      </c>
      <c r="BP246" t="s">
        <v>74</v>
      </c>
      <c r="BQ246" t="s">
        <v>74</v>
      </c>
      <c r="BR246" t="s">
        <v>96</v>
      </c>
      <c r="BS246" t="s">
        <v>1823</v>
      </c>
      <c r="BT246" t="str">
        <f>HYPERLINK("https%3A%2F%2Fwww.webofscience.com%2Fwos%2Fwoscc%2Ffull-record%2FWOS:000469231700001","View Full Record in Web of Science")</f>
        <v>View Full Record in Web of Science</v>
      </c>
    </row>
    <row r="247" spans="1:72" x14ac:dyDescent="0.15">
      <c r="A247" t="s">
        <v>98</v>
      </c>
      <c r="B247" t="s">
        <v>5655</v>
      </c>
      <c r="C247" t="s">
        <v>74</v>
      </c>
      <c r="D247" t="s">
        <v>74</v>
      </c>
      <c r="E247" t="s">
        <v>74</v>
      </c>
      <c r="F247" t="s">
        <v>5656</v>
      </c>
      <c r="G247" t="s">
        <v>74</v>
      </c>
      <c r="H247" t="s">
        <v>74</v>
      </c>
      <c r="I247" t="s">
        <v>5657</v>
      </c>
      <c r="J247" t="s">
        <v>5658</v>
      </c>
      <c r="K247" t="s">
        <v>74</v>
      </c>
      <c r="L247" t="s">
        <v>74</v>
      </c>
      <c r="M247" t="s">
        <v>74</v>
      </c>
      <c r="N247" t="s">
        <v>103</v>
      </c>
      <c r="O247" t="s">
        <v>74</v>
      </c>
      <c r="P247" t="s">
        <v>74</v>
      </c>
      <c r="Q247" t="s">
        <v>74</v>
      </c>
      <c r="R247" t="s">
        <v>74</v>
      </c>
      <c r="S247" t="s">
        <v>74</v>
      </c>
      <c r="T247" t="s">
        <v>5659</v>
      </c>
      <c r="U247" t="s">
        <v>5660</v>
      </c>
      <c r="V247" t="s">
        <v>5661</v>
      </c>
      <c r="W247" t="s">
        <v>5662</v>
      </c>
      <c r="X247" t="s">
        <v>5663</v>
      </c>
      <c r="Y247" t="s">
        <v>5664</v>
      </c>
      <c r="Z247" t="s">
        <v>5665</v>
      </c>
      <c r="AA247" t="s">
        <v>74</v>
      </c>
      <c r="AB247" t="s">
        <v>5324</v>
      </c>
      <c r="AC247" t="s">
        <v>74</v>
      </c>
      <c r="AD247" t="s">
        <v>74</v>
      </c>
      <c r="AE247" t="s">
        <v>74</v>
      </c>
      <c r="AF247" t="s">
        <v>74</v>
      </c>
      <c r="AG247">
        <v>93</v>
      </c>
      <c r="AH247">
        <v>82</v>
      </c>
      <c r="AI247">
        <v>82</v>
      </c>
      <c r="AJ247">
        <v>0</v>
      </c>
      <c r="AK247">
        <v>12</v>
      </c>
      <c r="AL247" t="s">
        <v>74</v>
      </c>
      <c r="AM247" t="s">
        <v>74</v>
      </c>
      <c r="AN247" t="s">
        <v>74</v>
      </c>
      <c r="AO247" t="s">
        <v>5666</v>
      </c>
      <c r="AP247" t="s">
        <v>5667</v>
      </c>
      <c r="AQ247" t="s">
        <v>74</v>
      </c>
      <c r="AR247" t="s">
        <v>74</v>
      </c>
      <c r="AS247" t="s">
        <v>74</v>
      </c>
      <c r="AT247" t="s">
        <v>230</v>
      </c>
      <c r="AU247">
        <v>2011</v>
      </c>
      <c r="AV247">
        <v>31</v>
      </c>
      <c r="AW247">
        <v>6</v>
      </c>
      <c r="AX247" t="s">
        <v>74</v>
      </c>
      <c r="AY247" t="s">
        <v>74</v>
      </c>
      <c r="AZ247" t="s">
        <v>447</v>
      </c>
      <c r="BA247" t="s">
        <v>74</v>
      </c>
      <c r="BB247">
        <v>949</v>
      </c>
      <c r="BC247">
        <v>959</v>
      </c>
      <c r="BD247" t="s">
        <v>74</v>
      </c>
      <c r="BE247" t="s">
        <v>5668</v>
      </c>
      <c r="BF247" t="str">
        <f>HYPERLINK("http://dx.doi.org/10.1007/s10571-011-9697-y","http://dx.doi.org/10.1007/s10571-011-9697-y")</f>
        <v>http://dx.doi.org/10.1007/s10571-011-9697-y</v>
      </c>
      <c r="BG247" t="s">
        <v>74</v>
      </c>
      <c r="BH247" t="s">
        <v>74</v>
      </c>
      <c r="BI247" t="s">
        <v>74</v>
      </c>
      <c r="BJ247" t="s">
        <v>5669</v>
      </c>
      <c r="BK247" t="s">
        <v>117</v>
      </c>
      <c r="BL247" t="s">
        <v>5670</v>
      </c>
      <c r="BM247" t="s">
        <v>74</v>
      </c>
      <c r="BN247">
        <v>21553248</v>
      </c>
      <c r="BO247" t="s">
        <v>74</v>
      </c>
      <c r="BP247" t="s">
        <v>74</v>
      </c>
      <c r="BQ247" t="s">
        <v>74</v>
      </c>
      <c r="BR247" t="s">
        <v>96</v>
      </c>
      <c r="BS247" t="s">
        <v>5671</v>
      </c>
      <c r="BT247" t="str">
        <f>HYPERLINK("https%3A%2F%2Fwww.webofscience.com%2Fwos%2Fwoscc%2Ffull-record%2FWOS:000293325300017","View Full Record in Web of Science")</f>
        <v>View Full Record in Web of Science</v>
      </c>
    </row>
    <row r="248" spans="1:72" x14ac:dyDescent="0.15">
      <c r="A248" t="s">
        <v>98</v>
      </c>
      <c r="B248" t="s">
        <v>18299</v>
      </c>
      <c r="C248" t="s">
        <v>74</v>
      </c>
      <c r="D248" t="s">
        <v>74</v>
      </c>
      <c r="E248" t="s">
        <v>74</v>
      </c>
      <c r="F248" t="s">
        <v>18300</v>
      </c>
      <c r="G248" t="s">
        <v>74</v>
      </c>
      <c r="H248" t="s">
        <v>74</v>
      </c>
      <c r="I248" t="s">
        <v>18301</v>
      </c>
      <c r="J248" t="s">
        <v>140</v>
      </c>
      <c r="K248" t="s">
        <v>74</v>
      </c>
      <c r="L248" t="s">
        <v>74</v>
      </c>
      <c r="M248" t="s">
        <v>74</v>
      </c>
      <c r="N248" t="s">
        <v>103</v>
      </c>
      <c r="O248" t="s">
        <v>74</v>
      </c>
      <c r="P248" t="s">
        <v>74</v>
      </c>
      <c r="Q248" t="s">
        <v>74</v>
      </c>
      <c r="R248" t="s">
        <v>74</v>
      </c>
      <c r="S248" t="s">
        <v>74</v>
      </c>
      <c r="T248" t="s">
        <v>74</v>
      </c>
      <c r="U248" t="s">
        <v>18302</v>
      </c>
      <c r="V248" t="s">
        <v>18303</v>
      </c>
      <c r="W248" t="s">
        <v>18304</v>
      </c>
      <c r="X248" t="s">
        <v>18305</v>
      </c>
      <c r="Y248" t="s">
        <v>18306</v>
      </c>
      <c r="Z248" t="s">
        <v>18307</v>
      </c>
      <c r="AA248" t="s">
        <v>18308</v>
      </c>
      <c r="AB248" t="s">
        <v>18309</v>
      </c>
      <c r="AC248" t="s">
        <v>74</v>
      </c>
      <c r="AD248" t="s">
        <v>74</v>
      </c>
      <c r="AE248" t="s">
        <v>74</v>
      </c>
      <c r="AF248" t="s">
        <v>74</v>
      </c>
      <c r="AG248">
        <v>59</v>
      </c>
      <c r="AH248">
        <v>82</v>
      </c>
      <c r="AI248">
        <v>82</v>
      </c>
      <c r="AJ248">
        <v>6</v>
      </c>
      <c r="AK248">
        <v>42</v>
      </c>
      <c r="AL248" t="s">
        <v>74</v>
      </c>
      <c r="AM248" t="s">
        <v>74</v>
      </c>
      <c r="AN248" t="s">
        <v>74</v>
      </c>
      <c r="AO248" t="s">
        <v>149</v>
      </c>
      <c r="AP248" t="s">
        <v>74</v>
      </c>
      <c r="AQ248" t="s">
        <v>74</v>
      </c>
      <c r="AR248" t="s">
        <v>74</v>
      </c>
      <c r="AS248" t="s">
        <v>74</v>
      </c>
      <c r="AT248" t="s">
        <v>18272</v>
      </c>
      <c r="AU248">
        <v>2017</v>
      </c>
      <c r="AV248">
        <v>7</v>
      </c>
      <c r="AW248" t="s">
        <v>74</v>
      </c>
      <c r="AX248" t="s">
        <v>74</v>
      </c>
      <c r="AY248" t="s">
        <v>74</v>
      </c>
      <c r="AZ248" t="s">
        <v>74</v>
      </c>
      <c r="BA248" t="s">
        <v>74</v>
      </c>
      <c r="BB248" t="s">
        <v>74</v>
      </c>
      <c r="BC248" t="s">
        <v>74</v>
      </c>
      <c r="BD248">
        <v>17479</v>
      </c>
      <c r="BE248" t="s">
        <v>18310</v>
      </c>
      <c r="BF248" t="str">
        <f>HYPERLINK("http://dx.doi.org/10.1038/s41598-017-14981-x","http://dx.doi.org/10.1038/s41598-017-14981-x")</f>
        <v>http://dx.doi.org/10.1038/s41598-017-14981-x</v>
      </c>
      <c r="BG248" t="s">
        <v>74</v>
      </c>
      <c r="BH248" t="s">
        <v>74</v>
      </c>
      <c r="BI248" t="s">
        <v>74</v>
      </c>
      <c r="BJ248" t="s">
        <v>152</v>
      </c>
      <c r="BK248" t="s">
        <v>117</v>
      </c>
      <c r="BL248" t="s">
        <v>153</v>
      </c>
      <c r="BM248" t="s">
        <v>74</v>
      </c>
      <c r="BN248">
        <v>29234015</v>
      </c>
      <c r="BO248" t="s">
        <v>74</v>
      </c>
      <c r="BP248" t="s">
        <v>74</v>
      </c>
      <c r="BQ248" t="s">
        <v>74</v>
      </c>
      <c r="BR248" t="s">
        <v>96</v>
      </c>
      <c r="BS248" t="s">
        <v>18311</v>
      </c>
      <c r="BT248" t="str">
        <f>HYPERLINK("https%3A%2F%2Fwww.webofscience.com%2Fwos%2Fwoscc%2Ffull-record%2FWOS:000417689400103","View Full Record in Web of Science")</f>
        <v>View Full Record in Web of Science</v>
      </c>
    </row>
    <row r="249" spans="1:72" x14ac:dyDescent="0.15">
      <c r="A249" t="s">
        <v>98</v>
      </c>
      <c r="B249" t="s">
        <v>21927</v>
      </c>
      <c r="C249" t="s">
        <v>74</v>
      </c>
      <c r="D249" t="s">
        <v>74</v>
      </c>
      <c r="E249" t="s">
        <v>74</v>
      </c>
      <c r="F249" t="s">
        <v>21928</v>
      </c>
      <c r="G249" t="s">
        <v>74</v>
      </c>
      <c r="H249" t="s">
        <v>74</v>
      </c>
      <c r="I249" t="s">
        <v>21929</v>
      </c>
      <c r="J249" t="s">
        <v>5523</v>
      </c>
      <c r="K249" t="s">
        <v>74</v>
      </c>
      <c r="L249" t="s">
        <v>74</v>
      </c>
      <c r="M249" t="s">
        <v>74</v>
      </c>
      <c r="N249" t="s">
        <v>103</v>
      </c>
      <c r="O249" t="s">
        <v>74</v>
      </c>
      <c r="P249" t="s">
        <v>74</v>
      </c>
      <c r="Q249" t="s">
        <v>74</v>
      </c>
      <c r="R249" t="s">
        <v>74</v>
      </c>
      <c r="S249" t="s">
        <v>74</v>
      </c>
      <c r="T249" t="s">
        <v>21930</v>
      </c>
      <c r="U249" t="s">
        <v>21931</v>
      </c>
      <c r="V249" t="s">
        <v>21932</v>
      </c>
      <c r="W249" t="s">
        <v>21933</v>
      </c>
      <c r="X249" t="s">
        <v>20838</v>
      </c>
      <c r="Y249" t="s">
        <v>21934</v>
      </c>
      <c r="Z249" t="s">
        <v>20840</v>
      </c>
      <c r="AA249" t="s">
        <v>74</v>
      </c>
      <c r="AB249" t="s">
        <v>20841</v>
      </c>
      <c r="AC249" t="s">
        <v>74</v>
      </c>
      <c r="AD249" t="s">
        <v>74</v>
      </c>
      <c r="AE249" t="s">
        <v>74</v>
      </c>
      <c r="AF249" t="s">
        <v>74</v>
      </c>
      <c r="AG249">
        <v>50</v>
      </c>
      <c r="AH249">
        <v>82</v>
      </c>
      <c r="AI249">
        <v>84</v>
      </c>
      <c r="AJ249">
        <v>12</v>
      </c>
      <c r="AK249">
        <v>163</v>
      </c>
      <c r="AL249" t="s">
        <v>74</v>
      </c>
      <c r="AM249" t="s">
        <v>74</v>
      </c>
      <c r="AN249" t="s">
        <v>74</v>
      </c>
      <c r="AO249" t="s">
        <v>5531</v>
      </c>
      <c r="AP249" t="s">
        <v>74</v>
      </c>
      <c r="AQ249" t="s">
        <v>74</v>
      </c>
      <c r="AR249" t="s">
        <v>74</v>
      </c>
      <c r="AS249" t="s">
        <v>74</v>
      </c>
      <c r="AT249" t="s">
        <v>3255</v>
      </c>
      <c r="AU249">
        <v>2018</v>
      </c>
      <c r="AV249">
        <v>10</v>
      </c>
      <c r="AW249">
        <v>46</v>
      </c>
      <c r="AX249" t="s">
        <v>74</v>
      </c>
      <c r="AY249" t="s">
        <v>74</v>
      </c>
      <c r="AZ249" t="s">
        <v>74</v>
      </c>
      <c r="BA249" t="s">
        <v>74</v>
      </c>
      <c r="BB249">
        <v>39478</v>
      </c>
      <c r="BC249">
        <v>39486</v>
      </c>
      <c r="BD249" t="s">
        <v>74</v>
      </c>
      <c r="BE249" t="s">
        <v>21935</v>
      </c>
      <c r="BF249" t="str">
        <f>HYPERLINK("http://dx.doi.org/10.1021/acsami.8b12725","http://dx.doi.org/10.1021/acsami.8b12725")</f>
        <v>http://dx.doi.org/10.1021/acsami.8b12725</v>
      </c>
      <c r="BG249" t="s">
        <v>74</v>
      </c>
      <c r="BH249" t="s">
        <v>74</v>
      </c>
      <c r="BI249" t="s">
        <v>74</v>
      </c>
      <c r="BJ249" t="s">
        <v>5534</v>
      </c>
      <c r="BK249" t="s">
        <v>117</v>
      </c>
      <c r="BL249" t="s">
        <v>5535</v>
      </c>
      <c r="BM249" t="s">
        <v>74</v>
      </c>
      <c r="BN249">
        <v>30350935</v>
      </c>
      <c r="BO249" t="s">
        <v>74</v>
      </c>
      <c r="BP249" t="s">
        <v>74</v>
      </c>
      <c r="BQ249" t="s">
        <v>74</v>
      </c>
      <c r="BR249" t="s">
        <v>96</v>
      </c>
      <c r="BS249" t="s">
        <v>21936</v>
      </c>
      <c r="BT249" t="str">
        <f>HYPERLINK("https%3A%2F%2Fwww.webofscience.com%2Fwos%2Fwoscc%2Ffull-record%2FWOS:000451496000010","View Full Record in Web of Science")</f>
        <v>View Full Record in Web of Science</v>
      </c>
    </row>
    <row r="250" spans="1:72" x14ac:dyDescent="0.15">
      <c r="A250" t="s">
        <v>98</v>
      </c>
      <c r="B250" t="s">
        <v>24710</v>
      </c>
      <c r="C250" t="s">
        <v>74</v>
      </c>
      <c r="D250" t="s">
        <v>74</v>
      </c>
      <c r="E250" t="s">
        <v>74</v>
      </c>
      <c r="F250" t="s">
        <v>24711</v>
      </c>
      <c r="G250" t="s">
        <v>74</v>
      </c>
      <c r="H250" t="s">
        <v>74</v>
      </c>
      <c r="I250" t="s">
        <v>24712</v>
      </c>
      <c r="J250" t="s">
        <v>17027</v>
      </c>
      <c r="K250" t="s">
        <v>74</v>
      </c>
      <c r="L250" t="s">
        <v>74</v>
      </c>
      <c r="M250" t="s">
        <v>74</v>
      </c>
      <c r="N250" t="s">
        <v>103</v>
      </c>
      <c r="O250" t="s">
        <v>74</v>
      </c>
      <c r="P250" t="s">
        <v>74</v>
      </c>
      <c r="Q250" t="s">
        <v>74</v>
      </c>
      <c r="R250" t="s">
        <v>74</v>
      </c>
      <c r="S250" t="s">
        <v>74</v>
      </c>
      <c r="T250" t="s">
        <v>74</v>
      </c>
      <c r="U250" t="s">
        <v>24713</v>
      </c>
      <c r="V250" t="s">
        <v>24714</v>
      </c>
      <c r="W250" t="s">
        <v>24715</v>
      </c>
      <c r="X250" t="s">
        <v>24716</v>
      </c>
      <c r="Y250" t="s">
        <v>24717</v>
      </c>
      <c r="Z250" t="s">
        <v>24718</v>
      </c>
      <c r="AA250" t="s">
        <v>24719</v>
      </c>
      <c r="AB250" t="s">
        <v>24720</v>
      </c>
      <c r="AC250" t="s">
        <v>74</v>
      </c>
      <c r="AD250" t="s">
        <v>74</v>
      </c>
      <c r="AE250" t="s">
        <v>74</v>
      </c>
      <c r="AF250" t="s">
        <v>74</v>
      </c>
      <c r="AG250">
        <v>49</v>
      </c>
      <c r="AH250">
        <v>82</v>
      </c>
      <c r="AI250">
        <v>87</v>
      </c>
      <c r="AJ250">
        <v>0</v>
      </c>
      <c r="AK250">
        <v>21</v>
      </c>
      <c r="AL250" t="s">
        <v>74</v>
      </c>
      <c r="AM250" t="s">
        <v>74</v>
      </c>
      <c r="AN250" t="s">
        <v>74</v>
      </c>
      <c r="AO250" t="s">
        <v>17035</v>
      </c>
      <c r="AP250" t="s">
        <v>17036</v>
      </c>
      <c r="AQ250" t="s">
        <v>74</v>
      </c>
      <c r="AR250" t="s">
        <v>74</v>
      </c>
      <c r="AS250" t="s">
        <v>74</v>
      </c>
      <c r="AT250" t="s">
        <v>3744</v>
      </c>
      <c r="AU250">
        <v>2014</v>
      </c>
      <c r="AV250">
        <v>123</v>
      </c>
      <c r="AW250">
        <v>14</v>
      </c>
      <c r="AX250" t="s">
        <v>74</v>
      </c>
      <c r="AY250" t="s">
        <v>74</v>
      </c>
      <c r="AZ250" t="s">
        <v>74</v>
      </c>
      <c r="BA250" t="s">
        <v>74</v>
      </c>
      <c r="BB250">
        <v>2189</v>
      </c>
      <c r="BC250">
        <v>2198</v>
      </c>
      <c r="BD250" t="s">
        <v>74</v>
      </c>
      <c r="BE250" t="s">
        <v>24721</v>
      </c>
      <c r="BF250" t="str">
        <f>HYPERLINK("http://dx.doi.org/10.1182/blood-2013-08-523886","http://dx.doi.org/10.1182/blood-2013-08-523886")</f>
        <v>http://dx.doi.org/10.1182/blood-2013-08-523886</v>
      </c>
      <c r="BG250" t="s">
        <v>74</v>
      </c>
      <c r="BH250" t="s">
        <v>74</v>
      </c>
      <c r="BI250" t="s">
        <v>74</v>
      </c>
      <c r="BJ250" t="s">
        <v>2438</v>
      </c>
      <c r="BK250" t="s">
        <v>117</v>
      </c>
      <c r="BL250" t="s">
        <v>2438</v>
      </c>
      <c r="BM250" t="s">
        <v>74</v>
      </c>
      <c r="BN250">
        <v>24563408</v>
      </c>
      <c r="BO250" t="s">
        <v>74</v>
      </c>
      <c r="BP250" t="s">
        <v>74</v>
      </c>
      <c r="BQ250" t="s">
        <v>74</v>
      </c>
      <c r="BR250" t="s">
        <v>96</v>
      </c>
      <c r="BS250" t="s">
        <v>24722</v>
      </c>
      <c r="BT250" t="str">
        <f>HYPERLINK("https%3A%2F%2Fwww.webofscience.com%2Fwos%2Fwoscc%2Ffull-record%2FWOS:000335889600015","View Full Record in Web of Science")</f>
        <v>View Full Record in Web of Science</v>
      </c>
    </row>
    <row r="251" spans="1:72" x14ac:dyDescent="0.15">
      <c r="A251" t="s">
        <v>98</v>
      </c>
      <c r="B251" t="s">
        <v>12622</v>
      </c>
      <c r="C251" t="s">
        <v>74</v>
      </c>
      <c r="D251" t="s">
        <v>74</v>
      </c>
      <c r="E251" t="s">
        <v>74</v>
      </c>
      <c r="F251" t="s">
        <v>12623</v>
      </c>
      <c r="G251" t="s">
        <v>74</v>
      </c>
      <c r="H251" t="s">
        <v>74</v>
      </c>
      <c r="I251" t="s">
        <v>12624</v>
      </c>
      <c r="J251" t="s">
        <v>12625</v>
      </c>
      <c r="K251" t="s">
        <v>74</v>
      </c>
      <c r="L251" t="s">
        <v>74</v>
      </c>
      <c r="M251" t="s">
        <v>74</v>
      </c>
      <c r="N251" t="s">
        <v>103</v>
      </c>
      <c r="O251" t="s">
        <v>74</v>
      </c>
      <c r="P251" t="s">
        <v>74</v>
      </c>
      <c r="Q251" t="s">
        <v>74</v>
      </c>
      <c r="R251" t="s">
        <v>74</v>
      </c>
      <c r="S251" t="s">
        <v>74</v>
      </c>
      <c r="T251" t="s">
        <v>12626</v>
      </c>
      <c r="U251" t="s">
        <v>12627</v>
      </c>
      <c r="V251" t="s">
        <v>12628</v>
      </c>
      <c r="W251" t="s">
        <v>12629</v>
      </c>
      <c r="X251" t="s">
        <v>12630</v>
      </c>
      <c r="Y251" t="s">
        <v>12631</v>
      </c>
      <c r="Z251" t="s">
        <v>12632</v>
      </c>
      <c r="AA251" t="s">
        <v>74</v>
      </c>
      <c r="AB251" t="s">
        <v>12633</v>
      </c>
      <c r="AC251" t="s">
        <v>74</v>
      </c>
      <c r="AD251" t="s">
        <v>74</v>
      </c>
      <c r="AE251" t="s">
        <v>74</v>
      </c>
      <c r="AF251" t="s">
        <v>74</v>
      </c>
      <c r="AG251">
        <v>77</v>
      </c>
      <c r="AH251">
        <v>81</v>
      </c>
      <c r="AI251">
        <v>81</v>
      </c>
      <c r="AJ251">
        <v>3</v>
      </c>
      <c r="AK251">
        <v>19</v>
      </c>
      <c r="AL251" t="s">
        <v>74</v>
      </c>
      <c r="AM251" t="s">
        <v>74</v>
      </c>
      <c r="AN251" t="s">
        <v>74</v>
      </c>
      <c r="AO251" t="s">
        <v>12634</v>
      </c>
      <c r="AP251" t="s">
        <v>74</v>
      </c>
      <c r="AQ251" t="s">
        <v>74</v>
      </c>
      <c r="AR251" t="s">
        <v>74</v>
      </c>
      <c r="AS251" t="s">
        <v>74</v>
      </c>
      <c r="AT251" t="s">
        <v>531</v>
      </c>
      <c r="AU251">
        <v>2018</v>
      </c>
      <c r="AV251">
        <v>18</v>
      </c>
      <c r="AW251" t="s">
        <v>74</v>
      </c>
      <c r="AX251" t="s">
        <v>74</v>
      </c>
      <c r="AY251" t="s">
        <v>74</v>
      </c>
      <c r="AZ251" t="s">
        <v>74</v>
      </c>
      <c r="BA251" t="s">
        <v>74</v>
      </c>
      <c r="BB251">
        <v>54</v>
      </c>
      <c r="BC251">
        <v>64</v>
      </c>
      <c r="BD251" t="s">
        <v>74</v>
      </c>
      <c r="BE251" t="s">
        <v>12635</v>
      </c>
      <c r="BF251" t="str">
        <f>HYPERLINK("http://dx.doi.org/10.1016/j.redox.2018.06.009","http://dx.doi.org/10.1016/j.redox.2018.06.009")</f>
        <v>http://dx.doi.org/10.1016/j.redox.2018.06.009</v>
      </c>
      <c r="BG251" t="s">
        <v>74</v>
      </c>
      <c r="BH251" t="s">
        <v>74</v>
      </c>
      <c r="BI251" t="s">
        <v>74</v>
      </c>
      <c r="BJ251" t="s">
        <v>95</v>
      </c>
      <c r="BK251" t="s">
        <v>117</v>
      </c>
      <c r="BL251" t="s">
        <v>95</v>
      </c>
      <c r="BM251" t="s">
        <v>74</v>
      </c>
      <c r="BN251">
        <v>29986209</v>
      </c>
      <c r="BO251" t="s">
        <v>74</v>
      </c>
      <c r="BP251" t="s">
        <v>74</v>
      </c>
      <c r="BQ251" t="s">
        <v>74</v>
      </c>
      <c r="BR251" t="s">
        <v>96</v>
      </c>
      <c r="BS251" t="s">
        <v>12636</v>
      </c>
      <c r="BT251" t="str">
        <f>HYPERLINK("https%3A%2F%2Fwww.webofscience.com%2Fwos%2Fwoscc%2Ffull-record%2FWOS:000447820100007","View Full Record in Web of Science")</f>
        <v>View Full Record in Web of Science</v>
      </c>
    </row>
    <row r="252" spans="1:72" x14ac:dyDescent="0.15">
      <c r="A252" t="s">
        <v>98</v>
      </c>
      <c r="B252" t="s">
        <v>15408</v>
      </c>
      <c r="C252" t="s">
        <v>74</v>
      </c>
      <c r="D252" t="s">
        <v>74</v>
      </c>
      <c r="E252" t="s">
        <v>74</v>
      </c>
      <c r="F252" t="s">
        <v>15409</v>
      </c>
      <c r="G252" t="s">
        <v>74</v>
      </c>
      <c r="H252" t="s">
        <v>74</v>
      </c>
      <c r="I252" t="s">
        <v>15410</v>
      </c>
      <c r="J252" t="s">
        <v>15411</v>
      </c>
      <c r="K252" t="s">
        <v>74</v>
      </c>
      <c r="L252" t="s">
        <v>74</v>
      </c>
      <c r="M252" t="s">
        <v>74</v>
      </c>
      <c r="N252" t="s">
        <v>103</v>
      </c>
      <c r="O252" t="s">
        <v>74</v>
      </c>
      <c r="P252" t="s">
        <v>74</v>
      </c>
      <c r="Q252" t="s">
        <v>74</v>
      </c>
      <c r="R252" t="s">
        <v>74</v>
      </c>
      <c r="S252" t="s">
        <v>74</v>
      </c>
      <c r="T252" t="s">
        <v>15412</v>
      </c>
      <c r="U252" t="s">
        <v>15413</v>
      </c>
      <c r="V252" t="s">
        <v>15414</v>
      </c>
      <c r="W252" t="s">
        <v>15415</v>
      </c>
      <c r="X252" t="s">
        <v>15416</v>
      </c>
      <c r="Y252" t="s">
        <v>15417</v>
      </c>
      <c r="Z252" t="s">
        <v>15418</v>
      </c>
      <c r="AA252" t="s">
        <v>15419</v>
      </c>
      <c r="AB252" t="s">
        <v>15420</v>
      </c>
      <c r="AC252" t="s">
        <v>74</v>
      </c>
      <c r="AD252" t="s">
        <v>74</v>
      </c>
      <c r="AE252" t="s">
        <v>74</v>
      </c>
      <c r="AF252" t="s">
        <v>74</v>
      </c>
      <c r="AG252">
        <v>69</v>
      </c>
      <c r="AH252">
        <v>80</v>
      </c>
      <c r="AI252">
        <v>88</v>
      </c>
      <c r="AJ252">
        <v>0</v>
      </c>
      <c r="AK252">
        <v>27</v>
      </c>
      <c r="AL252" t="s">
        <v>74</v>
      </c>
      <c r="AM252" t="s">
        <v>74</v>
      </c>
      <c r="AN252" t="s">
        <v>74</v>
      </c>
      <c r="AO252" t="s">
        <v>15421</v>
      </c>
      <c r="AP252" t="s">
        <v>15422</v>
      </c>
      <c r="AQ252" t="s">
        <v>74</v>
      </c>
      <c r="AR252" t="s">
        <v>74</v>
      </c>
      <c r="AS252" t="s">
        <v>74</v>
      </c>
      <c r="AT252" t="s">
        <v>74</v>
      </c>
      <c r="AU252">
        <v>2016</v>
      </c>
      <c r="AV252">
        <v>23</v>
      </c>
      <c r="AW252">
        <v>7</v>
      </c>
      <c r="AX252" t="s">
        <v>74</v>
      </c>
      <c r="AY252" t="s">
        <v>74</v>
      </c>
      <c r="AZ252" t="s">
        <v>74</v>
      </c>
      <c r="BA252" t="s">
        <v>74</v>
      </c>
      <c r="BB252">
        <v>656</v>
      </c>
      <c r="BC252">
        <v>663</v>
      </c>
      <c r="BD252" t="s">
        <v>74</v>
      </c>
      <c r="BE252" t="s">
        <v>15423</v>
      </c>
      <c r="BF252" t="str">
        <f>HYPERLINK("http://dx.doi.org/10.2174/0929866523666160427105138","http://dx.doi.org/10.2174/0929866523666160427105138")</f>
        <v>http://dx.doi.org/10.2174/0929866523666160427105138</v>
      </c>
      <c r="BG252" t="s">
        <v>74</v>
      </c>
      <c r="BH252" t="s">
        <v>74</v>
      </c>
      <c r="BI252" t="s">
        <v>74</v>
      </c>
      <c r="BJ252" t="s">
        <v>95</v>
      </c>
      <c r="BK252" t="s">
        <v>117</v>
      </c>
      <c r="BL252" t="s">
        <v>95</v>
      </c>
      <c r="BM252" t="s">
        <v>74</v>
      </c>
      <c r="BN252">
        <v>27117741</v>
      </c>
      <c r="BO252" t="s">
        <v>74</v>
      </c>
      <c r="BP252" t="s">
        <v>74</v>
      </c>
      <c r="BQ252" t="s">
        <v>74</v>
      </c>
      <c r="BR252" t="s">
        <v>96</v>
      </c>
      <c r="BS252" t="s">
        <v>15424</v>
      </c>
      <c r="BT252" t="str">
        <f>HYPERLINK("https%3A%2F%2Fwww.webofscience.com%2Fwos%2Fwoscc%2Ffull-record%2FWOS:000381411900009","View Full Record in Web of Science")</f>
        <v>View Full Record in Web of Science</v>
      </c>
    </row>
    <row r="253" spans="1:72" x14ac:dyDescent="0.15">
      <c r="A253" t="s">
        <v>98</v>
      </c>
      <c r="B253" t="s">
        <v>12578</v>
      </c>
      <c r="C253" t="s">
        <v>74</v>
      </c>
      <c r="D253" t="s">
        <v>74</v>
      </c>
      <c r="E253" t="s">
        <v>74</v>
      </c>
      <c r="F253" t="s">
        <v>12579</v>
      </c>
      <c r="G253" t="s">
        <v>74</v>
      </c>
      <c r="H253" t="s">
        <v>74</v>
      </c>
      <c r="I253" t="s">
        <v>12580</v>
      </c>
      <c r="J253" t="s">
        <v>12581</v>
      </c>
      <c r="K253" t="s">
        <v>74</v>
      </c>
      <c r="L253" t="s">
        <v>74</v>
      </c>
      <c r="M253" t="s">
        <v>74</v>
      </c>
      <c r="N253" t="s">
        <v>103</v>
      </c>
      <c r="O253" t="s">
        <v>74</v>
      </c>
      <c r="P253" t="s">
        <v>74</v>
      </c>
      <c r="Q253" t="s">
        <v>74</v>
      </c>
      <c r="R253" t="s">
        <v>74</v>
      </c>
      <c r="S253" t="s">
        <v>74</v>
      </c>
      <c r="T253" t="s">
        <v>12582</v>
      </c>
      <c r="U253" t="s">
        <v>74</v>
      </c>
      <c r="V253" t="s">
        <v>12583</v>
      </c>
      <c r="W253" t="s">
        <v>12584</v>
      </c>
      <c r="X253" t="s">
        <v>12585</v>
      </c>
      <c r="Y253" t="s">
        <v>12586</v>
      </c>
      <c r="Z253" t="s">
        <v>12587</v>
      </c>
      <c r="AA253" t="s">
        <v>74</v>
      </c>
      <c r="AB253" t="s">
        <v>74</v>
      </c>
      <c r="AC253" t="s">
        <v>74</v>
      </c>
      <c r="AD253" t="s">
        <v>74</v>
      </c>
      <c r="AE253" t="s">
        <v>74</v>
      </c>
      <c r="AF253" t="s">
        <v>74</v>
      </c>
      <c r="AG253">
        <v>0</v>
      </c>
      <c r="AH253">
        <v>79</v>
      </c>
      <c r="AI253">
        <v>83</v>
      </c>
      <c r="AJ253">
        <v>1</v>
      </c>
      <c r="AK253">
        <v>24</v>
      </c>
      <c r="AL253" t="s">
        <v>74</v>
      </c>
      <c r="AM253" t="s">
        <v>74</v>
      </c>
      <c r="AN253" t="s">
        <v>74</v>
      </c>
      <c r="AO253" t="s">
        <v>12588</v>
      </c>
      <c r="AP253" t="s">
        <v>12589</v>
      </c>
      <c r="AQ253" t="s">
        <v>74</v>
      </c>
      <c r="AR253" t="s">
        <v>74</v>
      </c>
      <c r="AS253" t="s">
        <v>74</v>
      </c>
      <c r="AT253" t="s">
        <v>6218</v>
      </c>
      <c r="AU253">
        <v>2009</v>
      </c>
      <c r="AV253">
        <v>5</v>
      </c>
      <c r="AW253">
        <v>4</v>
      </c>
      <c r="AX253" t="s">
        <v>74</v>
      </c>
      <c r="AY253" t="s">
        <v>74</v>
      </c>
      <c r="AZ253" t="s">
        <v>74</v>
      </c>
      <c r="BA253" t="s">
        <v>74</v>
      </c>
      <c r="BB253">
        <v>563</v>
      </c>
      <c r="BC253">
        <v>564</v>
      </c>
      <c r="BD253" t="s">
        <v>74</v>
      </c>
      <c r="BE253" t="s">
        <v>12590</v>
      </c>
      <c r="BF253" t="str">
        <f>HYPERLINK("http://dx.doi.org/10.4161/auto.5.4.8163","http://dx.doi.org/10.4161/auto.5.4.8163")</f>
        <v>http://dx.doi.org/10.4161/auto.5.4.8163</v>
      </c>
      <c r="BG253" t="s">
        <v>74</v>
      </c>
      <c r="BH253" t="s">
        <v>74</v>
      </c>
      <c r="BI253" t="s">
        <v>74</v>
      </c>
      <c r="BJ253" t="s">
        <v>135</v>
      </c>
      <c r="BK253" t="s">
        <v>117</v>
      </c>
      <c r="BL253" t="s">
        <v>135</v>
      </c>
      <c r="BM253" t="s">
        <v>74</v>
      </c>
      <c r="BN253">
        <v>19270489</v>
      </c>
      <c r="BO253" t="s">
        <v>74</v>
      </c>
      <c r="BP253" t="s">
        <v>74</v>
      </c>
      <c r="BQ253" t="s">
        <v>74</v>
      </c>
      <c r="BR253" t="s">
        <v>96</v>
      </c>
      <c r="BS253" t="s">
        <v>12591</v>
      </c>
      <c r="BT253" t="str">
        <f>HYPERLINK("https%3A%2F%2Fwww.webofscience.com%2Fwos%2Fwoscc%2Ffull-record%2FWOS:000266118900023","View Full Record in Web of Science")</f>
        <v>View Full Record in Web of Science</v>
      </c>
    </row>
    <row r="254" spans="1:72" x14ac:dyDescent="0.15">
      <c r="A254" t="s">
        <v>98</v>
      </c>
      <c r="B254" t="s">
        <v>13969</v>
      </c>
      <c r="C254" t="s">
        <v>74</v>
      </c>
      <c r="D254" t="s">
        <v>74</v>
      </c>
      <c r="E254" t="s">
        <v>74</v>
      </c>
      <c r="F254" t="s">
        <v>13970</v>
      </c>
      <c r="G254" t="s">
        <v>74</v>
      </c>
      <c r="H254" t="s">
        <v>74</v>
      </c>
      <c r="I254" t="s">
        <v>13971</v>
      </c>
      <c r="J254" t="s">
        <v>13972</v>
      </c>
      <c r="K254" t="s">
        <v>74</v>
      </c>
      <c r="L254" t="s">
        <v>74</v>
      </c>
      <c r="M254" t="s">
        <v>74</v>
      </c>
      <c r="N254" t="s">
        <v>103</v>
      </c>
      <c r="O254" t="s">
        <v>74</v>
      </c>
      <c r="P254" t="s">
        <v>74</v>
      </c>
      <c r="Q254" t="s">
        <v>74</v>
      </c>
      <c r="R254" t="s">
        <v>74</v>
      </c>
      <c r="S254" t="s">
        <v>74</v>
      </c>
      <c r="T254" t="s">
        <v>13973</v>
      </c>
      <c r="U254" t="s">
        <v>13974</v>
      </c>
      <c r="V254" t="s">
        <v>13975</v>
      </c>
      <c r="W254" t="s">
        <v>13976</v>
      </c>
      <c r="X254" t="s">
        <v>13977</v>
      </c>
      <c r="Y254" t="s">
        <v>13978</v>
      </c>
      <c r="Z254" t="s">
        <v>13979</v>
      </c>
      <c r="AA254" t="s">
        <v>74</v>
      </c>
      <c r="AB254" t="s">
        <v>74</v>
      </c>
      <c r="AC254" t="s">
        <v>74</v>
      </c>
      <c r="AD254" t="s">
        <v>74</v>
      </c>
      <c r="AE254" t="s">
        <v>74</v>
      </c>
      <c r="AF254" t="s">
        <v>74</v>
      </c>
      <c r="AG254">
        <v>48</v>
      </c>
      <c r="AH254">
        <v>79</v>
      </c>
      <c r="AI254">
        <v>82</v>
      </c>
      <c r="AJ254">
        <v>2</v>
      </c>
      <c r="AK254">
        <v>13</v>
      </c>
      <c r="AL254" t="s">
        <v>74</v>
      </c>
      <c r="AM254" t="s">
        <v>74</v>
      </c>
      <c r="AN254" t="s">
        <v>74</v>
      </c>
      <c r="AO254" t="s">
        <v>74</v>
      </c>
      <c r="AP254" t="s">
        <v>13980</v>
      </c>
      <c r="AQ254" t="s">
        <v>74</v>
      </c>
      <c r="AR254" t="s">
        <v>74</v>
      </c>
      <c r="AS254" t="s">
        <v>74</v>
      </c>
      <c r="AT254" t="s">
        <v>74</v>
      </c>
      <c r="AU254">
        <v>2016</v>
      </c>
      <c r="AV254">
        <v>36</v>
      </c>
      <c r="AW254" t="s">
        <v>74</v>
      </c>
      <c r="AX254" t="s">
        <v>74</v>
      </c>
      <c r="AY254" t="s">
        <v>74</v>
      </c>
      <c r="AZ254" t="s">
        <v>74</v>
      </c>
      <c r="BA254" t="s">
        <v>74</v>
      </c>
      <c r="BB254" t="s">
        <v>74</v>
      </c>
      <c r="BC254" t="s">
        <v>74</v>
      </c>
      <c r="BD254">
        <v>26</v>
      </c>
      <c r="BE254" t="s">
        <v>13981</v>
      </c>
      <c r="BF254" t="str">
        <f>HYPERLINK("http://dx.doi.org/10.1186/s41232-016-0030-5","http://dx.doi.org/10.1186/s41232-016-0030-5")</f>
        <v>http://dx.doi.org/10.1186/s41232-016-0030-5</v>
      </c>
      <c r="BG254" t="s">
        <v>74</v>
      </c>
      <c r="BH254" t="s">
        <v>74</v>
      </c>
      <c r="BI254" t="s">
        <v>74</v>
      </c>
      <c r="BJ254" t="s">
        <v>1496</v>
      </c>
      <c r="BK254" t="s">
        <v>467</v>
      </c>
      <c r="BL254" t="s">
        <v>1497</v>
      </c>
      <c r="BM254" t="s">
        <v>74</v>
      </c>
      <c r="BN254">
        <v>29259699</v>
      </c>
      <c r="BO254" t="s">
        <v>74</v>
      </c>
      <c r="BP254" t="s">
        <v>74</v>
      </c>
      <c r="BQ254" t="s">
        <v>74</v>
      </c>
      <c r="BR254" t="s">
        <v>96</v>
      </c>
      <c r="BS254" t="s">
        <v>13982</v>
      </c>
      <c r="BT254" t="str">
        <f>HYPERLINK("https%3A%2F%2Fwww.webofscience.com%2Fwos%2Fwoscc%2Ffull-record%2FWOS:000449587700026","View Full Record in Web of Science")</f>
        <v>View Full Record in Web of Science</v>
      </c>
    </row>
    <row r="255" spans="1:72" x14ac:dyDescent="0.15">
      <c r="A255" t="s">
        <v>98</v>
      </c>
      <c r="B255" t="s">
        <v>19404</v>
      </c>
      <c r="C255" t="s">
        <v>74</v>
      </c>
      <c r="D255" t="s">
        <v>74</v>
      </c>
      <c r="E255" t="s">
        <v>74</v>
      </c>
      <c r="F255" t="s">
        <v>19405</v>
      </c>
      <c r="G255" t="s">
        <v>74</v>
      </c>
      <c r="H255" t="s">
        <v>74</v>
      </c>
      <c r="I255" t="s">
        <v>19406</v>
      </c>
      <c r="J255" t="s">
        <v>14455</v>
      </c>
      <c r="K255" t="s">
        <v>74</v>
      </c>
      <c r="L255" t="s">
        <v>74</v>
      </c>
      <c r="M255" t="s">
        <v>74</v>
      </c>
      <c r="N255" t="s">
        <v>103</v>
      </c>
      <c r="O255" t="s">
        <v>74</v>
      </c>
      <c r="P255" t="s">
        <v>74</v>
      </c>
      <c r="Q255" t="s">
        <v>74</v>
      </c>
      <c r="R255" t="s">
        <v>74</v>
      </c>
      <c r="S255" t="s">
        <v>74</v>
      </c>
      <c r="T255" t="s">
        <v>74</v>
      </c>
      <c r="U255" t="s">
        <v>19407</v>
      </c>
      <c r="V255" t="s">
        <v>19408</v>
      </c>
      <c r="W255" t="s">
        <v>19409</v>
      </c>
      <c r="X255" t="s">
        <v>19410</v>
      </c>
      <c r="Y255" t="s">
        <v>19411</v>
      </c>
      <c r="Z255" t="s">
        <v>16893</v>
      </c>
      <c r="AA255" t="s">
        <v>19412</v>
      </c>
      <c r="AB255" t="s">
        <v>19413</v>
      </c>
      <c r="AC255" t="s">
        <v>74</v>
      </c>
      <c r="AD255" t="s">
        <v>74</v>
      </c>
      <c r="AE255" t="s">
        <v>74</v>
      </c>
      <c r="AF255" t="s">
        <v>74</v>
      </c>
      <c r="AG255">
        <v>64</v>
      </c>
      <c r="AH255">
        <v>79</v>
      </c>
      <c r="AI255">
        <v>83</v>
      </c>
      <c r="AJ255">
        <v>0</v>
      </c>
      <c r="AK255">
        <v>12</v>
      </c>
      <c r="AL255" t="s">
        <v>74</v>
      </c>
      <c r="AM255" t="s">
        <v>74</v>
      </c>
      <c r="AN255" t="s">
        <v>74</v>
      </c>
      <c r="AO255" t="s">
        <v>14464</v>
      </c>
      <c r="AP255" t="s">
        <v>14465</v>
      </c>
      <c r="AQ255" t="s">
        <v>74</v>
      </c>
      <c r="AR255" t="s">
        <v>74</v>
      </c>
      <c r="AS255" t="s">
        <v>74</v>
      </c>
      <c r="AT255" t="s">
        <v>565</v>
      </c>
      <c r="AU255">
        <v>2011</v>
      </c>
      <c r="AV255">
        <v>13</v>
      </c>
      <c r="AW255">
        <v>3</v>
      </c>
      <c r="AX255" t="s">
        <v>74</v>
      </c>
      <c r="AY255" t="s">
        <v>74</v>
      </c>
      <c r="AZ255" t="s">
        <v>74</v>
      </c>
      <c r="BA255" t="s">
        <v>74</v>
      </c>
      <c r="BB255">
        <v>432</v>
      </c>
      <c r="BC255">
        <v>449</v>
      </c>
      <c r="BD255" t="s">
        <v>74</v>
      </c>
      <c r="BE255" t="s">
        <v>19414</v>
      </c>
      <c r="BF255" t="str">
        <f>HYPERLINK("http://dx.doi.org/10.1111/j.1462-5822.2010.01546.x","http://dx.doi.org/10.1111/j.1462-5822.2010.01546.x")</f>
        <v>http://dx.doi.org/10.1111/j.1462-5822.2010.01546.x</v>
      </c>
      <c r="BG255" t="s">
        <v>74</v>
      </c>
      <c r="BH255" t="s">
        <v>74</v>
      </c>
      <c r="BI255" t="s">
        <v>74</v>
      </c>
      <c r="BJ255" t="s">
        <v>14467</v>
      </c>
      <c r="BK255" t="s">
        <v>117</v>
      </c>
      <c r="BL255" t="s">
        <v>14467</v>
      </c>
      <c r="BM255" t="s">
        <v>74</v>
      </c>
      <c r="BN255">
        <v>21044239</v>
      </c>
      <c r="BO255" t="s">
        <v>74</v>
      </c>
      <c r="BP255" t="s">
        <v>74</v>
      </c>
      <c r="BQ255" t="s">
        <v>74</v>
      </c>
      <c r="BR255" t="s">
        <v>96</v>
      </c>
      <c r="BS255" t="s">
        <v>19415</v>
      </c>
      <c r="BT255" t="str">
        <f>HYPERLINK("https%3A%2F%2Fwww.webofscience.com%2Fwos%2Fwoscc%2Ffull-record%2FWOS:000287317100010","View Full Record in Web of Science")</f>
        <v>View Full Record in Web of Science</v>
      </c>
    </row>
    <row r="256" spans="1:72" x14ac:dyDescent="0.15">
      <c r="A256" t="s">
        <v>98</v>
      </c>
      <c r="B256" t="s">
        <v>22231</v>
      </c>
      <c r="C256" t="s">
        <v>74</v>
      </c>
      <c r="D256" t="s">
        <v>74</v>
      </c>
      <c r="E256" t="s">
        <v>74</v>
      </c>
      <c r="F256" t="s">
        <v>22231</v>
      </c>
      <c r="G256" t="s">
        <v>74</v>
      </c>
      <c r="H256" t="s">
        <v>74</v>
      </c>
      <c r="I256" t="s">
        <v>22232</v>
      </c>
      <c r="J256" t="s">
        <v>11436</v>
      </c>
      <c r="K256" t="s">
        <v>74</v>
      </c>
      <c r="L256" t="s">
        <v>74</v>
      </c>
      <c r="M256" t="s">
        <v>74</v>
      </c>
      <c r="N256" t="s">
        <v>103</v>
      </c>
      <c r="O256" t="s">
        <v>74</v>
      </c>
      <c r="P256" t="s">
        <v>74</v>
      </c>
      <c r="Q256" t="s">
        <v>74</v>
      </c>
      <c r="R256" t="s">
        <v>74</v>
      </c>
      <c r="S256" t="s">
        <v>74</v>
      </c>
      <c r="T256" t="s">
        <v>74</v>
      </c>
      <c r="U256" t="s">
        <v>22233</v>
      </c>
      <c r="V256" t="s">
        <v>22234</v>
      </c>
      <c r="W256" t="s">
        <v>22235</v>
      </c>
      <c r="X256" t="s">
        <v>22236</v>
      </c>
      <c r="Y256" t="s">
        <v>22237</v>
      </c>
      <c r="Z256" t="s">
        <v>22238</v>
      </c>
      <c r="AA256" t="s">
        <v>74</v>
      </c>
      <c r="AB256" t="s">
        <v>22239</v>
      </c>
      <c r="AC256" t="s">
        <v>74</v>
      </c>
      <c r="AD256" t="s">
        <v>74</v>
      </c>
      <c r="AE256" t="s">
        <v>74</v>
      </c>
      <c r="AF256" t="s">
        <v>74</v>
      </c>
      <c r="AG256">
        <v>60</v>
      </c>
      <c r="AH256">
        <v>79</v>
      </c>
      <c r="AI256">
        <v>84</v>
      </c>
      <c r="AJ256">
        <v>1</v>
      </c>
      <c r="AK256">
        <v>9</v>
      </c>
      <c r="AL256" t="s">
        <v>74</v>
      </c>
      <c r="AM256" t="s">
        <v>74</v>
      </c>
      <c r="AN256" t="s">
        <v>74</v>
      </c>
      <c r="AO256" t="s">
        <v>11443</v>
      </c>
      <c r="AP256" t="s">
        <v>11444</v>
      </c>
      <c r="AQ256" t="s">
        <v>74</v>
      </c>
      <c r="AR256" t="s">
        <v>74</v>
      </c>
      <c r="AS256" t="s">
        <v>74</v>
      </c>
      <c r="AT256" t="s">
        <v>1029</v>
      </c>
      <c r="AU256">
        <v>2000</v>
      </c>
      <c r="AV256">
        <v>11</v>
      </c>
      <c r="AW256">
        <v>5</v>
      </c>
      <c r="AX256" t="s">
        <v>74</v>
      </c>
      <c r="AY256" t="s">
        <v>74</v>
      </c>
      <c r="AZ256" t="s">
        <v>74</v>
      </c>
      <c r="BA256" t="s">
        <v>74</v>
      </c>
      <c r="BB256">
        <v>1789</v>
      </c>
      <c r="BC256">
        <v>1800</v>
      </c>
      <c r="BD256" t="s">
        <v>74</v>
      </c>
      <c r="BE256" t="s">
        <v>22240</v>
      </c>
      <c r="BF256" t="str">
        <f>HYPERLINK("http://dx.doi.org/10.1091/mbc.11.5.1789","http://dx.doi.org/10.1091/mbc.11.5.1789")</f>
        <v>http://dx.doi.org/10.1091/mbc.11.5.1789</v>
      </c>
      <c r="BG256" t="s">
        <v>74</v>
      </c>
      <c r="BH256" t="s">
        <v>74</v>
      </c>
      <c r="BI256" t="s">
        <v>74</v>
      </c>
      <c r="BJ256" t="s">
        <v>135</v>
      </c>
      <c r="BK256" t="s">
        <v>117</v>
      </c>
      <c r="BL256" t="s">
        <v>135</v>
      </c>
      <c r="BM256" t="s">
        <v>74</v>
      </c>
      <c r="BN256">
        <v>10793152</v>
      </c>
      <c r="BO256" t="s">
        <v>74</v>
      </c>
      <c r="BP256" t="s">
        <v>74</v>
      </c>
      <c r="BQ256" t="s">
        <v>74</v>
      </c>
      <c r="BR256" t="s">
        <v>96</v>
      </c>
      <c r="BS256" t="s">
        <v>22241</v>
      </c>
      <c r="BT256" t="str">
        <f>HYPERLINK("https%3A%2F%2Fwww.webofscience.com%2Fwos%2Fwoscc%2Ffull-record%2FWOS:000087049700023","View Full Record in Web of Science")</f>
        <v>View Full Record in Web of Science</v>
      </c>
    </row>
    <row r="257" spans="1:72" x14ac:dyDescent="0.15">
      <c r="A257" t="s">
        <v>98</v>
      </c>
      <c r="B257" t="s">
        <v>27127</v>
      </c>
      <c r="C257" t="s">
        <v>74</v>
      </c>
      <c r="D257" t="s">
        <v>74</v>
      </c>
      <c r="E257" t="s">
        <v>74</v>
      </c>
      <c r="F257" t="s">
        <v>27128</v>
      </c>
      <c r="G257" t="s">
        <v>74</v>
      </c>
      <c r="H257" t="s">
        <v>74</v>
      </c>
      <c r="I257" t="s">
        <v>27129</v>
      </c>
      <c r="J257" t="s">
        <v>27130</v>
      </c>
      <c r="K257" t="s">
        <v>74</v>
      </c>
      <c r="L257" t="s">
        <v>74</v>
      </c>
      <c r="M257" t="s">
        <v>74</v>
      </c>
      <c r="N257" t="s">
        <v>103</v>
      </c>
      <c r="O257" t="s">
        <v>74</v>
      </c>
      <c r="P257" t="s">
        <v>74</v>
      </c>
      <c r="Q257" t="s">
        <v>74</v>
      </c>
      <c r="R257" t="s">
        <v>74</v>
      </c>
      <c r="S257" t="s">
        <v>74</v>
      </c>
      <c r="T257" t="s">
        <v>27131</v>
      </c>
      <c r="U257" t="s">
        <v>27132</v>
      </c>
      <c r="V257" t="s">
        <v>27133</v>
      </c>
      <c r="W257" t="s">
        <v>27134</v>
      </c>
      <c r="X257" t="s">
        <v>27135</v>
      </c>
      <c r="Y257" t="s">
        <v>27136</v>
      </c>
      <c r="Z257" t="s">
        <v>27137</v>
      </c>
      <c r="AA257" t="s">
        <v>27138</v>
      </c>
      <c r="AB257" t="s">
        <v>27139</v>
      </c>
      <c r="AC257" t="s">
        <v>74</v>
      </c>
      <c r="AD257" t="s">
        <v>74</v>
      </c>
      <c r="AE257" t="s">
        <v>74</v>
      </c>
      <c r="AF257" t="s">
        <v>74</v>
      </c>
      <c r="AG257">
        <v>32</v>
      </c>
      <c r="AH257">
        <v>79</v>
      </c>
      <c r="AI257">
        <v>80</v>
      </c>
      <c r="AJ257">
        <v>0</v>
      </c>
      <c r="AK257">
        <v>9</v>
      </c>
      <c r="AL257" t="s">
        <v>74</v>
      </c>
      <c r="AM257" t="s">
        <v>74</v>
      </c>
      <c r="AN257" t="s">
        <v>74</v>
      </c>
      <c r="AO257" t="s">
        <v>27140</v>
      </c>
      <c r="AP257" t="s">
        <v>74</v>
      </c>
      <c r="AQ257" t="s">
        <v>74</v>
      </c>
      <c r="AR257" t="s">
        <v>74</v>
      </c>
      <c r="AS257" t="s">
        <v>74</v>
      </c>
      <c r="AT257" t="s">
        <v>565</v>
      </c>
      <c r="AU257">
        <v>2012</v>
      </c>
      <c r="AV257">
        <v>2</v>
      </c>
      <c r="AW257" t="s">
        <v>74</v>
      </c>
      <c r="AX257" t="s">
        <v>74</v>
      </c>
      <c r="AY257" t="s">
        <v>74</v>
      </c>
      <c r="AZ257" t="s">
        <v>74</v>
      </c>
      <c r="BA257" t="s">
        <v>74</v>
      </c>
      <c r="BB257" t="s">
        <v>74</v>
      </c>
      <c r="BC257" t="s">
        <v>74</v>
      </c>
      <c r="BD257">
        <v>120014</v>
      </c>
      <c r="BE257" t="s">
        <v>27141</v>
      </c>
      <c r="BF257" t="str">
        <f>HYPERLINK("http://dx.doi.org/10.1098/rsob.120014","http://dx.doi.org/10.1098/rsob.120014")</f>
        <v>http://dx.doi.org/10.1098/rsob.120014</v>
      </c>
      <c r="BG257" t="s">
        <v>74</v>
      </c>
      <c r="BH257" t="s">
        <v>74</v>
      </c>
      <c r="BI257" t="s">
        <v>74</v>
      </c>
      <c r="BJ257" t="s">
        <v>95</v>
      </c>
      <c r="BK257" t="s">
        <v>117</v>
      </c>
      <c r="BL257" t="s">
        <v>95</v>
      </c>
      <c r="BM257" t="s">
        <v>74</v>
      </c>
      <c r="BN257">
        <v>22645662</v>
      </c>
      <c r="BO257" t="s">
        <v>74</v>
      </c>
      <c r="BP257" t="s">
        <v>74</v>
      </c>
      <c r="BQ257" t="s">
        <v>74</v>
      </c>
      <c r="BR257" t="s">
        <v>96</v>
      </c>
      <c r="BS257" t="s">
        <v>27142</v>
      </c>
      <c r="BT257" t="str">
        <f>HYPERLINK("https%3A%2F%2Fwww.webofscience.com%2Fwos%2Fwoscc%2Ffull-record%2FWOS:000307111800001","View Full Record in Web of Science")</f>
        <v>View Full Record in Web of Science</v>
      </c>
    </row>
    <row r="258" spans="1:72" x14ac:dyDescent="0.15">
      <c r="A258" t="s">
        <v>98</v>
      </c>
      <c r="B258" t="s">
        <v>8760</v>
      </c>
      <c r="C258" t="s">
        <v>74</v>
      </c>
      <c r="D258" t="s">
        <v>74</v>
      </c>
      <c r="E258" t="s">
        <v>74</v>
      </c>
      <c r="F258" t="s">
        <v>8761</v>
      </c>
      <c r="G258" t="s">
        <v>74</v>
      </c>
      <c r="H258" t="s">
        <v>74</v>
      </c>
      <c r="I258" t="s">
        <v>8762</v>
      </c>
      <c r="J258" t="s">
        <v>8763</v>
      </c>
      <c r="K258" t="s">
        <v>74</v>
      </c>
      <c r="L258" t="s">
        <v>74</v>
      </c>
      <c r="M258" t="s">
        <v>74</v>
      </c>
      <c r="N258" t="s">
        <v>103</v>
      </c>
      <c r="O258" t="s">
        <v>74</v>
      </c>
      <c r="P258" t="s">
        <v>74</v>
      </c>
      <c r="Q258" t="s">
        <v>74</v>
      </c>
      <c r="R258" t="s">
        <v>74</v>
      </c>
      <c r="S258" t="s">
        <v>74</v>
      </c>
      <c r="T258" t="s">
        <v>74</v>
      </c>
      <c r="U258" t="s">
        <v>8764</v>
      </c>
      <c r="V258" t="s">
        <v>8765</v>
      </c>
      <c r="W258" t="s">
        <v>8766</v>
      </c>
      <c r="X258" t="s">
        <v>8767</v>
      </c>
      <c r="Y258" t="s">
        <v>8768</v>
      </c>
      <c r="Z258" t="s">
        <v>8769</v>
      </c>
      <c r="AA258" t="s">
        <v>8770</v>
      </c>
      <c r="AB258" t="s">
        <v>8771</v>
      </c>
      <c r="AC258" t="s">
        <v>74</v>
      </c>
      <c r="AD258" t="s">
        <v>74</v>
      </c>
      <c r="AE258" t="s">
        <v>74</v>
      </c>
      <c r="AF258" t="s">
        <v>74</v>
      </c>
      <c r="AG258">
        <v>37</v>
      </c>
      <c r="AH258">
        <v>78</v>
      </c>
      <c r="AI258">
        <v>79</v>
      </c>
      <c r="AJ258">
        <v>1</v>
      </c>
      <c r="AK258">
        <v>37</v>
      </c>
      <c r="AL258" t="s">
        <v>74</v>
      </c>
      <c r="AM258" t="s">
        <v>74</v>
      </c>
      <c r="AN258" t="s">
        <v>74</v>
      </c>
      <c r="AO258" t="s">
        <v>8772</v>
      </c>
      <c r="AP258" t="s">
        <v>8773</v>
      </c>
      <c r="AQ258" t="s">
        <v>74</v>
      </c>
      <c r="AR258" t="s">
        <v>74</v>
      </c>
      <c r="AS258" t="s">
        <v>74</v>
      </c>
      <c r="AT258" t="s">
        <v>614</v>
      </c>
      <c r="AU258">
        <v>2014</v>
      </c>
      <c r="AV258">
        <v>93</v>
      </c>
      <c r="AW258">
        <v>1</v>
      </c>
      <c r="AX258" t="s">
        <v>74</v>
      </c>
      <c r="AY258" t="s">
        <v>74</v>
      </c>
      <c r="AZ258" t="s">
        <v>74</v>
      </c>
      <c r="BA258" t="s">
        <v>74</v>
      </c>
      <c r="BB258">
        <v>183</v>
      </c>
      <c r="BC258">
        <v>198</v>
      </c>
      <c r="BD258" t="s">
        <v>74</v>
      </c>
      <c r="BE258" t="s">
        <v>8774</v>
      </c>
      <c r="BF258" t="str">
        <f>HYPERLINK("http://dx.doi.org/10.1111/mmi.12650","http://dx.doi.org/10.1111/mmi.12650")</f>
        <v>http://dx.doi.org/10.1111/mmi.12650</v>
      </c>
      <c r="BG258" t="s">
        <v>74</v>
      </c>
      <c r="BH258" t="s">
        <v>74</v>
      </c>
      <c r="BI258" t="s">
        <v>74</v>
      </c>
      <c r="BJ258" t="s">
        <v>8775</v>
      </c>
      <c r="BK258" t="s">
        <v>117</v>
      </c>
      <c r="BL258" t="s">
        <v>8775</v>
      </c>
      <c r="BM258" t="s">
        <v>74</v>
      </c>
      <c r="BN258">
        <v>24826903</v>
      </c>
      <c r="BO258" t="s">
        <v>74</v>
      </c>
      <c r="BP258" t="s">
        <v>74</v>
      </c>
      <c r="BQ258" t="s">
        <v>74</v>
      </c>
      <c r="BR258" t="s">
        <v>96</v>
      </c>
      <c r="BS258" t="s">
        <v>8776</v>
      </c>
      <c r="BT258" t="str">
        <f>HYPERLINK("https%3A%2F%2Fwww.webofscience.com%2Fwos%2Fwoscc%2Ffull-record%2FWOS:000339481300013","View Full Record in Web of Science")</f>
        <v>View Full Record in Web of Science</v>
      </c>
    </row>
    <row r="259" spans="1:72" x14ac:dyDescent="0.15">
      <c r="A259" t="s">
        <v>98</v>
      </c>
      <c r="B259" t="s">
        <v>22444</v>
      </c>
      <c r="C259" t="s">
        <v>74</v>
      </c>
      <c r="D259" t="s">
        <v>74</v>
      </c>
      <c r="E259" t="s">
        <v>74</v>
      </c>
      <c r="F259" t="s">
        <v>22445</v>
      </c>
      <c r="G259" t="s">
        <v>74</v>
      </c>
      <c r="H259" t="s">
        <v>74</v>
      </c>
      <c r="I259" t="s">
        <v>22446</v>
      </c>
      <c r="J259" t="s">
        <v>1073</v>
      </c>
      <c r="K259" t="s">
        <v>74</v>
      </c>
      <c r="L259" t="s">
        <v>74</v>
      </c>
      <c r="M259" t="s">
        <v>74</v>
      </c>
      <c r="N259" t="s">
        <v>103</v>
      </c>
      <c r="O259" t="s">
        <v>74</v>
      </c>
      <c r="P259" t="s">
        <v>74</v>
      </c>
      <c r="Q259" t="s">
        <v>74</v>
      </c>
      <c r="R259" t="s">
        <v>74</v>
      </c>
      <c r="S259" t="s">
        <v>74</v>
      </c>
      <c r="T259" t="s">
        <v>74</v>
      </c>
      <c r="U259" t="s">
        <v>22447</v>
      </c>
      <c r="V259" t="s">
        <v>22448</v>
      </c>
      <c r="W259" t="s">
        <v>22449</v>
      </c>
      <c r="X259" t="s">
        <v>22450</v>
      </c>
      <c r="Y259" t="s">
        <v>22451</v>
      </c>
      <c r="Z259" t="s">
        <v>22452</v>
      </c>
      <c r="AA259" t="s">
        <v>22453</v>
      </c>
      <c r="AB259" t="s">
        <v>22454</v>
      </c>
      <c r="AC259" t="s">
        <v>74</v>
      </c>
      <c r="AD259" t="s">
        <v>74</v>
      </c>
      <c r="AE259" t="s">
        <v>74</v>
      </c>
      <c r="AF259" t="s">
        <v>74</v>
      </c>
      <c r="AG259">
        <v>60</v>
      </c>
      <c r="AH259">
        <v>78</v>
      </c>
      <c r="AI259">
        <v>80</v>
      </c>
      <c r="AJ259">
        <v>2</v>
      </c>
      <c r="AK259">
        <v>53</v>
      </c>
      <c r="AL259" t="s">
        <v>74</v>
      </c>
      <c r="AM259" t="s">
        <v>74</v>
      </c>
      <c r="AN259" t="s">
        <v>74</v>
      </c>
      <c r="AO259" t="s">
        <v>1082</v>
      </c>
      <c r="AP259" t="s">
        <v>74</v>
      </c>
      <c r="AQ259" t="s">
        <v>74</v>
      </c>
      <c r="AR259" t="s">
        <v>74</v>
      </c>
      <c r="AS259" t="s">
        <v>74</v>
      </c>
      <c r="AT259" t="s">
        <v>13312</v>
      </c>
      <c r="AU259">
        <v>2012</v>
      </c>
      <c r="AV259">
        <v>7</v>
      </c>
      <c r="AW259">
        <v>12</v>
      </c>
      <c r="AX259" t="s">
        <v>74</v>
      </c>
      <c r="AY259" t="s">
        <v>74</v>
      </c>
      <c r="AZ259" t="s">
        <v>74</v>
      </c>
      <c r="BA259" t="s">
        <v>74</v>
      </c>
      <c r="BB259" t="s">
        <v>74</v>
      </c>
      <c r="BC259" t="s">
        <v>74</v>
      </c>
      <c r="BD259" t="s">
        <v>22455</v>
      </c>
      <c r="BE259" t="s">
        <v>22456</v>
      </c>
      <c r="BF259" t="str">
        <f>HYPERLINK("http://dx.doi.org/10.1371/journal.pone.0051241","http://dx.doi.org/10.1371/journal.pone.0051241")</f>
        <v>http://dx.doi.org/10.1371/journal.pone.0051241</v>
      </c>
      <c r="BG259" t="s">
        <v>74</v>
      </c>
      <c r="BH259" t="s">
        <v>74</v>
      </c>
      <c r="BI259" t="s">
        <v>74</v>
      </c>
      <c r="BJ259" t="s">
        <v>152</v>
      </c>
      <c r="BK259" t="s">
        <v>117</v>
      </c>
      <c r="BL259" t="s">
        <v>153</v>
      </c>
      <c r="BM259" t="s">
        <v>74</v>
      </c>
      <c r="BN259">
        <v>23284671</v>
      </c>
      <c r="BO259" t="s">
        <v>74</v>
      </c>
      <c r="BP259" t="s">
        <v>74</v>
      </c>
      <c r="BQ259" t="s">
        <v>74</v>
      </c>
      <c r="BR259" t="s">
        <v>96</v>
      </c>
      <c r="BS259" t="s">
        <v>22457</v>
      </c>
      <c r="BT259" t="str">
        <f>HYPERLINK("https%3A%2F%2Fwww.webofscience.com%2Fwos%2Fwoscc%2Ffull-record%2FWOS:000313051500008","View Full Record in Web of Science")</f>
        <v>View Full Record in Web of Science</v>
      </c>
    </row>
    <row r="260" spans="1:72" x14ac:dyDescent="0.15">
      <c r="A260" t="s">
        <v>98</v>
      </c>
      <c r="B260" t="s">
        <v>23201</v>
      </c>
      <c r="C260" t="s">
        <v>74</v>
      </c>
      <c r="D260" t="s">
        <v>74</v>
      </c>
      <c r="E260" t="s">
        <v>74</v>
      </c>
      <c r="F260" t="s">
        <v>23201</v>
      </c>
      <c r="G260" t="s">
        <v>74</v>
      </c>
      <c r="H260" t="s">
        <v>74</v>
      </c>
      <c r="I260" t="s">
        <v>23202</v>
      </c>
      <c r="J260" t="s">
        <v>3700</v>
      </c>
      <c r="K260" t="s">
        <v>74</v>
      </c>
      <c r="L260" t="s">
        <v>74</v>
      </c>
      <c r="M260" t="s">
        <v>74</v>
      </c>
      <c r="N260" t="s">
        <v>103</v>
      </c>
      <c r="O260" t="s">
        <v>74</v>
      </c>
      <c r="P260" t="s">
        <v>74</v>
      </c>
      <c r="Q260" t="s">
        <v>74</v>
      </c>
      <c r="R260" t="s">
        <v>74</v>
      </c>
      <c r="S260" t="s">
        <v>74</v>
      </c>
      <c r="T260" t="s">
        <v>74</v>
      </c>
      <c r="U260" t="s">
        <v>23203</v>
      </c>
      <c r="V260" t="s">
        <v>23204</v>
      </c>
      <c r="W260" t="s">
        <v>23205</v>
      </c>
      <c r="X260" t="s">
        <v>23206</v>
      </c>
      <c r="Y260" t="s">
        <v>23207</v>
      </c>
      <c r="Z260" t="s">
        <v>74</v>
      </c>
      <c r="AA260" t="s">
        <v>74</v>
      </c>
      <c r="AB260" t="s">
        <v>74</v>
      </c>
      <c r="AC260" t="s">
        <v>74</v>
      </c>
      <c r="AD260" t="s">
        <v>74</v>
      </c>
      <c r="AE260" t="s">
        <v>74</v>
      </c>
      <c r="AF260" t="s">
        <v>74</v>
      </c>
      <c r="AG260">
        <v>50</v>
      </c>
      <c r="AH260">
        <v>78</v>
      </c>
      <c r="AI260">
        <v>79</v>
      </c>
      <c r="AJ260">
        <v>0</v>
      </c>
      <c r="AK260">
        <v>1</v>
      </c>
      <c r="AL260" t="s">
        <v>74</v>
      </c>
      <c r="AM260" t="s">
        <v>74</v>
      </c>
      <c r="AN260" t="s">
        <v>74</v>
      </c>
      <c r="AO260" t="s">
        <v>3710</v>
      </c>
      <c r="AP260" t="s">
        <v>3711</v>
      </c>
      <c r="AQ260" t="s">
        <v>74</v>
      </c>
      <c r="AR260" t="s">
        <v>74</v>
      </c>
      <c r="AS260" t="s">
        <v>74</v>
      </c>
      <c r="AT260" t="s">
        <v>3660</v>
      </c>
      <c r="AU260">
        <v>1993</v>
      </c>
      <c r="AV260">
        <v>268</v>
      </c>
      <c r="AW260">
        <v>5</v>
      </c>
      <c r="AX260" t="s">
        <v>74</v>
      </c>
      <c r="AY260" t="s">
        <v>74</v>
      </c>
      <c r="AZ260" t="s">
        <v>74</v>
      </c>
      <c r="BA260" t="s">
        <v>74</v>
      </c>
      <c r="BB260">
        <v>3471</v>
      </c>
      <c r="BC260">
        <v>3478</v>
      </c>
      <c r="BD260" t="s">
        <v>74</v>
      </c>
      <c r="BE260" t="s">
        <v>74</v>
      </c>
      <c r="BF260" t="s">
        <v>74</v>
      </c>
      <c r="BG260" t="s">
        <v>74</v>
      </c>
      <c r="BH260" t="s">
        <v>74</v>
      </c>
      <c r="BI260" t="s">
        <v>74</v>
      </c>
      <c r="BJ260" t="s">
        <v>95</v>
      </c>
      <c r="BK260" t="s">
        <v>117</v>
      </c>
      <c r="BL260" t="s">
        <v>95</v>
      </c>
      <c r="BM260" t="s">
        <v>74</v>
      </c>
      <c r="BN260">
        <v>8381430</v>
      </c>
      <c r="BO260" t="s">
        <v>74</v>
      </c>
      <c r="BP260" t="s">
        <v>74</v>
      </c>
      <c r="BQ260" t="s">
        <v>74</v>
      </c>
      <c r="BR260" t="s">
        <v>96</v>
      </c>
      <c r="BS260" t="s">
        <v>23208</v>
      </c>
      <c r="BT260" t="str">
        <f>HYPERLINK("https%3A%2F%2Fwww.webofscience.com%2Fwos%2Fwoscc%2Ffull-record%2FWOS:A1993KM16100070","View Full Record in Web of Science")</f>
        <v>View Full Record in Web of Science</v>
      </c>
    </row>
    <row r="261" spans="1:72" x14ac:dyDescent="0.15">
      <c r="A261" t="s">
        <v>98</v>
      </c>
      <c r="B261" t="s">
        <v>26965</v>
      </c>
      <c r="C261" t="s">
        <v>74</v>
      </c>
      <c r="D261" t="s">
        <v>74</v>
      </c>
      <c r="E261" t="s">
        <v>74</v>
      </c>
      <c r="F261" t="s">
        <v>26966</v>
      </c>
      <c r="G261" t="s">
        <v>74</v>
      </c>
      <c r="H261" t="s">
        <v>74</v>
      </c>
      <c r="I261" t="s">
        <v>26967</v>
      </c>
      <c r="J261" t="s">
        <v>26968</v>
      </c>
      <c r="K261" t="s">
        <v>74</v>
      </c>
      <c r="L261" t="s">
        <v>74</v>
      </c>
      <c r="M261" t="s">
        <v>74</v>
      </c>
      <c r="N261" t="s">
        <v>103</v>
      </c>
      <c r="O261" t="s">
        <v>74</v>
      </c>
      <c r="P261" t="s">
        <v>74</v>
      </c>
      <c r="Q261" t="s">
        <v>74</v>
      </c>
      <c r="R261" t="s">
        <v>74</v>
      </c>
      <c r="S261" t="s">
        <v>74</v>
      </c>
      <c r="T261" t="s">
        <v>26969</v>
      </c>
      <c r="U261" t="s">
        <v>26970</v>
      </c>
      <c r="V261" t="s">
        <v>26971</v>
      </c>
      <c r="W261" t="s">
        <v>26972</v>
      </c>
      <c r="X261" t="s">
        <v>26973</v>
      </c>
      <c r="Y261" t="s">
        <v>26974</v>
      </c>
      <c r="Z261" t="s">
        <v>26975</v>
      </c>
      <c r="AA261" t="s">
        <v>26976</v>
      </c>
      <c r="AB261" t="s">
        <v>26977</v>
      </c>
      <c r="AC261" t="s">
        <v>74</v>
      </c>
      <c r="AD261" t="s">
        <v>74</v>
      </c>
      <c r="AE261" t="s">
        <v>74</v>
      </c>
      <c r="AF261" t="s">
        <v>74</v>
      </c>
      <c r="AG261">
        <v>48</v>
      </c>
      <c r="AH261">
        <v>78</v>
      </c>
      <c r="AI261">
        <v>84</v>
      </c>
      <c r="AJ261">
        <v>1</v>
      </c>
      <c r="AK261">
        <v>12</v>
      </c>
      <c r="AL261" t="s">
        <v>74</v>
      </c>
      <c r="AM261" t="s">
        <v>74</v>
      </c>
      <c r="AN261" t="s">
        <v>74</v>
      </c>
      <c r="AO261" t="s">
        <v>74</v>
      </c>
      <c r="AP261" t="s">
        <v>26978</v>
      </c>
      <c r="AQ261" t="s">
        <v>74</v>
      </c>
      <c r="AR261" t="s">
        <v>74</v>
      </c>
      <c r="AS261" t="s">
        <v>74</v>
      </c>
      <c r="AT261" t="s">
        <v>19330</v>
      </c>
      <c r="AU261">
        <v>2016</v>
      </c>
      <c r="AV261">
        <v>11</v>
      </c>
      <c r="AW261" t="s">
        <v>74</v>
      </c>
      <c r="AX261" t="s">
        <v>74</v>
      </c>
      <c r="AY261" t="s">
        <v>74</v>
      </c>
      <c r="AZ261" t="s">
        <v>74</v>
      </c>
      <c r="BA261" t="s">
        <v>74</v>
      </c>
      <c r="BB261" t="s">
        <v>74</v>
      </c>
      <c r="BC261" t="s">
        <v>74</v>
      </c>
      <c r="BD261">
        <v>61</v>
      </c>
      <c r="BE261" t="s">
        <v>26979</v>
      </c>
      <c r="BF261" t="str">
        <f>HYPERLINK("http://dx.doi.org/10.1186/s13014-016-0636-4","http://dx.doi.org/10.1186/s13014-016-0636-4")</f>
        <v>http://dx.doi.org/10.1186/s13014-016-0636-4</v>
      </c>
      <c r="BG261" t="s">
        <v>74</v>
      </c>
      <c r="BH261" t="s">
        <v>74</v>
      </c>
      <c r="BI261" t="s">
        <v>74</v>
      </c>
      <c r="BJ261" t="s">
        <v>13217</v>
      </c>
      <c r="BK261" t="s">
        <v>117</v>
      </c>
      <c r="BL261" t="s">
        <v>13217</v>
      </c>
      <c r="BM261" t="s">
        <v>74</v>
      </c>
      <c r="BN261">
        <v>27117590</v>
      </c>
      <c r="BO261" t="s">
        <v>74</v>
      </c>
      <c r="BP261" t="s">
        <v>74</v>
      </c>
      <c r="BQ261" t="s">
        <v>74</v>
      </c>
      <c r="BR261" t="s">
        <v>96</v>
      </c>
      <c r="BS261" t="s">
        <v>26980</v>
      </c>
      <c r="BT261" t="str">
        <f>HYPERLINK("https%3A%2F%2Fwww.webofscience.com%2Fwos%2Fwoscc%2Ffull-record%2FWOS:000374929400001","View Full Record in Web of Science")</f>
        <v>View Full Record in Web of Science</v>
      </c>
    </row>
    <row r="262" spans="1:72" x14ac:dyDescent="0.15">
      <c r="A262" t="s">
        <v>98</v>
      </c>
      <c r="B262" t="s">
        <v>11545</v>
      </c>
      <c r="C262" t="s">
        <v>74</v>
      </c>
      <c r="D262" t="s">
        <v>74</v>
      </c>
      <c r="E262" t="s">
        <v>74</v>
      </c>
      <c r="F262" t="s">
        <v>11546</v>
      </c>
      <c r="G262" t="s">
        <v>74</v>
      </c>
      <c r="H262" t="s">
        <v>74</v>
      </c>
      <c r="I262" t="s">
        <v>11547</v>
      </c>
      <c r="J262" t="s">
        <v>1105</v>
      </c>
      <c r="K262" t="s">
        <v>74</v>
      </c>
      <c r="L262" t="s">
        <v>74</v>
      </c>
      <c r="M262" t="s">
        <v>74</v>
      </c>
      <c r="N262" t="s">
        <v>103</v>
      </c>
      <c r="O262" t="s">
        <v>74</v>
      </c>
      <c r="P262" t="s">
        <v>74</v>
      </c>
      <c r="Q262" t="s">
        <v>74</v>
      </c>
      <c r="R262" t="s">
        <v>74</v>
      </c>
      <c r="S262" t="s">
        <v>74</v>
      </c>
      <c r="T262" t="s">
        <v>11548</v>
      </c>
      <c r="U262" t="s">
        <v>11549</v>
      </c>
      <c r="V262" t="s">
        <v>11550</v>
      </c>
      <c r="W262" t="s">
        <v>11551</v>
      </c>
      <c r="X262" t="s">
        <v>11552</v>
      </c>
      <c r="Y262" t="s">
        <v>11553</v>
      </c>
      <c r="Z262" t="s">
        <v>11554</v>
      </c>
      <c r="AA262" t="s">
        <v>74</v>
      </c>
      <c r="AB262" t="s">
        <v>74</v>
      </c>
      <c r="AC262" t="s">
        <v>74</v>
      </c>
      <c r="AD262" t="s">
        <v>74</v>
      </c>
      <c r="AE262" t="s">
        <v>74</v>
      </c>
      <c r="AF262" t="s">
        <v>74</v>
      </c>
      <c r="AG262">
        <v>37</v>
      </c>
      <c r="AH262">
        <v>77</v>
      </c>
      <c r="AI262">
        <v>78</v>
      </c>
      <c r="AJ262">
        <v>16</v>
      </c>
      <c r="AK262">
        <v>315</v>
      </c>
      <c r="AL262" t="s">
        <v>74</v>
      </c>
      <c r="AM262" t="s">
        <v>74</v>
      </c>
      <c r="AN262" t="s">
        <v>74</v>
      </c>
      <c r="AO262" t="s">
        <v>1114</v>
      </c>
      <c r="AP262" t="s">
        <v>1115</v>
      </c>
      <c r="AQ262" t="s">
        <v>74</v>
      </c>
      <c r="AR262" t="s">
        <v>74</v>
      </c>
      <c r="AS262" t="s">
        <v>74</v>
      </c>
      <c r="AT262" t="s">
        <v>549</v>
      </c>
      <c r="AU262">
        <v>2018</v>
      </c>
      <c r="AV262">
        <v>184</v>
      </c>
      <c r="AW262" t="s">
        <v>74</v>
      </c>
      <c r="AX262" t="s">
        <v>74</v>
      </c>
      <c r="AY262" t="s">
        <v>74</v>
      </c>
      <c r="AZ262" t="s">
        <v>74</v>
      </c>
      <c r="BA262" t="s">
        <v>74</v>
      </c>
      <c r="BB262">
        <v>219</v>
      </c>
      <c r="BC262">
        <v>226</v>
      </c>
      <c r="BD262" t="s">
        <v>74</v>
      </c>
      <c r="BE262" t="s">
        <v>11555</v>
      </c>
      <c r="BF262" t="str">
        <f>HYPERLINK("http://dx.doi.org/10.1016/j.talanta.2018.02.083","http://dx.doi.org/10.1016/j.talanta.2018.02.083")</f>
        <v>http://dx.doi.org/10.1016/j.talanta.2018.02.083</v>
      </c>
      <c r="BG262" t="s">
        <v>74</v>
      </c>
      <c r="BH262" t="s">
        <v>74</v>
      </c>
      <c r="BI262" t="s">
        <v>74</v>
      </c>
      <c r="BJ262" t="s">
        <v>1118</v>
      </c>
      <c r="BK262" t="s">
        <v>117</v>
      </c>
      <c r="BL262" t="s">
        <v>1048</v>
      </c>
      <c r="BM262" t="s">
        <v>74</v>
      </c>
      <c r="BN262">
        <v>29674035</v>
      </c>
      <c r="BO262" t="s">
        <v>74</v>
      </c>
      <c r="BP262" t="s">
        <v>74</v>
      </c>
      <c r="BQ262" t="s">
        <v>74</v>
      </c>
      <c r="BR262" t="s">
        <v>96</v>
      </c>
      <c r="BS262" t="s">
        <v>11556</v>
      </c>
      <c r="BT262" t="str">
        <f>HYPERLINK("https%3A%2F%2Fwww.webofscience.com%2Fwos%2Fwoscc%2Ffull-record%2FWOS:000432234900029","View Full Record in Web of Science")</f>
        <v>View Full Record in Web of Science</v>
      </c>
    </row>
    <row r="263" spans="1:72" x14ac:dyDescent="0.15">
      <c r="A263" t="s">
        <v>98</v>
      </c>
      <c r="B263" t="s">
        <v>15012</v>
      </c>
      <c r="C263" t="s">
        <v>74</v>
      </c>
      <c r="D263" t="s">
        <v>74</v>
      </c>
      <c r="E263" t="s">
        <v>74</v>
      </c>
      <c r="F263" t="s">
        <v>15013</v>
      </c>
      <c r="G263" t="s">
        <v>74</v>
      </c>
      <c r="H263" t="s">
        <v>74</v>
      </c>
      <c r="I263" t="s">
        <v>15014</v>
      </c>
      <c r="J263" t="s">
        <v>15015</v>
      </c>
      <c r="K263" t="s">
        <v>74</v>
      </c>
      <c r="L263" t="s">
        <v>74</v>
      </c>
      <c r="M263" t="s">
        <v>74</v>
      </c>
      <c r="N263" t="s">
        <v>103</v>
      </c>
      <c r="O263" t="s">
        <v>74</v>
      </c>
      <c r="P263" t="s">
        <v>74</v>
      </c>
      <c r="Q263" t="s">
        <v>74</v>
      </c>
      <c r="R263" t="s">
        <v>74</v>
      </c>
      <c r="S263" t="s">
        <v>74</v>
      </c>
      <c r="T263" t="s">
        <v>15016</v>
      </c>
      <c r="U263" t="s">
        <v>74</v>
      </c>
      <c r="V263" t="s">
        <v>15017</v>
      </c>
      <c r="W263" t="s">
        <v>15018</v>
      </c>
      <c r="X263" t="s">
        <v>15019</v>
      </c>
      <c r="Y263" t="s">
        <v>15020</v>
      </c>
      <c r="Z263" t="s">
        <v>15021</v>
      </c>
      <c r="AA263" t="s">
        <v>15022</v>
      </c>
      <c r="AB263" t="s">
        <v>15023</v>
      </c>
      <c r="AC263" t="s">
        <v>74</v>
      </c>
      <c r="AD263" t="s">
        <v>74</v>
      </c>
      <c r="AE263" t="s">
        <v>74</v>
      </c>
      <c r="AF263" t="s">
        <v>74</v>
      </c>
      <c r="AG263">
        <v>51</v>
      </c>
      <c r="AH263">
        <v>77</v>
      </c>
      <c r="AI263">
        <v>79</v>
      </c>
      <c r="AJ263">
        <v>0</v>
      </c>
      <c r="AK263">
        <v>8</v>
      </c>
      <c r="AL263" t="s">
        <v>74</v>
      </c>
      <c r="AM263" t="s">
        <v>74</v>
      </c>
      <c r="AN263" t="s">
        <v>74</v>
      </c>
      <c r="AO263" t="s">
        <v>15024</v>
      </c>
      <c r="AP263" t="s">
        <v>74</v>
      </c>
      <c r="AQ263" t="s">
        <v>74</v>
      </c>
      <c r="AR263" t="s">
        <v>74</v>
      </c>
      <c r="AS263" t="s">
        <v>74</v>
      </c>
      <c r="AT263" t="s">
        <v>74</v>
      </c>
      <c r="AU263">
        <v>2015</v>
      </c>
      <c r="AV263">
        <v>8</v>
      </c>
      <c r="AW263" t="s">
        <v>74</v>
      </c>
      <c r="AX263" t="s">
        <v>74</v>
      </c>
      <c r="AY263" t="s">
        <v>74</v>
      </c>
      <c r="AZ263" t="s">
        <v>74</v>
      </c>
      <c r="BA263" t="s">
        <v>74</v>
      </c>
      <c r="BB263">
        <v>103</v>
      </c>
      <c r="BC263">
        <v>107</v>
      </c>
      <c r="BD263" t="s">
        <v>74</v>
      </c>
      <c r="BE263" t="s">
        <v>15025</v>
      </c>
      <c r="BF263" t="str">
        <f>HYPERLINK("http://dx.doi.org/10.2147/SCCAA.S84991","http://dx.doi.org/10.2147/SCCAA.S84991")</f>
        <v>http://dx.doi.org/10.2147/SCCAA.S84991</v>
      </c>
      <c r="BG263" t="s">
        <v>74</v>
      </c>
      <c r="BH263" t="s">
        <v>74</v>
      </c>
      <c r="BI263" t="s">
        <v>74</v>
      </c>
      <c r="BJ263" t="s">
        <v>135</v>
      </c>
      <c r="BK263" t="s">
        <v>467</v>
      </c>
      <c r="BL263" t="s">
        <v>135</v>
      </c>
      <c r="BM263" t="s">
        <v>74</v>
      </c>
      <c r="BN263">
        <v>26185458</v>
      </c>
      <c r="BO263" t="s">
        <v>74</v>
      </c>
      <c r="BP263" t="s">
        <v>74</v>
      </c>
      <c r="BQ263" t="s">
        <v>74</v>
      </c>
      <c r="BR263" t="s">
        <v>96</v>
      </c>
      <c r="BS263" t="s">
        <v>15026</v>
      </c>
      <c r="BT263" t="str">
        <f>HYPERLINK("https%3A%2F%2Fwww.webofscience.com%2Fwos%2Fwoscc%2Ffull-record%2FWOS:000215868500009","View Full Record in Web of Science")</f>
        <v>View Full Record in Web of Science</v>
      </c>
    </row>
    <row r="264" spans="1:72" x14ac:dyDescent="0.15">
      <c r="A264" t="s">
        <v>98</v>
      </c>
      <c r="B264" t="s">
        <v>21104</v>
      </c>
      <c r="C264" t="s">
        <v>74</v>
      </c>
      <c r="D264" t="s">
        <v>74</v>
      </c>
      <c r="E264" t="s">
        <v>74</v>
      </c>
      <c r="F264" t="s">
        <v>21105</v>
      </c>
      <c r="G264" t="s">
        <v>74</v>
      </c>
      <c r="H264" t="s">
        <v>74</v>
      </c>
      <c r="I264" t="s">
        <v>21106</v>
      </c>
      <c r="J264" t="s">
        <v>2536</v>
      </c>
      <c r="K264" t="s">
        <v>74</v>
      </c>
      <c r="L264" t="s">
        <v>74</v>
      </c>
      <c r="M264" t="s">
        <v>74</v>
      </c>
      <c r="N264" t="s">
        <v>103</v>
      </c>
      <c r="O264" t="s">
        <v>74</v>
      </c>
      <c r="P264" t="s">
        <v>74</v>
      </c>
      <c r="Q264" t="s">
        <v>74</v>
      </c>
      <c r="R264" t="s">
        <v>74</v>
      </c>
      <c r="S264" t="s">
        <v>74</v>
      </c>
      <c r="T264" t="s">
        <v>74</v>
      </c>
      <c r="U264" t="s">
        <v>21107</v>
      </c>
      <c r="V264" t="s">
        <v>21108</v>
      </c>
      <c r="W264" t="s">
        <v>21109</v>
      </c>
      <c r="X264" t="s">
        <v>21110</v>
      </c>
      <c r="Y264" t="s">
        <v>21111</v>
      </c>
      <c r="Z264" t="s">
        <v>21112</v>
      </c>
      <c r="AA264" t="s">
        <v>21113</v>
      </c>
      <c r="AB264" t="s">
        <v>21114</v>
      </c>
      <c r="AC264" t="s">
        <v>74</v>
      </c>
      <c r="AD264" t="s">
        <v>74</v>
      </c>
      <c r="AE264" t="s">
        <v>74</v>
      </c>
      <c r="AF264" t="s">
        <v>74</v>
      </c>
      <c r="AG264">
        <v>66</v>
      </c>
      <c r="AH264">
        <v>77</v>
      </c>
      <c r="AI264">
        <v>81</v>
      </c>
      <c r="AJ264">
        <v>2</v>
      </c>
      <c r="AK264">
        <v>14</v>
      </c>
      <c r="AL264" t="s">
        <v>74</v>
      </c>
      <c r="AM264" t="s">
        <v>74</v>
      </c>
      <c r="AN264" t="s">
        <v>74</v>
      </c>
      <c r="AO264" t="s">
        <v>2544</v>
      </c>
      <c r="AP264" t="s">
        <v>74</v>
      </c>
      <c r="AQ264" t="s">
        <v>74</v>
      </c>
      <c r="AR264" t="s">
        <v>74</v>
      </c>
      <c r="AS264" t="s">
        <v>74</v>
      </c>
      <c r="AT264" t="s">
        <v>614</v>
      </c>
      <c r="AU264">
        <v>2013</v>
      </c>
      <c r="AV264">
        <v>87</v>
      </c>
      <c r="AW264">
        <v>14</v>
      </c>
      <c r="AX264" t="s">
        <v>74</v>
      </c>
      <c r="AY264" t="s">
        <v>74</v>
      </c>
      <c r="AZ264" t="s">
        <v>74</v>
      </c>
      <c r="BA264" t="s">
        <v>74</v>
      </c>
      <c r="BB264">
        <v>8124</v>
      </c>
      <c r="BC264">
        <v>8134</v>
      </c>
      <c r="BD264" t="s">
        <v>74</v>
      </c>
      <c r="BE264" t="s">
        <v>21115</v>
      </c>
      <c r="BF264" t="str">
        <f>HYPERLINK("http://dx.doi.org/10.1128/JVI.00626-13","http://dx.doi.org/10.1128/JVI.00626-13")</f>
        <v>http://dx.doi.org/10.1128/JVI.00626-13</v>
      </c>
      <c r="BG264" t="s">
        <v>74</v>
      </c>
      <c r="BH264" t="s">
        <v>74</v>
      </c>
      <c r="BI264" t="s">
        <v>74</v>
      </c>
      <c r="BJ264" t="s">
        <v>932</v>
      </c>
      <c r="BK264" t="s">
        <v>117</v>
      </c>
      <c r="BL264" t="s">
        <v>932</v>
      </c>
      <c r="BM264" t="s">
        <v>74</v>
      </c>
      <c r="BN264">
        <v>23678184</v>
      </c>
      <c r="BO264" t="s">
        <v>74</v>
      </c>
      <c r="BP264" t="s">
        <v>74</v>
      </c>
      <c r="BQ264" t="s">
        <v>74</v>
      </c>
      <c r="BR264" t="s">
        <v>96</v>
      </c>
      <c r="BS264" t="s">
        <v>21116</v>
      </c>
      <c r="BT264" t="str">
        <f>HYPERLINK("https%3A%2F%2Fwww.webofscience.com%2Fwos%2Fwoscc%2Ffull-record%2FWOS:000321017700031","View Full Record in Web of Science")</f>
        <v>View Full Record in Web of Science</v>
      </c>
    </row>
    <row r="265" spans="1:72" x14ac:dyDescent="0.15">
      <c r="A265" t="s">
        <v>98</v>
      </c>
      <c r="B265" t="s">
        <v>26718</v>
      </c>
      <c r="C265" t="s">
        <v>74</v>
      </c>
      <c r="D265" t="s">
        <v>74</v>
      </c>
      <c r="E265" t="s">
        <v>74</v>
      </c>
      <c r="F265" t="s">
        <v>26719</v>
      </c>
      <c r="G265" t="s">
        <v>74</v>
      </c>
      <c r="H265" t="s">
        <v>74</v>
      </c>
      <c r="I265" t="s">
        <v>26720</v>
      </c>
      <c r="J265" t="s">
        <v>14258</v>
      </c>
      <c r="K265" t="s">
        <v>74</v>
      </c>
      <c r="L265" t="s">
        <v>74</v>
      </c>
      <c r="M265" t="s">
        <v>74</v>
      </c>
      <c r="N265" t="s">
        <v>103</v>
      </c>
      <c r="O265" t="s">
        <v>74</v>
      </c>
      <c r="P265" t="s">
        <v>74</v>
      </c>
      <c r="Q265" t="s">
        <v>74</v>
      </c>
      <c r="R265" t="s">
        <v>74</v>
      </c>
      <c r="S265" t="s">
        <v>74</v>
      </c>
      <c r="T265" t="s">
        <v>74</v>
      </c>
      <c r="U265" t="s">
        <v>26721</v>
      </c>
      <c r="V265" t="s">
        <v>26722</v>
      </c>
      <c r="W265" t="s">
        <v>26723</v>
      </c>
      <c r="X265" t="s">
        <v>26724</v>
      </c>
      <c r="Y265" t="s">
        <v>26725</v>
      </c>
      <c r="Z265" t="s">
        <v>26726</v>
      </c>
      <c r="AA265" t="s">
        <v>74</v>
      </c>
      <c r="AB265" t="s">
        <v>26727</v>
      </c>
      <c r="AC265" t="s">
        <v>74</v>
      </c>
      <c r="AD265" t="s">
        <v>74</v>
      </c>
      <c r="AE265" t="s">
        <v>74</v>
      </c>
      <c r="AF265" t="s">
        <v>74</v>
      </c>
      <c r="AG265">
        <v>62</v>
      </c>
      <c r="AH265">
        <v>77</v>
      </c>
      <c r="AI265">
        <v>77</v>
      </c>
      <c r="AJ265">
        <v>0</v>
      </c>
      <c r="AK265">
        <v>7</v>
      </c>
      <c r="AL265" t="s">
        <v>74</v>
      </c>
      <c r="AM265" t="s">
        <v>74</v>
      </c>
      <c r="AN265" t="s">
        <v>74</v>
      </c>
      <c r="AO265" t="s">
        <v>14265</v>
      </c>
      <c r="AP265" t="s">
        <v>74</v>
      </c>
      <c r="AQ265" t="s">
        <v>74</v>
      </c>
      <c r="AR265" t="s">
        <v>74</v>
      </c>
      <c r="AS265" t="s">
        <v>74</v>
      </c>
      <c r="AT265" t="s">
        <v>1029</v>
      </c>
      <c r="AU265">
        <v>2011</v>
      </c>
      <c r="AV265">
        <v>20</v>
      </c>
      <c r="AW265">
        <v>9</v>
      </c>
      <c r="AX265" t="s">
        <v>74</v>
      </c>
      <c r="AY265" t="s">
        <v>74</v>
      </c>
      <c r="AZ265" t="s">
        <v>74</v>
      </c>
      <c r="BA265" t="s">
        <v>74</v>
      </c>
      <c r="BB265">
        <v>1712</v>
      </c>
      <c r="BC265">
        <v>1725</v>
      </c>
      <c r="BD265" t="s">
        <v>74</v>
      </c>
      <c r="BE265" t="s">
        <v>26728</v>
      </c>
      <c r="BF265" t="str">
        <f>HYPERLINK("http://dx.doi.org/10.1093/hmg/ddr047","http://dx.doi.org/10.1093/hmg/ddr047")</f>
        <v>http://dx.doi.org/10.1093/hmg/ddr047</v>
      </c>
      <c r="BG265" t="s">
        <v>74</v>
      </c>
      <c r="BH265" t="s">
        <v>74</v>
      </c>
      <c r="BI265" t="s">
        <v>74</v>
      </c>
      <c r="BJ265" t="s">
        <v>950</v>
      </c>
      <c r="BK265" t="s">
        <v>117</v>
      </c>
      <c r="BL265" t="s">
        <v>950</v>
      </c>
      <c r="BM265" t="s">
        <v>74</v>
      </c>
      <c r="BN265">
        <v>21296866</v>
      </c>
      <c r="BO265" t="s">
        <v>74</v>
      </c>
      <c r="BP265" t="s">
        <v>74</v>
      </c>
      <c r="BQ265" t="s">
        <v>74</v>
      </c>
      <c r="BR265" t="s">
        <v>96</v>
      </c>
      <c r="BS265" t="s">
        <v>26729</v>
      </c>
      <c r="BT265" t="str">
        <f>HYPERLINK("https%3A%2F%2Fwww.webofscience.com%2Fwos%2Fwoscc%2Ffull-record%2FWOS:000289311400005","View Full Record in Web of Science")</f>
        <v>View Full Record in Web of Science</v>
      </c>
    </row>
    <row r="266" spans="1:72" x14ac:dyDescent="0.15">
      <c r="A266" t="s">
        <v>98</v>
      </c>
      <c r="B266" t="s">
        <v>3193</v>
      </c>
      <c r="C266" t="s">
        <v>74</v>
      </c>
      <c r="D266" t="s">
        <v>74</v>
      </c>
      <c r="E266" t="s">
        <v>74</v>
      </c>
      <c r="F266" t="s">
        <v>3194</v>
      </c>
      <c r="G266" t="s">
        <v>74</v>
      </c>
      <c r="H266" t="s">
        <v>74</v>
      </c>
      <c r="I266" t="s">
        <v>3195</v>
      </c>
      <c r="J266" t="s">
        <v>3196</v>
      </c>
      <c r="K266" t="s">
        <v>74</v>
      </c>
      <c r="L266" t="s">
        <v>74</v>
      </c>
      <c r="M266" t="s">
        <v>74</v>
      </c>
      <c r="N266" t="s">
        <v>103</v>
      </c>
      <c r="O266" t="s">
        <v>74</v>
      </c>
      <c r="P266" t="s">
        <v>74</v>
      </c>
      <c r="Q266" t="s">
        <v>74</v>
      </c>
      <c r="R266" t="s">
        <v>74</v>
      </c>
      <c r="S266" t="s">
        <v>74</v>
      </c>
      <c r="T266" t="s">
        <v>74</v>
      </c>
      <c r="U266" t="s">
        <v>3197</v>
      </c>
      <c r="V266" t="s">
        <v>3198</v>
      </c>
      <c r="W266" t="s">
        <v>3199</v>
      </c>
      <c r="X266" t="s">
        <v>3200</v>
      </c>
      <c r="Y266" t="s">
        <v>3201</v>
      </c>
      <c r="Z266" t="s">
        <v>3202</v>
      </c>
      <c r="AA266" t="s">
        <v>74</v>
      </c>
      <c r="AB266" t="s">
        <v>3203</v>
      </c>
      <c r="AC266" t="s">
        <v>74</v>
      </c>
      <c r="AD266" t="s">
        <v>74</v>
      </c>
      <c r="AE266" t="s">
        <v>74</v>
      </c>
      <c r="AF266" t="s">
        <v>74</v>
      </c>
      <c r="AG266">
        <v>220</v>
      </c>
      <c r="AH266">
        <v>76</v>
      </c>
      <c r="AI266">
        <v>78</v>
      </c>
      <c r="AJ266">
        <v>3</v>
      </c>
      <c r="AK266">
        <v>28</v>
      </c>
      <c r="AL266" t="s">
        <v>74</v>
      </c>
      <c r="AM266" t="s">
        <v>74</v>
      </c>
      <c r="AN266" t="s">
        <v>74</v>
      </c>
      <c r="AO266" t="s">
        <v>3204</v>
      </c>
      <c r="AP266" t="s">
        <v>74</v>
      </c>
      <c r="AQ266" t="s">
        <v>74</v>
      </c>
      <c r="AR266" t="s">
        <v>74</v>
      </c>
      <c r="AS266" t="s">
        <v>74</v>
      </c>
      <c r="AT266" t="s">
        <v>565</v>
      </c>
      <c r="AU266">
        <v>2018</v>
      </c>
      <c r="AV266">
        <v>8</v>
      </c>
      <c r="AW266">
        <v>3</v>
      </c>
      <c r="AX266" t="s">
        <v>74</v>
      </c>
      <c r="AY266" t="s">
        <v>74</v>
      </c>
      <c r="AZ266" t="s">
        <v>74</v>
      </c>
      <c r="BA266" t="s">
        <v>74</v>
      </c>
      <c r="BB266" t="s">
        <v>74</v>
      </c>
      <c r="BC266" t="s">
        <v>74</v>
      </c>
      <c r="BD266" t="s">
        <v>3205</v>
      </c>
      <c r="BE266" t="s">
        <v>3206</v>
      </c>
      <c r="BF266" t="str">
        <f>HYPERLINK("http://dx.doi.org/10.1101/cshperspect.a029827","http://dx.doi.org/10.1101/cshperspect.a029827")</f>
        <v>http://dx.doi.org/10.1101/cshperspect.a029827</v>
      </c>
      <c r="BG266" t="s">
        <v>74</v>
      </c>
      <c r="BH266" t="s">
        <v>74</v>
      </c>
      <c r="BI266" t="s">
        <v>74</v>
      </c>
      <c r="BJ266" t="s">
        <v>795</v>
      </c>
      <c r="BK266" t="s">
        <v>117</v>
      </c>
      <c r="BL266" t="s">
        <v>796</v>
      </c>
      <c r="BM266" t="s">
        <v>74</v>
      </c>
      <c r="BN266">
        <v>28490541</v>
      </c>
      <c r="BO266" t="s">
        <v>74</v>
      </c>
      <c r="BP266" t="s">
        <v>74</v>
      </c>
      <c r="BQ266" t="s">
        <v>74</v>
      </c>
      <c r="BR266" t="s">
        <v>96</v>
      </c>
      <c r="BS266" t="s">
        <v>3207</v>
      </c>
      <c r="BT266" t="str">
        <f>HYPERLINK("https%3A%2F%2Fwww.webofscience.com%2Fwos%2Fwoscc%2Ffull-record%2FWOS:000429144400005","View Full Record in Web of Science")</f>
        <v>View Full Record in Web of Science</v>
      </c>
    </row>
    <row r="267" spans="1:72" x14ac:dyDescent="0.15">
      <c r="A267" t="s">
        <v>98</v>
      </c>
      <c r="B267" t="s">
        <v>21284</v>
      </c>
      <c r="C267" t="s">
        <v>74</v>
      </c>
      <c r="D267" t="s">
        <v>74</v>
      </c>
      <c r="E267" t="s">
        <v>74</v>
      </c>
      <c r="F267" t="s">
        <v>21284</v>
      </c>
      <c r="G267" t="s">
        <v>74</v>
      </c>
      <c r="H267" t="s">
        <v>74</v>
      </c>
      <c r="I267" t="s">
        <v>21285</v>
      </c>
      <c r="J267" t="s">
        <v>12369</v>
      </c>
      <c r="K267" t="s">
        <v>74</v>
      </c>
      <c r="L267" t="s">
        <v>74</v>
      </c>
      <c r="M267" t="s">
        <v>74</v>
      </c>
      <c r="N267" t="s">
        <v>103</v>
      </c>
      <c r="O267" t="s">
        <v>74</v>
      </c>
      <c r="P267" t="s">
        <v>74</v>
      </c>
      <c r="Q267" t="s">
        <v>74</v>
      </c>
      <c r="R267" t="s">
        <v>74</v>
      </c>
      <c r="S267" t="s">
        <v>74</v>
      </c>
      <c r="T267" t="s">
        <v>74</v>
      </c>
      <c r="U267" t="s">
        <v>21286</v>
      </c>
      <c r="V267" t="s">
        <v>21287</v>
      </c>
      <c r="W267" t="s">
        <v>21288</v>
      </c>
      <c r="X267" t="s">
        <v>21289</v>
      </c>
      <c r="Y267" t="s">
        <v>21290</v>
      </c>
      <c r="Z267" t="s">
        <v>74</v>
      </c>
      <c r="AA267" t="s">
        <v>74</v>
      </c>
      <c r="AB267" t="s">
        <v>74</v>
      </c>
      <c r="AC267" t="s">
        <v>74</v>
      </c>
      <c r="AD267" t="s">
        <v>74</v>
      </c>
      <c r="AE267" t="s">
        <v>74</v>
      </c>
      <c r="AF267" t="s">
        <v>74</v>
      </c>
      <c r="AG267">
        <v>53</v>
      </c>
      <c r="AH267">
        <v>76</v>
      </c>
      <c r="AI267">
        <v>79</v>
      </c>
      <c r="AJ267">
        <v>0</v>
      </c>
      <c r="AK267">
        <v>4</v>
      </c>
      <c r="AL267" t="s">
        <v>74</v>
      </c>
      <c r="AM267" t="s">
        <v>74</v>
      </c>
      <c r="AN267" t="s">
        <v>74</v>
      </c>
      <c r="AO267" t="s">
        <v>12374</v>
      </c>
      <c r="AP267" t="s">
        <v>74</v>
      </c>
      <c r="AQ267" t="s">
        <v>74</v>
      </c>
      <c r="AR267" t="s">
        <v>74</v>
      </c>
      <c r="AS267" t="s">
        <v>74</v>
      </c>
      <c r="AT267" t="s">
        <v>21291</v>
      </c>
      <c r="AU267">
        <v>1998</v>
      </c>
      <c r="AV267">
        <v>244</v>
      </c>
      <c r="AW267">
        <v>1</v>
      </c>
      <c r="AX267" t="s">
        <v>74</v>
      </c>
      <c r="AY267" t="s">
        <v>74</v>
      </c>
      <c r="AZ267" t="s">
        <v>74</v>
      </c>
      <c r="BA267" t="s">
        <v>74</v>
      </c>
      <c r="BB267">
        <v>195</v>
      </c>
      <c r="BC267">
        <v>211</v>
      </c>
      <c r="BD267" t="s">
        <v>74</v>
      </c>
      <c r="BE267" t="s">
        <v>21292</v>
      </c>
      <c r="BF267" t="str">
        <f>HYPERLINK("http://dx.doi.org/10.1006/viro.1998.9097","http://dx.doi.org/10.1006/viro.1998.9097")</f>
        <v>http://dx.doi.org/10.1006/viro.1998.9097</v>
      </c>
      <c r="BG267" t="s">
        <v>74</v>
      </c>
      <c r="BH267" t="s">
        <v>74</v>
      </c>
      <c r="BI267" t="s">
        <v>74</v>
      </c>
      <c r="BJ267" t="s">
        <v>932</v>
      </c>
      <c r="BK267" t="s">
        <v>117</v>
      </c>
      <c r="BL267" t="s">
        <v>932</v>
      </c>
      <c r="BM267" t="s">
        <v>74</v>
      </c>
      <c r="BN267">
        <v>9581791</v>
      </c>
      <c r="BO267" t="s">
        <v>74</v>
      </c>
      <c r="BP267" t="s">
        <v>74</v>
      </c>
      <c r="BQ267" t="s">
        <v>74</v>
      </c>
      <c r="BR267" t="s">
        <v>96</v>
      </c>
      <c r="BS267" t="s">
        <v>21293</v>
      </c>
      <c r="BT267" t="str">
        <f>HYPERLINK("https%3A%2F%2Fwww.webofscience.com%2Fwos%2Fwoscc%2Ffull-record%2FWOS:000073529300020","View Full Record in Web of Science")</f>
        <v>View Full Record in Web of Science</v>
      </c>
    </row>
    <row r="268" spans="1:72" x14ac:dyDescent="0.15">
      <c r="A268" t="s">
        <v>98</v>
      </c>
      <c r="B268" t="s">
        <v>22312</v>
      </c>
      <c r="C268" t="s">
        <v>74</v>
      </c>
      <c r="D268" t="s">
        <v>74</v>
      </c>
      <c r="E268" t="s">
        <v>74</v>
      </c>
      <c r="F268" t="s">
        <v>22312</v>
      </c>
      <c r="G268" t="s">
        <v>74</v>
      </c>
      <c r="H268" t="s">
        <v>74</v>
      </c>
      <c r="I268" t="s">
        <v>22313</v>
      </c>
      <c r="J268" t="s">
        <v>6379</v>
      </c>
      <c r="K268" t="s">
        <v>74</v>
      </c>
      <c r="L268" t="s">
        <v>74</v>
      </c>
      <c r="M268" t="s">
        <v>74</v>
      </c>
      <c r="N268" t="s">
        <v>103</v>
      </c>
      <c r="O268" t="s">
        <v>74</v>
      </c>
      <c r="P268" t="s">
        <v>74</v>
      </c>
      <c r="Q268" t="s">
        <v>74</v>
      </c>
      <c r="R268" t="s">
        <v>74</v>
      </c>
      <c r="S268" t="s">
        <v>74</v>
      </c>
      <c r="T268" t="s">
        <v>22314</v>
      </c>
      <c r="U268" t="s">
        <v>22315</v>
      </c>
      <c r="V268" t="s">
        <v>22316</v>
      </c>
      <c r="W268" t="s">
        <v>22317</v>
      </c>
      <c r="X268" t="s">
        <v>22318</v>
      </c>
      <c r="Y268" t="s">
        <v>22319</v>
      </c>
      <c r="Z268" t="s">
        <v>22320</v>
      </c>
      <c r="AA268" t="s">
        <v>22321</v>
      </c>
      <c r="AB268" t="s">
        <v>22322</v>
      </c>
      <c r="AC268" t="s">
        <v>74</v>
      </c>
      <c r="AD268" t="s">
        <v>74</v>
      </c>
      <c r="AE268" t="s">
        <v>74</v>
      </c>
      <c r="AF268" t="s">
        <v>74</v>
      </c>
      <c r="AG268">
        <v>47</v>
      </c>
      <c r="AH268">
        <v>76</v>
      </c>
      <c r="AI268">
        <v>79</v>
      </c>
      <c r="AJ268">
        <v>0</v>
      </c>
      <c r="AK268">
        <v>2</v>
      </c>
      <c r="AL268" t="s">
        <v>74</v>
      </c>
      <c r="AM268" t="s">
        <v>74</v>
      </c>
      <c r="AN268" t="s">
        <v>74</v>
      </c>
      <c r="AO268" t="s">
        <v>6389</v>
      </c>
      <c r="AP268" t="s">
        <v>6390</v>
      </c>
      <c r="AQ268" t="s">
        <v>74</v>
      </c>
      <c r="AR268" t="s">
        <v>74</v>
      </c>
      <c r="AS268" t="s">
        <v>74</v>
      </c>
      <c r="AT268" t="s">
        <v>7400</v>
      </c>
      <c r="AU268">
        <v>2001</v>
      </c>
      <c r="AV268">
        <v>20</v>
      </c>
      <c r="AW268">
        <v>21</v>
      </c>
      <c r="AX268" t="s">
        <v>74</v>
      </c>
      <c r="AY268" t="s">
        <v>74</v>
      </c>
      <c r="AZ268" t="s">
        <v>74</v>
      </c>
      <c r="BA268" t="s">
        <v>74</v>
      </c>
      <c r="BB268">
        <v>5962</v>
      </c>
      <c r="BC268">
        <v>5970</v>
      </c>
      <c r="BD268" t="s">
        <v>74</v>
      </c>
      <c r="BE268" t="s">
        <v>22323</v>
      </c>
      <c r="BF268" t="str">
        <f>HYPERLINK("http://dx.doi.org/10.1093/emboj/20.21.5962","http://dx.doi.org/10.1093/emboj/20.21.5962")</f>
        <v>http://dx.doi.org/10.1093/emboj/20.21.5962</v>
      </c>
      <c r="BG268" t="s">
        <v>74</v>
      </c>
      <c r="BH268" t="s">
        <v>74</v>
      </c>
      <c r="BI268" t="s">
        <v>74</v>
      </c>
      <c r="BJ268" t="s">
        <v>498</v>
      </c>
      <c r="BK268" t="s">
        <v>117</v>
      </c>
      <c r="BL268" t="s">
        <v>498</v>
      </c>
      <c r="BM268" t="s">
        <v>74</v>
      </c>
      <c r="BN268">
        <v>11689436</v>
      </c>
      <c r="BO268" t="s">
        <v>74</v>
      </c>
      <c r="BP268" t="s">
        <v>74</v>
      </c>
      <c r="BQ268" t="s">
        <v>74</v>
      </c>
      <c r="BR268" t="s">
        <v>96</v>
      </c>
      <c r="BS268" t="s">
        <v>22324</v>
      </c>
      <c r="BT268" t="str">
        <f>HYPERLINK("https%3A%2F%2Fwww.webofscience.com%2Fwos%2Fwoscc%2Ffull-record%2FWOS:000172104000015","View Full Record in Web of Science")</f>
        <v>View Full Record in Web of Science</v>
      </c>
    </row>
    <row r="269" spans="1:72" x14ac:dyDescent="0.15">
      <c r="A269" t="s">
        <v>98</v>
      </c>
      <c r="B269" t="s">
        <v>22916</v>
      </c>
      <c r="C269" t="s">
        <v>74</v>
      </c>
      <c r="D269" t="s">
        <v>74</v>
      </c>
      <c r="E269" t="s">
        <v>74</v>
      </c>
      <c r="F269" t="s">
        <v>22916</v>
      </c>
      <c r="G269" t="s">
        <v>74</v>
      </c>
      <c r="H269" t="s">
        <v>74</v>
      </c>
      <c r="I269" t="s">
        <v>22917</v>
      </c>
      <c r="J269" t="s">
        <v>22918</v>
      </c>
      <c r="K269" t="s">
        <v>74</v>
      </c>
      <c r="L269" t="s">
        <v>74</v>
      </c>
      <c r="M269" t="s">
        <v>74</v>
      </c>
      <c r="N269" t="s">
        <v>103</v>
      </c>
      <c r="O269" t="s">
        <v>74</v>
      </c>
      <c r="P269" t="s">
        <v>74</v>
      </c>
      <c r="Q269" t="s">
        <v>74</v>
      </c>
      <c r="R269" t="s">
        <v>74</v>
      </c>
      <c r="S269" t="s">
        <v>74</v>
      </c>
      <c r="T269" t="s">
        <v>22919</v>
      </c>
      <c r="U269" t="s">
        <v>22920</v>
      </c>
      <c r="V269" t="s">
        <v>22921</v>
      </c>
      <c r="W269" t="s">
        <v>22922</v>
      </c>
      <c r="X269" t="s">
        <v>22923</v>
      </c>
      <c r="Y269" t="s">
        <v>22924</v>
      </c>
      <c r="Z269" t="s">
        <v>22925</v>
      </c>
      <c r="AA269" t="s">
        <v>22926</v>
      </c>
      <c r="AB269" t="s">
        <v>22927</v>
      </c>
      <c r="AC269" t="s">
        <v>74</v>
      </c>
      <c r="AD269" t="s">
        <v>74</v>
      </c>
      <c r="AE269" t="s">
        <v>74</v>
      </c>
      <c r="AF269" t="s">
        <v>74</v>
      </c>
      <c r="AG269">
        <v>55</v>
      </c>
      <c r="AH269">
        <v>76</v>
      </c>
      <c r="AI269">
        <v>80</v>
      </c>
      <c r="AJ269">
        <v>0</v>
      </c>
      <c r="AK269">
        <v>4</v>
      </c>
      <c r="AL269" t="s">
        <v>74</v>
      </c>
      <c r="AM269" t="s">
        <v>74</v>
      </c>
      <c r="AN269" t="s">
        <v>74</v>
      </c>
      <c r="AO269" t="s">
        <v>22928</v>
      </c>
      <c r="AP269" t="s">
        <v>22929</v>
      </c>
      <c r="AQ269" t="s">
        <v>74</v>
      </c>
      <c r="AR269" t="s">
        <v>74</v>
      </c>
      <c r="AS269" t="s">
        <v>74</v>
      </c>
      <c r="AT269" t="s">
        <v>211</v>
      </c>
      <c r="AU269">
        <v>1998</v>
      </c>
      <c r="AV269">
        <v>154</v>
      </c>
      <c r="AW269">
        <v>1</v>
      </c>
      <c r="AX269" t="s">
        <v>74</v>
      </c>
      <c r="AY269" t="s">
        <v>74</v>
      </c>
      <c r="AZ269" t="s">
        <v>74</v>
      </c>
      <c r="BA269" t="s">
        <v>74</v>
      </c>
      <c r="BB269">
        <v>47</v>
      </c>
      <c r="BC269">
        <v>56</v>
      </c>
      <c r="BD269" t="s">
        <v>74</v>
      </c>
      <c r="BE269" t="s">
        <v>22930</v>
      </c>
      <c r="BF269" t="str">
        <f>HYPERLINK("http://dx.doi.org/10.1006/exnr.1998.6931","http://dx.doi.org/10.1006/exnr.1998.6931")</f>
        <v>http://dx.doi.org/10.1006/exnr.1998.6931</v>
      </c>
      <c r="BG269" t="s">
        <v>74</v>
      </c>
      <c r="BH269" t="s">
        <v>74</v>
      </c>
      <c r="BI269" t="s">
        <v>74</v>
      </c>
      <c r="BJ269" t="s">
        <v>652</v>
      </c>
      <c r="BK269" t="s">
        <v>117</v>
      </c>
      <c r="BL269" t="s">
        <v>653</v>
      </c>
      <c r="BM269" t="s">
        <v>74</v>
      </c>
      <c r="BN269">
        <v>9875267</v>
      </c>
      <c r="BO269" t="s">
        <v>74</v>
      </c>
      <c r="BP269" t="s">
        <v>74</v>
      </c>
      <c r="BQ269" t="s">
        <v>74</v>
      </c>
      <c r="BR269" t="s">
        <v>96</v>
      </c>
      <c r="BS269" t="s">
        <v>22931</v>
      </c>
      <c r="BT269" t="str">
        <f>HYPERLINK("https%3A%2F%2Fwww.webofscience.com%2Fwos%2Fwoscc%2Ffull-record%2FWOS:000077332100006","View Full Record in Web of Science")</f>
        <v>View Full Record in Web of Science</v>
      </c>
    </row>
    <row r="270" spans="1:72" x14ac:dyDescent="0.15">
      <c r="A270" t="s">
        <v>98</v>
      </c>
      <c r="B270" t="s">
        <v>29378</v>
      </c>
      <c r="C270" t="s">
        <v>74</v>
      </c>
      <c r="D270" t="s">
        <v>74</v>
      </c>
      <c r="E270" t="s">
        <v>74</v>
      </c>
      <c r="F270" t="s">
        <v>29378</v>
      </c>
      <c r="G270" t="s">
        <v>74</v>
      </c>
      <c r="H270" t="s">
        <v>74</v>
      </c>
      <c r="I270" t="s">
        <v>29379</v>
      </c>
      <c r="J270" t="s">
        <v>20726</v>
      </c>
      <c r="K270" t="s">
        <v>74</v>
      </c>
      <c r="L270" t="s">
        <v>74</v>
      </c>
      <c r="M270" t="s">
        <v>74</v>
      </c>
      <c r="N270" t="s">
        <v>103</v>
      </c>
      <c r="O270" t="s">
        <v>74</v>
      </c>
      <c r="P270" t="s">
        <v>74</v>
      </c>
      <c r="Q270" t="s">
        <v>74</v>
      </c>
      <c r="R270" t="s">
        <v>74</v>
      </c>
      <c r="S270" t="s">
        <v>74</v>
      </c>
      <c r="T270" t="s">
        <v>74</v>
      </c>
      <c r="U270" t="s">
        <v>29380</v>
      </c>
      <c r="V270" t="s">
        <v>29381</v>
      </c>
      <c r="W270" t="s">
        <v>29382</v>
      </c>
      <c r="X270" t="s">
        <v>12293</v>
      </c>
      <c r="Y270" t="s">
        <v>29383</v>
      </c>
      <c r="Z270" t="s">
        <v>29384</v>
      </c>
      <c r="AA270" t="s">
        <v>74</v>
      </c>
      <c r="AB270" t="s">
        <v>74</v>
      </c>
      <c r="AC270" t="s">
        <v>74</v>
      </c>
      <c r="AD270" t="s">
        <v>74</v>
      </c>
      <c r="AE270" t="s">
        <v>74</v>
      </c>
      <c r="AF270" t="s">
        <v>74</v>
      </c>
      <c r="AG270">
        <v>57</v>
      </c>
      <c r="AH270">
        <v>76</v>
      </c>
      <c r="AI270">
        <v>79</v>
      </c>
      <c r="AJ270">
        <v>0</v>
      </c>
      <c r="AK270">
        <v>10</v>
      </c>
      <c r="AL270" t="s">
        <v>74</v>
      </c>
      <c r="AM270" t="s">
        <v>74</v>
      </c>
      <c r="AN270" t="s">
        <v>74</v>
      </c>
      <c r="AO270" t="s">
        <v>20733</v>
      </c>
      <c r="AP270" t="s">
        <v>74</v>
      </c>
      <c r="AQ270" t="s">
        <v>74</v>
      </c>
      <c r="AR270" t="s">
        <v>74</v>
      </c>
      <c r="AS270" t="s">
        <v>74</v>
      </c>
      <c r="AT270" t="s">
        <v>1098</v>
      </c>
      <c r="AU270">
        <v>2003</v>
      </c>
      <c r="AV270">
        <v>42</v>
      </c>
      <c r="AW270">
        <v>2</v>
      </c>
      <c r="AX270" t="s">
        <v>74</v>
      </c>
      <c r="AY270" t="s">
        <v>74</v>
      </c>
      <c r="AZ270" t="s">
        <v>74</v>
      </c>
      <c r="BA270" t="s">
        <v>74</v>
      </c>
      <c r="BB270">
        <v>410</v>
      </c>
      <c r="BC270">
        <v>420</v>
      </c>
      <c r="BD270" t="s">
        <v>74</v>
      </c>
      <c r="BE270" t="s">
        <v>29385</v>
      </c>
      <c r="BF270" t="str">
        <f>HYPERLINK("http://dx.doi.org/10.1021/bi0264364","http://dx.doi.org/10.1021/bi0264364")</f>
        <v>http://dx.doi.org/10.1021/bi0264364</v>
      </c>
      <c r="BG270" t="s">
        <v>74</v>
      </c>
      <c r="BH270" t="s">
        <v>74</v>
      </c>
      <c r="BI270" t="s">
        <v>74</v>
      </c>
      <c r="BJ270" t="s">
        <v>95</v>
      </c>
      <c r="BK270" t="s">
        <v>117</v>
      </c>
      <c r="BL270" t="s">
        <v>95</v>
      </c>
      <c r="BM270" t="s">
        <v>74</v>
      </c>
      <c r="BN270">
        <v>12525168</v>
      </c>
      <c r="BO270" t="s">
        <v>74</v>
      </c>
      <c r="BP270" t="s">
        <v>74</v>
      </c>
      <c r="BQ270" t="s">
        <v>74</v>
      </c>
      <c r="BR270" t="s">
        <v>96</v>
      </c>
      <c r="BS270" t="s">
        <v>29386</v>
      </c>
      <c r="BT270" t="str">
        <f>HYPERLINK("https%3A%2F%2Fwww.webofscience.com%2Fwos%2Fwoscc%2Ffull-record%2FWOS:000180472900019","View Full Record in Web of Science")</f>
        <v>View Full Record in Web of Science</v>
      </c>
    </row>
    <row r="271" spans="1:72" x14ac:dyDescent="0.15">
      <c r="A271" t="s">
        <v>98</v>
      </c>
      <c r="B271" t="s">
        <v>10145</v>
      </c>
      <c r="C271" t="s">
        <v>74</v>
      </c>
      <c r="D271" t="s">
        <v>74</v>
      </c>
      <c r="E271" t="s">
        <v>74</v>
      </c>
      <c r="F271" t="s">
        <v>10146</v>
      </c>
      <c r="G271" t="s">
        <v>74</v>
      </c>
      <c r="H271" t="s">
        <v>74</v>
      </c>
      <c r="I271" t="s">
        <v>10147</v>
      </c>
      <c r="J271" t="s">
        <v>1073</v>
      </c>
      <c r="K271" t="s">
        <v>74</v>
      </c>
      <c r="L271" t="s">
        <v>74</v>
      </c>
      <c r="M271" t="s">
        <v>74</v>
      </c>
      <c r="N271" t="s">
        <v>103</v>
      </c>
      <c r="O271" t="s">
        <v>74</v>
      </c>
      <c r="P271" t="s">
        <v>74</v>
      </c>
      <c r="Q271" t="s">
        <v>74</v>
      </c>
      <c r="R271" t="s">
        <v>74</v>
      </c>
      <c r="S271" t="s">
        <v>74</v>
      </c>
      <c r="T271" t="s">
        <v>74</v>
      </c>
      <c r="U271" t="s">
        <v>10148</v>
      </c>
      <c r="V271" t="s">
        <v>10149</v>
      </c>
      <c r="W271" t="s">
        <v>10150</v>
      </c>
      <c r="X271" t="s">
        <v>10151</v>
      </c>
      <c r="Y271" t="s">
        <v>10152</v>
      </c>
      <c r="Z271" t="s">
        <v>10153</v>
      </c>
      <c r="AA271" t="s">
        <v>10154</v>
      </c>
      <c r="AB271" t="s">
        <v>10155</v>
      </c>
      <c r="AC271" t="s">
        <v>74</v>
      </c>
      <c r="AD271" t="s">
        <v>74</v>
      </c>
      <c r="AE271" t="s">
        <v>74</v>
      </c>
      <c r="AF271" t="s">
        <v>74</v>
      </c>
      <c r="AG271">
        <v>93</v>
      </c>
      <c r="AH271">
        <v>75</v>
      </c>
      <c r="AI271">
        <v>75</v>
      </c>
      <c r="AJ271">
        <v>1</v>
      </c>
      <c r="AK271">
        <v>19</v>
      </c>
      <c r="AL271" t="s">
        <v>74</v>
      </c>
      <c r="AM271" t="s">
        <v>74</v>
      </c>
      <c r="AN271" t="s">
        <v>74</v>
      </c>
      <c r="AO271" t="s">
        <v>1082</v>
      </c>
      <c r="AP271" t="s">
        <v>74</v>
      </c>
      <c r="AQ271" t="s">
        <v>74</v>
      </c>
      <c r="AR271" t="s">
        <v>74</v>
      </c>
      <c r="AS271" t="s">
        <v>74</v>
      </c>
      <c r="AT271" t="s">
        <v>10156</v>
      </c>
      <c r="AU271">
        <v>2016</v>
      </c>
      <c r="AV271">
        <v>11</v>
      </c>
      <c r="AW271">
        <v>6</v>
      </c>
      <c r="AX271" t="s">
        <v>74</v>
      </c>
      <c r="AY271" t="s">
        <v>74</v>
      </c>
      <c r="AZ271" t="s">
        <v>74</v>
      </c>
      <c r="BA271" t="s">
        <v>74</v>
      </c>
      <c r="BB271" t="s">
        <v>74</v>
      </c>
      <c r="BC271" t="s">
        <v>74</v>
      </c>
      <c r="BD271" t="s">
        <v>10157</v>
      </c>
      <c r="BE271" t="s">
        <v>10158</v>
      </c>
      <c r="BF271" t="str">
        <f>HYPERLINK("http://dx.doi.org/10.1371/journal.pone.0157614","http://dx.doi.org/10.1371/journal.pone.0157614")</f>
        <v>http://dx.doi.org/10.1371/journal.pone.0157614</v>
      </c>
      <c r="BG271" t="s">
        <v>74</v>
      </c>
      <c r="BH271" t="s">
        <v>74</v>
      </c>
      <c r="BI271" t="s">
        <v>74</v>
      </c>
      <c r="BJ271" t="s">
        <v>152</v>
      </c>
      <c r="BK271" t="s">
        <v>117</v>
      </c>
      <c r="BL271" t="s">
        <v>153</v>
      </c>
      <c r="BM271" t="s">
        <v>74</v>
      </c>
      <c r="BN271">
        <v>27333275</v>
      </c>
      <c r="BO271" t="s">
        <v>74</v>
      </c>
      <c r="BP271" t="s">
        <v>74</v>
      </c>
      <c r="BQ271" t="s">
        <v>74</v>
      </c>
      <c r="BR271" t="s">
        <v>96</v>
      </c>
      <c r="BS271" t="s">
        <v>10159</v>
      </c>
      <c r="BT271" t="str">
        <f>HYPERLINK("https%3A%2F%2Fwww.webofscience.com%2Fwos%2Fwoscc%2Ffull-record%2FWOS:000378212800038","View Full Record in Web of Science")</f>
        <v>View Full Record in Web of Science</v>
      </c>
    </row>
    <row r="272" spans="1:72" x14ac:dyDescent="0.15">
      <c r="A272" t="s">
        <v>98</v>
      </c>
      <c r="B272" t="s">
        <v>15708</v>
      </c>
      <c r="C272" t="s">
        <v>74</v>
      </c>
      <c r="D272" t="s">
        <v>74</v>
      </c>
      <c r="E272" t="s">
        <v>74</v>
      </c>
      <c r="F272" t="s">
        <v>15709</v>
      </c>
      <c r="G272" t="s">
        <v>74</v>
      </c>
      <c r="H272" t="s">
        <v>74</v>
      </c>
      <c r="I272" t="s">
        <v>15710</v>
      </c>
      <c r="J272" t="s">
        <v>15711</v>
      </c>
      <c r="K272" t="s">
        <v>74</v>
      </c>
      <c r="L272" t="s">
        <v>74</v>
      </c>
      <c r="M272" t="s">
        <v>74</v>
      </c>
      <c r="N272" t="s">
        <v>103</v>
      </c>
      <c r="O272" t="s">
        <v>74</v>
      </c>
      <c r="P272" t="s">
        <v>74</v>
      </c>
      <c r="Q272" t="s">
        <v>74</v>
      </c>
      <c r="R272" t="s">
        <v>74</v>
      </c>
      <c r="S272" t="s">
        <v>74</v>
      </c>
      <c r="T272" t="s">
        <v>15712</v>
      </c>
      <c r="U272" t="s">
        <v>15713</v>
      </c>
      <c r="V272" t="s">
        <v>15714</v>
      </c>
      <c r="W272" t="s">
        <v>15715</v>
      </c>
      <c r="X272" t="s">
        <v>15716</v>
      </c>
      <c r="Y272" t="s">
        <v>15717</v>
      </c>
      <c r="Z272" t="s">
        <v>15718</v>
      </c>
      <c r="AA272" t="s">
        <v>15719</v>
      </c>
      <c r="AB272" t="s">
        <v>74</v>
      </c>
      <c r="AC272" t="s">
        <v>74</v>
      </c>
      <c r="AD272" t="s">
        <v>74</v>
      </c>
      <c r="AE272" t="s">
        <v>74</v>
      </c>
      <c r="AF272" t="s">
        <v>74</v>
      </c>
      <c r="AG272">
        <v>35</v>
      </c>
      <c r="AH272">
        <v>75</v>
      </c>
      <c r="AI272">
        <v>78</v>
      </c>
      <c r="AJ272">
        <v>5</v>
      </c>
      <c r="AK272">
        <v>21</v>
      </c>
      <c r="AL272" t="s">
        <v>74</v>
      </c>
      <c r="AM272" t="s">
        <v>74</v>
      </c>
      <c r="AN272" t="s">
        <v>74</v>
      </c>
      <c r="AO272" t="s">
        <v>15720</v>
      </c>
      <c r="AP272" t="s">
        <v>15721</v>
      </c>
      <c r="AQ272" t="s">
        <v>74</v>
      </c>
      <c r="AR272" t="s">
        <v>74</v>
      </c>
      <c r="AS272" t="s">
        <v>74</v>
      </c>
      <c r="AT272" t="s">
        <v>531</v>
      </c>
      <c r="AU272">
        <v>2017</v>
      </c>
      <c r="AV272">
        <v>49</v>
      </c>
      <c r="AW272">
        <v>9</v>
      </c>
      <c r="AX272" t="s">
        <v>74</v>
      </c>
      <c r="AY272" t="s">
        <v>74</v>
      </c>
      <c r="AZ272" t="s">
        <v>74</v>
      </c>
      <c r="BA272" t="s">
        <v>74</v>
      </c>
      <c r="BB272">
        <v>808</v>
      </c>
      <c r="BC272">
        <v>816</v>
      </c>
      <c r="BD272" t="s">
        <v>74</v>
      </c>
      <c r="BE272" t="s">
        <v>15722</v>
      </c>
      <c r="BF272" t="str">
        <f>HYPERLINK("http://dx.doi.org/10.1093/abbs/gmx078","http://dx.doi.org/10.1093/abbs/gmx078")</f>
        <v>http://dx.doi.org/10.1093/abbs/gmx078</v>
      </c>
      <c r="BG272" t="s">
        <v>74</v>
      </c>
      <c r="BH272" t="s">
        <v>74</v>
      </c>
      <c r="BI272" t="s">
        <v>74</v>
      </c>
      <c r="BJ272" t="s">
        <v>2845</v>
      </c>
      <c r="BK272" t="s">
        <v>117</v>
      </c>
      <c r="BL272" t="s">
        <v>2845</v>
      </c>
      <c r="BM272" t="s">
        <v>74</v>
      </c>
      <c r="BN272">
        <v>28910982</v>
      </c>
      <c r="BO272" t="s">
        <v>74</v>
      </c>
      <c r="BP272" t="s">
        <v>74</v>
      </c>
      <c r="BQ272" t="s">
        <v>74</v>
      </c>
      <c r="BR272" t="s">
        <v>96</v>
      </c>
      <c r="BS272" t="s">
        <v>15723</v>
      </c>
      <c r="BT272" t="str">
        <f>HYPERLINK("https%3A%2F%2Fwww.webofscience.com%2Fwos%2Fwoscc%2Ffull-record%2FWOS:000409246700007","View Full Record in Web of Science")</f>
        <v>View Full Record in Web of Science</v>
      </c>
    </row>
    <row r="273" spans="1:72" x14ac:dyDescent="0.15">
      <c r="A273" t="s">
        <v>98</v>
      </c>
      <c r="B273" t="s">
        <v>25605</v>
      </c>
      <c r="C273" t="s">
        <v>74</v>
      </c>
      <c r="D273" t="s">
        <v>74</v>
      </c>
      <c r="E273" t="s">
        <v>74</v>
      </c>
      <c r="F273" t="s">
        <v>25605</v>
      </c>
      <c r="G273" t="s">
        <v>74</v>
      </c>
      <c r="H273" t="s">
        <v>74</v>
      </c>
      <c r="I273" t="s">
        <v>25606</v>
      </c>
      <c r="J273" t="s">
        <v>25607</v>
      </c>
      <c r="K273" t="s">
        <v>74</v>
      </c>
      <c r="L273" t="s">
        <v>74</v>
      </c>
      <c r="M273" t="s">
        <v>74</v>
      </c>
      <c r="N273" t="s">
        <v>103</v>
      </c>
      <c r="O273" t="s">
        <v>74</v>
      </c>
      <c r="P273" t="s">
        <v>74</v>
      </c>
      <c r="Q273" t="s">
        <v>74</v>
      </c>
      <c r="R273" t="s">
        <v>74</v>
      </c>
      <c r="S273" t="s">
        <v>74</v>
      </c>
      <c r="T273" t="s">
        <v>25608</v>
      </c>
      <c r="U273" t="s">
        <v>25609</v>
      </c>
      <c r="V273" t="s">
        <v>25610</v>
      </c>
      <c r="W273" t="s">
        <v>25611</v>
      </c>
      <c r="X273" t="s">
        <v>25612</v>
      </c>
      <c r="Y273" t="s">
        <v>25613</v>
      </c>
      <c r="Z273" t="s">
        <v>74</v>
      </c>
      <c r="AA273" t="s">
        <v>74</v>
      </c>
      <c r="AB273" t="s">
        <v>25614</v>
      </c>
      <c r="AC273" t="s">
        <v>74</v>
      </c>
      <c r="AD273" t="s">
        <v>74</v>
      </c>
      <c r="AE273" t="s">
        <v>74</v>
      </c>
      <c r="AF273" t="s">
        <v>74</v>
      </c>
      <c r="AG273">
        <v>23</v>
      </c>
      <c r="AH273">
        <v>75</v>
      </c>
      <c r="AI273">
        <v>76</v>
      </c>
      <c r="AJ273">
        <v>0</v>
      </c>
      <c r="AK273">
        <v>1</v>
      </c>
      <c r="AL273" t="s">
        <v>74</v>
      </c>
      <c r="AM273" t="s">
        <v>74</v>
      </c>
      <c r="AN273" t="s">
        <v>74</v>
      </c>
      <c r="AO273" t="s">
        <v>25615</v>
      </c>
      <c r="AP273" t="s">
        <v>74</v>
      </c>
      <c r="AQ273" t="s">
        <v>74</v>
      </c>
      <c r="AR273" t="s">
        <v>74</v>
      </c>
      <c r="AS273" t="s">
        <v>74</v>
      </c>
      <c r="AT273" t="s">
        <v>12712</v>
      </c>
      <c r="AU273">
        <v>1998</v>
      </c>
      <c r="AV273">
        <v>254</v>
      </c>
      <c r="AW273">
        <v>1</v>
      </c>
      <c r="AX273" t="s">
        <v>74</v>
      </c>
      <c r="AY273" t="s">
        <v>74</v>
      </c>
      <c r="AZ273" t="s">
        <v>74</v>
      </c>
      <c r="BA273" t="s">
        <v>74</v>
      </c>
      <c r="BB273">
        <v>181</v>
      </c>
      <c r="BC273">
        <v>188</v>
      </c>
      <c r="BD273" t="s">
        <v>74</v>
      </c>
      <c r="BE273" t="s">
        <v>25616</v>
      </c>
      <c r="BF273" t="str">
        <f>HYPERLINK("http://dx.doi.org/10.1046/j.1432-1327.1998.2540181.x","http://dx.doi.org/10.1046/j.1432-1327.1998.2540181.x")</f>
        <v>http://dx.doi.org/10.1046/j.1432-1327.1998.2540181.x</v>
      </c>
      <c r="BG273" t="s">
        <v>74</v>
      </c>
      <c r="BH273" t="s">
        <v>74</v>
      </c>
      <c r="BI273" t="s">
        <v>74</v>
      </c>
      <c r="BJ273" t="s">
        <v>95</v>
      </c>
      <c r="BK273" t="s">
        <v>117</v>
      </c>
      <c r="BL273" t="s">
        <v>95</v>
      </c>
      <c r="BM273" t="s">
        <v>74</v>
      </c>
      <c r="BN273">
        <v>9652412</v>
      </c>
      <c r="BO273" t="s">
        <v>74</v>
      </c>
      <c r="BP273" t="s">
        <v>74</v>
      </c>
      <c r="BQ273" t="s">
        <v>74</v>
      </c>
      <c r="BR273" t="s">
        <v>96</v>
      </c>
      <c r="BS273" t="s">
        <v>25617</v>
      </c>
      <c r="BT273" t="str">
        <f>HYPERLINK("https%3A%2F%2Fwww.webofscience.com%2Fwos%2Fwoscc%2Ffull-record%2FWOS:000073841100027","View Full Record in Web of Science")</f>
        <v>View Full Record in Web of Science</v>
      </c>
    </row>
    <row r="274" spans="1:72" x14ac:dyDescent="0.15">
      <c r="A274" t="s">
        <v>98</v>
      </c>
      <c r="B274" t="s">
        <v>28955</v>
      </c>
      <c r="C274" t="s">
        <v>74</v>
      </c>
      <c r="D274" t="s">
        <v>74</v>
      </c>
      <c r="E274" t="s">
        <v>74</v>
      </c>
      <c r="F274" t="s">
        <v>28956</v>
      </c>
      <c r="G274" t="s">
        <v>74</v>
      </c>
      <c r="H274" t="s">
        <v>74</v>
      </c>
      <c r="I274" t="s">
        <v>28957</v>
      </c>
      <c r="J274" t="s">
        <v>22344</v>
      </c>
      <c r="K274" t="s">
        <v>74</v>
      </c>
      <c r="L274" t="s">
        <v>74</v>
      </c>
      <c r="M274" t="s">
        <v>74</v>
      </c>
      <c r="N274" t="s">
        <v>103</v>
      </c>
      <c r="O274" t="s">
        <v>74</v>
      </c>
      <c r="P274" t="s">
        <v>74</v>
      </c>
      <c r="Q274" t="s">
        <v>74</v>
      </c>
      <c r="R274" t="s">
        <v>74</v>
      </c>
      <c r="S274" t="s">
        <v>74</v>
      </c>
      <c r="T274" t="s">
        <v>28958</v>
      </c>
      <c r="U274" t="s">
        <v>28959</v>
      </c>
      <c r="V274" t="s">
        <v>28960</v>
      </c>
      <c r="W274" t="s">
        <v>28961</v>
      </c>
      <c r="X274" t="s">
        <v>12080</v>
      </c>
      <c r="Y274" t="s">
        <v>28962</v>
      </c>
      <c r="Z274" t="s">
        <v>28963</v>
      </c>
      <c r="AA274" t="s">
        <v>74</v>
      </c>
      <c r="AB274" t="s">
        <v>28964</v>
      </c>
      <c r="AC274" t="s">
        <v>74</v>
      </c>
      <c r="AD274" t="s">
        <v>74</v>
      </c>
      <c r="AE274" t="s">
        <v>74</v>
      </c>
      <c r="AF274" t="s">
        <v>74</v>
      </c>
      <c r="AG274">
        <v>46</v>
      </c>
      <c r="AH274">
        <v>75</v>
      </c>
      <c r="AI274">
        <v>76</v>
      </c>
      <c r="AJ274">
        <v>0</v>
      </c>
      <c r="AK274">
        <v>4</v>
      </c>
      <c r="AL274" t="s">
        <v>74</v>
      </c>
      <c r="AM274" t="s">
        <v>74</v>
      </c>
      <c r="AN274" t="s">
        <v>74</v>
      </c>
      <c r="AO274" t="s">
        <v>22352</v>
      </c>
      <c r="AP274" t="s">
        <v>28965</v>
      </c>
      <c r="AQ274" t="s">
        <v>74</v>
      </c>
      <c r="AR274" t="s">
        <v>74</v>
      </c>
      <c r="AS274" t="s">
        <v>74</v>
      </c>
      <c r="AT274" t="s">
        <v>114</v>
      </c>
      <c r="AU274">
        <v>2008</v>
      </c>
      <c r="AV274">
        <v>99</v>
      </c>
      <c r="AW274">
        <v>1</v>
      </c>
      <c r="AX274" t="s">
        <v>74</v>
      </c>
      <c r="AY274" t="s">
        <v>74</v>
      </c>
      <c r="AZ274" t="s">
        <v>74</v>
      </c>
      <c r="BA274" t="s">
        <v>74</v>
      </c>
      <c r="BB274">
        <v>86</v>
      </c>
      <c r="BC274">
        <v>95</v>
      </c>
      <c r="BD274" t="s">
        <v>74</v>
      </c>
      <c r="BE274" t="s">
        <v>28966</v>
      </c>
      <c r="BF274" t="str">
        <f>HYPERLINK("http://dx.doi.org/10.1160/TH07-05-0328","http://dx.doi.org/10.1160/TH07-05-0328")</f>
        <v>http://dx.doi.org/10.1160/TH07-05-0328</v>
      </c>
      <c r="BG274" t="s">
        <v>74</v>
      </c>
      <c r="BH274" t="s">
        <v>74</v>
      </c>
      <c r="BI274" t="s">
        <v>74</v>
      </c>
      <c r="BJ274" t="s">
        <v>584</v>
      </c>
      <c r="BK274" t="s">
        <v>117</v>
      </c>
      <c r="BL274" t="s">
        <v>585</v>
      </c>
      <c r="BM274" t="s">
        <v>74</v>
      </c>
      <c r="BN274">
        <v>18217139</v>
      </c>
      <c r="BO274" t="s">
        <v>74</v>
      </c>
      <c r="BP274" t="s">
        <v>74</v>
      </c>
      <c r="BQ274" t="s">
        <v>74</v>
      </c>
      <c r="BR274" t="s">
        <v>96</v>
      </c>
      <c r="BS274" t="s">
        <v>28967</v>
      </c>
      <c r="BT274" t="str">
        <f>HYPERLINK("https%3A%2F%2Fwww.webofscience.com%2Fwos%2Fwoscc%2Ffull-record%2FWOS:000252670400012","View Full Record in Web of Science")</f>
        <v>View Full Record in Web of Science</v>
      </c>
    </row>
    <row r="275" spans="1:72" x14ac:dyDescent="0.15">
      <c r="A275" t="s">
        <v>98</v>
      </c>
      <c r="B275" t="s">
        <v>11938</v>
      </c>
      <c r="C275" t="s">
        <v>74</v>
      </c>
      <c r="D275" t="s">
        <v>74</v>
      </c>
      <c r="E275" t="s">
        <v>74</v>
      </c>
      <c r="F275" t="s">
        <v>11939</v>
      </c>
      <c r="G275" t="s">
        <v>74</v>
      </c>
      <c r="H275" t="s">
        <v>74</v>
      </c>
      <c r="I275" t="s">
        <v>11940</v>
      </c>
      <c r="J275" t="s">
        <v>4391</v>
      </c>
      <c r="K275" t="s">
        <v>74</v>
      </c>
      <c r="L275" t="s">
        <v>74</v>
      </c>
      <c r="M275" t="s">
        <v>74</v>
      </c>
      <c r="N275" t="s">
        <v>103</v>
      </c>
      <c r="O275" t="s">
        <v>74</v>
      </c>
      <c r="P275" t="s">
        <v>74</v>
      </c>
      <c r="Q275" t="s">
        <v>74</v>
      </c>
      <c r="R275" t="s">
        <v>74</v>
      </c>
      <c r="S275" t="s">
        <v>74</v>
      </c>
      <c r="T275" t="s">
        <v>11941</v>
      </c>
      <c r="U275" t="s">
        <v>11942</v>
      </c>
      <c r="V275" t="s">
        <v>11943</v>
      </c>
      <c r="W275" t="s">
        <v>11944</v>
      </c>
      <c r="X275" t="s">
        <v>11945</v>
      </c>
      <c r="Y275" t="s">
        <v>11946</v>
      </c>
      <c r="Z275" t="s">
        <v>11947</v>
      </c>
      <c r="AA275" t="s">
        <v>11948</v>
      </c>
      <c r="AB275" t="s">
        <v>74</v>
      </c>
      <c r="AC275" t="s">
        <v>74</v>
      </c>
      <c r="AD275" t="s">
        <v>74</v>
      </c>
      <c r="AE275" t="s">
        <v>74</v>
      </c>
      <c r="AF275" t="s">
        <v>74</v>
      </c>
      <c r="AG275">
        <v>57</v>
      </c>
      <c r="AH275">
        <v>74</v>
      </c>
      <c r="AI275">
        <v>81</v>
      </c>
      <c r="AJ275">
        <v>2</v>
      </c>
      <c r="AK275">
        <v>19</v>
      </c>
      <c r="AL275" t="s">
        <v>74</v>
      </c>
      <c r="AM275" t="s">
        <v>74</v>
      </c>
      <c r="AN275" t="s">
        <v>74</v>
      </c>
      <c r="AO275" t="s">
        <v>4401</v>
      </c>
      <c r="AP275" t="s">
        <v>74</v>
      </c>
      <c r="AQ275" t="s">
        <v>74</v>
      </c>
      <c r="AR275" t="s">
        <v>74</v>
      </c>
      <c r="AS275" t="s">
        <v>74</v>
      </c>
      <c r="AT275" t="s">
        <v>1116</v>
      </c>
      <c r="AU275">
        <v>2019</v>
      </c>
      <c r="AV275">
        <v>10</v>
      </c>
      <c r="AW275" t="s">
        <v>74</v>
      </c>
      <c r="AX275" t="s">
        <v>74</v>
      </c>
      <c r="AY275" t="s">
        <v>74</v>
      </c>
      <c r="AZ275" t="s">
        <v>74</v>
      </c>
      <c r="BA275" t="s">
        <v>74</v>
      </c>
      <c r="BB275" t="s">
        <v>74</v>
      </c>
      <c r="BC275" t="s">
        <v>74</v>
      </c>
      <c r="BD275">
        <v>30</v>
      </c>
      <c r="BE275" t="s">
        <v>11949</v>
      </c>
      <c r="BF275" t="str">
        <f>HYPERLINK("http://dx.doi.org/10.1186/s13287-018-1121-9","http://dx.doi.org/10.1186/s13287-018-1121-9")</f>
        <v>http://dx.doi.org/10.1186/s13287-018-1121-9</v>
      </c>
      <c r="BG275" t="s">
        <v>74</v>
      </c>
      <c r="BH275" t="s">
        <v>74</v>
      </c>
      <c r="BI275" t="s">
        <v>74</v>
      </c>
      <c r="BJ275" t="s">
        <v>3115</v>
      </c>
      <c r="BK275" t="s">
        <v>117</v>
      </c>
      <c r="BL275" t="s">
        <v>3116</v>
      </c>
      <c r="BM275" t="s">
        <v>74</v>
      </c>
      <c r="BN275">
        <v>30646958</v>
      </c>
      <c r="BO275" t="s">
        <v>74</v>
      </c>
      <c r="BP275" t="s">
        <v>74</v>
      </c>
      <c r="BQ275" t="s">
        <v>74</v>
      </c>
      <c r="BR275" t="s">
        <v>96</v>
      </c>
      <c r="BS275" t="s">
        <v>11950</v>
      </c>
      <c r="BT275" t="str">
        <f>HYPERLINK("https%3A%2F%2Fwww.webofscience.com%2Fwos%2Fwoscc%2Ffull-record%2FWOS:000455816200003","View Full Record in Web of Science")</f>
        <v>View Full Record in Web of Science</v>
      </c>
    </row>
    <row r="276" spans="1:72" x14ac:dyDescent="0.15">
      <c r="A276" t="s">
        <v>98</v>
      </c>
      <c r="B276" t="s">
        <v>23008</v>
      </c>
      <c r="C276" t="s">
        <v>74</v>
      </c>
      <c r="D276" t="s">
        <v>74</v>
      </c>
      <c r="E276" t="s">
        <v>74</v>
      </c>
      <c r="F276" t="s">
        <v>23008</v>
      </c>
      <c r="G276" t="s">
        <v>74</v>
      </c>
      <c r="H276" t="s">
        <v>74</v>
      </c>
      <c r="I276" t="s">
        <v>23009</v>
      </c>
      <c r="J276" t="s">
        <v>15996</v>
      </c>
      <c r="K276" t="s">
        <v>74</v>
      </c>
      <c r="L276" t="s">
        <v>74</v>
      </c>
      <c r="M276" t="s">
        <v>74</v>
      </c>
      <c r="N276" t="s">
        <v>103</v>
      </c>
      <c r="O276" t="s">
        <v>74</v>
      </c>
      <c r="P276" t="s">
        <v>74</v>
      </c>
      <c r="Q276" t="s">
        <v>74</v>
      </c>
      <c r="R276" t="s">
        <v>74</v>
      </c>
      <c r="S276" t="s">
        <v>74</v>
      </c>
      <c r="T276" t="s">
        <v>23010</v>
      </c>
      <c r="U276" t="s">
        <v>23011</v>
      </c>
      <c r="V276" t="s">
        <v>23012</v>
      </c>
      <c r="W276" t="s">
        <v>23013</v>
      </c>
      <c r="X276" t="s">
        <v>23014</v>
      </c>
      <c r="Y276" t="s">
        <v>23015</v>
      </c>
      <c r="Z276" t="s">
        <v>74</v>
      </c>
      <c r="AA276" t="s">
        <v>23016</v>
      </c>
      <c r="AB276" t="s">
        <v>23017</v>
      </c>
      <c r="AC276" t="s">
        <v>74</v>
      </c>
      <c r="AD276" t="s">
        <v>74</v>
      </c>
      <c r="AE276" t="s">
        <v>74</v>
      </c>
      <c r="AF276" t="s">
        <v>74</v>
      </c>
      <c r="AG276">
        <v>54</v>
      </c>
      <c r="AH276">
        <v>74</v>
      </c>
      <c r="AI276">
        <v>85</v>
      </c>
      <c r="AJ276">
        <v>0</v>
      </c>
      <c r="AK276">
        <v>2</v>
      </c>
      <c r="AL276" t="s">
        <v>74</v>
      </c>
      <c r="AM276" t="s">
        <v>74</v>
      </c>
      <c r="AN276" t="s">
        <v>74</v>
      </c>
      <c r="AO276" t="s">
        <v>16003</v>
      </c>
      <c r="AP276" t="s">
        <v>74</v>
      </c>
      <c r="AQ276" t="s">
        <v>74</v>
      </c>
      <c r="AR276" t="s">
        <v>74</v>
      </c>
      <c r="AS276" t="s">
        <v>74</v>
      </c>
      <c r="AT276" t="s">
        <v>114</v>
      </c>
      <c r="AU276">
        <v>2003</v>
      </c>
      <c r="AV276">
        <v>68</v>
      </c>
      <c r="AW276">
        <v>1</v>
      </c>
      <c r="AX276" t="s">
        <v>74</v>
      </c>
      <c r="AY276" t="s">
        <v>74</v>
      </c>
      <c r="AZ276" t="s">
        <v>74</v>
      </c>
      <c r="BA276" t="s">
        <v>74</v>
      </c>
      <c r="BB276">
        <v>262</v>
      </c>
      <c r="BC276">
        <v>271</v>
      </c>
      <c r="BD276" t="s">
        <v>74</v>
      </c>
      <c r="BE276" t="s">
        <v>23018</v>
      </c>
      <c r="BF276" t="str">
        <f>HYPERLINK("http://dx.doi.org/10.1095/biolreprod.102.004515","http://dx.doi.org/10.1095/biolreprod.102.004515")</f>
        <v>http://dx.doi.org/10.1095/biolreprod.102.004515</v>
      </c>
      <c r="BG276" t="s">
        <v>74</v>
      </c>
      <c r="BH276" t="s">
        <v>74</v>
      </c>
      <c r="BI276" t="s">
        <v>74</v>
      </c>
      <c r="BJ276" t="s">
        <v>13659</v>
      </c>
      <c r="BK276" t="s">
        <v>117</v>
      </c>
      <c r="BL276" t="s">
        <v>13659</v>
      </c>
      <c r="BM276" t="s">
        <v>74</v>
      </c>
      <c r="BN276">
        <v>12493722</v>
      </c>
      <c r="BO276" t="s">
        <v>74</v>
      </c>
      <c r="BP276" t="s">
        <v>74</v>
      </c>
      <c r="BQ276" t="s">
        <v>74</v>
      </c>
      <c r="BR276" t="s">
        <v>96</v>
      </c>
      <c r="BS276" t="s">
        <v>23019</v>
      </c>
      <c r="BT276" t="str">
        <f>HYPERLINK("https%3A%2F%2Fwww.webofscience.com%2Fwos%2Fwoscc%2Ffull-record%2FWOS:000180111500035","View Full Record in Web of Science")</f>
        <v>View Full Record in Web of Science</v>
      </c>
    </row>
    <row r="277" spans="1:72" x14ac:dyDescent="0.15">
      <c r="A277" t="s">
        <v>98</v>
      </c>
      <c r="B277" t="s">
        <v>26057</v>
      </c>
      <c r="C277" t="s">
        <v>74</v>
      </c>
      <c r="D277" t="s">
        <v>74</v>
      </c>
      <c r="E277" t="s">
        <v>74</v>
      </c>
      <c r="F277" t="s">
        <v>26058</v>
      </c>
      <c r="G277" t="s">
        <v>74</v>
      </c>
      <c r="H277" t="s">
        <v>74</v>
      </c>
      <c r="I277" t="s">
        <v>26059</v>
      </c>
      <c r="J277" t="s">
        <v>6273</v>
      </c>
      <c r="K277" t="s">
        <v>74</v>
      </c>
      <c r="L277" t="s">
        <v>74</v>
      </c>
      <c r="M277" t="s">
        <v>74</v>
      </c>
      <c r="N277" t="s">
        <v>103</v>
      </c>
      <c r="O277" t="s">
        <v>74</v>
      </c>
      <c r="P277" t="s">
        <v>74</v>
      </c>
      <c r="Q277" t="s">
        <v>74</v>
      </c>
      <c r="R277" t="s">
        <v>74</v>
      </c>
      <c r="S277" t="s">
        <v>74</v>
      </c>
      <c r="T277" t="s">
        <v>74</v>
      </c>
      <c r="U277" t="s">
        <v>26060</v>
      </c>
      <c r="V277" t="s">
        <v>26061</v>
      </c>
      <c r="W277" t="s">
        <v>26062</v>
      </c>
      <c r="X277" t="s">
        <v>26063</v>
      </c>
      <c r="Y277" t="s">
        <v>26064</v>
      </c>
      <c r="Z277" t="s">
        <v>26065</v>
      </c>
      <c r="AA277" t="s">
        <v>74</v>
      </c>
      <c r="AB277" t="s">
        <v>74</v>
      </c>
      <c r="AC277" t="s">
        <v>74</v>
      </c>
      <c r="AD277" t="s">
        <v>74</v>
      </c>
      <c r="AE277" t="s">
        <v>74</v>
      </c>
      <c r="AF277" t="s">
        <v>74</v>
      </c>
      <c r="AG277">
        <v>42</v>
      </c>
      <c r="AH277">
        <v>74</v>
      </c>
      <c r="AI277">
        <v>77</v>
      </c>
      <c r="AJ277">
        <v>0</v>
      </c>
      <c r="AK277">
        <v>5</v>
      </c>
      <c r="AL277" t="s">
        <v>74</v>
      </c>
      <c r="AM277" t="s">
        <v>74</v>
      </c>
      <c r="AN277" t="s">
        <v>74</v>
      </c>
      <c r="AO277" t="s">
        <v>6281</v>
      </c>
      <c r="AP277" t="s">
        <v>6282</v>
      </c>
      <c r="AQ277" t="s">
        <v>74</v>
      </c>
      <c r="AR277" t="s">
        <v>74</v>
      </c>
      <c r="AS277" t="s">
        <v>74</v>
      </c>
      <c r="AT277" t="s">
        <v>211</v>
      </c>
      <c r="AU277">
        <v>2007</v>
      </c>
      <c r="AV277">
        <v>189</v>
      </c>
      <c r="AW277">
        <v>22</v>
      </c>
      <c r="AX277" t="s">
        <v>74</v>
      </c>
      <c r="AY277" t="s">
        <v>74</v>
      </c>
      <c r="AZ277" t="s">
        <v>74</v>
      </c>
      <c r="BA277" t="s">
        <v>74</v>
      </c>
      <c r="BB277">
        <v>8300</v>
      </c>
      <c r="BC277">
        <v>8307</v>
      </c>
      <c r="BD277" t="s">
        <v>74</v>
      </c>
      <c r="BE277" t="s">
        <v>26066</v>
      </c>
      <c r="BF277" t="str">
        <f>HYPERLINK("http://dx.doi.org/10.1128/JB.00532-07","http://dx.doi.org/10.1128/JB.00532-07")</f>
        <v>http://dx.doi.org/10.1128/JB.00532-07</v>
      </c>
      <c r="BG277" t="s">
        <v>74</v>
      </c>
      <c r="BH277" t="s">
        <v>74</v>
      </c>
      <c r="BI277" t="s">
        <v>74</v>
      </c>
      <c r="BJ277" t="s">
        <v>898</v>
      </c>
      <c r="BK277" t="s">
        <v>117</v>
      </c>
      <c r="BL277" t="s">
        <v>898</v>
      </c>
      <c r="BM277" t="s">
        <v>74</v>
      </c>
      <c r="BN277">
        <v>17573475</v>
      </c>
      <c r="BO277" t="s">
        <v>74</v>
      </c>
      <c r="BP277" t="s">
        <v>74</v>
      </c>
      <c r="BQ277" t="s">
        <v>74</v>
      </c>
      <c r="BR277" t="s">
        <v>96</v>
      </c>
      <c r="BS277" t="s">
        <v>26067</v>
      </c>
      <c r="BT277" t="str">
        <f>HYPERLINK("https%3A%2F%2Fwww.webofscience.com%2Fwos%2Fwoscc%2Ffull-record%2FWOS:000250991300040","View Full Record in Web of Science")</f>
        <v>View Full Record in Web of Science</v>
      </c>
    </row>
    <row r="278" spans="1:72" x14ac:dyDescent="0.15">
      <c r="A278" t="s">
        <v>98</v>
      </c>
      <c r="B278" t="s">
        <v>11921</v>
      </c>
      <c r="C278" t="s">
        <v>74</v>
      </c>
      <c r="D278" t="s">
        <v>74</v>
      </c>
      <c r="E278" t="s">
        <v>74</v>
      </c>
      <c r="F278" t="s">
        <v>11922</v>
      </c>
      <c r="G278" t="s">
        <v>74</v>
      </c>
      <c r="H278" t="s">
        <v>74</v>
      </c>
      <c r="I278" t="s">
        <v>11923</v>
      </c>
      <c r="J278" t="s">
        <v>11924</v>
      </c>
      <c r="K278" t="s">
        <v>74</v>
      </c>
      <c r="L278" t="s">
        <v>74</v>
      </c>
      <c r="M278" t="s">
        <v>74</v>
      </c>
      <c r="N278" t="s">
        <v>103</v>
      </c>
      <c r="O278" t="s">
        <v>74</v>
      </c>
      <c r="P278" t="s">
        <v>74</v>
      </c>
      <c r="Q278" t="s">
        <v>74</v>
      </c>
      <c r="R278" t="s">
        <v>74</v>
      </c>
      <c r="S278" t="s">
        <v>74</v>
      </c>
      <c r="T278" t="s">
        <v>11925</v>
      </c>
      <c r="U278" t="s">
        <v>11926</v>
      </c>
      <c r="V278" t="s">
        <v>11927</v>
      </c>
      <c r="W278" t="s">
        <v>11928</v>
      </c>
      <c r="X278" t="s">
        <v>11929</v>
      </c>
      <c r="Y278" t="s">
        <v>11930</v>
      </c>
      <c r="Z278" t="s">
        <v>11931</v>
      </c>
      <c r="AA278" t="s">
        <v>11932</v>
      </c>
      <c r="AB278" t="s">
        <v>11933</v>
      </c>
      <c r="AC278" t="s">
        <v>74</v>
      </c>
      <c r="AD278" t="s">
        <v>74</v>
      </c>
      <c r="AE278" t="s">
        <v>74</v>
      </c>
      <c r="AF278" t="s">
        <v>74</v>
      </c>
      <c r="AG278">
        <v>40</v>
      </c>
      <c r="AH278">
        <v>73</v>
      </c>
      <c r="AI278">
        <v>76</v>
      </c>
      <c r="AJ278">
        <v>0</v>
      </c>
      <c r="AK278">
        <v>30</v>
      </c>
      <c r="AL278" t="s">
        <v>74</v>
      </c>
      <c r="AM278" t="s">
        <v>74</v>
      </c>
      <c r="AN278" t="s">
        <v>74</v>
      </c>
      <c r="AO278" t="s">
        <v>11934</v>
      </c>
      <c r="AP278" t="s">
        <v>11935</v>
      </c>
      <c r="AQ278" t="s">
        <v>74</v>
      </c>
      <c r="AR278" t="s">
        <v>74</v>
      </c>
      <c r="AS278" t="s">
        <v>74</v>
      </c>
      <c r="AT278" t="s">
        <v>614</v>
      </c>
      <c r="AU278">
        <v>2008</v>
      </c>
      <c r="AV278">
        <v>14</v>
      </c>
      <c r="AW278">
        <v>7</v>
      </c>
      <c r="AX278" t="s">
        <v>74</v>
      </c>
      <c r="AY278" t="s">
        <v>74</v>
      </c>
      <c r="AZ278" t="s">
        <v>74</v>
      </c>
      <c r="BA278" t="s">
        <v>74</v>
      </c>
      <c r="BB278">
        <v>1424</v>
      </c>
      <c r="BC278">
        <v>1432</v>
      </c>
      <c r="BD278" t="s">
        <v>74</v>
      </c>
      <c r="BE278" t="s">
        <v>11936</v>
      </c>
      <c r="BF278" t="str">
        <f>HYPERLINK("http://dx.doi.org/10.1261/rna.755908","http://dx.doi.org/10.1261/rna.755908")</f>
        <v>http://dx.doi.org/10.1261/rna.755908</v>
      </c>
      <c r="BG278" t="s">
        <v>74</v>
      </c>
      <c r="BH278" t="s">
        <v>74</v>
      </c>
      <c r="BI278" t="s">
        <v>74</v>
      </c>
      <c r="BJ278" t="s">
        <v>95</v>
      </c>
      <c r="BK278" t="s">
        <v>117</v>
      </c>
      <c r="BL278" t="s">
        <v>95</v>
      </c>
      <c r="BM278" t="s">
        <v>74</v>
      </c>
      <c r="BN278">
        <v>18456845</v>
      </c>
      <c r="BO278" t="s">
        <v>74</v>
      </c>
      <c r="BP278" t="s">
        <v>74</v>
      </c>
      <c r="BQ278" t="s">
        <v>74</v>
      </c>
      <c r="BR278" t="s">
        <v>96</v>
      </c>
      <c r="BS278" t="s">
        <v>11937</v>
      </c>
      <c r="BT278" t="str">
        <f>HYPERLINK("https%3A%2F%2Fwww.webofscience.com%2Fwos%2Fwoscc%2Ffull-record%2FWOS:000256879800017","View Full Record in Web of Science")</f>
        <v>View Full Record in Web of Science</v>
      </c>
    </row>
    <row r="279" spans="1:72" x14ac:dyDescent="0.15">
      <c r="A279" t="s">
        <v>98</v>
      </c>
      <c r="B279" t="s">
        <v>21170</v>
      </c>
      <c r="C279" t="s">
        <v>74</v>
      </c>
      <c r="D279" t="s">
        <v>74</v>
      </c>
      <c r="E279" t="s">
        <v>74</v>
      </c>
      <c r="F279" t="s">
        <v>21170</v>
      </c>
      <c r="G279" t="s">
        <v>74</v>
      </c>
      <c r="H279" t="s">
        <v>74</v>
      </c>
      <c r="I279" t="s">
        <v>21171</v>
      </c>
      <c r="J279" t="s">
        <v>7458</v>
      </c>
      <c r="K279" t="s">
        <v>74</v>
      </c>
      <c r="L279" t="s">
        <v>74</v>
      </c>
      <c r="M279" t="s">
        <v>74</v>
      </c>
      <c r="N279" t="s">
        <v>103</v>
      </c>
      <c r="O279" t="s">
        <v>74</v>
      </c>
      <c r="P279" t="s">
        <v>74</v>
      </c>
      <c r="Q279" t="s">
        <v>74</v>
      </c>
      <c r="R279" t="s">
        <v>74</v>
      </c>
      <c r="S279" t="s">
        <v>74</v>
      </c>
      <c r="T279" t="s">
        <v>21172</v>
      </c>
      <c r="U279" t="s">
        <v>21173</v>
      </c>
      <c r="V279" t="s">
        <v>21174</v>
      </c>
      <c r="W279" t="s">
        <v>21175</v>
      </c>
      <c r="X279" t="s">
        <v>21176</v>
      </c>
      <c r="Y279" t="s">
        <v>74</v>
      </c>
      <c r="Z279" t="s">
        <v>74</v>
      </c>
      <c r="AA279" t="s">
        <v>74</v>
      </c>
      <c r="AB279" t="s">
        <v>74</v>
      </c>
      <c r="AC279" t="s">
        <v>74</v>
      </c>
      <c r="AD279" t="s">
        <v>74</v>
      </c>
      <c r="AE279" t="s">
        <v>74</v>
      </c>
      <c r="AF279" t="s">
        <v>74</v>
      </c>
      <c r="AG279">
        <v>45</v>
      </c>
      <c r="AH279">
        <v>73</v>
      </c>
      <c r="AI279">
        <v>73</v>
      </c>
      <c r="AJ279">
        <v>1</v>
      </c>
      <c r="AK279">
        <v>10</v>
      </c>
      <c r="AL279" t="s">
        <v>74</v>
      </c>
      <c r="AM279" t="s">
        <v>74</v>
      </c>
      <c r="AN279" t="s">
        <v>74</v>
      </c>
      <c r="AO279" t="s">
        <v>7467</v>
      </c>
      <c r="AP279" t="s">
        <v>7468</v>
      </c>
      <c r="AQ279" t="s">
        <v>74</v>
      </c>
      <c r="AR279" t="s">
        <v>74</v>
      </c>
      <c r="AS279" t="s">
        <v>74</v>
      </c>
      <c r="AT279" t="s">
        <v>3744</v>
      </c>
      <c r="AU279">
        <v>1997</v>
      </c>
      <c r="AV279">
        <v>1325</v>
      </c>
      <c r="AW279">
        <v>1</v>
      </c>
      <c r="AX279" t="s">
        <v>74</v>
      </c>
      <c r="AY279" t="s">
        <v>74</v>
      </c>
      <c r="AZ279" t="s">
        <v>74</v>
      </c>
      <c r="BA279" t="s">
        <v>74</v>
      </c>
      <c r="BB279">
        <v>71</v>
      </c>
      <c r="BC279">
        <v>79</v>
      </c>
      <c r="BD279" t="s">
        <v>74</v>
      </c>
      <c r="BE279" t="s">
        <v>21177</v>
      </c>
      <c r="BF279" t="str">
        <f>HYPERLINK("http://dx.doi.org/10.1016/S0005-2736(96)00241-6","http://dx.doi.org/10.1016/S0005-2736(96)00241-6")</f>
        <v>http://dx.doi.org/10.1016/S0005-2736(96)00241-6</v>
      </c>
      <c r="BG279" t="s">
        <v>74</v>
      </c>
      <c r="BH279" t="s">
        <v>74</v>
      </c>
      <c r="BI279" t="s">
        <v>74</v>
      </c>
      <c r="BJ279" t="s">
        <v>2845</v>
      </c>
      <c r="BK279" t="s">
        <v>117</v>
      </c>
      <c r="BL279" t="s">
        <v>2845</v>
      </c>
      <c r="BM279" t="s">
        <v>74</v>
      </c>
      <c r="BN279">
        <v>9106484</v>
      </c>
      <c r="BO279" t="s">
        <v>74</v>
      </c>
      <c r="BP279" t="s">
        <v>74</v>
      </c>
      <c r="BQ279" t="s">
        <v>74</v>
      </c>
      <c r="BR279" t="s">
        <v>96</v>
      </c>
      <c r="BS279" t="s">
        <v>21178</v>
      </c>
      <c r="BT279" t="str">
        <f>HYPERLINK("https%3A%2F%2Fwww.webofscience.com%2Fwos%2Fwoscc%2Ffull-record%2FWOS:A1997WR49300008","View Full Record in Web of Science")</f>
        <v>View Full Record in Web of Science</v>
      </c>
    </row>
    <row r="280" spans="1:72" x14ac:dyDescent="0.15">
      <c r="A280" t="s">
        <v>98</v>
      </c>
      <c r="B280" t="s">
        <v>21748</v>
      </c>
      <c r="C280" t="s">
        <v>74</v>
      </c>
      <c r="D280" t="s">
        <v>74</v>
      </c>
      <c r="E280" t="s">
        <v>74</v>
      </c>
      <c r="F280" t="s">
        <v>21749</v>
      </c>
      <c r="G280" t="s">
        <v>74</v>
      </c>
      <c r="H280" t="s">
        <v>74</v>
      </c>
      <c r="I280" t="s">
        <v>21750</v>
      </c>
      <c r="J280" t="s">
        <v>1123</v>
      </c>
      <c r="K280" t="s">
        <v>74</v>
      </c>
      <c r="L280" t="s">
        <v>74</v>
      </c>
      <c r="M280" t="s">
        <v>74</v>
      </c>
      <c r="N280" t="s">
        <v>103</v>
      </c>
      <c r="O280" t="s">
        <v>74</v>
      </c>
      <c r="P280" t="s">
        <v>74</v>
      </c>
      <c r="Q280" t="s">
        <v>74</v>
      </c>
      <c r="R280" t="s">
        <v>74</v>
      </c>
      <c r="S280" t="s">
        <v>74</v>
      </c>
      <c r="T280" t="s">
        <v>21751</v>
      </c>
      <c r="U280" t="s">
        <v>21752</v>
      </c>
      <c r="V280" t="s">
        <v>21753</v>
      </c>
      <c r="W280" t="s">
        <v>21754</v>
      </c>
      <c r="X280" t="s">
        <v>21755</v>
      </c>
      <c r="Y280" t="s">
        <v>21756</v>
      </c>
      <c r="Z280" t="s">
        <v>21757</v>
      </c>
      <c r="AA280" t="s">
        <v>74</v>
      </c>
      <c r="AB280" t="s">
        <v>74</v>
      </c>
      <c r="AC280" t="s">
        <v>74</v>
      </c>
      <c r="AD280" t="s">
        <v>74</v>
      </c>
      <c r="AE280" t="s">
        <v>74</v>
      </c>
      <c r="AF280" t="s">
        <v>74</v>
      </c>
      <c r="AG280">
        <v>30</v>
      </c>
      <c r="AH280">
        <v>73</v>
      </c>
      <c r="AI280">
        <v>73</v>
      </c>
      <c r="AJ280">
        <v>5</v>
      </c>
      <c r="AK280">
        <v>185</v>
      </c>
      <c r="AL280" t="s">
        <v>74</v>
      </c>
      <c r="AM280" t="s">
        <v>74</v>
      </c>
      <c r="AN280" t="s">
        <v>74</v>
      </c>
      <c r="AO280" t="s">
        <v>1132</v>
      </c>
      <c r="AP280" t="s">
        <v>1133</v>
      </c>
      <c r="AQ280" t="s">
        <v>74</v>
      </c>
      <c r="AR280" t="s">
        <v>74</v>
      </c>
      <c r="AS280" t="s">
        <v>74</v>
      </c>
      <c r="AT280" t="s">
        <v>2906</v>
      </c>
      <c r="AU280">
        <v>2013</v>
      </c>
      <c r="AV280">
        <v>44</v>
      </c>
      <c r="AW280" t="s">
        <v>74</v>
      </c>
      <c r="AX280" t="s">
        <v>74</v>
      </c>
      <c r="AY280" t="s">
        <v>74</v>
      </c>
      <c r="AZ280" t="s">
        <v>74</v>
      </c>
      <c r="BA280" t="s">
        <v>74</v>
      </c>
      <c r="BB280">
        <v>115</v>
      </c>
      <c r="BC280">
        <v>121</v>
      </c>
      <c r="BD280" t="s">
        <v>74</v>
      </c>
      <c r="BE280" t="s">
        <v>21758</v>
      </c>
      <c r="BF280" t="str">
        <f>HYPERLINK("http://dx.doi.org/10.1016/j.bios.2012.12.046","http://dx.doi.org/10.1016/j.bios.2012.12.046")</f>
        <v>http://dx.doi.org/10.1016/j.bios.2012.12.046</v>
      </c>
      <c r="BG280" t="s">
        <v>74</v>
      </c>
      <c r="BH280" t="s">
        <v>74</v>
      </c>
      <c r="BI280" t="s">
        <v>74</v>
      </c>
      <c r="BJ280" t="s">
        <v>1137</v>
      </c>
      <c r="BK280" t="s">
        <v>117</v>
      </c>
      <c r="BL280" t="s">
        <v>1138</v>
      </c>
      <c r="BM280" t="s">
        <v>74</v>
      </c>
      <c r="BN280">
        <v>23402739</v>
      </c>
      <c r="BO280" t="s">
        <v>74</v>
      </c>
      <c r="BP280" t="s">
        <v>74</v>
      </c>
      <c r="BQ280" t="s">
        <v>74</v>
      </c>
      <c r="BR280" t="s">
        <v>96</v>
      </c>
      <c r="BS280" t="s">
        <v>21759</v>
      </c>
      <c r="BT280" t="str">
        <f>HYPERLINK("https%3A%2F%2Fwww.webofscience.com%2Fwos%2Fwoscc%2Ffull-record%2FWOS:000317150700020","View Full Record in Web of Science")</f>
        <v>View Full Record in Web of Science</v>
      </c>
    </row>
    <row r="281" spans="1:72" x14ac:dyDescent="0.15">
      <c r="A281" t="s">
        <v>98</v>
      </c>
      <c r="B281" t="s">
        <v>13745</v>
      </c>
      <c r="C281" t="s">
        <v>74</v>
      </c>
      <c r="D281" t="s">
        <v>74</v>
      </c>
      <c r="E281" t="s">
        <v>74</v>
      </c>
      <c r="F281" t="s">
        <v>13745</v>
      </c>
      <c r="G281" t="s">
        <v>74</v>
      </c>
      <c r="H281" t="s">
        <v>74</v>
      </c>
      <c r="I281" t="s">
        <v>13746</v>
      </c>
      <c r="J281" t="s">
        <v>12289</v>
      </c>
      <c r="K281" t="s">
        <v>74</v>
      </c>
      <c r="L281" t="s">
        <v>74</v>
      </c>
      <c r="M281" t="s">
        <v>74</v>
      </c>
      <c r="N281" t="s">
        <v>103</v>
      </c>
      <c r="O281" t="s">
        <v>74</v>
      </c>
      <c r="P281" t="s">
        <v>74</v>
      </c>
      <c r="Q281" t="s">
        <v>74</v>
      </c>
      <c r="R281" t="s">
        <v>74</v>
      </c>
      <c r="S281" t="s">
        <v>74</v>
      </c>
      <c r="T281" t="s">
        <v>13747</v>
      </c>
      <c r="U281" t="s">
        <v>13748</v>
      </c>
      <c r="V281" t="s">
        <v>13749</v>
      </c>
      <c r="W281" t="s">
        <v>13750</v>
      </c>
      <c r="X281" t="s">
        <v>13751</v>
      </c>
      <c r="Y281" t="s">
        <v>13752</v>
      </c>
      <c r="Z281" t="s">
        <v>13753</v>
      </c>
      <c r="AA281" t="s">
        <v>13754</v>
      </c>
      <c r="AB281" t="s">
        <v>13755</v>
      </c>
      <c r="AC281" t="s">
        <v>74</v>
      </c>
      <c r="AD281" t="s">
        <v>74</v>
      </c>
      <c r="AE281" t="s">
        <v>74</v>
      </c>
      <c r="AF281" t="s">
        <v>74</v>
      </c>
      <c r="AG281">
        <v>53</v>
      </c>
      <c r="AH281">
        <v>72</v>
      </c>
      <c r="AI281">
        <v>72</v>
      </c>
      <c r="AJ281">
        <v>0</v>
      </c>
      <c r="AK281">
        <v>3</v>
      </c>
      <c r="AL281" t="s">
        <v>74</v>
      </c>
      <c r="AM281" t="s">
        <v>74</v>
      </c>
      <c r="AN281" t="s">
        <v>74</v>
      </c>
      <c r="AO281" t="s">
        <v>12296</v>
      </c>
      <c r="AP281" t="s">
        <v>12297</v>
      </c>
      <c r="AQ281" t="s">
        <v>74</v>
      </c>
      <c r="AR281" t="s">
        <v>74</v>
      </c>
      <c r="AS281" t="s">
        <v>74</v>
      </c>
      <c r="AT281" t="s">
        <v>132</v>
      </c>
      <c r="AU281">
        <v>2002</v>
      </c>
      <c r="AV281">
        <v>148</v>
      </c>
      <c r="AW281" t="s">
        <v>74</v>
      </c>
      <c r="AX281">
        <v>4</v>
      </c>
      <c r="AY281" t="s">
        <v>74</v>
      </c>
      <c r="AZ281" t="s">
        <v>74</v>
      </c>
      <c r="BA281" t="s">
        <v>74</v>
      </c>
      <c r="BB281">
        <v>1171</v>
      </c>
      <c r="BC281">
        <v>1182</v>
      </c>
      <c r="BD281" t="s">
        <v>74</v>
      </c>
      <c r="BE281" t="s">
        <v>13756</v>
      </c>
      <c r="BF281" t="str">
        <f>HYPERLINK("http://dx.doi.org/10.1099/00221287-148-4-1171","http://dx.doi.org/10.1099/00221287-148-4-1171")</f>
        <v>http://dx.doi.org/10.1099/00221287-148-4-1171</v>
      </c>
      <c r="BG281" t="s">
        <v>74</v>
      </c>
      <c r="BH281" t="s">
        <v>74</v>
      </c>
      <c r="BI281" t="s">
        <v>74</v>
      </c>
      <c r="BJ281" t="s">
        <v>898</v>
      </c>
      <c r="BK281" t="s">
        <v>117</v>
      </c>
      <c r="BL281" t="s">
        <v>898</v>
      </c>
      <c r="BM281" t="s">
        <v>74</v>
      </c>
      <c r="BN281">
        <v>11932461</v>
      </c>
      <c r="BO281" t="s">
        <v>74</v>
      </c>
      <c r="BP281" t="s">
        <v>74</v>
      </c>
      <c r="BQ281" t="s">
        <v>74</v>
      </c>
      <c r="BR281" t="s">
        <v>96</v>
      </c>
      <c r="BS281" t="s">
        <v>13757</v>
      </c>
      <c r="BT281" t="str">
        <f>HYPERLINK("https%3A%2F%2Fwww.webofscience.com%2Fwos%2Fwoscc%2Ffull-record%2FWOS:000175084400025","View Full Record in Web of Science")</f>
        <v>View Full Record in Web of Science</v>
      </c>
    </row>
    <row r="282" spans="1:72" x14ac:dyDescent="0.15">
      <c r="A282" t="s">
        <v>98</v>
      </c>
      <c r="B282" t="s">
        <v>26423</v>
      </c>
      <c r="C282" t="s">
        <v>74</v>
      </c>
      <c r="D282" t="s">
        <v>74</v>
      </c>
      <c r="E282" t="s">
        <v>74</v>
      </c>
      <c r="F282" t="s">
        <v>26424</v>
      </c>
      <c r="G282" t="s">
        <v>74</v>
      </c>
      <c r="H282" t="s">
        <v>74</v>
      </c>
      <c r="I282" t="s">
        <v>26425</v>
      </c>
      <c r="J282" t="s">
        <v>13260</v>
      </c>
      <c r="K282" t="s">
        <v>74</v>
      </c>
      <c r="L282" t="s">
        <v>74</v>
      </c>
      <c r="M282" t="s">
        <v>74</v>
      </c>
      <c r="N282" t="s">
        <v>103</v>
      </c>
      <c r="O282" t="s">
        <v>74</v>
      </c>
      <c r="P282" t="s">
        <v>74</v>
      </c>
      <c r="Q282" t="s">
        <v>74</v>
      </c>
      <c r="R282" t="s">
        <v>74</v>
      </c>
      <c r="S282" t="s">
        <v>74</v>
      </c>
      <c r="T282" t="s">
        <v>74</v>
      </c>
      <c r="U282" t="s">
        <v>26426</v>
      </c>
      <c r="V282" t="s">
        <v>26427</v>
      </c>
      <c r="W282" t="s">
        <v>26428</v>
      </c>
      <c r="X282" t="s">
        <v>6324</v>
      </c>
      <c r="Y282" t="s">
        <v>26429</v>
      </c>
      <c r="Z282" t="s">
        <v>26430</v>
      </c>
      <c r="AA282" t="s">
        <v>6327</v>
      </c>
      <c r="AB282" t="s">
        <v>6328</v>
      </c>
      <c r="AC282" t="s">
        <v>74</v>
      </c>
      <c r="AD282" t="s">
        <v>74</v>
      </c>
      <c r="AE282" t="s">
        <v>74</v>
      </c>
      <c r="AF282" t="s">
        <v>74</v>
      </c>
      <c r="AG282">
        <v>34</v>
      </c>
      <c r="AH282">
        <v>72</v>
      </c>
      <c r="AI282">
        <v>76</v>
      </c>
      <c r="AJ282">
        <v>5</v>
      </c>
      <c r="AK282">
        <v>36</v>
      </c>
      <c r="AL282" t="s">
        <v>74</v>
      </c>
      <c r="AM282" t="s">
        <v>74</v>
      </c>
      <c r="AN282" t="s">
        <v>74</v>
      </c>
      <c r="AO282" t="s">
        <v>13269</v>
      </c>
      <c r="AP282" t="s">
        <v>13270</v>
      </c>
      <c r="AQ282" t="s">
        <v>74</v>
      </c>
      <c r="AR282" t="s">
        <v>74</v>
      </c>
      <c r="AS282" t="s">
        <v>74</v>
      </c>
      <c r="AT282" t="s">
        <v>211</v>
      </c>
      <c r="AU282">
        <v>2017</v>
      </c>
      <c r="AV282">
        <v>8</v>
      </c>
      <c r="AW282">
        <v>11</v>
      </c>
      <c r="AX282" t="s">
        <v>74</v>
      </c>
      <c r="AY282" t="s">
        <v>74</v>
      </c>
      <c r="AZ282" t="s">
        <v>74</v>
      </c>
      <c r="BA282" t="s">
        <v>74</v>
      </c>
      <c r="BB282">
        <v>4100</v>
      </c>
      <c r="BC282">
        <v>4107</v>
      </c>
      <c r="BD282" t="s">
        <v>74</v>
      </c>
      <c r="BE282" t="s">
        <v>26431</v>
      </c>
      <c r="BF282" t="str">
        <f>HYPERLINK("http://dx.doi.org/10.1039/c7fo00882a","http://dx.doi.org/10.1039/c7fo00882a")</f>
        <v>http://dx.doi.org/10.1039/c7fo00882a</v>
      </c>
      <c r="BG282" t="s">
        <v>74</v>
      </c>
      <c r="BH282" t="s">
        <v>74</v>
      </c>
      <c r="BI282" t="s">
        <v>74</v>
      </c>
      <c r="BJ282" t="s">
        <v>13272</v>
      </c>
      <c r="BK282" t="s">
        <v>117</v>
      </c>
      <c r="BL282" t="s">
        <v>13272</v>
      </c>
      <c r="BM282" t="s">
        <v>74</v>
      </c>
      <c r="BN282">
        <v>28991298</v>
      </c>
      <c r="BO282" t="s">
        <v>74</v>
      </c>
      <c r="BP282" t="s">
        <v>74</v>
      </c>
      <c r="BQ282" t="s">
        <v>74</v>
      </c>
      <c r="BR282" t="s">
        <v>96</v>
      </c>
      <c r="BS282" t="s">
        <v>26432</v>
      </c>
      <c r="BT282" t="str">
        <f>HYPERLINK("https%3A%2F%2Fwww.webofscience.com%2Fwos%2Fwoscc%2Ffull-record%2FWOS:000415578600025","View Full Record in Web of Science")</f>
        <v>View Full Record in Web of Science</v>
      </c>
    </row>
    <row r="283" spans="1:72" x14ac:dyDescent="0.15">
      <c r="A283" t="s">
        <v>98</v>
      </c>
      <c r="B283" t="s">
        <v>29220</v>
      </c>
      <c r="C283" t="s">
        <v>74</v>
      </c>
      <c r="D283" t="s">
        <v>74</v>
      </c>
      <c r="E283" t="s">
        <v>74</v>
      </c>
      <c r="F283" t="s">
        <v>29221</v>
      </c>
      <c r="G283" t="s">
        <v>74</v>
      </c>
      <c r="H283" t="s">
        <v>74</v>
      </c>
      <c r="I283" t="s">
        <v>29222</v>
      </c>
      <c r="J283" t="s">
        <v>29223</v>
      </c>
      <c r="K283" t="s">
        <v>74</v>
      </c>
      <c r="L283" t="s">
        <v>74</v>
      </c>
      <c r="M283" t="s">
        <v>74</v>
      </c>
      <c r="N283" t="s">
        <v>103</v>
      </c>
      <c r="O283" t="s">
        <v>74</v>
      </c>
      <c r="P283" t="s">
        <v>74</v>
      </c>
      <c r="Q283" t="s">
        <v>74</v>
      </c>
      <c r="R283" t="s">
        <v>74</v>
      </c>
      <c r="S283" t="s">
        <v>74</v>
      </c>
      <c r="T283" t="s">
        <v>74</v>
      </c>
      <c r="U283" t="s">
        <v>29224</v>
      </c>
      <c r="V283" t="s">
        <v>29225</v>
      </c>
      <c r="W283" t="s">
        <v>74</v>
      </c>
      <c r="X283" t="s">
        <v>74</v>
      </c>
      <c r="Y283" t="s">
        <v>74</v>
      </c>
      <c r="Z283" t="s">
        <v>74</v>
      </c>
      <c r="AA283" t="s">
        <v>29226</v>
      </c>
      <c r="AB283" t="s">
        <v>29227</v>
      </c>
      <c r="AC283" t="s">
        <v>74</v>
      </c>
      <c r="AD283" t="s">
        <v>74</v>
      </c>
      <c r="AE283" t="s">
        <v>74</v>
      </c>
      <c r="AF283" t="s">
        <v>74</v>
      </c>
      <c r="AG283">
        <v>116</v>
      </c>
      <c r="AH283">
        <v>72</v>
      </c>
      <c r="AI283">
        <v>78</v>
      </c>
      <c r="AJ283">
        <v>3</v>
      </c>
      <c r="AK283">
        <v>24</v>
      </c>
      <c r="AL283" t="s">
        <v>74</v>
      </c>
      <c r="AM283" t="s">
        <v>74</v>
      </c>
      <c r="AN283" t="s">
        <v>74</v>
      </c>
      <c r="AO283" t="s">
        <v>29228</v>
      </c>
      <c r="AP283" t="s">
        <v>29229</v>
      </c>
      <c r="AQ283" t="s">
        <v>74</v>
      </c>
      <c r="AR283" t="s">
        <v>74</v>
      </c>
      <c r="AS283" t="s">
        <v>74</v>
      </c>
      <c r="AT283" t="s">
        <v>283</v>
      </c>
      <c r="AU283">
        <v>2016</v>
      </c>
      <c r="AV283">
        <v>70</v>
      </c>
      <c r="AW283">
        <v>1</v>
      </c>
      <c r="AX283" t="s">
        <v>74</v>
      </c>
      <c r="AY283" t="s">
        <v>74</v>
      </c>
      <c r="AZ283" t="s">
        <v>74</v>
      </c>
      <c r="BA283" t="s">
        <v>74</v>
      </c>
      <c r="BB283">
        <v>38</v>
      </c>
      <c r="BC283">
        <v>52</v>
      </c>
      <c r="BD283" t="s">
        <v>74</v>
      </c>
      <c r="BE283" t="s">
        <v>29230</v>
      </c>
      <c r="BF283" t="str">
        <f>HYPERLINK("http://dx.doi.org/10.1111/prd.12099","http://dx.doi.org/10.1111/prd.12099")</f>
        <v>http://dx.doi.org/10.1111/prd.12099</v>
      </c>
      <c r="BG283" t="s">
        <v>74</v>
      </c>
      <c r="BH283" t="s">
        <v>74</v>
      </c>
      <c r="BI283" t="s">
        <v>74</v>
      </c>
      <c r="BJ283" t="s">
        <v>13772</v>
      </c>
      <c r="BK283" t="s">
        <v>117</v>
      </c>
      <c r="BL283" t="s">
        <v>13772</v>
      </c>
      <c r="BM283" t="s">
        <v>74</v>
      </c>
      <c r="BN283">
        <v>26662481</v>
      </c>
      <c r="BO283" t="s">
        <v>74</v>
      </c>
      <c r="BP283" t="s">
        <v>74</v>
      </c>
      <c r="BQ283" t="s">
        <v>74</v>
      </c>
      <c r="BR283" t="s">
        <v>96</v>
      </c>
      <c r="BS283" t="s">
        <v>29231</v>
      </c>
      <c r="BT283" t="str">
        <f>HYPERLINK("https%3A%2F%2Fwww.webofscience.com%2Fwos%2Fwoscc%2Ffull-record%2FWOS:000366512400004","View Full Record in Web of Science")</f>
        <v>View Full Record in Web of Science</v>
      </c>
    </row>
    <row r="284" spans="1:72" x14ac:dyDescent="0.15">
      <c r="A284" t="s">
        <v>98</v>
      </c>
      <c r="B284" t="s">
        <v>30068</v>
      </c>
      <c r="C284" t="s">
        <v>74</v>
      </c>
      <c r="D284" t="s">
        <v>74</v>
      </c>
      <c r="E284" t="s">
        <v>74</v>
      </c>
      <c r="F284" t="s">
        <v>30069</v>
      </c>
      <c r="G284" t="s">
        <v>74</v>
      </c>
      <c r="H284" t="s">
        <v>74</v>
      </c>
      <c r="I284" t="s">
        <v>30070</v>
      </c>
      <c r="J284" t="s">
        <v>19867</v>
      </c>
      <c r="K284" t="s">
        <v>74</v>
      </c>
      <c r="L284" t="s">
        <v>74</v>
      </c>
      <c r="M284" t="s">
        <v>74</v>
      </c>
      <c r="N284" t="s">
        <v>103</v>
      </c>
      <c r="O284" t="s">
        <v>74</v>
      </c>
      <c r="P284" t="s">
        <v>74</v>
      </c>
      <c r="Q284" t="s">
        <v>74</v>
      </c>
      <c r="R284" t="s">
        <v>74</v>
      </c>
      <c r="S284" t="s">
        <v>74</v>
      </c>
      <c r="T284" t="s">
        <v>74</v>
      </c>
      <c r="U284" t="s">
        <v>30071</v>
      </c>
      <c r="V284" t="s">
        <v>30072</v>
      </c>
      <c r="W284" t="s">
        <v>30073</v>
      </c>
      <c r="X284" t="s">
        <v>30074</v>
      </c>
      <c r="Y284" t="s">
        <v>30075</v>
      </c>
      <c r="Z284" t="s">
        <v>30076</v>
      </c>
      <c r="AA284" t="s">
        <v>30077</v>
      </c>
      <c r="AB284" t="s">
        <v>30078</v>
      </c>
      <c r="AC284" t="s">
        <v>74</v>
      </c>
      <c r="AD284" t="s">
        <v>74</v>
      </c>
      <c r="AE284" t="s">
        <v>74</v>
      </c>
      <c r="AF284" t="s">
        <v>74</v>
      </c>
      <c r="AG284">
        <v>66</v>
      </c>
      <c r="AH284">
        <v>72</v>
      </c>
      <c r="AI284">
        <v>72</v>
      </c>
      <c r="AJ284">
        <v>2</v>
      </c>
      <c r="AK284">
        <v>14</v>
      </c>
      <c r="AL284" t="s">
        <v>74</v>
      </c>
      <c r="AM284" t="s">
        <v>74</v>
      </c>
      <c r="AN284" t="s">
        <v>74</v>
      </c>
      <c r="AO284" t="s">
        <v>19876</v>
      </c>
      <c r="AP284" t="s">
        <v>19877</v>
      </c>
      <c r="AQ284" t="s">
        <v>74</v>
      </c>
      <c r="AR284" t="s">
        <v>74</v>
      </c>
      <c r="AS284" t="s">
        <v>74</v>
      </c>
      <c r="AT284" t="s">
        <v>4965</v>
      </c>
      <c r="AU284">
        <v>2019</v>
      </c>
      <c r="AV284">
        <v>129</v>
      </c>
      <c r="AW284">
        <v>2</v>
      </c>
      <c r="AX284" t="s">
        <v>74</v>
      </c>
      <c r="AY284" t="s">
        <v>74</v>
      </c>
      <c r="AZ284" t="s">
        <v>74</v>
      </c>
      <c r="BA284" t="s">
        <v>74</v>
      </c>
      <c r="BB284">
        <v>712</v>
      </c>
      <c r="BC284">
        <v>726</v>
      </c>
      <c r="BD284" t="s">
        <v>74</v>
      </c>
      <c r="BE284" t="s">
        <v>30079</v>
      </c>
      <c r="BF284" t="str">
        <f>HYPERLINK("http://dx.doi.org/10.1172/JCI122085","http://dx.doi.org/10.1172/JCI122085")</f>
        <v>http://dx.doi.org/10.1172/JCI122085</v>
      </c>
      <c r="BG284" t="s">
        <v>74</v>
      </c>
      <c r="BH284" t="s">
        <v>74</v>
      </c>
      <c r="BI284" t="s">
        <v>74</v>
      </c>
      <c r="BJ284" t="s">
        <v>795</v>
      </c>
      <c r="BK284" t="s">
        <v>117</v>
      </c>
      <c r="BL284" t="s">
        <v>796</v>
      </c>
      <c r="BM284" t="s">
        <v>74</v>
      </c>
      <c r="BN284">
        <v>30640176</v>
      </c>
      <c r="BO284" t="s">
        <v>74</v>
      </c>
      <c r="BP284" t="s">
        <v>74</v>
      </c>
      <c r="BQ284" t="s">
        <v>74</v>
      </c>
      <c r="BR284" t="s">
        <v>96</v>
      </c>
      <c r="BS284" t="s">
        <v>30080</v>
      </c>
      <c r="BT284" t="str">
        <f>HYPERLINK("https%3A%2F%2Fwww.webofscience.com%2Fwos%2Fwoscc%2Ffull-record%2FWOS:000457479300030","View Full Record in Web of Science")</f>
        <v>View Full Record in Web of Science</v>
      </c>
    </row>
    <row r="285" spans="1:72" x14ac:dyDescent="0.15">
      <c r="A285" t="s">
        <v>98</v>
      </c>
      <c r="B285" t="s">
        <v>253</v>
      </c>
      <c r="C285" t="s">
        <v>74</v>
      </c>
      <c r="D285" t="s">
        <v>74</v>
      </c>
      <c r="E285" t="s">
        <v>74</v>
      </c>
      <c r="F285" t="s">
        <v>254</v>
      </c>
      <c r="G285" t="s">
        <v>74</v>
      </c>
      <c r="H285" t="s">
        <v>74</v>
      </c>
      <c r="I285" t="s">
        <v>255</v>
      </c>
      <c r="J285" t="s">
        <v>256</v>
      </c>
      <c r="K285" t="s">
        <v>74</v>
      </c>
      <c r="L285" t="s">
        <v>74</v>
      </c>
      <c r="M285" t="s">
        <v>74</v>
      </c>
      <c r="N285" t="s">
        <v>103</v>
      </c>
      <c r="O285" t="s">
        <v>74</v>
      </c>
      <c r="P285" t="s">
        <v>74</v>
      </c>
      <c r="Q285" t="s">
        <v>74</v>
      </c>
      <c r="R285" t="s">
        <v>74</v>
      </c>
      <c r="S285" t="s">
        <v>74</v>
      </c>
      <c r="T285" t="s">
        <v>257</v>
      </c>
      <c r="U285" t="s">
        <v>258</v>
      </c>
      <c r="V285" t="s">
        <v>259</v>
      </c>
      <c r="W285" t="s">
        <v>260</v>
      </c>
      <c r="X285" t="s">
        <v>261</v>
      </c>
      <c r="Y285" t="s">
        <v>262</v>
      </c>
      <c r="Z285" t="s">
        <v>263</v>
      </c>
      <c r="AA285" t="s">
        <v>74</v>
      </c>
      <c r="AB285" t="s">
        <v>74</v>
      </c>
      <c r="AC285" t="s">
        <v>74</v>
      </c>
      <c r="AD285" t="s">
        <v>74</v>
      </c>
      <c r="AE285" t="s">
        <v>74</v>
      </c>
      <c r="AF285" t="s">
        <v>74</v>
      </c>
      <c r="AG285">
        <v>51</v>
      </c>
      <c r="AH285">
        <v>71</v>
      </c>
      <c r="AI285">
        <v>78</v>
      </c>
      <c r="AJ285">
        <v>1</v>
      </c>
      <c r="AK285">
        <v>11</v>
      </c>
      <c r="AL285" t="s">
        <v>74</v>
      </c>
      <c r="AM285" t="s">
        <v>74</v>
      </c>
      <c r="AN285" t="s">
        <v>74</v>
      </c>
      <c r="AO285" t="s">
        <v>264</v>
      </c>
      <c r="AP285" t="s">
        <v>74</v>
      </c>
      <c r="AQ285" t="s">
        <v>74</v>
      </c>
      <c r="AR285" t="s">
        <v>74</v>
      </c>
      <c r="AS285" t="s">
        <v>74</v>
      </c>
      <c r="AT285" t="s">
        <v>265</v>
      </c>
      <c r="AU285">
        <v>2016</v>
      </c>
      <c r="AV285">
        <v>16</v>
      </c>
      <c r="AW285" t="s">
        <v>74</v>
      </c>
      <c r="AX285" t="s">
        <v>74</v>
      </c>
      <c r="AY285" t="s">
        <v>74</v>
      </c>
      <c r="AZ285" t="s">
        <v>74</v>
      </c>
      <c r="BA285" t="s">
        <v>74</v>
      </c>
      <c r="BB285" t="s">
        <v>74</v>
      </c>
      <c r="BC285" t="s">
        <v>74</v>
      </c>
      <c r="BD285">
        <v>753</v>
      </c>
      <c r="BE285" t="s">
        <v>266</v>
      </c>
      <c r="BF285" t="str">
        <f>HYPERLINK("http://dx.doi.org/10.1186/s12885-016-2783-2","http://dx.doi.org/10.1186/s12885-016-2783-2")</f>
        <v>http://dx.doi.org/10.1186/s12885-016-2783-2</v>
      </c>
      <c r="BG285" t="s">
        <v>74</v>
      </c>
      <c r="BH285" t="s">
        <v>74</v>
      </c>
      <c r="BI285" t="s">
        <v>74</v>
      </c>
      <c r="BJ285" t="s">
        <v>267</v>
      </c>
      <c r="BK285" t="s">
        <v>117</v>
      </c>
      <c r="BL285" t="s">
        <v>267</v>
      </c>
      <c r="BM285" t="s">
        <v>74</v>
      </c>
      <c r="BN285">
        <v>27662833</v>
      </c>
      <c r="BO285" t="s">
        <v>74</v>
      </c>
      <c r="BP285" t="s">
        <v>74</v>
      </c>
      <c r="BQ285" t="s">
        <v>74</v>
      </c>
      <c r="BR285" t="s">
        <v>96</v>
      </c>
      <c r="BS285" t="s">
        <v>268</v>
      </c>
      <c r="BT285" t="str">
        <f>HYPERLINK("https%3A%2F%2Fwww.webofscience.com%2Fwos%2Fwoscc%2Ffull-record%2FWOS:000384498200001","View Full Record in Web of Science")</f>
        <v>View Full Record in Web of Science</v>
      </c>
    </row>
    <row r="286" spans="1:72" x14ac:dyDescent="0.15">
      <c r="A286" t="s">
        <v>98</v>
      </c>
      <c r="B286" t="s">
        <v>2324</v>
      </c>
      <c r="C286" t="s">
        <v>74</v>
      </c>
      <c r="D286" t="s">
        <v>74</v>
      </c>
      <c r="E286" t="s">
        <v>74</v>
      </c>
      <c r="F286" t="s">
        <v>2325</v>
      </c>
      <c r="G286" t="s">
        <v>74</v>
      </c>
      <c r="H286" t="s">
        <v>74</v>
      </c>
      <c r="I286" t="s">
        <v>2326</v>
      </c>
      <c r="J286" t="s">
        <v>1712</v>
      </c>
      <c r="K286" t="s">
        <v>74</v>
      </c>
      <c r="L286" t="s">
        <v>74</v>
      </c>
      <c r="M286" t="s">
        <v>74</v>
      </c>
      <c r="N286" t="s">
        <v>103</v>
      </c>
      <c r="O286" t="s">
        <v>74</v>
      </c>
      <c r="P286" t="s">
        <v>74</v>
      </c>
      <c r="Q286" t="s">
        <v>74</v>
      </c>
      <c r="R286" t="s">
        <v>74</v>
      </c>
      <c r="S286" t="s">
        <v>74</v>
      </c>
      <c r="T286" t="s">
        <v>2327</v>
      </c>
      <c r="U286" t="s">
        <v>2328</v>
      </c>
      <c r="V286" t="s">
        <v>2329</v>
      </c>
      <c r="W286" t="s">
        <v>2330</v>
      </c>
      <c r="X286" t="s">
        <v>2331</v>
      </c>
      <c r="Y286" t="s">
        <v>2332</v>
      </c>
      <c r="Z286" t="s">
        <v>1370</v>
      </c>
      <c r="AA286" t="s">
        <v>718</v>
      </c>
      <c r="AB286" t="s">
        <v>2333</v>
      </c>
      <c r="AC286" t="s">
        <v>74</v>
      </c>
      <c r="AD286" t="s">
        <v>74</v>
      </c>
      <c r="AE286" t="s">
        <v>74</v>
      </c>
      <c r="AF286" t="s">
        <v>74</v>
      </c>
      <c r="AG286">
        <v>59</v>
      </c>
      <c r="AH286">
        <v>71</v>
      </c>
      <c r="AI286">
        <v>72</v>
      </c>
      <c r="AJ286">
        <v>8</v>
      </c>
      <c r="AK286">
        <v>70</v>
      </c>
      <c r="AL286" t="s">
        <v>74</v>
      </c>
      <c r="AM286" t="s">
        <v>74</v>
      </c>
      <c r="AN286" t="s">
        <v>74</v>
      </c>
      <c r="AO286" t="s">
        <v>1722</v>
      </c>
      <c r="AP286" t="s">
        <v>1723</v>
      </c>
      <c r="AQ286" t="s">
        <v>74</v>
      </c>
      <c r="AR286" t="s">
        <v>74</v>
      </c>
      <c r="AS286" t="s">
        <v>74</v>
      </c>
      <c r="AT286" t="s">
        <v>531</v>
      </c>
      <c r="AU286">
        <v>2019</v>
      </c>
      <c r="AV286">
        <v>13</v>
      </c>
      <c r="AW286">
        <v>9</v>
      </c>
      <c r="AX286" t="s">
        <v>74</v>
      </c>
      <c r="AY286" t="s">
        <v>74</v>
      </c>
      <c r="AZ286" t="s">
        <v>74</v>
      </c>
      <c r="BA286" t="s">
        <v>74</v>
      </c>
      <c r="BB286">
        <v>10499</v>
      </c>
      <c r="BC286">
        <v>10511</v>
      </c>
      <c r="BD286" t="s">
        <v>74</v>
      </c>
      <c r="BE286" t="s">
        <v>2334</v>
      </c>
      <c r="BF286" t="str">
        <f>HYPERLINK("http://dx.doi.org/10.1021/acsnano.9b04480","http://dx.doi.org/10.1021/acsnano.9b04480")</f>
        <v>http://dx.doi.org/10.1021/acsnano.9b04480</v>
      </c>
      <c r="BG286" t="s">
        <v>74</v>
      </c>
      <c r="BH286" t="s">
        <v>74</v>
      </c>
      <c r="BI286" t="s">
        <v>74</v>
      </c>
      <c r="BJ286" t="s">
        <v>1725</v>
      </c>
      <c r="BK286" t="s">
        <v>117</v>
      </c>
      <c r="BL286" t="s">
        <v>1275</v>
      </c>
      <c r="BM286" t="s">
        <v>74</v>
      </c>
      <c r="BN286">
        <v>31469961</v>
      </c>
      <c r="BO286" t="s">
        <v>74</v>
      </c>
      <c r="BP286" t="s">
        <v>74</v>
      </c>
      <c r="BQ286" t="s">
        <v>74</v>
      </c>
      <c r="BR286" t="s">
        <v>96</v>
      </c>
      <c r="BS286" t="s">
        <v>2335</v>
      </c>
      <c r="BT286" t="str">
        <f>HYPERLINK("https%3A%2F%2Fwww.webofscience.com%2Fwos%2Fwoscc%2Ffull-record%2FWOS:000487859600069","View Full Record in Web of Science")</f>
        <v>View Full Record in Web of Science</v>
      </c>
    </row>
    <row r="287" spans="1:72" x14ac:dyDescent="0.15">
      <c r="A287" t="s">
        <v>98</v>
      </c>
      <c r="B287" t="s">
        <v>8967</v>
      </c>
      <c r="C287" t="s">
        <v>74</v>
      </c>
      <c r="D287" t="s">
        <v>74</v>
      </c>
      <c r="E287" t="s">
        <v>74</v>
      </c>
      <c r="F287" t="s">
        <v>8968</v>
      </c>
      <c r="G287" t="s">
        <v>74</v>
      </c>
      <c r="H287" t="s">
        <v>74</v>
      </c>
      <c r="I287" t="s">
        <v>8969</v>
      </c>
      <c r="J287" t="s">
        <v>5139</v>
      </c>
      <c r="K287" t="s">
        <v>74</v>
      </c>
      <c r="L287" t="s">
        <v>74</v>
      </c>
      <c r="M287" t="s">
        <v>74</v>
      </c>
      <c r="N287" t="s">
        <v>103</v>
      </c>
      <c r="O287" t="s">
        <v>74</v>
      </c>
      <c r="P287" t="s">
        <v>74</v>
      </c>
      <c r="Q287" t="s">
        <v>74</v>
      </c>
      <c r="R287" t="s">
        <v>74</v>
      </c>
      <c r="S287" t="s">
        <v>74</v>
      </c>
      <c r="T287" t="s">
        <v>74</v>
      </c>
      <c r="U287" t="s">
        <v>8970</v>
      </c>
      <c r="V287" t="s">
        <v>8971</v>
      </c>
      <c r="W287" t="s">
        <v>8972</v>
      </c>
      <c r="X287" t="s">
        <v>8973</v>
      </c>
      <c r="Y287" t="s">
        <v>8974</v>
      </c>
      <c r="Z287" t="s">
        <v>8975</v>
      </c>
      <c r="AA287" t="s">
        <v>8976</v>
      </c>
      <c r="AB287" t="s">
        <v>74</v>
      </c>
      <c r="AC287" t="s">
        <v>74</v>
      </c>
      <c r="AD287" t="s">
        <v>74</v>
      </c>
      <c r="AE287" t="s">
        <v>74</v>
      </c>
      <c r="AF287" t="s">
        <v>74</v>
      </c>
      <c r="AG287">
        <v>44</v>
      </c>
      <c r="AH287">
        <v>71</v>
      </c>
      <c r="AI287">
        <v>72</v>
      </c>
      <c r="AJ287">
        <v>20</v>
      </c>
      <c r="AK287">
        <v>150</v>
      </c>
      <c r="AL287" t="s">
        <v>74</v>
      </c>
      <c r="AM287" t="s">
        <v>74</v>
      </c>
      <c r="AN287" t="s">
        <v>74</v>
      </c>
      <c r="AO287" t="s">
        <v>5148</v>
      </c>
      <c r="AP287" t="s">
        <v>74</v>
      </c>
      <c r="AQ287" t="s">
        <v>74</v>
      </c>
      <c r="AR287" t="s">
        <v>74</v>
      </c>
      <c r="AS287" t="s">
        <v>74</v>
      </c>
      <c r="AT287" t="s">
        <v>2530</v>
      </c>
      <c r="AU287">
        <v>2017</v>
      </c>
      <c r="AV287">
        <v>8</v>
      </c>
      <c r="AW287" t="s">
        <v>74</v>
      </c>
      <c r="AX287" t="s">
        <v>74</v>
      </c>
      <c r="AY287" t="s">
        <v>74</v>
      </c>
      <c r="AZ287" t="s">
        <v>74</v>
      </c>
      <c r="BA287" t="s">
        <v>74</v>
      </c>
      <c r="BB287" t="s">
        <v>74</v>
      </c>
      <c r="BC287" t="s">
        <v>74</v>
      </c>
      <c r="BD287">
        <v>1683</v>
      </c>
      <c r="BE287" t="s">
        <v>8977</v>
      </c>
      <c r="BF287" t="str">
        <f>HYPERLINK("http://dx.doi.org/10.1038/s41467-017-01942-1","http://dx.doi.org/10.1038/s41467-017-01942-1")</f>
        <v>http://dx.doi.org/10.1038/s41467-017-01942-1</v>
      </c>
      <c r="BG287" t="s">
        <v>74</v>
      </c>
      <c r="BH287" t="s">
        <v>74</v>
      </c>
      <c r="BI287" t="s">
        <v>74</v>
      </c>
      <c r="BJ287" t="s">
        <v>152</v>
      </c>
      <c r="BK287" t="s">
        <v>117</v>
      </c>
      <c r="BL287" t="s">
        <v>153</v>
      </c>
      <c r="BM287" t="s">
        <v>74</v>
      </c>
      <c r="BN287">
        <v>29162835</v>
      </c>
      <c r="BO287" t="s">
        <v>74</v>
      </c>
      <c r="BP287" t="s">
        <v>74</v>
      </c>
      <c r="BQ287" t="s">
        <v>74</v>
      </c>
      <c r="BR287" t="s">
        <v>96</v>
      </c>
      <c r="BS287" t="s">
        <v>8978</v>
      </c>
      <c r="BT287" t="str">
        <f>HYPERLINK("https%3A%2F%2Fwww.webofscience.com%2Fwos%2Fwoscc%2Ffull-record%2FWOS:000416226200012","View Full Record in Web of Science")</f>
        <v>View Full Record in Web of Science</v>
      </c>
    </row>
    <row r="288" spans="1:72" x14ac:dyDescent="0.15">
      <c r="A288" t="s">
        <v>98</v>
      </c>
      <c r="B288" t="s">
        <v>10206</v>
      </c>
      <c r="C288" t="s">
        <v>74</v>
      </c>
      <c r="D288" t="s">
        <v>74</v>
      </c>
      <c r="E288" t="s">
        <v>74</v>
      </c>
      <c r="F288" t="s">
        <v>10207</v>
      </c>
      <c r="G288" t="s">
        <v>74</v>
      </c>
      <c r="H288" t="s">
        <v>74</v>
      </c>
      <c r="I288" t="s">
        <v>10208</v>
      </c>
      <c r="J288" t="s">
        <v>3700</v>
      </c>
      <c r="K288" t="s">
        <v>74</v>
      </c>
      <c r="L288" t="s">
        <v>74</v>
      </c>
      <c r="M288" t="s">
        <v>74</v>
      </c>
      <c r="N288" t="s">
        <v>103</v>
      </c>
      <c r="O288" t="s">
        <v>74</v>
      </c>
      <c r="P288" t="s">
        <v>74</v>
      </c>
      <c r="Q288" t="s">
        <v>74</v>
      </c>
      <c r="R288" t="s">
        <v>74</v>
      </c>
      <c r="S288" t="s">
        <v>74</v>
      </c>
      <c r="T288" t="s">
        <v>74</v>
      </c>
      <c r="U288" t="s">
        <v>10209</v>
      </c>
      <c r="V288" t="s">
        <v>10210</v>
      </c>
      <c r="W288" t="s">
        <v>10211</v>
      </c>
      <c r="X288" t="s">
        <v>10212</v>
      </c>
      <c r="Y288" t="s">
        <v>10213</v>
      </c>
      <c r="Z288" t="s">
        <v>1370</v>
      </c>
      <c r="AA288" t="s">
        <v>74</v>
      </c>
      <c r="AB288" t="s">
        <v>10214</v>
      </c>
      <c r="AC288" t="s">
        <v>74</v>
      </c>
      <c r="AD288" t="s">
        <v>74</v>
      </c>
      <c r="AE288" t="s">
        <v>74</v>
      </c>
      <c r="AF288" t="s">
        <v>74</v>
      </c>
      <c r="AG288">
        <v>59</v>
      </c>
      <c r="AH288">
        <v>71</v>
      </c>
      <c r="AI288">
        <v>72</v>
      </c>
      <c r="AJ288">
        <v>3</v>
      </c>
      <c r="AK288">
        <v>35</v>
      </c>
      <c r="AL288" t="s">
        <v>74</v>
      </c>
      <c r="AM288" t="s">
        <v>74</v>
      </c>
      <c r="AN288" t="s">
        <v>74</v>
      </c>
      <c r="AO288" t="s">
        <v>3710</v>
      </c>
      <c r="AP288" t="s">
        <v>3711</v>
      </c>
      <c r="AQ288" t="s">
        <v>74</v>
      </c>
      <c r="AR288" t="s">
        <v>74</v>
      </c>
      <c r="AS288" t="s">
        <v>74</v>
      </c>
      <c r="AT288" t="s">
        <v>10215</v>
      </c>
      <c r="AU288">
        <v>2015</v>
      </c>
      <c r="AV288">
        <v>290</v>
      </c>
      <c r="AW288">
        <v>40</v>
      </c>
      <c r="AX288" t="s">
        <v>74</v>
      </c>
      <c r="AY288" t="s">
        <v>74</v>
      </c>
      <c r="AZ288" t="s">
        <v>74</v>
      </c>
      <c r="BA288" t="s">
        <v>74</v>
      </c>
      <c r="BB288">
        <v>24534</v>
      </c>
      <c r="BC288">
        <v>24546</v>
      </c>
      <c r="BD288" t="s">
        <v>74</v>
      </c>
      <c r="BE288" t="s">
        <v>10216</v>
      </c>
      <c r="BF288" t="str">
        <f>HYPERLINK("http://dx.doi.org/10.1074/jbc.M115.679217","http://dx.doi.org/10.1074/jbc.M115.679217")</f>
        <v>http://dx.doi.org/10.1074/jbc.M115.679217</v>
      </c>
      <c r="BG288" t="s">
        <v>74</v>
      </c>
      <c r="BH288" t="s">
        <v>74</v>
      </c>
      <c r="BI288" t="s">
        <v>74</v>
      </c>
      <c r="BJ288" t="s">
        <v>95</v>
      </c>
      <c r="BK288" t="s">
        <v>117</v>
      </c>
      <c r="BL288" t="s">
        <v>95</v>
      </c>
      <c r="BM288" t="s">
        <v>74</v>
      </c>
      <c r="BN288">
        <v>26272609</v>
      </c>
      <c r="BO288" t="s">
        <v>74</v>
      </c>
      <c r="BP288" t="s">
        <v>74</v>
      </c>
      <c r="BQ288" t="s">
        <v>74</v>
      </c>
      <c r="BR288" t="s">
        <v>96</v>
      </c>
      <c r="BS288" t="s">
        <v>10217</v>
      </c>
      <c r="BT288" t="str">
        <f>HYPERLINK("https%3A%2F%2Fwww.webofscience.com%2Fwos%2Fwoscc%2Ffull-record%2FWOS:000362218900038","View Full Record in Web of Science")</f>
        <v>View Full Record in Web of Science</v>
      </c>
    </row>
    <row r="289" spans="1:72" x14ac:dyDescent="0.15">
      <c r="A289" t="s">
        <v>98</v>
      </c>
      <c r="B289" t="s">
        <v>10332</v>
      </c>
      <c r="C289" t="s">
        <v>74</v>
      </c>
      <c r="D289" t="s">
        <v>74</v>
      </c>
      <c r="E289" t="s">
        <v>74</v>
      </c>
      <c r="F289" t="s">
        <v>10333</v>
      </c>
      <c r="G289" t="s">
        <v>74</v>
      </c>
      <c r="H289" t="s">
        <v>74</v>
      </c>
      <c r="I289" t="s">
        <v>10334</v>
      </c>
      <c r="J289" t="s">
        <v>836</v>
      </c>
      <c r="K289" t="s">
        <v>74</v>
      </c>
      <c r="L289" t="s">
        <v>74</v>
      </c>
      <c r="M289" t="s">
        <v>74</v>
      </c>
      <c r="N289" t="s">
        <v>103</v>
      </c>
      <c r="O289" t="s">
        <v>74</v>
      </c>
      <c r="P289" t="s">
        <v>74</v>
      </c>
      <c r="Q289" t="s">
        <v>74</v>
      </c>
      <c r="R289" t="s">
        <v>74</v>
      </c>
      <c r="S289" t="s">
        <v>74</v>
      </c>
      <c r="T289" t="s">
        <v>10335</v>
      </c>
      <c r="U289" t="s">
        <v>10336</v>
      </c>
      <c r="V289" t="s">
        <v>10337</v>
      </c>
      <c r="W289" t="s">
        <v>10338</v>
      </c>
      <c r="X289" t="s">
        <v>10339</v>
      </c>
      <c r="Y289" t="s">
        <v>10340</v>
      </c>
      <c r="Z289" t="s">
        <v>10341</v>
      </c>
      <c r="AA289" t="s">
        <v>10342</v>
      </c>
      <c r="AB289" t="s">
        <v>10343</v>
      </c>
      <c r="AC289" t="s">
        <v>74</v>
      </c>
      <c r="AD289" t="s">
        <v>74</v>
      </c>
      <c r="AE289" t="s">
        <v>74</v>
      </c>
      <c r="AF289" t="s">
        <v>74</v>
      </c>
      <c r="AG289">
        <v>75</v>
      </c>
      <c r="AH289">
        <v>71</v>
      </c>
      <c r="AI289">
        <v>71</v>
      </c>
      <c r="AJ289">
        <v>1</v>
      </c>
      <c r="AK289">
        <v>13</v>
      </c>
      <c r="AL289" t="s">
        <v>74</v>
      </c>
      <c r="AM289" t="s">
        <v>74</v>
      </c>
      <c r="AN289" t="s">
        <v>74</v>
      </c>
      <c r="AO289" t="s">
        <v>74</v>
      </c>
      <c r="AP289" t="s">
        <v>846</v>
      </c>
      <c r="AQ289" t="s">
        <v>74</v>
      </c>
      <c r="AR289" t="s">
        <v>74</v>
      </c>
      <c r="AS289" t="s">
        <v>74</v>
      </c>
      <c r="AT289" t="s">
        <v>10344</v>
      </c>
      <c r="AU289">
        <v>2016</v>
      </c>
      <c r="AV289">
        <v>7</v>
      </c>
      <c r="AW289">
        <v>6</v>
      </c>
      <c r="AX289" t="s">
        <v>74</v>
      </c>
      <c r="AY289" t="s">
        <v>74</v>
      </c>
      <c r="AZ289" t="s">
        <v>74</v>
      </c>
      <c r="BA289" t="s">
        <v>74</v>
      </c>
      <c r="BB289">
        <v>6676</v>
      </c>
      <c r="BC289">
        <v>6692</v>
      </c>
      <c r="BD289" t="s">
        <v>74</v>
      </c>
      <c r="BE289" t="s">
        <v>10345</v>
      </c>
      <c r="BF289" t="str">
        <f>HYPERLINK("http://dx.doi.org/10.18632/oncotarget.6791","http://dx.doi.org/10.18632/oncotarget.6791")</f>
        <v>http://dx.doi.org/10.18632/oncotarget.6791</v>
      </c>
      <c r="BG289" t="s">
        <v>74</v>
      </c>
      <c r="BH289" t="s">
        <v>74</v>
      </c>
      <c r="BI289" t="s">
        <v>74</v>
      </c>
      <c r="BJ289" t="s">
        <v>848</v>
      </c>
      <c r="BK289" t="s">
        <v>117</v>
      </c>
      <c r="BL289" t="s">
        <v>848</v>
      </c>
      <c r="BM289" t="s">
        <v>74</v>
      </c>
      <c r="BN289">
        <v>26760763</v>
      </c>
      <c r="BO289" t="s">
        <v>74</v>
      </c>
      <c r="BP289" t="s">
        <v>74</v>
      </c>
      <c r="BQ289" t="s">
        <v>74</v>
      </c>
      <c r="BR289" t="s">
        <v>96</v>
      </c>
      <c r="BS289" t="s">
        <v>10346</v>
      </c>
      <c r="BT289" t="str">
        <f>HYPERLINK("https%3A%2F%2Fwww.webofscience.com%2Fwos%2Fwoscc%2Ffull-record%2FWOS:000376123100024","View Full Record in Web of Science")</f>
        <v>View Full Record in Web of Science</v>
      </c>
    </row>
    <row r="290" spans="1:72" x14ac:dyDescent="0.15">
      <c r="A290" t="s">
        <v>98</v>
      </c>
      <c r="B290" t="s">
        <v>18125</v>
      </c>
      <c r="C290" t="s">
        <v>74</v>
      </c>
      <c r="D290" t="s">
        <v>74</v>
      </c>
      <c r="E290" t="s">
        <v>74</v>
      </c>
      <c r="F290" t="s">
        <v>18126</v>
      </c>
      <c r="G290" t="s">
        <v>74</v>
      </c>
      <c r="H290" t="s">
        <v>74</v>
      </c>
      <c r="I290" t="s">
        <v>18127</v>
      </c>
      <c r="J290" t="s">
        <v>18128</v>
      </c>
      <c r="K290" t="s">
        <v>74</v>
      </c>
      <c r="L290" t="s">
        <v>74</v>
      </c>
      <c r="M290" t="s">
        <v>74</v>
      </c>
      <c r="N290" t="s">
        <v>103</v>
      </c>
      <c r="O290" t="s">
        <v>74</v>
      </c>
      <c r="P290" t="s">
        <v>74</v>
      </c>
      <c r="Q290" t="s">
        <v>74</v>
      </c>
      <c r="R290" t="s">
        <v>74</v>
      </c>
      <c r="S290" t="s">
        <v>74</v>
      </c>
      <c r="T290" t="s">
        <v>18129</v>
      </c>
      <c r="U290" t="s">
        <v>18130</v>
      </c>
      <c r="V290" t="s">
        <v>18131</v>
      </c>
      <c r="W290" t="s">
        <v>18132</v>
      </c>
      <c r="X290" t="s">
        <v>4019</v>
      </c>
      <c r="Y290" t="s">
        <v>18133</v>
      </c>
      <c r="Z290" t="s">
        <v>18134</v>
      </c>
      <c r="AA290" t="s">
        <v>74</v>
      </c>
      <c r="AB290" t="s">
        <v>74</v>
      </c>
      <c r="AC290" t="s">
        <v>74</v>
      </c>
      <c r="AD290" t="s">
        <v>74</v>
      </c>
      <c r="AE290" t="s">
        <v>74</v>
      </c>
      <c r="AF290" t="s">
        <v>74</v>
      </c>
      <c r="AG290">
        <v>48</v>
      </c>
      <c r="AH290">
        <v>71</v>
      </c>
      <c r="AI290">
        <v>79</v>
      </c>
      <c r="AJ290">
        <v>22</v>
      </c>
      <c r="AK290">
        <v>107</v>
      </c>
      <c r="AL290" t="s">
        <v>74</v>
      </c>
      <c r="AM290" t="s">
        <v>74</v>
      </c>
      <c r="AN290" t="s">
        <v>74</v>
      </c>
      <c r="AO290" t="s">
        <v>18135</v>
      </c>
      <c r="AP290" t="s">
        <v>18136</v>
      </c>
      <c r="AQ290" t="s">
        <v>74</v>
      </c>
      <c r="AR290" t="s">
        <v>74</v>
      </c>
      <c r="AS290" t="s">
        <v>74</v>
      </c>
      <c r="AT290" t="s">
        <v>4159</v>
      </c>
      <c r="AU290">
        <v>2019</v>
      </c>
      <c r="AV290">
        <v>67</v>
      </c>
      <c r="AW290">
        <v>34</v>
      </c>
      <c r="AX290" t="s">
        <v>74</v>
      </c>
      <c r="AY290" t="s">
        <v>74</v>
      </c>
      <c r="AZ290" t="s">
        <v>74</v>
      </c>
      <c r="BA290" t="s">
        <v>74</v>
      </c>
      <c r="BB290">
        <v>9477</v>
      </c>
      <c r="BC290">
        <v>9491</v>
      </c>
      <c r="BD290" t="s">
        <v>74</v>
      </c>
      <c r="BE290" t="s">
        <v>18137</v>
      </c>
      <c r="BF290" t="str">
        <f>HYPERLINK("http://dx.doi.org/10.1021/acs.jafc.9b02925","http://dx.doi.org/10.1021/acs.jafc.9b02925")</f>
        <v>http://dx.doi.org/10.1021/acs.jafc.9b02925</v>
      </c>
      <c r="BG290" t="s">
        <v>74</v>
      </c>
      <c r="BH290" t="s">
        <v>74</v>
      </c>
      <c r="BI290" t="s">
        <v>74</v>
      </c>
      <c r="BJ290" t="s">
        <v>18138</v>
      </c>
      <c r="BK290" t="s">
        <v>117</v>
      </c>
      <c r="BL290" t="s">
        <v>18139</v>
      </c>
      <c r="BM290" t="s">
        <v>74</v>
      </c>
      <c r="BN290">
        <v>31429552</v>
      </c>
      <c r="BO290" t="s">
        <v>74</v>
      </c>
      <c r="BP290" t="s">
        <v>193</v>
      </c>
      <c r="BQ290" t="s">
        <v>194</v>
      </c>
      <c r="BR290" t="s">
        <v>96</v>
      </c>
      <c r="BS290" t="s">
        <v>18140</v>
      </c>
      <c r="BT290" t="str">
        <f>HYPERLINK("https%3A%2F%2Fwww.webofscience.com%2Fwos%2Fwoscc%2Ffull-record%2FWOS:000484060800005","View Full Record in Web of Science")</f>
        <v>View Full Record in Web of Science</v>
      </c>
    </row>
    <row r="291" spans="1:72" x14ac:dyDescent="0.15">
      <c r="A291" t="s">
        <v>98</v>
      </c>
      <c r="B291" t="s">
        <v>18393</v>
      </c>
      <c r="C291" t="s">
        <v>74</v>
      </c>
      <c r="D291" t="s">
        <v>74</v>
      </c>
      <c r="E291" t="s">
        <v>74</v>
      </c>
      <c r="F291" t="s">
        <v>18394</v>
      </c>
      <c r="G291" t="s">
        <v>74</v>
      </c>
      <c r="H291" t="s">
        <v>74</v>
      </c>
      <c r="I291" t="s">
        <v>18395</v>
      </c>
      <c r="J291" t="s">
        <v>3700</v>
      </c>
      <c r="K291" t="s">
        <v>74</v>
      </c>
      <c r="L291" t="s">
        <v>74</v>
      </c>
      <c r="M291" t="s">
        <v>74</v>
      </c>
      <c r="N291" t="s">
        <v>103</v>
      </c>
      <c r="O291" t="s">
        <v>74</v>
      </c>
      <c r="P291" t="s">
        <v>74</v>
      </c>
      <c r="Q291" t="s">
        <v>74</v>
      </c>
      <c r="R291" t="s">
        <v>74</v>
      </c>
      <c r="S291" t="s">
        <v>74</v>
      </c>
      <c r="T291" t="s">
        <v>74</v>
      </c>
      <c r="U291" t="s">
        <v>18396</v>
      </c>
      <c r="V291" t="s">
        <v>18397</v>
      </c>
      <c r="W291" t="s">
        <v>18398</v>
      </c>
      <c r="X291" t="s">
        <v>18399</v>
      </c>
      <c r="Y291" t="s">
        <v>18400</v>
      </c>
      <c r="Z291" t="s">
        <v>18401</v>
      </c>
      <c r="AA291" t="s">
        <v>74</v>
      </c>
      <c r="AB291" t="s">
        <v>74</v>
      </c>
      <c r="AC291" t="s">
        <v>74</v>
      </c>
      <c r="AD291" t="s">
        <v>74</v>
      </c>
      <c r="AE291" t="s">
        <v>74</v>
      </c>
      <c r="AF291" t="s">
        <v>74</v>
      </c>
      <c r="AG291">
        <v>29</v>
      </c>
      <c r="AH291">
        <v>71</v>
      </c>
      <c r="AI291">
        <v>74</v>
      </c>
      <c r="AJ291">
        <v>0</v>
      </c>
      <c r="AK291">
        <v>3</v>
      </c>
      <c r="AL291" t="s">
        <v>74</v>
      </c>
      <c r="AM291" t="s">
        <v>74</v>
      </c>
      <c r="AN291" t="s">
        <v>74</v>
      </c>
      <c r="AO291" t="s">
        <v>74</v>
      </c>
      <c r="AP291" t="s">
        <v>3711</v>
      </c>
      <c r="AQ291" t="s">
        <v>74</v>
      </c>
      <c r="AR291" t="s">
        <v>74</v>
      </c>
      <c r="AS291" t="s">
        <v>74</v>
      </c>
      <c r="AT291" t="s">
        <v>11850</v>
      </c>
      <c r="AU291">
        <v>2006</v>
      </c>
      <c r="AV291">
        <v>281</v>
      </c>
      <c r="AW291">
        <v>37</v>
      </c>
      <c r="AX291" t="s">
        <v>74</v>
      </c>
      <c r="AY291" t="s">
        <v>74</v>
      </c>
      <c r="AZ291" t="s">
        <v>74</v>
      </c>
      <c r="BA291" t="s">
        <v>74</v>
      </c>
      <c r="BB291">
        <v>27503</v>
      </c>
      <c r="BC291">
        <v>27511</v>
      </c>
      <c r="BD291" t="s">
        <v>74</v>
      </c>
      <c r="BE291" t="s">
        <v>18402</v>
      </c>
      <c r="BF291" t="str">
        <f>HYPERLINK("http://dx.doi.org/10.1074/jbc.M605003200","http://dx.doi.org/10.1074/jbc.M605003200")</f>
        <v>http://dx.doi.org/10.1074/jbc.M605003200</v>
      </c>
      <c r="BG291" t="s">
        <v>74</v>
      </c>
      <c r="BH291" t="s">
        <v>74</v>
      </c>
      <c r="BI291" t="s">
        <v>74</v>
      </c>
      <c r="BJ291" t="s">
        <v>95</v>
      </c>
      <c r="BK291" t="s">
        <v>117</v>
      </c>
      <c r="BL291" t="s">
        <v>95</v>
      </c>
      <c r="BM291" t="s">
        <v>74</v>
      </c>
      <c r="BN291">
        <v>16857668</v>
      </c>
      <c r="BO291" t="s">
        <v>74</v>
      </c>
      <c r="BP291" t="s">
        <v>74</v>
      </c>
      <c r="BQ291" t="s">
        <v>74</v>
      </c>
      <c r="BR291" t="s">
        <v>96</v>
      </c>
      <c r="BS291" t="s">
        <v>18403</v>
      </c>
      <c r="BT291" t="str">
        <f>HYPERLINK("https%3A%2F%2Fwww.webofscience.com%2Fwos%2Fwoscc%2Ffull-record%2FWOS:000240397700077","View Full Record in Web of Science")</f>
        <v>View Full Record in Web of Science</v>
      </c>
    </row>
    <row r="292" spans="1:72" x14ac:dyDescent="0.15">
      <c r="A292" t="s">
        <v>98</v>
      </c>
      <c r="B292" t="s">
        <v>23538</v>
      </c>
      <c r="C292" t="s">
        <v>74</v>
      </c>
      <c r="D292" t="s">
        <v>74</v>
      </c>
      <c r="E292" t="s">
        <v>74</v>
      </c>
      <c r="F292" t="s">
        <v>23538</v>
      </c>
      <c r="G292" t="s">
        <v>74</v>
      </c>
      <c r="H292" t="s">
        <v>74</v>
      </c>
      <c r="I292" t="s">
        <v>23539</v>
      </c>
      <c r="J292" t="s">
        <v>23540</v>
      </c>
      <c r="K292" t="s">
        <v>74</v>
      </c>
      <c r="L292" t="s">
        <v>74</v>
      </c>
      <c r="M292" t="s">
        <v>74</v>
      </c>
      <c r="N292" t="s">
        <v>103</v>
      </c>
      <c r="O292" t="s">
        <v>74</v>
      </c>
      <c r="P292" t="s">
        <v>74</v>
      </c>
      <c r="Q292" t="s">
        <v>74</v>
      </c>
      <c r="R292" t="s">
        <v>74</v>
      </c>
      <c r="S292" t="s">
        <v>74</v>
      </c>
      <c r="T292" t="s">
        <v>23541</v>
      </c>
      <c r="U292" t="s">
        <v>23542</v>
      </c>
      <c r="V292" t="s">
        <v>23543</v>
      </c>
      <c r="W292" t="s">
        <v>23544</v>
      </c>
      <c r="X292" t="s">
        <v>23545</v>
      </c>
      <c r="Y292" t="s">
        <v>23546</v>
      </c>
      <c r="Z292" t="s">
        <v>74</v>
      </c>
      <c r="AA292" t="s">
        <v>74</v>
      </c>
      <c r="AB292" t="s">
        <v>74</v>
      </c>
      <c r="AC292" t="s">
        <v>74</v>
      </c>
      <c r="AD292" t="s">
        <v>74</v>
      </c>
      <c r="AE292" t="s">
        <v>74</v>
      </c>
      <c r="AF292" t="s">
        <v>74</v>
      </c>
      <c r="AG292">
        <v>49</v>
      </c>
      <c r="AH292">
        <v>71</v>
      </c>
      <c r="AI292">
        <v>72</v>
      </c>
      <c r="AJ292">
        <v>1</v>
      </c>
      <c r="AK292">
        <v>4</v>
      </c>
      <c r="AL292" t="s">
        <v>74</v>
      </c>
      <c r="AM292" t="s">
        <v>74</v>
      </c>
      <c r="AN292" t="s">
        <v>74</v>
      </c>
      <c r="AO292" t="s">
        <v>23547</v>
      </c>
      <c r="AP292" t="s">
        <v>74</v>
      </c>
      <c r="AQ292" t="s">
        <v>74</v>
      </c>
      <c r="AR292" t="s">
        <v>74</v>
      </c>
      <c r="AS292" t="s">
        <v>74</v>
      </c>
      <c r="AT292" t="s">
        <v>189</v>
      </c>
      <c r="AU292">
        <v>1999</v>
      </c>
      <c r="AV292">
        <v>146</v>
      </c>
      <c r="AW292">
        <v>2</v>
      </c>
      <c r="AX292" t="s">
        <v>74</v>
      </c>
      <c r="AY292" t="s">
        <v>74</v>
      </c>
      <c r="AZ292" t="s">
        <v>74</v>
      </c>
      <c r="BA292" t="s">
        <v>74</v>
      </c>
      <c r="BB292">
        <v>309</v>
      </c>
      <c r="BC292">
        <v>319</v>
      </c>
      <c r="BD292" t="s">
        <v>74</v>
      </c>
      <c r="BE292" t="s">
        <v>23548</v>
      </c>
      <c r="BF292" t="str">
        <f>HYPERLINK("http://dx.doi.org/10.1016/S0021-9150(99)00155-0","http://dx.doi.org/10.1016/S0021-9150(99)00155-0")</f>
        <v>http://dx.doi.org/10.1016/S0021-9150(99)00155-0</v>
      </c>
      <c r="BG292" t="s">
        <v>74</v>
      </c>
      <c r="BH292" t="s">
        <v>74</v>
      </c>
      <c r="BI292" t="s">
        <v>74</v>
      </c>
      <c r="BJ292" t="s">
        <v>23549</v>
      </c>
      <c r="BK292" t="s">
        <v>117</v>
      </c>
      <c r="BL292" t="s">
        <v>3812</v>
      </c>
      <c r="BM292" t="s">
        <v>74</v>
      </c>
      <c r="BN292">
        <v>10532697</v>
      </c>
      <c r="BO292" t="s">
        <v>74</v>
      </c>
      <c r="BP292" t="s">
        <v>74</v>
      </c>
      <c r="BQ292" t="s">
        <v>74</v>
      </c>
      <c r="BR292" t="s">
        <v>96</v>
      </c>
      <c r="BS292" t="s">
        <v>23550</v>
      </c>
      <c r="BT292" t="str">
        <f>HYPERLINK("https%3A%2F%2Fwww.webofscience.com%2Fwos%2Fwoscc%2Ffull-record%2FWOS:000082830100012","View Full Record in Web of Science")</f>
        <v>View Full Record in Web of Science</v>
      </c>
    </row>
    <row r="293" spans="1:72" x14ac:dyDescent="0.15">
      <c r="A293" t="s">
        <v>98</v>
      </c>
      <c r="B293" t="s">
        <v>24079</v>
      </c>
      <c r="C293" t="s">
        <v>74</v>
      </c>
      <c r="D293" t="s">
        <v>74</v>
      </c>
      <c r="E293" t="s">
        <v>74</v>
      </c>
      <c r="F293" t="s">
        <v>24080</v>
      </c>
      <c r="G293" t="s">
        <v>74</v>
      </c>
      <c r="H293" t="s">
        <v>74</v>
      </c>
      <c r="I293" t="s">
        <v>24081</v>
      </c>
      <c r="J293" t="s">
        <v>24082</v>
      </c>
      <c r="K293" t="s">
        <v>74</v>
      </c>
      <c r="L293" t="s">
        <v>74</v>
      </c>
      <c r="M293" t="s">
        <v>74</v>
      </c>
      <c r="N293" t="s">
        <v>103</v>
      </c>
      <c r="O293" t="s">
        <v>74</v>
      </c>
      <c r="P293" t="s">
        <v>74</v>
      </c>
      <c r="Q293" t="s">
        <v>74</v>
      </c>
      <c r="R293" t="s">
        <v>74</v>
      </c>
      <c r="S293" t="s">
        <v>74</v>
      </c>
      <c r="T293" t="s">
        <v>74</v>
      </c>
      <c r="U293" t="s">
        <v>24083</v>
      </c>
      <c r="V293" t="s">
        <v>24084</v>
      </c>
      <c r="W293" t="s">
        <v>24085</v>
      </c>
      <c r="X293" t="s">
        <v>24086</v>
      </c>
      <c r="Y293" t="s">
        <v>24087</v>
      </c>
      <c r="Z293" t="s">
        <v>24088</v>
      </c>
      <c r="AA293" t="s">
        <v>24089</v>
      </c>
      <c r="AB293" t="s">
        <v>24090</v>
      </c>
      <c r="AC293" t="s">
        <v>74</v>
      </c>
      <c r="AD293" t="s">
        <v>74</v>
      </c>
      <c r="AE293" t="s">
        <v>74</v>
      </c>
      <c r="AF293" t="s">
        <v>74</v>
      </c>
      <c r="AG293">
        <v>71</v>
      </c>
      <c r="AH293">
        <v>71</v>
      </c>
      <c r="AI293">
        <v>74</v>
      </c>
      <c r="AJ293">
        <v>2</v>
      </c>
      <c r="AK293">
        <v>6</v>
      </c>
      <c r="AL293" t="s">
        <v>74</v>
      </c>
      <c r="AM293" t="s">
        <v>74</v>
      </c>
      <c r="AN293" t="s">
        <v>74</v>
      </c>
      <c r="AO293" t="s">
        <v>24091</v>
      </c>
      <c r="AP293" t="s">
        <v>24092</v>
      </c>
      <c r="AQ293" t="s">
        <v>74</v>
      </c>
      <c r="AR293" t="s">
        <v>74</v>
      </c>
      <c r="AS293" t="s">
        <v>74</v>
      </c>
      <c r="AT293" t="s">
        <v>967</v>
      </c>
      <c r="AU293">
        <v>2006</v>
      </c>
      <c r="AV293">
        <v>26</v>
      </c>
      <c r="AW293">
        <v>24</v>
      </c>
      <c r="AX293" t="s">
        <v>74</v>
      </c>
      <c r="AY293" t="s">
        <v>74</v>
      </c>
      <c r="AZ293" t="s">
        <v>74</v>
      </c>
      <c r="BA293" t="s">
        <v>74</v>
      </c>
      <c r="BB293">
        <v>9484</v>
      </c>
      <c r="BC293">
        <v>9496</v>
      </c>
      <c r="BD293" t="s">
        <v>74</v>
      </c>
      <c r="BE293" t="s">
        <v>24093</v>
      </c>
      <c r="BF293" t="str">
        <f>HYPERLINK("http://dx.doi.org/10.1128/MCB.01030-06","http://dx.doi.org/10.1128/MCB.01030-06")</f>
        <v>http://dx.doi.org/10.1128/MCB.01030-06</v>
      </c>
      <c r="BG293" t="s">
        <v>74</v>
      </c>
      <c r="BH293" t="s">
        <v>74</v>
      </c>
      <c r="BI293" t="s">
        <v>74</v>
      </c>
      <c r="BJ293" t="s">
        <v>498</v>
      </c>
      <c r="BK293" t="s">
        <v>117</v>
      </c>
      <c r="BL293" t="s">
        <v>498</v>
      </c>
      <c r="BM293" t="s">
        <v>74</v>
      </c>
      <c r="BN293">
        <v>17030615</v>
      </c>
      <c r="BO293" t="s">
        <v>74</v>
      </c>
      <c r="BP293" t="s">
        <v>74</v>
      </c>
      <c r="BQ293" t="s">
        <v>74</v>
      </c>
      <c r="BR293" t="s">
        <v>96</v>
      </c>
      <c r="BS293" t="s">
        <v>24094</v>
      </c>
      <c r="BT293" t="str">
        <f>HYPERLINK("https%3A%2F%2Fwww.webofscience.com%2Fwos%2Fwoscc%2Ffull-record%2FWOS:000242859200029","View Full Record in Web of Science")</f>
        <v>View Full Record in Web of Science</v>
      </c>
    </row>
    <row r="294" spans="1:72" x14ac:dyDescent="0.15">
      <c r="A294" t="s">
        <v>98</v>
      </c>
      <c r="B294" t="s">
        <v>28123</v>
      </c>
      <c r="C294" t="s">
        <v>74</v>
      </c>
      <c r="D294" t="s">
        <v>74</v>
      </c>
      <c r="E294" t="s">
        <v>74</v>
      </c>
      <c r="F294" t="s">
        <v>28123</v>
      </c>
      <c r="G294" t="s">
        <v>74</v>
      </c>
      <c r="H294" t="s">
        <v>74</v>
      </c>
      <c r="I294" t="s">
        <v>28124</v>
      </c>
      <c r="J294" t="s">
        <v>12369</v>
      </c>
      <c r="K294" t="s">
        <v>74</v>
      </c>
      <c r="L294" t="s">
        <v>74</v>
      </c>
      <c r="M294" t="s">
        <v>74</v>
      </c>
      <c r="N294" t="s">
        <v>103</v>
      </c>
      <c r="O294" t="s">
        <v>74</v>
      </c>
      <c r="P294" t="s">
        <v>74</v>
      </c>
      <c r="Q294" t="s">
        <v>74</v>
      </c>
      <c r="R294" t="s">
        <v>74</v>
      </c>
      <c r="S294" t="s">
        <v>74</v>
      </c>
      <c r="T294" t="s">
        <v>74</v>
      </c>
      <c r="U294" t="s">
        <v>28125</v>
      </c>
      <c r="V294" t="s">
        <v>28126</v>
      </c>
      <c r="W294" t="s">
        <v>28127</v>
      </c>
      <c r="X294" t="s">
        <v>28128</v>
      </c>
      <c r="Y294" t="s">
        <v>28129</v>
      </c>
      <c r="Z294" t="s">
        <v>74</v>
      </c>
      <c r="AA294" t="s">
        <v>74</v>
      </c>
      <c r="AB294" t="s">
        <v>74</v>
      </c>
      <c r="AC294" t="s">
        <v>74</v>
      </c>
      <c r="AD294" t="s">
        <v>74</v>
      </c>
      <c r="AE294" t="s">
        <v>74</v>
      </c>
      <c r="AF294" t="s">
        <v>74</v>
      </c>
      <c r="AG294">
        <v>39</v>
      </c>
      <c r="AH294">
        <v>71</v>
      </c>
      <c r="AI294">
        <v>86</v>
      </c>
      <c r="AJ294">
        <v>0</v>
      </c>
      <c r="AK294">
        <v>1</v>
      </c>
      <c r="AL294" t="s">
        <v>74</v>
      </c>
      <c r="AM294" t="s">
        <v>74</v>
      </c>
      <c r="AN294" t="s">
        <v>74</v>
      </c>
      <c r="AO294" t="s">
        <v>12374</v>
      </c>
      <c r="AP294" t="s">
        <v>74</v>
      </c>
      <c r="AQ294" t="s">
        <v>74</v>
      </c>
      <c r="AR294" t="s">
        <v>74</v>
      </c>
      <c r="AS294" t="s">
        <v>74</v>
      </c>
      <c r="AT294" t="s">
        <v>8524</v>
      </c>
      <c r="AU294">
        <v>1996</v>
      </c>
      <c r="AV294">
        <v>222</v>
      </c>
      <c r="AW294">
        <v>1</v>
      </c>
      <c r="AX294" t="s">
        <v>74</v>
      </c>
      <c r="AY294" t="s">
        <v>74</v>
      </c>
      <c r="AZ294" t="s">
        <v>74</v>
      </c>
      <c r="BA294" t="s">
        <v>74</v>
      </c>
      <c r="BB294">
        <v>100</v>
      </c>
      <c r="BC294">
        <v>114</v>
      </c>
      <c r="BD294" t="s">
        <v>74</v>
      </c>
      <c r="BE294" t="s">
        <v>28130</v>
      </c>
      <c r="BF294" t="str">
        <f>HYPERLINK("http://dx.doi.org/10.1006/viro.1996.0401","http://dx.doi.org/10.1006/viro.1996.0401")</f>
        <v>http://dx.doi.org/10.1006/viro.1996.0401</v>
      </c>
      <c r="BG294" t="s">
        <v>74</v>
      </c>
      <c r="BH294" t="s">
        <v>74</v>
      </c>
      <c r="BI294" t="s">
        <v>74</v>
      </c>
      <c r="BJ294" t="s">
        <v>932</v>
      </c>
      <c r="BK294" t="s">
        <v>117</v>
      </c>
      <c r="BL294" t="s">
        <v>932</v>
      </c>
      <c r="BM294" t="s">
        <v>74</v>
      </c>
      <c r="BN294">
        <v>8806491</v>
      </c>
      <c r="BO294" t="s">
        <v>74</v>
      </c>
      <c r="BP294" t="s">
        <v>74</v>
      </c>
      <c r="BQ294" t="s">
        <v>74</v>
      </c>
      <c r="BR294" t="s">
        <v>96</v>
      </c>
      <c r="BS294" t="s">
        <v>28131</v>
      </c>
      <c r="BT294" t="str">
        <f>HYPERLINK("https%3A%2F%2Fwww.webofscience.com%2Fwos%2Fwoscc%2Ffull-record%2FWOS:A1996VB37700010","View Full Record in Web of Science")</f>
        <v>View Full Record in Web of Science</v>
      </c>
    </row>
    <row r="295" spans="1:72" x14ac:dyDescent="0.15">
      <c r="A295" t="s">
        <v>98</v>
      </c>
      <c r="B295" t="s">
        <v>4797</v>
      </c>
      <c r="C295" t="s">
        <v>74</v>
      </c>
      <c r="D295" t="s">
        <v>74</v>
      </c>
      <c r="E295" t="s">
        <v>74</v>
      </c>
      <c r="F295" t="s">
        <v>4798</v>
      </c>
      <c r="G295" t="s">
        <v>74</v>
      </c>
      <c r="H295" t="s">
        <v>74</v>
      </c>
      <c r="I295" t="s">
        <v>4799</v>
      </c>
      <c r="J295" t="s">
        <v>1123</v>
      </c>
      <c r="K295" t="s">
        <v>74</v>
      </c>
      <c r="L295" t="s">
        <v>74</v>
      </c>
      <c r="M295" t="s">
        <v>74</v>
      </c>
      <c r="N295" t="s">
        <v>103</v>
      </c>
      <c r="O295" t="s">
        <v>74</v>
      </c>
      <c r="P295" t="s">
        <v>74</v>
      </c>
      <c r="Q295" t="s">
        <v>74</v>
      </c>
      <c r="R295" t="s">
        <v>74</v>
      </c>
      <c r="S295" t="s">
        <v>74</v>
      </c>
      <c r="T295" t="s">
        <v>4800</v>
      </c>
      <c r="U295" t="s">
        <v>4801</v>
      </c>
      <c r="V295" t="s">
        <v>4802</v>
      </c>
      <c r="W295" t="s">
        <v>4803</v>
      </c>
      <c r="X295" t="s">
        <v>4804</v>
      </c>
      <c r="Y295" t="s">
        <v>4805</v>
      </c>
      <c r="Z295" t="s">
        <v>4806</v>
      </c>
      <c r="AA295" t="s">
        <v>74</v>
      </c>
      <c r="AB295" t="s">
        <v>74</v>
      </c>
      <c r="AC295" t="s">
        <v>74</v>
      </c>
      <c r="AD295" t="s">
        <v>74</v>
      </c>
      <c r="AE295" t="s">
        <v>74</v>
      </c>
      <c r="AF295" t="s">
        <v>74</v>
      </c>
      <c r="AG295">
        <v>36</v>
      </c>
      <c r="AH295">
        <v>70</v>
      </c>
      <c r="AI295">
        <v>70</v>
      </c>
      <c r="AJ295">
        <v>37</v>
      </c>
      <c r="AK295">
        <v>406</v>
      </c>
      <c r="AL295" t="s">
        <v>74</v>
      </c>
      <c r="AM295" t="s">
        <v>74</v>
      </c>
      <c r="AN295" t="s">
        <v>74</v>
      </c>
      <c r="AO295" t="s">
        <v>1132</v>
      </c>
      <c r="AP295" t="s">
        <v>1133</v>
      </c>
      <c r="AQ295" t="s">
        <v>74</v>
      </c>
      <c r="AR295" t="s">
        <v>74</v>
      </c>
      <c r="AS295" t="s">
        <v>74</v>
      </c>
      <c r="AT295" t="s">
        <v>1321</v>
      </c>
      <c r="AU295">
        <v>2019</v>
      </c>
      <c r="AV295">
        <v>142</v>
      </c>
      <c r="AW295" t="s">
        <v>74</v>
      </c>
      <c r="AX295" t="s">
        <v>74</v>
      </c>
      <c r="AY295" t="s">
        <v>74</v>
      </c>
      <c r="AZ295" t="s">
        <v>74</v>
      </c>
      <c r="BA295" t="s">
        <v>74</v>
      </c>
      <c r="BB295" t="s">
        <v>74</v>
      </c>
      <c r="BC295" t="s">
        <v>74</v>
      </c>
      <c r="BD295">
        <v>111503</v>
      </c>
      <c r="BE295" t="s">
        <v>4807</v>
      </c>
      <c r="BF295" t="str">
        <f>HYPERLINK("http://dx.doi.org/10.1016/j.bios.2019.111503","http://dx.doi.org/10.1016/j.bios.2019.111503")</f>
        <v>http://dx.doi.org/10.1016/j.bios.2019.111503</v>
      </c>
      <c r="BG295" t="s">
        <v>74</v>
      </c>
      <c r="BH295" t="s">
        <v>74</v>
      </c>
      <c r="BI295" t="s">
        <v>74</v>
      </c>
      <c r="BJ295" t="s">
        <v>1137</v>
      </c>
      <c r="BK295" t="s">
        <v>117</v>
      </c>
      <c r="BL295" t="s">
        <v>1138</v>
      </c>
      <c r="BM295" t="s">
        <v>74</v>
      </c>
      <c r="BN295">
        <v>31376716</v>
      </c>
      <c r="BO295" t="s">
        <v>74</v>
      </c>
      <c r="BP295" t="s">
        <v>74</v>
      </c>
      <c r="BQ295" t="s">
        <v>74</v>
      </c>
      <c r="BR295" t="s">
        <v>96</v>
      </c>
      <c r="BS295" t="s">
        <v>4808</v>
      </c>
      <c r="BT295" t="str">
        <f>HYPERLINK("https%3A%2F%2Fwww.webofscience.com%2Fwos%2Fwoscc%2Ffull-record%2FWOS:000487175000033","View Full Record in Web of Science")</f>
        <v>View Full Record in Web of Science</v>
      </c>
    </row>
    <row r="296" spans="1:72" x14ac:dyDescent="0.15">
      <c r="A296" t="s">
        <v>98</v>
      </c>
      <c r="B296" t="s">
        <v>7373</v>
      </c>
      <c r="C296" t="s">
        <v>74</v>
      </c>
      <c r="D296" t="s">
        <v>74</v>
      </c>
      <c r="E296" t="s">
        <v>74</v>
      </c>
      <c r="F296" t="s">
        <v>7374</v>
      </c>
      <c r="G296" t="s">
        <v>74</v>
      </c>
      <c r="H296" t="s">
        <v>74</v>
      </c>
      <c r="I296" t="s">
        <v>7375</v>
      </c>
      <c r="J296" t="s">
        <v>7376</v>
      </c>
      <c r="K296" t="s">
        <v>74</v>
      </c>
      <c r="L296" t="s">
        <v>74</v>
      </c>
      <c r="M296" t="s">
        <v>74</v>
      </c>
      <c r="N296" t="s">
        <v>103</v>
      </c>
      <c r="O296" t="s">
        <v>74</v>
      </c>
      <c r="P296" t="s">
        <v>74</v>
      </c>
      <c r="Q296" t="s">
        <v>74</v>
      </c>
      <c r="R296" t="s">
        <v>74</v>
      </c>
      <c r="S296" t="s">
        <v>74</v>
      </c>
      <c r="T296" t="s">
        <v>74</v>
      </c>
      <c r="U296" t="s">
        <v>7377</v>
      </c>
      <c r="V296" t="s">
        <v>7378</v>
      </c>
      <c r="W296" t="s">
        <v>7379</v>
      </c>
      <c r="X296" t="s">
        <v>7380</v>
      </c>
      <c r="Y296" t="s">
        <v>7381</v>
      </c>
      <c r="Z296" t="s">
        <v>7382</v>
      </c>
      <c r="AA296" t="s">
        <v>74</v>
      </c>
      <c r="AB296" t="s">
        <v>7383</v>
      </c>
      <c r="AC296" t="s">
        <v>74</v>
      </c>
      <c r="AD296" t="s">
        <v>74</v>
      </c>
      <c r="AE296" t="s">
        <v>74</v>
      </c>
      <c r="AF296" t="s">
        <v>74</v>
      </c>
      <c r="AG296">
        <v>32</v>
      </c>
      <c r="AH296">
        <v>70</v>
      </c>
      <c r="AI296">
        <v>72</v>
      </c>
      <c r="AJ296">
        <v>13</v>
      </c>
      <c r="AK296">
        <v>144</v>
      </c>
      <c r="AL296" t="s">
        <v>74</v>
      </c>
      <c r="AM296" t="s">
        <v>74</v>
      </c>
      <c r="AN296" t="s">
        <v>74</v>
      </c>
      <c r="AO296" t="s">
        <v>7384</v>
      </c>
      <c r="AP296" t="s">
        <v>7385</v>
      </c>
      <c r="AQ296" t="s">
        <v>74</v>
      </c>
      <c r="AR296" t="s">
        <v>74</v>
      </c>
      <c r="AS296" t="s">
        <v>74</v>
      </c>
      <c r="AT296" t="s">
        <v>565</v>
      </c>
      <c r="AU296">
        <v>2020</v>
      </c>
      <c r="AV296">
        <v>579</v>
      </c>
      <c r="AW296">
        <v>7798</v>
      </c>
      <c r="AX296" t="s">
        <v>74</v>
      </c>
      <c r="AY296" t="s">
        <v>74</v>
      </c>
      <c r="AZ296" t="s">
        <v>74</v>
      </c>
      <c r="BA296" t="s">
        <v>74</v>
      </c>
      <c r="BB296">
        <v>260</v>
      </c>
      <c r="BC296" t="s">
        <v>3390</v>
      </c>
      <c r="BD296" t="s">
        <v>74</v>
      </c>
      <c r="BE296" t="s">
        <v>7386</v>
      </c>
      <c r="BF296" t="str">
        <f>HYPERLINK("http://dx.doi.org/10.1038/s41586-020-2066-6","http://dx.doi.org/10.1038/s41586-020-2066-6")</f>
        <v>http://dx.doi.org/10.1038/s41586-020-2066-6</v>
      </c>
      <c r="BG296" t="s">
        <v>74</v>
      </c>
      <c r="BH296" t="s">
        <v>3944</v>
      </c>
      <c r="BI296" t="s">
        <v>74</v>
      </c>
      <c r="BJ296" t="s">
        <v>152</v>
      </c>
      <c r="BK296" t="s">
        <v>117</v>
      </c>
      <c r="BL296" t="s">
        <v>153</v>
      </c>
      <c r="BM296" t="s">
        <v>74</v>
      </c>
      <c r="BN296">
        <v>32132711</v>
      </c>
      <c r="BO296" t="s">
        <v>74</v>
      </c>
      <c r="BP296" t="s">
        <v>74</v>
      </c>
      <c r="BQ296" t="s">
        <v>74</v>
      </c>
      <c r="BR296" t="s">
        <v>96</v>
      </c>
      <c r="BS296" t="s">
        <v>7387</v>
      </c>
      <c r="BT296" t="str">
        <f>HYPERLINK("https%3A%2F%2Fwww.webofscience.com%2Fwos%2Fwoscc%2Ffull-record%2FWOS:000518098200002","View Full Record in Web of Science")</f>
        <v>View Full Record in Web of Science</v>
      </c>
    </row>
    <row r="297" spans="1:72" x14ac:dyDescent="0.15">
      <c r="A297" t="s">
        <v>98</v>
      </c>
      <c r="B297" t="s">
        <v>14872</v>
      </c>
      <c r="C297" t="s">
        <v>74</v>
      </c>
      <c r="D297" t="s">
        <v>74</v>
      </c>
      <c r="E297" t="s">
        <v>74</v>
      </c>
      <c r="F297" t="s">
        <v>14873</v>
      </c>
      <c r="G297" t="s">
        <v>74</v>
      </c>
      <c r="H297" t="s">
        <v>74</v>
      </c>
      <c r="I297" t="s">
        <v>14874</v>
      </c>
      <c r="J297" t="s">
        <v>2833</v>
      </c>
      <c r="K297" t="s">
        <v>74</v>
      </c>
      <c r="L297" t="s">
        <v>74</v>
      </c>
      <c r="M297" t="s">
        <v>74</v>
      </c>
      <c r="N297" t="s">
        <v>103</v>
      </c>
      <c r="O297" t="s">
        <v>74</v>
      </c>
      <c r="P297" t="s">
        <v>74</v>
      </c>
      <c r="Q297" t="s">
        <v>74</v>
      </c>
      <c r="R297" t="s">
        <v>74</v>
      </c>
      <c r="S297" t="s">
        <v>74</v>
      </c>
      <c r="T297" t="s">
        <v>14875</v>
      </c>
      <c r="U297" t="s">
        <v>14876</v>
      </c>
      <c r="V297" t="s">
        <v>14877</v>
      </c>
      <c r="W297" t="s">
        <v>14878</v>
      </c>
      <c r="X297" t="s">
        <v>14879</v>
      </c>
      <c r="Y297" t="s">
        <v>14880</v>
      </c>
      <c r="Z297" t="s">
        <v>14881</v>
      </c>
      <c r="AA297" t="s">
        <v>14882</v>
      </c>
      <c r="AB297" t="s">
        <v>14883</v>
      </c>
      <c r="AC297" t="s">
        <v>74</v>
      </c>
      <c r="AD297" t="s">
        <v>74</v>
      </c>
      <c r="AE297" t="s">
        <v>74</v>
      </c>
      <c r="AF297" t="s">
        <v>74</v>
      </c>
      <c r="AG297">
        <v>45</v>
      </c>
      <c r="AH297">
        <v>70</v>
      </c>
      <c r="AI297">
        <v>70</v>
      </c>
      <c r="AJ297">
        <v>2</v>
      </c>
      <c r="AK297">
        <v>65</v>
      </c>
      <c r="AL297" t="s">
        <v>74</v>
      </c>
      <c r="AM297" t="s">
        <v>74</v>
      </c>
      <c r="AN297" t="s">
        <v>74</v>
      </c>
      <c r="AO297" t="s">
        <v>2841</v>
      </c>
      <c r="AP297" t="s">
        <v>2842</v>
      </c>
      <c r="AQ297" t="s">
        <v>74</v>
      </c>
      <c r="AR297" t="s">
        <v>74</v>
      </c>
      <c r="AS297" t="s">
        <v>74</v>
      </c>
      <c r="AT297" t="s">
        <v>265</v>
      </c>
      <c r="AU297">
        <v>2017</v>
      </c>
      <c r="AV297">
        <v>491</v>
      </c>
      <c r="AW297">
        <v>3</v>
      </c>
      <c r="AX297" t="s">
        <v>74</v>
      </c>
      <c r="AY297" t="s">
        <v>74</v>
      </c>
      <c r="AZ297" t="s">
        <v>74</v>
      </c>
      <c r="BA297" t="s">
        <v>74</v>
      </c>
      <c r="BB297">
        <v>701</v>
      </c>
      <c r="BC297">
        <v>707</v>
      </c>
      <c r="BD297" t="s">
        <v>74</v>
      </c>
      <c r="BE297" t="s">
        <v>14884</v>
      </c>
      <c r="BF297" t="str">
        <f>HYPERLINK("http://dx.doi.org/10.1016/j.bbrc.2017.07.126","http://dx.doi.org/10.1016/j.bbrc.2017.07.126")</f>
        <v>http://dx.doi.org/10.1016/j.bbrc.2017.07.126</v>
      </c>
      <c r="BG297" t="s">
        <v>74</v>
      </c>
      <c r="BH297" t="s">
        <v>74</v>
      </c>
      <c r="BI297" t="s">
        <v>74</v>
      </c>
      <c r="BJ297" t="s">
        <v>2845</v>
      </c>
      <c r="BK297" t="s">
        <v>117</v>
      </c>
      <c r="BL297" t="s">
        <v>2845</v>
      </c>
      <c r="BM297" t="s">
        <v>74</v>
      </c>
      <c r="BN297">
        <v>28751214</v>
      </c>
      <c r="BO297" t="s">
        <v>74</v>
      </c>
      <c r="BP297" t="s">
        <v>74</v>
      </c>
      <c r="BQ297" t="s">
        <v>74</v>
      </c>
      <c r="BR297" t="s">
        <v>96</v>
      </c>
      <c r="BS297" t="s">
        <v>14885</v>
      </c>
      <c r="BT297" t="str">
        <f>HYPERLINK("https%3A%2F%2Fwww.webofscience.com%2Fwos%2Fwoscc%2Ffull-record%2FWOS:000410876900021","View Full Record in Web of Science")</f>
        <v>View Full Record in Web of Science</v>
      </c>
    </row>
    <row r="298" spans="1:72" x14ac:dyDescent="0.15">
      <c r="A298" t="s">
        <v>98</v>
      </c>
      <c r="B298" t="s">
        <v>22471</v>
      </c>
      <c r="C298" t="s">
        <v>74</v>
      </c>
      <c r="D298" t="s">
        <v>74</v>
      </c>
      <c r="E298" t="s">
        <v>74</v>
      </c>
      <c r="F298" t="s">
        <v>22471</v>
      </c>
      <c r="G298" t="s">
        <v>74</v>
      </c>
      <c r="H298" t="s">
        <v>74</v>
      </c>
      <c r="I298" t="s">
        <v>22472</v>
      </c>
      <c r="J298" t="s">
        <v>22473</v>
      </c>
      <c r="K298" t="s">
        <v>74</v>
      </c>
      <c r="L298" t="s">
        <v>74</v>
      </c>
      <c r="M298" t="s">
        <v>74</v>
      </c>
      <c r="N298" t="s">
        <v>103</v>
      </c>
      <c r="O298" t="s">
        <v>74</v>
      </c>
      <c r="P298" t="s">
        <v>74</v>
      </c>
      <c r="Q298" t="s">
        <v>74</v>
      </c>
      <c r="R298" t="s">
        <v>74</v>
      </c>
      <c r="S298" t="s">
        <v>74</v>
      </c>
      <c r="T298" t="s">
        <v>22474</v>
      </c>
      <c r="U298" t="s">
        <v>22475</v>
      </c>
      <c r="V298" t="s">
        <v>22476</v>
      </c>
      <c r="W298" t="s">
        <v>74</v>
      </c>
      <c r="X298" t="s">
        <v>74</v>
      </c>
      <c r="Y298" t="s">
        <v>22477</v>
      </c>
      <c r="Z298" t="s">
        <v>74</v>
      </c>
      <c r="AA298" t="s">
        <v>22478</v>
      </c>
      <c r="AB298" t="s">
        <v>22479</v>
      </c>
      <c r="AC298" t="s">
        <v>74</v>
      </c>
      <c r="AD298" t="s">
        <v>74</v>
      </c>
      <c r="AE298" t="s">
        <v>74</v>
      </c>
      <c r="AF298" t="s">
        <v>74</v>
      </c>
      <c r="AG298">
        <v>78</v>
      </c>
      <c r="AH298">
        <v>70</v>
      </c>
      <c r="AI298">
        <v>71</v>
      </c>
      <c r="AJ298">
        <v>0</v>
      </c>
      <c r="AK298">
        <v>3</v>
      </c>
      <c r="AL298" t="s">
        <v>74</v>
      </c>
      <c r="AM298" t="s">
        <v>74</v>
      </c>
      <c r="AN298" t="s">
        <v>74</v>
      </c>
      <c r="AO298" t="s">
        <v>22480</v>
      </c>
      <c r="AP298" t="s">
        <v>22481</v>
      </c>
      <c r="AQ298" t="s">
        <v>74</v>
      </c>
      <c r="AR298" t="s">
        <v>74</v>
      </c>
      <c r="AS298" t="s">
        <v>74</v>
      </c>
      <c r="AT298" t="s">
        <v>283</v>
      </c>
      <c r="AU298">
        <v>1996</v>
      </c>
      <c r="AV298">
        <v>26</v>
      </c>
      <c r="AW298">
        <v>2</v>
      </c>
      <c r="AX298" t="s">
        <v>74</v>
      </c>
      <c r="AY298" t="s">
        <v>74</v>
      </c>
      <c r="AZ298" t="s">
        <v>74</v>
      </c>
      <c r="BA298" t="s">
        <v>74</v>
      </c>
      <c r="BB298">
        <v>472</v>
      </c>
      <c r="BC298">
        <v>486</v>
      </c>
      <c r="BD298" t="s">
        <v>74</v>
      </c>
      <c r="BE298" t="s">
        <v>74</v>
      </c>
      <c r="BF298" t="s">
        <v>74</v>
      </c>
      <c r="BG298" t="s">
        <v>74</v>
      </c>
      <c r="BH298" t="s">
        <v>74</v>
      </c>
      <c r="BI298" t="s">
        <v>74</v>
      </c>
      <c r="BJ298" t="s">
        <v>2064</v>
      </c>
      <c r="BK298" t="s">
        <v>117</v>
      </c>
      <c r="BL298" t="s">
        <v>2064</v>
      </c>
      <c r="BM298" t="s">
        <v>74</v>
      </c>
      <c r="BN298">
        <v>8617320</v>
      </c>
      <c r="BO298" t="s">
        <v>74</v>
      </c>
      <c r="BP298" t="s">
        <v>74</v>
      </c>
      <c r="BQ298" t="s">
        <v>74</v>
      </c>
      <c r="BR298" t="s">
        <v>96</v>
      </c>
      <c r="BS298" t="s">
        <v>22482</v>
      </c>
      <c r="BT298" t="str">
        <f>HYPERLINK("https%3A%2F%2Fwww.webofscience.com%2Fwos%2Fwoscc%2Ffull-record%2FWOS:A1996UJ66200029","View Full Record in Web of Science")</f>
        <v>View Full Record in Web of Science</v>
      </c>
    </row>
    <row r="299" spans="1:72" x14ac:dyDescent="0.15">
      <c r="A299" t="s">
        <v>98</v>
      </c>
      <c r="B299" t="s">
        <v>27634</v>
      </c>
      <c r="C299" t="s">
        <v>74</v>
      </c>
      <c r="D299" t="s">
        <v>74</v>
      </c>
      <c r="E299" t="s">
        <v>74</v>
      </c>
      <c r="F299" t="s">
        <v>27635</v>
      </c>
      <c r="G299" t="s">
        <v>74</v>
      </c>
      <c r="H299" t="s">
        <v>74</v>
      </c>
      <c r="I299" t="s">
        <v>27636</v>
      </c>
      <c r="J299" t="s">
        <v>27637</v>
      </c>
      <c r="K299" t="s">
        <v>74</v>
      </c>
      <c r="L299" t="s">
        <v>74</v>
      </c>
      <c r="M299" t="s">
        <v>74</v>
      </c>
      <c r="N299" t="s">
        <v>103</v>
      </c>
      <c r="O299" t="s">
        <v>74</v>
      </c>
      <c r="P299" t="s">
        <v>74</v>
      </c>
      <c r="Q299" t="s">
        <v>74</v>
      </c>
      <c r="R299" t="s">
        <v>74</v>
      </c>
      <c r="S299" t="s">
        <v>74</v>
      </c>
      <c r="T299" t="s">
        <v>27638</v>
      </c>
      <c r="U299" t="s">
        <v>27639</v>
      </c>
      <c r="V299" t="s">
        <v>27640</v>
      </c>
      <c r="W299" t="s">
        <v>27641</v>
      </c>
      <c r="X299" t="s">
        <v>27642</v>
      </c>
      <c r="Y299" t="s">
        <v>27643</v>
      </c>
      <c r="Z299" t="s">
        <v>27644</v>
      </c>
      <c r="AA299" t="s">
        <v>74</v>
      </c>
      <c r="AB299" t="s">
        <v>74</v>
      </c>
      <c r="AC299" t="s">
        <v>74</v>
      </c>
      <c r="AD299" t="s">
        <v>74</v>
      </c>
      <c r="AE299" t="s">
        <v>74</v>
      </c>
      <c r="AF299" t="s">
        <v>74</v>
      </c>
      <c r="AG299">
        <v>49</v>
      </c>
      <c r="AH299">
        <v>70</v>
      </c>
      <c r="AI299">
        <v>78</v>
      </c>
      <c r="AJ299">
        <v>2</v>
      </c>
      <c r="AK299">
        <v>24</v>
      </c>
      <c r="AL299" t="s">
        <v>74</v>
      </c>
      <c r="AM299" t="s">
        <v>74</v>
      </c>
      <c r="AN299" t="s">
        <v>74</v>
      </c>
      <c r="AO299" t="s">
        <v>27645</v>
      </c>
      <c r="AP299" t="s">
        <v>74</v>
      </c>
      <c r="AQ299" t="s">
        <v>74</v>
      </c>
      <c r="AR299" t="s">
        <v>74</v>
      </c>
      <c r="AS299" t="s">
        <v>74</v>
      </c>
      <c r="AT299" t="s">
        <v>230</v>
      </c>
      <c r="AU299">
        <v>2018</v>
      </c>
      <c r="AV299">
        <v>9</v>
      </c>
      <c r="AW299">
        <v>4</v>
      </c>
      <c r="AX299" t="s">
        <v>74</v>
      </c>
      <c r="AY299" t="s">
        <v>74</v>
      </c>
      <c r="AZ299" t="s">
        <v>74</v>
      </c>
      <c r="BA299" t="s">
        <v>74</v>
      </c>
      <c r="BB299">
        <v>755</v>
      </c>
      <c r="BC299">
        <v>770</v>
      </c>
      <c r="BD299" t="s">
        <v>74</v>
      </c>
      <c r="BE299" t="s">
        <v>27646</v>
      </c>
      <c r="BF299" t="str">
        <f>HYPERLINK("http://dx.doi.org/10.1002/jcsm.12296","http://dx.doi.org/10.1002/jcsm.12296")</f>
        <v>http://dx.doi.org/10.1002/jcsm.12296</v>
      </c>
      <c r="BG299" t="s">
        <v>74</v>
      </c>
      <c r="BH299" t="s">
        <v>74</v>
      </c>
      <c r="BI299" t="s">
        <v>74</v>
      </c>
      <c r="BJ299" t="s">
        <v>27647</v>
      </c>
      <c r="BK299" t="s">
        <v>117</v>
      </c>
      <c r="BL299" t="s">
        <v>27648</v>
      </c>
      <c r="BM299" t="s">
        <v>74</v>
      </c>
      <c r="BN299">
        <v>29582582</v>
      </c>
      <c r="BO299" t="s">
        <v>74</v>
      </c>
      <c r="BP299" t="s">
        <v>74</v>
      </c>
      <c r="BQ299" t="s">
        <v>74</v>
      </c>
      <c r="BR299" t="s">
        <v>96</v>
      </c>
      <c r="BS299" t="s">
        <v>27649</v>
      </c>
      <c r="BT299" t="str">
        <f>HYPERLINK("https%3A%2F%2Fwww.webofscience.com%2Fwos%2Fwoscc%2Ffull-record%2FWOS:000442345000012","View Full Record in Web of Science")</f>
        <v>View Full Record in Web of Science</v>
      </c>
    </row>
    <row r="300" spans="1:72" x14ac:dyDescent="0.15">
      <c r="A300" t="s">
        <v>98</v>
      </c>
      <c r="B300" t="s">
        <v>307</v>
      </c>
      <c r="C300" t="s">
        <v>74</v>
      </c>
      <c r="D300" t="s">
        <v>74</v>
      </c>
      <c r="E300" t="s">
        <v>74</v>
      </c>
      <c r="F300" t="s">
        <v>308</v>
      </c>
      <c r="G300" t="s">
        <v>74</v>
      </c>
      <c r="H300" t="s">
        <v>74</v>
      </c>
      <c r="I300" t="s">
        <v>309</v>
      </c>
      <c r="J300" t="s">
        <v>123</v>
      </c>
      <c r="K300" t="s">
        <v>74</v>
      </c>
      <c r="L300" t="s">
        <v>74</v>
      </c>
      <c r="M300" t="s">
        <v>74</v>
      </c>
      <c r="N300" t="s">
        <v>103</v>
      </c>
      <c r="O300" t="s">
        <v>74</v>
      </c>
      <c r="P300" t="s">
        <v>74</v>
      </c>
      <c r="Q300" t="s">
        <v>74</v>
      </c>
      <c r="R300" t="s">
        <v>74</v>
      </c>
      <c r="S300" t="s">
        <v>74</v>
      </c>
      <c r="T300" t="s">
        <v>310</v>
      </c>
      <c r="U300" t="s">
        <v>311</v>
      </c>
      <c r="V300" t="s">
        <v>312</v>
      </c>
      <c r="W300" t="s">
        <v>313</v>
      </c>
      <c r="X300" t="s">
        <v>314</v>
      </c>
      <c r="Y300" t="s">
        <v>315</v>
      </c>
      <c r="Z300" t="s">
        <v>316</v>
      </c>
      <c r="AA300" t="s">
        <v>317</v>
      </c>
      <c r="AB300" t="s">
        <v>318</v>
      </c>
      <c r="AC300" t="s">
        <v>74</v>
      </c>
      <c r="AD300" t="s">
        <v>74</v>
      </c>
      <c r="AE300" t="s">
        <v>74</v>
      </c>
      <c r="AF300" t="s">
        <v>74</v>
      </c>
      <c r="AG300">
        <v>45</v>
      </c>
      <c r="AH300">
        <v>69</v>
      </c>
      <c r="AI300">
        <v>69</v>
      </c>
      <c r="AJ300">
        <v>2</v>
      </c>
      <c r="AK300">
        <v>26</v>
      </c>
      <c r="AL300" t="s">
        <v>74</v>
      </c>
      <c r="AM300" t="s">
        <v>74</v>
      </c>
      <c r="AN300" t="s">
        <v>74</v>
      </c>
      <c r="AO300" t="s">
        <v>74</v>
      </c>
      <c r="AP300" t="s">
        <v>131</v>
      </c>
      <c r="AQ300" t="s">
        <v>74</v>
      </c>
      <c r="AR300" t="s">
        <v>74</v>
      </c>
      <c r="AS300" t="s">
        <v>74</v>
      </c>
      <c r="AT300" t="s">
        <v>319</v>
      </c>
      <c r="AU300">
        <v>2019</v>
      </c>
      <c r="AV300">
        <v>8</v>
      </c>
      <c r="AW300">
        <v>1</v>
      </c>
      <c r="AX300" t="s">
        <v>74</v>
      </c>
      <c r="AY300" t="s">
        <v>74</v>
      </c>
      <c r="AZ300" t="s">
        <v>74</v>
      </c>
      <c r="BA300" t="s">
        <v>74</v>
      </c>
      <c r="BB300" t="s">
        <v>74</v>
      </c>
      <c r="BC300" t="s">
        <v>74</v>
      </c>
      <c r="BD300">
        <v>1656993</v>
      </c>
      <c r="BE300" t="s">
        <v>320</v>
      </c>
      <c r="BF300" t="str">
        <f>HYPERLINK("http://dx.doi.org/10.1080/20013078.2019.1656993","http://dx.doi.org/10.1080/20013078.2019.1656993")</f>
        <v>http://dx.doi.org/10.1080/20013078.2019.1656993</v>
      </c>
      <c r="BG300" t="s">
        <v>74</v>
      </c>
      <c r="BH300" t="s">
        <v>74</v>
      </c>
      <c r="BI300" t="s">
        <v>74</v>
      </c>
      <c r="BJ300" t="s">
        <v>135</v>
      </c>
      <c r="BK300" t="s">
        <v>117</v>
      </c>
      <c r="BL300" t="s">
        <v>135</v>
      </c>
      <c r="BM300" t="s">
        <v>74</v>
      </c>
      <c r="BN300">
        <v>31497265</v>
      </c>
      <c r="BO300" t="s">
        <v>74</v>
      </c>
      <c r="BP300" t="s">
        <v>74</v>
      </c>
      <c r="BQ300" t="s">
        <v>74</v>
      </c>
      <c r="BR300" t="s">
        <v>96</v>
      </c>
      <c r="BS300" t="s">
        <v>321</v>
      </c>
      <c r="BT300" t="str">
        <f>HYPERLINK("https%3A%2F%2Fwww.webofscience.com%2Fwos%2Fwoscc%2Ffull-record%2FWOS:000482882600001","View Full Record in Web of Science")</f>
        <v>View Full Record in Web of Science</v>
      </c>
    </row>
    <row r="301" spans="1:72" x14ac:dyDescent="0.15">
      <c r="A301" t="s">
        <v>98</v>
      </c>
      <c r="B301" t="s">
        <v>11116</v>
      </c>
      <c r="C301" t="s">
        <v>74</v>
      </c>
      <c r="D301" t="s">
        <v>74</v>
      </c>
      <c r="E301" t="s">
        <v>74</v>
      </c>
      <c r="F301" t="s">
        <v>11117</v>
      </c>
      <c r="G301" t="s">
        <v>74</v>
      </c>
      <c r="H301" t="s">
        <v>74</v>
      </c>
      <c r="I301" t="s">
        <v>11118</v>
      </c>
      <c r="J301" t="s">
        <v>11119</v>
      </c>
      <c r="K301" t="s">
        <v>74</v>
      </c>
      <c r="L301" t="s">
        <v>74</v>
      </c>
      <c r="M301" t="s">
        <v>74</v>
      </c>
      <c r="N301" t="s">
        <v>103</v>
      </c>
      <c r="O301" t="s">
        <v>74</v>
      </c>
      <c r="P301" t="s">
        <v>74</v>
      </c>
      <c r="Q301" t="s">
        <v>74</v>
      </c>
      <c r="R301" t="s">
        <v>74</v>
      </c>
      <c r="S301" t="s">
        <v>74</v>
      </c>
      <c r="T301" t="s">
        <v>11120</v>
      </c>
      <c r="U301" t="s">
        <v>11121</v>
      </c>
      <c r="V301" t="s">
        <v>11122</v>
      </c>
      <c r="W301" t="s">
        <v>11123</v>
      </c>
      <c r="X301" t="s">
        <v>11124</v>
      </c>
      <c r="Y301" t="s">
        <v>11125</v>
      </c>
      <c r="Z301" t="s">
        <v>11126</v>
      </c>
      <c r="AA301" t="s">
        <v>11127</v>
      </c>
      <c r="AB301" t="s">
        <v>74</v>
      </c>
      <c r="AC301" t="s">
        <v>74</v>
      </c>
      <c r="AD301" t="s">
        <v>74</v>
      </c>
      <c r="AE301" t="s">
        <v>74</v>
      </c>
      <c r="AF301" t="s">
        <v>74</v>
      </c>
      <c r="AG301">
        <v>81</v>
      </c>
      <c r="AH301">
        <v>69</v>
      </c>
      <c r="AI301">
        <v>75</v>
      </c>
      <c r="AJ301">
        <v>0</v>
      </c>
      <c r="AK301">
        <v>26</v>
      </c>
      <c r="AL301" t="s">
        <v>74</v>
      </c>
      <c r="AM301" t="s">
        <v>74</v>
      </c>
      <c r="AN301" t="s">
        <v>74</v>
      </c>
      <c r="AO301" t="s">
        <v>11128</v>
      </c>
      <c r="AP301" t="s">
        <v>11129</v>
      </c>
      <c r="AQ301" t="s">
        <v>74</v>
      </c>
      <c r="AR301" t="s">
        <v>74</v>
      </c>
      <c r="AS301" t="s">
        <v>74</v>
      </c>
      <c r="AT301" t="s">
        <v>1029</v>
      </c>
      <c r="AU301">
        <v>2014</v>
      </c>
      <c r="AV301">
        <v>304</v>
      </c>
      <c r="AW301" t="s">
        <v>11130</v>
      </c>
      <c r="AX301" t="s">
        <v>74</v>
      </c>
      <c r="AY301" t="s">
        <v>74</v>
      </c>
      <c r="AZ301" t="s">
        <v>74</v>
      </c>
      <c r="BA301" t="s">
        <v>74</v>
      </c>
      <c r="BB301">
        <v>431</v>
      </c>
      <c r="BC301">
        <v>443</v>
      </c>
      <c r="BD301" t="s">
        <v>74</v>
      </c>
      <c r="BE301" t="s">
        <v>11131</v>
      </c>
      <c r="BF301" t="str">
        <f>HYPERLINK("http://dx.doi.org/10.1016/j.ijmm.2014.02.006","http://dx.doi.org/10.1016/j.ijmm.2014.02.006")</f>
        <v>http://dx.doi.org/10.1016/j.ijmm.2014.02.006</v>
      </c>
      <c r="BG301" t="s">
        <v>74</v>
      </c>
      <c r="BH301" t="s">
        <v>74</v>
      </c>
      <c r="BI301" t="s">
        <v>74</v>
      </c>
      <c r="BJ301" t="s">
        <v>11132</v>
      </c>
      <c r="BK301" t="s">
        <v>117</v>
      </c>
      <c r="BL301" t="s">
        <v>11132</v>
      </c>
      <c r="BM301" t="s">
        <v>74</v>
      </c>
      <c r="BN301">
        <v>24631214</v>
      </c>
      <c r="BO301" t="s">
        <v>74</v>
      </c>
      <c r="BP301" t="s">
        <v>74</v>
      </c>
      <c r="BQ301" t="s">
        <v>74</v>
      </c>
      <c r="BR301" t="s">
        <v>96</v>
      </c>
      <c r="BS301" t="s">
        <v>11133</v>
      </c>
      <c r="BT301" t="str">
        <f>HYPERLINK("https%3A%2F%2Fwww.webofscience.com%2Fwos%2Fwoscc%2Ffull-record%2FWOS:000336339500026","View Full Record in Web of Science")</f>
        <v>View Full Record in Web of Science</v>
      </c>
    </row>
    <row r="302" spans="1:72" x14ac:dyDescent="0.15">
      <c r="A302" t="s">
        <v>98</v>
      </c>
      <c r="B302" t="s">
        <v>17412</v>
      </c>
      <c r="C302" t="s">
        <v>74</v>
      </c>
      <c r="D302" t="s">
        <v>74</v>
      </c>
      <c r="E302" t="s">
        <v>74</v>
      </c>
      <c r="F302" t="s">
        <v>17413</v>
      </c>
      <c r="G302" t="s">
        <v>74</v>
      </c>
      <c r="H302" t="s">
        <v>74</v>
      </c>
      <c r="I302" t="s">
        <v>17414</v>
      </c>
      <c r="J302" t="s">
        <v>6747</v>
      </c>
      <c r="K302" t="s">
        <v>74</v>
      </c>
      <c r="L302" t="s">
        <v>74</v>
      </c>
      <c r="M302" t="s">
        <v>74</v>
      </c>
      <c r="N302" t="s">
        <v>103</v>
      </c>
      <c r="O302" t="s">
        <v>74</v>
      </c>
      <c r="P302" t="s">
        <v>74</v>
      </c>
      <c r="Q302" t="s">
        <v>74</v>
      </c>
      <c r="R302" t="s">
        <v>74</v>
      </c>
      <c r="S302" t="s">
        <v>74</v>
      </c>
      <c r="T302" t="s">
        <v>74</v>
      </c>
      <c r="U302" t="s">
        <v>17415</v>
      </c>
      <c r="V302" t="s">
        <v>17416</v>
      </c>
      <c r="W302" t="s">
        <v>17417</v>
      </c>
      <c r="X302" t="s">
        <v>17418</v>
      </c>
      <c r="Y302" t="s">
        <v>17419</v>
      </c>
      <c r="Z302" t="s">
        <v>17420</v>
      </c>
      <c r="AA302" t="s">
        <v>17421</v>
      </c>
      <c r="AB302" t="s">
        <v>17422</v>
      </c>
      <c r="AC302" t="s">
        <v>74</v>
      </c>
      <c r="AD302" t="s">
        <v>74</v>
      </c>
      <c r="AE302" t="s">
        <v>74</v>
      </c>
      <c r="AF302" t="s">
        <v>74</v>
      </c>
      <c r="AG302">
        <v>79</v>
      </c>
      <c r="AH302">
        <v>69</v>
      </c>
      <c r="AI302">
        <v>70</v>
      </c>
      <c r="AJ302">
        <v>0</v>
      </c>
      <c r="AK302">
        <v>26</v>
      </c>
      <c r="AL302" t="s">
        <v>74</v>
      </c>
      <c r="AM302" t="s">
        <v>74</v>
      </c>
      <c r="AN302" t="s">
        <v>74</v>
      </c>
      <c r="AO302" t="s">
        <v>6756</v>
      </c>
      <c r="AP302" t="s">
        <v>6757</v>
      </c>
      <c r="AQ302" t="s">
        <v>74</v>
      </c>
      <c r="AR302" t="s">
        <v>74</v>
      </c>
      <c r="AS302" t="s">
        <v>74</v>
      </c>
      <c r="AT302" t="s">
        <v>17423</v>
      </c>
      <c r="AU302">
        <v>2015</v>
      </c>
      <c r="AV302">
        <v>43</v>
      </c>
      <c r="AW302">
        <v>21</v>
      </c>
      <c r="AX302" t="s">
        <v>74</v>
      </c>
      <c r="AY302" t="s">
        <v>74</v>
      </c>
      <c r="AZ302" t="s">
        <v>74</v>
      </c>
      <c r="BA302" t="s">
        <v>74</v>
      </c>
      <c r="BB302">
        <v>10474</v>
      </c>
      <c r="BC302">
        <v>10491</v>
      </c>
      <c r="BD302" t="s">
        <v>74</v>
      </c>
      <c r="BE302" t="s">
        <v>17424</v>
      </c>
      <c r="BF302" t="str">
        <f>HYPERLINK("http://dx.doi.org/10.1093/nar/gkv954","http://dx.doi.org/10.1093/nar/gkv954")</f>
        <v>http://dx.doi.org/10.1093/nar/gkv954</v>
      </c>
      <c r="BG302" t="s">
        <v>74</v>
      </c>
      <c r="BH302" t="s">
        <v>74</v>
      </c>
      <c r="BI302" t="s">
        <v>74</v>
      </c>
      <c r="BJ302" t="s">
        <v>95</v>
      </c>
      <c r="BK302" t="s">
        <v>117</v>
      </c>
      <c r="BL302" t="s">
        <v>95</v>
      </c>
      <c r="BM302" t="s">
        <v>74</v>
      </c>
      <c r="BN302">
        <v>26405199</v>
      </c>
      <c r="BO302" t="s">
        <v>74</v>
      </c>
      <c r="BP302" t="s">
        <v>74</v>
      </c>
      <c r="BQ302" t="s">
        <v>74</v>
      </c>
      <c r="BR302" t="s">
        <v>96</v>
      </c>
      <c r="BS302" t="s">
        <v>17425</v>
      </c>
      <c r="BT302" t="str">
        <f>HYPERLINK("https%3A%2F%2Fwww.webofscience.com%2Fwos%2Fwoscc%2Ffull-record%2FWOS:000366410900042","View Full Record in Web of Science")</f>
        <v>View Full Record in Web of Science</v>
      </c>
    </row>
    <row r="303" spans="1:72" x14ac:dyDescent="0.15">
      <c r="A303" t="s">
        <v>98</v>
      </c>
      <c r="B303" t="s">
        <v>17924</v>
      </c>
      <c r="C303" t="s">
        <v>74</v>
      </c>
      <c r="D303" t="s">
        <v>74</v>
      </c>
      <c r="E303" t="s">
        <v>74</v>
      </c>
      <c r="F303" t="s">
        <v>17925</v>
      </c>
      <c r="G303" t="s">
        <v>74</v>
      </c>
      <c r="H303" t="s">
        <v>74</v>
      </c>
      <c r="I303" t="s">
        <v>18323</v>
      </c>
      <c r="J303" t="s">
        <v>18324</v>
      </c>
      <c r="K303" t="s">
        <v>74</v>
      </c>
      <c r="L303" t="s">
        <v>74</v>
      </c>
      <c r="M303" t="s">
        <v>74</v>
      </c>
      <c r="N303" t="s">
        <v>103</v>
      </c>
      <c r="O303" t="s">
        <v>74</v>
      </c>
      <c r="P303" t="s">
        <v>74</v>
      </c>
      <c r="Q303" t="s">
        <v>74</v>
      </c>
      <c r="R303" t="s">
        <v>74</v>
      </c>
      <c r="S303" t="s">
        <v>74</v>
      </c>
      <c r="T303" t="s">
        <v>18325</v>
      </c>
      <c r="U303" t="s">
        <v>18326</v>
      </c>
      <c r="V303" t="s">
        <v>18327</v>
      </c>
      <c r="W303" t="s">
        <v>18328</v>
      </c>
      <c r="X303" t="s">
        <v>17932</v>
      </c>
      <c r="Y303" t="s">
        <v>18329</v>
      </c>
      <c r="Z303" t="s">
        <v>18330</v>
      </c>
      <c r="AA303" t="s">
        <v>74</v>
      </c>
      <c r="AB303" t="s">
        <v>74</v>
      </c>
      <c r="AC303" t="s">
        <v>74</v>
      </c>
      <c r="AD303" t="s">
        <v>74</v>
      </c>
      <c r="AE303" t="s">
        <v>74</v>
      </c>
      <c r="AF303" t="s">
        <v>74</v>
      </c>
      <c r="AG303">
        <v>114</v>
      </c>
      <c r="AH303">
        <v>69</v>
      </c>
      <c r="AI303">
        <v>71</v>
      </c>
      <c r="AJ303">
        <v>4</v>
      </c>
      <c r="AK303">
        <v>30</v>
      </c>
      <c r="AL303" t="s">
        <v>74</v>
      </c>
      <c r="AM303" t="s">
        <v>74</v>
      </c>
      <c r="AN303" t="s">
        <v>74</v>
      </c>
      <c r="AO303" t="s">
        <v>18331</v>
      </c>
      <c r="AP303" t="s">
        <v>18332</v>
      </c>
      <c r="AQ303" t="s">
        <v>74</v>
      </c>
      <c r="AR303" t="s">
        <v>74</v>
      </c>
      <c r="AS303" t="s">
        <v>74</v>
      </c>
      <c r="AT303" t="s">
        <v>230</v>
      </c>
      <c r="AU303">
        <v>2017</v>
      </c>
      <c r="AV303">
        <v>31</v>
      </c>
      <c r="AW303">
        <v>4</v>
      </c>
      <c r="AX303">
        <v>1</v>
      </c>
      <c r="AY303" t="s">
        <v>74</v>
      </c>
      <c r="AZ303" t="s">
        <v>74</v>
      </c>
      <c r="BA303" t="s">
        <v>74</v>
      </c>
      <c r="BB303">
        <v>427</v>
      </c>
      <c r="BC303">
        <v>442</v>
      </c>
      <c r="BD303" t="s">
        <v>74</v>
      </c>
      <c r="BE303" t="s">
        <v>18333</v>
      </c>
      <c r="BF303" t="str">
        <f>HYPERLINK("http://dx.doi.org/10.1016/j.beem.2017.10.003","http://dx.doi.org/10.1016/j.beem.2017.10.003")</f>
        <v>http://dx.doi.org/10.1016/j.beem.2017.10.003</v>
      </c>
      <c r="BG303" t="s">
        <v>74</v>
      </c>
      <c r="BH303" t="s">
        <v>74</v>
      </c>
      <c r="BI303" t="s">
        <v>74</v>
      </c>
      <c r="BJ303" t="s">
        <v>3599</v>
      </c>
      <c r="BK303" t="s">
        <v>117</v>
      </c>
      <c r="BL303" t="s">
        <v>3599</v>
      </c>
      <c r="BM303" t="s">
        <v>74</v>
      </c>
      <c r="BN303">
        <v>29221571</v>
      </c>
      <c r="BO303" t="s">
        <v>74</v>
      </c>
      <c r="BP303" t="s">
        <v>74</v>
      </c>
      <c r="BQ303" t="s">
        <v>74</v>
      </c>
      <c r="BR303" t="s">
        <v>96</v>
      </c>
      <c r="BS303" t="s">
        <v>18334</v>
      </c>
      <c r="BT303" t="str">
        <f>HYPERLINK("https%3A%2F%2Fwww.webofscience.com%2Fwos%2Fwoscc%2Ffull-record%2FWOS:000419408200007","View Full Record in Web of Science")</f>
        <v>View Full Record in Web of Science</v>
      </c>
    </row>
    <row r="304" spans="1:72" x14ac:dyDescent="0.15">
      <c r="A304" t="s">
        <v>98</v>
      </c>
      <c r="B304" t="s">
        <v>137</v>
      </c>
      <c r="C304" t="s">
        <v>74</v>
      </c>
      <c r="D304" t="s">
        <v>74</v>
      </c>
      <c r="E304" t="s">
        <v>74</v>
      </c>
      <c r="F304" t="s">
        <v>138</v>
      </c>
      <c r="G304" t="s">
        <v>74</v>
      </c>
      <c r="H304" t="s">
        <v>74</v>
      </c>
      <c r="I304" t="s">
        <v>139</v>
      </c>
      <c r="J304" t="s">
        <v>140</v>
      </c>
      <c r="K304" t="s">
        <v>74</v>
      </c>
      <c r="L304" t="s">
        <v>74</v>
      </c>
      <c r="M304" t="s">
        <v>74</v>
      </c>
      <c r="N304" t="s">
        <v>103</v>
      </c>
      <c r="O304" t="s">
        <v>74</v>
      </c>
      <c r="P304" t="s">
        <v>74</v>
      </c>
      <c r="Q304" t="s">
        <v>74</v>
      </c>
      <c r="R304" t="s">
        <v>74</v>
      </c>
      <c r="S304" t="s">
        <v>74</v>
      </c>
      <c r="T304" t="s">
        <v>74</v>
      </c>
      <c r="U304" t="s">
        <v>141</v>
      </c>
      <c r="V304" t="s">
        <v>142</v>
      </c>
      <c r="W304" t="s">
        <v>143</v>
      </c>
      <c r="X304" t="s">
        <v>144</v>
      </c>
      <c r="Y304" t="s">
        <v>145</v>
      </c>
      <c r="Z304" t="s">
        <v>146</v>
      </c>
      <c r="AA304" t="s">
        <v>147</v>
      </c>
      <c r="AB304" t="s">
        <v>148</v>
      </c>
      <c r="AC304" t="s">
        <v>74</v>
      </c>
      <c r="AD304" t="s">
        <v>74</v>
      </c>
      <c r="AE304" t="s">
        <v>74</v>
      </c>
      <c r="AF304" t="s">
        <v>74</v>
      </c>
      <c r="AG304">
        <v>69</v>
      </c>
      <c r="AH304">
        <v>68</v>
      </c>
      <c r="AI304">
        <v>70</v>
      </c>
      <c r="AJ304">
        <v>1</v>
      </c>
      <c r="AK304">
        <v>19</v>
      </c>
      <c r="AL304" t="s">
        <v>74</v>
      </c>
      <c r="AM304" t="s">
        <v>74</v>
      </c>
      <c r="AN304" t="s">
        <v>74</v>
      </c>
      <c r="AO304" t="s">
        <v>149</v>
      </c>
      <c r="AP304" t="s">
        <v>74</v>
      </c>
      <c r="AQ304" t="s">
        <v>74</v>
      </c>
      <c r="AR304" t="s">
        <v>74</v>
      </c>
      <c r="AS304" t="s">
        <v>74</v>
      </c>
      <c r="AT304" t="s">
        <v>150</v>
      </c>
      <c r="AU304">
        <v>2017</v>
      </c>
      <c r="AV304">
        <v>7</v>
      </c>
      <c r="AW304" t="s">
        <v>74</v>
      </c>
      <c r="AX304" t="s">
        <v>74</v>
      </c>
      <c r="AY304" t="s">
        <v>74</v>
      </c>
      <c r="AZ304" t="s">
        <v>74</v>
      </c>
      <c r="BA304" t="s">
        <v>74</v>
      </c>
      <c r="BB304" t="s">
        <v>74</v>
      </c>
      <c r="BC304" t="s">
        <v>74</v>
      </c>
      <c r="BD304">
        <v>8202</v>
      </c>
      <c r="BE304" t="s">
        <v>151</v>
      </c>
      <c r="BF304" t="str">
        <f>HYPERLINK("http://dx.doi.org/10.1038/s41598-017-08392-1","http://dx.doi.org/10.1038/s41598-017-08392-1")</f>
        <v>http://dx.doi.org/10.1038/s41598-017-08392-1</v>
      </c>
      <c r="BG304" t="s">
        <v>74</v>
      </c>
      <c r="BH304" t="s">
        <v>74</v>
      </c>
      <c r="BI304" t="s">
        <v>74</v>
      </c>
      <c r="BJ304" t="s">
        <v>152</v>
      </c>
      <c r="BK304" t="s">
        <v>117</v>
      </c>
      <c r="BL304" t="s">
        <v>153</v>
      </c>
      <c r="BM304" t="s">
        <v>74</v>
      </c>
      <c r="BN304">
        <v>28811610</v>
      </c>
      <c r="BO304" t="s">
        <v>74</v>
      </c>
      <c r="BP304" t="s">
        <v>74</v>
      </c>
      <c r="BQ304" t="s">
        <v>74</v>
      </c>
      <c r="BR304" t="s">
        <v>96</v>
      </c>
      <c r="BS304" t="s">
        <v>154</v>
      </c>
      <c r="BT304" t="str">
        <f>HYPERLINK("https%3A%2F%2Fwww.webofscience.com%2Fwos%2Fwoscc%2Ffull-record%2FWOS:000407570000079","View Full Record in Web of Science")</f>
        <v>View Full Record in Web of Science</v>
      </c>
    </row>
    <row r="305" spans="1:72" x14ac:dyDescent="0.15">
      <c r="A305" t="s">
        <v>98</v>
      </c>
      <c r="B305" t="s">
        <v>7227</v>
      </c>
      <c r="C305" t="s">
        <v>74</v>
      </c>
      <c r="D305" t="s">
        <v>74</v>
      </c>
      <c r="E305" t="s">
        <v>74</v>
      </c>
      <c r="F305" t="s">
        <v>7228</v>
      </c>
      <c r="G305" t="s">
        <v>74</v>
      </c>
      <c r="H305" t="s">
        <v>74</v>
      </c>
      <c r="I305" t="s">
        <v>7229</v>
      </c>
      <c r="J305" t="s">
        <v>140</v>
      </c>
      <c r="K305" t="s">
        <v>74</v>
      </c>
      <c r="L305" t="s">
        <v>74</v>
      </c>
      <c r="M305" t="s">
        <v>74</v>
      </c>
      <c r="N305" t="s">
        <v>103</v>
      </c>
      <c r="O305" t="s">
        <v>74</v>
      </c>
      <c r="P305" t="s">
        <v>74</v>
      </c>
      <c r="Q305" t="s">
        <v>74</v>
      </c>
      <c r="R305" t="s">
        <v>74</v>
      </c>
      <c r="S305" t="s">
        <v>74</v>
      </c>
      <c r="T305" t="s">
        <v>74</v>
      </c>
      <c r="U305" t="s">
        <v>7230</v>
      </c>
      <c r="V305" t="s">
        <v>7231</v>
      </c>
      <c r="W305" t="s">
        <v>7232</v>
      </c>
      <c r="X305" t="s">
        <v>7233</v>
      </c>
      <c r="Y305" t="s">
        <v>7234</v>
      </c>
      <c r="Z305" t="s">
        <v>7235</v>
      </c>
      <c r="AA305" t="s">
        <v>74</v>
      </c>
      <c r="AB305" t="s">
        <v>74</v>
      </c>
      <c r="AC305" t="s">
        <v>74</v>
      </c>
      <c r="AD305" t="s">
        <v>74</v>
      </c>
      <c r="AE305" t="s">
        <v>74</v>
      </c>
      <c r="AF305" t="s">
        <v>74</v>
      </c>
      <c r="AG305">
        <v>93</v>
      </c>
      <c r="AH305">
        <v>68</v>
      </c>
      <c r="AI305">
        <v>69</v>
      </c>
      <c r="AJ305">
        <v>5</v>
      </c>
      <c r="AK305">
        <v>25</v>
      </c>
      <c r="AL305" t="s">
        <v>74</v>
      </c>
      <c r="AM305" t="s">
        <v>74</v>
      </c>
      <c r="AN305" t="s">
        <v>74</v>
      </c>
      <c r="AO305" t="s">
        <v>149</v>
      </c>
      <c r="AP305" t="s">
        <v>74</v>
      </c>
      <c r="AQ305" t="s">
        <v>74</v>
      </c>
      <c r="AR305" t="s">
        <v>74</v>
      </c>
      <c r="AS305" t="s">
        <v>74</v>
      </c>
      <c r="AT305" t="s">
        <v>7236</v>
      </c>
      <c r="AU305">
        <v>2019</v>
      </c>
      <c r="AV305">
        <v>9</v>
      </c>
      <c r="AW305" t="s">
        <v>74</v>
      </c>
      <c r="AX305" t="s">
        <v>74</v>
      </c>
      <c r="AY305" t="s">
        <v>74</v>
      </c>
      <c r="AZ305" t="s">
        <v>74</v>
      </c>
      <c r="BA305" t="s">
        <v>74</v>
      </c>
      <c r="BB305" t="s">
        <v>74</v>
      </c>
      <c r="BC305" t="s">
        <v>74</v>
      </c>
      <c r="BD305">
        <v>13012</v>
      </c>
      <c r="BE305" t="s">
        <v>7237</v>
      </c>
      <c r="BF305" t="str">
        <f>HYPERLINK("http://dx.doi.org/10.1038/s41598-019-49671-3","http://dx.doi.org/10.1038/s41598-019-49671-3")</f>
        <v>http://dx.doi.org/10.1038/s41598-019-49671-3</v>
      </c>
      <c r="BG305" t="s">
        <v>74</v>
      </c>
      <c r="BH305" t="s">
        <v>74</v>
      </c>
      <c r="BI305" t="s">
        <v>74</v>
      </c>
      <c r="BJ305" t="s">
        <v>152</v>
      </c>
      <c r="BK305" t="s">
        <v>117</v>
      </c>
      <c r="BL305" t="s">
        <v>153</v>
      </c>
      <c r="BM305" t="s">
        <v>74</v>
      </c>
      <c r="BN305">
        <v>31506601</v>
      </c>
      <c r="BO305" t="s">
        <v>74</v>
      </c>
      <c r="BP305" t="s">
        <v>74</v>
      </c>
      <c r="BQ305" t="s">
        <v>74</v>
      </c>
      <c r="BR305" t="s">
        <v>96</v>
      </c>
      <c r="BS305" t="s">
        <v>7238</v>
      </c>
      <c r="BT305" t="str">
        <f>HYPERLINK("https%3A%2F%2Fwww.webofscience.com%2Fwos%2Fwoscc%2Ffull-record%2FWOS:000484986300026","View Full Record in Web of Science")</f>
        <v>View Full Record in Web of Science</v>
      </c>
    </row>
    <row r="306" spans="1:72" x14ac:dyDescent="0.15">
      <c r="A306" t="s">
        <v>98</v>
      </c>
      <c r="B306" t="s">
        <v>11460</v>
      </c>
      <c r="C306" t="s">
        <v>74</v>
      </c>
      <c r="D306" t="s">
        <v>74</v>
      </c>
      <c r="E306" t="s">
        <v>74</v>
      </c>
      <c r="F306" t="s">
        <v>11461</v>
      </c>
      <c r="G306" t="s">
        <v>74</v>
      </c>
      <c r="H306" t="s">
        <v>74</v>
      </c>
      <c r="I306" t="s">
        <v>11462</v>
      </c>
      <c r="J306" t="s">
        <v>4812</v>
      </c>
      <c r="K306" t="s">
        <v>74</v>
      </c>
      <c r="L306" t="s">
        <v>74</v>
      </c>
      <c r="M306" t="s">
        <v>74</v>
      </c>
      <c r="N306" t="s">
        <v>103</v>
      </c>
      <c r="O306" t="s">
        <v>74</v>
      </c>
      <c r="P306" t="s">
        <v>74</v>
      </c>
      <c r="Q306" t="s">
        <v>74</v>
      </c>
      <c r="R306" t="s">
        <v>74</v>
      </c>
      <c r="S306" t="s">
        <v>74</v>
      </c>
      <c r="T306" t="s">
        <v>11463</v>
      </c>
      <c r="U306" t="s">
        <v>11464</v>
      </c>
      <c r="V306" t="s">
        <v>11465</v>
      </c>
      <c r="W306" t="s">
        <v>11466</v>
      </c>
      <c r="X306" t="s">
        <v>1977</v>
      </c>
      <c r="Y306" t="s">
        <v>1978</v>
      </c>
      <c r="Z306" t="s">
        <v>1706</v>
      </c>
      <c r="AA306" t="s">
        <v>11467</v>
      </c>
      <c r="AB306" t="s">
        <v>11468</v>
      </c>
      <c r="AC306" t="s">
        <v>74</v>
      </c>
      <c r="AD306" t="s">
        <v>74</v>
      </c>
      <c r="AE306" t="s">
        <v>74</v>
      </c>
      <c r="AF306" t="s">
        <v>74</v>
      </c>
      <c r="AG306">
        <v>39</v>
      </c>
      <c r="AH306">
        <v>68</v>
      </c>
      <c r="AI306">
        <v>71</v>
      </c>
      <c r="AJ306">
        <v>11</v>
      </c>
      <c r="AK306">
        <v>63</v>
      </c>
      <c r="AL306" t="s">
        <v>74</v>
      </c>
      <c r="AM306" t="s">
        <v>74</v>
      </c>
      <c r="AN306" t="s">
        <v>74</v>
      </c>
      <c r="AO306" t="s">
        <v>4820</v>
      </c>
      <c r="AP306" t="s">
        <v>4821</v>
      </c>
      <c r="AQ306" t="s">
        <v>74</v>
      </c>
      <c r="AR306" t="s">
        <v>74</v>
      </c>
      <c r="AS306" t="s">
        <v>74</v>
      </c>
      <c r="AT306" t="s">
        <v>11469</v>
      </c>
      <c r="AU306">
        <v>2018</v>
      </c>
      <c r="AV306">
        <v>553</v>
      </c>
      <c r="AW306" t="s">
        <v>1694</v>
      </c>
      <c r="AX306" t="s">
        <v>74</v>
      </c>
      <c r="AY306" t="s">
        <v>74</v>
      </c>
      <c r="AZ306" t="s">
        <v>74</v>
      </c>
      <c r="BA306" t="s">
        <v>74</v>
      </c>
      <c r="BB306">
        <v>1</v>
      </c>
      <c r="BC306">
        <v>7</v>
      </c>
      <c r="BD306" t="s">
        <v>74</v>
      </c>
      <c r="BE306" t="s">
        <v>11470</v>
      </c>
      <c r="BF306" t="str">
        <f>HYPERLINK("http://dx.doi.org/10.1016/j.ijpharm.2018.10.032","http://dx.doi.org/10.1016/j.ijpharm.2018.10.032")</f>
        <v>http://dx.doi.org/10.1016/j.ijpharm.2018.10.032</v>
      </c>
      <c r="BG306" t="s">
        <v>74</v>
      </c>
      <c r="BH306" t="s">
        <v>74</v>
      </c>
      <c r="BI306" t="s">
        <v>74</v>
      </c>
      <c r="BJ306" t="s">
        <v>533</v>
      </c>
      <c r="BK306" t="s">
        <v>117</v>
      </c>
      <c r="BL306" t="s">
        <v>533</v>
      </c>
      <c r="BM306" t="s">
        <v>74</v>
      </c>
      <c r="BN306">
        <v>30316791</v>
      </c>
      <c r="BO306" t="s">
        <v>74</v>
      </c>
      <c r="BP306" t="s">
        <v>74</v>
      </c>
      <c r="BQ306" t="s">
        <v>74</v>
      </c>
      <c r="BR306" t="s">
        <v>96</v>
      </c>
      <c r="BS306" t="s">
        <v>11471</v>
      </c>
      <c r="BT306" t="str">
        <f>HYPERLINK("https%3A%2F%2Fwww.webofscience.com%2Fwos%2Fwoscc%2Ffull-record%2FWOS:000451020300001","View Full Record in Web of Science")</f>
        <v>View Full Record in Web of Science</v>
      </c>
    </row>
    <row r="307" spans="1:72" x14ac:dyDescent="0.15">
      <c r="A307" t="s">
        <v>98</v>
      </c>
      <c r="B307" t="s">
        <v>28787</v>
      </c>
      <c r="C307" t="s">
        <v>74</v>
      </c>
      <c r="D307" t="s">
        <v>74</v>
      </c>
      <c r="E307" t="s">
        <v>74</v>
      </c>
      <c r="F307" t="s">
        <v>28788</v>
      </c>
      <c r="G307" t="s">
        <v>74</v>
      </c>
      <c r="H307" t="s">
        <v>74</v>
      </c>
      <c r="I307" t="s">
        <v>28789</v>
      </c>
      <c r="J307" t="s">
        <v>16141</v>
      </c>
      <c r="K307" t="s">
        <v>74</v>
      </c>
      <c r="L307" t="s">
        <v>74</v>
      </c>
      <c r="M307" t="s">
        <v>74</v>
      </c>
      <c r="N307" t="s">
        <v>103</v>
      </c>
      <c r="O307" t="s">
        <v>74</v>
      </c>
      <c r="P307" t="s">
        <v>74</v>
      </c>
      <c r="Q307" t="s">
        <v>74</v>
      </c>
      <c r="R307" t="s">
        <v>74</v>
      </c>
      <c r="S307" t="s">
        <v>74</v>
      </c>
      <c r="T307" t="s">
        <v>74</v>
      </c>
      <c r="U307" t="s">
        <v>28790</v>
      </c>
      <c r="V307" t="s">
        <v>28791</v>
      </c>
      <c r="W307" t="s">
        <v>28792</v>
      </c>
      <c r="X307" t="s">
        <v>28793</v>
      </c>
      <c r="Y307" t="s">
        <v>28794</v>
      </c>
      <c r="Z307" t="s">
        <v>28795</v>
      </c>
      <c r="AA307" t="s">
        <v>28796</v>
      </c>
      <c r="AB307" t="s">
        <v>28797</v>
      </c>
      <c r="AC307" t="s">
        <v>74</v>
      </c>
      <c r="AD307" t="s">
        <v>74</v>
      </c>
      <c r="AE307" t="s">
        <v>74</v>
      </c>
      <c r="AF307" t="s">
        <v>74</v>
      </c>
      <c r="AG307">
        <v>35</v>
      </c>
      <c r="AH307">
        <v>68</v>
      </c>
      <c r="AI307">
        <v>72</v>
      </c>
      <c r="AJ307">
        <v>2</v>
      </c>
      <c r="AK307">
        <v>52</v>
      </c>
      <c r="AL307" t="s">
        <v>74</v>
      </c>
      <c r="AM307" t="s">
        <v>74</v>
      </c>
      <c r="AN307" t="s">
        <v>74</v>
      </c>
      <c r="AO307" t="s">
        <v>16150</v>
      </c>
      <c r="AP307" t="s">
        <v>16151</v>
      </c>
      <c r="AQ307" t="s">
        <v>74</v>
      </c>
      <c r="AR307" t="s">
        <v>74</v>
      </c>
      <c r="AS307" t="s">
        <v>74</v>
      </c>
      <c r="AT307" t="s">
        <v>283</v>
      </c>
      <c r="AU307">
        <v>2015</v>
      </c>
      <c r="AV307">
        <v>3</v>
      </c>
      <c r="AW307">
        <v>2</v>
      </c>
      <c r="AX307" t="s">
        <v>74</v>
      </c>
      <c r="AY307" t="s">
        <v>74</v>
      </c>
      <c r="AZ307" t="s">
        <v>74</v>
      </c>
      <c r="BA307" t="s">
        <v>74</v>
      </c>
      <c r="BB307">
        <v>196</v>
      </c>
      <c r="BC307">
        <v>205</v>
      </c>
      <c r="BD307" t="s">
        <v>74</v>
      </c>
      <c r="BE307" t="s">
        <v>28798</v>
      </c>
      <c r="BF307" t="str">
        <f>HYPERLINK("http://dx.doi.org/10.1158/2326-6066.CIR-14-0177","http://dx.doi.org/10.1158/2326-6066.CIR-14-0177")</f>
        <v>http://dx.doi.org/10.1158/2326-6066.CIR-14-0177</v>
      </c>
      <c r="BG307" t="s">
        <v>74</v>
      </c>
      <c r="BH307" t="s">
        <v>74</v>
      </c>
      <c r="BI307" t="s">
        <v>74</v>
      </c>
      <c r="BJ307" t="s">
        <v>7255</v>
      </c>
      <c r="BK307" t="s">
        <v>117</v>
      </c>
      <c r="BL307" t="s">
        <v>7255</v>
      </c>
      <c r="BM307" t="s">
        <v>74</v>
      </c>
      <c r="BN307">
        <v>25477253</v>
      </c>
      <c r="BO307" t="s">
        <v>74</v>
      </c>
      <c r="BP307" t="s">
        <v>74</v>
      </c>
      <c r="BQ307" t="s">
        <v>74</v>
      </c>
      <c r="BR307" t="s">
        <v>96</v>
      </c>
      <c r="BS307" t="s">
        <v>28799</v>
      </c>
      <c r="BT307" t="str">
        <f>HYPERLINK("https%3A%2F%2Fwww.webofscience.com%2Fwos%2Fwoscc%2Ffull-record%2FWOS:000349422600011","View Full Record in Web of Science")</f>
        <v>View Full Record in Web of Science</v>
      </c>
    </row>
    <row r="308" spans="1:72" x14ac:dyDescent="0.15">
      <c r="A308" t="s">
        <v>98</v>
      </c>
      <c r="B308" t="s">
        <v>9596</v>
      </c>
      <c r="C308" t="s">
        <v>74</v>
      </c>
      <c r="D308" t="s">
        <v>74</v>
      </c>
      <c r="E308" t="s">
        <v>74</v>
      </c>
      <c r="F308" t="s">
        <v>9597</v>
      </c>
      <c r="G308" t="s">
        <v>74</v>
      </c>
      <c r="H308" t="s">
        <v>74</v>
      </c>
      <c r="I308" t="s">
        <v>9598</v>
      </c>
      <c r="J308" t="s">
        <v>4217</v>
      </c>
      <c r="K308" t="s">
        <v>74</v>
      </c>
      <c r="L308" t="s">
        <v>74</v>
      </c>
      <c r="M308" t="s">
        <v>74</v>
      </c>
      <c r="N308" t="s">
        <v>103</v>
      </c>
      <c r="O308" t="s">
        <v>74</v>
      </c>
      <c r="P308" t="s">
        <v>74</v>
      </c>
      <c r="Q308" t="s">
        <v>74</v>
      </c>
      <c r="R308" t="s">
        <v>74</v>
      </c>
      <c r="S308" t="s">
        <v>74</v>
      </c>
      <c r="T308" t="s">
        <v>9599</v>
      </c>
      <c r="U308" t="s">
        <v>9600</v>
      </c>
      <c r="V308" t="s">
        <v>9601</v>
      </c>
      <c r="W308" t="s">
        <v>9602</v>
      </c>
      <c r="X308" t="s">
        <v>9603</v>
      </c>
      <c r="Y308" t="s">
        <v>9604</v>
      </c>
      <c r="Z308" t="s">
        <v>9605</v>
      </c>
      <c r="AA308" t="s">
        <v>9606</v>
      </c>
      <c r="AB308" t="s">
        <v>9607</v>
      </c>
      <c r="AC308" t="s">
        <v>74</v>
      </c>
      <c r="AD308" t="s">
        <v>74</v>
      </c>
      <c r="AE308" t="s">
        <v>74</v>
      </c>
      <c r="AF308" t="s">
        <v>74</v>
      </c>
      <c r="AG308">
        <v>112</v>
      </c>
      <c r="AH308">
        <v>67</v>
      </c>
      <c r="AI308">
        <v>69</v>
      </c>
      <c r="AJ308">
        <v>2</v>
      </c>
      <c r="AK308">
        <v>14</v>
      </c>
      <c r="AL308" t="s">
        <v>74</v>
      </c>
      <c r="AM308" t="s">
        <v>74</v>
      </c>
      <c r="AN308" t="s">
        <v>74</v>
      </c>
      <c r="AO308" t="s">
        <v>4225</v>
      </c>
      <c r="AP308" t="s">
        <v>74</v>
      </c>
      <c r="AQ308" t="s">
        <v>74</v>
      </c>
      <c r="AR308" t="s">
        <v>74</v>
      </c>
      <c r="AS308" t="s">
        <v>74</v>
      </c>
      <c r="AT308" t="s">
        <v>170</v>
      </c>
      <c r="AU308">
        <v>2017</v>
      </c>
      <c r="AV308">
        <v>21</v>
      </c>
      <c r="AW308">
        <v>12</v>
      </c>
      <c r="AX308" t="s">
        <v>74</v>
      </c>
      <c r="AY308" t="s">
        <v>74</v>
      </c>
      <c r="AZ308" t="s">
        <v>74</v>
      </c>
      <c r="BA308" t="s">
        <v>74</v>
      </c>
      <c r="BB308">
        <v>2940</v>
      </c>
      <c r="BC308">
        <v>2956</v>
      </c>
      <c r="BD308" t="s">
        <v>74</v>
      </c>
      <c r="BE308" t="s">
        <v>74</v>
      </c>
      <c r="BF308" t="s">
        <v>74</v>
      </c>
      <c r="BG308" t="s">
        <v>74</v>
      </c>
      <c r="BH308" t="s">
        <v>74</v>
      </c>
      <c r="BI308" t="s">
        <v>74</v>
      </c>
      <c r="BJ308" t="s">
        <v>533</v>
      </c>
      <c r="BK308" t="s">
        <v>117</v>
      </c>
      <c r="BL308" t="s">
        <v>533</v>
      </c>
      <c r="BM308" t="s">
        <v>74</v>
      </c>
      <c r="BN308">
        <v>28682421</v>
      </c>
      <c r="BO308" t="s">
        <v>74</v>
      </c>
      <c r="BP308" t="s">
        <v>74</v>
      </c>
      <c r="BQ308" t="s">
        <v>74</v>
      </c>
      <c r="BR308" t="s">
        <v>96</v>
      </c>
      <c r="BS308" t="s">
        <v>9608</v>
      </c>
      <c r="BT308" t="str">
        <f>HYPERLINK("https%3A%2F%2Fwww.webofscience.com%2Fwos%2Fwoscc%2Ffull-record%2FWOS:000408675400021","View Full Record in Web of Science")</f>
        <v>View Full Record in Web of Science</v>
      </c>
    </row>
    <row r="309" spans="1:72" x14ac:dyDescent="0.15">
      <c r="A309" t="s">
        <v>98</v>
      </c>
      <c r="B309" t="s">
        <v>24838</v>
      </c>
      <c r="C309" t="s">
        <v>74</v>
      </c>
      <c r="D309" t="s">
        <v>74</v>
      </c>
      <c r="E309" t="s">
        <v>74</v>
      </c>
      <c r="F309" t="s">
        <v>24838</v>
      </c>
      <c r="G309" t="s">
        <v>74</v>
      </c>
      <c r="H309" t="s">
        <v>74</v>
      </c>
      <c r="I309" t="s">
        <v>24839</v>
      </c>
      <c r="J309" t="s">
        <v>325</v>
      </c>
      <c r="K309" t="s">
        <v>74</v>
      </c>
      <c r="L309" t="s">
        <v>74</v>
      </c>
      <c r="M309" t="s">
        <v>74</v>
      </c>
      <c r="N309" t="s">
        <v>103</v>
      </c>
      <c r="O309" t="s">
        <v>74</v>
      </c>
      <c r="P309" t="s">
        <v>74</v>
      </c>
      <c r="Q309" t="s">
        <v>74</v>
      </c>
      <c r="R309" t="s">
        <v>74</v>
      </c>
      <c r="S309" t="s">
        <v>74</v>
      </c>
      <c r="T309" t="s">
        <v>74</v>
      </c>
      <c r="U309" t="s">
        <v>24840</v>
      </c>
      <c r="V309" t="s">
        <v>24841</v>
      </c>
      <c r="W309" t="s">
        <v>24842</v>
      </c>
      <c r="X309" t="s">
        <v>24843</v>
      </c>
      <c r="Y309" t="s">
        <v>24844</v>
      </c>
      <c r="Z309" t="s">
        <v>24845</v>
      </c>
      <c r="AA309" t="s">
        <v>24846</v>
      </c>
      <c r="AB309" t="s">
        <v>74</v>
      </c>
      <c r="AC309" t="s">
        <v>74</v>
      </c>
      <c r="AD309" t="s">
        <v>74</v>
      </c>
      <c r="AE309" t="s">
        <v>74</v>
      </c>
      <c r="AF309" t="s">
        <v>74</v>
      </c>
      <c r="AG309">
        <v>49</v>
      </c>
      <c r="AH309">
        <v>67</v>
      </c>
      <c r="AI309">
        <v>69</v>
      </c>
      <c r="AJ309">
        <v>0</v>
      </c>
      <c r="AK309">
        <v>4</v>
      </c>
      <c r="AL309" t="s">
        <v>74</v>
      </c>
      <c r="AM309" t="s">
        <v>74</v>
      </c>
      <c r="AN309" t="s">
        <v>74</v>
      </c>
      <c r="AO309" t="s">
        <v>333</v>
      </c>
      <c r="AP309" t="s">
        <v>334</v>
      </c>
      <c r="AQ309" t="s">
        <v>74</v>
      </c>
      <c r="AR309" t="s">
        <v>74</v>
      </c>
      <c r="AS309" t="s">
        <v>74</v>
      </c>
      <c r="AT309" t="s">
        <v>189</v>
      </c>
      <c r="AU309">
        <v>2005</v>
      </c>
      <c r="AV309">
        <v>24</v>
      </c>
      <c r="AW309">
        <v>10</v>
      </c>
      <c r="AX309" t="s">
        <v>74</v>
      </c>
      <c r="AY309" t="s">
        <v>74</v>
      </c>
      <c r="AZ309" t="s">
        <v>74</v>
      </c>
      <c r="BA309" t="s">
        <v>74</v>
      </c>
      <c r="BB309">
        <v>614</v>
      </c>
      <c r="BC309">
        <v>623</v>
      </c>
      <c r="BD309" t="s">
        <v>74</v>
      </c>
      <c r="BE309" t="s">
        <v>24847</v>
      </c>
      <c r="BF309" t="str">
        <f>HYPERLINK("http://dx.doi.org/10.1089/dna.2005.24.614","http://dx.doi.org/10.1089/dna.2005.24.614")</f>
        <v>http://dx.doi.org/10.1089/dna.2005.24.614</v>
      </c>
      <c r="BG309" t="s">
        <v>74</v>
      </c>
      <c r="BH309" t="s">
        <v>74</v>
      </c>
      <c r="BI309" t="s">
        <v>74</v>
      </c>
      <c r="BJ309" t="s">
        <v>338</v>
      </c>
      <c r="BK309" t="s">
        <v>117</v>
      </c>
      <c r="BL309" t="s">
        <v>338</v>
      </c>
      <c r="BM309" t="s">
        <v>74</v>
      </c>
      <c r="BN309">
        <v>16225392</v>
      </c>
      <c r="BO309" t="s">
        <v>74</v>
      </c>
      <c r="BP309" t="s">
        <v>74</v>
      </c>
      <c r="BQ309" t="s">
        <v>74</v>
      </c>
      <c r="BR309" t="s">
        <v>96</v>
      </c>
      <c r="BS309" t="s">
        <v>24848</v>
      </c>
      <c r="BT309" t="str">
        <f>HYPERLINK("https%3A%2F%2Fwww.webofscience.com%2Fwos%2Fwoscc%2Ffull-record%2FWOS:000232669000002","View Full Record in Web of Science")</f>
        <v>View Full Record in Web of Science</v>
      </c>
    </row>
    <row r="310" spans="1:72" x14ac:dyDescent="0.15">
      <c r="A310" t="s">
        <v>98</v>
      </c>
      <c r="B310" t="s">
        <v>26614</v>
      </c>
      <c r="C310" t="s">
        <v>74</v>
      </c>
      <c r="D310" t="s">
        <v>74</v>
      </c>
      <c r="E310" t="s">
        <v>74</v>
      </c>
      <c r="F310" t="s">
        <v>26614</v>
      </c>
      <c r="G310" t="s">
        <v>74</v>
      </c>
      <c r="H310" t="s">
        <v>74</v>
      </c>
      <c r="I310" t="s">
        <v>26615</v>
      </c>
      <c r="J310" t="s">
        <v>26616</v>
      </c>
      <c r="K310" t="s">
        <v>74</v>
      </c>
      <c r="L310" t="s">
        <v>74</v>
      </c>
      <c r="M310" t="s">
        <v>74</v>
      </c>
      <c r="N310" t="s">
        <v>103</v>
      </c>
      <c r="O310" t="s">
        <v>74</v>
      </c>
      <c r="P310" t="s">
        <v>74</v>
      </c>
      <c r="Q310" t="s">
        <v>74</v>
      </c>
      <c r="R310" t="s">
        <v>74</v>
      </c>
      <c r="S310" t="s">
        <v>74</v>
      </c>
      <c r="T310" t="s">
        <v>26617</v>
      </c>
      <c r="U310" t="s">
        <v>26618</v>
      </c>
      <c r="V310" t="s">
        <v>26619</v>
      </c>
      <c r="W310" t="s">
        <v>26620</v>
      </c>
      <c r="X310" t="s">
        <v>26621</v>
      </c>
      <c r="Y310" t="s">
        <v>74</v>
      </c>
      <c r="Z310" t="s">
        <v>74</v>
      </c>
      <c r="AA310" t="s">
        <v>74</v>
      </c>
      <c r="AB310" t="s">
        <v>74</v>
      </c>
      <c r="AC310" t="s">
        <v>74</v>
      </c>
      <c r="AD310" t="s">
        <v>74</v>
      </c>
      <c r="AE310" t="s">
        <v>74</v>
      </c>
      <c r="AF310" t="s">
        <v>74</v>
      </c>
      <c r="AG310">
        <v>58</v>
      </c>
      <c r="AH310">
        <v>67</v>
      </c>
      <c r="AI310">
        <v>70</v>
      </c>
      <c r="AJ310">
        <v>0</v>
      </c>
      <c r="AK310">
        <v>5</v>
      </c>
      <c r="AL310" t="s">
        <v>74</v>
      </c>
      <c r="AM310" t="s">
        <v>74</v>
      </c>
      <c r="AN310" t="s">
        <v>74</v>
      </c>
      <c r="AO310" t="s">
        <v>26622</v>
      </c>
      <c r="AP310" t="s">
        <v>26623</v>
      </c>
      <c r="AQ310" t="s">
        <v>74</v>
      </c>
      <c r="AR310" t="s">
        <v>74</v>
      </c>
      <c r="AS310" t="s">
        <v>74</v>
      </c>
      <c r="AT310" t="s">
        <v>114</v>
      </c>
      <c r="AU310">
        <v>1996</v>
      </c>
      <c r="AV310">
        <v>64</v>
      </c>
      <c r="AW310">
        <v>1</v>
      </c>
      <c r="AX310" t="s">
        <v>74</v>
      </c>
      <c r="AY310" t="s">
        <v>74</v>
      </c>
      <c r="AZ310" t="s">
        <v>74</v>
      </c>
      <c r="BA310" t="s">
        <v>74</v>
      </c>
      <c r="BB310">
        <v>129</v>
      </c>
      <c r="BC310">
        <v>133</v>
      </c>
      <c r="BD310" t="s">
        <v>74</v>
      </c>
      <c r="BE310" t="s">
        <v>26624</v>
      </c>
      <c r="BF310" t="str">
        <f>HYPERLINK("http://dx.doi.org/10.1016/0301-2115(95)02261-9","http://dx.doi.org/10.1016/0301-2115(95)02261-9")</f>
        <v>http://dx.doi.org/10.1016/0301-2115(95)02261-9</v>
      </c>
      <c r="BG310" t="s">
        <v>74</v>
      </c>
      <c r="BH310" t="s">
        <v>74</v>
      </c>
      <c r="BI310" t="s">
        <v>74</v>
      </c>
      <c r="BJ310" t="s">
        <v>6268</v>
      </c>
      <c r="BK310" t="s">
        <v>117</v>
      </c>
      <c r="BL310" t="s">
        <v>6268</v>
      </c>
      <c r="BM310" t="s">
        <v>74</v>
      </c>
      <c r="BN310">
        <v>8801138</v>
      </c>
      <c r="BO310" t="s">
        <v>74</v>
      </c>
      <c r="BP310" t="s">
        <v>74</v>
      </c>
      <c r="BQ310" t="s">
        <v>74</v>
      </c>
      <c r="BR310" t="s">
        <v>96</v>
      </c>
      <c r="BS310" t="s">
        <v>26625</v>
      </c>
      <c r="BT310" t="str">
        <f>HYPERLINK("https%3A%2F%2Fwww.webofscience.com%2Fwos%2Fwoscc%2Ffull-record%2FWOS:A1996TX23900024","View Full Record in Web of Science")</f>
        <v>View Full Record in Web of Science</v>
      </c>
    </row>
    <row r="311" spans="1:72" x14ac:dyDescent="0.15">
      <c r="A311" t="s">
        <v>98</v>
      </c>
      <c r="B311" t="s">
        <v>5569</v>
      </c>
      <c r="C311" t="s">
        <v>74</v>
      </c>
      <c r="D311" t="s">
        <v>74</v>
      </c>
      <c r="E311" t="s">
        <v>74</v>
      </c>
      <c r="F311" t="s">
        <v>5570</v>
      </c>
      <c r="G311" t="s">
        <v>74</v>
      </c>
      <c r="H311" t="s">
        <v>74</v>
      </c>
      <c r="I311" t="s">
        <v>5571</v>
      </c>
      <c r="J311" t="s">
        <v>5572</v>
      </c>
      <c r="K311" t="s">
        <v>74</v>
      </c>
      <c r="L311" t="s">
        <v>74</v>
      </c>
      <c r="M311" t="s">
        <v>74</v>
      </c>
      <c r="N311" t="s">
        <v>103</v>
      </c>
      <c r="O311" t="s">
        <v>74</v>
      </c>
      <c r="P311" t="s">
        <v>74</v>
      </c>
      <c r="Q311" t="s">
        <v>74</v>
      </c>
      <c r="R311" t="s">
        <v>74</v>
      </c>
      <c r="S311" t="s">
        <v>74</v>
      </c>
      <c r="T311" t="s">
        <v>74</v>
      </c>
      <c r="U311" t="s">
        <v>5573</v>
      </c>
      <c r="V311" t="s">
        <v>5574</v>
      </c>
      <c r="W311" t="s">
        <v>5575</v>
      </c>
      <c r="X311" t="s">
        <v>5576</v>
      </c>
      <c r="Y311" t="s">
        <v>5577</v>
      </c>
      <c r="Z311" t="s">
        <v>5578</v>
      </c>
      <c r="AA311" t="s">
        <v>5579</v>
      </c>
      <c r="AB311" t="s">
        <v>5580</v>
      </c>
      <c r="AC311" t="s">
        <v>74</v>
      </c>
      <c r="AD311" t="s">
        <v>74</v>
      </c>
      <c r="AE311" t="s">
        <v>74</v>
      </c>
      <c r="AF311" t="s">
        <v>74</v>
      </c>
      <c r="AG311">
        <v>24</v>
      </c>
      <c r="AH311">
        <v>66</v>
      </c>
      <c r="AI311">
        <v>66</v>
      </c>
      <c r="AJ311">
        <v>2</v>
      </c>
      <c r="AK311">
        <v>11</v>
      </c>
      <c r="AL311" t="s">
        <v>74</v>
      </c>
      <c r="AM311" t="s">
        <v>74</v>
      </c>
      <c r="AN311" t="s">
        <v>74</v>
      </c>
      <c r="AO311" t="s">
        <v>5581</v>
      </c>
      <c r="AP311" t="s">
        <v>5582</v>
      </c>
      <c r="AQ311" t="s">
        <v>74</v>
      </c>
      <c r="AR311" t="s">
        <v>74</v>
      </c>
      <c r="AS311" t="s">
        <v>74</v>
      </c>
      <c r="AT311" t="s">
        <v>1029</v>
      </c>
      <c r="AU311">
        <v>2019</v>
      </c>
      <c r="AV311">
        <v>216</v>
      </c>
      <c r="AW311">
        <v>5</v>
      </c>
      <c r="AX311" t="s">
        <v>74</v>
      </c>
      <c r="AY311" t="s">
        <v>74</v>
      </c>
      <c r="AZ311" t="s">
        <v>74</v>
      </c>
      <c r="BA311" t="s">
        <v>74</v>
      </c>
      <c r="BB311">
        <v>1061</v>
      </c>
      <c r="BC311">
        <v>1070</v>
      </c>
      <c r="BD311" t="s">
        <v>74</v>
      </c>
      <c r="BE311" t="s">
        <v>5583</v>
      </c>
      <c r="BF311" t="str">
        <f>HYPERLINK("http://dx.doi.org/10.1084/jem.20181522","http://dx.doi.org/10.1084/jem.20181522")</f>
        <v>http://dx.doi.org/10.1084/jem.20181522</v>
      </c>
      <c r="BG311" t="s">
        <v>74</v>
      </c>
      <c r="BH311" t="s">
        <v>74</v>
      </c>
      <c r="BI311" t="s">
        <v>74</v>
      </c>
      <c r="BJ311" t="s">
        <v>1496</v>
      </c>
      <c r="BK311" t="s">
        <v>117</v>
      </c>
      <c r="BL311" t="s">
        <v>1497</v>
      </c>
      <c r="BM311" t="s">
        <v>74</v>
      </c>
      <c r="BN311">
        <v>30975894</v>
      </c>
      <c r="BO311" t="s">
        <v>74</v>
      </c>
      <c r="BP311" t="s">
        <v>74</v>
      </c>
      <c r="BQ311" t="s">
        <v>74</v>
      </c>
      <c r="BR311" t="s">
        <v>96</v>
      </c>
      <c r="BS311" t="s">
        <v>5584</v>
      </c>
      <c r="BT311" t="str">
        <f>HYPERLINK("https%3A%2F%2Fwww.webofscience.com%2Fwos%2Fwoscc%2Ffull-record%2FWOS:000466981400010","View Full Record in Web of Science")</f>
        <v>View Full Record in Web of Science</v>
      </c>
    </row>
    <row r="312" spans="1:72" x14ac:dyDescent="0.15">
      <c r="A312" t="s">
        <v>98</v>
      </c>
      <c r="B312" t="s">
        <v>5385</v>
      </c>
      <c r="C312" t="s">
        <v>74</v>
      </c>
      <c r="D312" t="s">
        <v>74</v>
      </c>
      <c r="E312" t="s">
        <v>74</v>
      </c>
      <c r="F312" t="s">
        <v>5386</v>
      </c>
      <c r="G312" t="s">
        <v>74</v>
      </c>
      <c r="H312" t="s">
        <v>74</v>
      </c>
      <c r="I312" t="s">
        <v>5387</v>
      </c>
      <c r="J312" t="s">
        <v>2520</v>
      </c>
      <c r="K312" t="s">
        <v>74</v>
      </c>
      <c r="L312" t="s">
        <v>74</v>
      </c>
      <c r="M312" t="s">
        <v>74</v>
      </c>
      <c r="N312" t="s">
        <v>103</v>
      </c>
      <c r="O312" t="s">
        <v>74</v>
      </c>
      <c r="P312" t="s">
        <v>74</v>
      </c>
      <c r="Q312" t="s">
        <v>74</v>
      </c>
      <c r="R312" t="s">
        <v>74</v>
      </c>
      <c r="S312" t="s">
        <v>74</v>
      </c>
      <c r="T312" t="s">
        <v>5388</v>
      </c>
      <c r="U312" t="s">
        <v>5389</v>
      </c>
      <c r="V312" t="s">
        <v>5390</v>
      </c>
      <c r="W312" t="s">
        <v>5391</v>
      </c>
      <c r="X312" t="s">
        <v>5392</v>
      </c>
      <c r="Y312" t="s">
        <v>5393</v>
      </c>
      <c r="Z312" t="s">
        <v>5394</v>
      </c>
      <c r="AA312" t="s">
        <v>5395</v>
      </c>
      <c r="AB312" t="s">
        <v>5396</v>
      </c>
      <c r="AC312" t="s">
        <v>74</v>
      </c>
      <c r="AD312" t="s">
        <v>74</v>
      </c>
      <c r="AE312" t="s">
        <v>74</v>
      </c>
      <c r="AF312" t="s">
        <v>74</v>
      </c>
      <c r="AG312">
        <v>47</v>
      </c>
      <c r="AH312">
        <v>65</v>
      </c>
      <c r="AI312">
        <v>65</v>
      </c>
      <c r="AJ312">
        <v>5</v>
      </c>
      <c r="AK312">
        <v>50</v>
      </c>
      <c r="AL312" t="s">
        <v>74</v>
      </c>
      <c r="AM312" t="s">
        <v>74</v>
      </c>
      <c r="AN312" t="s">
        <v>74</v>
      </c>
      <c r="AO312" t="s">
        <v>2529</v>
      </c>
      <c r="AP312" t="s">
        <v>74</v>
      </c>
      <c r="AQ312" t="s">
        <v>74</v>
      </c>
      <c r="AR312" t="s">
        <v>74</v>
      </c>
      <c r="AS312" t="s">
        <v>74</v>
      </c>
      <c r="AT312" t="s">
        <v>5397</v>
      </c>
      <c r="AU312">
        <v>2015</v>
      </c>
      <c r="AV312">
        <v>6</v>
      </c>
      <c r="AW312" t="s">
        <v>74</v>
      </c>
      <c r="AX312" t="s">
        <v>74</v>
      </c>
      <c r="AY312" t="s">
        <v>74</v>
      </c>
      <c r="AZ312" t="s">
        <v>74</v>
      </c>
      <c r="BA312" t="s">
        <v>74</v>
      </c>
      <c r="BB312" t="s">
        <v>74</v>
      </c>
      <c r="BC312" t="s">
        <v>74</v>
      </c>
      <c r="BD312">
        <v>1369</v>
      </c>
      <c r="BE312" t="s">
        <v>5398</v>
      </c>
      <c r="BF312" t="str">
        <f>HYPERLINK("http://dx.doi.org/10.3389/fmicb.2015.01369","http://dx.doi.org/10.3389/fmicb.2015.01369")</f>
        <v>http://dx.doi.org/10.3389/fmicb.2015.01369</v>
      </c>
      <c r="BG312" t="s">
        <v>74</v>
      </c>
      <c r="BH312" t="s">
        <v>74</v>
      </c>
      <c r="BI312" t="s">
        <v>74</v>
      </c>
      <c r="BJ312" t="s">
        <v>898</v>
      </c>
      <c r="BK312" t="s">
        <v>117</v>
      </c>
      <c r="BL312" t="s">
        <v>898</v>
      </c>
      <c r="BM312" t="s">
        <v>74</v>
      </c>
      <c r="BN312">
        <v>26733944</v>
      </c>
      <c r="BO312" t="s">
        <v>74</v>
      </c>
      <c r="BP312" t="s">
        <v>74</v>
      </c>
      <c r="BQ312" t="s">
        <v>74</v>
      </c>
      <c r="BR312" t="s">
        <v>96</v>
      </c>
      <c r="BS312" t="s">
        <v>5399</v>
      </c>
      <c r="BT312" t="str">
        <f>HYPERLINK("https%3A%2F%2Fwww.webofscience.com%2Fwos%2Fwoscc%2Ffull-record%2FWOS:000366986700001","View Full Record in Web of Science")</f>
        <v>View Full Record in Web of Science</v>
      </c>
    </row>
    <row r="313" spans="1:72" x14ac:dyDescent="0.15">
      <c r="A313" t="s">
        <v>98</v>
      </c>
      <c r="B313" t="s">
        <v>9377</v>
      </c>
      <c r="C313" t="s">
        <v>74</v>
      </c>
      <c r="D313" t="s">
        <v>74</v>
      </c>
      <c r="E313" t="s">
        <v>74</v>
      </c>
      <c r="F313" t="s">
        <v>9378</v>
      </c>
      <c r="G313" t="s">
        <v>74</v>
      </c>
      <c r="H313" t="s">
        <v>74</v>
      </c>
      <c r="I313" t="s">
        <v>9379</v>
      </c>
      <c r="J313" t="s">
        <v>836</v>
      </c>
      <c r="K313" t="s">
        <v>74</v>
      </c>
      <c r="L313" t="s">
        <v>74</v>
      </c>
      <c r="M313" t="s">
        <v>74</v>
      </c>
      <c r="N313" t="s">
        <v>103</v>
      </c>
      <c r="O313" t="s">
        <v>74</v>
      </c>
      <c r="P313" t="s">
        <v>74</v>
      </c>
      <c r="Q313" t="s">
        <v>74</v>
      </c>
      <c r="R313" t="s">
        <v>74</v>
      </c>
      <c r="S313" t="s">
        <v>74</v>
      </c>
      <c r="T313" t="s">
        <v>9380</v>
      </c>
      <c r="U313" t="s">
        <v>9381</v>
      </c>
      <c r="V313" t="s">
        <v>9382</v>
      </c>
      <c r="W313" t="s">
        <v>9383</v>
      </c>
      <c r="X313" t="s">
        <v>9384</v>
      </c>
      <c r="Y313" t="s">
        <v>9385</v>
      </c>
      <c r="Z313" t="s">
        <v>9386</v>
      </c>
      <c r="AA313" t="s">
        <v>74</v>
      </c>
      <c r="AB313" t="s">
        <v>9387</v>
      </c>
      <c r="AC313" t="s">
        <v>74</v>
      </c>
      <c r="AD313" t="s">
        <v>74</v>
      </c>
      <c r="AE313" t="s">
        <v>74</v>
      </c>
      <c r="AF313" t="s">
        <v>74</v>
      </c>
      <c r="AG313">
        <v>47</v>
      </c>
      <c r="AH313">
        <v>65</v>
      </c>
      <c r="AI313">
        <v>69</v>
      </c>
      <c r="AJ313">
        <v>0</v>
      </c>
      <c r="AK313">
        <v>7</v>
      </c>
      <c r="AL313" t="s">
        <v>74</v>
      </c>
      <c r="AM313" t="s">
        <v>74</v>
      </c>
      <c r="AN313" t="s">
        <v>74</v>
      </c>
      <c r="AO313" t="s">
        <v>74</v>
      </c>
      <c r="AP313" t="s">
        <v>846</v>
      </c>
      <c r="AQ313" t="s">
        <v>74</v>
      </c>
      <c r="AR313" t="s">
        <v>74</v>
      </c>
      <c r="AS313" t="s">
        <v>74</v>
      </c>
      <c r="AT313" t="s">
        <v>9388</v>
      </c>
      <c r="AU313">
        <v>2016</v>
      </c>
      <c r="AV313">
        <v>7</v>
      </c>
      <c r="AW313">
        <v>37</v>
      </c>
      <c r="AX313" t="s">
        <v>74</v>
      </c>
      <c r="AY313" t="s">
        <v>74</v>
      </c>
      <c r="AZ313" t="s">
        <v>74</v>
      </c>
      <c r="BA313" t="s">
        <v>74</v>
      </c>
      <c r="BB313">
        <v>59173</v>
      </c>
      <c r="BC313">
        <v>59188</v>
      </c>
      <c r="BD313" t="s">
        <v>74</v>
      </c>
      <c r="BE313" t="s">
        <v>9389</v>
      </c>
      <c r="BF313" t="str">
        <f>HYPERLINK("http://dx.doi.org/10.18632/oncotarget.10384","http://dx.doi.org/10.18632/oncotarget.10384")</f>
        <v>http://dx.doi.org/10.18632/oncotarget.10384</v>
      </c>
      <c r="BG313" t="s">
        <v>74</v>
      </c>
      <c r="BH313" t="s">
        <v>74</v>
      </c>
      <c r="BI313" t="s">
        <v>74</v>
      </c>
      <c r="BJ313" t="s">
        <v>848</v>
      </c>
      <c r="BK313" t="s">
        <v>117</v>
      </c>
      <c r="BL313" t="s">
        <v>848</v>
      </c>
      <c r="BM313" t="s">
        <v>74</v>
      </c>
      <c r="BN313">
        <v>27385095</v>
      </c>
      <c r="BO313" t="s">
        <v>74</v>
      </c>
      <c r="BP313" t="s">
        <v>74</v>
      </c>
      <c r="BQ313" t="s">
        <v>74</v>
      </c>
      <c r="BR313" t="s">
        <v>96</v>
      </c>
      <c r="BS313" t="s">
        <v>9390</v>
      </c>
      <c r="BT313" t="str">
        <f>HYPERLINK("https%3A%2F%2Fwww.webofscience.com%2Fwos%2Fwoscc%2Ffull-record%2FWOS:000387153900034","View Full Record in Web of Science")</f>
        <v>View Full Record in Web of Science</v>
      </c>
    </row>
    <row r="314" spans="1:72" x14ac:dyDescent="0.15">
      <c r="A314" t="s">
        <v>98</v>
      </c>
      <c r="B314" t="s">
        <v>12540</v>
      </c>
      <c r="C314" t="s">
        <v>74</v>
      </c>
      <c r="D314" t="s">
        <v>74</v>
      </c>
      <c r="E314" t="s">
        <v>74</v>
      </c>
      <c r="F314" t="s">
        <v>12541</v>
      </c>
      <c r="G314" t="s">
        <v>74</v>
      </c>
      <c r="H314" t="s">
        <v>74</v>
      </c>
      <c r="I314" t="s">
        <v>12542</v>
      </c>
      <c r="J314" t="s">
        <v>7376</v>
      </c>
      <c r="K314" t="s">
        <v>74</v>
      </c>
      <c r="L314" t="s">
        <v>74</v>
      </c>
      <c r="M314" t="s">
        <v>74</v>
      </c>
      <c r="N314" t="s">
        <v>103</v>
      </c>
      <c r="O314" t="s">
        <v>74</v>
      </c>
      <c r="P314" t="s">
        <v>74</v>
      </c>
      <c r="Q314" t="s">
        <v>74</v>
      </c>
      <c r="R314" t="s">
        <v>74</v>
      </c>
      <c r="S314" t="s">
        <v>74</v>
      </c>
      <c r="T314" t="s">
        <v>74</v>
      </c>
      <c r="U314" t="s">
        <v>12543</v>
      </c>
      <c r="V314" t="s">
        <v>12544</v>
      </c>
      <c r="W314" t="s">
        <v>12545</v>
      </c>
      <c r="X314" t="s">
        <v>12546</v>
      </c>
      <c r="Y314" t="s">
        <v>12547</v>
      </c>
      <c r="Z314" t="s">
        <v>12548</v>
      </c>
      <c r="AA314" t="s">
        <v>74</v>
      </c>
      <c r="AB314" t="s">
        <v>74</v>
      </c>
      <c r="AC314" t="s">
        <v>74</v>
      </c>
      <c r="AD314" t="s">
        <v>74</v>
      </c>
      <c r="AE314" t="s">
        <v>74</v>
      </c>
      <c r="AF314" t="s">
        <v>74</v>
      </c>
      <c r="AG314">
        <v>46</v>
      </c>
      <c r="AH314">
        <v>65</v>
      </c>
      <c r="AI314">
        <v>68</v>
      </c>
      <c r="AJ314">
        <v>2</v>
      </c>
      <c r="AK314">
        <v>152</v>
      </c>
      <c r="AL314" t="s">
        <v>74</v>
      </c>
      <c r="AM314" t="s">
        <v>74</v>
      </c>
      <c r="AN314" t="s">
        <v>74</v>
      </c>
      <c r="AO314" t="s">
        <v>7384</v>
      </c>
      <c r="AP314" t="s">
        <v>7385</v>
      </c>
      <c r="AQ314" t="s">
        <v>74</v>
      </c>
      <c r="AR314" t="s">
        <v>74</v>
      </c>
      <c r="AS314" t="s">
        <v>74</v>
      </c>
      <c r="AT314" t="s">
        <v>12549</v>
      </c>
      <c r="AU314">
        <v>2016</v>
      </c>
      <c r="AV314">
        <v>540</v>
      </c>
      <c r="AW314">
        <v>7632</v>
      </c>
      <c r="AX314" t="s">
        <v>74</v>
      </c>
      <c r="AY314" t="s">
        <v>74</v>
      </c>
      <c r="AZ314" t="s">
        <v>74</v>
      </c>
      <c r="BA314" t="s">
        <v>74</v>
      </c>
      <c r="BB314">
        <v>292</v>
      </c>
      <c r="BC314" t="s">
        <v>3390</v>
      </c>
      <c r="BD314" t="s">
        <v>74</v>
      </c>
      <c r="BE314" t="s">
        <v>12550</v>
      </c>
      <c r="BF314" t="str">
        <f>HYPERLINK("http://dx.doi.org/10.1038/nature20607","http://dx.doi.org/10.1038/nature20607")</f>
        <v>http://dx.doi.org/10.1038/nature20607</v>
      </c>
      <c r="BG314" t="s">
        <v>74</v>
      </c>
      <c r="BH314" t="s">
        <v>74</v>
      </c>
      <c r="BI314" t="s">
        <v>74</v>
      </c>
      <c r="BJ314" t="s">
        <v>152</v>
      </c>
      <c r="BK314" t="s">
        <v>117</v>
      </c>
      <c r="BL314" t="s">
        <v>153</v>
      </c>
      <c r="BM314" t="s">
        <v>74</v>
      </c>
      <c r="BN314">
        <v>27919066</v>
      </c>
      <c r="BO314" t="s">
        <v>74</v>
      </c>
      <c r="BP314" t="s">
        <v>74</v>
      </c>
      <c r="BQ314" t="s">
        <v>74</v>
      </c>
      <c r="BR314" t="s">
        <v>96</v>
      </c>
      <c r="BS314" t="s">
        <v>12551</v>
      </c>
      <c r="BT314" t="str">
        <f>HYPERLINK("https%3A%2F%2Fwww.webofscience.com%2Fwos%2Fwoscc%2Ffull-record%2FWOS:000389548700062","View Full Record in Web of Science")</f>
        <v>View Full Record in Web of Science</v>
      </c>
    </row>
    <row r="315" spans="1:72" x14ac:dyDescent="0.15">
      <c r="A315" t="s">
        <v>98</v>
      </c>
      <c r="B315" t="s">
        <v>13969</v>
      </c>
      <c r="C315" t="s">
        <v>74</v>
      </c>
      <c r="D315" t="s">
        <v>74</v>
      </c>
      <c r="E315" t="s">
        <v>74</v>
      </c>
      <c r="F315" t="s">
        <v>13970</v>
      </c>
      <c r="G315" t="s">
        <v>74</v>
      </c>
      <c r="H315" t="s">
        <v>74</v>
      </c>
      <c r="I315" t="s">
        <v>14081</v>
      </c>
      <c r="J315" t="s">
        <v>14082</v>
      </c>
      <c r="K315" t="s">
        <v>74</v>
      </c>
      <c r="L315" t="s">
        <v>74</v>
      </c>
      <c r="M315" t="s">
        <v>74</v>
      </c>
      <c r="N315" t="s">
        <v>103</v>
      </c>
      <c r="O315" t="s">
        <v>74</v>
      </c>
      <c r="P315" t="s">
        <v>74</v>
      </c>
      <c r="Q315" t="s">
        <v>74</v>
      </c>
      <c r="R315" t="s">
        <v>74</v>
      </c>
      <c r="S315" t="s">
        <v>74</v>
      </c>
      <c r="T315" t="s">
        <v>14083</v>
      </c>
      <c r="U315" t="s">
        <v>14084</v>
      </c>
      <c r="V315" t="s">
        <v>14085</v>
      </c>
      <c r="W315" t="s">
        <v>14086</v>
      </c>
      <c r="X315" t="s">
        <v>13977</v>
      </c>
      <c r="Y315" t="s">
        <v>14087</v>
      </c>
      <c r="Z315" t="s">
        <v>13979</v>
      </c>
      <c r="AA315" t="s">
        <v>74</v>
      </c>
      <c r="AB315" t="s">
        <v>74</v>
      </c>
      <c r="AC315" t="s">
        <v>74</v>
      </c>
      <c r="AD315" t="s">
        <v>74</v>
      </c>
      <c r="AE315" t="s">
        <v>74</v>
      </c>
      <c r="AF315" t="s">
        <v>74</v>
      </c>
      <c r="AG315">
        <v>60</v>
      </c>
      <c r="AH315">
        <v>65</v>
      </c>
      <c r="AI315">
        <v>66</v>
      </c>
      <c r="AJ315">
        <v>6</v>
      </c>
      <c r="AK315">
        <v>58</v>
      </c>
      <c r="AL315" t="s">
        <v>74</v>
      </c>
      <c r="AM315" t="s">
        <v>74</v>
      </c>
      <c r="AN315" t="s">
        <v>74</v>
      </c>
      <c r="AO315" t="s">
        <v>14088</v>
      </c>
      <c r="AP315" t="s">
        <v>14089</v>
      </c>
      <c r="AQ315" t="s">
        <v>74</v>
      </c>
      <c r="AR315" t="s">
        <v>74</v>
      </c>
      <c r="AS315" t="s">
        <v>74</v>
      </c>
      <c r="AT315" t="s">
        <v>2081</v>
      </c>
      <c r="AU315">
        <v>2017</v>
      </c>
      <c r="AV315">
        <v>57</v>
      </c>
      <c r="AW315" t="s">
        <v>74</v>
      </c>
      <c r="AX315" t="s">
        <v>74</v>
      </c>
      <c r="AY315" t="s">
        <v>74</v>
      </c>
      <c r="AZ315" t="s">
        <v>74</v>
      </c>
      <c r="BA315" t="s">
        <v>74</v>
      </c>
      <c r="BB315">
        <v>274</v>
      </c>
      <c r="BC315">
        <v>284</v>
      </c>
      <c r="BD315" t="s">
        <v>74</v>
      </c>
      <c r="BE315" t="s">
        <v>14090</v>
      </c>
      <c r="BF315" t="str">
        <f>HYPERLINK("http://dx.doi.org/10.1016/j.actbio.2017.05.013","http://dx.doi.org/10.1016/j.actbio.2017.05.013")</f>
        <v>http://dx.doi.org/10.1016/j.actbio.2017.05.013</v>
      </c>
      <c r="BG315" t="s">
        <v>74</v>
      </c>
      <c r="BH315" t="s">
        <v>74</v>
      </c>
      <c r="BI315" t="s">
        <v>74</v>
      </c>
      <c r="BJ315" t="s">
        <v>1983</v>
      </c>
      <c r="BK315" t="s">
        <v>117</v>
      </c>
      <c r="BL315" t="s">
        <v>1984</v>
      </c>
      <c r="BM315" t="s">
        <v>74</v>
      </c>
      <c r="BN315">
        <v>28483695</v>
      </c>
      <c r="BO315" t="s">
        <v>74</v>
      </c>
      <c r="BP315" t="s">
        <v>74</v>
      </c>
      <c r="BQ315" t="s">
        <v>74</v>
      </c>
      <c r="BR315" t="s">
        <v>96</v>
      </c>
      <c r="BS315" t="s">
        <v>14091</v>
      </c>
      <c r="BT315" t="str">
        <f>HYPERLINK("https%3A%2F%2Fwww.webofscience.com%2Fwos%2Fwoscc%2Ffull-record%2FWOS:000405041900022","View Full Record in Web of Science")</f>
        <v>View Full Record in Web of Science</v>
      </c>
    </row>
    <row r="316" spans="1:72" x14ac:dyDescent="0.15">
      <c r="A316" t="s">
        <v>98</v>
      </c>
      <c r="B316" t="s">
        <v>5414</v>
      </c>
      <c r="C316" t="s">
        <v>74</v>
      </c>
      <c r="D316" t="s">
        <v>74</v>
      </c>
      <c r="E316" t="s">
        <v>74</v>
      </c>
      <c r="F316" t="s">
        <v>5415</v>
      </c>
      <c r="G316" t="s">
        <v>74</v>
      </c>
      <c r="H316" t="s">
        <v>74</v>
      </c>
      <c r="I316" t="s">
        <v>5416</v>
      </c>
      <c r="J316" t="s">
        <v>5417</v>
      </c>
      <c r="K316" t="s">
        <v>74</v>
      </c>
      <c r="L316" t="s">
        <v>74</v>
      </c>
      <c r="M316" t="s">
        <v>74</v>
      </c>
      <c r="N316" t="s">
        <v>103</v>
      </c>
      <c r="O316" t="s">
        <v>74</v>
      </c>
      <c r="P316" t="s">
        <v>74</v>
      </c>
      <c r="Q316" t="s">
        <v>74</v>
      </c>
      <c r="R316" t="s">
        <v>74</v>
      </c>
      <c r="S316" t="s">
        <v>74</v>
      </c>
      <c r="T316" t="s">
        <v>5418</v>
      </c>
      <c r="U316" t="s">
        <v>5419</v>
      </c>
      <c r="V316" t="s">
        <v>5420</v>
      </c>
      <c r="W316" t="s">
        <v>5421</v>
      </c>
      <c r="X316" t="s">
        <v>5422</v>
      </c>
      <c r="Y316" t="s">
        <v>5423</v>
      </c>
      <c r="Z316" t="s">
        <v>5424</v>
      </c>
      <c r="AA316" t="s">
        <v>74</v>
      </c>
      <c r="AB316" t="s">
        <v>74</v>
      </c>
      <c r="AC316" t="s">
        <v>74</v>
      </c>
      <c r="AD316" t="s">
        <v>74</v>
      </c>
      <c r="AE316" t="s">
        <v>74</v>
      </c>
      <c r="AF316" t="s">
        <v>74</v>
      </c>
      <c r="AG316">
        <v>82</v>
      </c>
      <c r="AH316">
        <v>64</v>
      </c>
      <c r="AI316">
        <v>64</v>
      </c>
      <c r="AJ316">
        <v>0</v>
      </c>
      <c r="AK316">
        <v>38</v>
      </c>
      <c r="AL316" t="s">
        <v>74</v>
      </c>
      <c r="AM316" t="s">
        <v>74</v>
      </c>
      <c r="AN316" t="s">
        <v>74</v>
      </c>
      <c r="AO316" t="s">
        <v>5425</v>
      </c>
      <c r="AP316" t="s">
        <v>5426</v>
      </c>
      <c r="AQ316" t="s">
        <v>74</v>
      </c>
      <c r="AR316" t="s">
        <v>74</v>
      </c>
      <c r="AS316" t="s">
        <v>74</v>
      </c>
      <c r="AT316" t="s">
        <v>74</v>
      </c>
      <c r="AU316">
        <v>2015</v>
      </c>
      <c r="AV316">
        <v>15</v>
      </c>
      <c r="AW316">
        <v>2</v>
      </c>
      <c r="AX316" t="s">
        <v>74</v>
      </c>
      <c r="AY316" t="s">
        <v>74</v>
      </c>
      <c r="AZ316" t="s">
        <v>74</v>
      </c>
      <c r="BA316" t="s">
        <v>74</v>
      </c>
      <c r="BB316">
        <v>182</v>
      </c>
      <c r="BC316">
        <v>192</v>
      </c>
      <c r="BD316" t="s">
        <v>74</v>
      </c>
      <c r="BE316" t="s">
        <v>5427</v>
      </c>
      <c r="BF316" t="str">
        <f>HYPERLINK("http://dx.doi.org/10.2174/1566523214666141224100612","http://dx.doi.org/10.2174/1566523214666141224100612")</f>
        <v>http://dx.doi.org/10.2174/1566523214666141224100612</v>
      </c>
      <c r="BG316" t="s">
        <v>74</v>
      </c>
      <c r="BH316" t="s">
        <v>74</v>
      </c>
      <c r="BI316" t="s">
        <v>74</v>
      </c>
      <c r="BJ316" t="s">
        <v>285</v>
      </c>
      <c r="BK316" t="s">
        <v>117</v>
      </c>
      <c r="BL316" t="s">
        <v>285</v>
      </c>
      <c r="BM316" t="s">
        <v>74</v>
      </c>
      <c r="BN316">
        <v>25537774</v>
      </c>
      <c r="BO316" t="s">
        <v>74</v>
      </c>
      <c r="BP316" t="s">
        <v>74</v>
      </c>
      <c r="BQ316" t="s">
        <v>74</v>
      </c>
      <c r="BR316" t="s">
        <v>96</v>
      </c>
      <c r="BS316" t="s">
        <v>5428</v>
      </c>
      <c r="BT316" t="str">
        <f>HYPERLINK("https%3A%2F%2Fwww.webofscience.com%2Fwos%2Fwoscc%2Ffull-record%2FWOS:000351924300009","View Full Record in Web of Science")</f>
        <v>View Full Record in Web of Science</v>
      </c>
    </row>
    <row r="317" spans="1:72" x14ac:dyDescent="0.15">
      <c r="A317" t="s">
        <v>98</v>
      </c>
      <c r="B317" t="s">
        <v>16154</v>
      </c>
      <c r="C317" t="s">
        <v>74</v>
      </c>
      <c r="D317" t="s">
        <v>74</v>
      </c>
      <c r="E317" t="s">
        <v>74</v>
      </c>
      <c r="F317" t="s">
        <v>16155</v>
      </c>
      <c r="G317" t="s">
        <v>74</v>
      </c>
      <c r="H317" t="s">
        <v>74</v>
      </c>
      <c r="I317" t="s">
        <v>16156</v>
      </c>
      <c r="J317" t="s">
        <v>11179</v>
      </c>
      <c r="K317" t="s">
        <v>74</v>
      </c>
      <c r="L317" t="s">
        <v>74</v>
      </c>
      <c r="M317" t="s">
        <v>74</v>
      </c>
      <c r="N317" t="s">
        <v>103</v>
      </c>
      <c r="O317" t="s">
        <v>74</v>
      </c>
      <c r="P317" t="s">
        <v>74</v>
      </c>
      <c r="Q317" t="s">
        <v>74</v>
      </c>
      <c r="R317" t="s">
        <v>74</v>
      </c>
      <c r="S317" t="s">
        <v>74</v>
      </c>
      <c r="T317" t="s">
        <v>16157</v>
      </c>
      <c r="U317" t="s">
        <v>16158</v>
      </c>
      <c r="V317" t="s">
        <v>16159</v>
      </c>
      <c r="W317" t="s">
        <v>16160</v>
      </c>
      <c r="X317" t="s">
        <v>16161</v>
      </c>
      <c r="Y317" t="s">
        <v>16162</v>
      </c>
      <c r="Z317" t="s">
        <v>16163</v>
      </c>
      <c r="AA317" t="s">
        <v>74</v>
      </c>
      <c r="AB317" t="s">
        <v>16164</v>
      </c>
      <c r="AC317" t="s">
        <v>74</v>
      </c>
      <c r="AD317" t="s">
        <v>74</v>
      </c>
      <c r="AE317" t="s">
        <v>74</v>
      </c>
      <c r="AF317" t="s">
        <v>74</v>
      </c>
      <c r="AG317">
        <v>42</v>
      </c>
      <c r="AH317">
        <v>64</v>
      </c>
      <c r="AI317">
        <v>65</v>
      </c>
      <c r="AJ317">
        <v>2</v>
      </c>
      <c r="AK317">
        <v>21</v>
      </c>
      <c r="AL317" t="s">
        <v>74</v>
      </c>
      <c r="AM317" t="s">
        <v>74</v>
      </c>
      <c r="AN317" t="s">
        <v>74</v>
      </c>
      <c r="AO317" t="s">
        <v>11188</v>
      </c>
      <c r="AP317" t="s">
        <v>11189</v>
      </c>
      <c r="AQ317" t="s">
        <v>74</v>
      </c>
      <c r="AR317" t="s">
        <v>74</v>
      </c>
      <c r="AS317" t="s">
        <v>74</v>
      </c>
      <c r="AT317" t="s">
        <v>967</v>
      </c>
      <c r="AU317">
        <v>2017</v>
      </c>
      <c r="AV317">
        <v>26</v>
      </c>
      <c r="AW317">
        <v>6</v>
      </c>
      <c r="AX317" t="s">
        <v>74</v>
      </c>
      <c r="AY317" t="s">
        <v>74</v>
      </c>
      <c r="AZ317" t="s">
        <v>74</v>
      </c>
      <c r="BA317" t="s">
        <v>74</v>
      </c>
      <c r="BB317">
        <v>369</v>
      </c>
      <c r="BC317">
        <v>379</v>
      </c>
      <c r="BD317" t="s">
        <v>74</v>
      </c>
      <c r="BE317" t="s">
        <v>16165</v>
      </c>
      <c r="BF317" t="str">
        <f>HYPERLINK("http://dx.doi.org/10.5607/en.2017.26.6.369","http://dx.doi.org/10.5607/en.2017.26.6.369")</f>
        <v>http://dx.doi.org/10.5607/en.2017.26.6.369</v>
      </c>
      <c r="BG317" t="s">
        <v>74</v>
      </c>
      <c r="BH317" t="s">
        <v>74</v>
      </c>
      <c r="BI317" t="s">
        <v>74</v>
      </c>
      <c r="BJ317" t="s">
        <v>11191</v>
      </c>
      <c r="BK317" t="s">
        <v>117</v>
      </c>
      <c r="BL317" t="s">
        <v>11192</v>
      </c>
      <c r="BM317" t="s">
        <v>74</v>
      </c>
      <c r="BN317">
        <v>29302204</v>
      </c>
      <c r="BO317" t="s">
        <v>74</v>
      </c>
      <c r="BP317" t="s">
        <v>74</v>
      </c>
      <c r="BQ317" t="s">
        <v>74</v>
      </c>
      <c r="BR317" t="s">
        <v>96</v>
      </c>
      <c r="BS317" t="s">
        <v>16166</v>
      </c>
      <c r="BT317" t="str">
        <f>HYPERLINK("https%3A%2F%2Fwww.webofscience.com%2Fwos%2Fwoscc%2Ffull-record%2FWOS:000424434200007","View Full Record in Web of Science")</f>
        <v>View Full Record in Web of Science</v>
      </c>
    </row>
    <row r="318" spans="1:72" x14ac:dyDescent="0.15">
      <c r="A318" t="s">
        <v>98</v>
      </c>
      <c r="B318" t="s">
        <v>25575</v>
      </c>
      <c r="C318" t="s">
        <v>74</v>
      </c>
      <c r="D318" t="s">
        <v>74</v>
      </c>
      <c r="E318" t="s">
        <v>74</v>
      </c>
      <c r="F318" t="s">
        <v>25575</v>
      </c>
      <c r="G318" t="s">
        <v>74</v>
      </c>
      <c r="H318" t="s">
        <v>74</v>
      </c>
      <c r="I318" t="s">
        <v>25576</v>
      </c>
      <c r="J318" t="s">
        <v>9865</v>
      </c>
      <c r="K318" t="s">
        <v>74</v>
      </c>
      <c r="L318" t="s">
        <v>74</v>
      </c>
      <c r="M318" t="s">
        <v>74</v>
      </c>
      <c r="N318" t="s">
        <v>103</v>
      </c>
      <c r="O318" t="s">
        <v>74</v>
      </c>
      <c r="P318" t="s">
        <v>74</v>
      </c>
      <c r="Q318" t="s">
        <v>74</v>
      </c>
      <c r="R318" t="s">
        <v>74</v>
      </c>
      <c r="S318" t="s">
        <v>74</v>
      </c>
      <c r="T318" t="s">
        <v>25577</v>
      </c>
      <c r="U318" t="s">
        <v>25578</v>
      </c>
      <c r="V318" t="s">
        <v>25579</v>
      </c>
      <c r="W318" t="s">
        <v>25580</v>
      </c>
      <c r="X318" t="s">
        <v>25581</v>
      </c>
      <c r="Y318" t="s">
        <v>25582</v>
      </c>
      <c r="Z318" t="s">
        <v>25583</v>
      </c>
      <c r="AA318" t="s">
        <v>25584</v>
      </c>
      <c r="AB318" t="s">
        <v>25585</v>
      </c>
      <c r="AC318" t="s">
        <v>74</v>
      </c>
      <c r="AD318" t="s">
        <v>74</v>
      </c>
      <c r="AE318" t="s">
        <v>74</v>
      </c>
      <c r="AF318" t="s">
        <v>74</v>
      </c>
      <c r="AG318">
        <v>31</v>
      </c>
      <c r="AH318">
        <v>64</v>
      </c>
      <c r="AI318">
        <v>67</v>
      </c>
      <c r="AJ318">
        <v>0</v>
      </c>
      <c r="AK318">
        <v>10</v>
      </c>
      <c r="AL318" t="s">
        <v>74</v>
      </c>
      <c r="AM318" t="s">
        <v>74</v>
      </c>
      <c r="AN318" t="s">
        <v>74</v>
      </c>
      <c r="AO318" t="s">
        <v>9875</v>
      </c>
      <c r="AP318" t="s">
        <v>9876</v>
      </c>
      <c r="AQ318" t="s">
        <v>74</v>
      </c>
      <c r="AR318" t="s">
        <v>74</v>
      </c>
      <c r="AS318" t="s">
        <v>74</v>
      </c>
      <c r="AT318" t="s">
        <v>565</v>
      </c>
      <c r="AU318">
        <v>2004</v>
      </c>
      <c r="AV318">
        <v>28</v>
      </c>
      <c r="AW318">
        <v>3</v>
      </c>
      <c r="AX318" t="s">
        <v>74</v>
      </c>
      <c r="AY318" t="s">
        <v>74</v>
      </c>
      <c r="AZ318" t="s">
        <v>74</v>
      </c>
      <c r="BA318" t="s">
        <v>74</v>
      </c>
      <c r="BB318">
        <v>229</v>
      </c>
      <c r="BC318">
        <v>237</v>
      </c>
      <c r="BD318" t="s">
        <v>74</v>
      </c>
      <c r="BE318" t="s">
        <v>25586</v>
      </c>
      <c r="BF318" t="str">
        <f>HYPERLINK("http://dx.doi.org/10.1016/j.dci.2003.08.002","http://dx.doi.org/10.1016/j.dci.2003.08.002")</f>
        <v>http://dx.doi.org/10.1016/j.dci.2003.08.002</v>
      </c>
      <c r="BG318" t="s">
        <v>74</v>
      </c>
      <c r="BH318" t="s">
        <v>74</v>
      </c>
      <c r="BI318" t="s">
        <v>74</v>
      </c>
      <c r="BJ318" t="s">
        <v>9878</v>
      </c>
      <c r="BK318" t="s">
        <v>117</v>
      </c>
      <c r="BL318" t="s">
        <v>9878</v>
      </c>
      <c r="BM318" t="s">
        <v>74</v>
      </c>
      <c r="BN318">
        <v>14642889</v>
      </c>
      <c r="BO318" t="s">
        <v>74</v>
      </c>
      <c r="BP318" t="s">
        <v>74</v>
      </c>
      <c r="BQ318" t="s">
        <v>74</v>
      </c>
      <c r="BR318" t="s">
        <v>96</v>
      </c>
      <c r="BS318" t="s">
        <v>25587</v>
      </c>
      <c r="BT318" t="str">
        <f>HYPERLINK("https%3A%2F%2Fwww.webofscience.com%2Fwos%2Fwoscc%2Ffull-record%2FWOS:000188375700005","View Full Record in Web of Science")</f>
        <v>View Full Record in Web of Science</v>
      </c>
    </row>
    <row r="319" spans="1:72" x14ac:dyDescent="0.15">
      <c r="A319" t="s">
        <v>98</v>
      </c>
      <c r="B319" t="s">
        <v>25892</v>
      </c>
      <c r="C319" t="s">
        <v>74</v>
      </c>
      <c r="D319" t="s">
        <v>74</v>
      </c>
      <c r="E319" t="s">
        <v>74</v>
      </c>
      <c r="F319" t="s">
        <v>25893</v>
      </c>
      <c r="G319" t="s">
        <v>74</v>
      </c>
      <c r="H319" t="s">
        <v>74</v>
      </c>
      <c r="I319" t="s">
        <v>25894</v>
      </c>
      <c r="J319" t="s">
        <v>2536</v>
      </c>
      <c r="K319" t="s">
        <v>74</v>
      </c>
      <c r="L319" t="s">
        <v>74</v>
      </c>
      <c r="M319" t="s">
        <v>74</v>
      </c>
      <c r="N319" t="s">
        <v>103</v>
      </c>
      <c r="O319" t="s">
        <v>74</v>
      </c>
      <c r="P319" t="s">
        <v>74</v>
      </c>
      <c r="Q319" t="s">
        <v>74</v>
      </c>
      <c r="R319" t="s">
        <v>74</v>
      </c>
      <c r="S319" t="s">
        <v>74</v>
      </c>
      <c r="T319" t="s">
        <v>74</v>
      </c>
      <c r="U319" t="s">
        <v>25895</v>
      </c>
      <c r="V319" t="s">
        <v>25896</v>
      </c>
      <c r="W319" t="s">
        <v>25897</v>
      </c>
      <c r="X319" t="s">
        <v>241</v>
      </c>
      <c r="Y319" t="s">
        <v>25140</v>
      </c>
      <c r="Z319" t="s">
        <v>25141</v>
      </c>
      <c r="AA319" t="s">
        <v>74</v>
      </c>
      <c r="AB319" t="s">
        <v>25898</v>
      </c>
      <c r="AC319" t="s">
        <v>74</v>
      </c>
      <c r="AD319" t="s">
        <v>74</v>
      </c>
      <c r="AE319" t="s">
        <v>74</v>
      </c>
      <c r="AF319" t="s">
        <v>74</v>
      </c>
      <c r="AG319">
        <v>47</v>
      </c>
      <c r="AH319">
        <v>64</v>
      </c>
      <c r="AI319">
        <v>73</v>
      </c>
      <c r="AJ319">
        <v>1</v>
      </c>
      <c r="AK319">
        <v>13</v>
      </c>
      <c r="AL319" t="s">
        <v>74</v>
      </c>
      <c r="AM319" t="s">
        <v>74</v>
      </c>
      <c r="AN319" t="s">
        <v>74</v>
      </c>
      <c r="AO319" t="s">
        <v>2544</v>
      </c>
      <c r="AP319" t="s">
        <v>2545</v>
      </c>
      <c r="AQ319" t="s">
        <v>74</v>
      </c>
      <c r="AR319" t="s">
        <v>74</v>
      </c>
      <c r="AS319" t="s">
        <v>74</v>
      </c>
      <c r="AT319" t="s">
        <v>211</v>
      </c>
      <c r="AU319">
        <v>2011</v>
      </c>
      <c r="AV319">
        <v>85</v>
      </c>
      <c r="AW319">
        <v>22</v>
      </c>
      <c r="AX319" t="s">
        <v>74</v>
      </c>
      <c r="AY319" t="s">
        <v>74</v>
      </c>
      <c r="AZ319" t="s">
        <v>74</v>
      </c>
      <c r="BA319" t="s">
        <v>74</v>
      </c>
      <c r="BB319">
        <v>11664</v>
      </c>
      <c r="BC319">
        <v>11674</v>
      </c>
      <c r="BD319" t="s">
        <v>74</v>
      </c>
      <c r="BE319" t="s">
        <v>25899</v>
      </c>
      <c r="BF319" t="str">
        <f>HYPERLINK("http://dx.doi.org/10.1128/JVI.05275-11","http://dx.doi.org/10.1128/JVI.05275-11")</f>
        <v>http://dx.doi.org/10.1128/JVI.05275-11</v>
      </c>
      <c r="BG319" t="s">
        <v>74</v>
      </c>
      <c r="BH319" t="s">
        <v>74</v>
      </c>
      <c r="BI319" t="s">
        <v>74</v>
      </c>
      <c r="BJ319" t="s">
        <v>932</v>
      </c>
      <c r="BK319" t="s">
        <v>117</v>
      </c>
      <c r="BL319" t="s">
        <v>932</v>
      </c>
      <c r="BM319" t="s">
        <v>74</v>
      </c>
      <c r="BN319">
        <v>21880748</v>
      </c>
      <c r="BO319" t="s">
        <v>74</v>
      </c>
      <c r="BP319" t="s">
        <v>74</v>
      </c>
      <c r="BQ319" t="s">
        <v>74</v>
      </c>
      <c r="BR319" t="s">
        <v>96</v>
      </c>
      <c r="BS319" t="s">
        <v>25900</v>
      </c>
      <c r="BT319" t="str">
        <f>HYPERLINK("https%3A%2F%2Fwww.webofscience.com%2Fwos%2Fwoscc%2Ffull-record%2FWOS:000296422700012","View Full Record in Web of Science")</f>
        <v>View Full Record in Web of Science</v>
      </c>
    </row>
    <row r="320" spans="1:72" x14ac:dyDescent="0.15">
      <c r="A320" t="s">
        <v>98</v>
      </c>
      <c r="B320" t="s">
        <v>28536</v>
      </c>
      <c r="C320" t="s">
        <v>74</v>
      </c>
      <c r="D320" t="s">
        <v>74</v>
      </c>
      <c r="E320" t="s">
        <v>74</v>
      </c>
      <c r="F320" t="s">
        <v>28537</v>
      </c>
      <c r="G320" t="s">
        <v>74</v>
      </c>
      <c r="H320" t="s">
        <v>74</v>
      </c>
      <c r="I320" t="s">
        <v>28538</v>
      </c>
      <c r="J320" t="s">
        <v>7572</v>
      </c>
      <c r="K320" t="s">
        <v>74</v>
      </c>
      <c r="L320" t="s">
        <v>74</v>
      </c>
      <c r="M320" t="s">
        <v>74</v>
      </c>
      <c r="N320" t="s">
        <v>103</v>
      </c>
      <c r="O320" t="s">
        <v>74</v>
      </c>
      <c r="P320" t="s">
        <v>74</v>
      </c>
      <c r="Q320" t="s">
        <v>74</v>
      </c>
      <c r="R320" t="s">
        <v>74</v>
      </c>
      <c r="S320" t="s">
        <v>74</v>
      </c>
      <c r="T320" t="s">
        <v>74</v>
      </c>
      <c r="U320" t="s">
        <v>28539</v>
      </c>
      <c r="V320" t="s">
        <v>28540</v>
      </c>
      <c r="W320" t="s">
        <v>28541</v>
      </c>
      <c r="X320" t="s">
        <v>28542</v>
      </c>
      <c r="Y320" t="s">
        <v>28543</v>
      </c>
      <c r="Z320" t="s">
        <v>28544</v>
      </c>
      <c r="AA320" t="s">
        <v>74</v>
      </c>
      <c r="AB320" t="s">
        <v>28545</v>
      </c>
      <c r="AC320" t="s">
        <v>74</v>
      </c>
      <c r="AD320" t="s">
        <v>74</v>
      </c>
      <c r="AE320" t="s">
        <v>74</v>
      </c>
      <c r="AF320" t="s">
        <v>74</v>
      </c>
      <c r="AG320">
        <v>74</v>
      </c>
      <c r="AH320">
        <v>64</v>
      </c>
      <c r="AI320">
        <v>64</v>
      </c>
      <c r="AJ320">
        <v>0</v>
      </c>
      <c r="AK320">
        <v>48</v>
      </c>
      <c r="AL320" t="s">
        <v>74</v>
      </c>
      <c r="AM320" t="s">
        <v>74</v>
      </c>
      <c r="AN320" t="s">
        <v>74</v>
      </c>
      <c r="AO320" t="s">
        <v>7581</v>
      </c>
      <c r="AP320" t="s">
        <v>7582</v>
      </c>
      <c r="AQ320" t="s">
        <v>74</v>
      </c>
      <c r="AR320" t="s">
        <v>74</v>
      </c>
      <c r="AS320" t="s">
        <v>74</v>
      </c>
      <c r="AT320" t="s">
        <v>967</v>
      </c>
      <c r="AU320">
        <v>2012</v>
      </c>
      <c r="AV320">
        <v>14</v>
      </c>
      <c r="AW320">
        <v>12</v>
      </c>
      <c r="AX320" t="s">
        <v>74</v>
      </c>
      <c r="AY320" t="s">
        <v>74</v>
      </c>
      <c r="AZ320" t="s">
        <v>74</v>
      </c>
      <c r="BA320" t="s">
        <v>74</v>
      </c>
      <c r="BB320">
        <v>3159</v>
      </c>
      <c r="BC320">
        <v>3174</v>
      </c>
      <c r="BD320" t="s">
        <v>74</v>
      </c>
      <c r="BE320" t="s">
        <v>28546</v>
      </c>
      <c r="BF320" t="str">
        <f>HYPERLINK("http://dx.doi.org/10.1111/j.1462-2920.2012.02895.x","http://dx.doi.org/10.1111/j.1462-2920.2012.02895.x")</f>
        <v>http://dx.doi.org/10.1111/j.1462-2920.2012.02895.x</v>
      </c>
      <c r="BG320" t="s">
        <v>74</v>
      </c>
      <c r="BH320" t="s">
        <v>74</v>
      </c>
      <c r="BI320" t="s">
        <v>74</v>
      </c>
      <c r="BJ320" t="s">
        <v>898</v>
      </c>
      <c r="BK320" t="s">
        <v>117</v>
      </c>
      <c r="BL320" t="s">
        <v>898</v>
      </c>
      <c r="BM320" t="s">
        <v>74</v>
      </c>
      <c r="BN320">
        <v>23057712</v>
      </c>
      <c r="BO320" t="s">
        <v>74</v>
      </c>
      <c r="BP320" t="s">
        <v>74</v>
      </c>
      <c r="BQ320" t="s">
        <v>74</v>
      </c>
      <c r="BR320" t="s">
        <v>96</v>
      </c>
      <c r="BS320" t="s">
        <v>28547</v>
      </c>
      <c r="BT320" t="str">
        <f>HYPERLINK("https%3A%2F%2Fwww.webofscience.com%2Fwos%2Fwoscc%2Ffull-record%2FWOS:000312155800007","View Full Record in Web of Science")</f>
        <v>View Full Record in Web of Science</v>
      </c>
    </row>
    <row r="321" spans="1:72" x14ac:dyDescent="0.15">
      <c r="A321" t="s">
        <v>98</v>
      </c>
      <c r="B321" t="s">
        <v>5111</v>
      </c>
      <c r="C321" t="s">
        <v>74</v>
      </c>
      <c r="D321" t="s">
        <v>74</v>
      </c>
      <c r="E321" t="s">
        <v>74</v>
      </c>
      <c r="F321" t="s">
        <v>5112</v>
      </c>
      <c r="G321" t="s">
        <v>74</v>
      </c>
      <c r="H321" t="s">
        <v>74</v>
      </c>
      <c r="I321" t="s">
        <v>5113</v>
      </c>
      <c r="J321" t="s">
        <v>3333</v>
      </c>
      <c r="K321" t="s">
        <v>74</v>
      </c>
      <c r="L321" t="s">
        <v>74</v>
      </c>
      <c r="M321" t="s">
        <v>74</v>
      </c>
      <c r="N321" t="s">
        <v>103</v>
      </c>
      <c r="O321" t="s">
        <v>74</v>
      </c>
      <c r="P321" t="s">
        <v>74</v>
      </c>
      <c r="Q321" t="s">
        <v>74</v>
      </c>
      <c r="R321" t="s">
        <v>74</v>
      </c>
      <c r="S321" t="s">
        <v>74</v>
      </c>
      <c r="T321" t="s">
        <v>5114</v>
      </c>
      <c r="U321" t="s">
        <v>5115</v>
      </c>
      <c r="V321" t="s">
        <v>5116</v>
      </c>
      <c r="W321" t="s">
        <v>5117</v>
      </c>
      <c r="X321" t="s">
        <v>5118</v>
      </c>
      <c r="Y321" t="s">
        <v>5119</v>
      </c>
      <c r="Z321" t="s">
        <v>5120</v>
      </c>
      <c r="AA321" t="s">
        <v>5121</v>
      </c>
      <c r="AB321" t="s">
        <v>5122</v>
      </c>
      <c r="AC321" t="s">
        <v>74</v>
      </c>
      <c r="AD321" t="s">
        <v>74</v>
      </c>
      <c r="AE321" t="s">
        <v>74</v>
      </c>
      <c r="AF321" t="s">
        <v>74</v>
      </c>
      <c r="AG321">
        <v>28</v>
      </c>
      <c r="AH321">
        <v>63</v>
      </c>
      <c r="AI321">
        <v>66</v>
      </c>
      <c r="AJ321">
        <v>1</v>
      </c>
      <c r="AK321">
        <v>19</v>
      </c>
      <c r="AL321" t="s">
        <v>74</v>
      </c>
      <c r="AM321" t="s">
        <v>74</v>
      </c>
      <c r="AN321" t="s">
        <v>74</v>
      </c>
      <c r="AO321" t="s">
        <v>3342</v>
      </c>
      <c r="AP321" t="s">
        <v>74</v>
      </c>
      <c r="AQ321" t="s">
        <v>74</v>
      </c>
      <c r="AR321" t="s">
        <v>74</v>
      </c>
      <c r="AS321" t="s">
        <v>74</v>
      </c>
      <c r="AT321" t="s">
        <v>614</v>
      </c>
      <c r="AU321">
        <v>2017</v>
      </c>
      <c r="AV321">
        <v>87</v>
      </c>
      <c r="AW321" t="s">
        <v>74</v>
      </c>
      <c r="AX321" t="s">
        <v>74</v>
      </c>
      <c r="AY321" t="s">
        <v>74</v>
      </c>
      <c r="AZ321" t="s">
        <v>74</v>
      </c>
      <c r="BA321" t="s">
        <v>74</v>
      </c>
      <c r="BB321">
        <v>114</v>
      </c>
      <c r="BC321">
        <v>121</v>
      </c>
      <c r="BD321" t="s">
        <v>74</v>
      </c>
      <c r="BE321" t="s">
        <v>5123</v>
      </c>
      <c r="BF321" t="str">
        <f>HYPERLINK("http://dx.doi.org/10.1016/j.molimm.2017.03.011","http://dx.doi.org/10.1016/j.molimm.2017.03.011")</f>
        <v>http://dx.doi.org/10.1016/j.molimm.2017.03.011</v>
      </c>
      <c r="BG321" t="s">
        <v>74</v>
      </c>
      <c r="BH321" t="s">
        <v>74</v>
      </c>
      <c r="BI321" t="s">
        <v>74</v>
      </c>
      <c r="BJ321" t="s">
        <v>3346</v>
      </c>
      <c r="BK321" t="s">
        <v>117</v>
      </c>
      <c r="BL321" t="s">
        <v>3346</v>
      </c>
      <c r="BM321" t="s">
        <v>74</v>
      </c>
      <c r="BN321">
        <v>28433888</v>
      </c>
      <c r="BO321" t="s">
        <v>74</v>
      </c>
      <c r="BP321" t="s">
        <v>74</v>
      </c>
      <c r="BQ321" t="s">
        <v>74</v>
      </c>
      <c r="BR321" t="s">
        <v>96</v>
      </c>
      <c r="BS321" t="s">
        <v>5124</v>
      </c>
      <c r="BT321" t="str">
        <f>HYPERLINK("https%3A%2F%2Fwww.webofscience.com%2Fwos%2Fwoscc%2Ffull-record%2FWOS:000403863100012","View Full Record in Web of Science")</f>
        <v>View Full Record in Web of Science</v>
      </c>
    </row>
    <row r="322" spans="1:72" x14ac:dyDescent="0.15">
      <c r="A322" t="s">
        <v>98</v>
      </c>
      <c r="B322" t="s">
        <v>8636</v>
      </c>
      <c r="C322" t="s">
        <v>74</v>
      </c>
      <c r="D322" t="s">
        <v>74</v>
      </c>
      <c r="E322" t="s">
        <v>74</v>
      </c>
      <c r="F322" t="s">
        <v>8637</v>
      </c>
      <c r="G322" t="s">
        <v>74</v>
      </c>
      <c r="H322" t="s">
        <v>74</v>
      </c>
      <c r="I322" t="s">
        <v>8638</v>
      </c>
      <c r="J322" t="s">
        <v>8639</v>
      </c>
      <c r="K322" t="s">
        <v>74</v>
      </c>
      <c r="L322" t="s">
        <v>74</v>
      </c>
      <c r="M322" t="s">
        <v>74</v>
      </c>
      <c r="N322" t="s">
        <v>103</v>
      </c>
      <c r="O322" t="s">
        <v>74</v>
      </c>
      <c r="P322" t="s">
        <v>74</v>
      </c>
      <c r="Q322" t="s">
        <v>74</v>
      </c>
      <c r="R322" t="s">
        <v>74</v>
      </c>
      <c r="S322" t="s">
        <v>74</v>
      </c>
      <c r="T322" t="s">
        <v>8640</v>
      </c>
      <c r="U322" t="s">
        <v>8641</v>
      </c>
      <c r="V322" t="s">
        <v>8642</v>
      </c>
      <c r="W322" t="s">
        <v>8643</v>
      </c>
      <c r="X322" t="s">
        <v>8644</v>
      </c>
      <c r="Y322" t="s">
        <v>8645</v>
      </c>
      <c r="Z322" t="s">
        <v>8646</v>
      </c>
      <c r="AA322" t="s">
        <v>8647</v>
      </c>
      <c r="AB322" t="s">
        <v>8648</v>
      </c>
      <c r="AC322" t="s">
        <v>74</v>
      </c>
      <c r="AD322" t="s">
        <v>74</v>
      </c>
      <c r="AE322" t="s">
        <v>74</v>
      </c>
      <c r="AF322" t="s">
        <v>74</v>
      </c>
      <c r="AG322">
        <v>163</v>
      </c>
      <c r="AH322">
        <v>63</v>
      </c>
      <c r="AI322">
        <v>64</v>
      </c>
      <c r="AJ322">
        <v>5</v>
      </c>
      <c r="AK322">
        <v>54</v>
      </c>
      <c r="AL322" t="s">
        <v>74</v>
      </c>
      <c r="AM322" t="s">
        <v>74</v>
      </c>
      <c r="AN322" t="s">
        <v>74</v>
      </c>
      <c r="AO322" t="s">
        <v>8649</v>
      </c>
      <c r="AP322" t="s">
        <v>8650</v>
      </c>
      <c r="AQ322" t="s">
        <v>74</v>
      </c>
      <c r="AR322" t="s">
        <v>74</v>
      </c>
      <c r="AS322" t="s">
        <v>74</v>
      </c>
      <c r="AT322" t="s">
        <v>283</v>
      </c>
      <c r="AU322">
        <v>2018</v>
      </c>
      <c r="AV322">
        <v>148</v>
      </c>
      <c r="AW322" t="s">
        <v>74</v>
      </c>
      <c r="AX322" t="s">
        <v>74</v>
      </c>
      <c r="AY322" t="s">
        <v>74</v>
      </c>
      <c r="AZ322" t="s">
        <v>74</v>
      </c>
      <c r="BA322" t="s">
        <v>74</v>
      </c>
      <c r="BB322">
        <v>184</v>
      </c>
      <c r="BC322">
        <v>192</v>
      </c>
      <c r="BD322" t="s">
        <v>74</v>
      </c>
      <c r="BE322" t="s">
        <v>8651</v>
      </c>
      <c r="BF322" t="str">
        <f>HYPERLINK("http://dx.doi.org/10.1016/j.bcp.2017.12.020","http://dx.doi.org/10.1016/j.bcp.2017.12.020")</f>
        <v>http://dx.doi.org/10.1016/j.bcp.2017.12.020</v>
      </c>
      <c r="BG322" t="s">
        <v>74</v>
      </c>
      <c r="BH322" t="s">
        <v>74</v>
      </c>
      <c r="BI322" t="s">
        <v>74</v>
      </c>
      <c r="BJ322" t="s">
        <v>533</v>
      </c>
      <c r="BK322" t="s">
        <v>117</v>
      </c>
      <c r="BL322" t="s">
        <v>533</v>
      </c>
      <c r="BM322" t="s">
        <v>74</v>
      </c>
      <c r="BN322">
        <v>29305855</v>
      </c>
      <c r="BO322" t="s">
        <v>74</v>
      </c>
      <c r="BP322" t="s">
        <v>74</v>
      </c>
      <c r="BQ322" t="s">
        <v>74</v>
      </c>
      <c r="BR322" t="s">
        <v>96</v>
      </c>
      <c r="BS322" t="s">
        <v>8652</v>
      </c>
      <c r="BT322" t="str">
        <f>HYPERLINK("https%3A%2F%2Fwww.webofscience.com%2Fwos%2Fwoscc%2Ffull-record%2FWOS:000426141200016","View Full Record in Web of Science")</f>
        <v>View Full Record in Web of Science</v>
      </c>
    </row>
    <row r="323" spans="1:72" x14ac:dyDescent="0.15">
      <c r="A323" t="s">
        <v>98</v>
      </c>
      <c r="B323" t="s">
        <v>13434</v>
      </c>
      <c r="C323" t="s">
        <v>74</v>
      </c>
      <c r="D323" t="s">
        <v>74</v>
      </c>
      <c r="E323" t="s">
        <v>74</v>
      </c>
      <c r="F323" t="s">
        <v>13435</v>
      </c>
      <c r="G323" t="s">
        <v>74</v>
      </c>
      <c r="H323" t="s">
        <v>74</v>
      </c>
      <c r="I323" t="s">
        <v>13436</v>
      </c>
      <c r="J323" t="s">
        <v>4519</v>
      </c>
      <c r="K323" t="s">
        <v>74</v>
      </c>
      <c r="L323" t="s">
        <v>74</v>
      </c>
      <c r="M323" t="s">
        <v>74</v>
      </c>
      <c r="N323" t="s">
        <v>103</v>
      </c>
      <c r="O323" t="s">
        <v>74</v>
      </c>
      <c r="P323" t="s">
        <v>74</v>
      </c>
      <c r="Q323" t="s">
        <v>74</v>
      </c>
      <c r="R323" t="s">
        <v>74</v>
      </c>
      <c r="S323" t="s">
        <v>74</v>
      </c>
      <c r="T323" t="s">
        <v>74</v>
      </c>
      <c r="U323" t="s">
        <v>13437</v>
      </c>
      <c r="V323" t="s">
        <v>13438</v>
      </c>
      <c r="W323" t="s">
        <v>13439</v>
      </c>
      <c r="X323" t="s">
        <v>13440</v>
      </c>
      <c r="Y323" t="s">
        <v>13441</v>
      </c>
      <c r="Z323" t="s">
        <v>13442</v>
      </c>
      <c r="AA323" t="s">
        <v>13443</v>
      </c>
      <c r="AB323" t="s">
        <v>13444</v>
      </c>
      <c r="AC323" t="s">
        <v>74</v>
      </c>
      <c r="AD323" t="s">
        <v>74</v>
      </c>
      <c r="AE323" t="s">
        <v>74</v>
      </c>
      <c r="AF323" t="s">
        <v>74</v>
      </c>
      <c r="AG323">
        <v>30</v>
      </c>
      <c r="AH323">
        <v>63</v>
      </c>
      <c r="AI323">
        <v>63</v>
      </c>
      <c r="AJ323">
        <v>28</v>
      </c>
      <c r="AK323">
        <v>173</v>
      </c>
      <c r="AL323" t="s">
        <v>74</v>
      </c>
      <c r="AM323" t="s">
        <v>74</v>
      </c>
      <c r="AN323" t="s">
        <v>74</v>
      </c>
      <c r="AO323" t="s">
        <v>4528</v>
      </c>
      <c r="AP323" t="s">
        <v>4529</v>
      </c>
      <c r="AQ323" t="s">
        <v>74</v>
      </c>
      <c r="AR323" t="s">
        <v>74</v>
      </c>
      <c r="AS323" t="s">
        <v>74</v>
      </c>
      <c r="AT323" t="s">
        <v>3255</v>
      </c>
      <c r="AU323">
        <v>2018</v>
      </c>
      <c r="AV323">
        <v>10</v>
      </c>
      <c r="AW323">
        <v>43</v>
      </c>
      <c r="AX323" t="s">
        <v>74</v>
      </c>
      <c r="AY323" t="s">
        <v>74</v>
      </c>
      <c r="AZ323" t="s">
        <v>74</v>
      </c>
      <c r="BA323" t="s">
        <v>74</v>
      </c>
      <c r="BB323">
        <v>20289</v>
      </c>
      <c r="BC323">
        <v>20295</v>
      </c>
      <c r="BD323" t="s">
        <v>74</v>
      </c>
      <c r="BE323" t="s">
        <v>13445</v>
      </c>
      <c r="BF323" t="str">
        <f>HYPERLINK("http://dx.doi.org/10.1039/c8nr07720g","http://dx.doi.org/10.1039/c8nr07720g")</f>
        <v>http://dx.doi.org/10.1039/c8nr07720g</v>
      </c>
      <c r="BG323" t="s">
        <v>74</v>
      </c>
      <c r="BH323" t="s">
        <v>74</v>
      </c>
      <c r="BI323" t="s">
        <v>74</v>
      </c>
      <c r="BJ323" t="s">
        <v>4532</v>
      </c>
      <c r="BK323" t="s">
        <v>117</v>
      </c>
      <c r="BL323" t="s">
        <v>251</v>
      </c>
      <c r="BM323" t="s">
        <v>74</v>
      </c>
      <c r="BN323">
        <v>30371719</v>
      </c>
      <c r="BO323" t="s">
        <v>74</v>
      </c>
      <c r="BP323" t="s">
        <v>74</v>
      </c>
      <c r="BQ323" t="s">
        <v>74</v>
      </c>
      <c r="BR323" t="s">
        <v>96</v>
      </c>
      <c r="BS323" t="s">
        <v>13446</v>
      </c>
      <c r="BT323" t="str">
        <f>HYPERLINK("https%3A%2F%2Fwww.webofscience.com%2Fwos%2Fwoscc%2Ffull-record%2FWOS:000451762800022","View Full Record in Web of Science")</f>
        <v>View Full Record in Web of Science</v>
      </c>
    </row>
    <row r="324" spans="1:72" x14ac:dyDescent="0.15">
      <c r="A324" t="s">
        <v>98</v>
      </c>
      <c r="B324" t="s">
        <v>17024</v>
      </c>
      <c r="C324" t="s">
        <v>74</v>
      </c>
      <c r="D324" t="s">
        <v>74</v>
      </c>
      <c r="E324" t="s">
        <v>74</v>
      </c>
      <c r="F324" t="s">
        <v>17025</v>
      </c>
      <c r="G324" t="s">
        <v>74</v>
      </c>
      <c r="H324" t="s">
        <v>74</v>
      </c>
      <c r="I324" t="s">
        <v>17026</v>
      </c>
      <c r="J324" t="s">
        <v>17027</v>
      </c>
      <c r="K324" t="s">
        <v>74</v>
      </c>
      <c r="L324" t="s">
        <v>74</v>
      </c>
      <c r="M324" t="s">
        <v>74</v>
      </c>
      <c r="N324" t="s">
        <v>103</v>
      </c>
      <c r="O324" t="s">
        <v>74</v>
      </c>
      <c r="P324" t="s">
        <v>74</v>
      </c>
      <c r="Q324" t="s">
        <v>74</v>
      </c>
      <c r="R324" t="s">
        <v>74</v>
      </c>
      <c r="S324" t="s">
        <v>74</v>
      </c>
      <c r="T324" t="s">
        <v>74</v>
      </c>
      <c r="U324" t="s">
        <v>17028</v>
      </c>
      <c r="V324" t="s">
        <v>17029</v>
      </c>
      <c r="W324" t="s">
        <v>17030</v>
      </c>
      <c r="X324" t="s">
        <v>17031</v>
      </c>
      <c r="Y324" t="s">
        <v>17032</v>
      </c>
      <c r="Z324" t="s">
        <v>17033</v>
      </c>
      <c r="AA324" t="s">
        <v>17034</v>
      </c>
      <c r="AB324" t="s">
        <v>74</v>
      </c>
      <c r="AC324" t="s">
        <v>74</v>
      </c>
      <c r="AD324" t="s">
        <v>74</v>
      </c>
      <c r="AE324" t="s">
        <v>74</v>
      </c>
      <c r="AF324" t="s">
        <v>74</v>
      </c>
      <c r="AG324">
        <v>96</v>
      </c>
      <c r="AH324">
        <v>63</v>
      </c>
      <c r="AI324">
        <v>65</v>
      </c>
      <c r="AJ324">
        <v>6</v>
      </c>
      <c r="AK324">
        <v>37</v>
      </c>
      <c r="AL324" t="s">
        <v>74</v>
      </c>
      <c r="AM324" t="s">
        <v>74</v>
      </c>
      <c r="AN324" t="s">
        <v>74</v>
      </c>
      <c r="AO324" t="s">
        <v>17035</v>
      </c>
      <c r="AP324" t="s">
        <v>17036</v>
      </c>
      <c r="AQ324" t="s">
        <v>74</v>
      </c>
      <c r="AR324" t="s">
        <v>74</v>
      </c>
      <c r="AS324" t="s">
        <v>74</v>
      </c>
      <c r="AT324" t="s">
        <v>17037</v>
      </c>
      <c r="AU324">
        <v>2019</v>
      </c>
      <c r="AV324">
        <v>133</v>
      </c>
      <c r="AW324">
        <v>22</v>
      </c>
      <c r="AX324" t="s">
        <v>74</v>
      </c>
      <c r="AY324" t="s">
        <v>74</v>
      </c>
      <c r="AZ324" t="s">
        <v>74</v>
      </c>
      <c r="BA324" t="s">
        <v>74</v>
      </c>
      <c r="BB324">
        <v>2359</v>
      </c>
      <c r="BC324">
        <v>2364</v>
      </c>
      <c r="BD324" t="s">
        <v>74</v>
      </c>
      <c r="BE324" t="s">
        <v>17038</v>
      </c>
      <c r="BF324" t="str">
        <f>HYPERLINK("http://dx.doi.org/10.1182/blood-2018-12-852830","http://dx.doi.org/10.1182/blood-2018-12-852830")</f>
        <v>http://dx.doi.org/10.1182/blood-2018-12-852830</v>
      </c>
      <c r="BG324" t="s">
        <v>74</v>
      </c>
      <c r="BH324" t="s">
        <v>74</v>
      </c>
      <c r="BI324" t="s">
        <v>74</v>
      </c>
      <c r="BJ324" t="s">
        <v>2438</v>
      </c>
      <c r="BK324" t="s">
        <v>117</v>
      </c>
      <c r="BL324" t="s">
        <v>2438</v>
      </c>
      <c r="BM324" t="s">
        <v>74</v>
      </c>
      <c r="BN324">
        <v>30833413</v>
      </c>
      <c r="BO324" t="s">
        <v>74</v>
      </c>
      <c r="BP324" t="s">
        <v>74</v>
      </c>
      <c r="BQ324" t="s">
        <v>74</v>
      </c>
      <c r="BR324" t="s">
        <v>96</v>
      </c>
      <c r="BS324" t="s">
        <v>17039</v>
      </c>
      <c r="BT324" t="str">
        <f>HYPERLINK("https%3A%2F%2Fwww.webofscience.com%2Fwos%2Fwoscc%2Ffull-record%2FWOS:000469450700003","View Full Record in Web of Science")</f>
        <v>View Full Record in Web of Science</v>
      </c>
    </row>
    <row r="325" spans="1:72" x14ac:dyDescent="0.15">
      <c r="A325" t="s">
        <v>98</v>
      </c>
      <c r="B325" t="s">
        <v>17495</v>
      </c>
      <c r="C325" t="s">
        <v>74</v>
      </c>
      <c r="D325" t="s">
        <v>74</v>
      </c>
      <c r="E325" t="s">
        <v>74</v>
      </c>
      <c r="F325" t="s">
        <v>17496</v>
      </c>
      <c r="G325" t="s">
        <v>74</v>
      </c>
      <c r="H325" t="s">
        <v>74</v>
      </c>
      <c r="I325" t="s">
        <v>17497</v>
      </c>
      <c r="J325" t="s">
        <v>1073</v>
      </c>
      <c r="K325" t="s">
        <v>74</v>
      </c>
      <c r="L325" t="s">
        <v>74</v>
      </c>
      <c r="M325" t="s">
        <v>74</v>
      </c>
      <c r="N325" t="s">
        <v>103</v>
      </c>
      <c r="O325" t="s">
        <v>74</v>
      </c>
      <c r="P325" t="s">
        <v>74</v>
      </c>
      <c r="Q325" t="s">
        <v>74</v>
      </c>
      <c r="R325" t="s">
        <v>74</v>
      </c>
      <c r="S325" t="s">
        <v>74</v>
      </c>
      <c r="T325" t="s">
        <v>74</v>
      </c>
      <c r="U325" t="s">
        <v>17498</v>
      </c>
      <c r="V325" t="s">
        <v>17499</v>
      </c>
      <c r="W325" t="s">
        <v>17500</v>
      </c>
      <c r="X325" t="s">
        <v>17501</v>
      </c>
      <c r="Y325" t="s">
        <v>17502</v>
      </c>
      <c r="Z325" t="s">
        <v>6155</v>
      </c>
      <c r="AA325" t="s">
        <v>74</v>
      </c>
      <c r="AB325" t="s">
        <v>17503</v>
      </c>
      <c r="AC325" t="s">
        <v>74</v>
      </c>
      <c r="AD325" t="s">
        <v>74</v>
      </c>
      <c r="AE325" t="s">
        <v>74</v>
      </c>
      <c r="AF325" t="s">
        <v>74</v>
      </c>
      <c r="AG325">
        <v>52</v>
      </c>
      <c r="AH325">
        <v>63</v>
      </c>
      <c r="AI325">
        <v>65</v>
      </c>
      <c r="AJ325">
        <v>6</v>
      </c>
      <c r="AK325">
        <v>12</v>
      </c>
      <c r="AL325" t="s">
        <v>74</v>
      </c>
      <c r="AM325" t="s">
        <v>74</v>
      </c>
      <c r="AN325" t="s">
        <v>74</v>
      </c>
      <c r="AO325" t="s">
        <v>1082</v>
      </c>
      <c r="AP325" t="s">
        <v>74</v>
      </c>
      <c r="AQ325" t="s">
        <v>74</v>
      </c>
      <c r="AR325" t="s">
        <v>74</v>
      </c>
      <c r="AS325" t="s">
        <v>74</v>
      </c>
      <c r="AT325" t="s">
        <v>11542</v>
      </c>
      <c r="AU325">
        <v>2019</v>
      </c>
      <c r="AV325">
        <v>14</v>
      </c>
      <c r="AW325">
        <v>3</v>
      </c>
      <c r="AX325" t="s">
        <v>74</v>
      </c>
      <c r="AY325" t="s">
        <v>74</v>
      </c>
      <c r="AZ325" t="s">
        <v>74</v>
      </c>
      <c r="BA325" t="s">
        <v>74</v>
      </c>
      <c r="BB325" t="s">
        <v>74</v>
      </c>
      <c r="BC325" t="s">
        <v>74</v>
      </c>
      <c r="BD325" t="s">
        <v>17504</v>
      </c>
      <c r="BE325" t="s">
        <v>17505</v>
      </c>
      <c r="BF325" t="str">
        <f>HYPERLINK("http://dx.doi.org/10.1371/journal.pone.0214545","http://dx.doi.org/10.1371/journal.pone.0214545")</f>
        <v>http://dx.doi.org/10.1371/journal.pone.0214545</v>
      </c>
      <c r="BG325" t="s">
        <v>74</v>
      </c>
      <c r="BH325" t="s">
        <v>74</v>
      </c>
      <c r="BI325" t="s">
        <v>74</v>
      </c>
      <c r="BJ325" t="s">
        <v>152</v>
      </c>
      <c r="BK325" t="s">
        <v>117</v>
      </c>
      <c r="BL325" t="s">
        <v>153</v>
      </c>
      <c r="BM325" t="s">
        <v>74</v>
      </c>
      <c r="BN325">
        <v>30925190</v>
      </c>
      <c r="BO325" t="s">
        <v>74</v>
      </c>
      <c r="BP325" t="s">
        <v>74</v>
      </c>
      <c r="BQ325" t="s">
        <v>74</v>
      </c>
      <c r="BR325" t="s">
        <v>96</v>
      </c>
      <c r="BS325" t="s">
        <v>17506</v>
      </c>
      <c r="BT325" t="str">
        <f>HYPERLINK("https%3A%2F%2Fwww.webofscience.com%2Fwos%2Fwoscc%2Ffull-record%2FWOS:000462732300018","View Full Record in Web of Science")</f>
        <v>View Full Record in Web of Science</v>
      </c>
    </row>
    <row r="326" spans="1:72" x14ac:dyDescent="0.15">
      <c r="A326" t="s">
        <v>98</v>
      </c>
      <c r="B326" t="s">
        <v>22996</v>
      </c>
      <c r="C326" t="s">
        <v>74</v>
      </c>
      <c r="D326" t="s">
        <v>74</v>
      </c>
      <c r="E326" t="s">
        <v>74</v>
      </c>
      <c r="F326" t="s">
        <v>22997</v>
      </c>
      <c r="G326" t="s">
        <v>74</v>
      </c>
      <c r="H326" t="s">
        <v>74</v>
      </c>
      <c r="I326" t="s">
        <v>22998</v>
      </c>
      <c r="J326" t="s">
        <v>20726</v>
      </c>
      <c r="K326" t="s">
        <v>74</v>
      </c>
      <c r="L326" t="s">
        <v>74</v>
      </c>
      <c r="M326" t="s">
        <v>74</v>
      </c>
      <c r="N326" t="s">
        <v>103</v>
      </c>
      <c r="O326" t="s">
        <v>74</v>
      </c>
      <c r="P326" t="s">
        <v>74</v>
      </c>
      <c r="Q326" t="s">
        <v>74</v>
      </c>
      <c r="R326" t="s">
        <v>74</v>
      </c>
      <c r="S326" t="s">
        <v>74</v>
      </c>
      <c r="T326" t="s">
        <v>74</v>
      </c>
      <c r="U326" t="s">
        <v>22999</v>
      </c>
      <c r="V326" t="s">
        <v>23000</v>
      </c>
      <c r="W326" t="s">
        <v>23001</v>
      </c>
      <c r="X326" t="s">
        <v>23002</v>
      </c>
      <c r="Y326" t="s">
        <v>23003</v>
      </c>
      <c r="Z326" t="s">
        <v>23004</v>
      </c>
      <c r="AA326" t="s">
        <v>74</v>
      </c>
      <c r="AB326" t="s">
        <v>74</v>
      </c>
      <c r="AC326" t="s">
        <v>74</v>
      </c>
      <c r="AD326" t="s">
        <v>74</v>
      </c>
      <c r="AE326" t="s">
        <v>74</v>
      </c>
      <c r="AF326" t="s">
        <v>74</v>
      </c>
      <c r="AG326">
        <v>89</v>
      </c>
      <c r="AH326">
        <v>63</v>
      </c>
      <c r="AI326">
        <v>63</v>
      </c>
      <c r="AJ326">
        <v>0</v>
      </c>
      <c r="AK326">
        <v>25</v>
      </c>
      <c r="AL326" t="s">
        <v>74</v>
      </c>
      <c r="AM326" t="s">
        <v>74</v>
      </c>
      <c r="AN326" t="s">
        <v>74</v>
      </c>
      <c r="AO326" t="s">
        <v>20733</v>
      </c>
      <c r="AP326" t="s">
        <v>74</v>
      </c>
      <c r="AQ326" t="s">
        <v>74</v>
      </c>
      <c r="AR326" t="s">
        <v>74</v>
      </c>
      <c r="AS326" t="s">
        <v>74</v>
      </c>
      <c r="AT326" t="s">
        <v>23005</v>
      </c>
      <c r="AU326">
        <v>2011</v>
      </c>
      <c r="AV326">
        <v>50</v>
      </c>
      <c r="AW326">
        <v>21</v>
      </c>
      <c r="AX326" t="s">
        <v>74</v>
      </c>
      <c r="AY326" t="s">
        <v>74</v>
      </c>
      <c r="AZ326" t="s">
        <v>74</v>
      </c>
      <c r="BA326" t="s">
        <v>74</v>
      </c>
      <c r="BB326">
        <v>4650</v>
      </c>
      <c r="BC326">
        <v>4664</v>
      </c>
      <c r="BD326" t="s">
        <v>74</v>
      </c>
      <c r="BE326" t="s">
        <v>23006</v>
      </c>
      <c r="BF326" t="str">
        <f>HYPERLINK("http://dx.doi.org/10.1021/bi1019429","http://dx.doi.org/10.1021/bi1019429")</f>
        <v>http://dx.doi.org/10.1021/bi1019429</v>
      </c>
      <c r="BG326" t="s">
        <v>74</v>
      </c>
      <c r="BH326" t="s">
        <v>74</v>
      </c>
      <c r="BI326" t="s">
        <v>74</v>
      </c>
      <c r="BJ326" t="s">
        <v>95</v>
      </c>
      <c r="BK326" t="s">
        <v>117</v>
      </c>
      <c r="BL326" t="s">
        <v>95</v>
      </c>
      <c r="BM326" t="s">
        <v>74</v>
      </c>
      <c r="BN326">
        <v>21491915</v>
      </c>
      <c r="BO326" t="s">
        <v>74</v>
      </c>
      <c r="BP326" t="s">
        <v>74</v>
      </c>
      <c r="BQ326" t="s">
        <v>74</v>
      </c>
      <c r="BR326" t="s">
        <v>96</v>
      </c>
      <c r="BS326" t="s">
        <v>23007</v>
      </c>
      <c r="BT326" t="str">
        <f>HYPERLINK("https%3A%2F%2Fwww.webofscience.com%2Fwos%2Fwoscc%2Ffull-record%2FWOS:000290837400026","View Full Record in Web of Science")</f>
        <v>View Full Record in Web of Science</v>
      </c>
    </row>
    <row r="327" spans="1:72" x14ac:dyDescent="0.15">
      <c r="A327" t="s">
        <v>98</v>
      </c>
      <c r="B327" t="s">
        <v>28111</v>
      </c>
      <c r="C327" t="s">
        <v>74</v>
      </c>
      <c r="D327" t="s">
        <v>74</v>
      </c>
      <c r="E327" t="s">
        <v>74</v>
      </c>
      <c r="F327" t="s">
        <v>28112</v>
      </c>
      <c r="G327" t="s">
        <v>74</v>
      </c>
      <c r="H327" t="s">
        <v>74</v>
      </c>
      <c r="I327" t="s">
        <v>28113</v>
      </c>
      <c r="J327" t="s">
        <v>27187</v>
      </c>
      <c r="K327" t="s">
        <v>74</v>
      </c>
      <c r="L327" t="s">
        <v>74</v>
      </c>
      <c r="M327" t="s">
        <v>74</v>
      </c>
      <c r="N327" t="s">
        <v>103</v>
      </c>
      <c r="O327" t="s">
        <v>74</v>
      </c>
      <c r="P327" t="s">
        <v>74</v>
      </c>
      <c r="Q327" t="s">
        <v>74</v>
      </c>
      <c r="R327" t="s">
        <v>74</v>
      </c>
      <c r="S327" t="s">
        <v>74</v>
      </c>
      <c r="T327" t="s">
        <v>28114</v>
      </c>
      <c r="U327" t="s">
        <v>28115</v>
      </c>
      <c r="V327" t="s">
        <v>28116</v>
      </c>
      <c r="W327" t="s">
        <v>28117</v>
      </c>
      <c r="X327" t="s">
        <v>4171</v>
      </c>
      <c r="Y327" t="s">
        <v>28118</v>
      </c>
      <c r="Z327" t="s">
        <v>28119</v>
      </c>
      <c r="AA327" t="s">
        <v>27194</v>
      </c>
      <c r="AB327" t="s">
        <v>28120</v>
      </c>
      <c r="AC327" t="s">
        <v>74</v>
      </c>
      <c r="AD327" t="s">
        <v>74</v>
      </c>
      <c r="AE327" t="s">
        <v>74</v>
      </c>
      <c r="AF327" t="s">
        <v>74</v>
      </c>
      <c r="AG327">
        <v>20</v>
      </c>
      <c r="AH327">
        <v>63</v>
      </c>
      <c r="AI327">
        <v>67</v>
      </c>
      <c r="AJ327">
        <v>1</v>
      </c>
      <c r="AK327">
        <v>21</v>
      </c>
      <c r="AL327" t="s">
        <v>74</v>
      </c>
      <c r="AM327" t="s">
        <v>74</v>
      </c>
      <c r="AN327" t="s">
        <v>74</v>
      </c>
      <c r="AO327" t="s">
        <v>27196</v>
      </c>
      <c r="AP327" t="s">
        <v>27197</v>
      </c>
      <c r="AQ327" t="s">
        <v>74</v>
      </c>
      <c r="AR327" t="s">
        <v>74</v>
      </c>
      <c r="AS327" t="s">
        <v>74</v>
      </c>
      <c r="AT327" t="s">
        <v>1029</v>
      </c>
      <c r="AU327">
        <v>2015</v>
      </c>
      <c r="AV327">
        <v>78</v>
      </c>
      <c r="AW327" t="s">
        <v>74</v>
      </c>
      <c r="AX327" t="s">
        <v>74</v>
      </c>
      <c r="AY327" t="s">
        <v>74</v>
      </c>
      <c r="AZ327" t="s">
        <v>447</v>
      </c>
      <c r="BA327" t="s">
        <v>74</v>
      </c>
      <c r="BB327">
        <v>55</v>
      </c>
      <c r="BC327">
        <v>58</v>
      </c>
      <c r="BD327" t="s">
        <v>74</v>
      </c>
      <c r="BE327" t="s">
        <v>28121</v>
      </c>
      <c r="BF327" t="str">
        <f>HYPERLINK("http://dx.doi.org/10.1016/j.fgb.2014.09.004","http://dx.doi.org/10.1016/j.fgb.2014.09.004")</f>
        <v>http://dx.doi.org/10.1016/j.fgb.2014.09.004</v>
      </c>
      <c r="BG327" t="s">
        <v>74</v>
      </c>
      <c r="BH327" t="s">
        <v>74</v>
      </c>
      <c r="BI327" t="s">
        <v>74</v>
      </c>
      <c r="BJ327" t="s">
        <v>27199</v>
      </c>
      <c r="BK327" t="s">
        <v>117</v>
      </c>
      <c r="BL327" t="s">
        <v>27199</v>
      </c>
      <c r="BM327" t="s">
        <v>74</v>
      </c>
      <c r="BN327">
        <v>25256589</v>
      </c>
      <c r="BO327" t="s">
        <v>74</v>
      </c>
      <c r="BP327" t="s">
        <v>74</v>
      </c>
      <c r="BQ327" t="s">
        <v>74</v>
      </c>
      <c r="BR327" t="s">
        <v>96</v>
      </c>
      <c r="BS327" t="s">
        <v>28122</v>
      </c>
      <c r="BT327" t="str">
        <f>HYPERLINK("https%3A%2F%2Fwww.webofscience.com%2Fwos%2Fwoscc%2Ffull-record%2FWOS:000356398000005","View Full Record in Web of Science")</f>
        <v>View Full Record in Web of Science</v>
      </c>
    </row>
    <row r="328" spans="1:72" x14ac:dyDescent="0.15">
      <c r="A328" t="s">
        <v>72</v>
      </c>
      <c r="B328" t="s">
        <v>30353</v>
      </c>
      <c r="C328" t="s">
        <v>74</v>
      </c>
      <c r="D328" t="s">
        <v>30354</v>
      </c>
      <c r="E328" t="s">
        <v>74</v>
      </c>
      <c r="F328" t="s">
        <v>30355</v>
      </c>
      <c r="G328" t="s">
        <v>74</v>
      </c>
      <c r="H328" t="s">
        <v>74</v>
      </c>
      <c r="I328" t="s">
        <v>30356</v>
      </c>
      <c r="J328" t="s">
        <v>30357</v>
      </c>
      <c r="K328" t="s">
        <v>30358</v>
      </c>
      <c r="L328" t="s">
        <v>74</v>
      </c>
      <c r="M328" t="s">
        <v>74</v>
      </c>
      <c r="N328" t="s">
        <v>80</v>
      </c>
      <c r="O328" t="s">
        <v>74</v>
      </c>
      <c r="P328" t="s">
        <v>74</v>
      </c>
      <c r="Q328" t="s">
        <v>74</v>
      </c>
      <c r="R328" t="s">
        <v>74</v>
      </c>
      <c r="S328" t="s">
        <v>74</v>
      </c>
      <c r="T328" t="s">
        <v>74</v>
      </c>
      <c r="U328" t="s">
        <v>30359</v>
      </c>
      <c r="V328" t="s">
        <v>30360</v>
      </c>
      <c r="W328" t="s">
        <v>30361</v>
      </c>
      <c r="X328" t="s">
        <v>30362</v>
      </c>
      <c r="Y328" t="s">
        <v>30363</v>
      </c>
      <c r="Z328" t="s">
        <v>30364</v>
      </c>
      <c r="AA328" t="s">
        <v>74</v>
      </c>
      <c r="AB328" t="s">
        <v>74</v>
      </c>
      <c r="AC328" t="s">
        <v>74</v>
      </c>
      <c r="AD328" t="s">
        <v>74</v>
      </c>
      <c r="AE328" t="s">
        <v>74</v>
      </c>
      <c r="AF328" t="s">
        <v>74</v>
      </c>
      <c r="AG328">
        <v>57</v>
      </c>
      <c r="AH328">
        <v>63</v>
      </c>
      <c r="AI328">
        <v>64</v>
      </c>
      <c r="AJ328">
        <v>0</v>
      </c>
      <c r="AK328">
        <v>13</v>
      </c>
      <c r="AL328" t="s">
        <v>74</v>
      </c>
      <c r="AM328" t="s">
        <v>74</v>
      </c>
      <c r="AN328" t="s">
        <v>74</v>
      </c>
      <c r="AO328" t="s">
        <v>30365</v>
      </c>
      <c r="AP328" t="s">
        <v>74</v>
      </c>
      <c r="AQ328" t="s">
        <v>30366</v>
      </c>
      <c r="AR328" t="s">
        <v>74</v>
      </c>
      <c r="AS328" t="s">
        <v>74</v>
      </c>
      <c r="AT328" t="s">
        <v>74</v>
      </c>
      <c r="AU328">
        <v>2014</v>
      </c>
      <c r="AV328">
        <v>24</v>
      </c>
      <c r="AW328" t="s">
        <v>74</v>
      </c>
      <c r="AX328" t="s">
        <v>74</v>
      </c>
      <c r="AY328" t="s">
        <v>74</v>
      </c>
      <c r="AZ328" t="s">
        <v>74</v>
      </c>
      <c r="BA328" t="s">
        <v>74</v>
      </c>
      <c r="BB328">
        <v>88</v>
      </c>
      <c r="BC328">
        <v>98</v>
      </c>
      <c r="BD328" t="s">
        <v>74</v>
      </c>
      <c r="BE328" t="s">
        <v>30367</v>
      </c>
      <c r="BF328" t="str">
        <f>HYPERLINK("http://dx.doi.org/10.1159/000358791","http://dx.doi.org/10.1159/000358791")</f>
        <v>http://dx.doi.org/10.1159/000358791</v>
      </c>
      <c r="BG328" t="s">
        <v>74</v>
      </c>
      <c r="BH328" t="s">
        <v>74</v>
      </c>
      <c r="BI328" t="s">
        <v>74</v>
      </c>
      <c r="BJ328" t="s">
        <v>13772</v>
      </c>
      <c r="BK328" t="s">
        <v>94</v>
      </c>
      <c r="BL328" t="s">
        <v>13772</v>
      </c>
      <c r="BM328" t="s">
        <v>74</v>
      </c>
      <c r="BN328">
        <v>24862597</v>
      </c>
      <c r="BO328" t="s">
        <v>74</v>
      </c>
      <c r="BP328" t="s">
        <v>74</v>
      </c>
      <c r="BQ328" t="s">
        <v>74</v>
      </c>
      <c r="BR328" t="s">
        <v>96</v>
      </c>
      <c r="BS328" t="s">
        <v>30368</v>
      </c>
      <c r="BT328" t="str">
        <f>HYPERLINK("https%3A%2F%2Fwww.webofscience.com%2Fwos%2Fwoscc%2Ffull-record%2FWOS:000341360500009","View Full Record in Web of Science")</f>
        <v>View Full Record in Web of Science</v>
      </c>
    </row>
    <row r="329" spans="1:72" x14ac:dyDescent="0.15">
      <c r="A329" t="s">
        <v>98</v>
      </c>
      <c r="B329" t="s">
        <v>99</v>
      </c>
      <c r="C329" t="s">
        <v>74</v>
      </c>
      <c r="D329" t="s">
        <v>74</v>
      </c>
      <c r="E329" t="s">
        <v>74</v>
      </c>
      <c r="F329" t="s">
        <v>100</v>
      </c>
      <c r="G329" t="s">
        <v>74</v>
      </c>
      <c r="H329" t="s">
        <v>74</v>
      </c>
      <c r="I329" t="s">
        <v>101</v>
      </c>
      <c r="J329" t="s">
        <v>102</v>
      </c>
      <c r="K329" t="s">
        <v>74</v>
      </c>
      <c r="L329" t="s">
        <v>74</v>
      </c>
      <c r="M329" t="s">
        <v>74</v>
      </c>
      <c r="N329" t="s">
        <v>103</v>
      </c>
      <c r="O329" t="s">
        <v>74</v>
      </c>
      <c r="P329" t="s">
        <v>74</v>
      </c>
      <c r="Q329" t="s">
        <v>74</v>
      </c>
      <c r="R329" t="s">
        <v>74</v>
      </c>
      <c r="S329" t="s">
        <v>74</v>
      </c>
      <c r="T329" t="s">
        <v>104</v>
      </c>
      <c r="U329" t="s">
        <v>105</v>
      </c>
      <c r="V329" t="s">
        <v>106</v>
      </c>
      <c r="W329" t="s">
        <v>107</v>
      </c>
      <c r="X329" t="s">
        <v>108</v>
      </c>
      <c r="Y329" t="s">
        <v>109</v>
      </c>
      <c r="Z329" t="s">
        <v>110</v>
      </c>
      <c r="AA329" t="s">
        <v>111</v>
      </c>
      <c r="AB329" t="s">
        <v>112</v>
      </c>
      <c r="AC329" t="s">
        <v>74</v>
      </c>
      <c r="AD329" t="s">
        <v>74</v>
      </c>
      <c r="AE329" t="s">
        <v>74</v>
      </c>
      <c r="AF329" t="s">
        <v>74</v>
      </c>
      <c r="AG329">
        <v>54</v>
      </c>
      <c r="AH329">
        <v>62</v>
      </c>
      <c r="AI329">
        <v>64</v>
      </c>
      <c r="AJ329">
        <v>3</v>
      </c>
      <c r="AK329">
        <v>25</v>
      </c>
      <c r="AL329" t="s">
        <v>74</v>
      </c>
      <c r="AM329" t="s">
        <v>74</v>
      </c>
      <c r="AN329" t="s">
        <v>74</v>
      </c>
      <c r="AO329" t="s">
        <v>113</v>
      </c>
      <c r="AP329" t="s">
        <v>74</v>
      </c>
      <c r="AQ329" t="s">
        <v>74</v>
      </c>
      <c r="AR329" t="s">
        <v>74</v>
      </c>
      <c r="AS329" t="s">
        <v>74</v>
      </c>
      <c r="AT329" t="s">
        <v>114</v>
      </c>
      <c r="AU329">
        <v>2018</v>
      </c>
      <c r="AV329">
        <v>153</v>
      </c>
      <c r="AW329">
        <v>1</v>
      </c>
      <c r="AX329" t="s">
        <v>74</v>
      </c>
      <c r="AY329" t="s">
        <v>74</v>
      </c>
      <c r="AZ329" t="s">
        <v>74</v>
      </c>
      <c r="BA329" t="s">
        <v>74</v>
      </c>
      <c r="BB329">
        <v>210</v>
      </c>
      <c r="BC329">
        <v>216</v>
      </c>
      <c r="BD329" t="s">
        <v>74</v>
      </c>
      <c r="BE329" t="s">
        <v>115</v>
      </c>
      <c r="BF329" t="str">
        <f>HYPERLINK("http://dx.doi.org/10.1016/j.chest.2017.06.026","http://dx.doi.org/10.1016/j.chest.2017.06.026")</f>
        <v>http://dx.doi.org/10.1016/j.chest.2017.06.026</v>
      </c>
      <c r="BG329" t="s">
        <v>74</v>
      </c>
      <c r="BH329" t="s">
        <v>74</v>
      </c>
      <c r="BI329" t="s">
        <v>74</v>
      </c>
      <c r="BJ329" t="s">
        <v>116</v>
      </c>
      <c r="BK329" t="s">
        <v>117</v>
      </c>
      <c r="BL329" t="s">
        <v>118</v>
      </c>
      <c r="BM329" t="s">
        <v>74</v>
      </c>
      <c r="BN329">
        <v>28684288</v>
      </c>
      <c r="BO329" t="s">
        <v>74</v>
      </c>
      <c r="BP329" t="s">
        <v>74</v>
      </c>
      <c r="BQ329" t="s">
        <v>74</v>
      </c>
      <c r="BR329" t="s">
        <v>96</v>
      </c>
      <c r="BS329" t="s">
        <v>119</v>
      </c>
      <c r="BT329" t="str">
        <f>HYPERLINK("https%3A%2F%2Fwww.webofscience.com%2Fwos%2Fwoscc%2Ffull-record%2FWOS:000422771600033","View Full Record in Web of Science")</f>
        <v>View Full Record in Web of Science</v>
      </c>
    </row>
    <row r="330" spans="1:72" x14ac:dyDescent="0.15">
      <c r="A330" t="s">
        <v>98</v>
      </c>
      <c r="B330" t="s">
        <v>2136</v>
      </c>
      <c r="C330" t="s">
        <v>74</v>
      </c>
      <c r="D330" t="s">
        <v>74</v>
      </c>
      <c r="E330" t="s">
        <v>74</v>
      </c>
      <c r="F330" t="s">
        <v>2137</v>
      </c>
      <c r="G330" t="s">
        <v>74</v>
      </c>
      <c r="H330" t="s">
        <v>74</v>
      </c>
      <c r="I330" t="s">
        <v>2138</v>
      </c>
      <c r="J330" t="s">
        <v>123</v>
      </c>
      <c r="K330" t="s">
        <v>74</v>
      </c>
      <c r="L330" t="s">
        <v>74</v>
      </c>
      <c r="M330" t="s">
        <v>74</v>
      </c>
      <c r="N330" t="s">
        <v>103</v>
      </c>
      <c r="O330" t="s">
        <v>74</v>
      </c>
      <c r="P330" t="s">
        <v>74</v>
      </c>
      <c r="Q330" t="s">
        <v>74</v>
      </c>
      <c r="R330" t="s">
        <v>74</v>
      </c>
      <c r="S330" t="s">
        <v>74</v>
      </c>
      <c r="T330" t="s">
        <v>2139</v>
      </c>
      <c r="U330" t="s">
        <v>2140</v>
      </c>
      <c r="V330" t="s">
        <v>2141</v>
      </c>
      <c r="W330" t="s">
        <v>2142</v>
      </c>
      <c r="X330" t="s">
        <v>2143</v>
      </c>
      <c r="Y330" t="s">
        <v>2144</v>
      </c>
      <c r="Z330" t="s">
        <v>2145</v>
      </c>
      <c r="AA330" t="s">
        <v>2146</v>
      </c>
      <c r="AB330" t="s">
        <v>2147</v>
      </c>
      <c r="AC330" t="s">
        <v>74</v>
      </c>
      <c r="AD330" t="s">
        <v>74</v>
      </c>
      <c r="AE330" t="s">
        <v>74</v>
      </c>
      <c r="AF330" t="s">
        <v>74</v>
      </c>
      <c r="AG330">
        <v>88</v>
      </c>
      <c r="AH330">
        <v>62</v>
      </c>
      <c r="AI330">
        <v>65</v>
      </c>
      <c r="AJ330">
        <v>2</v>
      </c>
      <c r="AK330">
        <v>18</v>
      </c>
      <c r="AL330" t="s">
        <v>74</v>
      </c>
      <c r="AM330" t="s">
        <v>74</v>
      </c>
      <c r="AN330" t="s">
        <v>74</v>
      </c>
      <c r="AO330" t="s">
        <v>74</v>
      </c>
      <c r="AP330" t="s">
        <v>131</v>
      </c>
      <c r="AQ330" t="s">
        <v>74</v>
      </c>
      <c r="AR330" t="s">
        <v>74</v>
      </c>
      <c r="AS330" t="s">
        <v>74</v>
      </c>
      <c r="AT330" t="s">
        <v>599</v>
      </c>
      <c r="AU330">
        <v>2020</v>
      </c>
      <c r="AV330">
        <v>9</v>
      </c>
      <c r="AW330">
        <v>1</v>
      </c>
      <c r="AX330" t="s">
        <v>74</v>
      </c>
      <c r="AY330" t="s">
        <v>74</v>
      </c>
      <c r="AZ330" t="s">
        <v>74</v>
      </c>
      <c r="BA330" t="s">
        <v>74</v>
      </c>
      <c r="BB330" t="s">
        <v>74</v>
      </c>
      <c r="BC330" t="s">
        <v>74</v>
      </c>
      <c r="BD330">
        <v>1725285</v>
      </c>
      <c r="BE330" t="s">
        <v>2148</v>
      </c>
      <c r="BF330" t="str">
        <f>HYPERLINK("http://dx.doi.org/10.1080/20013078.2020.1725285","http://dx.doi.org/10.1080/20013078.2020.1725285")</f>
        <v>http://dx.doi.org/10.1080/20013078.2020.1725285</v>
      </c>
      <c r="BG330" t="s">
        <v>74</v>
      </c>
      <c r="BH330" t="s">
        <v>74</v>
      </c>
      <c r="BI330" t="s">
        <v>74</v>
      </c>
      <c r="BJ330" t="s">
        <v>135</v>
      </c>
      <c r="BK330" t="s">
        <v>117</v>
      </c>
      <c r="BL330" t="s">
        <v>135</v>
      </c>
      <c r="BM330" t="s">
        <v>74</v>
      </c>
      <c r="BN330">
        <v>32158519</v>
      </c>
      <c r="BO330" t="s">
        <v>74</v>
      </c>
      <c r="BP330" t="s">
        <v>74</v>
      </c>
      <c r="BQ330" t="s">
        <v>74</v>
      </c>
      <c r="BR330" t="s">
        <v>96</v>
      </c>
      <c r="BS330" t="s">
        <v>2149</v>
      </c>
      <c r="BT330" t="str">
        <f>HYPERLINK("https%3A%2F%2Fwww.webofscience.com%2Fwos%2Fwoscc%2Ffull-record%2FWOS:000546688100001","View Full Record in Web of Science")</f>
        <v>View Full Record in Web of Science</v>
      </c>
    </row>
    <row r="331" spans="1:72" x14ac:dyDescent="0.15">
      <c r="A331" t="s">
        <v>98</v>
      </c>
      <c r="B331" t="s">
        <v>13900</v>
      </c>
      <c r="C331" t="s">
        <v>74</v>
      </c>
      <c r="D331" t="s">
        <v>74</v>
      </c>
      <c r="E331" t="s">
        <v>74</v>
      </c>
      <c r="F331" t="s">
        <v>13901</v>
      </c>
      <c r="G331" t="s">
        <v>74</v>
      </c>
      <c r="H331" t="s">
        <v>74</v>
      </c>
      <c r="I331" t="s">
        <v>13902</v>
      </c>
      <c r="J331" t="s">
        <v>11229</v>
      </c>
      <c r="K331" t="s">
        <v>74</v>
      </c>
      <c r="L331" t="s">
        <v>74</v>
      </c>
      <c r="M331" t="s">
        <v>74</v>
      </c>
      <c r="N331" t="s">
        <v>103</v>
      </c>
      <c r="O331" t="s">
        <v>74</v>
      </c>
      <c r="P331" t="s">
        <v>74</v>
      </c>
      <c r="Q331" t="s">
        <v>74</v>
      </c>
      <c r="R331" t="s">
        <v>74</v>
      </c>
      <c r="S331" t="s">
        <v>74</v>
      </c>
      <c r="T331" t="s">
        <v>74</v>
      </c>
      <c r="U331" t="s">
        <v>13903</v>
      </c>
      <c r="V331" t="s">
        <v>13904</v>
      </c>
      <c r="W331" t="s">
        <v>13905</v>
      </c>
      <c r="X331" t="s">
        <v>13906</v>
      </c>
      <c r="Y331" t="s">
        <v>13907</v>
      </c>
      <c r="Z331" t="s">
        <v>13908</v>
      </c>
      <c r="AA331" t="s">
        <v>13909</v>
      </c>
      <c r="AB331" t="s">
        <v>13910</v>
      </c>
      <c r="AC331" t="s">
        <v>74</v>
      </c>
      <c r="AD331" t="s">
        <v>74</v>
      </c>
      <c r="AE331" t="s">
        <v>74</v>
      </c>
      <c r="AF331" t="s">
        <v>74</v>
      </c>
      <c r="AG331">
        <v>65</v>
      </c>
      <c r="AH331">
        <v>62</v>
      </c>
      <c r="AI331">
        <v>63</v>
      </c>
      <c r="AJ331">
        <v>1</v>
      </c>
      <c r="AK331">
        <v>19</v>
      </c>
      <c r="AL331" t="s">
        <v>74</v>
      </c>
      <c r="AM331" t="s">
        <v>74</v>
      </c>
      <c r="AN331" t="s">
        <v>74</v>
      </c>
      <c r="AO331" t="s">
        <v>11238</v>
      </c>
      <c r="AP331" t="s">
        <v>11239</v>
      </c>
      <c r="AQ331" t="s">
        <v>74</v>
      </c>
      <c r="AR331" t="s">
        <v>74</v>
      </c>
      <c r="AS331" t="s">
        <v>74</v>
      </c>
      <c r="AT331" t="s">
        <v>1029</v>
      </c>
      <c r="AU331">
        <v>2018</v>
      </c>
      <c r="AV331">
        <v>17</v>
      </c>
      <c r="AW331">
        <v>5</v>
      </c>
      <c r="AX331" t="s">
        <v>74</v>
      </c>
      <c r="AY331" t="s">
        <v>74</v>
      </c>
      <c r="AZ331" t="s">
        <v>74</v>
      </c>
      <c r="BA331" t="s">
        <v>74</v>
      </c>
      <c r="BB331">
        <v>1133</v>
      </c>
      <c r="BC331">
        <v>1142</v>
      </c>
      <c r="BD331" t="s">
        <v>74</v>
      </c>
      <c r="BE331" t="s">
        <v>13911</v>
      </c>
      <c r="BF331" t="str">
        <f>HYPERLINK("http://dx.doi.org/10.1158/1535-7163.MCT-17-0827","http://dx.doi.org/10.1158/1535-7163.MCT-17-0827")</f>
        <v>http://dx.doi.org/10.1158/1535-7163.MCT-17-0827</v>
      </c>
      <c r="BG331" t="s">
        <v>74</v>
      </c>
      <c r="BH331" t="s">
        <v>74</v>
      </c>
      <c r="BI331" t="s">
        <v>74</v>
      </c>
      <c r="BJ331" t="s">
        <v>267</v>
      </c>
      <c r="BK331" t="s">
        <v>117</v>
      </c>
      <c r="BL331" t="s">
        <v>267</v>
      </c>
      <c r="BM331" t="s">
        <v>74</v>
      </c>
      <c r="BN331">
        <v>29483213</v>
      </c>
      <c r="BO331" t="s">
        <v>74</v>
      </c>
      <c r="BP331" t="s">
        <v>74</v>
      </c>
      <c r="BQ331" t="s">
        <v>74</v>
      </c>
      <c r="BR331" t="s">
        <v>96</v>
      </c>
      <c r="BS331" t="s">
        <v>13912</v>
      </c>
      <c r="BT331" t="str">
        <f>HYPERLINK("https%3A%2F%2Fwww.webofscience.com%2Fwos%2Fwoscc%2Ffull-record%2FWOS:000431314700023","View Full Record in Web of Science")</f>
        <v>View Full Record in Web of Science</v>
      </c>
    </row>
    <row r="332" spans="1:72" x14ac:dyDescent="0.15">
      <c r="A332" t="s">
        <v>98</v>
      </c>
      <c r="B332" t="s">
        <v>15873</v>
      </c>
      <c r="C332" t="s">
        <v>74</v>
      </c>
      <c r="D332" t="s">
        <v>74</v>
      </c>
      <c r="E332" t="s">
        <v>74</v>
      </c>
      <c r="F332" t="s">
        <v>15874</v>
      </c>
      <c r="G332" t="s">
        <v>74</v>
      </c>
      <c r="H332" t="s">
        <v>74</v>
      </c>
      <c r="I332" t="s">
        <v>15875</v>
      </c>
      <c r="J332" t="s">
        <v>2742</v>
      </c>
      <c r="K332" t="s">
        <v>74</v>
      </c>
      <c r="L332" t="s">
        <v>74</v>
      </c>
      <c r="M332" t="s">
        <v>74</v>
      </c>
      <c r="N332" t="s">
        <v>103</v>
      </c>
      <c r="O332" t="s">
        <v>74</v>
      </c>
      <c r="P332" t="s">
        <v>74</v>
      </c>
      <c r="Q332" t="s">
        <v>74</v>
      </c>
      <c r="R332" t="s">
        <v>74</v>
      </c>
      <c r="S332" t="s">
        <v>74</v>
      </c>
      <c r="T332" t="s">
        <v>15876</v>
      </c>
      <c r="U332" t="s">
        <v>15877</v>
      </c>
      <c r="V332" t="s">
        <v>15878</v>
      </c>
      <c r="W332" t="s">
        <v>15879</v>
      </c>
      <c r="X332" t="s">
        <v>15880</v>
      </c>
      <c r="Y332" t="s">
        <v>15881</v>
      </c>
      <c r="Z332" t="s">
        <v>15882</v>
      </c>
      <c r="AA332" t="s">
        <v>15883</v>
      </c>
      <c r="AB332" t="s">
        <v>74</v>
      </c>
      <c r="AC332" t="s">
        <v>74</v>
      </c>
      <c r="AD332" t="s">
        <v>74</v>
      </c>
      <c r="AE332" t="s">
        <v>74</v>
      </c>
      <c r="AF332" t="s">
        <v>74</v>
      </c>
      <c r="AG332">
        <v>62</v>
      </c>
      <c r="AH332">
        <v>62</v>
      </c>
      <c r="AI332">
        <v>67</v>
      </c>
      <c r="AJ332">
        <v>2</v>
      </c>
      <c r="AK332">
        <v>42</v>
      </c>
      <c r="AL332" t="s">
        <v>74</v>
      </c>
      <c r="AM332" t="s">
        <v>74</v>
      </c>
      <c r="AN332" t="s">
        <v>74</v>
      </c>
      <c r="AO332" t="s">
        <v>2752</v>
      </c>
      <c r="AP332" t="s">
        <v>2753</v>
      </c>
      <c r="AQ332" t="s">
        <v>74</v>
      </c>
      <c r="AR332" t="s">
        <v>74</v>
      </c>
      <c r="AS332" t="s">
        <v>74</v>
      </c>
      <c r="AT332" t="s">
        <v>565</v>
      </c>
      <c r="AU332">
        <v>2014</v>
      </c>
      <c r="AV332">
        <v>13</v>
      </c>
      <c r="AW332">
        <v>3</v>
      </c>
      <c r="AX332" t="s">
        <v>74</v>
      </c>
      <c r="AY332" t="s">
        <v>74</v>
      </c>
      <c r="AZ332" t="s">
        <v>74</v>
      </c>
      <c r="BA332" t="s">
        <v>74</v>
      </c>
      <c r="BB332">
        <v>1345</v>
      </c>
      <c r="BC332">
        <v>1358</v>
      </c>
      <c r="BD332" t="s">
        <v>74</v>
      </c>
      <c r="BE332" t="s">
        <v>15884</v>
      </c>
      <c r="BF332" t="str">
        <f>HYPERLINK("http://dx.doi.org/10.1021/pr4009223","http://dx.doi.org/10.1021/pr4009223")</f>
        <v>http://dx.doi.org/10.1021/pr4009223</v>
      </c>
      <c r="BG332" t="s">
        <v>74</v>
      </c>
      <c r="BH332" t="s">
        <v>74</v>
      </c>
      <c r="BI332" t="s">
        <v>74</v>
      </c>
      <c r="BJ332" t="s">
        <v>812</v>
      </c>
      <c r="BK332" t="s">
        <v>117</v>
      </c>
      <c r="BL332" t="s">
        <v>95</v>
      </c>
      <c r="BM332" t="s">
        <v>74</v>
      </c>
      <c r="BN332">
        <v>24437924</v>
      </c>
      <c r="BO332" t="s">
        <v>74</v>
      </c>
      <c r="BP332" t="s">
        <v>74</v>
      </c>
      <c r="BQ332" t="s">
        <v>74</v>
      </c>
      <c r="BR332" t="s">
        <v>96</v>
      </c>
      <c r="BS332" t="s">
        <v>15885</v>
      </c>
      <c r="BT332" t="str">
        <f>HYPERLINK("https%3A%2F%2Fwww.webofscience.com%2Fwos%2Fwoscc%2Ffull-record%2FWOS:000332756300017","View Full Record in Web of Science")</f>
        <v>View Full Record in Web of Science</v>
      </c>
    </row>
    <row r="333" spans="1:72" x14ac:dyDescent="0.15">
      <c r="A333" t="s">
        <v>98</v>
      </c>
      <c r="B333" t="s">
        <v>17261</v>
      </c>
      <c r="C333" t="s">
        <v>74</v>
      </c>
      <c r="D333" t="s">
        <v>74</v>
      </c>
      <c r="E333" t="s">
        <v>74</v>
      </c>
      <c r="F333" t="s">
        <v>17262</v>
      </c>
      <c r="G333" t="s">
        <v>74</v>
      </c>
      <c r="H333" t="s">
        <v>74</v>
      </c>
      <c r="I333" t="s">
        <v>17263</v>
      </c>
      <c r="J333" t="s">
        <v>8763</v>
      </c>
      <c r="K333" t="s">
        <v>74</v>
      </c>
      <c r="L333" t="s">
        <v>74</v>
      </c>
      <c r="M333" t="s">
        <v>74</v>
      </c>
      <c r="N333" t="s">
        <v>103</v>
      </c>
      <c r="O333" t="s">
        <v>74</v>
      </c>
      <c r="P333" t="s">
        <v>74</v>
      </c>
      <c r="Q333" t="s">
        <v>74</v>
      </c>
      <c r="R333" t="s">
        <v>74</v>
      </c>
      <c r="S333" t="s">
        <v>74</v>
      </c>
      <c r="T333" t="s">
        <v>74</v>
      </c>
      <c r="U333" t="s">
        <v>17264</v>
      </c>
      <c r="V333" t="s">
        <v>17265</v>
      </c>
      <c r="W333" t="s">
        <v>17266</v>
      </c>
      <c r="X333" t="s">
        <v>17267</v>
      </c>
      <c r="Y333" t="s">
        <v>17268</v>
      </c>
      <c r="Z333" t="s">
        <v>17269</v>
      </c>
      <c r="AA333" t="s">
        <v>17270</v>
      </c>
      <c r="AB333" t="s">
        <v>74</v>
      </c>
      <c r="AC333" t="s">
        <v>74</v>
      </c>
      <c r="AD333" t="s">
        <v>74</v>
      </c>
      <c r="AE333" t="s">
        <v>74</v>
      </c>
      <c r="AF333" t="s">
        <v>74</v>
      </c>
      <c r="AG333">
        <v>67</v>
      </c>
      <c r="AH333">
        <v>62</v>
      </c>
      <c r="AI333">
        <v>63</v>
      </c>
      <c r="AJ333">
        <v>0</v>
      </c>
      <c r="AK333">
        <v>17</v>
      </c>
      <c r="AL333" t="s">
        <v>74</v>
      </c>
      <c r="AM333" t="s">
        <v>74</v>
      </c>
      <c r="AN333" t="s">
        <v>74</v>
      </c>
      <c r="AO333" t="s">
        <v>8772</v>
      </c>
      <c r="AP333" t="s">
        <v>8773</v>
      </c>
      <c r="AQ333" t="s">
        <v>74</v>
      </c>
      <c r="AR333" t="s">
        <v>74</v>
      </c>
      <c r="AS333" t="s">
        <v>74</v>
      </c>
      <c r="AT333" t="s">
        <v>230</v>
      </c>
      <c r="AU333">
        <v>2013</v>
      </c>
      <c r="AV333">
        <v>89</v>
      </c>
      <c r="AW333">
        <v>3</v>
      </c>
      <c r="AX333" t="s">
        <v>74</v>
      </c>
      <c r="AY333" t="s">
        <v>74</v>
      </c>
      <c r="AZ333" t="s">
        <v>74</v>
      </c>
      <c r="BA333" t="s">
        <v>74</v>
      </c>
      <c r="BB333">
        <v>433</v>
      </c>
      <c r="BC333">
        <v>449</v>
      </c>
      <c r="BD333" t="s">
        <v>74</v>
      </c>
      <c r="BE333" t="s">
        <v>17271</v>
      </c>
      <c r="BF333" t="str">
        <f>HYPERLINK("http://dx.doi.org/10.1111/mmi.12288","http://dx.doi.org/10.1111/mmi.12288")</f>
        <v>http://dx.doi.org/10.1111/mmi.12288</v>
      </c>
      <c r="BG333" t="s">
        <v>74</v>
      </c>
      <c r="BH333" t="s">
        <v>74</v>
      </c>
      <c r="BI333" t="s">
        <v>74</v>
      </c>
      <c r="BJ333" t="s">
        <v>8775</v>
      </c>
      <c r="BK333" t="s">
        <v>117</v>
      </c>
      <c r="BL333" t="s">
        <v>8775</v>
      </c>
      <c r="BM333" t="s">
        <v>74</v>
      </c>
      <c r="BN333">
        <v>23750848</v>
      </c>
      <c r="BO333" t="s">
        <v>74</v>
      </c>
      <c r="BP333" t="s">
        <v>74</v>
      </c>
      <c r="BQ333" t="s">
        <v>74</v>
      </c>
      <c r="BR333" t="s">
        <v>96</v>
      </c>
      <c r="BS333" t="s">
        <v>17272</v>
      </c>
      <c r="BT333" t="str">
        <f>HYPERLINK("https%3A%2F%2Fwww.webofscience.com%2Fwos%2Fwoscc%2Ffull-record%2FWOS:000322332800003","View Full Record in Web of Science")</f>
        <v>View Full Record in Web of Science</v>
      </c>
    </row>
    <row r="334" spans="1:72" x14ac:dyDescent="0.15">
      <c r="A334" t="s">
        <v>98</v>
      </c>
      <c r="B334" t="s">
        <v>20437</v>
      </c>
      <c r="C334" t="s">
        <v>74</v>
      </c>
      <c r="D334" t="s">
        <v>74</v>
      </c>
      <c r="E334" t="s">
        <v>74</v>
      </c>
      <c r="F334" t="s">
        <v>20438</v>
      </c>
      <c r="G334" t="s">
        <v>74</v>
      </c>
      <c r="H334" t="s">
        <v>74</v>
      </c>
      <c r="I334" t="s">
        <v>20439</v>
      </c>
      <c r="J334" t="s">
        <v>4486</v>
      </c>
      <c r="K334" t="s">
        <v>74</v>
      </c>
      <c r="L334" t="s">
        <v>74</v>
      </c>
      <c r="M334" t="s">
        <v>74</v>
      </c>
      <c r="N334" t="s">
        <v>103</v>
      </c>
      <c r="O334" t="s">
        <v>74</v>
      </c>
      <c r="P334" t="s">
        <v>74</v>
      </c>
      <c r="Q334" t="s">
        <v>74</v>
      </c>
      <c r="R334" t="s">
        <v>74</v>
      </c>
      <c r="S334" t="s">
        <v>74</v>
      </c>
      <c r="T334" t="s">
        <v>74</v>
      </c>
      <c r="U334" t="s">
        <v>20440</v>
      </c>
      <c r="V334" t="s">
        <v>20441</v>
      </c>
      <c r="W334" t="s">
        <v>20442</v>
      </c>
      <c r="X334" t="s">
        <v>12533</v>
      </c>
      <c r="Y334" t="s">
        <v>20443</v>
      </c>
      <c r="Z334" t="s">
        <v>10070</v>
      </c>
      <c r="AA334" t="s">
        <v>74</v>
      </c>
      <c r="AB334" t="s">
        <v>12537</v>
      </c>
      <c r="AC334" t="s">
        <v>74</v>
      </c>
      <c r="AD334" t="s">
        <v>74</v>
      </c>
      <c r="AE334" t="s">
        <v>74</v>
      </c>
      <c r="AF334" t="s">
        <v>74</v>
      </c>
      <c r="AG334">
        <v>51</v>
      </c>
      <c r="AH334">
        <v>62</v>
      </c>
      <c r="AI334">
        <v>63</v>
      </c>
      <c r="AJ334">
        <v>20</v>
      </c>
      <c r="AK334">
        <v>168</v>
      </c>
      <c r="AL334" t="s">
        <v>74</v>
      </c>
      <c r="AM334" t="s">
        <v>74</v>
      </c>
      <c r="AN334" t="s">
        <v>74</v>
      </c>
      <c r="AO334" t="s">
        <v>4493</v>
      </c>
      <c r="AP334" t="s">
        <v>4494</v>
      </c>
      <c r="AQ334" t="s">
        <v>74</v>
      </c>
      <c r="AR334" t="s">
        <v>74</v>
      </c>
      <c r="AS334" t="s">
        <v>74</v>
      </c>
      <c r="AT334" t="s">
        <v>14894</v>
      </c>
      <c r="AU334">
        <v>2020</v>
      </c>
      <c r="AV334">
        <v>92</v>
      </c>
      <c r="AW334">
        <v>7</v>
      </c>
      <c r="AX334" t="s">
        <v>74</v>
      </c>
      <c r="AY334" t="s">
        <v>74</v>
      </c>
      <c r="AZ334" t="s">
        <v>74</v>
      </c>
      <c r="BA334" t="s">
        <v>74</v>
      </c>
      <c r="BB334">
        <v>5302</v>
      </c>
      <c r="BC334">
        <v>5310</v>
      </c>
      <c r="BD334" t="s">
        <v>74</v>
      </c>
      <c r="BE334" t="s">
        <v>20444</v>
      </c>
      <c r="BF334" t="str">
        <f>HYPERLINK("http://dx.doi.org/10.1021/acs.analchem.9b05849","http://dx.doi.org/10.1021/acs.analchem.9b05849")</f>
        <v>http://dx.doi.org/10.1021/acs.analchem.9b05849</v>
      </c>
      <c r="BG334" t="s">
        <v>74</v>
      </c>
      <c r="BH334" t="s">
        <v>74</v>
      </c>
      <c r="BI334" t="s">
        <v>74</v>
      </c>
      <c r="BJ334" t="s">
        <v>1118</v>
      </c>
      <c r="BK334" t="s">
        <v>117</v>
      </c>
      <c r="BL334" t="s">
        <v>1048</v>
      </c>
      <c r="BM334" t="s">
        <v>74</v>
      </c>
      <c r="BN334">
        <v>32148013</v>
      </c>
      <c r="BO334" t="s">
        <v>74</v>
      </c>
      <c r="BP334" t="s">
        <v>74</v>
      </c>
      <c r="BQ334" t="s">
        <v>74</v>
      </c>
      <c r="BR334" t="s">
        <v>96</v>
      </c>
      <c r="BS334" t="s">
        <v>20445</v>
      </c>
      <c r="BT334" t="str">
        <f>HYPERLINK("https%3A%2F%2Fwww.webofscience.com%2Fwos%2Fwoscc%2Ffull-record%2FWOS:000526569200078","View Full Record in Web of Science")</f>
        <v>View Full Record in Web of Science</v>
      </c>
    </row>
    <row r="335" spans="1:72" x14ac:dyDescent="0.15">
      <c r="A335" t="s">
        <v>98</v>
      </c>
      <c r="B335" t="s">
        <v>23967</v>
      </c>
      <c r="C335" t="s">
        <v>74</v>
      </c>
      <c r="D335" t="s">
        <v>74</v>
      </c>
      <c r="E335" t="s">
        <v>74</v>
      </c>
      <c r="F335" t="s">
        <v>23968</v>
      </c>
      <c r="G335" t="s">
        <v>74</v>
      </c>
      <c r="H335" t="s">
        <v>74</v>
      </c>
      <c r="I335" t="s">
        <v>23969</v>
      </c>
      <c r="J335" t="s">
        <v>5219</v>
      </c>
      <c r="K335" t="s">
        <v>74</v>
      </c>
      <c r="L335" t="s">
        <v>74</v>
      </c>
      <c r="M335" t="s">
        <v>74</v>
      </c>
      <c r="N335" t="s">
        <v>103</v>
      </c>
      <c r="O335" t="s">
        <v>74</v>
      </c>
      <c r="P335" t="s">
        <v>74</v>
      </c>
      <c r="Q335" t="s">
        <v>74</v>
      </c>
      <c r="R335" t="s">
        <v>74</v>
      </c>
      <c r="S335" t="s">
        <v>74</v>
      </c>
      <c r="T335" t="s">
        <v>74</v>
      </c>
      <c r="U335" t="s">
        <v>23970</v>
      </c>
      <c r="V335" t="s">
        <v>23971</v>
      </c>
      <c r="W335" t="s">
        <v>23972</v>
      </c>
      <c r="X335" t="s">
        <v>23973</v>
      </c>
      <c r="Y335" t="s">
        <v>23974</v>
      </c>
      <c r="Z335" t="s">
        <v>14279</v>
      </c>
      <c r="AA335" t="s">
        <v>74</v>
      </c>
      <c r="AB335" t="s">
        <v>23975</v>
      </c>
      <c r="AC335" t="s">
        <v>74</v>
      </c>
      <c r="AD335" t="s">
        <v>74</v>
      </c>
      <c r="AE335" t="s">
        <v>74</v>
      </c>
      <c r="AF335" t="s">
        <v>74</v>
      </c>
      <c r="AG335">
        <v>71</v>
      </c>
      <c r="AH335">
        <v>62</v>
      </c>
      <c r="AI335">
        <v>63</v>
      </c>
      <c r="AJ335">
        <v>1</v>
      </c>
      <c r="AK335">
        <v>26</v>
      </c>
      <c r="AL335" t="s">
        <v>74</v>
      </c>
      <c r="AM335" t="s">
        <v>74</v>
      </c>
      <c r="AN335" t="s">
        <v>74</v>
      </c>
      <c r="AO335" t="s">
        <v>5228</v>
      </c>
      <c r="AP335" t="s">
        <v>5229</v>
      </c>
      <c r="AQ335" t="s">
        <v>74</v>
      </c>
      <c r="AR335" t="s">
        <v>74</v>
      </c>
      <c r="AS335" t="s">
        <v>74</v>
      </c>
      <c r="AT335" t="s">
        <v>4343</v>
      </c>
      <c r="AU335">
        <v>2018</v>
      </c>
      <c r="AV335">
        <v>173</v>
      </c>
      <c r="AW335">
        <v>7</v>
      </c>
      <c r="AX335" t="s">
        <v>74</v>
      </c>
      <c r="AY335" t="s">
        <v>74</v>
      </c>
      <c r="AZ335" t="s">
        <v>74</v>
      </c>
      <c r="BA335" t="s">
        <v>74</v>
      </c>
      <c r="BB335">
        <v>1663</v>
      </c>
      <c r="BC335" t="s">
        <v>3390</v>
      </c>
      <c r="BD335" t="s">
        <v>23976</v>
      </c>
      <c r="BE335" t="s">
        <v>23977</v>
      </c>
      <c r="BF335" t="str">
        <f>HYPERLINK("http://dx.doi.org/10.1016/j.cell.2018.05.041","http://dx.doi.org/10.1016/j.cell.2018.05.041")</f>
        <v>http://dx.doi.org/10.1016/j.cell.2018.05.041</v>
      </c>
      <c r="BG335" t="s">
        <v>74</v>
      </c>
      <c r="BH335" t="s">
        <v>74</v>
      </c>
      <c r="BI335" t="s">
        <v>74</v>
      </c>
      <c r="BJ335" t="s">
        <v>498</v>
      </c>
      <c r="BK335" t="s">
        <v>117</v>
      </c>
      <c r="BL335" t="s">
        <v>498</v>
      </c>
      <c r="BM335" t="s">
        <v>74</v>
      </c>
      <c r="BN335">
        <v>29906447</v>
      </c>
      <c r="BO335" t="s">
        <v>74</v>
      </c>
      <c r="BP335" t="s">
        <v>74</v>
      </c>
      <c r="BQ335" t="s">
        <v>74</v>
      </c>
      <c r="BR335" t="s">
        <v>96</v>
      </c>
      <c r="BS335" t="s">
        <v>23978</v>
      </c>
      <c r="BT335" t="str">
        <f>HYPERLINK("https%3A%2F%2Fwww.webofscience.com%2Fwos%2Fwoscc%2Ffull-record%2FWOS:000437004000015","View Full Record in Web of Science")</f>
        <v>View Full Record in Web of Science</v>
      </c>
    </row>
    <row r="336" spans="1:72" x14ac:dyDescent="0.15">
      <c r="A336" t="s">
        <v>98</v>
      </c>
      <c r="B336" t="s">
        <v>28468</v>
      </c>
      <c r="C336" t="s">
        <v>74</v>
      </c>
      <c r="D336" t="s">
        <v>74</v>
      </c>
      <c r="E336" t="s">
        <v>74</v>
      </c>
      <c r="F336" t="s">
        <v>28469</v>
      </c>
      <c r="G336" t="s">
        <v>74</v>
      </c>
      <c r="H336" t="s">
        <v>74</v>
      </c>
      <c r="I336" t="s">
        <v>28470</v>
      </c>
      <c r="J336" t="s">
        <v>23515</v>
      </c>
      <c r="K336" t="s">
        <v>74</v>
      </c>
      <c r="L336" t="s">
        <v>74</v>
      </c>
      <c r="M336" t="s">
        <v>74</v>
      </c>
      <c r="N336" t="s">
        <v>103</v>
      </c>
      <c r="O336" t="s">
        <v>74</v>
      </c>
      <c r="P336" t="s">
        <v>74</v>
      </c>
      <c r="Q336" t="s">
        <v>74</v>
      </c>
      <c r="R336" t="s">
        <v>74</v>
      </c>
      <c r="S336" t="s">
        <v>74</v>
      </c>
      <c r="T336" t="s">
        <v>74</v>
      </c>
      <c r="U336" t="s">
        <v>28471</v>
      </c>
      <c r="V336" t="s">
        <v>28472</v>
      </c>
      <c r="W336" t="s">
        <v>28473</v>
      </c>
      <c r="X336" t="s">
        <v>28474</v>
      </c>
      <c r="Y336" t="s">
        <v>28475</v>
      </c>
      <c r="Z336" t="s">
        <v>19670</v>
      </c>
      <c r="AA336" t="s">
        <v>28476</v>
      </c>
      <c r="AB336" t="s">
        <v>28477</v>
      </c>
      <c r="AC336" t="s">
        <v>74</v>
      </c>
      <c r="AD336" t="s">
        <v>74</v>
      </c>
      <c r="AE336" t="s">
        <v>74</v>
      </c>
      <c r="AF336" t="s">
        <v>74</v>
      </c>
      <c r="AG336">
        <v>50</v>
      </c>
      <c r="AH336">
        <v>62</v>
      </c>
      <c r="AI336">
        <v>63</v>
      </c>
      <c r="AJ336">
        <v>2</v>
      </c>
      <c r="AK336">
        <v>11</v>
      </c>
      <c r="AL336" t="s">
        <v>74</v>
      </c>
      <c r="AM336" t="s">
        <v>74</v>
      </c>
      <c r="AN336" t="s">
        <v>74</v>
      </c>
      <c r="AO336" t="s">
        <v>23523</v>
      </c>
      <c r="AP336" t="s">
        <v>74</v>
      </c>
      <c r="AQ336" t="s">
        <v>74</v>
      </c>
      <c r="AR336" t="s">
        <v>74</v>
      </c>
      <c r="AS336" t="s">
        <v>74</v>
      </c>
      <c r="AT336" t="s">
        <v>599</v>
      </c>
      <c r="AU336">
        <v>2020</v>
      </c>
      <c r="AV336">
        <v>105</v>
      </c>
      <c r="AW336">
        <v>1</v>
      </c>
      <c r="AX336" t="s">
        <v>74</v>
      </c>
      <c r="AY336" t="s">
        <v>74</v>
      </c>
      <c r="AZ336" t="s">
        <v>74</v>
      </c>
      <c r="BA336" t="s">
        <v>74</v>
      </c>
      <c r="BB336">
        <v>218</v>
      </c>
      <c r="BC336">
        <v>225</v>
      </c>
      <c r="BD336" t="s">
        <v>74</v>
      </c>
      <c r="BE336" t="s">
        <v>28478</v>
      </c>
      <c r="BF336" t="str">
        <f>HYPERLINK("http://dx.doi.org/10.3324/haematol.2019.217083","http://dx.doi.org/10.3324/haematol.2019.217083")</f>
        <v>http://dx.doi.org/10.3324/haematol.2019.217083</v>
      </c>
      <c r="BG336" t="s">
        <v>74</v>
      </c>
      <c r="BH336" t="s">
        <v>74</v>
      </c>
      <c r="BI336" t="s">
        <v>74</v>
      </c>
      <c r="BJ336" t="s">
        <v>2438</v>
      </c>
      <c r="BK336" t="s">
        <v>117</v>
      </c>
      <c r="BL336" t="s">
        <v>2438</v>
      </c>
      <c r="BM336" t="s">
        <v>74</v>
      </c>
      <c r="BN336">
        <v>31048354</v>
      </c>
      <c r="BO336" t="s">
        <v>74</v>
      </c>
      <c r="BP336" t="s">
        <v>74</v>
      </c>
      <c r="BQ336" t="s">
        <v>74</v>
      </c>
      <c r="BR336" t="s">
        <v>96</v>
      </c>
      <c r="BS336" t="s">
        <v>28479</v>
      </c>
      <c r="BT336" t="str">
        <f>HYPERLINK("https%3A%2F%2Fwww.webofscience.com%2Fwos%2Fwoscc%2Ffull-record%2FWOS:000505041200037","View Full Record in Web of Science")</f>
        <v>View Full Record in Web of Science</v>
      </c>
    </row>
    <row r="337" spans="1:72" x14ac:dyDescent="0.15">
      <c r="A337" t="s">
        <v>98</v>
      </c>
      <c r="B337" t="s">
        <v>4163</v>
      </c>
      <c r="C337" t="s">
        <v>74</v>
      </c>
      <c r="D337" t="s">
        <v>74</v>
      </c>
      <c r="E337" t="s">
        <v>74</v>
      </c>
      <c r="F337" t="s">
        <v>4164</v>
      </c>
      <c r="G337" t="s">
        <v>74</v>
      </c>
      <c r="H337" t="s">
        <v>74</v>
      </c>
      <c r="I337" t="s">
        <v>4165</v>
      </c>
      <c r="J337" t="s">
        <v>4166</v>
      </c>
      <c r="K337" t="s">
        <v>74</v>
      </c>
      <c r="L337" t="s">
        <v>74</v>
      </c>
      <c r="M337" t="s">
        <v>74</v>
      </c>
      <c r="N337" t="s">
        <v>103</v>
      </c>
      <c r="O337" t="s">
        <v>74</v>
      </c>
      <c r="P337" t="s">
        <v>74</v>
      </c>
      <c r="Q337" t="s">
        <v>74</v>
      </c>
      <c r="R337" t="s">
        <v>74</v>
      </c>
      <c r="S337" t="s">
        <v>74</v>
      </c>
      <c r="T337" t="s">
        <v>4167</v>
      </c>
      <c r="U337" t="s">
        <v>4168</v>
      </c>
      <c r="V337" t="s">
        <v>4169</v>
      </c>
      <c r="W337" t="s">
        <v>4170</v>
      </c>
      <c r="X337" t="s">
        <v>4171</v>
      </c>
      <c r="Y337" t="s">
        <v>4172</v>
      </c>
      <c r="Z337" t="s">
        <v>4173</v>
      </c>
      <c r="AA337" t="s">
        <v>4174</v>
      </c>
      <c r="AB337" t="s">
        <v>4175</v>
      </c>
      <c r="AC337" t="s">
        <v>74</v>
      </c>
      <c r="AD337" t="s">
        <v>74</v>
      </c>
      <c r="AE337" t="s">
        <v>74</v>
      </c>
      <c r="AF337" t="s">
        <v>74</v>
      </c>
      <c r="AG337">
        <v>84</v>
      </c>
      <c r="AH337">
        <v>61</v>
      </c>
      <c r="AI337">
        <v>66</v>
      </c>
      <c r="AJ337">
        <v>1</v>
      </c>
      <c r="AK337">
        <v>50</v>
      </c>
      <c r="AL337" t="s">
        <v>74</v>
      </c>
      <c r="AM337" t="s">
        <v>74</v>
      </c>
      <c r="AN337" t="s">
        <v>74</v>
      </c>
      <c r="AO337" t="s">
        <v>4176</v>
      </c>
      <c r="AP337" t="s">
        <v>4177</v>
      </c>
      <c r="AQ337" t="s">
        <v>74</v>
      </c>
      <c r="AR337" t="s">
        <v>74</v>
      </c>
      <c r="AS337" t="s">
        <v>74</v>
      </c>
      <c r="AT337" t="s">
        <v>74</v>
      </c>
      <c r="AU337">
        <v>2013</v>
      </c>
      <c r="AV337">
        <v>23</v>
      </c>
      <c r="AW337" t="s">
        <v>1694</v>
      </c>
      <c r="AX337" t="s">
        <v>74</v>
      </c>
      <c r="AY337" t="s">
        <v>74</v>
      </c>
      <c r="AZ337" t="s">
        <v>74</v>
      </c>
      <c r="BA337" t="s">
        <v>74</v>
      </c>
      <c r="BB337">
        <v>131</v>
      </c>
      <c r="BC337">
        <v>141</v>
      </c>
      <c r="BD337" t="s">
        <v>74</v>
      </c>
      <c r="BE337" t="s">
        <v>4178</v>
      </c>
      <c r="BF337" t="str">
        <f>HYPERLINK("http://dx.doi.org/10.1159/000346548","http://dx.doi.org/10.1159/000346548")</f>
        <v>http://dx.doi.org/10.1159/000346548</v>
      </c>
      <c r="BG337" t="s">
        <v>74</v>
      </c>
      <c r="BH337" t="s">
        <v>74</v>
      </c>
      <c r="BI337" t="s">
        <v>74</v>
      </c>
      <c r="BJ337" t="s">
        <v>1464</v>
      </c>
      <c r="BK337" t="s">
        <v>117</v>
      </c>
      <c r="BL337" t="s">
        <v>1464</v>
      </c>
      <c r="BM337" t="s">
        <v>74</v>
      </c>
      <c r="BN337">
        <v>23615201</v>
      </c>
      <c r="BO337" t="s">
        <v>74</v>
      </c>
      <c r="BP337" t="s">
        <v>74</v>
      </c>
      <c r="BQ337" t="s">
        <v>74</v>
      </c>
      <c r="BR337" t="s">
        <v>96</v>
      </c>
      <c r="BS337" t="s">
        <v>4179</v>
      </c>
      <c r="BT337" t="str">
        <f>HYPERLINK("https%3A%2F%2Fwww.webofscience.com%2Fwos%2Fwoscc%2Ffull-record%2FWOS:000317899600011","View Full Record in Web of Science")</f>
        <v>View Full Record in Web of Science</v>
      </c>
    </row>
    <row r="338" spans="1:72" x14ac:dyDescent="0.15">
      <c r="A338" t="s">
        <v>98</v>
      </c>
      <c r="B338" t="s">
        <v>4825</v>
      </c>
      <c r="C338" t="s">
        <v>74</v>
      </c>
      <c r="D338" t="s">
        <v>74</v>
      </c>
      <c r="E338" t="s">
        <v>74</v>
      </c>
      <c r="F338" t="s">
        <v>4826</v>
      </c>
      <c r="G338" t="s">
        <v>74</v>
      </c>
      <c r="H338" t="s">
        <v>74</v>
      </c>
      <c r="I338" t="s">
        <v>4827</v>
      </c>
      <c r="J338" t="s">
        <v>4828</v>
      </c>
      <c r="K338" t="s">
        <v>74</v>
      </c>
      <c r="L338" t="s">
        <v>74</v>
      </c>
      <c r="M338" t="s">
        <v>74</v>
      </c>
      <c r="N338" t="s">
        <v>103</v>
      </c>
      <c r="O338" t="s">
        <v>74</v>
      </c>
      <c r="P338" t="s">
        <v>74</v>
      </c>
      <c r="Q338" t="s">
        <v>74</v>
      </c>
      <c r="R338" t="s">
        <v>74</v>
      </c>
      <c r="S338" t="s">
        <v>74</v>
      </c>
      <c r="T338" t="s">
        <v>4829</v>
      </c>
      <c r="U338" t="s">
        <v>74</v>
      </c>
      <c r="V338" t="s">
        <v>4830</v>
      </c>
      <c r="W338" t="s">
        <v>4831</v>
      </c>
      <c r="X338" t="s">
        <v>4832</v>
      </c>
      <c r="Y338" t="s">
        <v>4833</v>
      </c>
      <c r="Z338" t="s">
        <v>1130</v>
      </c>
      <c r="AA338" t="s">
        <v>4834</v>
      </c>
      <c r="AB338" t="s">
        <v>4835</v>
      </c>
      <c r="AC338" t="s">
        <v>74</v>
      </c>
      <c r="AD338" t="s">
        <v>74</v>
      </c>
      <c r="AE338" t="s">
        <v>74</v>
      </c>
      <c r="AF338" t="s">
        <v>74</v>
      </c>
      <c r="AG338">
        <v>27</v>
      </c>
      <c r="AH338">
        <v>61</v>
      </c>
      <c r="AI338">
        <v>62</v>
      </c>
      <c r="AJ338">
        <v>20</v>
      </c>
      <c r="AK338">
        <v>95</v>
      </c>
      <c r="AL338" t="s">
        <v>74</v>
      </c>
      <c r="AM338" t="s">
        <v>74</v>
      </c>
      <c r="AN338" t="s">
        <v>74</v>
      </c>
      <c r="AO338" t="s">
        <v>4836</v>
      </c>
      <c r="AP338" t="s">
        <v>4837</v>
      </c>
      <c r="AQ338" t="s">
        <v>74</v>
      </c>
      <c r="AR338" t="s">
        <v>74</v>
      </c>
      <c r="AS338" t="s">
        <v>74</v>
      </c>
      <c r="AT338" t="s">
        <v>4838</v>
      </c>
      <c r="AU338">
        <v>2018</v>
      </c>
      <c r="AV338">
        <v>57</v>
      </c>
      <c r="AW338">
        <v>48</v>
      </c>
      <c r="AX338" t="s">
        <v>74</v>
      </c>
      <c r="AY338" t="s">
        <v>74</v>
      </c>
      <c r="AZ338" t="s">
        <v>74</v>
      </c>
      <c r="BA338" t="s">
        <v>74</v>
      </c>
      <c r="BB338">
        <v>15675</v>
      </c>
      <c r="BC338">
        <v>15680</v>
      </c>
      <c r="BD338" t="s">
        <v>74</v>
      </c>
      <c r="BE338" t="s">
        <v>4839</v>
      </c>
      <c r="BF338" t="str">
        <f>HYPERLINK("http://dx.doi.org/10.1002/anie.201806901","http://dx.doi.org/10.1002/anie.201806901")</f>
        <v>http://dx.doi.org/10.1002/anie.201806901</v>
      </c>
      <c r="BG338" t="s">
        <v>74</v>
      </c>
      <c r="BH338" t="s">
        <v>74</v>
      </c>
      <c r="BI338" t="s">
        <v>74</v>
      </c>
      <c r="BJ338" t="s">
        <v>1047</v>
      </c>
      <c r="BK338" t="s">
        <v>117</v>
      </c>
      <c r="BL338" t="s">
        <v>1048</v>
      </c>
      <c r="BM338" t="s">
        <v>74</v>
      </c>
      <c r="BN338">
        <v>30291794</v>
      </c>
      <c r="BO338" t="s">
        <v>74</v>
      </c>
      <c r="BP338" t="s">
        <v>74</v>
      </c>
      <c r="BQ338" t="s">
        <v>74</v>
      </c>
      <c r="BR338" t="s">
        <v>96</v>
      </c>
      <c r="BS338" t="s">
        <v>4840</v>
      </c>
      <c r="BT338" t="str">
        <f>HYPERLINK("https%3A%2F%2Fwww.webofscience.com%2Fwos%2Fwoscc%2Ffull-record%2FWOS:000452399900008","View Full Record in Web of Science")</f>
        <v>View Full Record in Web of Science</v>
      </c>
    </row>
    <row r="339" spans="1:72" x14ac:dyDescent="0.15">
      <c r="A339" t="s">
        <v>98</v>
      </c>
      <c r="B339" t="s">
        <v>9050</v>
      </c>
      <c r="C339" t="s">
        <v>74</v>
      </c>
      <c r="D339" t="s">
        <v>74</v>
      </c>
      <c r="E339" t="s">
        <v>74</v>
      </c>
      <c r="F339" t="s">
        <v>9051</v>
      </c>
      <c r="G339" t="s">
        <v>74</v>
      </c>
      <c r="H339" t="s">
        <v>74</v>
      </c>
      <c r="I339" t="s">
        <v>9052</v>
      </c>
      <c r="J339" t="s">
        <v>5139</v>
      </c>
      <c r="K339" t="s">
        <v>74</v>
      </c>
      <c r="L339" t="s">
        <v>74</v>
      </c>
      <c r="M339" t="s">
        <v>74</v>
      </c>
      <c r="N339" t="s">
        <v>103</v>
      </c>
      <c r="O339" t="s">
        <v>74</v>
      </c>
      <c r="P339" t="s">
        <v>74</v>
      </c>
      <c r="Q339" t="s">
        <v>74</v>
      </c>
      <c r="R339" t="s">
        <v>74</v>
      </c>
      <c r="S339" t="s">
        <v>74</v>
      </c>
      <c r="T339" t="s">
        <v>74</v>
      </c>
      <c r="U339" t="s">
        <v>9053</v>
      </c>
      <c r="V339" t="s">
        <v>9054</v>
      </c>
      <c r="W339" t="s">
        <v>9055</v>
      </c>
      <c r="X339" t="s">
        <v>9056</v>
      </c>
      <c r="Y339" t="s">
        <v>8892</v>
      </c>
      <c r="Z339" t="s">
        <v>8893</v>
      </c>
      <c r="AA339" t="s">
        <v>9057</v>
      </c>
      <c r="AB339" t="s">
        <v>9058</v>
      </c>
      <c r="AC339" t="s">
        <v>74</v>
      </c>
      <c r="AD339" t="s">
        <v>74</v>
      </c>
      <c r="AE339" t="s">
        <v>74</v>
      </c>
      <c r="AF339" t="s">
        <v>74</v>
      </c>
      <c r="AG339">
        <v>83</v>
      </c>
      <c r="AH339">
        <v>61</v>
      </c>
      <c r="AI339">
        <v>62</v>
      </c>
      <c r="AJ339">
        <v>5</v>
      </c>
      <c r="AK339">
        <v>20</v>
      </c>
      <c r="AL339" t="s">
        <v>74</v>
      </c>
      <c r="AM339" t="s">
        <v>74</v>
      </c>
      <c r="AN339" t="s">
        <v>74</v>
      </c>
      <c r="AO339" t="s">
        <v>74</v>
      </c>
      <c r="AP339" t="s">
        <v>5148</v>
      </c>
      <c r="AQ339" t="s">
        <v>74</v>
      </c>
      <c r="AR339" t="s">
        <v>74</v>
      </c>
      <c r="AS339" t="s">
        <v>74</v>
      </c>
      <c r="AT339" t="s">
        <v>9059</v>
      </c>
      <c r="AU339">
        <v>2020</v>
      </c>
      <c r="AV339">
        <v>11</v>
      </c>
      <c r="AW339">
        <v>1</v>
      </c>
      <c r="AX339" t="s">
        <v>74</v>
      </c>
      <c r="AY339" t="s">
        <v>74</v>
      </c>
      <c r="AZ339" t="s">
        <v>74</v>
      </c>
      <c r="BA339" t="s">
        <v>74</v>
      </c>
      <c r="BB339" t="s">
        <v>74</v>
      </c>
      <c r="BC339" t="s">
        <v>74</v>
      </c>
      <c r="BD339">
        <v>1499</v>
      </c>
      <c r="BE339" t="s">
        <v>9060</v>
      </c>
      <c r="BF339" t="str">
        <f>HYPERLINK("http://dx.doi.org/10.1038/s41467-020-15305-w","http://dx.doi.org/10.1038/s41467-020-15305-w")</f>
        <v>http://dx.doi.org/10.1038/s41467-020-15305-w</v>
      </c>
      <c r="BG339" t="s">
        <v>74</v>
      </c>
      <c r="BH339" t="s">
        <v>74</v>
      </c>
      <c r="BI339" t="s">
        <v>74</v>
      </c>
      <c r="BJ339" t="s">
        <v>152</v>
      </c>
      <c r="BK339" t="s">
        <v>117</v>
      </c>
      <c r="BL339" t="s">
        <v>153</v>
      </c>
      <c r="BM339" t="s">
        <v>74</v>
      </c>
      <c r="BN339">
        <v>32198406</v>
      </c>
      <c r="BO339" t="s">
        <v>74</v>
      </c>
      <c r="BP339" t="s">
        <v>74</v>
      </c>
      <c r="BQ339" t="s">
        <v>74</v>
      </c>
      <c r="BR339" t="s">
        <v>96</v>
      </c>
      <c r="BS339" t="s">
        <v>9061</v>
      </c>
      <c r="BT339" t="str">
        <f>HYPERLINK("https%3A%2F%2Fwww.webofscience.com%2Fwos%2Fwoscc%2Ffull-record%2FWOS:000522096100019","View Full Record in Web of Science")</f>
        <v>View Full Record in Web of Science</v>
      </c>
    </row>
    <row r="340" spans="1:72" x14ac:dyDescent="0.15">
      <c r="A340" t="s">
        <v>98</v>
      </c>
      <c r="B340" t="s">
        <v>11209</v>
      </c>
      <c r="C340" t="s">
        <v>74</v>
      </c>
      <c r="D340" t="s">
        <v>74</v>
      </c>
      <c r="E340" t="s">
        <v>74</v>
      </c>
      <c r="F340" t="s">
        <v>11210</v>
      </c>
      <c r="G340" t="s">
        <v>74</v>
      </c>
      <c r="H340" t="s">
        <v>74</v>
      </c>
      <c r="I340" t="s">
        <v>11211</v>
      </c>
      <c r="J340" t="s">
        <v>11212</v>
      </c>
      <c r="K340" t="s">
        <v>74</v>
      </c>
      <c r="L340" t="s">
        <v>74</v>
      </c>
      <c r="M340" t="s">
        <v>74</v>
      </c>
      <c r="N340" t="s">
        <v>103</v>
      </c>
      <c r="O340" t="s">
        <v>74</v>
      </c>
      <c r="P340" t="s">
        <v>74</v>
      </c>
      <c r="Q340" t="s">
        <v>74</v>
      </c>
      <c r="R340" t="s">
        <v>74</v>
      </c>
      <c r="S340" t="s">
        <v>74</v>
      </c>
      <c r="T340" t="s">
        <v>11213</v>
      </c>
      <c r="U340" t="s">
        <v>11214</v>
      </c>
      <c r="V340" t="s">
        <v>11215</v>
      </c>
      <c r="W340" t="s">
        <v>11216</v>
      </c>
      <c r="X340" t="s">
        <v>11217</v>
      </c>
      <c r="Y340" t="s">
        <v>11218</v>
      </c>
      <c r="Z340" t="s">
        <v>11219</v>
      </c>
      <c r="AA340" t="s">
        <v>4649</v>
      </c>
      <c r="AB340" t="s">
        <v>11220</v>
      </c>
      <c r="AC340" t="s">
        <v>74</v>
      </c>
      <c r="AD340" t="s">
        <v>74</v>
      </c>
      <c r="AE340" t="s">
        <v>74</v>
      </c>
      <c r="AF340" t="s">
        <v>74</v>
      </c>
      <c r="AG340">
        <v>45</v>
      </c>
      <c r="AH340">
        <v>61</v>
      </c>
      <c r="AI340">
        <v>65</v>
      </c>
      <c r="AJ340">
        <v>3</v>
      </c>
      <c r="AK340">
        <v>12</v>
      </c>
      <c r="AL340" t="s">
        <v>74</v>
      </c>
      <c r="AM340" t="s">
        <v>74</v>
      </c>
      <c r="AN340" t="s">
        <v>74</v>
      </c>
      <c r="AO340" t="s">
        <v>11221</v>
      </c>
      <c r="AP340" t="s">
        <v>11222</v>
      </c>
      <c r="AQ340" t="s">
        <v>74</v>
      </c>
      <c r="AR340" t="s">
        <v>74</v>
      </c>
      <c r="AS340" t="s">
        <v>74</v>
      </c>
      <c r="AT340" t="s">
        <v>967</v>
      </c>
      <c r="AU340">
        <v>2018</v>
      </c>
      <c r="AV340">
        <v>17</v>
      </c>
      <c r="AW340">
        <v>4</v>
      </c>
      <c r="AX340" t="s">
        <v>74</v>
      </c>
      <c r="AY340" t="s">
        <v>74</v>
      </c>
      <c r="AZ340" t="s">
        <v>74</v>
      </c>
      <c r="BA340" t="s">
        <v>74</v>
      </c>
      <c r="BB340">
        <v>1235</v>
      </c>
      <c r="BC340">
        <v>1246</v>
      </c>
      <c r="BD340" t="s">
        <v>74</v>
      </c>
      <c r="BE340" t="s">
        <v>11223</v>
      </c>
      <c r="BF340" t="str">
        <f>HYPERLINK("http://dx.doi.org/10.1177/1534735418786000","http://dx.doi.org/10.1177/1534735418786000")</f>
        <v>http://dx.doi.org/10.1177/1534735418786000</v>
      </c>
      <c r="BG340" t="s">
        <v>74</v>
      </c>
      <c r="BH340" t="s">
        <v>74</v>
      </c>
      <c r="BI340" t="s">
        <v>74</v>
      </c>
      <c r="BJ340" t="s">
        <v>11224</v>
      </c>
      <c r="BK340" t="s">
        <v>117</v>
      </c>
      <c r="BL340" t="s">
        <v>11224</v>
      </c>
      <c r="BM340" t="s">
        <v>74</v>
      </c>
      <c r="BN340">
        <v>29986606</v>
      </c>
      <c r="BO340" t="s">
        <v>74</v>
      </c>
      <c r="BP340" t="s">
        <v>74</v>
      </c>
      <c r="BQ340" t="s">
        <v>74</v>
      </c>
      <c r="BR340" t="s">
        <v>96</v>
      </c>
      <c r="BS340" t="s">
        <v>11225</v>
      </c>
      <c r="BT340" t="str">
        <f>HYPERLINK("https%3A%2F%2Fwww.webofscience.com%2Fwos%2Fwoscc%2Ffull-record%2FWOS:000450322400026","View Full Record in Web of Science")</f>
        <v>View Full Record in Web of Science</v>
      </c>
    </row>
    <row r="341" spans="1:72" x14ac:dyDescent="0.15">
      <c r="A341" t="s">
        <v>98</v>
      </c>
      <c r="B341" t="s">
        <v>13491</v>
      </c>
      <c r="C341" t="s">
        <v>74</v>
      </c>
      <c r="D341" t="s">
        <v>74</v>
      </c>
      <c r="E341" t="s">
        <v>74</v>
      </c>
      <c r="F341" t="s">
        <v>13492</v>
      </c>
      <c r="G341" t="s">
        <v>74</v>
      </c>
      <c r="H341" t="s">
        <v>74</v>
      </c>
      <c r="I341" t="s">
        <v>13493</v>
      </c>
      <c r="J341" t="s">
        <v>13494</v>
      </c>
      <c r="K341" t="s">
        <v>74</v>
      </c>
      <c r="L341" t="s">
        <v>74</v>
      </c>
      <c r="M341" t="s">
        <v>74</v>
      </c>
      <c r="N341" t="s">
        <v>103</v>
      </c>
      <c r="O341" t="s">
        <v>74</v>
      </c>
      <c r="P341" t="s">
        <v>74</v>
      </c>
      <c r="Q341" t="s">
        <v>74</v>
      </c>
      <c r="R341" t="s">
        <v>74</v>
      </c>
      <c r="S341" t="s">
        <v>74</v>
      </c>
      <c r="T341" t="s">
        <v>74</v>
      </c>
      <c r="U341" t="s">
        <v>13495</v>
      </c>
      <c r="V341" t="s">
        <v>13496</v>
      </c>
      <c r="W341" t="s">
        <v>13497</v>
      </c>
      <c r="X341" t="s">
        <v>13498</v>
      </c>
      <c r="Y341" t="s">
        <v>13499</v>
      </c>
      <c r="Z341" t="s">
        <v>13500</v>
      </c>
      <c r="AA341" t="s">
        <v>74</v>
      </c>
      <c r="AB341" t="s">
        <v>13501</v>
      </c>
      <c r="AC341" t="s">
        <v>74</v>
      </c>
      <c r="AD341" t="s">
        <v>74</v>
      </c>
      <c r="AE341" t="s">
        <v>74</v>
      </c>
      <c r="AF341" t="s">
        <v>74</v>
      </c>
      <c r="AG341">
        <v>46</v>
      </c>
      <c r="AH341">
        <v>61</v>
      </c>
      <c r="AI341">
        <v>61</v>
      </c>
      <c r="AJ341">
        <v>1</v>
      </c>
      <c r="AK341">
        <v>17</v>
      </c>
      <c r="AL341" t="s">
        <v>74</v>
      </c>
      <c r="AM341" t="s">
        <v>74</v>
      </c>
      <c r="AN341" t="s">
        <v>74</v>
      </c>
      <c r="AO341" t="s">
        <v>13502</v>
      </c>
      <c r="AP341" t="s">
        <v>13503</v>
      </c>
      <c r="AQ341" t="s">
        <v>74</v>
      </c>
      <c r="AR341" t="s">
        <v>74</v>
      </c>
      <c r="AS341" t="s">
        <v>74</v>
      </c>
      <c r="AT341" t="s">
        <v>3627</v>
      </c>
      <c r="AU341">
        <v>2019</v>
      </c>
      <c r="AV341">
        <v>38</v>
      </c>
      <c r="AW341">
        <v>26</v>
      </c>
      <c r="AX341" t="s">
        <v>74</v>
      </c>
      <c r="AY341" t="s">
        <v>74</v>
      </c>
      <c r="AZ341" t="s">
        <v>74</v>
      </c>
      <c r="BA341" t="s">
        <v>74</v>
      </c>
      <c r="BB341">
        <v>5227</v>
      </c>
      <c r="BC341">
        <v>5238</v>
      </c>
      <c r="BD341" t="s">
        <v>74</v>
      </c>
      <c r="BE341" t="s">
        <v>13504</v>
      </c>
      <c r="BF341" t="str">
        <f>HYPERLINK("http://dx.doi.org/10.1038/s41388-019-0788-4","http://dx.doi.org/10.1038/s41388-019-0788-4")</f>
        <v>http://dx.doi.org/10.1038/s41388-019-0788-4</v>
      </c>
      <c r="BG341" t="s">
        <v>74</v>
      </c>
      <c r="BH341" t="s">
        <v>74</v>
      </c>
      <c r="BI341" t="s">
        <v>74</v>
      </c>
      <c r="BJ341" t="s">
        <v>13505</v>
      </c>
      <c r="BK341" t="s">
        <v>117</v>
      </c>
      <c r="BL341" t="s">
        <v>13505</v>
      </c>
      <c r="BM341" t="s">
        <v>74</v>
      </c>
      <c r="BN341">
        <v>30890754</v>
      </c>
      <c r="BO341" t="s">
        <v>74</v>
      </c>
      <c r="BP341" t="s">
        <v>74</v>
      </c>
      <c r="BQ341" t="s">
        <v>74</v>
      </c>
      <c r="BR341" t="s">
        <v>96</v>
      </c>
      <c r="BS341" t="s">
        <v>13506</v>
      </c>
      <c r="BT341" t="str">
        <f>HYPERLINK("https%3A%2F%2Fwww.webofscience.com%2Fwos%2Fwoscc%2Ffull-record%2FWOS:000473025300008","View Full Record in Web of Science")</f>
        <v>View Full Record in Web of Science</v>
      </c>
    </row>
    <row r="342" spans="1:72" x14ac:dyDescent="0.15">
      <c r="A342" t="s">
        <v>98</v>
      </c>
      <c r="B342" t="s">
        <v>24483</v>
      </c>
      <c r="C342" t="s">
        <v>74</v>
      </c>
      <c r="D342" t="s">
        <v>74</v>
      </c>
      <c r="E342" t="s">
        <v>74</v>
      </c>
      <c r="F342" t="s">
        <v>24484</v>
      </c>
      <c r="G342" t="s">
        <v>74</v>
      </c>
      <c r="H342" t="s">
        <v>74</v>
      </c>
      <c r="I342" t="s">
        <v>24485</v>
      </c>
      <c r="J342" t="s">
        <v>24486</v>
      </c>
      <c r="K342" t="s">
        <v>74</v>
      </c>
      <c r="L342" t="s">
        <v>74</v>
      </c>
      <c r="M342" t="s">
        <v>74</v>
      </c>
      <c r="N342" t="s">
        <v>103</v>
      </c>
      <c r="O342" t="s">
        <v>74</v>
      </c>
      <c r="P342" t="s">
        <v>74</v>
      </c>
      <c r="Q342" t="s">
        <v>74</v>
      </c>
      <c r="R342" t="s">
        <v>74</v>
      </c>
      <c r="S342" t="s">
        <v>74</v>
      </c>
      <c r="T342" t="s">
        <v>24487</v>
      </c>
      <c r="U342" t="s">
        <v>24488</v>
      </c>
      <c r="V342" t="s">
        <v>24489</v>
      </c>
      <c r="W342" t="s">
        <v>24490</v>
      </c>
      <c r="X342" t="s">
        <v>24491</v>
      </c>
      <c r="Y342" t="s">
        <v>24492</v>
      </c>
      <c r="Z342" t="s">
        <v>24493</v>
      </c>
      <c r="AA342" t="s">
        <v>24494</v>
      </c>
      <c r="AB342" t="s">
        <v>24495</v>
      </c>
      <c r="AC342" t="s">
        <v>74</v>
      </c>
      <c r="AD342" t="s">
        <v>74</v>
      </c>
      <c r="AE342" t="s">
        <v>74</v>
      </c>
      <c r="AF342" t="s">
        <v>74</v>
      </c>
      <c r="AG342">
        <v>68</v>
      </c>
      <c r="AH342">
        <v>61</v>
      </c>
      <c r="AI342">
        <v>65</v>
      </c>
      <c r="AJ342">
        <v>0</v>
      </c>
      <c r="AK342">
        <v>6</v>
      </c>
      <c r="AL342" t="s">
        <v>74</v>
      </c>
      <c r="AM342" t="s">
        <v>74</v>
      </c>
      <c r="AN342" t="s">
        <v>74</v>
      </c>
      <c r="AO342" t="s">
        <v>24496</v>
      </c>
      <c r="AP342" t="s">
        <v>24497</v>
      </c>
      <c r="AQ342" t="s">
        <v>74</v>
      </c>
      <c r="AR342" t="s">
        <v>74</v>
      </c>
      <c r="AS342" t="s">
        <v>74</v>
      </c>
      <c r="AT342" t="s">
        <v>1640</v>
      </c>
      <c r="AU342">
        <v>2019</v>
      </c>
      <c r="AV342">
        <v>11</v>
      </c>
      <c r="AW342" t="s">
        <v>74</v>
      </c>
      <c r="AX342" t="s">
        <v>74</v>
      </c>
      <c r="AY342" t="s">
        <v>74</v>
      </c>
      <c r="AZ342" t="s">
        <v>74</v>
      </c>
      <c r="BA342" t="s">
        <v>74</v>
      </c>
      <c r="BB342" t="s">
        <v>74</v>
      </c>
      <c r="BC342" t="s">
        <v>74</v>
      </c>
      <c r="BD342">
        <v>59</v>
      </c>
      <c r="BE342" t="s">
        <v>24498</v>
      </c>
      <c r="BF342" t="str">
        <f>HYPERLINK("http://dx.doi.org/10.1186/s13148-019-0650-0","http://dx.doi.org/10.1186/s13148-019-0650-0")</f>
        <v>http://dx.doi.org/10.1186/s13148-019-0650-0</v>
      </c>
      <c r="BG342" t="s">
        <v>74</v>
      </c>
      <c r="BH342" t="s">
        <v>74</v>
      </c>
      <c r="BI342" t="s">
        <v>74</v>
      </c>
      <c r="BJ342" t="s">
        <v>12437</v>
      </c>
      <c r="BK342" t="s">
        <v>117</v>
      </c>
      <c r="BL342" t="s">
        <v>12437</v>
      </c>
      <c r="BM342" t="s">
        <v>74</v>
      </c>
      <c r="BN342">
        <v>30953539</v>
      </c>
      <c r="BO342" t="s">
        <v>74</v>
      </c>
      <c r="BP342" t="s">
        <v>74</v>
      </c>
      <c r="BQ342" t="s">
        <v>74</v>
      </c>
      <c r="BR342" t="s">
        <v>96</v>
      </c>
      <c r="BS342" t="s">
        <v>24499</v>
      </c>
      <c r="BT342" t="str">
        <f>HYPERLINK("https%3A%2F%2Fwww.webofscience.com%2Fwos%2Fwoscc%2Ffull-record%2FWOS:000463786100001","View Full Record in Web of Science")</f>
        <v>View Full Record in Web of Science</v>
      </c>
    </row>
    <row r="343" spans="1:72" x14ac:dyDescent="0.15">
      <c r="A343" t="s">
        <v>72</v>
      </c>
      <c r="B343" t="s">
        <v>73</v>
      </c>
      <c r="C343" t="s">
        <v>74</v>
      </c>
      <c r="D343" t="s">
        <v>75</v>
      </c>
      <c r="E343" t="s">
        <v>74</v>
      </c>
      <c r="F343" t="s">
        <v>76</v>
      </c>
      <c r="G343" t="s">
        <v>74</v>
      </c>
      <c r="H343" t="s">
        <v>74</v>
      </c>
      <c r="I343" t="s">
        <v>77</v>
      </c>
      <c r="J343" t="s">
        <v>78</v>
      </c>
      <c r="K343" t="s">
        <v>79</v>
      </c>
      <c r="L343" t="s">
        <v>74</v>
      </c>
      <c r="M343" t="s">
        <v>74</v>
      </c>
      <c r="N343" t="s">
        <v>80</v>
      </c>
      <c r="O343" t="s">
        <v>74</v>
      </c>
      <c r="P343" t="s">
        <v>74</v>
      </c>
      <c r="Q343" t="s">
        <v>74</v>
      </c>
      <c r="R343" t="s">
        <v>74</v>
      </c>
      <c r="S343" t="s">
        <v>74</v>
      </c>
      <c r="T343" t="s">
        <v>81</v>
      </c>
      <c r="U343" t="s">
        <v>82</v>
      </c>
      <c r="V343" t="s">
        <v>83</v>
      </c>
      <c r="W343" t="s">
        <v>84</v>
      </c>
      <c r="X343" t="s">
        <v>85</v>
      </c>
      <c r="Y343" t="s">
        <v>86</v>
      </c>
      <c r="Z343" t="s">
        <v>74</v>
      </c>
      <c r="AA343" t="s">
        <v>74</v>
      </c>
      <c r="AB343" t="s">
        <v>87</v>
      </c>
      <c r="AC343" t="s">
        <v>74</v>
      </c>
      <c r="AD343" t="s">
        <v>74</v>
      </c>
      <c r="AE343" t="s">
        <v>74</v>
      </c>
      <c r="AF343" t="s">
        <v>74</v>
      </c>
      <c r="AG343">
        <v>25</v>
      </c>
      <c r="AH343">
        <v>60</v>
      </c>
      <c r="AI343">
        <v>63</v>
      </c>
      <c r="AJ343">
        <v>3</v>
      </c>
      <c r="AK343">
        <v>16</v>
      </c>
      <c r="AL343" t="s">
        <v>74</v>
      </c>
      <c r="AM343" t="s">
        <v>74</v>
      </c>
      <c r="AN343" t="s">
        <v>74</v>
      </c>
      <c r="AO343" t="s">
        <v>88</v>
      </c>
      <c r="AP343" t="s">
        <v>89</v>
      </c>
      <c r="AQ343" t="s">
        <v>90</v>
      </c>
      <c r="AR343" t="s">
        <v>74</v>
      </c>
      <c r="AS343" t="s">
        <v>74</v>
      </c>
      <c r="AT343" t="s">
        <v>74</v>
      </c>
      <c r="AU343">
        <v>2017</v>
      </c>
      <c r="AV343">
        <v>1554</v>
      </c>
      <c r="AW343" t="s">
        <v>74</v>
      </c>
      <c r="AX343" t="s">
        <v>74</v>
      </c>
      <c r="AY343" t="s">
        <v>74</v>
      </c>
      <c r="AZ343" t="s">
        <v>74</v>
      </c>
      <c r="BA343" t="s">
        <v>74</v>
      </c>
      <c r="BB343">
        <v>193</v>
      </c>
      <c r="BC343">
        <v>200</v>
      </c>
      <c r="BD343" t="s">
        <v>74</v>
      </c>
      <c r="BE343" t="s">
        <v>91</v>
      </c>
      <c r="BF343" t="str">
        <f>HYPERLINK("http://dx.doi.org/10.1007/978-1-4939-6759-9_12","http://dx.doi.org/10.1007/978-1-4939-6759-9_12")</f>
        <v>http://dx.doi.org/10.1007/978-1-4939-6759-9_12</v>
      </c>
      <c r="BG343" t="s">
        <v>92</v>
      </c>
      <c r="BH343" t="s">
        <v>74</v>
      </c>
      <c r="BI343" t="s">
        <v>74</v>
      </c>
      <c r="BJ343" t="s">
        <v>93</v>
      </c>
      <c r="BK343" t="s">
        <v>94</v>
      </c>
      <c r="BL343" t="s">
        <v>95</v>
      </c>
      <c r="BM343" t="s">
        <v>74</v>
      </c>
      <c r="BN343">
        <v>28185192</v>
      </c>
      <c r="BO343" t="s">
        <v>74</v>
      </c>
      <c r="BP343" t="s">
        <v>74</v>
      </c>
      <c r="BQ343" t="s">
        <v>74</v>
      </c>
      <c r="BR343" t="s">
        <v>96</v>
      </c>
      <c r="BS343" t="s">
        <v>97</v>
      </c>
      <c r="BT343" t="str">
        <f>HYPERLINK("https%3A%2F%2Fwww.webofscience.com%2Fwos%2Fwoscc%2Ffull-record%2FWOS:000430673300013","View Full Record in Web of Science")</f>
        <v>View Full Record in Web of Science</v>
      </c>
    </row>
    <row r="344" spans="1:72" x14ac:dyDescent="0.15">
      <c r="A344" t="s">
        <v>98</v>
      </c>
      <c r="B344" t="s">
        <v>9609</v>
      </c>
      <c r="C344" t="s">
        <v>74</v>
      </c>
      <c r="D344" t="s">
        <v>74</v>
      </c>
      <c r="E344" t="s">
        <v>74</v>
      </c>
      <c r="F344" t="s">
        <v>9610</v>
      </c>
      <c r="G344" t="s">
        <v>74</v>
      </c>
      <c r="H344" t="s">
        <v>74</v>
      </c>
      <c r="I344" t="s">
        <v>9611</v>
      </c>
      <c r="J344" t="s">
        <v>836</v>
      </c>
      <c r="K344" t="s">
        <v>74</v>
      </c>
      <c r="L344" t="s">
        <v>74</v>
      </c>
      <c r="M344" t="s">
        <v>74</v>
      </c>
      <c r="N344" t="s">
        <v>103</v>
      </c>
      <c r="O344" t="s">
        <v>74</v>
      </c>
      <c r="P344" t="s">
        <v>74</v>
      </c>
      <c r="Q344" t="s">
        <v>74</v>
      </c>
      <c r="R344" t="s">
        <v>74</v>
      </c>
      <c r="S344" t="s">
        <v>74</v>
      </c>
      <c r="T344" t="s">
        <v>9612</v>
      </c>
      <c r="U344" t="s">
        <v>9613</v>
      </c>
      <c r="V344" t="s">
        <v>9614</v>
      </c>
      <c r="W344" t="s">
        <v>9615</v>
      </c>
      <c r="X344" t="s">
        <v>9616</v>
      </c>
      <c r="Y344" t="s">
        <v>9617</v>
      </c>
      <c r="Z344" t="s">
        <v>9618</v>
      </c>
      <c r="AA344" t="s">
        <v>74</v>
      </c>
      <c r="AB344" t="s">
        <v>9619</v>
      </c>
      <c r="AC344" t="s">
        <v>74</v>
      </c>
      <c r="AD344" t="s">
        <v>74</v>
      </c>
      <c r="AE344" t="s">
        <v>74</v>
      </c>
      <c r="AF344" t="s">
        <v>74</v>
      </c>
      <c r="AG344">
        <v>111</v>
      </c>
      <c r="AH344">
        <v>60</v>
      </c>
      <c r="AI344">
        <v>63</v>
      </c>
      <c r="AJ344">
        <v>0</v>
      </c>
      <c r="AK344">
        <v>3</v>
      </c>
      <c r="AL344" t="s">
        <v>74</v>
      </c>
      <c r="AM344" t="s">
        <v>74</v>
      </c>
      <c r="AN344" t="s">
        <v>74</v>
      </c>
      <c r="AO344" t="s">
        <v>74</v>
      </c>
      <c r="AP344" t="s">
        <v>846</v>
      </c>
      <c r="AQ344" t="s">
        <v>74</v>
      </c>
      <c r="AR344" t="s">
        <v>74</v>
      </c>
      <c r="AS344" t="s">
        <v>74</v>
      </c>
      <c r="AT344" t="s">
        <v>3712</v>
      </c>
      <c r="AU344">
        <v>2017</v>
      </c>
      <c r="AV344">
        <v>8</v>
      </c>
      <c r="AW344">
        <v>7</v>
      </c>
      <c r="AX344" t="s">
        <v>74</v>
      </c>
      <c r="AY344" t="s">
        <v>74</v>
      </c>
      <c r="AZ344" t="s">
        <v>74</v>
      </c>
      <c r="BA344" t="s">
        <v>74</v>
      </c>
      <c r="BB344">
        <v>11917</v>
      </c>
      <c r="BC344">
        <v>11936</v>
      </c>
      <c r="BD344" t="s">
        <v>74</v>
      </c>
      <c r="BE344" t="s">
        <v>9620</v>
      </c>
      <c r="BF344" t="str">
        <f>HYPERLINK("http://dx.doi.org/10.18632/oncotarget.14440","http://dx.doi.org/10.18632/oncotarget.14440")</f>
        <v>http://dx.doi.org/10.18632/oncotarget.14440</v>
      </c>
      <c r="BG344" t="s">
        <v>74</v>
      </c>
      <c r="BH344" t="s">
        <v>74</v>
      </c>
      <c r="BI344" t="s">
        <v>74</v>
      </c>
      <c r="BJ344" t="s">
        <v>848</v>
      </c>
      <c r="BK344" t="s">
        <v>117</v>
      </c>
      <c r="BL344" t="s">
        <v>848</v>
      </c>
      <c r="BM344" t="s">
        <v>74</v>
      </c>
      <c r="BN344">
        <v>28060758</v>
      </c>
      <c r="BO344" t="s">
        <v>74</v>
      </c>
      <c r="BP344" t="s">
        <v>74</v>
      </c>
      <c r="BQ344" t="s">
        <v>74</v>
      </c>
      <c r="BR344" t="s">
        <v>96</v>
      </c>
      <c r="BS344" t="s">
        <v>9621</v>
      </c>
      <c r="BT344" t="str">
        <f>HYPERLINK("https%3A%2F%2Fwww.webofscience.com%2Fwos%2Fwoscc%2Ffull-record%2FWOS:000394187400104","View Full Record in Web of Science")</f>
        <v>View Full Record in Web of Science</v>
      </c>
    </row>
    <row r="345" spans="1:72" x14ac:dyDescent="0.15">
      <c r="A345" t="s">
        <v>98</v>
      </c>
      <c r="B345" t="s">
        <v>10277</v>
      </c>
      <c r="C345" t="s">
        <v>74</v>
      </c>
      <c r="D345" t="s">
        <v>74</v>
      </c>
      <c r="E345" t="s">
        <v>74</v>
      </c>
      <c r="F345" t="s">
        <v>10278</v>
      </c>
      <c r="G345" t="s">
        <v>74</v>
      </c>
      <c r="H345" t="s">
        <v>74</v>
      </c>
      <c r="I345" t="s">
        <v>10279</v>
      </c>
      <c r="J345" t="s">
        <v>10280</v>
      </c>
      <c r="K345" t="s">
        <v>74</v>
      </c>
      <c r="L345" t="s">
        <v>74</v>
      </c>
      <c r="M345" t="s">
        <v>74</v>
      </c>
      <c r="N345" t="s">
        <v>103</v>
      </c>
      <c r="O345" t="s">
        <v>74</v>
      </c>
      <c r="P345" t="s">
        <v>74</v>
      </c>
      <c r="Q345" t="s">
        <v>74</v>
      </c>
      <c r="R345" t="s">
        <v>74</v>
      </c>
      <c r="S345" t="s">
        <v>74</v>
      </c>
      <c r="T345" t="s">
        <v>10281</v>
      </c>
      <c r="U345" t="s">
        <v>10282</v>
      </c>
      <c r="V345" t="s">
        <v>10283</v>
      </c>
      <c r="W345" t="s">
        <v>10284</v>
      </c>
      <c r="X345" t="s">
        <v>10285</v>
      </c>
      <c r="Y345" t="s">
        <v>10286</v>
      </c>
      <c r="Z345" t="s">
        <v>10287</v>
      </c>
      <c r="AA345" t="s">
        <v>74</v>
      </c>
      <c r="AB345" t="s">
        <v>74</v>
      </c>
      <c r="AC345" t="s">
        <v>74</v>
      </c>
      <c r="AD345" t="s">
        <v>74</v>
      </c>
      <c r="AE345" t="s">
        <v>74</v>
      </c>
      <c r="AF345" t="s">
        <v>74</v>
      </c>
      <c r="AG345">
        <v>64</v>
      </c>
      <c r="AH345">
        <v>60</v>
      </c>
      <c r="AI345">
        <v>61</v>
      </c>
      <c r="AJ345">
        <v>8</v>
      </c>
      <c r="AK345">
        <v>48</v>
      </c>
      <c r="AL345" t="s">
        <v>74</v>
      </c>
      <c r="AM345" t="s">
        <v>74</v>
      </c>
      <c r="AN345" t="s">
        <v>74</v>
      </c>
      <c r="AO345" t="s">
        <v>10288</v>
      </c>
      <c r="AP345" t="s">
        <v>10289</v>
      </c>
      <c r="AQ345" t="s">
        <v>74</v>
      </c>
      <c r="AR345" t="s">
        <v>74</v>
      </c>
      <c r="AS345" t="s">
        <v>74</v>
      </c>
      <c r="AT345" t="s">
        <v>132</v>
      </c>
      <c r="AU345">
        <v>2019</v>
      </c>
      <c r="AV345">
        <v>108</v>
      </c>
      <c r="AW345">
        <v>4</v>
      </c>
      <c r="AX345" t="s">
        <v>74</v>
      </c>
      <c r="AY345" t="s">
        <v>74</v>
      </c>
      <c r="AZ345" t="s">
        <v>74</v>
      </c>
      <c r="BA345" t="s">
        <v>74</v>
      </c>
      <c r="BB345">
        <v>1496</v>
      </c>
      <c r="BC345">
        <v>1505</v>
      </c>
      <c r="BD345" t="s">
        <v>74</v>
      </c>
      <c r="BE345" t="s">
        <v>10290</v>
      </c>
      <c r="BF345" t="str">
        <f>HYPERLINK("http://dx.doi.org/10.1016/j.xphs.2018.11.022","http://dx.doi.org/10.1016/j.xphs.2018.11.022")</f>
        <v>http://dx.doi.org/10.1016/j.xphs.2018.11.022</v>
      </c>
      <c r="BG345" t="s">
        <v>74</v>
      </c>
      <c r="BH345" t="s">
        <v>74</v>
      </c>
      <c r="BI345" t="s">
        <v>74</v>
      </c>
      <c r="BJ345" t="s">
        <v>10291</v>
      </c>
      <c r="BK345" t="s">
        <v>117</v>
      </c>
      <c r="BL345" t="s">
        <v>10292</v>
      </c>
      <c r="BM345" t="s">
        <v>74</v>
      </c>
      <c r="BN345">
        <v>30468828</v>
      </c>
      <c r="BO345" t="s">
        <v>74</v>
      </c>
      <c r="BP345" t="s">
        <v>74</v>
      </c>
      <c r="BQ345" t="s">
        <v>74</v>
      </c>
      <c r="BR345" t="s">
        <v>96</v>
      </c>
      <c r="BS345" t="s">
        <v>10293</v>
      </c>
      <c r="BT345" t="str">
        <f>HYPERLINK("https%3A%2F%2Fwww.webofscience.com%2Fwos%2Fwoscc%2Ffull-record%2FWOS:000477746300015","View Full Record in Web of Science")</f>
        <v>View Full Record in Web of Science</v>
      </c>
    </row>
    <row r="346" spans="1:72" x14ac:dyDescent="0.15">
      <c r="A346" t="s">
        <v>98</v>
      </c>
      <c r="B346" t="s">
        <v>9710</v>
      </c>
      <c r="C346" t="s">
        <v>74</v>
      </c>
      <c r="D346" t="s">
        <v>74</v>
      </c>
      <c r="E346" t="s">
        <v>74</v>
      </c>
      <c r="F346" t="s">
        <v>9711</v>
      </c>
      <c r="G346" t="s">
        <v>74</v>
      </c>
      <c r="H346" t="s">
        <v>74</v>
      </c>
      <c r="I346" t="s">
        <v>9712</v>
      </c>
      <c r="J346" t="s">
        <v>140</v>
      </c>
      <c r="K346" t="s">
        <v>74</v>
      </c>
      <c r="L346" t="s">
        <v>74</v>
      </c>
      <c r="M346" t="s">
        <v>74</v>
      </c>
      <c r="N346" t="s">
        <v>103</v>
      </c>
      <c r="O346" t="s">
        <v>74</v>
      </c>
      <c r="P346" t="s">
        <v>74</v>
      </c>
      <c r="Q346" t="s">
        <v>74</v>
      </c>
      <c r="R346" t="s">
        <v>74</v>
      </c>
      <c r="S346" t="s">
        <v>74</v>
      </c>
      <c r="T346" t="s">
        <v>74</v>
      </c>
      <c r="U346" t="s">
        <v>9713</v>
      </c>
      <c r="V346" t="s">
        <v>9714</v>
      </c>
      <c r="W346" t="s">
        <v>9715</v>
      </c>
      <c r="X346" t="s">
        <v>9716</v>
      </c>
      <c r="Y346" t="s">
        <v>9717</v>
      </c>
      <c r="Z346" t="s">
        <v>9718</v>
      </c>
      <c r="AA346" t="s">
        <v>9719</v>
      </c>
      <c r="AB346" t="s">
        <v>9720</v>
      </c>
      <c r="AC346" t="s">
        <v>74</v>
      </c>
      <c r="AD346" t="s">
        <v>74</v>
      </c>
      <c r="AE346" t="s">
        <v>74</v>
      </c>
      <c r="AF346" t="s">
        <v>74</v>
      </c>
      <c r="AG346">
        <v>47</v>
      </c>
      <c r="AH346">
        <v>59</v>
      </c>
      <c r="AI346">
        <v>59</v>
      </c>
      <c r="AJ346">
        <v>1</v>
      </c>
      <c r="AK346">
        <v>8</v>
      </c>
      <c r="AL346" t="s">
        <v>74</v>
      </c>
      <c r="AM346" t="s">
        <v>74</v>
      </c>
      <c r="AN346" t="s">
        <v>74</v>
      </c>
      <c r="AO346" t="s">
        <v>149</v>
      </c>
      <c r="AP346" t="s">
        <v>74</v>
      </c>
      <c r="AQ346" t="s">
        <v>74</v>
      </c>
      <c r="AR346" t="s">
        <v>74</v>
      </c>
      <c r="AS346" t="s">
        <v>74</v>
      </c>
      <c r="AT346" t="s">
        <v>9721</v>
      </c>
      <c r="AU346">
        <v>2019</v>
      </c>
      <c r="AV346">
        <v>9</v>
      </c>
      <c r="AW346" t="s">
        <v>74</v>
      </c>
      <c r="AX346" t="s">
        <v>74</v>
      </c>
      <c r="AY346" t="s">
        <v>74</v>
      </c>
      <c r="AZ346" t="s">
        <v>74</v>
      </c>
      <c r="BA346" t="s">
        <v>74</v>
      </c>
      <c r="BB346" t="s">
        <v>74</v>
      </c>
      <c r="BC346" t="s">
        <v>74</v>
      </c>
      <c r="BD346">
        <v>84</v>
      </c>
      <c r="BE346" t="s">
        <v>9722</v>
      </c>
      <c r="BF346" t="str">
        <f>HYPERLINK("http://dx.doi.org/10.1038/s41598-018-36452-7","http://dx.doi.org/10.1038/s41598-018-36452-7")</f>
        <v>http://dx.doi.org/10.1038/s41598-018-36452-7</v>
      </c>
      <c r="BG346" t="s">
        <v>74</v>
      </c>
      <c r="BH346" t="s">
        <v>74</v>
      </c>
      <c r="BI346" t="s">
        <v>74</v>
      </c>
      <c r="BJ346" t="s">
        <v>152</v>
      </c>
      <c r="BK346" t="s">
        <v>117</v>
      </c>
      <c r="BL346" t="s">
        <v>153</v>
      </c>
      <c r="BM346" t="s">
        <v>74</v>
      </c>
      <c r="BN346">
        <v>30643155</v>
      </c>
      <c r="BO346" t="s">
        <v>74</v>
      </c>
      <c r="BP346" t="s">
        <v>74</v>
      </c>
      <c r="BQ346" t="s">
        <v>74</v>
      </c>
      <c r="BR346" t="s">
        <v>96</v>
      </c>
      <c r="BS346" t="s">
        <v>9723</v>
      </c>
      <c r="BT346" t="str">
        <f>HYPERLINK("https%3A%2F%2Fwww.webofscience.com%2Fwos%2Fwoscc%2Ffull-record%2FWOS:000455592300005","View Full Record in Web of Science")</f>
        <v>View Full Record in Web of Science</v>
      </c>
    </row>
    <row r="347" spans="1:72" x14ac:dyDescent="0.15">
      <c r="A347" t="s">
        <v>98</v>
      </c>
      <c r="B347" t="s">
        <v>10049</v>
      </c>
      <c r="C347" t="s">
        <v>74</v>
      </c>
      <c r="D347" t="s">
        <v>74</v>
      </c>
      <c r="E347" t="s">
        <v>74</v>
      </c>
      <c r="F347" t="s">
        <v>10050</v>
      </c>
      <c r="G347" t="s">
        <v>74</v>
      </c>
      <c r="H347" t="s">
        <v>74</v>
      </c>
      <c r="I347" t="s">
        <v>10051</v>
      </c>
      <c r="J347" t="s">
        <v>5154</v>
      </c>
      <c r="K347" t="s">
        <v>74</v>
      </c>
      <c r="L347" t="s">
        <v>74</v>
      </c>
      <c r="M347" t="s">
        <v>74</v>
      </c>
      <c r="N347" t="s">
        <v>103</v>
      </c>
      <c r="O347" t="s">
        <v>74</v>
      </c>
      <c r="P347" t="s">
        <v>74</v>
      </c>
      <c r="Q347" t="s">
        <v>74</v>
      </c>
      <c r="R347" t="s">
        <v>74</v>
      </c>
      <c r="S347" t="s">
        <v>74</v>
      </c>
      <c r="T347" t="s">
        <v>10052</v>
      </c>
      <c r="U347" t="s">
        <v>10053</v>
      </c>
      <c r="V347" t="s">
        <v>10054</v>
      </c>
      <c r="W347" t="s">
        <v>10055</v>
      </c>
      <c r="X347" t="s">
        <v>10056</v>
      </c>
      <c r="Y347" t="s">
        <v>10057</v>
      </c>
      <c r="Z347" t="s">
        <v>1370</v>
      </c>
      <c r="AA347" t="s">
        <v>10058</v>
      </c>
      <c r="AB347" t="s">
        <v>10059</v>
      </c>
      <c r="AC347" t="s">
        <v>74</v>
      </c>
      <c r="AD347" t="s">
        <v>74</v>
      </c>
      <c r="AE347" t="s">
        <v>74</v>
      </c>
      <c r="AF347" t="s">
        <v>74</v>
      </c>
      <c r="AG347">
        <v>42</v>
      </c>
      <c r="AH347">
        <v>59</v>
      </c>
      <c r="AI347">
        <v>62</v>
      </c>
      <c r="AJ347">
        <v>1</v>
      </c>
      <c r="AK347">
        <v>12</v>
      </c>
      <c r="AL347" t="s">
        <v>74</v>
      </c>
      <c r="AM347" t="s">
        <v>74</v>
      </c>
      <c r="AN347" t="s">
        <v>74</v>
      </c>
      <c r="AO347" t="s">
        <v>5164</v>
      </c>
      <c r="AP347" t="s">
        <v>5165</v>
      </c>
      <c r="AQ347" t="s">
        <v>74</v>
      </c>
      <c r="AR347" t="s">
        <v>74</v>
      </c>
      <c r="AS347" t="s">
        <v>74</v>
      </c>
      <c r="AT347" t="s">
        <v>283</v>
      </c>
      <c r="AU347">
        <v>2018</v>
      </c>
      <c r="AV347">
        <v>20</v>
      </c>
      <c r="AW347">
        <v>2</v>
      </c>
      <c r="AX347" t="s">
        <v>74</v>
      </c>
      <c r="AY347" t="s">
        <v>74</v>
      </c>
      <c r="AZ347" t="s">
        <v>74</v>
      </c>
      <c r="BA347" t="s">
        <v>74</v>
      </c>
      <c r="BB347">
        <v>236</v>
      </c>
      <c r="BC347">
        <v>248</v>
      </c>
      <c r="BD347" t="s">
        <v>74</v>
      </c>
      <c r="BE347" t="s">
        <v>10060</v>
      </c>
      <c r="BF347" t="str">
        <f>HYPERLINK("http://dx.doi.org/10.1093/neuonc/nox142","http://dx.doi.org/10.1093/neuonc/nox142")</f>
        <v>http://dx.doi.org/10.1093/neuonc/nox142</v>
      </c>
      <c r="BG347" t="s">
        <v>74</v>
      </c>
      <c r="BH347" t="s">
        <v>74</v>
      </c>
      <c r="BI347" t="s">
        <v>74</v>
      </c>
      <c r="BJ347" t="s">
        <v>5167</v>
      </c>
      <c r="BK347" t="s">
        <v>117</v>
      </c>
      <c r="BL347" t="s">
        <v>5168</v>
      </c>
      <c r="BM347" t="s">
        <v>74</v>
      </c>
      <c r="BN347">
        <v>29016925</v>
      </c>
      <c r="BO347" t="s">
        <v>74</v>
      </c>
      <c r="BP347" t="s">
        <v>74</v>
      </c>
      <c r="BQ347" t="s">
        <v>74</v>
      </c>
      <c r="BR347" t="s">
        <v>96</v>
      </c>
      <c r="BS347" t="s">
        <v>10061</v>
      </c>
      <c r="BT347" t="str">
        <f>HYPERLINK("https%3A%2F%2Fwww.webofscience.com%2Fwos%2Fwoscc%2Ffull-record%2FWOS:000423620100012","View Full Record in Web of Science")</f>
        <v>View Full Record in Web of Science</v>
      </c>
    </row>
    <row r="348" spans="1:72" x14ac:dyDescent="0.15">
      <c r="A348" t="s">
        <v>98</v>
      </c>
      <c r="B348" t="s">
        <v>2212</v>
      </c>
      <c r="C348" t="s">
        <v>74</v>
      </c>
      <c r="D348" t="s">
        <v>74</v>
      </c>
      <c r="E348" t="s">
        <v>74</v>
      </c>
      <c r="F348" t="s">
        <v>2213</v>
      </c>
      <c r="G348" t="s">
        <v>74</v>
      </c>
      <c r="H348" t="s">
        <v>74</v>
      </c>
      <c r="I348" t="s">
        <v>2214</v>
      </c>
      <c r="J348" t="s">
        <v>2215</v>
      </c>
      <c r="K348" t="s">
        <v>74</v>
      </c>
      <c r="L348" t="s">
        <v>74</v>
      </c>
      <c r="M348" t="s">
        <v>74</v>
      </c>
      <c r="N348" t="s">
        <v>103</v>
      </c>
      <c r="O348" t="s">
        <v>74</v>
      </c>
      <c r="P348" t="s">
        <v>74</v>
      </c>
      <c r="Q348" t="s">
        <v>74</v>
      </c>
      <c r="R348" t="s">
        <v>74</v>
      </c>
      <c r="S348" t="s">
        <v>74</v>
      </c>
      <c r="T348" t="s">
        <v>74</v>
      </c>
      <c r="U348" t="s">
        <v>2216</v>
      </c>
      <c r="V348" t="s">
        <v>2217</v>
      </c>
      <c r="W348" t="s">
        <v>2218</v>
      </c>
      <c r="X348" t="s">
        <v>2219</v>
      </c>
      <c r="Y348" t="s">
        <v>2220</v>
      </c>
      <c r="Z348" t="s">
        <v>2221</v>
      </c>
      <c r="AA348" t="s">
        <v>2222</v>
      </c>
      <c r="AB348" t="s">
        <v>2223</v>
      </c>
      <c r="AC348" t="s">
        <v>74</v>
      </c>
      <c r="AD348" t="s">
        <v>74</v>
      </c>
      <c r="AE348" t="s">
        <v>74</v>
      </c>
      <c r="AF348" t="s">
        <v>74</v>
      </c>
      <c r="AG348">
        <v>53</v>
      </c>
      <c r="AH348">
        <v>58</v>
      </c>
      <c r="AI348">
        <v>60</v>
      </c>
      <c r="AJ348">
        <v>1</v>
      </c>
      <c r="AK348">
        <v>22</v>
      </c>
      <c r="AL348" t="s">
        <v>74</v>
      </c>
      <c r="AM348" t="s">
        <v>74</v>
      </c>
      <c r="AN348" t="s">
        <v>74</v>
      </c>
      <c r="AO348" t="s">
        <v>2224</v>
      </c>
      <c r="AP348" t="s">
        <v>2225</v>
      </c>
      <c r="AQ348" t="s">
        <v>74</v>
      </c>
      <c r="AR348" t="s">
        <v>74</v>
      </c>
      <c r="AS348" t="s">
        <v>74</v>
      </c>
      <c r="AT348" t="s">
        <v>549</v>
      </c>
      <c r="AU348">
        <v>2014</v>
      </c>
      <c r="AV348">
        <v>23</v>
      </c>
      <c r="AW348">
        <v>13</v>
      </c>
      <c r="AX348" t="s">
        <v>74</v>
      </c>
      <c r="AY348" t="s">
        <v>74</v>
      </c>
      <c r="AZ348" t="s">
        <v>74</v>
      </c>
      <c r="BA348" t="s">
        <v>74</v>
      </c>
      <c r="BB348">
        <v>1429</v>
      </c>
      <c r="BC348">
        <v>1436</v>
      </c>
      <c r="BD348" t="s">
        <v>74</v>
      </c>
      <c r="BE348" t="s">
        <v>2226</v>
      </c>
      <c r="BF348" t="str">
        <f>HYPERLINK("http://dx.doi.org/10.1089/scd.2013.0594","http://dx.doi.org/10.1089/scd.2013.0594")</f>
        <v>http://dx.doi.org/10.1089/scd.2013.0594</v>
      </c>
      <c r="BG348" t="s">
        <v>74</v>
      </c>
      <c r="BH348" t="s">
        <v>74</v>
      </c>
      <c r="BI348" t="s">
        <v>74</v>
      </c>
      <c r="BJ348" t="s">
        <v>2227</v>
      </c>
      <c r="BK348" t="s">
        <v>117</v>
      </c>
      <c r="BL348" t="s">
        <v>2228</v>
      </c>
      <c r="BM348" t="s">
        <v>74</v>
      </c>
      <c r="BN348">
        <v>24564699</v>
      </c>
      <c r="BO348" t="s">
        <v>74</v>
      </c>
      <c r="BP348" t="s">
        <v>74</v>
      </c>
      <c r="BQ348" t="s">
        <v>74</v>
      </c>
      <c r="BR348" t="s">
        <v>96</v>
      </c>
      <c r="BS348" t="s">
        <v>2229</v>
      </c>
      <c r="BT348" t="str">
        <f>HYPERLINK("https%3A%2F%2Fwww.webofscience.com%2Fwos%2Fwoscc%2Ffull-record%2FWOS:000337955400001","View Full Record in Web of Science")</f>
        <v>View Full Record in Web of Science</v>
      </c>
    </row>
    <row r="349" spans="1:72" x14ac:dyDescent="0.15">
      <c r="A349" t="s">
        <v>98</v>
      </c>
      <c r="B349" t="s">
        <v>26201</v>
      </c>
      <c r="C349" t="s">
        <v>74</v>
      </c>
      <c r="D349" t="s">
        <v>74</v>
      </c>
      <c r="E349" t="s">
        <v>74</v>
      </c>
      <c r="F349" t="s">
        <v>26202</v>
      </c>
      <c r="G349" t="s">
        <v>74</v>
      </c>
      <c r="H349" t="s">
        <v>74</v>
      </c>
      <c r="I349" t="s">
        <v>26203</v>
      </c>
      <c r="J349" t="s">
        <v>1073</v>
      </c>
      <c r="K349" t="s">
        <v>74</v>
      </c>
      <c r="L349" t="s">
        <v>74</v>
      </c>
      <c r="M349" t="s">
        <v>74</v>
      </c>
      <c r="N349" t="s">
        <v>103</v>
      </c>
      <c r="O349" t="s">
        <v>74</v>
      </c>
      <c r="P349" t="s">
        <v>74</v>
      </c>
      <c r="Q349" t="s">
        <v>74</v>
      </c>
      <c r="R349" t="s">
        <v>74</v>
      </c>
      <c r="S349" t="s">
        <v>74</v>
      </c>
      <c r="T349" t="s">
        <v>74</v>
      </c>
      <c r="U349" t="s">
        <v>26204</v>
      </c>
      <c r="V349" t="s">
        <v>26205</v>
      </c>
      <c r="W349" t="s">
        <v>26206</v>
      </c>
      <c r="X349" t="s">
        <v>26207</v>
      </c>
      <c r="Y349" t="s">
        <v>26208</v>
      </c>
      <c r="Z349" t="s">
        <v>26209</v>
      </c>
      <c r="AA349" t="s">
        <v>26210</v>
      </c>
      <c r="AB349" t="s">
        <v>26211</v>
      </c>
      <c r="AC349" t="s">
        <v>74</v>
      </c>
      <c r="AD349" t="s">
        <v>74</v>
      </c>
      <c r="AE349" t="s">
        <v>74</v>
      </c>
      <c r="AF349" t="s">
        <v>74</v>
      </c>
      <c r="AG349">
        <v>67</v>
      </c>
      <c r="AH349">
        <v>58</v>
      </c>
      <c r="AI349">
        <v>59</v>
      </c>
      <c r="AJ349">
        <v>1</v>
      </c>
      <c r="AK349">
        <v>34</v>
      </c>
      <c r="AL349" t="s">
        <v>74</v>
      </c>
      <c r="AM349" t="s">
        <v>74</v>
      </c>
      <c r="AN349" t="s">
        <v>74</v>
      </c>
      <c r="AO349" t="s">
        <v>1082</v>
      </c>
      <c r="AP349" t="s">
        <v>74</v>
      </c>
      <c r="AQ349" t="s">
        <v>74</v>
      </c>
      <c r="AR349" t="s">
        <v>74</v>
      </c>
      <c r="AS349" t="s">
        <v>74</v>
      </c>
      <c r="AT349" t="s">
        <v>5213</v>
      </c>
      <c r="AU349">
        <v>2010</v>
      </c>
      <c r="AV349">
        <v>5</v>
      </c>
      <c r="AW349">
        <v>10</v>
      </c>
      <c r="AX349" t="s">
        <v>74</v>
      </c>
      <c r="AY349" t="s">
        <v>74</v>
      </c>
      <c r="AZ349" t="s">
        <v>74</v>
      </c>
      <c r="BA349" t="s">
        <v>74</v>
      </c>
      <c r="BB349" t="s">
        <v>74</v>
      </c>
      <c r="BC349" t="s">
        <v>74</v>
      </c>
      <c r="BD349" t="s">
        <v>26212</v>
      </c>
      <c r="BE349" t="s">
        <v>26213</v>
      </c>
      <c r="BF349" t="str">
        <f>HYPERLINK("http://dx.doi.org/10.1371/journal.pone.0013430","http://dx.doi.org/10.1371/journal.pone.0013430")</f>
        <v>http://dx.doi.org/10.1371/journal.pone.0013430</v>
      </c>
      <c r="BG349" t="s">
        <v>74</v>
      </c>
      <c r="BH349" t="s">
        <v>74</v>
      </c>
      <c r="BI349" t="s">
        <v>74</v>
      </c>
      <c r="BJ349" t="s">
        <v>152</v>
      </c>
      <c r="BK349" t="s">
        <v>117</v>
      </c>
      <c r="BL349" t="s">
        <v>153</v>
      </c>
      <c r="BM349" t="s">
        <v>74</v>
      </c>
      <c r="BN349">
        <v>20976172</v>
      </c>
      <c r="BO349" t="s">
        <v>74</v>
      </c>
      <c r="BP349" t="s">
        <v>74</v>
      </c>
      <c r="BQ349" t="s">
        <v>74</v>
      </c>
      <c r="BR349" t="s">
        <v>96</v>
      </c>
      <c r="BS349" t="s">
        <v>26214</v>
      </c>
      <c r="BT349" t="str">
        <f>HYPERLINK("https%3A%2F%2Fwww.webofscience.com%2Fwos%2Fwoscc%2Ffull-record%2FWOS:000283043700021","View Full Record in Web of Science")</f>
        <v>View Full Record in Web of Science</v>
      </c>
    </row>
    <row r="350" spans="1:72" x14ac:dyDescent="0.15">
      <c r="A350" t="s">
        <v>98</v>
      </c>
      <c r="B350" t="s">
        <v>27702</v>
      </c>
      <c r="C350" t="s">
        <v>74</v>
      </c>
      <c r="D350" t="s">
        <v>74</v>
      </c>
      <c r="E350" t="s">
        <v>74</v>
      </c>
      <c r="F350" t="s">
        <v>27702</v>
      </c>
      <c r="G350" t="s">
        <v>74</v>
      </c>
      <c r="H350" t="s">
        <v>74</v>
      </c>
      <c r="I350" t="s">
        <v>27703</v>
      </c>
      <c r="J350" t="s">
        <v>2505</v>
      </c>
      <c r="K350" t="s">
        <v>74</v>
      </c>
      <c r="L350" t="s">
        <v>74</v>
      </c>
      <c r="M350" t="s">
        <v>74</v>
      </c>
      <c r="N350" t="s">
        <v>103</v>
      </c>
      <c r="O350" t="s">
        <v>74</v>
      </c>
      <c r="P350" t="s">
        <v>74</v>
      </c>
      <c r="Q350" t="s">
        <v>74</v>
      </c>
      <c r="R350" t="s">
        <v>74</v>
      </c>
      <c r="S350" t="s">
        <v>74</v>
      </c>
      <c r="T350" t="s">
        <v>27704</v>
      </c>
      <c r="U350" t="s">
        <v>27705</v>
      </c>
      <c r="V350" t="s">
        <v>27706</v>
      </c>
      <c r="W350" t="s">
        <v>27707</v>
      </c>
      <c r="X350" t="s">
        <v>27708</v>
      </c>
      <c r="Y350" t="s">
        <v>27709</v>
      </c>
      <c r="Z350" t="s">
        <v>27710</v>
      </c>
      <c r="AA350" t="s">
        <v>27711</v>
      </c>
      <c r="AB350" t="s">
        <v>27712</v>
      </c>
      <c r="AC350" t="s">
        <v>74</v>
      </c>
      <c r="AD350" t="s">
        <v>74</v>
      </c>
      <c r="AE350" t="s">
        <v>74</v>
      </c>
      <c r="AF350" t="s">
        <v>74</v>
      </c>
      <c r="AG350">
        <v>67</v>
      </c>
      <c r="AH350">
        <v>58</v>
      </c>
      <c r="AI350">
        <v>58</v>
      </c>
      <c r="AJ350">
        <v>0</v>
      </c>
      <c r="AK350">
        <v>1</v>
      </c>
      <c r="AL350" t="s">
        <v>74</v>
      </c>
      <c r="AM350" t="s">
        <v>74</v>
      </c>
      <c r="AN350" t="s">
        <v>74</v>
      </c>
      <c r="AO350" t="s">
        <v>2513</v>
      </c>
      <c r="AP350" t="s">
        <v>2514</v>
      </c>
      <c r="AQ350" t="s">
        <v>74</v>
      </c>
      <c r="AR350" t="s">
        <v>74</v>
      </c>
      <c r="AS350" t="s">
        <v>74</v>
      </c>
      <c r="AT350" t="s">
        <v>283</v>
      </c>
      <c r="AU350">
        <v>2000</v>
      </c>
      <c r="AV350">
        <v>76</v>
      </c>
      <c r="AW350">
        <v>2</v>
      </c>
      <c r="AX350" t="s">
        <v>74</v>
      </c>
      <c r="AY350" t="s">
        <v>74</v>
      </c>
      <c r="AZ350" t="s">
        <v>74</v>
      </c>
      <c r="BA350" t="s">
        <v>74</v>
      </c>
      <c r="BB350">
        <v>231</v>
      </c>
      <c r="BC350">
        <v>243</v>
      </c>
      <c r="BD350" t="s">
        <v>74</v>
      </c>
      <c r="BE350" t="s">
        <v>27713</v>
      </c>
      <c r="BF350" t="str">
        <f>HYPERLINK("http://dx.doi.org/10.1002/(SICI)1097-4644(20000201)76:2&lt;231::AID-JCB7&gt;3.0.CO;2-X","http://dx.doi.org/10.1002/(SICI)1097-4644(20000201)76:2&lt;231::AID-JCB7&gt;3.0.CO;2-X")</f>
        <v>http://dx.doi.org/10.1002/(SICI)1097-4644(20000201)76:2&lt;231::AID-JCB7&gt;3.0.CO;2-X</v>
      </c>
      <c r="BG350" t="s">
        <v>74</v>
      </c>
      <c r="BH350" t="s">
        <v>74</v>
      </c>
      <c r="BI350" t="s">
        <v>74</v>
      </c>
      <c r="BJ350" t="s">
        <v>498</v>
      </c>
      <c r="BK350" t="s">
        <v>117</v>
      </c>
      <c r="BL350" t="s">
        <v>498</v>
      </c>
      <c r="BM350" t="s">
        <v>74</v>
      </c>
      <c r="BN350">
        <v>10618640</v>
      </c>
      <c r="BO350" t="s">
        <v>74</v>
      </c>
      <c r="BP350" t="s">
        <v>74</v>
      </c>
      <c r="BQ350" t="s">
        <v>74</v>
      </c>
      <c r="BR350" t="s">
        <v>96</v>
      </c>
      <c r="BS350" t="s">
        <v>27714</v>
      </c>
      <c r="BT350" t="str">
        <f>HYPERLINK("https%3A%2F%2Fwww.webofscience.com%2Fwos%2Fwoscc%2Ffull-record%2FWOS:000084697600007","View Full Record in Web of Science")</f>
        <v>View Full Record in Web of Science</v>
      </c>
    </row>
    <row r="351" spans="1:72" x14ac:dyDescent="0.15">
      <c r="A351" t="s">
        <v>98</v>
      </c>
      <c r="B351" t="s">
        <v>1361</v>
      </c>
      <c r="C351" t="s">
        <v>74</v>
      </c>
      <c r="D351" t="s">
        <v>74</v>
      </c>
      <c r="E351" t="s">
        <v>74</v>
      </c>
      <c r="F351" t="s">
        <v>1362</v>
      </c>
      <c r="G351" t="s">
        <v>74</v>
      </c>
      <c r="H351" t="s">
        <v>74</v>
      </c>
      <c r="I351" t="s">
        <v>1363</v>
      </c>
      <c r="J351" t="s">
        <v>836</v>
      </c>
      <c r="K351" t="s">
        <v>74</v>
      </c>
      <c r="L351" t="s">
        <v>74</v>
      </c>
      <c r="M351" t="s">
        <v>74</v>
      </c>
      <c r="N351" t="s">
        <v>103</v>
      </c>
      <c r="O351" t="s">
        <v>74</v>
      </c>
      <c r="P351" t="s">
        <v>74</v>
      </c>
      <c r="Q351" t="s">
        <v>74</v>
      </c>
      <c r="R351" t="s">
        <v>74</v>
      </c>
      <c r="S351" t="s">
        <v>74</v>
      </c>
      <c r="T351" t="s">
        <v>1364</v>
      </c>
      <c r="U351" t="s">
        <v>1365</v>
      </c>
      <c r="V351" t="s">
        <v>1366</v>
      </c>
      <c r="W351" t="s">
        <v>1367</v>
      </c>
      <c r="X351" t="s">
        <v>1368</v>
      </c>
      <c r="Y351" t="s">
        <v>1369</v>
      </c>
      <c r="Z351" t="s">
        <v>1370</v>
      </c>
      <c r="AA351" t="s">
        <v>1371</v>
      </c>
      <c r="AB351" t="s">
        <v>1372</v>
      </c>
      <c r="AC351" t="s">
        <v>74</v>
      </c>
      <c r="AD351" t="s">
        <v>74</v>
      </c>
      <c r="AE351" t="s">
        <v>74</v>
      </c>
      <c r="AF351" t="s">
        <v>74</v>
      </c>
      <c r="AG351">
        <v>45</v>
      </c>
      <c r="AH351">
        <v>57</v>
      </c>
      <c r="AI351">
        <v>57</v>
      </c>
      <c r="AJ351">
        <v>0</v>
      </c>
      <c r="AK351">
        <v>4</v>
      </c>
      <c r="AL351" t="s">
        <v>74</v>
      </c>
      <c r="AM351" t="s">
        <v>74</v>
      </c>
      <c r="AN351" t="s">
        <v>74</v>
      </c>
      <c r="AO351" t="s">
        <v>74</v>
      </c>
      <c r="AP351" t="s">
        <v>846</v>
      </c>
      <c r="AQ351" t="s">
        <v>74</v>
      </c>
      <c r="AR351" t="s">
        <v>74</v>
      </c>
      <c r="AS351" t="s">
        <v>74</v>
      </c>
      <c r="AT351" t="s">
        <v>1373</v>
      </c>
      <c r="AU351">
        <v>2016</v>
      </c>
      <c r="AV351">
        <v>7</v>
      </c>
      <c r="AW351">
        <v>32</v>
      </c>
      <c r="AX351" t="s">
        <v>74</v>
      </c>
      <c r="AY351" t="s">
        <v>74</v>
      </c>
      <c r="AZ351" t="s">
        <v>74</v>
      </c>
      <c r="BA351" t="s">
        <v>74</v>
      </c>
      <c r="BB351">
        <v>51991</v>
      </c>
      <c r="BC351">
        <v>52002</v>
      </c>
      <c r="BD351" t="s">
        <v>74</v>
      </c>
      <c r="BE351" t="s">
        <v>1374</v>
      </c>
      <c r="BF351" t="str">
        <f>HYPERLINK("http://dx.doi.org/10.18632/oncotarget.10627","http://dx.doi.org/10.18632/oncotarget.10627")</f>
        <v>http://dx.doi.org/10.18632/oncotarget.10627</v>
      </c>
      <c r="BG351" t="s">
        <v>74</v>
      </c>
      <c r="BH351" t="s">
        <v>74</v>
      </c>
      <c r="BI351" t="s">
        <v>74</v>
      </c>
      <c r="BJ351" t="s">
        <v>848</v>
      </c>
      <c r="BK351" t="s">
        <v>117</v>
      </c>
      <c r="BL351" t="s">
        <v>848</v>
      </c>
      <c r="BM351" t="s">
        <v>74</v>
      </c>
      <c r="BN351">
        <v>27437771</v>
      </c>
      <c r="BO351" t="s">
        <v>74</v>
      </c>
      <c r="BP351" t="s">
        <v>74</v>
      </c>
      <c r="BQ351" t="s">
        <v>74</v>
      </c>
      <c r="BR351" t="s">
        <v>96</v>
      </c>
      <c r="BS351" t="s">
        <v>1375</v>
      </c>
      <c r="BT351" t="str">
        <f>HYPERLINK("https%3A%2F%2Fwww.webofscience.com%2Fwos%2Fwoscc%2Ffull-record%2FWOS:000385429100097","View Full Record in Web of Science")</f>
        <v>View Full Record in Web of Science</v>
      </c>
    </row>
    <row r="352" spans="1:72" x14ac:dyDescent="0.15">
      <c r="A352" t="s">
        <v>98</v>
      </c>
      <c r="B352" t="s">
        <v>2658</v>
      </c>
      <c r="C352" t="s">
        <v>74</v>
      </c>
      <c r="D352" t="s">
        <v>74</v>
      </c>
      <c r="E352" t="s">
        <v>74</v>
      </c>
      <c r="F352" t="s">
        <v>2659</v>
      </c>
      <c r="G352" t="s">
        <v>74</v>
      </c>
      <c r="H352" t="s">
        <v>74</v>
      </c>
      <c r="I352" t="s">
        <v>2660</v>
      </c>
      <c r="J352" t="s">
        <v>2661</v>
      </c>
      <c r="K352" t="s">
        <v>74</v>
      </c>
      <c r="L352" t="s">
        <v>74</v>
      </c>
      <c r="M352" t="s">
        <v>74</v>
      </c>
      <c r="N352" t="s">
        <v>103</v>
      </c>
      <c r="O352" t="s">
        <v>74</v>
      </c>
      <c r="P352" t="s">
        <v>74</v>
      </c>
      <c r="Q352" t="s">
        <v>74</v>
      </c>
      <c r="R352" t="s">
        <v>74</v>
      </c>
      <c r="S352" t="s">
        <v>74</v>
      </c>
      <c r="T352" t="s">
        <v>2662</v>
      </c>
      <c r="U352" t="s">
        <v>2663</v>
      </c>
      <c r="V352" t="s">
        <v>2664</v>
      </c>
      <c r="W352" t="s">
        <v>2665</v>
      </c>
      <c r="X352" t="s">
        <v>2666</v>
      </c>
      <c r="Y352" t="s">
        <v>2667</v>
      </c>
      <c r="Z352" t="s">
        <v>2668</v>
      </c>
      <c r="AA352" t="s">
        <v>74</v>
      </c>
      <c r="AB352" t="s">
        <v>2669</v>
      </c>
      <c r="AC352" t="s">
        <v>74</v>
      </c>
      <c r="AD352" t="s">
        <v>74</v>
      </c>
      <c r="AE352" t="s">
        <v>74</v>
      </c>
      <c r="AF352" t="s">
        <v>74</v>
      </c>
      <c r="AG352">
        <v>35</v>
      </c>
      <c r="AH352">
        <v>57</v>
      </c>
      <c r="AI352">
        <v>59</v>
      </c>
      <c r="AJ352">
        <v>6</v>
      </c>
      <c r="AK352">
        <v>49</v>
      </c>
      <c r="AL352" t="s">
        <v>74</v>
      </c>
      <c r="AM352" t="s">
        <v>74</v>
      </c>
      <c r="AN352" t="s">
        <v>74</v>
      </c>
      <c r="AO352" t="s">
        <v>2670</v>
      </c>
      <c r="AP352" t="s">
        <v>2671</v>
      </c>
      <c r="AQ352" t="s">
        <v>74</v>
      </c>
      <c r="AR352" t="s">
        <v>74</v>
      </c>
      <c r="AS352" t="s">
        <v>74</v>
      </c>
      <c r="AT352" t="s">
        <v>211</v>
      </c>
      <c r="AU352">
        <v>2019</v>
      </c>
      <c r="AV352">
        <v>71</v>
      </c>
      <c r="AW352">
        <v>5</v>
      </c>
      <c r="AX352" t="s">
        <v>74</v>
      </c>
      <c r="AY352" t="s">
        <v>74</v>
      </c>
      <c r="AZ352" t="s">
        <v>74</v>
      </c>
      <c r="BA352" t="s">
        <v>74</v>
      </c>
      <c r="BB352">
        <v>1000</v>
      </c>
      <c r="BC352">
        <v>1011</v>
      </c>
      <c r="BD352" t="s">
        <v>74</v>
      </c>
      <c r="BE352" t="s">
        <v>2672</v>
      </c>
      <c r="BF352" t="str">
        <f>HYPERLINK("http://dx.doi.org/10.1016/j.jhep.2019.06.018","http://dx.doi.org/10.1016/j.jhep.2019.06.018")</f>
        <v>http://dx.doi.org/10.1016/j.jhep.2019.06.018</v>
      </c>
      <c r="BG352" t="s">
        <v>74</v>
      </c>
      <c r="BH352" t="s">
        <v>74</v>
      </c>
      <c r="BI352" t="s">
        <v>74</v>
      </c>
      <c r="BJ352" t="s">
        <v>633</v>
      </c>
      <c r="BK352" t="s">
        <v>117</v>
      </c>
      <c r="BL352" t="s">
        <v>633</v>
      </c>
      <c r="BM352" t="s">
        <v>74</v>
      </c>
      <c r="BN352">
        <v>31279903</v>
      </c>
      <c r="BO352" t="s">
        <v>74</v>
      </c>
      <c r="BP352" t="s">
        <v>74</v>
      </c>
      <c r="BQ352" t="s">
        <v>74</v>
      </c>
      <c r="BR352" t="s">
        <v>96</v>
      </c>
      <c r="BS352" t="s">
        <v>2673</v>
      </c>
      <c r="BT352" t="str">
        <f>HYPERLINK("https%3A%2F%2Fwww.webofscience.com%2Fwos%2Fwoscc%2Ffull-record%2FWOS:000490139600020","View Full Record in Web of Science")</f>
        <v>View Full Record in Web of Science</v>
      </c>
    </row>
    <row r="353" spans="1:72" x14ac:dyDescent="0.15">
      <c r="A353" t="s">
        <v>98</v>
      </c>
      <c r="B353" t="s">
        <v>3288</v>
      </c>
      <c r="C353" t="s">
        <v>74</v>
      </c>
      <c r="D353" t="s">
        <v>74</v>
      </c>
      <c r="E353" t="s">
        <v>74</v>
      </c>
      <c r="F353" t="s">
        <v>3289</v>
      </c>
      <c r="G353" t="s">
        <v>74</v>
      </c>
      <c r="H353" t="s">
        <v>74</v>
      </c>
      <c r="I353" t="s">
        <v>3290</v>
      </c>
      <c r="J353" t="s">
        <v>1073</v>
      </c>
      <c r="K353" t="s">
        <v>74</v>
      </c>
      <c r="L353" t="s">
        <v>74</v>
      </c>
      <c r="M353" t="s">
        <v>74</v>
      </c>
      <c r="N353" t="s">
        <v>103</v>
      </c>
      <c r="O353" t="s">
        <v>74</v>
      </c>
      <c r="P353" t="s">
        <v>74</v>
      </c>
      <c r="Q353" t="s">
        <v>74</v>
      </c>
      <c r="R353" t="s">
        <v>74</v>
      </c>
      <c r="S353" t="s">
        <v>74</v>
      </c>
      <c r="T353" t="s">
        <v>74</v>
      </c>
      <c r="U353" t="s">
        <v>3291</v>
      </c>
      <c r="V353" t="s">
        <v>3292</v>
      </c>
      <c r="W353" t="s">
        <v>3293</v>
      </c>
      <c r="X353" t="s">
        <v>3294</v>
      </c>
      <c r="Y353" t="s">
        <v>3295</v>
      </c>
      <c r="Z353" t="s">
        <v>3296</v>
      </c>
      <c r="AA353" t="s">
        <v>3297</v>
      </c>
      <c r="AB353" t="s">
        <v>3298</v>
      </c>
      <c r="AC353" t="s">
        <v>74</v>
      </c>
      <c r="AD353" t="s">
        <v>74</v>
      </c>
      <c r="AE353" t="s">
        <v>74</v>
      </c>
      <c r="AF353" t="s">
        <v>74</v>
      </c>
      <c r="AG353">
        <v>52</v>
      </c>
      <c r="AH353">
        <v>57</v>
      </c>
      <c r="AI353">
        <v>57</v>
      </c>
      <c r="AJ353">
        <v>3</v>
      </c>
      <c r="AK353">
        <v>16</v>
      </c>
      <c r="AL353" t="s">
        <v>74</v>
      </c>
      <c r="AM353" t="s">
        <v>74</v>
      </c>
      <c r="AN353" t="s">
        <v>74</v>
      </c>
      <c r="AO353" t="s">
        <v>1082</v>
      </c>
      <c r="AP353" t="s">
        <v>74</v>
      </c>
      <c r="AQ353" t="s">
        <v>74</v>
      </c>
      <c r="AR353" t="s">
        <v>74</v>
      </c>
      <c r="AS353" t="s">
        <v>74</v>
      </c>
      <c r="AT353" t="s">
        <v>3299</v>
      </c>
      <c r="AU353">
        <v>2016</v>
      </c>
      <c r="AV353">
        <v>11</v>
      </c>
      <c r="AW353">
        <v>9</v>
      </c>
      <c r="AX353" t="s">
        <v>74</v>
      </c>
      <c r="AY353" t="s">
        <v>74</v>
      </c>
      <c r="AZ353" t="s">
        <v>74</v>
      </c>
      <c r="BA353" t="s">
        <v>74</v>
      </c>
      <c r="BB353" t="s">
        <v>74</v>
      </c>
      <c r="BC353" t="s">
        <v>74</v>
      </c>
      <c r="BD353" t="s">
        <v>3300</v>
      </c>
      <c r="BE353" t="s">
        <v>3301</v>
      </c>
      <c r="BF353" t="str">
        <f>HYPERLINK("http://dx.doi.org/10.1371/journal.pone.0163665","http://dx.doi.org/10.1371/journal.pone.0163665")</f>
        <v>http://dx.doi.org/10.1371/journal.pone.0163665</v>
      </c>
      <c r="BG353" t="s">
        <v>74</v>
      </c>
      <c r="BH353" t="s">
        <v>74</v>
      </c>
      <c r="BI353" t="s">
        <v>74</v>
      </c>
      <c r="BJ353" t="s">
        <v>152</v>
      </c>
      <c r="BK353" t="s">
        <v>117</v>
      </c>
      <c r="BL353" t="s">
        <v>153</v>
      </c>
      <c r="BM353" t="s">
        <v>74</v>
      </c>
      <c r="BN353">
        <v>27684368</v>
      </c>
      <c r="BO353" t="s">
        <v>74</v>
      </c>
      <c r="BP353" t="s">
        <v>74</v>
      </c>
      <c r="BQ353" t="s">
        <v>74</v>
      </c>
      <c r="BR353" t="s">
        <v>96</v>
      </c>
      <c r="BS353" t="s">
        <v>3302</v>
      </c>
      <c r="BT353" t="str">
        <f>HYPERLINK("https%3A%2F%2Fwww.webofscience.com%2Fwos%2Fwoscc%2Ffull-record%2FWOS:000384328500090","View Full Record in Web of Science")</f>
        <v>View Full Record in Web of Science</v>
      </c>
    </row>
    <row r="354" spans="1:72" x14ac:dyDescent="0.15">
      <c r="A354" t="s">
        <v>98</v>
      </c>
      <c r="B354" t="s">
        <v>10629</v>
      </c>
      <c r="C354" t="s">
        <v>74</v>
      </c>
      <c r="D354" t="s">
        <v>74</v>
      </c>
      <c r="E354" t="s">
        <v>74</v>
      </c>
      <c r="F354" t="s">
        <v>10630</v>
      </c>
      <c r="G354" t="s">
        <v>74</v>
      </c>
      <c r="H354" t="s">
        <v>74</v>
      </c>
      <c r="I354" t="s">
        <v>10631</v>
      </c>
      <c r="J354" t="s">
        <v>1217</v>
      </c>
      <c r="K354" t="s">
        <v>74</v>
      </c>
      <c r="L354" t="s">
        <v>74</v>
      </c>
      <c r="M354" t="s">
        <v>74</v>
      </c>
      <c r="N354" t="s">
        <v>103</v>
      </c>
      <c r="O354" t="s">
        <v>74</v>
      </c>
      <c r="P354" t="s">
        <v>74</v>
      </c>
      <c r="Q354" t="s">
        <v>74</v>
      </c>
      <c r="R354" t="s">
        <v>74</v>
      </c>
      <c r="S354" t="s">
        <v>74</v>
      </c>
      <c r="T354" t="s">
        <v>10632</v>
      </c>
      <c r="U354" t="s">
        <v>10633</v>
      </c>
      <c r="V354" t="s">
        <v>10634</v>
      </c>
      <c r="W354" t="s">
        <v>10635</v>
      </c>
      <c r="X354" t="s">
        <v>8738</v>
      </c>
      <c r="Y354" t="s">
        <v>10636</v>
      </c>
      <c r="Z354" t="s">
        <v>8740</v>
      </c>
      <c r="AA354" t="s">
        <v>74</v>
      </c>
      <c r="AB354" t="s">
        <v>10637</v>
      </c>
      <c r="AC354" t="s">
        <v>74</v>
      </c>
      <c r="AD354" t="s">
        <v>74</v>
      </c>
      <c r="AE354" t="s">
        <v>74</v>
      </c>
      <c r="AF354" t="s">
        <v>74</v>
      </c>
      <c r="AG354">
        <v>51</v>
      </c>
      <c r="AH354">
        <v>57</v>
      </c>
      <c r="AI354">
        <v>57</v>
      </c>
      <c r="AJ354">
        <v>44</v>
      </c>
      <c r="AK354">
        <v>312</v>
      </c>
      <c r="AL354" t="s">
        <v>74</v>
      </c>
      <c r="AM354" t="s">
        <v>74</v>
      </c>
      <c r="AN354" t="s">
        <v>74</v>
      </c>
      <c r="AO354" t="s">
        <v>1227</v>
      </c>
      <c r="AP354" t="s">
        <v>74</v>
      </c>
      <c r="AQ354" t="s">
        <v>74</v>
      </c>
      <c r="AR354" t="s">
        <v>74</v>
      </c>
      <c r="AS354" t="s">
        <v>74</v>
      </c>
      <c r="AT354" t="s">
        <v>967</v>
      </c>
      <c r="AU354">
        <v>2019</v>
      </c>
      <c r="AV354">
        <v>4</v>
      </c>
      <c r="AW354">
        <v>12</v>
      </c>
      <c r="AX354" t="s">
        <v>74</v>
      </c>
      <c r="AY354" t="s">
        <v>74</v>
      </c>
      <c r="AZ354" t="s">
        <v>74</v>
      </c>
      <c r="BA354" t="s">
        <v>74</v>
      </c>
      <c r="BB354">
        <v>3210</v>
      </c>
      <c r="BC354">
        <v>3218</v>
      </c>
      <c r="BD354" t="s">
        <v>74</v>
      </c>
      <c r="BE354" t="s">
        <v>10638</v>
      </c>
      <c r="BF354" t="str">
        <f>HYPERLINK("http://dx.doi.org/10.1021/acssensors.9b01644","http://dx.doi.org/10.1021/acssensors.9b01644")</f>
        <v>http://dx.doi.org/10.1021/acssensors.9b01644</v>
      </c>
      <c r="BG354" t="s">
        <v>74</v>
      </c>
      <c r="BH354" t="s">
        <v>74</v>
      </c>
      <c r="BI354" t="s">
        <v>74</v>
      </c>
      <c r="BJ354" t="s">
        <v>1229</v>
      </c>
      <c r="BK354" t="s">
        <v>117</v>
      </c>
      <c r="BL354" t="s">
        <v>1230</v>
      </c>
      <c r="BM354" t="s">
        <v>74</v>
      </c>
      <c r="BN354">
        <v>31820935</v>
      </c>
      <c r="BO354" t="s">
        <v>74</v>
      </c>
      <c r="BP354" t="s">
        <v>74</v>
      </c>
      <c r="BQ354" t="s">
        <v>74</v>
      </c>
      <c r="BR354" t="s">
        <v>96</v>
      </c>
      <c r="BS354" t="s">
        <v>10639</v>
      </c>
      <c r="BT354" t="str">
        <f>HYPERLINK("https%3A%2F%2Fwww.webofscience.com%2Fwos%2Fwoscc%2Ffull-record%2FWOS:000505627100016","View Full Record in Web of Science")</f>
        <v>View Full Record in Web of Science</v>
      </c>
    </row>
    <row r="355" spans="1:72" x14ac:dyDescent="0.15">
      <c r="A355" t="s">
        <v>98</v>
      </c>
      <c r="B355" t="s">
        <v>14741</v>
      </c>
      <c r="C355" t="s">
        <v>74</v>
      </c>
      <c r="D355" t="s">
        <v>74</v>
      </c>
      <c r="E355" t="s">
        <v>74</v>
      </c>
      <c r="F355" t="s">
        <v>14742</v>
      </c>
      <c r="G355" t="s">
        <v>74</v>
      </c>
      <c r="H355" t="s">
        <v>74</v>
      </c>
      <c r="I355" t="s">
        <v>14743</v>
      </c>
      <c r="J355" t="s">
        <v>1123</v>
      </c>
      <c r="K355" t="s">
        <v>74</v>
      </c>
      <c r="L355" t="s">
        <v>74</v>
      </c>
      <c r="M355" t="s">
        <v>74</v>
      </c>
      <c r="N355" t="s">
        <v>103</v>
      </c>
      <c r="O355" t="s">
        <v>74</v>
      </c>
      <c r="P355" t="s">
        <v>74</v>
      </c>
      <c r="Q355" t="s">
        <v>74</v>
      </c>
      <c r="R355" t="s">
        <v>74</v>
      </c>
      <c r="S355" t="s">
        <v>74</v>
      </c>
      <c r="T355" t="s">
        <v>14744</v>
      </c>
      <c r="U355" t="s">
        <v>14745</v>
      </c>
      <c r="V355" t="s">
        <v>14746</v>
      </c>
      <c r="W355" t="s">
        <v>14747</v>
      </c>
      <c r="X355" t="s">
        <v>14748</v>
      </c>
      <c r="Y355" t="s">
        <v>14749</v>
      </c>
      <c r="Z355" t="s">
        <v>14750</v>
      </c>
      <c r="AA355" t="s">
        <v>74</v>
      </c>
      <c r="AB355" t="s">
        <v>12123</v>
      </c>
      <c r="AC355" t="s">
        <v>74</v>
      </c>
      <c r="AD355" t="s">
        <v>74</v>
      </c>
      <c r="AE355" t="s">
        <v>74</v>
      </c>
      <c r="AF355" t="s">
        <v>74</v>
      </c>
      <c r="AG355">
        <v>32</v>
      </c>
      <c r="AH355">
        <v>57</v>
      </c>
      <c r="AI355">
        <v>56</v>
      </c>
      <c r="AJ355">
        <v>19</v>
      </c>
      <c r="AK355">
        <v>214</v>
      </c>
      <c r="AL355" t="s">
        <v>74</v>
      </c>
      <c r="AM355" t="s">
        <v>74</v>
      </c>
      <c r="AN355" t="s">
        <v>74</v>
      </c>
      <c r="AO355" t="s">
        <v>1132</v>
      </c>
      <c r="AP355" t="s">
        <v>1133</v>
      </c>
      <c r="AQ355" t="s">
        <v>74</v>
      </c>
      <c r="AR355" t="s">
        <v>74</v>
      </c>
      <c r="AS355" t="s">
        <v>74</v>
      </c>
      <c r="AT355" t="s">
        <v>11850</v>
      </c>
      <c r="AU355">
        <v>2019</v>
      </c>
      <c r="AV355">
        <v>141</v>
      </c>
      <c r="AW355" t="s">
        <v>74</v>
      </c>
      <c r="AX355" t="s">
        <v>74</v>
      </c>
      <c r="AY355" t="s">
        <v>74</v>
      </c>
      <c r="AZ355" t="s">
        <v>74</v>
      </c>
      <c r="BA355" t="s">
        <v>74</v>
      </c>
      <c r="BB355" t="s">
        <v>74</v>
      </c>
      <c r="BC355" t="s">
        <v>74</v>
      </c>
      <c r="BD355">
        <v>111397</v>
      </c>
      <c r="BE355" t="s">
        <v>14751</v>
      </c>
      <c r="BF355" t="str">
        <f>HYPERLINK("http://dx.doi.org/10.1016/j.bios.2019.111397","http://dx.doi.org/10.1016/j.bios.2019.111397")</f>
        <v>http://dx.doi.org/10.1016/j.bios.2019.111397</v>
      </c>
      <c r="BG355" t="s">
        <v>74</v>
      </c>
      <c r="BH355" t="s">
        <v>74</v>
      </c>
      <c r="BI355" t="s">
        <v>74</v>
      </c>
      <c r="BJ355" t="s">
        <v>1137</v>
      </c>
      <c r="BK355" t="s">
        <v>117</v>
      </c>
      <c r="BL355" t="s">
        <v>1138</v>
      </c>
      <c r="BM355" t="s">
        <v>74</v>
      </c>
      <c r="BN355">
        <v>31200334</v>
      </c>
      <c r="BO355" t="s">
        <v>74</v>
      </c>
      <c r="BP355" t="s">
        <v>74</v>
      </c>
      <c r="BQ355" t="s">
        <v>74</v>
      </c>
      <c r="BR355" t="s">
        <v>96</v>
      </c>
      <c r="BS355" t="s">
        <v>14752</v>
      </c>
      <c r="BT355" t="str">
        <f>HYPERLINK("https%3A%2F%2Fwww.webofscience.com%2Fwos%2Fwoscc%2Ffull-record%2FWOS:000486132800023","View Full Record in Web of Science")</f>
        <v>View Full Record in Web of Science</v>
      </c>
    </row>
    <row r="356" spans="1:72" x14ac:dyDescent="0.15">
      <c r="A356" t="s">
        <v>98</v>
      </c>
      <c r="B356" t="s">
        <v>6495</v>
      </c>
      <c r="C356" t="s">
        <v>74</v>
      </c>
      <c r="D356" t="s">
        <v>74</v>
      </c>
      <c r="E356" t="s">
        <v>74</v>
      </c>
      <c r="F356" t="s">
        <v>6496</v>
      </c>
      <c r="G356" t="s">
        <v>74</v>
      </c>
      <c r="H356" t="s">
        <v>74</v>
      </c>
      <c r="I356" t="s">
        <v>6497</v>
      </c>
      <c r="J356" t="s">
        <v>6498</v>
      </c>
      <c r="K356" t="s">
        <v>74</v>
      </c>
      <c r="L356" t="s">
        <v>74</v>
      </c>
      <c r="M356" t="s">
        <v>74</v>
      </c>
      <c r="N356" t="s">
        <v>103</v>
      </c>
      <c r="O356" t="s">
        <v>74</v>
      </c>
      <c r="P356" t="s">
        <v>74</v>
      </c>
      <c r="Q356" t="s">
        <v>74</v>
      </c>
      <c r="R356" t="s">
        <v>74</v>
      </c>
      <c r="S356" t="s">
        <v>74</v>
      </c>
      <c r="T356" t="s">
        <v>6499</v>
      </c>
      <c r="U356" t="s">
        <v>6500</v>
      </c>
      <c r="V356" t="s">
        <v>6501</v>
      </c>
      <c r="W356" t="s">
        <v>6502</v>
      </c>
      <c r="X356" t="s">
        <v>6503</v>
      </c>
      <c r="Y356" t="s">
        <v>6504</v>
      </c>
      <c r="Z356" t="s">
        <v>6505</v>
      </c>
      <c r="AA356" t="s">
        <v>6506</v>
      </c>
      <c r="AB356" t="s">
        <v>6507</v>
      </c>
      <c r="AC356" t="s">
        <v>74</v>
      </c>
      <c r="AD356" t="s">
        <v>74</v>
      </c>
      <c r="AE356" t="s">
        <v>74</v>
      </c>
      <c r="AF356" t="s">
        <v>74</v>
      </c>
      <c r="AG356">
        <v>26</v>
      </c>
      <c r="AH356">
        <v>56</v>
      </c>
      <c r="AI356">
        <v>57</v>
      </c>
      <c r="AJ356">
        <v>10</v>
      </c>
      <c r="AK356">
        <v>131</v>
      </c>
      <c r="AL356" t="s">
        <v>74</v>
      </c>
      <c r="AM356" t="s">
        <v>74</v>
      </c>
      <c r="AN356" t="s">
        <v>74</v>
      </c>
      <c r="AO356" t="s">
        <v>6508</v>
      </c>
      <c r="AP356" t="s">
        <v>74</v>
      </c>
      <c r="AQ356" t="s">
        <v>74</v>
      </c>
      <c r="AR356" t="s">
        <v>74</v>
      </c>
      <c r="AS356" t="s">
        <v>74</v>
      </c>
      <c r="AT356" t="s">
        <v>132</v>
      </c>
      <c r="AU356">
        <v>2017</v>
      </c>
      <c r="AV356">
        <v>4</v>
      </c>
      <c r="AW356">
        <v>4</v>
      </c>
      <c r="AX356" t="s">
        <v>74</v>
      </c>
      <c r="AY356" t="s">
        <v>74</v>
      </c>
      <c r="AZ356" t="s">
        <v>74</v>
      </c>
      <c r="BA356" t="s">
        <v>74</v>
      </c>
      <c r="BB356">
        <v>967</v>
      </c>
      <c r="BC356">
        <v>971</v>
      </c>
      <c r="BD356" t="s">
        <v>74</v>
      </c>
      <c r="BE356" t="s">
        <v>6509</v>
      </c>
      <c r="BF356" t="str">
        <f>HYPERLINK("http://dx.doi.org/10.1002/celc.201600391","http://dx.doi.org/10.1002/celc.201600391")</f>
        <v>http://dx.doi.org/10.1002/celc.201600391</v>
      </c>
      <c r="BG356" t="s">
        <v>74</v>
      </c>
      <c r="BH356" t="s">
        <v>74</v>
      </c>
      <c r="BI356" t="s">
        <v>74</v>
      </c>
      <c r="BJ356" t="s">
        <v>6510</v>
      </c>
      <c r="BK356" t="s">
        <v>117</v>
      </c>
      <c r="BL356" t="s">
        <v>6510</v>
      </c>
      <c r="BM356" t="s">
        <v>74</v>
      </c>
      <c r="BN356" t="s">
        <v>74</v>
      </c>
      <c r="BO356" t="s">
        <v>74</v>
      </c>
      <c r="BP356" t="s">
        <v>74</v>
      </c>
      <c r="BQ356" t="s">
        <v>74</v>
      </c>
      <c r="BR356" t="s">
        <v>96</v>
      </c>
      <c r="BS356" t="s">
        <v>6511</v>
      </c>
      <c r="BT356" t="str">
        <f>HYPERLINK("https%3A%2F%2Fwww.webofscience.com%2Fwos%2Fwoscc%2Ffull-record%2FWOS:000399641500024","View Full Record in Web of Science")</f>
        <v>View Full Record in Web of Science</v>
      </c>
    </row>
    <row r="357" spans="1:72" x14ac:dyDescent="0.15">
      <c r="A357" t="s">
        <v>98</v>
      </c>
      <c r="B357" t="s">
        <v>10399</v>
      </c>
      <c r="C357" t="s">
        <v>74</v>
      </c>
      <c r="D357" t="s">
        <v>74</v>
      </c>
      <c r="E357" t="s">
        <v>74</v>
      </c>
      <c r="F357" t="s">
        <v>10400</v>
      </c>
      <c r="G357" t="s">
        <v>74</v>
      </c>
      <c r="H357" t="s">
        <v>74</v>
      </c>
      <c r="I357" t="s">
        <v>10401</v>
      </c>
      <c r="J357" t="s">
        <v>10402</v>
      </c>
      <c r="K357" t="s">
        <v>74</v>
      </c>
      <c r="L357" t="s">
        <v>74</v>
      </c>
      <c r="M357" t="s">
        <v>74</v>
      </c>
      <c r="N357" t="s">
        <v>103</v>
      </c>
      <c r="O357" t="s">
        <v>74</v>
      </c>
      <c r="P357" t="s">
        <v>74</v>
      </c>
      <c r="Q357" t="s">
        <v>74</v>
      </c>
      <c r="R357" t="s">
        <v>74</v>
      </c>
      <c r="S357" t="s">
        <v>74</v>
      </c>
      <c r="T357" t="s">
        <v>10403</v>
      </c>
      <c r="U357" t="s">
        <v>10404</v>
      </c>
      <c r="V357" t="s">
        <v>10405</v>
      </c>
      <c r="W357" t="s">
        <v>10406</v>
      </c>
      <c r="X357" t="s">
        <v>10407</v>
      </c>
      <c r="Y357" t="s">
        <v>10408</v>
      </c>
      <c r="Z357" t="s">
        <v>10409</v>
      </c>
      <c r="AA357" t="s">
        <v>10410</v>
      </c>
      <c r="AB357" t="s">
        <v>10411</v>
      </c>
      <c r="AC357" t="s">
        <v>74</v>
      </c>
      <c r="AD357" t="s">
        <v>74</v>
      </c>
      <c r="AE357" t="s">
        <v>74</v>
      </c>
      <c r="AF357" t="s">
        <v>74</v>
      </c>
      <c r="AG357">
        <v>47</v>
      </c>
      <c r="AH357">
        <v>56</v>
      </c>
      <c r="AI357">
        <v>58</v>
      </c>
      <c r="AJ357">
        <v>0</v>
      </c>
      <c r="AK357">
        <v>10</v>
      </c>
      <c r="AL357" t="s">
        <v>74</v>
      </c>
      <c r="AM357" t="s">
        <v>74</v>
      </c>
      <c r="AN357" t="s">
        <v>74</v>
      </c>
      <c r="AO357" t="s">
        <v>10412</v>
      </c>
      <c r="AP357" t="s">
        <v>74</v>
      </c>
      <c r="AQ357" t="s">
        <v>74</v>
      </c>
      <c r="AR357" t="s">
        <v>74</v>
      </c>
      <c r="AS357" t="s">
        <v>74</v>
      </c>
      <c r="AT357" t="s">
        <v>531</v>
      </c>
      <c r="AU357">
        <v>2017</v>
      </c>
      <c r="AV357">
        <v>123</v>
      </c>
      <c r="AW357" t="s">
        <v>74</v>
      </c>
      <c r="AX357" t="s">
        <v>74</v>
      </c>
      <c r="AY357" t="s">
        <v>74</v>
      </c>
      <c r="AZ357" t="s">
        <v>74</v>
      </c>
      <c r="BA357" t="s">
        <v>74</v>
      </c>
      <c r="BB357">
        <v>3</v>
      </c>
      <c r="BC357">
        <v>11</v>
      </c>
      <c r="BD357" t="s">
        <v>74</v>
      </c>
      <c r="BE357" t="s">
        <v>10413</v>
      </c>
      <c r="BF357" t="str">
        <f>HYPERLINK("http://dx.doi.org/10.1016/j.jri.2017.08.003","http://dx.doi.org/10.1016/j.jri.2017.08.003")</f>
        <v>http://dx.doi.org/10.1016/j.jri.2017.08.003</v>
      </c>
      <c r="BG357" t="s">
        <v>74</v>
      </c>
      <c r="BH357" t="s">
        <v>74</v>
      </c>
      <c r="BI357" t="s">
        <v>74</v>
      </c>
      <c r="BJ357" t="s">
        <v>10414</v>
      </c>
      <c r="BK357" t="s">
        <v>117</v>
      </c>
      <c r="BL357" t="s">
        <v>10414</v>
      </c>
      <c r="BM357" t="s">
        <v>74</v>
      </c>
      <c r="BN357">
        <v>28858636</v>
      </c>
      <c r="BO357" t="s">
        <v>74</v>
      </c>
      <c r="BP357" t="s">
        <v>74</v>
      </c>
      <c r="BQ357" t="s">
        <v>74</v>
      </c>
      <c r="BR357" t="s">
        <v>96</v>
      </c>
      <c r="BS357" t="s">
        <v>10415</v>
      </c>
      <c r="BT357" t="str">
        <f>HYPERLINK("https%3A%2F%2Fwww.webofscience.com%2Fwos%2Fwoscc%2Ffull-record%2FWOS:000413379300002","View Full Record in Web of Science")</f>
        <v>View Full Record in Web of Science</v>
      </c>
    </row>
    <row r="358" spans="1:72" x14ac:dyDescent="0.15">
      <c r="A358" t="s">
        <v>98</v>
      </c>
      <c r="B358" t="s">
        <v>12231</v>
      </c>
      <c r="C358" t="s">
        <v>74</v>
      </c>
      <c r="D358" t="s">
        <v>74</v>
      </c>
      <c r="E358" t="s">
        <v>74</v>
      </c>
      <c r="F358" t="s">
        <v>12232</v>
      </c>
      <c r="G358" t="s">
        <v>74</v>
      </c>
      <c r="H358" t="s">
        <v>74</v>
      </c>
      <c r="I358" t="s">
        <v>12233</v>
      </c>
      <c r="J358" t="s">
        <v>5139</v>
      </c>
      <c r="K358" t="s">
        <v>74</v>
      </c>
      <c r="L358" t="s">
        <v>74</v>
      </c>
      <c r="M358" t="s">
        <v>74</v>
      </c>
      <c r="N358" t="s">
        <v>103</v>
      </c>
      <c r="O358" t="s">
        <v>74</v>
      </c>
      <c r="P358" t="s">
        <v>74</v>
      </c>
      <c r="Q358" t="s">
        <v>74</v>
      </c>
      <c r="R358" t="s">
        <v>74</v>
      </c>
      <c r="S358" t="s">
        <v>74</v>
      </c>
      <c r="T358" t="s">
        <v>74</v>
      </c>
      <c r="U358" t="s">
        <v>12234</v>
      </c>
      <c r="V358" t="s">
        <v>12235</v>
      </c>
      <c r="W358" t="s">
        <v>12236</v>
      </c>
      <c r="X358" t="s">
        <v>12237</v>
      </c>
      <c r="Y358" t="s">
        <v>12238</v>
      </c>
      <c r="Z358" t="s">
        <v>12239</v>
      </c>
      <c r="AA358" t="s">
        <v>12240</v>
      </c>
      <c r="AB358" t="s">
        <v>12241</v>
      </c>
      <c r="AC358" t="s">
        <v>74</v>
      </c>
      <c r="AD358" t="s">
        <v>74</v>
      </c>
      <c r="AE358" t="s">
        <v>74</v>
      </c>
      <c r="AF358" t="s">
        <v>74</v>
      </c>
      <c r="AG358">
        <v>60</v>
      </c>
      <c r="AH358">
        <v>56</v>
      </c>
      <c r="AI358">
        <v>56</v>
      </c>
      <c r="AJ358">
        <v>24</v>
      </c>
      <c r="AK358">
        <v>96</v>
      </c>
      <c r="AL358" t="s">
        <v>74</v>
      </c>
      <c r="AM358" t="s">
        <v>74</v>
      </c>
      <c r="AN358" t="s">
        <v>74</v>
      </c>
      <c r="AO358" t="s">
        <v>5148</v>
      </c>
      <c r="AP358" t="s">
        <v>74</v>
      </c>
      <c r="AQ358" t="s">
        <v>74</v>
      </c>
      <c r="AR358" t="s">
        <v>74</v>
      </c>
      <c r="AS358" t="s">
        <v>74</v>
      </c>
      <c r="AT358" t="s">
        <v>12242</v>
      </c>
      <c r="AU358">
        <v>2020</v>
      </c>
      <c r="AV358">
        <v>11</v>
      </c>
      <c r="AW358">
        <v>1</v>
      </c>
      <c r="AX358" t="s">
        <v>74</v>
      </c>
      <c r="AY358" t="s">
        <v>74</v>
      </c>
      <c r="AZ358" t="s">
        <v>74</v>
      </c>
      <c r="BA358" t="s">
        <v>74</v>
      </c>
      <c r="BB358" t="s">
        <v>74</v>
      </c>
      <c r="BC358" t="s">
        <v>74</v>
      </c>
      <c r="BD358">
        <v>4489</v>
      </c>
      <c r="BE358" t="s">
        <v>12243</v>
      </c>
      <c r="BF358" t="str">
        <f>HYPERLINK("http://dx.doi.org/10.1038/s41467-020-18311-0","http://dx.doi.org/10.1038/s41467-020-18311-0")</f>
        <v>http://dx.doi.org/10.1038/s41467-020-18311-0</v>
      </c>
      <c r="BG358" t="s">
        <v>74</v>
      </c>
      <c r="BH358" t="s">
        <v>74</v>
      </c>
      <c r="BI358" t="s">
        <v>74</v>
      </c>
      <c r="BJ358" t="s">
        <v>152</v>
      </c>
      <c r="BK358" t="s">
        <v>117</v>
      </c>
      <c r="BL358" t="s">
        <v>153</v>
      </c>
      <c r="BM358" t="s">
        <v>74</v>
      </c>
      <c r="BN358">
        <v>32895384</v>
      </c>
      <c r="BO358" t="s">
        <v>74</v>
      </c>
      <c r="BP358" t="s">
        <v>74</v>
      </c>
      <c r="BQ358" t="s">
        <v>74</v>
      </c>
      <c r="BR358" t="s">
        <v>96</v>
      </c>
      <c r="BS358" t="s">
        <v>12244</v>
      </c>
      <c r="BT358" t="str">
        <f>HYPERLINK("https%3A%2F%2Fwww.webofscience.com%2Fwos%2Fwoscc%2Ffull-record%2FWOS:000573248700001","View Full Record in Web of Science")</f>
        <v>View Full Record in Web of Science</v>
      </c>
    </row>
    <row r="359" spans="1:72" x14ac:dyDescent="0.15">
      <c r="A359" t="s">
        <v>98</v>
      </c>
      <c r="B359" t="s">
        <v>30393</v>
      </c>
      <c r="C359" t="s">
        <v>74</v>
      </c>
      <c r="D359" t="s">
        <v>74</v>
      </c>
      <c r="E359" t="s">
        <v>74</v>
      </c>
      <c r="F359" t="s">
        <v>30394</v>
      </c>
      <c r="G359" t="s">
        <v>74</v>
      </c>
      <c r="H359" t="s">
        <v>74</v>
      </c>
      <c r="I359" t="s">
        <v>30395</v>
      </c>
      <c r="J359" t="s">
        <v>8124</v>
      </c>
      <c r="K359" t="s">
        <v>74</v>
      </c>
      <c r="L359" t="s">
        <v>74</v>
      </c>
      <c r="M359" t="s">
        <v>74</v>
      </c>
      <c r="N359" t="s">
        <v>103</v>
      </c>
      <c r="O359" t="s">
        <v>74</v>
      </c>
      <c r="P359" t="s">
        <v>74</v>
      </c>
      <c r="Q359" t="s">
        <v>74</v>
      </c>
      <c r="R359" t="s">
        <v>74</v>
      </c>
      <c r="S359" t="s">
        <v>74</v>
      </c>
      <c r="T359" t="s">
        <v>30396</v>
      </c>
      <c r="U359" t="s">
        <v>30397</v>
      </c>
      <c r="V359" t="s">
        <v>30398</v>
      </c>
      <c r="W359" t="s">
        <v>30399</v>
      </c>
      <c r="X359" t="s">
        <v>30400</v>
      </c>
      <c r="Y359" t="s">
        <v>30401</v>
      </c>
      <c r="Z359" t="s">
        <v>3111</v>
      </c>
      <c r="AA359" t="s">
        <v>30402</v>
      </c>
      <c r="AB359" t="s">
        <v>30403</v>
      </c>
      <c r="AC359" t="s">
        <v>74</v>
      </c>
      <c r="AD359" t="s">
        <v>74</v>
      </c>
      <c r="AE359" t="s">
        <v>74</v>
      </c>
      <c r="AF359" t="s">
        <v>74</v>
      </c>
      <c r="AG359">
        <v>84</v>
      </c>
      <c r="AH359">
        <v>56</v>
      </c>
      <c r="AI359">
        <v>58</v>
      </c>
      <c r="AJ359">
        <v>0</v>
      </c>
      <c r="AK359">
        <v>25</v>
      </c>
      <c r="AL359" t="s">
        <v>74</v>
      </c>
      <c r="AM359" t="s">
        <v>74</v>
      </c>
      <c r="AN359" t="s">
        <v>74</v>
      </c>
      <c r="AO359" t="s">
        <v>74</v>
      </c>
      <c r="AP359" t="s">
        <v>8135</v>
      </c>
      <c r="AQ359" t="s">
        <v>74</v>
      </c>
      <c r="AR359" t="s">
        <v>74</v>
      </c>
      <c r="AS359" t="s">
        <v>74</v>
      </c>
      <c r="AT359" t="s">
        <v>967</v>
      </c>
      <c r="AU359">
        <v>2016</v>
      </c>
      <c r="AV359">
        <v>20</v>
      </c>
      <c r="AW359">
        <v>12</v>
      </c>
      <c r="AX359" t="s">
        <v>74</v>
      </c>
      <c r="AY359" t="s">
        <v>74</v>
      </c>
      <c r="AZ359" t="s">
        <v>74</v>
      </c>
      <c r="BA359" t="s">
        <v>74</v>
      </c>
      <c r="BB359">
        <v>2384</v>
      </c>
      <c r="BC359">
        <v>2404</v>
      </c>
      <c r="BD359" t="s">
        <v>74</v>
      </c>
      <c r="BE359" t="s">
        <v>30404</v>
      </c>
      <c r="BF359" t="str">
        <f>HYPERLINK("http://dx.doi.org/10.1111/jcmm.12932","http://dx.doi.org/10.1111/jcmm.12932")</f>
        <v>http://dx.doi.org/10.1111/jcmm.12932</v>
      </c>
      <c r="BG359" t="s">
        <v>74</v>
      </c>
      <c r="BH359" t="s">
        <v>74</v>
      </c>
      <c r="BI359" t="s">
        <v>74</v>
      </c>
      <c r="BJ359" t="s">
        <v>8137</v>
      </c>
      <c r="BK359" t="s">
        <v>117</v>
      </c>
      <c r="BL359" t="s">
        <v>3116</v>
      </c>
      <c r="BM359" t="s">
        <v>74</v>
      </c>
      <c r="BN359">
        <v>27629697</v>
      </c>
      <c r="BO359" t="s">
        <v>74</v>
      </c>
      <c r="BP359" t="s">
        <v>74</v>
      </c>
      <c r="BQ359" t="s">
        <v>74</v>
      </c>
      <c r="BR359" t="s">
        <v>96</v>
      </c>
      <c r="BS359" t="s">
        <v>30405</v>
      </c>
      <c r="BT359" t="str">
        <f>HYPERLINK("https%3A%2F%2Fwww.webofscience.com%2Fwos%2Fwoscc%2Ffull-record%2FWOS:000389152800018","View Full Record in Web of Science")</f>
        <v>View Full Record in Web of Science</v>
      </c>
    </row>
    <row r="360" spans="1:72" x14ac:dyDescent="0.15">
      <c r="A360" t="s">
        <v>98</v>
      </c>
      <c r="B360" t="s">
        <v>14986</v>
      </c>
      <c r="C360" t="s">
        <v>74</v>
      </c>
      <c r="D360" t="s">
        <v>74</v>
      </c>
      <c r="E360" t="s">
        <v>74</v>
      </c>
      <c r="F360" t="s">
        <v>14987</v>
      </c>
      <c r="G360" t="s">
        <v>74</v>
      </c>
      <c r="H360" t="s">
        <v>74</v>
      </c>
      <c r="I360" t="s">
        <v>14988</v>
      </c>
      <c r="J360" t="s">
        <v>10349</v>
      </c>
      <c r="K360" t="s">
        <v>74</v>
      </c>
      <c r="L360" t="s">
        <v>74</v>
      </c>
      <c r="M360" t="s">
        <v>74</v>
      </c>
      <c r="N360" t="s">
        <v>103</v>
      </c>
      <c r="O360" t="s">
        <v>74</v>
      </c>
      <c r="P360" t="s">
        <v>74</v>
      </c>
      <c r="Q360" t="s">
        <v>74</v>
      </c>
      <c r="R360" t="s">
        <v>74</v>
      </c>
      <c r="S360" t="s">
        <v>74</v>
      </c>
      <c r="T360" t="s">
        <v>74</v>
      </c>
      <c r="U360" t="s">
        <v>14989</v>
      </c>
      <c r="V360" t="s">
        <v>14990</v>
      </c>
      <c r="W360" t="s">
        <v>14991</v>
      </c>
      <c r="X360" t="s">
        <v>14992</v>
      </c>
      <c r="Y360" t="s">
        <v>14993</v>
      </c>
      <c r="Z360" t="s">
        <v>14994</v>
      </c>
      <c r="AA360" t="s">
        <v>14995</v>
      </c>
      <c r="AB360" t="s">
        <v>14996</v>
      </c>
      <c r="AC360" t="s">
        <v>74</v>
      </c>
      <c r="AD360" t="s">
        <v>74</v>
      </c>
      <c r="AE360" t="s">
        <v>74</v>
      </c>
      <c r="AF360" t="s">
        <v>74</v>
      </c>
      <c r="AG360">
        <v>54</v>
      </c>
      <c r="AH360">
        <v>55</v>
      </c>
      <c r="AI360">
        <v>58</v>
      </c>
      <c r="AJ360">
        <v>4</v>
      </c>
      <c r="AK360">
        <v>24</v>
      </c>
      <c r="AL360" t="s">
        <v>74</v>
      </c>
      <c r="AM360" t="s">
        <v>74</v>
      </c>
      <c r="AN360" t="s">
        <v>74</v>
      </c>
      <c r="AO360" t="s">
        <v>10357</v>
      </c>
      <c r="AP360" t="s">
        <v>10358</v>
      </c>
      <c r="AQ360" t="s">
        <v>74</v>
      </c>
      <c r="AR360" t="s">
        <v>74</v>
      </c>
      <c r="AS360" t="s">
        <v>74</v>
      </c>
      <c r="AT360" t="s">
        <v>9831</v>
      </c>
      <c r="AU360">
        <v>2018</v>
      </c>
      <c r="AV360">
        <v>119</v>
      </c>
      <c r="AW360">
        <v>4</v>
      </c>
      <c r="AX360" t="s">
        <v>74</v>
      </c>
      <c r="AY360" t="s">
        <v>74</v>
      </c>
      <c r="AZ360" t="s">
        <v>74</v>
      </c>
      <c r="BA360" t="s">
        <v>74</v>
      </c>
      <c r="BB360">
        <v>492</v>
      </c>
      <c r="BC360">
        <v>502</v>
      </c>
      <c r="BD360" t="s">
        <v>74</v>
      </c>
      <c r="BE360" t="s">
        <v>14997</v>
      </c>
      <c r="BF360" t="str">
        <f>HYPERLINK("http://dx.doi.org/10.1038/s41416-018-0192-9","http://dx.doi.org/10.1038/s41416-018-0192-9")</f>
        <v>http://dx.doi.org/10.1038/s41416-018-0192-9</v>
      </c>
      <c r="BG360" t="s">
        <v>74</v>
      </c>
      <c r="BH360" t="s">
        <v>74</v>
      </c>
      <c r="BI360" t="s">
        <v>74</v>
      </c>
      <c r="BJ360" t="s">
        <v>267</v>
      </c>
      <c r="BK360" t="s">
        <v>117</v>
      </c>
      <c r="BL360" t="s">
        <v>267</v>
      </c>
      <c r="BM360" t="s">
        <v>74</v>
      </c>
      <c r="BN360">
        <v>30038324</v>
      </c>
      <c r="BO360" t="s">
        <v>74</v>
      </c>
      <c r="BP360" t="s">
        <v>74</v>
      </c>
      <c r="BQ360" t="s">
        <v>74</v>
      </c>
      <c r="BR360" t="s">
        <v>96</v>
      </c>
      <c r="BS360" t="s">
        <v>14998</v>
      </c>
      <c r="BT360" t="str">
        <f>HYPERLINK("https%3A%2F%2Fwww.webofscience.com%2Fwos%2Fwoscc%2Ffull-record%2FWOS:000444244700013","View Full Record in Web of Science")</f>
        <v>View Full Record in Web of Science</v>
      </c>
    </row>
    <row r="361" spans="1:72" x14ac:dyDescent="0.15">
      <c r="A361" t="s">
        <v>98</v>
      </c>
      <c r="B361" t="s">
        <v>25670</v>
      </c>
      <c r="C361" t="s">
        <v>74</v>
      </c>
      <c r="D361" t="s">
        <v>74</v>
      </c>
      <c r="E361" t="s">
        <v>74</v>
      </c>
      <c r="F361" t="s">
        <v>25671</v>
      </c>
      <c r="G361" t="s">
        <v>74</v>
      </c>
      <c r="H361" t="s">
        <v>74</v>
      </c>
      <c r="I361" t="s">
        <v>25672</v>
      </c>
      <c r="J361" t="s">
        <v>1073</v>
      </c>
      <c r="K361" t="s">
        <v>74</v>
      </c>
      <c r="L361" t="s">
        <v>74</v>
      </c>
      <c r="M361" t="s">
        <v>74</v>
      </c>
      <c r="N361" t="s">
        <v>103</v>
      </c>
      <c r="O361" t="s">
        <v>74</v>
      </c>
      <c r="P361" t="s">
        <v>74</v>
      </c>
      <c r="Q361" t="s">
        <v>74</v>
      </c>
      <c r="R361" t="s">
        <v>74</v>
      </c>
      <c r="S361" t="s">
        <v>74</v>
      </c>
      <c r="T361" t="s">
        <v>74</v>
      </c>
      <c r="U361" t="s">
        <v>74</v>
      </c>
      <c r="V361" t="s">
        <v>25673</v>
      </c>
      <c r="W361" t="s">
        <v>74</v>
      </c>
      <c r="X361" t="s">
        <v>74</v>
      </c>
      <c r="Y361" t="s">
        <v>16415</v>
      </c>
      <c r="Z361" t="s">
        <v>25674</v>
      </c>
      <c r="AA361" t="s">
        <v>74</v>
      </c>
      <c r="AB361" t="s">
        <v>74</v>
      </c>
      <c r="AC361" t="s">
        <v>74</v>
      </c>
      <c r="AD361" t="s">
        <v>74</v>
      </c>
      <c r="AE361" t="s">
        <v>74</v>
      </c>
      <c r="AF361" t="s">
        <v>74</v>
      </c>
      <c r="AG361">
        <v>36</v>
      </c>
      <c r="AH361">
        <v>55</v>
      </c>
      <c r="AI361">
        <v>58</v>
      </c>
      <c r="AJ361">
        <v>2</v>
      </c>
      <c r="AK361">
        <v>9</v>
      </c>
      <c r="AL361" t="s">
        <v>74</v>
      </c>
      <c r="AM361" t="s">
        <v>74</v>
      </c>
      <c r="AN361" t="s">
        <v>74</v>
      </c>
      <c r="AO361" t="s">
        <v>1082</v>
      </c>
      <c r="AP361" t="s">
        <v>74</v>
      </c>
      <c r="AQ361" t="s">
        <v>74</v>
      </c>
      <c r="AR361" t="s">
        <v>74</v>
      </c>
      <c r="AS361" t="s">
        <v>74</v>
      </c>
      <c r="AT361" t="s">
        <v>2258</v>
      </c>
      <c r="AU361">
        <v>2009</v>
      </c>
      <c r="AV361">
        <v>4</v>
      </c>
      <c r="AW361">
        <v>4</v>
      </c>
      <c r="AX361" t="s">
        <v>74</v>
      </c>
      <c r="AY361" t="s">
        <v>74</v>
      </c>
      <c r="AZ361" t="s">
        <v>74</v>
      </c>
      <c r="BA361" t="s">
        <v>74</v>
      </c>
      <c r="BB361" t="s">
        <v>74</v>
      </c>
      <c r="BC361" t="s">
        <v>74</v>
      </c>
      <c r="BD361" t="s">
        <v>25675</v>
      </c>
      <c r="BE361" t="s">
        <v>25676</v>
      </c>
      <c r="BF361" t="str">
        <f>HYPERLINK("http://dx.doi.org/10.1371/journal.pone.0005304","http://dx.doi.org/10.1371/journal.pone.0005304")</f>
        <v>http://dx.doi.org/10.1371/journal.pone.0005304</v>
      </c>
      <c r="BG361" t="s">
        <v>74</v>
      </c>
      <c r="BH361" t="s">
        <v>74</v>
      </c>
      <c r="BI361" t="s">
        <v>74</v>
      </c>
      <c r="BJ361" t="s">
        <v>152</v>
      </c>
      <c r="BK361" t="s">
        <v>117</v>
      </c>
      <c r="BL361" t="s">
        <v>153</v>
      </c>
      <c r="BM361" t="s">
        <v>74</v>
      </c>
      <c r="BN361">
        <v>19390692</v>
      </c>
      <c r="BO361" t="s">
        <v>74</v>
      </c>
      <c r="BP361" t="s">
        <v>74</v>
      </c>
      <c r="BQ361" t="s">
        <v>74</v>
      </c>
      <c r="BR361" t="s">
        <v>96</v>
      </c>
      <c r="BS361" t="s">
        <v>25677</v>
      </c>
      <c r="BT361" t="str">
        <f>HYPERLINK("https%3A%2F%2Fwww.webofscience.com%2Fwos%2Fwoscc%2Ffull-record%2FWOS:000265514400005","View Full Record in Web of Science")</f>
        <v>View Full Record in Web of Science</v>
      </c>
    </row>
    <row r="362" spans="1:72" x14ac:dyDescent="0.15">
      <c r="A362" t="s">
        <v>98</v>
      </c>
      <c r="B362" t="s">
        <v>27739</v>
      </c>
      <c r="C362" t="s">
        <v>74</v>
      </c>
      <c r="D362" t="s">
        <v>74</v>
      </c>
      <c r="E362" t="s">
        <v>74</v>
      </c>
      <c r="F362" t="s">
        <v>27740</v>
      </c>
      <c r="G362" t="s">
        <v>74</v>
      </c>
      <c r="H362" t="s">
        <v>74</v>
      </c>
      <c r="I362" t="s">
        <v>27741</v>
      </c>
      <c r="J362" t="s">
        <v>2536</v>
      </c>
      <c r="K362" t="s">
        <v>74</v>
      </c>
      <c r="L362" t="s">
        <v>74</v>
      </c>
      <c r="M362" t="s">
        <v>74</v>
      </c>
      <c r="N362" t="s">
        <v>103</v>
      </c>
      <c r="O362" t="s">
        <v>74</v>
      </c>
      <c r="P362" t="s">
        <v>74</v>
      </c>
      <c r="Q362" t="s">
        <v>74</v>
      </c>
      <c r="R362" t="s">
        <v>74</v>
      </c>
      <c r="S362" t="s">
        <v>74</v>
      </c>
      <c r="T362" t="s">
        <v>27742</v>
      </c>
      <c r="U362" t="s">
        <v>27743</v>
      </c>
      <c r="V362" t="s">
        <v>27744</v>
      </c>
      <c r="W362" t="s">
        <v>27745</v>
      </c>
      <c r="X362" t="s">
        <v>26570</v>
      </c>
      <c r="Y362" t="s">
        <v>27746</v>
      </c>
      <c r="Z362" t="s">
        <v>27747</v>
      </c>
      <c r="AA362" t="s">
        <v>74</v>
      </c>
      <c r="AB362" t="s">
        <v>74</v>
      </c>
      <c r="AC362" t="s">
        <v>74</v>
      </c>
      <c r="AD362" t="s">
        <v>74</v>
      </c>
      <c r="AE362" t="s">
        <v>74</v>
      </c>
      <c r="AF362" t="s">
        <v>74</v>
      </c>
      <c r="AG362">
        <v>58</v>
      </c>
      <c r="AH362">
        <v>55</v>
      </c>
      <c r="AI362">
        <v>59</v>
      </c>
      <c r="AJ362">
        <v>0</v>
      </c>
      <c r="AK362">
        <v>16</v>
      </c>
      <c r="AL362" t="s">
        <v>74</v>
      </c>
      <c r="AM362" t="s">
        <v>74</v>
      </c>
      <c r="AN362" t="s">
        <v>74</v>
      </c>
      <c r="AO362" t="s">
        <v>2544</v>
      </c>
      <c r="AP362" t="s">
        <v>2545</v>
      </c>
      <c r="AQ362" t="s">
        <v>74</v>
      </c>
      <c r="AR362" t="s">
        <v>74</v>
      </c>
      <c r="AS362" t="s">
        <v>74</v>
      </c>
      <c r="AT362" t="s">
        <v>1029</v>
      </c>
      <c r="AU362">
        <v>2017</v>
      </c>
      <c r="AV362">
        <v>91</v>
      </c>
      <c r="AW362">
        <v>10</v>
      </c>
      <c r="AX362" t="s">
        <v>74</v>
      </c>
      <c r="AY362" t="s">
        <v>74</v>
      </c>
      <c r="AZ362" t="s">
        <v>74</v>
      </c>
      <c r="BA362" t="s">
        <v>74</v>
      </c>
      <c r="BB362" t="s">
        <v>74</v>
      </c>
      <c r="BC362" t="s">
        <v>74</v>
      </c>
      <c r="BD362" t="s">
        <v>27748</v>
      </c>
      <c r="BE362" t="s">
        <v>27749</v>
      </c>
      <c r="BF362" t="str">
        <f>HYPERLINK("http://dx.doi.org/10.1128/JVI.01919-16","http://dx.doi.org/10.1128/JVI.01919-16")</f>
        <v>http://dx.doi.org/10.1128/JVI.01919-16</v>
      </c>
      <c r="BG362" t="s">
        <v>74</v>
      </c>
      <c r="BH362" t="s">
        <v>74</v>
      </c>
      <c r="BI362" t="s">
        <v>74</v>
      </c>
      <c r="BJ362" t="s">
        <v>932</v>
      </c>
      <c r="BK362" t="s">
        <v>117</v>
      </c>
      <c r="BL362" t="s">
        <v>932</v>
      </c>
      <c r="BM362" t="s">
        <v>74</v>
      </c>
      <c r="BN362">
        <v>28148795</v>
      </c>
      <c r="BO362" t="s">
        <v>74</v>
      </c>
      <c r="BP362" t="s">
        <v>74</v>
      </c>
      <c r="BQ362" t="s">
        <v>74</v>
      </c>
      <c r="BR362" t="s">
        <v>96</v>
      </c>
      <c r="BS362" t="s">
        <v>27750</v>
      </c>
      <c r="BT362" t="str">
        <f>HYPERLINK("https%3A%2F%2Fwww.webofscience.com%2Fwos%2Fwoscc%2Ffull-record%2FWOS:000401227300023","View Full Record in Web of Science")</f>
        <v>View Full Record in Web of Science</v>
      </c>
    </row>
    <row r="363" spans="1:72" x14ac:dyDescent="0.15">
      <c r="A363" t="s">
        <v>98</v>
      </c>
      <c r="B363" t="s">
        <v>2689</v>
      </c>
      <c r="C363" t="s">
        <v>74</v>
      </c>
      <c r="D363" t="s">
        <v>74</v>
      </c>
      <c r="E363" t="s">
        <v>74</v>
      </c>
      <c r="F363" t="s">
        <v>2690</v>
      </c>
      <c r="G363" t="s">
        <v>74</v>
      </c>
      <c r="H363" t="s">
        <v>74</v>
      </c>
      <c r="I363" t="s">
        <v>2691</v>
      </c>
      <c r="J363" t="s">
        <v>503</v>
      </c>
      <c r="K363" t="s">
        <v>74</v>
      </c>
      <c r="L363" t="s">
        <v>74</v>
      </c>
      <c r="M363" t="s">
        <v>74</v>
      </c>
      <c r="N363" t="s">
        <v>103</v>
      </c>
      <c r="O363" t="s">
        <v>74</v>
      </c>
      <c r="P363" t="s">
        <v>74</v>
      </c>
      <c r="Q363" t="s">
        <v>74</v>
      </c>
      <c r="R363" t="s">
        <v>74</v>
      </c>
      <c r="S363" t="s">
        <v>74</v>
      </c>
      <c r="T363" t="s">
        <v>2692</v>
      </c>
      <c r="U363" t="s">
        <v>2693</v>
      </c>
      <c r="V363" t="s">
        <v>2694</v>
      </c>
      <c r="W363" t="s">
        <v>2695</v>
      </c>
      <c r="X363" t="s">
        <v>2696</v>
      </c>
      <c r="Y363" t="s">
        <v>2697</v>
      </c>
      <c r="Z363" t="s">
        <v>2698</v>
      </c>
      <c r="AA363" t="s">
        <v>74</v>
      </c>
      <c r="AB363" t="s">
        <v>2699</v>
      </c>
      <c r="AC363" t="s">
        <v>74</v>
      </c>
      <c r="AD363" t="s">
        <v>74</v>
      </c>
      <c r="AE363" t="s">
        <v>74</v>
      </c>
      <c r="AF363" t="s">
        <v>74</v>
      </c>
      <c r="AG363">
        <v>43</v>
      </c>
      <c r="AH363">
        <v>54</v>
      </c>
      <c r="AI363">
        <v>58</v>
      </c>
      <c r="AJ363">
        <v>3</v>
      </c>
      <c r="AK363">
        <v>23</v>
      </c>
      <c r="AL363" t="s">
        <v>74</v>
      </c>
      <c r="AM363" t="s">
        <v>74</v>
      </c>
      <c r="AN363" t="s">
        <v>74</v>
      </c>
      <c r="AO363" t="s">
        <v>512</v>
      </c>
      <c r="AP363" t="s">
        <v>513</v>
      </c>
      <c r="AQ363" t="s">
        <v>74</v>
      </c>
      <c r="AR363" t="s">
        <v>74</v>
      </c>
      <c r="AS363" t="s">
        <v>74</v>
      </c>
      <c r="AT363" t="s">
        <v>967</v>
      </c>
      <c r="AU363">
        <v>2012</v>
      </c>
      <c r="AV363">
        <v>72</v>
      </c>
      <c r="AW363">
        <v>16</v>
      </c>
      <c r="AX363" t="s">
        <v>74</v>
      </c>
      <c r="AY363" t="s">
        <v>74</v>
      </c>
      <c r="AZ363" t="s">
        <v>74</v>
      </c>
      <c r="BA363" t="s">
        <v>74</v>
      </c>
      <c r="BB363">
        <v>1736</v>
      </c>
      <c r="BC363">
        <v>1745</v>
      </c>
      <c r="BD363" t="s">
        <v>74</v>
      </c>
      <c r="BE363" t="s">
        <v>2700</v>
      </c>
      <c r="BF363" t="str">
        <f>HYPERLINK("http://dx.doi.org/10.1002/pros.22526","http://dx.doi.org/10.1002/pros.22526")</f>
        <v>http://dx.doi.org/10.1002/pros.22526</v>
      </c>
      <c r="BG363" t="s">
        <v>74</v>
      </c>
      <c r="BH363" t="s">
        <v>74</v>
      </c>
      <c r="BI363" t="s">
        <v>74</v>
      </c>
      <c r="BJ363" t="s">
        <v>515</v>
      </c>
      <c r="BK363" t="s">
        <v>117</v>
      </c>
      <c r="BL363" t="s">
        <v>515</v>
      </c>
      <c r="BM363" t="s">
        <v>74</v>
      </c>
      <c r="BN363">
        <v>22539202</v>
      </c>
      <c r="BO363" t="s">
        <v>74</v>
      </c>
      <c r="BP363" t="s">
        <v>74</v>
      </c>
      <c r="BQ363" t="s">
        <v>74</v>
      </c>
      <c r="BR363" t="s">
        <v>96</v>
      </c>
      <c r="BS363" t="s">
        <v>2701</v>
      </c>
      <c r="BT363" t="str">
        <f>HYPERLINK("https%3A%2F%2Fwww.webofscience.com%2Fwos%2Fwoscc%2Ffull-record%2FWOS:000310487200005","View Full Record in Web of Science")</f>
        <v>View Full Record in Web of Science</v>
      </c>
    </row>
    <row r="364" spans="1:72" x14ac:dyDescent="0.15">
      <c r="A364" t="s">
        <v>98</v>
      </c>
      <c r="B364" t="s">
        <v>2878</v>
      </c>
      <c r="C364" t="s">
        <v>74</v>
      </c>
      <c r="D364" t="s">
        <v>74</v>
      </c>
      <c r="E364" t="s">
        <v>74</v>
      </c>
      <c r="F364" t="s">
        <v>2879</v>
      </c>
      <c r="G364" t="s">
        <v>74</v>
      </c>
      <c r="H364" t="s">
        <v>74</v>
      </c>
      <c r="I364" t="s">
        <v>2880</v>
      </c>
      <c r="J364" t="s">
        <v>2881</v>
      </c>
      <c r="K364" t="s">
        <v>74</v>
      </c>
      <c r="L364" t="s">
        <v>74</v>
      </c>
      <c r="M364" t="s">
        <v>74</v>
      </c>
      <c r="N364" t="s">
        <v>103</v>
      </c>
      <c r="O364" t="s">
        <v>74</v>
      </c>
      <c r="P364" t="s">
        <v>74</v>
      </c>
      <c r="Q364" t="s">
        <v>74</v>
      </c>
      <c r="R364" t="s">
        <v>74</v>
      </c>
      <c r="S364" t="s">
        <v>74</v>
      </c>
      <c r="T364" t="s">
        <v>2882</v>
      </c>
      <c r="U364" t="s">
        <v>2883</v>
      </c>
      <c r="V364" t="s">
        <v>2884</v>
      </c>
      <c r="W364" t="s">
        <v>2885</v>
      </c>
      <c r="X364" t="s">
        <v>2886</v>
      </c>
      <c r="Y364" t="s">
        <v>2887</v>
      </c>
      <c r="Z364" t="s">
        <v>2888</v>
      </c>
      <c r="AA364" t="s">
        <v>74</v>
      </c>
      <c r="AB364" t="s">
        <v>2889</v>
      </c>
      <c r="AC364" t="s">
        <v>74</v>
      </c>
      <c r="AD364" t="s">
        <v>74</v>
      </c>
      <c r="AE364" t="s">
        <v>74</v>
      </c>
      <c r="AF364" t="s">
        <v>74</v>
      </c>
      <c r="AG364">
        <v>95</v>
      </c>
      <c r="AH364">
        <v>54</v>
      </c>
      <c r="AI364">
        <v>54</v>
      </c>
      <c r="AJ364">
        <v>2</v>
      </c>
      <c r="AK364">
        <v>34</v>
      </c>
      <c r="AL364" t="s">
        <v>74</v>
      </c>
      <c r="AM364" t="s">
        <v>74</v>
      </c>
      <c r="AN364" t="s">
        <v>74</v>
      </c>
      <c r="AO364" t="s">
        <v>2890</v>
      </c>
      <c r="AP364" t="s">
        <v>2891</v>
      </c>
      <c r="AQ364" t="s">
        <v>74</v>
      </c>
      <c r="AR364" t="s">
        <v>74</v>
      </c>
      <c r="AS364" t="s">
        <v>74</v>
      </c>
      <c r="AT364" t="s">
        <v>2892</v>
      </c>
      <c r="AU364">
        <v>2018</v>
      </c>
      <c r="AV364">
        <v>372</v>
      </c>
      <c r="AW364">
        <v>1737</v>
      </c>
      <c r="AX364" t="s">
        <v>74</v>
      </c>
      <c r="AY364" t="s">
        <v>74</v>
      </c>
      <c r="AZ364" t="s">
        <v>74</v>
      </c>
      <c r="BA364" t="s">
        <v>74</v>
      </c>
      <c r="BB364" t="s">
        <v>74</v>
      </c>
      <c r="BC364" t="s">
        <v>74</v>
      </c>
      <c r="BD364">
        <v>20170065</v>
      </c>
      <c r="BE364" t="s">
        <v>2893</v>
      </c>
      <c r="BF364" t="str">
        <f>HYPERLINK("http://dx.doi.org/10.1098/rstb.2017.0065","http://dx.doi.org/10.1098/rstb.2017.0065")</f>
        <v>http://dx.doi.org/10.1098/rstb.2017.0065</v>
      </c>
      <c r="BG364" t="s">
        <v>74</v>
      </c>
      <c r="BH364" t="s">
        <v>74</v>
      </c>
      <c r="BI364" t="s">
        <v>74</v>
      </c>
      <c r="BJ364" t="s">
        <v>1643</v>
      </c>
      <c r="BK364" t="s">
        <v>117</v>
      </c>
      <c r="BL364" t="s">
        <v>1644</v>
      </c>
      <c r="BM364" t="s">
        <v>74</v>
      </c>
      <c r="BN364">
        <v>29158318</v>
      </c>
      <c r="BO364" t="s">
        <v>74</v>
      </c>
      <c r="BP364" t="s">
        <v>74</v>
      </c>
      <c r="BQ364" t="s">
        <v>74</v>
      </c>
      <c r="BR364" t="s">
        <v>96</v>
      </c>
      <c r="BS364" t="s">
        <v>2894</v>
      </c>
      <c r="BT364" t="str">
        <f>HYPERLINK("https%3A%2F%2Fwww.webofscience.com%2Fwos%2Fwoscc%2Ffull-record%2FWOS:000415824500012","View Full Record in Web of Science")</f>
        <v>View Full Record in Web of Science</v>
      </c>
    </row>
    <row r="365" spans="1:72" x14ac:dyDescent="0.15">
      <c r="A365" t="s">
        <v>98</v>
      </c>
      <c r="B365" t="s">
        <v>10118</v>
      </c>
      <c r="C365" t="s">
        <v>74</v>
      </c>
      <c r="D365" t="s">
        <v>74</v>
      </c>
      <c r="E365" t="s">
        <v>74</v>
      </c>
      <c r="F365" t="s">
        <v>10119</v>
      </c>
      <c r="G365" t="s">
        <v>74</v>
      </c>
      <c r="H365" t="s">
        <v>74</v>
      </c>
      <c r="I365" t="s">
        <v>10120</v>
      </c>
      <c r="J365" t="s">
        <v>1562</v>
      </c>
      <c r="K365" t="s">
        <v>74</v>
      </c>
      <c r="L365" t="s">
        <v>74</v>
      </c>
      <c r="M365" t="s">
        <v>74</v>
      </c>
      <c r="N365" t="s">
        <v>103</v>
      </c>
      <c r="O365" t="s">
        <v>74</v>
      </c>
      <c r="P365" t="s">
        <v>74</v>
      </c>
      <c r="Q365" t="s">
        <v>74</v>
      </c>
      <c r="R365" t="s">
        <v>74</v>
      </c>
      <c r="S365" t="s">
        <v>74</v>
      </c>
      <c r="T365" t="s">
        <v>74</v>
      </c>
      <c r="U365" t="s">
        <v>10121</v>
      </c>
      <c r="V365" t="s">
        <v>10122</v>
      </c>
      <c r="W365" t="s">
        <v>10123</v>
      </c>
      <c r="X365" t="s">
        <v>10124</v>
      </c>
      <c r="Y365" t="s">
        <v>10125</v>
      </c>
      <c r="Z365" t="s">
        <v>10126</v>
      </c>
      <c r="AA365" t="s">
        <v>10127</v>
      </c>
      <c r="AB365" t="s">
        <v>10128</v>
      </c>
      <c r="AC365" t="s">
        <v>74</v>
      </c>
      <c r="AD365" t="s">
        <v>74</v>
      </c>
      <c r="AE365" t="s">
        <v>74</v>
      </c>
      <c r="AF365" t="s">
        <v>74</v>
      </c>
      <c r="AG365">
        <v>74</v>
      </c>
      <c r="AH365">
        <v>54</v>
      </c>
      <c r="AI365">
        <v>58</v>
      </c>
      <c r="AJ365">
        <v>1</v>
      </c>
      <c r="AK365">
        <v>12</v>
      </c>
      <c r="AL365" t="s">
        <v>74</v>
      </c>
      <c r="AM365" t="s">
        <v>74</v>
      </c>
      <c r="AN365" t="s">
        <v>74</v>
      </c>
      <c r="AO365" t="s">
        <v>1569</v>
      </c>
      <c r="AP365" t="s">
        <v>74</v>
      </c>
      <c r="AQ365" t="s">
        <v>74</v>
      </c>
      <c r="AR365" t="s">
        <v>74</v>
      </c>
      <c r="AS365" t="s">
        <v>74</v>
      </c>
      <c r="AT365" t="s">
        <v>10129</v>
      </c>
      <c r="AU365">
        <v>2020</v>
      </c>
      <c r="AV365">
        <v>30</v>
      </c>
      <c r="AW365">
        <v>7</v>
      </c>
      <c r="AX365" t="s">
        <v>74</v>
      </c>
      <c r="AY365" t="s">
        <v>74</v>
      </c>
      <c r="AZ365" t="s">
        <v>74</v>
      </c>
      <c r="BA365" t="s">
        <v>74</v>
      </c>
      <c r="BB365">
        <v>2065</v>
      </c>
      <c r="BC365">
        <v>2074</v>
      </c>
      <c r="BD365" t="s">
        <v>74</v>
      </c>
      <c r="BE365" t="s">
        <v>10130</v>
      </c>
      <c r="BF365" t="str">
        <f>HYPERLINK("http://dx.doi.org/10.1016/j.celrep.2020.01.073","http://dx.doi.org/10.1016/j.celrep.2020.01.073")</f>
        <v>http://dx.doi.org/10.1016/j.celrep.2020.01.073</v>
      </c>
      <c r="BG365" t="s">
        <v>74</v>
      </c>
      <c r="BH365" t="s">
        <v>74</v>
      </c>
      <c r="BI365" t="s">
        <v>74</v>
      </c>
      <c r="BJ365" t="s">
        <v>135</v>
      </c>
      <c r="BK365" t="s">
        <v>117</v>
      </c>
      <c r="BL365" t="s">
        <v>135</v>
      </c>
      <c r="BM365" t="s">
        <v>74</v>
      </c>
      <c r="BN365">
        <v>32075753</v>
      </c>
      <c r="BO365" t="s">
        <v>74</v>
      </c>
      <c r="BP365" t="s">
        <v>74</v>
      </c>
      <c r="BQ365" t="s">
        <v>74</v>
      </c>
      <c r="BR365" t="s">
        <v>96</v>
      </c>
      <c r="BS365" t="s">
        <v>10131</v>
      </c>
      <c r="BT365" t="str">
        <f>HYPERLINK("https%3A%2F%2Fwww.webofscience.com%2Fwos%2Fwoscc%2Ffull-record%2FWOS:000514824500002","View Full Record in Web of Science")</f>
        <v>View Full Record in Web of Science</v>
      </c>
    </row>
    <row r="366" spans="1:72" x14ac:dyDescent="0.15">
      <c r="A366" t="s">
        <v>98</v>
      </c>
      <c r="B366" t="s">
        <v>16312</v>
      </c>
      <c r="C366" t="s">
        <v>74</v>
      </c>
      <c r="D366" t="s">
        <v>74</v>
      </c>
      <c r="E366" t="s">
        <v>74</v>
      </c>
      <c r="F366" t="s">
        <v>16313</v>
      </c>
      <c r="G366" t="s">
        <v>74</v>
      </c>
      <c r="H366" t="s">
        <v>74</v>
      </c>
      <c r="I366" t="s">
        <v>16314</v>
      </c>
      <c r="J366" t="s">
        <v>11811</v>
      </c>
      <c r="K366" t="s">
        <v>74</v>
      </c>
      <c r="L366" t="s">
        <v>74</v>
      </c>
      <c r="M366" t="s">
        <v>74</v>
      </c>
      <c r="N366" t="s">
        <v>103</v>
      </c>
      <c r="O366" t="s">
        <v>74</v>
      </c>
      <c r="P366" t="s">
        <v>74</v>
      </c>
      <c r="Q366" t="s">
        <v>74</v>
      </c>
      <c r="R366" t="s">
        <v>74</v>
      </c>
      <c r="S366" t="s">
        <v>74</v>
      </c>
      <c r="T366" t="s">
        <v>74</v>
      </c>
      <c r="U366" t="s">
        <v>16315</v>
      </c>
      <c r="V366" t="s">
        <v>16316</v>
      </c>
      <c r="W366" t="s">
        <v>16317</v>
      </c>
      <c r="X366" t="s">
        <v>16318</v>
      </c>
      <c r="Y366" t="s">
        <v>16319</v>
      </c>
      <c r="Z366" t="s">
        <v>16320</v>
      </c>
      <c r="AA366" t="s">
        <v>74</v>
      </c>
      <c r="AB366" t="s">
        <v>16321</v>
      </c>
      <c r="AC366" t="s">
        <v>74</v>
      </c>
      <c r="AD366" t="s">
        <v>74</v>
      </c>
      <c r="AE366" t="s">
        <v>74</v>
      </c>
      <c r="AF366" t="s">
        <v>74</v>
      </c>
      <c r="AG366">
        <v>48</v>
      </c>
      <c r="AH366">
        <v>54</v>
      </c>
      <c r="AI366">
        <v>57</v>
      </c>
      <c r="AJ366">
        <v>2</v>
      </c>
      <c r="AK366">
        <v>14</v>
      </c>
      <c r="AL366" t="s">
        <v>74</v>
      </c>
      <c r="AM366" t="s">
        <v>74</v>
      </c>
      <c r="AN366" t="s">
        <v>74</v>
      </c>
      <c r="AO366" t="s">
        <v>11820</v>
      </c>
      <c r="AP366" t="s">
        <v>74</v>
      </c>
      <c r="AQ366" t="s">
        <v>74</v>
      </c>
      <c r="AR366" t="s">
        <v>74</v>
      </c>
      <c r="AS366" t="s">
        <v>74</v>
      </c>
      <c r="AT366" t="s">
        <v>7137</v>
      </c>
      <c r="AU366">
        <v>2018</v>
      </c>
      <c r="AV366">
        <v>9</v>
      </c>
      <c r="AW366" t="s">
        <v>74</v>
      </c>
      <c r="AX366" t="s">
        <v>74</v>
      </c>
      <c r="AY366" t="s">
        <v>74</v>
      </c>
      <c r="AZ366" t="s">
        <v>74</v>
      </c>
      <c r="BA366" t="s">
        <v>74</v>
      </c>
      <c r="BB366" t="s">
        <v>74</v>
      </c>
      <c r="BC366" t="s">
        <v>74</v>
      </c>
      <c r="BD366">
        <v>357</v>
      </c>
      <c r="BE366" t="s">
        <v>16322</v>
      </c>
      <c r="BF366" t="str">
        <f>HYPERLINK("http://dx.doi.org/10.1038/s41419-018-0392-5","http://dx.doi.org/10.1038/s41419-018-0392-5")</f>
        <v>http://dx.doi.org/10.1038/s41419-018-0392-5</v>
      </c>
      <c r="BG366" t="s">
        <v>74</v>
      </c>
      <c r="BH366" t="s">
        <v>74</v>
      </c>
      <c r="BI366" t="s">
        <v>74</v>
      </c>
      <c r="BJ366" t="s">
        <v>135</v>
      </c>
      <c r="BK366" t="s">
        <v>117</v>
      </c>
      <c r="BL366" t="s">
        <v>135</v>
      </c>
      <c r="BM366" t="s">
        <v>74</v>
      </c>
      <c r="BN366">
        <v>29500342</v>
      </c>
      <c r="BO366" t="s">
        <v>74</v>
      </c>
      <c r="BP366" t="s">
        <v>74</v>
      </c>
      <c r="BQ366" t="s">
        <v>74</v>
      </c>
      <c r="BR366" t="s">
        <v>96</v>
      </c>
      <c r="BS366" t="s">
        <v>16323</v>
      </c>
      <c r="BT366" t="str">
        <f>HYPERLINK("https%3A%2F%2Fwww.webofscience.com%2Fwos%2Fwoscc%2Ffull-record%2FWOS:000427423300009","View Full Record in Web of Science")</f>
        <v>View Full Record in Web of Science</v>
      </c>
    </row>
    <row r="367" spans="1:72" x14ac:dyDescent="0.15">
      <c r="A367" t="s">
        <v>98</v>
      </c>
      <c r="B367" t="s">
        <v>16500</v>
      </c>
      <c r="C367" t="s">
        <v>74</v>
      </c>
      <c r="D367" t="s">
        <v>74</v>
      </c>
      <c r="E367" t="s">
        <v>74</v>
      </c>
      <c r="F367" t="s">
        <v>16501</v>
      </c>
      <c r="G367" t="s">
        <v>74</v>
      </c>
      <c r="H367" t="s">
        <v>74</v>
      </c>
      <c r="I367" t="s">
        <v>16502</v>
      </c>
      <c r="J367" t="s">
        <v>658</v>
      </c>
      <c r="K367" t="s">
        <v>74</v>
      </c>
      <c r="L367" t="s">
        <v>74</v>
      </c>
      <c r="M367" t="s">
        <v>74</v>
      </c>
      <c r="N367" t="s">
        <v>103</v>
      </c>
      <c r="O367" t="s">
        <v>74</v>
      </c>
      <c r="P367" t="s">
        <v>74</v>
      </c>
      <c r="Q367" t="s">
        <v>74</v>
      </c>
      <c r="R367" t="s">
        <v>74</v>
      </c>
      <c r="S367" t="s">
        <v>74</v>
      </c>
      <c r="T367" t="s">
        <v>16503</v>
      </c>
      <c r="U367" t="s">
        <v>16504</v>
      </c>
      <c r="V367" t="s">
        <v>16505</v>
      </c>
      <c r="W367" t="s">
        <v>16506</v>
      </c>
      <c r="X367" t="s">
        <v>16507</v>
      </c>
      <c r="Y367" t="s">
        <v>16508</v>
      </c>
      <c r="Z367" t="s">
        <v>16509</v>
      </c>
      <c r="AA367" t="s">
        <v>16510</v>
      </c>
      <c r="AB367" t="s">
        <v>16511</v>
      </c>
      <c r="AC367" t="s">
        <v>74</v>
      </c>
      <c r="AD367" t="s">
        <v>74</v>
      </c>
      <c r="AE367" t="s">
        <v>74</v>
      </c>
      <c r="AF367" t="s">
        <v>74</v>
      </c>
      <c r="AG367">
        <v>56</v>
      </c>
      <c r="AH367">
        <v>54</v>
      </c>
      <c r="AI367">
        <v>54</v>
      </c>
      <c r="AJ367">
        <v>2</v>
      </c>
      <c r="AK367">
        <v>35</v>
      </c>
      <c r="AL367" t="s">
        <v>74</v>
      </c>
      <c r="AM367" t="s">
        <v>74</v>
      </c>
      <c r="AN367" t="s">
        <v>74</v>
      </c>
      <c r="AO367" t="s">
        <v>668</v>
      </c>
      <c r="AP367" t="s">
        <v>74</v>
      </c>
      <c r="AQ367" t="s">
        <v>74</v>
      </c>
      <c r="AR367" t="s">
        <v>74</v>
      </c>
      <c r="AS367" t="s">
        <v>74</v>
      </c>
      <c r="AT367" t="s">
        <v>7400</v>
      </c>
      <c r="AU367">
        <v>2016</v>
      </c>
      <c r="AV367">
        <v>113</v>
      </c>
      <c r="AW367">
        <v>44</v>
      </c>
      <c r="AX367" t="s">
        <v>74</v>
      </c>
      <c r="AY367" t="s">
        <v>74</v>
      </c>
      <c r="AZ367" t="s">
        <v>74</v>
      </c>
      <c r="BA367" t="s">
        <v>74</v>
      </c>
      <c r="BB367">
        <v>12496</v>
      </c>
      <c r="BC367">
        <v>12501</v>
      </c>
      <c r="BD367" t="s">
        <v>74</v>
      </c>
      <c r="BE367" t="s">
        <v>16512</v>
      </c>
      <c r="BF367" t="str">
        <f>HYPERLINK("http://dx.doi.org/10.1073/pnas.1608959113","http://dx.doi.org/10.1073/pnas.1608959113")</f>
        <v>http://dx.doi.org/10.1073/pnas.1608959113</v>
      </c>
      <c r="BG367" t="s">
        <v>74</v>
      </c>
      <c r="BH367" t="s">
        <v>74</v>
      </c>
      <c r="BI367" t="s">
        <v>74</v>
      </c>
      <c r="BJ367" t="s">
        <v>152</v>
      </c>
      <c r="BK367" t="s">
        <v>117</v>
      </c>
      <c r="BL367" t="s">
        <v>153</v>
      </c>
      <c r="BM367" t="s">
        <v>74</v>
      </c>
      <c r="BN367">
        <v>27791108</v>
      </c>
      <c r="BO367" t="s">
        <v>74</v>
      </c>
      <c r="BP367" t="s">
        <v>74</v>
      </c>
      <c r="BQ367" t="s">
        <v>74</v>
      </c>
      <c r="BR367" t="s">
        <v>96</v>
      </c>
      <c r="BS367" t="s">
        <v>16513</v>
      </c>
      <c r="BT367" t="str">
        <f>HYPERLINK("https%3A%2F%2Fwww.webofscience.com%2Fwos%2Fwoscc%2Ffull-record%2FWOS:000386608200056","View Full Record in Web of Science")</f>
        <v>View Full Record in Web of Science</v>
      </c>
    </row>
    <row r="368" spans="1:72" x14ac:dyDescent="0.15">
      <c r="A368" t="s">
        <v>98</v>
      </c>
      <c r="B368" t="s">
        <v>20607</v>
      </c>
      <c r="C368" t="s">
        <v>74</v>
      </c>
      <c r="D368" t="s">
        <v>74</v>
      </c>
      <c r="E368" t="s">
        <v>74</v>
      </c>
      <c r="F368" t="s">
        <v>20608</v>
      </c>
      <c r="G368" t="s">
        <v>74</v>
      </c>
      <c r="H368" t="s">
        <v>74</v>
      </c>
      <c r="I368" t="s">
        <v>20609</v>
      </c>
      <c r="J368" t="s">
        <v>20610</v>
      </c>
      <c r="K368" t="s">
        <v>74</v>
      </c>
      <c r="L368" t="s">
        <v>74</v>
      </c>
      <c r="M368" t="s">
        <v>74</v>
      </c>
      <c r="N368" t="s">
        <v>103</v>
      </c>
      <c r="O368" t="s">
        <v>74</v>
      </c>
      <c r="P368" t="s">
        <v>74</v>
      </c>
      <c r="Q368" t="s">
        <v>74</v>
      </c>
      <c r="R368" t="s">
        <v>74</v>
      </c>
      <c r="S368" t="s">
        <v>74</v>
      </c>
      <c r="T368" t="s">
        <v>74</v>
      </c>
      <c r="U368" t="s">
        <v>20611</v>
      </c>
      <c r="V368" t="s">
        <v>20612</v>
      </c>
      <c r="W368" t="s">
        <v>20613</v>
      </c>
      <c r="X368" t="s">
        <v>20614</v>
      </c>
      <c r="Y368" t="s">
        <v>20615</v>
      </c>
      <c r="Z368" t="s">
        <v>20616</v>
      </c>
      <c r="AA368" t="s">
        <v>74</v>
      </c>
      <c r="AB368" t="s">
        <v>20617</v>
      </c>
      <c r="AC368" t="s">
        <v>74</v>
      </c>
      <c r="AD368" t="s">
        <v>74</v>
      </c>
      <c r="AE368" t="s">
        <v>74</v>
      </c>
      <c r="AF368" t="s">
        <v>74</v>
      </c>
      <c r="AG368">
        <v>81</v>
      </c>
      <c r="AH368">
        <v>54</v>
      </c>
      <c r="AI368">
        <v>54</v>
      </c>
      <c r="AJ368">
        <v>3</v>
      </c>
      <c r="AK368">
        <v>25</v>
      </c>
      <c r="AL368" t="s">
        <v>74</v>
      </c>
      <c r="AM368" t="s">
        <v>74</v>
      </c>
      <c r="AN368" t="s">
        <v>74</v>
      </c>
      <c r="AO368" t="s">
        <v>20618</v>
      </c>
      <c r="AP368" t="s">
        <v>20619</v>
      </c>
      <c r="AQ368" t="s">
        <v>74</v>
      </c>
      <c r="AR368" t="s">
        <v>74</v>
      </c>
      <c r="AS368" t="s">
        <v>74</v>
      </c>
      <c r="AT368" t="s">
        <v>967</v>
      </c>
      <c r="AU368">
        <v>2018</v>
      </c>
      <c r="AV368">
        <v>67</v>
      </c>
      <c r="AW368">
        <v>12</v>
      </c>
      <c r="AX368" t="s">
        <v>74</v>
      </c>
      <c r="AY368" t="s">
        <v>74</v>
      </c>
      <c r="AZ368" t="s">
        <v>74</v>
      </c>
      <c r="BA368" t="s">
        <v>74</v>
      </c>
      <c r="BB368">
        <v>2204</v>
      </c>
      <c r="BC368">
        <v>2212</v>
      </c>
      <c r="BD368" t="s">
        <v>74</v>
      </c>
      <c r="BE368" t="s">
        <v>20620</v>
      </c>
      <c r="BF368" t="str">
        <f>HYPERLINK("http://dx.doi.org/10.1136/gutjnl-2017-315846","http://dx.doi.org/10.1136/gutjnl-2017-315846")</f>
        <v>http://dx.doi.org/10.1136/gutjnl-2017-315846</v>
      </c>
      <c r="BG368" t="s">
        <v>74</v>
      </c>
      <c r="BH368" t="s">
        <v>74</v>
      </c>
      <c r="BI368" t="s">
        <v>74</v>
      </c>
      <c r="BJ368" t="s">
        <v>633</v>
      </c>
      <c r="BK368" t="s">
        <v>117</v>
      </c>
      <c r="BL368" t="s">
        <v>633</v>
      </c>
      <c r="BM368" t="s">
        <v>74</v>
      </c>
      <c r="BN368">
        <v>30177542</v>
      </c>
      <c r="BO368" t="s">
        <v>74</v>
      </c>
      <c r="BP368" t="s">
        <v>74</v>
      </c>
      <c r="BQ368" t="s">
        <v>74</v>
      </c>
      <c r="BR368" t="s">
        <v>96</v>
      </c>
      <c r="BS368" t="s">
        <v>20621</v>
      </c>
      <c r="BT368" t="str">
        <f>HYPERLINK("https%3A%2F%2Fwww.webofscience.com%2Fwos%2Fwoscc%2Ffull-record%2FWOS:000451278400018","View Full Record in Web of Science")</f>
        <v>View Full Record in Web of Science</v>
      </c>
    </row>
    <row r="369" spans="1:72" x14ac:dyDescent="0.15">
      <c r="A369" t="s">
        <v>98</v>
      </c>
      <c r="B369" t="s">
        <v>26639</v>
      </c>
      <c r="C369" t="s">
        <v>74</v>
      </c>
      <c r="D369" t="s">
        <v>74</v>
      </c>
      <c r="E369" t="s">
        <v>74</v>
      </c>
      <c r="F369" t="s">
        <v>26640</v>
      </c>
      <c r="G369" t="s">
        <v>74</v>
      </c>
      <c r="H369" t="s">
        <v>74</v>
      </c>
      <c r="I369" t="s">
        <v>26641</v>
      </c>
      <c r="J369" t="s">
        <v>140</v>
      </c>
      <c r="K369" t="s">
        <v>74</v>
      </c>
      <c r="L369" t="s">
        <v>74</v>
      </c>
      <c r="M369" t="s">
        <v>74</v>
      </c>
      <c r="N369" t="s">
        <v>103</v>
      </c>
      <c r="O369" t="s">
        <v>74</v>
      </c>
      <c r="P369" t="s">
        <v>74</v>
      </c>
      <c r="Q369" t="s">
        <v>74</v>
      </c>
      <c r="R369" t="s">
        <v>74</v>
      </c>
      <c r="S369" t="s">
        <v>74</v>
      </c>
      <c r="T369" t="s">
        <v>74</v>
      </c>
      <c r="U369" t="s">
        <v>26642</v>
      </c>
      <c r="V369" t="s">
        <v>26643</v>
      </c>
      <c r="W369" t="s">
        <v>26644</v>
      </c>
      <c r="X369" t="s">
        <v>26645</v>
      </c>
      <c r="Y369" t="s">
        <v>26646</v>
      </c>
      <c r="Z369" t="s">
        <v>26647</v>
      </c>
      <c r="AA369" t="s">
        <v>26648</v>
      </c>
      <c r="AB369" t="s">
        <v>26649</v>
      </c>
      <c r="AC369" t="s">
        <v>74</v>
      </c>
      <c r="AD369" t="s">
        <v>74</v>
      </c>
      <c r="AE369" t="s">
        <v>74</v>
      </c>
      <c r="AF369" t="s">
        <v>74</v>
      </c>
      <c r="AG369">
        <v>25</v>
      </c>
      <c r="AH369">
        <v>54</v>
      </c>
      <c r="AI369">
        <v>55</v>
      </c>
      <c r="AJ369">
        <v>1</v>
      </c>
      <c r="AK369">
        <v>13</v>
      </c>
      <c r="AL369" t="s">
        <v>74</v>
      </c>
      <c r="AM369" t="s">
        <v>74</v>
      </c>
      <c r="AN369" t="s">
        <v>74</v>
      </c>
      <c r="AO369" t="s">
        <v>149</v>
      </c>
      <c r="AP369" t="s">
        <v>74</v>
      </c>
      <c r="AQ369" t="s">
        <v>74</v>
      </c>
      <c r="AR369" t="s">
        <v>74</v>
      </c>
      <c r="AS369" t="s">
        <v>74</v>
      </c>
      <c r="AT369" t="s">
        <v>26650</v>
      </c>
      <c r="AU369">
        <v>2017</v>
      </c>
      <c r="AV369">
        <v>7</v>
      </c>
      <c r="AW369" t="s">
        <v>74</v>
      </c>
      <c r="AX369" t="s">
        <v>74</v>
      </c>
      <c r="AY369" t="s">
        <v>74</v>
      </c>
      <c r="AZ369" t="s">
        <v>74</v>
      </c>
      <c r="BA369" t="s">
        <v>74</v>
      </c>
      <c r="BB369" t="s">
        <v>74</v>
      </c>
      <c r="BC369" t="s">
        <v>74</v>
      </c>
      <c r="BD369">
        <v>14444</v>
      </c>
      <c r="BE369" t="s">
        <v>26651</v>
      </c>
      <c r="BF369" t="str">
        <f>HYPERLINK("http://dx.doi.org/10.1038/s41598-017-14305-z","http://dx.doi.org/10.1038/s41598-017-14305-z")</f>
        <v>http://dx.doi.org/10.1038/s41598-017-14305-z</v>
      </c>
      <c r="BG369" t="s">
        <v>74</v>
      </c>
      <c r="BH369" t="s">
        <v>74</v>
      </c>
      <c r="BI369" t="s">
        <v>74</v>
      </c>
      <c r="BJ369" t="s">
        <v>152</v>
      </c>
      <c r="BK369" t="s">
        <v>117</v>
      </c>
      <c r="BL369" t="s">
        <v>153</v>
      </c>
      <c r="BM369" t="s">
        <v>74</v>
      </c>
      <c r="BN369">
        <v>29089562</v>
      </c>
      <c r="BO369" t="s">
        <v>74</v>
      </c>
      <c r="BP369" t="s">
        <v>74</v>
      </c>
      <c r="BQ369" t="s">
        <v>74</v>
      </c>
      <c r="BR369" t="s">
        <v>96</v>
      </c>
      <c r="BS369" t="s">
        <v>26652</v>
      </c>
      <c r="BT369" t="str">
        <f>HYPERLINK("https%3A%2F%2Fwww.webofscience.com%2Fwos%2Fwoscc%2Ffull-record%2FWOS:000414231000045","View Full Record in Web of Science")</f>
        <v>View Full Record in Web of Science</v>
      </c>
    </row>
    <row r="370" spans="1:72" x14ac:dyDescent="0.15">
      <c r="A370" t="s">
        <v>98</v>
      </c>
      <c r="B370" t="s">
        <v>27851</v>
      </c>
      <c r="C370" t="s">
        <v>74</v>
      </c>
      <c r="D370" t="s">
        <v>74</v>
      </c>
      <c r="E370" t="s">
        <v>74</v>
      </c>
      <c r="F370" t="s">
        <v>27852</v>
      </c>
      <c r="G370" t="s">
        <v>74</v>
      </c>
      <c r="H370" t="s">
        <v>74</v>
      </c>
      <c r="I370" t="s">
        <v>27853</v>
      </c>
      <c r="J370" t="s">
        <v>27854</v>
      </c>
      <c r="K370" t="s">
        <v>74</v>
      </c>
      <c r="L370" t="s">
        <v>74</v>
      </c>
      <c r="M370" t="s">
        <v>74</v>
      </c>
      <c r="N370" t="s">
        <v>103</v>
      </c>
      <c r="O370" t="s">
        <v>74</v>
      </c>
      <c r="P370" t="s">
        <v>74</v>
      </c>
      <c r="Q370" t="s">
        <v>74</v>
      </c>
      <c r="R370" t="s">
        <v>74</v>
      </c>
      <c r="S370" t="s">
        <v>74</v>
      </c>
      <c r="T370" t="s">
        <v>27855</v>
      </c>
      <c r="U370" t="s">
        <v>27856</v>
      </c>
      <c r="V370" t="s">
        <v>27857</v>
      </c>
      <c r="W370" t="s">
        <v>27858</v>
      </c>
      <c r="X370" t="s">
        <v>27859</v>
      </c>
      <c r="Y370" t="s">
        <v>27860</v>
      </c>
      <c r="Z370" t="s">
        <v>27861</v>
      </c>
      <c r="AA370" t="s">
        <v>74</v>
      </c>
      <c r="AB370" t="s">
        <v>27862</v>
      </c>
      <c r="AC370" t="s">
        <v>74</v>
      </c>
      <c r="AD370" t="s">
        <v>74</v>
      </c>
      <c r="AE370" t="s">
        <v>74</v>
      </c>
      <c r="AF370" t="s">
        <v>74</v>
      </c>
      <c r="AG370">
        <v>138</v>
      </c>
      <c r="AH370">
        <v>54</v>
      </c>
      <c r="AI370">
        <v>58</v>
      </c>
      <c r="AJ370">
        <v>0</v>
      </c>
      <c r="AK370">
        <v>37</v>
      </c>
      <c r="AL370" t="s">
        <v>74</v>
      </c>
      <c r="AM370" t="s">
        <v>74</v>
      </c>
      <c r="AN370" t="s">
        <v>74</v>
      </c>
      <c r="AO370" t="s">
        <v>27863</v>
      </c>
      <c r="AP370" t="s">
        <v>27864</v>
      </c>
      <c r="AQ370" t="s">
        <v>74</v>
      </c>
      <c r="AR370" t="s">
        <v>74</v>
      </c>
      <c r="AS370" t="s">
        <v>74</v>
      </c>
      <c r="AT370" t="s">
        <v>1029</v>
      </c>
      <c r="AU370">
        <v>2015</v>
      </c>
      <c r="AV370">
        <v>77</v>
      </c>
      <c r="AW370" t="s">
        <v>74</v>
      </c>
      <c r="AX370" t="s">
        <v>74</v>
      </c>
      <c r="AY370" t="s">
        <v>74</v>
      </c>
      <c r="AZ370" t="s">
        <v>74</v>
      </c>
      <c r="BA370" t="s">
        <v>74</v>
      </c>
      <c r="BB370">
        <v>257</v>
      </c>
      <c r="BC370">
        <v>265</v>
      </c>
      <c r="BD370" t="s">
        <v>74</v>
      </c>
      <c r="BE370" t="s">
        <v>27865</v>
      </c>
      <c r="BF370" t="str">
        <f>HYPERLINK("http://dx.doi.org/10.1016/j.nbd.2015.02.009","http://dx.doi.org/10.1016/j.nbd.2015.02.009")</f>
        <v>http://dx.doi.org/10.1016/j.nbd.2015.02.009</v>
      </c>
      <c r="BG370" t="s">
        <v>74</v>
      </c>
      <c r="BH370" t="s">
        <v>74</v>
      </c>
      <c r="BI370" t="s">
        <v>74</v>
      </c>
      <c r="BJ370" t="s">
        <v>652</v>
      </c>
      <c r="BK370" t="s">
        <v>117</v>
      </c>
      <c r="BL370" t="s">
        <v>653</v>
      </c>
      <c r="BM370" t="s">
        <v>74</v>
      </c>
      <c r="BN370">
        <v>25701498</v>
      </c>
      <c r="BO370" t="s">
        <v>74</v>
      </c>
      <c r="BP370" t="s">
        <v>74</v>
      </c>
      <c r="BQ370" t="s">
        <v>74</v>
      </c>
      <c r="BR370" t="s">
        <v>96</v>
      </c>
      <c r="BS370" t="s">
        <v>27866</v>
      </c>
      <c r="BT370" t="str">
        <f>HYPERLINK("https%3A%2F%2Fwww.webofscience.com%2Fwos%2Fwoscc%2Ffull-record%2FWOS:000353612200023","View Full Record in Web of Science")</f>
        <v>View Full Record in Web of Science</v>
      </c>
    </row>
    <row r="371" spans="1:72" x14ac:dyDescent="0.15">
      <c r="A371" t="s">
        <v>98</v>
      </c>
      <c r="B371" t="s">
        <v>4311</v>
      </c>
      <c r="C371" t="s">
        <v>74</v>
      </c>
      <c r="D371" t="s">
        <v>74</v>
      </c>
      <c r="E371" t="s">
        <v>74</v>
      </c>
      <c r="F371" t="s">
        <v>4312</v>
      </c>
      <c r="G371" t="s">
        <v>74</v>
      </c>
      <c r="H371" t="s">
        <v>74</v>
      </c>
      <c r="I371" t="s">
        <v>4313</v>
      </c>
      <c r="J371" t="s">
        <v>4314</v>
      </c>
      <c r="K371" t="s">
        <v>74</v>
      </c>
      <c r="L371" t="s">
        <v>74</v>
      </c>
      <c r="M371" t="s">
        <v>74</v>
      </c>
      <c r="N371" t="s">
        <v>103</v>
      </c>
      <c r="O371" t="s">
        <v>74</v>
      </c>
      <c r="P371" t="s">
        <v>74</v>
      </c>
      <c r="Q371" t="s">
        <v>74</v>
      </c>
      <c r="R371" t="s">
        <v>74</v>
      </c>
      <c r="S371" t="s">
        <v>74</v>
      </c>
      <c r="T371" t="s">
        <v>4315</v>
      </c>
      <c r="U371" t="s">
        <v>4316</v>
      </c>
      <c r="V371" t="s">
        <v>4317</v>
      </c>
      <c r="W371" t="s">
        <v>4318</v>
      </c>
      <c r="X371" t="s">
        <v>4319</v>
      </c>
      <c r="Y371" t="s">
        <v>4320</v>
      </c>
      <c r="Z371" t="s">
        <v>4321</v>
      </c>
      <c r="AA371" t="s">
        <v>4322</v>
      </c>
      <c r="AB371" t="s">
        <v>4323</v>
      </c>
      <c r="AC371" t="s">
        <v>74</v>
      </c>
      <c r="AD371" t="s">
        <v>74</v>
      </c>
      <c r="AE371" t="s">
        <v>74</v>
      </c>
      <c r="AF371" t="s">
        <v>74</v>
      </c>
      <c r="AG371">
        <v>55</v>
      </c>
      <c r="AH371">
        <v>53</v>
      </c>
      <c r="AI371">
        <v>55</v>
      </c>
      <c r="AJ371">
        <v>3</v>
      </c>
      <c r="AK371">
        <v>42</v>
      </c>
      <c r="AL371" t="s">
        <v>74</v>
      </c>
      <c r="AM371" t="s">
        <v>74</v>
      </c>
      <c r="AN371" t="s">
        <v>74</v>
      </c>
      <c r="AO371" t="s">
        <v>4324</v>
      </c>
      <c r="AP371" t="s">
        <v>4325</v>
      </c>
      <c r="AQ371" t="s">
        <v>74</v>
      </c>
      <c r="AR371" t="s">
        <v>74</v>
      </c>
      <c r="AS371" t="s">
        <v>74</v>
      </c>
      <c r="AT371" t="s">
        <v>170</v>
      </c>
      <c r="AU371">
        <v>2017</v>
      </c>
      <c r="AV371">
        <v>45</v>
      </c>
      <c r="AW371">
        <v>6</v>
      </c>
      <c r="AX371" t="s">
        <v>74</v>
      </c>
      <c r="AY371" t="s">
        <v>74</v>
      </c>
      <c r="AZ371" t="s">
        <v>74</v>
      </c>
      <c r="BA371" t="s">
        <v>74</v>
      </c>
      <c r="BB371">
        <v>1054</v>
      </c>
      <c r="BC371">
        <v>1060</v>
      </c>
      <c r="BD371" t="s">
        <v>74</v>
      </c>
      <c r="BE371" t="s">
        <v>4326</v>
      </c>
      <c r="BF371" t="str">
        <f>HYPERLINK("http://dx.doi.org/10.1097/CCM.0000000000002328","http://dx.doi.org/10.1097/CCM.0000000000002328")</f>
        <v>http://dx.doi.org/10.1097/CCM.0000000000002328</v>
      </c>
      <c r="BG371" t="s">
        <v>74</v>
      </c>
      <c r="BH371" t="s">
        <v>74</v>
      </c>
      <c r="BI371" t="s">
        <v>74</v>
      </c>
      <c r="BJ371" t="s">
        <v>4327</v>
      </c>
      <c r="BK371" t="s">
        <v>117</v>
      </c>
      <c r="BL371" t="s">
        <v>2565</v>
      </c>
      <c r="BM371" t="s">
        <v>74</v>
      </c>
      <c r="BN371">
        <v>28328650</v>
      </c>
      <c r="BO371" t="s">
        <v>74</v>
      </c>
      <c r="BP371" t="s">
        <v>74</v>
      </c>
      <c r="BQ371" t="s">
        <v>74</v>
      </c>
      <c r="BR371" t="s">
        <v>96</v>
      </c>
      <c r="BS371" t="s">
        <v>4328</v>
      </c>
      <c r="BT371" t="str">
        <f>HYPERLINK("https%3A%2F%2Fwww.webofscience.com%2Fwos%2Fwoscc%2Ffull-record%2FWOS:000401690000017","View Full Record in Web of Science")</f>
        <v>View Full Record in Web of Science</v>
      </c>
    </row>
    <row r="372" spans="1:72" x14ac:dyDescent="0.15">
      <c r="A372" t="s">
        <v>98</v>
      </c>
      <c r="B372" t="s">
        <v>7569</v>
      </c>
      <c r="C372" t="s">
        <v>74</v>
      </c>
      <c r="D372" t="s">
        <v>74</v>
      </c>
      <c r="E372" t="s">
        <v>74</v>
      </c>
      <c r="F372" t="s">
        <v>7570</v>
      </c>
      <c r="G372" t="s">
        <v>74</v>
      </c>
      <c r="H372" t="s">
        <v>74</v>
      </c>
      <c r="I372" t="s">
        <v>7571</v>
      </c>
      <c r="J372" t="s">
        <v>7572</v>
      </c>
      <c r="K372" t="s">
        <v>74</v>
      </c>
      <c r="L372" t="s">
        <v>74</v>
      </c>
      <c r="M372" t="s">
        <v>74</v>
      </c>
      <c r="N372" t="s">
        <v>103</v>
      </c>
      <c r="O372" t="s">
        <v>74</v>
      </c>
      <c r="P372" t="s">
        <v>74</v>
      </c>
      <c r="Q372" t="s">
        <v>74</v>
      </c>
      <c r="R372" t="s">
        <v>74</v>
      </c>
      <c r="S372" t="s">
        <v>74</v>
      </c>
      <c r="T372" t="s">
        <v>74</v>
      </c>
      <c r="U372" t="s">
        <v>7573</v>
      </c>
      <c r="V372" t="s">
        <v>7574</v>
      </c>
      <c r="W372" t="s">
        <v>7575</v>
      </c>
      <c r="X372" t="s">
        <v>7576</v>
      </c>
      <c r="Y372" t="s">
        <v>7577</v>
      </c>
      <c r="Z372" t="s">
        <v>7578</v>
      </c>
      <c r="AA372" t="s">
        <v>7579</v>
      </c>
      <c r="AB372" t="s">
        <v>7580</v>
      </c>
      <c r="AC372" t="s">
        <v>74</v>
      </c>
      <c r="AD372" t="s">
        <v>74</v>
      </c>
      <c r="AE372" t="s">
        <v>74</v>
      </c>
      <c r="AF372" t="s">
        <v>74</v>
      </c>
      <c r="AG372">
        <v>50</v>
      </c>
      <c r="AH372">
        <v>53</v>
      </c>
      <c r="AI372">
        <v>53</v>
      </c>
      <c r="AJ372">
        <v>3</v>
      </c>
      <c r="AK372">
        <v>16</v>
      </c>
      <c r="AL372" t="s">
        <v>74</v>
      </c>
      <c r="AM372" t="s">
        <v>74</v>
      </c>
      <c r="AN372" t="s">
        <v>74</v>
      </c>
      <c r="AO372" t="s">
        <v>7581</v>
      </c>
      <c r="AP372" t="s">
        <v>7582</v>
      </c>
      <c r="AQ372" t="s">
        <v>74</v>
      </c>
      <c r="AR372" t="s">
        <v>74</v>
      </c>
      <c r="AS372" t="s">
        <v>74</v>
      </c>
      <c r="AT372" t="s">
        <v>132</v>
      </c>
      <c r="AU372">
        <v>2014</v>
      </c>
      <c r="AV372">
        <v>16</v>
      </c>
      <c r="AW372">
        <v>4</v>
      </c>
      <c r="AX372" t="s">
        <v>74</v>
      </c>
      <c r="AY372" t="s">
        <v>74</v>
      </c>
      <c r="AZ372" t="s">
        <v>447</v>
      </c>
      <c r="BA372" t="s">
        <v>74</v>
      </c>
      <c r="BB372">
        <v>1167</v>
      </c>
      <c r="BC372">
        <v>1175</v>
      </c>
      <c r="BD372" t="s">
        <v>74</v>
      </c>
      <c r="BE372" t="s">
        <v>7583</v>
      </c>
      <c r="BF372" t="str">
        <f>HYPERLINK("http://dx.doi.org/10.1111/1462-2920.12235","http://dx.doi.org/10.1111/1462-2920.12235")</f>
        <v>http://dx.doi.org/10.1111/1462-2920.12235</v>
      </c>
      <c r="BG372" t="s">
        <v>74</v>
      </c>
      <c r="BH372" t="s">
        <v>74</v>
      </c>
      <c r="BI372" t="s">
        <v>74</v>
      </c>
      <c r="BJ372" t="s">
        <v>898</v>
      </c>
      <c r="BK372" t="s">
        <v>117</v>
      </c>
      <c r="BL372" t="s">
        <v>898</v>
      </c>
      <c r="BM372" t="s">
        <v>74</v>
      </c>
      <c r="BN372">
        <v>24034793</v>
      </c>
      <c r="BO372" t="s">
        <v>74</v>
      </c>
      <c r="BP372" t="s">
        <v>74</v>
      </c>
      <c r="BQ372" t="s">
        <v>74</v>
      </c>
      <c r="BR372" t="s">
        <v>96</v>
      </c>
      <c r="BS372" t="s">
        <v>7584</v>
      </c>
      <c r="BT372" t="str">
        <f>HYPERLINK("https%3A%2F%2Fwww.webofscience.com%2Fwos%2Fwoscc%2Ffull-record%2FWOS:000333713300021","View Full Record in Web of Science")</f>
        <v>View Full Record in Web of Science</v>
      </c>
    </row>
    <row r="373" spans="1:72" x14ac:dyDescent="0.15">
      <c r="A373" t="s">
        <v>98</v>
      </c>
      <c r="B373" t="s">
        <v>13072</v>
      </c>
      <c r="C373" t="s">
        <v>74</v>
      </c>
      <c r="D373" t="s">
        <v>74</v>
      </c>
      <c r="E373" t="s">
        <v>74</v>
      </c>
      <c r="F373" t="s">
        <v>13073</v>
      </c>
      <c r="G373" t="s">
        <v>74</v>
      </c>
      <c r="H373" t="s">
        <v>74</v>
      </c>
      <c r="I373" t="s">
        <v>13074</v>
      </c>
      <c r="J373" t="s">
        <v>503</v>
      </c>
      <c r="K373" t="s">
        <v>74</v>
      </c>
      <c r="L373" t="s">
        <v>74</v>
      </c>
      <c r="M373" t="s">
        <v>74</v>
      </c>
      <c r="N373" t="s">
        <v>103</v>
      </c>
      <c r="O373" t="s">
        <v>74</v>
      </c>
      <c r="P373" t="s">
        <v>74</v>
      </c>
      <c r="Q373" t="s">
        <v>74</v>
      </c>
      <c r="R373" t="s">
        <v>74</v>
      </c>
      <c r="S373" t="s">
        <v>74</v>
      </c>
      <c r="T373" t="s">
        <v>13075</v>
      </c>
      <c r="U373" t="s">
        <v>13076</v>
      </c>
      <c r="V373" t="s">
        <v>13077</v>
      </c>
      <c r="W373" t="s">
        <v>13078</v>
      </c>
      <c r="X373" t="s">
        <v>13079</v>
      </c>
      <c r="Y373" t="s">
        <v>13080</v>
      </c>
      <c r="Z373" t="s">
        <v>13081</v>
      </c>
      <c r="AA373" t="s">
        <v>74</v>
      </c>
      <c r="AB373" t="s">
        <v>2699</v>
      </c>
      <c r="AC373" t="s">
        <v>74</v>
      </c>
      <c r="AD373" t="s">
        <v>74</v>
      </c>
      <c r="AE373" t="s">
        <v>74</v>
      </c>
      <c r="AF373" t="s">
        <v>74</v>
      </c>
      <c r="AG373">
        <v>27</v>
      </c>
      <c r="AH373">
        <v>53</v>
      </c>
      <c r="AI373">
        <v>54</v>
      </c>
      <c r="AJ373">
        <v>0</v>
      </c>
      <c r="AK373">
        <v>5</v>
      </c>
      <c r="AL373" t="s">
        <v>74</v>
      </c>
      <c r="AM373" t="s">
        <v>74</v>
      </c>
      <c r="AN373" t="s">
        <v>74</v>
      </c>
      <c r="AO373" t="s">
        <v>512</v>
      </c>
      <c r="AP373" t="s">
        <v>513</v>
      </c>
      <c r="AQ373" t="s">
        <v>74</v>
      </c>
      <c r="AR373" t="s">
        <v>74</v>
      </c>
      <c r="AS373" t="s">
        <v>74</v>
      </c>
      <c r="AT373" t="s">
        <v>12712</v>
      </c>
      <c r="AU373">
        <v>2009</v>
      </c>
      <c r="AV373">
        <v>69</v>
      </c>
      <c r="AW373">
        <v>7</v>
      </c>
      <c r="AX373" t="s">
        <v>74</v>
      </c>
      <c r="AY373" t="s">
        <v>74</v>
      </c>
      <c r="AZ373" t="s">
        <v>74</v>
      </c>
      <c r="BA373" t="s">
        <v>74</v>
      </c>
      <c r="BB373">
        <v>737</v>
      </c>
      <c r="BC373">
        <v>743</v>
      </c>
      <c r="BD373" t="s">
        <v>74</v>
      </c>
      <c r="BE373" t="s">
        <v>13082</v>
      </c>
      <c r="BF373" t="str">
        <f>HYPERLINK("http://dx.doi.org/10.1002/pros.20921","http://dx.doi.org/10.1002/pros.20921")</f>
        <v>http://dx.doi.org/10.1002/pros.20921</v>
      </c>
      <c r="BG373" t="s">
        <v>74</v>
      </c>
      <c r="BH373" t="s">
        <v>74</v>
      </c>
      <c r="BI373" t="s">
        <v>74</v>
      </c>
      <c r="BJ373" t="s">
        <v>515</v>
      </c>
      <c r="BK373" t="s">
        <v>117</v>
      </c>
      <c r="BL373" t="s">
        <v>515</v>
      </c>
      <c r="BM373" t="s">
        <v>74</v>
      </c>
      <c r="BN373">
        <v>19143024</v>
      </c>
      <c r="BO373" t="s">
        <v>74</v>
      </c>
      <c r="BP373" t="s">
        <v>74</v>
      </c>
      <c r="BQ373" t="s">
        <v>74</v>
      </c>
      <c r="BR373" t="s">
        <v>96</v>
      </c>
      <c r="BS373" t="s">
        <v>13083</v>
      </c>
      <c r="BT373" t="str">
        <f>HYPERLINK("https%3A%2F%2Fwww.webofscience.com%2Fwos%2Fwoscc%2Ffull-record%2FWOS:000265727700006","View Full Record in Web of Science")</f>
        <v>View Full Record in Web of Science</v>
      </c>
    </row>
    <row r="374" spans="1:72" x14ac:dyDescent="0.15">
      <c r="A374" t="s">
        <v>98</v>
      </c>
      <c r="B374" t="s">
        <v>17371</v>
      </c>
      <c r="C374" t="s">
        <v>74</v>
      </c>
      <c r="D374" t="s">
        <v>74</v>
      </c>
      <c r="E374" t="s">
        <v>74</v>
      </c>
      <c r="F374" t="s">
        <v>17372</v>
      </c>
      <c r="G374" t="s">
        <v>74</v>
      </c>
      <c r="H374" t="s">
        <v>74</v>
      </c>
      <c r="I374" t="s">
        <v>17373</v>
      </c>
      <c r="J374" t="s">
        <v>4486</v>
      </c>
      <c r="K374" t="s">
        <v>74</v>
      </c>
      <c r="L374" t="s">
        <v>74</v>
      </c>
      <c r="M374" t="s">
        <v>74</v>
      </c>
      <c r="N374" t="s">
        <v>103</v>
      </c>
      <c r="O374" t="s">
        <v>74</v>
      </c>
      <c r="P374" t="s">
        <v>74</v>
      </c>
      <c r="Q374" t="s">
        <v>74</v>
      </c>
      <c r="R374" t="s">
        <v>74</v>
      </c>
      <c r="S374" t="s">
        <v>74</v>
      </c>
      <c r="T374" t="s">
        <v>74</v>
      </c>
      <c r="U374" t="s">
        <v>17374</v>
      </c>
      <c r="V374" t="s">
        <v>17375</v>
      </c>
      <c r="W374" t="s">
        <v>17376</v>
      </c>
      <c r="X374" t="s">
        <v>17377</v>
      </c>
      <c r="Y374" t="s">
        <v>17378</v>
      </c>
      <c r="Z374" t="s">
        <v>17379</v>
      </c>
      <c r="AA374" t="s">
        <v>17380</v>
      </c>
      <c r="AB374" t="s">
        <v>17381</v>
      </c>
      <c r="AC374" t="s">
        <v>74</v>
      </c>
      <c r="AD374" t="s">
        <v>74</v>
      </c>
      <c r="AE374" t="s">
        <v>74</v>
      </c>
      <c r="AF374" t="s">
        <v>74</v>
      </c>
      <c r="AG374">
        <v>40</v>
      </c>
      <c r="AH374">
        <v>53</v>
      </c>
      <c r="AI374">
        <v>53</v>
      </c>
      <c r="AJ374">
        <v>25</v>
      </c>
      <c r="AK374">
        <v>167</v>
      </c>
      <c r="AL374" t="s">
        <v>74</v>
      </c>
      <c r="AM374" t="s">
        <v>74</v>
      </c>
      <c r="AN374" t="s">
        <v>74</v>
      </c>
      <c r="AO374" t="s">
        <v>4493</v>
      </c>
      <c r="AP374" t="s">
        <v>4494</v>
      </c>
      <c r="AQ374" t="s">
        <v>74</v>
      </c>
      <c r="AR374" t="s">
        <v>74</v>
      </c>
      <c r="AS374" t="s">
        <v>74</v>
      </c>
      <c r="AT374" t="s">
        <v>9170</v>
      </c>
      <c r="AU374">
        <v>2019</v>
      </c>
      <c r="AV374">
        <v>91</v>
      </c>
      <c r="AW374">
        <v>21</v>
      </c>
      <c r="AX374" t="s">
        <v>74</v>
      </c>
      <c r="AY374" t="s">
        <v>74</v>
      </c>
      <c r="AZ374" t="s">
        <v>74</v>
      </c>
      <c r="BA374" t="s">
        <v>74</v>
      </c>
      <c r="BB374">
        <v>13986</v>
      </c>
      <c r="BC374">
        <v>13993</v>
      </c>
      <c r="BD374" t="s">
        <v>74</v>
      </c>
      <c r="BE374" t="s">
        <v>17382</v>
      </c>
      <c r="BF374" t="str">
        <f>HYPERLINK("http://dx.doi.org/10.1021/acs.analchem.9b03562","http://dx.doi.org/10.1021/acs.analchem.9b03562")</f>
        <v>http://dx.doi.org/10.1021/acs.analchem.9b03562</v>
      </c>
      <c r="BG374" t="s">
        <v>74</v>
      </c>
      <c r="BH374" t="s">
        <v>74</v>
      </c>
      <c r="BI374" t="s">
        <v>74</v>
      </c>
      <c r="BJ374" t="s">
        <v>1118</v>
      </c>
      <c r="BK374" t="s">
        <v>117</v>
      </c>
      <c r="BL374" t="s">
        <v>1048</v>
      </c>
      <c r="BM374" t="s">
        <v>74</v>
      </c>
      <c r="BN374">
        <v>31486634</v>
      </c>
      <c r="BO374" t="s">
        <v>74</v>
      </c>
      <c r="BP374" t="s">
        <v>74</v>
      </c>
      <c r="BQ374" t="s">
        <v>74</v>
      </c>
      <c r="BR374" t="s">
        <v>96</v>
      </c>
      <c r="BS374" t="s">
        <v>17383</v>
      </c>
      <c r="BT374" t="str">
        <f>HYPERLINK("https%3A%2F%2Fwww.webofscience.com%2Fwos%2Fwoscc%2Ffull-record%2FWOS:000495469100087","View Full Record in Web of Science")</f>
        <v>View Full Record in Web of Science</v>
      </c>
    </row>
    <row r="375" spans="1:72" x14ac:dyDescent="0.15">
      <c r="A375" t="s">
        <v>98</v>
      </c>
      <c r="B375" t="s">
        <v>23877</v>
      </c>
      <c r="C375" t="s">
        <v>74</v>
      </c>
      <c r="D375" t="s">
        <v>74</v>
      </c>
      <c r="E375" t="s">
        <v>74</v>
      </c>
      <c r="F375" t="s">
        <v>23878</v>
      </c>
      <c r="G375" t="s">
        <v>74</v>
      </c>
      <c r="H375" t="s">
        <v>74</v>
      </c>
      <c r="I375" t="s">
        <v>23879</v>
      </c>
      <c r="J375" t="s">
        <v>14163</v>
      </c>
      <c r="K375" t="s">
        <v>74</v>
      </c>
      <c r="L375" t="s">
        <v>74</v>
      </c>
      <c r="M375" t="s">
        <v>74</v>
      </c>
      <c r="N375" t="s">
        <v>103</v>
      </c>
      <c r="O375" t="s">
        <v>74</v>
      </c>
      <c r="P375" t="s">
        <v>74</v>
      </c>
      <c r="Q375" t="s">
        <v>74</v>
      </c>
      <c r="R375" t="s">
        <v>74</v>
      </c>
      <c r="S375" t="s">
        <v>74</v>
      </c>
      <c r="T375" t="s">
        <v>74</v>
      </c>
      <c r="U375" t="s">
        <v>23880</v>
      </c>
      <c r="V375" t="s">
        <v>23881</v>
      </c>
      <c r="W375" t="s">
        <v>23882</v>
      </c>
      <c r="X375" t="s">
        <v>23883</v>
      </c>
      <c r="Y375" t="s">
        <v>23884</v>
      </c>
      <c r="Z375" t="s">
        <v>23885</v>
      </c>
      <c r="AA375" t="s">
        <v>74</v>
      </c>
      <c r="AB375" t="s">
        <v>23886</v>
      </c>
      <c r="AC375" t="s">
        <v>74</v>
      </c>
      <c r="AD375" t="s">
        <v>74</v>
      </c>
      <c r="AE375" t="s">
        <v>74</v>
      </c>
      <c r="AF375" t="s">
        <v>74</v>
      </c>
      <c r="AG375">
        <v>55</v>
      </c>
      <c r="AH375">
        <v>53</v>
      </c>
      <c r="AI375">
        <v>57</v>
      </c>
      <c r="AJ375">
        <v>0</v>
      </c>
      <c r="AK375">
        <v>9</v>
      </c>
      <c r="AL375" t="s">
        <v>74</v>
      </c>
      <c r="AM375" t="s">
        <v>74</v>
      </c>
      <c r="AN375" t="s">
        <v>74</v>
      </c>
      <c r="AO375" t="s">
        <v>14170</v>
      </c>
      <c r="AP375" t="s">
        <v>14171</v>
      </c>
      <c r="AQ375" t="s">
        <v>74</v>
      </c>
      <c r="AR375" t="s">
        <v>74</v>
      </c>
      <c r="AS375" t="s">
        <v>74</v>
      </c>
      <c r="AT375" t="s">
        <v>230</v>
      </c>
      <c r="AU375">
        <v>2015</v>
      </c>
      <c r="AV375">
        <v>22</v>
      </c>
      <c r="AW375">
        <v>8</v>
      </c>
      <c r="AX375" t="s">
        <v>74</v>
      </c>
      <c r="AY375" t="s">
        <v>74</v>
      </c>
      <c r="AZ375" t="s">
        <v>74</v>
      </c>
      <c r="BA375" t="s">
        <v>74</v>
      </c>
      <c r="BB375">
        <v>1328</v>
      </c>
      <c r="BC375">
        <v>1340</v>
      </c>
      <c r="BD375" t="s">
        <v>74</v>
      </c>
      <c r="BE375" t="s">
        <v>23887</v>
      </c>
      <c r="BF375" t="str">
        <f>HYPERLINK("http://dx.doi.org/10.1038/cdd.2014.221","http://dx.doi.org/10.1038/cdd.2014.221")</f>
        <v>http://dx.doi.org/10.1038/cdd.2014.221</v>
      </c>
      <c r="BG375" t="s">
        <v>74</v>
      </c>
      <c r="BH375" t="s">
        <v>74</v>
      </c>
      <c r="BI375" t="s">
        <v>74</v>
      </c>
      <c r="BJ375" t="s">
        <v>498</v>
      </c>
      <c r="BK375" t="s">
        <v>117</v>
      </c>
      <c r="BL375" t="s">
        <v>498</v>
      </c>
      <c r="BM375" t="s">
        <v>74</v>
      </c>
      <c r="BN375">
        <v>25591738</v>
      </c>
      <c r="BO375" t="s">
        <v>74</v>
      </c>
      <c r="BP375" t="s">
        <v>74</v>
      </c>
      <c r="BQ375" t="s">
        <v>74</v>
      </c>
      <c r="BR375" t="s">
        <v>96</v>
      </c>
      <c r="BS375" t="s">
        <v>23888</v>
      </c>
      <c r="BT375" t="str">
        <f>HYPERLINK("https%3A%2F%2Fwww.webofscience.com%2Fwos%2Fwoscc%2Ffull-record%2FWOS:000357599500010","View Full Record in Web of Science")</f>
        <v>View Full Record in Web of Science</v>
      </c>
    </row>
    <row r="376" spans="1:72" x14ac:dyDescent="0.15">
      <c r="A376" t="s">
        <v>98</v>
      </c>
      <c r="B376" t="s">
        <v>1214</v>
      </c>
      <c r="C376" t="s">
        <v>74</v>
      </c>
      <c r="D376" t="s">
        <v>74</v>
      </c>
      <c r="E376" t="s">
        <v>74</v>
      </c>
      <c r="F376" t="s">
        <v>1215</v>
      </c>
      <c r="G376" t="s">
        <v>74</v>
      </c>
      <c r="H376" t="s">
        <v>74</v>
      </c>
      <c r="I376" t="s">
        <v>1216</v>
      </c>
      <c r="J376" t="s">
        <v>1217</v>
      </c>
      <c r="K376" t="s">
        <v>74</v>
      </c>
      <c r="L376" t="s">
        <v>74</v>
      </c>
      <c r="M376" t="s">
        <v>74</v>
      </c>
      <c r="N376" t="s">
        <v>103</v>
      </c>
      <c r="O376" t="s">
        <v>74</v>
      </c>
      <c r="P376" t="s">
        <v>74</v>
      </c>
      <c r="Q376" t="s">
        <v>74</v>
      </c>
      <c r="R376" t="s">
        <v>74</v>
      </c>
      <c r="S376" t="s">
        <v>74</v>
      </c>
      <c r="T376" t="s">
        <v>1218</v>
      </c>
      <c r="U376" t="s">
        <v>1219</v>
      </c>
      <c r="V376" t="s">
        <v>1220</v>
      </c>
      <c r="W376" t="s">
        <v>1221</v>
      </c>
      <c r="X376" t="s">
        <v>1222</v>
      </c>
      <c r="Y376" t="s">
        <v>1223</v>
      </c>
      <c r="Z376" t="s">
        <v>1224</v>
      </c>
      <c r="AA376" t="s">
        <v>1225</v>
      </c>
      <c r="AB376" t="s">
        <v>1226</v>
      </c>
      <c r="AC376" t="s">
        <v>74</v>
      </c>
      <c r="AD376" t="s">
        <v>74</v>
      </c>
      <c r="AE376" t="s">
        <v>74</v>
      </c>
      <c r="AF376" t="s">
        <v>74</v>
      </c>
      <c r="AG376">
        <v>44</v>
      </c>
      <c r="AH376">
        <v>52</v>
      </c>
      <c r="AI376">
        <v>53</v>
      </c>
      <c r="AJ376">
        <v>13</v>
      </c>
      <c r="AK376">
        <v>158</v>
      </c>
      <c r="AL376" t="s">
        <v>74</v>
      </c>
      <c r="AM376" t="s">
        <v>74</v>
      </c>
      <c r="AN376" t="s">
        <v>74</v>
      </c>
      <c r="AO376" t="s">
        <v>1227</v>
      </c>
      <c r="AP376" t="s">
        <v>74</v>
      </c>
      <c r="AQ376" t="s">
        <v>74</v>
      </c>
      <c r="AR376" t="s">
        <v>74</v>
      </c>
      <c r="AS376" t="s">
        <v>74</v>
      </c>
      <c r="AT376" t="s">
        <v>1029</v>
      </c>
      <c r="AU376">
        <v>2019</v>
      </c>
      <c r="AV376">
        <v>4</v>
      </c>
      <c r="AW376">
        <v>5</v>
      </c>
      <c r="AX376" t="s">
        <v>74</v>
      </c>
      <c r="AY376" t="s">
        <v>74</v>
      </c>
      <c r="AZ376" t="s">
        <v>74</v>
      </c>
      <c r="BA376" t="s">
        <v>74</v>
      </c>
      <c r="BB376">
        <v>1245</v>
      </c>
      <c r="BC376">
        <v>1251</v>
      </c>
      <c r="BD376" t="s">
        <v>74</v>
      </c>
      <c r="BE376" t="s">
        <v>1228</v>
      </c>
      <c r="BF376" t="str">
        <f>HYPERLINK("http://dx.doi.org/10.1021/acssensors.9b00060","http://dx.doi.org/10.1021/acssensors.9b00060")</f>
        <v>http://dx.doi.org/10.1021/acssensors.9b00060</v>
      </c>
      <c r="BG376" t="s">
        <v>74</v>
      </c>
      <c r="BH376" t="s">
        <v>74</v>
      </c>
      <c r="BI376" t="s">
        <v>74</v>
      </c>
      <c r="BJ376" t="s">
        <v>1229</v>
      </c>
      <c r="BK376" t="s">
        <v>117</v>
      </c>
      <c r="BL376" t="s">
        <v>1230</v>
      </c>
      <c r="BM376" t="s">
        <v>74</v>
      </c>
      <c r="BN376">
        <v>30915846</v>
      </c>
      <c r="BO376" t="s">
        <v>74</v>
      </c>
      <c r="BP376" t="s">
        <v>74</v>
      </c>
      <c r="BQ376" t="s">
        <v>74</v>
      </c>
      <c r="BR376" t="s">
        <v>96</v>
      </c>
      <c r="BS376" t="s">
        <v>1231</v>
      </c>
      <c r="BT376" t="str">
        <f>HYPERLINK("https%3A%2F%2Fwww.webofscience.com%2Fwos%2Fwoscc%2Ffull-record%2FWOS:000469410100016","View Full Record in Web of Science")</f>
        <v>View Full Record in Web of Science</v>
      </c>
    </row>
    <row r="377" spans="1:72" x14ac:dyDescent="0.15">
      <c r="A377" t="s">
        <v>98</v>
      </c>
      <c r="B377" t="s">
        <v>6024</v>
      </c>
      <c r="C377" t="s">
        <v>74</v>
      </c>
      <c r="D377" t="s">
        <v>74</v>
      </c>
      <c r="E377" t="s">
        <v>74</v>
      </c>
      <c r="F377" t="s">
        <v>6025</v>
      </c>
      <c r="G377" t="s">
        <v>74</v>
      </c>
      <c r="H377" t="s">
        <v>74</v>
      </c>
      <c r="I377" t="s">
        <v>6026</v>
      </c>
      <c r="J377" t="s">
        <v>6027</v>
      </c>
      <c r="K377" t="s">
        <v>74</v>
      </c>
      <c r="L377" t="s">
        <v>74</v>
      </c>
      <c r="M377" t="s">
        <v>74</v>
      </c>
      <c r="N377" t="s">
        <v>103</v>
      </c>
      <c r="O377" t="s">
        <v>74</v>
      </c>
      <c r="P377" t="s">
        <v>74</v>
      </c>
      <c r="Q377" t="s">
        <v>74</v>
      </c>
      <c r="R377" t="s">
        <v>74</v>
      </c>
      <c r="S377" t="s">
        <v>74</v>
      </c>
      <c r="T377" t="s">
        <v>6028</v>
      </c>
      <c r="U377" t="s">
        <v>6029</v>
      </c>
      <c r="V377" t="s">
        <v>6030</v>
      </c>
      <c r="W377" t="s">
        <v>6031</v>
      </c>
      <c r="X377" t="s">
        <v>6032</v>
      </c>
      <c r="Y377" t="s">
        <v>6033</v>
      </c>
      <c r="Z377" t="s">
        <v>6034</v>
      </c>
      <c r="AA377" t="s">
        <v>6035</v>
      </c>
      <c r="AB377" t="s">
        <v>6036</v>
      </c>
      <c r="AC377" t="s">
        <v>74</v>
      </c>
      <c r="AD377" t="s">
        <v>74</v>
      </c>
      <c r="AE377" t="s">
        <v>74</v>
      </c>
      <c r="AF377" t="s">
        <v>74</v>
      </c>
      <c r="AG377">
        <v>25</v>
      </c>
      <c r="AH377">
        <v>52</v>
      </c>
      <c r="AI377">
        <v>56</v>
      </c>
      <c r="AJ377">
        <v>0</v>
      </c>
      <c r="AK377">
        <v>5</v>
      </c>
      <c r="AL377" t="s">
        <v>74</v>
      </c>
      <c r="AM377" t="s">
        <v>74</v>
      </c>
      <c r="AN377" t="s">
        <v>74</v>
      </c>
      <c r="AO377" t="s">
        <v>6037</v>
      </c>
      <c r="AP377" t="s">
        <v>6038</v>
      </c>
      <c r="AQ377" t="s">
        <v>74</v>
      </c>
      <c r="AR377" t="s">
        <v>74</v>
      </c>
      <c r="AS377" t="s">
        <v>74</v>
      </c>
      <c r="AT377" t="s">
        <v>132</v>
      </c>
      <c r="AU377">
        <v>2011</v>
      </c>
      <c r="AV377">
        <v>49</v>
      </c>
      <c r="AW377" t="s">
        <v>6039</v>
      </c>
      <c r="AX377" t="s">
        <v>74</v>
      </c>
      <c r="AY377" t="s">
        <v>74</v>
      </c>
      <c r="AZ377" t="s">
        <v>447</v>
      </c>
      <c r="BA377" t="s">
        <v>74</v>
      </c>
      <c r="BB377">
        <v>227</v>
      </c>
      <c r="BC377">
        <v>234</v>
      </c>
      <c r="BD377" t="s">
        <v>74</v>
      </c>
      <c r="BE377" t="s">
        <v>6040</v>
      </c>
      <c r="BF377" t="str">
        <f>HYPERLINK("http://dx.doi.org/10.1007/s12026-010-8184-8","http://dx.doi.org/10.1007/s12026-010-8184-8")</f>
        <v>http://dx.doi.org/10.1007/s12026-010-8184-8</v>
      </c>
      <c r="BG377" t="s">
        <v>74</v>
      </c>
      <c r="BH377" t="s">
        <v>74</v>
      </c>
      <c r="BI377" t="s">
        <v>74</v>
      </c>
      <c r="BJ377" t="s">
        <v>2064</v>
      </c>
      <c r="BK377" t="s">
        <v>117</v>
      </c>
      <c r="BL377" t="s">
        <v>2064</v>
      </c>
      <c r="BM377" t="s">
        <v>74</v>
      </c>
      <c r="BN377">
        <v>21132466</v>
      </c>
      <c r="BO377" t="s">
        <v>74</v>
      </c>
      <c r="BP377" t="s">
        <v>74</v>
      </c>
      <c r="BQ377" t="s">
        <v>74</v>
      </c>
      <c r="BR377" t="s">
        <v>96</v>
      </c>
      <c r="BS377" t="s">
        <v>6041</v>
      </c>
      <c r="BT377" t="str">
        <f>HYPERLINK("https%3A%2F%2Fwww.webofscience.com%2Fwos%2Fwoscc%2Ffull-record%2FWOS:000288172700020","View Full Record in Web of Science")</f>
        <v>View Full Record in Web of Science</v>
      </c>
    </row>
    <row r="378" spans="1:72" x14ac:dyDescent="0.15">
      <c r="A378" t="s">
        <v>98</v>
      </c>
      <c r="B378" t="s">
        <v>6927</v>
      </c>
      <c r="C378" t="s">
        <v>74</v>
      </c>
      <c r="D378" t="s">
        <v>74</v>
      </c>
      <c r="E378" t="s">
        <v>74</v>
      </c>
      <c r="F378" t="s">
        <v>6928</v>
      </c>
      <c r="G378" t="s">
        <v>74</v>
      </c>
      <c r="H378" t="s">
        <v>74</v>
      </c>
      <c r="I378" t="s">
        <v>6929</v>
      </c>
      <c r="J378" t="s">
        <v>1073</v>
      </c>
      <c r="K378" t="s">
        <v>74</v>
      </c>
      <c r="L378" t="s">
        <v>74</v>
      </c>
      <c r="M378" t="s">
        <v>74</v>
      </c>
      <c r="N378" t="s">
        <v>103</v>
      </c>
      <c r="O378" t="s">
        <v>74</v>
      </c>
      <c r="P378" t="s">
        <v>74</v>
      </c>
      <c r="Q378" t="s">
        <v>74</v>
      </c>
      <c r="R378" t="s">
        <v>74</v>
      </c>
      <c r="S378" t="s">
        <v>74</v>
      </c>
      <c r="T378" t="s">
        <v>74</v>
      </c>
      <c r="U378" t="s">
        <v>6930</v>
      </c>
      <c r="V378" t="s">
        <v>6931</v>
      </c>
      <c r="W378" t="s">
        <v>6932</v>
      </c>
      <c r="X378" t="s">
        <v>6933</v>
      </c>
      <c r="Y378" t="s">
        <v>6934</v>
      </c>
      <c r="Z378" t="s">
        <v>2987</v>
      </c>
      <c r="AA378" t="s">
        <v>74</v>
      </c>
      <c r="AB378" t="s">
        <v>74</v>
      </c>
      <c r="AC378" t="s">
        <v>74</v>
      </c>
      <c r="AD378" t="s">
        <v>74</v>
      </c>
      <c r="AE378" t="s">
        <v>74</v>
      </c>
      <c r="AF378" t="s">
        <v>74</v>
      </c>
      <c r="AG378">
        <v>23</v>
      </c>
      <c r="AH378">
        <v>52</v>
      </c>
      <c r="AI378">
        <v>54</v>
      </c>
      <c r="AJ378">
        <v>1</v>
      </c>
      <c r="AK378">
        <v>8</v>
      </c>
      <c r="AL378" t="s">
        <v>74</v>
      </c>
      <c r="AM378" t="s">
        <v>74</v>
      </c>
      <c r="AN378" t="s">
        <v>74</v>
      </c>
      <c r="AO378" t="s">
        <v>1082</v>
      </c>
      <c r="AP378" t="s">
        <v>74</v>
      </c>
      <c r="AQ378" t="s">
        <v>74</v>
      </c>
      <c r="AR378" t="s">
        <v>74</v>
      </c>
      <c r="AS378" t="s">
        <v>74</v>
      </c>
      <c r="AT378" t="s">
        <v>6935</v>
      </c>
      <c r="AU378">
        <v>2014</v>
      </c>
      <c r="AV378">
        <v>9</v>
      </c>
      <c r="AW378">
        <v>8</v>
      </c>
      <c r="AX378" t="s">
        <v>74</v>
      </c>
      <c r="AY378" t="s">
        <v>74</v>
      </c>
      <c r="AZ378" t="s">
        <v>74</v>
      </c>
      <c r="BA378" t="s">
        <v>74</v>
      </c>
      <c r="BB378" t="s">
        <v>74</v>
      </c>
      <c r="BC378" t="s">
        <v>74</v>
      </c>
      <c r="BD378" t="s">
        <v>6936</v>
      </c>
      <c r="BE378" t="s">
        <v>6937</v>
      </c>
      <c r="BF378" t="str">
        <f>HYPERLINK("http://dx.doi.org/10.1371/journal.pone.0105200","http://dx.doi.org/10.1371/journal.pone.0105200")</f>
        <v>http://dx.doi.org/10.1371/journal.pone.0105200</v>
      </c>
      <c r="BG378" t="s">
        <v>74</v>
      </c>
      <c r="BH378" t="s">
        <v>74</v>
      </c>
      <c r="BI378" t="s">
        <v>74</v>
      </c>
      <c r="BJ378" t="s">
        <v>152</v>
      </c>
      <c r="BK378" t="s">
        <v>117</v>
      </c>
      <c r="BL378" t="s">
        <v>153</v>
      </c>
      <c r="BM378" t="s">
        <v>74</v>
      </c>
      <c r="BN378">
        <v>25133686</v>
      </c>
      <c r="BO378" t="s">
        <v>74</v>
      </c>
      <c r="BP378" t="s">
        <v>74</v>
      </c>
      <c r="BQ378" t="s">
        <v>74</v>
      </c>
      <c r="BR378" t="s">
        <v>96</v>
      </c>
      <c r="BS378" t="s">
        <v>6938</v>
      </c>
      <c r="BT378" t="str">
        <f>HYPERLINK("https%3A%2F%2Fwww.webofscience.com%2Fwos%2Fwoscc%2Ffull-record%2FWOS:000341302700082","View Full Record in Web of Science")</f>
        <v>View Full Record in Web of Science</v>
      </c>
    </row>
    <row r="379" spans="1:72" x14ac:dyDescent="0.15">
      <c r="A379" t="s">
        <v>98</v>
      </c>
      <c r="B379" t="s">
        <v>7485</v>
      </c>
      <c r="C379" t="s">
        <v>74</v>
      </c>
      <c r="D379" t="s">
        <v>74</v>
      </c>
      <c r="E379" t="s">
        <v>74</v>
      </c>
      <c r="F379" t="s">
        <v>7486</v>
      </c>
      <c r="G379" t="s">
        <v>74</v>
      </c>
      <c r="H379" t="s">
        <v>74</v>
      </c>
      <c r="I379" t="s">
        <v>7487</v>
      </c>
      <c r="J379" t="s">
        <v>7488</v>
      </c>
      <c r="K379" t="s">
        <v>74</v>
      </c>
      <c r="L379" t="s">
        <v>74</v>
      </c>
      <c r="M379" t="s">
        <v>74</v>
      </c>
      <c r="N379" t="s">
        <v>103</v>
      </c>
      <c r="O379" t="s">
        <v>74</v>
      </c>
      <c r="P379" t="s">
        <v>74</v>
      </c>
      <c r="Q379" t="s">
        <v>74</v>
      </c>
      <c r="R379" t="s">
        <v>74</v>
      </c>
      <c r="S379" t="s">
        <v>74</v>
      </c>
      <c r="T379" t="s">
        <v>7489</v>
      </c>
      <c r="U379" t="s">
        <v>7490</v>
      </c>
      <c r="V379" t="s">
        <v>7491</v>
      </c>
      <c r="W379" t="s">
        <v>7492</v>
      </c>
      <c r="X379" t="s">
        <v>7493</v>
      </c>
      <c r="Y379" t="s">
        <v>7494</v>
      </c>
      <c r="Z379" t="s">
        <v>7495</v>
      </c>
      <c r="AA379" t="s">
        <v>74</v>
      </c>
      <c r="AB379" t="s">
        <v>74</v>
      </c>
      <c r="AC379" t="s">
        <v>74</v>
      </c>
      <c r="AD379" t="s">
        <v>74</v>
      </c>
      <c r="AE379" t="s">
        <v>74</v>
      </c>
      <c r="AF379" t="s">
        <v>74</v>
      </c>
      <c r="AG379">
        <v>84</v>
      </c>
      <c r="AH379">
        <v>52</v>
      </c>
      <c r="AI379">
        <v>53</v>
      </c>
      <c r="AJ379">
        <v>0</v>
      </c>
      <c r="AK379">
        <v>26</v>
      </c>
      <c r="AL379" t="s">
        <v>74</v>
      </c>
      <c r="AM379" t="s">
        <v>74</v>
      </c>
      <c r="AN379" t="s">
        <v>74</v>
      </c>
      <c r="AO379" t="s">
        <v>7496</v>
      </c>
      <c r="AP379" t="s">
        <v>74</v>
      </c>
      <c r="AQ379" t="s">
        <v>74</v>
      </c>
      <c r="AR379" t="s">
        <v>74</v>
      </c>
      <c r="AS379" t="s">
        <v>74</v>
      </c>
      <c r="AT379" t="s">
        <v>114</v>
      </c>
      <c r="AU379">
        <v>2013</v>
      </c>
      <c r="AV379">
        <v>54</v>
      </c>
      <c r="AW379" t="s">
        <v>74</v>
      </c>
      <c r="AX379" t="s">
        <v>74</v>
      </c>
      <c r="AY379" t="s">
        <v>74</v>
      </c>
      <c r="AZ379" t="s">
        <v>74</v>
      </c>
      <c r="BA379" t="s">
        <v>74</v>
      </c>
      <c r="BB379">
        <v>67</v>
      </c>
      <c r="BC379">
        <v>75</v>
      </c>
      <c r="BD379" t="s">
        <v>74</v>
      </c>
      <c r="BE379" t="s">
        <v>7497</v>
      </c>
      <c r="BF379" t="str">
        <f>HYPERLINK("http://dx.doi.org/10.1016/j.micpath.2012.09.007","http://dx.doi.org/10.1016/j.micpath.2012.09.007")</f>
        <v>http://dx.doi.org/10.1016/j.micpath.2012.09.007</v>
      </c>
      <c r="BG379" t="s">
        <v>74</v>
      </c>
      <c r="BH379" t="s">
        <v>74</v>
      </c>
      <c r="BI379" t="s">
        <v>74</v>
      </c>
      <c r="BJ379" t="s">
        <v>3257</v>
      </c>
      <c r="BK379" t="s">
        <v>117</v>
      </c>
      <c r="BL379" t="s">
        <v>3257</v>
      </c>
      <c r="BM379" t="s">
        <v>74</v>
      </c>
      <c r="BN379">
        <v>23022668</v>
      </c>
      <c r="BO379" t="s">
        <v>74</v>
      </c>
      <c r="BP379" t="s">
        <v>74</v>
      </c>
      <c r="BQ379" t="s">
        <v>74</v>
      </c>
      <c r="BR379" t="s">
        <v>96</v>
      </c>
      <c r="BS379" t="s">
        <v>7498</v>
      </c>
      <c r="BT379" t="str">
        <f>HYPERLINK("https%3A%2F%2Fwww.webofscience.com%2Fwos%2Fwoscc%2Ffull-record%2FWOS:000314134700009","View Full Record in Web of Science")</f>
        <v>View Full Record in Web of Science</v>
      </c>
    </row>
    <row r="380" spans="1:72" x14ac:dyDescent="0.15">
      <c r="A380" t="s">
        <v>98</v>
      </c>
      <c r="B380" t="s">
        <v>16679</v>
      </c>
      <c r="C380" t="s">
        <v>74</v>
      </c>
      <c r="D380" t="s">
        <v>74</v>
      </c>
      <c r="E380" t="s">
        <v>74</v>
      </c>
      <c r="F380" t="s">
        <v>16680</v>
      </c>
      <c r="G380" t="s">
        <v>74</v>
      </c>
      <c r="H380" t="s">
        <v>74</v>
      </c>
      <c r="I380" t="s">
        <v>16681</v>
      </c>
      <c r="J380" t="s">
        <v>140</v>
      </c>
      <c r="K380" t="s">
        <v>74</v>
      </c>
      <c r="L380" t="s">
        <v>74</v>
      </c>
      <c r="M380" t="s">
        <v>74</v>
      </c>
      <c r="N380" t="s">
        <v>103</v>
      </c>
      <c r="O380" t="s">
        <v>74</v>
      </c>
      <c r="P380" t="s">
        <v>74</v>
      </c>
      <c r="Q380" t="s">
        <v>74</v>
      </c>
      <c r="R380" t="s">
        <v>74</v>
      </c>
      <c r="S380" t="s">
        <v>74</v>
      </c>
      <c r="T380" t="s">
        <v>74</v>
      </c>
      <c r="U380" t="s">
        <v>16682</v>
      </c>
      <c r="V380" t="s">
        <v>16683</v>
      </c>
      <c r="W380" t="s">
        <v>16684</v>
      </c>
      <c r="X380" t="s">
        <v>16685</v>
      </c>
      <c r="Y380" t="s">
        <v>16686</v>
      </c>
      <c r="Z380" t="s">
        <v>16687</v>
      </c>
      <c r="AA380" t="s">
        <v>16688</v>
      </c>
      <c r="AB380" t="s">
        <v>16689</v>
      </c>
      <c r="AC380" t="s">
        <v>74</v>
      </c>
      <c r="AD380" t="s">
        <v>74</v>
      </c>
      <c r="AE380" t="s">
        <v>74</v>
      </c>
      <c r="AF380" t="s">
        <v>74</v>
      </c>
      <c r="AG380">
        <v>42</v>
      </c>
      <c r="AH380">
        <v>52</v>
      </c>
      <c r="AI380">
        <v>53</v>
      </c>
      <c r="AJ380">
        <v>1</v>
      </c>
      <c r="AK380">
        <v>8</v>
      </c>
      <c r="AL380" t="s">
        <v>74</v>
      </c>
      <c r="AM380" t="s">
        <v>74</v>
      </c>
      <c r="AN380" t="s">
        <v>74</v>
      </c>
      <c r="AO380" t="s">
        <v>149</v>
      </c>
      <c r="AP380" t="s">
        <v>74</v>
      </c>
      <c r="AQ380" t="s">
        <v>74</v>
      </c>
      <c r="AR380" t="s">
        <v>74</v>
      </c>
      <c r="AS380" t="s">
        <v>74</v>
      </c>
      <c r="AT380" t="s">
        <v>16690</v>
      </c>
      <c r="AU380">
        <v>2018</v>
      </c>
      <c r="AV380">
        <v>8</v>
      </c>
      <c r="AW380" t="s">
        <v>74</v>
      </c>
      <c r="AX380" t="s">
        <v>74</v>
      </c>
      <c r="AY380" t="s">
        <v>74</v>
      </c>
      <c r="AZ380" t="s">
        <v>74</v>
      </c>
      <c r="BA380" t="s">
        <v>74</v>
      </c>
      <c r="BB380" t="s">
        <v>74</v>
      </c>
      <c r="BC380" t="s">
        <v>74</v>
      </c>
      <c r="BD380">
        <v>914</v>
      </c>
      <c r="BE380" t="s">
        <v>16691</v>
      </c>
      <c r="BF380" t="str">
        <f>HYPERLINK("http://dx.doi.org/10.1038/s41598-018-19216-1","http://dx.doi.org/10.1038/s41598-018-19216-1")</f>
        <v>http://dx.doi.org/10.1038/s41598-018-19216-1</v>
      </c>
      <c r="BG380" t="s">
        <v>74</v>
      </c>
      <c r="BH380" t="s">
        <v>74</v>
      </c>
      <c r="BI380" t="s">
        <v>74</v>
      </c>
      <c r="BJ380" t="s">
        <v>152</v>
      </c>
      <c r="BK380" t="s">
        <v>117</v>
      </c>
      <c r="BL380" t="s">
        <v>153</v>
      </c>
      <c r="BM380" t="s">
        <v>74</v>
      </c>
      <c r="BN380">
        <v>29343810</v>
      </c>
      <c r="BO380" t="s">
        <v>74</v>
      </c>
      <c r="BP380" t="s">
        <v>74</v>
      </c>
      <c r="BQ380" t="s">
        <v>74</v>
      </c>
      <c r="BR380" t="s">
        <v>96</v>
      </c>
      <c r="BS380" t="s">
        <v>16692</v>
      </c>
      <c r="BT380" t="str">
        <f>HYPERLINK("https%3A%2F%2Fwww.webofscience.com%2Fwos%2Fwoscc%2Ffull-record%2FWOS:000422716900048","View Full Record in Web of Science")</f>
        <v>View Full Record in Web of Science</v>
      </c>
    </row>
    <row r="381" spans="1:72" x14ac:dyDescent="0.15">
      <c r="A381" t="s">
        <v>98</v>
      </c>
      <c r="B381" t="s">
        <v>22382</v>
      </c>
      <c r="C381" t="s">
        <v>74</v>
      </c>
      <c r="D381" t="s">
        <v>74</v>
      </c>
      <c r="E381" t="s">
        <v>74</v>
      </c>
      <c r="F381" t="s">
        <v>22383</v>
      </c>
      <c r="G381" t="s">
        <v>74</v>
      </c>
      <c r="H381" t="s">
        <v>74</v>
      </c>
      <c r="I381" t="s">
        <v>22384</v>
      </c>
      <c r="J381" t="s">
        <v>14163</v>
      </c>
      <c r="K381" t="s">
        <v>74</v>
      </c>
      <c r="L381" t="s">
        <v>74</v>
      </c>
      <c r="M381" t="s">
        <v>74</v>
      </c>
      <c r="N381" t="s">
        <v>103</v>
      </c>
      <c r="O381" t="s">
        <v>74</v>
      </c>
      <c r="P381" t="s">
        <v>74</v>
      </c>
      <c r="Q381" t="s">
        <v>74</v>
      </c>
      <c r="R381" t="s">
        <v>74</v>
      </c>
      <c r="S381" t="s">
        <v>74</v>
      </c>
      <c r="T381" t="s">
        <v>22385</v>
      </c>
      <c r="U381" t="s">
        <v>22386</v>
      </c>
      <c r="V381" t="s">
        <v>22387</v>
      </c>
      <c r="W381" t="s">
        <v>22388</v>
      </c>
      <c r="X381" t="s">
        <v>22389</v>
      </c>
      <c r="Y381" t="s">
        <v>22390</v>
      </c>
      <c r="Z381" t="s">
        <v>11973</v>
      </c>
      <c r="AA381" t="s">
        <v>22391</v>
      </c>
      <c r="AB381" t="s">
        <v>22392</v>
      </c>
      <c r="AC381" t="s">
        <v>74</v>
      </c>
      <c r="AD381" t="s">
        <v>74</v>
      </c>
      <c r="AE381" t="s">
        <v>74</v>
      </c>
      <c r="AF381" t="s">
        <v>74</v>
      </c>
      <c r="AG381">
        <v>34</v>
      </c>
      <c r="AH381">
        <v>52</v>
      </c>
      <c r="AI381">
        <v>53</v>
      </c>
      <c r="AJ381">
        <v>0</v>
      </c>
      <c r="AK381">
        <v>4</v>
      </c>
      <c r="AL381" t="s">
        <v>74</v>
      </c>
      <c r="AM381" t="s">
        <v>74</v>
      </c>
      <c r="AN381" t="s">
        <v>74</v>
      </c>
      <c r="AO381" t="s">
        <v>14170</v>
      </c>
      <c r="AP381" t="s">
        <v>14171</v>
      </c>
      <c r="AQ381" t="s">
        <v>74</v>
      </c>
      <c r="AR381" t="s">
        <v>74</v>
      </c>
      <c r="AS381" t="s">
        <v>74</v>
      </c>
      <c r="AT381" t="s">
        <v>1029</v>
      </c>
      <c r="AU381">
        <v>2009</v>
      </c>
      <c r="AV381">
        <v>16</v>
      </c>
      <c r="AW381">
        <v>5</v>
      </c>
      <c r="AX381" t="s">
        <v>74</v>
      </c>
      <c r="AY381" t="s">
        <v>74</v>
      </c>
      <c r="AZ381" t="s">
        <v>74</v>
      </c>
      <c r="BA381" t="s">
        <v>74</v>
      </c>
      <c r="BB381">
        <v>708</v>
      </c>
      <c r="BC381">
        <v>718</v>
      </c>
      <c r="BD381" t="s">
        <v>74</v>
      </c>
      <c r="BE381" t="s">
        <v>22393</v>
      </c>
      <c r="BF381" t="str">
        <f>HYPERLINK("http://dx.doi.org/10.1038/cdd.2008.197","http://dx.doi.org/10.1038/cdd.2008.197")</f>
        <v>http://dx.doi.org/10.1038/cdd.2008.197</v>
      </c>
      <c r="BG381" t="s">
        <v>74</v>
      </c>
      <c r="BH381" t="s">
        <v>74</v>
      </c>
      <c r="BI381" t="s">
        <v>74</v>
      </c>
      <c r="BJ381" t="s">
        <v>498</v>
      </c>
      <c r="BK381" t="s">
        <v>117</v>
      </c>
      <c r="BL381" t="s">
        <v>498</v>
      </c>
      <c r="BM381" t="s">
        <v>74</v>
      </c>
      <c r="BN381">
        <v>19180118</v>
      </c>
      <c r="BO381" t="s">
        <v>74</v>
      </c>
      <c r="BP381" t="s">
        <v>74</v>
      </c>
      <c r="BQ381" t="s">
        <v>74</v>
      </c>
      <c r="BR381" t="s">
        <v>96</v>
      </c>
      <c r="BS381" t="s">
        <v>22394</v>
      </c>
      <c r="BT381" t="str">
        <f>HYPERLINK("https%3A%2F%2Fwww.webofscience.com%2Fwos%2Fwoscc%2Ffull-record%2FWOS:000265245400006","View Full Record in Web of Science")</f>
        <v>View Full Record in Web of Science</v>
      </c>
    </row>
    <row r="382" spans="1:72" x14ac:dyDescent="0.15">
      <c r="A382" t="s">
        <v>98</v>
      </c>
      <c r="B382" t="s">
        <v>26600</v>
      </c>
      <c r="C382" t="s">
        <v>74</v>
      </c>
      <c r="D382" t="s">
        <v>74</v>
      </c>
      <c r="E382" t="s">
        <v>74</v>
      </c>
      <c r="F382" t="s">
        <v>26601</v>
      </c>
      <c r="G382" t="s">
        <v>74</v>
      </c>
      <c r="H382" t="s">
        <v>74</v>
      </c>
      <c r="I382" t="s">
        <v>26602</v>
      </c>
      <c r="J382" t="s">
        <v>12369</v>
      </c>
      <c r="K382" t="s">
        <v>74</v>
      </c>
      <c r="L382" t="s">
        <v>74</v>
      </c>
      <c r="M382" t="s">
        <v>74</v>
      </c>
      <c r="N382" t="s">
        <v>103</v>
      </c>
      <c r="O382" t="s">
        <v>74</v>
      </c>
      <c r="P382" t="s">
        <v>74</v>
      </c>
      <c r="Q382" t="s">
        <v>74</v>
      </c>
      <c r="R382" t="s">
        <v>74</v>
      </c>
      <c r="S382" t="s">
        <v>74</v>
      </c>
      <c r="T382" t="s">
        <v>26603</v>
      </c>
      <c r="U382" t="s">
        <v>26604</v>
      </c>
      <c r="V382" t="s">
        <v>26605</v>
      </c>
      <c r="W382" t="s">
        <v>26606</v>
      </c>
      <c r="X382" t="s">
        <v>26607</v>
      </c>
      <c r="Y382" t="s">
        <v>26608</v>
      </c>
      <c r="Z382" t="s">
        <v>26609</v>
      </c>
      <c r="AA382" t="s">
        <v>26610</v>
      </c>
      <c r="AB382" t="s">
        <v>26611</v>
      </c>
      <c r="AC382" t="s">
        <v>74</v>
      </c>
      <c r="AD382" t="s">
        <v>74</v>
      </c>
      <c r="AE382" t="s">
        <v>74</v>
      </c>
      <c r="AF382" t="s">
        <v>74</v>
      </c>
      <c r="AG382">
        <v>36</v>
      </c>
      <c r="AH382">
        <v>52</v>
      </c>
      <c r="AI382">
        <v>60</v>
      </c>
      <c r="AJ382">
        <v>0</v>
      </c>
      <c r="AK382">
        <v>9</v>
      </c>
      <c r="AL382" t="s">
        <v>74</v>
      </c>
      <c r="AM382" t="s">
        <v>74</v>
      </c>
      <c r="AN382" t="s">
        <v>74</v>
      </c>
      <c r="AO382" t="s">
        <v>12374</v>
      </c>
      <c r="AP382" t="s">
        <v>74</v>
      </c>
      <c r="AQ382" t="s">
        <v>74</v>
      </c>
      <c r="AR382" t="s">
        <v>74</v>
      </c>
      <c r="AS382" t="s">
        <v>74</v>
      </c>
      <c r="AT382" t="s">
        <v>13488</v>
      </c>
      <c r="AU382">
        <v>2008</v>
      </c>
      <c r="AV382">
        <v>375</v>
      </c>
      <c r="AW382">
        <v>1</v>
      </c>
      <c r="AX382" t="s">
        <v>74</v>
      </c>
      <c r="AY382" t="s">
        <v>74</v>
      </c>
      <c r="AZ382" t="s">
        <v>74</v>
      </c>
      <c r="BA382" t="s">
        <v>74</v>
      </c>
      <c r="BB382">
        <v>277</v>
      </c>
      <c r="BC382">
        <v>291</v>
      </c>
      <c r="BD382" t="s">
        <v>74</v>
      </c>
      <c r="BE382" t="s">
        <v>26612</v>
      </c>
      <c r="BF382" t="str">
        <f>HYPERLINK("http://dx.doi.org/10.1016/j.virol.2008.01.039","http://dx.doi.org/10.1016/j.virol.2008.01.039")</f>
        <v>http://dx.doi.org/10.1016/j.virol.2008.01.039</v>
      </c>
      <c r="BG382" t="s">
        <v>74</v>
      </c>
      <c r="BH382" t="s">
        <v>74</v>
      </c>
      <c r="BI382" t="s">
        <v>74</v>
      </c>
      <c r="BJ382" t="s">
        <v>932</v>
      </c>
      <c r="BK382" t="s">
        <v>117</v>
      </c>
      <c r="BL382" t="s">
        <v>932</v>
      </c>
      <c r="BM382" t="s">
        <v>74</v>
      </c>
      <c r="BN382">
        <v>18328526</v>
      </c>
      <c r="BO382" t="s">
        <v>74</v>
      </c>
      <c r="BP382" t="s">
        <v>74</v>
      </c>
      <c r="BQ382" t="s">
        <v>74</v>
      </c>
      <c r="BR382" t="s">
        <v>96</v>
      </c>
      <c r="BS382" t="s">
        <v>26613</v>
      </c>
      <c r="BT382" t="str">
        <f>HYPERLINK("https%3A%2F%2Fwww.webofscience.com%2Fwos%2Fwoscc%2Ffull-record%2FWOS:000255901500026","View Full Record in Web of Science")</f>
        <v>View Full Record in Web of Science</v>
      </c>
    </row>
    <row r="383" spans="1:72" x14ac:dyDescent="0.15">
      <c r="A383" t="s">
        <v>98</v>
      </c>
      <c r="B383" t="s">
        <v>29066</v>
      </c>
      <c r="C383" t="s">
        <v>74</v>
      </c>
      <c r="D383" t="s">
        <v>74</v>
      </c>
      <c r="E383" t="s">
        <v>74</v>
      </c>
      <c r="F383" t="s">
        <v>29066</v>
      </c>
      <c r="G383" t="s">
        <v>74</v>
      </c>
      <c r="H383" t="s">
        <v>74</v>
      </c>
      <c r="I383" t="s">
        <v>29067</v>
      </c>
      <c r="J383" t="s">
        <v>16745</v>
      </c>
      <c r="K383" t="s">
        <v>74</v>
      </c>
      <c r="L383" t="s">
        <v>74</v>
      </c>
      <c r="M383" t="s">
        <v>74</v>
      </c>
      <c r="N383" t="s">
        <v>103</v>
      </c>
      <c r="O383" t="s">
        <v>74</v>
      </c>
      <c r="P383" t="s">
        <v>74</v>
      </c>
      <c r="Q383" t="s">
        <v>74</v>
      </c>
      <c r="R383" t="s">
        <v>74</v>
      </c>
      <c r="S383" t="s">
        <v>74</v>
      </c>
      <c r="T383" t="s">
        <v>74</v>
      </c>
      <c r="U383" t="s">
        <v>29068</v>
      </c>
      <c r="V383" t="s">
        <v>29069</v>
      </c>
      <c r="W383" t="s">
        <v>29070</v>
      </c>
      <c r="X383" t="s">
        <v>29071</v>
      </c>
      <c r="Y383" t="s">
        <v>74</v>
      </c>
      <c r="Z383" t="s">
        <v>74</v>
      </c>
      <c r="AA383" t="s">
        <v>74</v>
      </c>
      <c r="AB383" t="s">
        <v>74</v>
      </c>
      <c r="AC383" t="s">
        <v>74</v>
      </c>
      <c r="AD383" t="s">
        <v>74</v>
      </c>
      <c r="AE383" t="s">
        <v>74</v>
      </c>
      <c r="AF383" t="s">
        <v>74</v>
      </c>
      <c r="AG383">
        <v>37</v>
      </c>
      <c r="AH383">
        <v>52</v>
      </c>
      <c r="AI383">
        <v>54</v>
      </c>
      <c r="AJ383">
        <v>0</v>
      </c>
      <c r="AK383">
        <v>4</v>
      </c>
      <c r="AL383" t="s">
        <v>74</v>
      </c>
      <c r="AM383" t="s">
        <v>74</v>
      </c>
      <c r="AN383" t="s">
        <v>74</v>
      </c>
      <c r="AO383" t="s">
        <v>16754</v>
      </c>
      <c r="AP383" t="s">
        <v>74</v>
      </c>
      <c r="AQ383" t="s">
        <v>74</v>
      </c>
      <c r="AR383" t="s">
        <v>74</v>
      </c>
      <c r="AS383" t="s">
        <v>74</v>
      </c>
      <c r="AT383" t="s">
        <v>114</v>
      </c>
      <c r="AU383">
        <v>1993</v>
      </c>
      <c r="AV383">
        <v>61</v>
      </c>
      <c r="AW383">
        <v>1</v>
      </c>
      <c r="AX383" t="s">
        <v>74</v>
      </c>
      <c r="AY383" t="s">
        <v>74</v>
      </c>
      <c r="AZ383" t="s">
        <v>74</v>
      </c>
      <c r="BA383" t="s">
        <v>74</v>
      </c>
      <c r="BB383">
        <v>117</v>
      </c>
      <c r="BC383">
        <v>123</v>
      </c>
      <c r="BD383" t="s">
        <v>74</v>
      </c>
      <c r="BE383" t="s">
        <v>29072</v>
      </c>
      <c r="BF383" t="str">
        <f>HYPERLINK("http://dx.doi.org/10.1128/IAI.61.1.117-123.1993","http://dx.doi.org/10.1128/IAI.61.1.117-123.1993")</f>
        <v>http://dx.doi.org/10.1128/IAI.61.1.117-123.1993</v>
      </c>
      <c r="BG383" t="s">
        <v>74</v>
      </c>
      <c r="BH383" t="s">
        <v>74</v>
      </c>
      <c r="BI383" t="s">
        <v>74</v>
      </c>
      <c r="BJ383" t="s">
        <v>16757</v>
      </c>
      <c r="BK383" t="s">
        <v>117</v>
      </c>
      <c r="BL383" t="s">
        <v>16757</v>
      </c>
      <c r="BM383" t="s">
        <v>74</v>
      </c>
      <c r="BN383">
        <v>8093357</v>
      </c>
      <c r="BO383" t="s">
        <v>74</v>
      </c>
      <c r="BP383" t="s">
        <v>74</v>
      </c>
      <c r="BQ383" t="s">
        <v>74</v>
      </c>
      <c r="BR383" t="s">
        <v>96</v>
      </c>
      <c r="BS383" t="s">
        <v>29073</v>
      </c>
      <c r="BT383" t="str">
        <f>HYPERLINK("https%3A%2F%2Fwww.webofscience.com%2Fwos%2Fwoscc%2Ffull-record%2FWOS:A1993KF63600016","View Full Record in Web of Science")</f>
        <v>View Full Record in Web of Science</v>
      </c>
    </row>
    <row r="384" spans="1:72" x14ac:dyDescent="0.15">
      <c r="A384" t="s">
        <v>98</v>
      </c>
      <c r="B384" t="s">
        <v>934</v>
      </c>
      <c r="C384" t="s">
        <v>74</v>
      </c>
      <c r="D384" t="s">
        <v>74</v>
      </c>
      <c r="E384" t="s">
        <v>74</v>
      </c>
      <c r="F384" t="s">
        <v>935</v>
      </c>
      <c r="G384" t="s">
        <v>74</v>
      </c>
      <c r="H384" t="s">
        <v>74</v>
      </c>
      <c r="I384" t="s">
        <v>936</v>
      </c>
      <c r="J384" t="s">
        <v>937</v>
      </c>
      <c r="K384" t="s">
        <v>74</v>
      </c>
      <c r="L384" t="s">
        <v>74</v>
      </c>
      <c r="M384" t="s">
        <v>74</v>
      </c>
      <c r="N384" t="s">
        <v>103</v>
      </c>
      <c r="O384" t="s">
        <v>74</v>
      </c>
      <c r="P384" t="s">
        <v>74</v>
      </c>
      <c r="Q384" t="s">
        <v>74</v>
      </c>
      <c r="R384" t="s">
        <v>74</v>
      </c>
      <c r="S384" t="s">
        <v>74</v>
      </c>
      <c r="T384" t="s">
        <v>938</v>
      </c>
      <c r="U384" t="s">
        <v>939</v>
      </c>
      <c r="V384" t="s">
        <v>940</v>
      </c>
      <c r="W384" t="s">
        <v>941</v>
      </c>
      <c r="X384" t="s">
        <v>942</v>
      </c>
      <c r="Y384" t="s">
        <v>943</v>
      </c>
      <c r="Z384" t="s">
        <v>944</v>
      </c>
      <c r="AA384" t="s">
        <v>945</v>
      </c>
      <c r="AB384" t="s">
        <v>946</v>
      </c>
      <c r="AC384" t="s">
        <v>74</v>
      </c>
      <c r="AD384" t="s">
        <v>74</v>
      </c>
      <c r="AE384" t="s">
        <v>74</v>
      </c>
      <c r="AF384" t="s">
        <v>74</v>
      </c>
      <c r="AG384">
        <v>85</v>
      </c>
      <c r="AH384">
        <v>51</v>
      </c>
      <c r="AI384">
        <v>52</v>
      </c>
      <c r="AJ384">
        <v>0</v>
      </c>
      <c r="AK384">
        <v>23</v>
      </c>
      <c r="AL384" t="s">
        <v>74</v>
      </c>
      <c r="AM384" t="s">
        <v>74</v>
      </c>
      <c r="AN384" t="s">
        <v>74</v>
      </c>
      <c r="AO384" t="s">
        <v>947</v>
      </c>
      <c r="AP384" t="s">
        <v>948</v>
      </c>
      <c r="AQ384" t="s">
        <v>74</v>
      </c>
      <c r="AR384" t="s">
        <v>74</v>
      </c>
      <c r="AS384" t="s">
        <v>74</v>
      </c>
      <c r="AT384" t="s">
        <v>74</v>
      </c>
      <c r="AU384">
        <v>2015</v>
      </c>
      <c r="AV384">
        <v>16</v>
      </c>
      <c r="AW384">
        <v>5</v>
      </c>
      <c r="AX384" t="s">
        <v>74</v>
      </c>
      <c r="AY384" t="s">
        <v>74</v>
      </c>
      <c r="AZ384" t="s">
        <v>74</v>
      </c>
      <c r="BA384" t="s">
        <v>74</v>
      </c>
      <c r="BB384">
        <v>295</v>
      </c>
      <c r="BC384">
        <v>303</v>
      </c>
      <c r="BD384" t="s">
        <v>74</v>
      </c>
      <c r="BE384" t="s">
        <v>949</v>
      </c>
      <c r="BF384" t="str">
        <f>HYPERLINK("http://dx.doi.org/10.2174/1389202916666150707154719","http://dx.doi.org/10.2174/1389202916666150707154719")</f>
        <v>http://dx.doi.org/10.2174/1389202916666150707154719</v>
      </c>
      <c r="BG384" t="s">
        <v>74</v>
      </c>
      <c r="BH384" t="s">
        <v>74</v>
      </c>
      <c r="BI384" t="s">
        <v>74</v>
      </c>
      <c r="BJ384" t="s">
        <v>950</v>
      </c>
      <c r="BK384" t="s">
        <v>117</v>
      </c>
      <c r="BL384" t="s">
        <v>950</v>
      </c>
      <c r="BM384" t="s">
        <v>74</v>
      </c>
      <c r="BN384">
        <v>27047249</v>
      </c>
      <c r="BO384" t="s">
        <v>74</v>
      </c>
      <c r="BP384" t="s">
        <v>74</v>
      </c>
      <c r="BQ384" t="s">
        <v>74</v>
      </c>
      <c r="BR384" t="s">
        <v>96</v>
      </c>
      <c r="BS384" t="s">
        <v>951</v>
      </c>
      <c r="BT384" t="str">
        <f>HYPERLINK("https%3A%2F%2Fwww.webofscience.com%2Fwos%2Fwoscc%2Ffull-record%2FWOS:000357942100002","View Full Record in Web of Science")</f>
        <v>View Full Record in Web of Science</v>
      </c>
    </row>
    <row r="385" spans="1:72" x14ac:dyDescent="0.15">
      <c r="A385" t="s">
        <v>98</v>
      </c>
      <c r="B385" t="s">
        <v>2929</v>
      </c>
      <c r="C385" t="s">
        <v>74</v>
      </c>
      <c r="D385" t="s">
        <v>74</v>
      </c>
      <c r="E385" t="s">
        <v>74</v>
      </c>
      <c r="F385" t="s">
        <v>2930</v>
      </c>
      <c r="G385" t="s">
        <v>74</v>
      </c>
      <c r="H385" t="s">
        <v>74</v>
      </c>
      <c r="I385" t="s">
        <v>2931</v>
      </c>
      <c r="J385" t="s">
        <v>256</v>
      </c>
      <c r="K385" t="s">
        <v>74</v>
      </c>
      <c r="L385" t="s">
        <v>74</v>
      </c>
      <c r="M385" t="s">
        <v>74</v>
      </c>
      <c r="N385" t="s">
        <v>103</v>
      </c>
      <c r="O385" t="s">
        <v>74</v>
      </c>
      <c r="P385" t="s">
        <v>74</v>
      </c>
      <c r="Q385" t="s">
        <v>74</v>
      </c>
      <c r="R385" t="s">
        <v>74</v>
      </c>
      <c r="S385" t="s">
        <v>74</v>
      </c>
      <c r="T385" t="s">
        <v>2932</v>
      </c>
      <c r="U385" t="s">
        <v>2933</v>
      </c>
      <c r="V385" t="s">
        <v>2934</v>
      </c>
      <c r="W385" t="s">
        <v>2935</v>
      </c>
      <c r="X385" t="s">
        <v>2936</v>
      </c>
      <c r="Y385" t="s">
        <v>2937</v>
      </c>
      <c r="Z385" t="s">
        <v>1166</v>
      </c>
      <c r="AA385" t="s">
        <v>74</v>
      </c>
      <c r="AB385" t="s">
        <v>2938</v>
      </c>
      <c r="AC385" t="s">
        <v>74</v>
      </c>
      <c r="AD385" t="s">
        <v>74</v>
      </c>
      <c r="AE385" t="s">
        <v>74</v>
      </c>
      <c r="AF385" t="s">
        <v>74</v>
      </c>
      <c r="AG385">
        <v>28</v>
      </c>
      <c r="AH385">
        <v>51</v>
      </c>
      <c r="AI385">
        <v>52</v>
      </c>
      <c r="AJ385">
        <v>0</v>
      </c>
      <c r="AK385">
        <v>5</v>
      </c>
      <c r="AL385" t="s">
        <v>74</v>
      </c>
      <c r="AM385" t="s">
        <v>74</v>
      </c>
      <c r="AN385" t="s">
        <v>74</v>
      </c>
      <c r="AO385" t="s">
        <v>264</v>
      </c>
      <c r="AP385" t="s">
        <v>74</v>
      </c>
      <c r="AQ385" t="s">
        <v>74</v>
      </c>
      <c r="AR385" t="s">
        <v>74</v>
      </c>
      <c r="AS385" t="s">
        <v>74</v>
      </c>
      <c r="AT385" t="s">
        <v>2939</v>
      </c>
      <c r="AU385">
        <v>2018</v>
      </c>
      <c r="AV385">
        <v>18</v>
      </c>
      <c r="AW385" t="s">
        <v>74</v>
      </c>
      <c r="AX385" t="s">
        <v>74</v>
      </c>
      <c r="AY385" t="s">
        <v>74</v>
      </c>
      <c r="AZ385" t="s">
        <v>74</v>
      </c>
      <c r="BA385" t="s">
        <v>74</v>
      </c>
      <c r="BB385" t="s">
        <v>74</v>
      </c>
      <c r="BC385" t="s">
        <v>74</v>
      </c>
      <c r="BD385">
        <v>1236</v>
      </c>
      <c r="BE385" t="s">
        <v>2940</v>
      </c>
      <c r="BF385" t="str">
        <f>HYPERLINK("http://dx.doi.org/10.1186/s12885-018-5138-3","http://dx.doi.org/10.1186/s12885-018-5138-3")</f>
        <v>http://dx.doi.org/10.1186/s12885-018-5138-3</v>
      </c>
      <c r="BG385" t="s">
        <v>74</v>
      </c>
      <c r="BH385" t="s">
        <v>74</v>
      </c>
      <c r="BI385" t="s">
        <v>74</v>
      </c>
      <c r="BJ385" t="s">
        <v>267</v>
      </c>
      <c r="BK385" t="s">
        <v>117</v>
      </c>
      <c r="BL385" t="s">
        <v>267</v>
      </c>
      <c r="BM385" t="s">
        <v>74</v>
      </c>
      <c r="BN385">
        <v>30526536</v>
      </c>
      <c r="BO385" t="s">
        <v>74</v>
      </c>
      <c r="BP385" t="s">
        <v>74</v>
      </c>
      <c r="BQ385" t="s">
        <v>74</v>
      </c>
      <c r="BR385" t="s">
        <v>96</v>
      </c>
      <c r="BS385" t="s">
        <v>2941</v>
      </c>
      <c r="BT385" t="str">
        <f>HYPERLINK("https%3A%2F%2Fwww.webofscience.com%2Fwos%2Fwoscc%2Ffull-record%2FWOS:000452726600006","View Full Record in Web of Science")</f>
        <v>View Full Record in Web of Science</v>
      </c>
    </row>
    <row r="386" spans="1:72" x14ac:dyDescent="0.15">
      <c r="A386" t="s">
        <v>98</v>
      </c>
      <c r="B386" t="s">
        <v>6774</v>
      </c>
      <c r="C386" t="s">
        <v>74</v>
      </c>
      <c r="D386" t="s">
        <v>74</v>
      </c>
      <c r="E386" t="s">
        <v>74</v>
      </c>
      <c r="F386" t="s">
        <v>6775</v>
      </c>
      <c r="G386" t="s">
        <v>74</v>
      </c>
      <c r="H386" t="s">
        <v>74</v>
      </c>
      <c r="I386" t="s">
        <v>6776</v>
      </c>
      <c r="J386" t="s">
        <v>658</v>
      </c>
      <c r="K386" t="s">
        <v>74</v>
      </c>
      <c r="L386" t="s">
        <v>74</v>
      </c>
      <c r="M386" t="s">
        <v>74</v>
      </c>
      <c r="N386" t="s">
        <v>103</v>
      </c>
      <c r="O386" t="s">
        <v>74</v>
      </c>
      <c r="P386" t="s">
        <v>74</v>
      </c>
      <c r="Q386" t="s">
        <v>74</v>
      </c>
      <c r="R386" t="s">
        <v>74</v>
      </c>
      <c r="S386" t="s">
        <v>74</v>
      </c>
      <c r="T386" t="s">
        <v>6777</v>
      </c>
      <c r="U386" t="s">
        <v>6778</v>
      </c>
      <c r="V386" t="s">
        <v>6779</v>
      </c>
      <c r="W386" t="s">
        <v>6780</v>
      </c>
      <c r="X386" t="s">
        <v>6781</v>
      </c>
      <c r="Y386" t="s">
        <v>6782</v>
      </c>
      <c r="Z386" t="s">
        <v>6783</v>
      </c>
      <c r="AA386" t="s">
        <v>6784</v>
      </c>
      <c r="AB386" t="s">
        <v>6785</v>
      </c>
      <c r="AC386" t="s">
        <v>74</v>
      </c>
      <c r="AD386" t="s">
        <v>74</v>
      </c>
      <c r="AE386" t="s">
        <v>74</v>
      </c>
      <c r="AF386" t="s">
        <v>74</v>
      </c>
      <c r="AG386">
        <v>66</v>
      </c>
      <c r="AH386">
        <v>51</v>
      </c>
      <c r="AI386">
        <v>56</v>
      </c>
      <c r="AJ386">
        <v>0</v>
      </c>
      <c r="AK386">
        <v>26</v>
      </c>
      <c r="AL386" t="s">
        <v>74</v>
      </c>
      <c r="AM386" t="s">
        <v>74</v>
      </c>
      <c r="AN386" t="s">
        <v>74</v>
      </c>
      <c r="AO386" t="s">
        <v>668</v>
      </c>
      <c r="AP386" t="s">
        <v>74</v>
      </c>
      <c r="AQ386" t="s">
        <v>74</v>
      </c>
      <c r="AR386" t="s">
        <v>74</v>
      </c>
      <c r="AS386" t="s">
        <v>74</v>
      </c>
      <c r="AT386" t="s">
        <v>6786</v>
      </c>
      <c r="AU386">
        <v>2015</v>
      </c>
      <c r="AV386">
        <v>112</v>
      </c>
      <c r="AW386">
        <v>46</v>
      </c>
      <c r="AX386" t="s">
        <v>74</v>
      </c>
      <c r="AY386" t="s">
        <v>74</v>
      </c>
      <c r="AZ386" t="s">
        <v>74</v>
      </c>
      <c r="BA386" t="s">
        <v>74</v>
      </c>
      <c r="BB386" t="s">
        <v>6787</v>
      </c>
      <c r="BC386" t="s">
        <v>6788</v>
      </c>
      <c r="BD386" t="s">
        <v>74</v>
      </c>
      <c r="BE386" t="s">
        <v>6789</v>
      </c>
      <c r="BF386" t="str">
        <f>HYPERLINK("http://dx.doi.org/10.1073/pnas.1505962112","http://dx.doi.org/10.1073/pnas.1505962112")</f>
        <v>http://dx.doi.org/10.1073/pnas.1505962112</v>
      </c>
      <c r="BG386" t="s">
        <v>74</v>
      </c>
      <c r="BH386" t="s">
        <v>74</v>
      </c>
      <c r="BI386" t="s">
        <v>74</v>
      </c>
      <c r="BJ386" t="s">
        <v>152</v>
      </c>
      <c r="BK386" t="s">
        <v>117</v>
      </c>
      <c r="BL386" t="s">
        <v>153</v>
      </c>
      <c r="BM386" t="s">
        <v>74</v>
      </c>
      <c r="BN386">
        <v>26578789</v>
      </c>
      <c r="BO386" t="s">
        <v>74</v>
      </c>
      <c r="BP386" t="s">
        <v>74</v>
      </c>
      <c r="BQ386" t="s">
        <v>74</v>
      </c>
      <c r="BR386" t="s">
        <v>96</v>
      </c>
      <c r="BS386" t="s">
        <v>6790</v>
      </c>
      <c r="BT386" t="str">
        <f>HYPERLINK("https%3A%2F%2Fwww.webofscience.com%2Fwos%2Fwoscc%2Ffull-record%2FWOS:000365170400008","View Full Record in Web of Science")</f>
        <v>View Full Record in Web of Science</v>
      </c>
    </row>
    <row r="387" spans="1:72" x14ac:dyDescent="0.15">
      <c r="A387" t="s">
        <v>98</v>
      </c>
      <c r="B387" t="s">
        <v>9479</v>
      </c>
      <c r="C387" t="s">
        <v>74</v>
      </c>
      <c r="D387" t="s">
        <v>74</v>
      </c>
      <c r="E387" t="s">
        <v>74</v>
      </c>
      <c r="F387" t="s">
        <v>9480</v>
      </c>
      <c r="G387" t="s">
        <v>74</v>
      </c>
      <c r="H387" t="s">
        <v>74</v>
      </c>
      <c r="I387" t="s">
        <v>9481</v>
      </c>
      <c r="J387" t="s">
        <v>9482</v>
      </c>
      <c r="K387" t="s">
        <v>74</v>
      </c>
      <c r="L387" t="s">
        <v>74</v>
      </c>
      <c r="M387" t="s">
        <v>74</v>
      </c>
      <c r="N387" t="s">
        <v>103</v>
      </c>
      <c r="O387" t="s">
        <v>74</v>
      </c>
      <c r="P387" t="s">
        <v>74</v>
      </c>
      <c r="Q387" t="s">
        <v>74</v>
      </c>
      <c r="R387" t="s">
        <v>74</v>
      </c>
      <c r="S387" t="s">
        <v>74</v>
      </c>
      <c r="T387" t="s">
        <v>9483</v>
      </c>
      <c r="U387" t="s">
        <v>9484</v>
      </c>
      <c r="V387" t="s">
        <v>9485</v>
      </c>
      <c r="W387" t="s">
        <v>9486</v>
      </c>
      <c r="X387" t="s">
        <v>9487</v>
      </c>
      <c r="Y387" t="s">
        <v>9488</v>
      </c>
      <c r="Z387" t="s">
        <v>9489</v>
      </c>
      <c r="AA387" t="s">
        <v>9490</v>
      </c>
      <c r="AB387" t="s">
        <v>9491</v>
      </c>
      <c r="AC387" t="s">
        <v>74</v>
      </c>
      <c r="AD387" t="s">
        <v>74</v>
      </c>
      <c r="AE387" t="s">
        <v>74</v>
      </c>
      <c r="AF387" t="s">
        <v>74</v>
      </c>
      <c r="AG387">
        <v>38</v>
      </c>
      <c r="AH387">
        <v>51</v>
      </c>
      <c r="AI387">
        <v>53</v>
      </c>
      <c r="AJ387">
        <v>3</v>
      </c>
      <c r="AK387">
        <v>22</v>
      </c>
      <c r="AL387" t="s">
        <v>74</v>
      </c>
      <c r="AM387" t="s">
        <v>74</v>
      </c>
      <c r="AN387" t="s">
        <v>74</v>
      </c>
      <c r="AO387" t="s">
        <v>9492</v>
      </c>
      <c r="AP387" t="s">
        <v>9493</v>
      </c>
      <c r="AQ387" t="s">
        <v>74</v>
      </c>
      <c r="AR387" t="s">
        <v>74</v>
      </c>
      <c r="AS387" t="s">
        <v>74</v>
      </c>
      <c r="AT387" t="s">
        <v>283</v>
      </c>
      <c r="AU387">
        <v>2019</v>
      </c>
      <c r="AV387">
        <v>63</v>
      </c>
      <c r="AW387">
        <v>2</v>
      </c>
      <c r="AX387" t="s">
        <v>74</v>
      </c>
      <c r="AY387" t="s">
        <v>74</v>
      </c>
      <c r="AZ387" t="s">
        <v>74</v>
      </c>
      <c r="BA387" t="s">
        <v>74</v>
      </c>
      <c r="BB387" t="s">
        <v>74</v>
      </c>
      <c r="BC387" t="s">
        <v>74</v>
      </c>
      <c r="BD387" t="s">
        <v>9494</v>
      </c>
      <c r="BE387" t="s">
        <v>9495</v>
      </c>
      <c r="BF387" t="str">
        <f>HYPERLINK("http://dx.doi.org/10.1128/AAC.01439-18","http://dx.doi.org/10.1128/AAC.01439-18")</f>
        <v>http://dx.doi.org/10.1128/AAC.01439-18</v>
      </c>
      <c r="BG387" t="s">
        <v>74</v>
      </c>
      <c r="BH387" t="s">
        <v>74</v>
      </c>
      <c r="BI387" t="s">
        <v>74</v>
      </c>
      <c r="BJ387" t="s">
        <v>9496</v>
      </c>
      <c r="BK387" t="s">
        <v>117</v>
      </c>
      <c r="BL387" t="s">
        <v>9496</v>
      </c>
      <c r="BM387" t="s">
        <v>74</v>
      </c>
      <c r="BN387">
        <v>30509943</v>
      </c>
      <c r="BO387" t="s">
        <v>74</v>
      </c>
      <c r="BP387" t="s">
        <v>74</v>
      </c>
      <c r="BQ387" t="s">
        <v>74</v>
      </c>
      <c r="BR387" t="s">
        <v>96</v>
      </c>
      <c r="BS387" t="s">
        <v>9497</v>
      </c>
      <c r="BT387" t="str">
        <f>HYPERLINK("https%3A%2F%2Fwww.webofscience.com%2Fwos%2Fwoscc%2Ffull-record%2FWOS:000457110200040","View Full Record in Web of Science")</f>
        <v>View Full Record in Web of Science</v>
      </c>
    </row>
    <row r="388" spans="1:72" x14ac:dyDescent="0.15">
      <c r="A388" t="s">
        <v>98</v>
      </c>
      <c r="B388" t="s">
        <v>14363</v>
      </c>
      <c r="C388" t="s">
        <v>74</v>
      </c>
      <c r="D388" t="s">
        <v>74</v>
      </c>
      <c r="E388" t="s">
        <v>74</v>
      </c>
      <c r="F388" t="s">
        <v>14364</v>
      </c>
      <c r="G388" t="s">
        <v>74</v>
      </c>
      <c r="H388" t="s">
        <v>74</v>
      </c>
      <c r="I388" t="s">
        <v>14365</v>
      </c>
      <c r="J388" t="s">
        <v>14366</v>
      </c>
      <c r="K388" t="s">
        <v>74</v>
      </c>
      <c r="L388" t="s">
        <v>74</v>
      </c>
      <c r="M388" t="s">
        <v>74</v>
      </c>
      <c r="N388" t="s">
        <v>103</v>
      </c>
      <c r="O388" t="s">
        <v>74</v>
      </c>
      <c r="P388" t="s">
        <v>74</v>
      </c>
      <c r="Q388" t="s">
        <v>74</v>
      </c>
      <c r="R388" t="s">
        <v>74</v>
      </c>
      <c r="S388" t="s">
        <v>74</v>
      </c>
      <c r="T388" t="s">
        <v>74</v>
      </c>
      <c r="U388" t="s">
        <v>14367</v>
      </c>
      <c r="V388" t="s">
        <v>14368</v>
      </c>
      <c r="W388" t="s">
        <v>14369</v>
      </c>
      <c r="X388" t="s">
        <v>14370</v>
      </c>
      <c r="Y388" t="s">
        <v>14371</v>
      </c>
      <c r="Z388" t="s">
        <v>14372</v>
      </c>
      <c r="AA388" t="s">
        <v>14373</v>
      </c>
      <c r="AB388" t="s">
        <v>14374</v>
      </c>
      <c r="AC388" t="s">
        <v>74</v>
      </c>
      <c r="AD388" t="s">
        <v>74</v>
      </c>
      <c r="AE388" t="s">
        <v>74</v>
      </c>
      <c r="AF388" t="s">
        <v>74</v>
      </c>
      <c r="AG388">
        <v>37</v>
      </c>
      <c r="AH388">
        <v>51</v>
      </c>
      <c r="AI388">
        <v>53</v>
      </c>
      <c r="AJ388">
        <v>0</v>
      </c>
      <c r="AK388">
        <v>42</v>
      </c>
      <c r="AL388" t="s">
        <v>74</v>
      </c>
      <c r="AM388" t="s">
        <v>74</v>
      </c>
      <c r="AN388" t="s">
        <v>74</v>
      </c>
      <c r="AO388" t="s">
        <v>14375</v>
      </c>
      <c r="AP388" t="s">
        <v>74</v>
      </c>
      <c r="AQ388" t="s">
        <v>74</v>
      </c>
      <c r="AR388" t="s">
        <v>74</v>
      </c>
      <c r="AS388" t="s">
        <v>74</v>
      </c>
      <c r="AT388" t="s">
        <v>230</v>
      </c>
      <c r="AU388">
        <v>2016</v>
      </c>
      <c r="AV388">
        <v>5</v>
      </c>
      <c r="AW388" t="s">
        <v>74</v>
      </c>
      <c r="AX388" t="s">
        <v>74</v>
      </c>
      <c r="AY388" t="s">
        <v>74</v>
      </c>
      <c r="AZ388" t="s">
        <v>74</v>
      </c>
      <c r="BA388" t="s">
        <v>74</v>
      </c>
      <c r="BB388" t="s">
        <v>74</v>
      </c>
      <c r="BC388" t="s">
        <v>74</v>
      </c>
      <c r="BD388" t="s">
        <v>14376</v>
      </c>
      <c r="BE388" t="s">
        <v>14377</v>
      </c>
      <c r="BF388" t="str">
        <f>HYPERLINK("http://dx.doi.org/10.1038/oncsis.2016.52","http://dx.doi.org/10.1038/oncsis.2016.52")</f>
        <v>http://dx.doi.org/10.1038/oncsis.2016.52</v>
      </c>
      <c r="BG388" t="s">
        <v>74</v>
      </c>
      <c r="BH388" t="s">
        <v>74</v>
      </c>
      <c r="BI388" t="s">
        <v>74</v>
      </c>
      <c r="BJ388" t="s">
        <v>267</v>
      </c>
      <c r="BK388" t="s">
        <v>117</v>
      </c>
      <c r="BL388" t="s">
        <v>267</v>
      </c>
      <c r="BM388" t="s">
        <v>74</v>
      </c>
      <c r="BN388">
        <v>27500388</v>
      </c>
      <c r="BO388" t="s">
        <v>74</v>
      </c>
      <c r="BP388" t="s">
        <v>74</v>
      </c>
      <c r="BQ388" t="s">
        <v>74</v>
      </c>
      <c r="BR388" t="s">
        <v>96</v>
      </c>
      <c r="BS388" t="s">
        <v>14378</v>
      </c>
      <c r="BT388" t="str">
        <f>HYPERLINK("https%3A%2F%2Fwww.webofscience.com%2Fwos%2Fwoscc%2Ffull-record%2FWOS:000382022900001","View Full Record in Web of Science")</f>
        <v>View Full Record in Web of Science</v>
      </c>
    </row>
    <row r="389" spans="1:72" x14ac:dyDescent="0.15">
      <c r="A389" t="s">
        <v>98</v>
      </c>
      <c r="B389" t="s">
        <v>15479</v>
      </c>
      <c r="C389" t="s">
        <v>74</v>
      </c>
      <c r="D389" t="s">
        <v>74</v>
      </c>
      <c r="E389" t="s">
        <v>74</v>
      </c>
      <c r="F389" t="s">
        <v>15480</v>
      </c>
      <c r="G389" t="s">
        <v>74</v>
      </c>
      <c r="H389" t="s">
        <v>74</v>
      </c>
      <c r="I389" t="s">
        <v>15481</v>
      </c>
      <c r="J389" t="s">
        <v>836</v>
      </c>
      <c r="K389" t="s">
        <v>74</v>
      </c>
      <c r="L389" t="s">
        <v>74</v>
      </c>
      <c r="M389" t="s">
        <v>74</v>
      </c>
      <c r="N389" t="s">
        <v>103</v>
      </c>
      <c r="O389" t="s">
        <v>74</v>
      </c>
      <c r="P389" t="s">
        <v>74</v>
      </c>
      <c r="Q389" t="s">
        <v>74</v>
      </c>
      <c r="R389" t="s">
        <v>74</v>
      </c>
      <c r="S389" t="s">
        <v>74</v>
      </c>
      <c r="T389" t="s">
        <v>15482</v>
      </c>
      <c r="U389" t="s">
        <v>15483</v>
      </c>
      <c r="V389" t="s">
        <v>15484</v>
      </c>
      <c r="W389" t="s">
        <v>15485</v>
      </c>
      <c r="X389" t="s">
        <v>2415</v>
      </c>
      <c r="Y389" t="s">
        <v>15486</v>
      </c>
      <c r="Z389" t="s">
        <v>15487</v>
      </c>
      <c r="AA389" t="s">
        <v>15488</v>
      </c>
      <c r="AB389" t="s">
        <v>74</v>
      </c>
      <c r="AC389" t="s">
        <v>74</v>
      </c>
      <c r="AD389" t="s">
        <v>74</v>
      </c>
      <c r="AE389" t="s">
        <v>74</v>
      </c>
      <c r="AF389" t="s">
        <v>74</v>
      </c>
      <c r="AG389">
        <v>39</v>
      </c>
      <c r="AH389">
        <v>51</v>
      </c>
      <c r="AI389">
        <v>54</v>
      </c>
      <c r="AJ389">
        <v>0</v>
      </c>
      <c r="AK389">
        <v>6</v>
      </c>
      <c r="AL389" t="s">
        <v>74</v>
      </c>
      <c r="AM389" t="s">
        <v>74</v>
      </c>
      <c r="AN389" t="s">
        <v>74</v>
      </c>
      <c r="AO389" t="s">
        <v>74</v>
      </c>
      <c r="AP389" t="s">
        <v>846</v>
      </c>
      <c r="AQ389" t="s">
        <v>74</v>
      </c>
      <c r="AR389" t="s">
        <v>74</v>
      </c>
      <c r="AS389" t="s">
        <v>74</v>
      </c>
      <c r="AT389" t="s">
        <v>3627</v>
      </c>
      <c r="AU389">
        <v>2017</v>
      </c>
      <c r="AV389">
        <v>8</v>
      </c>
      <c r="AW389">
        <v>26</v>
      </c>
      <c r="AX389" t="s">
        <v>74</v>
      </c>
      <c r="AY389" t="s">
        <v>74</v>
      </c>
      <c r="AZ389" t="s">
        <v>74</v>
      </c>
      <c r="BA389" t="s">
        <v>74</v>
      </c>
      <c r="BB389">
        <v>43180</v>
      </c>
      <c r="BC389">
        <v>43191</v>
      </c>
      <c r="BD389" t="s">
        <v>74</v>
      </c>
      <c r="BE389" t="s">
        <v>15489</v>
      </c>
      <c r="BF389" t="str">
        <f>HYPERLINK("http://dx.doi.org/10.18632/oncotarget.17858","http://dx.doi.org/10.18632/oncotarget.17858")</f>
        <v>http://dx.doi.org/10.18632/oncotarget.17858</v>
      </c>
      <c r="BG389" t="s">
        <v>74</v>
      </c>
      <c r="BH389" t="s">
        <v>74</v>
      </c>
      <c r="BI389" t="s">
        <v>74</v>
      </c>
      <c r="BJ389" t="s">
        <v>848</v>
      </c>
      <c r="BK389" t="s">
        <v>117</v>
      </c>
      <c r="BL389" t="s">
        <v>848</v>
      </c>
      <c r="BM389" t="s">
        <v>74</v>
      </c>
      <c r="BN389">
        <v>28574818</v>
      </c>
      <c r="BO389" t="s">
        <v>74</v>
      </c>
      <c r="BP389" t="s">
        <v>74</v>
      </c>
      <c r="BQ389" t="s">
        <v>74</v>
      </c>
      <c r="BR389" t="s">
        <v>96</v>
      </c>
      <c r="BS389" t="s">
        <v>15490</v>
      </c>
      <c r="BT389" t="str">
        <f>HYPERLINK("https%3A%2F%2Fwww.webofscience.com%2Fwos%2Fwoscc%2Ffull-record%2FWOS:000405493400116","View Full Record in Web of Science")</f>
        <v>View Full Record in Web of Science</v>
      </c>
    </row>
    <row r="390" spans="1:72" x14ac:dyDescent="0.15">
      <c r="A390" t="s">
        <v>98</v>
      </c>
      <c r="B390" t="s">
        <v>16799</v>
      </c>
      <c r="C390" t="s">
        <v>74</v>
      </c>
      <c r="D390" t="s">
        <v>74</v>
      </c>
      <c r="E390" t="s">
        <v>74</v>
      </c>
      <c r="F390" t="s">
        <v>16800</v>
      </c>
      <c r="G390" t="s">
        <v>74</v>
      </c>
      <c r="H390" t="s">
        <v>74</v>
      </c>
      <c r="I390" t="s">
        <v>16801</v>
      </c>
      <c r="J390" t="s">
        <v>1926</v>
      </c>
      <c r="K390" t="s">
        <v>74</v>
      </c>
      <c r="L390" t="s">
        <v>74</v>
      </c>
      <c r="M390" t="s">
        <v>74</v>
      </c>
      <c r="N390" t="s">
        <v>103</v>
      </c>
      <c r="O390" t="s">
        <v>74</v>
      </c>
      <c r="P390" t="s">
        <v>74</v>
      </c>
      <c r="Q390" t="s">
        <v>74</v>
      </c>
      <c r="R390" t="s">
        <v>74</v>
      </c>
      <c r="S390" t="s">
        <v>74</v>
      </c>
      <c r="T390" t="s">
        <v>16802</v>
      </c>
      <c r="U390" t="s">
        <v>16803</v>
      </c>
      <c r="V390" t="s">
        <v>16804</v>
      </c>
      <c r="W390" t="s">
        <v>16805</v>
      </c>
      <c r="X390" t="s">
        <v>16806</v>
      </c>
      <c r="Y390" t="s">
        <v>16807</v>
      </c>
      <c r="Z390" t="s">
        <v>16808</v>
      </c>
      <c r="AA390" t="s">
        <v>16809</v>
      </c>
      <c r="AB390" t="s">
        <v>16810</v>
      </c>
      <c r="AC390" t="s">
        <v>74</v>
      </c>
      <c r="AD390" t="s">
        <v>74</v>
      </c>
      <c r="AE390" t="s">
        <v>74</v>
      </c>
      <c r="AF390" t="s">
        <v>74</v>
      </c>
      <c r="AG390">
        <v>44</v>
      </c>
      <c r="AH390">
        <v>51</v>
      </c>
      <c r="AI390">
        <v>53</v>
      </c>
      <c r="AJ390">
        <v>2</v>
      </c>
      <c r="AK390">
        <v>47</v>
      </c>
      <c r="AL390" t="s">
        <v>74</v>
      </c>
      <c r="AM390" t="s">
        <v>74</v>
      </c>
      <c r="AN390" t="s">
        <v>74</v>
      </c>
      <c r="AO390" t="s">
        <v>1935</v>
      </c>
      <c r="AP390" t="s">
        <v>1936</v>
      </c>
      <c r="AQ390" t="s">
        <v>74</v>
      </c>
      <c r="AR390" t="s">
        <v>74</v>
      </c>
      <c r="AS390" t="s">
        <v>74</v>
      </c>
      <c r="AT390" t="s">
        <v>2081</v>
      </c>
      <c r="AU390">
        <v>2016</v>
      </c>
      <c r="AV390">
        <v>1455</v>
      </c>
      <c r="AW390" t="s">
        <v>74</v>
      </c>
      <c r="AX390" t="s">
        <v>74</v>
      </c>
      <c r="AY390" t="s">
        <v>74</v>
      </c>
      <c r="AZ390" t="s">
        <v>74</v>
      </c>
      <c r="BA390" t="s">
        <v>74</v>
      </c>
      <c r="BB390">
        <v>93</v>
      </c>
      <c r="BC390">
        <v>101</v>
      </c>
      <c r="BD390" t="s">
        <v>74</v>
      </c>
      <c r="BE390" t="s">
        <v>16811</v>
      </c>
      <c r="BF390" t="str">
        <f>HYPERLINK("http://dx.doi.org/10.1016/j.chroma.2016.05.053","http://dx.doi.org/10.1016/j.chroma.2016.05.053")</f>
        <v>http://dx.doi.org/10.1016/j.chroma.2016.05.053</v>
      </c>
      <c r="BG390" t="s">
        <v>74</v>
      </c>
      <c r="BH390" t="s">
        <v>74</v>
      </c>
      <c r="BI390" t="s">
        <v>74</v>
      </c>
      <c r="BJ390" t="s">
        <v>1939</v>
      </c>
      <c r="BK390" t="s">
        <v>117</v>
      </c>
      <c r="BL390" t="s">
        <v>831</v>
      </c>
      <c r="BM390" t="s">
        <v>74</v>
      </c>
      <c r="BN390">
        <v>27286649</v>
      </c>
      <c r="BO390" t="s">
        <v>74</v>
      </c>
      <c r="BP390" t="s">
        <v>74</v>
      </c>
      <c r="BQ390" t="s">
        <v>74</v>
      </c>
      <c r="BR390" t="s">
        <v>96</v>
      </c>
      <c r="BS390" t="s">
        <v>16812</v>
      </c>
      <c r="BT390" t="str">
        <f>HYPERLINK("https%3A%2F%2Fwww.webofscience.com%2Fwos%2Fwoscc%2Ffull-record%2FWOS:000378954900011","View Full Record in Web of Science")</f>
        <v>View Full Record in Web of Science</v>
      </c>
    </row>
    <row r="391" spans="1:72" x14ac:dyDescent="0.15">
      <c r="A391" t="s">
        <v>98</v>
      </c>
      <c r="B391" t="s">
        <v>20679</v>
      </c>
      <c r="C391" t="s">
        <v>74</v>
      </c>
      <c r="D391" t="s">
        <v>74</v>
      </c>
      <c r="E391" t="s">
        <v>74</v>
      </c>
      <c r="F391" t="s">
        <v>20680</v>
      </c>
      <c r="G391" t="s">
        <v>74</v>
      </c>
      <c r="H391" t="s">
        <v>74</v>
      </c>
      <c r="I391" t="s">
        <v>20681</v>
      </c>
      <c r="J391" t="s">
        <v>20682</v>
      </c>
      <c r="K391" t="s">
        <v>74</v>
      </c>
      <c r="L391" t="s">
        <v>74</v>
      </c>
      <c r="M391" t="s">
        <v>74</v>
      </c>
      <c r="N391" t="s">
        <v>103</v>
      </c>
      <c r="O391" t="s">
        <v>74</v>
      </c>
      <c r="P391" t="s">
        <v>74</v>
      </c>
      <c r="Q391" t="s">
        <v>74</v>
      </c>
      <c r="R391" t="s">
        <v>74</v>
      </c>
      <c r="S391" t="s">
        <v>74</v>
      </c>
      <c r="T391" t="s">
        <v>74</v>
      </c>
      <c r="U391" t="s">
        <v>20683</v>
      </c>
      <c r="V391" t="s">
        <v>20684</v>
      </c>
      <c r="W391" t="s">
        <v>20685</v>
      </c>
      <c r="X391" t="s">
        <v>20686</v>
      </c>
      <c r="Y391" t="s">
        <v>20687</v>
      </c>
      <c r="Z391" t="s">
        <v>20688</v>
      </c>
      <c r="AA391" t="s">
        <v>20689</v>
      </c>
      <c r="AB391" t="s">
        <v>20690</v>
      </c>
      <c r="AC391" t="s">
        <v>74</v>
      </c>
      <c r="AD391" t="s">
        <v>74</v>
      </c>
      <c r="AE391" t="s">
        <v>74</v>
      </c>
      <c r="AF391" t="s">
        <v>74</v>
      </c>
      <c r="AG391">
        <v>37</v>
      </c>
      <c r="AH391">
        <v>51</v>
      </c>
      <c r="AI391">
        <v>51</v>
      </c>
      <c r="AJ391">
        <v>15</v>
      </c>
      <c r="AK391">
        <v>68</v>
      </c>
      <c r="AL391" t="s">
        <v>74</v>
      </c>
      <c r="AM391" t="s">
        <v>74</v>
      </c>
      <c r="AN391" t="s">
        <v>74</v>
      </c>
      <c r="AO391" t="s">
        <v>20691</v>
      </c>
      <c r="AP391" t="s">
        <v>20692</v>
      </c>
      <c r="AQ391" t="s">
        <v>74</v>
      </c>
      <c r="AR391" t="s">
        <v>74</v>
      </c>
      <c r="AS391" t="s">
        <v>74</v>
      </c>
      <c r="AT391" t="s">
        <v>114</v>
      </c>
      <c r="AU391">
        <v>2020</v>
      </c>
      <c r="AV391">
        <v>22</v>
      </c>
      <c r="AW391">
        <v>1</v>
      </c>
      <c r="AX391" t="s">
        <v>74</v>
      </c>
      <c r="AY391" t="s">
        <v>74</v>
      </c>
      <c r="AZ391" t="s">
        <v>74</v>
      </c>
      <c r="BA391" t="s">
        <v>74</v>
      </c>
      <c r="BB391">
        <v>50</v>
      </c>
      <c r="BC391">
        <v>59</v>
      </c>
      <c r="BD391" t="s">
        <v>74</v>
      </c>
      <c r="BE391" t="s">
        <v>20693</v>
      </c>
      <c r="BF391" t="str">
        <f>HYPERLINK("http://dx.doi.org/10.1016/j.jmoldx.2019.08.004","http://dx.doi.org/10.1016/j.jmoldx.2019.08.004")</f>
        <v>http://dx.doi.org/10.1016/j.jmoldx.2019.08.004</v>
      </c>
      <c r="BG391" t="s">
        <v>74</v>
      </c>
      <c r="BH391" t="s">
        <v>74</v>
      </c>
      <c r="BI391" t="s">
        <v>74</v>
      </c>
      <c r="BJ391" t="s">
        <v>20694</v>
      </c>
      <c r="BK391" t="s">
        <v>117</v>
      </c>
      <c r="BL391" t="s">
        <v>20694</v>
      </c>
      <c r="BM391" t="s">
        <v>74</v>
      </c>
      <c r="BN391">
        <v>31843276</v>
      </c>
      <c r="BO391" t="s">
        <v>74</v>
      </c>
      <c r="BP391" t="s">
        <v>74</v>
      </c>
      <c r="BQ391" t="s">
        <v>74</v>
      </c>
      <c r="BR391" t="s">
        <v>96</v>
      </c>
      <c r="BS391" t="s">
        <v>20695</v>
      </c>
      <c r="BT391" t="str">
        <f>HYPERLINK("https%3A%2F%2Fwww.webofscience.com%2Fwos%2Fwoscc%2Ffull-record%2FWOS:000509818700006","View Full Record in Web of Science")</f>
        <v>View Full Record in Web of Science</v>
      </c>
    </row>
    <row r="392" spans="1:72" x14ac:dyDescent="0.15">
      <c r="A392" t="s">
        <v>98</v>
      </c>
      <c r="B392" t="s">
        <v>20724</v>
      </c>
      <c r="C392" t="s">
        <v>74</v>
      </c>
      <c r="D392" t="s">
        <v>74</v>
      </c>
      <c r="E392" t="s">
        <v>74</v>
      </c>
      <c r="F392" t="s">
        <v>20724</v>
      </c>
      <c r="G392" t="s">
        <v>74</v>
      </c>
      <c r="H392" t="s">
        <v>74</v>
      </c>
      <c r="I392" t="s">
        <v>20725</v>
      </c>
      <c r="J392" t="s">
        <v>20726</v>
      </c>
      <c r="K392" t="s">
        <v>74</v>
      </c>
      <c r="L392" t="s">
        <v>74</v>
      </c>
      <c r="M392" t="s">
        <v>74</v>
      </c>
      <c r="N392" t="s">
        <v>103</v>
      </c>
      <c r="O392" t="s">
        <v>74</v>
      </c>
      <c r="P392" t="s">
        <v>74</v>
      </c>
      <c r="Q392" t="s">
        <v>74</v>
      </c>
      <c r="R392" t="s">
        <v>74</v>
      </c>
      <c r="S392" t="s">
        <v>74</v>
      </c>
      <c r="T392" t="s">
        <v>74</v>
      </c>
      <c r="U392" t="s">
        <v>20727</v>
      </c>
      <c r="V392" t="s">
        <v>20728</v>
      </c>
      <c r="W392" t="s">
        <v>20729</v>
      </c>
      <c r="X392" t="s">
        <v>20730</v>
      </c>
      <c r="Y392" t="s">
        <v>74</v>
      </c>
      <c r="Z392" t="s">
        <v>74</v>
      </c>
      <c r="AA392" t="s">
        <v>20731</v>
      </c>
      <c r="AB392" t="s">
        <v>20732</v>
      </c>
      <c r="AC392" t="s">
        <v>74</v>
      </c>
      <c r="AD392" t="s">
        <v>74</v>
      </c>
      <c r="AE392" t="s">
        <v>74</v>
      </c>
      <c r="AF392" t="s">
        <v>74</v>
      </c>
      <c r="AG392">
        <v>47</v>
      </c>
      <c r="AH392">
        <v>51</v>
      </c>
      <c r="AI392">
        <v>52</v>
      </c>
      <c r="AJ392">
        <v>0</v>
      </c>
      <c r="AK392">
        <v>5</v>
      </c>
      <c r="AL392" t="s">
        <v>74</v>
      </c>
      <c r="AM392" t="s">
        <v>74</v>
      </c>
      <c r="AN392" t="s">
        <v>74</v>
      </c>
      <c r="AO392" t="s">
        <v>20733</v>
      </c>
      <c r="AP392" t="s">
        <v>74</v>
      </c>
      <c r="AQ392" t="s">
        <v>74</v>
      </c>
      <c r="AR392" t="s">
        <v>74</v>
      </c>
      <c r="AS392" t="s">
        <v>74</v>
      </c>
      <c r="AT392" t="s">
        <v>13008</v>
      </c>
      <c r="AU392">
        <v>1994</v>
      </c>
      <c r="AV392">
        <v>33</v>
      </c>
      <c r="AW392">
        <v>40</v>
      </c>
      <c r="AX392" t="s">
        <v>74</v>
      </c>
      <c r="AY392" t="s">
        <v>74</v>
      </c>
      <c r="AZ392" t="s">
        <v>74</v>
      </c>
      <c r="BA392" t="s">
        <v>74</v>
      </c>
      <c r="BB392">
        <v>12329</v>
      </c>
      <c r="BC392">
        <v>12339</v>
      </c>
      <c r="BD392" t="s">
        <v>74</v>
      </c>
      <c r="BE392" t="s">
        <v>20734</v>
      </c>
      <c r="BF392" t="str">
        <f>HYPERLINK("http://dx.doi.org/10.1021/bi00206a041","http://dx.doi.org/10.1021/bi00206a041")</f>
        <v>http://dx.doi.org/10.1021/bi00206a041</v>
      </c>
      <c r="BG392" t="s">
        <v>74</v>
      </c>
      <c r="BH392" t="s">
        <v>74</v>
      </c>
      <c r="BI392" t="s">
        <v>74</v>
      </c>
      <c r="BJ392" t="s">
        <v>95</v>
      </c>
      <c r="BK392" t="s">
        <v>117</v>
      </c>
      <c r="BL392" t="s">
        <v>95</v>
      </c>
      <c r="BM392" t="s">
        <v>74</v>
      </c>
      <c r="BN392">
        <v>7918455</v>
      </c>
      <c r="BO392" t="s">
        <v>74</v>
      </c>
      <c r="BP392" t="s">
        <v>74</v>
      </c>
      <c r="BQ392" t="s">
        <v>74</v>
      </c>
      <c r="BR392" t="s">
        <v>96</v>
      </c>
      <c r="BS392" t="s">
        <v>20735</v>
      </c>
      <c r="BT392" t="str">
        <f>HYPERLINK("https%3A%2F%2Fwww.webofscience.com%2Fwos%2Fwoscc%2Ffull-record%2FWOS:A1994PL35800041","View Full Record in Web of Science")</f>
        <v>View Full Record in Web of Science</v>
      </c>
    </row>
    <row r="393" spans="1:72" x14ac:dyDescent="0.15">
      <c r="A393" t="s">
        <v>98</v>
      </c>
      <c r="B393" t="s">
        <v>20736</v>
      </c>
      <c r="C393" t="s">
        <v>74</v>
      </c>
      <c r="D393" t="s">
        <v>74</v>
      </c>
      <c r="E393" t="s">
        <v>74</v>
      </c>
      <c r="F393" t="s">
        <v>20737</v>
      </c>
      <c r="G393" t="s">
        <v>74</v>
      </c>
      <c r="H393" t="s">
        <v>74</v>
      </c>
      <c r="I393" t="s">
        <v>20738</v>
      </c>
      <c r="J393" t="s">
        <v>11811</v>
      </c>
      <c r="K393" t="s">
        <v>74</v>
      </c>
      <c r="L393" t="s">
        <v>74</v>
      </c>
      <c r="M393" t="s">
        <v>74</v>
      </c>
      <c r="N393" t="s">
        <v>103</v>
      </c>
      <c r="O393" t="s">
        <v>74</v>
      </c>
      <c r="P393" t="s">
        <v>74</v>
      </c>
      <c r="Q393" t="s">
        <v>74</v>
      </c>
      <c r="R393" t="s">
        <v>74</v>
      </c>
      <c r="S393" t="s">
        <v>74</v>
      </c>
      <c r="T393" t="s">
        <v>74</v>
      </c>
      <c r="U393" t="s">
        <v>20739</v>
      </c>
      <c r="V393" t="s">
        <v>20740</v>
      </c>
      <c r="W393" t="s">
        <v>20741</v>
      </c>
      <c r="X393" t="s">
        <v>20742</v>
      </c>
      <c r="Y393" t="s">
        <v>20743</v>
      </c>
      <c r="Z393" t="s">
        <v>20744</v>
      </c>
      <c r="AA393" t="s">
        <v>74</v>
      </c>
      <c r="AB393" t="s">
        <v>74</v>
      </c>
      <c r="AC393" t="s">
        <v>74</v>
      </c>
      <c r="AD393" t="s">
        <v>74</v>
      </c>
      <c r="AE393" t="s">
        <v>74</v>
      </c>
      <c r="AF393" t="s">
        <v>74</v>
      </c>
      <c r="AG393">
        <v>39</v>
      </c>
      <c r="AH393">
        <v>51</v>
      </c>
      <c r="AI393">
        <v>52</v>
      </c>
      <c r="AJ393">
        <v>1</v>
      </c>
      <c r="AK393">
        <v>6</v>
      </c>
      <c r="AL393" t="s">
        <v>74</v>
      </c>
      <c r="AM393" t="s">
        <v>74</v>
      </c>
      <c r="AN393" t="s">
        <v>74</v>
      </c>
      <c r="AO393" t="s">
        <v>11820</v>
      </c>
      <c r="AP393" t="s">
        <v>74</v>
      </c>
      <c r="AQ393" t="s">
        <v>74</v>
      </c>
      <c r="AR393" t="s">
        <v>74</v>
      </c>
      <c r="AS393" t="s">
        <v>74</v>
      </c>
      <c r="AT393" t="s">
        <v>393</v>
      </c>
      <c r="AU393">
        <v>2018</v>
      </c>
      <c r="AV393">
        <v>9</v>
      </c>
      <c r="AW393" t="s">
        <v>74</v>
      </c>
      <c r="AX393" t="s">
        <v>74</v>
      </c>
      <c r="AY393" t="s">
        <v>74</v>
      </c>
      <c r="AZ393" t="s">
        <v>74</v>
      </c>
      <c r="BA393" t="s">
        <v>74</v>
      </c>
      <c r="BB393" t="s">
        <v>74</v>
      </c>
      <c r="BC393" t="s">
        <v>74</v>
      </c>
      <c r="BD393">
        <v>1037</v>
      </c>
      <c r="BE393" t="s">
        <v>20745</v>
      </c>
      <c r="BF393" t="str">
        <f>HYPERLINK("http://dx.doi.org/10.1038/s41419-018-1105-9","http://dx.doi.org/10.1038/s41419-018-1105-9")</f>
        <v>http://dx.doi.org/10.1038/s41419-018-1105-9</v>
      </c>
      <c r="BG393" t="s">
        <v>74</v>
      </c>
      <c r="BH393" t="s">
        <v>74</v>
      </c>
      <c r="BI393" t="s">
        <v>74</v>
      </c>
      <c r="BJ393" t="s">
        <v>135</v>
      </c>
      <c r="BK393" t="s">
        <v>117</v>
      </c>
      <c r="BL393" t="s">
        <v>135</v>
      </c>
      <c r="BM393" t="s">
        <v>74</v>
      </c>
      <c r="BN393">
        <v>30305607</v>
      </c>
      <c r="BO393" t="s">
        <v>74</v>
      </c>
      <c r="BP393" t="s">
        <v>74</v>
      </c>
      <c r="BQ393" t="s">
        <v>74</v>
      </c>
      <c r="BR393" t="s">
        <v>96</v>
      </c>
      <c r="BS393" t="s">
        <v>20746</v>
      </c>
      <c r="BT393" t="str">
        <f>HYPERLINK("https%3A%2F%2Fwww.webofscience.com%2Fwos%2Fwoscc%2Ffull-record%2FWOS:000447236100005","View Full Record in Web of Science")</f>
        <v>View Full Record in Web of Science</v>
      </c>
    </row>
    <row r="394" spans="1:72" x14ac:dyDescent="0.15">
      <c r="A394" t="s">
        <v>98</v>
      </c>
      <c r="B394" t="s">
        <v>23290</v>
      </c>
      <c r="C394" t="s">
        <v>74</v>
      </c>
      <c r="D394" t="s">
        <v>74</v>
      </c>
      <c r="E394" t="s">
        <v>74</v>
      </c>
      <c r="F394" t="s">
        <v>23290</v>
      </c>
      <c r="G394" t="s">
        <v>74</v>
      </c>
      <c r="H394" t="s">
        <v>74</v>
      </c>
      <c r="I394" t="s">
        <v>23291</v>
      </c>
      <c r="J394" t="s">
        <v>23292</v>
      </c>
      <c r="K394" t="s">
        <v>74</v>
      </c>
      <c r="L394" t="s">
        <v>74</v>
      </c>
      <c r="M394" t="s">
        <v>74</v>
      </c>
      <c r="N394" t="s">
        <v>103</v>
      </c>
      <c r="O394" t="s">
        <v>74</v>
      </c>
      <c r="P394" t="s">
        <v>74</v>
      </c>
      <c r="Q394" t="s">
        <v>74</v>
      </c>
      <c r="R394" t="s">
        <v>74</v>
      </c>
      <c r="S394" t="s">
        <v>74</v>
      </c>
      <c r="T394" t="s">
        <v>23293</v>
      </c>
      <c r="U394" t="s">
        <v>23294</v>
      </c>
      <c r="V394" t="s">
        <v>23295</v>
      </c>
      <c r="W394" t="s">
        <v>23296</v>
      </c>
      <c r="X394" t="s">
        <v>23297</v>
      </c>
      <c r="Y394" t="s">
        <v>23298</v>
      </c>
      <c r="Z394" t="s">
        <v>74</v>
      </c>
      <c r="AA394" t="s">
        <v>74</v>
      </c>
      <c r="AB394" t="s">
        <v>74</v>
      </c>
      <c r="AC394" t="s">
        <v>74</v>
      </c>
      <c r="AD394" t="s">
        <v>74</v>
      </c>
      <c r="AE394" t="s">
        <v>74</v>
      </c>
      <c r="AF394" t="s">
        <v>74</v>
      </c>
      <c r="AG394">
        <v>62</v>
      </c>
      <c r="AH394">
        <v>51</v>
      </c>
      <c r="AI394">
        <v>52</v>
      </c>
      <c r="AJ394">
        <v>3</v>
      </c>
      <c r="AK394">
        <v>14</v>
      </c>
      <c r="AL394" t="s">
        <v>74</v>
      </c>
      <c r="AM394" t="s">
        <v>74</v>
      </c>
      <c r="AN394" t="s">
        <v>74</v>
      </c>
      <c r="AO394" t="s">
        <v>23299</v>
      </c>
      <c r="AP394" t="s">
        <v>23300</v>
      </c>
      <c r="AQ394" t="s">
        <v>74</v>
      </c>
      <c r="AR394" t="s">
        <v>74</v>
      </c>
      <c r="AS394" t="s">
        <v>74</v>
      </c>
      <c r="AT394" t="s">
        <v>967</v>
      </c>
      <c r="AU394">
        <v>2002</v>
      </c>
      <c r="AV394">
        <v>33</v>
      </c>
      <c r="AW394">
        <v>12</v>
      </c>
      <c r="AX394" t="s">
        <v>74</v>
      </c>
      <c r="AY394" t="s">
        <v>74</v>
      </c>
      <c r="AZ394" t="s">
        <v>74</v>
      </c>
      <c r="BA394" t="s">
        <v>74</v>
      </c>
      <c r="BB394">
        <v>764</v>
      </c>
      <c r="BC394">
        <v>769</v>
      </c>
      <c r="BD394" t="s">
        <v>74</v>
      </c>
      <c r="BE394" t="s">
        <v>23301</v>
      </c>
      <c r="BF394" t="str">
        <f>HYPERLINK("http://dx.doi.org/10.1002/mawe.200290008","http://dx.doi.org/10.1002/mawe.200290008")</f>
        <v>http://dx.doi.org/10.1002/mawe.200290008</v>
      </c>
      <c r="BG394" t="s">
        <v>74</v>
      </c>
      <c r="BH394" t="s">
        <v>74</v>
      </c>
      <c r="BI394" t="s">
        <v>74</v>
      </c>
      <c r="BJ394" t="s">
        <v>9772</v>
      </c>
      <c r="BK394" t="s">
        <v>117</v>
      </c>
      <c r="BL394" t="s">
        <v>3946</v>
      </c>
      <c r="BM394" t="s">
        <v>74</v>
      </c>
      <c r="BN394" t="s">
        <v>74</v>
      </c>
      <c r="BO394" t="s">
        <v>74</v>
      </c>
      <c r="BP394" t="s">
        <v>74</v>
      </c>
      <c r="BQ394" t="s">
        <v>74</v>
      </c>
      <c r="BR394" t="s">
        <v>96</v>
      </c>
      <c r="BS394" t="s">
        <v>23302</v>
      </c>
      <c r="BT394" t="str">
        <f>HYPERLINK("https%3A%2F%2Fwww.webofscience.com%2Fwos%2Fwoscc%2Ffull-record%2FWOS:000180596700009","View Full Record in Web of Science")</f>
        <v>View Full Record in Web of Science</v>
      </c>
    </row>
    <row r="395" spans="1:72" x14ac:dyDescent="0.15">
      <c r="A395" t="s">
        <v>98</v>
      </c>
      <c r="B395" t="s">
        <v>24665</v>
      </c>
      <c r="C395" t="s">
        <v>74</v>
      </c>
      <c r="D395" t="s">
        <v>74</v>
      </c>
      <c r="E395" t="s">
        <v>74</v>
      </c>
      <c r="F395" t="s">
        <v>24666</v>
      </c>
      <c r="G395" t="s">
        <v>74</v>
      </c>
      <c r="H395" t="s">
        <v>74</v>
      </c>
      <c r="I395" t="s">
        <v>24667</v>
      </c>
      <c r="J395" t="s">
        <v>5139</v>
      </c>
      <c r="K395" t="s">
        <v>74</v>
      </c>
      <c r="L395" t="s">
        <v>74</v>
      </c>
      <c r="M395" t="s">
        <v>74</v>
      </c>
      <c r="N395" t="s">
        <v>103</v>
      </c>
      <c r="O395" t="s">
        <v>74</v>
      </c>
      <c r="P395" t="s">
        <v>74</v>
      </c>
      <c r="Q395" t="s">
        <v>74</v>
      </c>
      <c r="R395" t="s">
        <v>74</v>
      </c>
      <c r="S395" t="s">
        <v>74</v>
      </c>
      <c r="T395" t="s">
        <v>74</v>
      </c>
      <c r="U395" t="s">
        <v>24668</v>
      </c>
      <c r="V395" t="s">
        <v>24669</v>
      </c>
      <c r="W395" t="s">
        <v>24670</v>
      </c>
      <c r="X395" t="s">
        <v>24671</v>
      </c>
      <c r="Y395" t="s">
        <v>24672</v>
      </c>
      <c r="Z395" t="s">
        <v>24673</v>
      </c>
      <c r="AA395" t="s">
        <v>24674</v>
      </c>
      <c r="AB395" t="s">
        <v>24675</v>
      </c>
      <c r="AC395" t="s">
        <v>74</v>
      </c>
      <c r="AD395" t="s">
        <v>74</v>
      </c>
      <c r="AE395" t="s">
        <v>74</v>
      </c>
      <c r="AF395" t="s">
        <v>74</v>
      </c>
      <c r="AG395">
        <v>37</v>
      </c>
      <c r="AH395">
        <v>51</v>
      </c>
      <c r="AI395">
        <v>51</v>
      </c>
      <c r="AJ395">
        <v>7</v>
      </c>
      <c r="AK395">
        <v>25</v>
      </c>
      <c r="AL395" t="s">
        <v>74</v>
      </c>
      <c r="AM395" t="s">
        <v>74</v>
      </c>
      <c r="AN395" t="s">
        <v>74</v>
      </c>
      <c r="AO395" t="s">
        <v>74</v>
      </c>
      <c r="AP395" t="s">
        <v>5148</v>
      </c>
      <c r="AQ395" t="s">
        <v>74</v>
      </c>
      <c r="AR395" t="s">
        <v>74</v>
      </c>
      <c r="AS395" t="s">
        <v>74</v>
      </c>
      <c r="AT395" t="s">
        <v>15870</v>
      </c>
      <c r="AU395">
        <v>2020</v>
      </c>
      <c r="AV395">
        <v>11</v>
      </c>
      <c r="AW395">
        <v>1</v>
      </c>
      <c r="AX395" t="s">
        <v>74</v>
      </c>
      <c r="AY395" t="s">
        <v>74</v>
      </c>
      <c r="AZ395" t="s">
        <v>74</v>
      </c>
      <c r="BA395" t="s">
        <v>74</v>
      </c>
      <c r="BB395" t="s">
        <v>74</v>
      </c>
      <c r="BC395" t="s">
        <v>74</v>
      </c>
      <c r="BD395">
        <v>3883</v>
      </c>
      <c r="BE395" t="s">
        <v>24676</v>
      </c>
      <c r="BF395" t="str">
        <f>HYPERLINK("http://dx.doi.org/10.1038/s41467-020-17717-0","http://dx.doi.org/10.1038/s41467-020-17717-0")</f>
        <v>http://dx.doi.org/10.1038/s41467-020-17717-0</v>
      </c>
      <c r="BG395" t="s">
        <v>74</v>
      </c>
      <c r="BH395" t="s">
        <v>74</v>
      </c>
      <c r="BI395" t="s">
        <v>74</v>
      </c>
      <c r="BJ395" t="s">
        <v>152</v>
      </c>
      <c r="BK395" t="s">
        <v>117</v>
      </c>
      <c r="BL395" t="s">
        <v>153</v>
      </c>
      <c r="BM395" t="s">
        <v>74</v>
      </c>
      <c r="BN395">
        <v>32753598</v>
      </c>
      <c r="BO395" t="s">
        <v>74</v>
      </c>
      <c r="BP395" t="s">
        <v>74</v>
      </c>
      <c r="BQ395" t="s">
        <v>74</v>
      </c>
      <c r="BR395" t="s">
        <v>96</v>
      </c>
      <c r="BS395" t="s">
        <v>24677</v>
      </c>
      <c r="BT395" t="str">
        <f>HYPERLINK("https%3A%2F%2Fwww.webofscience.com%2Fwos%2Fwoscc%2Ffull-record%2FWOS:000561116100001","View Full Record in Web of Science")</f>
        <v>View Full Record in Web of Science</v>
      </c>
    </row>
    <row r="396" spans="1:72" x14ac:dyDescent="0.15">
      <c r="A396" t="s">
        <v>98</v>
      </c>
      <c r="B396" t="s">
        <v>26186</v>
      </c>
      <c r="C396" t="s">
        <v>74</v>
      </c>
      <c r="D396" t="s">
        <v>74</v>
      </c>
      <c r="E396" t="s">
        <v>74</v>
      </c>
      <c r="F396" t="s">
        <v>26187</v>
      </c>
      <c r="G396" t="s">
        <v>74</v>
      </c>
      <c r="H396" t="s">
        <v>74</v>
      </c>
      <c r="I396" t="s">
        <v>26188</v>
      </c>
      <c r="J396" t="s">
        <v>26189</v>
      </c>
      <c r="K396" t="s">
        <v>74</v>
      </c>
      <c r="L396" t="s">
        <v>74</v>
      </c>
      <c r="M396" t="s">
        <v>74</v>
      </c>
      <c r="N396" t="s">
        <v>103</v>
      </c>
      <c r="O396" t="s">
        <v>74</v>
      </c>
      <c r="P396" t="s">
        <v>74</v>
      </c>
      <c r="Q396" t="s">
        <v>74</v>
      </c>
      <c r="R396" t="s">
        <v>74</v>
      </c>
      <c r="S396" t="s">
        <v>74</v>
      </c>
      <c r="T396" t="s">
        <v>26190</v>
      </c>
      <c r="U396" t="s">
        <v>26191</v>
      </c>
      <c r="V396" t="s">
        <v>26192</v>
      </c>
      <c r="W396" t="s">
        <v>26193</v>
      </c>
      <c r="X396" t="s">
        <v>26194</v>
      </c>
      <c r="Y396" t="s">
        <v>26195</v>
      </c>
      <c r="Z396" t="s">
        <v>26196</v>
      </c>
      <c r="AA396" t="s">
        <v>74</v>
      </c>
      <c r="AB396" t="s">
        <v>74</v>
      </c>
      <c r="AC396" t="s">
        <v>74</v>
      </c>
      <c r="AD396" t="s">
        <v>74</v>
      </c>
      <c r="AE396" t="s">
        <v>74</v>
      </c>
      <c r="AF396" t="s">
        <v>74</v>
      </c>
      <c r="AG396">
        <v>169</v>
      </c>
      <c r="AH396">
        <v>51</v>
      </c>
      <c r="AI396">
        <v>55</v>
      </c>
      <c r="AJ396">
        <v>4</v>
      </c>
      <c r="AK396">
        <v>14</v>
      </c>
      <c r="AL396" t="s">
        <v>74</v>
      </c>
      <c r="AM396" t="s">
        <v>74</v>
      </c>
      <c r="AN396" t="s">
        <v>74</v>
      </c>
      <c r="AO396" t="s">
        <v>26197</v>
      </c>
      <c r="AP396" t="s">
        <v>26198</v>
      </c>
      <c r="AQ396" t="s">
        <v>74</v>
      </c>
      <c r="AR396" t="s">
        <v>74</v>
      </c>
      <c r="AS396" t="s">
        <v>74</v>
      </c>
      <c r="AT396" t="s">
        <v>531</v>
      </c>
      <c r="AU396">
        <v>2016</v>
      </c>
      <c r="AV396">
        <v>21</v>
      </c>
      <c r="AW396">
        <v>5</v>
      </c>
      <c r="AX396" t="s">
        <v>74</v>
      </c>
      <c r="AY396" t="s">
        <v>74</v>
      </c>
      <c r="AZ396" t="s">
        <v>74</v>
      </c>
      <c r="BA396" t="s">
        <v>74</v>
      </c>
      <c r="BB396">
        <v>499</v>
      </c>
      <c r="BC396">
        <v>517</v>
      </c>
      <c r="BD396" t="s">
        <v>74</v>
      </c>
      <c r="BE396" t="s">
        <v>26199</v>
      </c>
      <c r="BF396" t="str">
        <f>HYPERLINK("http://dx.doi.org/10.1007/s10741-016-9561-8","http://dx.doi.org/10.1007/s10741-016-9561-8")</f>
        <v>http://dx.doi.org/10.1007/s10741-016-9561-8</v>
      </c>
      <c r="BG396" t="s">
        <v>74</v>
      </c>
      <c r="BH396" t="s">
        <v>74</v>
      </c>
      <c r="BI396" t="s">
        <v>74</v>
      </c>
      <c r="BJ396" t="s">
        <v>3811</v>
      </c>
      <c r="BK396" t="s">
        <v>117</v>
      </c>
      <c r="BL396" t="s">
        <v>3812</v>
      </c>
      <c r="BM396" t="s">
        <v>74</v>
      </c>
      <c r="BN396">
        <v>27166683</v>
      </c>
      <c r="BO396" t="s">
        <v>74</v>
      </c>
      <c r="BP396" t="s">
        <v>74</v>
      </c>
      <c r="BQ396" t="s">
        <v>74</v>
      </c>
      <c r="BR396" t="s">
        <v>96</v>
      </c>
      <c r="BS396" t="s">
        <v>26200</v>
      </c>
      <c r="BT396" t="str">
        <f>HYPERLINK("https%3A%2F%2Fwww.webofscience.com%2Fwos%2Fwoscc%2Ffull-record%2FWOS:000387227900004","View Full Record in Web of Science")</f>
        <v>View Full Record in Web of Science</v>
      </c>
    </row>
    <row r="397" spans="1:72" x14ac:dyDescent="0.15">
      <c r="A397" t="s">
        <v>98</v>
      </c>
      <c r="B397" t="s">
        <v>4361</v>
      </c>
      <c r="C397" t="s">
        <v>74</v>
      </c>
      <c r="D397" t="s">
        <v>74</v>
      </c>
      <c r="E397" t="s">
        <v>74</v>
      </c>
      <c r="F397" t="s">
        <v>4362</v>
      </c>
      <c r="G397" t="s">
        <v>74</v>
      </c>
      <c r="H397" t="s">
        <v>74</v>
      </c>
      <c r="I397" t="s">
        <v>4363</v>
      </c>
      <c r="J397" t="s">
        <v>123</v>
      </c>
      <c r="K397" t="s">
        <v>74</v>
      </c>
      <c r="L397" t="s">
        <v>74</v>
      </c>
      <c r="M397" t="s">
        <v>74</v>
      </c>
      <c r="N397" t="s">
        <v>103</v>
      </c>
      <c r="O397" t="s">
        <v>74</v>
      </c>
      <c r="P397" t="s">
        <v>74</v>
      </c>
      <c r="Q397" t="s">
        <v>74</v>
      </c>
      <c r="R397" t="s">
        <v>74</v>
      </c>
      <c r="S397" t="s">
        <v>74</v>
      </c>
      <c r="T397" t="s">
        <v>4364</v>
      </c>
      <c r="U397" t="s">
        <v>4365</v>
      </c>
      <c r="V397" t="s">
        <v>4366</v>
      </c>
      <c r="W397" t="s">
        <v>4367</v>
      </c>
      <c r="X397" t="s">
        <v>4368</v>
      </c>
      <c r="Y397" t="s">
        <v>4369</v>
      </c>
      <c r="Z397" t="s">
        <v>2888</v>
      </c>
      <c r="AA397" t="s">
        <v>4370</v>
      </c>
      <c r="AB397" t="s">
        <v>4371</v>
      </c>
      <c r="AC397" t="s">
        <v>74</v>
      </c>
      <c r="AD397" t="s">
        <v>74</v>
      </c>
      <c r="AE397" t="s">
        <v>74</v>
      </c>
      <c r="AF397" t="s">
        <v>74</v>
      </c>
      <c r="AG397">
        <v>47</v>
      </c>
      <c r="AH397">
        <v>50</v>
      </c>
      <c r="AI397">
        <v>50</v>
      </c>
      <c r="AJ397">
        <v>4</v>
      </c>
      <c r="AK397">
        <v>9</v>
      </c>
      <c r="AL397" t="s">
        <v>74</v>
      </c>
      <c r="AM397" t="s">
        <v>74</v>
      </c>
      <c r="AN397" t="s">
        <v>74</v>
      </c>
      <c r="AO397" t="s">
        <v>131</v>
      </c>
      <c r="AP397" t="s">
        <v>74</v>
      </c>
      <c r="AQ397" t="s">
        <v>74</v>
      </c>
      <c r="AR397" t="s">
        <v>74</v>
      </c>
      <c r="AS397" t="s">
        <v>74</v>
      </c>
      <c r="AT397" t="s">
        <v>4372</v>
      </c>
      <c r="AU397">
        <v>2017</v>
      </c>
      <c r="AV397">
        <v>6</v>
      </c>
      <c r="AW397">
        <v>1</v>
      </c>
      <c r="AX397" t="s">
        <v>74</v>
      </c>
      <c r="AY397" t="s">
        <v>74</v>
      </c>
      <c r="AZ397" t="s">
        <v>74</v>
      </c>
      <c r="BA397" t="s">
        <v>74</v>
      </c>
      <c r="BB397" t="s">
        <v>74</v>
      </c>
      <c r="BC397" t="s">
        <v>74</v>
      </c>
      <c r="BD397">
        <v>1340746</v>
      </c>
      <c r="BE397" t="s">
        <v>4373</v>
      </c>
      <c r="BF397" t="str">
        <f>HYPERLINK("http://dx.doi.org/10.1080/20013078.2017.1340746","http://dx.doi.org/10.1080/20013078.2017.1340746")</f>
        <v>http://dx.doi.org/10.1080/20013078.2017.1340746</v>
      </c>
      <c r="BG397" t="s">
        <v>74</v>
      </c>
      <c r="BH397" t="s">
        <v>74</v>
      </c>
      <c r="BI397" t="s">
        <v>74</v>
      </c>
      <c r="BJ397" t="s">
        <v>135</v>
      </c>
      <c r="BK397" t="s">
        <v>117</v>
      </c>
      <c r="BL397" t="s">
        <v>135</v>
      </c>
      <c r="BM397" t="s">
        <v>74</v>
      </c>
      <c r="BN397">
        <v>28717426</v>
      </c>
      <c r="BO397" t="s">
        <v>74</v>
      </c>
      <c r="BP397" t="s">
        <v>74</v>
      </c>
      <c r="BQ397" t="s">
        <v>74</v>
      </c>
      <c r="BR397" t="s">
        <v>96</v>
      </c>
      <c r="BS397" t="s">
        <v>4374</v>
      </c>
      <c r="BT397" t="str">
        <f>HYPERLINK("https%3A%2F%2Fwww.webofscience.com%2Fwos%2Fwoscc%2Ffull-record%2FWOS:000405336500001","View Full Record in Web of Science")</f>
        <v>View Full Record in Web of Science</v>
      </c>
    </row>
    <row r="398" spans="1:72" x14ac:dyDescent="0.15">
      <c r="A398" t="s">
        <v>98</v>
      </c>
      <c r="B398" t="s">
        <v>6729</v>
      </c>
      <c r="C398" t="s">
        <v>74</v>
      </c>
      <c r="D398" t="s">
        <v>74</v>
      </c>
      <c r="E398" t="s">
        <v>74</v>
      </c>
      <c r="F398" t="s">
        <v>6730</v>
      </c>
      <c r="G398" t="s">
        <v>74</v>
      </c>
      <c r="H398" t="s">
        <v>74</v>
      </c>
      <c r="I398" t="s">
        <v>6731</v>
      </c>
      <c r="J398" t="s">
        <v>1712</v>
      </c>
      <c r="K398" t="s">
        <v>74</v>
      </c>
      <c r="L398" t="s">
        <v>74</v>
      </c>
      <c r="M398" t="s">
        <v>74</v>
      </c>
      <c r="N398" t="s">
        <v>103</v>
      </c>
      <c r="O398" t="s">
        <v>74</v>
      </c>
      <c r="P398" t="s">
        <v>74</v>
      </c>
      <c r="Q398" t="s">
        <v>74</v>
      </c>
      <c r="R398" t="s">
        <v>74</v>
      </c>
      <c r="S398" t="s">
        <v>74</v>
      </c>
      <c r="T398" t="s">
        <v>6732</v>
      </c>
      <c r="U398" t="s">
        <v>6733</v>
      </c>
      <c r="V398" t="s">
        <v>6734</v>
      </c>
      <c r="W398" t="s">
        <v>6735</v>
      </c>
      <c r="X398" t="s">
        <v>6736</v>
      </c>
      <c r="Y398" t="s">
        <v>6737</v>
      </c>
      <c r="Z398" t="s">
        <v>6738</v>
      </c>
      <c r="AA398" t="s">
        <v>6739</v>
      </c>
      <c r="AB398" t="s">
        <v>6740</v>
      </c>
      <c r="AC398" t="s">
        <v>74</v>
      </c>
      <c r="AD398" t="s">
        <v>74</v>
      </c>
      <c r="AE398" t="s">
        <v>74</v>
      </c>
      <c r="AF398" t="s">
        <v>74</v>
      </c>
      <c r="AG398">
        <v>39</v>
      </c>
      <c r="AH398">
        <v>50</v>
      </c>
      <c r="AI398">
        <v>57</v>
      </c>
      <c r="AJ398">
        <v>16</v>
      </c>
      <c r="AK398">
        <v>144</v>
      </c>
      <c r="AL398" t="s">
        <v>74</v>
      </c>
      <c r="AM398" t="s">
        <v>74</v>
      </c>
      <c r="AN398" t="s">
        <v>74</v>
      </c>
      <c r="AO398" t="s">
        <v>1722</v>
      </c>
      <c r="AP398" t="s">
        <v>1723</v>
      </c>
      <c r="AQ398" t="s">
        <v>74</v>
      </c>
      <c r="AR398" t="s">
        <v>74</v>
      </c>
      <c r="AS398" t="s">
        <v>74</v>
      </c>
      <c r="AT398" t="s">
        <v>6741</v>
      </c>
      <c r="AU398">
        <v>2020</v>
      </c>
      <c r="AV398">
        <v>14</v>
      </c>
      <c r="AW398">
        <v>4</v>
      </c>
      <c r="AX398" t="s">
        <v>74</v>
      </c>
      <c r="AY398" t="s">
        <v>74</v>
      </c>
      <c r="AZ398" t="s">
        <v>74</v>
      </c>
      <c r="BA398" t="s">
        <v>74</v>
      </c>
      <c r="BB398">
        <v>4014</v>
      </c>
      <c r="BC398">
        <v>4026</v>
      </c>
      <c r="BD398" t="s">
        <v>74</v>
      </c>
      <c r="BE398" t="s">
        <v>6742</v>
      </c>
      <c r="BF398" t="str">
        <f>HYPERLINK("http://dx.doi.org/10.1021/acsnano.9b08207","http://dx.doi.org/10.1021/acsnano.9b08207")</f>
        <v>http://dx.doi.org/10.1021/acsnano.9b08207</v>
      </c>
      <c r="BG398" t="s">
        <v>74</v>
      </c>
      <c r="BH398" t="s">
        <v>74</v>
      </c>
      <c r="BI398" t="s">
        <v>74</v>
      </c>
      <c r="BJ398" t="s">
        <v>1725</v>
      </c>
      <c r="BK398" t="s">
        <v>117</v>
      </c>
      <c r="BL398" t="s">
        <v>1275</v>
      </c>
      <c r="BM398" t="s">
        <v>74</v>
      </c>
      <c r="BN398">
        <v>32212674</v>
      </c>
      <c r="BO398" t="s">
        <v>74</v>
      </c>
      <c r="BP398" t="s">
        <v>74</v>
      </c>
      <c r="BQ398" t="s">
        <v>74</v>
      </c>
      <c r="BR398" t="s">
        <v>96</v>
      </c>
      <c r="BS398" t="s">
        <v>6743</v>
      </c>
      <c r="BT398" t="str">
        <f>HYPERLINK("https%3A%2F%2Fwww.webofscience.com%2Fwos%2Fwoscc%2Ffull-record%2FWOS:000529895500025","View Full Record in Web of Science")</f>
        <v>View Full Record in Web of Science</v>
      </c>
    </row>
    <row r="399" spans="1:72" x14ac:dyDescent="0.15">
      <c r="A399" t="s">
        <v>98</v>
      </c>
      <c r="B399" t="s">
        <v>14809</v>
      </c>
      <c r="C399" t="s">
        <v>74</v>
      </c>
      <c r="D399" t="s">
        <v>74</v>
      </c>
      <c r="E399" t="s">
        <v>74</v>
      </c>
      <c r="F399" t="s">
        <v>14810</v>
      </c>
      <c r="G399" t="s">
        <v>74</v>
      </c>
      <c r="H399" t="s">
        <v>74</v>
      </c>
      <c r="I399" t="s">
        <v>14811</v>
      </c>
      <c r="J399" t="s">
        <v>3588</v>
      </c>
      <c r="K399" t="s">
        <v>74</v>
      </c>
      <c r="L399" t="s">
        <v>74</v>
      </c>
      <c r="M399" t="s">
        <v>74</v>
      </c>
      <c r="N399" t="s">
        <v>103</v>
      </c>
      <c r="O399" t="s">
        <v>74</v>
      </c>
      <c r="P399" t="s">
        <v>74</v>
      </c>
      <c r="Q399" t="s">
        <v>74</v>
      </c>
      <c r="R399" t="s">
        <v>74</v>
      </c>
      <c r="S399" t="s">
        <v>74</v>
      </c>
      <c r="T399" t="s">
        <v>14812</v>
      </c>
      <c r="U399" t="s">
        <v>14813</v>
      </c>
      <c r="V399" t="s">
        <v>14814</v>
      </c>
      <c r="W399" t="s">
        <v>14815</v>
      </c>
      <c r="X399" t="s">
        <v>14816</v>
      </c>
      <c r="Y399" t="s">
        <v>14817</v>
      </c>
      <c r="Z399" t="s">
        <v>10153</v>
      </c>
      <c r="AA399" t="s">
        <v>74</v>
      </c>
      <c r="AB399" t="s">
        <v>74</v>
      </c>
      <c r="AC399" t="s">
        <v>74</v>
      </c>
      <c r="AD399" t="s">
        <v>74</v>
      </c>
      <c r="AE399" t="s">
        <v>74</v>
      </c>
      <c r="AF399" t="s">
        <v>74</v>
      </c>
      <c r="AG399">
        <v>93</v>
      </c>
      <c r="AH399">
        <v>50</v>
      </c>
      <c r="AI399">
        <v>50</v>
      </c>
      <c r="AJ399">
        <v>2</v>
      </c>
      <c r="AK399">
        <v>13</v>
      </c>
      <c r="AL399" t="s">
        <v>74</v>
      </c>
      <c r="AM399" t="s">
        <v>74</v>
      </c>
      <c r="AN399" t="s">
        <v>74</v>
      </c>
      <c r="AO399" t="s">
        <v>3596</v>
      </c>
      <c r="AP399" t="s">
        <v>74</v>
      </c>
      <c r="AQ399" t="s">
        <v>74</v>
      </c>
      <c r="AR399" t="s">
        <v>74</v>
      </c>
      <c r="AS399" t="s">
        <v>74</v>
      </c>
      <c r="AT399" t="s">
        <v>10046</v>
      </c>
      <c r="AU399">
        <v>2017</v>
      </c>
      <c r="AV399">
        <v>8</v>
      </c>
      <c r="AW399" t="s">
        <v>74</v>
      </c>
      <c r="AX399" t="s">
        <v>74</v>
      </c>
      <c r="AY399" t="s">
        <v>74</v>
      </c>
      <c r="AZ399" t="s">
        <v>74</v>
      </c>
      <c r="BA399" t="s">
        <v>74</v>
      </c>
      <c r="BB399" t="s">
        <v>74</v>
      </c>
      <c r="BC399" t="s">
        <v>74</v>
      </c>
      <c r="BD399">
        <v>196</v>
      </c>
      <c r="BE399" t="s">
        <v>14818</v>
      </c>
      <c r="BF399" t="str">
        <f>HYPERLINK("http://dx.doi.org/10.3389/fendo.2017.00196","http://dx.doi.org/10.3389/fendo.2017.00196")</f>
        <v>http://dx.doi.org/10.3389/fendo.2017.00196</v>
      </c>
      <c r="BG399" t="s">
        <v>74</v>
      </c>
      <c r="BH399" t="s">
        <v>74</v>
      </c>
      <c r="BI399" t="s">
        <v>74</v>
      </c>
      <c r="BJ399" t="s">
        <v>3599</v>
      </c>
      <c r="BK399" t="s">
        <v>117</v>
      </c>
      <c r="BL399" t="s">
        <v>3599</v>
      </c>
      <c r="BM399" t="s">
        <v>74</v>
      </c>
      <c r="BN399">
        <v>28861041</v>
      </c>
      <c r="BO399" t="s">
        <v>74</v>
      </c>
      <c r="BP399" t="s">
        <v>74</v>
      </c>
      <c r="BQ399" t="s">
        <v>74</v>
      </c>
      <c r="BR399" t="s">
        <v>96</v>
      </c>
      <c r="BS399" t="s">
        <v>14819</v>
      </c>
      <c r="BT399" t="str">
        <f>HYPERLINK("https%3A%2F%2Fwww.webofscience.com%2Fwos%2Fwoscc%2Ffull-record%2FWOS:000408497900001","View Full Record in Web of Science")</f>
        <v>View Full Record in Web of Science</v>
      </c>
    </row>
    <row r="400" spans="1:72" x14ac:dyDescent="0.15">
      <c r="A400" t="s">
        <v>98</v>
      </c>
      <c r="B400" t="s">
        <v>17120</v>
      </c>
      <c r="C400" t="s">
        <v>74</v>
      </c>
      <c r="D400" t="s">
        <v>74</v>
      </c>
      <c r="E400" t="s">
        <v>74</v>
      </c>
      <c r="F400" t="s">
        <v>17121</v>
      </c>
      <c r="G400" t="s">
        <v>74</v>
      </c>
      <c r="H400" t="s">
        <v>74</v>
      </c>
      <c r="I400" t="s">
        <v>17122</v>
      </c>
      <c r="J400" t="s">
        <v>140</v>
      </c>
      <c r="K400" t="s">
        <v>74</v>
      </c>
      <c r="L400" t="s">
        <v>74</v>
      </c>
      <c r="M400" t="s">
        <v>74</v>
      </c>
      <c r="N400" t="s">
        <v>103</v>
      </c>
      <c r="O400" t="s">
        <v>74</v>
      </c>
      <c r="P400" t="s">
        <v>74</v>
      </c>
      <c r="Q400" t="s">
        <v>74</v>
      </c>
      <c r="R400" t="s">
        <v>74</v>
      </c>
      <c r="S400" t="s">
        <v>74</v>
      </c>
      <c r="T400" t="s">
        <v>74</v>
      </c>
      <c r="U400" t="s">
        <v>17123</v>
      </c>
      <c r="V400" t="s">
        <v>17124</v>
      </c>
      <c r="W400" t="s">
        <v>17125</v>
      </c>
      <c r="X400" t="s">
        <v>17126</v>
      </c>
      <c r="Y400" t="s">
        <v>17127</v>
      </c>
      <c r="Z400" t="s">
        <v>17128</v>
      </c>
      <c r="AA400" t="s">
        <v>17129</v>
      </c>
      <c r="AB400" t="s">
        <v>17130</v>
      </c>
      <c r="AC400" t="s">
        <v>74</v>
      </c>
      <c r="AD400" t="s">
        <v>74</v>
      </c>
      <c r="AE400" t="s">
        <v>74</v>
      </c>
      <c r="AF400" t="s">
        <v>74</v>
      </c>
      <c r="AG400">
        <v>97</v>
      </c>
      <c r="AH400">
        <v>50</v>
      </c>
      <c r="AI400">
        <v>54</v>
      </c>
      <c r="AJ400">
        <v>0</v>
      </c>
      <c r="AK400">
        <v>6</v>
      </c>
      <c r="AL400" t="s">
        <v>74</v>
      </c>
      <c r="AM400" t="s">
        <v>74</v>
      </c>
      <c r="AN400" t="s">
        <v>74</v>
      </c>
      <c r="AO400" t="s">
        <v>149</v>
      </c>
      <c r="AP400" t="s">
        <v>74</v>
      </c>
      <c r="AQ400" t="s">
        <v>74</v>
      </c>
      <c r="AR400" t="s">
        <v>74</v>
      </c>
      <c r="AS400" t="s">
        <v>74</v>
      </c>
      <c r="AT400" t="s">
        <v>9006</v>
      </c>
      <c r="AU400">
        <v>2018</v>
      </c>
      <c r="AV400">
        <v>8</v>
      </c>
      <c r="AW400" t="s">
        <v>74</v>
      </c>
      <c r="AX400" t="s">
        <v>74</v>
      </c>
      <c r="AY400" t="s">
        <v>74</v>
      </c>
      <c r="AZ400" t="s">
        <v>74</v>
      </c>
      <c r="BA400" t="s">
        <v>74</v>
      </c>
      <c r="BB400" t="s">
        <v>74</v>
      </c>
      <c r="BC400" t="s">
        <v>74</v>
      </c>
      <c r="BD400">
        <v>387</v>
      </c>
      <c r="BE400" t="s">
        <v>17131</v>
      </c>
      <c r="BF400" t="str">
        <f>HYPERLINK("http://dx.doi.org/10.1038/s41598-017-18672-5","http://dx.doi.org/10.1038/s41598-017-18672-5")</f>
        <v>http://dx.doi.org/10.1038/s41598-017-18672-5</v>
      </c>
      <c r="BG400" t="s">
        <v>74</v>
      </c>
      <c r="BH400" t="s">
        <v>74</v>
      </c>
      <c r="BI400" t="s">
        <v>74</v>
      </c>
      <c r="BJ400" t="s">
        <v>152</v>
      </c>
      <c r="BK400" t="s">
        <v>117</v>
      </c>
      <c r="BL400" t="s">
        <v>153</v>
      </c>
      <c r="BM400" t="s">
        <v>74</v>
      </c>
      <c r="BN400">
        <v>29321591</v>
      </c>
      <c r="BO400" t="s">
        <v>74</v>
      </c>
      <c r="BP400" t="s">
        <v>74</v>
      </c>
      <c r="BQ400" t="s">
        <v>74</v>
      </c>
      <c r="BR400" t="s">
        <v>96</v>
      </c>
      <c r="BS400" t="s">
        <v>17132</v>
      </c>
      <c r="BT400" t="str">
        <f>HYPERLINK("https%3A%2F%2Fwww.webofscience.com%2Fwos%2Fwoscc%2Ffull-record%2FWOS:000419673100023","View Full Record in Web of Science")</f>
        <v>View Full Record in Web of Science</v>
      </c>
    </row>
    <row r="401" spans="1:72" x14ac:dyDescent="0.15">
      <c r="A401" t="s">
        <v>98</v>
      </c>
      <c r="B401" t="s">
        <v>19059</v>
      </c>
      <c r="C401" t="s">
        <v>74</v>
      </c>
      <c r="D401" t="s">
        <v>74</v>
      </c>
      <c r="E401" t="s">
        <v>74</v>
      </c>
      <c r="F401" t="s">
        <v>19060</v>
      </c>
      <c r="G401" t="s">
        <v>74</v>
      </c>
      <c r="H401" t="s">
        <v>74</v>
      </c>
      <c r="I401" t="s">
        <v>19061</v>
      </c>
      <c r="J401" t="s">
        <v>19062</v>
      </c>
      <c r="K401" t="s">
        <v>74</v>
      </c>
      <c r="L401" t="s">
        <v>74</v>
      </c>
      <c r="M401" t="s">
        <v>74</v>
      </c>
      <c r="N401" t="s">
        <v>103</v>
      </c>
      <c r="O401" t="s">
        <v>74</v>
      </c>
      <c r="P401" t="s">
        <v>74</v>
      </c>
      <c r="Q401" t="s">
        <v>74</v>
      </c>
      <c r="R401" t="s">
        <v>74</v>
      </c>
      <c r="S401" t="s">
        <v>74</v>
      </c>
      <c r="T401" t="s">
        <v>74</v>
      </c>
      <c r="U401" t="s">
        <v>19063</v>
      </c>
      <c r="V401" t="s">
        <v>19064</v>
      </c>
      <c r="W401" t="s">
        <v>19065</v>
      </c>
      <c r="X401" t="s">
        <v>19066</v>
      </c>
      <c r="Y401" t="s">
        <v>19067</v>
      </c>
      <c r="Z401" t="s">
        <v>19068</v>
      </c>
      <c r="AA401" t="s">
        <v>19069</v>
      </c>
      <c r="AB401" t="s">
        <v>19070</v>
      </c>
      <c r="AC401" t="s">
        <v>74</v>
      </c>
      <c r="AD401" t="s">
        <v>74</v>
      </c>
      <c r="AE401" t="s">
        <v>74</v>
      </c>
      <c r="AF401" t="s">
        <v>74</v>
      </c>
      <c r="AG401">
        <v>136</v>
      </c>
      <c r="AH401">
        <v>50</v>
      </c>
      <c r="AI401">
        <v>50</v>
      </c>
      <c r="AJ401">
        <v>2</v>
      </c>
      <c r="AK401">
        <v>29</v>
      </c>
      <c r="AL401" t="s">
        <v>74</v>
      </c>
      <c r="AM401" t="s">
        <v>74</v>
      </c>
      <c r="AN401" t="s">
        <v>74</v>
      </c>
      <c r="AO401" t="s">
        <v>19071</v>
      </c>
      <c r="AP401" t="s">
        <v>19072</v>
      </c>
      <c r="AQ401" t="s">
        <v>74</v>
      </c>
      <c r="AR401" t="s">
        <v>74</v>
      </c>
      <c r="AS401" t="s">
        <v>74</v>
      </c>
      <c r="AT401" t="s">
        <v>967</v>
      </c>
      <c r="AU401">
        <v>2017</v>
      </c>
      <c r="AV401">
        <v>168</v>
      </c>
      <c r="AW401" t="s">
        <v>74</v>
      </c>
      <c r="AX401" t="s">
        <v>74</v>
      </c>
      <c r="AY401" t="s">
        <v>74</v>
      </c>
      <c r="AZ401" t="s">
        <v>447</v>
      </c>
      <c r="BA401" t="s">
        <v>74</v>
      </c>
      <c r="BB401">
        <v>44</v>
      </c>
      <c r="BC401">
        <v>53</v>
      </c>
      <c r="BD401" t="s">
        <v>74</v>
      </c>
      <c r="BE401" t="s">
        <v>19073</v>
      </c>
      <c r="BF401" t="str">
        <f>HYPERLINK("http://dx.doi.org/10.1016/j.mad.2017.02.008","http://dx.doi.org/10.1016/j.mad.2017.02.008")</f>
        <v>http://dx.doi.org/10.1016/j.mad.2017.02.008</v>
      </c>
      <c r="BG401" t="s">
        <v>74</v>
      </c>
      <c r="BH401" t="s">
        <v>74</v>
      </c>
      <c r="BI401" t="s">
        <v>74</v>
      </c>
      <c r="BJ401" t="s">
        <v>305</v>
      </c>
      <c r="BK401" t="s">
        <v>117</v>
      </c>
      <c r="BL401" t="s">
        <v>305</v>
      </c>
      <c r="BM401" t="s">
        <v>74</v>
      </c>
      <c r="BN401">
        <v>28259747</v>
      </c>
      <c r="BO401" t="s">
        <v>74</v>
      </c>
      <c r="BP401" t="s">
        <v>74</v>
      </c>
      <c r="BQ401" t="s">
        <v>74</v>
      </c>
      <c r="BR401" t="s">
        <v>96</v>
      </c>
      <c r="BS401" t="s">
        <v>19074</v>
      </c>
      <c r="BT401" t="str">
        <f>HYPERLINK("https%3A%2F%2Fwww.webofscience.com%2Fwos%2Fwoscc%2Ffull-record%2FWOS:000423006300007","View Full Record in Web of Science")</f>
        <v>View Full Record in Web of Science</v>
      </c>
    </row>
    <row r="402" spans="1:72" x14ac:dyDescent="0.15">
      <c r="A402" t="s">
        <v>98</v>
      </c>
      <c r="B402" t="s">
        <v>29292</v>
      </c>
      <c r="C402" t="s">
        <v>74</v>
      </c>
      <c r="D402" t="s">
        <v>74</v>
      </c>
      <c r="E402" t="s">
        <v>74</v>
      </c>
      <c r="F402" t="s">
        <v>29293</v>
      </c>
      <c r="G402" t="s">
        <v>74</v>
      </c>
      <c r="H402" t="s">
        <v>74</v>
      </c>
      <c r="I402" t="s">
        <v>29294</v>
      </c>
      <c r="J402" t="s">
        <v>1668</v>
      </c>
      <c r="K402" t="s">
        <v>74</v>
      </c>
      <c r="L402" t="s">
        <v>74</v>
      </c>
      <c r="M402" t="s">
        <v>74</v>
      </c>
      <c r="N402" t="s">
        <v>103</v>
      </c>
      <c r="O402" t="s">
        <v>74</v>
      </c>
      <c r="P402" t="s">
        <v>74</v>
      </c>
      <c r="Q402" t="s">
        <v>74</v>
      </c>
      <c r="R402" t="s">
        <v>74</v>
      </c>
      <c r="S402" t="s">
        <v>74</v>
      </c>
      <c r="T402" t="s">
        <v>29295</v>
      </c>
      <c r="U402" t="s">
        <v>29296</v>
      </c>
      <c r="V402" t="s">
        <v>29297</v>
      </c>
      <c r="W402" t="s">
        <v>29298</v>
      </c>
      <c r="X402" t="s">
        <v>29299</v>
      </c>
      <c r="Y402" t="s">
        <v>29300</v>
      </c>
      <c r="Z402" t="s">
        <v>29301</v>
      </c>
      <c r="AA402" t="s">
        <v>74</v>
      </c>
      <c r="AB402" t="s">
        <v>74</v>
      </c>
      <c r="AC402" t="s">
        <v>74</v>
      </c>
      <c r="AD402" t="s">
        <v>74</v>
      </c>
      <c r="AE402" t="s">
        <v>74</v>
      </c>
      <c r="AF402" t="s">
        <v>74</v>
      </c>
      <c r="AG402">
        <v>40</v>
      </c>
      <c r="AH402">
        <v>50</v>
      </c>
      <c r="AI402">
        <v>58</v>
      </c>
      <c r="AJ402">
        <v>1</v>
      </c>
      <c r="AK402">
        <v>20</v>
      </c>
      <c r="AL402" t="s">
        <v>74</v>
      </c>
      <c r="AM402" t="s">
        <v>74</v>
      </c>
      <c r="AN402" t="s">
        <v>74</v>
      </c>
      <c r="AO402" t="s">
        <v>1677</v>
      </c>
      <c r="AP402" t="s">
        <v>1678</v>
      </c>
      <c r="AQ402" t="s">
        <v>74</v>
      </c>
      <c r="AR402" t="s">
        <v>74</v>
      </c>
      <c r="AS402" t="s">
        <v>74</v>
      </c>
      <c r="AT402" t="s">
        <v>74</v>
      </c>
      <c r="AU402">
        <v>2018</v>
      </c>
      <c r="AV402">
        <v>46</v>
      </c>
      <c r="AW402">
        <v>1</v>
      </c>
      <c r="AX402" t="s">
        <v>74</v>
      </c>
      <c r="AY402" t="s">
        <v>74</v>
      </c>
      <c r="AZ402" t="s">
        <v>74</v>
      </c>
      <c r="BA402" t="s">
        <v>74</v>
      </c>
      <c r="BB402">
        <v>335</v>
      </c>
      <c r="BC402">
        <v>350</v>
      </c>
      <c r="BD402" t="s">
        <v>74</v>
      </c>
      <c r="BE402" t="s">
        <v>29302</v>
      </c>
      <c r="BF402" t="str">
        <f>HYPERLINK("http://dx.doi.org/10.1159/000488434","http://dx.doi.org/10.1159/000488434")</f>
        <v>http://dx.doi.org/10.1159/000488434</v>
      </c>
      <c r="BG402" t="s">
        <v>74</v>
      </c>
      <c r="BH402" t="s">
        <v>74</v>
      </c>
      <c r="BI402" t="s">
        <v>74</v>
      </c>
      <c r="BJ402" t="s">
        <v>1359</v>
      </c>
      <c r="BK402" t="s">
        <v>117</v>
      </c>
      <c r="BL402" t="s">
        <v>1359</v>
      </c>
      <c r="BM402" t="s">
        <v>74</v>
      </c>
      <c r="BN402">
        <v>29590649</v>
      </c>
      <c r="BO402" t="s">
        <v>74</v>
      </c>
      <c r="BP402" t="s">
        <v>74</v>
      </c>
      <c r="BQ402" t="s">
        <v>74</v>
      </c>
      <c r="BR402" t="s">
        <v>96</v>
      </c>
      <c r="BS402" t="s">
        <v>29303</v>
      </c>
      <c r="BT402" t="str">
        <f>HYPERLINK("https%3A%2F%2Fwww.webofscience.com%2Fwos%2Fwoscc%2Ffull-record%2FWOS:000431134000028","View Full Record in Web of Science")</f>
        <v>View Full Record in Web of Science</v>
      </c>
    </row>
    <row r="403" spans="1:72" x14ac:dyDescent="0.15">
      <c r="A403" t="s">
        <v>98</v>
      </c>
      <c r="B403" t="s">
        <v>689</v>
      </c>
      <c r="C403" t="s">
        <v>74</v>
      </c>
      <c r="D403" t="s">
        <v>74</v>
      </c>
      <c r="E403" t="s">
        <v>74</v>
      </c>
      <c r="F403" t="s">
        <v>690</v>
      </c>
      <c r="G403" t="s">
        <v>74</v>
      </c>
      <c r="H403" t="s">
        <v>74</v>
      </c>
      <c r="I403" t="s">
        <v>691</v>
      </c>
      <c r="J403" t="s">
        <v>692</v>
      </c>
      <c r="K403" t="s">
        <v>74</v>
      </c>
      <c r="L403" t="s">
        <v>74</v>
      </c>
      <c r="M403" t="s">
        <v>74</v>
      </c>
      <c r="N403" t="s">
        <v>103</v>
      </c>
      <c r="O403" t="s">
        <v>74</v>
      </c>
      <c r="P403" t="s">
        <v>74</v>
      </c>
      <c r="Q403" t="s">
        <v>74</v>
      </c>
      <c r="R403" t="s">
        <v>74</v>
      </c>
      <c r="S403" t="s">
        <v>74</v>
      </c>
      <c r="T403" t="s">
        <v>693</v>
      </c>
      <c r="U403" t="s">
        <v>694</v>
      </c>
      <c r="V403" t="s">
        <v>695</v>
      </c>
      <c r="W403" t="s">
        <v>696</v>
      </c>
      <c r="X403" t="s">
        <v>697</v>
      </c>
      <c r="Y403" t="s">
        <v>698</v>
      </c>
      <c r="Z403" t="s">
        <v>699</v>
      </c>
      <c r="AA403" t="s">
        <v>700</v>
      </c>
      <c r="AB403" t="s">
        <v>701</v>
      </c>
      <c r="AC403" t="s">
        <v>74</v>
      </c>
      <c r="AD403" t="s">
        <v>74</v>
      </c>
      <c r="AE403" t="s">
        <v>74</v>
      </c>
      <c r="AF403" t="s">
        <v>74</v>
      </c>
      <c r="AG403">
        <v>44</v>
      </c>
      <c r="AH403">
        <v>49</v>
      </c>
      <c r="AI403">
        <v>50</v>
      </c>
      <c r="AJ403">
        <v>2</v>
      </c>
      <c r="AK403">
        <v>17</v>
      </c>
      <c r="AL403" t="s">
        <v>74</v>
      </c>
      <c r="AM403" t="s">
        <v>74</v>
      </c>
      <c r="AN403" t="s">
        <v>74</v>
      </c>
      <c r="AO403" t="s">
        <v>702</v>
      </c>
      <c r="AP403" t="s">
        <v>703</v>
      </c>
      <c r="AQ403" t="s">
        <v>74</v>
      </c>
      <c r="AR403" t="s">
        <v>74</v>
      </c>
      <c r="AS403" t="s">
        <v>74</v>
      </c>
      <c r="AT403" t="s">
        <v>283</v>
      </c>
      <c r="AU403">
        <v>2014</v>
      </c>
      <c r="AV403">
        <v>52</v>
      </c>
      <c r="AW403">
        <v>2</v>
      </c>
      <c r="AX403" t="s">
        <v>74</v>
      </c>
      <c r="AY403" t="s">
        <v>74</v>
      </c>
      <c r="AZ403" t="s">
        <v>74</v>
      </c>
      <c r="BA403" t="s">
        <v>74</v>
      </c>
      <c r="BB403">
        <v>202</v>
      </c>
      <c r="BC403">
        <v>210</v>
      </c>
      <c r="BD403" t="s">
        <v>74</v>
      </c>
      <c r="BE403" t="s">
        <v>704</v>
      </c>
      <c r="BF403" t="str">
        <f>HYPERLINK("http://dx.doi.org/10.1093/mmy/myt003","http://dx.doi.org/10.1093/mmy/myt003")</f>
        <v>http://dx.doi.org/10.1093/mmy/myt003</v>
      </c>
      <c r="BG403" t="s">
        <v>74</v>
      </c>
      <c r="BH403" t="s">
        <v>74</v>
      </c>
      <c r="BI403" t="s">
        <v>74</v>
      </c>
      <c r="BJ403" t="s">
        <v>705</v>
      </c>
      <c r="BK403" t="s">
        <v>117</v>
      </c>
      <c r="BL403" t="s">
        <v>705</v>
      </c>
      <c r="BM403" t="s">
        <v>74</v>
      </c>
      <c r="BN403">
        <v>24576997</v>
      </c>
      <c r="BO403" t="s">
        <v>74</v>
      </c>
      <c r="BP403" t="s">
        <v>74</v>
      </c>
      <c r="BQ403" t="s">
        <v>74</v>
      </c>
      <c r="BR403" t="s">
        <v>96</v>
      </c>
      <c r="BS403" t="s">
        <v>706</v>
      </c>
      <c r="BT403" t="str">
        <f>HYPERLINK("https%3A%2F%2Fwww.webofscience.com%2Fwos%2Fwoscc%2Ffull-record%2FWOS:000339911800011","View Full Record in Web of Science")</f>
        <v>View Full Record in Web of Science</v>
      </c>
    </row>
    <row r="404" spans="1:72" x14ac:dyDescent="0.15">
      <c r="A404" t="s">
        <v>98</v>
      </c>
      <c r="B404" t="s">
        <v>1376</v>
      </c>
      <c r="C404" t="s">
        <v>74</v>
      </c>
      <c r="D404" t="s">
        <v>74</v>
      </c>
      <c r="E404" t="s">
        <v>74</v>
      </c>
      <c r="F404" t="s">
        <v>1377</v>
      </c>
      <c r="G404" t="s">
        <v>74</v>
      </c>
      <c r="H404" t="s">
        <v>74</v>
      </c>
      <c r="I404" t="s">
        <v>1378</v>
      </c>
      <c r="J404" t="s">
        <v>1379</v>
      </c>
      <c r="K404" t="s">
        <v>74</v>
      </c>
      <c r="L404" t="s">
        <v>74</v>
      </c>
      <c r="M404" t="s">
        <v>74</v>
      </c>
      <c r="N404" t="s">
        <v>103</v>
      </c>
      <c r="O404" t="s">
        <v>74</v>
      </c>
      <c r="P404" t="s">
        <v>74</v>
      </c>
      <c r="Q404" t="s">
        <v>74</v>
      </c>
      <c r="R404" t="s">
        <v>74</v>
      </c>
      <c r="S404" t="s">
        <v>74</v>
      </c>
      <c r="T404" t="s">
        <v>1380</v>
      </c>
      <c r="U404" t="s">
        <v>1381</v>
      </c>
      <c r="V404" t="s">
        <v>1382</v>
      </c>
      <c r="W404" t="s">
        <v>1383</v>
      </c>
      <c r="X404" t="s">
        <v>1384</v>
      </c>
      <c r="Y404" t="s">
        <v>1385</v>
      </c>
      <c r="Z404" t="s">
        <v>1386</v>
      </c>
      <c r="AA404" t="s">
        <v>74</v>
      </c>
      <c r="AB404" t="s">
        <v>1387</v>
      </c>
      <c r="AC404" t="s">
        <v>74</v>
      </c>
      <c r="AD404" t="s">
        <v>74</v>
      </c>
      <c r="AE404" t="s">
        <v>74</v>
      </c>
      <c r="AF404" t="s">
        <v>74</v>
      </c>
      <c r="AG404">
        <v>64</v>
      </c>
      <c r="AH404">
        <v>49</v>
      </c>
      <c r="AI404">
        <v>50</v>
      </c>
      <c r="AJ404">
        <v>1</v>
      </c>
      <c r="AK404">
        <v>3</v>
      </c>
      <c r="AL404" t="s">
        <v>74</v>
      </c>
      <c r="AM404" t="s">
        <v>74</v>
      </c>
      <c r="AN404" t="s">
        <v>74</v>
      </c>
      <c r="AO404" t="s">
        <v>1388</v>
      </c>
      <c r="AP404" t="s">
        <v>1389</v>
      </c>
      <c r="AQ404" t="s">
        <v>74</v>
      </c>
      <c r="AR404" t="s">
        <v>74</v>
      </c>
      <c r="AS404" t="s">
        <v>74</v>
      </c>
      <c r="AT404" t="s">
        <v>170</v>
      </c>
      <c r="AU404">
        <v>2019</v>
      </c>
      <c r="AV404">
        <v>62</v>
      </c>
      <c r="AW404">
        <v>2</v>
      </c>
      <c r="AX404" t="s">
        <v>74</v>
      </c>
      <c r="AY404" t="s">
        <v>74</v>
      </c>
      <c r="AZ404" t="s">
        <v>74</v>
      </c>
      <c r="BA404" t="s">
        <v>74</v>
      </c>
      <c r="BB404">
        <v>182</v>
      </c>
      <c r="BC404">
        <v>190</v>
      </c>
      <c r="BD404" t="s">
        <v>74</v>
      </c>
      <c r="BE404" t="s">
        <v>1390</v>
      </c>
      <c r="BF404" t="str">
        <f>HYPERLINK("http://dx.doi.org/10.33160/yam.2019.06.002","http://dx.doi.org/10.33160/yam.2019.06.002")</f>
        <v>http://dx.doi.org/10.33160/yam.2019.06.002</v>
      </c>
      <c r="BG404" t="s">
        <v>74</v>
      </c>
      <c r="BH404" t="s">
        <v>74</v>
      </c>
      <c r="BI404" t="s">
        <v>74</v>
      </c>
      <c r="BJ404" t="s">
        <v>795</v>
      </c>
      <c r="BK404" t="s">
        <v>117</v>
      </c>
      <c r="BL404" t="s">
        <v>796</v>
      </c>
      <c r="BM404" t="s">
        <v>74</v>
      </c>
      <c r="BN404">
        <v>31320822</v>
      </c>
      <c r="BO404" t="s">
        <v>74</v>
      </c>
      <c r="BP404" t="s">
        <v>74</v>
      </c>
      <c r="BQ404" t="s">
        <v>74</v>
      </c>
      <c r="BR404" t="s">
        <v>96</v>
      </c>
      <c r="BS404" t="s">
        <v>1391</v>
      </c>
      <c r="BT404" t="str">
        <f>HYPERLINK("https%3A%2F%2Fwww.webofscience.com%2Fwos%2Fwoscc%2Ffull-record%2FWOS:000473701500002","View Full Record in Web of Science")</f>
        <v>View Full Record in Web of Science</v>
      </c>
    </row>
    <row r="405" spans="1:72" x14ac:dyDescent="0.15">
      <c r="A405" t="s">
        <v>98</v>
      </c>
      <c r="B405" t="s">
        <v>6147</v>
      </c>
      <c r="C405" t="s">
        <v>74</v>
      </c>
      <c r="D405" t="s">
        <v>74</v>
      </c>
      <c r="E405" t="s">
        <v>74</v>
      </c>
      <c r="F405" t="s">
        <v>6148</v>
      </c>
      <c r="G405" t="s">
        <v>74</v>
      </c>
      <c r="H405" t="s">
        <v>74</v>
      </c>
      <c r="I405" t="s">
        <v>6149</v>
      </c>
      <c r="J405" t="s">
        <v>4519</v>
      </c>
      <c r="K405" t="s">
        <v>74</v>
      </c>
      <c r="L405" t="s">
        <v>74</v>
      </c>
      <c r="M405" t="s">
        <v>74</v>
      </c>
      <c r="N405" t="s">
        <v>103</v>
      </c>
      <c r="O405" t="s">
        <v>74</v>
      </c>
      <c r="P405" t="s">
        <v>74</v>
      </c>
      <c r="Q405" t="s">
        <v>74</v>
      </c>
      <c r="R405" t="s">
        <v>74</v>
      </c>
      <c r="S405" t="s">
        <v>74</v>
      </c>
      <c r="T405" t="s">
        <v>74</v>
      </c>
      <c r="U405" t="s">
        <v>6150</v>
      </c>
      <c r="V405" t="s">
        <v>6151</v>
      </c>
      <c r="W405" t="s">
        <v>6152</v>
      </c>
      <c r="X405" t="s">
        <v>6153</v>
      </c>
      <c r="Y405" t="s">
        <v>6154</v>
      </c>
      <c r="Z405" t="s">
        <v>6155</v>
      </c>
      <c r="AA405" t="s">
        <v>6156</v>
      </c>
      <c r="AB405" t="s">
        <v>6157</v>
      </c>
      <c r="AC405" t="s">
        <v>74</v>
      </c>
      <c r="AD405" t="s">
        <v>74</v>
      </c>
      <c r="AE405" t="s">
        <v>74</v>
      </c>
      <c r="AF405" t="s">
        <v>74</v>
      </c>
      <c r="AG405">
        <v>68</v>
      </c>
      <c r="AH405">
        <v>49</v>
      </c>
      <c r="AI405">
        <v>51</v>
      </c>
      <c r="AJ405">
        <v>3</v>
      </c>
      <c r="AK405">
        <v>16</v>
      </c>
      <c r="AL405" t="s">
        <v>74</v>
      </c>
      <c r="AM405" t="s">
        <v>74</v>
      </c>
      <c r="AN405" t="s">
        <v>74</v>
      </c>
      <c r="AO405" t="s">
        <v>4528</v>
      </c>
      <c r="AP405" t="s">
        <v>4529</v>
      </c>
      <c r="AQ405" t="s">
        <v>74</v>
      </c>
      <c r="AR405" t="s">
        <v>74</v>
      </c>
      <c r="AS405" t="s">
        <v>74</v>
      </c>
      <c r="AT405" t="s">
        <v>1304</v>
      </c>
      <c r="AU405">
        <v>2018</v>
      </c>
      <c r="AV405">
        <v>10</v>
      </c>
      <c r="AW405">
        <v>29</v>
      </c>
      <c r="AX405" t="s">
        <v>74</v>
      </c>
      <c r="AY405" t="s">
        <v>74</v>
      </c>
      <c r="AZ405" t="s">
        <v>74</v>
      </c>
      <c r="BA405" t="s">
        <v>74</v>
      </c>
      <c r="BB405">
        <v>14230</v>
      </c>
      <c r="BC405">
        <v>14244</v>
      </c>
      <c r="BD405" t="s">
        <v>74</v>
      </c>
      <c r="BE405" t="s">
        <v>6158</v>
      </c>
      <c r="BF405" t="str">
        <f>HYPERLINK("http://dx.doi.org/10.1039/c8nr03970d","http://dx.doi.org/10.1039/c8nr03970d")</f>
        <v>http://dx.doi.org/10.1039/c8nr03970d</v>
      </c>
      <c r="BG405" t="s">
        <v>74</v>
      </c>
      <c r="BH405" t="s">
        <v>74</v>
      </c>
      <c r="BI405" t="s">
        <v>74</v>
      </c>
      <c r="BJ405" t="s">
        <v>4532</v>
      </c>
      <c r="BK405" t="s">
        <v>117</v>
      </c>
      <c r="BL405" t="s">
        <v>251</v>
      </c>
      <c r="BM405" t="s">
        <v>74</v>
      </c>
      <c r="BN405">
        <v>30010165</v>
      </c>
      <c r="BO405" t="s">
        <v>74</v>
      </c>
      <c r="BP405" t="s">
        <v>74</v>
      </c>
      <c r="BQ405" t="s">
        <v>74</v>
      </c>
      <c r="BR405" t="s">
        <v>96</v>
      </c>
      <c r="BS405" t="s">
        <v>6159</v>
      </c>
      <c r="BT405" t="str">
        <f>HYPERLINK("https%3A%2F%2Fwww.webofscience.com%2Fwos%2Fwoscc%2Ffull-record%2FWOS:000443633600047","View Full Record in Web of Science")</f>
        <v>View Full Record in Web of Science</v>
      </c>
    </row>
    <row r="406" spans="1:72" x14ac:dyDescent="0.15">
      <c r="A406" t="s">
        <v>98</v>
      </c>
      <c r="B406" t="s">
        <v>7910</v>
      </c>
      <c r="C406" t="s">
        <v>74</v>
      </c>
      <c r="D406" t="s">
        <v>74</v>
      </c>
      <c r="E406" t="s">
        <v>74</v>
      </c>
      <c r="F406" t="s">
        <v>7911</v>
      </c>
      <c r="G406" t="s">
        <v>74</v>
      </c>
      <c r="H406" t="s">
        <v>74</v>
      </c>
      <c r="I406" t="s">
        <v>7912</v>
      </c>
      <c r="J406" t="s">
        <v>7913</v>
      </c>
      <c r="K406" t="s">
        <v>74</v>
      </c>
      <c r="L406" t="s">
        <v>74</v>
      </c>
      <c r="M406" t="s">
        <v>74</v>
      </c>
      <c r="N406" t="s">
        <v>103</v>
      </c>
      <c r="O406" t="s">
        <v>74</v>
      </c>
      <c r="P406" t="s">
        <v>74</v>
      </c>
      <c r="Q406" t="s">
        <v>74</v>
      </c>
      <c r="R406" t="s">
        <v>74</v>
      </c>
      <c r="S406" t="s">
        <v>74</v>
      </c>
      <c r="T406" t="s">
        <v>7914</v>
      </c>
      <c r="U406" t="s">
        <v>7915</v>
      </c>
      <c r="V406" t="s">
        <v>7916</v>
      </c>
      <c r="W406" t="s">
        <v>7917</v>
      </c>
      <c r="X406" t="s">
        <v>7918</v>
      </c>
      <c r="Y406" t="s">
        <v>7919</v>
      </c>
      <c r="Z406" t="s">
        <v>7920</v>
      </c>
      <c r="AA406" t="s">
        <v>7921</v>
      </c>
      <c r="AB406" t="s">
        <v>7922</v>
      </c>
      <c r="AC406" t="s">
        <v>74</v>
      </c>
      <c r="AD406" t="s">
        <v>74</v>
      </c>
      <c r="AE406" t="s">
        <v>74</v>
      </c>
      <c r="AF406" t="s">
        <v>74</v>
      </c>
      <c r="AG406">
        <v>69</v>
      </c>
      <c r="AH406">
        <v>49</v>
      </c>
      <c r="AI406">
        <v>50</v>
      </c>
      <c r="AJ406">
        <v>8</v>
      </c>
      <c r="AK406">
        <v>116</v>
      </c>
      <c r="AL406" t="s">
        <v>74</v>
      </c>
      <c r="AM406" t="s">
        <v>74</v>
      </c>
      <c r="AN406" t="s">
        <v>74</v>
      </c>
      <c r="AO406" t="s">
        <v>7923</v>
      </c>
      <c r="AP406" t="s">
        <v>7924</v>
      </c>
      <c r="AQ406" t="s">
        <v>74</v>
      </c>
      <c r="AR406" t="s">
        <v>74</v>
      </c>
      <c r="AS406" t="s">
        <v>74</v>
      </c>
      <c r="AT406" t="s">
        <v>230</v>
      </c>
      <c r="AU406">
        <v>2018</v>
      </c>
      <c r="AV406">
        <v>39</v>
      </c>
      <c r="AW406">
        <v>15</v>
      </c>
      <c r="AX406" t="s">
        <v>74</v>
      </c>
      <c r="AY406" t="s">
        <v>74</v>
      </c>
      <c r="AZ406" t="s">
        <v>447</v>
      </c>
      <c r="BA406" t="s">
        <v>74</v>
      </c>
      <c r="BB406">
        <v>2029</v>
      </c>
      <c r="BC406">
        <v>2038</v>
      </c>
      <c r="BD406" t="s">
        <v>74</v>
      </c>
      <c r="BE406" t="s">
        <v>7925</v>
      </c>
      <c r="BF406" t="str">
        <f>HYPERLINK("http://dx.doi.org/10.1002/elps.201700491","http://dx.doi.org/10.1002/elps.201700491")</f>
        <v>http://dx.doi.org/10.1002/elps.201700491</v>
      </c>
      <c r="BG406" t="s">
        <v>74</v>
      </c>
      <c r="BH406" t="s">
        <v>74</v>
      </c>
      <c r="BI406" t="s">
        <v>74</v>
      </c>
      <c r="BJ406" t="s">
        <v>1939</v>
      </c>
      <c r="BK406" t="s">
        <v>117</v>
      </c>
      <c r="BL406" t="s">
        <v>831</v>
      </c>
      <c r="BM406" t="s">
        <v>74</v>
      </c>
      <c r="BN406">
        <v>29484678</v>
      </c>
      <c r="BO406" t="s">
        <v>74</v>
      </c>
      <c r="BP406" t="s">
        <v>74</v>
      </c>
      <c r="BQ406" t="s">
        <v>74</v>
      </c>
      <c r="BR406" t="s">
        <v>96</v>
      </c>
      <c r="BS406" t="s">
        <v>7926</v>
      </c>
      <c r="BT406" t="str">
        <f>HYPERLINK("https%3A%2F%2Fwww.webofscience.com%2Fwos%2Fwoscc%2Ffull-record%2FWOS:000440549300022","View Full Record in Web of Science")</f>
        <v>View Full Record in Web of Science</v>
      </c>
    </row>
    <row r="407" spans="1:72" x14ac:dyDescent="0.15">
      <c r="A407" t="s">
        <v>98</v>
      </c>
      <c r="B407" t="s">
        <v>8544</v>
      </c>
      <c r="C407" t="s">
        <v>74</v>
      </c>
      <c r="D407" t="s">
        <v>74</v>
      </c>
      <c r="E407" t="s">
        <v>74</v>
      </c>
      <c r="F407" t="s">
        <v>8545</v>
      </c>
      <c r="G407" t="s">
        <v>74</v>
      </c>
      <c r="H407" t="s">
        <v>74</v>
      </c>
      <c r="I407" t="s">
        <v>8546</v>
      </c>
      <c r="J407" t="s">
        <v>1073</v>
      </c>
      <c r="K407" t="s">
        <v>74</v>
      </c>
      <c r="L407" t="s">
        <v>74</v>
      </c>
      <c r="M407" t="s">
        <v>74</v>
      </c>
      <c r="N407" t="s">
        <v>103</v>
      </c>
      <c r="O407" t="s">
        <v>74</v>
      </c>
      <c r="P407" t="s">
        <v>74</v>
      </c>
      <c r="Q407" t="s">
        <v>74</v>
      </c>
      <c r="R407" t="s">
        <v>74</v>
      </c>
      <c r="S407" t="s">
        <v>74</v>
      </c>
      <c r="T407" t="s">
        <v>74</v>
      </c>
      <c r="U407" t="s">
        <v>8547</v>
      </c>
      <c r="V407" t="s">
        <v>8548</v>
      </c>
      <c r="W407" t="s">
        <v>8549</v>
      </c>
      <c r="X407" t="s">
        <v>8550</v>
      </c>
      <c r="Y407" t="s">
        <v>8551</v>
      </c>
      <c r="Z407" t="s">
        <v>8552</v>
      </c>
      <c r="AA407" t="s">
        <v>8553</v>
      </c>
      <c r="AB407" t="s">
        <v>8554</v>
      </c>
      <c r="AC407" t="s">
        <v>74</v>
      </c>
      <c r="AD407" t="s">
        <v>74</v>
      </c>
      <c r="AE407" t="s">
        <v>74</v>
      </c>
      <c r="AF407" t="s">
        <v>74</v>
      </c>
      <c r="AG407">
        <v>46</v>
      </c>
      <c r="AH407">
        <v>49</v>
      </c>
      <c r="AI407">
        <v>49</v>
      </c>
      <c r="AJ407">
        <v>1</v>
      </c>
      <c r="AK407">
        <v>20</v>
      </c>
      <c r="AL407" t="s">
        <v>74</v>
      </c>
      <c r="AM407" t="s">
        <v>74</v>
      </c>
      <c r="AN407" t="s">
        <v>74</v>
      </c>
      <c r="AO407" t="s">
        <v>1082</v>
      </c>
      <c r="AP407" t="s">
        <v>74</v>
      </c>
      <c r="AQ407" t="s">
        <v>74</v>
      </c>
      <c r="AR407" t="s">
        <v>74</v>
      </c>
      <c r="AS407" t="s">
        <v>74</v>
      </c>
      <c r="AT407" t="s">
        <v>2906</v>
      </c>
      <c r="AU407">
        <v>2017</v>
      </c>
      <c r="AV407">
        <v>12</v>
      </c>
      <c r="AW407">
        <v>6</v>
      </c>
      <c r="AX407" t="s">
        <v>74</v>
      </c>
      <c r="AY407" t="s">
        <v>74</v>
      </c>
      <c r="AZ407" t="s">
        <v>74</v>
      </c>
      <c r="BA407" t="s">
        <v>74</v>
      </c>
      <c r="BB407" t="s">
        <v>74</v>
      </c>
      <c r="BC407" t="s">
        <v>74</v>
      </c>
      <c r="BD407" t="s">
        <v>8555</v>
      </c>
      <c r="BE407" t="s">
        <v>8556</v>
      </c>
      <c r="BF407" t="str">
        <f>HYPERLINK("http://dx.doi.org/10.1371/journal.pone.0179451","http://dx.doi.org/10.1371/journal.pone.0179451")</f>
        <v>http://dx.doi.org/10.1371/journal.pone.0179451</v>
      </c>
      <c r="BG407" t="s">
        <v>74</v>
      </c>
      <c r="BH407" t="s">
        <v>74</v>
      </c>
      <c r="BI407" t="s">
        <v>74</v>
      </c>
      <c r="BJ407" t="s">
        <v>152</v>
      </c>
      <c r="BK407" t="s">
        <v>117</v>
      </c>
      <c r="BL407" t="s">
        <v>153</v>
      </c>
      <c r="BM407" t="s">
        <v>74</v>
      </c>
      <c r="BN407">
        <v>28617821</v>
      </c>
      <c r="BO407" t="s">
        <v>74</v>
      </c>
      <c r="BP407" t="s">
        <v>74</v>
      </c>
      <c r="BQ407" t="s">
        <v>74</v>
      </c>
      <c r="BR407" t="s">
        <v>96</v>
      </c>
      <c r="BS407" t="s">
        <v>8557</v>
      </c>
      <c r="BT407" t="str">
        <f>HYPERLINK("https%3A%2F%2Fwww.webofscience.com%2Fwos%2Fwoscc%2Ffull-record%2FWOS:000403364600038","View Full Record in Web of Science")</f>
        <v>View Full Record in Web of Science</v>
      </c>
    </row>
    <row r="408" spans="1:72" x14ac:dyDescent="0.15">
      <c r="A408" t="s">
        <v>98</v>
      </c>
      <c r="B408" t="s">
        <v>8939</v>
      </c>
      <c r="C408" t="s">
        <v>74</v>
      </c>
      <c r="D408" t="s">
        <v>74</v>
      </c>
      <c r="E408" t="s">
        <v>74</v>
      </c>
      <c r="F408" t="s">
        <v>8940</v>
      </c>
      <c r="G408" t="s">
        <v>74</v>
      </c>
      <c r="H408" t="s">
        <v>74</v>
      </c>
      <c r="I408" t="s">
        <v>8941</v>
      </c>
      <c r="J408" t="s">
        <v>7962</v>
      </c>
      <c r="K408" t="s">
        <v>74</v>
      </c>
      <c r="L408" t="s">
        <v>74</v>
      </c>
      <c r="M408" t="s">
        <v>74</v>
      </c>
      <c r="N408" t="s">
        <v>103</v>
      </c>
      <c r="O408" t="s">
        <v>74</v>
      </c>
      <c r="P408" t="s">
        <v>74</v>
      </c>
      <c r="Q408" t="s">
        <v>74</v>
      </c>
      <c r="R408" t="s">
        <v>74</v>
      </c>
      <c r="S408" t="s">
        <v>74</v>
      </c>
      <c r="T408" t="s">
        <v>74</v>
      </c>
      <c r="U408" t="s">
        <v>8942</v>
      </c>
      <c r="V408" t="s">
        <v>8943</v>
      </c>
      <c r="W408" t="s">
        <v>8944</v>
      </c>
      <c r="X408" t="s">
        <v>8945</v>
      </c>
      <c r="Y408" t="s">
        <v>8946</v>
      </c>
      <c r="Z408" t="s">
        <v>8947</v>
      </c>
      <c r="AA408" t="s">
        <v>8948</v>
      </c>
      <c r="AB408" t="s">
        <v>8949</v>
      </c>
      <c r="AC408" t="s">
        <v>74</v>
      </c>
      <c r="AD408" t="s">
        <v>74</v>
      </c>
      <c r="AE408" t="s">
        <v>74</v>
      </c>
      <c r="AF408" t="s">
        <v>74</v>
      </c>
      <c r="AG408">
        <v>43</v>
      </c>
      <c r="AH408">
        <v>49</v>
      </c>
      <c r="AI408">
        <v>49</v>
      </c>
      <c r="AJ408">
        <v>5</v>
      </c>
      <c r="AK408">
        <v>31</v>
      </c>
      <c r="AL408" t="s">
        <v>74</v>
      </c>
      <c r="AM408" t="s">
        <v>74</v>
      </c>
      <c r="AN408" t="s">
        <v>74</v>
      </c>
      <c r="AO408" t="s">
        <v>74</v>
      </c>
      <c r="AP408" t="s">
        <v>7970</v>
      </c>
      <c r="AQ408" t="s">
        <v>74</v>
      </c>
      <c r="AR408" t="s">
        <v>74</v>
      </c>
      <c r="AS408" t="s">
        <v>74</v>
      </c>
      <c r="AT408" t="s">
        <v>8950</v>
      </c>
      <c r="AU408">
        <v>2019</v>
      </c>
      <c r="AV408">
        <v>2</v>
      </c>
      <c r="AW408" t="s">
        <v>74</v>
      </c>
      <c r="AX408" t="s">
        <v>74</v>
      </c>
      <c r="AY408" t="s">
        <v>74</v>
      </c>
      <c r="AZ408" t="s">
        <v>74</v>
      </c>
      <c r="BA408" t="s">
        <v>74</v>
      </c>
      <c r="BB408" t="s">
        <v>74</v>
      </c>
      <c r="BC408" t="s">
        <v>74</v>
      </c>
      <c r="BD408">
        <v>189</v>
      </c>
      <c r="BE408" t="s">
        <v>8951</v>
      </c>
      <c r="BF408" t="str">
        <f>HYPERLINK("http://dx.doi.org/10.1038/s42003-019-0435-1","http://dx.doi.org/10.1038/s42003-019-0435-1")</f>
        <v>http://dx.doi.org/10.1038/s42003-019-0435-1</v>
      </c>
      <c r="BG408" t="s">
        <v>74</v>
      </c>
      <c r="BH408" t="s">
        <v>74</v>
      </c>
      <c r="BI408" t="s">
        <v>74</v>
      </c>
      <c r="BJ408" t="s">
        <v>7972</v>
      </c>
      <c r="BK408" t="s">
        <v>117</v>
      </c>
      <c r="BL408" t="s">
        <v>7973</v>
      </c>
      <c r="BM408" t="s">
        <v>74</v>
      </c>
      <c r="BN408" t="s">
        <v>74</v>
      </c>
      <c r="BO408" t="s">
        <v>74</v>
      </c>
      <c r="BP408" t="s">
        <v>74</v>
      </c>
      <c r="BQ408" t="s">
        <v>74</v>
      </c>
      <c r="BR408" t="s">
        <v>96</v>
      </c>
      <c r="BS408" t="s">
        <v>8952</v>
      </c>
      <c r="BT408" t="str">
        <f>HYPERLINK("https%3A%2F%2Fwww.webofscience.com%2Fwos%2Fwoscc%2Ffull-record%2FWOS:000468870100001","View Full Record in Web of Science")</f>
        <v>View Full Record in Web of Science</v>
      </c>
    </row>
    <row r="409" spans="1:72" x14ac:dyDescent="0.15">
      <c r="A409" t="s">
        <v>98</v>
      </c>
      <c r="B409" t="s">
        <v>16030</v>
      </c>
      <c r="C409" t="s">
        <v>74</v>
      </c>
      <c r="D409" t="s">
        <v>74</v>
      </c>
      <c r="E409" t="s">
        <v>74</v>
      </c>
      <c r="F409" t="s">
        <v>16031</v>
      </c>
      <c r="G409" t="s">
        <v>74</v>
      </c>
      <c r="H409" t="s">
        <v>74</v>
      </c>
      <c r="I409" t="s">
        <v>16032</v>
      </c>
      <c r="J409" t="s">
        <v>16033</v>
      </c>
      <c r="K409" t="s">
        <v>74</v>
      </c>
      <c r="L409" t="s">
        <v>74</v>
      </c>
      <c r="M409" t="s">
        <v>74</v>
      </c>
      <c r="N409" t="s">
        <v>103</v>
      </c>
      <c r="O409" t="s">
        <v>74</v>
      </c>
      <c r="P409" t="s">
        <v>74</v>
      </c>
      <c r="Q409" t="s">
        <v>74</v>
      </c>
      <c r="R409" t="s">
        <v>74</v>
      </c>
      <c r="S409" t="s">
        <v>74</v>
      </c>
      <c r="T409" t="s">
        <v>74</v>
      </c>
      <c r="U409" t="s">
        <v>16034</v>
      </c>
      <c r="V409" t="s">
        <v>16035</v>
      </c>
      <c r="W409" t="s">
        <v>16036</v>
      </c>
      <c r="X409" t="s">
        <v>16037</v>
      </c>
      <c r="Y409" t="s">
        <v>16038</v>
      </c>
      <c r="Z409" t="s">
        <v>16039</v>
      </c>
      <c r="AA409" t="s">
        <v>16040</v>
      </c>
      <c r="AB409" t="s">
        <v>16041</v>
      </c>
      <c r="AC409" t="s">
        <v>74</v>
      </c>
      <c r="AD409" t="s">
        <v>74</v>
      </c>
      <c r="AE409" t="s">
        <v>74</v>
      </c>
      <c r="AF409" t="s">
        <v>74</v>
      </c>
      <c r="AG409">
        <v>50</v>
      </c>
      <c r="AH409">
        <v>49</v>
      </c>
      <c r="AI409">
        <v>50</v>
      </c>
      <c r="AJ409">
        <v>6</v>
      </c>
      <c r="AK409">
        <v>64</v>
      </c>
      <c r="AL409" t="s">
        <v>74</v>
      </c>
      <c r="AM409" t="s">
        <v>74</v>
      </c>
      <c r="AN409" t="s">
        <v>74</v>
      </c>
      <c r="AO409" t="s">
        <v>16042</v>
      </c>
      <c r="AP409" t="s">
        <v>16043</v>
      </c>
      <c r="AQ409" t="s">
        <v>74</v>
      </c>
      <c r="AR409" t="s">
        <v>74</v>
      </c>
      <c r="AS409" t="s">
        <v>74</v>
      </c>
      <c r="AT409" t="s">
        <v>9449</v>
      </c>
      <c r="AU409">
        <v>2019</v>
      </c>
      <c r="AV409">
        <v>10</v>
      </c>
      <c r="AW409">
        <v>5</v>
      </c>
      <c r="AX409" t="s">
        <v>74</v>
      </c>
      <c r="AY409" t="s">
        <v>74</v>
      </c>
      <c r="AZ409" t="s">
        <v>74</v>
      </c>
      <c r="BA409" t="s">
        <v>74</v>
      </c>
      <c r="BB409">
        <v>1555</v>
      </c>
      <c r="BC409">
        <v>1561</v>
      </c>
      <c r="BD409" t="s">
        <v>74</v>
      </c>
      <c r="BE409" t="s">
        <v>16044</v>
      </c>
      <c r="BF409" t="str">
        <f>HYPERLINK("http://dx.doi.org/10.1039/c8sc03224f","http://dx.doi.org/10.1039/c8sc03224f")</f>
        <v>http://dx.doi.org/10.1039/c8sc03224f</v>
      </c>
      <c r="BG409" t="s">
        <v>74</v>
      </c>
      <c r="BH409" t="s">
        <v>74</v>
      </c>
      <c r="BI409" t="s">
        <v>74</v>
      </c>
      <c r="BJ409" t="s">
        <v>1047</v>
      </c>
      <c r="BK409" t="s">
        <v>117</v>
      </c>
      <c r="BL409" t="s">
        <v>1048</v>
      </c>
      <c r="BM409" t="s">
        <v>74</v>
      </c>
      <c r="BN409">
        <v>30809374</v>
      </c>
      <c r="BO409" t="s">
        <v>74</v>
      </c>
      <c r="BP409" t="s">
        <v>74</v>
      </c>
      <c r="BQ409" t="s">
        <v>74</v>
      </c>
      <c r="BR409" t="s">
        <v>96</v>
      </c>
      <c r="BS409" t="s">
        <v>16045</v>
      </c>
      <c r="BT409" t="str">
        <f>HYPERLINK("https%3A%2F%2Fwww.webofscience.com%2Fwos%2Fwoscc%2Ffull-record%2FWOS:000457448700032","View Full Record in Web of Science")</f>
        <v>View Full Record in Web of Science</v>
      </c>
    </row>
    <row r="410" spans="1:72" x14ac:dyDescent="0.15">
      <c r="A410" t="s">
        <v>98</v>
      </c>
      <c r="B410" t="s">
        <v>17146</v>
      </c>
      <c r="C410" t="s">
        <v>74</v>
      </c>
      <c r="D410" t="s">
        <v>74</v>
      </c>
      <c r="E410" t="s">
        <v>74</v>
      </c>
      <c r="F410" t="s">
        <v>17147</v>
      </c>
      <c r="G410" t="s">
        <v>74</v>
      </c>
      <c r="H410" t="s">
        <v>74</v>
      </c>
      <c r="I410" t="s">
        <v>17148</v>
      </c>
      <c r="J410" t="s">
        <v>4486</v>
      </c>
      <c r="K410" t="s">
        <v>74</v>
      </c>
      <c r="L410" t="s">
        <v>74</v>
      </c>
      <c r="M410" t="s">
        <v>74</v>
      </c>
      <c r="N410" t="s">
        <v>103</v>
      </c>
      <c r="O410" t="s">
        <v>74</v>
      </c>
      <c r="P410" t="s">
        <v>74</v>
      </c>
      <c r="Q410" t="s">
        <v>74</v>
      </c>
      <c r="R410" t="s">
        <v>74</v>
      </c>
      <c r="S410" t="s">
        <v>74</v>
      </c>
      <c r="T410" t="s">
        <v>74</v>
      </c>
      <c r="U410" t="s">
        <v>17149</v>
      </c>
      <c r="V410" t="s">
        <v>17150</v>
      </c>
      <c r="W410" t="s">
        <v>17151</v>
      </c>
      <c r="X410" t="s">
        <v>17152</v>
      </c>
      <c r="Y410" t="s">
        <v>17153</v>
      </c>
      <c r="Z410" t="s">
        <v>17154</v>
      </c>
      <c r="AA410" t="s">
        <v>17155</v>
      </c>
      <c r="AB410" t="s">
        <v>17156</v>
      </c>
      <c r="AC410" t="s">
        <v>74</v>
      </c>
      <c r="AD410" t="s">
        <v>74</v>
      </c>
      <c r="AE410" t="s">
        <v>74</v>
      </c>
      <c r="AF410" t="s">
        <v>74</v>
      </c>
      <c r="AG410">
        <v>55</v>
      </c>
      <c r="AH410">
        <v>49</v>
      </c>
      <c r="AI410">
        <v>49</v>
      </c>
      <c r="AJ410">
        <v>52</v>
      </c>
      <c r="AK410">
        <v>332</v>
      </c>
      <c r="AL410" t="s">
        <v>74</v>
      </c>
      <c r="AM410" t="s">
        <v>74</v>
      </c>
      <c r="AN410" t="s">
        <v>74</v>
      </c>
      <c r="AO410" t="s">
        <v>4493</v>
      </c>
      <c r="AP410" t="s">
        <v>4494</v>
      </c>
      <c r="AQ410" t="s">
        <v>74</v>
      </c>
      <c r="AR410" t="s">
        <v>74</v>
      </c>
      <c r="AS410" t="s">
        <v>74</v>
      </c>
      <c r="AT410" t="s">
        <v>16768</v>
      </c>
      <c r="AU410">
        <v>2020</v>
      </c>
      <c r="AV410">
        <v>92</v>
      </c>
      <c r="AW410">
        <v>3</v>
      </c>
      <c r="AX410" t="s">
        <v>74</v>
      </c>
      <c r="AY410" t="s">
        <v>74</v>
      </c>
      <c r="AZ410" t="s">
        <v>74</v>
      </c>
      <c r="BA410" t="s">
        <v>74</v>
      </c>
      <c r="BB410">
        <v>2866</v>
      </c>
      <c r="BC410">
        <v>2875</v>
      </c>
      <c r="BD410" t="s">
        <v>74</v>
      </c>
      <c r="BE410" t="s">
        <v>17157</v>
      </c>
      <c r="BF410" t="str">
        <f>HYPERLINK("http://dx.doi.org/10.1021/acs.analchem.9b05583","http://dx.doi.org/10.1021/acs.analchem.9b05583")</f>
        <v>http://dx.doi.org/10.1021/acs.analchem.9b05583</v>
      </c>
      <c r="BG410" t="s">
        <v>74</v>
      </c>
      <c r="BH410" t="s">
        <v>74</v>
      </c>
      <c r="BI410" t="s">
        <v>74</v>
      </c>
      <c r="BJ410" t="s">
        <v>1118</v>
      </c>
      <c r="BK410" t="s">
        <v>117</v>
      </c>
      <c r="BL410" t="s">
        <v>1048</v>
      </c>
      <c r="BM410" t="s">
        <v>74</v>
      </c>
      <c r="BN410">
        <v>31903745</v>
      </c>
      <c r="BO410" t="s">
        <v>74</v>
      </c>
      <c r="BP410" t="s">
        <v>74</v>
      </c>
      <c r="BQ410" t="s">
        <v>74</v>
      </c>
      <c r="BR410" t="s">
        <v>96</v>
      </c>
      <c r="BS410" t="s">
        <v>17158</v>
      </c>
      <c r="BT410" t="str">
        <f>HYPERLINK("https%3A%2F%2Fwww.webofscience.com%2Fwos%2Fwoscc%2Ffull-record%2FWOS:000511509400069","View Full Record in Web of Science")</f>
        <v>View Full Record in Web of Science</v>
      </c>
    </row>
    <row r="411" spans="1:72" x14ac:dyDescent="0.15">
      <c r="A411" t="s">
        <v>98</v>
      </c>
      <c r="B411" t="s">
        <v>18198</v>
      </c>
      <c r="C411" t="s">
        <v>74</v>
      </c>
      <c r="D411" t="s">
        <v>74</v>
      </c>
      <c r="E411" t="s">
        <v>74</v>
      </c>
      <c r="F411" t="s">
        <v>18199</v>
      </c>
      <c r="G411" t="s">
        <v>74</v>
      </c>
      <c r="H411" t="s">
        <v>74</v>
      </c>
      <c r="I411" t="s">
        <v>18200</v>
      </c>
      <c r="J411" t="s">
        <v>18201</v>
      </c>
      <c r="K411" t="s">
        <v>74</v>
      </c>
      <c r="L411" t="s">
        <v>74</v>
      </c>
      <c r="M411" t="s">
        <v>74</v>
      </c>
      <c r="N411" t="s">
        <v>103</v>
      </c>
      <c r="O411" t="s">
        <v>74</v>
      </c>
      <c r="P411" t="s">
        <v>74</v>
      </c>
      <c r="Q411" t="s">
        <v>74</v>
      </c>
      <c r="R411" t="s">
        <v>74</v>
      </c>
      <c r="S411" t="s">
        <v>74</v>
      </c>
      <c r="T411" t="s">
        <v>18202</v>
      </c>
      <c r="U411" t="s">
        <v>18203</v>
      </c>
      <c r="V411" t="s">
        <v>18204</v>
      </c>
      <c r="W411" t="s">
        <v>18205</v>
      </c>
      <c r="X411" t="s">
        <v>18206</v>
      </c>
      <c r="Y411" t="s">
        <v>18207</v>
      </c>
      <c r="Z411" t="s">
        <v>18208</v>
      </c>
      <c r="AA411" t="s">
        <v>18209</v>
      </c>
      <c r="AB411" t="s">
        <v>18210</v>
      </c>
      <c r="AC411" t="s">
        <v>74</v>
      </c>
      <c r="AD411" t="s">
        <v>74</v>
      </c>
      <c r="AE411" t="s">
        <v>74</v>
      </c>
      <c r="AF411" t="s">
        <v>74</v>
      </c>
      <c r="AG411">
        <v>45</v>
      </c>
      <c r="AH411">
        <v>49</v>
      </c>
      <c r="AI411">
        <v>49</v>
      </c>
      <c r="AJ411">
        <v>0</v>
      </c>
      <c r="AK411">
        <v>11</v>
      </c>
      <c r="AL411" t="s">
        <v>74</v>
      </c>
      <c r="AM411" t="s">
        <v>74</v>
      </c>
      <c r="AN411" t="s">
        <v>74</v>
      </c>
      <c r="AO411" t="s">
        <v>18211</v>
      </c>
      <c r="AP411" t="s">
        <v>18212</v>
      </c>
      <c r="AQ411" t="s">
        <v>74</v>
      </c>
      <c r="AR411" t="s">
        <v>74</v>
      </c>
      <c r="AS411" t="s">
        <v>74</v>
      </c>
      <c r="AT411" t="s">
        <v>6218</v>
      </c>
      <c r="AU411">
        <v>2006</v>
      </c>
      <c r="AV411">
        <v>250</v>
      </c>
      <c r="AW411" t="s">
        <v>1694</v>
      </c>
      <c r="AX411" t="s">
        <v>74</v>
      </c>
      <c r="AY411" t="s">
        <v>74</v>
      </c>
      <c r="AZ411" t="s">
        <v>74</v>
      </c>
      <c r="BA411" t="s">
        <v>74</v>
      </c>
      <c r="BB411">
        <v>80</v>
      </c>
      <c r="BC411">
        <v>83</v>
      </c>
      <c r="BD411" t="s">
        <v>74</v>
      </c>
      <c r="BE411" t="s">
        <v>18213</v>
      </c>
      <c r="BF411" t="str">
        <f>HYPERLINK("http://dx.doi.org/10.1016/j.mce.2005.12.029","http://dx.doi.org/10.1016/j.mce.2005.12.029")</f>
        <v>http://dx.doi.org/10.1016/j.mce.2005.12.029</v>
      </c>
      <c r="BG411" t="s">
        <v>74</v>
      </c>
      <c r="BH411" t="s">
        <v>74</v>
      </c>
      <c r="BI411" t="s">
        <v>74</v>
      </c>
      <c r="BJ411" t="s">
        <v>13432</v>
      </c>
      <c r="BK411" t="s">
        <v>117</v>
      </c>
      <c r="BL411" t="s">
        <v>13432</v>
      </c>
      <c r="BM411" t="s">
        <v>74</v>
      </c>
      <c r="BN411">
        <v>16442705</v>
      </c>
      <c r="BO411" t="s">
        <v>74</v>
      </c>
      <c r="BP411" t="s">
        <v>74</v>
      </c>
      <c r="BQ411" t="s">
        <v>74</v>
      </c>
      <c r="BR411" t="s">
        <v>96</v>
      </c>
      <c r="BS411" t="s">
        <v>18214</v>
      </c>
      <c r="BT411" t="str">
        <f>HYPERLINK("https%3A%2F%2Fwww.webofscience.com%2Fwos%2Fwoscc%2Ffull-record%2FWOS:000238020900012","View Full Record in Web of Science")</f>
        <v>View Full Record in Web of Science</v>
      </c>
    </row>
    <row r="412" spans="1:72" x14ac:dyDescent="0.15">
      <c r="A412" t="s">
        <v>98</v>
      </c>
      <c r="B412" t="s">
        <v>23278</v>
      </c>
      <c r="C412" t="s">
        <v>74</v>
      </c>
      <c r="D412" t="s">
        <v>74</v>
      </c>
      <c r="E412" t="s">
        <v>74</v>
      </c>
      <c r="F412" t="s">
        <v>23278</v>
      </c>
      <c r="G412" t="s">
        <v>74</v>
      </c>
      <c r="H412" t="s">
        <v>74</v>
      </c>
      <c r="I412" t="s">
        <v>23279</v>
      </c>
      <c r="J412" t="s">
        <v>23280</v>
      </c>
      <c r="K412" t="s">
        <v>74</v>
      </c>
      <c r="L412" t="s">
        <v>74</v>
      </c>
      <c r="M412" t="s">
        <v>74</v>
      </c>
      <c r="N412" t="s">
        <v>103</v>
      </c>
      <c r="O412" t="s">
        <v>74</v>
      </c>
      <c r="P412" t="s">
        <v>74</v>
      </c>
      <c r="Q412" t="s">
        <v>74</v>
      </c>
      <c r="R412" t="s">
        <v>74</v>
      </c>
      <c r="S412" t="s">
        <v>74</v>
      </c>
      <c r="T412" t="s">
        <v>23281</v>
      </c>
      <c r="U412" t="s">
        <v>23282</v>
      </c>
      <c r="V412" t="s">
        <v>23283</v>
      </c>
      <c r="W412" t="s">
        <v>23284</v>
      </c>
      <c r="X412" t="s">
        <v>23285</v>
      </c>
      <c r="Y412" t="s">
        <v>74</v>
      </c>
      <c r="Z412" t="s">
        <v>74</v>
      </c>
      <c r="AA412" t="s">
        <v>74</v>
      </c>
      <c r="AB412" t="s">
        <v>74</v>
      </c>
      <c r="AC412" t="s">
        <v>74</v>
      </c>
      <c r="AD412" t="s">
        <v>74</v>
      </c>
      <c r="AE412" t="s">
        <v>74</v>
      </c>
      <c r="AF412" t="s">
        <v>74</v>
      </c>
      <c r="AG412">
        <v>57</v>
      </c>
      <c r="AH412">
        <v>49</v>
      </c>
      <c r="AI412">
        <v>51</v>
      </c>
      <c r="AJ412">
        <v>0</v>
      </c>
      <c r="AK412">
        <v>3</v>
      </c>
      <c r="AL412" t="s">
        <v>74</v>
      </c>
      <c r="AM412" t="s">
        <v>74</v>
      </c>
      <c r="AN412" t="s">
        <v>74</v>
      </c>
      <c r="AO412" t="s">
        <v>23286</v>
      </c>
      <c r="AP412" t="s">
        <v>23287</v>
      </c>
      <c r="AQ412" t="s">
        <v>74</v>
      </c>
      <c r="AR412" t="s">
        <v>74</v>
      </c>
      <c r="AS412" t="s">
        <v>74</v>
      </c>
      <c r="AT412" t="s">
        <v>967</v>
      </c>
      <c r="AU412">
        <v>1995</v>
      </c>
      <c r="AV412">
        <v>69</v>
      </c>
      <c r="AW412">
        <v>3</v>
      </c>
      <c r="AX412" t="s">
        <v>74</v>
      </c>
      <c r="AY412" t="s">
        <v>74</v>
      </c>
      <c r="AZ412" t="s">
        <v>74</v>
      </c>
      <c r="BA412" t="s">
        <v>74</v>
      </c>
      <c r="BB412">
        <v>869</v>
      </c>
      <c r="BC412">
        <v>880</v>
      </c>
      <c r="BD412" t="s">
        <v>74</v>
      </c>
      <c r="BE412" t="s">
        <v>23288</v>
      </c>
      <c r="BF412" t="str">
        <f>HYPERLINK("http://dx.doi.org/10.1016/0306-4522(95)00278-Q","http://dx.doi.org/10.1016/0306-4522(95)00278-Q")</f>
        <v>http://dx.doi.org/10.1016/0306-4522(95)00278-Q</v>
      </c>
      <c r="BG412" t="s">
        <v>74</v>
      </c>
      <c r="BH412" t="s">
        <v>74</v>
      </c>
      <c r="BI412" t="s">
        <v>74</v>
      </c>
      <c r="BJ412" t="s">
        <v>652</v>
      </c>
      <c r="BK412" t="s">
        <v>117</v>
      </c>
      <c r="BL412" t="s">
        <v>653</v>
      </c>
      <c r="BM412" t="s">
        <v>74</v>
      </c>
      <c r="BN412">
        <v>8596655</v>
      </c>
      <c r="BO412" t="s">
        <v>74</v>
      </c>
      <c r="BP412" t="s">
        <v>74</v>
      </c>
      <c r="BQ412" t="s">
        <v>74</v>
      </c>
      <c r="BR412" t="s">
        <v>96</v>
      </c>
      <c r="BS412" t="s">
        <v>23289</v>
      </c>
      <c r="BT412" t="str">
        <f>HYPERLINK("https%3A%2F%2Fwww.webofscience.com%2Fwos%2Fwoscc%2Ffull-record%2FWOS:A1995TE43100017","View Full Record in Web of Science")</f>
        <v>View Full Record in Web of Science</v>
      </c>
    </row>
    <row r="413" spans="1:72" x14ac:dyDescent="0.15">
      <c r="A413" t="s">
        <v>98</v>
      </c>
      <c r="B413" t="s">
        <v>25419</v>
      </c>
      <c r="C413" t="s">
        <v>74</v>
      </c>
      <c r="D413" t="s">
        <v>74</v>
      </c>
      <c r="E413" t="s">
        <v>74</v>
      </c>
      <c r="F413" t="s">
        <v>25420</v>
      </c>
      <c r="G413" t="s">
        <v>74</v>
      </c>
      <c r="H413" t="s">
        <v>74</v>
      </c>
      <c r="I413" t="s">
        <v>25421</v>
      </c>
      <c r="J413" t="s">
        <v>23568</v>
      </c>
      <c r="K413" t="s">
        <v>74</v>
      </c>
      <c r="L413" t="s">
        <v>74</v>
      </c>
      <c r="M413" t="s">
        <v>74</v>
      </c>
      <c r="N413" t="s">
        <v>103</v>
      </c>
      <c r="O413" t="s">
        <v>74</v>
      </c>
      <c r="P413" t="s">
        <v>74</v>
      </c>
      <c r="Q413" t="s">
        <v>74</v>
      </c>
      <c r="R413" t="s">
        <v>74</v>
      </c>
      <c r="S413" t="s">
        <v>74</v>
      </c>
      <c r="T413" t="s">
        <v>74</v>
      </c>
      <c r="U413" t="s">
        <v>25422</v>
      </c>
      <c r="V413" t="s">
        <v>25423</v>
      </c>
      <c r="W413" t="s">
        <v>25424</v>
      </c>
      <c r="X413" t="s">
        <v>25425</v>
      </c>
      <c r="Y413" t="s">
        <v>25426</v>
      </c>
      <c r="Z413" t="s">
        <v>2668</v>
      </c>
      <c r="AA413" t="s">
        <v>74</v>
      </c>
      <c r="AB413" t="s">
        <v>74</v>
      </c>
      <c r="AC413" t="s">
        <v>74</v>
      </c>
      <c r="AD413" t="s">
        <v>74</v>
      </c>
      <c r="AE413" t="s">
        <v>74</v>
      </c>
      <c r="AF413" t="s">
        <v>74</v>
      </c>
      <c r="AG413">
        <v>37</v>
      </c>
      <c r="AH413">
        <v>49</v>
      </c>
      <c r="AI413">
        <v>49</v>
      </c>
      <c r="AJ413">
        <v>2</v>
      </c>
      <c r="AK413">
        <v>25</v>
      </c>
      <c r="AL413" t="s">
        <v>74</v>
      </c>
      <c r="AM413" t="s">
        <v>74</v>
      </c>
      <c r="AN413" t="s">
        <v>74</v>
      </c>
      <c r="AO413" t="s">
        <v>23576</v>
      </c>
      <c r="AP413" t="s">
        <v>23577</v>
      </c>
      <c r="AQ413" t="s">
        <v>74</v>
      </c>
      <c r="AR413" t="s">
        <v>74</v>
      </c>
      <c r="AS413" t="s">
        <v>74</v>
      </c>
      <c r="AT413" t="s">
        <v>230</v>
      </c>
      <c r="AU413">
        <v>2020</v>
      </c>
      <c r="AV413">
        <v>72</v>
      </c>
      <c r="AW413">
        <v>2</v>
      </c>
      <c r="AX413" t="s">
        <v>74</v>
      </c>
      <c r="AY413" t="s">
        <v>74</v>
      </c>
      <c r="AZ413" t="s">
        <v>74</v>
      </c>
      <c r="BA413" t="s">
        <v>74</v>
      </c>
      <c r="BB413">
        <v>412</v>
      </c>
      <c r="BC413">
        <v>429</v>
      </c>
      <c r="BD413" t="s">
        <v>74</v>
      </c>
      <c r="BE413" t="s">
        <v>25427</v>
      </c>
      <c r="BF413" t="str">
        <f>HYPERLINK("http://dx.doi.org/10.1002/hep.31031","http://dx.doi.org/10.1002/hep.31031")</f>
        <v>http://dx.doi.org/10.1002/hep.31031</v>
      </c>
      <c r="BG413" t="s">
        <v>74</v>
      </c>
      <c r="BH413" t="s">
        <v>3944</v>
      </c>
      <c r="BI413" t="s">
        <v>74</v>
      </c>
      <c r="BJ413" t="s">
        <v>633</v>
      </c>
      <c r="BK413" t="s">
        <v>117</v>
      </c>
      <c r="BL413" t="s">
        <v>633</v>
      </c>
      <c r="BM413" t="s">
        <v>74</v>
      </c>
      <c r="BN413">
        <v>31705800</v>
      </c>
      <c r="BO413" t="s">
        <v>74</v>
      </c>
      <c r="BP413" t="s">
        <v>74</v>
      </c>
      <c r="BQ413" t="s">
        <v>74</v>
      </c>
      <c r="BR413" t="s">
        <v>96</v>
      </c>
      <c r="BS413" t="s">
        <v>25428</v>
      </c>
      <c r="BT413" t="str">
        <f>HYPERLINK("https%3A%2F%2Fwww.webofscience.com%2Fwos%2Fwoscc%2Ffull-record%2FWOS:000563557400001","View Full Record in Web of Science")</f>
        <v>View Full Record in Web of Science</v>
      </c>
    </row>
    <row r="414" spans="1:72" x14ac:dyDescent="0.15">
      <c r="A414" t="s">
        <v>98</v>
      </c>
      <c r="B414" t="s">
        <v>28506</v>
      </c>
      <c r="C414" t="s">
        <v>74</v>
      </c>
      <c r="D414" t="s">
        <v>74</v>
      </c>
      <c r="E414" t="s">
        <v>74</v>
      </c>
      <c r="F414" t="s">
        <v>28507</v>
      </c>
      <c r="G414" t="s">
        <v>74</v>
      </c>
      <c r="H414" t="s">
        <v>74</v>
      </c>
      <c r="I414" t="s">
        <v>28508</v>
      </c>
      <c r="J414" t="s">
        <v>5139</v>
      </c>
      <c r="K414" t="s">
        <v>74</v>
      </c>
      <c r="L414" t="s">
        <v>74</v>
      </c>
      <c r="M414" t="s">
        <v>74</v>
      </c>
      <c r="N414" t="s">
        <v>103</v>
      </c>
      <c r="O414" t="s">
        <v>74</v>
      </c>
      <c r="P414" t="s">
        <v>74</v>
      </c>
      <c r="Q414" t="s">
        <v>74</v>
      </c>
      <c r="R414" t="s">
        <v>74</v>
      </c>
      <c r="S414" t="s">
        <v>74</v>
      </c>
      <c r="T414" t="s">
        <v>74</v>
      </c>
      <c r="U414" t="s">
        <v>28509</v>
      </c>
      <c r="V414" t="s">
        <v>28510</v>
      </c>
      <c r="W414" t="s">
        <v>28511</v>
      </c>
      <c r="X414" t="s">
        <v>28512</v>
      </c>
      <c r="Y414" t="s">
        <v>28513</v>
      </c>
      <c r="Z414" t="s">
        <v>28514</v>
      </c>
      <c r="AA414" t="s">
        <v>28515</v>
      </c>
      <c r="AB414" t="s">
        <v>28516</v>
      </c>
      <c r="AC414" t="s">
        <v>74</v>
      </c>
      <c r="AD414" t="s">
        <v>74</v>
      </c>
      <c r="AE414" t="s">
        <v>74</v>
      </c>
      <c r="AF414" t="s">
        <v>74</v>
      </c>
      <c r="AG414">
        <v>70</v>
      </c>
      <c r="AH414">
        <v>49</v>
      </c>
      <c r="AI414">
        <v>54</v>
      </c>
      <c r="AJ414">
        <v>3</v>
      </c>
      <c r="AK414">
        <v>33</v>
      </c>
      <c r="AL414" t="s">
        <v>74</v>
      </c>
      <c r="AM414" t="s">
        <v>74</v>
      </c>
      <c r="AN414" t="s">
        <v>74</v>
      </c>
      <c r="AO414" t="s">
        <v>5148</v>
      </c>
      <c r="AP414" t="s">
        <v>74</v>
      </c>
      <c r="AQ414" t="s">
        <v>74</v>
      </c>
      <c r="AR414" t="s">
        <v>74</v>
      </c>
      <c r="AS414" t="s">
        <v>74</v>
      </c>
      <c r="AT414" t="s">
        <v>6391</v>
      </c>
      <c r="AU414">
        <v>2018</v>
      </c>
      <c r="AV414">
        <v>9</v>
      </c>
      <c r="AW414" t="s">
        <v>74</v>
      </c>
      <c r="AX414" t="s">
        <v>74</v>
      </c>
      <c r="AY414" t="s">
        <v>74</v>
      </c>
      <c r="AZ414" t="s">
        <v>74</v>
      </c>
      <c r="BA414" t="s">
        <v>74</v>
      </c>
      <c r="BB414" t="s">
        <v>74</v>
      </c>
      <c r="BC414" t="s">
        <v>74</v>
      </c>
      <c r="BD414">
        <v>2143</v>
      </c>
      <c r="BE414" t="s">
        <v>28517</v>
      </c>
      <c r="BF414" t="str">
        <f>HYPERLINK("http://dx.doi.org/10.1038/s41467-018-04464-6","http://dx.doi.org/10.1038/s41467-018-04464-6")</f>
        <v>http://dx.doi.org/10.1038/s41467-018-04464-6</v>
      </c>
      <c r="BG414" t="s">
        <v>74</v>
      </c>
      <c r="BH414" t="s">
        <v>74</v>
      </c>
      <c r="BI414" t="s">
        <v>74</v>
      </c>
      <c r="BJ414" t="s">
        <v>152</v>
      </c>
      <c r="BK414" t="s">
        <v>117</v>
      </c>
      <c r="BL414" t="s">
        <v>153</v>
      </c>
      <c r="BM414" t="s">
        <v>74</v>
      </c>
      <c r="BN414">
        <v>29858571</v>
      </c>
      <c r="BO414" t="s">
        <v>74</v>
      </c>
      <c r="BP414" t="s">
        <v>74</v>
      </c>
      <c r="BQ414" t="s">
        <v>74</v>
      </c>
      <c r="BR414" t="s">
        <v>96</v>
      </c>
      <c r="BS414" t="s">
        <v>28518</v>
      </c>
      <c r="BT414" t="str">
        <f>HYPERLINK("https%3A%2F%2Fwww.webofscience.com%2Fwos%2Fwoscc%2Ffull-record%2FWOS:000433889400001","View Full Record in Web of Science")</f>
        <v>View Full Record in Web of Science</v>
      </c>
    </row>
    <row r="415" spans="1:72" x14ac:dyDescent="0.15">
      <c r="A415" t="s">
        <v>98</v>
      </c>
      <c r="B415" t="s">
        <v>28747</v>
      </c>
      <c r="C415" t="s">
        <v>74</v>
      </c>
      <c r="D415" t="s">
        <v>74</v>
      </c>
      <c r="E415" t="s">
        <v>74</v>
      </c>
      <c r="F415" t="s">
        <v>28748</v>
      </c>
      <c r="G415" t="s">
        <v>74</v>
      </c>
      <c r="H415" t="s">
        <v>74</v>
      </c>
      <c r="I415" t="s">
        <v>28749</v>
      </c>
      <c r="J415" t="s">
        <v>4828</v>
      </c>
      <c r="K415" t="s">
        <v>74</v>
      </c>
      <c r="L415" t="s">
        <v>74</v>
      </c>
      <c r="M415" t="s">
        <v>74</v>
      </c>
      <c r="N415" t="s">
        <v>103</v>
      </c>
      <c r="O415" t="s">
        <v>74</v>
      </c>
      <c r="P415" t="s">
        <v>74</v>
      </c>
      <c r="Q415" t="s">
        <v>74</v>
      </c>
      <c r="R415" t="s">
        <v>74</v>
      </c>
      <c r="S415" t="s">
        <v>74</v>
      </c>
      <c r="T415" t="s">
        <v>28750</v>
      </c>
      <c r="U415" t="s">
        <v>28751</v>
      </c>
      <c r="V415" t="s">
        <v>28752</v>
      </c>
      <c r="W415" t="s">
        <v>28753</v>
      </c>
      <c r="X415" t="s">
        <v>28754</v>
      </c>
      <c r="Y415" t="s">
        <v>28755</v>
      </c>
      <c r="Z415" t="s">
        <v>28756</v>
      </c>
      <c r="AA415" t="s">
        <v>28757</v>
      </c>
      <c r="AB415" t="s">
        <v>28758</v>
      </c>
      <c r="AC415" t="s">
        <v>74</v>
      </c>
      <c r="AD415" t="s">
        <v>74</v>
      </c>
      <c r="AE415" t="s">
        <v>74</v>
      </c>
      <c r="AF415" t="s">
        <v>74</v>
      </c>
      <c r="AG415">
        <v>39</v>
      </c>
      <c r="AH415">
        <v>49</v>
      </c>
      <c r="AI415">
        <v>49</v>
      </c>
      <c r="AJ415">
        <v>13</v>
      </c>
      <c r="AK415">
        <v>183</v>
      </c>
      <c r="AL415" t="s">
        <v>74</v>
      </c>
      <c r="AM415" t="s">
        <v>74</v>
      </c>
      <c r="AN415" t="s">
        <v>74</v>
      </c>
      <c r="AO415" t="s">
        <v>4836</v>
      </c>
      <c r="AP415" t="s">
        <v>4837</v>
      </c>
      <c r="AQ415" t="s">
        <v>74</v>
      </c>
      <c r="AR415" t="s">
        <v>74</v>
      </c>
      <c r="AS415" t="s">
        <v>74</v>
      </c>
      <c r="AT415" t="s">
        <v>28759</v>
      </c>
      <c r="AU415">
        <v>2015</v>
      </c>
      <c r="AV415">
        <v>54</v>
      </c>
      <c r="AW415">
        <v>29</v>
      </c>
      <c r="AX415" t="s">
        <v>74</v>
      </c>
      <c r="AY415" t="s">
        <v>74</v>
      </c>
      <c r="AZ415" t="s">
        <v>74</v>
      </c>
      <c r="BA415" t="s">
        <v>74</v>
      </c>
      <c r="BB415">
        <v>8398</v>
      </c>
      <c r="BC415">
        <v>8401</v>
      </c>
      <c r="BD415" t="s">
        <v>74</v>
      </c>
      <c r="BE415" t="s">
        <v>28760</v>
      </c>
      <c r="BF415" t="str">
        <f>HYPERLINK("http://dx.doi.org/10.1002/anie.201502886","http://dx.doi.org/10.1002/anie.201502886")</f>
        <v>http://dx.doi.org/10.1002/anie.201502886</v>
      </c>
      <c r="BG415" t="s">
        <v>74</v>
      </c>
      <c r="BH415" t="s">
        <v>74</v>
      </c>
      <c r="BI415" t="s">
        <v>74</v>
      </c>
      <c r="BJ415" t="s">
        <v>1047</v>
      </c>
      <c r="BK415" t="s">
        <v>117</v>
      </c>
      <c r="BL415" t="s">
        <v>1048</v>
      </c>
      <c r="BM415" t="s">
        <v>74</v>
      </c>
      <c r="BN415">
        <v>26012895</v>
      </c>
      <c r="BO415" t="s">
        <v>74</v>
      </c>
      <c r="BP415" t="s">
        <v>74</v>
      </c>
      <c r="BQ415" t="s">
        <v>74</v>
      </c>
      <c r="BR415" t="s">
        <v>96</v>
      </c>
      <c r="BS415" t="s">
        <v>28761</v>
      </c>
      <c r="BT415" t="str">
        <f>HYPERLINK("https%3A%2F%2Fwww.webofscience.com%2Fwos%2Fwoscc%2Ffull-record%2FWOS:000358050300012","View Full Record in Web of Science")</f>
        <v>View Full Record in Web of Science</v>
      </c>
    </row>
    <row r="416" spans="1:72" x14ac:dyDescent="0.15">
      <c r="A416" t="s">
        <v>98</v>
      </c>
      <c r="B416" t="s">
        <v>233</v>
      </c>
      <c r="C416" t="s">
        <v>74</v>
      </c>
      <c r="D416" t="s">
        <v>74</v>
      </c>
      <c r="E416" t="s">
        <v>74</v>
      </c>
      <c r="F416" t="s">
        <v>234</v>
      </c>
      <c r="G416" t="s">
        <v>74</v>
      </c>
      <c r="H416" t="s">
        <v>74</v>
      </c>
      <c r="I416" t="s">
        <v>235</v>
      </c>
      <c r="J416" t="s">
        <v>236</v>
      </c>
      <c r="K416" t="s">
        <v>74</v>
      </c>
      <c r="L416" t="s">
        <v>74</v>
      </c>
      <c r="M416" t="s">
        <v>74</v>
      </c>
      <c r="N416" t="s">
        <v>103</v>
      </c>
      <c r="O416" t="s">
        <v>74</v>
      </c>
      <c r="P416" t="s">
        <v>74</v>
      </c>
      <c r="Q416" t="s">
        <v>74</v>
      </c>
      <c r="R416" t="s">
        <v>74</v>
      </c>
      <c r="S416" t="s">
        <v>74</v>
      </c>
      <c r="T416" t="s">
        <v>237</v>
      </c>
      <c r="U416" t="s">
        <v>238</v>
      </c>
      <c r="V416" t="s">
        <v>239</v>
      </c>
      <c r="W416" t="s">
        <v>240</v>
      </c>
      <c r="X416" t="s">
        <v>241</v>
      </c>
      <c r="Y416" t="s">
        <v>242</v>
      </c>
      <c r="Z416" t="s">
        <v>243</v>
      </c>
      <c r="AA416" t="s">
        <v>244</v>
      </c>
      <c r="AB416" t="s">
        <v>245</v>
      </c>
      <c r="AC416" t="s">
        <v>74</v>
      </c>
      <c r="AD416" t="s">
        <v>74</v>
      </c>
      <c r="AE416" t="s">
        <v>74</v>
      </c>
      <c r="AF416" t="s">
        <v>74</v>
      </c>
      <c r="AG416">
        <v>39</v>
      </c>
      <c r="AH416">
        <v>48</v>
      </c>
      <c r="AI416">
        <v>48</v>
      </c>
      <c r="AJ416">
        <v>22</v>
      </c>
      <c r="AK416">
        <v>150</v>
      </c>
      <c r="AL416" t="s">
        <v>74</v>
      </c>
      <c r="AM416" t="s">
        <v>74</v>
      </c>
      <c r="AN416" t="s">
        <v>74</v>
      </c>
      <c r="AO416" t="s">
        <v>246</v>
      </c>
      <c r="AP416" t="s">
        <v>247</v>
      </c>
      <c r="AQ416" t="s">
        <v>74</v>
      </c>
      <c r="AR416" t="s">
        <v>74</v>
      </c>
      <c r="AS416" t="s">
        <v>74</v>
      </c>
      <c r="AT416" t="s">
        <v>211</v>
      </c>
      <c r="AU416">
        <v>2019</v>
      </c>
      <c r="AV416">
        <v>15</v>
      </c>
      <c r="AW416">
        <v>47</v>
      </c>
      <c r="AX416" t="s">
        <v>74</v>
      </c>
      <c r="AY416" t="s">
        <v>74</v>
      </c>
      <c r="AZ416" t="s">
        <v>74</v>
      </c>
      <c r="BA416" t="s">
        <v>74</v>
      </c>
      <c r="BB416" t="s">
        <v>74</v>
      </c>
      <c r="BC416" t="s">
        <v>74</v>
      </c>
      <c r="BD416">
        <v>1903761</v>
      </c>
      <c r="BE416" t="s">
        <v>248</v>
      </c>
      <c r="BF416" t="str">
        <f>HYPERLINK("http://dx.doi.org/10.1002/smll.201903761","http://dx.doi.org/10.1002/smll.201903761")</f>
        <v>http://dx.doi.org/10.1002/smll.201903761</v>
      </c>
      <c r="BG416" t="s">
        <v>74</v>
      </c>
      <c r="BH416" t="s">
        <v>249</v>
      </c>
      <c r="BI416" t="s">
        <v>74</v>
      </c>
      <c r="BJ416" t="s">
        <v>250</v>
      </c>
      <c r="BK416" t="s">
        <v>117</v>
      </c>
      <c r="BL416" t="s">
        <v>251</v>
      </c>
      <c r="BM416" t="s">
        <v>74</v>
      </c>
      <c r="BN416">
        <v>31614072</v>
      </c>
      <c r="BO416" t="s">
        <v>74</v>
      </c>
      <c r="BP416" t="s">
        <v>74</v>
      </c>
      <c r="BQ416" t="s">
        <v>74</v>
      </c>
      <c r="BR416" t="s">
        <v>96</v>
      </c>
      <c r="BS416" t="s">
        <v>252</v>
      </c>
      <c r="BT416" t="str">
        <f>HYPERLINK("https%3A%2F%2Fwww.webofscience.com%2Fwos%2Fwoscc%2Ffull-record%2FWOS:000490359800001","View Full Record in Web of Science")</f>
        <v>View Full Record in Web of Science</v>
      </c>
    </row>
    <row r="417" spans="1:72" x14ac:dyDescent="0.15">
      <c r="A417" t="s">
        <v>98</v>
      </c>
      <c r="B417" t="s">
        <v>2423</v>
      </c>
      <c r="C417" t="s">
        <v>74</v>
      </c>
      <c r="D417" t="s">
        <v>74</v>
      </c>
      <c r="E417" t="s">
        <v>74</v>
      </c>
      <c r="F417" t="s">
        <v>2424</v>
      </c>
      <c r="G417" t="s">
        <v>74</v>
      </c>
      <c r="H417" t="s">
        <v>74</v>
      </c>
      <c r="I417" t="s">
        <v>2425</v>
      </c>
      <c r="J417" t="s">
        <v>2426</v>
      </c>
      <c r="K417" t="s">
        <v>74</v>
      </c>
      <c r="L417" t="s">
        <v>74</v>
      </c>
      <c r="M417" t="s">
        <v>74</v>
      </c>
      <c r="N417" t="s">
        <v>103</v>
      </c>
      <c r="O417" t="s">
        <v>74</v>
      </c>
      <c r="P417" t="s">
        <v>74</v>
      </c>
      <c r="Q417" t="s">
        <v>74</v>
      </c>
      <c r="R417" t="s">
        <v>74</v>
      </c>
      <c r="S417" t="s">
        <v>74</v>
      </c>
      <c r="T417" t="s">
        <v>2427</v>
      </c>
      <c r="U417" t="s">
        <v>2428</v>
      </c>
      <c r="V417" t="s">
        <v>2429</v>
      </c>
      <c r="W417" t="s">
        <v>2430</v>
      </c>
      <c r="X417" t="s">
        <v>2431</v>
      </c>
      <c r="Y417" t="s">
        <v>2432</v>
      </c>
      <c r="Z417" t="s">
        <v>2433</v>
      </c>
      <c r="AA417" t="s">
        <v>74</v>
      </c>
      <c r="AB417" t="s">
        <v>2434</v>
      </c>
      <c r="AC417" t="s">
        <v>74</v>
      </c>
      <c r="AD417" t="s">
        <v>74</v>
      </c>
      <c r="AE417" t="s">
        <v>74</v>
      </c>
      <c r="AF417" t="s">
        <v>74</v>
      </c>
      <c r="AG417">
        <v>52</v>
      </c>
      <c r="AH417">
        <v>48</v>
      </c>
      <c r="AI417">
        <v>49</v>
      </c>
      <c r="AJ417">
        <v>1</v>
      </c>
      <c r="AK417">
        <v>6</v>
      </c>
      <c r="AL417" t="s">
        <v>74</v>
      </c>
      <c r="AM417" t="s">
        <v>74</v>
      </c>
      <c r="AN417" t="s">
        <v>74</v>
      </c>
      <c r="AO417" t="s">
        <v>2435</v>
      </c>
      <c r="AP417" t="s">
        <v>2436</v>
      </c>
      <c r="AQ417" t="s">
        <v>74</v>
      </c>
      <c r="AR417" t="s">
        <v>74</v>
      </c>
      <c r="AS417" t="s">
        <v>74</v>
      </c>
      <c r="AT417" t="s">
        <v>614</v>
      </c>
      <c r="AU417">
        <v>2016</v>
      </c>
      <c r="AV417">
        <v>111</v>
      </c>
      <c r="AW417">
        <v>1</v>
      </c>
      <c r="AX417" t="s">
        <v>74</v>
      </c>
      <c r="AY417" t="s">
        <v>74</v>
      </c>
      <c r="AZ417" t="s">
        <v>74</v>
      </c>
      <c r="BA417" t="s">
        <v>74</v>
      </c>
      <c r="BB417">
        <v>22</v>
      </c>
      <c r="BC417">
        <v>32</v>
      </c>
      <c r="BD417" t="s">
        <v>74</v>
      </c>
      <c r="BE417" t="s">
        <v>2437</v>
      </c>
      <c r="BF417" t="str">
        <f>HYPERLINK("http://dx.doi.org/10.1111/vox.12390","http://dx.doi.org/10.1111/vox.12390")</f>
        <v>http://dx.doi.org/10.1111/vox.12390</v>
      </c>
      <c r="BG417" t="s">
        <v>74</v>
      </c>
      <c r="BH417" t="s">
        <v>74</v>
      </c>
      <c r="BI417" t="s">
        <v>74</v>
      </c>
      <c r="BJ417" t="s">
        <v>2438</v>
      </c>
      <c r="BK417" t="s">
        <v>117</v>
      </c>
      <c r="BL417" t="s">
        <v>2438</v>
      </c>
      <c r="BM417" t="s">
        <v>74</v>
      </c>
      <c r="BN417">
        <v>26918437</v>
      </c>
      <c r="BO417" t="s">
        <v>74</v>
      </c>
      <c r="BP417" t="s">
        <v>74</v>
      </c>
      <c r="BQ417" t="s">
        <v>74</v>
      </c>
      <c r="BR417" t="s">
        <v>96</v>
      </c>
      <c r="BS417" t="s">
        <v>2439</v>
      </c>
      <c r="BT417" t="str">
        <f>HYPERLINK("https%3A%2F%2Fwww.webofscience.com%2Fwos%2Fwoscc%2Ffull-record%2FWOS:000382772900004","View Full Record in Web of Science")</f>
        <v>View Full Record in Web of Science</v>
      </c>
    </row>
    <row r="418" spans="1:72" x14ac:dyDescent="0.15">
      <c r="A418" t="s">
        <v>98</v>
      </c>
      <c r="B418" t="s">
        <v>7585</v>
      </c>
      <c r="C418" t="s">
        <v>74</v>
      </c>
      <c r="D418" t="s">
        <v>74</v>
      </c>
      <c r="E418" t="s">
        <v>74</v>
      </c>
      <c r="F418" t="s">
        <v>7586</v>
      </c>
      <c r="G418" t="s">
        <v>74</v>
      </c>
      <c r="H418" t="s">
        <v>74</v>
      </c>
      <c r="I418" t="s">
        <v>7587</v>
      </c>
      <c r="J418" t="s">
        <v>7588</v>
      </c>
      <c r="K418" t="s">
        <v>74</v>
      </c>
      <c r="L418" t="s">
        <v>74</v>
      </c>
      <c r="M418" t="s">
        <v>74</v>
      </c>
      <c r="N418" t="s">
        <v>103</v>
      </c>
      <c r="O418" t="s">
        <v>74</v>
      </c>
      <c r="P418" t="s">
        <v>74</v>
      </c>
      <c r="Q418" t="s">
        <v>74</v>
      </c>
      <c r="R418" t="s">
        <v>74</v>
      </c>
      <c r="S418" t="s">
        <v>74</v>
      </c>
      <c r="T418" t="s">
        <v>74</v>
      </c>
      <c r="U418" t="s">
        <v>7589</v>
      </c>
      <c r="V418" t="s">
        <v>7590</v>
      </c>
      <c r="W418" t="s">
        <v>7591</v>
      </c>
      <c r="X418" t="s">
        <v>7592</v>
      </c>
      <c r="Y418" t="s">
        <v>7593</v>
      </c>
      <c r="Z418" t="s">
        <v>7594</v>
      </c>
      <c r="AA418" t="s">
        <v>7595</v>
      </c>
      <c r="AB418" t="s">
        <v>7596</v>
      </c>
      <c r="AC418" t="s">
        <v>74</v>
      </c>
      <c r="AD418" t="s">
        <v>74</v>
      </c>
      <c r="AE418" t="s">
        <v>74</v>
      </c>
      <c r="AF418" t="s">
        <v>74</v>
      </c>
      <c r="AG418">
        <v>90</v>
      </c>
      <c r="AH418">
        <v>48</v>
      </c>
      <c r="AI418">
        <v>49</v>
      </c>
      <c r="AJ418">
        <v>2</v>
      </c>
      <c r="AK418">
        <v>35</v>
      </c>
      <c r="AL418" t="s">
        <v>74</v>
      </c>
      <c r="AM418" t="s">
        <v>74</v>
      </c>
      <c r="AN418" t="s">
        <v>74</v>
      </c>
      <c r="AO418" t="s">
        <v>7597</v>
      </c>
      <c r="AP418" t="s">
        <v>7598</v>
      </c>
      <c r="AQ418" t="s">
        <v>74</v>
      </c>
      <c r="AR418" t="s">
        <v>74</v>
      </c>
      <c r="AS418" t="s">
        <v>74</v>
      </c>
      <c r="AT418" t="s">
        <v>283</v>
      </c>
      <c r="AU418">
        <v>2017</v>
      </c>
      <c r="AV418">
        <v>11</v>
      </c>
      <c r="AW418">
        <v>2</v>
      </c>
      <c r="AX418" t="s">
        <v>74</v>
      </c>
      <c r="AY418" t="s">
        <v>74</v>
      </c>
      <c r="AZ418" t="s">
        <v>74</v>
      </c>
      <c r="BA418" t="s">
        <v>74</v>
      </c>
      <c r="BB418">
        <v>394</v>
      </c>
      <c r="BC418">
        <v>404</v>
      </c>
      <c r="BD418" t="s">
        <v>74</v>
      </c>
      <c r="BE418" t="s">
        <v>7599</v>
      </c>
      <c r="BF418" t="str">
        <f>HYPERLINK("http://dx.doi.org/10.1038/ismej.2016.134","http://dx.doi.org/10.1038/ismej.2016.134")</f>
        <v>http://dx.doi.org/10.1038/ismej.2016.134</v>
      </c>
      <c r="BG418" t="s">
        <v>74</v>
      </c>
      <c r="BH418" t="s">
        <v>74</v>
      </c>
      <c r="BI418" t="s">
        <v>74</v>
      </c>
      <c r="BJ418" t="s">
        <v>7600</v>
      </c>
      <c r="BK418" t="s">
        <v>117</v>
      </c>
      <c r="BL418" t="s">
        <v>7601</v>
      </c>
      <c r="BM418" t="s">
        <v>74</v>
      </c>
      <c r="BN418">
        <v>27824343</v>
      </c>
      <c r="BO418" t="s">
        <v>74</v>
      </c>
      <c r="BP418" t="s">
        <v>74</v>
      </c>
      <c r="BQ418" t="s">
        <v>74</v>
      </c>
      <c r="BR418" t="s">
        <v>96</v>
      </c>
      <c r="BS418" t="s">
        <v>7602</v>
      </c>
      <c r="BT418" t="str">
        <f>HYPERLINK("https%3A%2F%2Fwww.webofscience.com%2Fwos%2Fwoscc%2Ffull-record%2FWOS:000394541500009","View Full Record in Web of Science")</f>
        <v>View Full Record in Web of Science</v>
      </c>
    </row>
    <row r="419" spans="1:72" x14ac:dyDescent="0.15">
      <c r="A419" t="s">
        <v>98</v>
      </c>
      <c r="B419" t="s">
        <v>19416</v>
      </c>
      <c r="C419" t="s">
        <v>74</v>
      </c>
      <c r="D419" t="s">
        <v>74</v>
      </c>
      <c r="E419" t="s">
        <v>74</v>
      </c>
      <c r="F419" t="s">
        <v>19417</v>
      </c>
      <c r="G419" t="s">
        <v>74</v>
      </c>
      <c r="H419" t="s">
        <v>74</v>
      </c>
      <c r="I419" t="s">
        <v>19418</v>
      </c>
      <c r="J419" t="s">
        <v>17891</v>
      </c>
      <c r="K419" t="s">
        <v>74</v>
      </c>
      <c r="L419" t="s">
        <v>74</v>
      </c>
      <c r="M419" t="s">
        <v>74</v>
      </c>
      <c r="N419" t="s">
        <v>103</v>
      </c>
      <c r="O419" t="s">
        <v>74</v>
      </c>
      <c r="P419" t="s">
        <v>74</v>
      </c>
      <c r="Q419" t="s">
        <v>74</v>
      </c>
      <c r="R419" t="s">
        <v>74</v>
      </c>
      <c r="S419" t="s">
        <v>74</v>
      </c>
      <c r="T419" t="s">
        <v>19419</v>
      </c>
      <c r="U419" t="s">
        <v>19420</v>
      </c>
      <c r="V419" t="s">
        <v>19421</v>
      </c>
      <c r="W419" t="s">
        <v>19422</v>
      </c>
      <c r="X419" t="s">
        <v>19423</v>
      </c>
      <c r="Y419" t="s">
        <v>19424</v>
      </c>
      <c r="Z419" t="s">
        <v>19425</v>
      </c>
      <c r="AA419" t="s">
        <v>19426</v>
      </c>
      <c r="AB419" t="s">
        <v>19427</v>
      </c>
      <c r="AC419" t="s">
        <v>74</v>
      </c>
      <c r="AD419" t="s">
        <v>74</v>
      </c>
      <c r="AE419" t="s">
        <v>74</v>
      </c>
      <c r="AF419" t="s">
        <v>74</v>
      </c>
      <c r="AG419">
        <v>28</v>
      </c>
      <c r="AH419">
        <v>48</v>
      </c>
      <c r="AI419">
        <v>48</v>
      </c>
      <c r="AJ419">
        <v>0</v>
      </c>
      <c r="AK419">
        <v>18</v>
      </c>
      <c r="AL419" t="s">
        <v>74</v>
      </c>
      <c r="AM419" t="s">
        <v>74</v>
      </c>
      <c r="AN419" t="s">
        <v>74</v>
      </c>
      <c r="AO419" t="s">
        <v>17904</v>
      </c>
      <c r="AP419" t="s">
        <v>17905</v>
      </c>
      <c r="AQ419" t="s">
        <v>74</v>
      </c>
      <c r="AR419" t="s">
        <v>74</v>
      </c>
      <c r="AS419" t="s">
        <v>74</v>
      </c>
      <c r="AT419" t="s">
        <v>74</v>
      </c>
      <c r="AU419">
        <v>2015</v>
      </c>
      <c r="AV419">
        <v>27</v>
      </c>
      <c r="AW419">
        <v>6</v>
      </c>
      <c r="AX419" t="s">
        <v>74</v>
      </c>
      <c r="AY419" t="s">
        <v>74</v>
      </c>
      <c r="AZ419" t="s">
        <v>447</v>
      </c>
      <c r="BA419" t="s">
        <v>74</v>
      </c>
      <c r="BB419">
        <v>897</v>
      </c>
      <c r="BC419">
        <v>905</v>
      </c>
      <c r="BD419" t="s">
        <v>74</v>
      </c>
      <c r="BE419" t="s">
        <v>19428</v>
      </c>
      <c r="BF419" t="str">
        <f>HYPERLINK("http://dx.doi.org/10.1071/RD14452","http://dx.doi.org/10.1071/RD14452")</f>
        <v>http://dx.doi.org/10.1071/RD14452</v>
      </c>
      <c r="BG419" t="s">
        <v>74</v>
      </c>
      <c r="BH419" t="s">
        <v>74</v>
      </c>
      <c r="BI419" t="s">
        <v>74</v>
      </c>
      <c r="BJ419" t="s">
        <v>17907</v>
      </c>
      <c r="BK419" t="s">
        <v>117</v>
      </c>
      <c r="BL419" t="s">
        <v>17907</v>
      </c>
      <c r="BM419" t="s">
        <v>74</v>
      </c>
      <c r="BN419">
        <v>25945781</v>
      </c>
      <c r="BO419" t="s">
        <v>74</v>
      </c>
      <c r="BP419" t="s">
        <v>74</v>
      </c>
      <c r="BQ419" t="s">
        <v>74</v>
      </c>
      <c r="BR419" t="s">
        <v>96</v>
      </c>
      <c r="BS419" t="s">
        <v>19429</v>
      </c>
      <c r="BT419" t="str">
        <f>HYPERLINK("https%3A%2F%2Fwww.webofscience.com%2Fwos%2Fwoscc%2Ffull-record%2FWOS:000357876800004","View Full Record in Web of Science")</f>
        <v>View Full Record in Web of Science</v>
      </c>
    </row>
    <row r="420" spans="1:72" x14ac:dyDescent="0.15">
      <c r="A420" t="s">
        <v>98</v>
      </c>
      <c r="B420" t="s">
        <v>19809</v>
      </c>
      <c r="C420" t="s">
        <v>74</v>
      </c>
      <c r="D420" t="s">
        <v>74</v>
      </c>
      <c r="E420" t="s">
        <v>74</v>
      </c>
      <c r="F420" t="s">
        <v>19810</v>
      </c>
      <c r="G420" t="s">
        <v>74</v>
      </c>
      <c r="H420" t="s">
        <v>74</v>
      </c>
      <c r="I420" t="s">
        <v>19811</v>
      </c>
      <c r="J420" t="s">
        <v>12261</v>
      </c>
      <c r="K420" t="s">
        <v>74</v>
      </c>
      <c r="L420" t="s">
        <v>74</v>
      </c>
      <c r="M420" t="s">
        <v>74</v>
      </c>
      <c r="N420" t="s">
        <v>103</v>
      </c>
      <c r="O420" t="s">
        <v>74</v>
      </c>
      <c r="P420" t="s">
        <v>74</v>
      </c>
      <c r="Q420" t="s">
        <v>74</v>
      </c>
      <c r="R420" t="s">
        <v>74</v>
      </c>
      <c r="S420" t="s">
        <v>74</v>
      </c>
      <c r="T420" t="s">
        <v>74</v>
      </c>
      <c r="U420" t="s">
        <v>19812</v>
      </c>
      <c r="V420" t="s">
        <v>19813</v>
      </c>
      <c r="W420" t="s">
        <v>19814</v>
      </c>
      <c r="X420" t="s">
        <v>19815</v>
      </c>
      <c r="Y420" t="s">
        <v>19816</v>
      </c>
      <c r="Z420" t="s">
        <v>19817</v>
      </c>
      <c r="AA420" t="s">
        <v>19818</v>
      </c>
      <c r="AB420" t="s">
        <v>19819</v>
      </c>
      <c r="AC420" t="s">
        <v>74</v>
      </c>
      <c r="AD420" t="s">
        <v>74</v>
      </c>
      <c r="AE420" t="s">
        <v>74</v>
      </c>
      <c r="AF420" t="s">
        <v>74</v>
      </c>
      <c r="AG420">
        <v>47</v>
      </c>
      <c r="AH420">
        <v>48</v>
      </c>
      <c r="AI420">
        <v>51</v>
      </c>
      <c r="AJ420">
        <v>0</v>
      </c>
      <c r="AK420">
        <v>5</v>
      </c>
      <c r="AL420" t="s">
        <v>74</v>
      </c>
      <c r="AM420" t="s">
        <v>74</v>
      </c>
      <c r="AN420" t="s">
        <v>74</v>
      </c>
      <c r="AO420" t="s">
        <v>12268</v>
      </c>
      <c r="AP420" t="s">
        <v>12269</v>
      </c>
      <c r="AQ420" t="s">
        <v>74</v>
      </c>
      <c r="AR420" t="s">
        <v>74</v>
      </c>
      <c r="AS420" t="s">
        <v>74</v>
      </c>
      <c r="AT420" t="s">
        <v>1321</v>
      </c>
      <c r="AU420">
        <v>2016</v>
      </c>
      <c r="AV420">
        <v>22</v>
      </c>
      <c r="AW420">
        <v>19</v>
      </c>
      <c r="AX420" t="s">
        <v>74</v>
      </c>
      <c r="AY420" t="s">
        <v>74</v>
      </c>
      <c r="AZ420" t="s">
        <v>74</v>
      </c>
      <c r="BA420" t="s">
        <v>74</v>
      </c>
      <c r="BB420">
        <v>4817</v>
      </c>
      <c r="BC420">
        <v>4826</v>
      </c>
      <c r="BD420" t="s">
        <v>74</v>
      </c>
      <c r="BE420" t="s">
        <v>19820</v>
      </c>
      <c r="BF420" t="str">
        <f>HYPERLINK("http://dx.doi.org/10.1158/1078-0432.CCR-16-0138","http://dx.doi.org/10.1158/1078-0432.CCR-16-0138")</f>
        <v>http://dx.doi.org/10.1158/1078-0432.CCR-16-0138</v>
      </c>
      <c r="BG420" t="s">
        <v>74</v>
      </c>
      <c r="BH420" t="s">
        <v>74</v>
      </c>
      <c r="BI420" t="s">
        <v>74</v>
      </c>
      <c r="BJ420" t="s">
        <v>267</v>
      </c>
      <c r="BK420" t="s">
        <v>117</v>
      </c>
      <c r="BL420" t="s">
        <v>267</v>
      </c>
      <c r="BM420" t="s">
        <v>74</v>
      </c>
      <c r="BN420">
        <v>27259562</v>
      </c>
      <c r="BO420" t="s">
        <v>74</v>
      </c>
      <c r="BP420" t="s">
        <v>74</v>
      </c>
      <c r="BQ420" t="s">
        <v>74</v>
      </c>
      <c r="BR420" t="s">
        <v>96</v>
      </c>
      <c r="BS420" t="s">
        <v>19821</v>
      </c>
      <c r="BT420" t="str">
        <f>HYPERLINK("https%3A%2F%2Fwww.webofscience.com%2Fwos%2Fwoscc%2Ffull-record%2FWOS:000385630500009","View Full Record in Web of Science")</f>
        <v>View Full Record in Web of Science</v>
      </c>
    </row>
    <row r="421" spans="1:72" x14ac:dyDescent="0.15">
      <c r="A421" t="s">
        <v>98</v>
      </c>
      <c r="B421" t="s">
        <v>20709</v>
      </c>
      <c r="C421" t="s">
        <v>74</v>
      </c>
      <c r="D421" t="s">
        <v>74</v>
      </c>
      <c r="E421" t="s">
        <v>74</v>
      </c>
      <c r="F421" t="s">
        <v>20710</v>
      </c>
      <c r="G421" t="s">
        <v>74</v>
      </c>
      <c r="H421" t="s">
        <v>74</v>
      </c>
      <c r="I421" t="s">
        <v>20711</v>
      </c>
      <c r="J421" t="s">
        <v>20712</v>
      </c>
      <c r="K421" t="s">
        <v>74</v>
      </c>
      <c r="L421" t="s">
        <v>74</v>
      </c>
      <c r="M421" t="s">
        <v>74</v>
      </c>
      <c r="N421" t="s">
        <v>103</v>
      </c>
      <c r="O421" t="s">
        <v>74</v>
      </c>
      <c r="P421" t="s">
        <v>74</v>
      </c>
      <c r="Q421" t="s">
        <v>74</v>
      </c>
      <c r="R421" t="s">
        <v>74</v>
      </c>
      <c r="S421" t="s">
        <v>74</v>
      </c>
      <c r="T421" t="s">
        <v>74</v>
      </c>
      <c r="U421" t="s">
        <v>20713</v>
      </c>
      <c r="V421" t="s">
        <v>20714</v>
      </c>
      <c r="W421" t="s">
        <v>20715</v>
      </c>
      <c r="X421" t="s">
        <v>20716</v>
      </c>
      <c r="Y421" t="s">
        <v>20717</v>
      </c>
      <c r="Z421" t="s">
        <v>20718</v>
      </c>
      <c r="AA421" t="s">
        <v>20719</v>
      </c>
      <c r="AB421" t="s">
        <v>20720</v>
      </c>
      <c r="AC421" t="s">
        <v>74</v>
      </c>
      <c r="AD421" t="s">
        <v>74</v>
      </c>
      <c r="AE421" t="s">
        <v>74</v>
      </c>
      <c r="AF421" t="s">
        <v>74</v>
      </c>
      <c r="AG421">
        <v>53</v>
      </c>
      <c r="AH421">
        <v>48</v>
      </c>
      <c r="AI421">
        <v>49</v>
      </c>
      <c r="AJ421">
        <v>5</v>
      </c>
      <c r="AK421">
        <v>39</v>
      </c>
      <c r="AL421" t="s">
        <v>74</v>
      </c>
      <c r="AM421" t="s">
        <v>74</v>
      </c>
      <c r="AN421" t="s">
        <v>74</v>
      </c>
      <c r="AO421" t="s">
        <v>20721</v>
      </c>
      <c r="AP421" t="s">
        <v>74</v>
      </c>
      <c r="AQ421" t="s">
        <v>74</v>
      </c>
      <c r="AR421" t="s">
        <v>74</v>
      </c>
      <c r="AS421" t="s">
        <v>74</v>
      </c>
      <c r="AT421" t="s">
        <v>132</v>
      </c>
      <c r="AU421">
        <v>2019</v>
      </c>
      <c r="AV421">
        <v>4</v>
      </c>
      <c r="AW421">
        <v>4</v>
      </c>
      <c r="AX421" t="s">
        <v>74</v>
      </c>
      <c r="AY421" t="s">
        <v>74</v>
      </c>
      <c r="AZ421" t="s">
        <v>74</v>
      </c>
      <c r="BA421" t="s">
        <v>74</v>
      </c>
      <c r="BB421">
        <v>701</v>
      </c>
      <c r="BC421">
        <v>713</v>
      </c>
      <c r="BD421" t="s">
        <v>74</v>
      </c>
      <c r="BE421" t="s">
        <v>20722</v>
      </c>
      <c r="BF421" t="str">
        <f>HYPERLINK("http://dx.doi.org/10.1038/s41564-019-0367-z","http://dx.doi.org/10.1038/s41564-019-0367-z")</f>
        <v>http://dx.doi.org/10.1038/s41564-019-0367-z</v>
      </c>
      <c r="BG421" t="s">
        <v>74</v>
      </c>
      <c r="BH421" t="s">
        <v>74</v>
      </c>
      <c r="BI421" t="s">
        <v>74</v>
      </c>
      <c r="BJ421" t="s">
        <v>898</v>
      </c>
      <c r="BK421" t="s">
        <v>117</v>
      </c>
      <c r="BL421" t="s">
        <v>898</v>
      </c>
      <c r="BM421" t="s">
        <v>74</v>
      </c>
      <c r="BN421">
        <v>30804548</v>
      </c>
      <c r="BO421" t="s">
        <v>74</v>
      </c>
      <c r="BP421" t="s">
        <v>74</v>
      </c>
      <c r="BQ421" t="s">
        <v>74</v>
      </c>
      <c r="BR421" t="s">
        <v>96</v>
      </c>
      <c r="BS421" t="s">
        <v>20723</v>
      </c>
      <c r="BT421" t="str">
        <f>HYPERLINK("https%3A%2F%2Fwww.webofscience.com%2Fwos%2Fwoscc%2Ffull-record%2FWOS:000461999200023","View Full Record in Web of Science")</f>
        <v>View Full Record in Web of Science</v>
      </c>
    </row>
    <row r="422" spans="1:72" x14ac:dyDescent="0.15">
      <c r="A422" t="s">
        <v>98</v>
      </c>
      <c r="B422" t="s">
        <v>25229</v>
      </c>
      <c r="C422" t="s">
        <v>74</v>
      </c>
      <c r="D422" t="s">
        <v>74</v>
      </c>
      <c r="E422" t="s">
        <v>74</v>
      </c>
      <c r="F422" t="s">
        <v>25230</v>
      </c>
      <c r="G422" t="s">
        <v>74</v>
      </c>
      <c r="H422" t="s">
        <v>74</v>
      </c>
      <c r="I422" t="s">
        <v>25231</v>
      </c>
      <c r="J422" t="s">
        <v>140</v>
      </c>
      <c r="K422" t="s">
        <v>74</v>
      </c>
      <c r="L422" t="s">
        <v>74</v>
      </c>
      <c r="M422" t="s">
        <v>74</v>
      </c>
      <c r="N422" t="s">
        <v>103</v>
      </c>
      <c r="O422" t="s">
        <v>74</v>
      </c>
      <c r="P422" t="s">
        <v>74</v>
      </c>
      <c r="Q422" t="s">
        <v>74</v>
      </c>
      <c r="R422" t="s">
        <v>74</v>
      </c>
      <c r="S422" t="s">
        <v>74</v>
      </c>
      <c r="T422" t="s">
        <v>74</v>
      </c>
      <c r="U422" t="s">
        <v>25232</v>
      </c>
      <c r="V422" t="s">
        <v>25233</v>
      </c>
      <c r="W422" t="s">
        <v>25234</v>
      </c>
      <c r="X422" t="s">
        <v>25235</v>
      </c>
      <c r="Y422" t="s">
        <v>25236</v>
      </c>
      <c r="Z422" t="s">
        <v>25237</v>
      </c>
      <c r="AA422" t="s">
        <v>14995</v>
      </c>
      <c r="AB422" t="s">
        <v>25238</v>
      </c>
      <c r="AC422" t="s">
        <v>74</v>
      </c>
      <c r="AD422" t="s">
        <v>74</v>
      </c>
      <c r="AE422" t="s">
        <v>74</v>
      </c>
      <c r="AF422" t="s">
        <v>74</v>
      </c>
      <c r="AG422">
        <v>57</v>
      </c>
      <c r="AH422">
        <v>48</v>
      </c>
      <c r="AI422">
        <v>53</v>
      </c>
      <c r="AJ422">
        <v>0</v>
      </c>
      <c r="AK422">
        <v>6</v>
      </c>
      <c r="AL422" t="s">
        <v>74</v>
      </c>
      <c r="AM422" t="s">
        <v>74</v>
      </c>
      <c r="AN422" t="s">
        <v>74</v>
      </c>
      <c r="AO422" t="s">
        <v>149</v>
      </c>
      <c r="AP422" t="s">
        <v>74</v>
      </c>
      <c r="AQ422" t="s">
        <v>74</v>
      </c>
      <c r="AR422" t="s">
        <v>74</v>
      </c>
      <c r="AS422" t="s">
        <v>74</v>
      </c>
      <c r="AT422" t="s">
        <v>2081</v>
      </c>
      <c r="AU422">
        <v>2016</v>
      </c>
      <c r="AV422">
        <v>6</v>
      </c>
      <c r="AW422" t="s">
        <v>74</v>
      </c>
      <c r="AX422" t="s">
        <v>74</v>
      </c>
      <c r="AY422" t="s">
        <v>74</v>
      </c>
      <c r="AZ422" t="s">
        <v>74</v>
      </c>
      <c r="BA422" t="s">
        <v>74</v>
      </c>
      <c r="BB422" t="s">
        <v>74</v>
      </c>
      <c r="BC422" t="s">
        <v>74</v>
      </c>
      <c r="BD422">
        <v>30165</v>
      </c>
      <c r="BE422" t="s">
        <v>25239</v>
      </c>
      <c r="BF422" t="str">
        <f>HYPERLINK("http://dx.doi.org/10.1038/srep30165","http://dx.doi.org/10.1038/srep30165")</f>
        <v>http://dx.doi.org/10.1038/srep30165</v>
      </c>
      <c r="BG422" t="s">
        <v>74</v>
      </c>
      <c r="BH422" t="s">
        <v>74</v>
      </c>
      <c r="BI422" t="s">
        <v>74</v>
      </c>
      <c r="BJ422" t="s">
        <v>152</v>
      </c>
      <c r="BK422" t="s">
        <v>117</v>
      </c>
      <c r="BL422" t="s">
        <v>153</v>
      </c>
      <c r="BM422" t="s">
        <v>74</v>
      </c>
      <c r="BN422">
        <v>27417393</v>
      </c>
      <c r="BO422" t="s">
        <v>74</v>
      </c>
      <c r="BP422" t="s">
        <v>74</v>
      </c>
      <c r="BQ422" t="s">
        <v>74</v>
      </c>
      <c r="BR422" t="s">
        <v>96</v>
      </c>
      <c r="BS422" t="s">
        <v>25240</v>
      </c>
      <c r="BT422" t="str">
        <f>HYPERLINK("https%3A%2F%2Fwww.webofscience.com%2Fwos%2Fwoscc%2Ffull-record%2FWOS:000379733000001","View Full Record in Web of Science")</f>
        <v>View Full Record in Web of Science</v>
      </c>
    </row>
    <row r="423" spans="1:72" x14ac:dyDescent="0.15">
      <c r="A423" t="s">
        <v>98</v>
      </c>
      <c r="B423" t="s">
        <v>25944</v>
      </c>
      <c r="C423" t="s">
        <v>74</v>
      </c>
      <c r="D423" t="s">
        <v>74</v>
      </c>
      <c r="E423" t="s">
        <v>74</v>
      </c>
      <c r="F423" t="s">
        <v>25945</v>
      </c>
      <c r="G423" t="s">
        <v>74</v>
      </c>
      <c r="H423" t="s">
        <v>74</v>
      </c>
      <c r="I423" t="s">
        <v>25946</v>
      </c>
      <c r="J423" t="s">
        <v>20776</v>
      </c>
      <c r="K423" t="s">
        <v>74</v>
      </c>
      <c r="L423" t="s">
        <v>74</v>
      </c>
      <c r="M423" t="s">
        <v>74</v>
      </c>
      <c r="N423" t="s">
        <v>103</v>
      </c>
      <c r="O423" t="s">
        <v>74</v>
      </c>
      <c r="P423" t="s">
        <v>74</v>
      </c>
      <c r="Q423" t="s">
        <v>74</v>
      </c>
      <c r="R423" t="s">
        <v>74</v>
      </c>
      <c r="S423" t="s">
        <v>74</v>
      </c>
      <c r="T423" t="s">
        <v>25947</v>
      </c>
      <c r="U423" t="s">
        <v>25948</v>
      </c>
      <c r="V423" t="s">
        <v>25949</v>
      </c>
      <c r="W423" t="s">
        <v>25950</v>
      </c>
      <c r="X423" t="s">
        <v>25951</v>
      </c>
      <c r="Y423" t="s">
        <v>25952</v>
      </c>
      <c r="Z423" t="s">
        <v>25953</v>
      </c>
      <c r="AA423" t="s">
        <v>25954</v>
      </c>
      <c r="AB423" t="s">
        <v>25955</v>
      </c>
      <c r="AC423" t="s">
        <v>74</v>
      </c>
      <c r="AD423" t="s">
        <v>74</v>
      </c>
      <c r="AE423" t="s">
        <v>74</v>
      </c>
      <c r="AF423" t="s">
        <v>74</v>
      </c>
      <c r="AG423">
        <v>310</v>
      </c>
      <c r="AH423">
        <v>48</v>
      </c>
      <c r="AI423">
        <v>49</v>
      </c>
      <c r="AJ423">
        <v>2</v>
      </c>
      <c r="AK423">
        <v>48</v>
      </c>
      <c r="AL423" t="s">
        <v>74</v>
      </c>
      <c r="AM423" t="s">
        <v>74</v>
      </c>
      <c r="AN423" t="s">
        <v>74</v>
      </c>
      <c r="AO423" t="s">
        <v>20784</v>
      </c>
      <c r="AP423" t="s">
        <v>20785</v>
      </c>
      <c r="AQ423" t="s">
        <v>74</v>
      </c>
      <c r="AR423" t="s">
        <v>74</v>
      </c>
      <c r="AS423" t="s">
        <v>74</v>
      </c>
      <c r="AT423" t="s">
        <v>74</v>
      </c>
      <c r="AU423">
        <v>2015</v>
      </c>
      <c r="AV423">
        <v>21</v>
      </c>
      <c r="AW423">
        <v>42</v>
      </c>
      <c r="AX423" t="s">
        <v>74</v>
      </c>
      <c r="AY423" t="s">
        <v>74</v>
      </c>
      <c r="AZ423" t="s">
        <v>74</v>
      </c>
      <c r="BA423" t="s">
        <v>74</v>
      </c>
      <c r="BB423">
        <v>6214</v>
      </c>
      <c r="BC423">
        <v>6235</v>
      </c>
      <c r="BD423" t="s">
        <v>74</v>
      </c>
      <c r="BE423" t="s">
        <v>25956</v>
      </c>
      <c r="BF423" t="str">
        <f>HYPERLINK("http://dx.doi.org/10.2174/1381612821666151027153410","http://dx.doi.org/10.2174/1381612821666151027153410")</f>
        <v>http://dx.doi.org/10.2174/1381612821666151027153410</v>
      </c>
      <c r="BG423" t="s">
        <v>74</v>
      </c>
      <c r="BH423" t="s">
        <v>74</v>
      </c>
      <c r="BI423" t="s">
        <v>74</v>
      </c>
      <c r="BJ423" t="s">
        <v>533</v>
      </c>
      <c r="BK423" t="s">
        <v>117</v>
      </c>
      <c r="BL423" t="s">
        <v>533</v>
      </c>
      <c r="BM423" t="s">
        <v>74</v>
      </c>
      <c r="BN423">
        <v>26503143</v>
      </c>
      <c r="BO423" t="s">
        <v>74</v>
      </c>
      <c r="BP423" t="s">
        <v>74</v>
      </c>
      <c r="BQ423" t="s">
        <v>74</v>
      </c>
      <c r="BR423" t="s">
        <v>96</v>
      </c>
      <c r="BS423" t="s">
        <v>25957</v>
      </c>
      <c r="BT423" t="str">
        <f>HYPERLINK("https%3A%2F%2Fwww.webofscience.com%2Fwos%2Fwoscc%2Ffull-record%2FWOS:000366196700013","View Full Record in Web of Science")</f>
        <v>View Full Record in Web of Science</v>
      </c>
    </row>
    <row r="424" spans="1:72" x14ac:dyDescent="0.15">
      <c r="A424" t="s">
        <v>98</v>
      </c>
      <c r="B424" t="s">
        <v>26433</v>
      </c>
      <c r="C424" t="s">
        <v>74</v>
      </c>
      <c r="D424" t="s">
        <v>74</v>
      </c>
      <c r="E424" t="s">
        <v>74</v>
      </c>
      <c r="F424" t="s">
        <v>26434</v>
      </c>
      <c r="G424" t="s">
        <v>74</v>
      </c>
      <c r="H424" t="s">
        <v>74</v>
      </c>
      <c r="I424" t="s">
        <v>26435</v>
      </c>
      <c r="J424" t="s">
        <v>2536</v>
      </c>
      <c r="K424" t="s">
        <v>74</v>
      </c>
      <c r="L424" t="s">
        <v>74</v>
      </c>
      <c r="M424" t="s">
        <v>74</v>
      </c>
      <c r="N424" t="s">
        <v>103</v>
      </c>
      <c r="O424" t="s">
        <v>74</v>
      </c>
      <c r="P424" t="s">
        <v>74</v>
      </c>
      <c r="Q424" t="s">
        <v>74</v>
      </c>
      <c r="R424" t="s">
        <v>74</v>
      </c>
      <c r="S424" t="s">
        <v>74</v>
      </c>
      <c r="T424" t="s">
        <v>74</v>
      </c>
      <c r="U424" t="s">
        <v>26436</v>
      </c>
      <c r="V424" t="s">
        <v>26437</v>
      </c>
      <c r="W424" t="s">
        <v>26438</v>
      </c>
      <c r="X424" t="s">
        <v>26439</v>
      </c>
      <c r="Y424" t="s">
        <v>26440</v>
      </c>
      <c r="Z424" t="s">
        <v>26441</v>
      </c>
      <c r="AA424" t="s">
        <v>26442</v>
      </c>
      <c r="AB424" t="s">
        <v>26443</v>
      </c>
      <c r="AC424" t="s">
        <v>74</v>
      </c>
      <c r="AD424" t="s">
        <v>74</v>
      </c>
      <c r="AE424" t="s">
        <v>74</v>
      </c>
      <c r="AF424" t="s">
        <v>74</v>
      </c>
      <c r="AG424">
        <v>53</v>
      </c>
      <c r="AH424">
        <v>48</v>
      </c>
      <c r="AI424">
        <v>48</v>
      </c>
      <c r="AJ424">
        <v>0</v>
      </c>
      <c r="AK424">
        <v>1</v>
      </c>
      <c r="AL424" t="s">
        <v>74</v>
      </c>
      <c r="AM424" t="s">
        <v>74</v>
      </c>
      <c r="AN424" t="s">
        <v>74</v>
      </c>
      <c r="AO424" t="s">
        <v>2544</v>
      </c>
      <c r="AP424" t="s">
        <v>2545</v>
      </c>
      <c r="AQ424" t="s">
        <v>74</v>
      </c>
      <c r="AR424" t="s">
        <v>74</v>
      </c>
      <c r="AS424" t="s">
        <v>74</v>
      </c>
      <c r="AT424" t="s">
        <v>189</v>
      </c>
      <c r="AU424">
        <v>2010</v>
      </c>
      <c r="AV424">
        <v>84</v>
      </c>
      <c r="AW424">
        <v>20</v>
      </c>
      <c r="AX424" t="s">
        <v>74</v>
      </c>
      <c r="AY424" t="s">
        <v>74</v>
      </c>
      <c r="AZ424" t="s">
        <v>74</v>
      </c>
      <c r="BA424" t="s">
        <v>74</v>
      </c>
      <c r="BB424">
        <v>10661</v>
      </c>
      <c r="BC424">
        <v>10670</v>
      </c>
      <c r="BD424" t="s">
        <v>74</v>
      </c>
      <c r="BE424" t="s">
        <v>26444</v>
      </c>
      <c r="BF424" t="str">
        <f>HYPERLINK("http://dx.doi.org/10.1128/JVI.01081-10","http://dx.doi.org/10.1128/JVI.01081-10")</f>
        <v>http://dx.doi.org/10.1128/JVI.01081-10</v>
      </c>
      <c r="BG424" t="s">
        <v>74</v>
      </c>
      <c r="BH424" t="s">
        <v>74</v>
      </c>
      <c r="BI424" t="s">
        <v>74</v>
      </c>
      <c r="BJ424" t="s">
        <v>932</v>
      </c>
      <c r="BK424" t="s">
        <v>117</v>
      </c>
      <c r="BL424" t="s">
        <v>932</v>
      </c>
      <c r="BM424" t="s">
        <v>74</v>
      </c>
      <c r="BN424">
        <v>20702627</v>
      </c>
      <c r="BO424" t="s">
        <v>74</v>
      </c>
      <c r="BP424" t="s">
        <v>74</v>
      </c>
      <c r="BQ424" t="s">
        <v>74</v>
      </c>
      <c r="BR424" t="s">
        <v>96</v>
      </c>
      <c r="BS424" t="s">
        <v>26445</v>
      </c>
      <c r="BT424" t="str">
        <f>HYPERLINK("https%3A%2F%2Fwww.webofscience.com%2Fwos%2Fwoscc%2Ffull-record%2FWOS:000282642600021","View Full Record in Web of Science")</f>
        <v>View Full Record in Web of Science</v>
      </c>
    </row>
    <row r="425" spans="1:72" x14ac:dyDescent="0.15">
      <c r="A425" t="s">
        <v>98</v>
      </c>
      <c r="B425" t="s">
        <v>27778</v>
      </c>
      <c r="C425" t="s">
        <v>74</v>
      </c>
      <c r="D425" t="s">
        <v>74</v>
      </c>
      <c r="E425" t="s">
        <v>74</v>
      </c>
      <c r="F425" t="s">
        <v>27779</v>
      </c>
      <c r="G425" t="s">
        <v>74</v>
      </c>
      <c r="H425" t="s">
        <v>74</v>
      </c>
      <c r="I425" t="s">
        <v>27780</v>
      </c>
      <c r="J425" t="s">
        <v>1842</v>
      </c>
      <c r="K425" t="s">
        <v>74</v>
      </c>
      <c r="L425" t="s">
        <v>74</v>
      </c>
      <c r="M425" t="s">
        <v>74</v>
      </c>
      <c r="N425" t="s">
        <v>103</v>
      </c>
      <c r="O425" t="s">
        <v>74</v>
      </c>
      <c r="P425" t="s">
        <v>74</v>
      </c>
      <c r="Q425" t="s">
        <v>74</v>
      </c>
      <c r="R425" t="s">
        <v>74</v>
      </c>
      <c r="S425" t="s">
        <v>74</v>
      </c>
      <c r="T425" t="s">
        <v>27781</v>
      </c>
      <c r="U425" t="s">
        <v>27782</v>
      </c>
      <c r="V425" t="s">
        <v>27783</v>
      </c>
      <c r="W425" t="s">
        <v>27784</v>
      </c>
      <c r="X425" t="s">
        <v>27785</v>
      </c>
      <c r="Y425" t="s">
        <v>27786</v>
      </c>
      <c r="Z425" t="s">
        <v>27787</v>
      </c>
      <c r="AA425" t="s">
        <v>74</v>
      </c>
      <c r="AB425" t="s">
        <v>74</v>
      </c>
      <c r="AC425" t="s">
        <v>74</v>
      </c>
      <c r="AD425" t="s">
        <v>74</v>
      </c>
      <c r="AE425" t="s">
        <v>74</v>
      </c>
      <c r="AF425" t="s">
        <v>74</v>
      </c>
      <c r="AG425">
        <v>55</v>
      </c>
      <c r="AH425">
        <v>48</v>
      </c>
      <c r="AI425">
        <v>50</v>
      </c>
      <c r="AJ425">
        <v>0</v>
      </c>
      <c r="AK425">
        <v>17</v>
      </c>
      <c r="AL425" t="s">
        <v>74</v>
      </c>
      <c r="AM425" t="s">
        <v>74</v>
      </c>
      <c r="AN425" t="s">
        <v>74</v>
      </c>
      <c r="AO425" t="s">
        <v>1852</v>
      </c>
      <c r="AP425" t="s">
        <v>1853</v>
      </c>
      <c r="AQ425" t="s">
        <v>74</v>
      </c>
      <c r="AR425" t="s">
        <v>74</v>
      </c>
      <c r="AS425" t="s">
        <v>74</v>
      </c>
      <c r="AT425" t="s">
        <v>565</v>
      </c>
      <c r="AU425">
        <v>2014</v>
      </c>
      <c r="AV425">
        <v>23</v>
      </c>
      <c r="AW425">
        <v>3</v>
      </c>
      <c r="AX425" t="s">
        <v>74</v>
      </c>
      <c r="AY425" t="s">
        <v>74</v>
      </c>
      <c r="AZ425" t="s">
        <v>74</v>
      </c>
      <c r="BA425" t="s">
        <v>74</v>
      </c>
      <c r="BB425">
        <v>147</v>
      </c>
      <c r="BC425">
        <v>150</v>
      </c>
      <c r="BD425" t="s">
        <v>74</v>
      </c>
      <c r="BE425" t="s">
        <v>27788</v>
      </c>
      <c r="BF425" t="str">
        <f>HYPERLINK("http://dx.doi.org/10.1111/exd.12341","http://dx.doi.org/10.1111/exd.12341")</f>
        <v>http://dx.doi.org/10.1111/exd.12341</v>
      </c>
      <c r="BG425" t="s">
        <v>74</v>
      </c>
      <c r="BH425" t="s">
        <v>74</v>
      </c>
      <c r="BI425" t="s">
        <v>74</v>
      </c>
      <c r="BJ425" t="s">
        <v>1855</v>
      </c>
      <c r="BK425" t="s">
        <v>117</v>
      </c>
      <c r="BL425" t="s">
        <v>1855</v>
      </c>
      <c r="BM425" t="s">
        <v>74</v>
      </c>
      <c r="BN425">
        <v>24499465</v>
      </c>
      <c r="BO425" t="s">
        <v>74</v>
      </c>
      <c r="BP425" t="s">
        <v>74</v>
      </c>
      <c r="BQ425" t="s">
        <v>74</v>
      </c>
      <c r="BR425" t="s">
        <v>96</v>
      </c>
      <c r="BS425" t="s">
        <v>27789</v>
      </c>
      <c r="BT425" t="str">
        <f>HYPERLINK("https%3A%2F%2Fwww.webofscience.com%2Fwos%2Fwoscc%2Ffull-record%2FWOS:000332335500330","View Full Record in Web of Science")</f>
        <v>View Full Record in Web of Science</v>
      </c>
    </row>
    <row r="426" spans="1:72" x14ac:dyDescent="0.15">
      <c r="A426" t="s">
        <v>98</v>
      </c>
      <c r="B426" t="s">
        <v>3208</v>
      </c>
      <c r="C426" t="s">
        <v>74</v>
      </c>
      <c r="D426" t="s">
        <v>74</v>
      </c>
      <c r="E426" t="s">
        <v>74</v>
      </c>
      <c r="F426" t="s">
        <v>3209</v>
      </c>
      <c r="G426" t="s">
        <v>74</v>
      </c>
      <c r="H426" t="s">
        <v>74</v>
      </c>
      <c r="I426" t="s">
        <v>3210</v>
      </c>
      <c r="J426" t="s">
        <v>3211</v>
      </c>
      <c r="K426" t="s">
        <v>74</v>
      </c>
      <c r="L426" t="s">
        <v>74</v>
      </c>
      <c r="M426" t="s">
        <v>74</v>
      </c>
      <c r="N426" t="s">
        <v>103</v>
      </c>
      <c r="O426" t="s">
        <v>74</v>
      </c>
      <c r="P426" t="s">
        <v>74</v>
      </c>
      <c r="Q426" t="s">
        <v>74</v>
      </c>
      <c r="R426" t="s">
        <v>74</v>
      </c>
      <c r="S426" t="s">
        <v>74</v>
      </c>
      <c r="T426" t="s">
        <v>3212</v>
      </c>
      <c r="U426" t="s">
        <v>3213</v>
      </c>
      <c r="V426" t="s">
        <v>3214</v>
      </c>
      <c r="W426" t="s">
        <v>3215</v>
      </c>
      <c r="X426" t="s">
        <v>3216</v>
      </c>
      <c r="Y426" t="s">
        <v>3217</v>
      </c>
      <c r="Z426" t="s">
        <v>3218</v>
      </c>
      <c r="AA426" t="s">
        <v>74</v>
      </c>
      <c r="AB426" t="s">
        <v>74</v>
      </c>
      <c r="AC426" t="s">
        <v>74</v>
      </c>
      <c r="AD426" t="s">
        <v>74</v>
      </c>
      <c r="AE426" t="s">
        <v>74</v>
      </c>
      <c r="AF426" t="s">
        <v>74</v>
      </c>
      <c r="AG426">
        <v>54</v>
      </c>
      <c r="AH426">
        <v>47</v>
      </c>
      <c r="AI426">
        <v>50</v>
      </c>
      <c r="AJ426">
        <v>3</v>
      </c>
      <c r="AK426">
        <v>13</v>
      </c>
      <c r="AL426" t="s">
        <v>74</v>
      </c>
      <c r="AM426" t="s">
        <v>74</v>
      </c>
      <c r="AN426" t="s">
        <v>74</v>
      </c>
      <c r="AO426" t="s">
        <v>3219</v>
      </c>
      <c r="AP426" t="s">
        <v>74</v>
      </c>
      <c r="AQ426" t="s">
        <v>74</v>
      </c>
      <c r="AR426" t="s">
        <v>74</v>
      </c>
      <c r="AS426" t="s">
        <v>74</v>
      </c>
      <c r="AT426" t="s">
        <v>3220</v>
      </c>
      <c r="AU426">
        <v>2018</v>
      </c>
      <c r="AV426">
        <v>15</v>
      </c>
      <c r="AW426" t="s">
        <v>74</v>
      </c>
      <c r="AX426" t="s">
        <v>74</v>
      </c>
      <c r="AY426" t="s">
        <v>74</v>
      </c>
      <c r="AZ426" t="s">
        <v>74</v>
      </c>
      <c r="BA426" t="s">
        <v>74</v>
      </c>
      <c r="BB426" t="s">
        <v>74</v>
      </c>
      <c r="BC426" t="s">
        <v>74</v>
      </c>
      <c r="BD426">
        <v>239</v>
      </c>
      <c r="BE426" t="s">
        <v>3221</v>
      </c>
      <c r="BF426" t="str">
        <f>HYPERLINK("http://dx.doi.org/10.1186/s12974-018-1275-5","http://dx.doi.org/10.1186/s12974-018-1275-5")</f>
        <v>http://dx.doi.org/10.1186/s12974-018-1275-5</v>
      </c>
      <c r="BG426" t="s">
        <v>74</v>
      </c>
      <c r="BH426" t="s">
        <v>74</v>
      </c>
      <c r="BI426" t="s">
        <v>74</v>
      </c>
      <c r="BJ426" t="s">
        <v>3222</v>
      </c>
      <c r="BK426" t="s">
        <v>3223</v>
      </c>
      <c r="BL426" t="s">
        <v>3224</v>
      </c>
      <c r="BM426" t="s">
        <v>74</v>
      </c>
      <c r="BN426">
        <v>30149804</v>
      </c>
      <c r="BO426" t="s">
        <v>74</v>
      </c>
      <c r="BP426" t="s">
        <v>74</v>
      </c>
      <c r="BQ426" t="s">
        <v>74</v>
      </c>
      <c r="BR426" t="s">
        <v>96</v>
      </c>
      <c r="BS426" t="s">
        <v>3225</v>
      </c>
      <c r="BT426" t="str">
        <f>HYPERLINK("https%3A%2F%2Fwww.webofscience.com%2Fwos%2Fwoscc%2Ffull-record%2FWOS:000442840300001","View Full Record in Web of Science")</f>
        <v>View Full Record in Web of Science</v>
      </c>
    </row>
    <row r="427" spans="1:72" x14ac:dyDescent="0.15">
      <c r="A427" t="s">
        <v>98</v>
      </c>
      <c r="B427" t="s">
        <v>3407</v>
      </c>
      <c r="C427" t="s">
        <v>74</v>
      </c>
      <c r="D427" t="s">
        <v>74</v>
      </c>
      <c r="E427" t="s">
        <v>74</v>
      </c>
      <c r="F427" t="s">
        <v>3408</v>
      </c>
      <c r="G427" t="s">
        <v>74</v>
      </c>
      <c r="H427" t="s">
        <v>74</v>
      </c>
      <c r="I427" t="s">
        <v>3409</v>
      </c>
      <c r="J427" t="s">
        <v>381</v>
      </c>
      <c r="K427" t="s">
        <v>74</v>
      </c>
      <c r="L427" t="s">
        <v>74</v>
      </c>
      <c r="M427" t="s">
        <v>74</v>
      </c>
      <c r="N427" t="s">
        <v>103</v>
      </c>
      <c r="O427" t="s">
        <v>74</v>
      </c>
      <c r="P427" t="s">
        <v>74</v>
      </c>
      <c r="Q427" t="s">
        <v>74</v>
      </c>
      <c r="R427" t="s">
        <v>74</v>
      </c>
      <c r="S427" t="s">
        <v>74</v>
      </c>
      <c r="T427" t="s">
        <v>3410</v>
      </c>
      <c r="U427" t="s">
        <v>3411</v>
      </c>
      <c r="V427" t="s">
        <v>3412</v>
      </c>
      <c r="W427" t="s">
        <v>3413</v>
      </c>
      <c r="X427" t="s">
        <v>3414</v>
      </c>
      <c r="Y427" t="s">
        <v>3415</v>
      </c>
      <c r="Z427" t="s">
        <v>3416</v>
      </c>
      <c r="AA427" t="s">
        <v>3417</v>
      </c>
      <c r="AB427" t="s">
        <v>3418</v>
      </c>
      <c r="AC427" t="s">
        <v>74</v>
      </c>
      <c r="AD427" t="s">
        <v>74</v>
      </c>
      <c r="AE427" t="s">
        <v>74</v>
      </c>
      <c r="AF427" t="s">
        <v>74</v>
      </c>
      <c r="AG427">
        <v>76</v>
      </c>
      <c r="AH427">
        <v>47</v>
      </c>
      <c r="AI427">
        <v>48</v>
      </c>
      <c r="AJ427">
        <v>13</v>
      </c>
      <c r="AK427">
        <v>97</v>
      </c>
      <c r="AL427" t="s">
        <v>74</v>
      </c>
      <c r="AM427" t="s">
        <v>74</v>
      </c>
      <c r="AN427" t="s">
        <v>74</v>
      </c>
      <c r="AO427" t="s">
        <v>391</v>
      </c>
      <c r="AP427" t="s">
        <v>392</v>
      </c>
      <c r="AQ427" t="s">
        <v>74</v>
      </c>
      <c r="AR427" t="s">
        <v>74</v>
      </c>
      <c r="AS427" t="s">
        <v>74</v>
      </c>
      <c r="AT427" t="s">
        <v>3419</v>
      </c>
      <c r="AU427">
        <v>2020</v>
      </c>
      <c r="AV427">
        <v>319</v>
      </c>
      <c r="AW427" t="s">
        <v>74</v>
      </c>
      <c r="AX427" t="s">
        <v>74</v>
      </c>
      <c r="AY427" t="s">
        <v>74</v>
      </c>
      <c r="AZ427" t="s">
        <v>74</v>
      </c>
      <c r="BA427" t="s">
        <v>74</v>
      </c>
      <c r="BB427">
        <v>63</v>
      </c>
      <c r="BC427">
        <v>76</v>
      </c>
      <c r="BD427" t="s">
        <v>74</v>
      </c>
      <c r="BE427" t="s">
        <v>3420</v>
      </c>
      <c r="BF427" t="str">
        <f>HYPERLINK("http://dx.doi.org/10.1016/j.jconrel.2019.12.032","http://dx.doi.org/10.1016/j.jconrel.2019.12.032")</f>
        <v>http://dx.doi.org/10.1016/j.jconrel.2019.12.032</v>
      </c>
      <c r="BG427" t="s">
        <v>74</v>
      </c>
      <c r="BH427" t="s">
        <v>74</v>
      </c>
      <c r="BI427" t="s">
        <v>74</v>
      </c>
      <c r="BJ427" t="s">
        <v>396</v>
      </c>
      <c r="BK427" t="s">
        <v>117</v>
      </c>
      <c r="BL427" t="s">
        <v>397</v>
      </c>
      <c r="BM427" t="s">
        <v>74</v>
      </c>
      <c r="BN427">
        <v>31866504</v>
      </c>
      <c r="BO427" t="s">
        <v>74</v>
      </c>
      <c r="BP427" t="s">
        <v>74</v>
      </c>
      <c r="BQ427" t="s">
        <v>74</v>
      </c>
      <c r="BR427" t="s">
        <v>96</v>
      </c>
      <c r="BS427" t="s">
        <v>3421</v>
      </c>
      <c r="BT427" t="str">
        <f>HYPERLINK("https%3A%2F%2Fwww.webofscience.com%2Fwos%2Fwoscc%2Ffull-record%2FWOS:000515538300005","View Full Record in Web of Science")</f>
        <v>View Full Record in Web of Science</v>
      </c>
    </row>
    <row r="428" spans="1:72" x14ac:dyDescent="0.15">
      <c r="A428" t="s">
        <v>98</v>
      </c>
      <c r="B428" t="s">
        <v>5613</v>
      </c>
      <c r="C428" t="s">
        <v>74</v>
      </c>
      <c r="D428" t="s">
        <v>74</v>
      </c>
      <c r="E428" t="s">
        <v>74</v>
      </c>
      <c r="F428" t="s">
        <v>5614</v>
      </c>
      <c r="G428" t="s">
        <v>74</v>
      </c>
      <c r="H428" t="s">
        <v>74</v>
      </c>
      <c r="I428" t="s">
        <v>5615</v>
      </c>
      <c r="J428" t="s">
        <v>178</v>
      </c>
      <c r="K428" t="s">
        <v>74</v>
      </c>
      <c r="L428" t="s">
        <v>74</v>
      </c>
      <c r="M428" t="s">
        <v>74</v>
      </c>
      <c r="N428" t="s">
        <v>103</v>
      </c>
      <c r="O428" t="s">
        <v>74</v>
      </c>
      <c r="P428" t="s">
        <v>74</v>
      </c>
      <c r="Q428" t="s">
        <v>74</v>
      </c>
      <c r="R428" t="s">
        <v>74</v>
      </c>
      <c r="S428" t="s">
        <v>74</v>
      </c>
      <c r="T428" t="s">
        <v>5616</v>
      </c>
      <c r="U428" t="s">
        <v>5617</v>
      </c>
      <c r="V428" t="s">
        <v>5618</v>
      </c>
      <c r="W428" t="s">
        <v>5619</v>
      </c>
      <c r="X428" t="s">
        <v>5620</v>
      </c>
      <c r="Y428" t="s">
        <v>1978</v>
      </c>
      <c r="Z428" t="s">
        <v>1706</v>
      </c>
      <c r="AA428" t="s">
        <v>5621</v>
      </c>
      <c r="AB428" t="s">
        <v>5622</v>
      </c>
      <c r="AC428" t="s">
        <v>74</v>
      </c>
      <c r="AD428" t="s">
        <v>74</v>
      </c>
      <c r="AE428" t="s">
        <v>74</v>
      </c>
      <c r="AF428" t="s">
        <v>74</v>
      </c>
      <c r="AG428">
        <v>29</v>
      </c>
      <c r="AH428">
        <v>47</v>
      </c>
      <c r="AI428">
        <v>47</v>
      </c>
      <c r="AJ428">
        <v>0</v>
      </c>
      <c r="AK428">
        <v>18</v>
      </c>
      <c r="AL428" t="s">
        <v>74</v>
      </c>
      <c r="AM428" t="s">
        <v>74</v>
      </c>
      <c r="AN428" t="s">
        <v>74</v>
      </c>
      <c r="AO428" t="s">
        <v>188</v>
      </c>
      <c r="AP428" t="s">
        <v>74</v>
      </c>
      <c r="AQ428" t="s">
        <v>74</v>
      </c>
      <c r="AR428" t="s">
        <v>74</v>
      </c>
      <c r="AS428" t="s">
        <v>74</v>
      </c>
      <c r="AT428" t="s">
        <v>565</v>
      </c>
      <c r="AU428">
        <v>2018</v>
      </c>
      <c r="AV428">
        <v>15</v>
      </c>
      <c r="AW428">
        <v>3</v>
      </c>
      <c r="AX428" t="s">
        <v>74</v>
      </c>
      <c r="AY428" t="s">
        <v>74</v>
      </c>
      <c r="AZ428" t="s">
        <v>447</v>
      </c>
      <c r="BA428" t="s">
        <v>74</v>
      </c>
      <c r="BB428">
        <v>1073</v>
      </c>
      <c r="BC428">
        <v>1080</v>
      </c>
      <c r="BD428" t="s">
        <v>74</v>
      </c>
      <c r="BE428" t="s">
        <v>5623</v>
      </c>
      <c r="BF428" t="str">
        <f>HYPERLINK("http://dx.doi.org/10.1021/acs.molpharmaceut.7b00950","http://dx.doi.org/10.1021/acs.molpharmaceut.7b00950")</f>
        <v>http://dx.doi.org/10.1021/acs.molpharmaceut.7b00950</v>
      </c>
      <c r="BG428" t="s">
        <v>74</v>
      </c>
      <c r="BH428" t="s">
        <v>74</v>
      </c>
      <c r="BI428" t="s">
        <v>74</v>
      </c>
      <c r="BJ428" t="s">
        <v>191</v>
      </c>
      <c r="BK428" t="s">
        <v>117</v>
      </c>
      <c r="BL428" t="s">
        <v>192</v>
      </c>
      <c r="BM428" t="s">
        <v>74</v>
      </c>
      <c r="BN428">
        <v>29382201</v>
      </c>
      <c r="BO428" t="s">
        <v>74</v>
      </c>
      <c r="BP428" t="s">
        <v>74</v>
      </c>
      <c r="BQ428" t="s">
        <v>74</v>
      </c>
      <c r="BR428" t="s">
        <v>96</v>
      </c>
      <c r="BS428" t="s">
        <v>5624</v>
      </c>
      <c r="BT428" t="str">
        <f>HYPERLINK("https%3A%2F%2Fwww.webofscience.com%2Fwos%2Fwoscc%2Ffull-record%2FWOS:000427093600036","View Full Record in Web of Science")</f>
        <v>View Full Record in Web of Science</v>
      </c>
    </row>
    <row r="429" spans="1:72" x14ac:dyDescent="0.15">
      <c r="A429" t="s">
        <v>98</v>
      </c>
      <c r="B429" t="s">
        <v>11627</v>
      </c>
      <c r="C429" t="s">
        <v>74</v>
      </c>
      <c r="D429" t="s">
        <v>74</v>
      </c>
      <c r="E429" t="s">
        <v>74</v>
      </c>
      <c r="F429" t="s">
        <v>11628</v>
      </c>
      <c r="G429" t="s">
        <v>74</v>
      </c>
      <c r="H429" t="s">
        <v>74</v>
      </c>
      <c r="I429" t="s">
        <v>11629</v>
      </c>
      <c r="J429" t="s">
        <v>1123</v>
      </c>
      <c r="K429" t="s">
        <v>74</v>
      </c>
      <c r="L429" t="s">
        <v>74</v>
      </c>
      <c r="M429" t="s">
        <v>74</v>
      </c>
      <c r="N429" t="s">
        <v>103</v>
      </c>
      <c r="O429" t="s">
        <v>74</v>
      </c>
      <c r="P429" t="s">
        <v>74</v>
      </c>
      <c r="Q429" t="s">
        <v>74</v>
      </c>
      <c r="R429" t="s">
        <v>74</v>
      </c>
      <c r="S429" t="s">
        <v>74</v>
      </c>
      <c r="T429" t="s">
        <v>11630</v>
      </c>
      <c r="U429" t="s">
        <v>11631</v>
      </c>
      <c r="V429" t="s">
        <v>11632</v>
      </c>
      <c r="W429" t="s">
        <v>11633</v>
      </c>
      <c r="X429" t="s">
        <v>11634</v>
      </c>
      <c r="Y429" t="s">
        <v>11635</v>
      </c>
      <c r="Z429" t="s">
        <v>11636</v>
      </c>
      <c r="AA429" t="s">
        <v>74</v>
      </c>
      <c r="AB429" t="s">
        <v>11637</v>
      </c>
      <c r="AC429" t="s">
        <v>74</v>
      </c>
      <c r="AD429" t="s">
        <v>74</v>
      </c>
      <c r="AE429" t="s">
        <v>74</v>
      </c>
      <c r="AF429" t="s">
        <v>74</v>
      </c>
      <c r="AG429">
        <v>28</v>
      </c>
      <c r="AH429">
        <v>47</v>
      </c>
      <c r="AI429">
        <v>48</v>
      </c>
      <c r="AJ429">
        <v>28</v>
      </c>
      <c r="AK429">
        <v>267</v>
      </c>
      <c r="AL429" t="s">
        <v>74</v>
      </c>
      <c r="AM429" t="s">
        <v>74</v>
      </c>
      <c r="AN429" t="s">
        <v>74</v>
      </c>
      <c r="AO429" t="s">
        <v>1132</v>
      </c>
      <c r="AP429" t="s">
        <v>1133</v>
      </c>
      <c r="AQ429" t="s">
        <v>74</v>
      </c>
      <c r="AR429" t="s">
        <v>74</v>
      </c>
      <c r="AS429" t="s">
        <v>74</v>
      </c>
      <c r="AT429" t="s">
        <v>4822</v>
      </c>
      <c r="AU429">
        <v>2018</v>
      </c>
      <c r="AV429">
        <v>102</v>
      </c>
      <c r="AW429" t="s">
        <v>74</v>
      </c>
      <c r="AX429" t="s">
        <v>74</v>
      </c>
      <c r="AY429" t="s">
        <v>74</v>
      </c>
      <c r="AZ429" t="s">
        <v>74</v>
      </c>
      <c r="BA429" t="s">
        <v>74</v>
      </c>
      <c r="BB429">
        <v>204</v>
      </c>
      <c r="BC429">
        <v>210</v>
      </c>
      <c r="BD429" t="s">
        <v>74</v>
      </c>
      <c r="BE429" t="s">
        <v>11638</v>
      </c>
      <c r="BF429" t="str">
        <f>HYPERLINK("http://dx.doi.org/10.1016/j.bios.2017.11.033","http://dx.doi.org/10.1016/j.bios.2017.11.033")</f>
        <v>http://dx.doi.org/10.1016/j.bios.2017.11.033</v>
      </c>
      <c r="BG429" t="s">
        <v>74</v>
      </c>
      <c r="BH429" t="s">
        <v>74</v>
      </c>
      <c r="BI429" t="s">
        <v>74</v>
      </c>
      <c r="BJ429" t="s">
        <v>1137</v>
      </c>
      <c r="BK429" t="s">
        <v>117</v>
      </c>
      <c r="BL429" t="s">
        <v>1138</v>
      </c>
      <c r="BM429" t="s">
        <v>74</v>
      </c>
      <c r="BN429">
        <v>29145073</v>
      </c>
      <c r="BO429" t="s">
        <v>74</v>
      </c>
      <c r="BP429" t="s">
        <v>74</v>
      </c>
      <c r="BQ429" t="s">
        <v>74</v>
      </c>
      <c r="BR429" t="s">
        <v>96</v>
      </c>
      <c r="BS429" t="s">
        <v>11639</v>
      </c>
      <c r="BT429" t="str">
        <f>HYPERLINK("https%3A%2F%2Fwww.webofscience.com%2Fwos%2Fwoscc%2Ffull-record%2FWOS:000424176600027","View Full Record in Web of Science")</f>
        <v>View Full Record in Web of Science</v>
      </c>
    </row>
    <row r="430" spans="1:72" x14ac:dyDescent="0.15">
      <c r="A430" t="s">
        <v>98</v>
      </c>
      <c r="B430" t="s">
        <v>11823</v>
      </c>
      <c r="C430" t="s">
        <v>74</v>
      </c>
      <c r="D430" t="s">
        <v>74</v>
      </c>
      <c r="E430" t="s">
        <v>74</v>
      </c>
      <c r="F430" t="s">
        <v>11824</v>
      </c>
      <c r="G430" t="s">
        <v>74</v>
      </c>
      <c r="H430" t="s">
        <v>74</v>
      </c>
      <c r="I430" t="s">
        <v>11825</v>
      </c>
      <c r="J430" t="s">
        <v>1712</v>
      </c>
      <c r="K430" t="s">
        <v>74</v>
      </c>
      <c r="L430" t="s">
        <v>74</v>
      </c>
      <c r="M430" t="s">
        <v>74</v>
      </c>
      <c r="N430" t="s">
        <v>103</v>
      </c>
      <c r="O430" t="s">
        <v>74</v>
      </c>
      <c r="P430" t="s">
        <v>74</v>
      </c>
      <c r="Q430" t="s">
        <v>74</v>
      </c>
      <c r="R430" t="s">
        <v>74</v>
      </c>
      <c r="S430" t="s">
        <v>74</v>
      </c>
      <c r="T430" t="s">
        <v>11826</v>
      </c>
      <c r="U430" t="s">
        <v>11827</v>
      </c>
      <c r="V430" t="s">
        <v>11828</v>
      </c>
      <c r="W430" t="s">
        <v>11829</v>
      </c>
      <c r="X430" t="s">
        <v>11830</v>
      </c>
      <c r="Y430" t="s">
        <v>11831</v>
      </c>
      <c r="Z430" t="s">
        <v>11832</v>
      </c>
      <c r="AA430" t="s">
        <v>11833</v>
      </c>
      <c r="AB430" t="s">
        <v>11834</v>
      </c>
      <c r="AC430" t="s">
        <v>74</v>
      </c>
      <c r="AD430" t="s">
        <v>74</v>
      </c>
      <c r="AE430" t="s">
        <v>74</v>
      </c>
      <c r="AF430" t="s">
        <v>74</v>
      </c>
      <c r="AG430">
        <v>48</v>
      </c>
      <c r="AH430">
        <v>47</v>
      </c>
      <c r="AI430">
        <v>49</v>
      </c>
      <c r="AJ430">
        <v>41</v>
      </c>
      <c r="AK430">
        <v>218</v>
      </c>
      <c r="AL430" t="s">
        <v>74</v>
      </c>
      <c r="AM430" t="s">
        <v>74</v>
      </c>
      <c r="AN430" t="s">
        <v>74</v>
      </c>
      <c r="AO430" t="s">
        <v>1722</v>
      </c>
      <c r="AP430" t="s">
        <v>1723</v>
      </c>
      <c r="AQ430" t="s">
        <v>74</v>
      </c>
      <c r="AR430" t="s">
        <v>74</v>
      </c>
      <c r="AS430" t="s">
        <v>74</v>
      </c>
      <c r="AT430" t="s">
        <v>11835</v>
      </c>
      <c r="AU430">
        <v>2020</v>
      </c>
      <c r="AV430">
        <v>14</v>
      </c>
      <c r="AW430">
        <v>7</v>
      </c>
      <c r="AX430" t="s">
        <v>74</v>
      </c>
      <c r="AY430" t="s">
        <v>74</v>
      </c>
      <c r="AZ430" t="s">
        <v>74</v>
      </c>
      <c r="BA430" t="s">
        <v>74</v>
      </c>
      <c r="BB430">
        <v>8866</v>
      </c>
      <c r="BC430">
        <v>8874</v>
      </c>
      <c r="BD430" t="s">
        <v>74</v>
      </c>
      <c r="BE430" t="s">
        <v>11836</v>
      </c>
      <c r="BF430" t="str">
        <f>HYPERLINK("http://dx.doi.org/10.1021/acsnano.0c03523","http://dx.doi.org/10.1021/acsnano.0c03523")</f>
        <v>http://dx.doi.org/10.1021/acsnano.0c03523</v>
      </c>
      <c r="BG430" t="s">
        <v>74</v>
      </c>
      <c r="BH430" t="s">
        <v>74</v>
      </c>
      <c r="BI430" t="s">
        <v>74</v>
      </c>
      <c r="BJ430" t="s">
        <v>1725</v>
      </c>
      <c r="BK430" t="s">
        <v>117</v>
      </c>
      <c r="BL430" t="s">
        <v>1275</v>
      </c>
      <c r="BM430" t="s">
        <v>74</v>
      </c>
      <c r="BN430">
        <v>32574035</v>
      </c>
      <c r="BO430" t="s">
        <v>74</v>
      </c>
      <c r="BP430" t="s">
        <v>74</v>
      </c>
      <c r="BQ430" t="s">
        <v>74</v>
      </c>
      <c r="BR430" t="s">
        <v>96</v>
      </c>
      <c r="BS430" t="s">
        <v>11837</v>
      </c>
      <c r="BT430" t="str">
        <f>HYPERLINK("https%3A%2F%2Fwww.webofscience.com%2Fwos%2Fwoscc%2Ffull-record%2FWOS:000557762800107","View Full Record in Web of Science")</f>
        <v>View Full Record in Web of Science</v>
      </c>
    </row>
    <row r="431" spans="1:72" x14ac:dyDescent="0.15">
      <c r="A431" t="s">
        <v>98</v>
      </c>
      <c r="B431" t="s">
        <v>14642</v>
      </c>
      <c r="C431" t="s">
        <v>74</v>
      </c>
      <c r="D431" t="s">
        <v>74</v>
      </c>
      <c r="E431" t="s">
        <v>74</v>
      </c>
      <c r="F431" t="s">
        <v>14643</v>
      </c>
      <c r="G431" t="s">
        <v>74</v>
      </c>
      <c r="H431" t="s">
        <v>74</v>
      </c>
      <c r="I431" t="s">
        <v>14644</v>
      </c>
      <c r="J431" t="s">
        <v>903</v>
      </c>
      <c r="K431" t="s">
        <v>74</v>
      </c>
      <c r="L431" t="s">
        <v>74</v>
      </c>
      <c r="M431" t="s">
        <v>74</v>
      </c>
      <c r="N431" t="s">
        <v>103</v>
      </c>
      <c r="O431" t="s">
        <v>74</v>
      </c>
      <c r="P431" t="s">
        <v>74</v>
      </c>
      <c r="Q431" t="s">
        <v>74</v>
      </c>
      <c r="R431" t="s">
        <v>74</v>
      </c>
      <c r="S431" t="s">
        <v>74</v>
      </c>
      <c r="T431" t="s">
        <v>14645</v>
      </c>
      <c r="U431" t="s">
        <v>14646</v>
      </c>
      <c r="V431" t="s">
        <v>14647</v>
      </c>
      <c r="W431" t="s">
        <v>14648</v>
      </c>
      <c r="X431" t="s">
        <v>14649</v>
      </c>
      <c r="Y431" t="s">
        <v>14650</v>
      </c>
      <c r="Z431" t="s">
        <v>14651</v>
      </c>
      <c r="AA431" t="s">
        <v>74</v>
      </c>
      <c r="AB431" t="s">
        <v>14652</v>
      </c>
      <c r="AC431" t="s">
        <v>74</v>
      </c>
      <c r="AD431" t="s">
        <v>74</v>
      </c>
      <c r="AE431" t="s">
        <v>74</v>
      </c>
      <c r="AF431" t="s">
        <v>74</v>
      </c>
      <c r="AG431">
        <v>49</v>
      </c>
      <c r="AH431">
        <v>47</v>
      </c>
      <c r="AI431">
        <v>48</v>
      </c>
      <c r="AJ431">
        <v>9</v>
      </c>
      <c r="AK431">
        <v>36</v>
      </c>
      <c r="AL431" t="s">
        <v>74</v>
      </c>
      <c r="AM431" t="s">
        <v>74</v>
      </c>
      <c r="AN431" t="s">
        <v>74</v>
      </c>
      <c r="AO431" t="s">
        <v>74</v>
      </c>
      <c r="AP431" t="s">
        <v>913</v>
      </c>
      <c r="AQ431" t="s">
        <v>74</v>
      </c>
      <c r="AR431" t="s">
        <v>74</v>
      </c>
      <c r="AS431" t="s">
        <v>74</v>
      </c>
      <c r="AT431" t="s">
        <v>211</v>
      </c>
      <c r="AU431">
        <v>2019</v>
      </c>
      <c r="AV431">
        <v>11</v>
      </c>
      <c r="AW431">
        <v>11</v>
      </c>
      <c r="AX431" t="s">
        <v>74</v>
      </c>
      <c r="AY431" t="s">
        <v>74</v>
      </c>
      <c r="AZ431" t="s">
        <v>74</v>
      </c>
      <c r="BA431" t="s">
        <v>74</v>
      </c>
      <c r="BB431" t="s">
        <v>74</v>
      </c>
      <c r="BC431" t="s">
        <v>74</v>
      </c>
      <c r="BD431">
        <v>1656</v>
      </c>
      <c r="BE431" t="s">
        <v>14653</v>
      </c>
      <c r="BF431" t="str">
        <f>HYPERLINK("http://dx.doi.org/10.3390/cancers11111656","http://dx.doi.org/10.3390/cancers11111656")</f>
        <v>http://dx.doi.org/10.3390/cancers11111656</v>
      </c>
      <c r="BG431" t="s">
        <v>74</v>
      </c>
      <c r="BH431" t="s">
        <v>74</v>
      </c>
      <c r="BI431" t="s">
        <v>74</v>
      </c>
      <c r="BJ431" t="s">
        <v>267</v>
      </c>
      <c r="BK431" t="s">
        <v>117</v>
      </c>
      <c r="BL431" t="s">
        <v>267</v>
      </c>
      <c r="BM431" t="s">
        <v>74</v>
      </c>
      <c r="BN431">
        <v>31717747</v>
      </c>
      <c r="BO431" t="s">
        <v>74</v>
      </c>
      <c r="BP431" t="s">
        <v>74</v>
      </c>
      <c r="BQ431" t="s">
        <v>74</v>
      </c>
      <c r="BR431" t="s">
        <v>96</v>
      </c>
      <c r="BS431" t="s">
        <v>14654</v>
      </c>
      <c r="BT431" t="str">
        <f>HYPERLINK("https%3A%2F%2Fwww.webofscience.com%2Fwos%2Fwoscc%2Ffull-record%2FWOS:000502290100038","View Full Record in Web of Science")</f>
        <v>View Full Record in Web of Science</v>
      </c>
    </row>
    <row r="432" spans="1:72" x14ac:dyDescent="0.15">
      <c r="A432" t="s">
        <v>98</v>
      </c>
      <c r="B432" t="s">
        <v>15027</v>
      </c>
      <c r="C432" t="s">
        <v>74</v>
      </c>
      <c r="D432" t="s">
        <v>74</v>
      </c>
      <c r="E432" t="s">
        <v>74</v>
      </c>
      <c r="F432" t="s">
        <v>15028</v>
      </c>
      <c r="G432" t="s">
        <v>74</v>
      </c>
      <c r="H432" t="s">
        <v>74</v>
      </c>
      <c r="I432" t="s">
        <v>15029</v>
      </c>
      <c r="J432" t="s">
        <v>13697</v>
      </c>
      <c r="K432" t="s">
        <v>74</v>
      </c>
      <c r="L432" t="s">
        <v>74</v>
      </c>
      <c r="M432" t="s">
        <v>74</v>
      </c>
      <c r="N432" t="s">
        <v>103</v>
      </c>
      <c r="O432" t="s">
        <v>74</v>
      </c>
      <c r="P432" t="s">
        <v>74</v>
      </c>
      <c r="Q432" t="s">
        <v>74</v>
      </c>
      <c r="R432" t="s">
        <v>74</v>
      </c>
      <c r="S432" t="s">
        <v>74</v>
      </c>
      <c r="T432" t="s">
        <v>15030</v>
      </c>
      <c r="U432" t="s">
        <v>15031</v>
      </c>
      <c r="V432" t="s">
        <v>15032</v>
      </c>
      <c r="W432" t="s">
        <v>15033</v>
      </c>
      <c r="X432" t="s">
        <v>2854</v>
      </c>
      <c r="Y432" t="s">
        <v>1490</v>
      </c>
      <c r="Z432" t="s">
        <v>6605</v>
      </c>
      <c r="AA432" t="s">
        <v>15034</v>
      </c>
      <c r="AB432" t="s">
        <v>15035</v>
      </c>
      <c r="AC432" t="s">
        <v>74</v>
      </c>
      <c r="AD432" t="s">
        <v>74</v>
      </c>
      <c r="AE432" t="s">
        <v>74</v>
      </c>
      <c r="AF432" t="s">
        <v>74</v>
      </c>
      <c r="AG432">
        <v>27</v>
      </c>
      <c r="AH432">
        <v>47</v>
      </c>
      <c r="AI432">
        <v>49</v>
      </c>
      <c r="AJ432">
        <v>1</v>
      </c>
      <c r="AK432">
        <v>27</v>
      </c>
      <c r="AL432" t="s">
        <v>74</v>
      </c>
      <c r="AM432" t="s">
        <v>74</v>
      </c>
      <c r="AN432" t="s">
        <v>74</v>
      </c>
      <c r="AO432" t="s">
        <v>13707</v>
      </c>
      <c r="AP432" t="s">
        <v>13708</v>
      </c>
      <c r="AQ432" t="s">
        <v>74</v>
      </c>
      <c r="AR432" t="s">
        <v>74</v>
      </c>
      <c r="AS432" t="s">
        <v>74</v>
      </c>
      <c r="AT432" t="s">
        <v>132</v>
      </c>
      <c r="AU432">
        <v>2018</v>
      </c>
      <c r="AV432">
        <v>13</v>
      </c>
      <c r="AW432">
        <v>4</v>
      </c>
      <c r="AX432" t="s">
        <v>74</v>
      </c>
      <c r="AY432" t="s">
        <v>74</v>
      </c>
      <c r="AZ432" t="s">
        <v>74</v>
      </c>
      <c r="BA432" t="s">
        <v>74</v>
      </c>
      <c r="BB432" t="s">
        <v>74</v>
      </c>
      <c r="BC432" t="s">
        <v>74</v>
      </c>
      <c r="BD432">
        <v>1700443</v>
      </c>
      <c r="BE432" t="s">
        <v>15036</v>
      </c>
      <c r="BF432" t="str">
        <f>HYPERLINK("http://dx.doi.org/10.1002/biot.201700443","http://dx.doi.org/10.1002/biot.201700443")</f>
        <v>http://dx.doi.org/10.1002/biot.201700443</v>
      </c>
      <c r="BG432" t="s">
        <v>74</v>
      </c>
      <c r="BH432" t="s">
        <v>74</v>
      </c>
      <c r="BI432" t="s">
        <v>74</v>
      </c>
      <c r="BJ432" t="s">
        <v>13711</v>
      </c>
      <c r="BK432" t="s">
        <v>117</v>
      </c>
      <c r="BL432" t="s">
        <v>3175</v>
      </c>
      <c r="BM432" t="s">
        <v>74</v>
      </c>
      <c r="BN432">
        <v>29274250</v>
      </c>
      <c r="BO432" t="s">
        <v>74</v>
      </c>
      <c r="BP432" t="s">
        <v>74</v>
      </c>
      <c r="BQ432" t="s">
        <v>74</v>
      </c>
      <c r="BR432" t="s">
        <v>96</v>
      </c>
      <c r="BS432" t="s">
        <v>15037</v>
      </c>
      <c r="BT432" t="str">
        <f>HYPERLINK("https%3A%2F%2Fwww.webofscience.com%2Fwos%2Fwoscc%2Ffull-record%2FWOS:000430116900008","View Full Record in Web of Science")</f>
        <v>View Full Record in Web of Science</v>
      </c>
    </row>
    <row r="433" spans="1:72" x14ac:dyDescent="0.15">
      <c r="A433" t="s">
        <v>98</v>
      </c>
      <c r="B433" t="s">
        <v>15144</v>
      </c>
      <c r="C433" t="s">
        <v>74</v>
      </c>
      <c r="D433" t="s">
        <v>74</v>
      </c>
      <c r="E433" t="s">
        <v>74</v>
      </c>
      <c r="F433" t="s">
        <v>15145</v>
      </c>
      <c r="G433" t="s">
        <v>74</v>
      </c>
      <c r="H433" t="s">
        <v>74</v>
      </c>
      <c r="I433" t="s">
        <v>15146</v>
      </c>
      <c r="J433" t="s">
        <v>2644</v>
      </c>
      <c r="K433" t="s">
        <v>74</v>
      </c>
      <c r="L433" t="s">
        <v>74</v>
      </c>
      <c r="M433" t="s">
        <v>74</v>
      </c>
      <c r="N433" t="s">
        <v>103</v>
      </c>
      <c r="O433" t="s">
        <v>74</v>
      </c>
      <c r="P433" t="s">
        <v>74</v>
      </c>
      <c r="Q433" t="s">
        <v>74</v>
      </c>
      <c r="R433" t="s">
        <v>74</v>
      </c>
      <c r="S433" t="s">
        <v>74</v>
      </c>
      <c r="T433" t="s">
        <v>74</v>
      </c>
      <c r="U433" t="s">
        <v>15147</v>
      </c>
      <c r="V433" t="s">
        <v>15148</v>
      </c>
      <c r="W433" t="s">
        <v>15149</v>
      </c>
      <c r="X433" t="s">
        <v>9259</v>
      </c>
      <c r="Y433" t="s">
        <v>15150</v>
      </c>
      <c r="Z433" t="s">
        <v>15151</v>
      </c>
      <c r="AA433" t="s">
        <v>74</v>
      </c>
      <c r="AB433" t="s">
        <v>74</v>
      </c>
      <c r="AC433" t="s">
        <v>74</v>
      </c>
      <c r="AD433" t="s">
        <v>74</v>
      </c>
      <c r="AE433" t="s">
        <v>74</v>
      </c>
      <c r="AF433" t="s">
        <v>74</v>
      </c>
      <c r="AG433">
        <v>48</v>
      </c>
      <c r="AH433">
        <v>47</v>
      </c>
      <c r="AI433">
        <v>51</v>
      </c>
      <c r="AJ433">
        <v>0</v>
      </c>
      <c r="AK433">
        <v>14</v>
      </c>
      <c r="AL433" t="s">
        <v>74</v>
      </c>
      <c r="AM433" t="s">
        <v>74</v>
      </c>
      <c r="AN433" t="s">
        <v>74</v>
      </c>
      <c r="AO433" t="s">
        <v>2653</v>
      </c>
      <c r="AP433" t="s">
        <v>2654</v>
      </c>
      <c r="AQ433" t="s">
        <v>74</v>
      </c>
      <c r="AR433" t="s">
        <v>74</v>
      </c>
      <c r="AS433" t="s">
        <v>74</v>
      </c>
      <c r="AT433" t="s">
        <v>230</v>
      </c>
      <c r="AU433">
        <v>2014</v>
      </c>
      <c r="AV433">
        <v>28</v>
      </c>
      <c r="AW433">
        <v>8</v>
      </c>
      <c r="AX433" t="s">
        <v>74</v>
      </c>
      <c r="AY433" t="s">
        <v>74</v>
      </c>
      <c r="AZ433" t="s">
        <v>74</v>
      </c>
      <c r="BA433" t="s">
        <v>74</v>
      </c>
      <c r="BB433">
        <v>1666</v>
      </c>
      <c r="BC433">
        <v>1675</v>
      </c>
      <c r="BD433" t="s">
        <v>74</v>
      </c>
      <c r="BE433" t="s">
        <v>15152</v>
      </c>
      <c r="BF433" t="str">
        <f>HYPERLINK("http://dx.doi.org/10.1038/leu.2014.51","http://dx.doi.org/10.1038/leu.2014.51")</f>
        <v>http://dx.doi.org/10.1038/leu.2014.51</v>
      </c>
      <c r="BG433" t="s">
        <v>74</v>
      </c>
      <c r="BH433" t="s">
        <v>74</v>
      </c>
      <c r="BI433" t="s">
        <v>74</v>
      </c>
      <c r="BJ433" t="s">
        <v>2656</v>
      </c>
      <c r="BK433" t="s">
        <v>117</v>
      </c>
      <c r="BL433" t="s">
        <v>2656</v>
      </c>
      <c r="BM433" t="s">
        <v>74</v>
      </c>
      <c r="BN433">
        <v>24480987</v>
      </c>
      <c r="BO433" t="s">
        <v>74</v>
      </c>
      <c r="BP433" t="s">
        <v>74</v>
      </c>
      <c r="BQ433" t="s">
        <v>74</v>
      </c>
      <c r="BR433" t="s">
        <v>96</v>
      </c>
      <c r="BS433" t="s">
        <v>15153</v>
      </c>
      <c r="BT433" t="str">
        <f>HYPERLINK("https%3A%2F%2Fwww.webofscience.com%2Fwos%2Fwoscc%2Ffull-record%2FWOS:000341334600010","View Full Record in Web of Science")</f>
        <v>View Full Record in Web of Science</v>
      </c>
    </row>
    <row r="434" spans="1:72" x14ac:dyDescent="0.15">
      <c r="A434" t="s">
        <v>98</v>
      </c>
      <c r="B434" t="s">
        <v>21307</v>
      </c>
      <c r="C434" t="s">
        <v>74</v>
      </c>
      <c r="D434" t="s">
        <v>74</v>
      </c>
      <c r="E434" t="s">
        <v>74</v>
      </c>
      <c r="F434" t="s">
        <v>21307</v>
      </c>
      <c r="G434" t="s">
        <v>74</v>
      </c>
      <c r="H434" t="s">
        <v>74</v>
      </c>
      <c r="I434" t="s">
        <v>21308</v>
      </c>
      <c r="J434" t="s">
        <v>2833</v>
      </c>
      <c r="K434" t="s">
        <v>74</v>
      </c>
      <c r="L434" t="s">
        <v>74</v>
      </c>
      <c r="M434" t="s">
        <v>74</v>
      </c>
      <c r="N434" t="s">
        <v>103</v>
      </c>
      <c r="O434" t="s">
        <v>74</v>
      </c>
      <c r="P434" t="s">
        <v>74</v>
      </c>
      <c r="Q434" t="s">
        <v>74</v>
      </c>
      <c r="R434" t="s">
        <v>74</v>
      </c>
      <c r="S434" t="s">
        <v>74</v>
      </c>
      <c r="T434" t="s">
        <v>21309</v>
      </c>
      <c r="U434" t="s">
        <v>21310</v>
      </c>
      <c r="V434" t="s">
        <v>21311</v>
      </c>
      <c r="W434" t="s">
        <v>21312</v>
      </c>
      <c r="X434" t="s">
        <v>21313</v>
      </c>
      <c r="Y434" t="s">
        <v>21314</v>
      </c>
      <c r="Z434" t="s">
        <v>21315</v>
      </c>
      <c r="AA434" t="s">
        <v>21316</v>
      </c>
      <c r="AB434" t="s">
        <v>21317</v>
      </c>
      <c r="AC434" t="s">
        <v>74</v>
      </c>
      <c r="AD434" t="s">
        <v>74</v>
      </c>
      <c r="AE434" t="s">
        <v>74</v>
      </c>
      <c r="AF434" t="s">
        <v>74</v>
      </c>
      <c r="AG434">
        <v>39</v>
      </c>
      <c r="AH434">
        <v>47</v>
      </c>
      <c r="AI434">
        <v>49</v>
      </c>
      <c r="AJ434">
        <v>0</v>
      </c>
      <c r="AK434">
        <v>4</v>
      </c>
      <c r="AL434" t="s">
        <v>74</v>
      </c>
      <c r="AM434" t="s">
        <v>74</v>
      </c>
      <c r="AN434" t="s">
        <v>74</v>
      </c>
      <c r="AO434" t="s">
        <v>2841</v>
      </c>
      <c r="AP434" t="s">
        <v>2842</v>
      </c>
      <c r="AQ434" t="s">
        <v>74</v>
      </c>
      <c r="AR434" t="s">
        <v>74</v>
      </c>
      <c r="AS434" t="s">
        <v>74</v>
      </c>
      <c r="AT434" t="s">
        <v>10086</v>
      </c>
      <c r="AU434">
        <v>2005</v>
      </c>
      <c r="AV434">
        <v>331</v>
      </c>
      <c r="AW434">
        <v>4</v>
      </c>
      <c r="AX434" t="s">
        <v>74</v>
      </c>
      <c r="AY434" t="s">
        <v>74</v>
      </c>
      <c r="AZ434" t="s">
        <v>74</v>
      </c>
      <c r="BA434" t="s">
        <v>74</v>
      </c>
      <c r="BB434">
        <v>1429</v>
      </c>
      <c r="BC434">
        <v>1438</v>
      </c>
      <c r="BD434" t="s">
        <v>74</v>
      </c>
      <c r="BE434" t="s">
        <v>21318</v>
      </c>
      <c r="BF434" t="str">
        <f>HYPERLINK("http://dx.doi.org/10.1016/j.bbrc.2005.03.246","http://dx.doi.org/10.1016/j.bbrc.2005.03.246")</f>
        <v>http://dx.doi.org/10.1016/j.bbrc.2005.03.246</v>
      </c>
      <c r="BG434" t="s">
        <v>74</v>
      </c>
      <c r="BH434" t="s">
        <v>74</v>
      </c>
      <c r="BI434" t="s">
        <v>74</v>
      </c>
      <c r="BJ434" t="s">
        <v>2845</v>
      </c>
      <c r="BK434" t="s">
        <v>117</v>
      </c>
      <c r="BL434" t="s">
        <v>2845</v>
      </c>
      <c r="BM434" t="s">
        <v>74</v>
      </c>
      <c r="BN434">
        <v>15883034</v>
      </c>
      <c r="BO434" t="s">
        <v>74</v>
      </c>
      <c r="BP434" t="s">
        <v>74</v>
      </c>
      <c r="BQ434" t="s">
        <v>74</v>
      </c>
      <c r="BR434" t="s">
        <v>96</v>
      </c>
      <c r="BS434" t="s">
        <v>21319</v>
      </c>
      <c r="BT434" t="str">
        <f>HYPERLINK("https%3A%2F%2Fwww.webofscience.com%2Fwos%2Fwoscc%2Ffull-record%2FWOS:000229234500074","View Full Record in Web of Science")</f>
        <v>View Full Record in Web of Science</v>
      </c>
    </row>
    <row r="435" spans="1:72" x14ac:dyDescent="0.15">
      <c r="A435" t="s">
        <v>98</v>
      </c>
      <c r="B435" t="s">
        <v>27650</v>
      </c>
      <c r="C435" t="s">
        <v>74</v>
      </c>
      <c r="D435" t="s">
        <v>74</v>
      </c>
      <c r="E435" t="s">
        <v>74</v>
      </c>
      <c r="F435" t="s">
        <v>27651</v>
      </c>
      <c r="G435" t="s">
        <v>74</v>
      </c>
      <c r="H435" t="s">
        <v>74</v>
      </c>
      <c r="I435" t="s">
        <v>27652</v>
      </c>
      <c r="J435" t="s">
        <v>1159</v>
      </c>
      <c r="K435" t="s">
        <v>74</v>
      </c>
      <c r="L435" t="s">
        <v>74</v>
      </c>
      <c r="M435" t="s">
        <v>74</v>
      </c>
      <c r="N435" t="s">
        <v>103</v>
      </c>
      <c r="O435" t="s">
        <v>74</v>
      </c>
      <c r="P435" t="s">
        <v>74</v>
      </c>
      <c r="Q435" t="s">
        <v>74</v>
      </c>
      <c r="R435" t="s">
        <v>74</v>
      </c>
      <c r="S435" t="s">
        <v>74</v>
      </c>
      <c r="T435" t="s">
        <v>27653</v>
      </c>
      <c r="U435" t="s">
        <v>27654</v>
      </c>
      <c r="V435" t="s">
        <v>27655</v>
      </c>
      <c r="W435" t="s">
        <v>27656</v>
      </c>
      <c r="X435" t="s">
        <v>27657</v>
      </c>
      <c r="Y435" t="s">
        <v>27658</v>
      </c>
      <c r="Z435" t="s">
        <v>27659</v>
      </c>
      <c r="AA435" t="s">
        <v>27660</v>
      </c>
      <c r="AB435" t="s">
        <v>27661</v>
      </c>
      <c r="AC435" t="s">
        <v>74</v>
      </c>
      <c r="AD435" t="s">
        <v>74</v>
      </c>
      <c r="AE435" t="s">
        <v>74</v>
      </c>
      <c r="AF435" t="s">
        <v>74</v>
      </c>
      <c r="AG435">
        <v>49</v>
      </c>
      <c r="AH435">
        <v>47</v>
      </c>
      <c r="AI435">
        <v>52</v>
      </c>
      <c r="AJ435">
        <v>5</v>
      </c>
      <c r="AK435">
        <v>18</v>
      </c>
      <c r="AL435" t="s">
        <v>74</v>
      </c>
      <c r="AM435" t="s">
        <v>74</v>
      </c>
      <c r="AN435" t="s">
        <v>74</v>
      </c>
      <c r="AO435" t="s">
        <v>74</v>
      </c>
      <c r="AP435" t="s">
        <v>1168</v>
      </c>
      <c r="AQ435" t="s">
        <v>74</v>
      </c>
      <c r="AR435" t="s">
        <v>74</v>
      </c>
      <c r="AS435" t="s">
        <v>74</v>
      </c>
      <c r="AT435" t="s">
        <v>6249</v>
      </c>
      <c r="AU435">
        <v>2019</v>
      </c>
      <c r="AV435">
        <v>18</v>
      </c>
      <c r="AW435" t="s">
        <v>74</v>
      </c>
      <c r="AX435" t="s">
        <v>74</v>
      </c>
      <c r="AY435" t="s">
        <v>74</v>
      </c>
      <c r="AZ435" t="s">
        <v>74</v>
      </c>
      <c r="BA435" t="s">
        <v>74</v>
      </c>
      <c r="BB435" t="s">
        <v>74</v>
      </c>
      <c r="BC435" t="s">
        <v>74</v>
      </c>
      <c r="BD435">
        <v>22</v>
      </c>
      <c r="BE435" t="s">
        <v>27662</v>
      </c>
      <c r="BF435" t="str">
        <f>HYPERLINK("http://dx.doi.org/10.1186/s12943-019-0949-7","http://dx.doi.org/10.1186/s12943-019-0949-7")</f>
        <v>http://dx.doi.org/10.1186/s12943-019-0949-7</v>
      </c>
      <c r="BG435" t="s">
        <v>74</v>
      </c>
      <c r="BH435" t="s">
        <v>74</v>
      </c>
      <c r="BI435" t="s">
        <v>74</v>
      </c>
      <c r="BJ435" t="s">
        <v>357</v>
      </c>
      <c r="BK435" t="s">
        <v>117</v>
      </c>
      <c r="BL435" t="s">
        <v>357</v>
      </c>
      <c r="BM435" t="s">
        <v>74</v>
      </c>
      <c r="BN435">
        <v>30736860</v>
      </c>
      <c r="BO435" t="s">
        <v>74</v>
      </c>
      <c r="BP435" t="s">
        <v>74</v>
      </c>
      <c r="BQ435" t="s">
        <v>74</v>
      </c>
      <c r="BR435" t="s">
        <v>96</v>
      </c>
      <c r="BS435" t="s">
        <v>27663</v>
      </c>
      <c r="BT435" t="str">
        <f>HYPERLINK("https%3A%2F%2Fwww.webofscience.com%2Fwos%2Fwoscc%2Ffull-record%2FWOS:000458166100001","View Full Record in Web of Science")</f>
        <v>View Full Record in Web of Science</v>
      </c>
    </row>
    <row r="436" spans="1:72" x14ac:dyDescent="0.15">
      <c r="A436" t="s">
        <v>98</v>
      </c>
      <c r="B436" t="s">
        <v>29429</v>
      </c>
      <c r="C436" t="s">
        <v>74</v>
      </c>
      <c r="D436" t="s">
        <v>74</v>
      </c>
      <c r="E436" t="s">
        <v>74</v>
      </c>
      <c r="F436" t="s">
        <v>29430</v>
      </c>
      <c r="G436" t="s">
        <v>74</v>
      </c>
      <c r="H436" t="s">
        <v>74</v>
      </c>
      <c r="I436" t="s">
        <v>29431</v>
      </c>
      <c r="J436" t="s">
        <v>17027</v>
      </c>
      <c r="K436" t="s">
        <v>74</v>
      </c>
      <c r="L436" t="s">
        <v>74</v>
      </c>
      <c r="M436" t="s">
        <v>74</v>
      </c>
      <c r="N436" t="s">
        <v>103</v>
      </c>
      <c r="O436" t="s">
        <v>74</v>
      </c>
      <c r="P436" t="s">
        <v>74</v>
      </c>
      <c r="Q436" t="s">
        <v>74</v>
      </c>
      <c r="R436" t="s">
        <v>74</v>
      </c>
      <c r="S436" t="s">
        <v>74</v>
      </c>
      <c r="T436" t="s">
        <v>74</v>
      </c>
      <c r="U436" t="s">
        <v>29432</v>
      </c>
      <c r="V436" t="s">
        <v>29433</v>
      </c>
      <c r="W436" t="s">
        <v>29434</v>
      </c>
      <c r="X436" t="s">
        <v>23803</v>
      </c>
      <c r="Y436" t="s">
        <v>29435</v>
      </c>
      <c r="Z436" t="s">
        <v>23805</v>
      </c>
      <c r="AA436" t="s">
        <v>74</v>
      </c>
      <c r="AB436" t="s">
        <v>29436</v>
      </c>
      <c r="AC436" t="s">
        <v>74</v>
      </c>
      <c r="AD436" t="s">
        <v>74</v>
      </c>
      <c r="AE436" t="s">
        <v>74</v>
      </c>
      <c r="AF436" t="s">
        <v>74</v>
      </c>
      <c r="AG436">
        <v>58</v>
      </c>
      <c r="AH436">
        <v>47</v>
      </c>
      <c r="AI436">
        <v>48</v>
      </c>
      <c r="AJ436">
        <v>0</v>
      </c>
      <c r="AK436">
        <v>19</v>
      </c>
      <c r="AL436" t="s">
        <v>74</v>
      </c>
      <c r="AM436" t="s">
        <v>74</v>
      </c>
      <c r="AN436" t="s">
        <v>74</v>
      </c>
      <c r="AO436" t="s">
        <v>17035</v>
      </c>
      <c r="AP436" t="s">
        <v>17036</v>
      </c>
      <c r="AQ436" t="s">
        <v>74</v>
      </c>
      <c r="AR436" t="s">
        <v>74</v>
      </c>
      <c r="AS436" t="s">
        <v>74</v>
      </c>
      <c r="AT436" t="s">
        <v>5955</v>
      </c>
      <c r="AU436">
        <v>2014</v>
      </c>
      <c r="AV436">
        <v>124</v>
      </c>
      <c r="AW436">
        <v>13</v>
      </c>
      <c r="AX436" t="s">
        <v>74</v>
      </c>
      <c r="AY436" t="s">
        <v>74</v>
      </c>
      <c r="AZ436" t="s">
        <v>74</v>
      </c>
      <c r="BA436" t="s">
        <v>74</v>
      </c>
      <c r="BB436">
        <v>2094</v>
      </c>
      <c r="BC436">
        <v>2103</v>
      </c>
      <c r="BD436" t="s">
        <v>74</v>
      </c>
      <c r="BE436" t="s">
        <v>29437</v>
      </c>
      <c r="BF436" t="str">
        <f>HYPERLINK("http://dx.doi.org/10.1182/blood-2014-01-547927","http://dx.doi.org/10.1182/blood-2014-01-547927")</f>
        <v>http://dx.doi.org/10.1182/blood-2014-01-547927</v>
      </c>
      <c r="BG436" t="s">
        <v>74</v>
      </c>
      <c r="BH436" t="s">
        <v>74</v>
      </c>
      <c r="BI436" t="s">
        <v>74</v>
      </c>
      <c r="BJ436" t="s">
        <v>2438</v>
      </c>
      <c r="BK436" t="s">
        <v>117</v>
      </c>
      <c r="BL436" t="s">
        <v>2438</v>
      </c>
      <c r="BM436" t="s">
        <v>74</v>
      </c>
      <c r="BN436">
        <v>24948658</v>
      </c>
      <c r="BO436" t="s">
        <v>74</v>
      </c>
      <c r="BP436" t="s">
        <v>74</v>
      </c>
      <c r="BQ436" t="s">
        <v>74</v>
      </c>
      <c r="BR436" t="s">
        <v>96</v>
      </c>
      <c r="BS436" t="s">
        <v>29438</v>
      </c>
      <c r="BT436" t="str">
        <f>HYPERLINK("https%3A%2F%2Fwww.webofscience.com%2Fwos%2Fwoscc%2Ffull-record%2FWOS:000342763500016","View Full Record in Web of Science")</f>
        <v>View Full Record in Web of Science</v>
      </c>
    </row>
    <row r="437" spans="1:72" x14ac:dyDescent="0.15">
      <c r="A437" t="s">
        <v>98</v>
      </c>
      <c r="B437" t="s">
        <v>7140</v>
      </c>
      <c r="C437" t="s">
        <v>74</v>
      </c>
      <c r="D437" t="s">
        <v>74</v>
      </c>
      <c r="E437" t="s">
        <v>74</v>
      </c>
      <c r="F437" t="s">
        <v>7141</v>
      </c>
      <c r="G437" t="s">
        <v>74</v>
      </c>
      <c r="H437" t="s">
        <v>74</v>
      </c>
      <c r="I437" t="s">
        <v>7142</v>
      </c>
      <c r="J437" t="s">
        <v>1827</v>
      </c>
      <c r="K437" t="s">
        <v>74</v>
      </c>
      <c r="L437" t="s">
        <v>74</v>
      </c>
      <c r="M437" t="s">
        <v>74</v>
      </c>
      <c r="N437" t="s">
        <v>103</v>
      </c>
      <c r="O437" t="s">
        <v>74</v>
      </c>
      <c r="P437" t="s">
        <v>74</v>
      </c>
      <c r="Q437" t="s">
        <v>74</v>
      </c>
      <c r="R437" t="s">
        <v>74</v>
      </c>
      <c r="S437" t="s">
        <v>74</v>
      </c>
      <c r="T437" t="s">
        <v>7143</v>
      </c>
      <c r="U437" t="s">
        <v>7144</v>
      </c>
      <c r="V437" t="s">
        <v>7145</v>
      </c>
      <c r="W437" t="s">
        <v>7146</v>
      </c>
      <c r="X437" t="s">
        <v>7147</v>
      </c>
      <c r="Y437" t="s">
        <v>7148</v>
      </c>
      <c r="Z437" t="s">
        <v>7149</v>
      </c>
      <c r="AA437" t="s">
        <v>7150</v>
      </c>
      <c r="AB437" t="s">
        <v>7151</v>
      </c>
      <c r="AC437" t="s">
        <v>74</v>
      </c>
      <c r="AD437" t="s">
        <v>74</v>
      </c>
      <c r="AE437" t="s">
        <v>74</v>
      </c>
      <c r="AF437" t="s">
        <v>74</v>
      </c>
      <c r="AG437">
        <v>36</v>
      </c>
      <c r="AH437">
        <v>46</v>
      </c>
      <c r="AI437">
        <v>46</v>
      </c>
      <c r="AJ437">
        <v>4</v>
      </c>
      <c r="AK437">
        <v>20</v>
      </c>
      <c r="AL437" t="s">
        <v>74</v>
      </c>
      <c r="AM437" t="s">
        <v>74</v>
      </c>
      <c r="AN437" t="s">
        <v>74</v>
      </c>
      <c r="AO437" t="s">
        <v>74</v>
      </c>
      <c r="AP437" t="s">
        <v>1836</v>
      </c>
      <c r="AQ437" t="s">
        <v>74</v>
      </c>
      <c r="AR437" t="s">
        <v>74</v>
      </c>
      <c r="AS437" t="s">
        <v>74</v>
      </c>
      <c r="AT437" t="s">
        <v>967</v>
      </c>
      <c r="AU437">
        <v>2019</v>
      </c>
      <c r="AV437">
        <v>8</v>
      </c>
      <c r="AW437">
        <v>12</v>
      </c>
      <c r="AX437" t="s">
        <v>74</v>
      </c>
      <c r="AY437" t="s">
        <v>74</v>
      </c>
      <c r="AZ437" t="s">
        <v>74</v>
      </c>
      <c r="BA437" t="s">
        <v>74</v>
      </c>
      <c r="BB437" t="s">
        <v>74</v>
      </c>
      <c r="BC437" t="s">
        <v>74</v>
      </c>
      <c r="BD437">
        <v>1497</v>
      </c>
      <c r="BE437" t="s">
        <v>7152</v>
      </c>
      <c r="BF437" t="str">
        <f>HYPERLINK("http://dx.doi.org/10.3390/cells8121497","http://dx.doi.org/10.3390/cells8121497")</f>
        <v>http://dx.doi.org/10.3390/cells8121497</v>
      </c>
      <c r="BG437" t="s">
        <v>74</v>
      </c>
      <c r="BH437" t="s">
        <v>74</v>
      </c>
      <c r="BI437" t="s">
        <v>74</v>
      </c>
      <c r="BJ437" t="s">
        <v>135</v>
      </c>
      <c r="BK437" t="s">
        <v>117</v>
      </c>
      <c r="BL437" t="s">
        <v>135</v>
      </c>
      <c r="BM437" t="s">
        <v>74</v>
      </c>
      <c r="BN437">
        <v>31771176</v>
      </c>
      <c r="BO437" t="s">
        <v>74</v>
      </c>
      <c r="BP437" t="s">
        <v>74</v>
      </c>
      <c r="BQ437" t="s">
        <v>74</v>
      </c>
      <c r="BR437" t="s">
        <v>96</v>
      </c>
      <c r="BS437" t="s">
        <v>7153</v>
      </c>
      <c r="BT437" t="str">
        <f>HYPERLINK("https%3A%2F%2Fwww.webofscience.com%2Fwos%2Fwoscc%2Ffull-record%2FWOS:000506643500026","View Full Record in Web of Science")</f>
        <v>View Full Record in Web of Science</v>
      </c>
    </row>
    <row r="438" spans="1:72" x14ac:dyDescent="0.15">
      <c r="A438" t="s">
        <v>98</v>
      </c>
      <c r="B438" t="s">
        <v>14452</v>
      </c>
      <c r="C438" t="s">
        <v>74</v>
      </c>
      <c r="D438" t="s">
        <v>74</v>
      </c>
      <c r="E438" t="s">
        <v>74</v>
      </c>
      <c r="F438" t="s">
        <v>14453</v>
      </c>
      <c r="G438" t="s">
        <v>74</v>
      </c>
      <c r="H438" t="s">
        <v>74</v>
      </c>
      <c r="I438" t="s">
        <v>14454</v>
      </c>
      <c r="J438" t="s">
        <v>14455</v>
      </c>
      <c r="K438" t="s">
        <v>74</v>
      </c>
      <c r="L438" t="s">
        <v>74</v>
      </c>
      <c r="M438" t="s">
        <v>74</v>
      </c>
      <c r="N438" t="s">
        <v>103</v>
      </c>
      <c r="O438" t="s">
        <v>74</v>
      </c>
      <c r="P438" t="s">
        <v>74</v>
      </c>
      <c r="Q438" t="s">
        <v>74</v>
      </c>
      <c r="R438" t="s">
        <v>74</v>
      </c>
      <c r="S438" t="s">
        <v>74</v>
      </c>
      <c r="T438" t="s">
        <v>74</v>
      </c>
      <c r="U438" t="s">
        <v>14456</v>
      </c>
      <c r="V438" t="s">
        <v>14457</v>
      </c>
      <c r="W438" t="s">
        <v>14458</v>
      </c>
      <c r="X438" t="s">
        <v>14459</v>
      </c>
      <c r="Y438" t="s">
        <v>14460</v>
      </c>
      <c r="Z438" t="s">
        <v>14461</v>
      </c>
      <c r="AA438" t="s">
        <v>14462</v>
      </c>
      <c r="AB438" t="s">
        <v>14463</v>
      </c>
      <c r="AC438" t="s">
        <v>74</v>
      </c>
      <c r="AD438" t="s">
        <v>74</v>
      </c>
      <c r="AE438" t="s">
        <v>74</v>
      </c>
      <c r="AF438" t="s">
        <v>74</v>
      </c>
      <c r="AG438">
        <v>51</v>
      </c>
      <c r="AH438">
        <v>46</v>
      </c>
      <c r="AI438">
        <v>50</v>
      </c>
      <c r="AJ438">
        <v>0</v>
      </c>
      <c r="AK438">
        <v>24</v>
      </c>
      <c r="AL438" t="s">
        <v>74</v>
      </c>
      <c r="AM438" t="s">
        <v>74</v>
      </c>
      <c r="AN438" t="s">
        <v>74</v>
      </c>
      <c r="AO438" t="s">
        <v>14464</v>
      </c>
      <c r="AP438" t="s">
        <v>14465</v>
      </c>
      <c r="AQ438" t="s">
        <v>74</v>
      </c>
      <c r="AR438" t="s">
        <v>74</v>
      </c>
      <c r="AS438" t="s">
        <v>74</v>
      </c>
      <c r="AT438" t="s">
        <v>967</v>
      </c>
      <c r="AU438">
        <v>2013</v>
      </c>
      <c r="AV438">
        <v>15</v>
      </c>
      <c r="AW438">
        <v>12</v>
      </c>
      <c r="AX438" t="s">
        <v>74</v>
      </c>
      <c r="AY438" t="s">
        <v>74</v>
      </c>
      <c r="AZ438" t="s">
        <v>74</v>
      </c>
      <c r="BA438" t="s">
        <v>74</v>
      </c>
      <c r="BB438">
        <v>2034</v>
      </c>
      <c r="BC438">
        <v>2050</v>
      </c>
      <c r="BD438" t="s">
        <v>74</v>
      </c>
      <c r="BE438" t="s">
        <v>14466</v>
      </c>
      <c r="BF438" t="str">
        <f>HYPERLINK("http://dx.doi.org/10.1111/cmi.12172","http://dx.doi.org/10.1111/cmi.12172")</f>
        <v>http://dx.doi.org/10.1111/cmi.12172</v>
      </c>
      <c r="BG438" t="s">
        <v>74</v>
      </c>
      <c r="BH438" t="s">
        <v>74</v>
      </c>
      <c r="BI438" t="s">
        <v>74</v>
      </c>
      <c r="BJ438" t="s">
        <v>14467</v>
      </c>
      <c r="BK438" t="s">
        <v>117</v>
      </c>
      <c r="BL438" t="s">
        <v>14467</v>
      </c>
      <c r="BM438" t="s">
        <v>74</v>
      </c>
      <c r="BN438">
        <v>23869968</v>
      </c>
      <c r="BO438" t="s">
        <v>74</v>
      </c>
      <c r="BP438" t="s">
        <v>74</v>
      </c>
      <c r="BQ438" t="s">
        <v>74</v>
      </c>
      <c r="BR438" t="s">
        <v>96</v>
      </c>
      <c r="BS438" t="s">
        <v>14468</v>
      </c>
      <c r="BT438" t="str">
        <f>HYPERLINK("https%3A%2F%2Fwww.webofscience.com%2Fwos%2Fwoscc%2Ffull-record%2FWOS:000326934000008","View Full Record in Web of Science")</f>
        <v>View Full Record in Web of Science</v>
      </c>
    </row>
    <row r="439" spans="1:72" x14ac:dyDescent="0.15">
      <c r="A439" t="s">
        <v>98</v>
      </c>
      <c r="B439" t="s">
        <v>21735</v>
      </c>
      <c r="C439" t="s">
        <v>74</v>
      </c>
      <c r="D439" t="s">
        <v>74</v>
      </c>
      <c r="E439" t="s">
        <v>74</v>
      </c>
      <c r="F439" t="s">
        <v>21736</v>
      </c>
      <c r="G439" t="s">
        <v>74</v>
      </c>
      <c r="H439" t="s">
        <v>74</v>
      </c>
      <c r="I439" t="s">
        <v>21737</v>
      </c>
      <c r="J439" t="s">
        <v>13615</v>
      </c>
      <c r="K439" t="s">
        <v>74</v>
      </c>
      <c r="L439" t="s">
        <v>74</v>
      </c>
      <c r="M439" t="s">
        <v>74</v>
      </c>
      <c r="N439" t="s">
        <v>103</v>
      </c>
      <c r="O439" t="s">
        <v>74</v>
      </c>
      <c r="P439" t="s">
        <v>74</v>
      </c>
      <c r="Q439" t="s">
        <v>74</v>
      </c>
      <c r="R439" t="s">
        <v>74</v>
      </c>
      <c r="S439" t="s">
        <v>74</v>
      </c>
      <c r="T439" t="s">
        <v>74</v>
      </c>
      <c r="U439" t="s">
        <v>21738</v>
      </c>
      <c r="V439" t="s">
        <v>21739</v>
      </c>
      <c r="W439" t="s">
        <v>21740</v>
      </c>
      <c r="X439" t="s">
        <v>21741</v>
      </c>
      <c r="Y439" t="s">
        <v>21742</v>
      </c>
      <c r="Z439" t="s">
        <v>2668</v>
      </c>
      <c r="AA439" t="s">
        <v>21743</v>
      </c>
      <c r="AB439" t="s">
        <v>21744</v>
      </c>
      <c r="AC439" t="s">
        <v>74</v>
      </c>
      <c r="AD439" t="s">
        <v>74</v>
      </c>
      <c r="AE439" t="s">
        <v>74</v>
      </c>
      <c r="AF439" t="s">
        <v>74</v>
      </c>
      <c r="AG439">
        <v>46</v>
      </c>
      <c r="AH439">
        <v>46</v>
      </c>
      <c r="AI439">
        <v>48</v>
      </c>
      <c r="AJ439">
        <v>0</v>
      </c>
      <c r="AK439">
        <v>3</v>
      </c>
      <c r="AL439" t="s">
        <v>74</v>
      </c>
      <c r="AM439" t="s">
        <v>74</v>
      </c>
      <c r="AN439" t="s">
        <v>74</v>
      </c>
      <c r="AO439" t="s">
        <v>74</v>
      </c>
      <c r="AP439" t="s">
        <v>13624</v>
      </c>
      <c r="AQ439" t="s">
        <v>74</v>
      </c>
      <c r="AR439" t="s">
        <v>74</v>
      </c>
      <c r="AS439" t="s">
        <v>74</v>
      </c>
      <c r="AT439" t="s">
        <v>7284</v>
      </c>
      <c r="AU439">
        <v>2017</v>
      </c>
      <c r="AV439">
        <v>2</v>
      </c>
      <c r="AW439">
        <v>14</v>
      </c>
      <c r="AX439" t="s">
        <v>74</v>
      </c>
      <c r="AY439" t="s">
        <v>74</v>
      </c>
      <c r="AZ439" t="s">
        <v>74</v>
      </c>
      <c r="BA439" t="s">
        <v>74</v>
      </c>
      <c r="BB439" t="s">
        <v>74</v>
      </c>
      <c r="BC439" t="s">
        <v>74</v>
      </c>
      <c r="BD439" t="s">
        <v>21745</v>
      </c>
      <c r="BE439" t="s">
        <v>21746</v>
      </c>
      <c r="BF439" t="str">
        <f>HYPERLINK("http://dx.doi.org/10.1172/jci.insight.92634","http://dx.doi.org/10.1172/jci.insight.92634")</f>
        <v>http://dx.doi.org/10.1172/jci.insight.92634</v>
      </c>
      <c r="BG439" t="s">
        <v>74</v>
      </c>
      <c r="BH439" t="s">
        <v>74</v>
      </c>
      <c r="BI439" t="s">
        <v>74</v>
      </c>
      <c r="BJ439" t="s">
        <v>795</v>
      </c>
      <c r="BK439" t="s">
        <v>117</v>
      </c>
      <c r="BL439" t="s">
        <v>796</v>
      </c>
      <c r="BM439" t="s">
        <v>74</v>
      </c>
      <c r="BN439">
        <v>28724791</v>
      </c>
      <c r="BO439" t="s">
        <v>74</v>
      </c>
      <c r="BP439" t="s">
        <v>74</v>
      </c>
      <c r="BQ439" t="s">
        <v>74</v>
      </c>
      <c r="BR439" t="s">
        <v>96</v>
      </c>
      <c r="BS439" t="s">
        <v>21747</v>
      </c>
      <c r="BT439" t="str">
        <f>HYPERLINK("https%3A%2F%2Fwww.webofscience.com%2Fwos%2Fwoscc%2Ffull-record%2FWOS:000405904800005","View Full Record in Web of Science")</f>
        <v>View Full Record in Web of Science</v>
      </c>
    </row>
    <row r="440" spans="1:72" x14ac:dyDescent="0.15">
      <c r="A440" t="s">
        <v>98</v>
      </c>
      <c r="B440" t="s">
        <v>25488</v>
      </c>
      <c r="C440" t="s">
        <v>74</v>
      </c>
      <c r="D440" t="s">
        <v>74</v>
      </c>
      <c r="E440" t="s">
        <v>74</v>
      </c>
      <c r="F440" t="s">
        <v>25489</v>
      </c>
      <c r="G440" t="s">
        <v>74</v>
      </c>
      <c r="H440" t="s">
        <v>74</v>
      </c>
      <c r="I440" t="s">
        <v>25490</v>
      </c>
      <c r="J440" t="s">
        <v>9651</v>
      </c>
      <c r="K440" t="s">
        <v>74</v>
      </c>
      <c r="L440" t="s">
        <v>74</v>
      </c>
      <c r="M440" t="s">
        <v>74</v>
      </c>
      <c r="N440" t="s">
        <v>103</v>
      </c>
      <c r="O440" t="s">
        <v>74</v>
      </c>
      <c r="P440" t="s">
        <v>74</v>
      </c>
      <c r="Q440" t="s">
        <v>74</v>
      </c>
      <c r="R440" t="s">
        <v>74</v>
      </c>
      <c r="S440" t="s">
        <v>74</v>
      </c>
      <c r="T440" t="s">
        <v>74</v>
      </c>
      <c r="U440" t="s">
        <v>25491</v>
      </c>
      <c r="V440" t="s">
        <v>25492</v>
      </c>
      <c r="W440" t="s">
        <v>25493</v>
      </c>
      <c r="X440" t="s">
        <v>25494</v>
      </c>
      <c r="Y440" t="s">
        <v>25495</v>
      </c>
      <c r="Z440" t="s">
        <v>25496</v>
      </c>
      <c r="AA440" t="s">
        <v>25497</v>
      </c>
      <c r="AB440" t="s">
        <v>25498</v>
      </c>
      <c r="AC440" t="s">
        <v>74</v>
      </c>
      <c r="AD440" t="s">
        <v>74</v>
      </c>
      <c r="AE440" t="s">
        <v>74</v>
      </c>
      <c r="AF440" t="s">
        <v>74</v>
      </c>
      <c r="AG440">
        <v>28</v>
      </c>
      <c r="AH440">
        <v>46</v>
      </c>
      <c r="AI440">
        <v>47</v>
      </c>
      <c r="AJ440">
        <v>4</v>
      </c>
      <c r="AK440">
        <v>62</v>
      </c>
      <c r="AL440" t="s">
        <v>74</v>
      </c>
      <c r="AM440" t="s">
        <v>74</v>
      </c>
      <c r="AN440" t="s">
        <v>74</v>
      </c>
      <c r="AO440" t="s">
        <v>9658</v>
      </c>
      <c r="AP440" t="s">
        <v>9659</v>
      </c>
      <c r="AQ440" t="s">
        <v>74</v>
      </c>
      <c r="AR440" t="s">
        <v>74</v>
      </c>
      <c r="AS440" t="s">
        <v>74</v>
      </c>
      <c r="AT440" t="s">
        <v>74</v>
      </c>
      <c r="AU440">
        <v>2012</v>
      </c>
      <c r="AV440">
        <v>48</v>
      </c>
      <c r="AW440">
        <v>98</v>
      </c>
      <c r="AX440" t="s">
        <v>74</v>
      </c>
      <c r="AY440" t="s">
        <v>74</v>
      </c>
      <c r="AZ440" t="s">
        <v>74</v>
      </c>
      <c r="BA440" t="s">
        <v>74</v>
      </c>
      <c r="BB440">
        <v>11942</v>
      </c>
      <c r="BC440">
        <v>11944</v>
      </c>
      <c r="BD440" t="s">
        <v>74</v>
      </c>
      <c r="BE440" t="s">
        <v>25499</v>
      </c>
      <c r="BF440" t="str">
        <f>HYPERLINK("http://dx.doi.org/10.1039/c2cc36111f","http://dx.doi.org/10.1039/c2cc36111f")</f>
        <v>http://dx.doi.org/10.1039/c2cc36111f</v>
      </c>
      <c r="BG440" t="s">
        <v>74</v>
      </c>
      <c r="BH440" t="s">
        <v>74</v>
      </c>
      <c r="BI440" t="s">
        <v>74</v>
      </c>
      <c r="BJ440" t="s">
        <v>1047</v>
      </c>
      <c r="BK440" t="s">
        <v>117</v>
      </c>
      <c r="BL440" t="s">
        <v>1048</v>
      </c>
      <c r="BM440" t="s">
        <v>74</v>
      </c>
      <c r="BN440">
        <v>23073155</v>
      </c>
      <c r="BO440" t="s">
        <v>74</v>
      </c>
      <c r="BP440" t="s">
        <v>74</v>
      </c>
      <c r="BQ440" t="s">
        <v>74</v>
      </c>
      <c r="BR440" t="s">
        <v>96</v>
      </c>
      <c r="BS440" t="s">
        <v>25500</v>
      </c>
      <c r="BT440" t="str">
        <f>HYPERLINK("https%3A%2F%2Fwww.webofscience.com%2Fwos%2Fwoscc%2Ffull-record%2FWOS:000311287100003","View Full Record in Web of Science")</f>
        <v>View Full Record in Web of Science</v>
      </c>
    </row>
    <row r="441" spans="1:72" x14ac:dyDescent="0.15">
      <c r="A441" t="s">
        <v>98</v>
      </c>
      <c r="B441" t="s">
        <v>27955</v>
      </c>
      <c r="C441" t="s">
        <v>74</v>
      </c>
      <c r="D441" t="s">
        <v>74</v>
      </c>
      <c r="E441" t="s">
        <v>74</v>
      </c>
      <c r="F441" t="s">
        <v>27956</v>
      </c>
      <c r="G441" t="s">
        <v>74</v>
      </c>
      <c r="H441" t="s">
        <v>74</v>
      </c>
      <c r="I441" t="s">
        <v>27957</v>
      </c>
      <c r="J441" t="s">
        <v>18766</v>
      </c>
      <c r="K441" t="s">
        <v>74</v>
      </c>
      <c r="L441" t="s">
        <v>74</v>
      </c>
      <c r="M441" t="s">
        <v>74</v>
      </c>
      <c r="N441" t="s">
        <v>103</v>
      </c>
      <c r="O441" t="s">
        <v>74</v>
      </c>
      <c r="P441" t="s">
        <v>74</v>
      </c>
      <c r="Q441" t="s">
        <v>74</v>
      </c>
      <c r="R441" t="s">
        <v>74</v>
      </c>
      <c r="S441" t="s">
        <v>74</v>
      </c>
      <c r="T441" t="s">
        <v>27958</v>
      </c>
      <c r="U441" t="s">
        <v>74</v>
      </c>
      <c r="V441" t="s">
        <v>27959</v>
      </c>
      <c r="W441" t="s">
        <v>27960</v>
      </c>
      <c r="X441" t="s">
        <v>9154</v>
      </c>
      <c r="Y441" t="s">
        <v>27961</v>
      </c>
      <c r="Z441" t="s">
        <v>27962</v>
      </c>
      <c r="AA441" t="s">
        <v>74</v>
      </c>
      <c r="AB441" t="s">
        <v>74</v>
      </c>
      <c r="AC441" t="s">
        <v>74</v>
      </c>
      <c r="AD441" t="s">
        <v>74</v>
      </c>
      <c r="AE441" t="s">
        <v>74</v>
      </c>
      <c r="AF441" t="s">
        <v>74</v>
      </c>
      <c r="AG441">
        <v>0</v>
      </c>
      <c r="AH441">
        <v>46</v>
      </c>
      <c r="AI441">
        <v>49</v>
      </c>
      <c r="AJ441">
        <v>2</v>
      </c>
      <c r="AK441">
        <v>28</v>
      </c>
      <c r="AL441" t="s">
        <v>74</v>
      </c>
      <c r="AM441" t="s">
        <v>74</v>
      </c>
      <c r="AN441" t="s">
        <v>74</v>
      </c>
      <c r="AO441" t="s">
        <v>18775</v>
      </c>
      <c r="AP441" t="s">
        <v>74</v>
      </c>
      <c r="AQ441" t="s">
        <v>74</v>
      </c>
      <c r="AR441" t="s">
        <v>74</v>
      </c>
      <c r="AS441" t="s">
        <v>74</v>
      </c>
      <c r="AT441" t="s">
        <v>74</v>
      </c>
      <c r="AU441">
        <v>2018</v>
      </c>
      <c r="AV441">
        <v>11</v>
      </c>
      <c r="AW441" t="s">
        <v>74</v>
      </c>
      <c r="AX441" t="s">
        <v>74</v>
      </c>
      <c r="AY441" t="s">
        <v>74</v>
      </c>
      <c r="AZ441" t="s">
        <v>74</v>
      </c>
      <c r="BA441" t="s">
        <v>74</v>
      </c>
      <c r="BB441">
        <v>1457</v>
      </c>
      <c r="BC441">
        <v>1474</v>
      </c>
      <c r="BD441" t="s">
        <v>74</v>
      </c>
      <c r="BE441" t="s">
        <v>27963</v>
      </c>
      <c r="BF441" t="str">
        <f>HYPERLINK("http://dx.doi.org/10.2147/OTT.S152238","http://dx.doi.org/10.2147/OTT.S152238")</f>
        <v>http://dx.doi.org/10.2147/OTT.S152238</v>
      </c>
      <c r="BG441" t="s">
        <v>74</v>
      </c>
      <c r="BH441" t="s">
        <v>74</v>
      </c>
      <c r="BI441" t="s">
        <v>74</v>
      </c>
      <c r="BJ441" t="s">
        <v>18777</v>
      </c>
      <c r="BK441" t="s">
        <v>117</v>
      </c>
      <c r="BL441" t="s">
        <v>18777</v>
      </c>
      <c r="BM441" t="s">
        <v>74</v>
      </c>
      <c r="BN441">
        <v>29588600</v>
      </c>
      <c r="BO441" t="s">
        <v>74</v>
      </c>
      <c r="BP441" t="s">
        <v>74</v>
      </c>
      <c r="BQ441" t="s">
        <v>74</v>
      </c>
      <c r="BR441" t="s">
        <v>96</v>
      </c>
      <c r="BS441" t="s">
        <v>27964</v>
      </c>
      <c r="BT441" t="str">
        <f>HYPERLINK("https%3A%2F%2Fwww.webofscience.com%2Fwos%2Fwoscc%2Ffull-record%2FWOS:000428058000004","View Full Record in Web of Science")</f>
        <v>View Full Record in Web of Science</v>
      </c>
    </row>
    <row r="442" spans="1:72" x14ac:dyDescent="0.15">
      <c r="A442" t="s">
        <v>72</v>
      </c>
      <c r="B442" t="s">
        <v>2119</v>
      </c>
      <c r="C442" t="s">
        <v>74</v>
      </c>
      <c r="D442" t="s">
        <v>2120</v>
      </c>
      <c r="E442" t="s">
        <v>74</v>
      </c>
      <c r="F442" t="s">
        <v>2121</v>
      </c>
      <c r="G442" t="s">
        <v>74</v>
      </c>
      <c r="H442" t="s">
        <v>74</v>
      </c>
      <c r="I442" t="s">
        <v>2122</v>
      </c>
      <c r="J442" t="s">
        <v>2123</v>
      </c>
      <c r="K442" t="s">
        <v>79</v>
      </c>
      <c r="L442" t="s">
        <v>74</v>
      </c>
      <c r="M442" t="s">
        <v>74</v>
      </c>
      <c r="N442" t="s">
        <v>80</v>
      </c>
      <c r="O442" t="s">
        <v>74</v>
      </c>
      <c r="P442" t="s">
        <v>74</v>
      </c>
      <c r="Q442" t="s">
        <v>74</v>
      </c>
      <c r="R442" t="s">
        <v>74</v>
      </c>
      <c r="S442" t="s">
        <v>74</v>
      </c>
      <c r="T442" t="s">
        <v>2124</v>
      </c>
      <c r="U442" t="s">
        <v>2125</v>
      </c>
      <c r="V442" t="s">
        <v>2126</v>
      </c>
      <c r="W442" t="s">
        <v>2127</v>
      </c>
      <c r="X442" t="s">
        <v>2128</v>
      </c>
      <c r="Y442" t="s">
        <v>2129</v>
      </c>
      <c r="Z442" t="s">
        <v>74</v>
      </c>
      <c r="AA442" t="s">
        <v>2130</v>
      </c>
      <c r="AB442" t="s">
        <v>2131</v>
      </c>
      <c r="AC442" t="s">
        <v>74</v>
      </c>
      <c r="AD442" t="s">
        <v>74</v>
      </c>
      <c r="AE442" t="s">
        <v>74</v>
      </c>
      <c r="AF442" t="s">
        <v>74</v>
      </c>
      <c r="AG442">
        <v>30</v>
      </c>
      <c r="AH442">
        <v>45</v>
      </c>
      <c r="AI442">
        <v>46</v>
      </c>
      <c r="AJ442">
        <v>1</v>
      </c>
      <c r="AK442">
        <v>31</v>
      </c>
      <c r="AL442" t="s">
        <v>74</v>
      </c>
      <c r="AM442" t="s">
        <v>74</v>
      </c>
      <c r="AN442" t="s">
        <v>74</v>
      </c>
      <c r="AO442" t="s">
        <v>88</v>
      </c>
      <c r="AP442" t="s">
        <v>89</v>
      </c>
      <c r="AQ442" t="s">
        <v>2132</v>
      </c>
      <c r="AR442" t="s">
        <v>74</v>
      </c>
      <c r="AS442" t="s">
        <v>74</v>
      </c>
      <c r="AT442" t="s">
        <v>74</v>
      </c>
      <c r="AU442">
        <v>2013</v>
      </c>
      <c r="AV442">
        <v>1049</v>
      </c>
      <c r="AW442" t="s">
        <v>74</v>
      </c>
      <c r="AX442" t="s">
        <v>74</v>
      </c>
      <c r="AY442" t="s">
        <v>74</v>
      </c>
      <c r="AZ442" t="s">
        <v>74</v>
      </c>
      <c r="BA442" t="s">
        <v>74</v>
      </c>
      <c r="BB442">
        <v>495</v>
      </c>
      <c r="BC442">
        <v>511</v>
      </c>
      <c r="BD442" t="s">
        <v>74</v>
      </c>
      <c r="BE442" t="s">
        <v>2133</v>
      </c>
      <c r="BF442" t="str">
        <f>HYPERLINK("http://dx.doi.org/10.1007/978-1-62703-547-7_37","http://dx.doi.org/10.1007/978-1-62703-547-7_37")</f>
        <v>http://dx.doi.org/10.1007/978-1-62703-547-7_37</v>
      </c>
      <c r="BG442" t="s">
        <v>2134</v>
      </c>
      <c r="BH442" t="s">
        <v>74</v>
      </c>
      <c r="BI442" t="s">
        <v>74</v>
      </c>
      <c r="BJ442" t="s">
        <v>267</v>
      </c>
      <c r="BK442" t="s">
        <v>94</v>
      </c>
      <c r="BL442" t="s">
        <v>267</v>
      </c>
      <c r="BM442" t="s">
        <v>74</v>
      </c>
      <c r="BN442">
        <v>23913240</v>
      </c>
      <c r="BO442" t="s">
        <v>74</v>
      </c>
      <c r="BP442" t="s">
        <v>74</v>
      </c>
      <c r="BQ442" t="s">
        <v>74</v>
      </c>
      <c r="BR442" t="s">
        <v>96</v>
      </c>
      <c r="BS442" t="s">
        <v>2135</v>
      </c>
      <c r="BT442" t="str">
        <f>HYPERLINK("https%3A%2F%2Fwww.webofscience.com%2Fwos%2Fwoscc%2Ffull-record%2FWOS:000325614400038","View Full Record in Web of Science")</f>
        <v>View Full Record in Web of Science</v>
      </c>
    </row>
    <row r="443" spans="1:72" x14ac:dyDescent="0.15">
      <c r="A443" t="s">
        <v>98</v>
      </c>
      <c r="B443" t="s">
        <v>12702</v>
      </c>
      <c r="C443" t="s">
        <v>74</v>
      </c>
      <c r="D443" t="s">
        <v>74</v>
      </c>
      <c r="E443" t="s">
        <v>74</v>
      </c>
      <c r="F443" t="s">
        <v>12703</v>
      </c>
      <c r="G443" t="s">
        <v>74</v>
      </c>
      <c r="H443" t="s">
        <v>74</v>
      </c>
      <c r="I443" t="s">
        <v>12704</v>
      </c>
      <c r="J443" t="s">
        <v>7065</v>
      </c>
      <c r="K443" t="s">
        <v>74</v>
      </c>
      <c r="L443" t="s">
        <v>74</v>
      </c>
      <c r="M443" t="s">
        <v>74</v>
      </c>
      <c r="N443" t="s">
        <v>103</v>
      </c>
      <c r="O443" t="s">
        <v>74</v>
      </c>
      <c r="P443" t="s">
        <v>74</v>
      </c>
      <c r="Q443" t="s">
        <v>74</v>
      </c>
      <c r="R443" t="s">
        <v>74</v>
      </c>
      <c r="S443" t="s">
        <v>74</v>
      </c>
      <c r="T443" t="s">
        <v>74</v>
      </c>
      <c r="U443" t="s">
        <v>12705</v>
      </c>
      <c r="V443" t="s">
        <v>12706</v>
      </c>
      <c r="W443" t="s">
        <v>12707</v>
      </c>
      <c r="X443" t="s">
        <v>12708</v>
      </c>
      <c r="Y443" t="s">
        <v>12709</v>
      </c>
      <c r="Z443" t="s">
        <v>12710</v>
      </c>
      <c r="AA443" t="s">
        <v>74</v>
      </c>
      <c r="AB443" t="s">
        <v>12711</v>
      </c>
      <c r="AC443" t="s">
        <v>74</v>
      </c>
      <c r="AD443" t="s">
        <v>74</v>
      </c>
      <c r="AE443" t="s">
        <v>74</v>
      </c>
      <c r="AF443" t="s">
        <v>74</v>
      </c>
      <c r="AG443">
        <v>49</v>
      </c>
      <c r="AH443">
        <v>45</v>
      </c>
      <c r="AI443">
        <v>47</v>
      </c>
      <c r="AJ443">
        <v>0</v>
      </c>
      <c r="AK443">
        <v>15</v>
      </c>
      <c r="AL443" t="s">
        <v>74</v>
      </c>
      <c r="AM443" t="s">
        <v>74</v>
      </c>
      <c r="AN443" t="s">
        <v>74</v>
      </c>
      <c r="AO443" t="s">
        <v>7074</v>
      </c>
      <c r="AP443" t="s">
        <v>7075</v>
      </c>
      <c r="AQ443" t="s">
        <v>74</v>
      </c>
      <c r="AR443" t="s">
        <v>74</v>
      </c>
      <c r="AS443" t="s">
        <v>74</v>
      </c>
      <c r="AT443" t="s">
        <v>12712</v>
      </c>
      <c r="AU443">
        <v>2016</v>
      </c>
      <c r="AV443">
        <v>76</v>
      </c>
      <c r="AW443">
        <v>10</v>
      </c>
      <c r="AX443" t="s">
        <v>74</v>
      </c>
      <c r="AY443" t="s">
        <v>74</v>
      </c>
      <c r="AZ443" t="s">
        <v>74</v>
      </c>
      <c r="BA443" t="s">
        <v>74</v>
      </c>
      <c r="BB443">
        <v>2901</v>
      </c>
      <c r="BC443">
        <v>2911</v>
      </c>
      <c r="BD443" t="s">
        <v>74</v>
      </c>
      <c r="BE443" t="s">
        <v>12713</v>
      </c>
      <c r="BF443" t="str">
        <f>HYPERLINK("http://dx.doi.org/10.1158/0008-5472.CAN-15-2120","http://dx.doi.org/10.1158/0008-5472.CAN-15-2120")</f>
        <v>http://dx.doi.org/10.1158/0008-5472.CAN-15-2120</v>
      </c>
      <c r="BG443" t="s">
        <v>74</v>
      </c>
      <c r="BH443" t="s">
        <v>74</v>
      </c>
      <c r="BI443" t="s">
        <v>74</v>
      </c>
      <c r="BJ443" t="s">
        <v>267</v>
      </c>
      <c r="BK443" t="s">
        <v>117</v>
      </c>
      <c r="BL443" t="s">
        <v>267</v>
      </c>
      <c r="BM443" t="s">
        <v>74</v>
      </c>
      <c r="BN443">
        <v>27013199</v>
      </c>
      <c r="BO443" t="s">
        <v>74</v>
      </c>
      <c r="BP443" t="s">
        <v>74</v>
      </c>
      <c r="BQ443" t="s">
        <v>74</v>
      </c>
      <c r="BR443" t="s">
        <v>96</v>
      </c>
      <c r="BS443" t="s">
        <v>12714</v>
      </c>
      <c r="BT443" t="str">
        <f>HYPERLINK("https%3A%2F%2Fwww.webofscience.com%2Fwos%2Fwoscc%2Ffull-record%2FWOS:000375841000009","View Full Record in Web of Science")</f>
        <v>View Full Record in Web of Science</v>
      </c>
    </row>
    <row r="444" spans="1:72" x14ac:dyDescent="0.15">
      <c r="A444" t="s">
        <v>98</v>
      </c>
      <c r="B444" t="s">
        <v>12812</v>
      </c>
      <c r="C444" t="s">
        <v>74</v>
      </c>
      <c r="D444" t="s">
        <v>74</v>
      </c>
      <c r="E444" t="s">
        <v>74</v>
      </c>
      <c r="F444" t="s">
        <v>12813</v>
      </c>
      <c r="G444" t="s">
        <v>74</v>
      </c>
      <c r="H444" t="s">
        <v>74</v>
      </c>
      <c r="I444" t="s">
        <v>12814</v>
      </c>
      <c r="J444" t="s">
        <v>12815</v>
      </c>
      <c r="K444" t="s">
        <v>74</v>
      </c>
      <c r="L444" t="s">
        <v>74</v>
      </c>
      <c r="M444" t="s">
        <v>74</v>
      </c>
      <c r="N444" t="s">
        <v>103</v>
      </c>
      <c r="O444" t="s">
        <v>74</v>
      </c>
      <c r="P444" t="s">
        <v>74</v>
      </c>
      <c r="Q444" t="s">
        <v>74</v>
      </c>
      <c r="R444" t="s">
        <v>74</v>
      </c>
      <c r="S444" t="s">
        <v>74</v>
      </c>
      <c r="T444" t="s">
        <v>12816</v>
      </c>
      <c r="U444" t="s">
        <v>12817</v>
      </c>
      <c r="V444" t="s">
        <v>12818</v>
      </c>
      <c r="W444" t="s">
        <v>12819</v>
      </c>
      <c r="X444" t="s">
        <v>12820</v>
      </c>
      <c r="Y444" t="s">
        <v>12821</v>
      </c>
      <c r="Z444" t="s">
        <v>12822</v>
      </c>
      <c r="AA444" t="s">
        <v>12823</v>
      </c>
      <c r="AB444" t="s">
        <v>12824</v>
      </c>
      <c r="AC444" t="s">
        <v>74</v>
      </c>
      <c r="AD444" t="s">
        <v>74</v>
      </c>
      <c r="AE444" t="s">
        <v>74</v>
      </c>
      <c r="AF444" t="s">
        <v>74</v>
      </c>
      <c r="AG444">
        <v>51</v>
      </c>
      <c r="AH444">
        <v>45</v>
      </c>
      <c r="AI444">
        <v>46</v>
      </c>
      <c r="AJ444">
        <v>4</v>
      </c>
      <c r="AK444">
        <v>33</v>
      </c>
      <c r="AL444" t="s">
        <v>74</v>
      </c>
      <c r="AM444" t="s">
        <v>74</v>
      </c>
      <c r="AN444" t="s">
        <v>74</v>
      </c>
      <c r="AO444" t="s">
        <v>12825</v>
      </c>
      <c r="AP444" t="s">
        <v>12826</v>
      </c>
      <c r="AQ444" t="s">
        <v>74</v>
      </c>
      <c r="AR444" t="s">
        <v>74</v>
      </c>
      <c r="AS444" t="s">
        <v>74</v>
      </c>
      <c r="AT444" t="s">
        <v>170</v>
      </c>
      <c r="AU444">
        <v>2019</v>
      </c>
      <c r="AV444">
        <v>8</v>
      </c>
      <c r="AW444">
        <v>11</v>
      </c>
      <c r="AX444" t="s">
        <v>74</v>
      </c>
      <c r="AY444" t="s">
        <v>74</v>
      </c>
      <c r="AZ444" t="s">
        <v>74</v>
      </c>
      <c r="BA444" t="s">
        <v>74</v>
      </c>
      <c r="BB444" t="s">
        <v>74</v>
      </c>
      <c r="BC444" t="s">
        <v>74</v>
      </c>
      <c r="BD444">
        <v>1801271</v>
      </c>
      <c r="BE444" t="s">
        <v>12827</v>
      </c>
      <c r="BF444" t="str">
        <f>HYPERLINK("http://dx.doi.org/10.1002/adhm.201801271","http://dx.doi.org/10.1002/adhm.201801271")</f>
        <v>http://dx.doi.org/10.1002/adhm.201801271</v>
      </c>
      <c r="BG444" t="s">
        <v>74</v>
      </c>
      <c r="BH444" t="s">
        <v>74</v>
      </c>
      <c r="BI444" t="s">
        <v>74</v>
      </c>
      <c r="BJ444" t="s">
        <v>12828</v>
      </c>
      <c r="BK444" t="s">
        <v>117</v>
      </c>
      <c r="BL444" t="s">
        <v>12829</v>
      </c>
      <c r="BM444" t="s">
        <v>74</v>
      </c>
      <c r="BN444">
        <v>30997751</v>
      </c>
      <c r="BO444" t="s">
        <v>74</v>
      </c>
      <c r="BP444" t="s">
        <v>74</v>
      </c>
      <c r="BQ444" t="s">
        <v>74</v>
      </c>
      <c r="BR444" t="s">
        <v>96</v>
      </c>
      <c r="BS444" t="s">
        <v>12830</v>
      </c>
      <c r="BT444" t="str">
        <f>HYPERLINK("https%3A%2F%2Fwww.webofscience.com%2Fwos%2Fwoscc%2Ffull-record%2FWOS:000472669100007","View Full Record in Web of Science")</f>
        <v>View Full Record in Web of Science</v>
      </c>
    </row>
    <row r="445" spans="1:72" x14ac:dyDescent="0.15">
      <c r="A445" t="s">
        <v>98</v>
      </c>
      <c r="B445" t="s">
        <v>18164</v>
      </c>
      <c r="C445" t="s">
        <v>74</v>
      </c>
      <c r="D445" t="s">
        <v>74</v>
      </c>
      <c r="E445" t="s">
        <v>74</v>
      </c>
      <c r="F445" t="s">
        <v>18165</v>
      </c>
      <c r="G445" t="s">
        <v>74</v>
      </c>
      <c r="H445" t="s">
        <v>74</v>
      </c>
      <c r="I445" t="s">
        <v>18166</v>
      </c>
      <c r="J445" t="s">
        <v>6467</v>
      </c>
      <c r="K445" t="s">
        <v>74</v>
      </c>
      <c r="L445" t="s">
        <v>74</v>
      </c>
      <c r="M445" t="s">
        <v>74</v>
      </c>
      <c r="N445" t="s">
        <v>103</v>
      </c>
      <c r="O445" t="s">
        <v>74</v>
      </c>
      <c r="P445" t="s">
        <v>74</v>
      </c>
      <c r="Q445" t="s">
        <v>74</v>
      </c>
      <c r="R445" t="s">
        <v>74</v>
      </c>
      <c r="S445" t="s">
        <v>74</v>
      </c>
      <c r="T445" t="s">
        <v>74</v>
      </c>
      <c r="U445" t="s">
        <v>18167</v>
      </c>
      <c r="V445" t="s">
        <v>18168</v>
      </c>
      <c r="W445" t="s">
        <v>18169</v>
      </c>
      <c r="X445" t="s">
        <v>18170</v>
      </c>
      <c r="Y445" t="s">
        <v>18171</v>
      </c>
      <c r="Z445" t="s">
        <v>18172</v>
      </c>
      <c r="AA445" t="s">
        <v>74</v>
      </c>
      <c r="AB445" t="s">
        <v>74</v>
      </c>
      <c r="AC445" t="s">
        <v>74</v>
      </c>
      <c r="AD445" t="s">
        <v>74</v>
      </c>
      <c r="AE445" t="s">
        <v>74</v>
      </c>
      <c r="AF445" t="s">
        <v>74</v>
      </c>
      <c r="AG445">
        <v>40</v>
      </c>
      <c r="AH445">
        <v>45</v>
      </c>
      <c r="AI445">
        <v>47</v>
      </c>
      <c r="AJ445">
        <v>0</v>
      </c>
      <c r="AK445">
        <v>10</v>
      </c>
      <c r="AL445" t="s">
        <v>74</v>
      </c>
      <c r="AM445" t="s">
        <v>74</v>
      </c>
      <c r="AN445" t="s">
        <v>74</v>
      </c>
      <c r="AO445" t="s">
        <v>6476</v>
      </c>
      <c r="AP445" t="s">
        <v>6477</v>
      </c>
      <c r="AQ445" t="s">
        <v>74</v>
      </c>
      <c r="AR445" t="s">
        <v>74</v>
      </c>
      <c r="AS445" t="s">
        <v>74</v>
      </c>
      <c r="AT445" t="s">
        <v>18173</v>
      </c>
      <c r="AU445">
        <v>2017</v>
      </c>
      <c r="AV445">
        <v>40</v>
      </c>
      <c r="AW445">
        <v>1</v>
      </c>
      <c r="AX445" t="s">
        <v>74</v>
      </c>
      <c r="AY445" t="s">
        <v>74</v>
      </c>
      <c r="AZ445" t="s">
        <v>74</v>
      </c>
      <c r="BA445" t="s">
        <v>74</v>
      </c>
      <c r="BB445">
        <v>95</v>
      </c>
      <c r="BC445">
        <v>103</v>
      </c>
      <c r="BD445" t="s">
        <v>74</v>
      </c>
      <c r="BE445" t="s">
        <v>18174</v>
      </c>
      <c r="BF445" t="str">
        <f>HYPERLINK("http://dx.doi.org/10.1016/j.devcel.2016.12.001","http://dx.doi.org/10.1016/j.devcel.2016.12.001")</f>
        <v>http://dx.doi.org/10.1016/j.devcel.2016.12.001</v>
      </c>
      <c r="BG445" t="s">
        <v>74</v>
      </c>
      <c r="BH445" t="s">
        <v>74</v>
      </c>
      <c r="BI445" t="s">
        <v>74</v>
      </c>
      <c r="BJ445" t="s">
        <v>1100</v>
      </c>
      <c r="BK445" t="s">
        <v>117</v>
      </c>
      <c r="BL445" t="s">
        <v>1100</v>
      </c>
      <c r="BM445" t="s">
        <v>74</v>
      </c>
      <c r="BN445">
        <v>28041903</v>
      </c>
      <c r="BO445" t="s">
        <v>74</v>
      </c>
      <c r="BP445" t="s">
        <v>74</v>
      </c>
      <c r="BQ445" t="s">
        <v>74</v>
      </c>
      <c r="BR445" t="s">
        <v>96</v>
      </c>
      <c r="BS445" t="s">
        <v>18175</v>
      </c>
      <c r="BT445" t="str">
        <f>HYPERLINK("https%3A%2F%2Fwww.webofscience.com%2Fwos%2Fwoscc%2Ffull-record%2FWOS:000391900400011","View Full Record in Web of Science")</f>
        <v>View Full Record in Web of Science</v>
      </c>
    </row>
    <row r="446" spans="1:72" x14ac:dyDescent="0.15">
      <c r="A446" t="s">
        <v>98</v>
      </c>
      <c r="B446" t="s">
        <v>20083</v>
      </c>
      <c r="C446" t="s">
        <v>74</v>
      </c>
      <c r="D446" t="s">
        <v>74</v>
      </c>
      <c r="E446" t="s">
        <v>74</v>
      </c>
      <c r="F446" t="s">
        <v>20084</v>
      </c>
      <c r="G446" t="s">
        <v>74</v>
      </c>
      <c r="H446" t="s">
        <v>74</v>
      </c>
      <c r="I446" t="s">
        <v>20085</v>
      </c>
      <c r="J446" t="s">
        <v>20086</v>
      </c>
      <c r="K446" t="s">
        <v>74</v>
      </c>
      <c r="L446" t="s">
        <v>74</v>
      </c>
      <c r="M446" t="s">
        <v>74</v>
      </c>
      <c r="N446" t="s">
        <v>103</v>
      </c>
      <c r="O446" t="s">
        <v>74</v>
      </c>
      <c r="P446" t="s">
        <v>74</v>
      </c>
      <c r="Q446" t="s">
        <v>74</v>
      </c>
      <c r="R446" t="s">
        <v>74</v>
      </c>
      <c r="S446" t="s">
        <v>74</v>
      </c>
      <c r="T446" t="s">
        <v>20087</v>
      </c>
      <c r="U446" t="s">
        <v>20088</v>
      </c>
      <c r="V446" t="s">
        <v>20089</v>
      </c>
      <c r="W446" t="s">
        <v>20090</v>
      </c>
      <c r="X446" t="s">
        <v>20091</v>
      </c>
      <c r="Y446" t="s">
        <v>20092</v>
      </c>
      <c r="Z446" t="s">
        <v>20093</v>
      </c>
      <c r="AA446" t="s">
        <v>74</v>
      </c>
      <c r="AB446" t="s">
        <v>3098</v>
      </c>
      <c r="AC446" t="s">
        <v>74</v>
      </c>
      <c r="AD446" t="s">
        <v>74</v>
      </c>
      <c r="AE446" t="s">
        <v>74</v>
      </c>
      <c r="AF446" t="s">
        <v>74</v>
      </c>
      <c r="AG446">
        <v>39</v>
      </c>
      <c r="AH446">
        <v>45</v>
      </c>
      <c r="AI446">
        <v>48</v>
      </c>
      <c r="AJ446">
        <v>1</v>
      </c>
      <c r="AK446">
        <v>5</v>
      </c>
      <c r="AL446" t="s">
        <v>74</v>
      </c>
      <c r="AM446" t="s">
        <v>74</v>
      </c>
      <c r="AN446" t="s">
        <v>74</v>
      </c>
      <c r="AO446" t="s">
        <v>20094</v>
      </c>
      <c r="AP446" t="s">
        <v>20095</v>
      </c>
      <c r="AQ446" t="s">
        <v>74</v>
      </c>
      <c r="AR446" t="s">
        <v>74</v>
      </c>
      <c r="AS446" t="s">
        <v>74</v>
      </c>
      <c r="AT446" t="s">
        <v>1029</v>
      </c>
      <c r="AU446">
        <v>2018</v>
      </c>
      <c r="AV446">
        <v>23</v>
      </c>
      <c r="AW446">
        <v>5</v>
      </c>
      <c r="AX446" t="s">
        <v>74</v>
      </c>
      <c r="AY446" t="s">
        <v>74</v>
      </c>
      <c r="AZ446" t="s">
        <v>74</v>
      </c>
      <c r="BA446" t="s">
        <v>74</v>
      </c>
      <c r="BB446">
        <v>566</v>
      </c>
      <c r="BC446">
        <v>572</v>
      </c>
      <c r="BD446" t="s">
        <v>74</v>
      </c>
      <c r="BE446" t="s">
        <v>20096</v>
      </c>
      <c r="BF446" t="str">
        <f>HYPERLINK("http://dx.doi.org/10.1634/theoncologist.2017-0467","http://dx.doi.org/10.1634/theoncologist.2017-0467")</f>
        <v>http://dx.doi.org/10.1634/theoncologist.2017-0467</v>
      </c>
      <c r="BG446" t="s">
        <v>74</v>
      </c>
      <c r="BH446" t="s">
        <v>74</v>
      </c>
      <c r="BI446" t="s">
        <v>74</v>
      </c>
      <c r="BJ446" t="s">
        <v>267</v>
      </c>
      <c r="BK446" t="s">
        <v>117</v>
      </c>
      <c r="BL446" t="s">
        <v>267</v>
      </c>
      <c r="BM446" t="s">
        <v>74</v>
      </c>
      <c r="BN446">
        <v>29371474</v>
      </c>
      <c r="BO446" t="s">
        <v>74</v>
      </c>
      <c r="BP446" t="s">
        <v>74</v>
      </c>
      <c r="BQ446" t="s">
        <v>74</v>
      </c>
      <c r="BR446" t="s">
        <v>96</v>
      </c>
      <c r="BS446" t="s">
        <v>20097</v>
      </c>
      <c r="BT446" t="str">
        <f>HYPERLINK("https%3A%2F%2Fwww.webofscience.com%2Fwos%2Fwoscc%2Ffull-record%2FWOS:000431968200009","View Full Record in Web of Science")</f>
        <v>View Full Record in Web of Science</v>
      </c>
    </row>
    <row r="447" spans="1:72" x14ac:dyDescent="0.15">
      <c r="A447" t="s">
        <v>98</v>
      </c>
      <c r="B447" t="s">
        <v>23124</v>
      </c>
      <c r="C447" t="s">
        <v>74</v>
      </c>
      <c r="D447" t="s">
        <v>74</v>
      </c>
      <c r="E447" t="s">
        <v>74</v>
      </c>
      <c r="F447" t="s">
        <v>23125</v>
      </c>
      <c r="G447" t="s">
        <v>74</v>
      </c>
      <c r="H447" t="s">
        <v>74</v>
      </c>
      <c r="I447" t="s">
        <v>23126</v>
      </c>
      <c r="J447" t="s">
        <v>7376</v>
      </c>
      <c r="K447" t="s">
        <v>74</v>
      </c>
      <c r="L447" t="s">
        <v>74</v>
      </c>
      <c r="M447" t="s">
        <v>74</v>
      </c>
      <c r="N447" t="s">
        <v>103</v>
      </c>
      <c r="O447" t="s">
        <v>74</v>
      </c>
      <c r="P447" t="s">
        <v>74</v>
      </c>
      <c r="Q447" t="s">
        <v>74</v>
      </c>
      <c r="R447" t="s">
        <v>74</v>
      </c>
      <c r="S447" t="s">
        <v>74</v>
      </c>
      <c r="T447" t="s">
        <v>74</v>
      </c>
      <c r="U447" t="s">
        <v>23127</v>
      </c>
      <c r="V447" t="s">
        <v>23128</v>
      </c>
      <c r="W447" t="s">
        <v>23129</v>
      </c>
      <c r="X447" t="s">
        <v>23130</v>
      </c>
      <c r="Y447" t="s">
        <v>23131</v>
      </c>
      <c r="Z447" t="s">
        <v>23132</v>
      </c>
      <c r="AA447" t="s">
        <v>23133</v>
      </c>
      <c r="AB447" t="s">
        <v>74</v>
      </c>
      <c r="AC447" t="s">
        <v>74</v>
      </c>
      <c r="AD447" t="s">
        <v>74</v>
      </c>
      <c r="AE447" t="s">
        <v>74</v>
      </c>
      <c r="AF447" t="s">
        <v>74</v>
      </c>
      <c r="AG447">
        <v>32</v>
      </c>
      <c r="AH447">
        <v>45</v>
      </c>
      <c r="AI447">
        <v>50</v>
      </c>
      <c r="AJ447">
        <v>4</v>
      </c>
      <c r="AK447">
        <v>60</v>
      </c>
      <c r="AL447" t="s">
        <v>74</v>
      </c>
      <c r="AM447" t="s">
        <v>74</v>
      </c>
      <c r="AN447" t="s">
        <v>74</v>
      </c>
      <c r="AO447" t="s">
        <v>7384</v>
      </c>
      <c r="AP447" t="s">
        <v>7385</v>
      </c>
      <c r="AQ447" t="s">
        <v>74</v>
      </c>
      <c r="AR447" t="s">
        <v>74</v>
      </c>
      <c r="AS447" t="s">
        <v>74</v>
      </c>
      <c r="AT447" t="s">
        <v>23134</v>
      </c>
      <c r="AU447">
        <v>2019</v>
      </c>
      <c r="AV447">
        <v>575</v>
      </c>
      <c r="AW447">
        <v>7782</v>
      </c>
      <c r="AX447" t="s">
        <v>74</v>
      </c>
      <c r="AY447" t="s">
        <v>74</v>
      </c>
      <c r="AZ447" t="s">
        <v>74</v>
      </c>
      <c r="BA447" t="s">
        <v>74</v>
      </c>
      <c r="BB447">
        <v>366</v>
      </c>
      <c r="BC447" t="s">
        <v>3390</v>
      </c>
      <c r="BD447" t="s">
        <v>74</v>
      </c>
      <c r="BE447" t="s">
        <v>23135</v>
      </c>
      <c r="BF447" t="str">
        <f>HYPERLINK("http://dx.doi.org/10.1038/s41586-019-1612-6","http://dx.doi.org/10.1038/s41586-019-1612-6")</f>
        <v>http://dx.doi.org/10.1038/s41586-019-1612-6</v>
      </c>
      <c r="BG447" t="s">
        <v>74</v>
      </c>
      <c r="BH447" t="s">
        <v>74</v>
      </c>
      <c r="BI447" t="s">
        <v>74</v>
      </c>
      <c r="BJ447" t="s">
        <v>152</v>
      </c>
      <c r="BK447" t="s">
        <v>117</v>
      </c>
      <c r="BL447" t="s">
        <v>153</v>
      </c>
      <c r="BM447" t="s">
        <v>74</v>
      </c>
      <c r="BN447">
        <v>31546246</v>
      </c>
      <c r="BO447" t="s">
        <v>74</v>
      </c>
      <c r="BP447" t="s">
        <v>74</v>
      </c>
      <c r="BQ447" t="s">
        <v>74</v>
      </c>
      <c r="BR447" t="s">
        <v>96</v>
      </c>
      <c r="BS447" t="s">
        <v>23136</v>
      </c>
      <c r="BT447" t="str">
        <f>HYPERLINK("https%3A%2F%2Fwww.webofscience.com%2Fwos%2Fwoscc%2Ffull-record%2FWOS:000496938200060","View Full Record in Web of Science")</f>
        <v>View Full Record in Web of Science</v>
      </c>
    </row>
    <row r="448" spans="1:72" x14ac:dyDescent="0.15">
      <c r="A448" t="s">
        <v>98</v>
      </c>
      <c r="B448" t="s">
        <v>24034</v>
      </c>
      <c r="C448" t="s">
        <v>74</v>
      </c>
      <c r="D448" t="s">
        <v>74</v>
      </c>
      <c r="E448" t="s">
        <v>74</v>
      </c>
      <c r="F448" t="s">
        <v>24035</v>
      </c>
      <c r="G448" t="s">
        <v>74</v>
      </c>
      <c r="H448" t="s">
        <v>74</v>
      </c>
      <c r="I448" t="s">
        <v>24036</v>
      </c>
      <c r="J448" t="s">
        <v>24037</v>
      </c>
      <c r="K448" t="s">
        <v>74</v>
      </c>
      <c r="L448" t="s">
        <v>74</v>
      </c>
      <c r="M448" t="s">
        <v>74</v>
      </c>
      <c r="N448" t="s">
        <v>103</v>
      </c>
      <c r="O448" t="s">
        <v>74</v>
      </c>
      <c r="P448" t="s">
        <v>74</v>
      </c>
      <c r="Q448" t="s">
        <v>74</v>
      </c>
      <c r="R448" t="s">
        <v>74</v>
      </c>
      <c r="S448" t="s">
        <v>74</v>
      </c>
      <c r="T448" t="s">
        <v>24038</v>
      </c>
      <c r="U448" t="s">
        <v>24039</v>
      </c>
      <c r="V448" t="s">
        <v>24040</v>
      </c>
      <c r="W448" t="s">
        <v>24041</v>
      </c>
      <c r="X448" t="s">
        <v>6324</v>
      </c>
      <c r="Y448" t="s">
        <v>24042</v>
      </c>
      <c r="Z448" t="s">
        <v>24043</v>
      </c>
      <c r="AA448" t="s">
        <v>74</v>
      </c>
      <c r="AB448" t="s">
        <v>74</v>
      </c>
      <c r="AC448" t="s">
        <v>74</v>
      </c>
      <c r="AD448" t="s">
        <v>74</v>
      </c>
      <c r="AE448" t="s">
        <v>74</v>
      </c>
      <c r="AF448" t="s">
        <v>74</v>
      </c>
      <c r="AG448">
        <v>36</v>
      </c>
      <c r="AH448">
        <v>45</v>
      </c>
      <c r="AI448">
        <v>46</v>
      </c>
      <c r="AJ448">
        <v>0</v>
      </c>
      <c r="AK448">
        <v>11</v>
      </c>
      <c r="AL448" t="s">
        <v>74</v>
      </c>
      <c r="AM448" t="s">
        <v>74</v>
      </c>
      <c r="AN448" t="s">
        <v>74</v>
      </c>
      <c r="AO448" t="s">
        <v>24044</v>
      </c>
      <c r="AP448" t="s">
        <v>74</v>
      </c>
      <c r="AQ448" t="s">
        <v>74</v>
      </c>
      <c r="AR448" t="s">
        <v>74</v>
      </c>
      <c r="AS448" t="s">
        <v>74</v>
      </c>
      <c r="AT448" t="s">
        <v>283</v>
      </c>
      <c r="AU448">
        <v>2007</v>
      </c>
      <c r="AV448">
        <v>193</v>
      </c>
      <c r="AW448">
        <v>2</v>
      </c>
      <c r="AX448" t="s">
        <v>74</v>
      </c>
      <c r="AY448" t="s">
        <v>74</v>
      </c>
      <c r="AZ448" t="s">
        <v>74</v>
      </c>
      <c r="BA448" t="s">
        <v>74</v>
      </c>
      <c r="BB448">
        <v>213</v>
      </c>
      <c r="BC448">
        <v>218</v>
      </c>
      <c r="BD448" t="s">
        <v>74</v>
      </c>
      <c r="BE448" t="s">
        <v>24045</v>
      </c>
      <c r="BF448" t="str">
        <f>HYPERLINK("http://dx.doi.org/10.1016/j.amjsurg.2006.08.069","http://dx.doi.org/10.1016/j.amjsurg.2006.08.069")</f>
        <v>http://dx.doi.org/10.1016/j.amjsurg.2006.08.069</v>
      </c>
      <c r="BG448" t="s">
        <v>74</v>
      </c>
      <c r="BH448" t="s">
        <v>74</v>
      </c>
      <c r="BI448" t="s">
        <v>74</v>
      </c>
      <c r="BJ448" t="s">
        <v>24046</v>
      </c>
      <c r="BK448" t="s">
        <v>117</v>
      </c>
      <c r="BL448" t="s">
        <v>24046</v>
      </c>
      <c r="BM448" t="s">
        <v>74</v>
      </c>
      <c r="BN448">
        <v>17236849</v>
      </c>
      <c r="BO448" t="s">
        <v>74</v>
      </c>
      <c r="BP448" t="s">
        <v>74</v>
      </c>
      <c r="BQ448" t="s">
        <v>74</v>
      </c>
      <c r="BR448" t="s">
        <v>96</v>
      </c>
      <c r="BS448" t="s">
        <v>24047</v>
      </c>
      <c r="BT448" t="str">
        <f>HYPERLINK("https%3A%2F%2Fwww.webofscience.com%2Fwos%2Fwoscc%2Ffull-record%2FWOS:000243923400012","View Full Record in Web of Science")</f>
        <v>View Full Record in Web of Science</v>
      </c>
    </row>
    <row r="449" spans="1:72" x14ac:dyDescent="0.15">
      <c r="A449" t="s">
        <v>98</v>
      </c>
      <c r="B449" t="s">
        <v>24945</v>
      </c>
      <c r="C449" t="s">
        <v>74</v>
      </c>
      <c r="D449" t="s">
        <v>74</v>
      </c>
      <c r="E449" t="s">
        <v>74</v>
      </c>
      <c r="F449" t="s">
        <v>24945</v>
      </c>
      <c r="G449" t="s">
        <v>74</v>
      </c>
      <c r="H449" t="s">
        <v>74</v>
      </c>
      <c r="I449" t="s">
        <v>24946</v>
      </c>
      <c r="J449" t="s">
        <v>503</v>
      </c>
      <c r="K449" t="s">
        <v>74</v>
      </c>
      <c r="L449" t="s">
        <v>74</v>
      </c>
      <c r="M449" t="s">
        <v>74</v>
      </c>
      <c r="N449" t="s">
        <v>103</v>
      </c>
      <c r="O449" t="s">
        <v>74</v>
      </c>
      <c r="P449" t="s">
        <v>74</v>
      </c>
      <c r="Q449" t="s">
        <v>74</v>
      </c>
      <c r="R449" t="s">
        <v>74</v>
      </c>
      <c r="S449" t="s">
        <v>74</v>
      </c>
      <c r="T449" t="s">
        <v>24947</v>
      </c>
      <c r="U449" t="s">
        <v>24948</v>
      </c>
      <c r="V449" t="s">
        <v>24949</v>
      </c>
      <c r="W449" t="s">
        <v>24950</v>
      </c>
      <c r="X449" t="s">
        <v>24951</v>
      </c>
      <c r="Y449" t="s">
        <v>24952</v>
      </c>
      <c r="Z449" t="s">
        <v>24953</v>
      </c>
      <c r="AA449" t="s">
        <v>24954</v>
      </c>
      <c r="AB449" t="s">
        <v>74</v>
      </c>
      <c r="AC449" t="s">
        <v>74</v>
      </c>
      <c r="AD449" t="s">
        <v>74</v>
      </c>
      <c r="AE449" t="s">
        <v>74</v>
      </c>
      <c r="AF449" t="s">
        <v>74</v>
      </c>
      <c r="AG449">
        <v>47</v>
      </c>
      <c r="AH449">
        <v>45</v>
      </c>
      <c r="AI449">
        <v>47</v>
      </c>
      <c r="AJ449">
        <v>0</v>
      </c>
      <c r="AK449">
        <v>3</v>
      </c>
      <c r="AL449" t="s">
        <v>74</v>
      </c>
      <c r="AM449" t="s">
        <v>74</v>
      </c>
      <c r="AN449" t="s">
        <v>74</v>
      </c>
      <c r="AO449" t="s">
        <v>512</v>
      </c>
      <c r="AP449" t="s">
        <v>74</v>
      </c>
      <c r="AQ449" t="s">
        <v>74</v>
      </c>
      <c r="AR449" t="s">
        <v>74</v>
      </c>
      <c r="AS449" t="s">
        <v>74</v>
      </c>
      <c r="AT449" t="s">
        <v>7400</v>
      </c>
      <c r="AU449">
        <v>2001</v>
      </c>
      <c r="AV449">
        <v>49</v>
      </c>
      <c r="AW449">
        <v>3</v>
      </c>
      <c r="AX449" t="s">
        <v>74</v>
      </c>
      <c r="AY449" t="s">
        <v>74</v>
      </c>
      <c r="AZ449" t="s">
        <v>74</v>
      </c>
      <c r="BA449" t="s">
        <v>74</v>
      </c>
      <c r="BB449">
        <v>172</v>
      </c>
      <c r="BC449">
        <v>184</v>
      </c>
      <c r="BD449" t="s">
        <v>74</v>
      </c>
      <c r="BE449" t="s">
        <v>24955</v>
      </c>
      <c r="BF449" t="str">
        <f>HYPERLINK("http://dx.doi.org/10.1002/pros.1132","http://dx.doi.org/10.1002/pros.1132")</f>
        <v>http://dx.doi.org/10.1002/pros.1132</v>
      </c>
      <c r="BG449" t="s">
        <v>74</v>
      </c>
      <c r="BH449" t="s">
        <v>74</v>
      </c>
      <c r="BI449" t="s">
        <v>74</v>
      </c>
      <c r="BJ449" t="s">
        <v>515</v>
      </c>
      <c r="BK449" t="s">
        <v>117</v>
      </c>
      <c r="BL449" t="s">
        <v>515</v>
      </c>
      <c r="BM449" t="s">
        <v>74</v>
      </c>
      <c r="BN449">
        <v>11746262</v>
      </c>
      <c r="BO449" t="s">
        <v>74</v>
      </c>
      <c r="BP449" t="s">
        <v>74</v>
      </c>
      <c r="BQ449" t="s">
        <v>74</v>
      </c>
      <c r="BR449" t="s">
        <v>96</v>
      </c>
      <c r="BS449" t="s">
        <v>24956</v>
      </c>
      <c r="BT449" t="str">
        <f>HYPERLINK("https%3A%2F%2Fwww.webofscience.com%2Fwos%2Fwoscc%2Ffull-record%2FWOS:000172006900003","View Full Record in Web of Science")</f>
        <v>View Full Record in Web of Science</v>
      </c>
    </row>
    <row r="450" spans="1:72" x14ac:dyDescent="0.15">
      <c r="A450" t="s">
        <v>98</v>
      </c>
      <c r="B450" t="s">
        <v>26039</v>
      </c>
      <c r="C450" t="s">
        <v>74</v>
      </c>
      <c r="D450" t="s">
        <v>74</v>
      </c>
      <c r="E450" t="s">
        <v>74</v>
      </c>
      <c r="F450" t="s">
        <v>26040</v>
      </c>
      <c r="G450" t="s">
        <v>74</v>
      </c>
      <c r="H450" t="s">
        <v>74</v>
      </c>
      <c r="I450" t="s">
        <v>26041</v>
      </c>
      <c r="J450" t="s">
        <v>26042</v>
      </c>
      <c r="K450" t="s">
        <v>74</v>
      </c>
      <c r="L450" t="s">
        <v>74</v>
      </c>
      <c r="M450" t="s">
        <v>74</v>
      </c>
      <c r="N450" t="s">
        <v>103</v>
      </c>
      <c r="O450" t="s">
        <v>74</v>
      </c>
      <c r="P450" t="s">
        <v>74</v>
      </c>
      <c r="Q450" t="s">
        <v>74</v>
      </c>
      <c r="R450" t="s">
        <v>74</v>
      </c>
      <c r="S450" t="s">
        <v>74</v>
      </c>
      <c r="T450" t="s">
        <v>26043</v>
      </c>
      <c r="U450" t="s">
        <v>26044</v>
      </c>
      <c r="V450" t="s">
        <v>26045</v>
      </c>
      <c r="W450" t="s">
        <v>26046</v>
      </c>
      <c r="X450" t="s">
        <v>26047</v>
      </c>
      <c r="Y450" t="s">
        <v>26048</v>
      </c>
      <c r="Z450" t="s">
        <v>26049</v>
      </c>
      <c r="AA450" t="s">
        <v>26050</v>
      </c>
      <c r="AB450" t="s">
        <v>26051</v>
      </c>
      <c r="AC450" t="s">
        <v>74</v>
      </c>
      <c r="AD450" t="s">
        <v>74</v>
      </c>
      <c r="AE450" t="s">
        <v>74</v>
      </c>
      <c r="AF450" t="s">
        <v>74</v>
      </c>
      <c r="AG450">
        <v>27</v>
      </c>
      <c r="AH450">
        <v>45</v>
      </c>
      <c r="AI450">
        <v>45</v>
      </c>
      <c r="AJ450">
        <v>0</v>
      </c>
      <c r="AK450">
        <v>4</v>
      </c>
      <c r="AL450" t="s">
        <v>74</v>
      </c>
      <c r="AM450" t="s">
        <v>74</v>
      </c>
      <c r="AN450" t="s">
        <v>74</v>
      </c>
      <c r="AO450" t="s">
        <v>26052</v>
      </c>
      <c r="AP450" t="s">
        <v>74</v>
      </c>
      <c r="AQ450" t="s">
        <v>74</v>
      </c>
      <c r="AR450" t="s">
        <v>74</v>
      </c>
      <c r="AS450" t="s">
        <v>74</v>
      </c>
      <c r="AT450" t="s">
        <v>15855</v>
      </c>
      <c r="AU450">
        <v>2010</v>
      </c>
      <c r="AV450">
        <v>17</v>
      </c>
      <c r="AW450">
        <v>2</v>
      </c>
      <c r="AX450" t="s">
        <v>74</v>
      </c>
      <c r="AY450" t="s">
        <v>74</v>
      </c>
      <c r="AZ450" t="s">
        <v>74</v>
      </c>
      <c r="BA450" t="s">
        <v>74</v>
      </c>
      <c r="BB450">
        <v>153</v>
      </c>
      <c r="BC450">
        <v>159</v>
      </c>
      <c r="BD450" t="s">
        <v>74</v>
      </c>
      <c r="BE450" t="s">
        <v>26053</v>
      </c>
      <c r="BF450" t="str">
        <f>HYPERLINK("http://dx.doi.org/10.1111/j.1399-3089.2010.00577.x","http://dx.doi.org/10.1111/j.1399-3089.2010.00577.x")</f>
        <v>http://dx.doi.org/10.1111/j.1399-3089.2010.00577.x</v>
      </c>
      <c r="BG450" t="s">
        <v>74</v>
      </c>
      <c r="BH450" t="s">
        <v>74</v>
      </c>
      <c r="BI450" t="s">
        <v>74</v>
      </c>
      <c r="BJ450" t="s">
        <v>26054</v>
      </c>
      <c r="BK450" t="s">
        <v>117</v>
      </c>
      <c r="BL450" t="s">
        <v>26055</v>
      </c>
      <c r="BM450" t="s">
        <v>74</v>
      </c>
      <c r="BN450">
        <v>20522248</v>
      </c>
      <c r="BO450" t="s">
        <v>74</v>
      </c>
      <c r="BP450" t="s">
        <v>74</v>
      </c>
      <c r="BQ450" t="s">
        <v>74</v>
      </c>
      <c r="BR450" t="s">
        <v>96</v>
      </c>
      <c r="BS450" t="s">
        <v>26056</v>
      </c>
      <c r="BT450" t="str">
        <f>HYPERLINK("https%3A%2F%2Fwww.webofscience.com%2Fwos%2Fwoscc%2Ffull-record%2FWOS:000276661000026","View Full Record in Web of Science")</f>
        <v>View Full Record in Web of Science</v>
      </c>
    </row>
    <row r="451" spans="1:72" x14ac:dyDescent="0.15">
      <c r="A451" t="s">
        <v>98</v>
      </c>
      <c r="B451" t="s">
        <v>28007</v>
      </c>
      <c r="C451" t="s">
        <v>74</v>
      </c>
      <c r="D451" t="s">
        <v>74</v>
      </c>
      <c r="E451" t="s">
        <v>74</v>
      </c>
      <c r="F451" t="s">
        <v>28008</v>
      </c>
      <c r="G451" t="s">
        <v>74</v>
      </c>
      <c r="H451" t="s">
        <v>74</v>
      </c>
      <c r="I451" t="s">
        <v>28009</v>
      </c>
      <c r="J451" t="s">
        <v>10022</v>
      </c>
      <c r="K451" t="s">
        <v>74</v>
      </c>
      <c r="L451" t="s">
        <v>74</v>
      </c>
      <c r="M451" t="s">
        <v>74</v>
      </c>
      <c r="N451" t="s">
        <v>103</v>
      </c>
      <c r="O451" t="s">
        <v>74</v>
      </c>
      <c r="P451" t="s">
        <v>74</v>
      </c>
      <c r="Q451" t="s">
        <v>74</v>
      </c>
      <c r="R451" t="s">
        <v>74</v>
      </c>
      <c r="S451" t="s">
        <v>74</v>
      </c>
      <c r="T451" t="s">
        <v>28010</v>
      </c>
      <c r="U451" t="s">
        <v>28011</v>
      </c>
      <c r="V451" t="s">
        <v>28012</v>
      </c>
      <c r="W451" t="s">
        <v>28013</v>
      </c>
      <c r="X451" t="s">
        <v>28014</v>
      </c>
      <c r="Y451" t="s">
        <v>28015</v>
      </c>
      <c r="Z451" t="s">
        <v>28016</v>
      </c>
      <c r="AA451" t="s">
        <v>28017</v>
      </c>
      <c r="AB451" t="s">
        <v>28018</v>
      </c>
      <c r="AC451" t="s">
        <v>74</v>
      </c>
      <c r="AD451" t="s">
        <v>74</v>
      </c>
      <c r="AE451" t="s">
        <v>74</v>
      </c>
      <c r="AF451" t="s">
        <v>74</v>
      </c>
      <c r="AG451">
        <v>76</v>
      </c>
      <c r="AH451">
        <v>45</v>
      </c>
      <c r="AI451">
        <v>45</v>
      </c>
      <c r="AJ451">
        <v>0</v>
      </c>
      <c r="AK451">
        <v>11</v>
      </c>
      <c r="AL451" t="s">
        <v>74</v>
      </c>
      <c r="AM451" t="s">
        <v>74</v>
      </c>
      <c r="AN451" t="s">
        <v>74</v>
      </c>
      <c r="AO451" t="s">
        <v>10031</v>
      </c>
      <c r="AP451" t="s">
        <v>74</v>
      </c>
      <c r="AQ451" t="s">
        <v>74</v>
      </c>
      <c r="AR451" t="s">
        <v>74</v>
      </c>
      <c r="AS451" t="s">
        <v>74</v>
      </c>
      <c r="AT451" t="s">
        <v>283</v>
      </c>
      <c r="AU451">
        <v>2012</v>
      </c>
      <c r="AV451">
        <v>33</v>
      </c>
      <c r="AW451" t="s">
        <v>74</v>
      </c>
      <c r="AX451" t="s">
        <v>74</v>
      </c>
      <c r="AY451" t="s">
        <v>28019</v>
      </c>
      <c r="AZ451" t="s">
        <v>74</v>
      </c>
      <c r="BA451" t="s">
        <v>74</v>
      </c>
      <c r="BB451" t="s">
        <v>28020</v>
      </c>
      <c r="BC451" t="s">
        <v>28021</v>
      </c>
      <c r="BD451" t="s">
        <v>74</v>
      </c>
      <c r="BE451" t="s">
        <v>28022</v>
      </c>
      <c r="BF451" t="str">
        <f>HYPERLINK("http://dx.doi.org/10.1016/j.placenta.2011.11.005","http://dx.doi.org/10.1016/j.placenta.2011.11.005")</f>
        <v>http://dx.doi.org/10.1016/j.placenta.2011.11.005</v>
      </c>
      <c r="BG451" t="s">
        <v>74</v>
      </c>
      <c r="BH451" t="s">
        <v>74</v>
      </c>
      <c r="BI451" t="s">
        <v>74</v>
      </c>
      <c r="BJ451" t="s">
        <v>10034</v>
      </c>
      <c r="BK451" t="s">
        <v>117</v>
      </c>
      <c r="BL451" t="s">
        <v>10034</v>
      </c>
      <c r="BM451" t="s">
        <v>74</v>
      </c>
      <c r="BN451">
        <v>22118870</v>
      </c>
      <c r="BO451" t="s">
        <v>74</v>
      </c>
      <c r="BP451" t="s">
        <v>74</v>
      </c>
      <c r="BQ451" t="s">
        <v>74</v>
      </c>
      <c r="BR451" t="s">
        <v>96</v>
      </c>
      <c r="BS451" t="s">
        <v>28023</v>
      </c>
      <c r="BT451" t="str">
        <f>HYPERLINK("https%3A%2F%2Fwww.webofscience.com%2Fwos%2Fwoscc%2Ffull-record%2FWOS:000301868000009","View Full Record in Web of Science")</f>
        <v>View Full Record in Web of Science</v>
      </c>
    </row>
    <row r="452" spans="1:72" x14ac:dyDescent="0.15">
      <c r="A452" t="s">
        <v>98</v>
      </c>
      <c r="B452" t="s">
        <v>28701</v>
      </c>
      <c r="C452" t="s">
        <v>74</v>
      </c>
      <c r="D452" t="s">
        <v>74</v>
      </c>
      <c r="E452" t="s">
        <v>74</v>
      </c>
      <c r="F452" t="s">
        <v>28702</v>
      </c>
      <c r="G452" t="s">
        <v>74</v>
      </c>
      <c r="H452" t="s">
        <v>74</v>
      </c>
      <c r="I452" t="s">
        <v>28703</v>
      </c>
      <c r="J452" t="s">
        <v>28704</v>
      </c>
      <c r="K452" t="s">
        <v>74</v>
      </c>
      <c r="L452" t="s">
        <v>74</v>
      </c>
      <c r="M452" t="s">
        <v>74</v>
      </c>
      <c r="N452" t="s">
        <v>103</v>
      </c>
      <c r="O452" t="s">
        <v>74</v>
      </c>
      <c r="P452" t="s">
        <v>74</v>
      </c>
      <c r="Q452" t="s">
        <v>74</v>
      </c>
      <c r="R452" t="s">
        <v>74</v>
      </c>
      <c r="S452" t="s">
        <v>74</v>
      </c>
      <c r="T452" t="s">
        <v>74</v>
      </c>
      <c r="U452" t="s">
        <v>28705</v>
      </c>
      <c r="V452" t="s">
        <v>28706</v>
      </c>
      <c r="W452" t="s">
        <v>28707</v>
      </c>
      <c r="X452" t="s">
        <v>4171</v>
      </c>
      <c r="Y452" t="s">
        <v>24832</v>
      </c>
      <c r="Z452" t="s">
        <v>28708</v>
      </c>
      <c r="AA452" t="s">
        <v>74</v>
      </c>
      <c r="AB452" t="s">
        <v>74</v>
      </c>
      <c r="AC452" t="s">
        <v>74</v>
      </c>
      <c r="AD452" t="s">
        <v>74</v>
      </c>
      <c r="AE452" t="s">
        <v>74</v>
      </c>
      <c r="AF452" t="s">
        <v>74</v>
      </c>
      <c r="AG452">
        <v>55</v>
      </c>
      <c r="AH452">
        <v>45</v>
      </c>
      <c r="AI452">
        <v>48</v>
      </c>
      <c r="AJ452">
        <v>0</v>
      </c>
      <c r="AK452">
        <v>9</v>
      </c>
      <c r="AL452" t="s">
        <v>74</v>
      </c>
      <c r="AM452" t="s">
        <v>74</v>
      </c>
      <c r="AN452" t="s">
        <v>74</v>
      </c>
      <c r="AO452" t="s">
        <v>28709</v>
      </c>
      <c r="AP452" t="s">
        <v>28710</v>
      </c>
      <c r="AQ452" t="s">
        <v>74</v>
      </c>
      <c r="AR452" t="s">
        <v>74</v>
      </c>
      <c r="AS452" t="s">
        <v>74</v>
      </c>
      <c r="AT452" t="s">
        <v>9754</v>
      </c>
      <c r="AU452">
        <v>2014</v>
      </c>
      <c r="AV452">
        <v>20</v>
      </c>
      <c r="AW452" t="s">
        <v>74</v>
      </c>
      <c r="AX452" t="s">
        <v>74</v>
      </c>
      <c r="AY452" t="s">
        <v>74</v>
      </c>
      <c r="AZ452" t="s">
        <v>74</v>
      </c>
      <c r="BA452" t="s">
        <v>74</v>
      </c>
      <c r="BB452">
        <v>158</v>
      </c>
      <c r="BC452">
        <v>163</v>
      </c>
      <c r="BD452" t="s">
        <v>74</v>
      </c>
      <c r="BE452" t="s">
        <v>28711</v>
      </c>
      <c r="BF452" t="str">
        <f>HYPERLINK("http://dx.doi.org/10.2119/molmed.2014.00014","http://dx.doi.org/10.2119/molmed.2014.00014")</f>
        <v>http://dx.doi.org/10.2119/molmed.2014.00014</v>
      </c>
      <c r="BG452" t="s">
        <v>74</v>
      </c>
      <c r="BH452" t="s">
        <v>74</v>
      </c>
      <c r="BI452" t="s">
        <v>74</v>
      </c>
      <c r="BJ452" t="s">
        <v>24794</v>
      </c>
      <c r="BK452" t="s">
        <v>117</v>
      </c>
      <c r="BL452" t="s">
        <v>24795</v>
      </c>
      <c r="BM452" t="s">
        <v>74</v>
      </c>
      <c r="BN452">
        <v>24618884</v>
      </c>
      <c r="BO452" t="s">
        <v>74</v>
      </c>
      <c r="BP452" t="s">
        <v>74</v>
      </c>
      <c r="BQ452" t="s">
        <v>74</v>
      </c>
      <c r="BR452" t="s">
        <v>96</v>
      </c>
      <c r="BS452" t="s">
        <v>28712</v>
      </c>
      <c r="BT452" t="str">
        <f>HYPERLINK("https%3A%2F%2Fwww.webofscience.com%2Fwos%2Fwoscc%2Ffull-record%2FWOS:000334343100004","View Full Record in Web of Science")</f>
        <v>View Full Record in Web of Science</v>
      </c>
    </row>
    <row r="453" spans="1:72" x14ac:dyDescent="0.15">
      <c r="A453" t="s">
        <v>98</v>
      </c>
      <c r="B453" t="s">
        <v>9819</v>
      </c>
      <c r="C453" t="s">
        <v>74</v>
      </c>
      <c r="D453" t="s">
        <v>74</v>
      </c>
      <c r="E453" t="s">
        <v>74</v>
      </c>
      <c r="F453" t="s">
        <v>9820</v>
      </c>
      <c r="G453" t="s">
        <v>74</v>
      </c>
      <c r="H453" t="s">
        <v>74</v>
      </c>
      <c r="I453" t="s">
        <v>9821</v>
      </c>
      <c r="J453" t="s">
        <v>5523</v>
      </c>
      <c r="K453" t="s">
        <v>74</v>
      </c>
      <c r="L453" t="s">
        <v>74</v>
      </c>
      <c r="M453" t="s">
        <v>74</v>
      </c>
      <c r="N453" t="s">
        <v>103</v>
      </c>
      <c r="O453" t="s">
        <v>74</v>
      </c>
      <c r="P453" t="s">
        <v>74</v>
      </c>
      <c r="Q453" t="s">
        <v>74</v>
      </c>
      <c r="R453" t="s">
        <v>74</v>
      </c>
      <c r="S453" t="s">
        <v>74</v>
      </c>
      <c r="T453" t="s">
        <v>9822</v>
      </c>
      <c r="U453" t="s">
        <v>9823</v>
      </c>
      <c r="V453" t="s">
        <v>9824</v>
      </c>
      <c r="W453" t="s">
        <v>9825</v>
      </c>
      <c r="X453" t="s">
        <v>9826</v>
      </c>
      <c r="Y453" t="s">
        <v>9827</v>
      </c>
      <c r="Z453" t="s">
        <v>9828</v>
      </c>
      <c r="AA453" t="s">
        <v>9829</v>
      </c>
      <c r="AB453" t="s">
        <v>9830</v>
      </c>
      <c r="AC453" t="s">
        <v>74</v>
      </c>
      <c r="AD453" t="s">
        <v>74</v>
      </c>
      <c r="AE453" t="s">
        <v>74</v>
      </c>
      <c r="AF453" t="s">
        <v>74</v>
      </c>
      <c r="AG453">
        <v>51</v>
      </c>
      <c r="AH453">
        <v>44</v>
      </c>
      <c r="AI453">
        <v>44</v>
      </c>
      <c r="AJ453">
        <v>15</v>
      </c>
      <c r="AK453">
        <v>209</v>
      </c>
      <c r="AL453" t="s">
        <v>74</v>
      </c>
      <c r="AM453" t="s">
        <v>74</v>
      </c>
      <c r="AN453" t="s">
        <v>74</v>
      </c>
      <c r="AO453" t="s">
        <v>5531</v>
      </c>
      <c r="AP453" t="s">
        <v>5532</v>
      </c>
      <c r="AQ453" t="s">
        <v>74</v>
      </c>
      <c r="AR453" t="s">
        <v>74</v>
      </c>
      <c r="AS453" t="s">
        <v>74</v>
      </c>
      <c r="AT453" t="s">
        <v>9831</v>
      </c>
      <c r="AU453">
        <v>2019</v>
      </c>
      <c r="AV453">
        <v>11</v>
      </c>
      <c r="AW453">
        <v>32</v>
      </c>
      <c r="AX453" t="s">
        <v>74</v>
      </c>
      <c r="AY453" t="s">
        <v>74</v>
      </c>
      <c r="AZ453" t="s">
        <v>74</v>
      </c>
      <c r="BA453" t="s">
        <v>74</v>
      </c>
      <c r="BB453">
        <v>28671</v>
      </c>
      <c r="BC453">
        <v>28680</v>
      </c>
      <c r="BD453" t="s">
        <v>74</v>
      </c>
      <c r="BE453" t="s">
        <v>9832</v>
      </c>
      <c r="BF453" t="str">
        <f>HYPERLINK("http://dx.doi.org/10.1021/acsami.9b09465","http://dx.doi.org/10.1021/acsami.9b09465")</f>
        <v>http://dx.doi.org/10.1021/acsami.9b09465</v>
      </c>
      <c r="BG453" t="s">
        <v>74</v>
      </c>
      <c r="BH453" t="s">
        <v>74</v>
      </c>
      <c r="BI453" t="s">
        <v>74</v>
      </c>
      <c r="BJ453" t="s">
        <v>5534</v>
      </c>
      <c r="BK453" t="s">
        <v>117</v>
      </c>
      <c r="BL453" t="s">
        <v>5535</v>
      </c>
      <c r="BM453" t="s">
        <v>74</v>
      </c>
      <c r="BN453">
        <v>31318195</v>
      </c>
      <c r="BO453" t="s">
        <v>74</v>
      </c>
      <c r="BP453" t="s">
        <v>74</v>
      </c>
      <c r="BQ453" t="s">
        <v>74</v>
      </c>
      <c r="BR453" t="s">
        <v>96</v>
      </c>
      <c r="BS453" t="s">
        <v>9833</v>
      </c>
      <c r="BT453" t="str">
        <f>HYPERLINK("https%3A%2F%2Fwww.webofscience.com%2Fwos%2Fwoscc%2Ffull-record%2FWOS:000481567100009","View Full Record in Web of Science")</f>
        <v>View Full Record in Web of Science</v>
      </c>
    </row>
    <row r="454" spans="1:72" x14ac:dyDescent="0.15">
      <c r="A454" t="s">
        <v>98</v>
      </c>
      <c r="B454" t="s">
        <v>14765</v>
      </c>
      <c r="C454" t="s">
        <v>74</v>
      </c>
      <c r="D454" t="s">
        <v>74</v>
      </c>
      <c r="E454" t="s">
        <v>74</v>
      </c>
      <c r="F454" t="s">
        <v>14766</v>
      </c>
      <c r="G454" t="s">
        <v>74</v>
      </c>
      <c r="H454" t="s">
        <v>74</v>
      </c>
      <c r="I454" t="s">
        <v>14767</v>
      </c>
      <c r="J454" t="s">
        <v>14768</v>
      </c>
      <c r="K454" t="s">
        <v>74</v>
      </c>
      <c r="L454" t="s">
        <v>74</v>
      </c>
      <c r="M454" t="s">
        <v>74</v>
      </c>
      <c r="N454" t="s">
        <v>103</v>
      </c>
      <c r="O454" t="s">
        <v>74</v>
      </c>
      <c r="P454" t="s">
        <v>74</v>
      </c>
      <c r="Q454" t="s">
        <v>74</v>
      </c>
      <c r="R454" t="s">
        <v>74</v>
      </c>
      <c r="S454" t="s">
        <v>74</v>
      </c>
      <c r="T454" t="s">
        <v>14769</v>
      </c>
      <c r="U454" t="s">
        <v>14770</v>
      </c>
      <c r="V454" t="s">
        <v>14771</v>
      </c>
      <c r="W454" t="s">
        <v>14772</v>
      </c>
      <c r="X454" t="s">
        <v>14773</v>
      </c>
      <c r="Y454" t="s">
        <v>14774</v>
      </c>
      <c r="Z454" t="s">
        <v>14775</v>
      </c>
      <c r="AA454" t="s">
        <v>14776</v>
      </c>
      <c r="AB454" t="s">
        <v>14777</v>
      </c>
      <c r="AC454" t="s">
        <v>74</v>
      </c>
      <c r="AD454" t="s">
        <v>74</v>
      </c>
      <c r="AE454" t="s">
        <v>74</v>
      </c>
      <c r="AF454" t="s">
        <v>74</v>
      </c>
      <c r="AG454">
        <v>33</v>
      </c>
      <c r="AH454">
        <v>44</v>
      </c>
      <c r="AI454">
        <v>47</v>
      </c>
      <c r="AJ454">
        <v>1</v>
      </c>
      <c r="AK454">
        <v>12</v>
      </c>
      <c r="AL454" t="s">
        <v>74</v>
      </c>
      <c r="AM454" t="s">
        <v>74</v>
      </c>
      <c r="AN454" t="s">
        <v>74</v>
      </c>
      <c r="AO454" t="s">
        <v>14778</v>
      </c>
      <c r="AP454" t="s">
        <v>74</v>
      </c>
      <c r="AQ454" t="s">
        <v>74</v>
      </c>
      <c r="AR454" t="s">
        <v>74</v>
      </c>
      <c r="AS454" t="s">
        <v>74</v>
      </c>
      <c r="AT454" t="s">
        <v>74</v>
      </c>
      <c r="AU454">
        <v>2017</v>
      </c>
      <c r="AV454">
        <v>9</v>
      </c>
      <c r="AW454">
        <v>4</v>
      </c>
      <c r="AX454" t="s">
        <v>74</v>
      </c>
      <c r="AY454" t="s">
        <v>74</v>
      </c>
      <c r="AZ454" t="s">
        <v>74</v>
      </c>
      <c r="BA454" t="s">
        <v>74</v>
      </c>
      <c r="BB454">
        <v>1543</v>
      </c>
      <c r="BC454">
        <v>1560</v>
      </c>
      <c r="BD454" t="s">
        <v>74</v>
      </c>
      <c r="BE454" t="s">
        <v>74</v>
      </c>
      <c r="BF454" t="s">
        <v>74</v>
      </c>
      <c r="BG454" t="s">
        <v>74</v>
      </c>
      <c r="BH454" t="s">
        <v>74</v>
      </c>
      <c r="BI454" t="s">
        <v>74</v>
      </c>
      <c r="BJ454" t="s">
        <v>4129</v>
      </c>
      <c r="BK454" t="s">
        <v>117</v>
      </c>
      <c r="BL454" t="s">
        <v>4130</v>
      </c>
      <c r="BM454" t="s">
        <v>74</v>
      </c>
      <c r="BN454">
        <v>28469765</v>
      </c>
      <c r="BO454" t="s">
        <v>74</v>
      </c>
      <c r="BP454" t="s">
        <v>74</v>
      </c>
      <c r="BQ454" t="s">
        <v>74</v>
      </c>
      <c r="BR454" t="s">
        <v>96</v>
      </c>
      <c r="BS454" t="s">
        <v>14779</v>
      </c>
      <c r="BT454" t="str">
        <f>HYPERLINK("https%3A%2F%2Fwww.webofscience.com%2Fwos%2Fwoscc%2Ffull-record%2FWOS:000400487800001","View Full Record in Web of Science")</f>
        <v>View Full Record in Web of Science</v>
      </c>
    </row>
    <row r="455" spans="1:72" x14ac:dyDescent="0.15">
      <c r="A455" t="s">
        <v>98</v>
      </c>
      <c r="B455" t="s">
        <v>16658</v>
      </c>
      <c r="C455" t="s">
        <v>74</v>
      </c>
      <c r="D455" t="s">
        <v>74</v>
      </c>
      <c r="E455" t="s">
        <v>74</v>
      </c>
      <c r="F455" t="s">
        <v>16659</v>
      </c>
      <c r="G455" t="s">
        <v>74</v>
      </c>
      <c r="H455" t="s">
        <v>74</v>
      </c>
      <c r="I455" t="s">
        <v>16660</v>
      </c>
      <c r="J455" t="s">
        <v>1105</v>
      </c>
      <c r="K455" t="s">
        <v>74</v>
      </c>
      <c r="L455" t="s">
        <v>74</v>
      </c>
      <c r="M455" t="s">
        <v>74</v>
      </c>
      <c r="N455" t="s">
        <v>103</v>
      </c>
      <c r="O455" t="s">
        <v>74</v>
      </c>
      <c r="P455" t="s">
        <v>74</v>
      </c>
      <c r="Q455" t="s">
        <v>74</v>
      </c>
      <c r="R455" t="s">
        <v>74</v>
      </c>
      <c r="S455" t="s">
        <v>74</v>
      </c>
      <c r="T455" t="s">
        <v>16661</v>
      </c>
      <c r="U455" t="s">
        <v>16662</v>
      </c>
      <c r="V455" t="s">
        <v>16663</v>
      </c>
      <c r="W455" t="s">
        <v>16664</v>
      </c>
      <c r="X455" t="s">
        <v>7308</v>
      </c>
      <c r="Y455" t="s">
        <v>7309</v>
      </c>
      <c r="Z455" t="s">
        <v>16665</v>
      </c>
      <c r="AA455" t="s">
        <v>74</v>
      </c>
      <c r="AB455" t="s">
        <v>74</v>
      </c>
      <c r="AC455" t="s">
        <v>74</v>
      </c>
      <c r="AD455" t="s">
        <v>74</v>
      </c>
      <c r="AE455" t="s">
        <v>74</v>
      </c>
      <c r="AF455" t="s">
        <v>74</v>
      </c>
      <c r="AG455">
        <v>42</v>
      </c>
      <c r="AH455">
        <v>44</v>
      </c>
      <c r="AI455">
        <v>45</v>
      </c>
      <c r="AJ455">
        <v>19</v>
      </c>
      <c r="AK455">
        <v>258</v>
      </c>
      <c r="AL455" t="s">
        <v>74</v>
      </c>
      <c r="AM455" t="s">
        <v>74</v>
      </c>
      <c r="AN455" t="s">
        <v>74</v>
      </c>
      <c r="AO455" t="s">
        <v>1114</v>
      </c>
      <c r="AP455" t="s">
        <v>1115</v>
      </c>
      <c r="AQ455" t="s">
        <v>74</v>
      </c>
      <c r="AR455" t="s">
        <v>74</v>
      </c>
      <c r="AS455" t="s">
        <v>74</v>
      </c>
      <c r="AT455" t="s">
        <v>1116</v>
      </c>
      <c r="AU455">
        <v>2020</v>
      </c>
      <c r="AV455">
        <v>207</v>
      </c>
      <c r="AW455" t="s">
        <v>74</v>
      </c>
      <c r="AX455" t="s">
        <v>74</v>
      </c>
      <c r="AY455" t="s">
        <v>74</v>
      </c>
      <c r="AZ455" t="s">
        <v>74</v>
      </c>
      <c r="BA455" t="s">
        <v>74</v>
      </c>
      <c r="BB455" t="s">
        <v>74</v>
      </c>
      <c r="BC455" t="s">
        <v>74</v>
      </c>
      <c r="BD455">
        <v>120298</v>
      </c>
      <c r="BE455" t="s">
        <v>16666</v>
      </c>
      <c r="BF455" t="str">
        <f>HYPERLINK("http://dx.doi.org/10.1016/j.talanta.2019.120298","http://dx.doi.org/10.1016/j.talanta.2019.120298")</f>
        <v>http://dx.doi.org/10.1016/j.talanta.2019.120298</v>
      </c>
      <c r="BG455" t="s">
        <v>74</v>
      </c>
      <c r="BH455" t="s">
        <v>74</v>
      </c>
      <c r="BI455" t="s">
        <v>74</v>
      </c>
      <c r="BJ455" t="s">
        <v>1118</v>
      </c>
      <c r="BK455" t="s">
        <v>117</v>
      </c>
      <c r="BL455" t="s">
        <v>1048</v>
      </c>
      <c r="BM455" t="s">
        <v>74</v>
      </c>
      <c r="BN455">
        <v>31594629</v>
      </c>
      <c r="BO455" t="s">
        <v>74</v>
      </c>
      <c r="BP455" t="s">
        <v>74</v>
      </c>
      <c r="BQ455" t="s">
        <v>74</v>
      </c>
      <c r="BR455" t="s">
        <v>96</v>
      </c>
      <c r="BS455" t="s">
        <v>16667</v>
      </c>
      <c r="BT455" t="str">
        <f>HYPERLINK("https%3A%2F%2Fwww.webofscience.com%2Fwos%2Fwoscc%2Ffull-record%2FWOS:000491635300026","View Full Record in Web of Science")</f>
        <v>View Full Record in Web of Science</v>
      </c>
    </row>
    <row r="456" spans="1:72" x14ac:dyDescent="0.15">
      <c r="A456" t="s">
        <v>98</v>
      </c>
      <c r="B456" t="s">
        <v>17106</v>
      </c>
      <c r="C456" t="s">
        <v>74</v>
      </c>
      <c r="D456" t="s">
        <v>74</v>
      </c>
      <c r="E456" t="s">
        <v>74</v>
      </c>
      <c r="F456" t="s">
        <v>17107</v>
      </c>
      <c r="G456" t="s">
        <v>74</v>
      </c>
      <c r="H456" t="s">
        <v>74</v>
      </c>
      <c r="I456" t="s">
        <v>17108</v>
      </c>
      <c r="J456" t="s">
        <v>903</v>
      </c>
      <c r="K456" t="s">
        <v>74</v>
      </c>
      <c r="L456" t="s">
        <v>74</v>
      </c>
      <c r="M456" t="s">
        <v>74</v>
      </c>
      <c r="N456" t="s">
        <v>103</v>
      </c>
      <c r="O456" t="s">
        <v>74</v>
      </c>
      <c r="P456" t="s">
        <v>74</v>
      </c>
      <c r="Q456" t="s">
        <v>74</v>
      </c>
      <c r="R456" t="s">
        <v>74</v>
      </c>
      <c r="S456" t="s">
        <v>74</v>
      </c>
      <c r="T456" t="s">
        <v>17109</v>
      </c>
      <c r="U456" t="s">
        <v>17110</v>
      </c>
      <c r="V456" t="s">
        <v>17111</v>
      </c>
      <c r="W456" t="s">
        <v>17112</v>
      </c>
      <c r="X456" t="s">
        <v>17113</v>
      </c>
      <c r="Y456" t="s">
        <v>17114</v>
      </c>
      <c r="Z456" t="s">
        <v>17115</v>
      </c>
      <c r="AA456" t="s">
        <v>17116</v>
      </c>
      <c r="AB456" t="s">
        <v>17117</v>
      </c>
      <c r="AC456" t="s">
        <v>74</v>
      </c>
      <c r="AD456" t="s">
        <v>74</v>
      </c>
      <c r="AE456" t="s">
        <v>74</v>
      </c>
      <c r="AF456" t="s">
        <v>74</v>
      </c>
      <c r="AG456">
        <v>53</v>
      </c>
      <c r="AH456">
        <v>44</v>
      </c>
      <c r="AI456">
        <v>45</v>
      </c>
      <c r="AJ456">
        <v>3</v>
      </c>
      <c r="AK456">
        <v>12</v>
      </c>
      <c r="AL456" t="s">
        <v>74</v>
      </c>
      <c r="AM456" t="s">
        <v>74</v>
      </c>
      <c r="AN456" t="s">
        <v>74</v>
      </c>
      <c r="AO456" t="s">
        <v>74</v>
      </c>
      <c r="AP456" t="s">
        <v>913</v>
      </c>
      <c r="AQ456" t="s">
        <v>74</v>
      </c>
      <c r="AR456" t="s">
        <v>74</v>
      </c>
      <c r="AS456" t="s">
        <v>74</v>
      </c>
      <c r="AT456" t="s">
        <v>283</v>
      </c>
      <c r="AU456">
        <v>2020</v>
      </c>
      <c r="AV456">
        <v>12</v>
      </c>
      <c r="AW456">
        <v>2</v>
      </c>
      <c r="AX456" t="s">
        <v>74</v>
      </c>
      <c r="AY456" t="s">
        <v>74</v>
      </c>
      <c r="AZ456" t="s">
        <v>74</v>
      </c>
      <c r="BA456" t="s">
        <v>74</v>
      </c>
      <c r="BB456" t="s">
        <v>74</v>
      </c>
      <c r="BC456" t="s">
        <v>74</v>
      </c>
      <c r="BD456">
        <v>464</v>
      </c>
      <c r="BE456" t="s">
        <v>17118</v>
      </c>
      <c r="BF456" t="str">
        <f>HYPERLINK("http://dx.doi.org/10.3390/cancers12020464","http://dx.doi.org/10.3390/cancers12020464")</f>
        <v>http://dx.doi.org/10.3390/cancers12020464</v>
      </c>
      <c r="BG456" t="s">
        <v>74</v>
      </c>
      <c r="BH456" t="s">
        <v>74</v>
      </c>
      <c r="BI456" t="s">
        <v>74</v>
      </c>
      <c r="BJ456" t="s">
        <v>267</v>
      </c>
      <c r="BK456" t="s">
        <v>117</v>
      </c>
      <c r="BL456" t="s">
        <v>267</v>
      </c>
      <c r="BM456" t="s">
        <v>74</v>
      </c>
      <c r="BN456">
        <v>32079286</v>
      </c>
      <c r="BO456" t="s">
        <v>74</v>
      </c>
      <c r="BP456" t="s">
        <v>74</v>
      </c>
      <c r="BQ456" t="s">
        <v>74</v>
      </c>
      <c r="BR456" t="s">
        <v>96</v>
      </c>
      <c r="BS456" t="s">
        <v>17119</v>
      </c>
      <c r="BT456" t="str">
        <f>HYPERLINK("https%3A%2F%2Fwww.webofscience.com%2Fwos%2Fwoscc%2Ffull-record%2FWOS:000522477300210","View Full Record in Web of Science")</f>
        <v>View Full Record in Web of Science</v>
      </c>
    </row>
    <row r="457" spans="1:72" x14ac:dyDescent="0.15">
      <c r="A457" t="s">
        <v>98</v>
      </c>
      <c r="B457" t="s">
        <v>17594</v>
      </c>
      <c r="C457" t="s">
        <v>74</v>
      </c>
      <c r="D457" t="s">
        <v>74</v>
      </c>
      <c r="E457" t="s">
        <v>74</v>
      </c>
      <c r="F457" t="s">
        <v>17594</v>
      </c>
      <c r="G457" t="s">
        <v>74</v>
      </c>
      <c r="H457" t="s">
        <v>74</v>
      </c>
      <c r="I457" t="s">
        <v>17595</v>
      </c>
      <c r="J457" t="s">
        <v>17596</v>
      </c>
      <c r="K457" t="s">
        <v>74</v>
      </c>
      <c r="L457" t="s">
        <v>74</v>
      </c>
      <c r="M457" t="s">
        <v>74</v>
      </c>
      <c r="N457" t="s">
        <v>103</v>
      </c>
      <c r="O457" t="s">
        <v>74</v>
      </c>
      <c r="P457" t="s">
        <v>74</v>
      </c>
      <c r="Q457" t="s">
        <v>74</v>
      </c>
      <c r="R457" t="s">
        <v>74</v>
      </c>
      <c r="S457" t="s">
        <v>74</v>
      </c>
      <c r="T457" t="s">
        <v>74</v>
      </c>
      <c r="U457" t="s">
        <v>17597</v>
      </c>
      <c r="V457" t="s">
        <v>17598</v>
      </c>
      <c r="W457" t="s">
        <v>17599</v>
      </c>
      <c r="X457" t="s">
        <v>17600</v>
      </c>
      <c r="Y457" t="s">
        <v>17601</v>
      </c>
      <c r="Z457" t="s">
        <v>74</v>
      </c>
      <c r="AA457" t="s">
        <v>74</v>
      </c>
      <c r="AB457" t="s">
        <v>74</v>
      </c>
      <c r="AC457" t="s">
        <v>74</v>
      </c>
      <c r="AD457" t="s">
        <v>74</v>
      </c>
      <c r="AE457" t="s">
        <v>74</v>
      </c>
      <c r="AF457" t="s">
        <v>74</v>
      </c>
      <c r="AG457">
        <v>42</v>
      </c>
      <c r="AH457">
        <v>44</v>
      </c>
      <c r="AI457">
        <v>45</v>
      </c>
      <c r="AJ457">
        <v>0</v>
      </c>
      <c r="AK457">
        <v>2</v>
      </c>
      <c r="AL457" t="s">
        <v>74</v>
      </c>
      <c r="AM457" t="s">
        <v>74</v>
      </c>
      <c r="AN457" t="s">
        <v>74</v>
      </c>
      <c r="AO457" t="s">
        <v>17602</v>
      </c>
      <c r="AP457" t="s">
        <v>74</v>
      </c>
      <c r="AQ457" t="s">
        <v>74</v>
      </c>
      <c r="AR457" t="s">
        <v>74</v>
      </c>
      <c r="AS457" t="s">
        <v>74</v>
      </c>
      <c r="AT457" t="s">
        <v>549</v>
      </c>
      <c r="AU457">
        <v>1999</v>
      </c>
      <c r="AV457">
        <v>211</v>
      </c>
      <c r="AW457">
        <v>1</v>
      </c>
      <c r="AX457" t="s">
        <v>74</v>
      </c>
      <c r="AY457" t="s">
        <v>74</v>
      </c>
      <c r="AZ457" t="s">
        <v>74</v>
      </c>
      <c r="BA457" t="s">
        <v>74</v>
      </c>
      <c r="BB457">
        <v>77</v>
      </c>
      <c r="BC457">
        <v>87</v>
      </c>
      <c r="BD457" t="s">
        <v>74</v>
      </c>
      <c r="BE457" t="s">
        <v>17603</v>
      </c>
      <c r="BF457" t="str">
        <f>HYPERLINK("http://dx.doi.org/10.1006/dbio.1999.9283","http://dx.doi.org/10.1006/dbio.1999.9283")</f>
        <v>http://dx.doi.org/10.1006/dbio.1999.9283</v>
      </c>
      <c r="BG457" t="s">
        <v>74</v>
      </c>
      <c r="BH457" t="s">
        <v>74</v>
      </c>
      <c r="BI457" t="s">
        <v>74</v>
      </c>
      <c r="BJ457" t="s">
        <v>2083</v>
      </c>
      <c r="BK457" t="s">
        <v>117</v>
      </c>
      <c r="BL457" t="s">
        <v>2083</v>
      </c>
      <c r="BM457" t="s">
        <v>74</v>
      </c>
      <c r="BN457">
        <v>10373306</v>
      </c>
      <c r="BO457" t="s">
        <v>74</v>
      </c>
      <c r="BP457" t="s">
        <v>74</v>
      </c>
      <c r="BQ457" t="s">
        <v>74</v>
      </c>
      <c r="BR457" t="s">
        <v>96</v>
      </c>
      <c r="BS457" t="s">
        <v>17604</v>
      </c>
      <c r="BT457" t="str">
        <f>HYPERLINK("https%3A%2F%2Fwww.webofscience.com%2Fwos%2Fwoscc%2Ffull-record%2FWOS:000081269200007","View Full Record in Web of Science")</f>
        <v>View Full Record in Web of Science</v>
      </c>
    </row>
    <row r="458" spans="1:72" x14ac:dyDescent="0.15">
      <c r="A458" t="s">
        <v>98</v>
      </c>
      <c r="B458" t="s">
        <v>21682</v>
      </c>
      <c r="C458" t="s">
        <v>74</v>
      </c>
      <c r="D458" t="s">
        <v>74</v>
      </c>
      <c r="E458" t="s">
        <v>74</v>
      </c>
      <c r="F458" t="s">
        <v>21683</v>
      </c>
      <c r="G458" t="s">
        <v>74</v>
      </c>
      <c r="H458" t="s">
        <v>74</v>
      </c>
      <c r="I458" t="s">
        <v>21684</v>
      </c>
      <c r="J458" t="s">
        <v>6193</v>
      </c>
      <c r="K458" t="s">
        <v>74</v>
      </c>
      <c r="L458" t="s">
        <v>74</v>
      </c>
      <c r="M458" t="s">
        <v>74</v>
      </c>
      <c r="N458" t="s">
        <v>103</v>
      </c>
      <c r="O458" t="s">
        <v>74</v>
      </c>
      <c r="P458" t="s">
        <v>74</v>
      </c>
      <c r="Q458" t="s">
        <v>74</v>
      </c>
      <c r="R458" t="s">
        <v>74</v>
      </c>
      <c r="S458" t="s">
        <v>74</v>
      </c>
      <c r="T458" t="s">
        <v>21685</v>
      </c>
      <c r="U458" t="s">
        <v>21686</v>
      </c>
      <c r="V458" t="s">
        <v>21687</v>
      </c>
      <c r="W458" t="s">
        <v>21688</v>
      </c>
      <c r="X458" t="s">
        <v>21689</v>
      </c>
      <c r="Y458" t="s">
        <v>21690</v>
      </c>
      <c r="Z458" t="s">
        <v>21691</v>
      </c>
      <c r="AA458" t="s">
        <v>21692</v>
      </c>
      <c r="AB458" t="s">
        <v>21693</v>
      </c>
      <c r="AC458" t="s">
        <v>74</v>
      </c>
      <c r="AD458" t="s">
        <v>74</v>
      </c>
      <c r="AE458" t="s">
        <v>74</v>
      </c>
      <c r="AF458" t="s">
        <v>74</v>
      </c>
      <c r="AG458">
        <v>184</v>
      </c>
      <c r="AH458">
        <v>44</v>
      </c>
      <c r="AI458">
        <v>46</v>
      </c>
      <c r="AJ458">
        <v>1</v>
      </c>
      <c r="AK458">
        <v>47</v>
      </c>
      <c r="AL458" t="s">
        <v>74</v>
      </c>
      <c r="AM458" t="s">
        <v>74</v>
      </c>
      <c r="AN458" t="s">
        <v>74</v>
      </c>
      <c r="AO458" t="s">
        <v>6203</v>
      </c>
      <c r="AP458" t="s">
        <v>6204</v>
      </c>
      <c r="AQ458" t="s">
        <v>74</v>
      </c>
      <c r="AR458" t="s">
        <v>74</v>
      </c>
      <c r="AS458" t="s">
        <v>74</v>
      </c>
      <c r="AT458" t="s">
        <v>189</v>
      </c>
      <c r="AU458">
        <v>2018</v>
      </c>
      <c r="AV458">
        <v>53</v>
      </c>
      <c r="AW458">
        <v>4</v>
      </c>
      <c r="AX458" t="s">
        <v>74</v>
      </c>
      <c r="AY458" t="s">
        <v>74</v>
      </c>
      <c r="AZ458" t="s">
        <v>74</v>
      </c>
      <c r="BA458" t="s">
        <v>74</v>
      </c>
      <c r="BB458">
        <v>1395</v>
      </c>
      <c r="BC458">
        <v>1434</v>
      </c>
      <c r="BD458" t="s">
        <v>74</v>
      </c>
      <c r="BE458" t="s">
        <v>21694</v>
      </c>
      <c r="BF458" t="str">
        <f>HYPERLINK("http://dx.doi.org/10.3892/ijo.2018.4516","http://dx.doi.org/10.3892/ijo.2018.4516")</f>
        <v>http://dx.doi.org/10.3892/ijo.2018.4516</v>
      </c>
      <c r="BG458" t="s">
        <v>74</v>
      </c>
      <c r="BH458" t="s">
        <v>74</v>
      </c>
      <c r="BI458" t="s">
        <v>74</v>
      </c>
      <c r="BJ458" t="s">
        <v>267</v>
      </c>
      <c r="BK458" t="s">
        <v>117</v>
      </c>
      <c r="BL458" t="s">
        <v>267</v>
      </c>
      <c r="BM458" t="s">
        <v>74</v>
      </c>
      <c r="BN458">
        <v>30085333</v>
      </c>
      <c r="BO458" t="s">
        <v>74</v>
      </c>
      <c r="BP458" t="s">
        <v>74</v>
      </c>
      <c r="BQ458" t="s">
        <v>74</v>
      </c>
      <c r="BR458" t="s">
        <v>96</v>
      </c>
      <c r="BS458" t="s">
        <v>21695</v>
      </c>
      <c r="BT458" t="str">
        <f>HYPERLINK("https%3A%2F%2Fwww.webofscience.com%2Fwos%2Fwoscc%2Ffull-record%2FWOS:000442971100001","View Full Record in Web of Science")</f>
        <v>View Full Record in Web of Science</v>
      </c>
    </row>
    <row r="459" spans="1:72" x14ac:dyDescent="0.15">
      <c r="A459" t="s">
        <v>98</v>
      </c>
      <c r="B459" t="s">
        <v>22127</v>
      </c>
      <c r="C459" t="s">
        <v>74</v>
      </c>
      <c r="D459" t="s">
        <v>74</v>
      </c>
      <c r="E459" t="s">
        <v>74</v>
      </c>
      <c r="F459" t="s">
        <v>22128</v>
      </c>
      <c r="G459" t="s">
        <v>74</v>
      </c>
      <c r="H459" t="s">
        <v>74</v>
      </c>
      <c r="I459" t="s">
        <v>22129</v>
      </c>
      <c r="J459" t="s">
        <v>2339</v>
      </c>
      <c r="K459" t="s">
        <v>74</v>
      </c>
      <c r="L459" t="s">
        <v>74</v>
      </c>
      <c r="M459" t="s">
        <v>74</v>
      </c>
      <c r="N459" t="s">
        <v>103</v>
      </c>
      <c r="O459" t="s">
        <v>74</v>
      </c>
      <c r="P459" t="s">
        <v>74</v>
      </c>
      <c r="Q459" t="s">
        <v>74</v>
      </c>
      <c r="R459" t="s">
        <v>74</v>
      </c>
      <c r="S459" t="s">
        <v>74</v>
      </c>
      <c r="T459" t="s">
        <v>22130</v>
      </c>
      <c r="U459" t="s">
        <v>22131</v>
      </c>
      <c r="V459" t="s">
        <v>22132</v>
      </c>
      <c r="W459" t="s">
        <v>22133</v>
      </c>
      <c r="X459" t="s">
        <v>22134</v>
      </c>
      <c r="Y459" t="s">
        <v>22135</v>
      </c>
      <c r="Z459" t="s">
        <v>22136</v>
      </c>
      <c r="AA459" t="s">
        <v>22137</v>
      </c>
      <c r="AB459" t="s">
        <v>22138</v>
      </c>
      <c r="AC459" t="s">
        <v>74</v>
      </c>
      <c r="AD459" t="s">
        <v>74</v>
      </c>
      <c r="AE459" t="s">
        <v>74</v>
      </c>
      <c r="AF459" t="s">
        <v>74</v>
      </c>
      <c r="AG459">
        <v>53</v>
      </c>
      <c r="AH459">
        <v>44</v>
      </c>
      <c r="AI459">
        <v>45</v>
      </c>
      <c r="AJ459">
        <v>0</v>
      </c>
      <c r="AK459">
        <v>5</v>
      </c>
      <c r="AL459" t="s">
        <v>74</v>
      </c>
      <c r="AM459" t="s">
        <v>74</v>
      </c>
      <c r="AN459" t="s">
        <v>74</v>
      </c>
      <c r="AO459" t="s">
        <v>2348</v>
      </c>
      <c r="AP459" t="s">
        <v>2349</v>
      </c>
      <c r="AQ459" t="s">
        <v>74</v>
      </c>
      <c r="AR459" t="s">
        <v>74</v>
      </c>
      <c r="AS459" t="s">
        <v>74</v>
      </c>
      <c r="AT459" t="s">
        <v>211</v>
      </c>
      <c r="AU459">
        <v>2009</v>
      </c>
      <c r="AV459">
        <v>86</v>
      </c>
      <c r="AW459">
        <v>5</v>
      </c>
      <c r="AX459" t="s">
        <v>74</v>
      </c>
      <c r="AY459" t="s">
        <v>74</v>
      </c>
      <c r="AZ459" t="s">
        <v>74</v>
      </c>
      <c r="BA459" t="s">
        <v>74</v>
      </c>
      <c r="BB459">
        <v>1159</v>
      </c>
      <c r="BC459">
        <v>1169</v>
      </c>
      <c r="BD459" t="s">
        <v>74</v>
      </c>
      <c r="BE459" t="s">
        <v>22139</v>
      </c>
      <c r="BF459" t="str">
        <f>HYPERLINK("http://dx.doi.org/10.1189/jlb.0209053","http://dx.doi.org/10.1189/jlb.0209053")</f>
        <v>http://dx.doi.org/10.1189/jlb.0209053</v>
      </c>
      <c r="BG459" t="s">
        <v>74</v>
      </c>
      <c r="BH459" t="s">
        <v>74</v>
      </c>
      <c r="BI459" t="s">
        <v>74</v>
      </c>
      <c r="BJ459" t="s">
        <v>2351</v>
      </c>
      <c r="BK459" t="s">
        <v>117</v>
      </c>
      <c r="BL459" t="s">
        <v>2351</v>
      </c>
      <c r="BM459" t="s">
        <v>74</v>
      </c>
      <c r="BN459">
        <v>19638500</v>
      </c>
      <c r="BO459" t="s">
        <v>74</v>
      </c>
      <c r="BP459" t="s">
        <v>74</v>
      </c>
      <c r="BQ459" t="s">
        <v>74</v>
      </c>
      <c r="BR459" t="s">
        <v>96</v>
      </c>
      <c r="BS459" t="s">
        <v>22140</v>
      </c>
      <c r="BT459" t="str">
        <f>HYPERLINK("https%3A%2F%2Fwww.webofscience.com%2Fwos%2Fwoscc%2Ffull-record%2FWOS:000271270600018","View Full Record in Web of Science")</f>
        <v>View Full Record in Web of Science</v>
      </c>
    </row>
    <row r="460" spans="1:72" x14ac:dyDescent="0.15">
      <c r="A460" t="s">
        <v>98</v>
      </c>
      <c r="B460" t="s">
        <v>22730</v>
      </c>
      <c r="C460" t="s">
        <v>74</v>
      </c>
      <c r="D460" t="s">
        <v>74</v>
      </c>
      <c r="E460" t="s">
        <v>74</v>
      </c>
      <c r="F460" t="s">
        <v>22731</v>
      </c>
      <c r="G460" t="s">
        <v>74</v>
      </c>
      <c r="H460" t="s">
        <v>74</v>
      </c>
      <c r="I460" t="s">
        <v>22732</v>
      </c>
      <c r="J460" t="s">
        <v>5139</v>
      </c>
      <c r="K460" t="s">
        <v>74</v>
      </c>
      <c r="L460" t="s">
        <v>74</v>
      </c>
      <c r="M460" t="s">
        <v>74</v>
      </c>
      <c r="N460" t="s">
        <v>103</v>
      </c>
      <c r="O460" t="s">
        <v>74</v>
      </c>
      <c r="P460" t="s">
        <v>74</v>
      </c>
      <c r="Q460" t="s">
        <v>74</v>
      </c>
      <c r="R460" t="s">
        <v>74</v>
      </c>
      <c r="S460" t="s">
        <v>74</v>
      </c>
      <c r="T460" t="s">
        <v>74</v>
      </c>
      <c r="U460" t="s">
        <v>22733</v>
      </c>
      <c r="V460" t="s">
        <v>22734</v>
      </c>
      <c r="W460" t="s">
        <v>22735</v>
      </c>
      <c r="X460" t="s">
        <v>22736</v>
      </c>
      <c r="Y460" t="s">
        <v>22737</v>
      </c>
      <c r="Z460" t="s">
        <v>22738</v>
      </c>
      <c r="AA460" t="s">
        <v>74</v>
      </c>
      <c r="AB460" t="s">
        <v>22739</v>
      </c>
      <c r="AC460" t="s">
        <v>74</v>
      </c>
      <c r="AD460" t="s">
        <v>74</v>
      </c>
      <c r="AE460" t="s">
        <v>74</v>
      </c>
      <c r="AF460" t="s">
        <v>74</v>
      </c>
      <c r="AG460">
        <v>75</v>
      </c>
      <c r="AH460">
        <v>44</v>
      </c>
      <c r="AI460">
        <v>45</v>
      </c>
      <c r="AJ460">
        <v>2</v>
      </c>
      <c r="AK460">
        <v>7</v>
      </c>
      <c r="AL460" t="s">
        <v>74</v>
      </c>
      <c r="AM460" t="s">
        <v>74</v>
      </c>
      <c r="AN460" t="s">
        <v>74</v>
      </c>
      <c r="AO460" t="s">
        <v>5148</v>
      </c>
      <c r="AP460" t="s">
        <v>74</v>
      </c>
      <c r="AQ460" t="s">
        <v>74</v>
      </c>
      <c r="AR460" t="s">
        <v>74</v>
      </c>
      <c r="AS460" t="s">
        <v>74</v>
      </c>
      <c r="AT460" t="s">
        <v>8050</v>
      </c>
      <c r="AU460">
        <v>2019</v>
      </c>
      <c r="AV460">
        <v>10</v>
      </c>
      <c r="AW460" t="s">
        <v>74</v>
      </c>
      <c r="AX460" t="s">
        <v>74</v>
      </c>
      <c r="AY460" t="s">
        <v>74</v>
      </c>
      <c r="AZ460" t="s">
        <v>74</v>
      </c>
      <c r="BA460" t="s">
        <v>74</v>
      </c>
      <c r="BB460" t="s">
        <v>74</v>
      </c>
      <c r="BC460" t="s">
        <v>74</v>
      </c>
      <c r="BD460">
        <v>4125</v>
      </c>
      <c r="BE460" t="s">
        <v>22740</v>
      </c>
      <c r="BF460" t="str">
        <f>HYPERLINK("http://dx.doi.org/10.1038/s41467-019-12059-y","http://dx.doi.org/10.1038/s41467-019-12059-y")</f>
        <v>http://dx.doi.org/10.1038/s41467-019-12059-y</v>
      </c>
      <c r="BG460" t="s">
        <v>74</v>
      </c>
      <c r="BH460" t="s">
        <v>74</v>
      </c>
      <c r="BI460" t="s">
        <v>74</v>
      </c>
      <c r="BJ460" t="s">
        <v>152</v>
      </c>
      <c r="BK460" t="s">
        <v>117</v>
      </c>
      <c r="BL460" t="s">
        <v>153</v>
      </c>
      <c r="BM460" t="s">
        <v>74</v>
      </c>
      <c r="BN460">
        <v>31511515</v>
      </c>
      <c r="BO460" t="s">
        <v>74</v>
      </c>
      <c r="BP460" t="s">
        <v>74</v>
      </c>
      <c r="BQ460" t="s">
        <v>74</v>
      </c>
      <c r="BR460" t="s">
        <v>96</v>
      </c>
      <c r="BS460" t="s">
        <v>22741</v>
      </c>
      <c r="BT460" t="str">
        <f>HYPERLINK("https%3A%2F%2Fwww.webofscience.com%2Fwos%2Fwoscc%2Ffull-record%2FWOS:000485216900011","View Full Record in Web of Science")</f>
        <v>View Full Record in Web of Science</v>
      </c>
    </row>
    <row r="461" spans="1:72" x14ac:dyDescent="0.15">
      <c r="A461" t="s">
        <v>98</v>
      </c>
      <c r="B461" t="s">
        <v>22806</v>
      </c>
      <c r="C461" t="s">
        <v>74</v>
      </c>
      <c r="D461" t="s">
        <v>74</v>
      </c>
      <c r="E461" t="s">
        <v>74</v>
      </c>
      <c r="F461" t="s">
        <v>22806</v>
      </c>
      <c r="G461" t="s">
        <v>74</v>
      </c>
      <c r="H461" t="s">
        <v>74</v>
      </c>
      <c r="I461" t="s">
        <v>22807</v>
      </c>
      <c r="J461" t="s">
        <v>14455</v>
      </c>
      <c r="K461" t="s">
        <v>74</v>
      </c>
      <c r="L461" t="s">
        <v>74</v>
      </c>
      <c r="M461" t="s">
        <v>74</v>
      </c>
      <c r="N461" t="s">
        <v>103</v>
      </c>
      <c r="O461" t="s">
        <v>74</v>
      </c>
      <c r="P461" t="s">
        <v>74</v>
      </c>
      <c r="Q461" t="s">
        <v>74</v>
      </c>
      <c r="R461" t="s">
        <v>74</v>
      </c>
      <c r="S461" t="s">
        <v>74</v>
      </c>
      <c r="T461" t="s">
        <v>74</v>
      </c>
      <c r="U461" t="s">
        <v>22808</v>
      </c>
      <c r="V461" t="s">
        <v>22809</v>
      </c>
      <c r="W461" t="s">
        <v>22810</v>
      </c>
      <c r="X461" t="s">
        <v>22811</v>
      </c>
      <c r="Y461" t="s">
        <v>22812</v>
      </c>
      <c r="Z461" t="s">
        <v>22813</v>
      </c>
      <c r="AA461" t="s">
        <v>22814</v>
      </c>
      <c r="AB461" t="s">
        <v>22815</v>
      </c>
      <c r="AC461" t="s">
        <v>74</v>
      </c>
      <c r="AD461" t="s">
        <v>74</v>
      </c>
      <c r="AE461" t="s">
        <v>74</v>
      </c>
      <c r="AF461" t="s">
        <v>74</v>
      </c>
      <c r="AG461">
        <v>49</v>
      </c>
      <c r="AH461">
        <v>44</v>
      </c>
      <c r="AI461">
        <v>47</v>
      </c>
      <c r="AJ461">
        <v>0</v>
      </c>
      <c r="AK461">
        <v>1</v>
      </c>
      <c r="AL461" t="s">
        <v>74</v>
      </c>
      <c r="AM461" t="s">
        <v>74</v>
      </c>
      <c r="AN461" t="s">
        <v>74</v>
      </c>
      <c r="AO461" t="s">
        <v>14464</v>
      </c>
      <c r="AP461" t="s">
        <v>14465</v>
      </c>
      <c r="AQ461" t="s">
        <v>74</v>
      </c>
      <c r="AR461" t="s">
        <v>74</v>
      </c>
      <c r="AS461" t="s">
        <v>74</v>
      </c>
      <c r="AT461" t="s">
        <v>283</v>
      </c>
      <c r="AU461">
        <v>2005</v>
      </c>
      <c r="AV461">
        <v>7</v>
      </c>
      <c r="AW461">
        <v>2</v>
      </c>
      <c r="AX461" t="s">
        <v>74</v>
      </c>
      <c r="AY461" t="s">
        <v>74</v>
      </c>
      <c r="AZ461" t="s">
        <v>74</v>
      </c>
      <c r="BA461" t="s">
        <v>74</v>
      </c>
      <c r="BB461">
        <v>221</v>
      </c>
      <c r="BC461">
        <v>232</v>
      </c>
      <c r="BD461" t="s">
        <v>74</v>
      </c>
      <c r="BE461" t="s">
        <v>22816</v>
      </c>
      <c r="BF461" t="str">
        <f>HYPERLINK("http://dx.doi.org/10.1111/j.1462-5822.2004.00453.x","http://dx.doi.org/10.1111/j.1462-5822.2004.00453.x")</f>
        <v>http://dx.doi.org/10.1111/j.1462-5822.2004.00453.x</v>
      </c>
      <c r="BG461" t="s">
        <v>74</v>
      </c>
      <c r="BH461" t="s">
        <v>74</v>
      </c>
      <c r="BI461" t="s">
        <v>74</v>
      </c>
      <c r="BJ461" t="s">
        <v>14467</v>
      </c>
      <c r="BK461" t="s">
        <v>117</v>
      </c>
      <c r="BL461" t="s">
        <v>14467</v>
      </c>
      <c r="BM461" t="s">
        <v>74</v>
      </c>
      <c r="BN461">
        <v>15659066</v>
      </c>
      <c r="BO461" t="s">
        <v>74</v>
      </c>
      <c r="BP461" t="s">
        <v>74</v>
      </c>
      <c r="BQ461" t="s">
        <v>74</v>
      </c>
      <c r="BR461" t="s">
        <v>96</v>
      </c>
      <c r="BS461" t="s">
        <v>22817</v>
      </c>
      <c r="BT461" t="str">
        <f>HYPERLINK("https%3A%2F%2Fwww.webofscience.com%2Fwos%2Fwoscc%2Ffull-record%2FWOS:000226475200007","View Full Record in Web of Science")</f>
        <v>View Full Record in Web of Science</v>
      </c>
    </row>
    <row r="462" spans="1:72" x14ac:dyDescent="0.15">
      <c r="A462" t="s">
        <v>98</v>
      </c>
      <c r="B462" t="s">
        <v>23889</v>
      </c>
      <c r="C462" t="s">
        <v>74</v>
      </c>
      <c r="D462" t="s">
        <v>74</v>
      </c>
      <c r="E462" t="s">
        <v>74</v>
      </c>
      <c r="F462" t="s">
        <v>23889</v>
      </c>
      <c r="G462" t="s">
        <v>74</v>
      </c>
      <c r="H462" t="s">
        <v>74</v>
      </c>
      <c r="I462" t="s">
        <v>23890</v>
      </c>
      <c r="J462" t="s">
        <v>2536</v>
      </c>
      <c r="K462" t="s">
        <v>74</v>
      </c>
      <c r="L462" t="s">
        <v>74</v>
      </c>
      <c r="M462" t="s">
        <v>74</v>
      </c>
      <c r="N462" t="s">
        <v>103</v>
      </c>
      <c r="O462" t="s">
        <v>74</v>
      </c>
      <c r="P462" t="s">
        <v>74</v>
      </c>
      <c r="Q462" t="s">
        <v>74</v>
      </c>
      <c r="R462" t="s">
        <v>74</v>
      </c>
      <c r="S462" t="s">
        <v>74</v>
      </c>
      <c r="T462" t="s">
        <v>74</v>
      </c>
      <c r="U462" t="s">
        <v>23891</v>
      </c>
      <c r="V462" t="s">
        <v>23892</v>
      </c>
      <c r="W462" t="s">
        <v>23893</v>
      </c>
      <c r="X462" t="s">
        <v>23894</v>
      </c>
      <c r="Y462" t="s">
        <v>23895</v>
      </c>
      <c r="Z462" t="s">
        <v>23896</v>
      </c>
      <c r="AA462" t="s">
        <v>23897</v>
      </c>
      <c r="AB462" t="s">
        <v>23898</v>
      </c>
      <c r="AC462" t="s">
        <v>74</v>
      </c>
      <c r="AD462" t="s">
        <v>74</v>
      </c>
      <c r="AE462" t="s">
        <v>74</v>
      </c>
      <c r="AF462" t="s">
        <v>74</v>
      </c>
      <c r="AG462">
        <v>64</v>
      </c>
      <c r="AH462">
        <v>44</v>
      </c>
      <c r="AI462">
        <v>49</v>
      </c>
      <c r="AJ462">
        <v>0</v>
      </c>
      <c r="AK462">
        <v>1</v>
      </c>
      <c r="AL462" t="s">
        <v>74</v>
      </c>
      <c r="AM462" t="s">
        <v>74</v>
      </c>
      <c r="AN462" t="s">
        <v>74</v>
      </c>
      <c r="AO462" t="s">
        <v>2544</v>
      </c>
      <c r="AP462" t="s">
        <v>2545</v>
      </c>
      <c r="AQ462" t="s">
        <v>74</v>
      </c>
      <c r="AR462" t="s">
        <v>74</v>
      </c>
      <c r="AS462" t="s">
        <v>74</v>
      </c>
      <c r="AT462" t="s">
        <v>531</v>
      </c>
      <c r="AU462">
        <v>2005</v>
      </c>
      <c r="AV462">
        <v>79</v>
      </c>
      <c r="AW462">
        <v>17</v>
      </c>
      <c r="AX462" t="s">
        <v>74</v>
      </c>
      <c r="AY462" t="s">
        <v>74</v>
      </c>
      <c r="AZ462" t="s">
        <v>74</v>
      </c>
      <c r="BA462" t="s">
        <v>74</v>
      </c>
      <c r="BB462">
        <v>10952</v>
      </c>
      <c r="BC462">
        <v>10967</v>
      </c>
      <c r="BD462" t="s">
        <v>74</v>
      </c>
      <c r="BE462" t="s">
        <v>23899</v>
      </c>
      <c r="BF462" t="str">
        <f>HYPERLINK("http://dx.doi.org/10.1128/JVI.79.17.10952-10967.2005","http://dx.doi.org/10.1128/JVI.79.17.10952-10967.2005")</f>
        <v>http://dx.doi.org/10.1128/JVI.79.17.10952-10967.2005</v>
      </c>
      <c r="BG462" t="s">
        <v>74</v>
      </c>
      <c r="BH462" t="s">
        <v>74</v>
      </c>
      <c r="BI462" t="s">
        <v>74</v>
      </c>
      <c r="BJ462" t="s">
        <v>932</v>
      </c>
      <c r="BK462" t="s">
        <v>117</v>
      </c>
      <c r="BL462" t="s">
        <v>932</v>
      </c>
      <c r="BM462" t="s">
        <v>74</v>
      </c>
      <c r="BN462">
        <v>16103147</v>
      </c>
      <c r="BO462" t="s">
        <v>74</v>
      </c>
      <c r="BP462" t="s">
        <v>74</v>
      </c>
      <c r="BQ462" t="s">
        <v>74</v>
      </c>
      <c r="BR462" t="s">
        <v>96</v>
      </c>
      <c r="BS462" t="s">
        <v>23900</v>
      </c>
      <c r="BT462" t="str">
        <f>HYPERLINK("https%3A%2F%2Fwww.webofscience.com%2Fwos%2Fwoscc%2Ffull-record%2FWOS:000231303900011","View Full Record in Web of Science")</f>
        <v>View Full Record in Web of Science</v>
      </c>
    </row>
    <row r="463" spans="1:72" x14ac:dyDescent="0.15">
      <c r="A463" t="s">
        <v>98</v>
      </c>
      <c r="B463" t="s">
        <v>27421</v>
      </c>
      <c r="C463" t="s">
        <v>74</v>
      </c>
      <c r="D463" t="s">
        <v>74</v>
      </c>
      <c r="E463" t="s">
        <v>74</v>
      </c>
      <c r="F463" t="s">
        <v>27422</v>
      </c>
      <c r="G463" t="s">
        <v>74</v>
      </c>
      <c r="H463" t="s">
        <v>74</v>
      </c>
      <c r="I463" t="s">
        <v>27423</v>
      </c>
      <c r="J463" t="s">
        <v>658</v>
      </c>
      <c r="K463" t="s">
        <v>74</v>
      </c>
      <c r="L463" t="s">
        <v>74</v>
      </c>
      <c r="M463" t="s">
        <v>74</v>
      </c>
      <c r="N463" t="s">
        <v>103</v>
      </c>
      <c r="O463" t="s">
        <v>74</v>
      </c>
      <c r="P463" t="s">
        <v>74</v>
      </c>
      <c r="Q463" t="s">
        <v>74</v>
      </c>
      <c r="R463" t="s">
        <v>74</v>
      </c>
      <c r="S463" t="s">
        <v>74</v>
      </c>
      <c r="T463" t="s">
        <v>27424</v>
      </c>
      <c r="U463" t="s">
        <v>27425</v>
      </c>
      <c r="V463" t="s">
        <v>27426</v>
      </c>
      <c r="W463" t="s">
        <v>27427</v>
      </c>
      <c r="X463" t="s">
        <v>27428</v>
      </c>
      <c r="Y463" t="s">
        <v>27429</v>
      </c>
      <c r="Z463" t="s">
        <v>16993</v>
      </c>
      <c r="AA463" t="s">
        <v>74</v>
      </c>
      <c r="AB463" t="s">
        <v>74</v>
      </c>
      <c r="AC463" t="s">
        <v>74</v>
      </c>
      <c r="AD463" t="s">
        <v>74</v>
      </c>
      <c r="AE463" t="s">
        <v>74</v>
      </c>
      <c r="AF463" t="s">
        <v>74</v>
      </c>
      <c r="AG463">
        <v>33</v>
      </c>
      <c r="AH463">
        <v>44</v>
      </c>
      <c r="AI463">
        <v>47</v>
      </c>
      <c r="AJ463">
        <v>0</v>
      </c>
      <c r="AK463">
        <v>23</v>
      </c>
      <c r="AL463" t="s">
        <v>74</v>
      </c>
      <c r="AM463" t="s">
        <v>74</v>
      </c>
      <c r="AN463" t="s">
        <v>74</v>
      </c>
      <c r="AO463" t="s">
        <v>668</v>
      </c>
      <c r="AP463" t="s">
        <v>74</v>
      </c>
      <c r="AQ463" t="s">
        <v>74</v>
      </c>
      <c r="AR463" t="s">
        <v>74</v>
      </c>
      <c r="AS463" t="s">
        <v>74</v>
      </c>
      <c r="AT463" t="s">
        <v>2716</v>
      </c>
      <c r="AU463">
        <v>2016</v>
      </c>
      <c r="AV463">
        <v>113</v>
      </c>
      <c r="AW463">
        <v>7</v>
      </c>
      <c r="AX463" t="s">
        <v>74</v>
      </c>
      <c r="AY463" t="s">
        <v>74</v>
      </c>
      <c r="AZ463" t="s">
        <v>74</v>
      </c>
      <c r="BA463" t="s">
        <v>74</v>
      </c>
      <c r="BB463" t="s">
        <v>27430</v>
      </c>
      <c r="BC463" t="s">
        <v>27431</v>
      </c>
      <c r="BD463" t="s">
        <v>74</v>
      </c>
      <c r="BE463" t="s">
        <v>27432</v>
      </c>
      <c r="BF463" t="str">
        <f>HYPERLINK("http://dx.doi.org/10.1073/pnas.1525674113","http://dx.doi.org/10.1073/pnas.1525674113")</f>
        <v>http://dx.doi.org/10.1073/pnas.1525674113</v>
      </c>
      <c r="BG463" t="s">
        <v>74</v>
      </c>
      <c r="BH463" t="s">
        <v>74</v>
      </c>
      <c r="BI463" t="s">
        <v>74</v>
      </c>
      <c r="BJ463" t="s">
        <v>152</v>
      </c>
      <c r="BK463" t="s">
        <v>117</v>
      </c>
      <c r="BL463" t="s">
        <v>153</v>
      </c>
      <c r="BM463" t="s">
        <v>74</v>
      </c>
      <c r="BN463">
        <v>26831114</v>
      </c>
      <c r="BO463" t="s">
        <v>74</v>
      </c>
      <c r="BP463" t="s">
        <v>74</v>
      </c>
      <c r="BQ463" t="s">
        <v>74</v>
      </c>
      <c r="BR463" t="s">
        <v>96</v>
      </c>
      <c r="BS463" t="s">
        <v>27433</v>
      </c>
      <c r="BT463" t="str">
        <f>HYPERLINK("https%3A%2F%2Fwww.webofscience.com%2Fwos%2Fwoscc%2Ffull-record%2FWOS:000370220000013","View Full Record in Web of Science")</f>
        <v>View Full Record in Web of Science</v>
      </c>
    </row>
    <row r="464" spans="1:72" x14ac:dyDescent="0.15">
      <c r="A464" t="s">
        <v>98</v>
      </c>
      <c r="B464" t="s">
        <v>6671</v>
      </c>
      <c r="C464" t="s">
        <v>74</v>
      </c>
      <c r="D464" t="s">
        <v>74</v>
      </c>
      <c r="E464" t="s">
        <v>74</v>
      </c>
      <c r="F464" t="s">
        <v>6672</v>
      </c>
      <c r="G464" t="s">
        <v>74</v>
      </c>
      <c r="H464" t="s">
        <v>74</v>
      </c>
      <c r="I464" t="s">
        <v>6673</v>
      </c>
      <c r="J464" t="s">
        <v>2536</v>
      </c>
      <c r="K464" t="s">
        <v>74</v>
      </c>
      <c r="L464" t="s">
        <v>74</v>
      </c>
      <c r="M464" t="s">
        <v>74</v>
      </c>
      <c r="N464" t="s">
        <v>103</v>
      </c>
      <c r="O464" t="s">
        <v>74</v>
      </c>
      <c r="P464" t="s">
        <v>74</v>
      </c>
      <c r="Q464" t="s">
        <v>74</v>
      </c>
      <c r="R464" t="s">
        <v>74</v>
      </c>
      <c r="S464" t="s">
        <v>74</v>
      </c>
      <c r="T464" t="s">
        <v>6674</v>
      </c>
      <c r="U464" t="s">
        <v>6675</v>
      </c>
      <c r="V464" t="s">
        <v>6676</v>
      </c>
      <c r="W464" t="s">
        <v>6677</v>
      </c>
      <c r="X464" t="s">
        <v>2541</v>
      </c>
      <c r="Y464" t="s">
        <v>2542</v>
      </c>
      <c r="Z464" t="s">
        <v>2543</v>
      </c>
      <c r="AA464" t="s">
        <v>74</v>
      </c>
      <c r="AB464" t="s">
        <v>74</v>
      </c>
      <c r="AC464" t="s">
        <v>74</v>
      </c>
      <c r="AD464" t="s">
        <v>74</v>
      </c>
      <c r="AE464" t="s">
        <v>74</v>
      </c>
      <c r="AF464" t="s">
        <v>74</v>
      </c>
      <c r="AG464">
        <v>61</v>
      </c>
      <c r="AH464">
        <v>43</v>
      </c>
      <c r="AI464">
        <v>44</v>
      </c>
      <c r="AJ464">
        <v>1</v>
      </c>
      <c r="AK464">
        <v>13</v>
      </c>
      <c r="AL464" t="s">
        <v>74</v>
      </c>
      <c r="AM464" t="s">
        <v>74</v>
      </c>
      <c r="AN464" t="s">
        <v>74</v>
      </c>
      <c r="AO464" t="s">
        <v>2544</v>
      </c>
      <c r="AP464" t="s">
        <v>2545</v>
      </c>
      <c r="AQ464" t="s">
        <v>74</v>
      </c>
      <c r="AR464" t="s">
        <v>74</v>
      </c>
      <c r="AS464" t="s">
        <v>74</v>
      </c>
      <c r="AT464" t="s">
        <v>531</v>
      </c>
      <c r="AU464">
        <v>2018</v>
      </c>
      <c r="AV464">
        <v>92</v>
      </c>
      <c r="AW464">
        <v>18</v>
      </c>
      <c r="AX464" t="s">
        <v>74</v>
      </c>
      <c r="AY464" t="s">
        <v>74</v>
      </c>
      <c r="AZ464" t="s">
        <v>74</v>
      </c>
      <c r="BA464" t="s">
        <v>74</v>
      </c>
      <c r="BB464" t="s">
        <v>74</v>
      </c>
      <c r="BC464" t="s">
        <v>74</v>
      </c>
      <c r="BD464" t="s">
        <v>6678</v>
      </c>
      <c r="BE464" t="s">
        <v>6679</v>
      </c>
      <c r="BF464" t="str">
        <f>HYPERLINK("http://dx.doi.org/10.1128/JVI.01102-18","http://dx.doi.org/10.1128/JVI.01102-18")</f>
        <v>http://dx.doi.org/10.1128/JVI.01102-18</v>
      </c>
      <c r="BG464" t="s">
        <v>74</v>
      </c>
      <c r="BH464" t="s">
        <v>74</v>
      </c>
      <c r="BI464" t="s">
        <v>74</v>
      </c>
      <c r="BJ464" t="s">
        <v>932</v>
      </c>
      <c r="BK464" t="s">
        <v>117</v>
      </c>
      <c r="BL464" t="s">
        <v>932</v>
      </c>
      <c r="BM464" t="s">
        <v>74</v>
      </c>
      <c r="BN464">
        <v>29976662</v>
      </c>
      <c r="BO464" t="s">
        <v>74</v>
      </c>
      <c r="BP464" t="s">
        <v>74</v>
      </c>
      <c r="BQ464" t="s">
        <v>74</v>
      </c>
      <c r="BR464" t="s">
        <v>96</v>
      </c>
      <c r="BS464" t="s">
        <v>6680</v>
      </c>
      <c r="BT464" t="str">
        <f>HYPERLINK("https%3A%2F%2Fwww.webofscience.com%2Fwos%2Fwoscc%2Ffull-record%2FWOS:000443019800038","View Full Record in Web of Science")</f>
        <v>View Full Record in Web of Science</v>
      </c>
    </row>
    <row r="465" spans="1:72" x14ac:dyDescent="0.15">
      <c r="A465" t="s">
        <v>98</v>
      </c>
      <c r="B465" t="s">
        <v>7343</v>
      </c>
      <c r="C465" t="s">
        <v>74</v>
      </c>
      <c r="D465" t="s">
        <v>74</v>
      </c>
      <c r="E465" t="s">
        <v>74</v>
      </c>
      <c r="F465" t="s">
        <v>7344</v>
      </c>
      <c r="G465" t="s">
        <v>74</v>
      </c>
      <c r="H465" t="s">
        <v>74</v>
      </c>
      <c r="I465" t="s">
        <v>7345</v>
      </c>
      <c r="J465" t="s">
        <v>2520</v>
      </c>
      <c r="K465" t="s">
        <v>74</v>
      </c>
      <c r="L465" t="s">
        <v>74</v>
      </c>
      <c r="M465" t="s">
        <v>74</v>
      </c>
      <c r="N465" t="s">
        <v>103</v>
      </c>
      <c r="O465" t="s">
        <v>74</v>
      </c>
      <c r="P465" t="s">
        <v>74</v>
      </c>
      <c r="Q465" t="s">
        <v>74</v>
      </c>
      <c r="R465" t="s">
        <v>74</v>
      </c>
      <c r="S465" t="s">
        <v>74</v>
      </c>
      <c r="T465" t="s">
        <v>7346</v>
      </c>
      <c r="U465" t="s">
        <v>7347</v>
      </c>
      <c r="V465" t="s">
        <v>7348</v>
      </c>
      <c r="W465" t="s">
        <v>7349</v>
      </c>
      <c r="X465" t="s">
        <v>7350</v>
      </c>
      <c r="Y465" t="s">
        <v>7351</v>
      </c>
      <c r="Z465" t="s">
        <v>5394</v>
      </c>
      <c r="AA465" t="s">
        <v>7352</v>
      </c>
      <c r="AB465" t="s">
        <v>7353</v>
      </c>
      <c r="AC465" t="s">
        <v>74</v>
      </c>
      <c r="AD465" t="s">
        <v>74</v>
      </c>
      <c r="AE465" t="s">
        <v>74</v>
      </c>
      <c r="AF465" t="s">
        <v>74</v>
      </c>
      <c r="AG465">
        <v>62</v>
      </c>
      <c r="AH465">
        <v>43</v>
      </c>
      <c r="AI465">
        <v>43</v>
      </c>
      <c r="AJ465">
        <v>1</v>
      </c>
      <c r="AK465">
        <v>18</v>
      </c>
      <c r="AL465" t="s">
        <v>74</v>
      </c>
      <c r="AM465" t="s">
        <v>74</v>
      </c>
      <c r="AN465" t="s">
        <v>74</v>
      </c>
      <c r="AO465" t="s">
        <v>2529</v>
      </c>
      <c r="AP465" t="s">
        <v>74</v>
      </c>
      <c r="AQ465" t="s">
        <v>74</v>
      </c>
      <c r="AR465" t="s">
        <v>74</v>
      </c>
      <c r="AS465" t="s">
        <v>74</v>
      </c>
      <c r="AT465" t="s">
        <v>7354</v>
      </c>
      <c r="AU465">
        <v>2017</v>
      </c>
      <c r="AV465">
        <v>8</v>
      </c>
      <c r="AW465" t="s">
        <v>74</v>
      </c>
      <c r="AX465" t="s">
        <v>74</v>
      </c>
      <c r="AY465" t="s">
        <v>74</v>
      </c>
      <c r="AZ465" t="s">
        <v>74</v>
      </c>
      <c r="BA465" t="s">
        <v>74</v>
      </c>
      <c r="BB465" t="s">
        <v>74</v>
      </c>
      <c r="BC465" t="s">
        <v>74</v>
      </c>
      <c r="BD465">
        <v>1040</v>
      </c>
      <c r="BE465" t="s">
        <v>7355</v>
      </c>
      <c r="BF465" t="str">
        <f>HYPERLINK("http://dx.doi.org/10.3389/fmicb.2017.01040","http://dx.doi.org/10.3389/fmicb.2017.01040")</f>
        <v>http://dx.doi.org/10.3389/fmicb.2017.01040</v>
      </c>
      <c r="BG465" t="s">
        <v>74</v>
      </c>
      <c r="BH465" t="s">
        <v>74</v>
      </c>
      <c r="BI465" t="s">
        <v>74</v>
      </c>
      <c r="BJ465" t="s">
        <v>898</v>
      </c>
      <c r="BK465" t="s">
        <v>117</v>
      </c>
      <c r="BL465" t="s">
        <v>898</v>
      </c>
      <c r="BM465" t="s">
        <v>74</v>
      </c>
      <c r="BN465">
        <v>28659878</v>
      </c>
      <c r="BO465" t="s">
        <v>74</v>
      </c>
      <c r="BP465" t="s">
        <v>74</v>
      </c>
      <c r="BQ465" t="s">
        <v>74</v>
      </c>
      <c r="BR465" t="s">
        <v>96</v>
      </c>
      <c r="BS465" t="s">
        <v>7356</v>
      </c>
      <c r="BT465" t="str">
        <f>HYPERLINK("https%3A%2F%2Fwww.webofscience.com%2Fwos%2Fwoscc%2Ffull-record%2FWOS:000403138900001","View Full Record in Web of Science")</f>
        <v>View Full Record in Web of Science</v>
      </c>
    </row>
    <row r="466" spans="1:72" x14ac:dyDescent="0.15">
      <c r="A466" t="s">
        <v>98</v>
      </c>
      <c r="B466" t="s">
        <v>8851</v>
      </c>
      <c r="C466" t="s">
        <v>74</v>
      </c>
      <c r="D466" t="s">
        <v>74</v>
      </c>
      <c r="E466" t="s">
        <v>74</v>
      </c>
      <c r="F466" t="s">
        <v>8852</v>
      </c>
      <c r="G466" t="s">
        <v>74</v>
      </c>
      <c r="H466" t="s">
        <v>74</v>
      </c>
      <c r="I466" t="s">
        <v>8853</v>
      </c>
      <c r="J466" t="s">
        <v>8854</v>
      </c>
      <c r="K466" t="s">
        <v>74</v>
      </c>
      <c r="L466" t="s">
        <v>74</v>
      </c>
      <c r="M466" t="s">
        <v>74</v>
      </c>
      <c r="N466" t="s">
        <v>103</v>
      </c>
      <c r="O466" t="s">
        <v>74</v>
      </c>
      <c r="P466" t="s">
        <v>74</v>
      </c>
      <c r="Q466" t="s">
        <v>74</v>
      </c>
      <c r="R466" t="s">
        <v>74</v>
      </c>
      <c r="S466" t="s">
        <v>74</v>
      </c>
      <c r="T466" t="s">
        <v>74</v>
      </c>
      <c r="U466" t="s">
        <v>8855</v>
      </c>
      <c r="V466" t="s">
        <v>8856</v>
      </c>
      <c r="W466" t="s">
        <v>8857</v>
      </c>
      <c r="X466" t="s">
        <v>8858</v>
      </c>
      <c r="Y466" t="s">
        <v>8859</v>
      </c>
      <c r="Z466" t="s">
        <v>185</v>
      </c>
      <c r="AA466" t="s">
        <v>8860</v>
      </c>
      <c r="AB466" t="s">
        <v>8861</v>
      </c>
      <c r="AC466" t="s">
        <v>74</v>
      </c>
      <c r="AD466" t="s">
        <v>74</v>
      </c>
      <c r="AE466" t="s">
        <v>74</v>
      </c>
      <c r="AF466" t="s">
        <v>74</v>
      </c>
      <c r="AG466">
        <v>50</v>
      </c>
      <c r="AH466">
        <v>43</v>
      </c>
      <c r="AI466">
        <v>43</v>
      </c>
      <c r="AJ466">
        <v>4</v>
      </c>
      <c r="AK466">
        <v>38</v>
      </c>
      <c r="AL466" t="s">
        <v>74</v>
      </c>
      <c r="AM466" t="s">
        <v>74</v>
      </c>
      <c r="AN466" t="s">
        <v>74</v>
      </c>
      <c r="AO466" t="s">
        <v>8862</v>
      </c>
      <c r="AP466" t="s">
        <v>8863</v>
      </c>
      <c r="AQ466" t="s">
        <v>74</v>
      </c>
      <c r="AR466" t="s">
        <v>74</v>
      </c>
      <c r="AS466" t="s">
        <v>74</v>
      </c>
      <c r="AT466" t="s">
        <v>4288</v>
      </c>
      <c r="AU466">
        <v>2020</v>
      </c>
      <c r="AV466">
        <v>28</v>
      </c>
      <c r="AW466">
        <v>3</v>
      </c>
      <c r="AX466" t="s">
        <v>74</v>
      </c>
      <c r="AY466" t="s">
        <v>74</v>
      </c>
      <c r="AZ466" t="s">
        <v>74</v>
      </c>
      <c r="BA466" t="s">
        <v>74</v>
      </c>
      <c r="BB466">
        <v>975</v>
      </c>
      <c r="BC466">
        <v>985</v>
      </c>
      <c r="BD466" t="s">
        <v>74</v>
      </c>
      <c r="BE466" t="s">
        <v>8864</v>
      </c>
      <c r="BF466" t="str">
        <f>HYPERLINK("http://dx.doi.org/10.1016/j.ymthe.2019.12.007","http://dx.doi.org/10.1016/j.ymthe.2019.12.007")</f>
        <v>http://dx.doi.org/10.1016/j.ymthe.2019.12.007</v>
      </c>
      <c r="BG466" t="s">
        <v>74</v>
      </c>
      <c r="BH466" t="s">
        <v>74</v>
      </c>
      <c r="BI466" t="s">
        <v>74</v>
      </c>
      <c r="BJ466" t="s">
        <v>2875</v>
      </c>
      <c r="BK466" t="s">
        <v>117</v>
      </c>
      <c r="BL466" t="s">
        <v>2876</v>
      </c>
      <c r="BM466" t="s">
        <v>74</v>
      </c>
      <c r="BN466">
        <v>31911034</v>
      </c>
      <c r="BO466" t="s">
        <v>74</v>
      </c>
      <c r="BP466" t="s">
        <v>74</v>
      </c>
      <c r="BQ466" t="s">
        <v>74</v>
      </c>
      <c r="BR466" t="s">
        <v>96</v>
      </c>
      <c r="BS466" t="s">
        <v>8865</v>
      </c>
      <c r="BT466" t="str">
        <f>HYPERLINK("https%3A%2F%2Fwww.webofscience.com%2Fwos%2Fwoscc%2Ffull-record%2FWOS:000518887200025","View Full Record in Web of Science")</f>
        <v>View Full Record in Web of Science</v>
      </c>
    </row>
    <row r="467" spans="1:72" x14ac:dyDescent="0.15">
      <c r="A467" t="s">
        <v>98</v>
      </c>
      <c r="B467" t="s">
        <v>25703</v>
      </c>
      <c r="C467" t="s">
        <v>74</v>
      </c>
      <c r="D467" t="s">
        <v>74</v>
      </c>
      <c r="E467" t="s">
        <v>74</v>
      </c>
      <c r="F467" t="s">
        <v>25704</v>
      </c>
      <c r="G467" t="s">
        <v>74</v>
      </c>
      <c r="H467" t="s">
        <v>74</v>
      </c>
      <c r="I467" t="s">
        <v>25705</v>
      </c>
      <c r="J467" t="s">
        <v>1073</v>
      </c>
      <c r="K467" t="s">
        <v>74</v>
      </c>
      <c r="L467" t="s">
        <v>74</v>
      </c>
      <c r="M467" t="s">
        <v>74</v>
      </c>
      <c r="N467" t="s">
        <v>103</v>
      </c>
      <c r="O467" t="s">
        <v>74</v>
      </c>
      <c r="P467" t="s">
        <v>74</v>
      </c>
      <c r="Q467" t="s">
        <v>74</v>
      </c>
      <c r="R467" t="s">
        <v>74</v>
      </c>
      <c r="S467" t="s">
        <v>74</v>
      </c>
      <c r="T467" t="s">
        <v>74</v>
      </c>
      <c r="U467" t="s">
        <v>25706</v>
      </c>
      <c r="V467" t="s">
        <v>25707</v>
      </c>
      <c r="W467" t="s">
        <v>25708</v>
      </c>
      <c r="X467" t="s">
        <v>25709</v>
      </c>
      <c r="Y467" t="s">
        <v>25710</v>
      </c>
      <c r="Z467" t="s">
        <v>25711</v>
      </c>
      <c r="AA467" t="s">
        <v>25712</v>
      </c>
      <c r="AB467" t="s">
        <v>25713</v>
      </c>
      <c r="AC467" t="s">
        <v>74</v>
      </c>
      <c r="AD467" t="s">
        <v>74</v>
      </c>
      <c r="AE467" t="s">
        <v>74</v>
      </c>
      <c r="AF467" t="s">
        <v>74</v>
      </c>
      <c r="AG467">
        <v>53</v>
      </c>
      <c r="AH467">
        <v>43</v>
      </c>
      <c r="AI467">
        <v>47</v>
      </c>
      <c r="AJ467">
        <v>0</v>
      </c>
      <c r="AK467">
        <v>16</v>
      </c>
      <c r="AL467" t="s">
        <v>74</v>
      </c>
      <c r="AM467" t="s">
        <v>74</v>
      </c>
      <c r="AN467" t="s">
        <v>74</v>
      </c>
      <c r="AO467" t="s">
        <v>1082</v>
      </c>
      <c r="AP467" t="s">
        <v>74</v>
      </c>
      <c r="AQ467" t="s">
        <v>74</v>
      </c>
      <c r="AR467" t="s">
        <v>74</v>
      </c>
      <c r="AS467" t="s">
        <v>74</v>
      </c>
      <c r="AT467" t="s">
        <v>8149</v>
      </c>
      <c r="AU467">
        <v>2014</v>
      </c>
      <c r="AV467">
        <v>9</v>
      </c>
      <c r="AW467">
        <v>4</v>
      </c>
      <c r="AX467" t="s">
        <v>74</v>
      </c>
      <c r="AY467" t="s">
        <v>74</v>
      </c>
      <c r="AZ467" t="s">
        <v>74</v>
      </c>
      <c r="BA467" t="s">
        <v>74</v>
      </c>
      <c r="BB467" t="s">
        <v>74</v>
      </c>
      <c r="BC467" t="s">
        <v>74</v>
      </c>
      <c r="BD467" t="s">
        <v>25714</v>
      </c>
      <c r="BE467" t="s">
        <v>25715</v>
      </c>
      <c r="BF467" t="str">
        <f>HYPERLINK("http://dx.doi.org/10.1371/journal.pone.0094374","http://dx.doi.org/10.1371/journal.pone.0094374")</f>
        <v>http://dx.doi.org/10.1371/journal.pone.0094374</v>
      </c>
      <c r="BG467" t="s">
        <v>74</v>
      </c>
      <c r="BH467" t="s">
        <v>74</v>
      </c>
      <c r="BI467" t="s">
        <v>74</v>
      </c>
      <c r="BJ467" t="s">
        <v>152</v>
      </c>
      <c r="BK467" t="s">
        <v>117</v>
      </c>
      <c r="BL467" t="s">
        <v>153</v>
      </c>
      <c r="BM467" t="s">
        <v>74</v>
      </c>
      <c r="BN467">
        <v>24714637</v>
      </c>
      <c r="BO467" t="s">
        <v>74</v>
      </c>
      <c r="BP467" t="s">
        <v>74</v>
      </c>
      <c r="BQ467" t="s">
        <v>74</v>
      </c>
      <c r="BR467" t="s">
        <v>96</v>
      </c>
      <c r="BS467" t="s">
        <v>25716</v>
      </c>
      <c r="BT467" t="str">
        <f>HYPERLINK("https%3A%2F%2Fwww.webofscience.com%2Fwos%2Fwoscc%2Ffull-record%2FWOS:000334160900123","View Full Record in Web of Science")</f>
        <v>View Full Record in Web of Science</v>
      </c>
    </row>
    <row r="468" spans="1:72" x14ac:dyDescent="0.15">
      <c r="A468" t="s">
        <v>98</v>
      </c>
      <c r="B468" t="s">
        <v>26575</v>
      </c>
      <c r="C468" t="s">
        <v>74</v>
      </c>
      <c r="D468" t="s">
        <v>74</v>
      </c>
      <c r="E468" t="s">
        <v>74</v>
      </c>
      <c r="F468" t="s">
        <v>26576</v>
      </c>
      <c r="G468" t="s">
        <v>74</v>
      </c>
      <c r="H468" t="s">
        <v>74</v>
      </c>
      <c r="I468" t="s">
        <v>26577</v>
      </c>
      <c r="J468" t="s">
        <v>26578</v>
      </c>
      <c r="K468" t="s">
        <v>74</v>
      </c>
      <c r="L468" t="s">
        <v>74</v>
      </c>
      <c r="M468" t="s">
        <v>74</v>
      </c>
      <c r="N468" t="s">
        <v>103</v>
      </c>
      <c r="O468" t="s">
        <v>74</v>
      </c>
      <c r="P468" t="s">
        <v>74</v>
      </c>
      <c r="Q468" t="s">
        <v>74</v>
      </c>
      <c r="R468" t="s">
        <v>74</v>
      </c>
      <c r="S468" t="s">
        <v>74</v>
      </c>
      <c r="T468" t="s">
        <v>74</v>
      </c>
      <c r="U468" t="s">
        <v>26579</v>
      </c>
      <c r="V468" t="s">
        <v>26580</v>
      </c>
      <c r="W468" t="s">
        <v>26581</v>
      </c>
      <c r="X468" t="s">
        <v>26582</v>
      </c>
      <c r="Y468" t="s">
        <v>26583</v>
      </c>
      <c r="Z468" t="s">
        <v>26584</v>
      </c>
      <c r="AA468" t="s">
        <v>26585</v>
      </c>
      <c r="AB468" t="s">
        <v>26586</v>
      </c>
      <c r="AC468" t="s">
        <v>74</v>
      </c>
      <c r="AD468" t="s">
        <v>74</v>
      </c>
      <c r="AE468" t="s">
        <v>74</v>
      </c>
      <c r="AF468" t="s">
        <v>74</v>
      </c>
      <c r="AG468">
        <v>63</v>
      </c>
      <c r="AH468">
        <v>43</v>
      </c>
      <c r="AI468">
        <v>46</v>
      </c>
      <c r="AJ468">
        <v>0</v>
      </c>
      <c r="AK468">
        <v>32</v>
      </c>
      <c r="AL468" t="s">
        <v>74</v>
      </c>
      <c r="AM468" t="s">
        <v>74</v>
      </c>
      <c r="AN468" t="s">
        <v>74</v>
      </c>
      <c r="AO468" t="s">
        <v>26587</v>
      </c>
      <c r="AP468" t="s">
        <v>26588</v>
      </c>
      <c r="AQ468" t="s">
        <v>74</v>
      </c>
      <c r="AR468" t="s">
        <v>74</v>
      </c>
      <c r="AS468" t="s">
        <v>74</v>
      </c>
      <c r="AT468" t="s">
        <v>283</v>
      </c>
      <c r="AU468">
        <v>2014</v>
      </c>
      <c r="AV468">
        <v>26</v>
      </c>
      <c r="AW468">
        <v>2</v>
      </c>
      <c r="AX468" t="s">
        <v>74</v>
      </c>
      <c r="AY468" t="s">
        <v>74</v>
      </c>
      <c r="AZ468" t="s">
        <v>74</v>
      </c>
      <c r="BA468" t="s">
        <v>74</v>
      </c>
      <c r="BB468">
        <v>636</v>
      </c>
      <c r="BC468">
        <v>649</v>
      </c>
      <c r="BD468" t="s">
        <v>74</v>
      </c>
      <c r="BE468" t="s">
        <v>26589</v>
      </c>
      <c r="BF468" t="str">
        <f>HYPERLINK("http://dx.doi.org/10.1105/tpc.113.121350","http://dx.doi.org/10.1105/tpc.113.121350")</f>
        <v>http://dx.doi.org/10.1105/tpc.113.121350</v>
      </c>
      <c r="BG468" t="s">
        <v>74</v>
      </c>
      <c r="BH468" t="s">
        <v>74</v>
      </c>
      <c r="BI468" t="s">
        <v>74</v>
      </c>
      <c r="BJ468" t="s">
        <v>26590</v>
      </c>
      <c r="BK468" t="s">
        <v>117</v>
      </c>
      <c r="BL468" t="s">
        <v>26590</v>
      </c>
      <c r="BM468" t="s">
        <v>74</v>
      </c>
      <c r="BN468">
        <v>24569769</v>
      </c>
      <c r="BO468" t="s">
        <v>74</v>
      </c>
      <c r="BP468" t="s">
        <v>74</v>
      </c>
      <c r="BQ468" t="s">
        <v>74</v>
      </c>
      <c r="BR468" t="s">
        <v>96</v>
      </c>
      <c r="BS468" t="s">
        <v>26591</v>
      </c>
      <c r="BT468" t="str">
        <f>HYPERLINK("https%3A%2F%2Fwww.webofscience.com%2Fwos%2Fwoscc%2Ffull-record%2FWOS:000333688300011","View Full Record in Web of Science")</f>
        <v>View Full Record in Web of Science</v>
      </c>
    </row>
    <row r="469" spans="1:72" x14ac:dyDescent="0.15">
      <c r="A469" t="s">
        <v>98</v>
      </c>
      <c r="B469" t="s">
        <v>30460</v>
      </c>
      <c r="C469" t="s">
        <v>74</v>
      </c>
      <c r="D469" t="s">
        <v>74</v>
      </c>
      <c r="E469" t="s">
        <v>74</v>
      </c>
      <c r="F469" t="s">
        <v>30461</v>
      </c>
      <c r="G469" t="s">
        <v>74</v>
      </c>
      <c r="H469" t="s">
        <v>74</v>
      </c>
      <c r="I469" t="s">
        <v>30462</v>
      </c>
      <c r="J469" t="s">
        <v>2536</v>
      </c>
      <c r="K469" t="s">
        <v>74</v>
      </c>
      <c r="L469" t="s">
        <v>74</v>
      </c>
      <c r="M469" t="s">
        <v>74</v>
      </c>
      <c r="N469" t="s">
        <v>103</v>
      </c>
      <c r="O469" t="s">
        <v>74</v>
      </c>
      <c r="P469" t="s">
        <v>74</v>
      </c>
      <c r="Q469" t="s">
        <v>74</v>
      </c>
      <c r="R469" t="s">
        <v>74</v>
      </c>
      <c r="S469" t="s">
        <v>74</v>
      </c>
      <c r="T469" t="s">
        <v>74</v>
      </c>
      <c r="U469" t="s">
        <v>30463</v>
      </c>
      <c r="V469" t="s">
        <v>30464</v>
      </c>
      <c r="W469" t="s">
        <v>30465</v>
      </c>
      <c r="X469" t="s">
        <v>30466</v>
      </c>
      <c r="Y469" t="s">
        <v>30467</v>
      </c>
      <c r="Z469" t="s">
        <v>30468</v>
      </c>
      <c r="AA469" t="s">
        <v>30469</v>
      </c>
      <c r="AB469" t="s">
        <v>30470</v>
      </c>
      <c r="AC469" t="s">
        <v>74</v>
      </c>
      <c r="AD469" t="s">
        <v>74</v>
      </c>
      <c r="AE469" t="s">
        <v>74</v>
      </c>
      <c r="AF469" t="s">
        <v>74</v>
      </c>
      <c r="AG469">
        <v>60</v>
      </c>
      <c r="AH469">
        <v>43</v>
      </c>
      <c r="AI469">
        <v>43</v>
      </c>
      <c r="AJ469">
        <v>0</v>
      </c>
      <c r="AK469">
        <v>1</v>
      </c>
      <c r="AL469" t="s">
        <v>74</v>
      </c>
      <c r="AM469" t="s">
        <v>74</v>
      </c>
      <c r="AN469" t="s">
        <v>74</v>
      </c>
      <c r="AO469" t="s">
        <v>2544</v>
      </c>
      <c r="AP469" t="s">
        <v>2545</v>
      </c>
      <c r="AQ469" t="s">
        <v>74</v>
      </c>
      <c r="AR469" t="s">
        <v>74</v>
      </c>
      <c r="AS469" t="s">
        <v>74</v>
      </c>
      <c r="AT469" t="s">
        <v>211</v>
      </c>
      <c r="AU469">
        <v>2009</v>
      </c>
      <c r="AV469">
        <v>83</v>
      </c>
      <c r="AW469">
        <v>21</v>
      </c>
      <c r="AX469" t="s">
        <v>74</v>
      </c>
      <c r="AY469" t="s">
        <v>74</v>
      </c>
      <c r="AZ469" t="s">
        <v>74</v>
      </c>
      <c r="BA469" t="s">
        <v>74</v>
      </c>
      <c r="BB469">
        <v>10963</v>
      </c>
      <c r="BC469">
        <v>10974</v>
      </c>
      <c r="BD469" t="s">
        <v>74</v>
      </c>
      <c r="BE469" t="s">
        <v>30471</v>
      </c>
      <c r="BF469" t="str">
        <f>HYPERLINK("http://dx.doi.org/10.1128/JVI.01284-09","http://dx.doi.org/10.1128/JVI.01284-09")</f>
        <v>http://dx.doi.org/10.1128/JVI.01284-09</v>
      </c>
      <c r="BG469" t="s">
        <v>74</v>
      </c>
      <c r="BH469" t="s">
        <v>74</v>
      </c>
      <c r="BI469" t="s">
        <v>74</v>
      </c>
      <c r="BJ469" t="s">
        <v>932</v>
      </c>
      <c r="BK469" t="s">
        <v>117</v>
      </c>
      <c r="BL469" t="s">
        <v>932</v>
      </c>
      <c r="BM469" t="s">
        <v>74</v>
      </c>
      <c r="BN469">
        <v>19706700</v>
      </c>
      <c r="BO469" t="s">
        <v>74</v>
      </c>
      <c r="BP469" t="s">
        <v>74</v>
      </c>
      <c r="BQ469" t="s">
        <v>74</v>
      </c>
      <c r="BR469" t="s">
        <v>96</v>
      </c>
      <c r="BS469" t="s">
        <v>30472</v>
      </c>
      <c r="BT469" t="str">
        <f>HYPERLINK("https%3A%2F%2Fwww.webofscience.com%2Fwos%2Fwoscc%2Ffull-record%2FWOS:000270602300011","View Full Record in Web of Science")</f>
        <v>View Full Record in Web of Science</v>
      </c>
    </row>
    <row r="470" spans="1:72" x14ac:dyDescent="0.15">
      <c r="A470" t="s">
        <v>98</v>
      </c>
      <c r="B470" t="s">
        <v>5454</v>
      </c>
      <c r="C470" t="s">
        <v>74</v>
      </c>
      <c r="D470" t="s">
        <v>74</v>
      </c>
      <c r="E470" t="s">
        <v>74</v>
      </c>
      <c r="F470" t="s">
        <v>5455</v>
      </c>
      <c r="G470" t="s">
        <v>74</v>
      </c>
      <c r="H470" t="s">
        <v>74</v>
      </c>
      <c r="I470" t="s">
        <v>5456</v>
      </c>
      <c r="J470" t="s">
        <v>3367</v>
      </c>
      <c r="K470" t="s">
        <v>74</v>
      </c>
      <c r="L470" t="s">
        <v>74</v>
      </c>
      <c r="M470" t="s">
        <v>74</v>
      </c>
      <c r="N470" t="s">
        <v>103</v>
      </c>
      <c r="O470" t="s">
        <v>74</v>
      </c>
      <c r="P470" t="s">
        <v>74</v>
      </c>
      <c r="Q470" t="s">
        <v>74</v>
      </c>
      <c r="R470" t="s">
        <v>74</v>
      </c>
      <c r="S470" t="s">
        <v>74</v>
      </c>
      <c r="T470" t="s">
        <v>5457</v>
      </c>
      <c r="U470" t="s">
        <v>5458</v>
      </c>
      <c r="V470" t="s">
        <v>5459</v>
      </c>
      <c r="W470" t="s">
        <v>5460</v>
      </c>
      <c r="X470" t="s">
        <v>4156</v>
      </c>
      <c r="Y470" t="s">
        <v>5461</v>
      </c>
      <c r="Z470" t="s">
        <v>5462</v>
      </c>
      <c r="AA470" t="s">
        <v>74</v>
      </c>
      <c r="AB470" t="s">
        <v>74</v>
      </c>
      <c r="AC470" t="s">
        <v>74</v>
      </c>
      <c r="AD470" t="s">
        <v>74</v>
      </c>
      <c r="AE470" t="s">
        <v>74</v>
      </c>
      <c r="AF470" t="s">
        <v>74</v>
      </c>
      <c r="AG470">
        <v>105</v>
      </c>
      <c r="AH470">
        <v>42</v>
      </c>
      <c r="AI470">
        <v>43</v>
      </c>
      <c r="AJ470">
        <v>2</v>
      </c>
      <c r="AK470">
        <v>5</v>
      </c>
      <c r="AL470" t="s">
        <v>74</v>
      </c>
      <c r="AM470" t="s">
        <v>74</v>
      </c>
      <c r="AN470" t="s">
        <v>74</v>
      </c>
      <c r="AO470" t="s">
        <v>74</v>
      </c>
      <c r="AP470" t="s">
        <v>3374</v>
      </c>
      <c r="AQ470" t="s">
        <v>74</v>
      </c>
      <c r="AR470" t="s">
        <v>74</v>
      </c>
      <c r="AS470" t="s">
        <v>74</v>
      </c>
      <c r="AT470" t="s">
        <v>967</v>
      </c>
      <c r="AU470">
        <v>2018</v>
      </c>
      <c r="AV470">
        <v>6</v>
      </c>
      <c r="AW470">
        <v>4</v>
      </c>
      <c r="AX470" t="s">
        <v>74</v>
      </c>
      <c r="AY470" t="s">
        <v>74</v>
      </c>
      <c r="AZ470" t="s">
        <v>74</v>
      </c>
      <c r="BA470" t="s">
        <v>74</v>
      </c>
      <c r="BB470">
        <v>275</v>
      </c>
      <c r="BC470">
        <v>286</v>
      </c>
      <c r="BD470" t="s">
        <v>74</v>
      </c>
      <c r="BE470" t="s">
        <v>5463</v>
      </c>
      <c r="BF470" t="str">
        <f>HYPERLINK("http://dx.doi.org/10.1007/s40139-018-0180-z","http://dx.doi.org/10.1007/s40139-018-0180-z")</f>
        <v>http://dx.doi.org/10.1007/s40139-018-0180-z</v>
      </c>
      <c r="BG470" t="s">
        <v>74</v>
      </c>
      <c r="BH470" t="s">
        <v>74</v>
      </c>
      <c r="BI470" t="s">
        <v>74</v>
      </c>
      <c r="BJ470" t="s">
        <v>3376</v>
      </c>
      <c r="BK470" t="s">
        <v>467</v>
      </c>
      <c r="BL470" t="s">
        <v>3376</v>
      </c>
      <c r="BM470" t="s">
        <v>74</v>
      </c>
      <c r="BN470">
        <v>30595972</v>
      </c>
      <c r="BO470" t="s">
        <v>74</v>
      </c>
      <c r="BP470" t="s">
        <v>74</v>
      </c>
      <c r="BQ470" t="s">
        <v>74</v>
      </c>
      <c r="BR470" t="s">
        <v>96</v>
      </c>
      <c r="BS470" t="s">
        <v>5464</v>
      </c>
      <c r="BT470" t="str">
        <f>HYPERLINK("https%3A%2F%2Fwww.webofscience.com%2Fwos%2Fwoscc%2Ffull-record%2FWOS:000518472300009","View Full Record in Web of Science")</f>
        <v>View Full Record in Web of Science</v>
      </c>
    </row>
    <row r="471" spans="1:72" x14ac:dyDescent="0.15">
      <c r="A471" t="s">
        <v>98</v>
      </c>
      <c r="B471" t="s">
        <v>8340</v>
      </c>
      <c r="C471" t="s">
        <v>74</v>
      </c>
      <c r="D471" t="s">
        <v>74</v>
      </c>
      <c r="E471" t="s">
        <v>74</v>
      </c>
      <c r="F471" t="s">
        <v>8341</v>
      </c>
      <c r="G471" t="s">
        <v>74</v>
      </c>
      <c r="H471" t="s">
        <v>74</v>
      </c>
      <c r="I471" t="s">
        <v>8342</v>
      </c>
      <c r="J471" t="s">
        <v>8343</v>
      </c>
      <c r="K471" t="s">
        <v>74</v>
      </c>
      <c r="L471" t="s">
        <v>74</v>
      </c>
      <c r="M471" t="s">
        <v>74</v>
      </c>
      <c r="N471" t="s">
        <v>103</v>
      </c>
      <c r="O471" t="s">
        <v>74</v>
      </c>
      <c r="P471" t="s">
        <v>74</v>
      </c>
      <c r="Q471" t="s">
        <v>74</v>
      </c>
      <c r="R471" t="s">
        <v>74</v>
      </c>
      <c r="S471" t="s">
        <v>74</v>
      </c>
      <c r="T471" t="s">
        <v>8344</v>
      </c>
      <c r="U471" t="s">
        <v>8345</v>
      </c>
      <c r="V471" t="s">
        <v>8346</v>
      </c>
      <c r="W471" t="s">
        <v>8347</v>
      </c>
      <c r="X471" t="s">
        <v>8348</v>
      </c>
      <c r="Y471" t="s">
        <v>8349</v>
      </c>
      <c r="Z471" t="s">
        <v>8350</v>
      </c>
      <c r="AA471" t="s">
        <v>8351</v>
      </c>
      <c r="AB471" t="s">
        <v>8352</v>
      </c>
      <c r="AC471" t="s">
        <v>74</v>
      </c>
      <c r="AD471" t="s">
        <v>74</v>
      </c>
      <c r="AE471" t="s">
        <v>74</v>
      </c>
      <c r="AF471" t="s">
        <v>74</v>
      </c>
      <c r="AG471">
        <v>230</v>
      </c>
      <c r="AH471">
        <v>42</v>
      </c>
      <c r="AI471">
        <v>42</v>
      </c>
      <c r="AJ471">
        <v>4</v>
      </c>
      <c r="AK471">
        <v>19</v>
      </c>
      <c r="AL471" t="s">
        <v>74</v>
      </c>
      <c r="AM471" t="s">
        <v>74</v>
      </c>
      <c r="AN471" t="s">
        <v>74</v>
      </c>
      <c r="AO471" t="s">
        <v>8353</v>
      </c>
      <c r="AP471" t="s">
        <v>8354</v>
      </c>
      <c r="AQ471" t="s">
        <v>74</v>
      </c>
      <c r="AR471" t="s">
        <v>74</v>
      </c>
      <c r="AS471" t="s">
        <v>74</v>
      </c>
      <c r="AT471" t="s">
        <v>132</v>
      </c>
      <c r="AU471">
        <v>2020</v>
      </c>
      <c r="AV471">
        <v>21</v>
      </c>
      <c r="AW471">
        <v>4</v>
      </c>
      <c r="AX471" t="s">
        <v>74</v>
      </c>
      <c r="AY471" t="s">
        <v>74</v>
      </c>
      <c r="AZ471" t="s">
        <v>74</v>
      </c>
      <c r="BA471" t="s">
        <v>74</v>
      </c>
      <c r="BB471">
        <v>246</v>
      </c>
      <c r="BC471">
        <v>278</v>
      </c>
      <c r="BD471" t="s">
        <v>74</v>
      </c>
      <c r="BE471" t="s">
        <v>8355</v>
      </c>
      <c r="BF471" t="str">
        <f>HYPERLINK("http://dx.doi.org/10.1111/hiv.12822","http://dx.doi.org/10.1111/hiv.12822")</f>
        <v>http://dx.doi.org/10.1111/hiv.12822</v>
      </c>
      <c r="BG471" t="s">
        <v>74</v>
      </c>
      <c r="BH471" t="s">
        <v>74</v>
      </c>
      <c r="BI471" t="s">
        <v>74</v>
      </c>
      <c r="BJ471" t="s">
        <v>7660</v>
      </c>
      <c r="BK471" t="s">
        <v>117</v>
      </c>
      <c r="BL471" t="s">
        <v>7660</v>
      </c>
      <c r="BM471" t="s">
        <v>74</v>
      </c>
      <c r="BN471">
        <v>31756034</v>
      </c>
      <c r="BO471" t="s">
        <v>74</v>
      </c>
      <c r="BP471" t="s">
        <v>74</v>
      </c>
      <c r="BQ471" t="s">
        <v>74</v>
      </c>
      <c r="BR471" t="s">
        <v>96</v>
      </c>
      <c r="BS471" t="s">
        <v>8356</v>
      </c>
      <c r="BT471" t="str">
        <f>HYPERLINK("https%3A%2F%2Fwww.webofscience.com%2Fwos%2Fwoscc%2Ffull-record%2FWOS:000519011400005","View Full Record in Web of Science")</f>
        <v>View Full Record in Web of Science</v>
      </c>
    </row>
    <row r="472" spans="1:72" x14ac:dyDescent="0.15">
      <c r="A472" t="s">
        <v>98</v>
      </c>
      <c r="B472" t="s">
        <v>11310</v>
      </c>
      <c r="C472" t="s">
        <v>74</v>
      </c>
      <c r="D472" t="s">
        <v>74</v>
      </c>
      <c r="E472" t="s">
        <v>74</v>
      </c>
      <c r="F472" t="s">
        <v>11311</v>
      </c>
      <c r="G472" t="s">
        <v>74</v>
      </c>
      <c r="H472" t="s">
        <v>74</v>
      </c>
      <c r="I472" t="s">
        <v>11312</v>
      </c>
      <c r="J472" t="s">
        <v>2410</v>
      </c>
      <c r="K472" t="s">
        <v>74</v>
      </c>
      <c r="L472" t="s">
        <v>74</v>
      </c>
      <c r="M472" t="s">
        <v>74</v>
      </c>
      <c r="N472" t="s">
        <v>103</v>
      </c>
      <c r="O472" t="s">
        <v>74</v>
      </c>
      <c r="P472" t="s">
        <v>74</v>
      </c>
      <c r="Q472" t="s">
        <v>74</v>
      </c>
      <c r="R472" t="s">
        <v>74</v>
      </c>
      <c r="S472" t="s">
        <v>74</v>
      </c>
      <c r="T472" t="s">
        <v>11313</v>
      </c>
      <c r="U472" t="s">
        <v>11314</v>
      </c>
      <c r="V472" t="s">
        <v>11315</v>
      </c>
      <c r="W472" t="s">
        <v>11316</v>
      </c>
      <c r="X472" t="s">
        <v>11317</v>
      </c>
      <c r="Y472" t="s">
        <v>11318</v>
      </c>
      <c r="Z472" t="s">
        <v>11319</v>
      </c>
      <c r="AA472" t="s">
        <v>74</v>
      </c>
      <c r="AB472" t="s">
        <v>74</v>
      </c>
      <c r="AC472" t="s">
        <v>74</v>
      </c>
      <c r="AD472" t="s">
        <v>74</v>
      </c>
      <c r="AE472" t="s">
        <v>74</v>
      </c>
      <c r="AF472" t="s">
        <v>74</v>
      </c>
      <c r="AG472">
        <v>36</v>
      </c>
      <c r="AH472">
        <v>42</v>
      </c>
      <c r="AI472">
        <v>44</v>
      </c>
      <c r="AJ472">
        <v>2</v>
      </c>
      <c r="AK472">
        <v>26</v>
      </c>
      <c r="AL472" t="s">
        <v>74</v>
      </c>
      <c r="AM472" t="s">
        <v>74</v>
      </c>
      <c r="AN472" t="s">
        <v>74</v>
      </c>
      <c r="AO472" t="s">
        <v>2418</v>
      </c>
      <c r="AP472" t="s">
        <v>2419</v>
      </c>
      <c r="AQ472" t="s">
        <v>74</v>
      </c>
      <c r="AR472" t="s">
        <v>74</v>
      </c>
      <c r="AS472" t="s">
        <v>74</v>
      </c>
      <c r="AT472" t="s">
        <v>74</v>
      </c>
      <c r="AU472">
        <v>2018</v>
      </c>
      <c r="AV472">
        <v>433</v>
      </c>
      <c r="AW472" t="s">
        <v>74</v>
      </c>
      <c r="AX472" t="s">
        <v>74</v>
      </c>
      <c r="AY472" t="s">
        <v>74</v>
      </c>
      <c r="AZ472" t="s">
        <v>74</v>
      </c>
      <c r="BA472" t="s">
        <v>74</v>
      </c>
      <c r="BB472">
        <v>210</v>
      </c>
      <c r="BC472">
        <v>220</v>
      </c>
      <c r="BD472" t="s">
        <v>74</v>
      </c>
      <c r="BE472" t="s">
        <v>11320</v>
      </c>
      <c r="BF472" t="str">
        <f>HYPERLINK("http://dx.doi.org/10.1016/j.canlet.2018.06.041","http://dx.doi.org/10.1016/j.canlet.2018.06.041")</f>
        <v>http://dx.doi.org/10.1016/j.canlet.2018.06.041</v>
      </c>
      <c r="BG472" t="s">
        <v>74</v>
      </c>
      <c r="BH472" t="s">
        <v>74</v>
      </c>
      <c r="BI472" t="s">
        <v>74</v>
      </c>
      <c r="BJ472" t="s">
        <v>267</v>
      </c>
      <c r="BK472" t="s">
        <v>117</v>
      </c>
      <c r="BL472" t="s">
        <v>267</v>
      </c>
      <c r="BM472" t="s">
        <v>74</v>
      </c>
      <c r="BN472">
        <v>30008386</v>
      </c>
      <c r="BO472" t="s">
        <v>74</v>
      </c>
      <c r="BP472" t="s">
        <v>74</v>
      </c>
      <c r="BQ472" t="s">
        <v>74</v>
      </c>
      <c r="BR472" t="s">
        <v>96</v>
      </c>
      <c r="BS472" t="s">
        <v>11321</v>
      </c>
      <c r="BT472" t="str">
        <f>HYPERLINK("https%3A%2F%2Fwww.webofscience.com%2Fwos%2Fwoscc%2Ffull-record%2FWOS:000441489500021","View Full Record in Web of Science")</f>
        <v>View Full Record in Web of Science</v>
      </c>
    </row>
    <row r="473" spans="1:72" x14ac:dyDescent="0.15">
      <c r="A473" t="s">
        <v>98</v>
      </c>
      <c r="B473" t="s">
        <v>11472</v>
      </c>
      <c r="C473" t="s">
        <v>74</v>
      </c>
      <c r="D473" t="s">
        <v>74</v>
      </c>
      <c r="E473" t="s">
        <v>74</v>
      </c>
      <c r="F473" t="s">
        <v>11473</v>
      </c>
      <c r="G473" t="s">
        <v>74</v>
      </c>
      <c r="H473" t="s">
        <v>74</v>
      </c>
      <c r="I473" t="s">
        <v>11474</v>
      </c>
      <c r="J473" t="s">
        <v>903</v>
      </c>
      <c r="K473" t="s">
        <v>74</v>
      </c>
      <c r="L473" t="s">
        <v>74</v>
      </c>
      <c r="M473" t="s">
        <v>74</v>
      </c>
      <c r="N473" t="s">
        <v>103</v>
      </c>
      <c r="O473" t="s">
        <v>74</v>
      </c>
      <c r="P473" t="s">
        <v>74</v>
      </c>
      <c r="Q473" t="s">
        <v>74</v>
      </c>
      <c r="R473" t="s">
        <v>74</v>
      </c>
      <c r="S473" t="s">
        <v>74</v>
      </c>
      <c r="T473" t="s">
        <v>11475</v>
      </c>
      <c r="U473" t="s">
        <v>11476</v>
      </c>
      <c r="V473" t="s">
        <v>11477</v>
      </c>
      <c r="W473" t="s">
        <v>11478</v>
      </c>
      <c r="X473" t="s">
        <v>11479</v>
      </c>
      <c r="Y473" t="s">
        <v>11480</v>
      </c>
      <c r="Z473" t="s">
        <v>11481</v>
      </c>
      <c r="AA473" t="s">
        <v>11482</v>
      </c>
      <c r="AB473" t="s">
        <v>11483</v>
      </c>
      <c r="AC473" t="s">
        <v>74</v>
      </c>
      <c r="AD473" t="s">
        <v>74</v>
      </c>
      <c r="AE473" t="s">
        <v>74</v>
      </c>
      <c r="AF473" t="s">
        <v>74</v>
      </c>
      <c r="AG473">
        <v>45</v>
      </c>
      <c r="AH473">
        <v>42</v>
      </c>
      <c r="AI473">
        <v>45</v>
      </c>
      <c r="AJ473">
        <v>0</v>
      </c>
      <c r="AK473">
        <v>3</v>
      </c>
      <c r="AL473" t="s">
        <v>74</v>
      </c>
      <c r="AM473" t="s">
        <v>74</v>
      </c>
      <c r="AN473" t="s">
        <v>74</v>
      </c>
      <c r="AO473" t="s">
        <v>74</v>
      </c>
      <c r="AP473" t="s">
        <v>913</v>
      </c>
      <c r="AQ473" t="s">
        <v>74</v>
      </c>
      <c r="AR473" t="s">
        <v>74</v>
      </c>
      <c r="AS473" t="s">
        <v>74</v>
      </c>
      <c r="AT473" t="s">
        <v>565</v>
      </c>
      <c r="AU473">
        <v>2014</v>
      </c>
      <c r="AV473">
        <v>6</v>
      </c>
      <c r="AW473">
        <v>1</v>
      </c>
      <c r="AX473" t="s">
        <v>74</v>
      </c>
      <c r="AY473" t="s">
        <v>74</v>
      </c>
      <c r="AZ473" t="s">
        <v>74</v>
      </c>
      <c r="BA473" t="s">
        <v>74</v>
      </c>
      <c r="BB473">
        <v>179</v>
      </c>
      <c r="BC473">
        <v>192</v>
      </c>
      <c r="BD473" t="s">
        <v>74</v>
      </c>
      <c r="BE473" t="s">
        <v>11484</v>
      </c>
      <c r="BF473" t="str">
        <f>HYPERLINK("http://dx.doi.org/10.3390/cancers6010179","http://dx.doi.org/10.3390/cancers6010179")</f>
        <v>http://dx.doi.org/10.3390/cancers6010179</v>
      </c>
      <c r="BG473" t="s">
        <v>74</v>
      </c>
      <c r="BH473" t="s">
        <v>74</v>
      </c>
      <c r="BI473" t="s">
        <v>74</v>
      </c>
      <c r="BJ473" t="s">
        <v>267</v>
      </c>
      <c r="BK473" t="s">
        <v>117</v>
      </c>
      <c r="BL473" t="s">
        <v>267</v>
      </c>
      <c r="BM473" t="s">
        <v>74</v>
      </c>
      <c r="BN473">
        <v>24458310</v>
      </c>
      <c r="BO473" t="s">
        <v>74</v>
      </c>
      <c r="BP473" t="s">
        <v>74</v>
      </c>
      <c r="BQ473" t="s">
        <v>74</v>
      </c>
      <c r="BR473" t="s">
        <v>96</v>
      </c>
      <c r="BS473" t="s">
        <v>11485</v>
      </c>
      <c r="BT473" t="str">
        <f>HYPERLINK("https%3A%2F%2Fwww.webofscience.com%2Fwos%2Fwoscc%2Ffull-record%2FWOS:000209950500011","View Full Record in Web of Science")</f>
        <v>View Full Record in Web of Science</v>
      </c>
    </row>
    <row r="474" spans="1:72" x14ac:dyDescent="0.15">
      <c r="A474" t="s">
        <v>98</v>
      </c>
      <c r="B474" t="s">
        <v>13150</v>
      </c>
      <c r="C474" t="s">
        <v>74</v>
      </c>
      <c r="D474" t="s">
        <v>74</v>
      </c>
      <c r="E474" t="s">
        <v>74</v>
      </c>
      <c r="F474" t="s">
        <v>13151</v>
      </c>
      <c r="G474" t="s">
        <v>74</v>
      </c>
      <c r="H474" t="s">
        <v>74</v>
      </c>
      <c r="I474" t="s">
        <v>13152</v>
      </c>
      <c r="J474" t="s">
        <v>3650</v>
      </c>
      <c r="K474" t="s">
        <v>74</v>
      </c>
      <c r="L474" t="s">
        <v>74</v>
      </c>
      <c r="M474" t="s">
        <v>74</v>
      </c>
      <c r="N474" t="s">
        <v>103</v>
      </c>
      <c r="O474" t="s">
        <v>74</v>
      </c>
      <c r="P474" t="s">
        <v>74</v>
      </c>
      <c r="Q474" t="s">
        <v>74</v>
      </c>
      <c r="R474" t="s">
        <v>74</v>
      </c>
      <c r="S474" t="s">
        <v>74</v>
      </c>
      <c r="T474" t="s">
        <v>13153</v>
      </c>
      <c r="U474" t="s">
        <v>13154</v>
      </c>
      <c r="V474" t="s">
        <v>13155</v>
      </c>
      <c r="W474" t="s">
        <v>13156</v>
      </c>
      <c r="X474" t="s">
        <v>3499</v>
      </c>
      <c r="Y474" t="s">
        <v>13157</v>
      </c>
      <c r="Z474" t="s">
        <v>13158</v>
      </c>
      <c r="AA474" t="s">
        <v>1225</v>
      </c>
      <c r="AB474" t="s">
        <v>1226</v>
      </c>
      <c r="AC474" t="s">
        <v>74</v>
      </c>
      <c r="AD474" t="s">
        <v>74</v>
      </c>
      <c r="AE474" t="s">
        <v>74</v>
      </c>
      <c r="AF474" t="s">
        <v>74</v>
      </c>
      <c r="AG474">
        <v>31</v>
      </c>
      <c r="AH474">
        <v>42</v>
      </c>
      <c r="AI474">
        <v>42</v>
      </c>
      <c r="AJ474">
        <v>24</v>
      </c>
      <c r="AK474">
        <v>286</v>
      </c>
      <c r="AL474" t="s">
        <v>74</v>
      </c>
      <c r="AM474" t="s">
        <v>74</v>
      </c>
      <c r="AN474" t="s">
        <v>74</v>
      </c>
      <c r="AO474" t="s">
        <v>3659</v>
      </c>
      <c r="AP474" t="s">
        <v>74</v>
      </c>
      <c r="AQ474" t="s">
        <v>74</v>
      </c>
      <c r="AR474" t="s">
        <v>74</v>
      </c>
      <c r="AS474" t="s">
        <v>74</v>
      </c>
      <c r="AT474" t="s">
        <v>2939</v>
      </c>
      <c r="AU474">
        <v>2018</v>
      </c>
      <c r="AV474">
        <v>276</v>
      </c>
      <c r="AW474" t="s">
        <v>74</v>
      </c>
      <c r="AX474" t="s">
        <v>74</v>
      </c>
      <c r="AY474" t="s">
        <v>74</v>
      </c>
      <c r="AZ474" t="s">
        <v>74</v>
      </c>
      <c r="BA474" t="s">
        <v>74</v>
      </c>
      <c r="BB474">
        <v>552</v>
      </c>
      <c r="BC474">
        <v>559</v>
      </c>
      <c r="BD474" t="s">
        <v>74</v>
      </c>
      <c r="BE474" t="s">
        <v>13159</v>
      </c>
      <c r="BF474" t="str">
        <f>HYPERLINK("http://dx.doi.org/10.1016/j.snb.2018.08.056","http://dx.doi.org/10.1016/j.snb.2018.08.056")</f>
        <v>http://dx.doi.org/10.1016/j.snb.2018.08.056</v>
      </c>
      <c r="BG474" t="s">
        <v>74</v>
      </c>
      <c r="BH474" t="s">
        <v>74</v>
      </c>
      <c r="BI474" t="s">
        <v>74</v>
      </c>
      <c r="BJ474" t="s">
        <v>3663</v>
      </c>
      <c r="BK474" t="s">
        <v>117</v>
      </c>
      <c r="BL474" t="s">
        <v>3664</v>
      </c>
      <c r="BM474" t="s">
        <v>74</v>
      </c>
      <c r="BN474" t="s">
        <v>74</v>
      </c>
      <c r="BO474" t="s">
        <v>74</v>
      </c>
      <c r="BP474" t="s">
        <v>74</v>
      </c>
      <c r="BQ474" t="s">
        <v>74</v>
      </c>
      <c r="BR474" t="s">
        <v>96</v>
      </c>
      <c r="BS474" t="s">
        <v>13160</v>
      </c>
      <c r="BT474" t="str">
        <f>HYPERLINK("https%3A%2F%2Fwww.webofscience.com%2Fwos%2Fwoscc%2Ffull-record%2FWOS:000444637600069","View Full Record in Web of Science")</f>
        <v>View Full Record in Web of Science</v>
      </c>
    </row>
    <row r="475" spans="1:72" x14ac:dyDescent="0.15">
      <c r="A475" t="s">
        <v>98</v>
      </c>
      <c r="B475" t="s">
        <v>13274</v>
      </c>
      <c r="C475" t="s">
        <v>74</v>
      </c>
      <c r="D475" t="s">
        <v>74</v>
      </c>
      <c r="E475" t="s">
        <v>74</v>
      </c>
      <c r="F475" t="s">
        <v>13275</v>
      </c>
      <c r="G475" t="s">
        <v>74</v>
      </c>
      <c r="H475" t="s">
        <v>74</v>
      </c>
      <c r="I475" t="s">
        <v>13276</v>
      </c>
      <c r="J475" t="s">
        <v>4486</v>
      </c>
      <c r="K475" t="s">
        <v>74</v>
      </c>
      <c r="L475" t="s">
        <v>74</v>
      </c>
      <c r="M475" t="s">
        <v>74</v>
      </c>
      <c r="N475" t="s">
        <v>103</v>
      </c>
      <c r="O475" t="s">
        <v>74</v>
      </c>
      <c r="P475" t="s">
        <v>74</v>
      </c>
      <c r="Q475" t="s">
        <v>74</v>
      </c>
      <c r="R475" t="s">
        <v>74</v>
      </c>
      <c r="S475" t="s">
        <v>74</v>
      </c>
      <c r="T475" t="s">
        <v>74</v>
      </c>
      <c r="U475" t="s">
        <v>13277</v>
      </c>
      <c r="V475" t="s">
        <v>13278</v>
      </c>
      <c r="W475" t="s">
        <v>13279</v>
      </c>
      <c r="X475" t="s">
        <v>13280</v>
      </c>
      <c r="Y475" t="s">
        <v>13281</v>
      </c>
      <c r="Z475" t="s">
        <v>13282</v>
      </c>
      <c r="AA475" t="s">
        <v>13283</v>
      </c>
      <c r="AB475" t="s">
        <v>13284</v>
      </c>
      <c r="AC475" t="s">
        <v>74</v>
      </c>
      <c r="AD475" t="s">
        <v>74</v>
      </c>
      <c r="AE475" t="s">
        <v>74</v>
      </c>
      <c r="AF475" t="s">
        <v>74</v>
      </c>
      <c r="AG475">
        <v>51</v>
      </c>
      <c r="AH475">
        <v>42</v>
      </c>
      <c r="AI475">
        <v>43</v>
      </c>
      <c r="AJ475">
        <v>19</v>
      </c>
      <c r="AK475">
        <v>150</v>
      </c>
      <c r="AL475" t="s">
        <v>74</v>
      </c>
      <c r="AM475" t="s">
        <v>74</v>
      </c>
      <c r="AN475" t="s">
        <v>74</v>
      </c>
      <c r="AO475" t="s">
        <v>4493</v>
      </c>
      <c r="AP475" t="s">
        <v>4494</v>
      </c>
      <c r="AQ475" t="s">
        <v>74</v>
      </c>
      <c r="AR475" t="s">
        <v>74</v>
      </c>
      <c r="AS475" t="s">
        <v>74</v>
      </c>
      <c r="AT475" t="s">
        <v>13285</v>
      </c>
      <c r="AU475">
        <v>2019</v>
      </c>
      <c r="AV475">
        <v>91</v>
      </c>
      <c r="AW475">
        <v>15</v>
      </c>
      <c r="AX475" t="s">
        <v>74</v>
      </c>
      <c r="AY475" t="s">
        <v>74</v>
      </c>
      <c r="AZ475" t="s">
        <v>74</v>
      </c>
      <c r="BA475" t="s">
        <v>74</v>
      </c>
      <c r="BB475">
        <v>10172</v>
      </c>
      <c r="BC475">
        <v>10179</v>
      </c>
      <c r="BD475" t="s">
        <v>74</v>
      </c>
      <c r="BE475" t="s">
        <v>13286</v>
      </c>
      <c r="BF475" t="str">
        <f>HYPERLINK("http://dx.doi.org/10.1021/acs.analchem.9b02181","http://dx.doi.org/10.1021/acs.analchem.9b02181")</f>
        <v>http://dx.doi.org/10.1021/acs.analchem.9b02181</v>
      </c>
      <c r="BG475" t="s">
        <v>74</v>
      </c>
      <c r="BH475" t="s">
        <v>74</v>
      </c>
      <c r="BI475" t="s">
        <v>74</v>
      </c>
      <c r="BJ475" t="s">
        <v>1118</v>
      </c>
      <c r="BK475" t="s">
        <v>117</v>
      </c>
      <c r="BL475" t="s">
        <v>1048</v>
      </c>
      <c r="BM475" t="s">
        <v>74</v>
      </c>
      <c r="BN475">
        <v>31288510</v>
      </c>
      <c r="BO475" t="s">
        <v>74</v>
      </c>
      <c r="BP475" t="s">
        <v>74</v>
      </c>
      <c r="BQ475" t="s">
        <v>74</v>
      </c>
      <c r="BR475" t="s">
        <v>96</v>
      </c>
      <c r="BS475" t="s">
        <v>13287</v>
      </c>
      <c r="BT475" t="str">
        <f>HYPERLINK("https%3A%2F%2Fwww.webofscience.com%2Fwos%2Fwoscc%2Ffull-record%2FWOS:000480499200113","View Full Record in Web of Science")</f>
        <v>View Full Record in Web of Science</v>
      </c>
    </row>
    <row r="476" spans="1:72" x14ac:dyDescent="0.15">
      <c r="A476" t="s">
        <v>98</v>
      </c>
      <c r="B476" t="s">
        <v>17831</v>
      </c>
      <c r="C476" t="s">
        <v>74</v>
      </c>
      <c r="D476" t="s">
        <v>74</v>
      </c>
      <c r="E476" t="s">
        <v>74</v>
      </c>
      <c r="F476" t="s">
        <v>17832</v>
      </c>
      <c r="G476" t="s">
        <v>74</v>
      </c>
      <c r="H476" t="s">
        <v>74</v>
      </c>
      <c r="I476" t="s">
        <v>17833</v>
      </c>
      <c r="J476" t="s">
        <v>817</v>
      </c>
      <c r="K476" t="s">
        <v>74</v>
      </c>
      <c r="L476" t="s">
        <v>74</v>
      </c>
      <c r="M476" t="s">
        <v>74</v>
      </c>
      <c r="N476" t="s">
        <v>103</v>
      </c>
      <c r="O476" t="s">
        <v>74</v>
      </c>
      <c r="P476" t="s">
        <v>74</v>
      </c>
      <c r="Q476" t="s">
        <v>74</v>
      </c>
      <c r="R476" t="s">
        <v>74</v>
      </c>
      <c r="S476" t="s">
        <v>74</v>
      </c>
      <c r="T476" t="s">
        <v>17834</v>
      </c>
      <c r="U476" t="s">
        <v>17835</v>
      </c>
      <c r="V476" t="s">
        <v>17836</v>
      </c>
      <c r="W476" t="s">
        <v>17837</v>
      </c>
      <c r="X476" t="s">
        <v>17838</v>
      </c>
      <c r="Y476" t="s">
        <v>17839</v>
      </c>
      <c r="Z476" t="s">
        <v>17840</v>
      </c>
      <c r="AA476" t="s">
        <v>17841</v>
      </c>
      <c r="AB476" t="s">
        <v>17842</v>
      </c>
      <c r="AC476" t="s">
        <v>74</v>
      </c>
      <c r="AD476" t="s">
        <v>74</v>
      </c>
      <c r="AE476" t="s">
        <v>74</v>
      </c>
      <c r="AF476" t="s">
        <v>74</v>
      </c>
      <c r="AG476">
        <v>56</v>
      </c>
      <c r="AH476">
        <v>42</v>
      </c>
      <c r="AI476">
        <v>43</v>
      </c>
      <c r="AJ476">
        <v>2</v>
      </c>
      <c r="AK476">
        <v>14</v>
      </c>
      <c r="AL476" t="s">
        <v>74</v>
      </c>
      <c r="AM476" t="s">
        <v>74</v>
      </c>
      <c r="AN476" t="s">
        <v>74</v>
      </c>
      <c r="AO476" t="s">
        <v>74</v>
      </c>
      <c r="AP476" t="s">
        <v>827</v>
      </c>
      <c r="AQ476" t="s">
        <v>74</v>
      </c>
      <c r="AR476" t="s">
        <v>74</v>
      </c>
      <c r="AS476" t="s">
        <v>74</v>
      </c>
      <c r="AT476" t="s">
        <v>230</v>
      </c>
      <c r="AU476">
        <v>2019</v>
      </c>
      <c r="AV476">
        <v>20</v>
      </c>
      <c r="AW476">
        <v>15</v>
      </c>
      <c r="AX476" t="s">
        <v>74</v>
      </c>
      <c r="AY476" t="s">
        <v>74</v>
      </c>
      <c r="AZ476" t="s">
        <v>74</v>
      </c>
      <c r="BA476" t="s">
        <v>74</v>
      </c>
      <c r="BB476" t="s">
        <v>74</v>
      </c>
      <c r="BC476" t="s">
        <v>74</v>
      </c>
      <c r="BD476">
        <v>3649</v>
      </c>
      <c r="BE476" t="s">
        <v>17843</v>
      </c>
      <c r="BF476" t="str">
        <f>HYPERLINK("http://dx.doi.org/10.3390/ijms20153649","http://dx.doi.org/10.3390/ijms20153649")</f>
        <v>http://dx.doi.org/10.3390/ijms20153649</v>
      </c>
      <c r="BG476" t="s">
        <v>74</v>
      </c>
      <c r="BH476" t="s">
        <v>74</v>
      </c>
      <c r="BI476" t="s">
        <v>74</v>
      </c>
      <c r="BJ476" t="s">
        <v>830</v>
      </c>
      <c r="BK476" t="s">
        <v>117</v>
      </c>
      <c r="BL476" t="s">
        <v>831</v>
      </c>
      <c r="BM476" t="s">
        <v>74</v>
      </c>
      <c r="BN476">
        <v>31349735</v>
      </c>
      <c r="BO476" t="s">
        <v>74</v>
      </c>
      <c r="BP476" t="s">
        <v>74</v>
      </c>
      <c r="BQ476" t="s">
        <v>74</v>
      </c>
      <c r="BR476" t="s">
        <v>96</v>
      </c>
      <c r="BS476" t="s">
        <v>17844</v>
      </c>
      <c r="BT476" t="str">
        <f>HYPERLINK("https%3A%2F%2Fwww.webofscience.com%2Fwos%2Fwoscc%2Ffull-record%2FWOS:000482383000042","View Full Record in Web of Science")</f>
        <v>View Full Record in Web of Science</v>
      </c>
    </row>
    <row r="477" spans="1:72" x14ac:dyDescent="0.15">
      <c r="A477" t="s">
        <v>98</v>
      </c>
      <c r="B477" t="s">
        <v>20016</v>
      </c>
      <c r="C477" t="s">
        <v>74</v>
      </c>
      <c r="D477" t="s">
        <v>74</v>
      </c>
      <c r="E477" t="s">
        <v>74</v>
      </c>
      <c r="F477" t="s">
        <v>20017</v>
      </c>
      <c r="G477" t="s">
        <v>74</v>
      </c>
      <c r="H477" t="s">
        <v>74</v>
      </c>
      <c r="I477" t="s">
        <v>20018</v>
      </c>
      <c r="J477" t="s">
        <v>20019</v>
      </c>
      <c r="K477" t="s">
        <v>74</v>
      </c>
      <c r="L477" t="s">
        <v>74</v>
      </c>
      <c r="M477" t="s">
        <v>74</v>
      </c>
      <c r="N477" t="s">
        <v>103</v>
      </c>
      <c r="O477" t="s">
        <v>74</v>
      </c>
      <c r="P477" t="s">
        <v>74</v>
      </c>
      <c r="Q477" t="s">
        <v>74</v>
      </c>
      <c r="R477" t="s">
        <v>74</v>
      </c>
      <c r="S477" t="s">
        <v>74</v>
      </c>
      <c r="T477" t="s">
        <v>20020</v>
      </c>
      <c r="U477" t="s">
        <v>20021</v>
      </c>
      <c r="V477" t="s">
        <v>20022</v>
      </c>
      <c r="W477" t="s">
        <v>20023</v>
      </c>
      <c r="X477" t="s">
        <v>20024</v>
      </c>
      <c r="Y477" t="s">
        <v>20025</v>
      </c>
      <c r="Z477" t="s">
        <v>20026</v>
      </c>
      <c r="AA477" t="s">
        <v>74</v>
      </c>
      <c r="AB477" t="s">
        <v>20027</v>
      </c>
      <c r="AC477" t="s">
        <v>74</v>
      </c>
      <c r="AD477" t="s">
        <v>74</v>
      </c>
      <c r="AE477" t="s">
        <v>74</v>
      </c>
      <c r="AF477" t="s">
        <v>74</v>
      </c>
      <c r="AG477">
        <v>33</v>
      </c>
      <c r="AH477">
        <v>42</v>
      </c>
      <c r="AI477">
        <v>47</v>
      </c>
      <c r="AJ477">
        <v>2</v>
      </c>
      <c r="AK477">
        <v>16</v>
      </c>
      <c r="AL477" t="s">
        <v>74</v>
      </c>
      <c r="AM477" t="s">
        <v>74</v>
      </c>
      <c r="AN477" t="s">
        <v>74</v>
      </c>
      <c r="AO477" t="s">
        <v>20028</v>
      </c>
      <c r="AP477" t="s">
        <v>20029</v>
      </c>
      <c r="AQ477" t="s">
        <v>74</v>
      </c>
      <c r="AR477" t="s">
        <v>74</v>
      </c>
      <c r="AS477" t="s">
        <v>74</v>
      </c>
      <c r="AT477" t="s">
        <v>230</v>
      </c>
      <c r="AU477">
        <v>2017</v>
      </c>
      <c r="AV477">
        <v>35</v>
      </c>
      <c r="AW477">
        <v>6</v>
      </c>
      <c r="AX477" t="s">
        <v>74</v>
      </c>
      <c r="AY477" t="s">
        <v>74</v>
      </c>
      <c r="AZ477" t="s">
        <v>74</v>
      </c>
      <c r="BA477" t="s">
        <v>74</v>
      </c>
      <c r="BB477">
        <v>296</v>
      </c>
      <c r="BC477">
        <v>303</v>
      </c>
      <c r="BD477" t="s">
        <v>74</v>
      </c>
      <c r="BE477" t="s">
        <v>20030</v>
      </c>
      <c r="BF477" t="str">
        <f>HYPERLINK("http://dx.doi.org/10.1002/cbf.3276","http://dx.doi.org/10.1002/cbf.3276")</f>
        <v>http://dx.doi.org/10.1002/cbf.3276</v>
      </c>
      <c r="BG477" t="s">
        <v>74</v>
      </c>
      <c r="BH477" t="s">
        <v>74</v>
      </c>
      <c r="BI477" t="s">
        <v>74</v>
      </c>
      <c r="BJ477" t="s">
        <v>498</v>
      </c>
      <c r="BK477" t="s">
        <v>117</v>
      </c>
      <c r="BL477" t="s">
        <v>498</v>
      </c>
      <c r="BM477" t="s">
        <v>74</v>
      </c>
      <c r="BN477">
        <v>28791708</v>
      </c>
      <c r="BO477" t="s">
        <v>74</v>
      </c>
      <c r="BP477" t="s">
        <v>74</v>
      </c>
      <c r="BQ477" t="s">
        <v>74</v>
      </c>
      <c r="BR477" t="s">
        <v>96</v>
      </c>
      <c r="BS477" t="s">
        <v>20031</v>
      </c>
      <c r="BT477" t="str">
        <f>HYPERLINK("https%3A%2F%2Fwww.webofscience.com%2Fwos%2Fwoscc%2Ffull-record%2FWOS:000408477400002","View Full Record in Web of Science")</f>
        <v>View Full Record in Web of Science</v>
      </c>
    </row>
    <row r="478" spans="1:72" x14ac:dyDescent="0.15">
      <c r="A478" t="s">
        <v>98</v>
      </c>
      <c r="B478" t="s">
        <v>21131</v>
      </c>
      <c r="C478" t="s">
        <v>74</v>
      </c>
      <c r="D478" t="s">
        <v>74</v>
      </c>
      <c r="E478" t="s">
        <v>74</v>
      </c>
      <c r="F478" t="s">
        <v>21132</v>
      </c>
      <c r="G478" t="s">
        <v>74</v>
      </c>
      <c r="H478" t="s">
        <v>74</v>
      </c>
      <c r="I478" t="s">
        <v>21133</v>
      </c>
      <c r="J478" t="s">
        <v>4913</v>
      </c>
      <c r="K478" t="s">
        <v>74</v>
      </c>
      <c r="L478" t="s">
        <v>74</v>
      </c>
      <c r="M478" t="s">
        <v>74</v>
      </c>
      <c r="N478" t="s">
        <v>103</v>
      </c>
      <c r="O478" t="s">
        <v>74</v>
      </c>
      <c r="P478" t="s">
        <v>74</v>
      </c>
      <c r="Q478" t="s">
        <v>74</v>
      </c>
      <c r="R478" t="s">
        <v>74</v>
      </c>
      <c r="S478" t="s">
        <v>74</v>
      </c>
      <c r="T478" t="s">
        <v>21134</v>
      </c>
      <c r="U478" t="s">
        <v>21135</v>
      </c>
      <c r="V478" t="s">
        <v>21136</v>
      </c>
      <c r="W478" t="s">
        <v>21137</v>
      </c>
      <c r="X478" t="s">
        <v>21138</v>
      </c>
      <c r="Y478" t="s">
        <v>21139</v>
      </c>
      <c r="Z478" t="s">
        <v>21140</v>
      </c>
      <c r="AA478" t="s">
        <v>74</v>
      </c>
      <c r="AB478" t="s">
        <v>21141</v>
      </c>
      <c r="AC478" t="s">
        <v>74</v>
      </c>
      <c r="AD478" t="s">
        <v>74</v>
      </c>
      <c r="AE478" t="s">
        <v>74</v>
      </c>
      <c r="AF478" t="s">
        <v>74</v>
      </c>
      <c r="AG478">
        <v>39</v>
      </c>
      <c r="AH478">
        <v>42</v>
      </c>
      <c r="AI478">
        <v>43</v>
      </c>
      <c r="AJ478">
        <v>0</v>
      </c>
      <c r="AK478">
        <v>3</v>
      </c>
      <c r="AL478" t="s">
        <v>74</v>
      </c>
      <c r="AM478" t="s">
        <v>74</v>
      </c>
      <c r="AN478" t="s">
        <v>74</v>
      </c>
      <c r="AO478" t="s">
        <v>4923</v>
      </c>
      <c r="AP478" t="s">
        <v>74</v>
      </c>
      <c r="AQ478" t="s">
        <v>74</v>
      </c>
      <c r="AR478" t="s">
        <v>74</v>
      </c>
      <c r="AS478" t="s">
        <v>74</v>
      </c>
      <c r="AT478" t="s">
        <v>230</v>
      </c>
      <c r="AU478">
        <v>2016</v>
      </c>
      <c r="AV478">
        <v>10</v>
      </c>
      <c r="AW478" t="s">
        <v>74</v>
      </c>
      <c r="AX478" t="s">
        <v>74</v>
      </c>
      <c r="AY478" t="s">
        <v>74</v>
      </c>
      <c r="AZ478" t="s">
        <v>74</v>
      </c>
      <c r="BA478" t="s">
        <v>74</v>
      </c>
      <c r="BB478">
        <v>216</v>
      </c>
      <c r="BC478">
        <v>226</v>
      </c>
      <c r="BD478" t="s">
        <v>74</v>
      </c>
      <c r="BE478" t="s">
        <v>21142</v>
      </c>
      <c r="BF478" t="str">
        <f>HYPERLINK("http://dx.doi.org/10.1016/j.ebiom.2016.06.041","http://dx.doi.org/10.1016/j.ebiom.2016.06.041")</f>
        <v>http://dx.doi.org/10.1016/j.ebiom.2016.06.041</v>
      </c>
      <c r="BG478" t="s">
        <v>74</v>
      </c>
      <c r="BH478" t="s">
        <v>74</v>
      </c>
      <c r="BI478" t="s">
        <v>74</v>
      </c>
      <c r="BJ478" t="s">
        <v>4925</v>
      </c>
      <c r="BK478" t="s">
        <v>117</v>
      </c>
      <c r="BL478" t="s">
        <v>4926</v>
      </c>
      <c r="BM478" t="s">
        <v>74</v>
      </c>
      <c r="BN478">
        <v>27381477</v>
      </c>
      <c r="BO478" t="s">
        <v>74</v>
      </c>
      <c r="BP478" t="s">
        <v>74</v>
      </c>
      <c r="BQ478" t="s">
        <v>74</v>
      </c>
      <c r="BR478" t="s">
        <v>96</v>
      </c>
      <c r="BS478" t="s">
        <v>21143</v>
      </c>
      <c r="BT478" t="str">
        <f>HYPERLINK("https%3A%2F%2Fwww.webofscience.com%2Fwos%2Fwoscc%2Ffull-record%2FWOS:000386877700032","View Full Record in Web of Science")</f>
        <v>View Full Record in Web of Science</v>
      </c>
    </row>
    <row r="479" spans="1:72" x14ac:dyDescent="0.15">
      <c r="A479" t="s">
        <v>98</v>
      </c>
      <c r="B479" t="s">
        <v>22510</v>
      </c>
      <c r="C479" t="s">
        <v>74</v>
      </c>
      <c r="D479" t="s">
        <v>74</v>
      </c>
      <c r="E479" t="s">
        <v>74</v>
      </c>
      <c r="F479" t="s">
        <v>22510</v>
      </c>
      <c r="G479" t="s">
        <v>74</v>
      </c>
      <c r="H479" t="s">
        <v>74</v>
      </c>
      <c r="I479" t="s">
        <v>22511</v>
      </c>
      <c r="J479" t="s">
        <v>2833</v>
      </c>
      <c r="K479" t="s">
        <v>74</v>
      </c>
      <c r="L479" t="s">
        <v>74</v>
      </c>
      <c r="M479" t="s">
        <v>74</v>
      </c>
      <c r="N479" t="s">
        <v>103</v>
      </c>
      <c r="O479" t="s">
        <v>74</v>
      </c>
      <c r="P479" t="s">
        <v>74</v>
      </c>
      <c r="Q479" t="s">
        <v>74</v>
      </c>
      <c r="R479" t="s">
        <v>74</v>
      </c>
      <c r="S479" t="s">
        <v>74</v>
      </c>
      <c r="T479" t="s">
        <v>22512</v>
      </c>
      <c r="U479" t="s">
        <v>22513</v>
      </c>
      <c r="V479" t="s">
        <v>22514</v>
      </c>
      <c r="W479" t="s">
        <v>22515</v>
      </c>
      <c r="X479" t="s">
        <v>22516</v>
      </c>
      <c r="Y479" t="s">
        <v>22517</v>
      </c>
      <c r="Z479" t="s">
        <v>74</v>
      </c>
      <c r="AA479" t="s">
        <v>74</v>
      </c>
      <c r="AB479" t="s">
        <v>74</v>
      </c>
      <c r="AC479" t="s">
        <v>74</v>
      </c>
      <c r="AD479" t="s">
        <v>74</v>
      </c>
      <c r="AE479" t="s">
        <v>74</v>
      </c>
      <c r="AF479" t="s">
        <v>74</v>
      </c>
      <c r="AG479">
        <v>30</v>
      </c>
      <c r="AH479">
        <v>42</v>
      </c>
      <c r="AI479">
        <v>43</v>
      </c>
      <c r="AJ479">
        <v>1</v>
      </c>
      <c r="AK479">
        <v>5</v>
      </c>
      <c r="AL479" t="s">
        <v>74</v>
      </c>
      <c r="AM479" t="s">
        <v>74</v>
      </c>
      <c r="AN479" t="s">
        <v>74</v>
      </c>
      <c r="AO479" t="s">
        <v>2841</v>
      </c>
      <c r="AP479" t="s">
        <v>74</v>
      </c>
      <c r="AQ479" t="s">
        <v>74</v>
      </c>
      <c r="AR479" t="s">
        <v>74</v>
      </c>
      <c r="AS479" t="s">
        <v>74</v>
      </c>
      <c r="AT479" t="s">
        <v>13596</v>
      </c>
      <c r="AU479">
        <v>2003</v>
      </c>
      <c r="AV479">
        <v>312</v>
      </c>
      <c r="AW479">
        <v>4</v>
      </c>
      <c r="AX479" t="s">
        <v>74</v>
      </c>
      <c r="AY479" t="s">
        <v>74</v>
      </c>
      <c r="AZ479" t="s">
        <v>74</v>
      </c>
      <c r="BA479" t="s">
        <v>74</v>
      </c>
      <c r="BB479">
        <v>1053</v>
      </c>
      <c r="BC479">
        <v>1059</v>
      </c>
      <c r="BD479" t="s">
        <v>74</v>
      </c>
      <c r="BE479" t="s">
        <v>22518</v>
      </c>
      <c r="BF479" t="str">
        <f>HYPERLINK("http://dx.doi.org/10.1016/j.bbrc.2003.11.048","http://dx.doi.org/10.1016/j.bbrc.2003.11.048")</f>
        <v>http://dx.doi.org/10.1016/j.bbrc.2003.11.048</v>
      </c>
      <c r="BG479" t="s">
        <v>74</v>
      </c>
      <c r="BH479" t="s">
        <v>74</v>
      </c>
      <c r="BI479" t="s">
        <v>74</v>
      </c>
      <c r="BJ479" t="s">
        <v>2845</v>
      </c>
      <c r="BK479" t="s">
        <v>117</v>
      </c>
      <c r="BL479" t="s">
        <v>2845</v>
      </c>
      <c r="BM479" t="s">
        <v>74</v>
      </c>
      <c r="BN479">
        <v>14651978</v>
      </c>
      <c r="BO479" t="s">
        <v>74</v>
      </c>
      <c r="BP479" t="s">
        <v>74</v>
      </c>
      <c r="BQ479" t="s">
        <v>74</v>
      </c>
      <c r="BR479" t="s">
        <v>96</v>
      </c>
      <c r="BS479" t="s">
        <v>22519</v>
      </c>
      <c r="BT479" t="str">
        <f>HYPERLINK("https%3A%2F%2Fwww.webofscience.com%2Fwos%2Fwoscc%2Ffull-record%2FWOS:000187252300028","View Full Record in Web of Science")</f>
        <v>View Full Record in Web of Science</v>
      </c>
    </row>
    <row r="480" spans="1:72" x14ac:dyDescent="0.15">
      <c r="A480" t="s">
        <v>98</v>
      </c>
      <c r="B480" t="s">
        <v>23161</v>
      </c>
      <c r="C480" t="s">
        <v>74</v>
      </c>
      <c r="D480" t="s">
        <v>74</v>
      </c>
      <c r="E480" t="s">
        <v>74</v>
      </c>
      <c r="F480" t="s">
        <v>23162</v>
      </c>
      <c r="G480" t="s">
        <v>74</v>
      </c>
      <c r="H480" t="s">
        <v>74</v>
      </c>
      <c r="I480" t="s">
        <v>23163</v>
      </c>
      <c r="J480" t="s">
        <v>22523</v>
      </c>
      <c r="K480" t="s">
        <v>74</v>
      </c>
      <c r="L480" t="s">
        <v>74</v>
      </c>
      <c r="M480" t="s">
        <v>74</v>
      </c>
      <c r="N480" t="s">
        <v>103</v>
      </c>
      <c r="O480" t="s">
        <v>74</v>
      </c>
      <c r="P480" t="s">
        <v>74</v>
      </c>
      <c r="Q480" t="s">
        <v>74</v>
      </c>
      <c r="R480" t="s">
        <v>74</v>
      </c>
      <c r="S480" t="s">
        <v>74</v>
      </c>
      <c r="T480" t="s">
        <v>74</v>
      </c>
      <c r="U480" t="s">
        <v>23164</v>
      </c>
      <c r="V480" t="s">
        <v>23165</v>
      </c>
      <c r="W480" t="s">
        <v>23166</v>
      </c>
      <c r="X480" t="s">
        <v>14248</v>
      </c>
      <c r="Y480" t="s">
        <v>23167</v>
      </c>
      <c r="Z480" t="s">
        <v>23168</v>
      </c>
      <c r="AA480" t="s">
        <v>74</v>
      </c>
      <c r="AB480" t="s">
        <v>74</v>
      </c>
      <c r="AC480" t="s">
        <v>74</v>
      </c>
      <c r="AD480" t="s">
        <v>74</v>
      </c>
      <c r="AE480" t="s">
        <v>74</v>
      </c>
      <c r="AF480" t="s">
        <v>74</v>
      </c>
      <c r="AG480">
        <v>39</v>
      </c>
      <c r="AH480">
        <v>42</v>
      </c>
      <c r="AI480">
        <v>43</v>
      </c>
      <c r="AJ480">
        <v>20</v>
      </c>
      <c r="AK480">
        <v>74</v>
      </c>
      <c r="AL480" t="s">
        <v>74</v>
      </c>
      <c r="AM480" t="s">
        <v>74</v>
      </c>
      <c r="AN480" t="s">
        <v>74</v>
      </c>
      <c r="AO480" t="s">
        <v>22530</v>
      </c>
      <c r="AP480" t="s">
        <v>22531</v>
      </c>
      <c r="AQ480" t="s">
        <v>74</v>
      </c>
      <c r="AR480" t="s">
        <v>74</v>
      </c>
      <c r="AS480" t="s">
        <v>74</v>
      </c>
      <c r="AT480" t="s">
        <v>7938</v>
      </c>
      <c r="AU480">
        <v>2020</v>
      </c>
      <c r="AV480">
        <v>8</v>
      </c>
      <c r="AW480">
        <v>10</v>
      </c>
      <c r="AX480" t="s">
        <v>74</v>
      </c>
      <c r="AY480" t="s">
        <v>74</v>
      </c>
      <c r="AZ480" t="s">
        <v>74</v>
      </c>
      <c r="BA480" t="s">
        <v>74</v>
      </c>
      <c r="BB480">
        <v>2966</v>
      </c>
      <c r="BC480">
        <v>2976</v>
      </c>
      <c r="BD480" t="s">
        <v>74</v>
      </c>
      <c r="BE480" t="s">
        <v>23169</v>
      </c>
      <c r="BF480" t="str">
        <f>HYPERLINK("http://dx.doi.org/10.1039/d0bm00427h","http://dx.doi.org/10.1039/d0bm00427h")</f>
        <v>http://dx.doi.org/10.1039/d0bm00427h</v>
      </c>
      <c r="BG480" t="s">
        <v>74</v>
      </c>
      <c r="BH480" t="s">
        <v>74</v>
      </c>
      <c r="BI480" t="s">
        <v>74</v>
      </c>
      <c r="BJ480" t="s">
        <v>3945</v>
      </c>
      <c r="BK480" t="s">
        <v>117</v>
      </c>
      <c r="BL480" t="s">
        <v>3946</v>
      </c>
      <c r="BM480" t="s">
        <v>74</v>
      </c>
      <c r="BN480">
        <v>32342086</v>
      </c>
      <c r="BO480" t="s">
        <v>74</v>
      </c>
      <c r="BP480" t="s">
        <v>74</v>
      </c>
      <c r="BQ480" t="s">
        <v>74</v>
      </c>
      <c r="BR480" t="s">
        <v>96</v>
      </c>
      <c r="BS480" t="s">
        <v>23170</v>
      </c>
      <c r="BT480" t="str">
        <f>HYPERLINK("https%3A%2F%2Fwww.webofscience.com%2Fwos%2Fwoscc%2Ffull-record%2FWOS:000537734100017","View Full Record in Web of Science")</f>
        <v>View Full Record in Web of Science</v>
      </c>
    </row>
    <row r="481" spans="1:72" x14ac:dyDescent="0.15">
      <c r="A481" t="s">
        <v>98</v>
      </c>
      <c r="B481" t="s">
        <v>26381</v>
      </c>
      <c r="C481" t="s">
        <v>74</v>
      </c>
      <c r="D481" t="s">
        <v>74</v>
      </c>
      <c r="E481" t="s">
        <v>74</v>
      </c>
      <c r="F481" t="s">
        <v>26382</v>
      </c>
      <c r="G481" t="s">
        <v>74</v>
      </c>
      <c r="H481" t="s">
        <v>74</v>
      </c>
      <c r="I481" t="s">
        <v>26383</v>
      </c>
      <c r="J481" t="s">
        <v>8639</v>
      </c>
      <c r="K481" t="s">
        <v>74</v>
      </c>
      <c r="L481" t="s">
        <v>74</v>
      </c>
      <c r="M481" t="s">
        <v>74</v>
      </c>
      <c r="N481" t="s">
        <v>103</v>
      </c>
      <c r="O481" t="s">
        <v>74</v>
      </c>
      <c r="P481" t="s">
        <v>74</v>
      </c>
      <c r="Q481" t="s">
        <v>74</v>
      </c>
      <c r="R481" t="s">
        <v>74</v>
      </c>
      <c r="S481" t="s">
        <v>74</v>
      </c>
      <c r="T481" t="s">
        <v>26384</v>
      </c>
      <c r="U481" t="s">
        <v>26385</v>
      </c>
      <c r="V481" t="s">
        <v>26386</v>
      </c>
      <c r="W481" t="s">
        <v>26387</v>
      </c>
      <c r="X481" t="s">
        <v>26388</v>
      </c>
      <c r="Y481" t="s">
        <v>26389</v>
      </c>
      <c r="Z481" t="s">
        <v>26390</v>
      </c>
      <c r="AA481" t="s">
        <v>74</v>
      </c>
      <c r="AB481" t="s">
        <v>26391</v>
      </c>
      <c r="AC481" t="s">
        <v>74</v>
      </c>
      <c r="AD481" t="s">
        <v>74</v>
      </c>
      <c r="AE481" t="s">
        <v>74</v>
      </c>
      <c r="AF481" t="s">
        <v>74</v>
      </c>
      <c r="AG481">
        <v>126</v>
      </c>
      <c r="AH481">
        <v>42</v>
      </c>
      <c r="AI481">
        <v>43</v>
      </c>
      <c r="AJ481">
        <v>4</v>
      </c>
      <c r="AK481">
        <v>29</v>
      </c>
      <c r="AL481" t="s">
        <v>74</v>
      </c>
      <c r="AM481" t="s">
        <v>74</v>
      </c>
      <c r="AN481" t="s">
        <v>74</v>
      </c>
      <c r="AO481" t="s">
        <v>8649</v>
      </c>
      <c r="AP481" t="s">
        <v>8650</v>
      </c>
      <c r="AQ481" t="s">
        <v>74</v>
      </c>
      <c r="AR481" t="s">
        <v>74</v>
      </c>
      <c r="AS481" t="s">
        <v>74</v>
      </c>
      <c r="AT481" t="s">
        <v>5213</v>
      </c>
      <c r="AU481">
        <v>2017</v>
      </c>
      <c r="AV481">
        <v>142</v>
      </c>
      <c r="AW481" t="s">
        <v>74</v>
      </c>
      <c r="AX481" t="s">
        <v>74</v>
      </c>
      <c r="AY481" t="s">
        <v>74</v>
      </c>
      <c r="AZ481" t="s">
        <v>74</v>
      </c>
      <c r="BA481" t="s">
        <v>74</v>
      </c>
      <c r="BB481">
        <v>1</v>
      </c>
      <c r="BC481">
        <v>12</v>
      </c>
      <c r="BD481" t="s">
        <v>74</v>
      </c>
      <c r="BE481" t="s">
        <v>26392</v>
      </c>
      <c r="BF481" t="str">
        <f>HYPERLINK("http://dx.doi.org/10.1016/j.bcp.2017.04.011","http://dx.doi.org/10.1016/j.bcp.2017.04.011")</f>
        <v>http://dx.doi.org/10.1016/j.bcp.2017.04.011</v>
      </c>
      <c r="BG481" t="s">
        <v>74</v>
      </c>
      <c r="BH481" t="s">
        <v>74</v>
      </c>
      <c r="BI481" t="s">
        <v>74</v>
      </c>
      <c r="BJ481" t="s">
        <v>533</v>
      </c>
      <c r="BK481" t="s">
        <v>117</v>
      </c>
      <c r="BL481" t="s">
        <v>533</v>
      </c>
      <c r="BM481" t="s">
        <v>74</v>
      </c>
      <c r="BN481">
        <v>28408343</v>
      </c>
      <c r="BO481" t="s">
        <v>74</v>
      </c>
      <c r="BP481" t="s">
        <v>74</v>
      </c>
      <c r="BQ481" t="s">
        <v>74</v>
      </c>
      <c r="BR481" t="s">
        <v>96</v>
      </c>
      <c r="BS481" t="s">
        <v>26393</v>
      </c>
      <c r="BT481" t="str">
        <f>HYPERLINK("https%3A%2F%2Fwww.webofscience.com%2Fwos%2Fwoscc%2Ffull-record%2FWOS:000412152300001","View Full Record in Web of Science")</f>
        <v>View Full Record in Web of Science</v>
      </c>
    </row>
    <row r="482" spans="1:72" x14ac:dyDescent="0.15">
      <c r="A482" t="s">
        <v>98</v>
      </c>
      <c r="B482" t="s">
        <v>28065</v>
      </c>
      <c r="C482" t="s">
        <v>74</v>
      </c>
      <c r="D482" t="s">
        <v>74</v>
      </c>
      <c r="E482" t="s">
        <v>74</v>
      </c>
      <c r="F482" t="s">
        <v>28065</v>
      </c>
      <c r="G482" t="s">
        <v>74</v>
      </c>
      <c r="H482" t="s">
        <v>74</v>
      </c>
      <c r="I482" t="s">
        <v>28066</v>
      </c>
      <c r="J482" t="s">
        <v>7841</v>
      </c>
      <c r="K482" t="s">
        <v>74</v>
      </c>
      <c r="L482" t="s">
        <v>74</v>
      </c>
      <c r="M482" t="s">
        <v>74</v>
      </c>
      <c r="N482" t="s">
        <v>103</v>
      </c>
      <c r="O482" t="s">
        <v>74</v>
      </c>
      <c r="P482" t="s">
        <v>74</v>
      </c>
      <c r="Q482" t="s">
        <v>74</v>
      </c>
      <c r="R482" t="s">
        <v>74</v>
      </c>
      <c r="S482" t="s">
        <v>74</v>
      </c>
      <c r="T482" t="s">
        <v>74</v>
      </c>
      <c r="U482" t="s">
        <v>28067</v>
      </c>
      <c r="V482" t="s">
        <v>28068</v>
      </c>
      <c r="W482" t="s">
        <v>74</v>
      </c>
      <c r="X482" t="s">
        <v>74</v>
      </c>
      <c r="Y482" t="s">
        <v>28069</v>
      </c>
      <c r="Z482" t="s">
        <v>74</v>
      </c>
      <c r="AA482" t="s">
        <v>74</v>
      </c>
      <c r="AB482" t="s">
        <v>74</v>
      </c>
      <c r="AC482" t="s">
        <v>74</v>
      </c>
      <c r="AD482" t="s">
        <v>74</v>
      </c>
      <c r="AE482" t="s">
        <v>74</v>
      </c>
      <c r="AF482" t="s">
        <v>74</v>
      </c>
      <c r="AG482">
        <v>50</v>
      </c>
      <c r="AH482">
        <v>42</v>
      </c>
      <c r="AI482">
        <v>42</v>
      </c>
      <c r="AJ482">
        <v>0</v>
      </c>
      <c r="AK482">
        <v>0</v>
      </c>
      <c r="AL482" t="s">
        <v>74</v>
      </c>
      <c r="AM482" t="s">
        <v>74</v>
      </c>
      <c r="AN482" t="s">
        <v>74</v>
      </c>
      <c r="AO482" t="s">
        <v>7850</v>
      </c>
      <c r="AP482" t="s">
        <v>74</v>
      </c>
      <c r="AQ482" t="s">
        <v>74</v>
      </c>
      <c r="AR482" t="s">
        <v>74</v>
      </c>
      <c r="AS482" t="s">
        <v>74</v>
      </c>
      <c r="AT482" t="s">
        <v>11850</v>
      </c>
      <c r="AU482">
        <v>1992</v>
      </c>
      <c r="AV482">
        <v>149</v>
      </c>
      <c r="AW482">
        <v>6</v>
      </c>
      <c r="AX482" t="s">
        <v>74</v>
      </c>
      <c r="AY482" t="s">
        <v>74</v>
      </c>
      <c r="AZ482" t="s">
        <v>74</v>
      </c>
      <c r="BA482" t="s">
        <v>74</v>
      </c>
      <c r="BB482">
        <v>1912</v>
      </c>
      <c r="BC482">
        <v>1920</v>
      </c>
      <c r="BD482" t="s">
        <v>74</v>
      </c>
      <c r="BE482" t="s">
        <v>74</v>
      </c>
      <c r="BF482" t="s">
        <v>74</v>
      </c>
      <c r="BG482" t="s">
        <v>74</v>
      </c>
      <c r="BH482" t="s">
        <v>74</v>
      </c>
      <c r="BI482" t="s">
        <v>74</v>
      </c>
      <c r="BJ482" t="s">
        <v>2064</v>
      </c>
      <c r="BK482" t="s">
        <v>117</v>
      </c>
      <c r="BL482" t="s">
        <v>2064</v>
      </c>
      <c r="BM482" t="s">
        <v>74</v>
      </c>
      <c r="BN482">
        <v>1387665</v>
      </c>
      <c r="BO482" t="s">
        <v>74</v>
      </c>
      <c r="BP482" t="s">
        <v>74</v>
      </c>
      <c r="BQ482" t="s">
        <v>74</v>
      </c>
      <c r="BR482" t="s">
        <v>96</v>
      </c>
      <c r="BS482" t="s">
        <v>28070</v>
      </c>
      <c r="BT482" t="str">
        <f>HYPERLINK("https%3A%2F%2Fwww.webofscience.com%2Fwos%2Fwoscc%2Ffull-record%2FWOS:A1992JN12100013","View Full Record in Web of Science")</f>
        <v>View Full Record in Web of Science</v>
      </c>
    </row>
    <row r="483" spans="1:72" x14ac:dyDescent="0.15">
      <c r="A483" t="s">
        <v>98</v>
      </c>
      <c r="B483" t="s">
        <v>196</v>
      </c>
      <c r="C483" t="s">
        <v>74</v>
      </c>
      <c r="D483" t="s">
        <v>74</v>
      </c>
      <c r="E483" t="s">
        <v>74</v>
      </c>
      <c r="F483" t="s">
        <v>197</v>
      </c>
      <c r="G483" t="s">
        <v>74</v>
      </c>
      <c r="H483" t="s">
        <v>74</v>
      </c>
      <c r="I483" t="s">
        <v>198</v>
      </c>
      <c r="J483" t="s">
        <v>199</v>
      </c>
      <c r="K483" t="s">
        <v>74</v>
      </c>
      <c r="L483" t="s">
        <v>74</v>
      </c>
      <c r="M483" t="s">
        <v>74</v>
      </c>
      <c r="N483" t="s">
        <v>103</v>
      </c>
      <c r="O483" t="s">
        <v>74</v>
      </c>
      <c r="P483" t="s">
        <v>74</v>
      </c>
      <c r="Q483" t="s">
        <v>74</v>
      </c>
      <c r="R483" t="s">
        <v>74</v>
      </c>
      <c r="S483" t="s">
        <v>74</v>
      </c>
      <c r="T483" t="s">
        <v>200</v>
      </c>
      <c r="U483" t="s">
        <v>201</v>
      </c>
      <c r="V483" t="s">
        <v>202</v>
      </c>
      <c r="W483" t="s">
        <v>203</v>
      </c>
      <c r="X483" t="s">
        <v>204</v>
      </c>
      <c r="Y483" t="s">
        <v>205</v>
      </c>
      <c r="Z483" t="s">
        <v>206</v>
      </c>
      <c r="AA483" t="s">
        <v>207</v>
      </c>
      <c r="AB483" t="s">
        <v>208</v>
      </c>
      <c r="AC483" t="s">
        <v>74</v>
      </c>
      <c r="AD483" t="s">
        <v>74</v>
      </c>
      <c r="AE483" t="s">
        <v>74</v>
      </c>
      <c r="AF483" t="s">
        <v>74</v>
      </c>
      <c r="AG483">
        <v>57</v>
      </c>
      <c r="AH483">
        <v>41</v>
      </c>
      <c r="AI483">
        <v>43</v>
      </c>
      <c r="AJ483">
        <v>0</v>
      </c>
      <c r="AK483">
        <v>15</v>
      </c>
      <c r="AL483" t="s">
        <v>74</v>
      </c>
      <c r="AM483" t="s">
        <v>74</v>
      </c>
      <c r="AN483" t="s">
        <v>74</v>
      </c>
      <c r="AO483" t="s">
        <v>209</v>
      </c>
      <c r="AP483" t="s">
        <v>210</v>
      </c>
      <c r="AQ483" t="s">
        <v>74</v>
      </c>
      <c r="AR483" t="s">
        <v>74</v>
      </c>
      <c r="AS483" t="s">
        <v>74</v>
      </c>
      <c r="AT483" t="s">
        <v>211</v>
      </c>
      <c r="AU483">
        <v>2015</v>
      </c>
      <c r="AV483">
        <v>115</v>
      </c>
      <c r="AW483">
        <v>11</v>
      </c>
      <c r="AX483" t="s">
        <v>74</v>
      </c>
      <c r="AY483" t="s">
        <v>74</v>
      </c>
      <c r="AZ483" t="s">
        <v>74</v>
      </c>
      <c r="BA483" t="s">
        <v>74</v>
      </c>
      <c r="BB483">
        <v>2271</v>
      </c>
      <c r="BC483">
        <v>2280</v>
      </c>
      <c r="BD483" t="s">
        <v>74</v>
      </c>
      <c r="BE483" t="s">
        <v>212</v>
      </c>
      <c r="BF483" t="str">
        <f>HYPERLINK("http://dx.doi.org/10.1007/s00421-015-3207-8","http://dx.doi.org/10.1007/s00421-015-3207-8")</f>
        <v>http://dx.doi.org/10.1007/s00421-015-3207-8</v>
      </c>
      <c r="BG483" t="s">
        <v>74</v>
      </c>
      <c r="BH483" t="s">
        <v>74</v>
      </c>
      <c r="BI483" t="s">
        <v>74</v>
      </c>
      <c r="BJ483" t="s">
        <v>213</v>
      </c>
      <c r="BK483" t="s">
        <v>117</v>
      </c>
      <c r="BL483" t="s">
        <v>213</v>
      </c>
      <c r="BM483" t="s">
        <v>74</v>
      </c>
      <c r="BN483">
        <v>26126838</v>
      </c>
      <c r="BO483" t="s">
        <v>74</v>
      </c>
      <c r="BP483" t="s">
        <v>74</v>
      </c>
      <c r="BQ483" t="s">
        <v>74</v>
      </c>
      <c r="BR483" t="s">
        <v>96</v>
      </c>
      <c r="BS483" t="s">
        <v>214</v>
      </c>
      <c r="BT483" t="str">
        <f>HYPERLINK("https%3A%2F%2Fwww.webofscience.com%2Fwos%2Fwoscc%2Ffull-record%2FWOS:000363057400004","View Full Record in Web of Science")</f>
        <v>View Full Record in Web of Science</v>
      </c>
    </row>
    <row r="484" spans="1:72" x14ac:dyDescent="0.15">
      <c r="A484" t="s">
        <v>98</v>
      </c>
      <c r="B484" t="s">
        <v>4435</v>
      </c>
      <c r="C484" t="s">
        <v>74</v>
      </c>
      <c r="D484" t="s">
        <v>74</v>
      </c>
      <c r="E484" t="s">
        <v>74</v>
      </c>
      <c r="F484" t="s">
        <v>4436</v>
      </c>
      <c r="G484" t="s">
        <v>74</v>
      </c>
      <c r="H484" t="s">
        <v>74</v>
      </c>
      <c r="I484" t="s">
        <v>4437</v>
      </c>
      <c r="J484" t="s">
        <v>1712</v>
      </c>
      <c r="K484" t="s">
        <v>74</v>
      </c>
      <c r="L484" t="s">
        <v>74</v>
      </c>
      <c r="M484" t="s">
        <v>74</v>
      </c>
      <c r="N484" t="s">
        <v>103</v>
      </c>
      <c r="O484" t="s">
        <v>74</v>
      </c>
      <c r="P484" t="s">
        <v>74</v>
      </c>
      <c r="Q484" t="s">
        <v>74</v>
      </c>
      <c r="R484" t="s">
        <v>74</v>
      </c>
      <c r="S484" t="s">
        <v>74</v>
      </c>
      <c r="T484" t="s">
        <v>4438</v>
      </c>
      <c r="U484" t="s">
        <v>74</v>
      </c>
      <c r="V484" t="s">
        <v>4439</v>
      </c>
      <c r="W484" t="s">
        <v>4440</v>
      </c>
      <c r="X484" t="s">
        <v>4441</v>
      </c>
      <c r="Y484" t="s">
        <v>4442</v>
      </c>
      <c r="Z484" t="s">
        <v>4443</v>
      </c>
      <c r="AA484" t="s">
        <v>4444</v>
      </c>
      <c r="AB484" t="s">
        <v>4445</v>
      </c>
      <c r="AC484" t="s">
        <v>74</v>
      </c>
      <c r="AD484" t="s">
        <v>74</v>
      </c>
      <c r="AE484" t="s">
        <v>74</v>
      </c>
      <c r="AF484" t="s">
        <v>74</v>
      </c>
      <c r="AG484">
        <v>77</v>
      </c>
      <c r="AH484">
        <v>41</v>
      </c>
      <c r="AI484">
        <v>43</v>
      </c>
      <c r="AJ484">
        <v>31</v>
      </c>
      <c r="AK484">
        <v>66</v>
      </c>
      <c r="AL484" t="s">
        <v>74</v>
      </c>
      <c r="AM484" t="s">
        <v>74</v>
      </c>
      <c r="AN484" t="s">
        <v>74</v>
      </c>
      <c r="AO484" t="s">
        <v>1722</v>
      </c>
      <c r="AP484" t="s">
        <v>1723</v>
      </c>
      <c r="AQ484" t="s">
        <v>74</v>
      </c>
      <c r="AR484" t="s">
        <v>74</v>
      </c>
      <c r="AS484" t="s">
        <v>74</v>
      </c>
      <c r="AT484" t="s">
        <v>4446</v>
      </c>
      <c r="AU484">
        <v>2021</v>
      </c>
      <c r="AV484">
        <v>15</v>
      </c>
      <c r="AW484">
        <v>1</v>
      </c>
      <c r="AX484" t="s">
        <v>74</v>
      </c>
      <c r="AY484" t="s">
        <v>74</v>
      </c>
      <c r="AZ484" t="s">
        <v>74</v>
      </c>
      <c r="BA484" t="s">
        <v>74</v>
      </c>
      <c r="BB484">
        <v>1519</v>
      </c>
      <c r="BC484">
        <v>1538</v>
      </c>
      <c r="BD484" t="s">
        <v>74</v>
      </c>
      <c r="BE484" t="s">
        <v>4447</v>
      </c>
      <c r="BF484" t="str">
        <f>HYPERLINK("http://dx.doi.org/10.1021/acsnano.0c08947","http://dx.doi.org/10.1021/acsnano.0c08947")</f>
        <v>http://dx.doi.org/10.1021/acsnano.0c08947</v>
      </c>
      <c r="BG484" t="s">
        <v>74</v>
      </c>
      <c r="BH484" t="s">
        <v>74</v>
      </c>
      <c r="BI484" t="s">
        <v>74</v>
      </c>
      <c r="BJ484" t="s">
        <v>1725</v>
      </c>
      <c r="BK484" t="s">
        <v>117</v>
      </c>
      <c r="BL484" t="s">
        <v>1275</v>
      </c>
      <c r="BM484" t="s">
        <v>74</v>
      </c>
      <c r="BN484">
        <v>33369392</v>
      </c>
      <c r="BO484" t="s">
        <v>74</v>
      </c>
      <c r="BP484" t="s">
        <v>193</v>
      </c>
      <c r="BQ484" t="s">
        <v>194</v>
      </c>
      <c r="BR484" t="s">
        <v>96</v>
      </c>
      <c r="BS484" t="s">
        <v>4448</v>
      </c>
      <c r="BT484" t="str">
        <f>HYPERLINK("https%3A%2F%2Fwww.webofscience.com%2Fwos%2Fwoscc%2Ffull-record%2FWOS:000613942700123","View Full Record in Web of Science")</f>
        <v>View Full Record in Web of Science</v>
      </c>
    </row>
    <row r="485" spans="1:72" x14ac:dyDescent="0.15">
      <c r="A485" t="s">
        <v>98</v>
      </c>
      <c r="B485" t="s">
        <v>6557</v>
      </c>
      <c r="C485" t="s">
        <v>74</v>
      </c>
      <c r="D485" t="s">
        <v>74</v>
      </c>
      <c r="E485" t="s">
        <v>74</v>
      </c>
      <c r="F485" t="s">
        <v>6558</v>
      </c>
      <c r="G485" t="s">
        <v>74</v>
      </c>
      <c r="H485" t="s">
        <v>74</v>
      </c>
      <c r="I485" t="s">
        <v>6559</v>
      </c>
      <c r="J485" t="s">
        <v>1035</v>
      </c>
      <c r="K485" t="s">
        <v>74</v>
      </c>
      <c r="L485" t="s">
        <v>74</v>
      </c>
      <c r="M485" t="s">
        <v>74</v>
      </c>
      <c r="N485" t="s">
        <v>103</v>
      </c>
      <c r="O485" t="s">
        <v>74</v>
      </c>
      <c r="P485" t="s">
        <v>74</v>
      </c>
      <c r="Q485" t="s">
        <v>74</v>
      </c>
      <c r="R485" t="s">
        <v>74</v>
      </c>
      <c r="S485" t="s">
        <v>74</v>
      </c>
      <c r="T485" t="s">
        <v>74</v>
      </c>
      <c r="U485" t="s">
        <v>74</v>
      </c>
      <c r="V485" t="s">
        <v>6560</v>
      </c>
      <c r="W485" t="s">
        <v>6561</v>
      </c>
      <c r="X485" t="s">
        <v>6562</v>
      </c>
      <c r="Y485" t="s">
        <v>6563</v>
      </c>
      <c r="Z485" t="s">
        <v>6564</v>
      </c>
      <c r="AA485" t="s">
        <v>1042</v>
      </c>
      <c r="AB485" t="s">
        <v>6565</v>
      </c>
      <c r="AC485" t="s">
        <v>74</v>
      </c>
      <c r="AD485" t="s">
        <v>74</v>
      </c>
      <c r="AE485" t="s">
        <v>74</v>
      </c>
      <c r="AF485" t="s">
        <v>74</v>
      </c>
      <c r="AG485">
        <v>38</v>
      </c>
      <c r="AH485">
        <v>41</v>
      </c>
      <c r="AI485">
        <v>41</v>
      </c>
      <c r="AJ485">
        <v>72</v>
      </c>
      <c r="AK485">
        <v>211</v>
      </c>
      <c r="AL485" t="s">
        <v>74</v>
      </c>
      <c r="AM485" t="s">
        <v>74</v>
      </c>
      <c r="AN485" t="s">
        <v>74</v>
      </c>
      <c r="AO485" t="s">
        <v>1044</v>
      </c>
      <c r="AP485" t="s">
        <v>6566</v>
      </c>
      <c r="AQ485" t="s">
        <v>74</v>
      </c>
      <c r="AR485" t="s">
        <v>74</v>
      </c>
      <c r="AS485" t="s">
        <v>74</v>
      </c>
      <c r="AT485" t="s">
        <v>1169</v>
      </c>
      <c r="AU485">
        <v>2021</v>
      </c>
      <c r="AV485">
        <v>143</v>
      </c>
      <c r="AW485">
        <v>3</v>
      </c>
      <c r="AX485" t="s">
        <v>74</v>
      </c>
      <c r="AY485" t="s">
        <v>74</v>
      </c>
      <c r="AZ485" t="s">
        <v>74</v>
      </c>
      <c r="BA485" t="s">
        <v>74</v>
      </c>
      <c r="BB485">
        <v>1290</v>
      </c>
      <c r="BC485">
        <v>1295</v>
      </c>
      <c r="BD485" t="s">
        <v>74</v>
      </c>
      <c r="BE485" t="s">
        <v>6567</v>
      </c>
      <c r="BF485" t="str">
        <f>HYPERLINK("http://dx.doi.org/10.1021/jacs.0c12016","http://dx.doi.org/10.1021/jacs.0c12016")</f>
        <v>http://dx.doi.org/10.1021/jacs.0c12016</v>
      </c>
      <c r="BG485" t="s">
        <v>74</v>
      </c>
      <c r="BH485" t="s">
        <v>3662</v>
      </c>
      <c r="BI485" t="s">
        <v>74</v>
      </c>
      <c r="BJ485" t="s">
        <v>1047</v>
      </c>
      <c r="BK485" t="s">
        <v>117</v>
      </c>
      <c r="BL485" t="s">
        <v>1048</v>
      </c>
      <c r="BM485" t="s">
        <v>74</v>
      </c>
      <c r="BN485">
        <v>33455159</v>
      </c>
      <c r="BO485" t="s">
        <v>74</v>
      </c>
      <c r="BP485" t="s">
        <v>193</v>
      </c>
      <c r="BQ485" t="s">
        <v>194</v>
      </c>
      <c r="BR485" t="s">
        <v>96</v>
      </c>
      <c r="BS485" t="s">
        <v>6568</v>
      </c>
      <c r="BT485" t="str">
        <f>HYPERLINK("https%3A%2F%2Fwww.webofscience.com%2Fwos%2Fwoscc%2Ffull-record%2FWOS:000614064400006","View Full Record in Web of Science")</f>
        <v>View Full Record in Web of Science</v>
      </c>
    </row>
    <row r="486" spans="1:72" x14ac:dyDescent="0.15">
      <c r="A486" t="s">
        <v>98</v>
      </c>
      <c r="B486" t="s">
        <v>8021</v>
      </c>
      <c r="C486" t="s">
        <v>74</v>
      </c>
      <c r="D486" t="s">
        <v>74</v>
      </c>
      <c r="E486" t="s">
        <v>74</v>
      </c>
      <c r="F486" t="s">
        <v>8022</v>
      </c>
      <c r="G486" t="s">
        <v>74</v>
      </c>
      <c r="H486" t="s">
        <v>74</v>
      </c>
      <c r="I486" t="s">
        <v>8023</v>
      </c>
      <c r="J486" t="s">
        <v>8024</v>
      </c>
      <c r="K486" t="s">
        <v>74</v>
      </c>
      <c r="L486" t="s">
        <v>74</v>
      </c>
      <c r="M486" t="s">
        <v>74</v>
      </c>
      <c r="N486" t="s">
        <v>103</v>
      </c>
      <c r="O486" t="s">
        <v>74</v>
      </c>
      <c r="P486" t="s">
        <v>74</v>
      </c>
      <c r="Q486" t="s">
        <v>74</v>
      </c>
      <c r="R486" t="s">
        <v>74</v>
      </c>
      <c r="S486" t="s">
        <v>74</v>
      </c>
      <c r="T486" t="s">
        <v>8025</v>
      </c>
      <c r="U486" t="s">
        <v>8026</v>
      </c>
      <c r="V486" t="s">
        <v>8027</v>
      </c>
      <c r="W486" t="s">
        <v>8028</v>
      </c>
      <c r="X486" t="s">
        <v>8029</v>
      </c>
      <c r="Y486" t="s">
        <v>8030</v>
      </c>
      <c r="Z486" t="s">
        <v>8031</v>
      </c>
      <c r="AA486" t="s">
        <v>8032</v>
      </c>
      <c r="AB486" t="s">
        <v>8033</v>
      </c>
      <c r="AC486" t="s">
        <v>74</v>
      </c>
      <c r="AD486" t="s">
        <v>74</v>
      </c>
      <c r="AE486" t="s">
        <v>74</v>
      </c>
      <c r="AF486" t="s">
        <v>74</v>
      </c>
      <c r="AG486">
        <v>49</v>
      </c>
      <c r="AH486">
        <v>41</v>
      </c>
      <c r="AI486">
        <v>42</v>
      </c>
      <c r="AJ486">
        <v>9</v>
      </c>
      <c r="AK486">
        <v>47</v>
      </c>
      <c r="AL486" t="s">
        <v>74</v>
      </c>
      <c r="AM486" t="s">
        <v>74</v>
      </c>
      <c r="AN486" t="s">
        <v>74</v>
      </c>
      <c r="AO486" t="s">
        <v>8034</v>
      </c>
      <c r="AP486" t="s">
        <v>8035</v>
      </c>
      <c r="AQ486" t="s">
        <v>74</v>
      </c>
      <c r="AR486" t="s">
        <v>74</v>
      </c>
      <c r="AS486" t="s">
        <v>74</v>
      </c>
      <c r="AT486" t="s">
        <v>8036</v>
      </c>
      <c r="AU486">
        <v>2018</v>
      </c>
      <c r="AV486">
        <v>10</v>
      </c>
      <c r="AW486" t="s">
        <v>8037</v>
      </c>
      <c r="AX486" t="s">
        <v>74</v>
      </c>
      <c r="AY486" t="s">
        <v>74</v>
      </c>
      <c r="AZ486" t="s">
        <v>74</v>
      </c>
      <c r="BA486" t="s">
        <v>74</v>
      </c>
      <c r="BB486">
        <v>516</v>
      </c>
      <c r="BC486">
        <v>532</v>
      </c>
      <c r="BD486" t="s">
        <v>74</v>
      </c>
      <c r="BE486" t="s">
        <v>8038</v>
      </c>
      <c r="BF486" t="str">
        <f>HYPERLINK("http://dx.doi.org/10.4168/aair.2018.10.5.516","http://dx.doi.org/10.4168/aair.2018.10.5.516")</f>
        <v>http://dx.doi.org/10.4168/aair.2018.10.5.516</v>
      </c>
      <c r="BG486" t="s">
        <v>74</v>
      </c>
      <c r="BH486" t="s">
        <v>74</v>
      </c>
      <c r="BI486" t="s">
        <v>74</v>
      </c>
      <c r="BJ486" t="s">
        <v>4195</v>
      </c>
      <c r="BK486" t="s">
        <v>117</v>
      </c>
      <c r="BL486" t="s">
        <v>4195</v>
      </c>
      <c r="BM486" t="s">
        <v>74</v>
      </c>
      <c r="BN486">
        <v>30088371</v>
      </c>
      <c r="BO486" t="s">
        <v>74</v>
      </c>
      <c r="BP486" t="s">
        <v>74</v>
      </c>
      <c r="BQ486" t="s">
        <v>74</v>
      </c>
      <c r="BR486" t="s">
        <v>96</v>
      </c>
      <c r="BS486" t="s">
        <v>8039</v>
      </c>
      <c r="BT486" t="str">
        <f>HYPERLINK("https%3A%2F%2Fwww.webofscience.com%2Fwos%2Fwoscc%2Ffull-record%2FWOS:000454569400009","View Full Record in Web of Science")</f>
        <v>View Full Record in Web of Science</v>
      </c>
    </row>
    <row r="487" spans="1:72" x14ac:dyDescent="0.15">
      <c r="A487" t="s">
        <v>98</v>
      </c>
      <c r="B487" t="s">
        <v>16454</v>
      </c>
      <c r="C487" t="s">
        <v>74</v>
      </c>
      <c r="D487" t="s">
        <v>74</v>
      </c>
      <c r="E487" t="s">
        <v>74</v>
      </c>
      <c r="F487" t="s">
        <v>16455</v>
      </c>
      <c r="G487" t="s">
        <v>74</v>
      </c>
      <c r="H487" t="s">
        <v>74</v>
      </c>
      <c r="I487" t="s">
        <v>16456</v>
      </c>
      <c r="J487" t="s">
        <v>7316</v>
      </c>
      <c r="K487" t="s">
        <v>74</v>
      </c>
      <c r="L487" t="s">
        <v>74</v>
      </c>
      <c r="M487" t="s">
        <v>74</v>
      </c>
      <c r="N487" t="s">
        <v>103</v>
      </c>
      <c r="O487" t="s">
        <v>74</v>
      </c>
      <c r="P487" t="s">
        <v>74</v>
      </c>
      <c r="Q487" t="s">
        <v>74</v>
      </c>
      <c r="R487" t="s">
        <v>74</v>
      </c>
      <c r="S487" t="s">
        <v>74</v>
      </c>
      <c r="T487" t="s">
        <v>74</v>
      </c>
      <c r="U487" t="s">
        <v>16457</v>
      </c>
      <c r="V487" t="s">
        <v>16458</v>
      </c>
      <c r="W487" t="s">
        <v>16459</v>
      </c>
      <c r="X487" t="s">
        <v>10941</v>
      </c>
      <c r="Y487" t="s">
        <v>10942</v>
      </c>
      <c r="Z487" t="s">
        <v>10943</v>
      </c>
      <c r="AA487" t="s">
        <v>74</v>
      </c>
      <c r="AB487" t="s">
        <v>10944</v>
      </c>
      <c r="AC487" t="s">
        <v>74</v>
      </c>
      <c r="AD487" t="s">
        <v>74</v>
      </c>
      <c r="AE487" t="s">
        <v>74</v>
      </c>
      <c r="AF487" t="s">
        <v>74</v>
      </c>
      <c r="AG487">
        <v>32</v>
      </c>
      <c r="AH487">
        <v>41</v>
      </c>
      <c r="AI487">
        <v>42</v>
      </c>
      <c r="AJ487">
        <v>18</v>
      </c>
      <c r="AK487">
        <v>259</v>
      </c>
      <c r="AL487" t="s">
        <v>74</v>
      </c>
      <c r="AM487" t="s">
        <v>74</v>
      </c>
      <c r="AN487" t="s">
        <v>74</v>
      </c>
      <c r="AO487" t="s">
        <v>7324</v>
      </c>
      <c r="AP487" t="s">
        <v>7325</v>
      </c>
      <c r="AQ487" t="s">
        <v>74</v>
      </c>
      <c r="AR487" t="s">
        <v>74</v>
      </c>
      <c r="AS487" t="s">
        <v>74</v>
      </c>
      <c r="AT487" t="s">
        <v>15963</v>
      </c>
      <c r="AU487">
        <v>2019</v>
      </c>
      <c r="AV487">
        <v>144</v>
      </c>
      <c r="AW487">
        <v>6</v>
      </c>
      <c r="AX487" t="s">
        <v>74</v>
      </c>
      <c r="AY487" t="s">
        <v>74</v>
      </c>
      <c r="AZ487" t="s">
        <v>74</v>
      </c>
      <c r="BA487" t="s">
        <v>74</v>
      </c>
      <c r="BB487">
        <v>1995</v>
      </c>
      <c r="BC487">
        <v>2002</v>
      </c>
      <c r="BD487" t="s">
        <v>74</v>
      </c>
      <c r="BE487" t="s">
        <v>16460</v>
      </c>
      <c r="BF487" t="str">
        <f>HYPERLINK("http://dx.doi.org/10.1039/c8an02383b","http://dx.doi.org/10.1039/c8an02383b")</f>
        <v>http://dx.doi.org/10.1039/c8an02383b</v>
      </c>
      <c r="BG487" t="s">
        <v>74</v>
      </c>
      <c r="BH487" t="s">
        <v>74</v>
      </c>
      <c r="BI487" t="s">
        <v>74</v>
      </c>
      <c r="BJ487" t="s">
        <v>1118</v>
      </c>
      <c r="BK487" t="s">
        <v>117</v>
      </c>
      <c r="BL487" t="s">
        <v>1048</v>
      </c>
      <c r="BM487" t="s">
        <v>74</v>
      </c>
      <c r="BN487">
        <v>30698587</v>
      </c>
      <c r="BO487" t="s">
        <v>74</v>
      </c>
      <c r="BP487" t="s">
        <v>74</v>
      </c>
      <c r="BQ487" t="s">
        <v>74</v>
      </c>
      <c r="BR487" t="s">
        <v>96</v>
      </c>
      <c r="BS487" t="s">
        <v>16461</v>
      </c>
      <c r="BT487" t="str">
        <f>HYPERLINK("https%3A%2F%2Fwww.webofscience.com%2Fwos%2Fwoscc%2Ffull-record%2FWOS:000460765600013","View Full Record in Web of Science")</f>
        <v>View Full Record in Web of Science</v>
      </c>
    </row>
    <row r="488" spans="1:72" x14ac:dyDescent="0.15">
      <c r="A488" t="s">
        <v>98</v>
      </c>
      <c r="B488" t="s">
        <v>19212</v>
      </c>
      <c r="C488" t="s">
        <v>74</v>
      </c>
      <c r="D488" t="s">
        <v>74</v>
      </c>
      <c r="E488" t="s">
        <v>74</v>
      </c>
      <c r="F488" t="s">
        <v>19213</v>
      </c>
      <c r="G488" t="s">
        <v>74</v>
      </c>
      <c r="H488" t="s">
        <v>74</v>
      </c>
      <c r="I488" t="s">
        <v>19214</v>
      </c>
      <c r="J488" t="s">
        <v>1035</v>
      </c>
      <c r="K488" t="s">
        <v>74</v>
      </c>
      <c r="L488" t="s">
        <v>74</v>
      </c>
      <c r="M488" t="s">
        <v>74</v>
      </c>
      <c r="N488" t="s">
        <v>103</v>
      </c>
      <c r="O488" t="s">
        <v>74</v>
      </c>
      <c r="P488" t="s">
        <v>74</v>
      </c>
      <c r="Q488" t="s">
        <v>74</v>
      </c>
      <c r="R488" t="s">
        <v>74</v>
      </c>
      <c r="S488" t="s">
        <v>74</v>
      </c>
      <c r="T488" t="s">
        <v>74</v>
      </c>
      <c r="U488" t="s">
        <v>19215</v>
      </c>
      <c r="V488" t="s">
        <v>19216</v>
      </c>
      <c r="W488" t="s">
        <v>19217</v>
      </c>
      <c r="X488" t="s">
        <v>19218</v>
      </c>
      <c r="Y488" t="s">
        <v>19219</v>
      </c>
      <c r="Z488" t="s">
        <v>19220</v>
      </c>
      <c r="AA488" t="s">
        <v>19221</v>
      </c>
      <c r="AB488" t="s">
        <v>19222</v>
      </c>
      <c r="AC488" t="s">
        <v>74</v>
      </c>
      <c r="AD488" t="s">
        <v>74</v>
      </c>
      <c r="AE488" t="s">
        <v>74</v>
      </c>
      <c r="AF488" t="s">
        <v>74</v>
      </c>
      <c r="AG488">
        <v>48</v>
      </c>
      <c r="AH488">
        <v>41</v>
      </c>
      <c r="AI488">
        <v>42</v>
      </c>
      <c r="AJ488">
        <v>29</v>
      </c>
      <c r="AK488">
        <v>198</v>
      </c>
      <c r="AL488" t="s">
        <v>74</v>
      </c>
      <c r="AM488" t="s">
        <v>74</v>
      </c>
      <c r="AN488" t="s">
        <v>74</v>
      </c>
      <c r="AO488" t="s">
        <v>1044</v>
      </c>
      <c r="AP488" t="s">
        <v>6566</v>
      </c>
      <c r="AQ488" t="s">
        <v>74</v>
      </c>
      <c r="AR488" t="s">
        <v>74</v>
      </c>
      <c r="AS488" t="s">
        <v>74</v>
      </c>
      <c r="AT488" t="s">
        <v>19223</v>
      </c>
      <c r="AU488">
        <v>2020</v>
      </c>
      <c r="AV488">
        <v>142</v>
      </c>
      <c r="AW488">
        <v>12</v>
      </c>
      <c r="AX488" t="s">
        <v>74</v>
      </c>
      <c r="AY488" t="s">
        <v>74</v>
      </c>
      <c r="AZ488" t="s">
        <v>74</v>
      </c>
      <c r="BA488" t="s">
        <v>74</v>
      </c>
      <c r="BB488">
        <v>5778</v>
      </c>
      <c r="BC488">
        <v>5784</v>
      </c>
      <c r="BD488" t="s">
        <v>74</v>
      </c>
      <c r="BE488" t="s">
        <v>19224</v>
      </c>
      <c r="BF488" t="str">
        <f>HYPERLINK("http://dx.doi.org/10.1021/jacs.9b13796","http://dx.doi.org/10.1021/jacs.9b13796")</f>
        <v>http://dx.doi.org/10.1021/jacs.9b13796</v>
      </c>
      <c r="BG488" t="s">
        <v>74</v>
      </c>
      <c r="BH488" t="s">
        <v>74</v>
      </c>
      <c r="BI488" t="s">
        <v>74</v>
      </c>
      <c r="BJ488" t="s">
        <v>1047</v>
      </c>
      <c r="BK488" t="s">
        <v>117</v>
      </c>
      <c r="BL488" t="s">
        <v>1048</v>
      </c>
      <c r="BM488" t="s">
        <v>74</v>
      </c>
      <c r="BN488">
        <v>32119540</v>
      </c>
      <c r="BO488" t="s">
        <v>74</v>
      </c>
      <c r="BP488" t="s">
        <v>74</v>
      </c>
      <c r="BQ488" t="s">
        <v>74</v>
      </c>
      <c r="BR488" t="s">
        <v>96</v>
      </c>
      <c r="BS488" t="s">
        <v>19225</v>
      </c>
      <c r="BT488" t="str">
        <f>HYPERLINK("https%3A%2F%2Fwww.webofscience.com%2Fwos%2Fwoscc%2Ffull-record%2FWOS:000526393100040","View Full Record in Web of Science")</f>
        <v>View Full Record in Web of Science</v>
      </c>
    </row>
    <row r="489" spans="1:72" x14ac:dyDescent="0.15">
      <c r="A489" t="s">
        <v>98</v>
      </c>
      <c r="B489" t="s">
        <v>20446</v>
      </c>
      <c r="C489" t="s">
        <v>74</v>
      </c>
      <c r="D489" t="s">
        <v>74</v>
      </c>
      <c r="E489" t="s">
        <v>74</v>
      </c>
      <c r="F489" t="s">
        <v>20447</v>
      </c>
      <c r="G489" t="s">
        <v>74</v>
      </c>
      <c r="H489" t="s">
        <v>74</v>
      </c>
      <c r="I489" t="s">
        <v>20448</v>
      </c>
      <c r="J489" t="s">
        <v>1053</v>
      </c>
      <c r="K489" t="s">
        <v>74</v>
      </c>
      <c r="L489" t="s">
        <v>74</v>
      </c>
      <c r="M489" t="s">
        <v>74</v>
      </c>
      <c r="N489" t="s">
        <v>103</v>
      </c>
      <c r="O489" t="s">
        <v>74</v>
      </c>
      <c r="P489" t="s">
        <v>74</v>
      </c>
      <c r="Q489" t="s">
        <v>74</v>
      </c>
      <c r="R489" t="s">
        <v>74</v>
      </c>
      <c r="S489" t="s">
        <v>74</v>
      </c>
      <c r="T489" t="s">
        <v>20449</v>
      </c>
      <c r="U489" t="s">
        <v>20450</v>
      </c>
      <c r="V489" t="s">
        <v>20451</v>
      </c>
      <c r="W489" t="s">
        <v>20452</v>
      </c>
      <c r="X489" t="s">
        <v>20453</v>
      </c>
      <c r="Y489" t="s">
        <v>20454</v>
      </c>
      <c r="Z489" t="s">
        <v>20455</v>
      </c>
      <c r="AA489" t="s">
        <v>20456</v>
      </c>
      <c r="AB489" t="s">
        <v>20457</v>
      </c>
      <c r="AC489" t="s">
        <v>74</v>
      </c>
      <c r="AD489" t="s">
        <v>74</v>
      </c>
      <c r="AE489" t="s">
        <v>74</v>
      </c>
      <c r="AF489" t="s">
        <v>74</v>
      </c>
      <c r="AG489">
        <v>41</v>
      </c>
      <c r="AH489">
        <v>41</v>
      </c>
      <c r="AI489">
        <v>42</v>
      </c>
      <c r="AJ489">
        <v>0</v>
      </c>
      <c r="AK489">
        <v>13</v>
      </c>
      <c r="AL489" t="s">
        <v>74</v>
      </c>
      <c r="AM489" t="s">
        <v>74</v>
      </c>
      <c r="AN489" t="s">
        <v>74</v>
      </c>
      <c r="AO489" t="s">
        <v>1063</v>
      </c>
      <c r="AP489" t="s">
        <v>1064</v>
      </c>
      <c r="AQ489" t="s">
        <v>74</v>
      </c>
      <c r="AR489" t="s">
        <v>74</v>
      </c>
      <c r="AS489" t="s">
        <v>74</v>
      </c>
      <c r="AT489" t="s">
        <v>211</v>
      </c>
      <c r="AU489">
        <v>2014</v>
      </c>
      <c r="AV489">
        <v>28</v>
      </c>
      <c r="AW489">
        <v>11</v>
      </c>
      <c r="AX489" t="s">
        <v>74</v>
      </c>
      <c r="AY489" t="s">
        <v>74</v>
      </c>
      <c r="AZ489" t="s">
        <v>74</v>
      </c>
      <c r="BA489" t="s">
        <v>74</v>
      </c>
      <c r="BB489">
        <v>4847</v>
      </c>
      <c r="BC489">
        <v>4856</v>
      </c>
      <c r="BD489" t="s">
        <v>74</v>
      </c>
      <c r="BE489" t="s">
        <v>20458</v>
      </c>
      <c r="BF489" t="str">
        <f>HYPERLINK("http://dx.doi.org/10.1096/fj.14-254565","http://dx.doi.org/10.1096/fj.14-254565")</f>
        <v>http://dx.doi.org/10.1096/fj.14-254565</v>
      </c>
      <c r="BG489" t="s">
        <v>74</v>
      </c>
      <c r="BH489" t="s">
        <v>74</v>
      </c>
      <c r="BI489" t="s">
        <v>74</v>
      </c>
      <c r="BJ489" t="s">
        <v>1067</v>
      </c>
      <c r="BK489" t="s">
        <v>117</v>
      </c>
      <c r="BL489" t="s">
        <v>1068</v>
      </c>
      <c r="BM489" t="s">
        <v>74</v>
      </c>
      <c r="BN489">
        <v>25077560</v>
      </c>
      <c r="BO489" t="s">
        <v>74</v>
      </c>
      <c r="BP489" t="s">
        <v>74</v>
      </c>
      <c r="BQ489" t="s">
        <v>74</v>
      </c>
      <c r="BR489" t="s">
        <v>96</v>
      </c>
      <c r="BS489" t="s">
        <v>20459</v>
      </c>
      <c r="BT489" t="str">
        <f>HYPERLINK("https%3A%2F%2Fwww.webofscience.com%2Fwos%2Fwoscc%2Ffull-record%2FWOS:000344050900022","View Full Record in Web of Science")</f>
        <v>View Full Record in Web of Science</v>
      </c>
    </row>
    <row r="490" spans="1:72" x14ac:dyDescent="0.15">
      <c r="A490" t="s">
        <v>98</v>
      </c>
      <c r="B490" t="s">
        <v>24123</v>
      </c>
      <c r="C490" t="s">
        <v>74</v>
      </c>
      <c r="D490" t="s">
        <v>74</v>
      </c>
      <c r="E490" t="s">
        <v>74</v>
      </c>
      <c r="F490" t="s">
        <v>24124</v>
      </c>
      <c r="G490" t="s">
        <v>74</v>
      </c>
      <c r="H490" t="s">
        <v>74</v>
      </c>
      <c r="I490" t="s">
        <v>24125</v>
      </c>
      <c r="J490" t="s">
        <v>140</v>
      </c>
      <c r="K490" t="s">
        <v>74</v>
      </c>
      <c r="L490" t="s">
        <v>74</v>
      </c>
      <c r="M490" t="s">
        <v>74</v>
      </c>
      <c r="N490" t="s">
        <v>103</v>
      </c>
      <c r="O490" t="s">
        <v>74</v>
      </c>
      <c r="P490" t="s">
        <v>74</v>
      </c>
      <c r="Q490" t="s">
        <v>74</v>
      </c>
      <c r="R490" t="s">
        <v>74</v>
      </c>
      <c r="S490" t="s">
        <v>74</v>
      </c>
      <c r="T490" t="s">
        <v>74</v>
      </c>
      <c r="U490" t="s">
        <v>24126</v>
      </c>
      <c r="V490" t="s">
        <v>24127</v>
      </c>
      <c r="W490" t="s">
        <v>24128</v>
      </c>
      <c r="X490" t="s">
        <v>24129</v>
      </c>
      <c r="Y490" t="s">
        <v>24130</v>
      </c>
      <c r="Z490" t="s">
        <v>24131</v>
      </c>
      <c r="AA490" t="s">
        <v>24132</v>
      </c>
      <c r="AB490" t="s">
        <v>24133</v>
      </c>
      <c r="AC490" t="s">
        <v>74</v>
      </c>
      <c r="AD490" t="s">
        <v>74</v>
      </c>
      <c r="AE490" t="s">
        <v>74</v>
      </c>
      <c r="AF490" t="s">
        <v>74</v>
      </c>
      <c r="AG490">
        <v>54</v>
      </c>
      <c r="AH490">
        <v>41</v>
      </c>
      <c r="AI490">
        <v>43</v>
      </c>
      <c r="AJ490">
        <v>0</v>
      </c>
      <c r="AK490">
        <v>45</v>
      </c>
      <c r="AL490" t="s">
        <v>74</v>
      </c>
      <c r="AM490" t="s">
        <v>74</v>
      </c>
      <c r="AN490" t="s">
        <v>74</v>
      </c>
      <c r="AO490" t="s">
        <v>149</v>
      </c>
      <c r="AP490" t="s">
        <v>74</v>
      </c>
      <c r="AQ490" t="s">
        <v>74</v>
      </c>
      <c r="AR490" t="s">
        <v>74</v>
      </c>
      <c r="AS490" t="s">
        <v>74</v>
      </c>
      <c r="AT490" t="s">
        <v>6218</v>
      </c>
      <c r="AU490">
        <v>2016</v>
      </c>
      <c r="AV490">
        <v>6</v>
      </c>
      <c r="AW490" t="s">
        <v>74</v>
      </c>
      <c r="AX490" t="s">
        <v>74</v>
      </c>
      <c r="AY490" t="s">
        <v>74</v>
      </c>
      <c r="AZ490" t="s">
        <v>74</v>
      </c>
      <c r="BA490" t="s">
        <v>74</v>
      </c>
      <c r="BB490" t="s">
        <v>74</v>
      </c>
      <c r="BC490" t="s">
        <v>74</v>
      </c>
      <c r="BD490">
        <v>25889</v>
      </c>
      <c r="BE490" t="s">
        <v>24134</v>
      </c>
      <c r="BF490" t="str">
        <f>HYPERLINK("http://dx.doi.org/10.1038/srep25889","http://dx.doi.org/10.1038/srep25889")</f>
        <v>http://dx.doi.org/10.1038/srep25889</v>
      </c>
      <c r="BG490" t="s">
        <v>74</v>
      </c>
      <c r="BH490" t="s">
        <v>74</v>
      </c>
      <c r="BI490" t="s">
        <v>74</v>
      </c>
      <c r="BJ490" t="s">
        <v>152</v>
      </c>
      <c r="BK490" t="s">
        <v>117</v>
      </c>
      <c r="BL490" t="s">
        <v>153</v>
      </c>
      <c r="BM490" t="s">
        <v>74</v>
      </c>
      <c r="BN490">
        <v>27180609</v>
      </c>
      <c r="BO490" t="s">
        <v>74</v>
      </c>
      <c r="BP490" t="s">
        <v>74</v>
      </c>
      <c r="BQ490" t="s">
        <v>74</v>
      </c>
      <c r="BR490" t="s">
        <v>96</v>
      </c>
      <c r="BS490" t="s">
        <v>24135</v>
      </c>
      <c r="BT490" t="str">
        <f>HYPERLINK("https%3A%2F%2Fwww.webofscience.com%2Fwos%2Fwoscc%2Ffull-record%2FWOS:000375919100001","View Full Record in Web of Science")</f>
        <v>View Full Record in Web of Science</v>
      </c>
    </row>
    <row r="491" spans="1:72" x14ac:dyDescent="0.15">
      <c r="A491" t="s">
        <v>98</v>
      </c>
      <c r="B491" t="s">
        <v>24457</v>
      </c>
      <c r="C491" t="s">
        <v>74</v>
      </c>
      <c r="D491" t="s">
        <v>74</v>
      </c>
      <c r="E491" t="s">
        <v>74</v>
      </c>
      <c r="F491" t="s">
        <v>24458</v>
      </c>
      <c r="G491" t="s">
        <v>74</v>
      </c>
      <c r="H491" t="s">
        <v>74</v>
      </c>
      <c r="I491" t="s">
        <v>24459</v>
      </c>
      <c r="J491" t="s">
        <v>21438</v>
      </c>
      <c r="K491" t="s">
        <v>74</v>
      </c>
      <c r="L491" t="s">
        <v>74</v>
      </c>
      <c r="M491" t="s">
        <v>74</v>
      </c>
      <c r="N491" t="s">
        <v>103</v>
      </c>
      <c r="O491" t="s">
        <v>74</v>
      </c>
      <c r="P491" t="s">
        <v>74</v>
      </c>
      <c r="Q491" t="s">
        <v>74</v>
      </c>
      <c r="R491" t="s">
        <v>74</v>
      </c>
      <c r="S491" t="s">
        <v>74</v>
      </c>
      <c r="T491" t="s">
        <v>24460</v>
      </c>
      <c r="U491" t="s">
        <v>24461</v>
      </c>
      <c r="V491" t="s">
        <v>24462</v>
      </c>
      <c r="W491" t="s">
        <v>24463</v>
      </c>
      <c r="X491" t="s">
        <v>24464</v>
      </c>
      <c r="Y491" t="s">
        <v>24465</v>
      </c>
      <c r="Z491" t="s">
        <v>24466</v>
      </c>
      <c r="AA491" t="s">
        <v>74</v>
      </c>
      <c r="AB491" t="s">
        <v>74</v>
      </c>
      <c r="AC491" t="s">
        <v>74</v>
      </c>
      <c r="AD491" t="s">
        <v>74</v>
      </c>
      <c r="AE491" t="s">
        <v>74</v>
      </c>
      <c r="AF491" t="s">
        <v>74</v>
      </c>
      <c r="AG491">
        <v>62</v>
      </c>
      <c r="AH491">
        <v>41</v>
      </c>
      <c r="AI491">
        <v>48</v>
      </c>
      <c r="AJ491">
        <v>3</v>
      </c>
      <c r="AK491">
        <v>22</v>
      </c>
      <c r="AL491" t="s">
        <v>74</v>
      </c>
      <c r="AM491" t="s">
        <v>74</v>
      </c>
      <c r="AN491" t="s">
        <v>74</v>
      </c>
      <c r="AO491" t="s">
        <v>21448</v>
      </c>
      <c r="AP491" t="s">
        <v>21449</v>
      </c>
      <c r="AQ491" t="s">
        <v>74</v>
      </c>
      <c r="AR491" t="s">
        <v>74</v>
      </c>
      <c r="AS491" t="s">
        <v>74</v>
      </c>
      <c r="AT491" t="s">
        <v>614</v>
      </c>
      <c r="AU491">
        <v>2009</v>
      </c>
      <c r="AV491">
        <v>19</v>
      </c>
      <c r="AW491">
        <v>7</v>
      </c>
      <c r="AX491" t="s">
        <v>74</v>
      </c>
      <c r="AY491" t="s">
        <v>74</v>
      </c>
      <c r="AZ491" t="s">
        <v>74</v>
      </c>
      <c r="BA491" t="s">
        <v>74</v>
      </c>
      <c r="BB491">
        <v>864</v>
      </c>
      <c r="BC491">
        <v>876</v>
      </c>
      <c r="BD491" t="s">
        <v>74</v>
      </c>
      <c r="BE491" t="s">
        <v>24467</v>
      </c>
      <c r="BF491" t="str">
        <f>HYPERLINK("http://dx.doi.org/10.1038/cr.2009.66","http://dx.doi.org/10.1038/cr.2009.66")</f>
        <v>http://dx.doi.org/10.1038/cr.2009.66</v>
      </c>
      <c r="BG491" t="s">
        <v>74</v>
      </c>
      <c r="BH491" t="s">
        <v>74</v>
      </c>
      <c r="BI491" t="s">
        <v>74</v>
      </c>
      <c r="BJ491" t="s">
        <v>135</v>
      </c>
      <c r="BK491" t="s">
        <v>117</v>
      </c>
      <c r="BL491" t="s">
        <v>135</v>
      </c>
      <c r="BM491" t="s">
        <v>74</v>
      </c>
      <c r="BN491">
        <v>19532123</v>
      </c>
      <c r="BO491" t="s">
        <v>74</v>
      </c>
      <c r="BP491" t="s">
        <v>74</v>
      </c>
      <c r="BQ491" t="s">
        <v>74</v>
      </c>
      <c r="BR491" t="s">
        <v>96</v>
      </c>
      <c r="BS491" t="s">
        <v>24468</v>
      </c>
      <c r="BT491" t="str">
        <f>HYPERLINK("https%3A%2F%2Fwww.webofscience.com%2Fwos%2Fwoscc%2Ffull-record%2FWOS:000268722200008","View Full Record in Web of Science")</f>
        <v>View Full Record in Web of Science</v>
      </c>
    </row>
    <row r="492" spans="1:72" x14ac:dyDescent="0.15">
      <c r="A492" t="s">
        <v>98</v>
      </c>
      <c r="B492" t="s">
        <v>814</v>
      </c>
      <c r="C492" t="s">
        <v>74</v>
      </c>
      <c r="D492" t="s">
        <v>74</v>
      </c>
      <c r="E492" t="s">
        <v>74</v>
      </c>
      <c r="F492" t="s">
        <v>815</v>
      </c>
      <c r="G492" t="s">
        <v>74</v>
      </c>
      <c r="H492" t="s">
        <v>74</v>
      </c>
      <c r="I492" t="s">
        <v>816</v>
      </c>
      <c r="J492" t="s">
        <v>817</v>
      </c>
      <c r="K492" t="s">
        <v>74</v>
      </c>
      <c r="L492" t="s">
        <v>74</v>
      </c>
      <c r="M492" t="s">
        <v>74</v>
      </c>
      <c r="N492" t="s">
        <v>103</v>
      </c>
      <c r="O492" t="s">
        <v>74</v>
      </c>
      <c r="P492" t="s">
        <v>74</v>
      </c>
      <c r="Q492" t="s">
        <v>74</v>
      </c>
      <c r="R492" t="s">
        <v>74</v>
      </c>
      <c r="S492" t="s">
        <v>74</v>
      </c>
      <c r="T492" t="s">
        <v>818</v>
      </c>
      <c r="U492" t="s">
        <v>819</v>
      </c>
      <c r="V492" t="s">
        <v>820</v>
      </c>
      <c r="W492" t="s">
        <v>821</v>
      </c>
      <c r="X492" t="s">
        <v>822</v>
      </c>
      <c r="Y492" t="s">
        <v>823</v>
      </c>
      <c r="Z492" t="s">
        <v>824</v>
      </c>
      <c r="AA492" t="s">
        <v>825</v>
      </c>
      <c r="AB492" t="s">
        <v>826</v>
      </c>
      <c r="AC492" t="s">
        <v>74</v>
      </c>
      <c r="AD492" t="s">
        <v>74</v>
      </c>
      <c r="AE492" t="s">
        <v>74</v>
      </c>
      <c r="AF492" t="s">
        <v>74</v>
      </c>
      <c r="AG492">
        <v>62</v>
      </c>
      <c r="AH492">
        <v>40</v>
      </c>
      <c r="AI492">
        <v>41</v>
      </c>
      <c r="AJ492">
        <v>1</v>
      </c>
      <c r="AK492">
        <v>3</v>
      </c>
      <c r="AL492" t="s">
        <v>74</v>
      </c>
      <c r="AM492" t="s">
        <v>74</v>
      </c>
      <c r="AN492" t="s">
        <v>74</v>
      </c>
      <c r="AO492" t="s">
        <v>74</v>
      </c>
      <c r="AP492" t="s">
        <v>827</v>
      </c>
      <c r="AQ492" t="s">
        <v>74</v>
      </c>
      <c r="AR492" t="s">
        <v>74</v>
      </c>
      <c r="AS492" t="s">
        <v>74</v>
      </c>
      <c r="AT492" t="s">
        <v>828</v>
      </c>
      <c r="AU492">
        <v>2019</v>
      </c>
      <c r="AV492">
        <v>20</v>
      </c>
      <c r="AW492">
        <v>10</v>
      </c>
      <c r="AX492" t="s">
        <v>74</v>
      </c>
      <c r="AY492" t="s">
        <v>74</v>
      </c>
      <c r="AZ492" t="s">
        <v>74</v>
      </c>
      <c r="BA492" t="s">
        <v>74</v>
      </c>
      <c r="BB492" t="s">
        <v>74</v>
      </c>
      <c r="BC492" t="s">
        <v>74</v>
      </c>
      <c r="BD492">
        <v>2373</v>
      </c>
      <c r="BE492" t="s">
        <v>829</v>
      </c>
      <c r="BF492" t="str">
        <f>HYPERLINK("http://dx.doi.org/10.3390/ijms20102373","http://dx.doi.org/10.3390/ijms20102373")</f>
        <v>http://dx.doi.org/10.3390/ijms20102373</v>
      </c>
      <c r="BG492" t="s">
        <v>74</v>
      </c>
      <c r="BH492" t="s">
        <v>74</v>
      </c>
      <c r="BI492" t="s">
        <v>74</v>
      </c>
      <c r="BJ492" t="s">
        <v>830</v>
      </c>
      <c r="BK492" t="s">
        <v>117</v>
      </c>
      <c r="BL492" t="s">
        <v>831</v>
      </c>
      <c r="BM492" t="s">
        <v>74</v>
      </c>
      <c r="BN492">
        <v>31091653</v>
      </c>
      <c r="BO492" t="s">
        <v>74</v>
      </c>
      <c r="BP492" t="s">
        <v>74</v>
      </c>
      <c r="BQ492" t="s">
        <v>74</v>
      </c>
      <c r="BR492" t="s">
        <v>96</v>
      </c>
      <c r="BS492" t="s">
        <v>832</v>
      </c>
      <c r="BT492" t="str">
        <f>HYPERLINK("https%3A%2F%2Fwww.webofscience.com%2Fwos%2Fwoscc%2Ffull-record%2FWOS:000471001400004","View Full Record in Web of Science")</f>
        <v>View Full Record in Web of Science</v>
      </c>
    </row>
    <row r="493" spans="1:72" x14ac:dyDescent="0.15">
      <c r="A493" t="s">
        <v>98</v>
      </c>
      <c r="B493" t="s">
        <v>2475</v>
      </c>
      <c r="C493" t="s">
        <v>74</v>
      </c>
      <c r="D493" t="s">
        <v>74</v>
      </c>
      <c r="E493" t="s">
        <v>74</v>
      </c>
      <c r="F493" t="s">
        <v>2476</v>
      </c>
      <c r="G493" t="s">
        <v>74</v>
      </c>
      <c r="H493" t="s">
        <v>74</v>
      </c>
      <c r="I493" t="s">
        <v>2477</v>
      </c>
      <c r="J493" t="s">
        <v>2478</v>
      </c>
      <c r="K493" t="s">
        <v>74</v>
      </c>
      <c r="L493" t="s">
        <v>74</v>
      </c>
      <c r="M493" t="s">
        <v>74</v>
      </c>
      <c r="N493" t="s">
        <v>103</v>
      </c>
      <c r="O493" t="s">
        <v>74</v>
      </c>
      <c r="P493" t="s">
        <v>74</v>
      </c>
      <c r="Q493" t="s">
        <v>74</v>
      </c>
      <c r="R493" t="s">
        <v>74</v>
      </c>
      <c r="S493" t="s">
        <v>74</v>
      </c>
      <c r="T493" t="s">
        <v>2479</v>
      </c>
      <c r="U493" t="s">
        <v>2480</v>
      </c>
      <c r="V493" t="s">
        <v>2481</v>
      </c>
      <c r="W493" t="s">
        <v>2482</v>
      </c>
      <c r="X493" t="s">
        <v>2483</v>
      </c>
      <c r="Y493" t="s">
        <v>2484</v>
      </c>
      <c r="Z493" t="s">
        <v>2485</v>
      </c>
      <c r="AA493" t="s">
        <v>74</v>
      </c>
      <c r="AB493" t="s">
        <v>2486</v>
      </c>
      <c r="AC493" t="s">
        <v>74</v>
      </c>
      <c r="AD493" t="s">
        <v>74</v>
      </c>
      <c r="AE493" t="s">
        <v>74</v>
      </c>
      <c r="AF493" t="s">
        <v>74</v>
      </c>
      <c r="AG493">
        <v>29</v>
      </c>
      <c r="AH493">
        <v>40</v>
      </c>
      <c r="AI493">
        <v>41</v>
      </c>
      <c r="AJ493">
        <v>3</v>
      </c>
      <c r="AK493">
        <v>17</v>
      </c>
      <c r="AL493" t="s">
        <v>74</v>
      </c>
      <c r="AM493" t="s">
        <v>74</v>
      </c>
      <c r="AN493" t="s">
        <v>74</v>
      </c>
      <c r="AO493" t="s">
        <v>2487</v>
      </c>
      <c r="AP493" t="s">
        <v>2488</v>
      </c>
      <c r="AQ493" t="s">
        <v>74</v>
      </c>
      <c r="AR493" t="s">
        <v>74</v>
      </c>
      <c r="AS493" t="s">
        <v>74</v>
      </c>
      <c r="AT493" t="s">
        <v>967</v>
      </c>
      <c r="AU493">
        <v>2018</v>
      </c>
      <c r="AV493">
        <v>29</v>
      </c>
      <c r="AW493">
        <v>12</v>
      </c>
      <c r="AX493" t="s">
        <v>74</v>
      </c>
      <c r="AY493" t="s">
        <v>74</v>
      </c>
      <c r="AZ493" t="s">
        <v>74</v>
      </c>
      <c r="BA493" t="s">
        <v>74</v>
      </c>
      <c r="BB493">
        <v>2379</v>
      </c>
      <c r="BC493">
        <v>2383</v>
      </c>
      <c r="BD493" t="s">
        <v>74</v>
      </c>
      <c r="BE493" t="s">
        <v>2489</v>
      </c>
      <c r="BF493" t="str">
        <f>HYPERLINK("http://dx.doi.org/10.1093/annonc/mdy458","http://dx.doi.org/10.1093/annonc/mdy458")</f>
        <v>http://dx.doi.org/10.1093/annonc/mdy458</v>
      </c>
      <c r="BG493" t="s">
        <v>74</v>
      </c>
      <c r="BH493" t="s">
        <v>74</v>
      </c>
      <c r="BI493" t="s">
        <v>74</v>
      </c>
      <c r="BJ493" t="s">
        <v>267</v>
      </c>
      <c r="BK493" t="s">
        <v>117</v>
      </c>
      <c r="BL493" t="s">
        <v>267</v>
      </c>
      <c r="BM493" t="s">
        <v>74</v>
      </c>
      <c r="BN493">
        <v>30339193</v>
      </c>
      <c r="BO493" t="s">
        <v>74</v>
      </c>
      <c r="BP493" t="s">
        <v>74</v>
      </c>
      <c r="BQ493" t="s">
        <v>74</v>
      </c>
      <c r="BR493" t="s">
        <v>96</v>
      </c>
      <c r="BS493" t="s">
        <v>2490</v>
      </c>
      <c r="BT493" t="str">
        <f>HYPERLINK("https%3A%2F%2Fwww.webofscience.com%2Fwos%2Fwoscc%2Ffull-record%2FWOS:000456859200019","View Full Record in Web of Science")</f>
        <v>View Full Record in Web of Science</v>
      </c>
    </row>
    <row r="494" spans="1:72" x14ac:dyDescent="0.15">
      <c r="A494" t="s">
        <v>98</v>
      </c>
      <c r="B494" t="s">
        <v>8811</v>
      </c>
      <c r="C494" t="s">
        <v>74</v>
      </c>
      <c r="D494" t="s">
        <v>74</v>
      </c>
      <c r="E494" t="s">
        <v>74</v>
      </c>
      <c r="F494" t="s">
        <v>8812</v>
      </c>
      <c r="G494" t="s">
        <v>74</v>
      </c>
      <c r="H494" t="s">
        <v>74</v>
      </c>
      <c r="I494" t="s">
        <v>8813</v>
      </c>
      <c r="J494" t="s">
        <v>140</v>
      </c>
      <c r="K494" t="s">
        <v>74</v>
      </c>
      <c r="L494" t="s">
        <v>74</v>
      </c>
      <c r="M494" t="s">
        <v>74</v>
      </c>
      <c r="N494" t="s">
        <v>103</v>
      </c>
      <c r="O494" t="s">
        <v>74</v>
      </c>
      <c r="P494" t="s">
        <v>74</v>
      </c>
      <c r="Q494" t="s">
        <v>74</v>
      </c>
      <c r="R494" t="s">
        <v>74</v>
      </c>
      <c r="S494" t="s">
        <v>74</v>
      </c>
      <c r="T494" t="s">
        <v>74</v>
      </c>
      <c r="U494" t="s">
        <v>8814</v>
      </c>
      <c r="V494" t="s">
        <v>8815</v>
      </c>
      <c r="W494" t="s">
        <v>8816</v>
      </c>
      <c r="X494" t="s">
        <v>8060</v>
      </c>
      <c r="Y494" t="s">
        <v>8817</v>
      </c>
      <c r="Z494" t="s">
        <v>8818</v>
      </c>
      <c r="AA494" t="s">
        <v>8819</v>
      </c>
      <c r="AB494" t="s">
        <v>8820</v>
      </c>
      <c r="AC494" t="s">
        <v>74</v>
      </c>
      <c r="AD494" t="s">
        <v>74</v>
      </c>
      <c r="AE494" t="s">
        <v>74</v>
      </c>
      <c r="AF494" t="s">
        <v>74</v>
      </c>
      <c r="AG494">
        <v>71</v>
      </c>
      <c r="AH494">
        <v>40</v>
      </c>
      <c r="AI494">
        <v>42</v>
      </c>
      <c r="AJ494">
        <v>1</v>
      </c>
      <c r="AK494">
        <v>17</v>
      </c>
      <c r="AL494" t="s">
        <v>74</v>
      </c>
      <c r="AM494" t="s">
        <v>74</v>
      </c>
      <c r="AN494" t="s">
        <v>74</v>
      </c>
      <c r="AO494" t="s">
        <v>149</v>
      </c>
      <c r="AP494" t="s">
        <v>74</v>
      </c>
      <c r="AQ494" t="s">
        <v>74</v>
      </c>
      <c r="AR494" t="s">
        <v>74</v>
      </c>
      <c r="AS494" t="s">
        <v>74</v>
      </c>
      <c r="AT494" t="s">
        <v>8821</v>
      </c>
      <c r="AU494">
        <v>2019</v>
      </c>
      <c r="AV494">
        <v>9</v>
      </c>
      <c r="AW494" t="s">
        <v>74</v>
      </c>
      <c r="AX494" t="s">
        <v>74</v>
      </c>
      <c r="AY494" t="s">
        <v>74</v>
      </c>
      <c r="AZ494" t="s">
        <v>74</v>
      </c>
      <c r="BA494" t="s">
        <v>74</v>
      </c>
      <c r="BB494" t="s">
        <v>74</v>
      </c>
      <c r="BC494" t="s">
        <v>74</v>
      </c>
      <c r="BD494">
        <v>9103</v>
      </c>
      <c r="BE494" t="s">
        <v>8822</v>
      </c>
      <c r="BF494" t="str">
        <f>HYPERLINK("http://dx.doi.org/10.1038/s41598-019-45669-z","http://dx.doi.org/10.1038/s41598-019-45669-z")</f>
        <v>http://dx.doi.org/10.1038/s41598-019-45669-z</v>
      </c>
      <c r="BG494" t="s">
        <v>74</v>
      </c>
      <c r="BH494" t="s">
        <v>74</v>
      </c>
      <c r="BI494" t="s">
        <v>74</v>
      </c>
      <c r="BJ494" t="s">
        <v>152</v>
      </c>
      <c r="BK494" t="s">
        <v>117</v>
      </c>
      <c r="BL494" t="s">
        <v>153</v>
      </c>
      <c r="BM494" t="s">
        <v>74</v>
      </c>
      <c r="BN494">
        <v>31235776</v>
      </c>
      <c r="BO494" t="s">
        <v>74</v>
      </c>
      <c r="BP494" t="s">
        <v>74</v>
      </c>
      <c r="BQ494" t="s">
        <v>74</v>
      </c>
      <c r="BR494" t="s">
        <v>96</v>
      </c>
      <c r="BS494" t="s">
        <v>8823</v>
      </c>
      <c r="BT494" t="str">
        <f>HYPERLINK("https%3A%2F%2Fwww.webofscience.com%2Fwos%2Fwoscc%2Ffull-record%2FWOS:000472597400006","View Full Record in Web of Science")</f>
        <v>View Full Record in Web of Science</v>
      </c>
    </row>
    <row r="495" spans="1:72" x14ac:dyDescent="0.15">
      <c r="A495" t="s">
        <v>98</v>
      </c>
      <c r="B495" t="s">
        <v>13447</v>
      </c>
      <c r="C495" t="s">
        <v>74</v>
      </c>
      <c r="D495" t="s">
        <v>74</v>
      </c>
      <c r="E495" t="s">
        <v>74</v>
      </c>
      <c r="F495" t="s">
        <v>13448</v>
      </c>
      <c r="G495" t="s">
        <v>74</v>
      </c>
      <c r="H495" t="s">
        <v>74</v>
      </c>
      <c r="I495" t="s">
        <v>13449</v>
      </c>
      <c r="J495" t="s">
        <v>2051</v>
      </c>
      <c r="K495" t="s">
        <v>74</v>
      </c>
      <c r="L495" t="s">
        <v>74</v>
      </c>
      <c r="M495" t="s">
        <v>74</v>
      </c>
      <c r="N495" t="s">
        <v>103</v>
      </c>
      <c r="O495" t="s">
        <v>74</v>
      </c>
      <c r="P495" t="s">
        <v>74</v>
      </c>
      <c r="Q495" t="s">
        <v>74</v>
      </c>
      <c r="R495" t="s">
        <v>74</v>
      </c>
      <c r="S495" t="s">
        <v>74</v>
      </c>
      <c r="T495" t="s">
        <v>13450</v>
      </c>
      <c r="U495" t="s">
        <v>13451</v>
      </c>
      <c r="V495" t="s">
        <v>13452</v>
      </c>
      <c r="W495" t="s">
        <v>13453</v>
      </c>
      <c r="X495" t="s">
        <v>13454</v>
      </c>
      <c r="Y495" t="s">
        <v>13455</v>
      </c>
      <c r="Z495" t="s">
        <v>13456</v>
      </c>
      <c r="AA495" t="s">
        <v>74</v>
      </c>
      <c r="AB495" t="s">
        <v>74</v>
      </c>
      <c r="AC495" t="s">
        <v>74</v>
      </c>
      <c r="AD495" t="s">
        <v>74</v>
      </c>
      <c r="AE495" t="s">
        <v>74</v>
      </c>
      <c r="AF495" t="s">
        <v>74</v>
      </c>
      <c r="AG495">
        <v>62</v>
      </c>
      <c r="AH495">
        <v>40</v>
      </c>
      <c r="AI495">
        <v>42</v>
      </c>
      <c r="AJ495">
        <v>9</v>
      </c>
      <c r="AK495">
        <v>21</v>
      </c>
      <c r="AL495" t="s">
        <v>74</v>
      </c>
      <c r="AM495" t="s">
        <v>74</v>
      </c>
      <c r="AN495" t="s">
        <v>74</v>
      </c>
      <c r="AO495" t="s">
        <v>2061</v>
      </c>
      <c r="AP495" t="s">
        <v>74</v>
      </c>
      <c r="AQ495" t="s">
        <v>74</v>
      </c>
      <c r="AR495" t="s">
        <v>74</v>
      </c>
      <c r="AS495" t="s">
        <v>74</v>
      </c>
      <c r="AT495" t="s">
        <v>13457</v>
      </c>
      <c r="AU495">
        <v>2019</v>
      </c>
      <c r="AV495">
        <v>10</v>
      </c>
      <c r="AW495" t="s">
        <v>74</v>
      </c>
      <c r="AX495" t="s">
        <v>74</v>
      </c>
      <c r="AY495" t="s">
        <v>74</v>
      </c>
      <c r="AZ495" t="s">
        <v>74</v>
      </c>
      <c r="BA495" t="s">
        <v>74</v>
      </c>
      <c r="BB495" t="s">
        <v>74</v>
      </c>
      <c r="BC495" t="s">
        <v>74</v>
      </c>
      <c r="BD495">
        <v>1310</v>
      </c>
      <c r="BE495" t="s">
        <v>13458</v>
      </c>
      <c r="BF495" t="str">
        <f>HYPERLINK("http://dx.doi.org/10.3389/fimmu.2019.01310","http://dx.doi.org/10.3389/fimmu.2019.01310")</f>
        <v>http://dx.doi.org/10.3389/fimmu.2019.01310</v>
      </c>
      <c r="BG495" t="s">
        <v>74</v>
      </c>
      <c r="BH495" t="s">
        <v>74</v>
      </c>
      <c r="BI495" t="s">
        <v>74</v>
      </c>
      <c r="BJ495" t="s">
        <v>2064</v>
      </c>
      <c r="BK495" t="s">
        <v>117</v>
      </c>
      <c r="BL495" t="s">
        <v>2064</v>
      </c>
      <c r="BM495" t="s">
        <v>74</v>
      </c>
      <c r="BN495">
        <v>31281309</v>
      </c>
      <c r="BO495" t="s">
        <v>74</v>
      </c>
      <c r="BP495" t="s">
        <v>74</v>
      </c>
      <c r="BQ495" t="s">
        <v>74</v>
      </c>
      <c r="BR495" t="s">
        <v>96</v>
      </c>
      <c r="BS495" t="s">
        <v>13459</v>
      </c>
      <c r="BT495" t="str">
        <f>HYPERLINK("https%3A%2F%2Fwww.webofscience.com%2Fwos%2Fwoscc%2Ffull-record%2FWOS:000472216600001","View Full Record in Web of Science")</f>
        <v>View Full Record in Web of Science</v>
      </c>
    </row>
    <row r="496" spans="1:72" x14ac:dyDescent="0.15">
      <c r="A496" t="s">
        <v>98</v>
      </c>
      <c r="B496" t="s">
        <v>14394</v>
      </c>
      <c r="C496" t="s">
        <v>74</v>
      </c>
      <c r="D496" t="s">
        <v>74</v>
      </c>
      <c r="E496" t="s">
        <v>74</v>
      </c>
      <c r="F496" t="s">
        <v>14395</v>
      </c>
      <c r="G496" t="s">
        <v>74</v>
      </c>
      <c r="H496" t="s">
        <v>74</v>
      </c>
      <c r="I496" t="s">
        <v>14396</v>
      </c>
      <c r="J496" t="s">
        <v>14397</v>
      </c>
      <c r="K496" t="s">
        <v>74</v>
      </c>
      <c r="L496" t="s">
        <v>74</v>
      </c>
      <c r="M496" t="s">
        <v>74</v>
      </c>
      <c r="N496" t="s">
        <v>103</v>
      </c>
      <c r="O496" t="s">
        <v>74</v>
      </c>
      <c r="P496" t="s">
        <v>74</v>
      </c>
      <c r="Q496" t="s">
        <v>74</v>
      </c>
      <c r="R496" t="s">
        <v>74</v>
      </c>
      <c r="S496" t="s">
        <v>74</v>
      </c>
      <c r="T496" t="s">
        <v>14398</v>
      </c>
      <c r="U496" t="s">
        <v>14399</v>
      </c>
      <c r="V496" t="s">
        <v>14400</v>
      </c>
      <c r="W496" t="s">
        <v>14401</v>
      </c>
      <c r="X496" t="s">
        <v>14402</v>
      </c>
      <c r="Y496" t="s">
        <v>14403</v>
      </c>
      <c r="Z496" t="s">
        <v>14404</v>
      </c>
      <c r="AA496" t="s">
        <v>74</v>
      </c>
      <c r="AB496" t="s">
        <v>14405</v>
      </c>
      <c r="AC496" t="s">
        <v>74</v>
      </c>
      <c r="AD496" t="s">
        <v>74</v>
      </c>
      <c r="AE496" t="s">
        <v>74</v>
      </c>
      <c r="AF496" t="s">
        <v>74</v>
      </c>
      <c r="AG496">
        <v>35</v>
      </c>
      <c r="AH496">
        <v>40</v>
      </c>
      <c r="AI496">
        <v>41</v>
      </c>
      <c r="AJ496">
        <v>1</v>
      </c>
      <c r="AK496">
        <v>60</v>
      </c>
      <c r="AL496" t="s">
        <v>74</v>
      </c>
      <c r="AM496" t="s">
        <v>74</v>
      </c>
      <c r="AN496" t="s">
        <v>74</v>
      </c>
      <c r="AO496" t="s">
        <v>14406</v>
      </c>
      <c r="AP496" t="s">
        <v>14407</v>
      </c>
      <c r="AQ496" t="s">
        <v>74</v>
      </c>
      <c r="AR496" t="s">
        <v>74</v>
      </c>
      <c r="AS496" t="s">
        <v>74</v>
      </c>
      <c r="AT496" t="s">
        <v>283</v>
      </c>
      <c r="AU496">
        <v>2013</v>
      </c>
      <c r="AV496">
        <v>41</v>
      </c>
      <c r="AW496" t="s">
        <v>74</v>
      </c>
      <c r="AX496">
        <v>1</v>
      </c>
      <c r="AY496" t="s">
        <v>74</v>
      </c>
      <c r="AZ496" t="s">
        <v>74</v>
      </c>
      <c r="BA496" t="s">
        <v>74</v>
      </c>
      <c r="BB496">
        <v>436</v>
      </c>
      <c r="BC496">
        <v>442</v>
      </c>
      <c r="BD496" t="s">
        <v>74</v>
      </c>
      <c r="BE496" t="s">
        <v>14408</v>
      </c>
      <c r="BF496" t="str">
        <f>HYPERLINK("http://dx.doi.org/10.1042/BST20120293","http://dx.doi.org/10.1042/BST20120293")</f>
        <v>http://dx.doi.org/10.1042/BST20120293</v>
      </c>
      <c r="BG496" t="s">
        <v>74</v>
      </c>
      <c r="BH496" t="s">
        <v>74</v>
      </c>
      <c r="BI496" t="s">
        <v>74</v>
      </c>
      <c r="BJ496" t="s">
        <v>95</v>
      </c>
      <c r="BK496" t="s">
        <v>117</v>
      </c>
      <c r="BL496" t="s">
        <v>95</v>
      </c>
      <c r="BM496" t="s">
        <v>74</v>
      </c>
      <c r="BN496">
        <v>23356325</v>
      </c>
      <c r="BO496" t="s">
        <v>74</v>
      </c>
      <c r="BP496" t="s">
        <v>74</v>
      </c>
      <c r="BQ496" t="s">
        <v>74</v>
      </c>
      <c r="BR496" t="s">
        <v>96</v>
      </c>
      <c r="BS496" t="s">
        <v>14409</v>
      </c>
      <c r="BT496" t="str">
        <f>HYPERLINK("https%3A%2F%2Fwww.webofscience.com%2Fwos%2Fwoscc%2Ffull-record%2FWOS:000314222900074","View Full Record in Web of Science")</f>
        <v>View Full Record in Web of Science</v>
      </c>
    </row>
    <row r="497" spans="1:72" x14ac:dyDescent="0.15">
      <c r="A497" t="s">
        <v>98</v>
      </c>
      <c r="B497" t="s">
        <v>14835</v>
      </c>
      <c r="C497" t="s">
        <v>74</v>
      </c>
      <c r="D497" t="s">
        <v>74</v>
      </c>
      <c r="E497" t="s">
        <v>74</v>
      </c>
      <c r="F497" t="s">
        <v>14836</v>
      </c>
      <c r="G497" t="s">
        <v>74</v>
      </c>
      <c r="H497" t="s">
        <v>74</v>
      </c>
      <c r="I497" t="s">
        <v>14837</v>
      </c>
      <c r="J497" t="s">
        <v>4030</v>
      </c>
      <c r="K497" t="s">
        <v>74</v>
      </c>
      <c r="L497" t="s">
        <v>74</v>
      </c>
      <c r="M497" t="s">
        <v>74</v>
      </c>
      <c r="N497" t="s">
        <v>103</v>
      </c>
      <c r="O497" t="s">
        <v>74</v>
      </c>
      <c r="P497" t="s">
        <v>74</v>
      </c>
      <c r="Q497" t="s">
        <v>74</v>
      </c>
      <c r="R497" t="s">
        <v>74</v>
      </c>
      <c r="S497" t="s">
        <v>74</v>
      </c>
      <c r="T497" t="s">
        <v>14838</v>
      </c>
      <c r="U497" t="s">
        <v>74</v>
      </c>
      <c r="V497" t="s">
        <v>14839</v>
      </c>
      <c r="W497" t="s">
        <v>14840</v>
      </c>
      <c r="X497" t="s">
        <v>14841</v>
      </c>
      <c r="Y497" t="s">
        <v>14842</v>
      </c>
      <c r="Z497" t="s">
        <v>14843</v>
      </c>
      <c r="AA497" t="s">
        <v>74</v>
      </c>
      <c r="AB497" t="s">
        <v>14844</v>
      </c>
      <c r="AC497" t="s">
        <v>74</v>
      </c>
      <c r="AD497" t="s">
        <v>74</v>
      </c>
      <c r="AE497" t="s">
        <v>74</v>
      </c>
      <c r="AF497" t="s">
        <v>74</v>
      </c>
      <c r="AG497">
        <v>50</v>
      </c>
      <c r="AH497">
        <v>40</v>
      </c>
      <c r="AI497">
        <v>41</v>
      </c>
      <c r="AJ497">
        <v>6</v>
      </c>
      <c r="AK497">
        <v>18</v>
      </c>
      <c r="AL497" t="s">
        <v>74</v>
      </c>
      <c r="AM497" t="s">
        <v>74</v>
      </c>
      <c r="AN497" t="s">
        <v>74</v>
      </c>
      <c r="AO497" t="s">
        <v>4037</v>
      </c>
      <c r="AP497" t="s">
        <v>74</v>
      </c>
      <c r="AQ497" t="s">
        <v>74</v>
      </c>
      <c r="AR497" t="s">
        <v>74</v>
      </c>
      <c r="AS497" t="s">
        <v>74</v>
      </c>
      <c r="AT497" t="s">
        <v>74</v>
      </c>
      <c r="AU497">
        <v>2015</v>
      </c>
      <c r="AV497">
        <v>3</v>
      </c>
      <c r="AW497" t="s">
        <v>74</v>
      </c>
      <c r="AX497" t="s">
        <v>74</v>
      </c>
      <c r="AY497" t="s">
        <v>74</v>
      </c>
      <c r="AZ497" t="s">
        <v>74</v>
      </c>
      <c r="BA497" t="s">
        <v>74</v>
      </c>
      <c r="BB497" t="s">
        <v>74</v>
      </c>
      <c r="BC497" t="s">
        <v>74</v>
      </c>
      <c r="BD497">
        <v>123</v>
      </c>
      <c r="BE497" t="s">
        <v>14845</v>
      </c>
      <c r="BF497" t="str">
        <f>HYPERLINK("http://dx.doi.org/10.3389/fbioe.2015.00123","http://dx.doi.org/10.3389/fbioe.2015.00123")</f>
        <v>http://dx.doi.org/10.3389/fbioe.2015.00123</v>
      </c>
      <c r="BG497" t="s">
        <v>74</v>
      </c>
      <c r="BH497" t="s">
        <v>74</v>
      </c>
      <c r="BI497" t="s">
        <v>74</v>
      </c>
      <c r="BJ497" t="s">
        <v>4040</v>
      </c>
      <c r="BK497" t="s">
        <v>117</v>
      </c>
      <c r="BL497" t="s">
        <v>3878</v>
      </c>
      <c r="BM497" t="s">
        <v>74</v>
      </c>
      <c r="BN497">
        <v>26380258</v>
      </c>
      <c r="BO497" t="s">
        <v>74</v>
      </c>
      <c r="BP497" t="s">
        <v>74</v>
      </c>
      <c r="BQ497" t="s">
        <v>74</v>
      </c>
      <c r="BR497" t="s">
        <v>96</v>
      </c>
      <c r="BS497" t="s">
        <v>14846</v>
      </c>
      <c r="BT497" t="str">
        <f>HYPERLINK("https%3A%2F%2Fwww.webofscience.com%2Fwos%2Fwoscc%2Ffull-record%2FWOS:000536548500119","View Full Record in Web of Science")</f>
        <v>View Full Record in Web of Science</v>
      </c>
    </row>
    <row r="498" spans="1:72" x14ac:dyDescent="0.15">
      <c r="A498" t="s">
        <v>98</v>
      </c>
      <c r="B498" t="s">
        <v>15817</v>
      </c>
      <c r="C498" t="s">
        <v>74</v>
      </c>
      <c r="D498" t="s">
        <v>74</v>
      </c>
      <c r="E498" t="s">
        <v>74</v>
      </c>
      <c r="F498" t="s">
        <v>15818</v>
      </c>
      <c r="G498" t="s">
        <v>74</v>
      </c>
      <c r="H498" t="s">
        <v>74</v>
      </c>
      <c r="I498" t="s">
        <v>15819</v>
      </c>
      <c r="J498" t="s">
        <v>4501</v>
      </c>
      <c r="K498" t="s">
        <v>74</v>
      </c>
      <c r="L498" t="s">
        <v>74</v>
      </c>
      <c r="M498" t="s">
        <v>74</v>
      </c>
      <c r="N498" t="s">
        <v>103</v>
      </c>
      <c r="O498" t="s">
        <v>74</v>
      </c>
      <c r="P498" t="s">
        <v>74</v>
      </c>
      <c r="Q498" t="s">
        <v>74</v>
      </c>
      <c r="R498" t="s">
        <v>74</v>
      </c>
      <c r="S498" t="s">
        <v>74</v>
      </c>
      <c r="T498" t="s">
        <v>74</v>
      </c>
      <c r="U498" t="s">
        <v>15820</v>
      </c>
      <c r="V498" t="s">
        <v>15821</v>
      </c>
      <c r="W498" t="s">
        <v>15822</v>
      </c>
      <c r="X498" t="s">
        <v>15823</v>
      </c>
      <c r="Y498" t="s">
        <v>15824</v>
      </c>
      <c r="Z498" t="s">
        <v>13081</v>
      </c>
      <c r="AA498" t="s">
        <v>74</v>
      </c>
      <c r="AB498" t="s">
        <v>15825</v>
      </c>
      <c r="AC498" t="s">
        <v>74</v>
      </c>
      <c r="AD498" t="s">
        <v>74</v>
      </c>
      <c r="AE498" t="s">
        <v>74</v>
      </c>
      <c r="AF498" t="s">
        <v>74</v>
      </c>
      <c r="AG498">
        <v>46</v>
      </c>
      <c r="AH498">
        <v>40</v>
      </c>
      <c r="AI498">
        <v>42</v>
      </c>
      <c r="AJ498">
        <v>1</v>
      </c>
      <c r="AK498">
        <v>4</v>
      </c>
      <c r="AL498" t="s">
        <v>74</v>
      </c>
      <c r="AM498" t="s">
        <v>74</v>
      </c>
      <c r="AN498" t="s">
        <v>74</v>
      </c>
      <c r="AO498" t="s">
        <v>4511</v>
      </c>
      <c r="AP498" t="s">
        <v>74</v>
      </c>
      <c r="AQ498" t="s">
        <v>74</v>
      </c>
      <c r="AR498" t="s">
        <v>74</v>
      </c>
      <c r="AS498" t="s">
        <v>74</v>
      </c>
      <c r="AT498" t="s">
        <v>614</v>
      </c>
      <c r="AU498">
        <v>2011</v>
      </c>
      <c r="AV498">
        <v>78</v>
      </c>
      <c r="AW498">
        <v>7</v>
      </c>
      <c r="AX498" t="s">
        <v>74</v>
      </c>
      <c r="AY498" t="s">
        <v>74</v>
      </c>
      <c r="AZ498" t="s">
        <v>74</v>
      </c>
      <c r="BA498" t="s">
        <v>74</v>
      </c>
      <c r="BB498">
        <v>467</v>
      </c>
      <c r="BC498">
        <v>476</v>
      </c>
      <c r="BD498" t="s">
        <v>74</v>
      </c>
      <c r="BE498" t="s">
        <v>15826</v>
      </c>
      <c r="BF498" t="str">
        <f>HYPERLINK("http://dx.doi.org/10.1002/mrd.21327","http://dx.doi.org/10.1002/mrd.21327")</f>
        <v>http://dx.doi.org/10.1002/mrd.21327</v>
      </c>
      <c r="BG498" t="s">
        <v>74</v>
      </c>
      <c r="BH498" t="s">
        <v>74</v>
      </c>
      <c r="BI498" t="s">
        <v>74</v>
      </c>
      <c r="BJ498" t="s">
        <v>4514</v>
      </c>
      <c r="BK498" t="s">
        <v>117</v>
      </c>
      <c r="BL498" t="s">
        <v>4514</v>
      </c>
      <c r="BM498" t="s">
        <v>74</v>
      </c>
      <c r="BN498">
        <v>21638509</v>
      </c>
      <c r="BO498" t="s">
        <v>74</v>
      </c>
      <c r="BP498" t="s">
        <v>74</v>
      </c>
      <c r="BQ498" t="s">
        <v>74</v>
      </c>
      <c r="BR498" t="s">
        <v>96</v>
      </c>
      <c r="BS498" t="s">
        <v>15827</v>
      </c>
      <c r="BT498" t="str">
        <f>HYPERLINK("https%3A%2F%2Fwww.webofscience.com%2Fwos%2Fwoscc%2Ffull-record%2FWOS:000293457500004","View Full Record in Web of Science")</f>
        <v>View Full Record in Web of Science</v>
      </c>
    </row>
    <row r="499" spans="1:72" x14ac:dyDescent="0.15">
      <c r="A499" t="s">
        <v>98</v>
      </c>
      <c r="B499" t="s">
        <v>15966</v>
      </c>
      <c r="C499" t="s">
        <v>74</v>
      </c>
      <c r="D499" t="s">
        <v>74</v>
      </c>
      <c r="E499" t="s">
        <v>74</v>
      </c>
      <c r="F499" t="s">
        <v>15967</v>
      </c>
      <c r="G499" t="s">
        <v>74</v>
      </c>
      <c r="H499" t="s">
        <v>74</v>
      </c>
      <c r="I499" t="s">
        <v>15968</v>
      </c>
      <c r="J499" t="s">
        <v>6273</v>
      </c>
      <c r="K499" t="s">
        <v>74</v>
      </c>
      <c r="L499" t="s">
        <v>74</v>
      </c>
      <c r="M499" t="s">
        <v>74</v>
      </c>
      <c r="N499" t="s">
        <v>980</v>
      </c>
      <c r="O499" t="s">
        <v>15969</v>
      </c>
      <c r="P499" t="s">
        <v>15970</v>
      </c>
      <c r="Q499" t="s">
        <v>9427</v>
      </c>
      <c r="R499" t="s">
        <v>74</v>
      </c>
      <c r="S499" t="s">
        <v>74</v>
      </c>
      <c r="T499" t="s">
        <v>15971</v>
      </c>
      <c r="U499" t="s">
        <v>15972</v>
      </c>
      <c r="V499" t="s">
        <v>15973</v>
      </c>
      <c r="W499" t="s">
        <v>15974</v>
      </c>
      <c r="X499" t="s">
        <v>15975</v>
      </c>
      <c r="Y499" t="s">
        <v>15976</v>
      </c>
      <c r="Z499" t="s">
        <v>15977</v>
      </c>
      <c r="AA499" t="s">
        <v>15978</v>
      </c>
      <c r="AB499" t="s">
        <v>15979</v>
      </c>
      <c r="AC499" t="s">
        <v>74</v>
      </c>
      <c r="AD499" t="s">
        <v>74</v>
      </c>
      <c r="AE499" t="s">
        <v>74</v>
      </c>
      <c r="AF499" t="s">
        <v>74</v>
      </c>
      <c r="AG499">
        <v>50</v>
      </c>
      <c r="AH499">
        <v>40</v>
      </c>
      <c r="AI499">
        <v>40</v>
      </c>
      <c r="AJ499">
        <v>2</v>
      </c>
      <c r="AK499">
        <v>26</v>
      </c>
      <c r="AL499" t="s">
        <v>74</v>
      </c>
      <c r="AM499" t="s">
        <v>74</v>
      </c>
      <c r="AN499" t="s">
        <v>74</v>
      </c>
      <c r="AO499" t="s">
        <v>6281</v>
      </c>
      <c r="AP499" t="s">
        <v>6282</v>
      </c>
      <c r="AQ499" t="s">
        <v>74</v>
      </c>
      <c r="AR499" t="s">
        <v>74</v>
      </c>
      <c r="AS499" t="s">
        <v>74</v>
      </c>
      <c r="AT499" t="s">
        <v>230</v>
      </c>
      <c r="AU499">
        <v>2018</v>
      </c>
      <c r="AV499">
        <v>200</v>
      </c>
      <c r="AW499">
        <v>15</v>
      </c>
      <c r="AX499" t="s">
        <v>74</v>
      </c>
      <c r="AY499" t="s">
        <v>74</v>
      </c>
      <c r="AZ499" t="s">
        <v>74</v>
      </c>
      <c r="BA499" t="s">
        <v>74</v>
      </c>
      <c r="BB499" t="s">
        <v>74</v>
      </c>
      <c r="BC499" t="s">
        <v>74</v>
      </c>
      <c r="BD499" t="s">
        <v>15980</v>
      </c>
      <c r="BE499" t="s">
        <v>15981</v>
      </c>
      <c r="BF499" t="str">
        <f>HYPERLINK("http://dx.doi.org/10.1128/JB.00740-17","http://dx.doi.org/10.1128/JB.00740-17")</f>
        <v>http://dx.doi.org/10.1128/JB.00740-17</v>
      </c>
      <c r="BG499" t="s">
        <v>74</v>
      </c>
      <c r="BH499" t="s">
        <v>74</v>
      </c>
      <c r="BI499" t="s">
        <v>74</v>
      </c>
      <c r="BJ499" t="s">
        <v>898</v>
      </c>
      <c r="BK499" t="s">
        <v>997</v>
      </c>
      <c r="BL499" t="s">
        <v>898</v>
      </c>
      <c r="BM499" t="s">
        <v>74</v>
      </c>
      <c r="BN499">
        <v>29555694</v>
      </c>
      <c r="BO499" t="s">
        <v>74</v>
      </c>
      <c r="BP499" t="s">
        <v>74</v>
      </c>
      <c r="BQ499" t="s">
        <v>74</v>
      </c>
      <c r="BR499" t="s">
        <v>96</v>
      </c>
      <c r="BS499" t="s">
        <v>15982</v>
      </c>
      <c r="BT499" t="str">
        <f>HYPERLINK("https%3A%2F%2Fwww.webofscience.com%2Fwos%2Fwoscc%2Ffull-record%2FWOS:000439047500013","View Full Record in Web of Science")</f>
        <v>View Full Record in Web of Science</v>
      </c>
    </row>
    <row r="500" spans="1:72" x14ac:dyDescent="0.15">
      <c r="A500" t="s">
        <v>98</v>
      </c>
      <c r="B500" t="s">
        <v>19022</v>
      </c>
      <c r="C500" t="s">
        <v>74</v>
      </c>
      <c r="D500" t="s">
        <v>74</v>
      </c>
      <c r="E500" t="s">
        <v>74</v>
      </c>
      <c r="F500" t="s">
        <v>19023</v>
      </c>
      <c r="G500" t="s">
        <v>74</v>
      </c>
      <c r="H500" t="s">
        <v>74</v>
      </c>
      <c r="I500" t="s">
        <v>19024</v>
      </c>
      <c r="J500" t="s">
        <v>1159</v>
      </c>
      <c r="K500" t="s">
        <v>74</v>
      </c>
      <c r="L500" t="s">
        <v>74</v>
      </c>
      <c r="M500" t="s">
        <v>74</v>
      </c>
      <c r="N500" t="s">
        <v>103</v>
      </c>
      <c r="O500" t="s">
        <v>74</v>
      </c>
      <c r="P500" t="s">
        <v>74</v>
      </c>
      <c r="Q500" t="s">
        <v>74</v>
      </c>
      <c r="R500" t="s">
        <v>74</v>
      </c>
      <c r="S500" t="s">
        <v>74</v>
      </c>
      <c r="T500" t="s">
        <v>19025</v>
      </c>
      <c r="U500" t="s">
        <v>19026</v>
      </c>
      <c r="V500" t="s">
        <v>19027</v>
      </c>
      <c r="W500" t="s">
        <v>19028</v>
      </c>
      <c r="X500" t="s">
        <v>19029</v>
      </c>
      <c r="Y500" t="s">
        <v>19030</v>
      </c>
      <c r="Z500" t="s">
        <v>19031</v>
      </c>
      <c r="AA500" t="s">
        <v>74</v>
      </c>
      <c r="AB500" t="s">
        <v>19032</v>
      </c>
      <c r="AC500" t="s">
        <v>74</v>
      </c>
      <c r="AD500" t="s">
        <v>74</v>
      </c>
      <c r="AE500" t="s">
        <v>74</v>
      </c>
      <c r="AF500" t="s">
        <v>74</v>
      </c>
      <c r="AG500">
        <v>50</v>
      </c>
      <c r="AH500">
        <v>40</v>
      </c>
      <c r="AI500">
        <v>40</v>
      </c>
      <c r="AJ500">
        <v>3</v>
      </c>
      <c r="AK500">
        <v>19</v>
      </c>
      <c r="AL500" t="s">
        <v>74</v>
      </c>
      <c r="AM500" t="s">
        <v>74</v>
      </c>
      <c r="AN500" t="s">
        <v>74</v>
      </c>
      <c r="AO500" t="s">
        <v>74</v>
      </c>
      <c r="AP500" t="s">
        <v>1168</v>
      </c>
      <c r="AQ500" t="s">
        <v>74</v>
      </c>
      <c r="AR500" t="s">
        <v>74</v>
      </c>
      <c r="AS500" t="s">
        <v>74</v>
      </c>
      <c r="AT500" t="s">
        <v>8936</v>
      </c>
      <c r="AU500">
        <v>2020</v>
      </c>
      <c r="AV500">
        <v>19</v>
      </c>
      <c r="AW500">
        <v>1</v>
      </c>
      <c r="AX500" t="s">
        <v>74</v>
      </c>
      <c r="AY500" t="s">
        <v>74</v>
      </c>
      <c r="AZ500" t="s">
        <v>74</v>
      </c>
      <c r="BA500" t="s">
        <v>74</v>
      </c>
      <c r="BB500" t="s">
        <v>74</v>
      </c>
      <c r="BC500" t="s">
        <v>74</v>
      </c>
      <c r="BD500">
        <v>68</v>
      </c>
      <c r="BE500" t="s">
        <v>19033</v>
      </c>
      <c r="BF500" t="str">
        <f>HYPERLINK("http://dx.doi.org/10.1186/s12943-020-01178-6","http://dx.doi.org/10.1186/s12943-020-01178-6")</f>
        <v>http://dx.doi.org/10.1186/s12943-020-01178-6</v>
      </c>
      <c r="BG500" t="s">
        <v>74</v>
      </c>
      <c r="BH500" t="s">
        <v>74</v>
      </c>
      <c r="BI500" t="s">
        <v>74</v>
      </c>
      <c r="BJ500" t="s">
        <v>357</v>
      </c>
      <c r="BK500" t="s">
        <v>117</v>
      </c>
      <c r="BL500" t="s">
        <v>357</v>
      </c>
      <c r="BM500" t="s">
        <v>74</v>
      </c>
      <c r="BN500">
        <v>32228703</v>
      </c>
      <c r="BO500" t="s">
        <v>74</v>
      </c>
      <c r="BP500" t="s">
        <v>74</v>
      </c>
      <c r="BQ500" t="s">
        <v>74</v>
      </c>
      <c r="BR500" t="s">
        <v>96</v>
      </c>
      <c r="BS500" t="s">
        <v>19034</v>
      </c>
      <c r="BT500" t="str">
        <f>HYPERLINK("https%3A%2F%2Fwww.webofscience.com%2Fwos%2Fwoscc%2Ffull-record%2FWOS:000523496500001","View Full Record in Web of Science")</f>
        <v>View Full Record in Web of Science</v>
      </c>
    </row>
    <row r="501" spans="1:72" x14ac:dyDescent="0.15">
      <c r="A501" t="s">
        <v>98</v>
      </c>
      <c r="B501" t="s">
        <v>23303</v>
      </c>
      <c r="C501" t="s">
        <v>74</v>
      </c>
      <c r="D501" t="s">
        <v>74</v>
      </c>
      <c r="E501" t="s">
        <v>74</v>
      </c>
      <c r="F501" t="s">
        <v>23304</v>
      </c>
      <c r="G501" t="s">
        <v>74</v>
      </c>
      <c r="H501" t="s">
        <v>74</v>
      </c>
      <c r="I501" t="s">
        <v>23305</v>
      </c>
      <c r="J501" t="s">
        <v>7678</v>
      </c>
      <c r="K501" t="s">
        <v>74</v>
      </c>
      <c r="L501" t="s">
        <v>74</v>
      </c>
      <c r="M501" t="s">
        <v>74</v>
      </c>
      <c r="N501" t="s">
        <v>103</v>
      </c>
      <c r="O501" t="s">
        <v>74</v>
      </c>
      <c r="P501" t="s">
        <v>74</v>
      </c>
      <c r="Q501" t="s">
        <v>74</v>
      </c>
      <c r="R501" t="s">
        <v>74</v>
      </c>
      <c r="S501" t="s">
        <v>74</v>
      </c>
      <c r="T501" t="s">
        <v>23306</v>
      </c>
      <c r="U501" t="s">
        <v>23307</v>
      </c>
      <c r="V501" t="s">
        <v>23308</v>
      </c>
      <c r="W501" t="s">
        <v>23309</v>
      </c>
      <c r="X501" t="s">
        <v>23310</v>
      </c>
      <c r="Y501" t="s">
        <v>23311</v>
      </c>
      <c r="Z501" t="s">
        <v>23312</v>
      </c>
      <c r="AA501" t="s">
        <v>74</v>
      </c>
      <c r="AB501" t="s">
        <v>74</v>
      </c>
      <c r="AC501" t="s">
        <v>74</v>
      </c>
      <c r="AD501" t="s">
        <v>74</v>
      </c>
      <c r="AE501" t="s">
        <v>74</v>
      </c>
      <c r="AF501" t="s">
        <v>74</v>
      </c>
      <c r="AG501">
        <v>28</v>
      </c>
      <c r="AH501">
        <v>40</v>
      </c>
      <c r="AI501">
        <v>44</v>
      </c>
      <c r="AJ501">
        <v>1</v>
      </c>
      <c r="AK501">
        <v>14</v>
      </c>
      <c r="AL501" t="s">
        <v>74</v>
      </c>
      <c r="AM501" t="s">
        <v>74</v>
      </c>
      <c r="AN501" t="s">
        <v>74</v>
      </c>
      <c r="AO501" t="s">
        <v>7688</v>
      </c>
      <c r="AP501" t="s">
        <v>7689</v>
      </c>
      <c r="AQ501" t="s">
        <v>74</v>
      </c>
      <c r="AR501" t="s">
        <v>74</v>
      </c>
      <c r="AS501" t="s">
        <v>74</v>
      </c>
      <c r="AT501" t="s">
        <v>23313</v>
      </c>
      <c r="AU501">
        <v>2019</v>
      </c>
      <c r="AV501">
        <v>25</v>
      </c>
      <c r="AW501">
        <v>15</v>
      </c>
      <c r="AX501" t="s">
        <v>74</v>
      </c>
      <c r="AY501" t="s">
        <v>74</v>
      </c>
      <c r="AZ501" t="s">
        <v>74</v>
      </c>
      <c r="BA501" t="s">
        <v>74</v>
      </c>
      <c r="BB501">
        <v>1890</v>
      </c>
      <c r="BC501">
        <v>1898</v>
      </c>
      <c r="BD501" t="s">
        <v>74</v>
      </c>
      <c r="BE501" t="s">
        <v>23314</v>
      </c>
      <c r="BF501" t="str">
        <f>HYPERLINK("http://dx.doi.org/10.3748/wjg.v25.i15.1890","http://dx.doi.org/10.3748/wjg.v25.i15.1890")</f>
        <v>http://dx.doi.org/10.3748/wjg.v25.i15.1890</v>
      </c>
      <c r="BG501" t="s">
        <v>74</v>
      </c>
      <c r="BH501" t="s">
        <v>74</v>
      </c>
      <c r="BI501" t="s">
        <v>74</v>
      </c>
      <c r="BJ501" t="s">
        <v>633</v>
      </c>
      <c r="BK501" t="s">
        <v>117</v>
      </c>
      <c r="BL501" t="s">
        <v>633</v>
      </c>
      <c r="BM501" t="s">
        <v>74</v>
      </c>
      <c r="BN501">
        <v>31057302</v>
      </c>
      <c r="BO501" t="s">
        <v>74</v>
      </c>
      <c r="BP501" t="s">
        <v>74</v>
      </c>
      <c r="BQ501" t="s">
        <v>74</v>
      </c>
      <c r="BR501" t="s">
        <v>96</v>
      </c>
      <c r="BS501" t="s">
        <v>23315</v>
      </c>
      <c r="BT501" t="str">
        <f>HYPERLINK("https%3A%2F%2Fwww.webofscience.com%2Fwos%2Fwoscc%2Ffull-record%2FWOS:000465126200009","View Full Record in Web of Science")</f>
        <v>View Full Record in Web of Science</v>
      </c>
    </row>
    <row r="502" spans="1:72" x14ac:dyDescent="0.15">
      <c r="A502" t="s">
        <v>98</v>
      </c>
      <c r="B502" t="s">
        <v>24642</v>
      </c>
      <c r="C502" t="s">
        <v>74</v>
      </c>
      <c r="D502" t="s">
        <v>74</v>
      </c>
      <c r="E502" t="s">
        <v>74</v>
      </c>
      <c r="F502" t="s">
        <v>24642</v>
      </c>
      <c r="G502" t="s">
        <v>74</v>
      </c>
      <c r="H502" t="s">
        <v>74</v>
      </c>
      <c r="I502" t="s">
        <v>24643</v>
      </c>
      <c r="J502" t="s">
        <v>24644</v>
      </c>
      <c r="K502" t="s">
        <v>74</v>
      </c>
      <c r="L502" t="s">
        <v>74</v>
      </c>
      <c r="M502" t="s">
        <v>74</v>
      </c>
      <c r="N502" t="s">
        <v>103</v>
      </c>
      <c r="O502" t="s">
        <v>74</v>
      </c>
      <c r="P502" t="s">
        <v>74</v>
      </c>
      <c r="Q502" t="s">
        <v>74</v>
      </c>
      <c r="R502" t="s">
        <v>74</v>
      </c>
      <c r="S502" t="s">
        <v>74</v>
      </c>
      <c r="T502" t="s">
        <v>74</v>
      </c>
      <c r="U502" t="s">
        <v>24645</v>
      </c>
      <c r="V502" t="s">
        <v>24646</v>
      </c>
      <c r="W502" t="s">
        <v>74</v>
      </c>
      <c r="X502" t="s">
        <v>74</v>
      </c>
      <c r="Y502" t="s">
        <v>24647</v>
      </c>
      <c r="Z502" t="s">
        <v>74</v>
      </c>
      <c r="AA502" t="s">
        <v>74</v>
      </c>
      <c r="AB502" t="s">
        <v>24648</v>
      </c>
      <c r="AC502" t="s">
        <v>74</v>
      </c>
      <c r="AD502" t="s">
        <v>74</v>
      </c>
      <c r="AE502" t="s">
        <v>74</v>
      </c>
      <c r="AF502" t="s">
        <v>74</v>
      </c>
      <c r="AG502">
        <v>45</v>
      </c>
      <c r="AH502">
        <v>40</v>
      </c>
      <c r="AI502">
        <v>40</v>
      </c>
      <c r="AJ502">
        <v>0</v>
      </c>
      <c r="AK502">
        <v>0</v>
      </c>
      <c r="AL502" t="s">
        <v>74</v>
      </c>
      <c r="AM502" t="s">
        <v>74</v>
      </c>
      <c r="AN502" t="s">
        <v>74</v>
      </c>
      <c r="AO502" t="s">
        <v>24649</v>
      </c>
      <c r="AP502" t="s">
        <v>74</v>
      </c>
      <c r="AQ502" t="s">
        <v>74</v>
      </c>
      <c r="AR502" t="s">
        <v>74</v>
      </c>
      <c r="AS502" t="s">
        <v>74</v>
      </c>
      <c r="AT502" t="s">
        <v>283</v>
      </c>
      <c r="AU502">
        <v>1992</v>
      </c>
      <c r="AV502">
        <v>6</v>
      </c>
      <c r="AW502">
        <v>2</v>
      </c>
      <c r="AX502" t="s">
        <v>74</v>
      </c>
      <c r="AY502" t="s">
        <v>74</v>
      </c>
      <c r="AZ502" t="s">
        <v>74</v>
      </c>
      <c r="BA502" t="s">
        <v>74</v>
      </c>
      <c r="BB502">
        <v>207</v>
      </c>
      <c r="BC502">
        <v>218</v>
      </c>
      <c r="BD502" t="s">
        <v>74</v>
      </c>
      <c r="BE502" t="s">
        <v>24650</v>
      </c>
      <c r="BF502" t="str">
        <f>HYPERLINK("http://dx.doi.org/10.1210/me.6.2.207","http://dx.doi.org/10.1210/me.6.2.207")</f>
        <v>http://dx.doi.org/10.1210/me.6.2.207</v>
      </c>
      <c r="BG502" t="s">
        <v>74</v>
      </c>
      <c r="BH502" t="s">
        <v>74</v>
      </c>
      <c r="BI502" t="s">
        <v>74</v>
      </c>
      <c r="BJ502" t="s">
        <v>3599</v>
      </c>
      <c r="BK502" t="s">
        <v>117</v>
      </c>
      <c r="BL502" t="s">
        <v>3599</v>
      </c>
      <c r="BM502" t="s">
        <v>74</v>
      </c>
      <c r="BN502">
        <v>1569964</v>
      </c>
      <c r="BO502" t="s">
        <v>74</v>
      </c>
      <c r="BP502" t="s">
        <v>74</v>
      </c>
      <c r="BQ502" t="s">
        <v>74</v>
      </c>
      <c r="BR502" t="s">
        <v>96</v>
      </c>
      <c r="BS502" t="s">
        <v>24651</v>
      </c>
      <c r="BT502" t="str">
        <f>HYPERLINK("https%3A%2F%2Fwww.webofscience.com%2Fwos%2Fwoscc%2Ffull-record%2FWOS:A1992HH58300007","View Full Record in Web of Science")</f>
        <v>View Full Record in Web of Science</v>
      </c>
    </row>
    <row r="503" spans="1:72" x14ac:dyDescent="0.15">
      <c r="A503" t="s">
        <v>98</v>
      </c>
      <c r="B503" t="s">
        <v>25346</v>
      </c>
      <c r="C503" t="s">
        <v>74</v>
      </c>
      <c r="D503" t="s">
        <v>74</v>
      </c>
      <c r="E503" t="s">
        <v>74</v>
      </c>
      <c r="F503" t="s">
        <v>25347</v>
      </c>
      <c r="G503" t="s">
        <v>74</v>
      </c>
      <c r="H503" t="s">
        <v>74</v>
      </c>
      <c r="I503" t="s">
        <v>25348</v>
      </c>
      <c r="J503" t="s">
        <v>25349</v>
      </c>
      <c r="K503" t="s">
        <v>74</v>
      </c>
      <c r="L503" t="s">
        <v>74</v>
      </c>
      <c r="M503" t="s">
        <v>74</v>
      </c>
      <c r="N503" t="s">
        <v>103</v>
      </c>
      <c r="O503" t="s">
        <v>74</v>
      </c>
      <c r="P503" t="s">
        <v>74</v>
      </c>
      <c r="Q503" t="s">
        <v>74</v>
      </c>
      <c r="R503" t="s">
        <v>74</v>
      </c>
      <c r="S503" t="s">
        <v>74</v>
      </c>
      <c r="T503" t="s">
        <v>25350</v>
      </c>
      <c r="U503" t="s">
        <v>25351</v>
      </c>
      <c r="V503" t="s">
        <v>25352</v>
      </c>
      <c r="W503" t="s">
        <v>25353</v>
      </c>
      <c r="X503" t="s">
        <v>25354</v>
      </c>
      <c r="Y503" t="s">
        <v>25355</v>
      </c>
      <c r="Z503" t="s">
        <v>25356</v>
      </c>
      <c r="AA503" t="s">
        <v>25357</v>
      </c>
      <c r="AB503" t="s">
        <v>25358</v>
      </c>
      <c r="AC503" t="s">
        <v>74</v>
      </c>
      <c r="AD503" t="s">
        <v>74</v>
      </c>
      <c r="AE503" t="s">
        <v>74</v>
      </c>
      <c r="AF503" t="s">
        <v>74</v>
      </c>
      <c r="AG503">
        <v>50</v>
      </c>
      <c r="AH503">
        <v>40</v>
      </c>
      <c r="AI503">
        <v>42</v>
      </c>
      <c r="AJ503">
        <v>1</v>
      </c>
      <c r="AK503">
        <v>7</v>
      </c>
      <c r="AL503" t="s">
        <v>74</v>
      </c>
      <c r="AM503" t="s">
        <v>74</v>
      </c>
      <c r="AN503" t="s">
        <v>74</v>
      </c>
      <c r="AO503" t="s">
        <v>25359</v>
      </c>
      <c r="AP503" t="s">
        <v>25360</v>
      </c>
      <c r="AQ503" t="s">
        <v>74</v>
      </c>
      <c r="AR503" t="s">
        <v>74</v>
      </c>
      <c r="AS503" t="s">
        <v>74</v>
      </c>
      <c r="AT503" t="s">
        <v>132</v>
      </c>
      <c r="AU503">
        <v>2018</v>
      </c>
      <c r="AV503">
        <v>97</v>
      </c>
      <c r="AW503">
        <v>3</v>
      </c>
      <c r="AX503" t="s">
        <v>74</v>
      </c>
      <c r="AY503" t="s">
        <v>74</v>
      </c>
      <c r="AZ503" t="s">
        <v>74</v>
      </c>
      <c r="BA503" t="s">
        <v>74</v>
      </c>
      <c r="BB503">
        <v>163</v>
      </c>
      <c r="BC503">
        <v>167</v>
      </c>
      <c r="BD503" t="s">
        <v>74</v>
      </c>
      <c r="BE503" t="s">
        <v>25361</v>
      </c>
      <c r="BF503" t="str">
        <f>HYPERLINK("http://dx.doi.org/10.1016/j.ejcb.2018.02.003","http://dx.doi.org/10.1016/j.ejcb.2018.02.003")</f>
        <v>http://dx.doi.org/10.1016/j.ejcb.2018.02.003</v>
      </c>
      <c r="BG503" t="s">
        <v>74</v>
      </c>
      <c r="BH503" t="s">
        <v>74</v>
      </c>
      <c r="BI503" t="s">
        <v>74</v>
      </c>
      <c r="BJ503" t="s">
        <v>135</v>
      </c>
      <c r="BK503" t="s">
        <v>117</v>
      </c>
      <c r="BL503" t="s">
        <v>135</v>
      </c>
      <c r="BM503" t="s">
        <v>74</v>
      </c>
      <c r="BN503">
        <v>29478751</v>
      </c>
      <c r="BO503" t="s">
        <v>74</v>
      </c>
      <c r="BP503" t="s">
        <v>74</v>
      </c>
      <c r="BQ503" t="s">
        <v>74</v>
      </c>
      <c r="BR503" t="s">
        <v>96</v>
      </c>
      <c r="BS503" t="s">
        <v>25362</v>
      </c>
      <c r="BT503" t="str">
        <f>HYPERLINK("https%3A%2F%2Fwww.webofscience.com%2Fwos%2Fwoscc%2Ffull-record%2FWOS:000430737900003","View Full Record in Web of Science")</f>
        <v>View Full Record in Web of Science</v>
      </c>
    </row>
    <row r="504" spans="1:72" x14ac:dyDescent="0.15">
      <c r="A504" t="s">
        <v>98</v>
      </c>
      <c r="B504" t="s">
        <v>28614</v>
      </c>
      <c r="C504" t="s">
        <v>74</v>
      </c>
      <c r="D504" t="s">
        <v>74</v>
      </c>
      <c r="E504" t="s">
        <v>74</v>
      </c>
      <c r="F504" t="s">
        <v>28615</v>
      </c>
      <c r="G504" t="s">
        <v>74</v>
      </c>
      <c r="H504" t="s">
        <v>74</v>
      </c>
      <c r="I504" t="s">
        <v>28616</v>
      </c>
      <c r="J504" t="s">
        <v>13494</v>
      </c>
      <c r="K504" t="s">
        <v>74</v>
      </c>
      <c r="L504" t="s">
        <v>74</v>
      </c>
      <c r="M504" t="s">
        <v>74</v>
      </c>
      <c r="N504" t="s">
        <v>103</v>
      </c>
      <c r="O504" t="s">
        <v>74</v>
      </c>
      <c r="P504" t="s">
        <v>74</v>
      </c>
      <c r="Q504" t="s">
        <v>74</v>
      </c>
      <c r="R504" t="s">
        <v>74</v>
      </c>
      <c r="S504" t="s">
        <v>74</v>
      </c>
      <c r="T504" t="s">
        <v>74</v>
      </c>
      <c r="U504" t="s">
        <v>28617</v>
      </c>
      <c r="V504" t="s">
        <v>28618</v>
      </c>
      <c r="W504" t="s">
        <v>28619</v>
      </c>
      <c r="X504" t="s">
        <v>28620</v>
      </c>
      <c r="Y504" t="s">
        <v>28621</v>
      </c>
      <c r="Z504" t="s">
        <v>28622</v>
      </c>
      <c r="AA504" t="s">
        <v>28623</v>
      </c>
      <c r="AB504" t="s">
        <v>28624</v>
      </c>
      <c r="AC504" t="s">
        <v>74</v>
      </c>
      <c r="AD504" t="s">
        <v>74</v>
      </c>
      <c r="AE504" t="s">
        <v>74</v>
      </c>
      <c r="AF504" t="s">
        <v>74</v>
      </c>
      <c r="AG504">
        <v>44</v>
      </c>
      <c r="AH504">
        <v>40</v>
      </c>
      <c r="AI504">
        <v>42</v>
      </c>
      <c r="AJ504">
        <v>0</v>
      </c>
      <c r="AK504">
        <v>31</v>
      </c>
      <c r="AL504" t="s">
        <v>74</v>
      </c>
      <c r="AM504" t="s">
        <v>74</v>
      </c>
      <c r="AN504" t="s">
        <v>74</v>
      </c>
      <c r="AO504" t="s">
        <v>13502</v>
      </c>
      <c r="AP504" t="s">
        <v>13503</v>
      </c>
      <c r="AQ504" t="s">
        <v>74</v>
      </c>
      <c r="AR504" t="s">
        <v>74</v>
      </c>
      <c r="AS504" t="s">
        <v>74</v>
      </c>
      <c r="AT504" t="s">
        <v>13457</v>
      </c>
      <c r="AU504">
        <v>2019</v>
      </c>
      <c r="AV504">
        <v>38</v>
      </c>
      <c r="AW504">
        <v>25</v>
      </c>
      <c r="AX504" t="s">
        <v>74</v>
      </c>
      <c r="AY504" t="s">
        <v>74</v>
      </c>
      <c r="AZ504" t="s">
        <v>74</v>
      </c>
      <c r="BA504" t="s">
        <v>74</v>
      </c>
      <c r="BB504">
        <v>4990</v>
      </c>
      <c r="BC504">
        <v>5006</v>
      </c>
      <c r="BD504" t="s">
        <v>74</v>
      </c>
      <c r="BE504" t="s">
        <v>28625</v>
      </c>
      <c r="BF504" t="str">
        <f>HYPERLINK("http://dx.doi.org/10.1038/s41388-019-0771-0","http://dx.doi.org/10.1038/s41388-019-0771-0")</f>
        <v>http://dx.doi.org/10.1038/s41388-019-0771-0</v>
      </c>
      <c r="BG504" t="s">
        <v>74</v>
      </c>
      <c r="BH504" t="s">
        <v>74</v>
      </c>
      <c r="BI504" t="s">
        <v>74</v>
      </c>
      <c r="BJ504" t="s">
        <v>13505</v>
      </c>
      <c r="BK504" t="s">
        <v>117</v>
      </c>
      <c r="BL504" t="s">
        <v>13505</v>
      </c>
      <c r="BM504" t="s">
        <v>74</v>
      </c>
      <c r="BN504">
        <v>30858545</v>
      </c>
      <c r="BO504" t="s">
        <v>74</v>
      </c>
      <c r="BP504" t="s">
        <v>74</v>
      </c>
      <c r="BQ504" t="s">
        <v>74</v>
      </c>
      <c r="BR504" t="s">
        <v>96</v>
      </c>
      <c r="BS504" t="s">
        <v>28626</v>
      </c>
      <c r="BT504" t="str">
        <f>HYPERLINK("https%3A%2F%2Fwww.webofscience.com%2Fwos%2Fwoscc%2Ffull-record%2FWOS:000472145900008","View Full Record in Web of Science")</f>
        <v>View Full Record in Web of Science</v>
      </c>
    </row>
    <row r="505" spans="1:72" x14ac:dyDescent="0.15">
      <c r="A505" t="s">
        <v>98</v>
      </c>
      <c r="B505" t="s">
        <v>28968</v>
      </c>
      <c r="C505" t="s">
        <v>74</v>
      </c>
      <c r="D505" t="s">
        <v>74</v>
      </c>
      <c r="E505" t="s">
        <v>74</v>
      </c>
      <c r="F505" t="s">
        <v>28969</v>
      </c>
      <c r="G505" t="s">
        <v>74</v>
      </c>
      <c r="H505" t="s">
        <v>74</v>
      </c>
      <c r="I505" t="s">
        <v>28970</v>
      </c>
      <c r="J505" t="s">
        <v>10744</v>
      </c>
      <c r="K505" t="s">
        <v>74</v>
      </c>
      <c r="L505" t="s">
        <v>74</v>
      </c>
      <c r="M505" t="s">
        <v>74</v>
      </c>
      <c r="N505" t="s">
        <v>103</v>
      </c>
      <c r="O505" t="s">
        <v>74</v>
      </c>
      <c r="P505" t="s">
        <v>74</v>
      </c>
      <c r="Q505" t="s">
        <v>74</v>
      </c>
      <c r="R505" t="s">
        <v>74</v>
      </c>
      <c r="S505" t="s">
        <v>74</v>
      </c>
      <c r="T505" t="s">
        <v>74</v>
      </c>
      <c r="U505" t="s">
        <v>28971</v>
      </c>
      <c r="V505" t="s">
        <v>28972</v>
      </c>
      <c r="W505" t="s">
        <v>28973</v>
      </c>
      <c r="X505" t="s">
        <v>28974</v>
      </c>
      <c r="Y505" t="s">
        <v>25172</v>
      </c>
      <c r="Z505" t="s">
        <v>25173</v>
      </c>
      <c r="AA505" t="s">
        <v>28975</v>
      </c>
      <c r="AB505" t="s">
        <v>28976</v>
      </c>
      <c r="AC505" t="s">
        <v>74</v>
      </c>
      <c r="AD505" t="s">
        <v>74</v>
      </c>
      <c r="AE505" t="s">
        <v>74</v>
      </c>
      <c r="AF505" t="s">
        <v>74</v>
      </c>
      <c r="AG505">
        <v>64</v>
      </c>
      <c r="AH505">
        <v>40</v>
      </c>
      <c r="AI505">
        <v>40</v>
      </c>
      <c r="AJ505">
        <v>43</v>
      </c>
      <c r="AK505">
        <v>114</v>
      </c>
      <c r="AL505" t="s">
        <v>74</v>
      </c>
      <c r="AM505" t="s">
        <v>74</v>
      </c>
      <c r="AN505" t="s">
        <v>74</v>
      </c>
      <c r="AO505" t="s">
        <v>10753</v>
      </c>
      <c r="AP505" t="s">
        <v>74</v>
      </c>
      <c r="AQ505" t="s">
        <v>74</v>
      </c>
      <c r="AR505" t="s">
        <v>74</v>
      </c>
      <c r="AS505" t="s">
        <v>74</v>
      </c>
      <c r="AT505" t="s">
        <v>114</v>
      </c>
      <c r="AU505">
        <v>2021</v>
      </c>
      <c r="AV505">
        <v>7</v>
      </c>
      <c r="AW505">
        <v>1</v>
      </c>
      <c r="AX505" t="s">
        <v>74</v>
      </c>
      <c r="AY505" t="s">
        <v>74</v>
      </c>
      <c r="AZ505" t="s">
        <v>74</v>
      </c>
      <c r="BA505" t="s">
        <v>74</v>
      </c>
      <c r="BB505" t="s">
        <v>74</v>
      </c>
      <c r="BC505" t="s">
        <v>74</v>
      </c>
      <c r="BD505" t="s">
        <v>28977</v>
      </c>
      <c r="BE505" t="s">
        <v>28978</v>
      </c>
      <c r="BF505" t="str">
        <f>HYPERLINK("http://dx.doi.org/10.1126/sciadv.abc0467","http://dx.doi.org/10.1126/sciadv.abc0467")</f>
        <v>http://dx.doi.org/10.1126/sciadv.abc0467</v>
      </c>
      <c r="BG505" t="s">
        <v>74</v>
      </c>
      <c r="BH505" t="s">
        <v>74</v>
      </c>
      <c r="BI505" t="s">
        <v>74</v>
      </c>
      <c r="BJ505" t="s">
        <v>152</v>
      </c>
      <c r="BK505" t="s">
        <v>117</v>
      </c>
      <c r="BL505" t="s">
        <v>153</v>
      </c>
      <c r="BM505" t="s">
        <v>74</v>
      </c>
      <c r="BN505">
        <v>33523836</v>
      </c>
      <c r="BO505" t="s">
        <v>74</v>
      </c>
      <c r="BP505" t="s">
        <v>193</v>
      </c>
      <c r="BQ505" t="s">
        <v>194</v>
      </c>
      <c r="BR505" t="s">
        <v>96</v>
      </c>
      <c r="BS505" t="s">
        <v>28979</v>
      </c>
      <c r="BT505" t="str">
        <f>HYPERLINK("https%3A%2F%2Fwww.webofscience.com%2Fwos%2Fwoscc%2Ffull-record%2FWOS:000605159200009","View Full Record in Web of Science")</f>
        <v>View Full Record in Web of Science</v>
      </c>
    </row>
    <row r="506" spans="1:72" x14ac:dyDescent="0.15">
      <c r="A506" t="s">
        <v>98</v>
      </c>
      <c r="B506" t="s">
        <v>1156</v>
      </c>
      <c r="C506" t="s">
        <v>74</v>
      </c>
      <c r="D506" t="s">
        <v>74</v>
      </c>
      <c r="E506" t="s">
        <v>74</v>
      </c>
      <c r="F506" t="s">
        <v>1157</v>
      </c>
      <c r="G506" t="s">
        <v>74</v>
      </c>
      <c r="H506" t="s">
        <v>74</v>
      </c>
      <c r="I506" t="s">
        <v>1158</v>
      </c>
      <c r="J506" t="s">
        <v>1159</v>
      </c>
      <c r="K506" t="s">
        <v>74</v>
      </c>
      <c r="L506" t="s">
        <v>74</v>
      </c>
      <c r="M506" t="s">
        <v>74</v>
      </c>
      <c r="N506" t="s">
        <v>103</v>
      </c>
      <c r="O506" t="s">
        <v>74</v>
      </c>
      <c r="P506" t="s">
        <v>74</v>
      </c>
      <c r="Q506" t="s">
        <v>74</v>
      </c>
      <c r="R506" t="s">
        <v>74</v>
      </c>
      <c r="S506" t="s">
        <v>74</v>
      </c>
      <c r="T506" t="s">
        <v>1160</v>
      </c>
      <c r="U506" t="s">
        <v>1161</v>
      </c>
      <c r="V506" t="s">
        <v>1162</v>
      </c>
      <c r="W506" t="s">
        <v>1163</v>
      </c>
      <c r="X506" t="s">
        <v>1164</v>
      </c>
      <c r="Y506" t="s">
        <v>1165</v>
      </c>
      <c r="Z506" t="s">
        <v>1166</v>
      </c>
      <c r="AA506" t="s">
        <v>1167</v>
      </c>
      <c r="AB506" t="s">
        <v>74</v>
      </c>
      <c r="AC506" t="s">
        <v>74</v>
      </c>
      <c r="AD506" t="s">
        <v>74</v>
      </c>
      <c r="AE506" t="s">
        <v>74</v>
      </c>
      <c r="AF506" t="s">
        <v>74</v>
      </c>
      <c r="AG506">
        <v>19</v>
      </c>
      <c r="AH506">
        <v>39</v>
      </c>
      <c r="AI506">
        <v>41</v>
      </c>
      <c r="AJ506">
        <v>1</v>
      </c>
      <c r="AK506">
        <v>4</v>
      </c>
      <c r="AL506" t="s">
        <v>74</v>
      </c>
      <c r="AM506" t="s">
        <v>74</v>
      </c>
      <c r="AN506" t="s">
        <v>74</v>
      </c>
      <c r="AO506" t="s">
        <v>1168</v>
      </c>
      <c r="AP506" t="s">
        <v>74</v>
      </c>
      <c r="AQ506" t="s">
        <v>74</v>
      </c>
      <c r="AR506" t="s">
        <v>74</v>
      </c>
      <c r="AS506" t="s">
        <v>74</v>
      </c>
      <c r="AT506" t="s">
        <v>1169</v>
      </c>
      <c r="AU506">
        <v>2018</v>
      </c>
      <c r="AV506">
        <v>17</v>
      </c>
      <c r="AW506" t="s">
        <v>74</v>
      </c>
      <c r="AX506" t="s">
        <v>74</v>
      </c>
      <c r="AY506" t="s">
        <v>74</v>
      </c>
      <c r="AZ506" t="s">
        <v>74</v>
      </c>
      <c r="BA506" t="s">
        <v>74</v>
      </c>
      <c r="BB506" t="s">
        <v>74</v>
      </c>
      <c r="BC506" t="s">
        <v>74</v>
      </c>
      <c r="BD506">
        <v>15</v>
      </c>
      <c r="BE506" t="s">
        <v>1170</v>
      </c>
      <c r="BF506" t="str">
        <f>HYPERLINK("http://dx.doi.org/10.1186/s12943-018-0772-6","http://dx.doi.org/10.1186/s12943-018-0772-6")</f>
        <v>http://dx.doi.org/10.1186/s12943-018-0772-6</v>
      </c>
      <c r="BG506" t="s">
        <v>74</v>
      </c>
      <c r="BH506" t="s">
        <v>74</v>
      </c>
      <c r="BI506" t="s">
        <v>74</v>
      </c>
      <c r="BJ506" t="s">
        <v>357</v>
      </c>
      <c r="BK506" t="s">
        <v>117</v>
      </c>
      <c r="BL506" t="s">
        <v>357</v>
      </c>
      <c r="BM506" t="s">
        <v>74</v>
      </c>
      <c r="BN506">
        <v>29374476</v>
      </c>
      <c r="BO506" t="s">
        <v>74</v>
      </c>
      <c r="BP506" t="s">
        <v>74</v>
      </c>
      <c r="BQ506" t="s">
        <v>74</v>
      </c>
      <c r="BR506" t="s">
        <v>96</v>
      </c>
      <c r="BS506" t="s">
        <v>1171</v>
      </c>
      <c r="BT506" t="str">
        <f>HYPERLINK("https%3A%2F%2Fwww.webofscience.com%2Fwos%2Fwoscc%2Ffull-record%2FWOS:000423572600001","View Full Record in Web of Science")</f>
        <v>View Full Record in Web of Science</v>
      </c>
    </row>
    <row r="507" spans="1:72" x14ac:dyDescent="0.15">
      <c r="A507" t="s">
        <v>98</v>
      </c>
      <c r="B507" t="s">
        <v>2963</v>
      </c>
      <c r="C507" t="s">
        <v>74</v>
      </c>
      <c r="D507" t="s">
        <v>74</v>
      </c>
      <c r="E507" t="s">
        <v>74</v>
      </c>
      <c r="F507" t="s">
        <v>2964</v>
      </c>
      <c r="G507" t="s">
        <v>74</v>
      </c>
      <c r="H507" t="s">
        <v>74</v>
      </c>
      <c r="I507" t="s">
        <v>2965</v>
      </c>
      <c r="J507" t="s">
        <v>1712</v>
      </c>
      <c r="K507" t="s">
        <v>74</v>
      </c>
      <c r="L507" t="s">
        <v>74</v>
      </c>
      <c r="M507" t="s">
        <v>74</v>
      </c>
      <c r="N507" t="s">
        <v>103</v>
      </c>
      <c r="O507" t="s">
        <v>74</v>
      </c>
      <c r="P507" t="s">
        <v>74</v>
      </c>
      <c r="Q507" t="s">
        <v>74</v>
      </c>
      <c r="R507" t="s">
        <v>74</v>
      </c>
      <c r="S507" t="s">
        <v>74</v>
      </c>
      <c r="T507" t="s">
        <v>2966</v>
      </c>
      <c r="U507" t="s">
        <v>2967</v>
      </c>
      <c r="V507" t="s">
        <v>2968</v>
      </c>
      <c r="W507" t="s">
        <v>2969</v>
      </c>
      <c r="X507" t="s">
        <v>2970</v>
      </c>
      <c r="Y507" t="s">
        <v>2971</v>
      </c>
      <c r="Z507" t="s">
        <v>2972</v>
      </c>
      <c r="AA507" t="s">
        <v>2973</v>
      </c>
      <c r="AB507" t="s">
        <v>2974</v>
      </c>
      <c r="AC507" t="s">
        <v>74</v>
      </c>
      <c r="AD507" t="s">
        <v>74</v>
      </c>
      <c r="AE507" t="s">
        <v>74</v>
      </c>
      <c r="AF507" t="s">
        <v>74</v>
      </c>
      <c r="AG507">
        <v>76</v>
      </c>
      <c r="AH507">
        <v>39</v>
      </c>
      <c r="AI507">
        <v>40</v>
      </c>
      <c r="AJ507">
        <v>11</v>
      </c>
      <c r="AK507">
        <v>95</v>
      </c>
      <c r="AL507" t="s">
        <v>74</v>
      </c>
      <c r="AM507" t="s">
        <v>74</v>
      </c>
      <c r="AN507" t="s">
        <v>74</v>
      </c>
      <c r="AO507" t="s">
        <v>1722</v>
      </c>
      <c r="AP507" t="s">
        <v>1723</v>
      </c>
      <c r="AQ507" t="s">
        <v>74</v>
      </c>
      <c r="AR507" t="s">
        <v>74</v>
      </c>
      <c r="AS507" t="s">
        <v>74</v>
      </c>
      <c r="AT507" t="s">
        <v>531</v>
      </c>
      <c r="AU507">
        <v>2019</v>
      </c>
      <c r="AV507">
        <v>13</v>
      </c>
      <c r="AW507">
        <v>9</v>
      </c>
      <c r="AX507" t="s">
        <v>74</v>
      </c>
      <c r="AY507" t="s">
        <v>74</v>
      </c>
      <c r="AZ507" t="s">
        <v>74</v>
      </c>
      <c r="BA507" t="s">
        <v>74</v>
      </c>
      <c r="BB507">
        <v>10555</v>
      </c>
      <c r="BC507">
        <v>10565</v>
      </c>
      <c r="BD507" t="s">
        <v>74</v>
      </c>
      <c r="BE507" t="s">
        <v>2975</v>
      </c>
      <c r="BF507" t="str">
        <f>HYPERLINK("http://dx.doi.org/10.1021/acsnano.9b04651","http://dx.doi.org/10.1021/acsnano.9b04651")</f>
        <v>http://dx.doi.org/10.1021/acsnano.9b04651</v>
      </c>
      <c r="BG507" t="s">
        <v>74</v>
      </c>
      <c r="BH507" t="s">
        <v>74</v>
      </c>
      <c r="BI507" t="s">
        <v>74</v>
      </c>
      <c r="BJ507" t="s">
        <v>1725</v>
      </c>
      <c r="BK507" t="s">
        <v>117</v>
      </c>
      <c r="BL507" t="s">
        <v>1275</v>
      </c>
      <c r="BM507" t="s">
        <v>74</v>
      </c>
      <c r="BN507">
        <v>31436946</v>
      </c>
      <c r="BO507" t="s">
        <v>74</v>
      </c>
      <c r="BP507" t="s">
        <v>74</v>
      </c>
      <c r="BQ507" t="s">
        <v>74</v>
      </c>
      <c r="BR507" t="s">
        <v>96</v>
      </c>
      <c r="BS507" t="s">
        <v>2976</v>
      </c>
      <c r="BT507" t="str">
        <f>HYPERLINK("https%3A%2F%2Fwww.webofscience.com%2Fwos%2Fwoscc%2Ffull-record%2FWOS:000487859600074","View Full Record in Web of Science")</f>
        <v>View Full Record in Web of Science</v>
      </c>
    </row>
    <row r="508" spans="1:72" x14ac:dyDescent="0.15">
      <c r="A508" t="s">
        <v>98</v>
      </c>
      <c r="B508" t="s">
        <v>5639</v>
      </c>
      <c r="C508" t="s">
        <v>74</v>
      </c>
      <c r="D508" t="s">
        <v>74</v>
      </c>
      <c r="E508" t="s">
        <v>74</v>
      </c>
      <c r="F508" t="s">
        <v>5640</v>
      </c>
      <c r="G508" t="s">
        <v>74</v>
      </c>
      <c r="H508" t="s">
        <v>74</v>
      </c>
      <c r="I508" t="s">
        <v>5641</v>
      </c>
      <c r="J508" t="s">
        <v>5642</v>
      </c>
      <c r="K508" t="s">
        <v>74</v>
      </c>
      <c r="L508" t="s">
        <v>74</v>
      </c>
      <c r="M508" t="s">
        <v>74</v>
      </c>
      <c r="N508" t="s">
        <v>103</v>
      </c>
      <c r="O508" t="s">
        <v>74</v>
      </c>
      <c r="P508" t="s">
        <v>74</v>
      </c>
      <c r="Q508" t="s">
        <v>74</v>
      </c>
      <c r="R508" t="s">
        <v>74</v>
      </c>
      <c r="S508" t="s">
        <v>74</v>
      </c>
      <c r="T508" t="s">
        <v>5643</v>
      </c>
      <c r="U508" t="s">
        <v>5644</v>
      </c>
      <c r="V508" t="s">
        <v>5645</v>
      </c>
      <c r="W508" t="s">
        <v>5646</v>
      </c>
      <c r="X508" t="s">
        <v>3973</v>
      </c>
      <c r="Y508" t="s">
        <v>5647</v>
      </c>
      <c r="Z508" t="s">
        <v>3975</v>
      </c>
      <c r="AA508" t="s">
        <v>5648</v>
      </c>
      <c r="AB508" t="s">
        <v>5649</v>
      </c>
      <c r="AC508" t="s">
        <v>74</v>
      </c>
      <c r="AD508" t="s">
        <v>74</v>
      </c>
      <c r="AE508" t="s">
        <v>74</v>
      </c>
      <c r="AF508" t="s">
        <v>74</v>
      </c>
      <c r="AG508">
        <v>50</v>
      </c>
      <c r="AH508">
        <v>39</v>
      </c>
      <c r="AI508">
        <v>40</v>
      </c>
      <c r="AJ508">
        <v>1</v>
      </c>
      <c r="AK508">
        <v>22</v>
      </c>
      <c r="AL508" t="s">
        <v>74</v>
      </c>
      <c r="AM508" t="s">
        <v>74</v>
      </c>
      <c r="AN508" t="s">
        <v>74</v>
      </c>
      <c r="AO508" t="s">
        <v>5650</v>
      </c>
      <c r="AP508" t="s">
        <v>5651</v>
      </c>
      <c r="AQ508" t="s">
        <v>74</v>
      </c>
      <c r="AR508" t="s">
        <v>74</v>
      </c>
      <c r="AS508" t="s">
        <v>74</v>
      </c>
      <c r="AT508" t="s">
        <v>967</v>
      </c>
      <c r="AU508">
        <v>2014</v>
      </c>
      <c r="AV508">
        <v>91</v>
      </c>
      <c r="AW508">
        <v>6</v>
      </c>
      <c r="AX508" t="s">
        <v>74</v>
      </c>
      <c r="AY508" t="s">
        <v>74</v>
      </c>
      <c r="AZ508" t="s">
        <v>74</v>
      </c>
      <c r="BA508" t="s">
        <v>74</v>
      </c>
      <c r="BB508">
        <v>299</v>
      </c>
      <c r="BC508">
        <v>310</v>
      </c>
      <c r="BD508" t="s">
        <v>74</v>
      </c>
      <c r="BE508" t="s">
        <v>5652</v>
      </c>
      <c r="BF508" t="str">
        <f>HYPERLINK("http://dx.doi.org/10.1016/j.plefa.2014.09.002","http://dx.doi.org/10.1016/j.plefa.2014.09.002")</f>
        <v>http://dx.doi.org/10.1016/j.plefa.2014.09.002</v>
      </c>
      <c r="BG508" t="s">
        <v>74</v>
      </c>
      <c r="BH508" t="s">
        <v>74</v>
      </c>
      <c r="BI508" t="s">
        <v>74</v>
      </c>
      <c r="BJ508" t="s">
        <v>5653</v>
      </c>
      <c r="BK508" t="s">
        <v>117</v>
      </c>
      <c r="BL508" t="s">
        <v>5653</v>
      </c>
      <c r="BM508" t="s">
        <v>74</v>
      </c>
      <c r="BN508">
        <v>25301203</v>
      </c>
      <c r="BO508" t="s">
        <v>74</v>
      </c>
      <c r="BP508" t="s">
        <v>74</v>
      </c>
      <c r="BQ508" t="s">
        <v>74</v>
      </c>
      <c r="BR508" t="s">
        <v>96</v>
      </c>
      <c r="BS508" t="s">
        <v>5654</v>
      </c>
      <c r="BT508" t="str">
        <f>HYPERLINK("https%3A%2F%2Fwww.webofscience.com%2Fwos%2Fwoscc%2Ffull-record%2FWOS:000345806400008","View Full Record in Web of Science")</f>
        <v>View Full Record in Web of Science</v>
      </c>
    </row>
    <row r="509" spans="1:72" x14ac:dyDescent="0.15">
      <c r="A509" t="s">
        <v>98</v>
      </c>
      <c r="B509" t="s">
        <v>5700</v>
      </c>
      <c r="C509" t="s">
        <v>74</v>
      </c>
      <c r="D509" t="s">
        <v>74</v>
      </c>
      <c r="E509" t="s">
        <v>74</v>
      </c>
      <c r="F509" t="s">
        <v>5701</v>
      </c>
      <c r="G509" t="s">
        <v>74</v>
      </c>
      <c r="H509" t="s">
        <v>74</v>
      </c>
      <c r="I509" t="s">
        <v>5702</v>
      </c>
      <c r="J509" t="s">
        <v>4486</v>
      </c>
      <c r="K509" t="s">
        <v>74</v>
      </c>
      <c r="L509" t="s">
        <v>74</v>
      </c>
      <c r="M509" t="s">
        <v>74</v>
      </c>
      <c r="N509" t="s">
        <v>103</v>
      </c>
      <c r="O509" t="s">
        <v>74</v>
      </c>
      <c r="P509" t="s">
        <v>74</v>
      </c>
      <c r="Q509" t="s">
        <v>74</v>
      </c>
      <c r="R509" t="s">
        <v>74</v>
      </c>
      <c r="S509" t="s">
        <v>74</v>
      </c>
      <c r="T509" t="s">
        <v>74</v>
      </c>
      <c r="U509" t="s">
        <v>5703</v>
      </c>
      <c r="V509" t="s">
        <v>5704</v>
      </c>
      <c r="W509" t="s">
        <v>5705</v>
      </c>
      <c r="X509" t="s">
        <v>5706</v>
      </c>
      <c r="Y509" t="s">
        <v>5707</v>
      </c>
      <c r="Z509" t="s">
        <v>5708</v>
      </c>
      <c r="AA509" t="s">
        <v>5709</v>
      </c>
      <c r="AB509" t="s">
        <v>5710</v>
      </c>
      <c r="AC509" t="s">
        <v>74</v>
      </c>
      <c r="AD509" t="s">
        <v>74</v>
      </c>
      <c r="AE509" t="s">
        <v>74</v>
      </c>
      <c r="AF509" t="s">
        <v>74</v>
      </c>
      <c r="AG509">
        <v>42</v>
      </c>
      <c r="AH509">
        <v>39</v>
      </c>
      <c r="AI509">
        <v>39</v>
      </c>
      <c r="AJ509">
        <v>10</v>
      </c>
      <c r="AK509">
        <v>165</v>
      </c>
      <c r="AL509" t="s">
        <v>74</v>
      </c>
      <c r="AM509" t="s">
        <v>74</v>
      </c>
      <c r="AN509" t="s">
        <v>74</v>
      </c>
      <c r="AO509" t="s">
        <v>4493</v>
      </c>
      <c r="AP509" t="s">
        <v>4494</v>
      </c>
      <c r="AQ509" t="s">
        <v>74</v>
      </c>
      <c r="AR509" t="s">
        <v>74</v>
      </c>
      <c r="AS509" t="s">
        <v>74</v>
      </c>
      <c r="AT509" t="s">
        <v>5711</v>
      </c>
      <c r="AU509">
        <v>2019</v>
      </c>
      <c r="AV509">
        <v>91</v>
      </c>
      <c r="AW509">
        <v>4</v>
      </c>
      <c r="AX509" t="s">
        <v>74</v>
      </c>
      <c r="AY509" t="s">
        <v>74</v>
      </c>
      <c r="AZ509" t="s">
        <v>74</v>
      </c>
      <c r="BA509" t="s">
        <v>74</v>
      </c>
      <c r="BB509">
        <v>2768</v>
      </c>
      <c r="BC509">
        <v>2775</v>
      </c>
      <c r="BD509" t="s">
        <v>74</v>
      </c>
      <c r="BE509" t="s">
        <v>5712</v>
      </c>
      <c r="BF509" t="str">
        <f>HYPERLINK("http://dx.doi.org/10.1021/acs.analchem.8b04509","http://dx.doi.org/10.1021/acs.analchem.8b04509")</f>
        <v>http://dx.doi.org/10.1021/acs.analchem.8b04509</v>
      </c>
      <c r="BG509" t="s">
        <v>74</v>
      </c>
      <c r="BH509" t="s">
        <v>74</v>
      </c>
      <c r="BI509" t="s">
        <v>74</v>
      </c>
      <c r="BJ509" t="s">
        <v>1118</v>
      </c>
      <c r="BK509" t="s">
        <v>117</v>
      </c>
      <c r="BL509" t="s">
        <v>1048</v>
      </c>
      <c r="BM509" t="s">
        <v>74</v>
      </c>
      <c r="BN509">
        <v>30644724</v>
      </c>
      <c r="BO509" t="s">
        <v>74</v>
      </c>
      <c r="BP509" t="s">
        <v>74</v>
      </c>
      <c r="BQ509" t="s">
        <v>74</v>
      </c>
      <c r="BR509" t="s">
        <v>96</v>
      </c>
      <c r="BS509" t="s">
        <v>5713</v>
      </c>
      <c r="BT509" t="str">
        <f>HYPERLINK("https%3A%2F%2Fwww.webofscience.com%2Fwos%2Fwoscc%2Ffull-record%2FWOS:000459642400030","View Full Record in Web of Science")</f>
        <v>View Full Record in Web of Science</v>
      </c>
    </row>
    <row r="510" spans="1:72" x14ac:dyDescent="0.15">
      <c r="A510" t="s">
        <v>72</v>
      </c>
      <c r="B510" t="s">
        <v>7895</v>
      </c>
      <c r="C510" t="s">
        <v>74</v>
      </c>
      <c r="D510" t="s">
        <v>7896</v>
      </c>
      <c r="E510" t="s">
        <v>74</v>
      </c>
      <c r="F510" t="s">
        <v>7897</v>
      </c>
      <c r="G510" t="s">
        <v>74</v>
      </c>
      <c r="H510" t="s">
        <v>74</v>
      </c>
      <c r="I510" t="s">
        <v>7898</v>
      </c>
      <c r="J510" t="s">
        <v>7899</v>
      </c>
      <c r="K510" t="s">
        <v>79</v>
      </c>
      <c r="L510" t="s">
        <v>74</v>
      </c>
      <c r="M510" t="s">
        <v>74</v>
      </c>
      <c r="N510" t="s">
        <v>80</v>
      </c>
      <c r="O510" t="s">
        <v>74</v>
      </c>
      <c r="P510" t="s">
        <v>74</v>
      </c>
      <c r="Q510" t="s">
        <v>74</v>
      </c>
      <c r="R510" t="s">
        <v>74</v>
      </c>
      <c r="S510" t="s">
        <v>74</v>
      </c>
      <c r="T510" t="s">
        <v>7900</v>
      </c>
      <c r="U510" t="s">
        <v>7901</v>
      </c>
      <c r="V510" t="s">
        <v>7902</v>
      </c>
      <c r="W510" t="s">
        <v>7903</v>
      </c>
      <c r="X510" t="s">
        <v>7904</v>
      </c>
      <c r="Y510" t="s">
        <v>7905</v>
      </c>
      <c r="Z510" t="s">
        <v>74</v>
      </c>
      <c r="AA510" t="s">
        <v>74</v>
      </c>
      <c r="AB510" t="s">
        <v>74</v>
      </c>
      <c r="AC510" t="s">
        <v>74</v>
      </c>
      <c r="AD510" t="s">
        <v>74</v>
      </c>
      <c r="AE510" t="s">
        <v>74</v>
      </c>
      <c r="AF510" t="s">
        <v>74</v>
      </c>
      <c r="AG510">
        <v>300</v>
      </c>
      <c r="AH510">
        <v>39</v>
      </c>
      <c r="AI510">
        <v>39</v>
      </c>
      <c r="AJ510">
        <v>0</v>
      </c>
      <c r="AK510">
        <v>10</v>
      </c>
      <c r="AL510" t="s">
        <v>74</v>
      </c>
      <c r="AM510" t="s">
        <v>74</v>
      </c>
      <c r="AN510" t="s">
        <v>74</v>
      </c>
      <c r="AO510" t="s">
        <v>88</v>
      </c>
      <c r="AP510" t="s">
        <v>89</v>
      </c>
      <c r="AQ510" t="s">
        <v>7906</v>
      </c>
      <c r="AR510" t="s">
        <v>74</v>
      </c>
      <c r="AS510" t="s">
        <v>74</v>
      </c>
      <c r="AT510" t="s">
        <v>74</v>
      </c>
      <c r="AU510">
        <v>2016</v>
      </c>
      <c r="AV510">
        <v>1381</v>
      </c>
      <c r="AW510" t="s">
        <v>74</v>
      </c>
      <c r="AX510" t="s">
        <v>74</v>
      </c>
      <c r="AY510" t="s">
        <v>74</v>
      </c>
      <c r="AZ510" t="s">
        <v>74</v>
      </c>
      <c r="BA510" t="s">
        <v>74</v>
      </c>
      <c r="BB510">
        <v>111</v>
      </c>
      <c r="BC510">
        <v>149</v>
      </c>
      <c r="BD510" t="s">
        <v>74</v>
      </c>
      <c r="BE510" t="s">
        <v>7907</v>
      </c>
      <c r="BF510" t="str">
        <f>HYPERLINK("http://dx.doi.org/10.1007/978-1-4939-3204-7_7","http://dx.doi.org/10.1007/978-1-4939-3204-7_7")</f>
        <v>http://dx.doi.org/10.1007/978-1-4939-3204-7_7</v>
      </c>
      <c r="BG510" t="s">
        <v>7908</v>
      </c>
      <c r="BH510" t="s">
        <v>74</v>
      </c>
      <c r="BI510" t="s">
        <v>74</v>
      </c>
      <c r="BJ510" t="s">
        <v>356</v>
      </c>
      <c r="BK510" t="s">
        <v>94</v>
      </c>
      <c r="BL510" t="s">
        <v>357</v>
      </c>
      <c r="BM510" t="s">
        <v>74</v>
      </c>
      <c r="BN510">
        <v>26667458</v>
      </c>
      <c r="BO510" t="s">
        <v>74</v>
      </c>
      <c r="BP510" t="s">
        <v>74</v>
      </c>
      <c r="BQ510" t="s">
        <v>74</v>
      </c>
      <c r="BR510" t="s">
        <v>96</v>
      </c>
      <c r="BS510" t="s">
        <v>7909</v>
      </c>
      <c r="BT510" t="str">
        <f>HYPERLINK("https%3A%2F%2Fwww.webofscience.com%2Fwos%2Fwoscc%2Ffull-record%2FWOS:000687329200008","View Full Record in Web of Science")</f>
        <v>View Full Record in Web of Science</v>
      </c>
    </row>
    <row r="511" spans="1:72" x14ac:dyDescent="0.15">
      <c r="A511" t="s">
        <v>98</v>
      </c>
      <c r="B511" t="s">
        <v>9314</v>
      </c>
      <c r="C511" t="s">
        <v>74</v>
      </c>
      <c r="D511" t="s">
        <v>74</v>
      </c>
      <c r="E511" t="s">
        <v>74</v>
      </c>
      <c r="F511" t="s">
        <v>9315</v>
      </c>
      <c r="G511" t="s">
        <v>74</v>
      </c>
      <c r="H511" t="s">
        <v>74</v>
      </c>
      <c r="I511" t="s">
        <v>9316</v>
      </c>
      <c r="J511" t="s">
        <v>5139</v>
      </c>
      <c r="K511" t="s">
        <v>74</v>
      </c>
      <c r="L511" t="s">
        <v>74</v>
      </c>
      <c r="M511" t="s">
        <v>74</v>
      </c>
      <c r="N511" t="s">
        <v>103</v>
      </c>
      <c r="O511" t="s">
        <v>74</v>
      </c>
      <c r="P511" t="s">
        <v>74</v>
      </c>
      <c r="Q511" t="s">
        <v>74</v>
      </c>
      <c r="R511" t="s">
        <v>74</v>
      </c>
      <c r="S511" t="s">
        <v>74</v>
      </c>
      <c r="T511" t="s">
        <v>74</v>
      </c>
      <c r="U511" t="s">
        <v>74</v>
      </c>
      <c r="V511" t="s">
        <v>9317</v>
      </c>
      <c r="W511" t="s">
        <v>9318</v>
      </c>
      <c r="X511" t="s">
        <v>9319</v>
      </c>
      <c r="Y511" t="s">
        <v>9320</v>
      </c>
      <c r="Z511" t="s">
        <v>9321</v>
      </c>
      <c r="AA511" t="s">
        <v>74</v>
      </c>
      <c r="AB511" t="s">
        <v>74</v>
      </c>
      <c r="AC511" t="s">
        <v>74</v>
      </c>
      <c r="AD511" t="s">
        <v>74</v>
      </c>
      <c r="AE511" t="s">
        <v>74</v>
      </c>
      <c r="AF511" t="s">
        <v>74</v>
      </c>
      <c r="AG511">
        <v>61</v>
      </c>
      <c r="AH511">
        <v>39</v>
      </c>
      <c r="AI511">
        <v>39</v>
      </c>
      <c r="AJ511">
        <v>9</v>
      </c>
      <c r="AK511">
        <v>34</v>
      </c>
      <c r="AL511" t="s">
        <v>74</v>
      </c>
      <c r="AM511" t="s">
        <v>74</v>
      </c>
      <c r="AN511" t="s">
        <v>74</v>
      </c>
      <c r="AO511" t="s">
        <v>5148</v>
      </c>
      <c r="AP511" t="s">
        <v>74</v>
      </c>
      <c r="AQ511" t="s">
        <v>74</v>
      </c>
      <c r="AR511" t="s">
        <v>74</v>
      </c>
      <c r="AS511" t="s">
        <v>74</v>
      </c>
      <c r="AT511" t="s">
        <v>8936</v>
      </c>
      <c r="AU511">
        <v>2021</v>
      </c>
      <c r="AV511">
        <v>12</v>
      </c>
      <c r="AW511">
        <v>1</v>
      </c>
      <c r="AX511" t="s">
        <v>74</v>
      </c>
      <c r="AY511" t="s">
        <v>74</v>
      </c>
      <c r="AZ511" t="s">
        <v>74</v>
      </c>
      <c r="BA511" t="s">
        <v>74</v>
      </c>
      <c r="BB511" t="s">
        <v>74</v>
      </c>
      <c r="BC511" t="s">
        <v>74</v>
      </c>
      <c r="BD511">
        <v>1971</v>
      </c>
      <c r="BE511" t="s">
        <v>9322</v>
      </c>
      <c r="BF511" t="str">
        <f>HYPERLINK("http://dx.doi.org/10.1038/s41467-021-21984-w","http://dx.doi.org/10.1038/s41467-021-21984-w")</f>
        <v>http://dx.doi.org/10.1038/s41467-021-21984-w</v>
      </c>
      <c r="BG511" t="s">
        <v>74</v>
      </c>
      <c r="BH511" t="s">
        <v>74</v>
      </c>
      <c r="BI511" t="s">
        <v>74</v>
      </c>
      <c r="BJ511" t="s">
        <v>152</v>
      </c>
      <c r="BK511" t="s">
        <v>117</v>
      </c>
      <c r="BL511" t="s">
        <v>153</v>
      </c>
      <c r="BM511" t="s">
        <v>74</v>
      </c>
      <c r="BN511">
        <v>33785738</v>
      </c>
      <c r="BO511" t="s">
        <v>74</v>
      </c>
      <c r="BP511" t="s">
        <v>193</v>
      </c>
      <c r="BQ511" t="s">
        <v>194</v>
      </c>
      <c r="BR511" t="s">
        <v>96</v>
      </c>
      <c r="BS511" t="s">
        <v>9323</v>
      </c>
      <c r="BT511" t="str">
        <f>HYPERLINK("https%3A%2F%2Fwww.webofscience.com%2Fwos%2Fwoscc%2Ffull-record%2FWOS:000637938900005","View Full Record in Web of Science")</f>
        <v>View Full Record in Web of Science</v>
      </c>
    </row>
    <row r="512" spans="1:72" x14ac:dyDescent="0.15">
      <c r="A512" t="s">
        <v>98</v>
      </c>
      <c r="B512" t="s">
        <v>9440</v>
      </c>
      <c r="C512" t="s">
        <v>74</v>
      </c>
      <c r="D512" t="s">
        <v>74</v>
      </c>
      <c r="E512" t="s">
        <v>74</v>
      </c>
      <c r="F512" t="s">
        <v>9441</v>
      </c>
      <c r="G512" t="s">
        <v>74</v>
      </c>
      <c r="H512" t="s">
        <v>74</v>
      </c>
      <c r="I512" t="s">
        <v>9442</v>
      </c>
      <c r="J512" t="s">
        <v>3780</v>
      </c>
      <c r="K512" t="s">
        <v>74</v>
      </c>
      <c r="L512" t="s">
        <v>74</v>
      </c>
      <c r="M512" t="s">
        <v>74</v>
      </c>
      <c r="N512" t="s">
        <v>103</v>
      </c>
      <c r="O512" t="s">
        <v>74</v>
      </c>
      <c r="P512" t="s">
        <v>74</v>
      </c>
      <c r="Q512" t="s">
        <v>74</v>
      </c>
      <c r="R512" t="s">
        <v>74</v>
      </c>
      <c r="S512" t="s">
        <v>74</v>
      </c>
      <c r="T512" t="s">
        <v>74</v>
      </c>
      <c r="U512" t="s">
        <v>9443</v>
      </c>
      <c r="V512" t="s">
        <v>9444</v>
      </c>
      <c r="W512" t="s">
        <v>9445</v>
      </c>
      <c r="X512" t="s">
        <v>9446</v>
      </c>
      <c r="Y512" t="s">
        <v>9447</v>
      </c>
      <c r="Z512" t="s">
        <v>9448</v>
      </c>
      <c r="AA512" t="s">
        <v>74</v>
      </c>
      <c r="AB512" t="s">
        <v>74</v>
      </c>
      <c r="AC512" t="s">
        <v>74</v>
      </c>
      <c r="AD512" t="s">
        <v>74</v>
      </c>
      <c r="AE512" t="s">
        <v>74</v>
      </c>
      <c r="AF512" t="s">
        <v>74</v>
      </c>
      <c r="AG512">
        <v>50</v>
      </c>
      <c r="AH512">
        <v>39</v>
      </c>
      <c r="AI512">
        <v>39</v>
      </c>
      <c r="AJ512">
        <v>5</v>
      </c>
      <c r="AK512">
        <v>113</v>
      </c>
      <c r="AL512" t="s">
        <v>74</v>
      </c>
      <c r="AM512" t="s">
        <v>74</v>
      </c>
      <c r="AN512" t="s">
        <v>74</v>
      </c>
      <c r="AO512" t="s">
        <v>3787</v>
      </c>
      <c r="AP512" t="s">
        <v>3788</v>
      </c>
      <c r="AQ512" t="s">
        <v>74</v>
      </c>
      <c r="AR512" t="s">
        <v>74</v>
      </c>
      <c r="AS512" t="s">
        <v>74</v>
      </c>
      <c r="AT512" t="s">
        <v>9449</v>
      </c>
      <c r="AU512">
        <v>2019</v>
      </c>
      <c r="AV512">
        <v>19</v>
      </c>
      <c r="AW512">
        <v>3</v>
      </c>
      <c r="AX512" t="s">
        <v>74</v>
      </c>
      <c r="AY512" t="s">
        <v>74</v>
      </c>
      <c r="AZ512" t="s">
        <v>74</v>
      </c>
      <c r="BA512" t="s">
        <v>74</v>
      </c>
      <c r="BB512">
        <v>432</v>
      </c>
      <c r="BC512">
        <v>443</v>
      </c>
      <c r="BD512" t="s">
        <v>74</v>
      </c>
      <c r="BE512" t="s">
        <v>9450</v>
      </c>
      <c r="BF512" t="str">
        <f>HYPERLINK("http://dx.doi.org/10.1039/c8lc01193a","http://dx.doi.org/10.1039/c8lc01193a")</f>
        <v>http://dx.doi.org/10.1039/c8lc01193a</v>
      </c>
      <c r="BG512" t="s">
        <v>74</v>
      </c>
      <c r="BH512" t="s">
        <v>74</v>
      </c>
      <c r="BI512" t="s">
        <v>74</v>
      </c>
      <c r="BJ512" t="s">
        <v>3790</v>
      </c>
      <c r="BK512" t="s">
        <v>117</v>
      </c>
      <c r="BL512" t="s">
        <v>3791</v>
      </c>
      <c r="BM512" t="s">
        <v>74</v>
      </c>
      <c r="BN512">
        <v>30604797</v>
      </c>
      <c r="BO512" t="s">
        <v>74</v>
      </c>
      <c r="BP512" t="s">
        <v>74</v>
      </c>
      <c r="BQ512" t="s">
        <v>74</v>
      </c>
      <c r="BR512" t="s">
        <v>96</v>
      </c>
      <c r="BS512" t="s">
        <v>9451</v>
      </c>
      <c r="BT512" t="str">
        <f>HYPERLINK("https%3A%2F%2Fwww.webofscience.com%2Fwos%2Fwoscc%2Ffull-record%2FWOS:000459726100003","View Full Record in Web of Science")</f>
        <v>View Full Record in Web of Science</v>
      </c>
    </row>
    <row r="513" spans="1:72" x14ac:dyDescent="0.15">
      <c r="A513" t="s">
        <v>98</v>
      </c>
      <c r="B513" t="s">
        <v>10813</v>
      </c>
      <c r="C513" t="s">
        <v>74</v>
      </c>
      <c r="D513" t="s">
        <v>74</v>
      </c>
      <c r="E513" t="s">
        <v>74</v>
      </c>
      <c r="F513" t="s">
        <v>10814</v>
      </c>
      <c r="G513" t="s">
        <v>74</v>
      </c>
      <c r="H513" t="s">
        <v>74</v>
      </c>
      <c r="I513" t="s">
        <v>10815</v>
      </c>
      <c r="J513" t="s">
        <v>10816</v>
      </c>
      <c r="K513" t="s">
        <v>74</v>
      </c>
      <c r="L513" t="s">
        <v>74</v>
      </c>
      <c r="M513" t="s">
        <v>74</v>
      </c>
      <c r="N513" t="s">
        <v>103</v>
      </c>
      <c r="O513" t="s">
        <v>74</v>
      </c>
      <c r="P513" t="s">
        <v>74</v>
      </c>
      <c r="Q513" t="s">
        <v>74</v>
      </c>
      <c r="R513" t="s">
        <v>74</v>
      </c>
      <c r="S513" t="s">
        <v>74</v>
      </c>
      <c r="T513" t="s">
        <v>74</v>
      </c>
      <c r="U513" t="s">
        <v>10817</v>
      </c>
      <c r="V513" t="s">
        <v>10818</v>
      </c>
      <c r="W513" t="s">
        <v>10819</v>
      </c>
      <c r="X513" t="s">
        <v>10820</v>
      </c>
      <c r="Y513" t="s">
        <v>10821</v>
      </c>
      <c r="Z513" t="s">
        <v>10822</v>
      </c>
      <c r="AA513" t="s">
        <v>10823</v>
      </c>
      <c r="AB513" t="s">
        <v>10824</v>
      </c>
      <c r="AC513" t="s">
        <v>74</v>
      </c>
      <c r="AD513" t="s">
        <v>74</v>
      </c>
      <c r="AE513" t="s">
        <v>74</v>
      </c>
      <c r="AF513" t="s">
        <v>74</v>
      </c>
      <c r="AG513">
        <v>212</v>
      </c>
      <c r="AH513">
        <v>39</v>
      </c>
      <c r="AI513">
        <v>42</v>
      </c>
      <c r="AJ513">
        <v>0</v>
      </c>
      <c r="AK513">
        <v>20</v>
      </c>
      <c r="AL513" t="s">
        <v>74</v>
      </c>
      <c r="AM513" t="s">
        <v>74</v>
      </c>
      <c r="AN513" t="s">
        <v>74</v>
      </c>
      <c r="AO513" t="s">
        <v>10825</v>
      </c>
      <c r="AP513" t="s">
        <v>74</v>
      </c>
      <c r="AQ513" t="s">
        <v>74</v>
      </c>
      <c r="AR513" t="s">
        <v>74</v>
      </c>
      <c r="AS513" t="s">
        <v>74</v>
      </c>
      <c r="AT513" t="s">
        <v>10826</v>
      </c>
      <c r="AU513">
        <v>2018</v>
      </c>
      <c r="AV513">
        <v>6</v>
      </c>
      <c r="AW513" t="s">
        <v>74</v>
      </c>
      <c r="AX513" t="s">
        <v>74</v>
      </c>
      <c r="AY513" t="s">
        <v>74</v>
      </c>
      <c r="AZ513" t="s">
        <v>74</v>
      </c>
      <c r="BA513" t="s">
        <v>74</v>
      </c>
      <c r="BB513" t="s">
        <v>74</v>
      </c>
      <c r="BC513" t="s">
        <v>74</v>
      </c>
      <c r="BD513" t="s">
        <v>10827</v>
      </c>
      <c r="BE513" t="s">
        <v>10828</v>
      </c>
      <c r="BF513" t="str">
        <f>HYPERLINK("http://dx.doi.org/10.7717/peerj.4763","http://dx.doi.org/10.7717/peerj.4763")</f>
        <v>http://dx.doi.org/10.7717/peerj.4763</v>
      </c>
      <c r="BG513" t="s">
        <v>74</v>
      </c>
      <c r="BH513" t="s">
        <v>74</v>
      </c>
      <c r="BI513" t="s">
        <v>74</v>
      </c>
      <c r="BJ513" t="s">
        <v>152</v>
      </c>
      <c r="BK513" t="s">
        <v>117</v>
      </c>
      <c r="BL513" t="s">
        <v>153</v>
      </c>
      <c r="BM513" t="s">
        <v>74</v>
      </c>
      <c r="BN513">
        <v>29868251</v>
      </c>
      <c r="BO513" t="s">
        <v>74</v>
      </c>
      <c r="BP513" t="s">
        <v>74</v>
      </c>
      <c r="BQ513" t="s">
        <v>74</v>
      </c>
      <c r="BR513" t="s">
        <v>96</v>
      </c>
      <c r="BS513" t="s">
        <v>10829</v>
      </c>
      <c r="BT513" t="str">
        <f>HYPERLINK("https%3A%2F%2Fwww.webofscience.com%2Fwos%2Fwoscc%2Ffull-record%2FWOS:000434233600002","View Full Record in Web of Science")</f>
        <v>View Full Record in Web of Science</v>
      </c>
    </row>
    <row r="514" spans="1:72" x14ac:dyDescent="0.15">
      <c r="A514" t="s">
        <v>98</v>
      </c>
      <c r="B514" t="s">
        <v>13586</v>
      </c>
      <c r="C514" t="s">
        <v>74</v>
      </c>
      <c r="D514" t="s">
        <v>74</v>
      </c>
      <c r="E514" t="s">
        <v>74</v>
      </c>
      <c r="F514" t="s">
        <v>13587</v>
      </c>
      <c r="G514" t="s">
        <v>74</v>
      </c>
      <c r="H514" t="s">
        <v>74</v>
      </c>
      <c r="I514" t="s">
        <v>13588</v>
      </c>
      <c r="J514" t="s">
        <v>1073</v>
      </c>
      <c r="K514" t="s">
        <v>74</v>
      </c>
      <c r="L514" t="s">
        <v>74</v>
      </c>
      <c r="M514" t="s">
        <v>74</v>
      </c>
      <c r="N514" t="s">
        <v>103</v>
      </c>
      <c r="O514" t="s">
        <v>74</v>
      </c>
      <c r="P514" t="s">
        <v>74</v>
      </c>
      <c r="Q514" t="s">
        <v>74</v>
      </c>
      <c r="R514" t="s">
        <v>74</v>
      </c>
      <c r="S514" t="s">
        <v>74</v>
      </c>
      <c r="T514" t="s">
        <v>74</v>
      </c>
      <c r="U514" t="s">
        <v>13589</v>
      </c>
      <c r="V514" t="s">
        <v>13590</v>
      </c>
      <c r="W514" t="s">
        <v>13591</v>
      </c>
      <c r="X514" t="s">
        <v>13592</v>
      </c>
      <c r="Y514" t="s">
        <v>13593</v>
      </c>
      <c r="Z514" t="s">
        <v>13594</v>
      </c>
      <c r="AA514" t="s">
        <v>74</v>
      </c>
      <c r="AB514" t="s">
        <v>13595</v>
      </c>
      <c r="AC514" t="s">
        <v>74</v>
      </c>
      <c r="AD514" t="s">
        <v>74</v>
      </c>
      <c r="AE514" t="s">
        <v>74</v>
      </c>
      <c r="AF514" t="s">
        <v>74</v>
      </c>
      <c r="AG514">
        <v>61</v>
      </c>
      <c r="AH514">
        <v>39</v>
      </c>
      <c r="AI514">
        <v>43</v>
      </c>
      <c r="AJ514">
        <v>2</v>
      </c>
      <c r="AK514">
        <v>37</v>
      </c>
      <c r="AL514" t="s">
        <v>74</v>
      </c>
      <c r="AM514" t="s">
        <v>74</v>
      </c>
      <c r="AN514" t="s">
        <v>74</v>
      </c>
      <c r="AO514" t="s">
        <v>1082</v>
      </c>
      <c r="AP514" t="s">
        <v>74</v>
      </c>
      <c r="AQ514" t="s">
        <v>74</v>
      </c>
      <c r="AR514" t="s">
        <v>74</v>
      </c>
      <c r="AS514" t="s">
        <v>74</v>
      </c>
      <c r="AT514" t="s">
        <v>13596</v>
      </c>
      <c r="AU514">
        <v>2012</v>
      </c>
      <c r="AV514">
        <v>7</v>
      </c>
      <c r="AW514">
        <v>12</v>
      </c>
      <c r="AX514" t="s">
        <v>74</v>
      </c>
      <c r="AY514" t="s">
        <v>74</v>
      </c>
      <c r="AZ514" t="s">
        <v>74</v>
      </c>
      <c r="BA514" t="s">
        <v>74</v>
      </c>
      <c r="BB514" t="s">
        <v>74</v>
      </c>
      <c r="BC514" t="s">
        <v>74</v>
      </c>
      <c r="BD514" t="s">
        <v>13597</v>
      </c>
      <c r="BE514" t="s">
        <v>13598</v>
      </c>
      <c r="BF514" t="str">
        <f>HYPERLINK("http://dx.doi.org/10.1371/journal.pone.0051905","http://dx.doi.org/10.1371/journal.pone.0051905")</f>
        <v>http://dx.doi.org/10.1371/journal.pone.0051905</v>
      </c>
      <c r="BG514" t="s">
        <v>74</v>
      </c>
      <c r="BH514" t="s">
        <v>74</v>
      </c>
      <c r="BI514" t="s">
        <v>74</v>
      </c>
      <c r="BJ514" t="s">
        <v>152</v>
      </c>
      <c r="BK514" t="s">
        <v>117</v>
      </c>
      <c r="BL514" t="s">
        <v>153</v>
      </c>
      <c r="BM514" t="s">
        <v>74</v>
      </c>
      <c r="BN514">
        <v>23300576</v>
      </c>
      <c r="BO514" t="s">
        <v>74</v>
      </c>
      <c r="BP514" t="s">
        <v>74</v>
      </c>
      <c r="BQ514" t="s">
        <v>74</v>
      </c>
      <c r="BR514" t="s">
        <v>96</v>
      </c>
      <c r="BS514" t="s">
        <v>13599</v>
      </c>
      <c r="BT514" t="str">
        <f>HYPERLINK("https%3A%2F%2Fwww.webofscience.com%2Fwos%2Fwoscc%2Ffull-record%2FWOS:000313618800035","View Full Record in Web of Science")</f>
        <v>View Full Record in Web of Science</v>
      </c>
    </row>
    <row r="515" spans="1:72" x14ac:dyDescent="0.15">
      <c r="A515" t="s">
        <v>98</v>
      </c>
      <c r="B515" t="s">
        <v>17233</v>
      </c>
      <c r="C515" t="s">
        <v>74</v>
      </c>
      <c r="D515" t="s">
        <v>74</v>
      </c>
      <c r="E515" t="s">
        <v>74</v>
      </c>
      <c r="F515" t="s">
        <v>17234</v>
      </c>
      <c r="G515" t="s">
        <v>74</v>
      </c>
      <c r="H515" t="s">
        <v>74</v>
      </c>
      <c r="I515" t="s">
        <v>17235</v>
      </c>
      <c r="J515" t="s">
        <v>3032</v>
      </c>
      <c r="K515" t="s">
        <v>74</v>
      </c>
      <c r="L515" t="s">
        <v>74</v>
      </c>
      <c r="M515" t="s">
        <v>74</v>
      </c>
      <c r="N515" t="s">
        <v>103</v>
      </c>
      <c r="O515" t="s">
        <v>74</v>
      </c>
      <c r="P515" t="s">
        <v>74</v>
      </c>
      <c r="Q515" t="s">
        <v>74</v>
      </c>
      <c r="R515" t="s">
        <v>74</v>
      </c>
      <c r="S515" t="s">
        <v>74</v>
      </c>
      <c r="T515" t="s">
        <v>17236</v>
      </c>
      <c r="U515" t="s">
        <v>17237</v>
      </c>
      <c r="V515" t="s">
        <v>17238</v>
      </c>
      <c r="W515" t="s">
        <v>17239</v>
      </c>
      <c r="X515" t="s">
        <v>17240</v>
      </c>
      <c r="Y515" t="s">
        <v>17241</v>
      </c>
      <c r="Z515" t="s">
        <v>17242</v>
      </c>
      <c r="AA515" t="s">
        <v>74</v>
      </c>
      <c r="AB515" t="s">
        <v>74</v>
      </c>
      <c r="AC515" t="s">
        <v>74</v>
      </c>
      <c r="AD515" t="s">
        <v>74</v>
      </c>
      <c r="AE515" t="s">
        <v>74</v>
      </c>
      <c r="AF515" t="s">
        <v>74</v>
      </c>
      <c r="AG515">
        <v>58</v>
      </c>
      <c r="AH515">
        <v>39</v>
      </c>
      <c r="AI515">
        <v>41</v>
      </c>
      <c r="AJ515">
        <v>2</v>
      </c>
      <c r="AK515">
        <v>34</v>
      </c>
      <c r="AL515" t="s">
        <v>74</v>
      </c>
      <c r="AM515" t="s">
        <v>74</v>
      </c>
      <c r="AN515" t="s">
        <v>74</v>
      </c>
      <c r="AO515" t="s">
        <v>3041</v>
      </c>
      <c r="AP515" t="s">
        <v>3042</v>
      </c>
      <c r="AQ515" t="s">
        <v>74</v>
      </c>
      <c r="AR515" t="s">
        <v>74</v>
      </c>
      <c r="AS515" t="s">
        <v>74</v>
      </c>
      <c r="AT515" t="s">
        <v>565</v>
      </c>
      <c r="AU515">
        <v>2019</v>
      </c>
      <c r="AV515">
        <v>85</v>
      </c>
      <c r="AW515">
        <v>5</v>
      </c>
      <c r="AX515" t="s">
        <v>74</v>
      </c>
      <c r="AY515" t="s">
        <v>74</v>
      </c>
      <c r="AZ515" t="s">
        <v>74</v>
      </c>
      <c r="BA515" t="s">
        <v>74</v>
      </c>
      <c r="BB515" t="s">
        <v>74</v>
      </c>
      <c r="BC515" t="s">
        <v>74</v>
      </c>
      <c r="BD515" t="s">
        <v>17243</v>
      </c>
      <c r="BE515" t="s">
        <v>17244</v>
      </c>
      <c r="BF515" t="str">
        <f>HYPERLINK("http://dx.doi.org/10.1128/AEM.02247-18","http://dx.doi.org/10.1128/AEM.02247-18")</f>
        <v>http://dx.doi.org/10.1128/AEM.02247-18</v>
      </c>
      <c r="BG515" t="s">
        <v>74</v>
      </c>
      <c r="BH515" t="s">
        <v>74</v>
      </c>
      <c r="BI515" t="s">
        <v>74</v>
      </c>
      <c r="BJ515" t="s">
        <v>1464</v>
      </c>
      <c r="BK515" t="s">
        <v>117</v>
      </c>
      <c r="BL515" t="s">
        <v>1464</v>
      </c>
      <c r="BM515" t="s">
        <v>74</v>
      </c>
      <c r="BN515">
        <v>30578260</v>
      </c>
      <c r="BO515" t="s">
        <v>74</v>
      </c>
      <c r="BP515" t="s">
        <v>74</v>
      </c>
      <c r="BQ515" t="s">
        <v>74</v>
      </c>
      <c r="BR515" t="s">
        <v>96</v>
      </c>
      <c r="BS515" t="s">
        <v>17245</v>
      </c>
      <c r="BT515" t="str">
        <f>HYPERLINK("https%3A%2F%2Fwww.webofscience.com%2Fwos%2Fwoscc%2Ffull-record%2FWOS:000459327600005","View Full Record in Web of Science")</f>
        <v>View Full Record in Web of Science</v>
      </c>
    </row>
    <row r="516" spans="1:72" x14ac:dyDescent="0.15">
      <c r="A516" t="s">
        <v>98</v>
      </c>
      <c r="B516" t="s">
        <v>17805</v>
      </c>
      <c r="C516" t="s">
        <v>74</v>
      </c>
      <c r="D516" t="s">
        <v>74</v>
      </c>
      <c r="E516" t="s">
        <v>74</v>
      </c>
      <c r="F516" t="s">
        <v>17806</v>
      </c>
      <c r="G516" t="s">
        <v>74</v>
      </c>
      <c r="H516" t="s">
        <v>74</v>
      </c>
      <c r="I516" t="s">
        <v>17807</v>
      </c>
      <c r="J516" t="s">
        <v>919</v>
      </c>
      <c r="K516" t="s">
        <v>74</v>
      </c>
      <c r="L516" t="s">
        <v>74</v>
      </c>
      <c r="M516" t="s">
        <v>74</v>
      </c>
      <c r="N516" t="s">
        <v>103</v>
      </c>
      <c r="O516" t="s">
        <v>74</v>
      </c>
      <c r="P516" t="s">
        <v>74</v>
      </c>
      <c r="Q516" t="s">
        <v>74</v>
      </c>
      <c r="R516" t="s">
        <v>74</v>
      </c>
      <c r="S516" t="s">
        <v>74</v>
      </c>
      <c r="T516" t="s">
        <v>17808</v>
      </c>
      <c r="U516" t="s">
        <v>17809</v>
      </c>
      <c r="V516" t="s">
        <v>17810</v>
      </c>
      <c r="W516" t="s">
        <v>17811</v>
      </c>
      <c r="X516" t="s">
        <v>17812</v>
      </c>
      <c r="Y516" t="s">
        <v>17813</v>
      </c>
      <c r="Z516" t="s">
        <v>17814</v>
      </c>
      <c r="AA516" t="s">
        <v>17815</v>
      </c>
      <c r="AB516" t="s">
        <v>17816</v>
      </c>
      <c r="AC516" t="s">
        <v>74</v>
      </c>
      <c r="AD516" t="s">
        <v>74</v>
      </c>
      <c r="AE516" t="s">
        <v>74</v>
      </c>
      <c r="AF516" t="s">
        <v>74</v>
      </c>
      <c r="AG516">
        <v>29</v>
      </c>
      <c r="AH516">
        <v>39</v>
      </c>
      <c r="AI516">
        <v>40</v>
      </c>
      <c r="AJ516">
        <v>0</v>
      </c>
      <c r="AK516">
        <v>21</v>
      </c>
      <c r="AL516" t="s">
        <v>74</v>
      </c>
      <c r="AM516" t="s">
        <v>74</v>
      </c>
      <c r="AN516" t="s">
        <v>74</v>
      </c>
      <c r="AO516" t="s">
        <v>929</v>
      </c>
      <c r="AP516" t="s">
        <v>74</v>
      </c>
      <c r="AQ516" t="s">
        <v>74</v>
      </c>
      <c r="AR516" t="s">
        <v>74</v>
      </c>
      <c r="AS516" t="s">
        <v>74</v>
      </c>
      <c r="AT516" t="s">
        <v>17438</v>
      </c>
      <c r="AU516">
        <v>2013</v>
      </c>
      <c r="AV516">
        <v>10</v>
      </c>
      <c r="AW516" t="s">
        <v>74</v>
      </c>
      <c r="AX516" t="s">
        <v>74</v>
      </c>
      <c r="AY516" t="s">
        <v>74</v>
      </c>
      <c r="AZ516" t="s">
        <v>74</v>
      </c>
      <c r="BA516" t="s">
        <v>74</v>
      </c>
      <c r="BB516" t="s">
        <v>74</v>
      </c>
      <c r="BC516" t="s">
        <v>74</v>
      </c>
      <c r="BD516">
        <v>119</v>
      </c>
      <c r="BE516" t="s">
        <v>17817</v>
      </c>
      <c r="BF516" t="str">
        <f>HYPERLINK("http://dx.doi.org/10.1186/1743-422X-10-119","http://dx.doi.org/10.1186/1743-422X-10-119")</f>
        <v>http://dx.doi.org/10.1186/1743-422X-10-119</v>
      </c>
      <c r="BG516" t="s">
        <v>74</v>
      </c>
      <c r="BH516" t="s">
        <v>74</v>
      </c>
      <c r="BI516" t="s">
        <v>74</v>
      </c>
      <c r="BJ516" t="s">
        <v>932</v>
      </c>
      <c r="BK516" t="s">
        <v>117</v>
      </c>
      <c r="BL516" t="s">
        <v>932</v>
      </c>
      <c r="BM516" t="s">
        <v>74</v>
      </c>
      <c r="BN516">
        <v>23590857</v>
      </c>
      <c r="BO516" t="s">
        <v>74</v>
      </c>
      <c r="BP516" t="s">
        <v>74</v>
      </c>
      <c r="BQ516" t="s">
        <v>74</v>
      </c>
      <c r="BR516" t="s">
        <v>96</v>
      </c>
      <c r="BS516" t="s">
        <v>17818</v>
      </c>
      <c r="BT516" t="str">
        <f>HYPERLINK("https%3A%2F%2Fwww.webofscience.com%2Fwos%2Fwoscc%2Ffull-record%2FWOS:000320517400001","View Full Record in Web of Science")</f>
        <v>View Full Record in Web of Science</v>
      </c>
    </row>
    <row r="517" spans="1:72" x14ac:dyDescent="0.15">
      <c r="A517" t="s">
        <v>98</v>
      </c>
      <c r="B517" t="s">
        <v>18288</v>
      </c>
      <c r="C517" t="s">
        <v>74</v>
      </c>
      <c r="D517" t="s">
        <v>74</v>
      </c>
      <c r="E517" t="s">
        <v>74</v>
      </c>
      <c r="F517" t="s">
        <v>18289</v>
      </c>
      <c r="G517" t="s">
        <v>74</v>
      </c>
      <c r="H517" t="s">
        <v>74</v>
      </c>
      <c r="I517" t="s">
        <v>18290</v>
      </c>
      <c r="J517" t="s">
        <v>6885</v>
      </c>
      <c r="K517" t="s">
        <v>74</v>
      </c>
      <c r="L517" t="s">
        <v>74</v>
      </c>
      <c r="M517" t="s">
        <v>74</v>
      </c>
      <c r="N517" t="s">
        <v>103</v>
      </c>
      <c r="O517" t="s">
        <v>74</v>
      </c>
      <c r="P517" t="s">
        <v>74</v>
      </c>
      <c r="Q517" t="s">
        <v>74</v>
      </c>
      <c r="R517" t="s">
        <v>74</v>
      </c>
      <c r="S517" t="s">
        <v>74</v>
      </c>
      <c r="T517" t="s">
        <v>74</v>
      </c>
      <c r="U517" t="s">
        <v>18291</v>
      </c>
      <c r="V517" t="s">
        <v>18292</v>
      </c>
      <c r="W517" t="s">
        <v>18293</v>
      </c>
      <c r="X517" t="s">
        <v>18294</v>
      </c>
      <c r="Y517" t="s">
        <v>18295</v>
      </c>
      <c r="Z517" t="s">
        <v>18296</v>
      </c>
      <c r="AA517" t="s">
        <v>74</v>
      </c>
      <c r="AB517" t="s">
        <v>74</v>
      </c>
      <c r="AC517" t="s">
        <v>74</v>
      </c>
      <c r="AD517" t="s">
        <v>74</v>
      </c>
      <c r="AE517" t="s">
        <v>74</v>
      </c>
      <c r="AF517" t="s">
        <v>74</v>
      </c>
      <c r="AG517">
        <v>45</v>
      </c>
      <c r="AH517">
        <v>39</v>
      </c>
      <c r="AI517">
        <v>41</v>
      </c>
      <c r="AJ517">
        <v>7</v>
      </c>
      <c r="AK517">
        <v>27</v>
      </c>
      <c r="AL517" t="s">
        <v>74</v>
      </c>
      <c r="AM517" t="s">
        <v>74</v>
      </c>
      <c r="AN517" t="s">
        <v>74</v>
      </c>
      <c r="AO517" t="s">
        <v>6894</v>
      </c>
      <c r="AP517" t="s">
        <v>74</v>
      </c>
      <c r="AQ517" t="s">
        <v>74</v>
      </c>
      <c r="AR517" t="s">
        <v>74</v>
      </c>
      <c r="AS517" t="s">
        <v>74</v>
      </c>
      <c r="AT517" t="s">
        <v>14347</v>
      </c>
      <c r="AU517">
        <v>2019</v>
      </c>
      <c r="AV517">
        <v>17</v>
      </c>
      <c r="AW517" t="s">
        <v>74</v>
      </c>
      <c r="AX517" t="s">
        <v>74</v>
      </c>
      <c r="AY517" t="s">
        <v>74</v>
      </c>
      <c r="AZ517" t="s">
        <v>74</v>
      </c>
      <c r="BA517" t="s">
        <v>74</v>
      </c>
      <c r="BB517">
        <v>726</v>
      </c>
      <c r="BC517">
        <v>740</v>
      </c>
      <c r="BD517" t="s">
        <v>74</v>
      </c>
      <c r="BE517" t="s">
        <v>18297</v>
      </c>
      <c r="BF517" t="str">
        <f>HYPERLINK("http://dx.doi.org/10.1016/j.omtn.2019.07.008","http://dx.doi.org/10.1016/j.omtn.2019.07.008")</f>
        <v>http://dx.doi.org/10.1016/j.omtn.2019.07.008</v>
      </c>
      <c r="BG517" t="s">
        <v>74</v>
      </c>
      <c r="BH517" t="s">
        <v>74</v>
      </c>
      <c r="BI517" t="s">
        <v>74</v>
      </c>
      <c r="BJ517" t="s">
        <v>795</v>
      </c>
      <c r="BK517" t="s">
        <v>117</v>
      </c>
      <c r="BL517" t="s">
        <v>796</v>
      </c>
      <c r="BM517" t="s">
        <v>74</v>
      </c>
      <c r="BN517">
        <v>31437653</v>
      </c>
      <c r="BO517" t="s">
        <v>74</v>
      </c>
      <c r="BP517" t="s">
        <v>74</v>
      </c>
      <c r="BQ517" t="s">
        <v>74</v>
      </c>
      <c r="BR517" t="s">
        <v>96</v>
      </c>
      <c r="BS517" t="s">
        <v>18298</v>
      </c>
      <c r="BT517" t="str">
        <f>HYPERLINK("https%3A%2F%2Fwww.webofscience.com%2Fwos%2Fwoscc%2Ffull-record%2FWOS:000487984400064","View Full Record in Web of Science")</f>
        <v>View Full Record in Web of Science</v>
      </c>
    </row>
    <row r="518" spans="1:72" x14ac:dyDescent="0.15">
      <c r="A518" t="s">
        <v>98</v>
      </c>
      <c r="B518" t="s">
        <v>18553</v>
      </c>
      <c r="C518" t="s">
        <v>74</v>
      </c>
      <c r="D518" t="s">
        <v>74</v>
      </c>
      <c r="E518" t="s">
        <v>74</v>
      </c>
      <c r="F518" t="s">
        <v>18554</v>
      </c>
      <c r="G518" t="s">
        <v>74</v>
      </c>
      <c r="H518" t="s">
        <v>74</v>
      </c>
      <c r="I518" t="s">
        <v>18555</v>
      </c>
      <c r="J518" t="s">
        <v>12183</v>
      </c>
      <c r="K518" t="s">
        <v>74</v>
      </c>
      <c r="L518" t="s">
        <v>74</v>
      </c>
      <c r="M518" t="s">
        <v>74</v>
      </c>
      <c r="N518" t="s">
        <v>103</v>
      </c>
      <c r="O518" t="s">
        <v>74</v>
      </c>
      <c r="P518" t="s">
        <v>74</v>
      </c>
      <c r="Q518" t="s">
        <v>74</v>
      </c>
      <c r="R518" t="s">
        <v>74</v>
      </c>
      <c r="S518" t="s">
        <v>74</v>
      </c>
      <c r="T518" t="s">
        <v>74</v>
      </c>
      <c r="U518" t="s">
        <v>18556</v>
      </c>
      <c r="V518" t="s">
        <v>18557</v>
      </c>
      <c r="W518" t="s">
        <v>18558</v>
      </c>
      <c r="X518" t="s">
        <v>18559</v>
      </c>
      <c r="Y518" t="s">
        <v>18560</v>
      </c>
      <c r="Z518" t="s">
        <v>18561</v>
      </c>
      <c r="AA518" t="s">
        <v>18562</v>
      </c>
      <c r="AB518" t="s">
        <v>18563</v>
      </c>
      <c r="AC518" t="s">
        <v>74</v>
      </c>
      <c r="AD518" t="s">
        <v>74</v>
      </c>
      <c r="AE518" t="s">
        <v>74</v>
      </c>
      <c r="AF518" t="s">
        <v>74</v>
      </c>
      <c r="AG518">
        <v>47</v>
      </c>
      <c r="AH518">
        <v>39</v>
      </c>
      <c r="AI518">
        <v>39</v>
      </c>
      <c r="AJ518">
        <v>1</v>
      </c>
      <c r="AK518">
        <v>27</v>
      </c>
      <c r="AL518" t="s">
        <v>74</v>
      </c>
      <c r="AM518" t="s">
        <v>74</v>
      </c>
      <c r="AN518" t="s">
        <v>74</v>
      </c>
      <c r="AO518" t="s">
        <v>2734</v>
      </c>
      <c r="AP518" t="s">
        <v>74</v>
      </c>
      <c r="AQ518" t="s">
        <v>74</v>
      </c>
      <c r="AR518" t="s">
        <v>74</v>
      </c>
      <c r="AS518" t="s">
        <v>74</v>
      </c>
      <c r="AT518" t="s">
        <v>74</v>
      </c>
      <c r="AU518">
        <v>2012</v>
      </c>
      <c r="AV518" t="s">
        <v>74</v>
      </c>
      <c r="AW518" t="s">
        <v>74</v>
      </c>
      <c r="AX518" t="s">
        <v>74</v>
      </c>
      <c r="AY518" t="s">
        <v>74</v>
      </c>
      <c r="AZ518" t="s">
        <v>74</v>
      </c>
      <c r="BA518" t="s">
        <v>74</v>
      </c>
      <c r="BB518">
        <v>1</v>
      </c>
      <c r="BC518">
        <v>10</v>
      </c>
      <c r="BD518">
        <v>973436</v>
      </c>
      <c r="BE518" t="s">
        <v>18564</v>
      </c>
      <c r="BF518" t="str">
        <f>HYPERLINK("http://dx.doi.org/10.1100/2012/973436","http://dx.doi.org/10.1100/2012/973436")</f>
        <v>http://dx.doi.org/10.1100/2012/973436</v>
      </c>
      <c r="BG518" t="s">
        <v>74</v>
      </c>
      <c r="BH518" t="s">
        <v>74</v>
      </c>
      <c r="BI518" t="s">
        <v>74</v>
      </c>
      <c r="BJ518" t="s">
        <v>152</v>
      </c>
      <c r="BK518" t="s">
        <v>117</v>
      </c>
      <c r="BL518" t="s">
        <v>153</v>
      </c>
      <c r="BM518" t="s">
        <v>74</v>
      </c>
      <c r="BN518" t="s">
        <v>74</v>
      </c>
      <c r="BO518" t="s">
        <v>74</v>
      </c>
      <c r="BP518" t="s">
        <v>74</v>
      </c>
      <c r="BQ518" t="s">
        <v>74</v>
      </c>
      <c r="BR518" t="s">
        <v>96</v>
      </c>
      <c r="BS518" t="s">
        <v>18565</v>
      </c>
      <c r="BT518" t="str">
        <f>HYPERLINK("https%3A%2F%2Fwww.webofscience.com%2Fwos%2Fwoscc%2Ffull-record%2FWOS:000303506000001","View Full Record in Web of Science")</f>
        <v>View Full Record in Web of Science</v>
      </c>
    </row>
    <row r="519" spans="1:72" x14ac:dyDescent="0.15">
      <c r="A519" t="s">
        <v>98</v>
      </c>
      <c r="B519" t="s">
        <v>19350</v>
      </c>
      <c r="C519" t="s">
        <v>74</v>
      </c>
      <c r="D519" t="s">
        <v>74</v>
      </c>
      <c r="E519" t="s">
        <v>74</v>
      </c>
      <c r="F519" t="s">
        <v>19351</v>
      </c>
      <c r="G519" t="s">
        <v>74</v>
      </c>
      <c r="H519" t="s">
        <v>74</v>
      </c>
      <c r="I519" t="s">
        <v>19352</v>
      </c>
      <c r="J519" t="s">
        <v>19353</v>
      </c>
      <c r="K519" t="s">
        <v>74</v>
      </c>
      <c r="L519" t="s">
        <v>74</v>
      </c>
      <c r="M519" t="s">
        <v>74</v>
      </c>
      <c r="N519" t="s">
        <v>103</v>
      </c>
      <c r="O519" t="s">
        <v>74</v>
      </c>
      <c r="P519" t="s">
        <v>74</v>
      </c>
      <c r="Q519" t="s">
        <v>74</v>
      </c>
      <c r="R519" t="s">
        <v>74</v>
      </c>
      <c r="S519" t="s">
        <v>74</v>
      </c>
      <c r="T519" t="s">
        <v>74</v>
      </c>
      <c r="U519" t="s">
        <v>19354</v>
      </c>
      <c r="V519" t="s">
        <v>19355</v>
      </c>
      <c r="W519" t="s">
        <v>19356</v>
      </c>
      <c r="X519" t="s">
        <v>19357</v>
      </c>
      <c r="Y519" t="s">
        <v>19358</v>
      </c>
      <c r="Z519" t="s">
        <v>19359</v>
      </c>
      <c r="AA519" t="s">
        <v>74</v>
      </c>
      <c r="AB519" t="s">
        <v>74</v>
      </c>
      <c r="AC519" t="s">
        <v>74</v>
      </c>
      <c r="AD519" t="s">
        <v>74</v>
      </c>
      <c r="AE519" t="s">
        <v>74</v>
      </c>
      <c r="AF519" t="s">
        <v>74</v>
      </c>
      <c r="AG519">
        <v>24</v>
      </c>
      <c r="AH519">
        <v>39</v>
      </c>
      <c r="AI519">
        <v>45</v>
      </c>
      <c r="AJ519">
        <v>1</v>
      </c>
      <c r="AK519">
        <v>7</v>
      </c>
      <c r="AL519" t="s">
        <v>74</v>
      </c>
      <c r="AM519" t="s">
        <v>74</v>
      </c>
      <c r="AN519" t="s">
        <v>74</v>
      </c>
      <c r="AO519" t="s">
        <v>19360</v>
      </c>
      <c r="AP519" t="s">
        <v>74</v>
      </c>
      <c r="AQ519" t="s">
        <v>74</v>
      </c>
      <c r="AR519" t="s">
        <v>74</v>
      </c>
      <c r="AS519" t="s">
        <v>74</v>
      </c>
      <c r="AT519" t="s">
        <v>614</v>
      </c>
      <c r="AU519">
        <v>2016</v>
      </c>
      <c r="AV519">
        <v>7</v>
      </c>
      <c r="AW519" t="s">
        <v>74</v>
      </c>
      <c r="AX519" t="s">
        <v>74</v>
      </c>
      <c r="AY519" t="s">
        <v>74</v>
      </c>
      <c r="AZ519" t="s">
        <v>74</v>
      </c>
      <c r="BA519" t="s">
        <v>74</v>
      </c>
      <c r="BB519" t="s">
        <v>74</v>
      </c>
      <c r="BC519" t="s">
        <v>74</v>
      </c>
      <c r="BD519" t="s">
        <v>19361</v>
      </c>
      <c r="BE519" t="s">
        <v>19362</v>
      </c>
      <c r="BF519" t="str">
        <f>HYPERLINK("http://dx.doi.org/10.1038/ctg.2016.40","http://dx.doi.org/10.1038/ctg.2016.40")</f>
        <v>http://dx.doi.org/10.1038/ctg.2016.40</v>
      </c>
      <c r="BG519" t="s">
        <v>74</v>
      </c>
      <c r="BH519" t="s">
        <v>74</v>
      </c>
      <c r="BI519" t="s">
        <v>74</v>
      </c>
      <c r="BJ519" t="s">
        <v>633</v>
      </c>
      <c r="BK519" t="s">
        <v>117</v>
      </c>
      <c r="BL519" t="s">
        <v>633</v>
      </c>
      <c r="BM519" t="s">
        <v>74</v>
      </c>
      <c r="BN519">
        <v>27441821</v>
      </c>
      <c r="BO519" t="s">
        <v>74</v>
      </c>
      <c r="BP519" t="s">
        <v>74</v>
      </c>
      <c r="BQ519" t="s">
        <v>74</v>
      </c>
      <c r="BR519" t="s">
        <v>96</v>
      </c>
      <c r="BS519" t="s">
        <v>19363</v>
      </c>
      <c r="BT519" t="str">
        <f>HYPERLINK("https%3A%2F%2Fwww.webofscience.com%2Fwos%2Fwoscc%2Ffull-record%2FWOS:000382087500007","View Full Record in Web of Science")</f>
        <v>View Full Record in Web of Science</v>
      </c>
    </row>
    <row r="520" spans="1:72" x14ac:dyDescent="0.15">
      <c r="A520" t="s">
        <v>98</v>
      </c>
      <c r="B520" t="s">
        <v>24193</v>
      </c>
      <c r="C520" t="s">
        <v>74</v>
      </c>
      <c r="D520" t="s">
        <v>74</v>
      </c>
      <c r="E520" t="s">
        <v>74</v>
      </c>
      <c r="F520" t="s">
        <v>24193</v>
      </c>
      <c r="G520" t="s">
        <v>74</v>
      </c>
      <c r="H520" t="s">
        <v>74</v>
      </c>
      <c r="I520" t="s">
        <v>24194</v>
      </c>
      <c r="J520" t="s">
        <v>14258</v>
      </c>
      <c r="K520" t="s">
        <v>74</v>
      </c>
      <c r="L520" t="s">
        <v>74</v>
      </c>
      <c r="M520" t="s">
        <v>74</v>
      </c>
      <c r="N520" t="s">
        <v>103</v>
      </c>
      <c r="O520" t="s">
        <v>74</v>
      </c>
      <c r="P520" t="s">
        <v>74</v>
      </c>
      <c r="Q520" t="s">
        <v>74</v>
      </c>
      <c r="R520" t="s">
        <v>74</v>
      </c>
      <c r="S520" t="s">
        <v>74</v>
      </c>
      <c r="T520" t="s">
        <v>74</v>
      </c>
      <c r="U520" t="s">
        <v>24195</v>
      </c>
      <c r="V520" t="s">
        <v>24196</v>
      </c>
      <c r="W520" t="s">
        <v>24197</v>
      </c>
      <c r="X520" t="s">
        <v>24198</v>
      </c>
      <c r="Y520" t="s">
        <v>24199</v>
      </c>
      <c r="Z520" t="s">
        <v>24200</v>
      </c>
      <c r="AA520" t="s">
        <v>74</v>
      </c>
      <c r="AB520" t="s">
        <v>74</v>
      </c>
      <c r="AC520" t="s">
        <v>74</v>
      </c>
      <c r="AD520" t="s">
        <v>74</v>
      </c>
      <c r="AE520" t="s">
        <v>74</v>
      </c>
      <c r="AF520" t="s">
        <v>74</v>
      </c>
      <c r="AG520">
        <v>40</v>
      </c>
      <c r="AH520">
        <v>39</v>
      </c>
      <c r="AI520">
        <v>39</v>
      </c>
      <c r="AJ520">
        <v>0</v>
      </c>
      <c r="AK520">
        <v>3</v>
      </c>
      <c r="AL520" t="s">
        <v>74</v>
      </c>
      <c r="AM520" t="s">
        <v>74</v>
      </c>
      <c r="AN520" t="s">
        <v>74</v>
      </c>
      <c r="AO520" t="s">
        <v>14265</v>
      </c>
      <c r="AP520" t="s">
        <v>74</v>
      </c>
      <c r="AQ520" t="s">
        <v>74</v>
      </c>
      <c r="AR520" t="s">
        <v>74</v>
      </c>
      <c r="AS520" t="s">
        <v>74</v>
      </c>
      <c r="AT520" t="s">
        <v>12712</v>
      </c>
      <c r="AU520">
        <v>2005</v>
      </c>
      <c r="AV520">
        <v>14</v>
      </c>
      <c r="AW520">
        <v>10</v>
      </c>
      <c r="AX520" t="s">
        <v>74</v>
      </c>
      <c r="AY520" t="s">
        <v>74</v>
      </c>
      <c r="AZ520" t="s">
        <v>74</v>
      </c>
      <c r="BA520" t="s">
        <v>74</v>
      </c>
      <c r="BB520">
        <v>1393</v>
      </c>
      <c r="BC520">
        <v>1404</v>
      </c>
      <c r="BD520" t="s">
        <v>74</v>
      </c>
      <c r="BE520" t="s">
        <v>24201</v>
      </c>
      <c r="BF520" t="str">
        <f>HYPERLINK("http://dx.doi.org/10.1093/hmg/ddi148","http://dx.doi.org/10.1093/hmg/ddi148")</f>
        <v>http://dx.doi.org/10.1093/hmg/ddi148</v>
      </c>
      <c r="BG520" t="s">
        <v>74</v>
      </c>
      <c r="BH520" t="s">
        <v>74</v>
      </c>
      <c r="BI520" t="s">
        <v>74</v>
      </c>
      <c r="BJ520" t="s">
        <v>950</v>
      </c>
      <c r="BK520" t="s">
        <v>117</v>
      </c>
      <c r="BL520" t="s">
        <v>950</v>
      </c>
      <c r="BM520" t="s">
        <v>74</v>
      </c>
      <c r="BN520">
        <v>15829504</v>
      </c>
      <c r="BO520" t="s">
        <v>74</v>
      </c>
      <c r="BP520" t="s">
        <v>74</v>
      </c>
      <c r="BQ520" t="s">
        <v>74</v>
      </c>
      <c r="BR520" t="s">
        <v>96</v>
      </c>
      <c r="BS520" t="s">
        <v>24202</v>
      </c>
      <c r="BT520" t="str">
        <f>HYPERLINK("https%3A%2F%2Fwww.webofscience.com%2Fwos%2Fwoscc%2Ffull-record%2FWOS:000229476900015","View Full Record in Web of Science")</f>
        <v>View Full Record in Web of Science</v>
      </c>
    </row>
    <row r="521" spans="1:72" x14ac:dyDescent="0.15">
      <c r="A521" t="s">
        <v>98</v>
      </c>
      <c r="B521" t="s">
        <v>25050</v>
      </c>
      <c r="C521" t="s">
        <v>74</v>
      </c>
      <c r="D521" t="s">
        <v>74</v>
      </c>
      <c r="E521" t="s">
        <v>74</v>
      </c>
      <c r="F521" t="s">
        <v>25051</v>
      </c>
      <c r="G521" t="s">
        <v>74</v>
      </c>
      <c r="H521" t="s">
        <v>74</v>
      </c>
      <c r="I521" t="s">
        <v>25052</v>
      </c>
      <c r="J521" t="s">
        <v>25053</v>
      </c>
      <c r="K521" t="s">
        <v>74</v>
      </c>
      <c r="L521" t="s">
        <v>74</v>
      </c>
      <c r="M521" t="s">
        <v>74</v>
      </c>
      <c r="N521" t="s">
        <v>103</v>
      </c>
      <c r="O521" t="s">
        <v>74</v>
      </c>
      <c r="P521" t="s">
        <v>74</v>
      </c>
      <c r="Q521" t="s">
        <v>74</v>
      </c>
      <c r="R521" t="s">
        <v>74</v>
      </c>
      <c r="S521" t="s">
        <v>74</v>
      </c>
      <c r="T521" t="s">
        <v>74</v>
      </c>
      <c r="U521" t="s">
        <v>25054</v>
      </c>
      <c r="V521" t="s">
        <v>25055</v>
      </c>
      <c r="W521" t="s">
        <v>25056</v>
      </c>
      <c r="X521" t="s">
        <v>25057</v>
      </c>
      <c r="Y521" t="s">
        <v>25058</v>
      </c>
      <c r="Z521" t="s">
        <v>25059</v>
      </c>
      <c r="AA521" t="s">
        <v>25060</v>
      </c>
      <c r="AB521" t="s">
        <v>25061</v>
      </c>
      <c r="AC521" t="s">
        <v>74</v>
      </c>
      <c r="AD521" t="s">
        <v>74</v>
      </c>
      <c r="AE521" t="s">
        <v>74</v>
      </c>
      <c r="AF521" t="s">
        <v>74</v>
      </c>
      <c r="AG521">
        <v>88</v>
      </c>
      <c r="AH521">
        <v>39</v>
      </c>
      <c r="AI521">
        <v>40</v>
      </c>
      <c r="AJ521">
        <v>1</v>
      </c>
      <c r="AK521">
        <v>6</v>
      </c>
      <c r="AL521" t="s">
        <v>74</v>
      </c>
      <c r="AM521" t="s">
        <v>74</v>
      </c>
      <c r="AN521" t="s">
        <v>74</v>
      </c>
      <c r="AO521" t="s">
        <v>25062</v>
      </c>
      <c r="AP521" t="s">
        <v>25063</v>
      </c>
      <c r="AQ521" t="s">
        <v>74</v>
      </c>
      <c r="AR521" t="s">
        <v>74</v>
      </c>
      <c r="AS521" t="s">
        <v>74</v>
      </c>
      <c r="AT521" t="s">
        <v>211</v>
      </c>
      <c r="AU521">
        <v>2018</v>
      </c>
      <c r="AV521">
        <v>196</v>
      </c>
      <c r="AW521" t="s">
        <v>74</v>
      </c>
      <c r="AX521" t="s">
        <v>74</v>
      </c>
      <c r="AY521" t="s">
        <v>74</v>
      </c>
      <c r="AZ521" t="s">
        <v>447</v>
      </c>
      <c r="BA521" t="s">
        <v>74</v>
      </c>
      <c r="BB521">
        <v>64</v>
      </c>
      <c r="BC521">
        <v>71</v>
      </c>
      <c r="BD521" t="s">
        <v>74</v>
      </c>
      <c r="BE521" t="s">
        <v>25064</v>
      </c>
      <c r="BF521" t="str">
        <f>HYPERLINK("http://dx.doi.org/10.1016/j.clim.2018.02.013","http://dx.doi.org/10.1016/j.clim.2018.02.013")</f>
        <v>http://dx.doi.org/10.1016/j.clim.2018.02.013</v>
      </c>
      <c r="BG521" t="s">
        <v>74</v>
      </c>
      <c r="BH521" t="s">
        <v>74</v>
      </c>
      <c r="BI521" t="s">
        <v>74</v>
      </c>
      <c r="BJ521" t="s">
        <v>2064</v>
      </c>
      <c r="BK521" t="s">
        <v>117</v>
      </c>
      <c r="BL521" t="s">
        <v>2064</v>
      </c>
      <c r="BM521" t="s">
        <v>74</v>
      </c>
      <c r="BN521">
        <v>29501540</v>
      </c>
      <c r="BO521" t="s">
        <v>74</v>
      </c>
      <c r="BP521" t="s">
        <v>74</v>
      </c>
      <c r="BQ521" t="s">
        <v>74</v>
      </c>
      <c r="BR521" t="s">
        <v>96</v>
      </c>
      <c r="BS521" t="s">
        <v>25065</v>
      </c>
      <c r="BT521" t="str">
        <f>HYPERLINK("https%3A%2F%2Fwww.webofscience.com%2Fwos%2Fwoscc%2Ffull-record%2FWOS:000454373800009","View Full Record in Web of Science")</f>
        <v>View Full Record in Web of Science</v>
      </c>
    </row>
    <row r="522" spans="1:72" x14ac:dyDescent="0.15">
      <c r="A522" t="s">
        <v>98</v>
      </c>
      <c r="B522" t="s">
        <v>737</v>
      </c>
      <c r="C522" t="s">
        <v>74</v>
      </c>
      <c r="D522" t="s">
        <v>74</v>
      </c>
      <c r="E522" t="s">
        <v>74</v>
      </c>
      <c r="F522" t="s">
        <v>738</v>
      </c>
      <c r="G522" t="s">
        <v>74</v>
      </c>
      <c r="H522" t="s">
        <v>74</v>
      </c>
      <c r="I522" t="s">
        <v>739</v>
      </c>
      <c r="J522" t="s">
        <v>418</v>
      </c>
      <c r="K522" t="s">
        <v>74</v>
      </c>
      <c r="L522" t="s">
        <v>74</v>
      </c>
      <c r="M522" t="s">
        <v>74</v>
      </c>
      <c r="N522" t="s">
        <v>103</v>
      </c>
      <c r="O522" t="s">
        <v>74</v>
      </c>
      <c r="P522" t="s">
        <v>74</v>
      </c>
      <c r="Q522" t="s">
        <v>74</v>
      </c>
      <c r="R522" t="s">
        <v>74</v>
      </c>
      <c r="S522" t="s">
        <v>74</v>
      </c>
      <c r="T522" t="s">
        <v>740</v>
      </c>
      <c r="U522" t="s">
        <v>741</v>
      </c>
      <c r="V522" t="s">
        <v>742</v>
      </c>
      <c r="W522" t="s">
        <v>743</v>
      </c>
      <c r="X522" t="s">
        <v>744</v>
      </c>
      <c r="Y522" t="s">
        <v>745</v>
      </c>
      <c r="Z522" t="s">
        <v>746</v>
      </c>
      <c r="AA522" t="s">
        <v>747</v>
      </c>
      <c r="AB522" t="s">
        <v>748</v>
      </c>
      <c r="AC522" t="s">
        <v>74</v>
      </c>
      <c r="AD522" t="s">
        <v>74</v>
      </c>
      <c r="AE522" t="s">
        <v>74</v>
      </c>
      <c r="AF522" t="s">
        <v>74</v>
      </c>
      <c r="AG522">
        <v>32</v>
      </c>
      <c r="AH522">
        <v>38</v>
      </c>
      <c r="AI522">
        <v>38</v>
      </c>
      <c r="AJ522">
        <v>0</v>
      </c>
      <c r="AK522">
        <v>6</v>
      </c>
      <c r="AL522" t="s">
        <v>74</v>
      </c>
      <c r="AM522" t="s">
        <v>74</v>
      </c>
      <c r="AN522" t="s">
        <v>74</v>
      </c>
      <c r="AO522" t="s">
        <v>428</v>
      </c>
      <c r="AP522" t="s">
        <v>74</v>
      </c>
      <c r="AQ522" t="s">
        <v>74</v>
      </c>
      <c r="AR522" t="s">
        <v>74</v>
      </c>
      <c r="AS522" t="s">
        <v>74</v>
      </c>
      <c r="AT522" t="s">
        <v>114</v>
      </c>
      <c r="AU522">
        <v>2017</v>
      </c>
      <c r="AV522" t="s">
        <v>74</v>
      </c>
      <c r="AW522">
        <v>119</v>
      </c>
      <c r="AX522" t="s">
        <v>74</v>
      </c>
      <c r="AY522" t="s">
        <v>74</v>
      </c>
      <c r="AZ522" t="s">
        <v>74</v>
      </c>
      <c r="BA522" t="s">
        <v>74</v>
      </c>
      <c r="BB522" t="s">
        <v>74</v>
      </c>
      <c r="BC522" t="s">
        <v>74</v>
      </c>
      <c r="BD522" t="s">
        <v>749</v>
      </c>
      <c r="BE522" t="s">
        <v>750</v>
      </c>
      <c r="BF522" t="str">
        <f>HYPERLINK("http://dx.doi.org/10.3791/55057","http://dx.doi.org/10.3791/55057")</f>
        <v>http://dx.doi.org/10.3791/55057</v>
      </c>
      <c r="BG522" t="s">
        <v>74</v>
      </c>
      <c r="BH522" t="s">
        <v>74</v>
      </c>
      <c r="BI522" t="s">
        <v>74</v>
      </c>
      <c r="BJ522" t="s">
        <v>152</v>
      </c>
      <c r="BK522" t="s">
        <v>117</v>
      </c>
      <c r="BL522" t="s">
        <v>153</v>
      </c>
      <c r="BM522" t="s">
        <v>74</v>
      </c>
      <c r="BN522">
        <v>28117819</v>
      </c>
      <c r="BO522" t="s">
        <v>74</v>
      </c>
      <c r="BP522" t="s">
        <v>74</v>
      </c>
      <c r="BQ522" t="s">
        <v>74</v>
      </c>
      <c r="BR522" t="s">
        <v>96</v>
      </c>
      <c r="BS522" t="s">
        <v>751</v>
      </c>
      <c r="BT522" t="str">
        <f>HYPERLINK("https%3A%2F%2Fwww.webofscience.com%2Fwos%2Fwoscc%2Ffull-record%2FWOS:000397847200045","View Full Record in Web of Science")</f>
        <v>View Full Record in Web of Science</v>
      </c>
    </row>
    <row r="523" spans="1:72" x14ac:dyDescent="0.15">
      <c r="A523" t="s">
        <v>98</v>
      </c>
      <c r="B523" t="s">
        <v>5625</v>
      </c>
      <c r="C523" t="s">
        <v>74</v>
      </c>
      <c r="D523" t="s">
        <v>74</v>
      </c>
      <c r="E523" t="s">
        <v>74</v>
      </c>
      <c r="F523" t="s">
        <v>5626</v>
      </c>
      <c r="G523" t="s">
        <v>74</v>
      </c>
      <c r="H523" t="s">
        <v>74</v>
      </c>
      <c r="I523" t="s">
        <v>5627</v>
      </c>
      <c r="J523" t="s">
        <v>1684</v>
      </c>
      <c r="K523" t="s">
        <v>74</v>
      </c>
      <c r="L523" t="s">
        <v>74</v>
      </c>
      <c r="M523" t="s">
        <v>74</v>
      </c>
      <c r="N523" t="s">
        <v>103</v>
      </c>
      <c r="O523" t="s">
        <v>74</v>
      </c>
      <c r="P523" t="s">
        <v>74</v>
      </c>
      <c r="Q523" t="s">
        <v>74</v>
      </c>
      <c r="R523" t="s">
        <v>74</v>
      </c>
      <c r="S523" t="s">
        <v>74</v>
      </c>
      <c r="T523" t="s">
        <v>5628</v>
      </c>
      <c r="U523" t="s">
        <v>5629</v>
      </c>
      <c r="V523" t="s">
        <v>5630</v>
      </c>
      <c r="W523" t="s">
        <v>5631</v>
      </c>
      <c r="X523" t="s">
        <v>5632</v>
      </c>
      <c r="Y523" t="s">
        <v>5633</v>
      </c>
      <c r="Z523" t="s">
        <v>5634</v>
      </c>
      <c r="AA523" t="s">
        <v>5635</v>
      </c>
      <c r="AB523" t="s">
        <v>5636</v>
      </c>
      <c r="AC523" t="s">
        <v>74</v>
      </c>
      <c r="AD523" t="s">
        <v>74</v>
      </c>
      <c r="AE523" t="s">
        <v>74</v>
      </c>
      <c r="AF523" t="s">
        <v>74</v>
      </c>
      <c r="AG523">
        <v>136</v>
      </c>
      <c r="AH523">
        <v>38</v>
      </c>
      <c r="AI523">
        <v>38</v>
      </c>
      <c r="AJ523">
        <v>1</v>
      </c>
      <c r="AK523">
        <v>5</v>
      </c>
      <c r="AL523" t="s">
        <v>74</v>
      </c>
      <c r="AM523" t="s">
        <v>74</v>
      </c>
      <c r="AN523" t="s">
        <v>74</v>
      </c>
      <c r="AO523" t="s">
        <v>1692</v>
      </c>
      <c r="AP523" t="s">
        <v>1693</v>
      </c>
      <c r="AQ523" t="s">
        <v>74</v>
      </c>
      <c r="AR523" t="s">
        <v>74</v>
      </c>
      <c r="AS523" t="s">
        <v>74</v>
      </c>
      <c r="AT523" t="s">
        <v>114</v>
      </c>
      <c r="AU523">
        <v>2019</v>
      </c>
      <c r="AV523">
        <v>19</v>
      </c>
      <c r="AW523" t="s">
        <v>1694</v>
      </c>
      <c r="AX523" t="s">
        <v>74</v>
      </c>
      <c r="AY523" t="s">
        <v>74</v>
      </c>
      <c r="AZ523" t="s">
        <v>447</v>
      </c>
      <c r="BA523" t="s">
        <v>74</v>
      </c>
      <c r="BB523" t="s">
        <v>74</v>
      </c>
      <c r="BC523" t="s">
        <v>74</v>
      </c>
      <c r="BD523">
        <v>1800157</v>
      </c>
      <c r="BE523" t="s">
        <v>5637</v>
      </c>
      <c r="BF523" t="str">
        <f>HYPERLINK("http://dx.doi.org/10.1002/pmic.201800157","http://dx.doi.org/10.1002/pmic.201800157")</f>
        <v>http://dx.doi.org/10.1002/pmic.201800157</v>
      </c>
      <c r="BG523" t="s">
        <v>74</v>
      </c>
      <c r="BH523" t="s">
        <v>74</v>
      </c>
      <c r="BI523" t="s">
        <v>74</v>
      </c>
      <c r="BJ523" t="s">
        <v>93</v>
      </c>
      <c r="BK523" t="s">
        <v>117</v>
      </c>
      <c r="BL523" t="s">
        <v>95</v>
      </c>
      <c r="BM523" t="s">
        <v>74</v>
      </c>
      <c r="BN523">
        <v>30451371</v>
      </c>
      <c r="BO523" t="s">
        <v>74</v>
      </c>
      <c r="BP523" t="s">
        <v>74</v>
      </c>
      <c r="BQ523" t="s">
        <v>74</v>
      </c>
      <c r="BR523" t="s">
        <v>96</v>
      </c>
      <c r="BS523" t="s">
        <v>5638</v>
      </c>
      <c r="BT523" t="str">
        <f>HYPERLINK("https%3A%2F%2Fwww.webofscience.com%2Fwos%2Fwoscc%2Ffull-record%2FWOS:000456808000003","View Full Record in Web of Science")</f>
        <v>View Full Record in Web of Science</v>
      </c>
    </row>
    <row r="524" spans="1:72" x14ac:dyDescent="0.15">
      <c r="A524" t="s">
        <v>98</v>
      </c>
      <c r="B524" t="s">
        <v>6346</v>
      </c>
      <c r="C524" t="s">
        <v>74</v>
      </c>
      <c r="D524" t="s">
        <v>74</v>
      </c>
      <c r="E524" t="s">
        <v>74</v>
      </c>
      <c r="F524" t="s">
        <v>6347</v>
      </c>
      <c r="G524" t="s">
        <v>74</v>
      </c>
      <c r="H524" t="s">
        <v>74</v>
      </c>
      <c r="I524" t="s">
        <v>6348</v>
      </c>
      <c r="J524" t="s">
        <v>6349</v>
      </c>
      <c r="K524" t="s">
        <v>74</v>
      </c>
      <c r="L524" t="s">
        <v>74</v>
      </c>
      <c r="M524" t="s">
        <v>74</v>
      </c>
      <c r="N524" t="s">
        <v>103</v>
      </c>
      <c r="O524" t="s">
        <v>74</v>
      </c>
      <c r="P524" t="s">
        <v>74</v>
      </c>
      <c r="Q524" t="s">
        <v>74</v>
      </c>
      <c r="R524" t="s">
        <v>74</v>
      </c>
      <c r="S524" t="s">
        <v>74</v>
      </c>
      <c r="T524" t="s">
        <v>6350</v>
      </c>
      <c r="U524" t="s">
        <v>6351</v>
      </c>
      <c r="V524" t="s">
        <v>6352</v>
      </c>
      <c r="W524" t="s">
        <v>6353</v>
      </c>
      <c r="X524" t="s">
        <v>6354</v>
      </c>
      <c r="Y524" t="s">
        <v>6355</v>
      </c>
      <c r="Z524" t="s">
        <v>6356</v>
      </c>
      <c r="AA524" t="s">
        <v>6357</v>
      </c>
      <c r="AB524" t="s">
        <v>6358</v>
      </c>
      <c r="AC524" t="s">
        <v>74</v>
      </c>
      <c r="AD524" t="s">
        <v>74</v>
      </c>
      <c r="AE524" t="s">
        <v>74</v>
      </c>
      <c r="AF524" t="s">
        <v>74</v>
      </c>
      <c r="AG524">
        <v>44</v>
      </c>
      <c r="AH524">
        <v>38</v>
      </c>
      <c r="AI524">
        <v>40</v>
      </c>
      <c r="AJ524">
        <v>1</v>
      </c>
      <c r="AK524">
        <v>6</v>
      </c>
      <c r="AL524" t="s">
        <v>74</v>
      </c>
      <c r="AM524" t="s">
        <v>74</v>
      </c>
      <c r="AN524" t="s">
        <v>74</v>
      </c>
      <c r="AO524" t="s">
        <v>6359</v>
      </c>
      <c r="AP524" t="s">
        <v>74</v>
      </c>
      <c r="AQ524" t="s">
        <v>74</v>
      </c>
      <c r="AR524" t="s">
        <v>74</v>
      </c>
      <c r="AS524" t="s">
        <v>74</v>
      </c>
      <c r="AT524" t="s">
        <v>6360</v>
      </c>
      <c r="AU524">
        <v>2018</v>
      </c>
      <c r="AV524">
        <v>9</v>
      </c>
      <c r="AW524">
        <v>5</v>
      </c>
      <c r="AX524" t="s">
        <v>74</v>
      </c>
      <c r="AY524" t="s">
        <v>74</v>
      </c>
      <c r="AZ524" t="s">
        <v>74</v>
      </c>
      <c r="BA524" t="s">
        <v>74</v>
      </c>
      <c r="BB524" t="s">
        <v>74</v>
      </c>
      <c r="BC524" t="s">
        <v>74</v>
      </c>
      <c r="BD524" t="s">
        <v>6361</v>
      </c>
      <c r="BE524" t="s">
        <v>6362</v>
      </c>
      <c r="BF524" t="str">
        <f>HYPERLINK("http://dx.doi.org/10.1128/mBio.00757-18","http://dx.doi.org/10.1128/mBio.00757-18")</f>
        <v>http://dx.doi.org/10.1128/mBio.00757-18</v>
      </c>
      <c r="BG524" t="s">
        <v>74</v>
      </c>
      <c r="BH524" t="s">
        <v>74</v>
      </c>
      <c r="BI524" t="s">
        <v>74</v>
      </c>
      <c r="BJ524" t="s">
        <v>898</v>
      </c>
      <c r="BK524" t="s">
        <v>117</v>
      </c>
      <c r="BL524" t="s">
        <v>898</v>
      </c>
      <c r="BM524" t="s">
        <v>74</v>
      </c>
      <c r="BN524">
        <v>30206166</v>
      </c>
      <c r="BO524" t="s">
        <v>74</v>
      </c>
      <c r="BP524" t="s">
        <v>74</v>
      </c>
      <c r="BQ524" t="s">
        <v>74</v>
      </c>
      <c r="BR524" t="s">
        <v>96</v>
      </c>
      <c r="BS524" t="s">
        <v>6363</v>
      </c>
      <c r="BT524" t="str">
        <f>HYPERLINK("https%3A%2F%2Fwww.webofscience.com%2Fwos%2Fwoscc%2Ffull-record%2FWOS:000449472200001","View Full Record in Web of Science")</f>
        <v>View Full Record in Web of Science</v>
      </c>
    </row>
    <row r="525" spans="1:72" x14ac:dyDescent="0.15">
      <c r="A525" t="s">
        <v>98</v>
      </c>
      <c r="B525" t="s">
        <v>7287</v>
      </c>
      <c r="C525" t="s">
        <v>74</v>
      </c>
      <c r="D525" t="s">
        <v>74</v>
      </c>
      <c r="E525" t="s">
        <v>74</v>
      </c>
      <c r="F525" t="s">
        <v>7288</v>
      </c>
      <c r="G525" t="s">
        <v>74</v>
      </c>
      <c r="H525" t="s">
        <v>74</v>
      </c>
      <c r="I525" t="s">
        <v>7289</v>
      </c>
      <c r="J525" t="s">
        <v>6224</v>
      </c>
      <c r="K525" t="s">
        <v>74</v>
      </c>
      <c r="L525" t="s">
        <v>74</v>
      </c>
      <c r="M525" t="s">
        <v>74</v>
      </c>
      <c r="N525" t="s">
        <v>103</v>
      </c>
      <c r="O525" t="s">
        <v>74</v>
      </c>
      <c r="P525" t="s">
        <v>74</v>
      </c>
      <c r="Q525" t="s">
        <v>74</v>
      </c>
      <c r="R525" t="s">
        <v>74</v>
      </c>
      <c r="S525" t="s">
        <v>74</v>
      </c>
      <c r="T525" t="s">
        <v>7290</v>
      </c>
      <c r="U525" t="s">
        <v>7291</v>
      </c>
      <c r="V525" t="s">
        <v>7292</v>
      </c>
      <c r="W525" t="s">
        <v>7293</v>
      </c>
      <c r="X525" t="s">
        <v>7294</v>
      </c>
      <c r="Y525" t="s">
        <v>7295</v>
      </c>
      <c r="Z525" t="s">
        <v>7296</v>
      </c>
      <c r="AA525" t="s">
        <v>7297</v>
      </c>
      <c r="AB525" t="s">
        <v>7298</v>
      </c>
      <c r="AC525" t="s">
        <v>74</v>
      </c>
      <c r="AD525" t="s">
        <v>74</v>
      </c>
      <c r="AE525" t="s">
        <v>74</v>
      </c>
      <c r="AF525" t="s">
        <v>74</v>
      </c>
      <c r="AG525">
        <v>59</v>
      </c>
      <c r="AH525">
        <v>38</v>
      </c>
      <c r="AI525">
        <v>42</v>
      </c>
      <c r="AJ525">
        <v>1</v>
      </c>
      <c r="AK525">
        <v>26</v>
      </c>
      <c r="AL525" t="s">
        <v>74</v>
      </c>
      <c r="AM525" t="s">
        <v>74</v>
      </c>
      <c r="AN525" t="s">
        <v>74</v>
      </c>
      <c r="AO525" t="s">
        <v>6234</v>
      </c>
      <c r="AP525" t="s">
        <v>6235</v>
      </c>
      <c r="AQ525" t="s">
        <v>74</v>
      </c>
      <c r="AR525" t="s">
        <v>74</v>
      </c>
      <c r="AS525" t="s">
        <v>74</v>
      </c>
      <c r="AT525" t="s">
        <v>189</v>
      </c>
      <c r="AU525">
        <v>2018</v>
      </c>
      <c r="AV525">
        <v>13</v>
      </c>
      <c r="AW525">
        <v>20</v>
      </c>
      <c r="AX525" t="s">
        <v>74</v>
      </c>
      <c r="AY525" t="s">
        <v>74</v>
      </c>
      <c r="AZ525" t="s">
        <v>74</v>
      </c>
      <c r="BA525" t="s">
        <v>74</v>
      </c>
      <c r="BB525">
        <v>2597</v>
      </c>
      <c r="BC525">
        <v>2609</v>
      </c>
      <c r="BD525" t="s">
        <v>74</v>
      </c>
      <c r="BE525" t="s">
        <v>7299</v>
      </c>
      <c r="BF525" t="str">
        <f>HYPERLINK("http://dx.doi.org/10.2217/nnm-2018-0094","http://dx.doi.org/10.2217/nnm-2018-0094")</f>
        <v>http://dx.doi.org/10.2217/nnm-2018-0094</v>
      </c>
      <c r="BG525" t="s">
        <v>74</v>
      </c>
      <c r="BH525" t="s">
        <v>74</v>
      </c>
      <c r="BI525" t="s">
        <v>74</v>
      </c>
      <c r="BJ525" t="s">
        <v>3877</v>
      </c>
      <c r="BK525" t="s">
        <v>117</v>
      </c>
      <c r="BL525" t="s">
        <v>3878</v>
      </c>
      <c r="BM525" t="s">
        <v>74</v>
      </c>
      <c r="BN525">
        <v>30338706</v>
      </c>
      <c r="BO525" t="s">
        <v>74</v>
      </c>
      <c r="BP525" t="s">
        <v>74</v>
      </c>
      <c r="BQ525" t="s">
        <v>74</v>
      </c>
      <c r="BR525" t="s">
        <v>96</v>
      </c>
      <c r="BS525" t="s">
        <v>7300</v>
      </c>
      <c r="BT525" t="str">
        <f>HYPERLINK("https%3A%2F%2Fwww.webofscience.com%2Fwos%2Fwoscc%2Ffull-record%2FWOS:000452394400005","View Full Record in Web of Science")</f>
        <v>View Full Record in Web of Science</v>
      </c>
    </row>
    <row r="526" spans="1:72" x14ac:dyDescent="0.15">
      <c r="A526" t="s">
        <v>98</v>
      </c>
      <c r="B526" t="s">
        <v>8081</v>
      </c>
      <c r="C526" t="s">
        <v>74</v>
      </c>
      <c r="D526" t="s">
        <v>74</v>
      </c>
      <c r="E526" t="s">
        <v>74</v>
      </c>
      <c r="F526" t="s">
        <v>8082</v>
      </c>
      <c r="G526" t="s">
        <v>74</v>
      </c>
      <c r="H526" t="s">
        <v>74</v>
      </c>
      <c r="I526" t="s">
        <v>8083</v>
      </c>
      <c r="J526" t="s">
        <v>4486</v>
      </c>
      <c r="K526" t="s">
        <v>74</v>
      </c>
      <c r="L526" t="s">
        <v>74</v>
      </c>
      <c r="M526" t="s">
        <v>74</v>
      </c>
      <c r="N526" t="s">
        <v>103</v>
      </c>
      <c r="O526" t="s">
        <v>74</v>
      </c>
      <c r="P526" t="s">
        <v>74</v>
      </c>
      <c r="Q526" t="s">
        <v>74</v>
      </c>
      <c r="R526" t="s">
        <v>74</v>
      </c>
      <c r="S526" t="s">
        <v>74</v>
      </c>
      <c r="T526" t="s">
        <v>74</v>
      </c>
      <c r="U526" t="s">
        <v>8084</v>
      </c>
      <c r="V526" t="s">
        <v>8085</v>
      </c>
      <c r="W526" t="s">
        <v>8086</v>
      </c>
      <c r="X526" t="s">
        <v>8087</v>
      </c>
      <c r="Y526" t="s">
        <v>8088</v>
      </c>
      <c r="Z526" t="s">
        <v>8089</v>
      </c>
      <c r="AA526" t="s">
        <v>8090</v>
      </c>
      <c r="AB526" t="s">
        <v>8091</v>
      </c>
      <c r="AC526" t="s">
        <v>74</v>
      </c>
      <c r="AD526" t="s">
        <v>74</v>
      </c>
      <c r="AE526" t="s">
        <v>74</v>
      </c>
      <c r="AF526" t="s">
        <v>74</v>
      </c>
      <c r="AG526">
        <v>31</v>
      </c>
      <c r="AH526">
        <v>38</v>
      </c>
      <c r="AI526">
        <v>38</v>
      </c>
      <c r="AJ526">
        <v>26</v>
      </c>
      <c r="AK526">
        <v>247</v>
      </c>
      <c r="AL526" t="s">
        <v>74</v>
      </c>
      <c r="AM526" t="s">
        <v>74</v>
      </c>
      <c r="AN526" t="s">
        <v>74</v>
      </c>
      <c r="AO526" t="s">
        <v>4493</v>
      </c>
      <c r="AP526" t="s">
        <v>4494</v>
      </c>
      <c r="AQ526" t="s">
        <v>74</v>
      </c>
      <c r="AR526" t="s">
        <v>74</v>
      </c>
      <c r="AS526" t="s">
        <v>74</v>
      </c>
      <c r="AT526" t="s">
        <v>8092</v>
      </c>
      <c r="AU526">
        <v>2018</v>
      </c>
      <c r="AV526">
        <v>90</v>
      </c>
      <c r="AW526">
        <v>11</v>
      </c>
      <c r="AX526" t="s">
        <v>74</v>
      </c>
      <c r="AY526" t="s">
        <v>74</v>
      </c>
      <c r="AZ526" t="s">
        <v>74</v>
      </c>
      <c r="BA526" t="s">
        <v>74</v>
      </c>
      <c r="BB526">
        <v>6556</v>
      </c>
      <c r="BC526">
        <v>6562</v>
      </c>
      <c r="BD526" t="s">
        <v>74</v>
      </c>
      <c r="BE526" t="s">
        <v>8093</v>
      </c>
      <c r="BF526" t="str">
        <f>HYPERLINK("http://dx.doi.org/10.1021/acs.analchem.8b00189","http://dx.doi.org/10.1021/acs.analchem.8b00189")</f>
        <v>http://dx.doi.org/10.1021/acs.analchem.8b00189</v>
      </c>
      <c r="BG526" t="s">
        <v>74</v>
      </c>
      <c r="BH526" t="s">
        <v>74</v>
      </c>
      <c r="BI526" t="s">
        <v>74</v>
      </c>
      <c r="BJ526" t="s">
        <v>1118</v>
      </c>
      <c r="BK526" t="s">
        <v>117</v>
      </c>
      <c r="BL526" t="s">
        <v>1048</v>
      </c>
      <c r="BM526" t="s">
        <v>74</v>
      </c>
      <c r="BN526">
        <v>29715009</v>
      </c>
      <c r="BO526" t="s">
        <v>74</v>
      </c>
      <c r="BP526" t="s">
        <v>74</v>
      </c>
      <c r="BQ526" t="s">
        <v>74</v>
      </c>
      <c r="BR526" t="s">
        <v>96</v>
      </c>
      <c r="BS526" t="s">
        <v>8094</v>
      </c>
      <c r="BT526" t="str">
        <f>HYPERLINK("https%3A%2F%2Fwww.webofscience.com%2Fwos%2Fwoscc%2Ffull-record%2FWOS:000434893200034","View Full Record in Web of Science")</f>
        <v>View Full Record in Web of Science</v>
      </c>
    </row>
    <row r="527" spans="1:72" x14ac:dyDescent="0.15">
      <c r="A527" t="s">
        <v>98</v>
      </c>
      <c r="B527" t="s">
        <v>9421</v>
      </c>
      <c r="C527" t="s">
        <v>74</v>
      </c>
      <c r="D527" t="s">
        <v>74</v>
      </c>
      <c r="E527" t="s">
        <v>74</v>
      </c>
      <c r="F527" t="s">
        <v>9422</v>
      </c>
      <c r="G527" t="s">
        <v>74</v>
      </c>
      <c r="H527" t="s">
        <v>74</v>
      </c>
      <c r="I527" t="s">
        <v>9423</v>
      </c>
      <c r="J527" t="s">
        <v>9424</v>
      </c>
      <c r="K527" t="s">
        <v>74</v>
      </c>
      <c r="L527" t="s">
        <v>74</v>
      </c>
      <c r="M527" t="s">
        <v>74</v>
      </c>
      <c r="N527" t="s">
        <v>980</v>
      </c>
      <c r="O527" t="s">
        <v>9425</v>
      </c>
      <c r="P527" t="s">
        <v>9426</v>
      </c>
      <c r="Q527" t="s">
        <v>9427</v>
      </c>
      <c r="R527" t="s">
        <v>74</v>
      </c>
      <c r="S527" t="s">
        <v>74</v>
      </c>
      <c r="T527" t="s">
        <v>9428</v>
      </c>
      <c r="U527" t="s">
        <v>9429</v>
      </c>
      <c r="V527" t="s">
        <v>9430</v>
      </c>
      <c r="W527" t="s">
        <v>9431</v>
      </c>
      <c r="X527" t="s">
        <v>9432</v>
      </c>
      <c r="Y527" t="s">
        <v>9433</v>
      </c>
      <c r="Z527" t="s">
        <v>9434</v>
      </c>
      <c r="AA527" t="s">
        <v>74</v>
      </c>
      <c r="AB527" t="s">
        <v>74</v>
      </c>
      <c r="AC527" t="s">
        <v>74</v>
      </c>
      <c r="AD527" t="s">
        <v>74</v>
      </c>
      <c r="AE527" t="s">
        <v>74</v>
      </c>
      <c r="AF527" t="s">
        <v>74</v>
      </c>
      <c r="AG527">
        <v>30</v>
      </c>
      <c r="AH527">
        <v>38</v>
      </c>
      <c r="AI527">
        <v>42</v>
      </c>
      <c r="AJ527">
        <v>6</v>
      </c>
      <c r="AK527">
        <v>11</v>
      </c>
      <c r="AL527" t="s">
        <v>74</v>
      </c>
      <c r="AM527" t="s">
        <v>74</v>
      </c>
      <c r="AN527" t="s">
        <v>74</v>
      </c>
      <c r="AO527" t="s">
        <v>9435</v>
      </c>
      <c r="AP527" t="s">
        <v>9436</v>
      </c>
      <c r="AQ527" t="s">
        <v>74</v>
      </c>
      <c r="AR527" t="s">
        <v>74</v>
      </c>
      <c r="AS527" t="s">
        <v>74</v>
      </c>
      <c r="AT527" t="s">
        <v>170</v>
      </c>
      <c r="AU527">
        <v>2018</v>
      </c>
      <c r="AV527">
        <v>53</v>
      </c>
      <c r="AW527">
        <v>6</v>
      </c>
      <c r="AX527" t="s">
        <v>74</v>
      </c>
      <c r="AY527" t="s">
        <v>74</v>
      </c>
      <c r="AZ527" t="s">
        <v>74</v>
      </c>
      <c r="BA527" t="s">
        <v>74</v>
      </c>
      <c r="BB527">
        <v>1215</v>
      </c>
      <c r="BC527">
        <v>1220</v>
      </c>
      <c r="BD527" t="s">
        <v>74</v>
      </c>
      <c r="BE527" t="s">
        <v>9437</v>
      </c>
      <c r="BF527" t="str">
        <f>HYPERLINK("http://dx.doi.org/10.1016/j.jpedsurg.2018.02.086","http://dx.doi.org/10.1016/j.jpedsurg.2018.02.086")</f>
        <v>http://dx.doi.org/10.1016/j.jpedsurg.2018.02.086</v>
      </c>
      <c r="BG527" t="s">
        <v>74</v>
      </c>
      <c r="BH527" t="s">
        <v>74</v>
      </c>
      <c r="BI527" t="s">
        <v>74</v>
      </c>
      <c r="BJ527" t="s">
        <v>9438</v>
      </c>
      <c r="BK527" t="s">
        <v>997</v>
      </c>
      <c r="BL527" t="s">
        <v>9438</v>
      </c>
      <c r="BM527" t="s">
        <v>74</v>
      </c>
      <c r="BN527">
        <v>29661576</v>
      </c>
      <c r="BO527" t="s">
        <v>74</v>
      </c>
      <c r="BP527" t="s">
        <v>74</v>
      </c>
      <c r="BQ527" t="s">
        <v>74</v>
      </c>
      <c r="BR527" t="s">
        <v>96</v>
      </c>
      <c r="BS527" t="s">
        <v>9439</v>
      </c>
      <c r="BT527" t="str">
        <f>HYPERLINK("https%3A%2F%2Fwww.webofscience.com%2Fwos%2Fwoscc%2Ffull-record%2FWOS:000434790600025","View Full Record in Web of Science")</f>
        <v>View Full Record in Web of Science</v>
      </c>
    </row>
    <row r="528" spans="1:72" x14ac:dyDescent="0.15">
      <c r="A528" t="s">
        <v>98</v>
      </c>
      <c r="B528" t="s">
        <v>10830</v>
      </c>
      <c r="C528" t="s">
        <v>74</v>
      </c>
      <c r="D528" t="s">
        <v>74</v>
      </c>
      <c r="E528" t="s">
        <v>74</v>
      </c>
      <c r="F528" t="s">
        <v>10831</v>
      </c>
      <c r="G528" t="s">
        <v>74</v>
      </c>
      <c r="H528" t="s">
        <v>74</v>
      </c>
      <c r="I528" t="s">
        <v>10832</v>
      </c>
      <c r="J528" t="s">
        <v>10833</v>
      </c>
      <c r="K528" t="s">
        <v>74</v>
      </c>
      <c r="L528" t="s">
        <v>74</v>
      </c>
      <c r="M528" t="s">
        <v>74</v>
      </c>
      <c r="N528" t="s">
        <v>103</v>
      </c>
      <c r="O528" t="s">
        <v>74</v>
      </c>
      <c r="P528" t="s">
        <v>74</v>
      </c>
      <c r="Q528" t="s">
        <v>74</v>
      </c>
      <c r="R528" t="s">
        <v>74</v>
      </c>
      <c r="S528" t="s">
        <v>74</v>
      </c>
      <c r="T528" t="s">
        <v>10834</v>
      </c>
      <c r="U528" t="s">
        <v>10835</v>
      </c>
      <c r="V528" t="s">
        <v>10836</v>
      </c>
      <c r="W528" t="s">
        <v>10837</v>
      </c>
      <c r="X528" t="s">
        <v>10838</v>
      </c>
      <c r="Y528" t="s">
        <v>10839</v>
      </c>
      <c r="Z528" t="s">
        <v>10840</v>
      </c>
      <c r="AA528" t="s">
        <v>10841</v>
      </c>
      <c r="AB528" t="s">
        <v>10842</v>
      </c>
      <c r="AC528" t="s">
        <v>74</v>
      </c>
      <c r="AD528" t="s">
        <v>74</v>
      </c>
      <c r="AE528" t="s">
        <v>74</v>
      </c>
      <c r="AF528" t="s">
        <v>74</v>
      </c>
      <c r="AG528">
        <v>64</v>
      </c>
      <c r="AH528">
        <v>38</v>
      </c>
      <c r="AI528">
        <v>38</v>
      </c>
      <c r="AJ528">
        <v>1</v>
      </c>
      <c r="AK528">
        <v>23</v>
      </c>
      <c r="AL528" t="s">
        <v>74</v>
      </c>
      <c r="AM528" t="s">
        <v>74</v>
      </c>
      <c r="AN528" t="s">
        <v>74</v>
      </c>
      <c r="AO528" t="s">
        <v>10843</v>
      </c>
      <c r="AP528" t="s">
        <v>10844</v>
      </c>
      <c r="AQ528" t="s">
        <v>74</v>
      </c>
      <c r="AR528" t="s">
        <v>74</v>
      </c>
      <c r="AS528" t="s">
        <v>74</v>
      </c>
      <c r="AT528" t="s">
        <v>74</v>
      </c>
      <c r="AU528">
        <v>2017</v>
      </c>
      <c r="AV528">
        <v>33</v>
      </c>
      <c r="AW528">
        <v>9</v>
      </c>
      <c r="AX528" t="s">
        <v>74</v>
      </c>
      <c r="AY528" t="s">
        <v>74</v>
      </c>
      <c r="AZ528" t="s">
        <v>74</v>
      </c>
      <c r="BA528" t="s">
        <v>74</v>
      </c>
      <c r="BB528">
        <v>722</v>
      </c>
      <c r="BC528">
        <v>740</v>
      </c>
      <c r="BD528" t="s">
        <v>74</v>
      </c>
      <c r="BE528" t="s">
        <v>10845</v>
      </c>
      <c r="BF528" t="str">
        <f>HYPERLINK("http://dx.doi.org/10.1080/08927014.2017.1361412","http://dx.doi.org/10.1080/08927014.2017.1361412")</f>
        <v>http://dx.doi.org/10.1080/08927014.2017.1361412</v>
      </c>
      <c r="BG528" t="s">
        <v>74</v>
      </c>
      <c r="BH528" t="s">
        <v>74</v>
      </c>
      <c r="BI528" t="s">
        <v>74</v>
      </c>
      <c r="BJ528" t="s">
        <v>10846</v>
      </c>
      <c r="BK528" t="s">
        <v>117</v>
      </c>
      <c r="BL528" t="s">
        <v>10846</v>
      </c>
      <c r="BM528" t="s">
        <v>74</v>
      </c>
      <c r="BN528">
        <v>28946780</v>
      </c>
      <c r="BO528" t="s">
        <v>74</v>
      </c>
      <c r="BP528" t="s">
        <v>74</v>
      </c>
      <c r="BQ528" t="s">
        <v>74</v>
      </c>
      <c r="BR528" t="s">
        <v>96</v>
      </c>
      <c r="BS528" t="s">
        <v>10847</v>
      </c>
      <c r="BT528" t="str">
        <f>HYPERLINK("https%3A%2F%2Fwww.webofscience.com%2Fwos%2Fwoscc%2Ffull-record%2FWOS:000413980100003","View Full Record in Web of Science")</f>
        <v>View Full Record in Web of Science</v>
      </c>
    </row>
    <row r="529" spans="1:72" x14ac:dyDescent="0.15">
      <c r="A529" t="s">
        <v>98</v>
      </c>
      <c r="B529" t="s">
        <v>12671</v>
      </c>
      <c r="C529" t="s">
        <v>74</v>
      </c>
      <c r="D529" t="s">
        <v>74</v>
      </c>
      <c r="E529" t="s">
        <v>74</v>
      </c>
      <c r="F529" t="s">
        <v>12672</v>
      </c>
      <c r="G529" t="s">
        <v>74</v>
      </c>
      <c r="H529" t="s">
        <v>74</v>
      </c>
      <c r="I529" t="s">
        <v>12673</v>
      </c>
      <c r="J529" t="s">
        <v>1159</v>
      </c>
      <c r="K529" t="s">
        <v>74</v>
      </c>
      <c r="L529" t="s">
        <v>74</v>
      </c>
      <c r="M529" t="s">
        <v>74</v>
      </c>
      <c r="N529" t="s">
        <v>103</v>
      </c>
      <c r="O529" t="s">
        <v>74</v>
      </c>
      <c r="P529" t="s">
        <v>74</v>
      </c>
      <c r="Q529" t="s">
        <v>74</v>
      </c>
      <c r="R529" t="s">
        <v>74</v>
      </c>
      <c r="S529" t="s">
        <v>74</v>
      </c>
      <c r="T529" t="s">
        <v>12674</v>
      </c>
      <c r="U529" t="s">
        <v>12675</v>
      </c>
      <c r="V529" t="s">
        <v>12676</v>
      </c>
      <c r="W529" t="s">
        <v>12677</v>
      </c>
      <c r="X529" t="s">
        <v>12678</v>
      </c>
      <c r="Y529" t="s">
        <v>12679</v>
      </c>
      <c r="Z529" t="s">
        <v>12680</v>
      </c>
      <c r="AA529" t="s">
        <v>12681</v>
      </c>
      <c r="AB529" t="s">
        <v>12682</v>
      </c>
      <c r="AC529" t="s">
        <v>74</v>
      </c>
      <c r="AD529" t="s">
        <v>74</v>
      </c>
      <c r="AE529" t="s">
        <v>74</v>
      </c>
      <c r="AF529" t="s">
        <v>74</v>
      </c>
      <c r="AG529">
        <v>9</v>
      </c>
      <c r="AH529">
        <v>38</v>
      </c>
      <c r="AI529">
        <v>40</v>
      </c>
      <c r="AJ529">
        <v>2</v>
      </c>
      <c r="AK529">
        <v>18</v>
      </c>
      <c r="AL529" t="s">
        <v>74</v>
      </c>
      <c r="AM529" t="s">
        <v>74</v>
      </c>
      <c r="AN529" t="s">
        <v>74</v>
      </c>
      <c r="AO529" t="s">
        <v>1168</v>
      </c>
      <c r="AP529" t="s">
        <v>74</v>
      </c>
      <c r="AQ529" t="s">
        <v>74</v>
      </c>
      <c r="AR529" t="s">
        <v>74</v>
      </c>
      <c r="AS529" t="s">
        <v>74</v>
      </c>
      <c r="AT529" t="s">
        <v>3489</v>
      </c>
      <c r="AU529">
        <v>2018</v>
      </c>
      <c r="AV529">
        <v>17</v>
      </c>
      <c r="AW529" t="s">
        <v>74</v>
      </c>
      <c r="AX529" t="s">
        <v>74</v>
      </c>
      <c r="AY529" t="s">
        <v>74</v>
      </c>
      <c r="AZ529" t="s">
        <v>74</v>
      </c>
      <c r="BA529" t="s">
        <v>74</v>
      </c>
      <c r="BB529" t="s">
        <v>74</v>
      </c>
      <c r="BC529" t="s">
        <v>74</v>
      </c>
      <c r="BD529">
        <v>128</v>
      </c>
      <c r="BE529" t="s">
        <v>12683</v>
      </c>
      <c r="BF529" t="str">
        <f>HYPERLINK("http://dx.doi.org/10.1186/s12943-018-0876-z","http://dx.doi.org/10.1186/s12943-018-0876-z")</f>
        <v>http://dx.doi.org/10.1186/s12943-018-0876-z</v>
      </c>
      <c r="BG529" t="s">
        <v>74</v>
      </c>
      <c r="BH529" t="s">
        <v>74</v>
      </c>
      <c r="BI529" t="s">
        <v>74</v>
      </c>
      <c r="BJ529" t="s">
        <v>357</v>
      </c>
      <c r="BK529" t="s">
        <v>117</v>
      </c>
      <c r="BL529" t="s">
        <v>357</v>
      </c>
      <c r="BM529" t="s">
        <v>74</v>
      </c>
      <c r="BN529">
        <v>30139385</v>
      </c>
      <c r="BO529" t="s">
        <v>74</v>
      </c>
      <c r="BP529" t="s">
        <v>74</v>
      </c>
      <c r="BQ529" t="s">
        <v>74</v>
      </c>
      <c r="BR529" t="s">
        <v>96</v>
      </c>
      <c r="BS529" t="s">
        <v>12684</v>
      </c>
      <c r="BT529" t="str">
        <f>HYPERLINK("https%3A%2F%2Fwww.webofscience.com%2Fwos%2Fwoscc%2Ffull-record%2FWOS:000442616900001","View Full Record in Web of Science")</f>
        <v>View Full Record in Web of Science</v>
      </c>
    </row>
    <row r="530" spans="1:72" x14ac:dyDescent="0.15">
      <c r="A530" t="s">
        <v>98</v>
      </c>
      <c r="B530" t="s">
        <v>14423</v>
      </c>
      <c r="C530" t="s">
        <v>74</v>
      </c>
      <c r="D530" t="s">
        <v>74</v>
      </c>
      <c r="E530" t="s">
        <v>74</v>
      </c>
      <c r="F530" t="s">
        <v>14424</v>
      </c>
      <c r="G530" t="s">
        <v>74</v>
      </c>
      <c r="H530" t="s">
        <v>74</v>
      </c>
      <c r="I530" t="s">
        <v>14425</v>
      </c>
      <c r="J530" t="s">
        <v>14426</v>
      </c>
      <c r="K530" t="s">
        <v>74</v>
      </c>
      <c r="L530" t="s">
        <v>74</v>
      </c>
      <c r="M530" t="s">
        <v>74</v>
      </c>
      <c r="N530" t="s">
        <v>103</v>
      </c>
      <c r="O530" t="s">
        <v>74</v>
      </c>
      <c r="P530" t="s">
        <v>74</v>
      </c>
      <c r="Q530" t="s">
        <v>74</v>
      </c>
      <c r="R530" t="s">
        <v>74</v>
      </c>
      <c r="S530" t="s">
        <v>74</v>
      </c>
      <c r="T530" t="s">
        <v>74</v>
      </c>
      <c r="U530" t="s">
        <v>14427</v>
      </c>
      <c r="V530" t="s">
        <v>14428</v>
      </c>
      <c r="W530" t="s">
        <v>14429</v>
      </c>
      <c r="X530" t="s">
        <v>14430</v>
      </c>
      <c r="Y530" t="s">
        <v>14431</v>
      </c>
      <c r="Z530" t="s">
        <v>14432</v>
      </c>
      <c r="AA530" t="s">
        <v>14433</v>
      </c>
      <c r="AB530" t="s">
        <v>14434</v>
      </c>
      <c r="AC530" t="s">
        <v>74</v>
      </c>
      <c r="AD530" t="s">
        <v>74</v>
      </c>
      <c r="AE530" t="s">
        <v>74</v>
      </c>
      <c r="AF530" t="s">
        <v>74</v>
      </c>
      <c r="AG530">
        <v>40</v>
      </c>
      <c r="AH530">
        <v>38</v>
      </c>
      <c r="AI530">
        <v>38</v>
      </c>
      <c r="AJ530">
        <v>2</v>
      </c>
      <c r="AK530">
        <v>12</v>
      </c>
      <c r="AL530" t="s">
        <v>74</v>
      </c>
      <c r="AM530" t="s">
        <v>74</v>
      </c>
      <c r="AN530" t="s">
        <v>74</v>
      </c>
      <c r="AO530" t="s">
        <v>14435</v>
      </c>
      <c r="AP530" t="s">
        <v>14436</v>
      </c>
      <c r="AQ530" t="s">
        <v>74</v>
      </c>
      <c r="AR530" t="s">
        <v>74</v>
      </c>
      <c r="AS530" t="s">
        <v>74</v>
      </c>
      <c r="AT530" t="s">
        <v>614</v>
      </c>
      <c r="AU530">
        <v>2018</v>
      </c>
      <c r="AV530">
        <v>64</v>
      </c>
      <c r="AW530">
        <v>7</v>
      </c>
      <c r="AX530" t="s">
        <v>74</v>
      </c>
      <c r="AY530" t="s">
        <v>74</v>
      </c>
      <c r="AZ530" t="s">
        <v>74</v>
      </c>
      <c r="BA530" t="s">
        <v>74</v>
      </c>
      <c r="BB530">
        <v>1054</v>
      </c>
      <c r="BC530">
        <v>1062</v>
      </c>
      <c r="BD530" t="s">
        <v>74</v>
      </c>
      <c r="BE530" t="s">
        <v>14437</v>
      </c>
      <c r="BF530" t="str">
        <f>HYPERLINK("http://dx.doi.org/10.1373/clinchem.2017.283531","http://dx.doi.org/10.1373/clinchem.2017.283531")</f>
        <v>http://dx.doi.org/10.1373/clinchem.2017.283531</v>
      </c>
      <c r="BG530" t="s">
        <v>74</v>
      </c>
      <c r="BH530" t="s">
        <v>74</v>
      </c>
      <c r="BI530" t="s">
        <v>74</v>
      </c>
      <c r="BJ530" t="s">
        <v>2773</v>
      </c>
      <c r="BK530" t="s">
        <v>117</v>
      </c>
      <c r="BL530" t="s">
        <v>2773</v>
      </c>
      <c r="BM530" t="s">
        <v>74</v>
      </c>
      <c r="BN530">
        <v>29769179</v>
      </c>
      <c r="BO530" t="s">
        <v>74</v>
      </c>
      <c r="BP530" t="s">
        <v>74</v>
      </c>
      <c r="BQ530" t="s">
        <v>74</v>
      </c>
      <c r="BR530" t="s">
        <v>96</v>
      </c>
      <c r="BS530" t="s">
        <v>14438</v>
      </c>
      <c r="BT530" t="str">
        <f>HYPERLINK("https%3A%2F%2Fwww.webofscience.com%2Fwos%2Fwoscc%2Ffull-record%2FWOS:000448294200010","View Full Record in Web of Science")</f>
        <v>View Full Record in Web of Science</v>
      </c>
    </row>
    <row r="531" spans="1:72" x14ac:dyDescent="0.15">
      <c r="A531" t="s">
        <v>98</v>
      </c>
      <c r="B531" t="s">
        <v>14886</v>
      </c>
      <c r="C531" t="s">
        <v>74</v>
      </c>
      <c r="D531" t="s">
        <v>74</v>
      </c>
      <c r="E531" t="s">
        <v>74</v>
      </c>
      <c r="F531" t="s">
        <v>14887</v>
      </c>
      <c r="G531" t="s">
        <v>74</v>
      </c>
      <c r="H531" t="s">
        <v>74</v>
      </c>
      <c r="I531" t="s">
        <v>14888</v>
      </c>
      <c r="J531" t="s">
        <v>7316</v>
      </c>
      <c r="K531" t="s">
        <v>74</v>
      </c>
      <c r="L531" t="s">
        <v>74</v>
      </c>
      <c r="M531" t="s">
        <v>74</v>
      </c>
      <c r="N531" t="s">
        <v>103</v>
      </c>
      <c r="O531" t="s">
        <v>74</v>
      </c>
      <c r="P531" t="s">
        <v>74</v>
      </c>
      <c r="Q531" t="s">
        <v>74</v>
      </c>
      <c r="R531" t="s">
        <v>74</v>
      </c>
      <c r="S531" t="s">
        <v>74</v>
      </c>
      <c r="T531" t="s">
        <v>74</v>
      </c>
      <c r="U531" t="s">
        <v>14889</v>
      </c>
      <c r="V531" t="s">
        <v>14890</v>
      </c>
      <c r="W531" t="s">
        <v>14891</v>
      </c>
      <c r="X531" t="s">
        <v>14892</v>
      </c>
      <c r="Y531" t="s">
        <v>14893</v>
      </c>
      <c r="Z531" t="s">
        <v>12176</v>
      </c>
      <c r="AA531" t="s">
        <v>74</v>
      </c>
      <c r="AB531" t="s">
        <v>10944</v>
      </c>
      <c r="AC531" t="s">
        <v>74</v>
      </c>
      <c r="AD531" t="s">
        <v>74</v>
      </c>
      <c r="AE531" t="s">
        <v>74</v>
      </c>
      <c r="AF531" t="s">
        <v>74</v>
      </c>
      <c r="AG531">
        <v>38</v>
      </c>
      <c r="AH531">
        <v>38</v>
      </c>
      <c r="AI531">
        <v>38</v>
      </c>
      <c r="AJ531">
        <v>21</v>
      </c>
      <c r="AK531">
        <v>112</v>
      </c>
      <c r="AL531" t="s">
        <v>74</v>
      </c>
      <c r="AM531" t="s">
        <v>74</v>
      </c>
      <c r="AN531" t="s">
        <v>74</v>
      </c>
      <c r="AO531" t="s">
        <v>7324</v>
      </c>
      <c r="AP531" t="s">
        <v>7325</v>
      </c>
      <c r="AQ531" t="s">
        <v>74</v>
      </c>
      <c r="AR531" t="s">
        <v>74</v>
      </c>
      <c r="AS531" t="s">
        <v>74</v>
      </c>
      <c r="AT531" t="s">
        <v>14894</v>
      </c>
      <c r="AU531">
        <v>2020</v>
      </c>
      <c r="AV531">
        <v>145</v>
      </c>
      <c r="AW531">
        <v>7</v>
      </c>
      <c r="AX531" t="s">
        <v>74</v>
      </c>
      <c r="AY531" t="s">
        <v>74</v>
      </c>
      <c r="AZ531" t="s">
        <v>74</v>
      </c>
      <c r="BA531" t="s">
        <v>74</v>
      </c>
      <c r="BB531">
        <v>2795</v>
      </c>
      <c r="BC531">
        <v>2804</v>
      </c>
      <c r="BD531" t="s">
        <v>74</v>
      </c>
      <c r="BE531" t="s">
        <v>14895</v>
      </c>
      <c r="BF531" t="str">
        <f>HYPERLINK("http://dx.doi.org/10.1039/c9an02180a","http://dx.doi.org/10.1039/c9an02180a")</f>
        <v>http://dx.doi.org/10.1039/c9an02180a</v>
      </c>
      <c r="BG531" t="s">
        <v>74</v>
      </c>
      <c r="BH531" t="s">
        <v>74</v>
      </c>
      <c r="BI531" t="s">
        <v>74</v>
      </c>
      <c r="BJ531" t="s">
        <v>1118</v>
      </c>
      <c r="BK531" t="s">
        <v>117</v>
      </c>
      <c r="BL531" t="s">
        <v>1048</v>
      </c>
      <c r="BM531" t="s">
        <v>74</v>
      </c>
      <c r="BN531">
        <v>32101180</v>
      </c>
      <c r="BO531" t="s">
        <v>74</v>
      </c>
      <c r="BP531" t="s">
        <v>74</v>
      </c>
      <c r="BQ531" t="s">
        <v>74</v>
      </c>
      <c r="BR531" t="s">
        <v>96</v>
      </c>
      <c r="BS531" t="s">
        <v>14896</v>
      </c>
      <c r="BT531" t="str">
        <f>HYPERLINK("https%3A%2F%2Fwww.webofscience.com%2Fwos%2Fwoscc%2Ffull-record%2FWOS:000526825700036","View Full Record in Web of Science")</f>
        <v>View Full Record in Web of Science</v>
      </c>
    </row>
    <row r="532" spans="1:72" x14ac:dyDescent="0.15">
      <c r="A532" t="s">
        <v>98</v>
      </c>
      <c r="B532" t="s">
        <v>22023</v>
      </c>
      <c r="C532" t="s">
        <v>74</v>
      </c>
      <c r="D532" t="s">
        <v>74</v>
      </c>
      <c r="E532" t="s">
        <v>74</v>
      </c>
      <c r="F532" t="s">
        <v>22024</v>
      </c>
      <c r="G532" t="s">
        <v>74</v>
      </c>
      <c r="H532" t="s">
        <v>74</v>
      </c>
      <c r="I532" t="s">
        <v>22025</v>
      </c>
      <c r="J532" t="s">
        <v>22026</v>
      </c>
      <c r="K532" t="s">
        <v>74</v>
      </c>
      <c r="L532" t="s">
        <v>74</v>
      </c>
      <c r="M532" t="s">
        <v>74</v>
      </c>
      <c r="N532" t="s">
        <v>103</v>
      </c>
      <c r="O532" t="s">
        <v>74</v>
      </c>
      <c r="P532" t="s">
        <v>74</v>
      </c>
      <c r="Q532" t="s">
        <v>74</v>
      </c>
      <c r="R532" t="s">
        <v>74</v>
      </c>
      <c r="S532" t="s">
        <v>74</v>
      </c>
      <c r="T532" t="s">
        <v>22027</v>
      </c>
      <c r="U532" t="s">
        <v>22028</v>
      </c>
      <c r="V532" t="s">
        <v>22029</v>
      </c>
      <c r="W532" t="s">
        <v>22030</v>
      </c>
      <c r="X532" t="s">
        <v>22031</v>
      </c>
      <c r="Y532" t="s">
        <v>22032</v>
      </c>
      <c r="Z532" t="s">
        <v>22033</v>
      </c>
      <c r="AA532" t="s">
        <v>74</v>
      </c>
      <c r="AB532" t="s">
        <v>74</v>
      </c>
      <c r="AC532" t="s">
        <v>74</v>
      </c>
      <c r="AD532" t="s">
        <v>74</v>
      </c>
      <c r="AE532" t="s">
        <v>74</v>
      </c>
      <c r="AF532" t="s">
        <v>74</v>
      </c>
      <c r="AG532">
        <v>107</v>
      </c>
      <c r="AH532">
        <v>38</v>
      </c>
      <c r="AI532">
        <v>47</v>
      </c>
      <c r="AJ532">
        <v>0</v>
      </c>
      <c r="AK532">
        <v>6</v>
      </c>
      <c r="AL532" t="s">
        <v>74</v>
      </c>
      <c r="AM532" t="s">
        <v>74</v>
      </c>
      <c r="AN532" t="s">
        <v>74</v>
      </c>
      <c r="AO532" t="s">
        <v>22034</v>
      </c>
      <c r="AP532" t="s">
        <v>22035</v>
      </c>
      <c r="AQ532" t="s">
        <v>74</v>
      </c>
      <c r="AR532" t="s">
        <v>74</v>
      </c>
      <c r="AS532" t="s">
        <v>74</v>
      </c>
      <c r="AT532" t="s">
        <v>967</v>
      </c>
      <c r="AU532">
        <v>2013</v>
      </c>
      <c r="AV532">
        <v>15</v>
      </c>
      <c r="AW532">
        <v>6</v>
      </c>
      <c r="AX532" t="s">
        <v>74</v>
      </c>
      <c r="AY532" t="s">
        <v>74</v>
      </c>
      <c r="AZ532" t="s">
        <v>74</v>
      </c>
      <c r="BA532" t="s">
        <v>74</v>
      </c>
      <c r="BB532">
        <v>590</v>
      </c>
      <c r="BC532">
        <v>599</v>
      </c>
      <c r="BD532" t="s">
        <v>74</v>
      </c>
      <c r="BE532" t="s">
        <v>22036</v>
      </c>
      <c r="BF532" t="str">
        <f>HYPERLINK("http://dx.doi.org/10.1007/s11906-013-0395-7","http://dx.doi.org/10.1007/s11906-013-0395-7")</f>
        <v>http://dx.doi.org/10.1007/s11906-013-0395-7</v>
      </c>
      <c r="BG532" t="s">
        <v>74</v>
      </c>
      <c r="BH532" t="s">
        <v>74</v>
      </c>
      <c r="BI532" t="s">
        <v>74</v>
      </c>
      <c r="BJ532" t="s">
        <v>22037</v>
      </c>
      <c r="BK532" t="s">
        <v>117</v>
      </c>
      <c r="BL532" t="s">
        <v>3812</v>
      </c>
      <c r="BM532" t="s">
        <v>74</v>
      </c>
      <c r="BN532">
        <v>24108542</v>
      </c>
      <c r="BO532" t="s">
        <v>74</v>
      </c>
      <c r="BP532" t="s">
        <v>74</v>
      </c>
      <c r="BQ532" t="s">
        <v>74</v>
      </c>
      <c r="BR532" t="s">
        <v>96</v>
      </c>
      <c r="BS532" t="s">
        <v>22038</v>
      </c>
      <c r="BT532" t="str">
        <f>HYPERLINK("https%3A%2F%2Fwww.webofscience.com%2Fwos%2Fwoscc%2Ffull-record%2FWOS:000327482900007","View Full Record in Web of Science")</f>
        <v>View Full Record in Web of Science</v>
      </c>
    </row>
    <row r="533" spans="1:72" x14ac:dyDescent="0.15">
      <c r="A533" t="s">
        <v>98</v>
      </c>
      <c r="B533" t="s">
        <v>23901</v>
      </c>
      <c r="C533" t="s">
        <v>74</v>
      </c>
      <c r="D533" t="s">
        <v>74</v>
      </c>
      <c r="E533" t="s">
        <v>74</v>
      </c>
      <c r="F533" t="s">
        <v>23901</v>
      </c>
      <c r="G533" t="s">
        <v>74</v>
      </c>
      <c r="H533" t="s">
        <v>74</v>
      </c>
      <c r="I533" t="s">
        <v>23902</v>
      </c>
      <c r="J533" t="s">
        <v>23903</v>
      </c>
      <c r="K533" t="s">
        <v>74</v>
      </c>
      <c r="L533" t="s">
        <v>74</v>
      </c>
      <c r="M533" t="s">
        <v>74</v>
      </c>
      <c r="N533" t="s">
        <v>103</v>
      </c>
      <c r="O533" t="s">
        <v>74</v>
      </c>
      <c r="P533" t="s">
        <v>74</v>
      </c>
      <c r="Q533" t="s">
        <v>74</v>
      </c>
      <c r="R533" t="s">
        <v>74</v>
      </c>
      <c r="S533" t="s">
        <v>74</v>
      </c>
      <c r="T533" t="s">
        <v>23904</v>
      </c>
      <c r="U533" t="s">
        <v>23905</v>
      </c>
      <c r="V533" t="s">
        <v>23906</v>
      </c>
      <c r="W533" t="s">
        <v>23907</v>
      </c>
      <c r="X533" t="s">
        <v>23908</v>
      </c>
      <c r="Y533" t="s">
        <v>74</v>
      </c>
      <c r="Z533" t="s">
        <v>74</v>
      </c>
      <c r="AA533" t="s">
        <v>23909</v>
      </c>
      <c r="AB533" t="s">
        <v>23910</v>
      </c>
      <c r="AC533" t="s">
        <v>74</v>
      </c>
      <c r="AD533" t="s">
        <v>74</v>
      </c>
      <c r="AE533" t="s">
        <v>74</v>
      </c>
      <c r="AF533" t="s">
        <v>74</v>
      </c>
      <c r="AG533">
        <v>40</v>
      </c>
      <c r="AH533">
        <v>38</v>
      </c>
      <c r="AI533">
        <v>39</v>
      </c>
      <c r="AJ533">
        <v>0</v>
      </c>
      <c r="AK533">
        <v>1</v>
      </c>
      <c r="AL533" t="s">
        <v>74</v>
      </c>
      <c r="AM533" t="s">
        <v>74</v>
      </c>
      <c r="AN533" t="s">
        <v>74</v>
      </c>
      <c r="AO533" t="s">
        <v>23911</v>
      </c>
      <c r="AP533" t="s">
        <v>74</v>
      </c>
      <c r="AQ533" t="s">
        <v>74</v>
      </c>
      <c r="AR533" t="s">
        <v>74</v>
      </c>
      <c r="AS533" t="s">
        <v>74</v>
      </c>
      <c r="AT533" t="s">
        <v>189</v>
      </c>
      <c r="AU533">
        <v>1997</v>
      </c>
      <c r="AV533">
        <v>69</v>
      </c>
      <c r="AW533">
        <v>4</v>
      </c>
      <c r="AX533" t="s">
        <v>74</v>
      </c>
      <c r="AY533" t="s">
        <v>74</v>
      </c>
      <c r="AZ533" t="s">
        <v>74</v>
      </c>
      <c r="BA533" t="s">
        <v>74</v>
      </c>
      <c r="BB533">
        <v>1491</v>
      </c>
      <c r="BC533">
        <v>1498</v>
      </c>
      <c r="BD533" t="s">
        <v>74</v>
      </c>
      <c r="BE533" t="s">
        <v>74</v>
      </c>
      <c r="BF533" t="s">
        <v>74</v>
      </c>
      <c r="BG533" t="s">
        <v>74</v>
      </c>
      <c r="BH533" t="s">
        <v>74</v>
      </c>
      <c r="BI533" t="s">
        <v>74</v>
      </c>
      <c r="BJ533" t="s">
        <v>7452</v>
      </c>
      <c r="BK533" t="s">
        <v>117</v>
      </c>
      <c r="BL533" t="s">
        <v>7453</v>
      </c>
      <c r="BM533" t="s">
        <v>74</v>
      </c>
      <c r="BN533">
        <v>9326278</v>
      </c>
      <c r="BO533" t="s">
        <v>74</v>
      </c>
      <c r="BP533" t="s">
        <v>74</v>
      </c>
      <c r="BQ533" t="s">
        <v>74</v>
      </c>
      <c r="BR533" t="s">
        <v>96</v>
      </c>
      <c r="BS533" t="s">
        <v>23912</v>
      </c>
      <c r="BT533" t="str">
        <f>HYPERLINK("https%3A%2F%2Fwww.webofscience.com%2Fwos%2Fwoscc%2Ffull-record%2FWOS:A1997XX05700018","View Full Record in Web of Science")</f>
        <v>View Full Record in Web of Science</v>
      </c>
    </row>
    <row r="534" spans="1:72" x14ac:dyDescent="0.15">
      <c r="A534" t="s">
        <v>98</v>
      </c>
      <c r="B534" t="s">
        <v>2048</v>
      </c>
      <c r="C534" t="s">
        <v>74</v>
      </c>
      <c r="D534" t="s">
        <v>74</v>
      </c>
      <c r="E534" t="s">
        <v>74</v>
      </c>
      <c r="F534" t="s">
        <v>2049</v>
      </c>
      <c r="G534" t="s">
        <v>74</v>
      </c>
      <c r="H534" t="s">
        <v>74</v>
      </c>
      <c r="I534" t="s">
        <v>2050</v>
      </c>
      <c r="J534" t="s">
        <v>2051</v>
      </c>
      <c r="K534" t="s">
        <v>74</v>
      </c>
      <c r="L534" t="s">
        <v>74</v>
      </c>
      <c r="M534" t="s">
        <v>74</v>
      </c>
      <c r="N534" t="s">
        <v>103</v>
      </c>
      <c r="O534" t="s">
        <v>74</v>
      </c>
      <c r="P534" t="s">
        <v>74</v>
      </c>
      <c r="Q534" t="s">
        <v>74</v>
      </c>
      <c r="R534" t="s">
        <v>74</v>
      </c>
      <c r="S534" t="s">
        <v>74</v>
      </c>
      <c r="T534" t="s">
        <v>2052</v>
      </c>
      <c r="U534" t="s">
        <v>2053</v>
      </c>
      <c r="V534" t="s">
        <v>2054</v>
      </c>
      <c r="W534" t="s">
        <v>2055</v>
      </c>
      <c r="X534" t="s">
        <v>2056</v>
      </c>
      <c r="Y534" t="s">
        <v>2057</v>
      </c>
      <c r="Z534" t="s">
        <v>2058</v>
      </c>
      <c r="AA534" t="s">
        <v>2059</v>
      </c>
      <c r="AB534" t="s">
        <v>2060</v>
      </c>
      <c r="AC534" t="s">
        <v>74</v>
      </c>
      <c r="AD534" t="s">
        <v>74</v>
      </c>
      <c r="AE534" t="s">
        <v>74</v>
      </c>
      <c r="AF534" t="s">
        <v>74</v>
      </c>
      <c r="AG534">
        <v>37</v>
      </c>
      <c r="AH534">
        <v>37</v>
      </c>
      <c r="AI534">
        <v>38</v>
      </c>
      <c r="AJ534">
        <v>2</v>
      </c>
      <c r="AK534">
        <v>14</v>
      </c>
      <c r="AL534" t="s">
        <v>74</v>
      </c>
      <c r="AM534" t="s">
        <v>74</v>
      </c>
      <c r="AN534" t="s">
        <v>74</v>
      </c>
      <c r="AO534" t="s">
        <v>2061</v>
      </c>
      <c r="AP534" t="s">
        <v>74</v>
      </c>
      <c r="AQ534" t="s">
        <v>74</v>
      </c>
      <c r="AR534" t="s">
        <v>74</v>
      </c>
      <c r="AS534" t="s">
        <v>74</v>
      </c>
      <c r="AT534" t="s">
        <v>2062</v>
      </c>
      <c r="AU534">
        <v>2018</v>
      </c>
      <c r="AV534">
        <v>9</v>
      </c>
      <c r="AW534" t="s">
        <v>74</v>
      </c>
      <c r="AX534" t="s">
        <v>74</v>
      </c>
      <c r="AY534" t="s">
        <v>74</v>
      </c>
      <c r="AZ534" t="s">
        <v>74</v>
      </c>
      <c r="BA534" t="s">
        <v>74</v>
      </c>
      <c r="BB534" t="s">
        <v>74</v>
      </c>
      <c r="BC534" t="s">
        <v>74</v>
      </c>
      <c r="BD534">
        <v>1011</v>
      </c>
      <c r="BE534" t="s">
        <v>2063</v>
      </c>
      <c r="BF534" t="str">
        <f>HYPERLINK("http://dx.doi.org/10.3389/fimmu.2018.01011","http://dx.doi.org/10.3389/fimmu.2018.01011")</f>
        <v>http://dx.doi.org/10.3389/fimmu.2018.01011</v>
      </c>
      <c r="BG534" t="s">
        <v>74</v>
      </c>
      <c r="BH534" t="s">
        <v>74</v>
      </c>
      <c r="BI534" t="s">
        <v>74</v>
      </c>
      <c r="BJ534" t="s">
        <v>2064</v>
      </c>
      <c r="BK534" t="s">
        <v>117</v>
      </c>
      <c r="BL534" t="s">
        <v>2064</v>
      </c>
      <c r="BM534" t="s">
        <v>74</v>
      </c>
      <c r="BN534">
        <v>29881375</v>
      </c>
      <c r="BO534" t="s">
        <v>74</v>
      </c>
      <c r="BP534" t="s">
        <v>74</v>
      </c>
      <c r="BQ534" t="s">
        <v>74</v>
      </c>
      <c r="BR534" t="s">
        <v>96</v>
      </c>
      <c r="BS534" t="s">
        <v>2065</v>
      </c>
      <c r="BT534" t="str">
        <f>HYPERLINK("https%3A%2F%2Fwww.webofscience.com%2Fwos%2Fwoscc%2Ffull-record%2FWOS:000432943000002","View Full Record in Web of Science")</f>
        <v>View Full Record in Web of Science</v>
      </c>
    </row>
    <row r="535" spans="1:72" x14ac:dyDescent="0.15">
      <c r="A535" t="s">
        <v>98</v>
      </c>
      <c r="B535" t="s">
        <v>5302</v>
      </c>
      <c r="C535" t="s">
        <v>74</v>
      </c>
      <c r="D535" t="s">
        <v>74</v>
      </c>
      <c r="E535" t="s">
        <v>74</v>
      </c>
      <c r="F535" t="s">
        <v>5303</v>
      </c>
      <c r="G535" t="s">
        <v>74</v>
      </c>
      <c r="H535" t="s">
        <v>74</v>
      </c>
      <c r="I535" t="s">
        <v>5304</v>
      </c>
      <c r="J535" t="s">
        <v>2520</v>
      </c>
      <c r="K535" t="s">
        <v>74</v>
      </c>
      <c r="L535" t="s">
        <v>74</v>
      </c>
      <c r="M535" t="s">
        <v>74</v>
      </c>
      <c r="N535" t="s">
        <v>103</v>
      </c>
      <c r="O535" t="s">
        <v>74</v>
      </c>
      <c r="P535" t="s">
        <v>74</v>
      </c>
      <c r="Q535" t="s">
        <v>74</v>
      </c>
      <c r="R535" t="s">
        <v>74</v>
      </c>
      <c r="S535" t="s">
        <v>74</v>
      </c>
      <c r="T535" t="s">
        <v>5305</v>
      </c>
      <c r="U535" t="s">
        <v>5306</v>
      </c>
      <c r="V535" t="s">
        <v>5307</v>
      </c>
      <c r="W535" t="s">
        <v>5308</v>
      </c>
      <c r="X535" t="s">
        <v>5309</v>
      </c>
      <c r="Y535" t="s">
        <v>5310</v>
      </c>
      <c r="Z535" t="s">
        <v>5311</v>
      </c>
      <c r="AA535" t="s">
        <v>5312</v>
      </c>
      <c r="AB535" t="s">
        <v>5313</v>
      </c>
      <c r="AC535" t="s">
        <v>74</v>
      </c>
      <c r="AD535" t="s">
        <v>74</v>
      </c>
      <c r="AE535" t="s">
        <v>74</v>
      </c>
      <c r="AF535" t="s">
        <v>74</v>
      </c>
      <c r="AG535">
        <v>73</v>
      </c>
      <c r="AH535">
        <v>37</v>
      </c>
      <c r="AI535">
        <v>37</v>
      </c>
      <c r="AJ535">
        <v>3</v>
      </c>
      <c r="AK535">
        <v>33</v>
      </c>
      <c r="AL535" t="s">
        <v>74</v>
      </c>
      <c r="AM535" t="s">
        <v>74</v>
      </c>
      <c r="AN535" t="s">
        <v>74</v>
      </c>
      <c r="AO535" t="s">
        <v>2529</v>
      </c>
      <c r="AP535" t="s">
        <v>74</v>
      </c>
      <c r="AQ535" t="s">
        <v>74</v>
      </c>
      <c r="AR535" t="s">
        <v>74</v>
      </c>
      <c r="AS535" t="s">
        <v>74</v>
      </c>
      <c r="AT535" t="s">
        <v>930</v>
      </c>
      <c r="AU535">
        <v>2017</v>
      </c>
      <c r="AV535">
        <v>8</v>
      </c>
      <c r="AW535" t="s">
        <v>74</v>
      </c>
      <c r="AX535" t="s">
        <v>74</v>
      </c>
      <c r="AY535" t="s">
        <v>74</v>
      </c>
      <c r="AZ535" t="s">
        <v>74</v>
      </c>
      <c r="BA535" t="s">
        <v>74</v>
      </c>
      <c r="BB535" t="s">
        <v>74</v>
      </c>
      <c r="BC535" t="s">
        <v>74</v>
      </c>
      <c r="BD535">
        <v>1783</v>
      </c>
      <c r="BE535" t="s">
        <v>5314</v>
      </c>
      <c r="BF535" t="str">
        <f>HYPERLINK("http://dx.doi.org/10.3389/fmicb.2017.01783","http://dx.doi.org/10.3389/fmicb.2017.01783")</f>
        <v>http://dx.doi.org/10.3389/fmicb.2017.01783</v>
      </c>
      <c r="BG535" t="s">
        <v>74</v>
      </c>
      <c r="BH535" t="s">
        <v>74</v>
      </c>
      <c r="BI535" t="s">
        <v>74</v>
      </c>
      <c r="BJ535" t="s">
        <v>898</v>
      </c>
      <c r="BK535" t="s">
        <v>117</v>
      </c>
      <c r="BL535" t="s">
        <v>898</v>
      </c>
      <c r="BM535" t="s">
        <v>74</v>
      </c>
      <c r="BN535">
        <v>28979244</v>
      </c>
      <c r="BO535" t="s">
        <v>74</v>
      </c>
      <c r="BP535" t="s">
        <v>74</v>
      </c>
      <c r="BQ535" t="s">
        <v>74</v>
      </c>
      <c r="BR535" t="s">
        <v>96</v>
      </c>
      <c r="BS535" t="s">
        <v>5315</v>
      </c>
      <c r="BT535" t="str">
        <f>HYPERLINK("https%3A%2F%2Fwww.webofscience.com%2Fwos%2Fwoscc%2Ffull-record%2FWOS:000411354400001","View Full Record in Web of Science")</f>
        <v>View Full Record in Web of Science</v>
      </c>
    </row>
    <row r="536" spans="1:72" x14ac:dyDescent="0.15">
      <c r="A536" t="s">
        <v>98</v>
      </c>
      <c r="B536" t="s">
        <v>5599</v>
      </c>
      <c r="C536" t="s">
        <v>74</v>
      </c>
      <c r="D536" t="s">
        <v>74</v>
      </c>
      <c r="E536" t="s">
        <v>74</v>
      </c>
      <c r="F536" t="s">
        <v>5600</v>
      </c>
      <c r="G536" t="s">
        <v>74</v>
      </c>
      <c r="H536" t="s">
        <v>74</v>
      </c>
      <c r="I536" t="s">
        <v>5601</v>
      </c>
      <c r="J536" t="s">
        <v>2051</v>
      </c>
      <c r="K536" t="s">
        <v>74</v>
      </c>
      <c r="L536" t="s">
        <v>74</v>
      </c>
      <c r="M536" t="s">
        <v>74</v>
      </c>
      <c r="N536" t="s">
        <v>103</v>
      </c>
      <c r="O536" t="s">
        <v>74</v>
      </c>
      <c r="P536" t="s">
        <v>74</v>
      </c>
      <c r="Q536" t="s">
        <v>74</v>
      </c>
      <c r="R536" t="s">
        <v>74</v>
      </c>
      <c r="S536" t="s">
        <v>74</v>
      </c>
      <c r="T536" t="s">
        <v>5602</v>
      </c>
      <c r="U536" t="s">
        <v>5603</v>
      </c>
      <c r="V536" t="s">
        <v>5604</v>
      </c>
      <c r="W536" t="s">
        <v>5605</v>
      </c>
      <c r="X536" t="s">
        <v>5606</v>
      </c>
      <c r="Y536" t="s">
        <v>5607</v>
      </c>
      <c r="Z536" t="s">
        <v>5608</v>
      </c>
      <c r="AA536" t="s">
        <v>5609</v>
      </c>
      <c r="AB536" t="s">
        <v>5610</v>
      </c>
      <c r="AC536" t="s">
        <v>74</v>
      </c>
      <c r="AD536" t="s">
        <v>74</v>
      </c>
      <c r="AE536" t="s">
        <v>74</v>
      </c>
      <c r="AF536" t="s">
        <v>74</v>
      </c>
      <c r="AG536">
        <v>99</v>
      </c>
      <c r="AH536">
        <v>37</v>
      </c>
      <c r="AI536">
        <v>38</v>
      </c>
      <c r="AJ536">
        <v>0</v>
      </c>
      <c r="AK536">
        <v>23</v>
      </c>
      <c r="AL536" t="s">
        <v>74</v>
      </c>
      <c r="AM536" t="s">
        <v>74</v>
      </c>
      <c r="AN536" t="s">
        <v>74</v>
      </c>
      <c r="AO536" t="s">
        <v>2061</v>
      </c>
      <c r="AP536" t="s">
        <v>74</v>
      </c>
      <c r="AQ536" t="s">
        <v>74</v>
      </c>
      <c r="AR536" t="s">
        <v>74</v>
      </c>
      <c r="AS536" t="s">
        <v>74</v>
      </c>
      <c r="AT536" t="s">
        <v>4609</v>
      </c>
      <c r="AU536">
        <v>2017</v>
      </c>
      <c r="AV536">
        <v>8</v>
      </c>
      <c r="AW536" t="s">
        <v>74</v>
      </c>
      <c r="AX536" t="s">
        <v>74</v>
      </c>
      <c r="AY536" t="s">
        <v>74</v>
      </c>
      <c r="AZ536" t="s">
        <v>74</v>
      </c>
      <c r="BA536" t="s">
        <v>74</v>
      </c>
      <c r="BB536" t="s">
        <v>74</v>
      </c>
      <c r="BC536" t="s">
        <v>74</v>
      </c>
      <c r="BD536">
        <v>347</v>
      </c>
      <c r="BE536" t="s">
        <v>5611</v>
      </c>
      <c r="BF536" t="str">
        <f>HYPERLINK("http://dx.doi.org/10.3389/fimmu.2017.00347","http://dx.doi.org/10.3389/fimmu.2017.00347")</f>
        <v>http://dx.doi.org/10.3389/fimmu.2017.00347</v>
      </c>
      <c r="BG536" t="s">
        <v>74</v>
      </c>
      <c r="BH536" t="s">
        <v>74</v>
      </c>
      <c r="BI536" t="s">
        <v>74</v>
      </c>
      <c r="BJ536" t="s">
        <v>2064</v>
      </c>
      <c r="BK536" t="s">
        <v>117</v>
      </c>
      <c r="BL536" t="s">
        <v>2064</v>
      </c>
      <c r="BM536" t="s">
        <v>74</v>
      </c>
      <c r="BN536">
        <v>28396668</v>
      </c>
      <c r="BO536" t="s">
        <v>74</v>
      </c>
      <c r="BP536" t="s">
        <v>74</v>
      </c>
      <c r="BQ536" t="s">
        <v>74</v>
      </c>
      <c r="BR536" t="s">
        <v>96</v>
      </c>
      <c r="BS536" t="s">
        <v>5612</v>
      </c>
      <c r="BT536" t="str">
        <f>HYPERLINK("https%3A%2F%2Fwww.webofscience.com%2Fwos%2Fwoscc%2Ffull-record%2FWOS:000397452500001","View Full Record in Web of Science")</f>
        <v>View Full Record in Web of Science</v>
      </c>
    </row>
    <row r="537" spans="1:72" x14ac:dyDescent="0.15">
      <c r="A537" t="s">
        <v>98</v>
      </c>
      <c r="B537" t="s">
        <v>6744</v>
      </c>
      <c r="C537" t="s">
        <v>74</v>
      </c>
      <c r="D537" t="s">
        <v>74</v>
      </c>
      <c r="E537" t="s">
        <v>74</v>
      </c>
      <c r="F537" t="s">
        <v>6745</v>
      </c>
      <c r="G537" t="s">
        <v>74</v>
      </c>
      <c r="H537" t="s">
        <v>74</v>
      </c>
      <c r="I537" t="s">
        <v>6746</v>
      </c>
      <c r="J537" t="s">
        <v>6747</v>
      </c>
      <c r="K537" t="s">
        <v>74</v>
      </c>
      <c r="L537" t="s">
        <v>74</v>
      </c>
      <c r="M537" t="s">
        <v>74</v>
      </c>
      <c r="N537" t="s">
        <v>103</v>
      </c>
      <c r="O537" t="s">
        <v>74</v>
      </c>
      <c r="P537" t="s">
        <v>74</v>
      </c>
      <c r="Q537" t="s">
        <v>74</v>
      </c>
      <c r="R537" t="s">
        <v>74</v>
      </c>
      <c r="S537" t="s">
        <v>74</v>
      </c>
      <c r="T537" t="s">
        <v>74</v>
      </c>
      <c r="U537" t="s">
        <v>6748</v>
      </c>
      <c r="V537" t="s">
        <v>6749</v>
      </c>
      <c r="W537" t="s">
        <v>6750</v>
      </c>
      <c r="X537" t="s">
        <v>6751</v>
      </c>
      <c r="Y537" t="s">
        <v>6752</v>
      </c>
      <c r="Z537" t="s">
        <v>6753</v>
      </c>
      <c r="AA537" t="s">
        <v>6754</v>
      </c>
      <c r="AB537" t="s">
        <v>6755</v>
      </c>
      <c r="AC537" t="s">
        <v>74</v>
      </c>
      <c r="AD537" t="s">
        <v>74</v>
      </c>
      <c r="AE537" t="s">
        <v>74</v>
      </c>
      <c r="AF537" t="s">
        <v>74</v>
      </c>
      <c r="AG537">
        <v>43</v>
      </c>
      <c r="AH537">
        <v>37</v>
      </c>
      <c r="AI537">
        <v>39</v>
      </c>
      <c r="AJ537">
        <v>18</v>
      </c>
      <c r="AK537">
        <v>76</v>
      </c>
      <c r="AL537" t="s">
        <v>74</v>
      </c>
      <c r="AM537" t="s">
        <v>74</v>
      </c>
      <c r="AN537" t="s">
        <v>74</v>
      </c>
      <c r="AO537" t="s">
        <v>6756</v>
      </c>
      <c r="AP537" t="s">
        <v>6757</v>
      </c>
      <c r="AQ537" t="s">
        <v>74</v>
      </c>
      <c r="AR537" t="s">
        <v>74</v>
      </c>
      <c r="AS537" t="s">
        <v>74</v>
      </c>
      <c r="AT537" t="s">
        <v>3542</v>
      </c>
      <c r="AU537">
        <v>2020</v>
      </c>
      <c r="AV537">
        <v>48</v>
      </c>
      <c r="AW537">
        <v>16</v>
      </c>
      <c r="AX537" t="s">
        <v>74</v>
      </c>
      <c r="AY537" t="s">
        <v>74</v>
      </c>
      <c r="AZ537" t="s">
        <v>74</v>
      </c>
      <c r="BA537" t="s">
        <v>74</v>
      </c>
      <c r="BB537">
        <v>8870</v>
      </c>
      <c r="BC537">
        <v>8882</v>
      </c>
      <c r="BD537" t="s">
        <v>74</v>
      </c>
      <c r="BE537" t="s">
        <v>6758</v>
      </c>
      <c r="BF537" t="str">
        <f>HYPERLINK("http://dx.doi.org/10.1093/nar/gkaa683","http://dx.doi.org/10.1093/nar/gkaa683")</f>
        <v>http://dx.doi.org/10.1093/nar/gkaa683</v>
      </c>
      <c r="BG537" t="s">
        <v>74</v>
      </c>
      <c r="BH537" t="s">
        <v>74</v>
      </c>
      <c r="BI537" t="s">
        <v>74</v>
      </c>
      <c r="BJ537" t="s">
        <v>95</v>
      </c>
      <c r="BK537" t="s">
        <v>117</v>
      </c>
      <c r="BL537" t="s">
        <v>95</v>
      </c>
      <c r="BM537" t="s">
        <v>74</v>
      </c>
      <c r="BN537">
        <v>32810272</v>
      </c>
      <c r="BO537" t="s">
        <v>74</v>
      </c>
      <c r="BP537" t="s">
        <v>74</v>
      </c>
      <c r="BQ537" t="s">
        <v>74</v>
      </c>
      <c r="BR537" t="s">
        <v>96</v>
      </c>
      <c r="BS537" t="s">
        <v>6759</v>
      </c>
      <c r="BT537" t="str">
        <f>HYPERLINK("https%3A%2F%2Fwww.webofscience.com%2Fwos%2Fwoscc%2Ffull-record%2FWOS:000574332700010","View Full Record in Web of Science")</f>
        <v>View Full Record in Web of Science</v>
      </c>
    </row>
    <row r="538" spans="1:72" x14ac:dyDescent="0.15">
      <c r="A538" t="s">
        <v>98</v>
      </c>
      <c r="B538" t="s">
        <v>7098</v>
      </c>
      <c r="C538" t="s">
        <v>74</v>
      </c>
      <c r="D538" t="s">
        <v>74</v>
      </c>
      <c r="E538" t="s">
        <v>74</v>
      </c>
      <c r="F538" t="s">
        <v>7099</v>
      </c>
      <c r="G538" t="s">
        <v>74</v>
      </c>
      <c r="H538" t="s">
        <v>74</v>
      </c>
      <c r="I538" t="s">
        <v>7100</v>
      </c>
      <c r="J538" t="s">
        <v>7101</v>
      </c>
      <c r="K538" t="s">
        <v>74</v>
      </c>
      <c r="L538" t="s">
        <v>74</v>
      </c>
      <c r="M538" t="s">
        <v>74</v>
      </c>
      <c r="N538" t="s">
        <v>103</v>
      </c>
      <c r="O538" t="s">
        <v>74</v>
      </c>
      <c r="P538" t="s">
        <v>74</v>
      </c>
      <c r="Q538" t="s">
        <v>74</v>
      </c>
      <c r="R538" t="s">
        <v>74</v>
      </c>
      <c r="S538" t="s">
        <v>74</v>
      </c>
      <c r="T538" t="s">
        <v>7102</v>
      </c>
      <c r="U538" t="s">
        <v>7103</v>
      </c>
      <c r="V538" t="s">
        <v>7104</v>
      </c>
      <c r="W538" t="s">
        <v>7105</v>
      </c>
      <c r="X538" t="s">
        <v>7106</v>
      </c>
      <c r="Y538" t="s">
        <v>7107</v>
      </c>
      <c r="Z538" t="s">
        <v>7108</v>
      </c>
      <c r="AA538" t="s">
        <v>74</v>
      </c>
      <c r="AB538" t="s">
        <v>7109</v>
      </c>
      <c r="AC538" t="s">
        <v>74</v>
      </c>
      <c r="AD538" t="s">
        <v>74</v>
      </c>
      <c r="AE538" t="s">
        <v>74</v>
      </c>
      <c r="AF538" t="s">
        <v>74</v>
      </c>
      <c r="AG538">
        <v>65</v>
      </c>
      <c r="AH538">
        <v>37</v>
      </c>
      <c r="AI538">
        <v>39</v>
      </c>
      <c r="AJ538">
        <v>0</v>
      </c>
      <c r="AK538">
        <v>11</v>
      </c>
      <c r="AL538" t="s">
        <v>74</v>
      </c>
      <c r="AM538" t="s">
        <v>74</v>
      </c>
      <c r="AN538" t="s">
        <v>74</v>
      </c>
      <c r="AO538" t="s">
        <v>7110</v>
      </c>
      <c r="AP538" t="s">
        <v>7111</v>
      </c>
      <c r="AQ538" t="s">
        <v>74</v>
      </c>
      <c r="AR538" t="s">
        <v>74</v>
      </c>
      <c r="AS538" t="s">
        <v>74</v>
      </c>
      <c r="AT538" t="s">
        <v>74</v>
      </c>
      <c r="AU538">
        <v>2014</v>
      </c>
      <c r="AV538">
        <v>14</v>
      </c>
      <c r="AW538">
        <v>3</v>
      </c>
      <c r="AX538" t="s">
        <v>74</v>
      </c>
      <c r="AY538" t="s">
        <v>74</v>
      </c>
      <c r="AZ538" t="s">
        <v>74</v>
      </c>
      <c r="BA538" t="s">
        <v>74</v>
      </c>
      <c r="BB538">
        <v>210</v>
      </c>
      <c r="BC538">
        <v>217</v>
      </c>
      <c r="BD538" t="s">
        <v>74</v>
      </c>
      <c r="BE538" t="s">
        <v>7112</v>
      </c>
      <c r="BF538" t="str">
        <f>HYPERLINK("http://dx.doi.org/10.2174/1871530314666140722083717","http://dx.doi.org/10.2174/1871530314666140722083717")</f>
        <v>http://dx.doi.org/10.2174/1871530314666140722083717</v>
      </c>
      <c r="BG538" t="s">
        <v>74</v>
      </c>
      <c r="BH538" t="s">
        <v>74</v>
      </c>
      <c r="BI538" t="s">
        <v>74</v>
      </c>
      <c r="BJ538" t="s">
        <v>7113</v>
      </c>
      <c r="BK538" t="s">
        <v>117</v>
      </c>
      <c r="BL538" t="s">
        <v>7113</v>
      </c>
      <c r="BM538" t="s">
        <v>74</v>
      </c>
      <c r="BN538">
        <v>25051983</v>
      </c>
      <c r="BO538" t="s">
        <v>74</v>
      </c>
      <c r="BP538" t="s">
        <v>74</v>
      </c>
      <c r="BQ538" t="s">
        <v>74</v>
      </c>
      <c r="BR538" t="s">
        <v>96</v>
      </c>
      <c r="BS538" t="s">
        <v>7114</v>
      </c>
      <c r="BT538" t="str">
        <f>HYPERLINK("https%3A%2F%2Fwww.webofscience.com%2Fwos%2Fwoscc%2Ffull-record%2FWOS:000348651000007","View Full Record in Web of Science")</f>
        <v>View Full Record in Web of Science</v>
      </c>
    </row>
    <row r="539" spans="1:72" x14ac:dyDescent="0.15">
      <c r="A539" t="s">
        <v>98</v>
      </c>
      <c r="B539" t="s">
        <v>12099</v>
      </c>
      <c r="C539" t="s">
        <v>74</v>
      </c>
      <c r="D539" t="s">
        <v>74</v>
      </c>
      <c r="E539" t="s">
        <v>74</v>
      </c>
      <c r="F539" t="s">
        <v>12100</v>
      </c>
      <c r="G539" t="s">
        <v>74</v>
      </c>
      <c r="H539" t="s">
        <v>74</v>
      </c>
      <c r="I539" t="s">
        <v>12101</v>
      </c>
      <c r="J539" t="s">
        <v>5523</v>
      </c>
      <c r="K539" t="s">
        <v>74</v>
      </c>
      <c r="L539" t="s">
        <v>74</v>
      </c>
      <c r="M539" t="s">
        <v>74</v>
      </c>
      <c r="N539" t="s">
        <v>103</v>
      </c>
      <c r="O539" t="s">
        <v>74</v>
      </c>
      <c r="P539" t="s">
        <v>74</v>
      </c>
      <c r="Q539" t="s">
        <v>74</v>
      </c>
      <c r="R539" t="s">
        <v>74</v>
      </c>
      <c r="S539" t="s">
        <v>74</v>
      </c>
      <c r="T539" t="s">
        <v>12102</v>
      </c>
      <c r="U539" t="s">
        <v>12103</v>
      </c>
      <c r="V539" t="s">
        <v>12104</v>
      </c>
      <c r="W539" t="s">
        <v>12105</v>
      </c>
      <c r="X539" t="s">
        <v>12106</v>
      </c>
      <c r="Y539" t="s">
        <v>12107</v>
      </c>
      <c r="Z539" t="s">
        <v>12108</v>
      </c>
      <c r="AA539" t="s">
        <v>12109</v>
      </c>
      <c r="AB539" t="s">
        <v>12110</v>
      </c>
      <c r="AC539" t="s">
        <v>74</v>
      </c>
      <c r="AD539" t="s">
        <v>74</v>
      </c>
      <c r="AE539" t="s">
        <v>74</v>
      </c>
      <c r="AF539" t="s">
        <v>74</v>
      </c>
      <c r="AG539">
        <v>43</v>
      </c>
      <c r="AH539">
        <v>37</v>
      </c>
      <c r="AI539">
        <v>36</v>
      </c>
      <c r="AJ539">
        <v>4</v>
      </c>
      <c r="AK539">
        <v>90</v>
      </c>
      <c r="AL539" t="s">
        <v>74</v>
      </c>
      <c r="AM539" t="s">
        <v>74</v>
      </c>
      <c r="AN539" t="s">
        <v>74</v>
      </c>
      <c r="AO539" t="s">
        <v>5531</v>
      </c>
      <c r="AP539" t="s">
        <v>74</v>
      </c>
      <c r="AQ539" t="s">
        <v>74</v>
      </c>
      <c r="AR539" t="s">
        <v>74</v>
      </c>
      <c r="AS539" t="s">
        <v>74</v>
      </c>
      <c r="AT539" t="s">
        <v>10511</v>
      </c>
      <c r="AU539">
        <v>2018</v>
      </c>
      <c r="AV539">
        <v>10</v>
      </c>
      <c r="AW539">
        <v>31</v>
      </c>
      <c r="AX539" t="s">
        <v>74</v>
      </c>
      <c r="AY539" t="s">
        <v>74</v>
      </c>
      <c r="AZ539" t="s">
        <v>74</v>
      </c>
      <c r="BA539" t="s">
        <v>74</v>
      </c>
      <c r="BB539">
        <v>26056</v>
      </c>
      <c r="BC539">
        <v>26063</v>
      </c>
      <c r="BD539" t="s">
        <v>74</v>
      </c>
      <c r="BE539" t="s">
        <v>12111</v>
      </c>
      <c r="BF539" t="str">
        <f>HYPERLINK("http://dx.doi.org/10.1021/acsami.8b08975","http://dx.doi.org/10.1021/acsami.8b08975")</f>
        <v>http://dx.doi.org/10.1021/acsami.8b08975</v>
      </c>
      <c r="BG539" t="s">
        <v>74</v>
      </c>
      <c r="BH539" t="s">
        <v>74</v>
      </c>
      <c r="BI539" t="s">
        <v>74</v>
      </c>
      <c r="BJ539" t="s">
        <v>5534</v>
      </c>
      <c r="BK539" t="s">
        <v>117</v>
      </c>
      <c r="BL539" t="s">
        <v>5535</v>
      </c>
      <c r="BM539" t="s">
        <v>74</v>
      </c>
      <c r="BN539">
        <v>30011179</v>
      </c>
      <c r="BO539" t="s">
        <v>74</v>
      </c>
      <c r="BP539" t="s">
        <v>74</v>
      </c>
      <c r="BQ539" t="s">
        <v>74</v>
      </c>
      <c r="BR539" t="s">
        <v>96</v>
      </c>
      <c r="BS539" t="s">
        <v>12112</v>
      </c>
      <c r="BT539" t="str">
        <f>HYPERLINK("https%3A%2F%2Fwww.webofscience.com%2Fwos%2Fwoscc%2Ffull-record%2FWOS:000441477800026","View Full Record in Web of Science")</f>
        <v>View Full Record in Web of Science</v>
      </c>
    </row>
    <row r="540" spans="1:72" x14ac:dyDescent="0.15">
      <c r="A540" t="s">
        <v>98</v>
      </c>
      <c r="B540" t="s">
        <v>12892</v>
      </c>
      <c r="C540" t="s">
        <v>74</v>
      </c>
      <c r="D540" t="s">
        <v>74</v>
      </c>
      <c r="E540" t="s">
        <v>74</v>
      </c>
      <c r="F540" t="s">
        <v>12893</v>
      </c>
      <c r="G540" t="s">
        <v>74</v>
      </c>
      <c r="H540" t="s">
        <v>74</v>
      </c>
      <c r="I540" t="s">
        <v>12894</v>
      </c>
      <c r="J540" t="s">
        <v>1972</v>
      </c>
      <c r="K540" t="s">
        <v>74</v>
      </c>
      <c r="L540" t="s">
        <v>74</v>
      </c>
      <c r="M540" t="s">
        <v>74</v>
      </c>
      <c r="N540" t="s">
        <v>103</v>
      </c>
      <c r="O540" t="s">
        <v>74</v>
      </c>
      <c r="P540" t="s">
        <v>74</v>
      </c>
      <c r="Q540" t="s">
        <v>74</v>
      </c>
      <c r="R540" t="s">
        <v>74</v>
      </c>
      <c r="S540" t="s">
        <v>74</v>
      </c>
      <c r="T540" t="s">
        <v>12895</v>
      </c>
      <c r="U540" t="s">
        <v>12896</v>
      </c>
      <c r="V540" t="s">
        <v>12897</v>
      </c>
      <c r="W540" t="s">
        <v>12898</v>
      </c>
      <c r="X540" t="s">
        <v>12899</v>
      </c>
      <c r="Y540" t="s">
        <v>12900</v>
      </c>
      <c r="Z540" t="s">
        <v>6649</v>
      </c>
      <c r="AA540" t="s">
        <v>12901</v>
      </c>
      <c r="AB540" t="s">
        <v>12902</v>
      </c>
      <c r="AC540" t="s">
        <v>74</v>
      </c>
      <c r="AD540" t="s">
        <v>74</v>
      </c>
      <c r="AE540" t="s">
        <v>74</v>
      </c>
      <c r="AF540" t="s">
        <v>74</v>
      </c>
      <c r="AG540">
        <v>56</v>
      </c>
      <c r="AH540">
        <v>37</v>
      </c>
      <c r="AI540">
        <v>39</v>
      </c>
      <c r="AJ540">
        <v>14</v>
      </c>
      <c r="AK540">
        <v>80</v>
      </c>
      <c r="AL540" t="s">
        <v>74</v>
      </c>
      <c r="AM540" t="s">
        <v>74</v>
      </c>
      <c r="AN540" t="s">
        <v>74</v>
      </c>
      <c r="AO540" t="s">
        <v>1980</v>
      </c>
      <c r="AP540" t="s">
        <v>1981</v>
      </c>
      <c r="AQ540" t="s">
        <v>74</v>
      </c>
      <c r="AR540" t="s">
        <v>74</v>
      </c>
      <c r="AS540" t="s">
        <v>74</v>
      </c>
      <c r="AT540" t="s">
        <v>189</v>
      </c>
      <c r="AU540">
        <v>2020</v>
      </c>
      <c r="AV540">
        <v>257</v>
      </c>
      <c r="AW540" t="s">
        <v>74</v>
      </c>
      <c r="AX540" t="s">
        <v>74</v>
      </c>
      <c r="AY540" t="s">
        <v>74</v>
      </c>
      <c r="AZ540" t="s">
        <v>74</v>
      </c>
      <c r="BA540" t="s">
        <v>74</v>
      </c>
      <c r="BB540" t="s">
        <v>74</v>
      </c>
      <c r="BC540" t="s">
        <v>74</v>
      </c>
      <c r="BD540">
        <v>120264</v>
      </c>
      <c r="BE540" t="s">
        <v>12903</v>
      </c>
      <c r="BF540" t="str">
        <f>HYPERLINK("http://dx.doi.org/10.1016/j.biomaterials.2020.120264","http://dx.doi.org/10.1016/j.biomaterials.2020.120264")</f>
        <v>http://dx.doi.org/10.1016/j.biomaterials.2020.120264</v>
      </c>
      <c r="BG540" t="s">
        <v>74</v>
      </c>
      <c r="BH540" t="s">
        <v>74</v>
      </c>
      <c r="BI540" t="s">
        <v>74</v>
      </c>
      <c r="BJ540" t="s">
        <v>1983</v>
      </c>
      <c r="BK540" t="s">
        <v>117</v>
      </c>
      <c r="BL540" t="s">
        <v>1984</v>
      </c>
      <c r="BM540" t="s">
        <v>74</v>
      </c>
      <c r="BN540">
        <v>32791387</v>
      </c>
      <c r="BO540" t="s">
        <v>74</v>
      </c>
      <c r="BP540" t="s">
        <v>74</v>
      </c>
      <c r="BQ540" t="s">
        <v>74</v>
      </c>
      <c r="BR540" t="s">
        <v>96</v>
      </c>
      <c r="BS540" t="s">
        <v>12904</v>
      </c>
      <c r="BT540" t="str">
        <f>HYPERLINK("https%3A%2F%2Fwww.webofscience.com%2Fwos%2Fwoscc%2Ffull-record%2FWOS:000563958300001","View Full Record in Web of Science")</f>
        <v>View Full Record in Web of Science</v>
      </c>
    </row>
    <row r="541" spans="1:72" x14ac:dyDescent="0.15">
      <c r="A541" t="s">
        <v>98</v>
      </c>
      <c r="B541" t="s">
        <v>13406</v>
      </c>
      <c r="C541" t="s">
        <v>74</v>
      </c>
      <c r="D541" t="s">
        <v>74</v>
      </c>
      <c r="E541" t="s">
        <v>74</v>
      </c>
      <c r="F541" t="s">
        <v>13407</v>
      </c>
      <c r="G541" t="s">
        <v>74</v>
      </c>
      <c r="H541" t="s">
        <v>74</v>
      </c>
      <c r="I541" t="s">
        <v>13408</v>
      </c>
      <c r="J541" t="s">
        <v>325</v>
      </c>
      <c r="K541" t="s">
        <v>74</v>
      </c>
      <c r="L541" t="s">
        <v>74</v>
      </c>
      <c r="M541" t="s">
        <v>74</v>
      </c>
      <c r="N541" t="s">
        <v>103</v>
      </c>
      <c r="O541" t="s">
        <v>74</v>
      </c>
      <c r="P541" t="s">
        <v>74</v>
      </c>
      <c r="Q541" t="s">
        <v>74</v>
      </c>
      <c r="R541" t="s">
        <v>74</v>
      </c>
      <c r="S541" t="s">
        <v>74</v>
      </c>
      <c r="T541" t="s">
        <v>13409</v>
      </c>
      <c r="U541" t="s">
        <v>13410</v>
      </c>
      <c r="V541" t="s">
        <v>13411</v>
      </c>
      <c r="W541" t="s">
        <v>13412</v>
      </c>
      <c r="X541" t="s">
        <v>241</v>
      </c>
      <c r="Y541" t="s">
        <v>13413</v>
      </c>
      <c r="Z541" t="s">
        <v>13414</v>
      </c>
      <c r="AA541" t="s">
        <v>74</v>
      </c>
      <c r="AB541" t="s">
        <v>74</v>
      </c>
      <c r="AC541" t="s">
        <v>74</v>
      </c>
      <c r="AD541" t="s">
        <v>74</v>
      </c>
      <c r="AE541" t="s">
        <v>74</v>
      </c>
      <c r="AF541" t="s">
        <v>74</v>
      </c>
      <c r="AG541">
        <v>38</v>
      </c>
      <c r="AH541">
        <v>37</v>
      </c>
      <c r="AI541">
        <v>41</v>
      </c>
      <c r="AJ541">
        <v>0</v>
      </c>
      <c r="AK541">
        <v>22</v>
      </c>
      <c r="AL541" t="s">
        <v>74</v>
      </c>
      <c r="AM541" t="s">
        <v>74</v>
      </c>
      <c r="AN541" t="s">
        <v>74</v>
      </c>
      <c r="AO541" t="s">
        <v>333</v>
      </c>
      <c r="AP541" t="s">
        <v>334</v>
      </c>
      <c r="AQ541" t="s">
        <v>74</v>
      </c>
      <c r="AR541" t="s">
        <v>74</v>
      </c>
      <c r="AS541" t="s">
        <v>74</v>
      </c>
      <c r="AT541" t="s">
        <v>211</v>
      </c>
      <c r="AU541">
        <v>2017</v>
      </c>
      <c r="AV541">
        <v>36</v>
      </c>
      <c r="AW541">
        <v>11</v>
      </c>
      <c r="AX541" t="s">
        <v>74</v>
      </c>
      <c r="AY541" t="s">
        <v>74</v>
      </c>
      <c r="AZ541" t="s">
        <v>74</v>
      </c>
      <c r="BA541" t="s">
        <v>74</v>
      </c>
      <c r="BB541">
        <v>1018</v>
      </c>
      <c r="BC541">
        <v>1028</v>
      </c>
      <c r="BD541" t="s">
        <v>74</v>
      </c>
      <c r="BE541" t="s">
        <v>13415</v>
      </c>
      <c r="BF541" t="str">
        <f>HYPERLINK("http://dx.doi.org/10.1089/dna.2017.3836","http://dx.doi.org/10.1089/dna.2017.3836")</f>
        <v>http://dx.doi.org/10.1089/dna.2017.3836</v>
      </c>
      <c r="BG541" t="s">
        <v>74</v>
      </c>
      <c r="BH541" t="s">
        <v>74</v>
      </c>
      <c r="BI541" t="s">
        <v>74</v>
      </c>
      <c r="BJ541" t="s">
        <v>338</v>
      </c>
      <c r="BK541" t="s">
        <v>117</v>
      </c>
      <c r="BL541" t="s">
        <v>338</v>
      </c>
      <c r="BM541" t="s">
        <v>74</v>
      </c>
      <c r="BN541">
        <v>28920705</v>
      </c>
      <c r="BO541" t="s">
        <v>74</v>
      </c>
      <c r="BP541" t="s">
        <v>74</v>
      </c>
      <c r="BQ541" t="s">
        <v>74</v>
      </c>
      <c r="BR541" t="s">
        <v>96</v>
      </c>
      <c r="BS541" t="s">
        <v>13416</v>
      </c>
      <c r="BT541" t="str">
        <f>HYPERLINK("https%3A%2F%2Fwww.webofscience.com%2Fwos%2Fwoscc%2Ffull-record%2FWOS:000415091900017","View Full Record in Web of Science")</f>
        <v>View Full Record in Web of Science</v>
      </c>
    </row>
    <row r="542" spans="1:72" x14ac:dyDescent="0.15">
      <c r="A542" t="s">
        <v>98</v>
      </c>
      <c r="B542" t="s">
        <v>13417</v>
      </c>
      <c r="C542" t="s">
        <v>74</v>
      </c>
      <c r="D542" t="s">
        <v>74</v>
      </c>
      <c r="E542" t="s">
        <v>74</v>
      </c>
      <c r="F542" t="s">
        <v>13418</v>
      </c>
      <c r="G542" t="s">
        <v>74</v>
      </c>
      <c r="H542" t="s">
        <v>74</v>
      </c>
      <c r="I542" t="s">
        <v>13419</v>
      </c>
      <c r="J542" t="s">
        <v>13420</v>
      </c>
      <c r="K542" t="s">
        <v>74</v>
      </c>
      <c r="L542" t="s">
        <v>74</v>
      </c>
      <c r="M542" t="s">
        <v>74</v>
      </c>
      <c r="N542" t="s">
        <v>103</v>
      </c>
      <c r="O542" t="s">
        <v>74</v>
      </c>
      <c r="P542" t="s">
        <v>74</v>
      </c>
      <c r="Q542" t="s">
        <v>74</v>
      </c>
      <c r="R542" t="s">
        <v>74</v>
      </c>
      <c r="S542" t="s">
        <v>74</v>
      </c>
      <c r="T542" t="s">
        <v>74</v>
      </c>
      <c r="U542" t="s">
        <v>13421</v>
      </c>
      <c r="V542" t="s">
        <v>13422</v>
      </c>
      <c r="W542" t="s">
        <v>13423</v>
      </c>
      <c r="X542" t="s">
        <v>13424</v>
      </c>
      <c r="Y542" t="s">
        <v>13425</v>
      </c>
      <c r="Z542" t="s">
        <v>13426</v>
      </c>
      <c r="AA542" t="s">
        <v>13427</v>
      </c>
      <c r="AB542" t="s">
        <v>13428</v>
      </c>
      <c r="AC542" t="s">
        <v>74</v>
      </c>
      <c r="AD542" t="s">
        <v>74</v>
      </c>
      <c r="AE542" t="s">
        <v>74</v>
      </c>
      <c r="AF542" t="s">
        <v>74</v>
      </c>
      <c r="AG542">
        <v>70</v>
      </c>
      <c r="AH542">
        <v>37</v>
      </c>
      <c r="AI542">
        <v>37</v>
      </c>
      <c r="AJ542">
        <v>13</v>
      </c>
      <c r="AK542">
        <v>34</v>
      </c>
      <c r="AL542" t="s">
        <v>74</v>
      </c>
      <c r="AM542" t="s">
        <v>74</v>
      </c>
      <c r="AN542" t="s">
        <v>74</v>
      </c>
      <c r="AO542" t="s">
        <v>13429</v>
      </c>
      <c r="AP542" t="s">
        <v>13430</v>
      </c>
      <c r="AQ542" t="s">
        <v>74</v>
      </c>
      <c r="AR542" t="s">
        <v>74</v>
      </c>
      <c r="AS542" t="s">
        <v>74</v>
      </c>
      <c r="AT542" t="s">
        <v>12242</v>
      </c>
      <c r="AU542">
        <v>2021</v>
      </c>
      <c r="AV542">
        <v>33</v>
      </c>
      <c r="AW542">
        <v>9</v>
      </c>
      <c r="AX542" t="s">
        <v>74</v>
      </c>
      <c r="AY542" t="s">
        <v>74</v>
      </c>
      <c r="AZ542" t="s">
        <v>74</v>
      </c>
      <c r="BA542" t="s">
        <v>74</v>
      </c>
      <c r="BB542">
        <v>1853</v>
      </c>
      <c r="BC542" t="s">
        <v>3390</v>
      </c>
      <c r="BD542" t="s">
        <v>74</v>
      </c>
      <c r="BE542" t="s">
        <v>13431</v>
      </c>
      <c r="BF542" t="str">
        <f>HYPERLINK("http://dx.doi.org/10.1016/j.cmet.2021.08.002","http://dx.doi.org/10.1016/j.cmet.2021.08.002")</f>
        <v>http://dx.doi.org/10.1016/j.cmet.2021.08.002</v>
      </c>
      <c r="BG542" t="s">
        <v>74</v>
      </c>
      <c r="BH542" t="s">
        <v>395</v>
      </c>
      <c r="BI542" t="s">
        <v>74</v>
      </c>
      <c r="BJ542" t="s">
        <v>13432</v>
      </c>
      <c r="BK542" t="s">
        <v>117</v>
      </c>
      <c r="BL542" t="s">
        <v>13432</v>
      </c>
      <c r="BM542" t="s">
        <v>74</v>
      </c>
      <c r="BN542">
        <v>34418352</v>
      </c>
      <c r="BO542" t="s">
        <v>74</v>
      </c>
      <c r="BP542" t="s">
        <v>74</v>
      </c>
      <c r="BQ542" t="s">
        <v>74</v>
      </c>
      <c r="BR542" t="s">
        <v>96</v>
      </c>
      <c r="BS542" t="s">
        <v>13433</v>
      </c>
      <c r="BT542" t="str">
        <f>HYPERLINK("https%3A%2F%2Fwww.webofscience.com%2Fwos%2Fwoscc%2Ffull-record%2FWOS:000696568500002","View Full Record in Web of Science")</f>
        <v>View Full Record in Web of Science</v>
      </c>
    </row>
    <row r="543" spans="1:72" x14ac:dyDescent="0.15">
      <c r="A543" t="s">
        <v>98</v>
      </c>
      <c r="B543" t="s">
        <v>15284</v>
      </c>
      <c r="C543" t="s">
        <v>74</v>
      </c>
      <c r="D543" t="s">
        <v>74</v>
      </c>
      <c r="E543" t="s">
        <v>74</v>
      </c>
      <c r="F543" t="s">
        <v>15285</v>
      </c>
      <c r="G543" t="s">
        <v>74</v>
      </c>
      <c r="H543" t="s">
        <v>74</v>
      </c>
      <c r="I543" t="s">
        <v>15286</v>
      </c>
      <c r="J543" t="s">
        <v>4486</v>
      </c>
      <c r="K543" t="s">
        <v>74</v>
      </c>
      <c r="L543" t="s">
        <v>74</v>
      </c>
      <c r="M543" t="s">
        <v>74</v>
      </c>
      <c r="N543" t="s">
        <v>103</v>
      </c>
      <c r="O543" t="s">
        <v>74</v>
      </c>
      <c r="P543" t="s">
        <v>74</v>
      </c>
      <c r="Q543" t="s">
        <v>74</v>
      </c>
      <c r="R543" t="s">
        <v>74</v>
      </c>
      <c r="S543" t="s">
        <v>74</v>
      </c>
      <c r="T543" t="s">
        <v>74</v>
      </c>
      <c r="U543" t="s">
        <v>74</v>
      </c>
      <c r="V543" t="s">
        <v>15287</v>
      </c>
      <c r="W543" t="s">
        <v>15288</v>
      </c>
      <c r="X543" t="s">
        <v>15289</v>
      </c>
      <c r="Y543" t="s">
        <v>15290</v>
      </c>
      <c r="Z543" t="s">
        <v>15291</v>
      </c>
      <c r="AA543" t="s">
        <v>74</v>
      </c>
      <c r="AB543" t="s">
        <v>74</v>
      </c>
      <c r="AC543" t="s">
        <v>74</v>
      </c>
      <c r="AD543" t="s">
        <v>74</v>
      </c>
      <c r="AE543" t="s">
        <v>74</v>
      </c>
      <c r="AF543" t="s">
        <v>74</v>
      </c>
      <c r="AG543">
        <v>45</v>
      </c>
      <c r="AH543">
        <v>37</v>
      </c>
      <c r="AI543">
        <v>36</v>
      </c>
      <c r="AJ543">
        <v>38</v>
      </c>
      <c r="AK543">
        <v>165</v>
      </c>
      <c r="AL543" t="s">
        <v>74</v>
      </c>
      <c r="AM543" t="s">
        <v>74</v>
      </c>
      <c r="AN543" t="s">
        <v>74</v>
      </c>
      <c r="AO543" t="s">
        <v>4493</v>
      </c>
      <c r="AP543" t="s">
        <v>4494</v>
      </c>
      <c r="AQ543" t="s">
        <v>74</v>
      </c>
      <c r="AR543" t="s">
        <v>74</v>
      </c>
      <c r="AS543" t="s">
        <v>74</v>
      </c>
      <c r="AT543" t="s">
        <v>4446</v>
      </c>
      <c r="AU543">
        <v>2021</v>
      </c>
      <c r="AV543">
        <v>93</v>
      </c>
      <c r="AW543">
        <v>3</v>
      </c>
      <c r="AX543" t="s">
        <v>74</v>
      </c>
      <c r="AY543" t="s">
        <v>74</v>
      </c>
      <c r="AZ543" t="s">
        <v>74</v>
      </c>
      <c r="BA543" t="s">
        <v>74</v>
      </c>
      <c r="BB543">
        <v>1709</v>
      </c>
      <c r="BC543">
        <v>1716</v>
      </c>
      <c r="BD543" t="s">
        <v>74</v>
      </c>
      <c r="BE543" t="s">
        <v>15292</v>
      </c>
      <c r="BF543" t="str">
        <f>HYPERLINK("http://dx.doi.org/10.1021/acs.analchem.0c04308","http://dx.doi.org/10.1021/acs.analchem.0c04308")</f>
        <v>http://dx.doi.org/10.1021/acs.analchem.0c04308</v>
      </c>
      <c r="BG543" t="s">
        <v>74</v>
      </c>
      <c r="BH543" t="s">
        <v>74</v>
      </c>
      <c r="BI543" t="s">
        <v>74</v>
      </c>
      <c r="BJ543" t="s">
        <v>1118</v>
      </c>
      <c r="BK543" t="s">
        <v>117</v>
      </c>
      <c r="BL543" t="s">
        <v>1048</v>
      </c>
      <c r="BM543" t="s">
        <v>74</v>
      </c>
      <c r="BN543">
        <v>33369394</v>
      </c>
      <c r="BO543" t="s">
        <v>74</v>
      </c>
      <c r="BP543" t="s">
        <v>193</v>
      </c>
      <c r="BQ543" t="s">
        <v>194</v>
      </c>
      <c r="BR543" t="s">
        <v>96</v>
      </c>
      <c r="BS543" t="s">
        <v>15293</v>
      </c>
      <c r="BT543" t="str">
        <f>HYPERLINK("https%3A%2F%2Fwww.webofscience.com%2Fwos%2Fwoscc%2Ffull-record%2FWOS:000613922400065","View Full Record in Web of Science")</f>
        <v>View Full Record in Web of Science</v>
      </c>
    </row>
    <row r="544" spans="1:72" x14ac:dyDescent="0.15">
      <c r="A544" t="s">
        <v>98</v>
      </c>
      <c r="B544" t="s">
        <v>15791</v>
      </c>
      <c r="C544" t="s">
        <v>74</v>
      </c>
      <c r="D544" t="s">
        <v>74</v>
      </c>
      <c r="E544" t="s">
        <v>74</v>
      </c>
      <c r="F544" t="s">
        <v>15792</v>
      </c>
      <c r="G544" t="s">
        <v>74</v>
      </c>
      <c r="H544" t="s">
        <v>74</v>
      </c>
      <c r="I544" t="s">
        <v>15793</v>
      </c>
      <c r="J544" t="s">
        <v>7316</v>
      </c>
      <c r="K544" t="s">
        <v>74</v>
      </c>
      <c r="L544" t="s">
        <v>74</v>
      </c>
      <c r="M544" t="s">
        <v>74</v>
      </c>
      <c r="N544" t="s">
        <v>103</v>
      </c>
      <c r="O544" t="s">
        <v>74</v>
      </c>
      <c r="P544" t="s">
        <v>74</v>
      </c>
      <c r="Q544" t="s">
        <v>74</v>
      </c>
      <c r="R544" t="s">
        <v>74</v>
      </c>
      <c r="S544" t="s">
        <v>74</v>
      </c>
      <c r="T544" t="s">
        <v>74</v>
      </c>
      <c r="U544" t="s">
        <v>15794</v>
      </c>
      <c r="V544" t="s">
        <v>15795</v>
      </c>
      <c r="W544" t="s">
        <v>15796</v>
      </c>
      <c r="X544" t="s">
        <v>15797</v>
      </c>
      <c r="Y544" t="s">
        <v>15798</v>
      </c>
      <c r="Z544" t="s">
        <v>15799</v>
      </c>
      <c r="AA544" t="s">
        <v>15800</v>
      </c>
      <c r="AB544" t="s">
        <v>13184</v>
      </c>
      <c r="AC544" t="s">
        <v>74</v>
      </c>
      <c r="AD544" t="s">
        <v>74</v>
      </c>
      <c r="AE544" t="s">
        <v>74</v>
      </c>
      <c r="AF544" t="s">
        <v>74</v>
      </c>
      <c r="AG544">
        <v>67</v>
      </c>
      <c r="AH544">
        <v>37</v>
      </c>
      <c r="AI544">
        <v>37</v>
      </c>
      <c r="AJ544">
        <v>16</v>
      </c>
      <c r="AK544">
        <v>156</v>
      </c>
      <c r="AL544" t="s">
        <v>74</v>
      </c>
      <c r="AM544" t="s">
        <v>74</v>
      </c>
      <c r="AN544" t="s">
        <v>74</v>
      </c>
      <c r="AO544" t="s">
        <v>7324</v>
      </c>
      <c r="AP544" t="s">
        <v>7325</v>
      </c>
      <c r="AQ544" t="s">
        <v>74</v>
      </c>
      <c r="AR544" t="s">
        <v>74</v>
      </c>
      <c r="AS544" t="s">
        <v>74</v>
      </c>
      <c r="AT544" t="s">
        <v>11696</v>
      </c>
      <c r="AU544">
        <v>2019</v>
      </c>
      <c r="AV544">
        <v>144</v>
      </c>
      <c r="AW544">
        <v>11</v>
      </c>
      <c r="AX544" t="s">
        <v>74</v>
      </c>
      <c r="AY544" t="s">
        <v>74</v>
      </c>
      <c r="AZ544" t="s">
        <v>74</v>
      </c>
      <c r="BA544" t="s">
        <v>74</v>
      </c>
      <c r="BB544">
        <v>3668</v>
      </c>
      <c r="BC544">
        <v>3675</v>
      </c>
      <c r="BD544" t="s">
        <v>74</v>
      </c>
      <c r="BE544" t="s">
        <v>15801</v>
      </c>
      <c r="BF544" t="str">
        <f>HYPERLINK("http://dx.doi.org/10.1039/c9an00181f","http://dx.doi.org/10.1039/c9an00181f")</f>
        <v>http://dx.doi.org/10.1039/c9an00181f</v>
      </c>
      <c r="BG544" t="s">
        <v>74</v>
      </c>
      <c r="BH544" t="s">
        <v>74</v>
      </c>
      <c r="BI544" t="s">
        <v>74</v>
      </c>
      <c r="BJ544" t="s">
        <v>1118</v>
      </c>
      <c r="BK544" t="s">
        <v>117</v>
      </c>
      <c r="BL544" t="s">
        <v>1048</v>
      </c>
      <c r="BM544" t="s">
        <v>74</v>
      </c>
      <c r="BN544">
        <v>31086892</v>
      </c>
      <c r="BO544" t="s">
        <v>74</v>
      </c>
      <c r="BP544" t="s">
        <v>74</v>
      </c>
      <c r="BQ544" t="s">
        <v>74</v>
      </c>
      <c r="BR544" t="s">
        <v>96</v>
      </c>
      <c r="BS544" t="s">
        <v>15802</v>
      </c>
      <c r="BT544" t="str">
        <f>HYPERLINK("https%3A%2F%2Fwww.webofscience.com%2Fwos%2Fwoscc%2Ffull-record%2FWOS:000474061200025","View Full Record in Web of Science")</f>
        <v>View Full Record in Web of Science</v>
      </c>
    </row>
    <row r="545" spans="1:72" x14ac:dyDescent="0.15">
      <c r="A545" t="s">
        <v>98</v>
      </c>
      <c r="B545" t="s">
        <v>18275</v>
      </c>
      <c r="C545" t="s">
        <v>74</v>
      </c>
      <c r="D545" t="s">
        <v>74</v>
      </c>
      <c r="E545" t="s">
        <v>74</v>
      </c>
      <c r="F545" t="s">
        <v>18276</v>
      </c>
      <c r="G545" t="s">
        <v>74</v>
      </c>
      <c r="H545" t="s">
        <v>74</v>
      </c>
      <c r="I545" t="s">
        <v>18277</v>
      </c>
      <c r="J545" t="s">
        <v>1684</v>
      </c>
      <c r="K545" t="s">
        <v>74</v>
      </c>
      <c r="L545" t="s">
        <v>74</v>
      </c>
      <c r="M545" t="s">
        <v>74</v>
      </c>
      <c r="N545" t="s">
        <v>103</v>
      </c>
      <c r="O545" t="s">
        <v>74</v>
      </c>
      <c r="P545" t="s">
        <v>74</v>
      </c>
      <c r="Q545" t="s">
        <v>74</v>
      </c>
      <c r="R545" t="s">
        <v>74</v>
      </c>
      <c r="S545" t="s">
        <v>74</v>
      </c>
      <c r="T545" t="s">
        <v>18278</v>
      </c>
      <c r="U545" t="s">
        <v>18279</v>
      </c>
      <c r="V545" t="s">
        <v>18280</v>
      </c>
      <c r="W545" t="s">
        <v>18281</v>
      </c>
      <c r="X545" t="s">
        <v>18282</v>
      </c>
      <c r="Y545" t="s">
        <v>18283</v>
      </c>
      <c r="Z545" t="s">
        <v>2288</v>
      </c>
      <c r="AA545" t="s">
        <v>18284</v>
      </c>
      <c r="AB545" t="s">
        <v>18285</v>
      </c>
      <c r="AC545" t="s">
        <v>74</v>
      </c>
      <c r="AD545" t="s">
        <v>74</v>
      </c>
      <c r="AE545" t="s">
        <v>74</v>
      </c>
      <c r="AF545" t="s">
        <v>74</v>
      </c>
      <c r="AG545">
        <v>42</v>
      </c>
      <c r="AH545">
        <v>37</v>
      </c>
      <c r="AI545">
        <v>38</v>
      </c>
      <c r="AJ545">
        <v>1</v>
      </c>
      <c r="AK545">
        <v>14</v>
      </c>
      <c r="AL545" t="s">
        <v>74</v>
      </c>
      <c r="AM545" t="s">
        <v>74</v>
      </c>
      <c r="AN545" t="s">
        <v>74</v>
      </c>
      <c r="AO545" t="s">
        <v>1692</v>
      </c>
      <c r="AP545" t="s">
        <v>1693</v>
      </c>
      <c r="AQ545" t="s">
        <v>74</v>
      </c>
      <c r="AR545" t="s">
        <v>74</v>
      </c>
      <c r="AS545" t="s">
        <v>74</v>
      </c>
      <c r="AT545" t="s">
        <v>967</v>
      </c>
      <c r="AU545">
        <v>2017</v>
      </c>
      <c r="AV545">
        <v>17</v>
      </c>
      <c r="AW545" t="s">
        <v>2873</v>
      </c>
      <c r="AX545" t="s">
        <v>74</v>
      </c>
      <c r="AY545" t="s">
        <v>74</v>
      </c>
      <c r="AZ545" t="s">
        <v>447</v>
      </c>
      <c r="BA545" t="s">
        <v>74</v>
      </c>
      <c r="BB545" t="s">
        <v>74</v>
      </c>
      <c r="BC545" t="s">
        <v>74</v>
      </c>
      <c r="BD545">
        <v>1600432</v>
      </c>
      <c r="BE545" t="s">
        <v>18286</v>
      </c>
      <c r="BF545" t="str">
        <f>HYPERLINK("http://dx.doi.org/10.1002/pmic.201600432","http://dx.doi.org/10.1002/pmic.201600432")</f>
        <v>http://dx.doi.org/10.1002/pmic.201600432</v>
      </c>
      <c r="BG545" t="s">
        <v>74</v>
      </c>
      <c r="BH545" t="s">
        <v>74</v>
      </c>
      <c r="BI545" t="s">
        <v>74</v>
      </c>
      <c r="BJ545" t="s">
        <v>93</v>
      </c>
      <c r="BK545" t="s">
        <v>117</v>
      </c>
      <c r="BL545" t="s">
        <v>95</v>
      </c>
      <c r="BM545" t="s">
        <v>74</v>
      </c>
      <c r="BN545">
        <v>28722786</v>
      </c>
      <c r="BO545" t="s">
        <v>74</v>
      </c>
      <c r="BP545" t="s">
        <v>74</v>
      </c>
      <c r="BQ545" t="s">
        <v>74</v>
      </c>
      <c r="BR545" t="s">
        <v>96</v>
      </c>
      <c r="BS545" t="s">
        <v>18287</v>
      </c>
      <c r="BT545" t="str">
        <f>HYPERLINK("https%3A%2F%2Fwww.webofscience.com%2Fwos%2Fwoscc%2Ffull-record%2FWOS:000418420500003","View Full Record in Web of Science")</f>
        <v>View Full Record in Web of Science</v>
      </c>
    </row>
    <row r="546" spans="1:72" x14ac:dyDescent="0.15">
      <c r="A546" t="s">
        <v>98</v>
      </c>
      <c r="B546" t="s">
        <v>20000</v>
      </c>
      <c r="C546" t="s">
        <v>74</v>
      </c>
      <c r="D546" t="s">
        <v>74</v>
      </c>
      <c r="E546" t="s">
        <v>74</v>
      </c>
      <c r="F546" t="s">
        <v>20001</v>
      </c>
      <c r="G546" t="s">
        <v>74</v>
      </c>
      <c r="H546" t="s">
        <v>74</v>
      </c>
      <c r="I546" t="s">
        <v>20002</v>
      </c>
      <c r="J546" t="s">
        <v>6379</v>
      </c>
      <c r="K546" t="s">
        <v>74</v>
      </c>
      <c r="L546" t="s">
        <v>74</v>
      </c>
      <c r="M546" t="s">
        <v>74</v>
      </c>
      <c r="N546" t="s">
        <v>103</v>
      </c>
      <c r="O546" t="s">
        <v>74</v>
      </c>
      <c r="P546" t="s">
        <v>74</v>
      </c>
      <c r="Q546" t="s">
        <v>74</v>
      </c>
      <c r="R546" t="s">
        <v>74</v>
      </c>
      <c r="S546" t="s">
        <v>74</v>
      </c>
      <c r="T546" t="s">
        <v>20003</v>
      </c>
      <c r="U546" t="s">
        <v>20004</v>
      </c>
      <c r="V546" t="s">
        <v>20005</v>
      </c>
      <c r="W546" t="s">
        <v>20006</v>
      </c>
      <c r="X546" t="s">
        <v>20007</v>
      </c>
      <c r="Y546" t="s">
        <v>20008</v>
      </c>
      <c r="Z546" t="s">
        <v>20009</v>
      </c>
      <c r="AA546" t="s">
        <v>20010</v>
      </c>
      <c r="AB546" t="s">
        <v>20011</v>
      </c>
      <c r="AC546" t="s">
        <v>74</v>
      </c>
      <c r="AD546" t="s">
        <v>74</v>
      </c>
      <c r="AE546" t="s">
        <v>74</v>
      </c>
      <c r="AF546" t="s">
        <v>74</v>
      </c>
      <c r="AG546">
        <v>52</v>
      </c>
      <c r="AH546">
        <v>37</v>
      </c>
      <c r="AI546">
        <v>37</v>
      </c>
      <c r="AJ546">
        <v>4</v>
      </c>
      <c r="AK546">
        <v>17</v>
      </c>
      <c r="AL546" t="s">
        <v>74</v>
      </c>
      <c r="AM546" t="s">
        <v>74</v>
      </c>
      <c r="AN546" t="s">
        <v>74</v>
      </c>
      <c r="AO546" t="s">
        <v>6389</v>
      </c>
      <c r="AP546" t="s">
        <v>6390</v>
      </c>
      <c r="AQ546" t="s">
        <v>74</v>
      </c>
      <c r="AR546" t="s">
        <v>74</v>
      </c>
      <c r="AS546" t="s">
        <v>74</v>
      </c>
      <c r="AT546" t="s">
        <v>20012</v>
      </c>
      <c r="AU546">
        <v>2019</v>
      </c>
      <c r="AV546">
        <v>38</v>
      </c>
      <c r="AW546">
        <v>11</v>
      </c>
      <c r="AX546" t="s">
        <v>74</v>
      </c>
      <c r="AY546" t="s">
        <v>74</v>
      </c>
      <c r="AZ546" t="s">
        <v>74</v>
      </c>
      <c r="BA546" t="s">
        <v>74</v>
      </c>
      <c r="BB546" t="s">
        <v>74</v>
      </c>
      <c r="BC546" t="s">
        <v>74</v>
      </c>
      <c r="BD546" t="s">
        <v>20013</v>
      </c>
      <c r="BE546" t="s">
        <v>20014</v>
      </c>
      <c r="BF546" t="str">
        <f>HYPERLINK("http://dx.doi.org/10.15252/embj.2019101695","http://dx.doi.org/10.15252/embj.2019101695")</f>
        <v>http://dx.doi.org/10.15252/embj.2019101695</v>
      </c>
      <c r="BG546" t="s">
        <v>74</v>
      </c>
      <c r="BH546" t="s">
        <v>74</v>
      </c>
      <c r="BI546" t="s">
        <v>74</v>
      </c>
      <c r="BJ546" t="s">
        <v>498</v>
      </c>
      <c r="BK546" t="s">
        <v>117</v>
      </c>
      <c r="BL546" t="s">
        <v>498</v>
      </c>
      <c r="BM546" t="s">
        <v>74</v>
      </c>
      <c r="BN546">
        <v>31053596</v>
      </c>
      <c r="BO546" t="s">
        <v>74</v>
      </c>
      <c r="BP546" t="s">
        <v>74</v>
      </c>
      <c r="BQ546" t="s">
        <v>74</v>
      </c>
      <c r="BR546" t="s">
        <v>96</v>
      </c>
      <c r="BS546" t="s">
        <v>20015</v>
      </c>
      <c r="BT546" t="str">
        <f>HYPERLINK("https%3A%2F%2Fwww.webofscience.com%2Fwos%2Fwoscc%2Ffull-record%2FWOS:000470014200001","View Full Record in Web of Science")</f>
        <v>View Full Record in Web of Science</v>
      </c>
    </row>
    <row r="547" spans="1:72" x14ac:dyDescent="0.15">
      <c r="A547" t="s">
        <v>98</v>
      </c>
      <c r="B547" t="s">
        <v>20922</v>
      </c>
      <c r="C547" t="s">
        <v>74</v>
      </c>
      <c r="D547" t="s">
        <v>74</v>
      </c>
      <c r="E547" t="s">
        <v>74</v>
      </c>
      <c r="F547" t="s">
        <v>20923</v>
      </c>
      <c r="G547" t="s">
        <v>74</v>
      </c>
      <c r="H547" t="s">
        <v>74</v>
      </c>
      <c r="I547" t="s">
        <v>20924</v>
      </c>
      <c r="J547" t="s">
        <v>20925</v>
      </c>
      <c r="K547" t="s">
        <v>74</v>
      </c>
      <c r="L547" t="s">
        <v>74</v>
      </c>
      <c r="M547" t="s">
        <v>74</v>
      </c>
      <c r="N547" t="s">
        <v>980</v>
      </c>
      <c r="O547" t="s">
        <v>20926</v>
      </c>
      <c r="P547" t="s">
        <v>20927</v>
      </c>
      <c r="Q547" t="s">
        <v>20928</v>
      </c>
      <c r="R547" t="s">
        <v>74</v>
      </c>
      <c r="S547" t="s">
        <v>74</v>
      </c>
      <c r="T547" t="s">
        <v>20929</v>
      </c>
      <c r="U547" t="s">
        <v>20930</v>
      </c>
      <c r="V547" t="s">
        <v>20931</v>
      </c>
      <c r="W547" t="s">
        <v>20932</v>
      </c>
      <c r="X547" t="s">
        <v>20933</v>
      </c>
      <c r="Y547" t="s">
        <v>20934</v>
      </c>
      <c r="Z547" t="s">
        <v>20935</v>
      </c>
      <c r="AA547" t="s">
        <v>74</v>
      </c>
      <c r="AB547" t="s">
        <v>74</v>
      </c>
      <c r="AC547" t="s">
        <v>74</v>
      </c>
      <c r="AD547" t="s">
        <v>74</v>
      </c>
      <c r="AE547" t="s">
        <v>74</v>
      </c>
      <c r="AF547" t="s">
        <v>74</v>
      </c>
      <c r="AG547">
        <v>52</v>
      </c>
      <c r="AH547">
        <v>37</v>
      </c>
      <c r="AI547">
        <v>40</v>
      </c>
      <c r="AJ547">
        <v>6</v>
      </c>
      <c r="AK547">
        <v>26</v>
      </c>
      <c r="AL547" t="s">
        <v>74</v>
      </c>
      <c r="AM547" t="s">
        <v>74</v>
      </c>
      <c r="AN547" t="s">
        <v>74</v>
      </c>
      <c r="AO547" t="s">
        <v>20936</v>
      </c>
      <c r="AP547" t="s">
        <v>20937</v>
      </c>
      <c r="AQ547" t="s">
        <v>74</v>
      </c>
      <c r="AR547" t="s">
        <v>74</v>
      </c>
      <c r="AS547" t="s">
        <v>74</v>
      </c>
      <c r="AT547" t="s">
        <v>170</v>
      </c>
      <c r="AU547">
        <v>2018</v>
      </c>
      <c r="AV547">
        <v>10</v>
      </c>
      <c r="AW547" t="s">
        <v>74</v>
      </c>
      <c r="AX547">
        <v>2</v>
      </c>
      <c r="AY547">
        <v>14</v>
      </c>
      <c r="AZ547" t="s">
        <v>74</v>
      </c>
      <c r="BA547" t="s">
        <v>74</v>
      </c>
      <c r="BB547" t="s">
        <v>20938</v>
      </c>
      <c r="BC547" t="s">
        <v>20939</v>
      </c>
      <c r="BD547" t="s">
        <v>74</v>
      </c>
      <c r="BE547" t="s">
        <v>20940</v>
      </c>
      <c r="BF547" t="str">
        <f>HYPERLINK("http://dx.doi.org/10.21037/jtd.2018.04.68","http://dx.doi.org/10.21037/jtd.2018.04.68")</f>
        <v>http://dx.doi.org/10.21037/jtd.2018.04.68</v>
      </c>
      <c r="BG547" t="s">
        <v>74</v>
      </c>
      <c r="BH547" t="s">
        <v>74</v>
      </c>
      <c r="BI547" t="s">
        <v>74</v>
      </c>
      <c r="BJ547" t="s">
        <v>4148</v>
      </c>
      <c r="BK547" t="s">
        <v>997</v>
      </c>
      <c r="BL547" t="s">
        <v>4148</v>
      </c>
      <c r="BM547" t="s">
        <v>74</v>
      </c>
      <c r="BN547">
        <v>30034830</v>
      </c>
      <c r="BO547" t="s">
        <v>74</v>
      </c>
      <c r="BP547" t="s">
        <v>74</v>
      </c>
      <c r="BQ547" t="s">
        <v>74</v>
      </c>
      <c r="BR547" t="s">
        <v>96</v>
      </c>
      <c r="BS547" t="s">
        <v>20941</v>
      </c>
      <c r="BT547" t="str">
        <f>HYPERLINK("https%3A%2F%2Fwww.webofscience.com%2Fwos%2Fwoscc%2Ffull-record%2FWOS:000435837800006","View Full Record in Web of Science")</f>
        <v>View Full Record in Web of Science</v>
      </c>
    </row>
    <row r="548" spans="1:72" x14ac:dyDescent="0.15">
      <c r="A548" t="s">
        <v>98</v>
      </c>
      <c r="B548" t="s">
        <v>24797</v>
      </c>
      <c r="C548" t="s">
        <v>74</v>
      </c>
      <c r="D548" t="s">
        <v>74</v>
      </c>
      <c r="E548" t="s">
        <v>74</v>
      </c>
      <c r="F548" t="s">
        <v>24798</v>
      </c>
      <c r="G548" t="s">
        <v>74</v>
      </c>
      <c r="H548" t="s">
        <v>74</v>
      </c>
      <c r="I548" t="s">
        <v>24799</v>
      </c>
      <c r="J548" t="s">
        <v>24800</v>
      </c>
      <c r="K548" t="s">
        <v>74</v>
      </c>
      <c r="L548" t="s">
        <v>74</v>
      </c>
      <c r="M548" t="s">
        <v>74</v>
      </c>
      <c r="N548" t="s">
        <v>103</v>
      </c>
      <c r="O548" t="s">
        <v>74</v>
      </c>
      <c r="P548" t="s">
        <v>74</v>
      </c>
      <c r="Q548" t="s">
        <v>74</v>
      </c>
      <c r="R548" t="s">
        <v>74</v>
      </c>
      <c r="S548" t="s">
        <v>74</v>
      </c>
      <c r="T548" t="s">
        <v>24801</v>
      </c>
      <c r="U548" t="s">
        <v>24802</v>
      </c>
      <c r="V548" t="s">
        <v>24803</v>
      </c>
      <c r="W548" t="s">
        <v>24804</v>
      </c>
      <c r="X548" t="s">
        <v>24805</v>
      </c>
      <c r="Y548" t="s">
        <v>24806</v>
      </c>
      <c r="Z548" t="s">
        <v>24807</v>
      </c>
      <c r="AA548" t="s">
        <v>24808</v>
      </c>
      <c r="AB548" t="s">
        <v>24809</v>
      </c>
      <c r="AC548" t="s">
        <v>74</v>
      </c>
      <c r="AD548" t="s">
        <v>74</v>
      </c>
      <c r="AE548" t="s">
        <v>74</v>
      </c>
      <c r="AF548" t="s">
        <v>74</v>
      </c>
      <c r="AG548">
        <v>55</v>
      </c>
      <c r="AH548">
        <v>37</v>
      </c>
      <c r="AI548">
        <v>37</v>
      </c>
      <c r="AJ548">
        <v>0</v>
      </c>
      <c r="AK548">
        <v>15</v>
      </c>
      <c r="AL548" t="s">
        <v>74</v>
      </c>
      <c r="AM548" t="s">
        <v>74</v>
      </c>
      <c r="AN548" t="s">
        <v>74</v>
      </c>
      <c r="AO548" t="s">
        <v>24810</v>
      </c>
      <c r="AP548" t="s">
        <v>74</v>
      </c>
      <c r="AQ548" t="s">
        <v>74</v>
      </c>
      <c r="AR548" t="s">
        <v>74</v>
      </c>
      <c r="AS548" t="s">
        <v>74</v>
      </c>
      <c r="AT548" t="s">
        <v>967</v>
      </c>
      <c r="AU548">
        <v>2011</v>
      </c>
      <c r="AV548">
        <v>49</v>
      </c>
      <c r="AW548">
        <v>6</v>
      </c>
      <c r="AX548" t="s">
        <v>74</v>
      </c>
      <c r="AY548" t="s">
        <v>74</v>
      </c>
      <c r="AZ548" t="s">
        <v>74</v>
      </c>
      <c r="BA548" t="s">
        <v>74</v>
      </c>
      <c r="BB548">
        <v>1219</v>
      </c>
      <c r="BC548">
        <v>1231</v>
      </c>
      <c r="BD548" t="s">
        <v>74</v>
      </c>
      <c r="BE548" t="s">
        <v>24811</v>
      </c>
      <c r="BF548" t="str">
        <f>HYPERLINK("http://dx.doi.org/10.1016/j.bone.2011.08.013","http://dx.doi.org/10.1016/j.bone.2011.08.013")</f>
        <v>http://dx.doi.org/10.1016/j.bone.2011.08.013</v>
      </c>
      <c r="BG548" t="s">
        <v>74</v>
      </c>
      <c r="BH548" t="s">
        <v>74</v>
      </c>
      <c r="BI548" t="s">
        <v>74</v>
      </c>
      <c r="BJ548" t="s">
        <v>3599</v>
      </c>
      <c r="BK548" t="s">
        <v>117</v>
      </c>
      <c r="BL548" t="s">
        <v>3599</v>
      </c>
      <c r="BM548" t="s">
        <v>74</v>
      </c>
      <c r="BN548">
        <v>21893226</v>
      </c>
      <c r="BO548" t="s">
        <v>74</v>
      </c>
      <c r="BP548" t="s">
        <v>74</v>
      </c>
      <c r="BQ548" t="s">
        <v>74</v>
      </c>
      <c r="BR548" t="s">
        <v>96</v>
      </c>
      <c r="BS548" t="s">
        <v>24812</v>
      </c>
      <c r="BT548" t="str">
        <f>HYPERLINK("https%3A%2F%2Fwww.webofscience.com%2Fwos%2Fwoscc%2Ffull-record%2FWOS:000297663500014","View Full Record in Web of Science")</f>
        <v>View Full Record in Web of Science</v>
      </c>
    </row>
    <row r="549" spans="1:72" x14ac:dyDescent="0.15">
      <c r="A549" t="s">
        <v>98</v>
      </c>
      <c r="B549" t="s">
        <v>25134</v>
      </c>
      <c r="C549" t="s">
        <v>74</v>
      </c>
      <c r="D549" t="s">
        <v>74</v>
      </c>
      <c r="E549" t="s">
        <v>74</v>
      </c>
      <c r="F549" t="s">
        <v>25135</v>
      </c>
      <c r="G549" t="s">
        <v>74</v>
      </c>
      <c r="H549" t="s">
        <v>74</v>
      </c>
      <c r="I549" t="s">
        <v>25136</v>
      </c>
      <c r="J549" t="s">
        <v>2536</v>
      </c>
      <c r="K549" t="s">
        <v>74</v>
      </c>
      <c r="L549" t="s">
        <v>74</v>
      </c>
      <c r="M549" t="s">
        <v>74</v>
      </c>
      <c r="N549" t="s">
        <v>103</v>
      </c>
      <c r="O549" t="s">
        <v>74</v>
      </c>
      <c r="P549" t="s">
        <v>74</v>
      </c>
      <c r="Q549" t="s">
        <v>74</v>
      </c>
      <c r="R549" t="s">
        <v>74</v>
      </c>
      <c r="S549" t="s">
        <v>74</v>
      </c>
      <c r="T549" t="s">
        <v>74</v>
      </c>
      <c r="U549" t="s">
        <v>25137</v>
      </c>
      <c r="V549" t="s">
        <v>25138</v>
      </c>
      <c r="W549" t="s">
        <v>25139</v>
      </c>
      <c r="X549" t="s">
        <v>241</v>
      </c>
      <c r="Y549" t="s">
        <v>25140</v>
      </c>
      <c r="Z549" t="s">
        <v>25141</v>
      </c>
      <c r="AA549" t="s">
        <v>74</v>
      </c>
      <c r="AB549" t="s">
        <v>74</v>
      </c>
      <c r="AC549" t="s">
        <v>74</v>
      </c>
      <c r="AD549" t="s">
        <v>74</v>
      </c>
      <c r="AE549" t="s">
        <v>74</v>
      </c>
      <c r="AF549" t="s">
        <v>74</v>
      </c>
      <c r="AG549">
        <v>44</v>
      </c>
      <c r="AH549">
        <v>37</v>
      </c>
      <c r="AI549">
        <v>40</v>
      </c>
      <c r="AJ549">
        <v>0</v>
      </c>
      <c r="AK549">
        <v>8</v>
      </c>
      <c r="AL549" t="s">
        <v>74</v>
      </c>
      <c r="AM549" t="s">
        <v>74</v>
      </c>
      <c r="AN549" t="s">
        <v>74</v>
      </c>
      <c r="AO549" t="s">
        <v>2544</v>
      </c>
      <c r="AP549" t="s">
        <v>2545</v>
      </c>
      <c r="AQ549" t="s">
        <v>74</v>
      </c>
      <c r="AR549" t="s">
        <v>74</v>
      </c>
      <c r="AS549" t="s">
        <v>74</v>
      </c>
      <c r="AT549" t="s">
        <v>230</v>
      </c>
      <c r="AU549">
        <v>2010</v>
      </c>
      <c r="AV549">
        <v>84</v>
      </c>
      <c r="AW549">
        <v>15</v>
      </c>
      <c r="AX549" t="s">
        <v>74</v>
      </c>
      <c r="AY549" t="s">
        <v>74</v>
      </c>
      <c r="AZ549" t="s">
        <v>74</v>
      </c>
      <c r="BA549" t="s">
        <v>74</v>
      </c>
      <c r="BB549">
        <v>7437</v>
      </c>
      <c r="BC549">
        <v>7447</v>
      </c>
      <c r="BD549" t="s">
        <v>74</v>
      </c>
      <c r="BE549" t="s">
        <v>25142</v>
      </c>
      <c r="BF549" t="str">
        <f>HYPERLINK("http://dx.doi.org/10.1128/JVI.02103-09","http://dx.doi.org/10.1128/JVI.02103-09")</f>
        <v>http://dx.doi.org/10.1128/JVI.02103-09</v>
      </c>
      <c r="BG549" t="s">
        <v>74</v>
      </c>
      <c r="BH549" t="s">
        <v>74</v>
      </c>
      <c r="BI549" t="s">
        <v>74</v>
      </c>
      <c r="BJ549" t="s">
        <v>932</v>
      </c>
      <c r="BK549" t="s">
        <v>117</v>
      </c>
      <c r="BL549" t="s">
        <v>932</v>
      </c>
      <c r="BM549" t="s">
        <v>74</v>
      </c>
      <c r="BN549">
        <v>20484514</v>
      </c>
      <c r="BO549" t="s">
        <v>74</v>
      </c>
      <c r="BP549" t="s">
        <v>74</v>
      </c>
      <c r="BQ549" t="s">
        <v>74</v>
      </c>
      <c r="BR549" t="s">
        <v>96</v>
      </c>
      <c r="BS549" t="s">
        <v>25143</v>
      </c>
      <c r="BT549" t="str">
        <f>HYPERLINK("https%3A%2F%2Fwww.webofscience.com%2Fwos%2Fwoscc%2Ffull-record%2FWOS:000279989800003","View Full Record in Web of Science")</f>
        <v>View Full Record in Web of Science</v>
      </c>
    </row>
    <row r="550" spans="1:72" x14ac:dyDescent="0.15">
      <c r="A550" t="s">
        <v>98</v>
      </c>
      <c r="B550" t="s">
        <v>2004</v>
      </c>
      <c r="C550" t="s">
        <v>74</v>
      </c>
      <c r="D550" t="s">
        <v>74</v>
      </c>
      <c r="E550" t="s">
        <v>74</v>
      </c>
      <c r="F550" t="s">
        <v>2005</v>
      </c>
      <c r="G550" t="s">
        <v>74</v>
      </c>
      <c r="H550" t="s">
        <v>74</v>
      </c>
      <c r="I550" t="s">
        <v>2006</v>
      </c>
      <c r="J550" t="s">
        <v>2007</v>
      </c>
      <c r="K550" t="s">
        <v>74</v>
      </c>
      <c r="L550" t="s">
        <v>74</v>
      </c>
      <c r="M550" t="s">
        <v>74</v>
      </c>
      <c r="N550" t="s">
        <v>103</v>
      </c>
      <c r="O550" t="s">
        <v>74</v>
      </c>
      <c r="P550" t="s">
        <v>74</v>
      </c>
      <c r="Q550" t="s">
        <v>74</v>
      </c>
      <c r="R550" t="s">
        <v>74</v>
      </c>
      <c r="S550" t="s">
        <v>74</v>
      </c>
      <c r="T550" t="s">
        <v>2008</v>
      </c>
      <c r="U550" t="s">
        <v>2009</v>
      </c>
      <c r="V550" t="s">
        <v>2010</v>
      </c>
      <c r="W550" t="s">
        <v>2011</v>
      </c>
      <c r="X550" t="s">
        <v>2012</v>
      </c>
      <c r="Y550" t="s">
        <v>2013</v>
      </c>
      <c r="Z550" t="s">
        <v>1370</v>
      </c>
      <c r="AA550" t="s">
        <v>718</v>
      </c>
      <c r="AB550" t="s">
        <v>719</v>
      </c>
      <c r="AC550" t="s">
        <v>74</v>
      </c>
      <c r="AD550" t="s">
        <v>74</v>
      </c>
      <c r="AE550" t="s">
        <v>74</v>
      </c>
      <c r="AF550" t="s">
        <v>74</v>
      </c>
      <c r="AG550">
        <v>49</v>
      </c>
      <c r="AH550">
        <v>36</v>
      </c>
      <c r="AI550">
        <v>36</v>
      </c>
      <c r="AJ550">
        <v>1</v>
      </c>
      <c r="AK550">
        <v>7</v>
      </c>
      <c r="AL550" t="s">
        <v>74</v>
      </c>
      <c r="AM550" t="s">
        <v>74</v>
      </c>
      <c r="AN550" t="s">
        <v>74</v>
      </c>
      <c r="AO550" t="s">
        <v>2014</v>
      </c>
      <c r="AP550" t="s">
        <v>2015</v>
      </c>
      <c r="AQ550" t="s">
        <v>74</v>
      </c>
      <c r="AR550" t="s">
        <v>74</v>
      </c>
      <c r="AS550" t="s">
        <v>74</v>
      </c>
      <c r="AT550" t="s">
        <v>531</v>
      </c>
      <c r="AU550">
        <v>2018</v>
      </c>
      <c r="AV550">
        <v>16</v>
      </c>
      <c r="AW550">
        <v>9</v>
      </c>
      <c r="AX550" t="s">
        <v>74</v>
      </c>
      <c r="AY550" t="s">
        <v>74</v>
      </c>
      <c r="AZ550" t="s">
        <v>74</v>
      </c>
      <c r="BA550" t="s">
        <v>74</v>
      </c>
      <c r="BB550">
        <v>1800</v>
      </c>
      <c r="BC550">
        <v>1813</v>
      </c>
      <c r="BD550" t="s">
        <v>74</v>
      </c>
      <c r="BE550" t="s">
        <v>2016</v>
      </c>
      <c r="BF550" t="str">
        <f>HYPERLINK("http://dx.doi.org/10.1111/jth.14222","http://dx.doi.org/10.1111/jth.14222")</f>
        <v>http://dx.doi.org/10.1111/jth.14222</v>
      </c>
      <c r="BG550" t="s">
        <v>74</v>
      </c>
      <c r="BH550" t="s">
        <v>74</v>
      </c>
      <c r="BI550" t="s">
        <v>74</v>
      </c>
      <c r="BJ550" t="s">
        <v>584</v>
      </c>
      <c r="BK550" t="s">
        <v>117</v>
      </c>
      <c r="BL550" t="s">
        <v>585</v>
      </c>
      <c r="BM550" t="s">
        <v>74</v>
      </c>
      <c r="BN550">
        <v>29971917</v>
      </c>
      <c r="BO550" t="s">
        <v>74</v>
      </c>
      <c r="BP550" t="s">
        <v>74</v>
      </c>
      <c r="BQ550" t="s">
        <v>74</v>
      </c>
      <c r="BR550" t="s">
        <v>96</v>
      </c>
      <c r="BS550" t="s">
        <v>2017</v>
      </c>
      <c r="BT550" t="str">
        <f>HYPERLINK("https%3A%2F%2Fwww.webofscience.com%2Fwos%2Fwoscc%2Ffull-record%2FWOS:000443571100015","View Full Record in Web of Science")</f>
        <v>View Full Record in Web of Science</v>
      </c>
    </row>
    <row r="551" spans="1:72" x14ac:dyDescent="0.15">
      <c r="A551" t="s">
        <v>98</v>
      </c>
      <c r="B551" t="s">
        <v>8438</v>
      </c>
      <c r="C551" t="s">
        <v>74</v>
      </c>
      <c r="D551" t="s">
        <v>74</v>
      </c>
      <c r="E551" t="s">
        <v>74</v>
      </c>
      <c r="F551" t="s">
        <v>8439</v>
      </c>
      <c r="G551" t="s">
        <v>74</v>
      </c>
      <c r="H551" t="s">
        <v>74</v>
      </c>
      <c r="I551" t="s">
        <v>8440</v>
      </c>
      <c r="J551" t="s">
        <v>1123</v>
      </c>
      <c r="K551" t="s">
        <v>74</v>
      </c>
      <c r="L551" t="s">
        <v>74</v>
      </c>
      <c r="M551" t="s">
        <v>74</v>
      </c>
      <c r="N551" t="s">
        <v>103</v>
      </c>
      <c r="O551" t="s">
        <v>74</v>
      </c>
      <c r="P551" t="s">
        <v>74</v>
      </c>
      <c r="Q551" t="s">
        <v>74</v>
      </c>
      <c r="R551" t="s">
        <v>74</v>
      </c>
      <c r="S551" t="s">
        <v>74</v>
      </c>
      <c r="T551" t="s">
        <v>8441</v>
      </c>
      <c r="U551" t="s">
        <v>8442</v>
      </c>
      <c r="V551" t="s">
        <v>8443</v>
      </c>
      <c r="W551" t="s">
        <v>8444</v>
      </c>
      <c r="X551" t="s">
        <v>8445</v>
      </c>
      <c r="Y551" t="s">
        <v>8446</v>
      </c>
      <c r="Z551" t="s">
        <v>8447</v>
      </c>
      <c r="AA551" t="s">
        <v>8448</v>
      </c>
      <c r="AB551" t="s">
        <v>74</v>
      </c>
      <c r="AC551" t="s">
        <v>74</v>
      </c>
      <c r="AD551" t="s">
        <v>74</v>
      </c>
      <c r="AE551" t="s">
        <v>74</v>
      </c>
      <c r="AF551" t="s">
        <v>74</v>
      </c>
      <c r="AG551">
        <v>31</v>
      </c>
      <c r="AH551">
        <v>36</v>
      </c>
      <c r="AI551">
        <v>36</v>
      </c>
      <c r="AJ551">
        <v>13</v>
      </c>
      <c r="AK551">
        <v>112</v>
      </c>
      <c r="AL551" t="s">
        <v>74</v>
      </c>
      <c r="AM551" t="s">
        <v>74</v>
      </c>
      <c r="AN551" t="s">
        <v>74</v>
      </c>
      <c r="AO551" t="s">
        <v>1132</v>
      </c>
      <c r="AP551" t="s">
        <v>1133</v>
      </c>
      <c r="AQ551" t="s">
        <v>74</v>
      </c>
      <c r="AR551" t="s">
        <v>74</v>
      </c>
      <c r="AS551" t="s">
        <v>74</v>
      </c>
      <c r="AT551" t="s">
        <v>1321</v>
      </c>
      <c r="AU551">
        <v>2019</v>
      </c>
      <c r="AV551">
        <v>142</v>
      </c>
      <c r="AW551" t="s">
        <v>74</v>
      </c>
      <c r="AX551" t="s">
        <v>74</v>
      </c>
      <c r="AY551" t="s">
        <v>74</v>
      </c>
      <c r="AZ551" t="s">
        <v>74</v>
      </c>
      <c r="BA551" t="s">
        <v>74</v>
      </c>
      <c r="BB551" t="s">
        <v>74</v>
      </c>
      <c r="BC551" t="s">
        <v>74</v>
      </c>
      <c r="BD551">
        <v>111523</v>
      </c>
      <c r="BE551" t="s">
        <v>8449</v>
      </c>
      <c r="BF551" t="str">
        <f>HYPERLINK("http://dx.doi.org/10.1016/j.bios.2019.111523","http://dx.doi.org/10.1016/j.bios.2019.111523")</f>
        <v>http://dx.doi.org/10.1016/j.bios.2019.111523</v>
      </c>
      <c r="BG551" t="s">
        <v>74</v>
      </c>
      <c r="BH551" t="s">
        <v>74</v>
      </c>
      <c r="BI551" t="s">
        <v>74</v>
      </c>
      <c r="BJ551" t="s">
        <v>1137</v>
      </c>
      <c r="BK551" t="s">
        <v>117</v>
      </c>
      <c r="BL551" t="s">
        <v>1138</v>
      </c>
      <c r="BM551" t="s">
        <v>74</v>
      </c>
      <c r="BN551">
        <v>31336224</v>
      </c>
      <c r="BO551" t="s">
        <v>74</v>
      </c>
      <c r="BP551" t="s">
        <v>74</v>
      </c>
      <c r="BQ551" t="s">
        <v>74</v>
      </c>
      <c r="BR551" t="s">
        <v>96</v>
      </c>
      <c r="BS551" t="s">
        <v>8450</v>
      </c>
      <c r="BT551" t="str">
        <f>HYPERLINK("https%3A%2F%2Fwww.webofscience.com%2Fwos%2Fwoscc%2Ffull-record%2FWOS:000487175000042","View Full Record in Web of Science")</f>
        <v>View Full Record in Web of Science</v>
      </c>
    </row>
    <row r="552" spans="1:72" x14ac:dyDescent="0.15">
      <c r="A552" t="s">
        <v>98</v>
      </c>
      <c r="B552" t="s">
        <v>8683</v>
      </c>
      <c r="C552" t="s">
        <v>74</v>
      </c>
      <c r="D552" t="s">
        <v>74</v>
      </c>
      <c r="E552" t="s">
        <v>74</v>
      </c>
      <c r="F552" t="s">
        <v>8684</v>
      </c>
      <c r="G552" t="s">
        <v>74</v>
      </c>
      <c r="H552" t="s">
        <v>74</v>
      </c>
      <c r="I552" t="s">
        <v>8685</v>
      </c>
      <c r="J552" t="s">
        <v>8686</v>
      </c>
      <c r="K552" t="s">
        <v>74</v>
      </c>
      <c r="L552" t="s">
        <v>74</v>
      </c>
      <c r="M552" t="s">
        <v>74</v>
      </c>
      <c r="N552" t="s">
        <v>103</v>
      </c>
      <c r="O552" t="s">
        <v>74</v>
      </c>
      <c r="P552" t="s">
        <v>74</v>
      </c>
      <c r="Q552" t="s">
        <v>74</v>
      </c>
      <c r="R552" t="s">
        <v>74</v>
      </c>
      <c r="S552" t="s">
        <v>74</v>
      </c>
      <c r="T552" t="s">
        <v>8687</v>
      </c>
      <c r="U552" t="s">
        <v>8688</v>
      </c>
      <c r="V552" t="s">
        <v>8689</v>
      </c>
      <c r="W552" t="s">
        <v>8690</v>
      </c>
      <c r="X552" t="s">
        <v>8691</v>
      </c>
      <c r="Y552" t="s">
        <v>8692</v>
      </c>
      <c r="Z552" t="s">
        <v>8693</v>
      </c>
      <c r="AA552" t="s">
        <v>8694</v>
      </c>
      <c r="AB552" t="s">
        <v>8695</v>
      </c>
      <c r="AC552" t="s">
        <v>74</v>
      </c>
      <c r="AD552" t="s">
        <v>74</v>
      </c>
      <c r="AE552" t="s">
        <v>74</v>
      </c>
      <c r="AF552" t="s">
        <v>74</v>
      </c>
      <c r="AG552">
        <v>45</v>
      </c>
      <c r="AH552">
        <v>36</v>
      </c>
      <c r="AI552">
        <v>42</v>
      </c>
      <c r="AJ552">
        <v>1</v>
      </c>
      <c r="AK552">
        <v>9</v>
      </c>
      <c r="AL552" t="s">
        <v>74</v>
      </c>
      <c r="AM552" t="s">
        <v>74</v>
      </c>
      <c r="AN552" t="s">
        <v>74</v>
      </c>
      <c r="AO552" t="s">
        <v>8696</v>
      </c>
      <c r="AP552" t="s">
        <v>8697</v>
      </c>
      <c r="AQ552" t="s">
        <v>74</v>
      </c>
      <c r="AR552" t="s">
        <v>74</v>
      </c>
      <c r="AS552" t="s">
        <v>74</v>
      </c>
      <c r="AT552" t="s">
        <v>114</v>
      </c>
      <c r="AU552">
        <v>2018</v>
      </c>
      <c r="AV552">
        <v>27</v>
      </c>
      <c r="AW552">
        <v>1</v>
      </c>
      <c r="AX552" t="s">
        <v>74</v>
      </c>
      <c r="AY552" t="s">
        <v>74</v>
      </c>
      <c r="AZ552" t="s">
        <v>447</v>
      </c>
      <c r="BA552" t="s">
        <v>74</v>
      </c>
      <c r="BB552">
        <v>168</v>
      </c>
      <c r="BC552">
        <v>180</v>
      </c>
      <c r="BD552" t="s">
        <v>74</v>
      </c>
      <c r="BE552" t="s">
        <v>8698</v>
      </c>
      <c r="BF552" t="str">
        <f>HYPERLINK("http://dx.doi.org/10.1177/0963689717738256","http://dx.doi.org/10.1177/0963689717738256")</f>
        <v>http://dx.doi.org/10.1177/0963689717738256</v>
      </c>
      <c r="BG552" t="s">
        <v>74</v>
      </c>
      <c r="BH552" t="s">
        <v>74</v>
      </c>
      <c r="BI552" t="s">
        <v>74</v>
      </c>
      <c r="BJ552" t="s">
        <v>8699</v>
      </c>
      <c r="BK552" t="s">
        <v>117</v>
      </c>
      <c r="BL552" t="s">
        <v>8700</v>
      </c>
      <c r="BM552" t="s">
        <v>74</v>
      </c>
      <c r="BN552">
        <v>29562785</v>
      </c>
      <c r="BO552" t="s">
        <v>74</v>
      </c>
      <c r="BP552" t="s">
        <v>74</v>
      </c>
      <c r="BQ552" t="s">
        <v>74</v>
      </c>
      <c r="BR552" t="s">
        <v>96</v>
      </c>
      <c r="BS552" t="s">
        <v>8701</v>
      </c>
      <c r="BT552" t="str">
        <f>HYPERLINK("https%3A%2F%2Fwww.webofscience.com%2Fwos%2Fwoscc%2Ffull-record%2FWOS:000429118700015","View Full Record in Web of Science")</f>
        <v>View Full Record in Web of Science</v>
      </c>
    </row>
    <row r="553" spans="1:72" x14ac:dyDescent="0.15">
      <c r="A553" t="s">
        <v>98</v>
      </c>
      <c r="B553" t="s">
        <v>9582</v>
      </c>
      <c r="C553" t="s">
        <v>74</v>
      </c>
      <c r="D553" t="s">
        <v>74</v>
      </c>
      <c r="E553" t="s">
        <v>74</v>
      </c>
      <c r="F553" t="s">
        <v>9583</v>
      </c>
      <c r="G553" t="s">
        <v>74</v>
      </c>
      <c r="H553" t="s">
        <v>74</v>
      </c>
      <c r="I553" t="s">
        <v>9584</v>
      </c>
      <c r="J553" t="s">
        <v>236</v>
      </c>
      <c r="K553" t="s">
        <v>74</v>
      </c>
      <c r="L553" t="s">
        <v>74</v>
      </c>
      <c r="M553" t="s">
        <v>74</v>
      </c>
      <c r="N553" t="s">
        <v>103</v>
      </c>
      <c r="O553" t="s">
        <v>74</v>
      </c>
      <c r="P553" t="s">
        <v>74</v>
      </c>
      <c r="Q553" t="s">
        <v>74</v>
      </c>
      <c r="R553" t="s">
        <v>74</v>
      </c>
      <c r="S553" t="s">
        <v>74</v>
      </c>
      <c r="T553" t="s">
        <v>9585</v>
      </c>
      <c r="U553" t="s">
        <v>9586</v>
      </c>
      <c r="V553" t="s">
        <v>9587</v>
      </c>
      <c r="W553" t="s">
        <v>9588</v>
      </c>
      <c r="X553" t="s">
        <v>9589</v>
      </c>
      <c r="Y553" t="s">
        <v>9590</v>
      </c>
      <c r="Z553" t="s">
        <v>9591</v>
      </c>
      <c r="AA553" t="s">
        <v>74</v>
      </c>
      <c r="AB553" t="s">
        <v>9592</v>
      </c>
      <c r="AC553" t="s">
        <v>74</v>
      </c>
      <c r="AD553" t="s">
        <v>74</v>
      </c>
      <c r="AE553" t="s">
        <v>74</v>
      </c>
      <c r="AF553" t="s">
        <v>74</v>
      </c>
      <c r="AG553">
        <v>53</v>
      </c>
      <c r="AH553">
        <v>36</v>
      </c>
      <c r="AI553">
        <v>38</v>
      </c>
      <c r="AJ553">
        <v>7</v>
      </c>
      <c r="AK553">
        <v>32</v>
      </c>
      <c r="AL553" t="s">
        <v>74</v>
      </c>
      <c r="AM553" t="s">
        <v>74</v>
      </c>
      <c r="AN553" t="s">
        <v>74</v>
      </c>
      <c r="AO553" t="s">
        <v>246</v>
      </c>
      <c r="AP553" t="s">
        <v>247</v>
      </c>
      <c r="AQ553" t="s">
        <v>74</v>
      </c>
      <c r="AR553" t="s">
        <v>74</v>
      </c>
      <c r="AS553" t="s">
        <v>74</v>
      </c>
      <c r="AT553" t="s">
        <v>531</v>
      </c>
      <c r="AU553">
        <v>2019</v>
      </c>
      <c r="AV553">
        <v>15</v>
      </c>
      <c r="AW553">
        <v>38</v>
      </c>
      <c r="AX553" t="s">
        <v>74</v>
      </c>
      <c r="AY553" t="s">
        <v>74</v>
      </c>
      <c r="AZ553" t="s">
        <v>74</v>
      </c>
      <c r="BA553" t="s">
        <v>74</v>
      </c>
      <c r="BB553" t="s">
        <v>74</v>
      </c>
      <c r="BC553" t="s">
        <v>74</v>
      </c>
      <c r="BD553">
        <v>1902686</v>
      </c>
      <c r="BE553" t="s">
        <v>9593</v>
      </c>
      <c r="BF553" t="str">
        <f>HYPERLINK("http://dx.doi.org/10.1002/smll.201902686","http://dx.doi.org/10.1002/smll.201902686")</f>
        <v>http://dx.doi.org/10.1002/smll.201902686</v>
      </c>
      <c r="BG553" t="s">
        <v>74</v>
      </c>
      <c r="BH553" t="s">
        <v>9594</v>
      </c>
      <c r="BI553" t="s">
        <v>74</v>
      </c>
      <c r="BJ553" t="s">
        <v>250</v>
      </c>
      <c r="BK553" t="s">
        <v>117</v>
      </c>
      <c r="BL553" t="s">
        <v>251</v>
      </c>
      <c r="BM553" t="s">
        <v>74</v>
      </c>
      <c r="BN553">
        <v>31271518</v>
      </c>
      <c r="BO553" t="s">
        <v>74</v>
      </c>
      <c r="BP553" t="s">
        <v>74</v>
      </c>
      <c r="BQ553" t="s">
        <v>74</v>
      </c>
      <c r="BR553" t="s">
        <v>96</v>
      </c>
      <c r="BS553" t="s">
        <v>9595</v>
      </c>
      <c r="BT553" t="str">
        <f>HYPERLINK("https%3A%2F%2Fwww.webofscience.com%2Fwos%2Fwoscc%2Ffull-record%2FWOS:000474088900001","View Full Record in Web of Science")</f>
        <v>View Full Record in Web of Science</v>
      </c>
    </row>
    <row r="554" spans="1:72" x14ac:dyDescent="0.15">
      <c r="A554" t="s">
        <v>98</v>
      </c>
      <c r="B554" t="s">
        <v>10998</v>
      </c>
      <c r="C554" t="s">
        <v>74</v>
      </c>
      <c r="D554" t="s">
        <v>74</v>
      </c>
      <c r="E554" t="s">
        <v>74</v>
      </c>
      <c r="F554" t="s">
        <v>10999</v>
      </c>
      <c r="G554" t="s">
        <v>74</v>
      </c>
      <c r="H554" t="s">
        <v>74</v>
      </c>
      <c r="I554" t="s">
        <v>11000</v>
      </c>
      <c r="J554" t="s">
        <v>3918</v>
      </c>
      <c r="K554" t="s">
        <v>74</v>
      </c>
      <c r="L554" t="s">
        <v>74</v>
      </c>
      <c r="M554" t="s">
        <v>74</v>
      </c>
      <c r="N554" t="s">
        <v>103</v>
      </c>
      <c r="O554" t="s">
        <v>74</v>
      </c>
      <c r="P554" t="s">
        <v>74</v>
      </c>
      <c r="Q554" t="s">
        <v>74</v>
      </c>
      <c r="R554" t="s">
        <v>74</v>
      </c>
      <c r="S554" t="s">
        <v>74</v>
      </c>
      <c r="T554" t="s">
        <v>11001</v>
      </c>
      <c r="U554" t="s">
        <v>11002</v>
      </c>
      <c r="V554" t="s">
        <v>11003</v>
      </c>
      <c r="W554" t="s">
        <v>11004</v>
      </c>
      <c r="X554" t="s">
        <v>11005</v>
      </c>
      <c r="Y554" t="s">
        <v>11006</v>
      </c>
      <c r="Z554" t="s">
        <v>11007</v>
      </c>
      <c r="AA554" t="s">
        <v>74</v>
      </c>
      <c r="AB554" t="s">
        <v>11008</v>
      </c>
      <c r="AC554" t="s">
        <v>74</v>
      </c>
      <c r="AD554" t="s">
        <v>74</v>
      </c>
      <c r="AE554" t="s">
        <v>74</v>
      </c>
      <c r="AF554" t="s">
        <v>74</v>
      </c>
      <c r="AG554">
        <v>61</v>
      </c>
      <c r="AH554">
        <v>36</v>
      </c>
      <c r="AI554">
        <v>41</v>
      </c>
      <c r="AJ554">
        <v>6</v>
      </c>
      <c r="AK554">
        <v>15</v>
      </c>
      <c r="AL554" t="s">
        <v>74</v>
      </c>
      <c r="AM554" t="s">
        <v>74</v>
      </c>
      <c r="AN554" t="s">
        <v>74</v>
      </c>
      <c r="AO554" t="s">
        <v>74</v>
      </c>
      <c r="AP554" t="s">
        <v>3926</v>
      </c>
      <c r="AQ554" t="s">
        <v>74</v>
      </c>
      <c r="AR554" t="s">
        <v>74</v>
      </c>
      <c r="AS554" t="s">
        <v>74</v>
      </c>
      <c r="AT554" t="s">
        <v>8821</v>
      </c>
      <c r="AU554">
        <v>2020</v>
      </c>
      <c r="AV554">
        <v>7</v>
      </c>
      <c r="AW554" t="s">
        <v>74</v>
      </c>
      <c r="AX554" t="s">
        <v>74</v>
      </c>
      <c r="AY554" t="s">
        <v>74</v>
      </c>
      <c r="AZ554" t="s">
        <v>74</v>
      </c>
      <c r="BA554" t="s">
        <v>74</v>
      </c>
      <c r="BB554" t="s">
        <v>74</v>
      </c>
      <c r="BC554" t="s">
        <v>74</v>
      </c>
      <c r="BD554">
        <v>119</v>
      </c>
      <c r="BE554" t="s">
        <v>11009</v>
      </c>
      <c r="BF554" t="str">
        <f>HYPERLINK("http://dx.doi.org/10.3389/fmolb.2020.00119","http://dx.doi.org/10.3389/fmolb.2020.00119")</f>
        <v>http://dx.doi.org/10.3389/fmolb.2020.00119</v>
      </c>
      <c r="BG554" t="s">
        <v>74</v>
      </c>
      <c r="BH554" t="s">
        <v>74</v>
      </c>
      <c r="BI554" t="s">
        <v>74</v>
      </c>
      <c r="BJ554" t="s">
        <v>95</v>
      </c>
      <c r="BK554" t="s">
        <v>117</v>
      </c>
      <c r="BL554" t="s">
        <v>95</v>
      </c>
      <c r="BM554" t="s">
        <v>74</v>
      </c>
      <c r="BN554">
        <v>32671095</v>
      </c>
      <c r="BO554" t="s">
        <v>74</v>
      </c>
      <c r="BP554" t="s">
        <v>74</v>
      </c>
      <c r="BQ554" t="s">
        <v>74</v>
      </c>
      <c r="BR554" t="s">
        <v>96</v>
      </c>
      <c r="BS554" t="s">
        <v>11010</v>
      </c>
      <c r="BT554" t="str">
        <f>HYPERLINK("https%3A%2F%2Fwww.webofscience.com%2Fwos%2Fwoscc%2Ffull-record%2FWOS:000549103600001","View Full Record in Web of Science")</f>
        <v>View Full Record in Web of Science</v>
      </c>
    </row>
    <row r="555" spans="1:72" x14ac:dyDescent="0.15">
      <c r="A555" t="s">
        <v>72</v>
      </c>
      <c r="B555" t="s">
        <v>15565</v>
      </c>
      <c r="C555" t="s">
        <v>74</v>
      </c>
      <c r="D555" t="s">
        <v>15566</v>
      </c>
      <c r="E555" t="s">
        <v>74</v>
      </c>
      <c r="F555" t="s">
        <v>15567</v>
      </c>
      <c r="G555" t="s">
        <v>74</v>
      </c>
      <c r="H555" t="s">
        <v>74</v>
      </c>
      <c r="I555" t="s">
        <v>15568</v>
      </c>
      <c r="J555" t="s">
        <v>15569</v>
      </c>
      <c r="K555" t="s">
        <v>2947</v>
      </c>
      <c r="L555" t="s">
        <v>74</v>
      </c>
      <c r="M555" t="s">
        <v>74</v>
      </c>
      <c r="N555" t="s">
        <v>80</v>
      </c>
      <c r="O555" t="s">
        <v>74</v>
      </c>
      <c r="P555" t="s">
        <v>74</v>
      </c>
      <c r="Q555" t="s">
        <v>74</v>
      </c>
      <c r="R555" t="s">
        <v>74</v>
      </c>
      <c r="S555" t="s">
        <v>74</v>
      </c>
      <c r="T555" t="s">
        <v>74</v>
      </c>
      <c r="U555" t="s">
        <v>15570</v>
      </c>
      <c r="V555" t="s">
        <v>74</v>
      </c>
      <c r="W555" t="s">
        <v>15571</v>
      </c>
      <c r="X555" t="s">
        <v>15572</v>
      </c>
      <c r="Y555" t="s">
        <v>15573</v>
      </c>
      <c r="Z555" t="s">
        <v>15574</v>
      </c>
      <c r="AA555" t="s">
        <v>15575</v>
      </c>
      <c r="AB555" t="s">
        <v>15576</v>
      </c>
      <c r="AC555" t="s">
        <v>74</v>
      </c>
      <c r="AD555" t="s">
        <v>74</v>
      </c>
      <c r="AE555" t="s">
        <v>74</v>
      </c>
      <c r="AF555" t="s">
        <v>74</v>
      </c>
      <c r="AG555">
        <v>117</v>
      </c>
      <c r="AH555">
        <v>36</v>
      </c>
      <c r="AI555">
        <v>37</v>
      </c>
      <c r="AJ555">
        <v>1</v>
      </c>
      <c r="AK555">
        <v>6</v>
      </c>
      <c r="AL555" t="s">
        <v>74</v>
      </c>
      <c r="AM555" t="s">
        <v>74</v>
      </c>
      <c r="AN555" t="s">
        <v>74</v>
      </c>
      <c r="AO555" t="s">
        <v>2954</v>
      </c>
      <c r="AP555" t="s">
        <v>2955</v>
      </c>
      <c r="AQ555" t="s">
        <v>15577</v>
      </c>
      <c r="AR555" t="s">
        <v>74</v>
      </c>
      <c r="AS555" t="s">
        <v>74</v>
      </c>
      <c r="AT555" t="s">
        <v>74</v>
      </c>
      <c r="AU555">
        <v>2017</v>
      </c>
      <c r="AV555">
        <v>998</v>
      </c>
      <c r="AW555" t="s">
        <v>74</v>
      </c>
      <c r="AX555" t="s">
        <v>74</v>
      </c>
      <c r="AY555" t="s">
        <v>74</v>
      </c>
      <c r="AZ555" t="s">
        <v>74</v>
      </c>
      <c r="BA555" t="s">
        <v>74</v>
      </c>
      <c r="BB555">
        <v>23</v>
      </c>
      <c r="BC555">
        <v>43</v>
      </c>
      <c r="BD555" t="s">
        <v>74</v>
      </c>
      <c r="BE555" t="s">
        <v>15578</v>
      </c>
      <c r="BF555" t="str">
        <f>HYPERLINK("http://dx.doi.org/10.1007/978-981-10-4397-0_2","http://dx.doi.org/10.1007/978-981-10-4397-0_2")</f>
        <v>http://dx.doi.org/10.1007/978-981-10-4397-0_2</v>
      </c>
      <c r="BG555" t="s">
        <v>15579</v>
      </c>
      <c r="BH555" t="s">
        <v>74</v>
      </c>
      <c r="BI555" t="s">
        <v>74</v>
      </c>
      <c r="BJ555" t="s">
        <v>15580</v>
      </c>
      <c r="BK555" t="s">
        <v>2960</v>
      </c>
      <c r="BL555" t="s">
        <v>15581</v>
      </c>
      <c r="BM555" t="s">
        <v>74</v>
      </c>
      <c r="BN555">
        <v>28936730</v>
      </c>
      <c r="BO555" t="s">
        <v>74</v>
      </c>
      <c r="BP555" t="s">
        <v>74</v>
      </c>
      <c r="BQ555" t="s">
        <v>74</v>
      </c>
      <c r="BR555" t="s">
        <v>96</v>
      </c>
      <c r="BS555" t="s">
        <v>15582</v>
      </c>
      <c r="BT555" t="str">
        <f>HYPERLINK("https%3A%2F%2Fwww.webofscience.com%2Fwos%2Fwoscc%2Ffull-record%2FWOS:000438242500002","View Full Record in Web of Science")</f>
        <v>View Full Record in Web of Science</v>
      </c>
    </row>
    <row r="556" spans="1:72" x14ac:dyDescent="0.15">
      <c r="A556" t="s">
        <v>98</v>
      </c>
      <c r="B556" t="s">
        <v>17767</v>
      </c>
      <c r="C556" t="s">
        <v>74</v>
      </c>
      <c r="D556" t="s">
        <v>74</v>
      </c>
      <c r="E556" t="s">
        <v>74</v>
      </c>
      <c r="F556" t="s">
        <v>17768</v>
      </c>
      <c r="G556" t="s">
        <v>74</v>
      </c>
      <c r="H556" t="s">
        <v>74</v>
      </c>
      <c r="I556" t="s">
        <v>17769</v>
      </c>
      <c r="J556" t="s">
        <v>1143</v>
      </c>
      <c r="K556" t="s">
        <v>74</v>
      </c>
      <c r="L556" t="s">
        <v>74</v>
      </c>
      <c r="M556" t="s">
        <v>74</v>
      </c>
      <c r="N556" t="s">
        <v>103</v>
      </c>
      <c r="O556" t="s">
        <v>74</v>
      </c>
      <c r="P556" t="s">
        <v>74</v>
      </c>
      <c r="Q556" t="s">
        <v>74</v>
      </c>
      <c r="R556" t="s">
        <v>74</v>
      </c>
      <c r="S556" t="s">
        <v>74</v>
      </c>
      <c r="T556" t="s">
        <v>17770</v>
      </c>
      <c r="U556" t="s">
        <v>17771</v>
      </c>
      <c r="V556" t="s">
        <v>17772</v>
      </c>
      <c r="W556" t="s">
        <v>17773</v>
      </c>
      <c r="X556" t="s">
        <v>17774</v>
      </c>
      <c r="Y556" t="s">
        <v>17775</v>
      </c>
      <c r="Z556" t="s">
        <v>17776</v>
      </c>
      <c r="AA556" t="s">
        <v>74</v>
      </c>
      <c r="AB556" t="s">
        <v>17777</v>
      </c>
      <c r="AC556" t="s">
        <v>74</v>
      </c>
      <c r="AD556" t="s">
        <v>74</v>
      </c>
      <c r="AE556" t="s">
        <v>74</v>
      </c>
      <c r="AF556" t="s">
        <v>74</v>
      </c>
      <c r="AG556">
        <v>49</v>
      </c>
      <c r="AH556">
        <v>36</v>
      </c>
      <c r="AI556">
        <v>36</v>
      </c>
      <c r="AJ556">
        <v>25</v>
      </c>
      <c r="AK556">
        <v>57</v>
      </c>
      <c r="AL556" t="s">
        <v>74</v>
      </c>
      <c r="AM556" t="s">
        <v>74</v>
      </c>
      <c r="AN556" t="s">
        <v>74</v>
      </c>
      <c r="AO556" t="s">
        <v>1153</v>
      </c>
      <c r="AP556" t="s">
        <v>74</v>
      </c>
      <c r="AQ556" t="s">
        <v>74</v>
      </c>
      <c r="AR556" t="s">
        <v>74</v>
      </c>
      <c r="AS556" t="s">
        <v>74</v>
      </c>
      <c r="AT556" t="s">
        <v>74</v>
      </c>
      <c r="AU556">
        <v>2021</v>
      </c>
      <c r="AV556">
        <v>11</v>
      </c>
      <c r="AW556">
        <v>6</v>
      </c>
      <c r="AX556" t="s">
        <v>74</v>
      </c>
      <c r="AY556" t="s">
        <v>74</v>
      </c>
      <c r="AZ556" t="s">
        <v>74</v>
      </c>
      <c r="BA556" t="s">
        <v>74</v>
      </c>
      <c r="BB556">
        <v>2860</v>
      </c>
      <c r="BC556">
        <v>2875</v>
      </c>
      <c r="BD556" t="s">
        <v>74</v>
      </c>
      <c r="BE556" t="s">
        <v>17778</v>
      </c>
      <c r="BF556" t="str">
        <f>HYPERLINK("http://dx.doi.org/10.7150/thno.51797","http://dx.doi.org/10.7150/thno.51797")</f>
        <v>http://dx.doi.org/10.7150/thno.51797</v>
      </c>
      <c r="BG556" t="s">
        <v>74</v>
      </c>
      <c r="BH556" t="s">
        <v>74</v>
      </c>
      <c r="BI556" t="s">
        <v>74</v>
      </c>
      <c r="BJ556" t="s">
        <v>795</v>
      </c>
      <c r="BK556" t="s">
        <v>117</v>
      </c>
      <c r="BL556" t="s">
        <v>796</v>
      </c>
      <c r="BM556" t="s">
        <v>74</v>
      </c>
      <c r="BN556">
        <v>33456577</v>
      </c>
      <c r="BO556" t="s">
        <v>74</v>
      </c>
      <c r="BP556" t="s">
        <v>193</v>
      </c>
      <c r="BQ556" t="s">
        <v>194</v>
      </c>
      <c r="BR556" t="s">
        <v>96</v>
      </c>
      <c r="BS556" t="s">
        <v>17779</v>
      </c>
      <c r="BT556" t="str">
        <f>HYPERLINK("https%3A%2F%2Fwww.webofscience.com%2Fwos%2Fwoscc%2Ffull-record%2FWOS:000604981700023","View Full Record in Web of Science")</f>
        <v>View Full Record in Web of Science</v>
      </c>
    </row>
    <row r="557" spans="1:72" x14ac:dyDescent="0.15">
      <c r="A557" t="s">
        <v>98</v>
      </c>
      <c r="B557" t="s">
        <v>27115</v>
      </c>
      <c r="C557" t="s">
        <v>74</v>
      </c>
      <c r="D557" t="s">
        <v>74</v>
      </c>
      <c r="E557" t="s">
        <v>74</v>
      </c>
      <c r="F557" t="s">
        <v>27116</v>
      </c>
      <c r="G557" t="s">
        <v>74</v>
      </c>
      <c r="H557" t="s">
        <v>74</v>
      </c>
      <c r="I557" t="s">
        <v>27117</v>
      </c>
      <c r="J557" t="s">
        <v>1143</v>
      </c>
      <c r="K557" t="s">
        <v>74</v>
      </c>
      <c r="L557" t="s">
        <v>74</v>
      </c>
      <c r="M557" t="s">
        <v>74</v>
      </c>
      <c r="N557" t="s">
        <v>103</v>
      </c>
      <c r="O557" t="s">
        <v>74</v>
      </c>
      <c r="P557" t="s">
        <v>74</v>
      </c>
      <c r="Q557" t="s">
        <v>74</v>
      </c>
      <c r="R557" t="s">
        <v>74</v>
      </c>
      <c r="S557" t="s">
        <v>74</v>
      </c>
      <c r="T557" t="s">
        <v>27118</v>
      </c>
      <c r="U557" t="s">
        <v>27119</v>
      </c>
      <c r="V557" t="s">
        <v>27120</v>
      </c>
      <c r="W557" t="s">
        <v>27121</v>
      </c>
      <c r="X557" t="s">
        <v>27122</v>
      </c>
      <c r="Y557" t="s">
        <v>27123</v>
      </c>
      <c r="Z557" t="s">
        <v>27124</v>
      </c>
      <c r="AA557" t="s">
        <v>74</v>
      </c>
      <c r="AB557" t="s">
        <v>74</v>
      </c>
      <c r="AC557" t="s">
        <v>74</v>
      </c>
      <c r="AD557" t="s">
        <v>74</v>
      </c>
      <c r="AE557" t="s">
        <v>74</v>
      </c>
      <c r="AF557" t="s">
        <v>74</v>
      </c>
      <c r="AG557">
        <v>48</v>
      </c>
      <c r="AH557">
        <v>36</v>
      </c>
      <c r="AI557">
        <v>38</v>
      </c>
      <c r="AJ557">
        <v>1</v>
      </c>
      <c r="AK557">
        <v>10</v>
      </c>
      <c r="AL557" t="s">
        <v>74</v>
      </c>
      <c r="AM557" t="s">
        <v>74</v>
      </c>
      <c r="AN557" t="s">
        <v>74</v>
      </c>
      <c r="AO557" t="s">
        <v>1153</v>
      </c>
      <c r="AP557" t="s">
        <v>74</v>
      </c>
      <c r="AQ557" t="s">
        <v>74</v>
      </c>
      <c r="AR557" t="s">
        <v>74</v>
      </c>
      <c r="AS557" t="s">
        <v>74</v>
      </c>
      <c r="AT557" t="s">
        <v>74</v>
      </c>
      <c r="AU557">
        <v>2017</v>
      </c>
      <c r="AV557">
        <v>7</v>
      </c>
      <c r="AW557">
        <v>8</v>
      </c>
      <c r="AX557" t="s">
        <v>74</v>
      </c>
      <c r="AY557" t="s">
        <v>74</v>
      </c>
      <c r="AZ557" t="s">
        <v>74</v>
      </c>
      <c r="BA557" t="s">
        <v>74</v>
      </c>
      <c r="BB557">
        <v>2325</v>
      </c>
      <c r="BC557">
        <v>2338</v>
      </c>
      <c r="BD557" t="s">
        <v>74</v>
      </c>
      <c r="BE557" t="s">
        <v>27125</v>
      </c>
      <c r="BF557" t="str">
        <f>HYPERLINK("http://dx.doi.org/10.7150/thno.18225","http://dx.doi.org/10.7150/thno.18225")</f>
        <v>http://dx.doi.org/10.7150/thno.18225</v>
      </c>
      <c r="BG557" t="s">
        <v>74</v>
      </c>
      <c r="BH557" t="s">
        <v>74</v>
      </c>
      <c r="BI557" t="s">
        <v>74</v>
      </c>
      <c r="BJ557" t="s">
        <v>795</v>
      </c>
      <c r="BK557" t="s">
        <v>117</v>
      </c>
      <c r="BL557" t="s">
        <v>796</v>
      </c>
      <c r="BM557" t="s">
        <v>74</v>
      </c>
      <c r="BN557">
        <v>28740555</v>
      </c>
      <c r="BO557" t="s">
        <v>74</v>
      </c>
      <c r="BP557" t="s">
        <v>74</v>
      </c>
      <c r="BQ557" t="s">
        <v>74</v>
      </c>
      <c r="BR557" t="s">
        <v>96</v>
      </c>
      <c r="BS557" t="s">
        <v>27126</v>
      </c>
      <c r="BT557" t="str">
        <f>HYPERLINK("https%3A%2F%2Fwww.webofscience.com%2Fwos%2Fwoscc%2Ffull-record%2FWOS:000402712500014","View Full Record in Web of Science")</f>
        <v>View Full Record in Web of Science</v>
      </c>
    </row>
    <row r="558" spans="1:72" x14ac:dyDescent="0.15">
      <c r="A558" t="s">
        <v>98</v>
      </c>
      <c r="B558" t="s">
        <v>27976</v>
      </c>
      <c r="C558" t="s">
        <v>74</v>
      </c>
      <c r="D558" t="s">
        <v>74</v>
      </c>
      <c r="E558" t="s">
        <v>74</v>
      </c>
      <c r="F558" t="s">
        <v>27977</v>
      </c>
      <c r="G558" t="s">
        <v>74</v>
      </c>
      <c r="H558" t="s">
        <v>74</v>
      </c>
      <c r="I558" t="s">
        <v>27978</v>
      </c>
      <c r="J558" t="s">
        <v>836</v>
      </c>
      <c r="K558" t="s">
        <v>74</v>
      </c>
      <c r="L558" t="s">
        <v>74</v>
      </c>
      <c r="M558" t="s">
        <v>74</v>
      </c>
      <c r="N558" t="s">
        <v>103</v>
      </c>
      <c r="O558" t="s">
        <v>74</v>
      </c>
      <c r="P558" t="s">
        <v>74</v>
      </c>
      <c r="Q558" t="s">
        <v>74</v>
      </c>
      <c r="R558" t="s">
        <v>74</v>
      </c>
      <c r="S558" t="s">
        <v>74</v>
      </c>
      <c r="T558" t="s">
        <v>27979</v>
      </c>
      <c r="U558" t="s">
        <v>27980</v>
      </c>
      <c r="V558" t="s">
        <v>27981</v>
      </c>
      <c r="W558" t="s">
        <v>27982</v>
      </c>
      <c r="X558" t="s">
        <v>4095</v>
      </c>
      <c r="Y558" t="s">
        <v>27983</v>
      </c>
      <c r="Z558" t="s">
        <v>27984</v>
      </c>
      <c r="AA558" t="s">
        <v>27985</v>
      </c>
      <c r="AB558" t="s">
        <v>27986</v>
      </c>
      <c r="AC558" t="s">
        <v>74</v>
      </c>
      <c r="AD558" t="s">
        <v>74</v>
      </c>
      <c r="AE558" t="s">
        <v>74</v>
      </c>
      <c r="AF558" t="s">
        <v>74</v>
      </c>
      <c r="AG558">
        <v>33</v>
      </c>
      <c r="AH558">
        <v>36</v>
      </c>
      <c r="AI558">
        <v>36</v>
      </c>
      <c r="AJ558">
        <v>3</v>
      </c>
      <c r="AK558">
        <v>11</v>
      </c>
      <c r="AL558" t="s">
        <v>74</v>
      </c>
      <c r="AM558" t="s">
        <v>74</v>
      </c>
      <c r="AN558" t="s">
        <v>74</v>
      </c>
      <c r="AO558" t="s">
        <v>74</v>
      </c>
      <c r="AP558" t="s">
        <v>846</v>
      </c>
      <c r="AQ558" t="s">
        <v>74</v>
      </c>
      <c r="AR558" t="s">
        <v>74</v>
      </c>
      <c r="AS558" t="s">
        <v>74</v>
      </c>
      <c r="AT558" t="s">
        <v>27987</v>
      </c>
      <c r="AU558">
        <v>2016</v>
      </c>
      <c r="AV558">
        <v>7</v>
      </c>
      <c r="AW558">
        <v>52</v>
      </c>
      <c r="AX558" t="s">
        <v>74</v>
      </c>
      <c r="AY558" t="s">
        <v>74</v>
      </c>
      <c r="AZ558" t="s">
        <v>74</v>
      </c>
      <c r="BA558" t="s">
        <v>74</v>
      </c>
      <c r="BB558">
        <v>87081</v>
      </c>
      <c r="BC558">
        <v>87090</v>
      </c>
      <c r="BD558" t="s">
        <v>74</v>
      </c>
      <c r="BE558" t="s">
        <v>27988</v>
      </c>
      <c r="BF558" t="str">
        <f>HYPERLINK("http://dx.doi.org/10.18632/oncotarget.13499","http://dx.doi.org/10.18632/oncotarget.13499")</f>
        <v>http://dx.doi.org/10.18632/oncotarget.13499</v>
      </c>
      <c r="BG558" t="s">
        <v>74</v>
      </c>
      <c r="BH558" t="s">
        <v>74</v>
      </c>
      <c r="BI558" t="s">
        <v>74</v>
      </c>
      <c r="BJ558" t="s">
        <v>848</v>
      </c>
      <c r="BK558" t="s">
        <v>117</v>
      </c>
      <c r="BL558" t="s">
        <v>848</v>
      </c>
      <c r="BM558" t="s">
        <v>74</v>
      </c>
      <c r="BN558">
        <v>27894084</v>
      </c>
      <c r="BO558" t="s">
        <v>74</v>
      </c>
      <c r="BP558" t="s">
        <v>74</v>
      </c>
      <c r="BQ558" t="s">
        <v>74</v>
      </c>
      <c r="BR558" t="s">
        <v>96</v>
      </c>
      <c r="BS558" t="s">
        <v>27989</v>
      </c>
      <c r="BT558" t="str">
        <f>HYPERLINK("https%3A%2F%2Fwww.webofscience.com%2Fwos%2Fwoscc%2Ffull-record%2FWOS:000391422500113","View Full Record in Web of Science")</f>
        <v>View Full Record in Web of Science</v>
      </c>
    </row>
    <row r="559" spans="1:72" x14ac:dyDescent="0.15">
      <c r="A559" t="s">
        <v>98</v>
      </c>
      <c r="B559" t="s">
        <v>4516</v>
      </c>
      <c r="C559" t="s">
        <v>74</v>
      </c>
      <c r="D559" t="s">
        <v>74</v>
      </c>
      <c r="E559" t="s">
        <v>74</v>
      </c>
      <c r="F559" t="s">
        <v>4517</v>
      </c>
      <c r="G559" t="s">
        <v>74</v>
      </c>
      <c r="H559" t="s">
        <v>74</v>
      </c>
      <c r="I559" t="s">
        <v>4518</v>
      </c>
      <c r="J559" t="s">
        <v>4519</v>
      </c>
      <c r="K559" t="s">
        <v>74</v>
      </c>
      <c r="L559" t="s">
        <v>74</v>
      </c>
      <c r="M559" t="s">
        <v>74</v>
      </c>
      <c r="N559" t="s">
        <v>103</v>
      </c>
      <c r="O559" t="s">
        <v>74</v>
      </c>
      <c r="P559" t="s">
        <v>74</v>
      </c>
      <c r="Q559" t="s">
        <v>74</v>
      </c>
      <c r="R559" t="s">
        <v>74</v>
      </c>
      <c r="S559" t="s">
        <v>74</v>
      </c>
      <c r="T559" t="s">
        <v>74</v>
      </c>
      <c r="U559" t="s">
        <v>4520</v>
      </c>
      <c r="V559" t="s">
        <v>4521</v>
      </c>
      <c r="W559" t="s">
        <v>4522</v>
      </c>
      <c r="X559" t="s">
        <v>4523</v>
      </c>
      <c r="Y559" t="s">
        <v>4524</v>
      </c>
      <c r="Z559" t="s">
        <v>4525</v>
      </c>
      <c r="AA559" t="s">
        <v>4526</v>
      </c>
      <c r="AB559" t="s">
        <v>4527</v>
      </c>
      <c r="AC559" t="s">
        <v>74</v>
      </c>
      <c r="AD559" t="s">
        <v>74</v>
      </c>
      <c r="AE559" t="s">
        <v>74</v>
      </c>
      <c r="AF559" t="s">
        <v>74</v>
      </c>
      <c r="AG559">
        <v>123</v>
      </c>
      <c r="AH559">
        <v>35</v>
      </c>
      <c r="AI559">
        <v>35</v>
      </c>
      <c r="AJ559">
        <v>4</v>
      </c>
      <c r="AK559">
        <v>31</v>
      </c>
      <c r="AL559" t="s">
        <v>74</v>
      </c>
      <c r="AM559" t="s">
        <v>74</v>
      </c>
      <c r="AN559" t="s">
        <v>74</v>
      </c>
      <c r="AO559" t="s">
        <v>4528</v>
      </c>
      <c r="AP559" t="s">
        <v>4529</v>
      </c>
      <c r="AQ559" t="s">
        <v>74</v>
      </c>
      <c r="AR559" t="s">
        <v>74</v>
      </c>
      <c r="AS559" t="s">
        <v>74</v>
      </c>
      <c r="AT559" t="s">
        <v>4530</v>
      </c>
      <c r="AU559">
        <v>2019</v>
      </c>
      <c r="AV559">
        <v>11</v>
      </c>
      <c r="AW559">
        <v>4</v>
      </c>
      <c r="AX559" t="s">
        <v>74</v>
      </c>
      <c r="AY559" t="s">
        <v>74</v>
      </c>
      <c r="AZ559" t="s">
        <v>74</v>
      </c>
      <c r="BA559" t="s">
        <v>74</v>
      </c>
      <c r="BB559">
        <v>1661</v>
      </c>
      <c r="BC559">
        <v>1679</v>
      </c>
      <c r="BD559" t="s">
        <v>74</v>
      </c>
      <c r="BE559" t="s">
        <v>4531</v>
      </c>
      <c r="BF559" t="str">
        <f>HYPERLINK("http://dx.doi.org/10.1039/c8nr04677h","http://dx.doi.org/10.1039/c8nr04677h")</f>
        <v>http://dx.doi.org/10.1039/c8nr04677h</v>
      </c>
      <c r="BG559" t="s">
        <v>74</v>
      </c>
      <c r="BH559" t="s">
        <v>74</v>
      </c>
      <c r="BI559" t="s">
        <v>74</v>
      </c>
      <c r="BJ559" t="s">
        <v>4532</v>
      </c>
      <c r="BK559" t="s">
        <v>117</v>
      </c>
      <c r="BL559" t="s">
        <v>251</v>
      </c>
      <c r="BM559" t="s">
        <v>74</v>
      </c>
      <c r="BN559">
        <v>30620023</v>
      </c>
      <c r="BO559" t="s">
        <v>74</v>
      </c>
      <c r="BP559" t="s">
        <v>74</v>
      </c>
      <c r="BQ559" t="s">
        <v>74</v>
      </c>
      <c r="BR559" t="s">
        <v>96</v>
      </c>
      <c r="BS559" t="s">
        <v>4533</v>
      </c>
      <c r="BT559" t="str">
        <f>HYPERLINK("https%3A%2F%2Fwww.webofscience.com%2Fwos%2Fwoscc%2Ffull-record%2FWOS:000459910900015","View Full Record in Web of Science")</f>
        <v>View Full Record in Web of Science</v>
      </c>
    </row>
    <row r="560" spans="1:72" x14ac:dyDescent="0.15">
      <c r="A560" t="s">
        <v>98</v>
      </c>
      <c r="B560" t="s">
        <v>6596</v>
      </c>
      <c r="C560" t="s">
        <v>74</v>
      </c>
      <c r="D560" t="s">
        <v>74</v>
      </c>
      <c r="E560" t="s">
        <v>74</v>
      </c>
      <c r="F560" t="s">
        <v>6597</v>
      </c>
      <c r="G560" t="s">
        <v>74</v>
      </c>
      <c r="H560" t="s">
        <v>74</v>
      </c>
      <c r="I560" t="s">
        <v>6598</v>
      </c>
      <c r="J560" t="s">
        <v>6530</v>
      </c>
      <c r="K560" t="s">
        <v>74</v>
      </c>
      <c r="L560" t="s">
        <v>74</v>
      </c>
      <c r="M560" t="s">
        <v>74</v>
      </c>
      <c r="N560" t="s">
        <v>103</v>
      </c>
      <c r="O560" t="s">
        <v>74</v>
      </c>
      <c r="P560" t="s">
        <v>74</v>
      </c>
      <c r="Q560" t="s">
        <v>74</v>
      </c>
      <c r="R560" t="s">
        <v>74</v>
      </c>
      <c r="S560" t="s">
        <v>74</v>
      </c>
      <c r="T560" t="s">
        <v>6599</v>
      </c>
      <c r="U560" t="s">
        <v>6600</v>
      </c>
      <c r="V560" t="s">
        <v>6601</v>
      </c>
      <c r="W560" t="s">
        <v>6602</v>
      </c>
      <c r="X560" t="s">
        <v>6603</v>
      </c>
      <c r="Y560" t="s">
        <v>6604</v>
      </c>
      <c r="Z560" t="s">
        <v>6605</v>
      </c>
      <c r="AA560" t="s">
        <v>6606</v>
      </c>
      <c r="AB560" t="s">
        <v>6607</v>
      </c>
      <c r="AC560" t="s">
        <v>74</v>
      </c>
      <c r="AD560" t="s">
        <v>74</v>
      </c>
      <c r="AE560" t="s">
        <v>74</v>
      </c>
      <c r="AF560" t="s">
        <v>74</v>
      </c>
      <c r="AG560">
        <v>28</v>
      </c>
      <c r="AH560">
        <v>35</v>
      </c>
      <c r="AI560">
        <v>36</v>
      </c>
      <c r="AJ560">
        <v>0</v>
      </c>
      <c r="AK560">
        <v>14</v>
      </c>
      <c r="AL560" t="s">
        <v>74</v>
      </c>
      <c r="AM560" t="s">
        <v>74</v>
      </c>
      <c r="AN560" t="s">
        <v>74</v>
      </c>
      <c r="AO560" t="s">
        <v>6540</v>
      </c>
      <c r="AP560" t="s">
        <v>74</v>
      </c>
      <c r="AQ560" t="s">
        <v>74</v>
      </c>
      <c r="AR560" t="s">
        <v>74</v>
      </c>
      <c r="AS560" t="s">
        <v>74</v>
      </c>
      <c r="AT560" t="s">
        <v>74</v>
      </c>
      <c r="AU560">
        <v>2017</v>
      </c>
      <c r="AV560">
        <v>12</v>
      </c>
      <c r="AW560" t="s">
        <v>74</v>
      </c>
      <c r="AX560" t="s">
        <v>74</v>
      </c>
      <c r="AY560" t="s">
        <v>74</v>
      </c>
      <c r="AZ560" t="s">
        <v>74</v>
      </c>
      <c r="BA560" t="s">
        <v>74</v>
      </c>
      <c r="BB560">
        <v>4579</v>
      </c>
      <c r="BC560">
        <v>4591</v>
      </c>
      <c r="BD560" t="s">
        <v>74</v>
      </c>
      <c r="BE560" t="s">
        <v>6608</v>
      </c>
      <c r="BF560" t="str">
        <f>HYPERLINK("http://dx.doi.org/10.2147/IJN.S131309","http://dx.doi.org/10.2147/IJN.S131309")</f>
        <v>http://dx.doi.org/10.2147/IJN.S131309</v>
      </c>
      <c r="BG560" t="s">
        <v>74</v>
      </c>
      <c r="BH560" t="s">
        <v>74</v>
      </c>
      <c r="BI560" t="s">
        <v>74</v>
      </c>
      <c r="BJ560" t="s">
        <v>6542</v>
      </c>
      <c r="BK560" t="s">
        <v>117</v>
      </c>
      <c r="BL560" t="s">
        <v>6543</v>
      </c>
      <c r="BM560" t="s">
        <v>74</v>
      </c>
      <c r="BN560">
        <v>28694699</v>
      </c>
      <c r="BO560" t="s">
        <v>74</v>
      </c>
      <c r="BP560" t="s">
        <v>74</v>
      </c>
      <c r="BQ560" t="s">
        <v>74</v>
      </c>
      <c r="BR560" t="s">
        <v>96</v>
      </c>
      <c r="BS560" t="s">
        <v>6609</v>
      </c>
      <c r="BT560" t="str">
        <f>HYPERLINK("https%3A%2F%2Fwww.webofscience.com%2Fwos%2Fwoscc%2Ffull-record%2FWOS:000404102000003","View Full Record in Web of Science")</f>
        <v>View Full Record in Web of Science</v>
      </c>
    </row>
    <row r="561" spans="1:72" x14ac:dyDescent="0.15">
      <c r="A561" t="s">
        <v>98</v>
      </c>
      <c r="B561" t="s">
        <v>9186</v>
      </c>
      <c r="C561" t="s">
        <v>74</v>
      </c>
      <c r="D561" t="s">
        <v>74</v>
      </c>
      <c r="E561" t="s">
        <v>74</v>
      </c>
      <c r="F561" t="s">
        <v>9187</v>
      </c>
      <c r="G561" t="s">
        <v>74</v>
      </c>
      <c r="H561" t="s">
        <v>74</v>
      </c>
      <c r="I561" t="s">
        <v>9188</v>
      </c>
      <c r="J561" t="s">
        <v>1053</v>
      </c>
      <c r="K561" t="s">
        <v>74</v>
      </c>
      <c r="L561" t="s">
        <v>74</v>
      </c>
      <c r="M561" t="s">
        <v>74</v>
      </c>
      <c r="N561" t="s">
        <v>103</v>
      </c>
      <c r="O561" t="s">
        <v>74</v>
      </c>
      <c r="P561" t="s">
        <v>74</v>
      </c>
      <c r="Q561" t="s">
        <v>74</v>
      </c>
      <c r="R561" t="s">
        <v>74</v>
      </c>
      <c r="S561" t="s">
        <v>74</v>
      </c>
      <c r="T561" t="s">
        <v>9189</v>
      </c>
      <c r="U561" t="s">
        <v>9190</v>
      </c>
      <c r="V561" t="s">
        <v>9191</v>
      </c>
      <c r="W561" t="s">
        <v>9192</v>
      </c>
      <c r="X561" t="s">
        <v>9193</v>
      </c>
      <c r="Y561" t="s">
        <v>9194</v>
      </c>
      <c r="Z561" t="s">
        <v>9195</v>
      </c>
      <c r="AA561" t="s">
        <v>74</v>
      </c>
      <c r="AB561" t="s">
        <v>74</v>
      </c>
      <c r="AC561" t="s">
        <v>74</v>
      </c>
      <c r="AD561" t="s">
        <v>74</v>
      </c>
      <c r="AE561" t="s">
        <v>74</v>
      </c>
      <c r="AF561" t="s">
        <v>74</v>
      </c>
      <c r="AG561">
        <v>33</v>
      </c>
      <c r="AH561">
        <v>35</v>
      </c>
      <c r="AI561">
        <v>39</v>
      </c>
      <c r="AJ561">
        <v>3</v>
      </c>
      <c r="AK561">
        <v>22</v>
      </c>
      <c r="AL561" t="s">
        <v>74</v>
      </c>
      <c r="AM561" t="s">
        <v>74</v>
      </c>
      <c r="AN561" t="s">
        <v>74</v>
      </c>
      <c r="AO561" t="s">
        <v>1063</v>
      </c>
      <c r="AP561" t="s">
        <v>1064</v>
      </c>
      <c r="AQ561" t="s">
        <v>74</v>
      </c>
      <c r="AR561" t="s">
        <v>74</v>
      </c>
      <c r="AS561" t="s">
        <v>74</v>
      </c>
      <c r="AT561" t="s">
        <v>230</v>
      </c>
      <c r="AU561">
        <v>2019</v>
      </c>
      <c r="AV561">
        <v>33</v>
      </c>
      <c r="AW561">
        <v>8</v>
      </c>
      <c r="AX561" t="s">
        <v>74</v>
      </c>
      <c r="AY561" t="s">
        <v>74</v>
      </c>
      <c r="AZ561" t="s">
        <v>74</v>
      </c>
      <c r="BA561" t="s">
        <v>74</v>
      </c>
      <c r="BB561">
        <v>9279</v>
      </c>
      <c r="BC561">
        <v>9290</v>
      </c>
      <c r="BD561" t="s">
        <v>74</v>
      </c>
      <c r="BE561" t="s">
        <v>9196</v>
      </c>
      <c r="BF561" t="str">
        <f>HYPERLINK("http://dx.doi.org/10.1096/fj.201802427RRR","http://dx.doi.org/10.1096/fj.201802427RRR")</f>
        <v>http://dx.doi.org/10.1096/fj.201802427RRR</v>
      </c>
      <c r="BG561" t="s">
        <v>74</v>
      </c>
      <c r="BH561" t="s">
        <v>74</v>
      </c>
      <c r="BI561" t="s">
        <v>74</v>
      </c>
      <c r="BJ561" t="s">
        <v>1067</v>
      </c>
      <c r="BK561" t="s">
        <v>117</v>
      </c>
      <c r="BL561" t="s">
        <v>1068</v>
      </c>
      <c r="BM561" t="s">
        <v>74</v>
      </c>
      <c r="BN561">
        <v>31162940</v>
      </c>
      <c r="BO561" t="s">
        <v>74</v>
      </c>
      <c r="BP561" t="s">
        <v>74</v>
      </c>
      <c r="BQ561" t="s">
        <v>74</v>
      </c>
      <c r="BR561" t="s">
        <v>96</v>
      </c>
      <c r="BS561" t="s">
        <v>9197</v>
      </c>
      <c r="BT561" t="str">
        <f>HYPERLINK("https%3A%2F%2Fwww.webofscience.com%2Fwos%2Fwoscc%2Ffull-record%2FWOS:000478832900046","View Full Record in Web of Science")</f>
        <v>View Full Record in Web of Science</v>
      </c>
    </row>
    <row r="562" spans="1:72" x14ac:dyDescent="0.15">
      <c r="A562" t="s">
        <v>98</v>
      </c>
      <c r="B562" t="s">
        <v>9238</v>
      </c>
      <c r="C562" t="s">
        <v>74</v>
      </c>
      <c r="D562" t="s">
        <v>74</v>
      </c>
      <c r="E562" t="s">
        <v>74</v>
      </c>
      <c r="F562" t="s">
        <v>9239</v>
      </c>
      <c r="G562" t="s">
        <v>74</v>
      </c>
      <c r="H562" t="s">
        <v>74</v>
      </c>
      <c r="I562" t="s">
        <v>9240</v>
      </c>
      <c r="J562" t="s">
        <v>4332</v>
      </c>
      <c r="K562" t="s">
        <v>74</v>
      </c>
      <c r="L562" t="s">
        <v>74</v>
      </c>
      <c r="M562" t="s">
        <v>74</v>
      </c>
      <c r="N562" t="s">
        <v>103</v>
      </c>
      <c r="O562" t="s">
        <v>74</v>
      </c>
      <c r="P562" t="s">
        <v>74</v>
      </c>
      <c r="Q562" t="s">
        <v>74</v>
      </c>
      <c r="R562" t="s">
        <v>74</v>
      </c>
      <c r="S562" t="s">
        <v>74</v>
      </c>
      <c r="T562" t="s">
        <v>9241</v>
      </c>
      <c r="U562" t="s">
        <v>9242</v>
      </c>
      <c r="V562" t="s">
        <v>9243</v>
      </c>
      <c r="W562" t="s">
        <v>9244</v>
      </c>
      <c r="X562" t="s">
        <v>9245</v>
      </c>
      <c r="Y562" t="s">
        <v>9246</v>
      </c>
      <c r="Z562" t="s">
        <v>4339</v>
      </c>
      <c r="AA562" t="s">
        <v>9247</v>
      </c>
      <c r="AB562" t="s">
        <v>9248</v>
      </c>
      <c r="AC562" t="s">
        <v>74</v>
      </c>
      <c r="AD562" t="s">
        <v>74</v>
      </c>
      <c r="AE562" t="s">
        <v>74</v>
      </c>
      <c r="AF562" t="s">
        <v>74</v>
      </c>
      <c r="AG562">
        <v>58</v>
      </c>
      <c r="AH562">
        <v>35</v>
      </c>
      <c r="AI562">
        <v>36</v>
      </c>
      <c r="AJ562">
        <v>0</v>
      </c>
      <c r="AK562">
        <v>7</v>
      </c>
      <c r="AL562" t="s">
        <v>74</v>
      </c>
      <c r="AM562" t="s">
        <v>74</v>
      </c>
      <c r="AN562" t="s">
        <v>74</v>
      </c>
      <c r="AO562" t="s">
        <v>74</v>
      </c>
      <c r="AP562" t="s">
        <v>4342</v>
      </c>
      <c r="AQ562" t="s">
        <v>74</v>
      </c>
      <c r="AR562" t="s">
        <v>74</v>
      </c>
      <c r="AS562" t="s">
        <v>74</v>
      </c>
      <c r="AT562" t="s">
        <v>9249</v>
      </c>
      <c r="AU562">
        <v>2017</v>
      </c>
      <c r="AV562">
        <v>36</v>
      </c>
      <c r="AW562" t="s">
        <v>74</v>
      </c>
      <c r="AX562" t="s">
        <v>74</v>
      </c>
      <c r="AY562" t="s">
        <v>74</v>
      </c>
      <c r="AZ562" t="s">
        <v>74</v>
      </c>
      <c r="BA562" t="s">
        <v>74</v>
      </c>
      <c r="BB562" t="s">
        <v>74</v>
      </c>
      <c r="BC562" t="s">
        <v>74</v>
      </c>
      <c r="BD562">
        <v>113</v>
      </c>
      <c r="BE562" t="s">
        <v>9250</v>
      </c>
      <c r="BF562" t="str">
        <f>HYPERLINK("http://dx.doi.org/10.1186/s13046-017-0587-0","http://dx.doi.org/10.1186/s13046-017-0587-0")</f>
        <v>http://dx.doi.org/10.1186/s13046-017-0587-0</v>
      </c>
      <c r="BG562" t="s">
        <v>74</v>
      </c>
      <c r="BH562" t="s">
        <v>74</v>
      </c>
      <c r="BI562" t="s">
        <v>74</v>
      </c>
      <c r="BJ562" t="s">
        <v>267</v>
      </c>
      <c r="BK562" t="s">
        <v>117</v>
      </c>
      <c r="BL562" t="s">
        <v>267</v>
      </c>
      <c r="BM562" t="s">
        <v>74</v>
      </c>
      <c r="BN562">
        <v>28854931</v>
      </c>
      <c r="BO562" t="s">
        <v>74</v>
      </c>
      <c r="BP562" t="s">
        <v>74</v>
      </c>
      <c r="BQ562" t="s">
        <v>74</v>
      </c>
      <c r="BR562" t="s">
        <v>96</v>
      </c>
      <c r="BS562" t="s">
        <v>9251</v>
      </c>
      <c r="BT562" t="str">
        <f>HYPERLINK("https%3A%2F%2Fwww.webofscience.com%2Fwos%2Fwoscc%2Ffull-record%2FWOS:000408632100001","View Full Record in Web of Science")</f>
        <v>View Full Record in Web of Science</v>
      </c>
    </row>
    <row r="563" spans="1:72" x14ac:dyDescent="0.15">
      <c r="A563" t="s">
        <v>98</v>
      </c>
      <c r="B563" t="s">
        <v>11298</v>
      </c>
      <c r="C563" t="s">
        <v>74</v>
      </c>
      <c r="D563" t="s">
        <v>74</v>
      </c>
      <c r="E563" t="s">
        <v>74</v>
      </c>
      <c r="F563" t="s">
        <v>11299</v>
      </c>
      <c r="G563" t="s">
        <v>74</v>
      </c>
      <c r="H563" t="s">
        <v>74</v>
      </c>
      <c r="I563" t="s">
        <v>11300</v>
      </c>
      <c r="J563" t="s">
        <v>236</v>
      </c>
      <c r="K563" t="s">
        <v>74</v>
      </c>
      <c r="L563" t="s">
        <v>74</v>
      </c>
      <c r="M563" t="s">
        <v>74</v>
      </c>
      <c r="N563" t="s">
        <v>103</v>
      </c>
      <c r="O563" t="s">
        <v>74</v>
      </c>
      <c r="P563" t="s">
        <v>74</v>
      </c>
      <c r="Q563" t="s">
        <v>74</v>
      </c>
      <c r="R563" t="s">
        <v>74</v>
      </c>
      <c r="S563" t="s">
        <v>74</v>
      </c>
      <c r="T563" t="s">
        <v>11301</v>
      </c>
      <c r="U563" t="s">
        <v>11302</v>
      </c>
      <c r="V563" t="s">
        <v>11303</v>
      </c>
      <c r="W563" t="s">
        <v>11304</v>
      </c>
      <c r="X563" t="s">
        <v>11305</v>
      </c>
      <c r="Y563" t="s">
        <v>11306</v>
      </c>
      <c r="Z563" t="s">
        <v>11307</v>
      </c>
      <c r="AA563" t="s">
        <v>74</v>
      </c>
      <c r="AB563" t="s">
        <v>74</v>
      </c>
      <c r="AC563" t="s">
        <v>74</v>
      </c>
      <c r="AD563" t="s">
        <v>74</v>
      </c>
      <c r="AE563" t="s">
        <v>74</v>
      </c>
      <c r="AF563" t="s">
        <v>74</v>
      </c>
      <c r="AG563">
        <v>35</v>
      </c>
      <c r="AH563">
        <v>35</v>
      </c>
      <c r="AI563">
        <v>35</v>
      </c>
      <c r="AJ563">
        <v>22</v>
      </c>
      <c r="AK563">
        <v>215</v>
      </c>
      <c r="AL563" t="s">
        <v>74</v>
      </c>
      <c r="AM563" t="s">
        <v>74</v>
      </c>
      <c r="AN563" t="s">
        <v>74</v>
      </c>
      <c r="AO563" t="s">
        <v>246</v>
      </c>
      <c r="AP563" t="s">
        <v>247</v>
      </c>
      <c r="AQ563" t="s">
        <v>74</v>
      </c>
      <c r="AR563" t="s">
        <v>74</v>
      </c>
      <c r="AS563" t="s">
        <v>74</v>
      </c>
      <c r="AT563" t="s">
        <v>189</v>
      </c>
      <c r="AU563">
        <v>2019</v>
      </c>
      <c r="AV563">
        <v>15</v>
      </c>
      <c r="AW563">
        <v>43</v>
      </c>
      <c r="AX563" t="s">
        <v>74</v>
      </c>
      <c r="AY563" t="s">
        <v>74</v>
      </c>
      <c r="AZ563" t="s">
        <v>74</v>
      </c>
      <c r="BA563" t="s">
        <v>74</v>
      </c>
      <c r="BB563" t="s">
        <v>74</v>
      </c>
      <c r="BC563" t="s">
        <v>74</v>
      </c>
      <c r="BD563">
        <v>1901014</v>
      </c>
      <c r="BE563" t="s">
        <v>11308</v>
      </c>
      <c r="BF563" t="str">
        <f>HYPERLINK("http://dx.doi.org/10.1002/smll.201901014","http://dx.doi.org/10.1002/smll.201901014")</f>
        <v>http://dx.doi.org/10.1002/smll.201901014</v>
      </c>
      <c r="BG563" t="s">
        <v>74</v>
      </c>
      <c r="BH563" t="s">
        <v>1358</v>
      </c>
      <c r="BI563" t="s">
        <v>74</v>
      </c>
      <c r="BJ563" t="s">
        <v>250</v>
      </c>
      <c r="BK563" t="s">
        <v>117</v>
      </c>
      <c r="BL563" t="s">
        <v>251</v>
      </c>
      <c r="BM563" t="s">
        <v>74</v>
      </c>
      <c r="BN563">
        <v>31478613</v>
      </c>
      <c r="BO563" t="s">
        <v>74</v>
      </c>
      <c r="BP563" t="s">
        <v>74</v>
      </c>
      <c r="BQ563" t="s">
        <v>74</v>
      </c>
      <c r="BR563" t="s">
        <v>96</v>
      </c>
      <c r="BS563" t="s">
        <v>11309</v>
      </c>
      <c r="BT563" t="str">
        <f>HYPERLINK("https%3A%2F%2Fwww.webofscience.com%2Fwos%2Fwoscc%2Ffull-record%2FWOS:000484852100001","View Full Record in Web of Science")</f>
        <v>View Full Record in Web of Science</v>
      </c>
    </row>
    <row r="564" spans="1:72" x14ac:dyDescent="0.15">
      <c r="A564" t="s">
        <v>98</v>
      </c>
      <c r="B564" t="s">
        <v>12758</v>
      </c>
      <c r="C564" t="s">
        <v>74</v>
      </c>
      <c r="D564" t="s">
        <v>74</v>
      </c>
      <c r="E564" t="s">
        <v>74</v>
      </c>
      <c r="F564" t="s">
        <v>12759</v>
      </c>
      <c r="G564" t="s">
        <v>74</v>
      </c>
      <c r="H564" t="s">
        <v>74</v>
      </c>
      <c r="I564" t="s">
        <v>12760</v>
      </c>
      <c r="J564" t="s">
        <v>1684</v>
      </c>
      <c r="K564" t="s">
        <v>74</v>
      </c>
      <c r="L564" t="s">
        <v>74</v>
      </c>
      <c r="M564" t="s">
        <v>74</v>
      </c>
      <c r="N564" t="s">
        <v>103</v>
      </c>
      <c r="O564" t="s">
        <v>74</v>
      </c>
      <c r="P564" t="s">
        <v>74</v>
      </c>
      <c r="Q564" t="s">
        <v>74</v>
      </c>
      <c r="R564" t="s">
        <v>74</v>
      </c>
      <c r="S564" t="s">
        <v>74</v>
      </c>
      <c r="T564" t="s">
        <v>12761</v>
      </c>
      <c r="U564" t="s">
        <v>12762</v>
      </c>
      <c r="V564" t="s">
        <v>12763</v>
      </c>
      <c r="W564" t="s">
        <v>12764</v>
      </c>
      <c r="X564" t="s">
        <v>12765</v>
      </c>
      <c r="Y564" t="s">
        <v>12766</v>
      </c>
      <c r="Z564" t="s">
        <v>8245</v>
      </c>
      <c r="AA564" t="s">
        <v>12767</v>
      </c>
      <c r="AB564" t="s">
        <v>12768</v>
      </c>
      <c r="AC564" t="s">
        <v>74</v>
      </c>
      <c r="AD564" t="s">
        <v>74</v>
      </c>
      <c r="AE564" t="s">
        <v>74</v>
      </c>
      <c r="AF564" t="s">
        <v>74</v>
      </c>
      <c r="AG564">
        <v>46</v>
      </c>
      <c r="AH564">
        <v>35</v>
      </c>
      <c r="AI564">
        <v>36</v>
      </c>
      <c r="AJ564">
        <v>3</v>
      </c>
      <c r="AK564">
        <v>18</v>
      </c>
      <c r="AL564" t="s">
        <v>74</v>
      </c>
      <c r="AM564" t="s">
        <v>74</v>
      </c>
      <c r="AN564" t="s">
        <v>74</v>
      </c>
      <c r="AO564" t="s">
        <v>1692</v>
      </c>
      <c r="AP564" t="s">
        <v>1693</v>
      </c>
      <c r="AQ564" t="s">
        <v>74</v>
      </c>
      <c r="AR564" t="s">
        <v>74</v>
      </c>
      <c r="AS564" t="s">
        <v>74</v>
      </c>
      <c r="AT564" t="s">
        <v>114</v>
      </c>
      <c r="AU564">
        <v>2019</v>
      </c>
      <c r="AV564">
        <v>19</v>
      </c>
      <c r="AW564" t="s">
        <v>1694</v>
      </c>
      <c r="AX564" t="s">
        <v>74</v>
      </c>
      <c r="AY564" t="s">
        <v>74</v>
      </c>
      <c r="AZ564" t="s">
        <v>447</v>
      </c>
      <c r="BA564" t="s">
        <v>74</v>
      </c>
      <c r="BB564" t="s">
        <v>74</v>
      </c>
      <c r="BC564" t="s">
        <v>74</v>
      </c>
      <c r="BD564">
        <v>1800209</v>
      </c>
      <c r="BE564" t="s">
        <v>12769</v>
      </c>
      <c r="BF564" t="str">
        <f>HYPERLINK("http://dx.doi.org/10.1002/pmic.201800209","http://dx.doi.org/10.1002/pmic.201800209")</f>
        <v>http://dx.doi.org/10.1002/pmic.201800209</v>
      </c>
      <c r="BG564" t="s">
        <v>74</v>
      </c>
      <c r="BH564" t="s">
        <v>74</v>
      </c>
      <c r="BI564" t="s">
        <v>74</v>
      </c>
      <c r="BJ564" t="s">
        <v>93</v>
      </c>
      <c r="BK564" t="s">
        <v>117</v>
      </c>
      <c r="BL564" t="s">
        <v>95</v>
      </c>
      <c r="BM564" t="s">
        <v>74</v>
      </c>
      <c r="BN564">
        <v>30488570</v>
      </c>
      <c r="BO564" t="s">
        <v>74</v>
      </c>
      <c r="BP564" t="s">
        <v>74</v>
      </c>
      <c r="BQ564" t="s">
        <v>74</v>
      </c>
      <c r="BR564" t="s">
        <v>96</v>
      </c>
      <c r="BS564" t="s">
        <v>12770</v>
      </c>
      <c r="BT564" t="str">
        <f>HYPERLINK("https%3A%2F%2Fwww.webofscience.com%2Fwos%2Fwoscc%2Ffull-record%2FWOS:000456808000005","View Full Record in Web of Science")</f>
        <v>View Full Record in Web of Science</v>
      </c>
    </row>
    <row r="565" spans="1:72" x14ac:dyDescent="0.15">
      <c r="A565" t="s">
        <v>98</v>
      </c>
      <c r="B565" t="s">
        <v>13137</v>
      </c>
      <c r="C565" t="s">
        <v>74</v>
      </c>
      <c r="D565" t="s">
        <v>74</v>
      </c>
      <c r="E565" t="s">
        <v>74</v>
      </c>
      <c r="F565" t="s">
        <v>13138</v>
      </c>
      <c r="G565" t="s">
        <v>74</v>
      </c>
      <c r="H565" t="s">
        <v>74</v>
      </c>
      <c r="I565" t="s">
        <v>13139</v>
      </c>
      <c r="J565" t="s">
        <v>140</v>
      </c>
      <c r="K565" t="s">
        <v>74</v>
      </c>
      <c r="L565" t="s">
        <v>74</v>
      </c>
      <c r="M565" t="s">
        <v>74</v>
      </c>
      <c r="N565" t="s">
        <v>103</v>
      </c>
      <c r="O565" t="s">
        <v>74</v>
      </c>
      <c r="P565" t="s">
        <v>74</v>
      </c>
      <c r="Q565" t="s">
        <v>74</v>
      </c>
      <c r="R565" t="s">
        <v>74</v>
      </c>
      <c r="S565" t="s">
        <v>74</v>
      </c>
      <c r="T565" t="s">
        <v>74</v>
      </c>
      <c r="U565" t="s">
        <v>13140</v>
      </c>
      <c r="V565" t="s">
        <v>13141</v>
      </c>
      <c r="W565" t="s">
        <v>13142</v>
      </c>
      <c r="X565" t="s">
        <v>13143</v>
      </c>
      <c r="Y565" t="s">
        <v>13144</v>
      </c>
      <c r="Z565" t="s">
        <v>13145</v>
      </c>
      <c r="AA565" t="s">
        <v>13146</v>
      </c>
      <c r="AB565" t="s">
        <v>13147</v>
      </c>
      <c r="AC565" t="s">
        <v>74</v>
      </c>
      <c r="AD565" t="s">
        <v>74</v>
      </c>
      <c r="AE565" t="s">
        <v>74</v>
      </c>
      <c r="AF565" t="s">
        <v>74</v>
      </c>
      <c r="AG565">
        <v>91</v>
      </c>
      <c r="AH565">
        <v>35</v>
      </c>
      <c r="AI565">
        <v>35</v>
      </c>
      <c r="AJ565">
        <v>2</v>
      </c>
      <c r="AK565">
        <v>5</v>
      </c>
      <c r="AL565" t="s">
        <v>74</v>
      </c>
      <c r="AM565" t="s">
        <v>74</v>
      </c>
      <c r="AN565" t="s">
        <v>74</v>
      </c>
      <c r="AO565" t="s">
        <v>149</v>
      </c>
      <c r="AP565" t="s">
        <v>74</v>
      </c>
      <c r="AQ565" t="s">
        <v>74</v>
      </c>
      <c r="AR565" t="s">
        <v>74</v>
      </c>
      <c r="AS565" t="s">
        <v>74</v>
      </c>
      <c r="AT565" t="s">
        <v>1098</v>
      </c>
      <c r="AU565">
        <v>2020</v>
      </c>
      <c r="AV565">
        <v>10</v>
      </c>
      <c r="AW565">
        <v>1</v>
      </c>
      <c r="AX565" t="s">
        <v>74</v>
      </c>
      <c r="AY565" t="s">
        <v>74</v>
      </c>
      <c r="AZ565" t="s">
        <v>74</v>
      </c>
      <c r="BA565" t="s">
        <v>74</v>
      </c>
      <c r="BB565" t="s">
        <v>74</v>
      </c>
      <c r="BC565" t="s">
        <v>74</v>
      </c>
      <c r="BD565">
        <v>828</v>
      </c>
      <c r="BE565" t="s">
        <v>13148</v>
      </c>
      <c r="BF565" t="str">
        <f>HYPERLINK("http://dx.doi.org/10.1038/s41598-020-57663-x","http://dx.doi.org/10.1038/s41598-020-57663-x")</f>
        <v>http://dx.doi.org/10.1038/s41598-020-57663-x</v>
      </c>
      <c r="BG565" t="s">
        <v>74</v>
      </c>
      <c r="BH565" t="s">
        <v>74</v>
      </c>
      <c r="BI565" t="s">
        <v>74</v>
      </c>
      <c r="BJ565" t="s">
        <v>152</v>
      </c>
      <c r="BK565" t="s">
        <v>117</v>
      </c>
      <c r="BL565" t="s">
        <v>153</v>
      </c>
      <c r="BM565" t="s">
        <v>74</v>
      </c>
      <c r="BN565">
        <v>31964978</v>
      </c>
      <c r="BO565" t="s">
        <v>74</v>
      </c>
      <c r="BP565" t="s">
        <v>74</v>
      </c>
      <c r="BQ565" t="s">
        <v>74</v>
      </c>
      <c r="BR565" t="s">
        <v>96</v>
      </c>
      <c r="BS565" t="s">
        <v>13149</v>
      </c>
      <c r="BT565" t="str">
        <f>HYPERLINK("https%3A%2F%2Fwww.webofscience.com%2Fwos%2Fwoscc%2Ffull-record%2FWOS:000512142100066","View Full Record in Web of Science")</f>
        <v>View Full Record in Web of Science</v>
      </c>
    </row>
    <row r="566" spans="1:72" x14ac:dyDescent="0.15">
      <c r="A566" t="s">
        <v>98</v>
      </c>
      <c r="B566" t="s">
        <v>14625</v>
      </c>
      <c r="C566" t="s">
        <v>74</v>
      </c>
      <c r="D566" t="s">
        <v>74</v>
      </c>
      <c r="E566" t="s">
        <v>74</v>
      </c>
      <c r="F566" t="s">
        <v>14626</v>
      </c>
      <c r="G566" t="s">
        <v>74</v>
      </c>
      <c r="H566" t="s">
        <v>74</v>
      </c>
      <c r="I566" t="s">
        <v>14627</v>
      </c>
      <c r="J566" t="s">
        <v>14628</v>
      </c>
      <c r="K566" t="s">
        <v>74</v>
      </c>
      <c r="L566" t="s">
        <v>74</v>
      </c>
      <c r="M566" t="s">
        <v>74</v>
      </c>
      <c r="N566" t="s">
        <v>103</v>
      </c>
      <c r="O566" t="s">
        <v>74</v>
      </c>
      <c r="P566" t="s">
        <v>74</v>
      </c>
      <c r="Q566" t="s">
        <v>74</v>
      </c>
      <c r="R566" t="s">
        <v>74</v>
      </c>
      <c r="S566" t="s">
        <v>74</v>
      </c>
      <c r="T566" t="s">
        <v>14629</v>
      </c>
      <c r="U566" t="s">
        <v>14630</v>
      </c>
      <c r="V566" t="s">
        <v>14631</v>
      </c>
      <c r="W566" t="s">
        <v>14632</v>
      </c>
      <c r="X566" t="s">
        <v>14633</v>
      </c>
      <c r="Y566" t="s">
        <v>14634</v>
      </c>
      <c r="Z566" t="s">
        <v>14635</v>
      </c>
      <c r="AA566" t="s">
        <v>14636</v>
      </c>
      <c r="AB566" t="s">
        <v>14637</v>
      </c>
      <c r="AC566" t="s">
        <v>74</v>
      </c>
      <c r="AD566" t="s">
        <v>74</v>
      </c>
      <c r="AE566" t="s">
        <v>74</v>
      </c>
      <c r="AF566" t="s">
        <v>74</v>
      </c>
      <c r="AG566">
        <v>80</v>
      </c>
      <c r="AH566">
        <v>35</v>
      </c>
      <c r="AI566">
        <v>36</v>
      </c>
      <c r="AJ566">
        <v>2</v>
      </c>
      <c r="AK566">
        <v>30</v>
      </c>
      <c r="AL566" t="s">
        <v>74</v>
      </c>
      <c r="AM566" t="s">
        <v>74</v>
      </c>
      <c r="AN566" t="s">
        <v>74</v>
      </c>
      <c r="AO566" t="s">
        <v>14638</v>
      </c>
      <c r="AP566" t="s">
        <v>14639</v>
      </c>
      <c r="AQ566" t="s">
        <v>74</v>
      </c>
      <c r="AR566" t="s">
        <v>74</v>
      </c>
      <c r="AS566" t="s">
        <v>74</v>
      </c>
      <c r="AT566" t="s">
        <v>335</v>
      </c>
      <c r="AU566">
        <v>2017</v>
      </c>
      <c r="AV566">
        <v>141</v>
      </c>
      <c r="AW566">
        <v>5</v>
      </c>
      <c r="AX566" t="s">
        <v>74</v>
      </c>
      <c r="AY566" t="s">
        <v>74</v>
      </c>
      <c r="AZ566" t="s">
        <v>74</v>
      </c>
      <c r="BA566" t="s">
        <v>74</v>
      </c>
      <c r="BB566">
        <v>887</v>
      </c>
      <c r="BC566">
        <v>896</v>
      </c>
      <c r="BD566" t="s">
        <v>74</v>
      </c>
      <c r="BE566" t="s">
        <v>14640</v>
      </c>
      <c r="BF566" t="str">
        <f>HYPERLINK("http://dx.doi.org/10.1002/ijc.30759","http://dx.doi.org/10.1002/ijc.30759")</f>
        <v>http://dx.doi.org/10.1002/ijc.30759</v>
      </c>
      <c r="BG566" t="s">
        <v>74</v>
      </c>
      <c r="BH566" t="s">
        <v>74</v>
      </c>
      <c r="BI566" t="s">
        <v>74</v>
      </c>
      <c r="BJ566" t="s">
        <v>267</v>
      </c>
      <c r="BK566" t="s">
        <v>117</v>
      </c>
      <c r="BL566" t="s">
        <v>267</v>
      </c>
      <c r="BM566" t="s">
        <v>74</v>
      </c>
      <c r="BN566">
        <v>28470712</v>
      </c>
      <c r="BO566" t="s">
        <v>74</v>
      </c>
      <c r="BP566" t="s">
        <v>74</v>
      </c>
      <c r="BQ566" t="s">
        <v>74</v>
      </c>
      <c r="BR566" t="s">
        <v>96</v>
      </c>
      <c r="BS566" t="s">
        <v>14641</v>
      </c>
      <c r="BT566" t="str">
        <f>HYPERLINK("https%3A%2F%2Fwww.webofscience.com%2Fwos%2Fwoscc%2Ffull-record%2FWOS:000404842200004","View Full Record in Web of Science")</f>
        <v>View Full Record in Web of Science</v>
      </c>
    </row>
    <row r="567" spans="1:72" x14ac:dyDescent="0.15">
      <c r="A567" t="s">
        <v>98</v>
      </c>
      <c r="B567" t="s">
        <v>18186</v>
      </c>
      <c r="C567" t="s">
        <v>74</v>
      </c>
      <c r="D567" t="s">
        <v>74</v>
      </c>
      <c r="E567" t="s">
        <v>74</v>
      </c>
      <c r="F567" t="s">
        <v>18187</v>
      </c>
      <c r="G567" t="s">
        <v>74</v>
      </c>
      <c r="H567" t="s">
        <v>74</v>
      </c>
      <c r="I567" t="s">
        <v>18188</v>
      </c>
      <c r="J567" t="s">
        <v>11436</v>
      </c>
      <c r="K567" t="s">
        <v>74</v>
      </c>
      <c r="L567" t="s">
        <v>74</v>
      </c>
      <c r="M567" t="s">
        <v>74</v>
      </c>
      <c r="N567" t="s">
        <v>103</v>
      </c>
      <c r="O567" t="s">
        <v>74</v>
      </c>
      <c r="P567" t="s">
        <v>74</v>
      </c>
      <c r="Q567" t="s">
        <v>74</v>
      </c>
      <c r="R567" t="s">
        <v>74</v>
      </c>
      <c r="S567" t="s">
        <v>74</v>
      </c>
      <c r="T567" t="s">
        <v>74</v>
      </c>
      <c r="U567" t="s">
        <v>18189</v>
      </c>
      <c r="V567" t="s">
        <v>18190</v>
      </c>
      <c r="W567" t="s">
        <v>18191</v>
      </c>
      <c r="X567" t="s">
        <v>18192</v>
      </c>
      <c r="Y567" t="s">
        <v>18193</v>
      </c>
      <c r="Z567" t="s">
        <v>18194</v>
      </c>
      <c r="AA567" t="s">
        <v>74</v>
      </c>
      <c r="AB567" t="s">
        <v>18195</v>
      </c>
      <c r="AC567" t="s">
        <v>74</v>
      </c>
      <c r="AD567" t="s">
        <v>74</v>
      </c>
      <c r="AE567" t="s">
        <v>74</v>
      </c>
      <c r="AF567" t="s">
        <v>74</v>
      </c>
      <c r="AG567">
        <v>56</v>
      </c>
      <c r="AH567">
        <v>35</v>
      </c>
      <c r="AI567">
        <v>35</v>
      </c>
      <c r="AJ567">
        <v>0</v>
      </c>
      <c r="AK567">
        <v>5</v>
      </c>
      <c r="AL567" t="s">
        <v>74</v>
      </c>
      <c r="AM567" t="s">
        <v>74</v>
      </c>
      <c r="AN567" t="s">
        <v>74</v>
      </c>
      <c r="AO567" t="s">
        <v>11443</v>
      </c>
      <c r="AP567" t="s">
        <v>11444</v>
      </c>
      <c r="AQ567" t="s">
        <v>74</v>
      </c>
      <c r="AR567" t="s">
        <v>74</v>
      </c>
      <c r="AS567" t="s">
        <v>74</v>
      </c>
      <c r="AT567" t="s">
        <v>1134</v>
      </c>
      <c r="AU567">
        <v>2013</v>
      </c>
      <c r="AV567">
        <v>24</v>
      </c>
      <c r="AW567">
        <v>22</v>
      </c>
      <c r="AX567" t="s">
        <v>74</v>
      </c>
      <c r="AY567" t="s">
        <v>74</v>
      </c>
      <c r="AZ567" t="s">
        <v>74</v>
      </c>
      <c r="BA567" t="s">
        <v>74</v>
      </c>
      <c r="BB567">
        <v>3496</v>
      </c>
      <c r="BC567">
        <v>3510</v>
      </c>
      <c r="BD567" t="s">
        <v>74</v>
      </c>
      <c r="BE567" t="s">
        <v>18196</v>
      </c>
      <c r="BF567" t="str">
        <f>HYPERLINK("http://dx.doi.org/10.1091/mbc.E12-07-0539","http://dx.doi.org/10.1091/mbc.E12-07-0539")</f>
        <v>http://dx.doi.org/10.1091/mbc.E12-07-0539</v>
      </c>
      <c r="BG567" t="s">
        <v>74</v>
      </c>
      <c r="BH567" t="s">
        <v>74</v>
      </c>
      <c r="BI567" t="s">
        <v>74</v>
      </c>
      <c r="BJ567" t="s">
        <v>135</v>
      </c>
      <c r="BK567" t="s">
        <v>117</v>
      </c>
      <c r="BL567" t="s">
        <v>135</v>
      </c>
      <c r="BM567" t="s">
        <v>74</v>
      </c>
      <c r="BN567">
        <v>24048452</v>
      </c>
      <c r="BO567" t="s">
        <v>74</v>
      </c>
      <c r="BP567" t="s">
        <v>74</v>
      </c>
      <c r="BQ567" t="s">
        <v>74</v>
      </c>
      <c r="BR567" t="s">
        <v>96</v>
      </c>
      <c r="BS567" t="s">
        <v>18197</v>
      </c>
      <c r="BT567" t="str">
        <f>HYPERLINK("https%3A%2F%2Fwww.webofscience.com%2Fwos%2Fwoscc%2Ffull-record%2FWOS:000328124600002","View Full Record in Web of Science")</f>
        <v>View Full Record in Web of Science</v>
      </c>
    </row>
    <row r="568" spans="1:72" x14ac:dyDescent="0.15">
      <c r="A568" t="s">
        <v>98</v>
      </c>
      <c r="B568" t="s">
        <v>22242</v>
      </c>
      <c r="C568" t="s">
        <v>74</v>
      </c>
      <c r="D568" t="s">
        <v>74</v>
      </c>
      <c r="E568" t="s">
        <v>74</v>
      </c>
      <c r="F568" t="s">
        <v>22243</v>
      </c>
      <c r="G568" t="s">
        <v>74</v>
      </c>
      <c r="H568" t="s">
        <v>74</v>
      </c>
      <c r="I568" t="s">
        <v>22244</v>
      </c>
      <c r="J568" t="s">
        <v>17730</v>
      </c>
      <c r="K568" t="s">
        <v>74</v>
      </c>
      <c r="L568" t="s">
        <v>74</v>
      </c>
      <c r="M568" t="s">
        <v>74</v>
      </c>
      <c r="N568" t="s">
        <v>103</v>
      </c>
      <c r="O568" t="s">
        <v>74</v>
      </c>
      <c r="P568" t="s">
        <v>74</v>
      </c>
      <c r="Q568" t="s">
        <v>74</v>
      </c>
      <c r="R568" t="s">
        <v>74</v>
      </c>
      <c r="S568" t="s">
        <v>74</v>
      </c>
      <c r="T568" t="s">
        <v>22245</v>
      </c>
      <c r="U568" t="s">
        <v>22246</v>
      </c>
      <c r="V568" t="s">
        <v>22247</v>
      </c>
      <c r="W568" t="s">
        <v>22248</v>
      </c>
      <c r="X568" t="s">
        <v>22249</v>
      </c>
      <c r="Y568" t="s">
        <v>22250</v>
      </c>
      <c r="Z568" t="s">
        <v>22251</v>
      </c>
      <c r="AA568" t="s">
        <v>22252</v>
      </c>
      <c r="AB568" t="s">
        <v>22253</v>
      </c>
      <c r="AC568" t="s">
        <v>74</v>
      </c>
      <c r="AD568" t="s">
        <v>74</v>
      </c>
      <c r="AE568" t="s">
        <v>74</v>
      </c>
      <c r="AF568" t="s">
        <v>74</v>
      </c>
      <c r="AG568">
        <v>117</v>
      </c>
      <c r="AH568">
        <v>35</v>
      </c>
      <c r="AI568">
        <v>35</v>
      </c>
      <c r="AJ568">
        <v>0</v>
      </c>
      <c r="AK568">
        <v>10</v>
      </c>
      <c r="AL568" t="s">
        <v>74</v>
      </c>
      <c r="AM568" t="s">
        <v>74</v>
      </c>
      <c r="AN568" t="s">
        <v>74</v>
      </c>
      <c r="AO568" t="s">
        <v>17738</v>
      </c>
      <c r="AP568" t="s">
        <v>17739</v>
      </c>
      <c r="AQ568" t="s">
        <v>74</v>
      </c>
      <c r="AR568" t="s">
        <v>74</v>
      </c>
      <c r="AS568" t="s">
        <v>74</v>
      </c>
      <c r="AT568" t="s">
        <v>7137</v>
      </c>
      <c r="AU568">
        <v>2017</v>
      </c>
      <c r="AV568">
        <v>231</v>
      </c>
      <c r="AW568" t="s">
        <v>74</v>
      </c>
      <c r="AX568" t="s">
        <v>74</v>
      </c>
      <c r="AY568" t="s">
        <v>74</v>
      </c>
      <c r="AZ568" t="s">
        <v>447</v>
      </c>
      <c r="BA568" t="s">
        <v>74</v>
      </c>
      <c r="BB568">
        <v>1</v>
      </c>
      <c r="BC568">
        <v>9</v>
      </c>
      <c r="BD568" t="s">
        <v>74</v>
      </c>
      <c r="BE568" t="s">
        <v>22254</v>
      </c>
      <c r="BF568" t="str">
        <f>HYPERLINK("http://dx.doi.org/10.1016/j.virusres.2016.10.015","http://dx.doi.org/10.1016/j.virusres.2016.10.015")</f>
        <v>http://dx.doi.org/10.1016/j.virusres.2016.10.015</v>
      </c>
      <c r="BG568" t="s">
        <v>74</v>
      </c>
      <c r="BH568" t="s">
        <v>74</v>
      </c>
      <c r="BI568" t="s">
        <v>74</v>
      </c>
      <c r="BJ568" t="s">
        <v>932</v>
      </c>
      <c r="BK568" t="s">
        <v>117</v>
      </c>
      <c r="BL568" t="s">
        <v>932</v>
      </c>
      <c r="BM568" t="s">
        <v>74</v>
      </c>
      <c r="BN568">
        <v>27984059</v>
      </c>
      <c r="BO568" t="s">
        <v>74</v>
      </c>
      <c r="BP568" t="s">
        <v>74</v>
      </c>
      <c r="BQ568" t="s">
        <v>74</v>
      </c>
      <c r="BR568" t="s">
        <v>96</v>
      </c>
      <c r="BS568" t="s">
        <v>22255</v>
      </c>
      <c r="BT568" t="str">
        <f>HYPERLINK("https%3A%2F%2Fwww.webofscience.com%2Fwos%2Fwoscc%2Ffull-record%2FWOS:000397076900002","View Full Record in Web of Science")</f>
        <v>View Full Record in Web of Science</v>
      </c>
    </row>
    <row r="569" spans="1:72" x14ac:dyDescent="0.15">
      <c r="A569" t="s">
        <v>98</v>
      </c>
      <c r="B569" t="s">
        <v>24310</v>
      </c>
      <c r="C569" t="s">
        <v>74</v>
      </c>
      <c r="D569" t="s">
        <v>74</v>
      </c>
      <c r="E569" t="s">
        <v>74</v>
      </c>
      <c r="F569" t="s">
        <v>24311</v>
      </c>
      <c r="G569" t="s">
        <v>74</v>
      </c>
      <c r="H569" t="s">
        <v>74</v>
      </c>
      <c r="I569" t="s">
        <v>24312</v>
      </c>
      <c r="J569" t="s">
        <v>11967</v>
      </c>
      <c r="K569" t="s">
        <v>74</v>
      </c>
      <c r="L569" t="s">
        <v>74</v>
      </c>
      <c r="M569" t="s">
        <v>74</v>
      </c>
      <c r="N569" t="s">
        <v>103</v>
      </c>
      <c r="O569" t="s">
        <v>74</v>
      </c>
      <c r="P569" t="s">
        <v>74</v>
      </c>
      <c r="Q569" t="s">
        <v>74</v>
      </c>
      <c r="R569" t="s">
        <v>74</v>
      </c>
      <c r="S569" t="s">
        <v>74</v>
      </c>
      <c r="T569" t="s">
        <v>24313</v>
      </c>
      <c r="U569" t="s">
        <v>24314</v>
      </c>
      <c r="V569" t="s">
        <v>24315</v>
      </c>
      <c r="W569" t="s">
        <v>24316</v>
      </c>
      <c r="X569" t="s">
        <v>24317</v>
      </c>
      <c r="Y569" t="s">
        <v>24318</v>
      </c>
      <c r="Z569" t="s">
        <v>24319</v>
      </c>
      <c r="AA569" t="s">
        <v>74</v>
      </c>
      <c r="AB569" t="s">
        <v>74</v>
      </c>
      <c r="AC569" t="s">
        <v>74</v>
      </c>
      <c r="AD569" t="s">
        <v>74</v>
      </c>
      <c r="AE569" t="s">
        <v>74</v>
      </c>
      <c r="AF569" t="s">
        <v>74</v>
      </c>
      <c r="AG569">
        <v>22</v>
      </c>
      <c r="AH569">
        <v>35</v>
      </c>
      <c r="AI569">
        <v>35</v>
      </c>
      <c r="AJ569">
        <v>2</v>
      </c>
      <c r="AK569">
        <v>18</v>
      </c>
      <c r="AL569" t="s">
        <v>74</v>
      </c>
      <c r="AM569" t="s">
        <v>74</v>
      </c>
      <c r="AN569" t="s">
        <v>74</v>
      </c>
      <c r="AO569" t="s">
        <v>11976</v>
      </c>
      <c r="AP569" t="s">
        <v>11977</v>
      </c>
      <c r="AQ569" t="s">
        <v>74</v>
      </c>
      <c r="AR569" t="s">
        <v>74</v>
      </c>
      <c r="AS569" t="s">
        <v>74</v>
      </c>
      <c r="AT569" t="s">
        <v>230</v>
      </c>
      <c r="AU569">
        <v>2018</v>
      </c>
      <c r="AV569">
        <v>28</v>
      </c>
      <c r="AW569">
        <v>4</v>
      </c>
      <c r="AX569" t="s">
        <v>74</v>
      </c>
      <c r="AY569" t="s">
        <v>74</v>
      </c>
      <c r="AZ569" t="s">
        <v>74</v>
      </c>
      <c r="BA569" t="s">
        <v>74</v>
      </c>
      <c r="BB569">
        <v>295</v>
      </c>
      <c r="BC569">
        <v>303</v>
      </c>
      <c r="BD569" t="s">
        <v>74</v>
      </c>
      <c r="BE569" t="s">
        <v>24320</v>
      </c>
      <c r="BF569" t="str">
        <f>HYPERLINK("http://dx.doi.org/10.1097/CMR.0000000000000450","http://dx.doi.org/10.1097/CMR.0000000000000450")</f>
        <v>http://dx.doi.org/10.1097/CMR.0000000000000450</v>
      </c>
      <c r="BG569" t="s">
        <v>74</v>
      </c>
      <c r="BH569" t="s">
        <v>74</v>
      </c>
      <c r="BI569" t="s">
        <v>74</v>
      </c>
      <c r="BJ569" t="s">
        <v>11979</v>
      </c>
      <c r="BK569" t="s">
        <v>117</v>
      </c>
      <c r="BL569" t="s">
        <v>11980</v>
      </c>
      <c r="BM569" t="s">
        <v>74</v>
      </c>
      <c r="BN569">
        <v>29750752</v>
      </c>
      <c r="BO569" t="s">
        <v>74</v>
      </c>
      <c r="BP569" t="s">
        <v>74</v>
      </c>
      <c r="BQ569" t="s">
        <v>74</v>
      </c>
      <c r="BR569" t="s">
        <v>96</v>
      </c>
      <c r="BS569" t="s">
        <v>24321</v>
      </c>
      <c r="BT569" t="str">
        <f>HYPERLINK("https%3A%2F%2Fwww.webofscience.com%2Fwos%2Fwoscc%2Ffull-record%2FWOS:000437756800005","View Full Record in Web of Science")</f>
        <v>View Full Record in Web of Science</v>
      </c>
    </row>
    <row r="570" spans="1:72" x14ac:dyDescent="0.15">
      <c r="A570" t="s">
        <v>98</v>
      </c>
      <c r="B570" t="s">
        <v>25443</v>
      </c>
      <c r="C570" t="s">
        <v>74</v>
      </c>
      <c r="D570" t="s">
        <v>74</v>
      </c>
      <c r="E570" t="s">
        <v>74</v>
      </c>
      <c r="F570" t="s">
        <v>25444</v>
      </c>
      <c r="G570" t="s">
        <v>74</v>
      </c>
      <c r="H570" t="s">
        <v>74</v>
      </c>
      <c r="I570" t="s">
        <v>25445</v>
      </c>
      <c r="J570" t="s">
        <v>25446</v>
      </c>
      <c r="K570" t="s">
        <v>74</v>
      </c>
      <c r="L570" t="s">
        <v>74</v>
      </c>
      <c r="M570" t="s">
        <v>74</v>
      </c>
      <c r="N570" t="s">
        <v>103</v>
      </c>
      <c r="O570" t="s">
        <v>74</v>
      </c>
      <c r="P570" t="s">
        <v>74</v>
      </c>
      <c r="Q570" t="s">
        <v>74</v>
      </c>
      <c r="R570" t="s">
        <v>74</v>
      </c>
      <c r="S570" t="s">
        <v>74</v>
      </c>
      <c r="T570" t="s">
        <v>25447</v>
      </c>
      <c r="U570" t="s">
        <v>25448</v>
      </c>
      <c r="V570" t="s">
        <v>25449</v>
      </c>
      <c r="W570" t="s">
        <v>25450</v>
      </c>
      <c r="X570" t="s">
        <v>25451</v>
      </c>
      <c r="Y570" t="s">
        <v>25452</v>
      </c>
      <c r="Z570" t="s">
        <v>25453</v>
      </c>
      <c r="AA570" t="s">
        <v>25454</v>
      </c>
      <c r="AB570" t="s">
        <v>25455</v>
      </c>
      <c r="AC570" t="s">
        <v>74</v>
      </c>
      <c r="AD570" t="s">
        <v>74</v>
      </c>
      <c r="AE570" t="s">
        <v>74</v>
      </c>
      <c r="AF570" t="s">
        <v>74</v>
      </c>
      <c r="AG570">
        <v>75</v>
      </c>
      <c r="AH570">
        <v>35</v>
      </c>
      <c r="AI570">
        <v>36</v>
      </c>
      <c r="AJ570">
        <v>0</v>
      </c>
      <c r="AK570">
        <v>8</v>
      </c>
      <c r="AL570" t="s">
        <v>74</v>
      </c>
      <c r="AM570" t="s">
        <v>74</v>
      </c>
      <c r="AN570" t="s">
        <v>74</v>
      </c>
      <c r="AO570" t="s">
        <v>74</v>
      </c>
      <c r="AP570" t="s">
        <v>25456</v>
      </c>
      <c r="AQ570" t="s">
        <v>74</v>
      </c>
      <c r="AR570" t="s">
        <v>74</v>
      </c>
      <c r="AS570" t="s">
        <v>74</v>
      </c>
      <c r="AT570" t="s">
        <v>25457</v>
      </c>
      <c r="AU570">
        <v>2018</v>
      </c>
      <c r="AV570">
        <v>16</v>
      </c>
      <c r="AW570" t="s">
        <v>74</v>
      </c>
      <c r="AX570" t="s">
        <v>74</v>
      </c>
      <c r="AY570" t="s">
        <v>74</v>
      </c>
      <c r="AZ570" t="s">
        <v>74</v>
      </c>
      <c r="BA570" t="s">
        <v>74</v>
      </c>
      <c r="BB570" t="s">
        <v>74</v>
      </c>
      <c r="BC570" t="s">
        <v>74</v>
      </c>
      <c r="BD570">
        <v>52</v>
      </c>
      <c r="BE570" t="s">
        <v>25458</v>
      </c>
      <c r="BF570" t="str">
        <f>HYPERLINK("http://dx.doi.org/10.1186/s12915-018-0522-7","http://dx.doi.org/10.1186/s12915-018-0522-7")</f>
        <v>http://dx.doi.org/10.1186/s12915-018-0522-7</v>
      </c>
      <c r="BG570" t="s">
        <v>74</v>
      </c>
      <c r="BH570" t="s">
        <v>74</v>
      </c>
      <c r="BI570" t="s">
        <v>74</v>
      </c>
      <c r="BJ570" t="s">
        <v>1643</v>
      </c>
      <c r="BK570" t="s">
        <v>117</v>
      </c>
      <c r="BL570" t="s">
        <v>1644</v>
      </c>
      <c r="BM570" t="s">
        <v>74</v>
      </c>
      <c r="BN570">
        <v>29759067</v>
      </c>
      <c r="BO570" t="s">
        <v>74</v>
      </c>
      <c r="BP570" t="s">
        <v>74</v>
      </c>
      <c r="BQ570" t="s">
        <v>74</v>
      </c>
      <c r="BR570" t="s">
        <v>96</v>
      </c>
      <c r="BS570" t="s">
        <v>25459</v>
      </c>
      <c r="BT570" t="str">
        <f>HYPERLINK("https%3A%2F%2Fwww.webofscience.com%2Fwos%2Fwoscc%2Ffull-record%2FWOS:000432834700001","View Full Record in Web of Science")</f>
        <v>View Full Record in Web of Science</v>
      </c>
    </row>
    <row r="571" spans="1:72" x14ac:dyDescent="0.15">
      <c r="A571" t="s">
        <v>98</v>
      </c>
      <c r="B571" t="s">
        <v>27269</v>
      </c>
      <c r="C571" t="s">
        <v>74</v>
      </c>
      <c r="D571" t="s">
        <v>74</v>
      </c>
      <c r="E571" t="s">
        <v>74</v>
      </c>
      <c r="F571" t="s">
        <v>27270</v>
      </c>
      <c r="G571" t="s">
        <v>74</v>
      </c>
      <c r="H571" t="s">
        <v>74</v>
      </c>
      <c r="I571" t="s">
        <v>27271</v>
      </c>
      <c r="J571" t="s">
        <v>10479</v>
      </c>
      <c r="K571" t="s">
        <v>74</v>
      </c>
      <c r="L571" t="s">
        <v>74</v>
      </c>
      <c r="M571" t="s">
        <v>74</v>
      </c>
      <c r="N571" t="s">
        <v>103</v>
      </c>
      <c r="O571" t="s">
        <v>74</v>
      </c>
      <c r="P571" t="s">
        <v>74</v>
      </c>
      <c r="Q571" t="s">
        <v>74</v>
      </c>
      <c r="R571" t="s">
        <v>74</v>
      </c>
      <c r="S571" t="s">
        <v>74</v>
      </c>
      <c r="T571" t="s">
        <v>27272</v>
      </c>
      <c r="U571" t="s">
        <v>27273</v>
      </c>
      <c r="V571" t="s">
        <v>27274</v>
      </c>
      <c r="W571" t="s">
        <v>27275</v>
      </c>
      <c r="X571" t="s">
        <v>27276</v>
      </c>
      <c r="Y571" t="s">
        <v>27277</v>
      </c>
      <c r="Z571" t="s">
        <v>27278</v>
      </c>
      <c r="AA571" t="s">
        <v>27279</v>
      </c>
      <c r="AB571" t="s">
        <v>27280</v>
      </c>
      <c r="AC571" t="s">
        <v>74</v>
      </c>
      <c r="AD571" t="s">
        <v>74</v>
      </c>
      <c r="AE571" t="s">
        <v>74</v>
      </c>
      <c r="AF571" t="s">
        <v>74</v>
      </c>
      <c r="AG571">
        <v>50</v>
      </c>
      <c r="AH571">
        <v>35</v>
      </c>
      <c r="AI571">
        <v>39</v>
      </c>
      <c r="AJ571">
        <v>0</v>
      </c>
      <c r="AK571">
        <v>11</v>
      </c>
      <c r="AL571" t="s">
        <v>74</v>
      </c>
      <c r="AM571" t="s">
        <v>74</v>
      </c>
      <c r="AN571" t="s">
        <v>74</v>
      </c>
      <c r="AO571" t="s">
        <v>10485</v>
      </c>
      <c r="AP571" t="s">
        <v>10486</v>
      </c>
      <c r="AQ571" t="s">
        <v>74</v>
      </c>
      <c r="AR571" t="s">
        <v>74</v>
      </c>
      <c r="AS571" t="s">
        <v>74</v>
      </c>
      <c r="AT571" t="s">
        <v>565</v>
      </c>
      <c r="AU571">
        <v>2011</v>
      </c>
      <c r="AV571">
        <v>37</v>
      </c>
      <c r="AW571">
        <v>2</v>
      </c>
      <c r="AX571" t="s">
        <v>74</v>
      </c>
      <c r="AY571" t="s">
        <v>74</v>
      </c>
      <c r="AZ571" t="s">
        <v>74</v>
      </c>
      <c r="BA571" t="s">
        <v>74</v>
      </c>
      <c r="BB571">
        <v>146</v>
      </c>
      <c r="BC571">
        <v>152</v>
      </c>
      <c r="BD571" t="s">
        <v>74</v>
      </c>
      <c r="BE571" t="s">
        <v>27281</v>
      </c>
      <c r="BF571" t="str">
        <f>HYPERLINK("http://dx.doi.org/10.1055/s-0030-1270342","http://dx.doi.org/10.1055/s-0030-1270342")</f>
        <v>http://dx.doi.org/10.1055/s-0030-1270342</v>
      </c>
      <c r="BG571" t="s">
        <v>74</v>
      </c>
      <c r="BH571" t="s">
        <v>74</v>
      </c>
      <c r="BI571" t="s">
        <v>74</v>
      </c>
      <c r="BJ571" t="s">
        <v>584</v>
      </c>
      <c r="BK571" t="s">
        <v>117</v>
      </c>
      <c r="BL571" t="s">
        <v>585</v>
      </c>
      <c r="BM571" t="s">
        <v>74</v>
      </c>
      <c r="BN571">
        <v>21370216</v>
      </c>
      <c r="BO571" t="s">
        <v>74</v>
      </c>
      <c r="BP571" t="s">
        <v>74</v>
      </c>
      <c r="BQ571" t="s">
        <v>74</v>
      </c>
      <c r="BR571" t="s">
        <v>96</v>
      </c>
      <c r="BS571" t="s">
        <v>27282</v>
      </c>
      <c r="BT571" t="str">
        <f>HYPERLINK("https%3A%2F%2Fwww.webofscience.com%2Fwos%2Fwoscc%2Ffull-record%2FWOS:000287558800010","View Full Record in Web of Science")</f>
        <v>View Full Record in Web of Science</v>
      </c>
    </row>
    <row r="572" spans="1:72" x14ac:dyDescent="0.15">
      <c r="A572" t="s">
        <v>98</v>
      </c>
      <c r="B572" t="s">
        <v>28228</v>
      </c>
      <c r="C572" t="s">
        <v>74</v>
      </c>
      <c r="D572" t="s">
        <v>74</v>
      </c>
      <c r="E572" t="s">
        <v>74</v>
      </c>
      <c r="F572" t="s">
        <v>28229</v>
      </c>
      <c r="G572" t="s">
        <v>74</v>
      </c>
      <c r="H572" t="s">
        <v>74</v>
      </c>
      <c r="I572" t="s">
        <v>28230</v>
      </c>
      <c r="J572" t="s">
        <v>4519</v>
      </c>
      <c r="K572" t="s">
        <v>74</v>
      </c>
      <c r="L572" t="s">
        <v>74</v>
      </c>
      <c r="M572" t="s">
        <v>74</v>
      </c>
      <c r="N572" t="s">
        <v>103</v>
      </c>
      <c r="O572" t="s">
        <v>74</v>
      </c>
      <c r="P572" t="s">
        <v>74</v>
      </c>
      <c r="Q572" t="s">
        <v>74</v>
      </c>
      <c r="R572" t="s">
        <v>74</v>
      </c>
      <c r="S572" t="s">
        <v>74</v>
      </c>
      <c r="T572" t="s">
        <v>74</v>
      </c>
      <c r="U572" t="s">
        <v>28231</v>
      </c>
      <c r="V572" t="s">
        <v>28232</v>
      </c>
      <c r="W572" t="s">
        <v>28233</v>
      </c>
      <c r="X572" t="s">
        <v>28234</v>
      </c>
      <c r="Y572" t="s">
        <v>28235</v>
      </c>
      <c r="Z572" t="s">
        <v>28236</v>
      </c>
      <c r="AA572" t="s">
        <v>28237</v>
      </c>
      <c r="AB572" t="s">
        <v>28238</v>
      </c>
      <c r="AC572" t="s">
        <v>74</v>
      </c>
      <c r="AD572" t="s">
        <v>74</v>
      </c>
      <c r="AE572" t="s">
        <v>74</v>
      </c>
      <c r="AF572" t="s">
        <v>74</v>
      </c>
      <c r="AG572">
        <v>76</v>
      </c>
      <c r="AH572">
        <v>35</v>
      </c>
      <c r="AI572">
        <v>36</v>
      </c>
      <c r="AJ572">
        <v>4</v>
      </c>
      <c r="AK572">
        <v>63</v>
      </c>
      <c r="AL572" t="s">
        <v>74</v>
      </c>
      <c r="AM572" t="s">
        <v>74</v>
      </c>
      <c r="AN572" t="s">
        <v>74</v>
      </c>
      <c r="AO572" t="s">
        <v>4528</v>
      </c>
      <c r="AP572" t="s">
        <v>4529</v>
      </c>
      <c r="AQ572" t="s">
        <v>74</v>
      </c>
      <c r="AR572" t="s">
        <v>74</v>
      </c>
      <c r="AS572" t="s">
        <v>74</v>
      </c>
      <c r="AT572" t="s">
        <v>74</v>
      </c>
      <c r="AU572">
        <v>2016</v>
      </c>
      <c r="AV572">
        <v>8</v>
      </c>
      <c r="AW572">
        <v>30</v>
      </c>
      <c r="AX572" t="s">
        <v>74</v>
      </c>
      <c r="AY572" t="s">
        <v>74</v>
      </c>
      <c r="AZ572" t="s">
        <v>74</v>
      </c>
      <c r="BA572" t="s">
        <v>74</v>
      </c>
      <c r="BB572">
        <v>14420</v>
      </c>
      <c r="BC572">
        <v>14431</v>
      </c>
      <c r="BD572" t="s">
        <v>74</v>
      </c>
      <c r="BE572" t="s">
        <v>28239</v>
      </c>
      <c r="BF572" t="str">
        <f>HYPERLINK("http://dx.doi.org/10.1039/c6nr03371g","http://dx.doi.org/10.1039/c6nr03371g")</f>
        <v>http://dx.doi.org/10.1039/c6nr03371g</v>
      </c>
      <c r="BG572" t="s">
        <v>74</v>
      </c>
      <c r="BH572" t="s">
        <v>74</v>
      </c>
      <c r="BI572" t="s">
        <v>74</v>
      </c>
      <c r="BJ572" t="s">
        <v>4532</v>
      </c>
      <c r="BK572" t="s">
        <v>117</v>
      </c>
      <c r="BL572" t="s">
        <v>251</v>
      </c>
      <c r="BM572" t="s">
        <v>74</v>
      </c>
      <c r="BN572">
        <v>27321911</v>
      </c>
      <c r="BO572" t="s">
        <v>74</v>
      </c>
      <c r="BP572" t="s">
        <v>74</v>
      </c>
      <c r="BQ572" t="s">
        <v>74</v>
      </c>
      <c r="BR572" t="s">
        <v>96</v>
      </c>
      <c r="BS572" t="s">
        <v>28240</v>
      </c>
      <c r="BT572" t="str">
        <f>HYPERLINK("https%3A%2F%2Fwww.webofscience.com%2Fwos%2Fwoscc%2Ffull-record%2FWOS:000381417800011","View Full Record in Web of Science")</f>
        <v>View Full Record in Web of Science</v>
      </c>
    </row>
    <row r="573" spans="1:72" x14ac:dyDescent="0.15">
      <c r="A573" t="s">
        <v>98</v>
      </c>
      <c r="B573" t="s">
        <v>29347</v>
      </c>
      <c r="C573" t="s">
        <v>74</v>
      </c>
      <c r="D573" t="s">
        <v>74</v>
      </c>
      <c r="E573" t="s">
        <v>74</v>
      </c>
      <c r="F573" t="s">
        <v>29348</v>
      </c>
      <c r="G573" t="s">
        <v>74</v>
      </c>
      <c r="H573" t="s">
        <v>74</v>
      </c>
      <c r="I573" t="s">
        <v>29349</v>
      </c>
      <c r="J573" t="s">
        <v>29350</v>
      </c>
      <c r="K573" t="s">
        <v>74</v>
      </c>
      <c r="L573" t="s">
        <v>74</v>
      </c>
      <c r="M573" t="s">
        <v>74</v>
      </c>
      <c r="N573" t="s">
        <v>103</v>
      </c>
      <c r="O573" t="s">
        <v>74</v>
      </c>
      <c r="P573" t="s">
        <v>74</v>
      </c>
      <c r="Q573" t="s">
        <v>74</v>
      </c>
      <c r="R573" t="s">
        <v>74</v>
      </c>
      <c r="S573" t="s">
        <v>74</v>
      </c>
      <c r="T573" t="s">
        <v>29351</v>
      </c>
      <c r="U573" t="s">
        <v>29352</v>
      </c>
      <c r="V573" t="s">
        <v>29353</v>
      </c>
      <c r="W573" t="s">
        <v>29354</v>
      </c>
      <c r="X573" t="s">
        <v>29355</v>
      </c>
      <c r="Y573" t="s">
        <v>29356</v>
      </c>
      <c r="Z573" t="s">
        <v>29357</v>
      </c>
      <c r="AA573" t="s">
        <v>29358</v>
      </c>
      <c r="AB573" t="s">
        <v>29359</v>
      </c>
      <c r="AC573" t="s">
        <v>74</v>
      </c>
      <c r="AD573" t="s">
        <v>74</v>
      </c>
      <c r="AE573" t="s">
        <v>74</v>
      </c>
      <c r="AF573" t="s">
        <v>74</v>
      </c>
      <c r="AG573">
        <v>43</v>
      </c>
      <c r="AH573">
        <v>35</v>
      </c>
      <c r="AI573">
        <v>35</v>
      </c>
      <c r="AJ573">
        <v>0</v>
      </c>
      <c r="AK573">
        <v>6</v>
      </c>
      <c r="AL573" t="s">
        <v>74</v>
      </c>
      <c r="AM573" t="s">
        <v>74</v>
      </c>
      <c r="AN573" t="s">
        <v>74</v>
      </c>
      <c r="AO573" t="s">
        <v>29360</v>
      </c>
      <c r="AP573" t="s">
        <v>74</v>
      </c>
      <c r="AQ573" t="s">
        <v>74</v>
      </c>
      <c r="AR573" t="s">
        <v>74</v>
      </c>
      <c r="AS573" t="s">
        <v>74</v>
      </c>
      <c r="AT573" t="s">
        <v>29361</v>
      </c>
      <c r="AU573">
        <v>2018</v>
      </c>
      <c r="AV573">
        <v>11</v>
      </c>
      <c r="AW573" t="s">
        <v>74</v>
      </c>
      <c r="AX573" t="s">
        <v>74</v>
      </c>
      <c r="AY573" t="s">
        <v>74</v>
      </c>
      <c r="AZ573" t="s">
        <v>74</v>
      </c>
      <c r="BA573" t="s">
        <v>74</v>
      </c>
      <c r="BB573" t="s">
        <v>74</v>
      </c>
      <c r="BC573" t="s">
        <v>74</v>
      </c>
      <c r="BD573">
        <v>83</v>
      </c>
      <c r="BE573" t="s">
        <v>29362</v>
      </c>
      <c r="BF573" t="str">
        <f>HYPERLINK("http://dx.doi.org/10.1186/s13071-018-2664-4","http://dx.doi.org/10.1186/s13071-018-2664-4")</f>
        <v>http://dx.doi.org/10.1186/s13071-018-2664-4</v>
      </c>
      <c r="BG573" t="s">
        <v>74</v>
      </c>
      <c r="BH573" t="s">
        <v>74</v>
      </c>
      <c r="BI573" t="s">
        <v>74</v>
      </c>
      <c r="BJ573" t="s">
        <v>29363</v>
      </c>
      <c r="BK573" t="s">
        <v>117</v>
      </c>
      <c r="BL573" t="s">
        <v>29363</v>
      </c>
      <c r="BM573" t="s">
        <v>74</v>
      </c>
      <c r="BN573">
        <v>29409544</v>
      </c>
      <c r="BO573" t="s">
        <v>74</v>
      </c>
      <c r="BP573" t="s">
        <v>74</v>
      </c>
      <c r="BQ573" t="s">
        <v>74</v>
      </c>
      <c r="BR573" t="s">
        <v>96</v>
      </c>
      <c r="BS573" t="s">
        <v>29364</v>
      </c>
      <c r="BT573" t="str">
        <f>HYPERLINK("https%3A%2F%2Fwww.webofscience.com%2Fwos%2Fwoscc%2Ffull-record%2FWOS:000424783500002","View Full Record in Web of Science")</f>
        <v>View Full Record in Web of Science</v>
      </c>
    </row>
    <row r="574" spans="1:72" x14ac:dyDescent="0.15">
      <c r="A574" t="s">
        <v>98</v>
      </c>
      <c r="B574" t="s">
        <v>976</v>
      </c>
      <c r="C574" t="s">
        <v>74</v>
      </c>
      <c r="D574" t="s">
        <v>74</v>
      </c>
      <c r="E574" t="s">
        <v>74</v>
      </c>
      <c r="F574" t="s">
        <v>977</v>
      </c>
      <c r="G574" t="s">
        <v>74</v>
      </c>
      <c r="H574" t="s">
        <v>74</v>
      </c>
      <c r="I574" t="s">
        <v>978</v>
      </c>
      <c r="J574" t="s">
        <v>979</v>
      </c>
      <c r="K574" t="s">
        <v>74</v>
      </c>
      <c r="L574" t="s">
        <v>74</v>
      </c>
      <c r="M574" t="s">
        <v>74</v>
      </c>
      <c r="N574" t="s">
        <v>980</v>
      </c>
      <c r="O574" t="s">
        <v>981</v>
      </c>
      <c r="P574" t="s">
        <v>982</v>
      </c>
      <c r="Q574" t="s">
        <v>983</v>
      </c>
      <c r="R574" t="s">
        <v>74</v>
      </c>
      <c r="S574" t="s">
        <v>74</v>
      </c>
      <c r="T574" t="s">
        <v>984</v>
      </c>
      <c r="U574" t="s">
        <v>985</v>
      </c>
      <c r="V574" t="s">
        <v>986</v>
      </c>
      <c r="W574" t="s">
        <v>987</v>
      </c>
      <c r="X574" t="s">
        <v>988</v>
      </c>
      <c r="Y574" t="s">
        <v>989</v>
      </c>
      <c r="Z574" t="s">
        <v>990</v>
      </c>
      <c r="AA574" t="s">
        <v>991</v>
      </c>
      <c r="AB574" t="s">
        <v>992</v>
      </c>
      <c r="AC574" t="s">
        <v>74</v>
      </c>
      <c r="AD574" t="s">
        <v>74</v>
      </c>
      <c r="AE574" t="s">
        <v>74</v>
      </c>
      <c r="AF574" t="s">
        <v>74</v>
      </c>
      <c r="AG574">
        <v>127</v>
      </c>
      <c r="AH574">
        <v>34</v>
      </c>
      <c r="AI574">
        <v>36</v>
      </c>
      <c r="AJ574">
        <v>1</v>
      </c>
      <c r="AK574">
        <v>10</v>
      </c>
      <c r="AL574" t="s">
        <v>74</v>
      </c>
      <c r="AM574" t="s">
        <v>74</v>
      </c>
      <c r="AN574" t="s">
        <v>74</v>
      </c>
      <c r="AO574" t="s">
        <v>993</v>
      </c>
      <c r="AP574" t="s">
        <v>994</v>
      </c>
      <c r="AQ574" t="s">
        <v>74</v>
      </c>
      <c r="AR574" t="s">
        <v>74</v>
      </c>
      <c r="AS574" t="s">
        <v>74</v>
      </c>
      <c r="AT574" t="s">
        <v>132</v>
      </c>
      <c r="AU574">
        <v>2016</v>
      </c>
      <c r="AV574">
        <v>33</v>
      </c>
      <c r="AW574">
        <v>2</v>
      </c>
      <c r="AX574" t="s">
        <v>74</v>
      </c>
      <c r="AY574" t="s">
        <v>74</v>
      </c>
      <c r="AZ574" t="s">
        <v>74</v>
      </c>
      <c r="BA574" t="s">
        <v>74</v>
      </c>
      <c r="BB574">
        <v>77</v>
      </c>
      <c r="BC574">
        <v>88</v>
      </c>
      <c r="BD574" t="s">
        <v>74</v>
      </c>
      <c r="BE574" t="s">
        <v>995</v>
      </c>
      <c r="BF574" t="str">
        <f>HYPERLINK("http://dx.doi.org/10.1007/s10014-016-0259-3","http://dx.doi.org/10.1007/s10014-016-0259-3")</f>
        <v>http://dx.doi.org/10.1007/s10014-016-0259-3</v>
      </c>
      <c r="BG574" t="s">
        <v>74</v>
      </c>
      <c r="BH574" t="s">
        <v>74</v>
      </c>
      <c r="BI574" t="s">
        <v>74</v>
      </c>
      <c r="BJ574" t="s">
        <v>996</v>
      </c>
      <c r="BK574" t="s">
        <v>997</v>
      </c>
      <c r="BL574" t="s">
        <v>998</v>
      </c>
      <c r="BM574" t="s">
        <v>74</v>
      </c>
      <c r="BN574">
        <v>26968172</v>
      </c>
      <c r="BO574" t="s">
        <v>74</v>
      </c>
      <c r="BP574" t="s">
        <v>74</v>
      </c>
      <c r="BQ574" t="s">
        <v>74</v>
      </c>
      <c r="BR574" t="s">
        <v>96</v>
      </c>
      <c r="BS574" t="s">
        <v>999</v>
      </c>
      <c r="BT574" t="str">
        <f>HYPERLINK("https%3A%2F%2Fwww.webofscience.com%2Fwos%2Fwoscc%2Ffull-record%2FWOS:000373565700002","View Full Record in Web of Science")</f>
        <v>View Full Record in Web of Science</v>
      </c>
    </row>
    <row r="575" spans="1:72" x14ac:dyDescent="0.15">
      <c r="A575" t="s">
        <v>98</v>
      </c>
      <c r="B575" t="s">
        <v>8357</v>
      </c>
      <c r="C575" t="s">
        <v>74</v>
      </c>
      <c r="D575" t="s">
        <v>74</v>
      </c>
      <c r="E575" t="s">
        <v>74</v>
      </c>
      <c r="F575" t="s">
        <v>8358</v>
      </c>
      <c r="G575" t="s">
        <v>74</v>
      </c>
      <c r="H575" t="s">
        <v>74</v>
      </c>
      <c r="I575" t="s">
        <v>8359</v>
      </c>
      <c r="J575" t="s">
        <v>1217</v>
      </c>
      <c r="K575" t="s">
        <v>74</v>
      </c>
      <c r="L575" t="s">
        <v>74</v>
      </c>
      <c r="M575" t="s">
        <v>74</v>
      </c>
      <c r="N575" t="s">
        <v>103</v>
      </c>
      <c r="O575" t="s">
        <v>74</v>
      </c>
      <c r="P575" t="s">
        <v>74</v>
      </c>
      <c r="Q575" t="s">
        <v>74</v>
      </c>
      <c r="R575" t="s">
        <v>74</v>
      </c>
      <c r="S575" t="s">
        <v>74</v>
      </c>
      <c r="T575" t="s">
        <v>8360</v>
      </c>
      <c r="U575" t="s">
        <v>8361</v>
      </c>
      <c r="V575" t="s">
        <v>8362</v>
      </c>
      <c r="W575" t="s">
        <v>8363</v>
      </c>
      <c r="X575" t="s">
        <v>8364</v>
      </c>
      <c r="Y575" t="s">
        <v>8365</v>
      </c>
      <c r="Z575" t="s">
        <v>8366</v>
      </c>
      <c r="AA575" t="s">
        <v>8367</v>
      </c>
      <c r="AB575" t="s">
        <v>7283</v>
      </c>
      <c r="AC575" t="s">
        <v>74</v>
      </c>
      <c r="AD575" t="s">
        <v>74</v>
      </c>
      <c r="AE575" t="s">
        <v>74</v>
      </c>
      <c r="AF575" t="s">
        <v>74</v>
      </c>
      <c r="AG575">
        <v>33</v>
      </c>
      <c r="AH575">
        <v>34</v>
      </c>
      <c r="AI575">
        <v>34</v>
      </c>
      <c r="AJ575">
        <v>24</v>
      </c>
      <c r="AK575">
        <v>170</v>
      </c>
      <c r="AL575" t="s">
        <v>74</v>
      </c>
      <c r="AM575" t="s">
        <v>74</v>
      </c>
      <c r="AN575" t="s">
        <v>74</v>
      </c>
      <c r="AO575" t="s">
        <v>1227</v>
      </c>
      <c r="AP575" t="s">
        <v>74</v>
      </c>
      <c r="AQ575" t="s">
        <v>74</v>
      </c>
      <c r="AR575" t="s">
        <v>74</v>
      </c>
      <c r="AS575" t="s">
        <v>74</v>
      </c>
      <c r="AT575" t="s">
        <v>1029</v>
      </c>
      <c r="AU575">
        <v>2019</v>
      </c>
      <c r="AV575">
        <v>4</v>
      </c>
      <c r="AW575">
        <v>5</v>
      </c>
      <c r="AX575" t="s">
        <v>74</v>
      </c>
      <c r="AY575" t="s">
        <v>74</v>
      </c>
      <c r="AZ575" t="s">
        <v>74</v>
      </c>
      <c r="BA575" t="s">
        <v>74</v>
      </c>
      <c r="BB575">
        <v>1433</v>
      </c>
      <c r="BC575">
        <v>1441</v>
      </c>
      <c r="BD575" t="s">
        <v>74</v>
      </c>
      <c r="BE575" t="s">
        <v>8368</v>
      </c>
      <c r="BF575" t="str">
        <f>HYPERLINK("http://dx.doi.org/10.1021/acssensors.9b00621","http://dx.doi.org/10.1021/acssensors.9b00621")</f>
        <v>http://dx.doi.org/10.1021/acssensors.9b00621</v>
      </c>
      <c r="BG575" t="s">
        <v>74</v>
      </c>
      <c r="BH575" t="s">
        <v>74</v>
      </c>
      <c r="BI575" t="s">
        <v>74</v>
      </c>
      <c r="BJ575" t="s">
        <v>1229</v>
      </c>
      <c r="BK575" t="s">
        <v>117</v>
      </c>
      <c r="BL575" t="s">
        <v>1230</v>
      </c>
      <c r="BM575" t="s">
        <v>74</v>
      </c>
      <c r="BN575">
        <v>31017389</v>
      </c>
      <c r="BO575" t="s">
        <v>74</v>
      </c>
      <c r="BP575" t="s">
        <v>74</v>
      </c>
      <c r="BQ575" t="s">
        <v>74</v>
      </c>
      <c r="BR575" t="s">
        <v>96</v>
      </c>
      <c r="BS575" t="s">
        <v>8369</v>
      </c>
      <c r="BT575" t="str">
        <f>HYPERLINK("https%3A%2F%2Fwww.webofscience.com%2Fwos%2Fwoscc%2Ffull-record%2FWOS:000469410100038","View Full Record in Web of Science")</f>
        <v>View Full Record in Web of Science</v>
      </c>
    </row>
    <row r="576" spans="1:72" x14ac:dyDescent="0.15">
      <c r="A576" t="s">
        <v>98</v>
      </c>
      <c r="B576" t="s">
        <v>8582</v>
      </c>
      <c r="C576" t="s">
        <v>74</v>
      </c>
      <c r="D576" t="s">
        <v>74</v>
      </c>
      <c r="E576" t="s">
        <v>74</v>
      </c>
      <c r="F576" t="s">
        <v>8583</v>
      </c>
      <c r="G576" t="s">
        <v>74</v>
      </c>
      <c r="H576" t="s">
        <v>74</v>
      </c>
      <c r="I576" t="s">
        <v>8584</v>
      </c>
      <c r="J576" t="s">
        <v>1143</v>
      </c>
      <c r="K576" t="s">
        <v>74</v>
      </c>
      <c r="L576" t="s">
        <v>74</v>
      </c>
      <c r="M576" t="s">
        <v>74</v>
      </c>
      <c r="N576" t="s">
        <v>103</v>
      </c>
      <c r="O576" t="s">
        <v>74</v>
      </c>
      <c r="P576" t="s">
        <v>74</v>
      </c>
      <c r="Q576" t="s">
        <v>74</v>
      </c>
      <c r="R576" t="s">
        <v>74</v>
      </c>
      <c r="S576" t="s">
        <v>74</v>
      </c>
      <c r="T576" t="s">
        <v>8585</v>
      </c>
      <c r="U576" t="s">
        <v>8586</v>
      </c>
      <c r="V576" t="s">
        <v>8587</v>
      </c>
      <c r="W576" t="s">
        <v>8588</v>
      </c>
      <c r="X576" t="s">
        <v>8589</v>
      </c>
      <c r="Y576" t="s">
        <v>8590</v>
      </c>
      <c r="Z576" t="s">
        <v>8591</v>
      </c>
      <c r="AA576" t="s">
        <v>74</v>
      </c>
      <c r="AB576" t="s">
        <v>74</v>
      </c>
      <c r="AC576" t="s">
        <v>74</v>
      </c>
      <c r="AD576" t="s">
        <v>74</v>
      </c>
      <c r="AE576" t="s">
        <v>74</v>
      </c>
      <c r="AF576" t="s">
        <v>74</v>
      </c>
      <c r="AG576">
        <v>64</v>
      </c>
      <c r="AH576">
        <v>34</v>
      </c>
      <c r="AI576">
        <v>34</v>
      </c>
      <c r="AJ576">
        <v>69</v>
      </c>
      <c r="AK576">
        <v>174</v>
      </c>
      <c r="AL576" t="s">
        <v>74</v>
      </c>
      <c r="AM576" t="s">
        <v>74</v>
      </c>
      <c r="AN576" t="s">
        <v>74</v>
      </c>
      <c r="AO576" t="s">
        <v>1153</v>
      </c>
      <c r="AP576" t="s">
        <v>74</v>
      </c>
      <c r="AQ576" t="s">
        <v>74</v>
      </c>
      <c r="AR576" t="s">
        <v>74</v>
      </c>
      <c r="AS576" t="s">
        <v>74</v>
      </c>
      <c r="AT576" t="s">
        <v>74</v>
      </c>
      <c r="AU576">
        <v>2020</v>
      </c>
      <c r="AV576">
        <v>10</v>
      </c>
      <c r="AW576">
        <v>22</v>
      </c>
      <c r="AX576" t="s">
        <v>74</v>
      </c>
      <c r="AY576" t="s">
        <v>74</v>
      </c>
      <c r="AZ576" t="s">
        <v>74</v>
      </c>
      <c r="BA576" t="s">
        <v>74</v>
      </c>
      <c r="BB576">
        <v>10262</v>
      </c>
      <c r="BC576">
        <v>10273</v>
      </c>
      <c r="BD576" t="s">
        <v>74</v>
      </c>
      <c r="BE576" t="s">
        <v>8592</v>
      </c>
      <c r="BF576" t="str">
        <f>HYPERLINK("http://dx.doi.org/10.7150/thno.49047","http://dx.doi.org/10.7150/thno.49047")</f>
        <v>http://dx.doi.org/10.7150/thno.49047</v>
      </c>
      <c r="BG576" t="s">
        <v>74</v>
      </c>
      <c r="BH576" t="s">
        <v>74</v>
      </c>
      <c r="BI576" t="s">
        <v>74</v>
      </c>
      <c r="BJ576" t="s">
        <v>795</v>
      </c>
      <c r="BK576" t="s">
        <v>117</v>
      </c>
      <c r="BL576" t="s">
        <v>796</v>
      </c>
      <c r="BM576" t="s">
        <v>74</v>
      </c>
      <c r="BN576">
        <v>32929347</v>
      </c>
      <c r="BO576" t="s">
        <v>74</v>
      </c>
      <c r="BP576" t="s">
        <v>74</v>
      </c>
      <c r="BQ576" t="s">
        <v>74</v>
      </c>
      <c r="BR576" t="s">
        <v>96</v>
      </c>
      <c r="BS576" t="s">
        <v>8593</v>
      </c>
      <c r="BT576" t="str">
        <f>HYPERLINK("https%3A%2F%2Fwww.webofscience.com%2Fwos%2Fwoscc%2Ffull-record%2FWOS:000572486100002","View Full Record in Web of Science")</f>
        <v>View Full Record in Web of Science</v>
      </c>
    </row>
    <row r="577" spans="1:72" x14ac:dyDescent="0.15">
      <c r="A577" t="s">
        <v>98</v>
      </c>
      <c r="B577" t="s">
        <v>9648</v>
      </c>
      <c r="C577" t="s">
        <v>74</v>
      </c>
      <c r="D577" t="s">
        <v>74</v>
      </c>
      <c r="E577" t="s">
        <v>74</v>
      </c>
      <c r="F577" t="s">
        <v>9649</v>
      </c>
      <c r="G577" t="s">
        <v>74</v>
      </c>
      <c r="H577" t="s">
        <v>74</v>
      </c>
      <c r="I577" t="s">
        <v>9650</v>
      </c>
      <c r="J577" t="s">
        <v>9651</v>
      </c>
      <c r="K577" t="s">
        <v>74</v>
      </c>
      <c r="L577" t="s">
        <v>74</v>
      </c>
      <c r="M577" t="s">
        <v>74</v>
      </c>
      <c r="N577" t="s">
        <v>103</v>
      </c>
      <c r="O577" t="s">
        <v>74</v>
      </c>
      <c r="P577" t="s">
        <v>74</v>
      </c>
      <c r="Q577" t="s">
        <v>74</v>
      </c>
      <c r="R577" t="s">
        <v>74</v>
      </c>
      <c r="S577" t="s">
        <v>74</v>
      </c>
      <c r="T577" t="s">
        <v>74</v>
      </c>
      <c r="U577" t="s">
        <v>9652</v>
      </c>
      <c r="V577" t="s">
        <v>9653</v>
      </c>
      <c r="W577" t="s">
        <v>9654</v>
      </c>
      <c r="X577" t="s">
        <v>9655</v>
      </c>
      <c r="Y577" t="s">
        <v>9656</v>
      </c>
      <c r="Z577" t="s">
        <v>9657</v>
      </c>
      <c r="AA577" t="s">
        <v>74</v>
      </c>
      <c r="AB577" t="s">
        <v>74</v>
      </c>
      <c r="AC577" t="s">
        <v>74</v>
      </c>
      <c r="AD577" t="s">
        <v>74</v>
      </c>
      <c r="AE577" t="s">
        <v>74</v>
      </c>
      <c r="AF577" t="s">
        <v>74</v>
      </c>
      <c r="AG577">
        <v>33</v>
      </c>
      <c r="AH577">
        <v>34</v>
      </c>
      <c r="AI577">
        <v>35</v>
      </c>
      <c r="AJ577">
        <v>35</v>
      </c>
      <c r="AK577">
        <v>169</v>
      </c>
      <c r="AL577" t="s">
        <v>74</v>
      </c>
      <c r="AM577" t="s">
        <v>74</v>
      </c>
      <c r="AN577" t="s">
        <v>74</v>
      </c>
      <c r="AO577" t="s">
        <v>9658</v>
      </c>
      <c r="AP577" t="s">
        <v>9659</v>
      </c>
      <c r="AQ577" t="s">
        <v>74</v>
      </c>
      <c r="AR577" t="s">
        <v>74</v>
      </c>
      <c r="AS577" t="s">
        <v>74</v>
      </c>
      <c r="AT577" t="s">
        <v>7326</v>
      </c>
      <c r="AU577">
        <v>2020</v>
      </c>
      <c r="AV577">
        <v>56</v>
      </c>
      <c r="AW577">
        <v>2</v>
      </c>
      <c r="AX577" t="s">
        <v>74</v>
      </c>
      <c r="AY577" t="s">
        <v>74</v>
      </c>
      <c r="AZ577" t="s">
        <v>74</v>
      </c>
      <c r="BA577" t="s">
        <v>74</v>
      </c>
      <c r="BB577">
        <v>269</v>
      </c>
      <c r="BC577">
        <v>272</v>
      </c>
      <c r="BD577" t="s">
        <v>74</v>
      </c>
      <c r="BE577" t="s">
        <v>9660</v>
      </c>
      <c r="BF577" t="str">
        <f>HYPERLINK("http://dx.doi.org/10.1039/c9cc08051a","http://dx.doi.org/10.1039/c9cc08051a")</f>
        <v>http://dx.doi.org/10.1039/c9cc08051a</v>
      </c>
      <c r="BG577" t="s">
        <v>74</v>
      </c>
      <c r="BH577" t="s">
        <v>74</v>
      </c>
      <c r="BI577" t="s">
        <v>74</v>
      </c>
      <c r="BJ577" t="s">
        <v>1047</v>
      </c>
      <c r="BK577" t="s">
        <v>117</v>
      </c>
      <c r="BL577" t="s">
        <v>1048</v>
      </c>
      <c r="BM577" t="s">
        <v>74</v>
      </c>
      <c r="BN577">
        <v>31807735</v>
      </c>
      <c r="BO577" t="s">
        <v>74</v>
      </c>
      <c r="BP577" t="s">
        <v>74</v>
      </c>
      <c r="BQ577" t="s">
        <v>74</v>
      </c>
      <c r="BR577" t="s">
        <v>96</v>
      </c>
      <c r="BS577" t="s">
        <v>9661</v>
      </c>
      <c r="BT577" t="str">
        <f>HYPERLINK("https%3A%2F%2Fwww.webofscience.com%2Fwos%2Fwoscc%2Ffull-record%2FWOS:000503765300016","View Full Record in Web of Science")</f>
        <v>View Full Record in Web of Science</v>
      </c>
    </row>
    <row r="578" spans="1:72" x14ac:dyDescent="0.15">
      <c r="A578" t="s">
        <v>98</v>
      </c>
      <c r="B578" t="s">
        <v>10319</v>
      </c>
      <c r="C578" t="s">
        <v>74</v>
      </c>
      <c r="D578" t="s">
        <v>74</v>
      </c>
      <c r="E578" t="s">
        <v>74</v>
      </c>
      <c r="F578" t="s">
        <v>10320</v>
      </c>
      <c r="G578" t="s">
        <v>74</v>
      </c>
      <c r="H578" t="s">
        <v>74</v>
      </c>
      <c r="I578" t="s">
        <v>10321</v>
      </c>
      <c r="J578" t="s">
        <v>140</v>
      </c>
      <c r="K578" t="s">
        <v>74</v>
      </c>
      <c r="L578" t="s">
        <v>74</v>
      </c>
      <c r="M578" t="s">
        <v>74</v>
      </c>
      <c r="N578" t="s">
        <v>103</v>
      </c>
      <c r="O578" t="s">
        <v>74</v>
      </c>
      <c r="P578" t="s">
        <v>74</v>
      </c>
      <c r="Q578" t="s">
        <v>74</v>
      </c>
      <c r="R578" t="s">
        <v>74</v>
      </c>
      <c r="S578" t="s">
        <v>74</v>
      </c>
      <c r="T578" t="s">
        <v>74</v>
      </c>
      <c r="U578" t="s">
        <v>10322</v>
      </c>
      <c r="V578" t="s">
        <v>10323</v>
      </c>
      <c r="W578" t="s">
        <v>10324</v>
      </c>
      <c r="X578" t="s">
        <v>10325</v>
      </c>
      <c r="Y578" t="s">
        <v>10326</v>
      </c>
      <c r="Z578" t="s">
        <v>10327</v>
      </c>
      <c r="AA578" t="s">
        <v>10328</v>
      </c>
      <c r="AB578" t="s">
        <v>10329</v>
      </c>
      <c r="AC578" t="s">
        <v>74</v>
      </c>
      <c r="AD578" t="s">
        <v>74</v>
      </c>
      <c r="AE578" t="s">
        <v>74</v>
      </c>
      <c r="AF578" t="s">
        <v>74</v>
      </c>
      <c r="AG578">
        <v>80</v>
      </c>
      <c r="AH578">
        <v>34</v>
      </c>
      <c r="AI578">
        <v>34</v>
      </c>
      <c r="AJ578">
        <v>0</v>
      </c>
      <c r="AK578">
        <v>10</v>
      </c>
      <c r="AL578" t="s">
        <v>74</v>
      </c>
      <c r="AM578" t="s">
        <v>74</v>
      </c>
      <c r="AN578" t="s">
        <v>74</v>
      </c>
      <c r="AO578" t="s">
        <v>149</v>
      </c>
      <c r="AP578" t="s">
        <v>74</v>
      </c>
      <c r="AQ578" t="s">
        <v>74</v>
      </c>
      <c r="AR578" t="s">
        <v>74</v>
      </c>
      <c r="AS578" t="s">
        <v>74</v>
      </c>
      <c r="AT578" t="s">
        <v>1937</v>
      </c>
      <c r="AU578">
        <v>2019</v>
      </c>
      <c r="AV578">
        <v>9</v>
      </c>
      <c r="AW578" t="s">
        <v>74</v>
      </c>
      <c r="AX578" t="s">
        <v>74</v>
      </c>
      <c r="AY578" t="s">
        <v>74</v>
      </c>
      <c r="AZ578" t="s">
        <v>74</v>
      </c>
      <c r="BA578" t="s">
        <v>74</v>
      </c>
      <c r="BB578" t="s">
        <v>74</v>
      </c>
      <c r="BC578" t="s">
        <v>74</v>
      </c>
      <c r="BD578">
        <v>7203</v>
      </c>
      <c r="BE578" t="s">
        <v>10330</v>
      </c>
      <c r="BF578" t="str">
        <f>HYPERLINK("http://dx.doi.org/10.1038/s41598-019-43591-y","http://dx.doi.org/10.1038/s41598-019-43591-y")</f>
        <v>http://dx.doi.org/10.1038/s41598-019-43591-y</v>
      </c>
      <c r="BG578" t="s">
        <v>74</v>
      </c>
      <c r="BH578" t="s">
        <v>74</v>
      </c>
      <c r="BI578" t="s">
        <v>74</v>
      </c>
      <c r="BJ578" t="s">
        <v>152</v>
      </c>
      <c r="BK578" t="s">
        <v>117</v>
      </c>
      <c r="BL578" t="s">
        <v>153</v>
      </c>
      <c r="BM578" t="s">
        <v>74</v>
      </c>
      <c r="BN578">
        <v>31076589</v>
      </c>
      <c r="BO578" t="s">
        <v>74</v>
      </c>
      <c r="BP578" t="s">
        <v>74</v>
      </c>
      <c r="BQ578" t="s">
        <v>74</v>
      </c>
      <c r="BR578" t="s">
        <v>96</v>
      </c>
      <c r="BS578" t="s">
        <v>10331</v>
      </c>
      <c r="BT578" t="str">
        <f>HYPERLINK("https%3A%2F%2Fwww.webofscience.com%2Fwos%2Fwoscc%2Ffull-record%2FWOS:000467543700018","View Full Record in Web of Science")</f>
        <v>View Full Record in Web of Science</v>
      </c>
    </row>
    <row r="579" spans="1:72" x14ac:dyDescent="0.15">
      <c r="A579" t="s">
        <v>98</v>
      </c>
      <c r="B579" t="s">
        <v>10848</v>
      </c>
      <c r="C579" t="s">
        <v>74</v>
      </c>
      <c r="D579" t="s">
        <v>74</v>
      </c>
      <c r="E579" t="s">
        <v>74</v>
      </c>
      <c r="F579" t="s">
        <v>10849</v>
      </c>
      <c r="G579" t="s">
        <v>74</v>
      </c>
      <c r="H579" t="s">
        <v>74</v>
      </c>
      <c r="I579" t="s">
        <v>10850</v>
      </c>
      <c r="J579" t="s">
        <v>140</v>
      </c>
      <c r="K579" t="s">
        <v>74</v>
      </c>
      <c r="L579" t="s">
        <v>74</v>
      </c>
      <c r="M579" t="s">
        <v>74</v>
      </c>
      <c r="N579" t="s">
        <v>103</v>
      </c>
      <c r="O579" t="s">
        <v>74</v>
      </c>
      <c r="P579" t="s">
        <v>74</v>
      </c>
      <c r="Q579" t="s">
        <v>74</v>
      </c>
      <c r="R579" t="s">
        <v>74</v>
      </c>
      <c r="S579" t="s">
        <v>74</v>
      </c>
      <c r="T579" t="s">
        <v>74</v>
      </c>
      <c r="U579" t="s">
        <v>10851</v>
      </c>
      <c r="V579" t="s">
        <v>10852</v>
      </c>
      <c r="W579" t="s">
        <v>10853</v>
      </c>
      <c r="X579" t="s">
        <v>10854</v>
      </c>
      <c r="Y579" t="s">
        <v>10855</v>
      </c>
      <c r="Z579" t="s">
        <v>10856</v>
      </c>
      <c r="AA579" t="s">
        <v>10857</v>
      </c>
      <c r="AB579" t="s">
        <v>10858</v>
      </c>
      <c r="AC579" t="s">
        <v>74</v>
      </c>
      <c r="AD579" t="s">
        <v>74</v>
      </c>
      <c r="AE579" t="s">
        <v>74</v>
      </c>
      <c r="AF579" t="s">
        <v>74</v>
      </c>
      <c r="AG579">
        <v>69</v>
      </c>
      <c r="AH579">
        <v>34</v>
      </c>
      <c r="AI579">
        <v>34</v>
      </c>
      <c r="AJ579">
        <v>0</v>
      </c>
      <c r="AK579">
        <v>9</v>
      </c>
      <c r="AL579" t="s">
        <v>74</v>
      </c>
      <c r="AM579" t="s">
        <v>74</v>
      </c>
      <c r="AN579" t="s">
        <v>74</v>
      </c>
      <c r="AO579" t="s">
        <v>149</v>
      </c>
      <c r="AP579" t="s">
        <v>74</v>
      </c>
      <c r="AQ579" t="s">
        <v>74</v>
      </c>
      <c r="AR579" t="s">
        <v>74</v>
      </c>
      <c r="AS579" t="s">
        <v>74</v>
      </c>
      <c r="AT579" t="s">
        <v>150</v>
      </c>
      <c r="AU579">
        <v>2017</v>
      </c>
      <c r="AV579">
        <v>7</v>
      </c>
      <c r="AW579" t="s">
        <v>74</v>
      </c>
      <c r="AX579" t="s">
        <v>74</v>
      </c>
      <c r="AY579" t="s">
        <v>74</v>
      </c>
      <c r="AZ579" t="s">
        <v>74</v>
      </c>
      <c r="BA579" t="s">
        <v>74</v>
      </c>
      <c r="BB579" t="s">
        <v>74</v>
      </c>
      <c r="BC579" t="s">
        <v>74</v>
      </c>
      <c r="BD579">
        <v>8180</v>
      </c>
      <c r="BE579" t="s">
        <v>10859</v>
      </c>
      <c r="BF579" t="str">
        <f>HYPERLINK("http://dx.doi.org/10.1038/s41598-017-08250-0","http://dx.doi.org/10.1038/s41598-017-08250-0")</f>
        <v>http://dx.doi.org/10.1038/s41598-017-08250-0</v>
      </c>
      <c r="BG579" t="s">
        <v>74</v>
      </c>
      <c r="BH579" t="s">
        <v>74</v>
      </c>
      <c r="BI579" t="s">
        <v>74</v>
      </c>
      <c r="BJ579" t="s">
        <v>152</v>
      </c>
      <c r="BK579" t="s">
        <v>117</v>
      </c>
      <c r="BL579" t="s">
        <v>153</v>
      </c>
      <c r="BM579" t="s">
        <v>74</v>
      </c>
      <c r="BN579">
        <v>28811546</v>
      </c>
      <c r="BO579" t="s">
        <v>74</v>
      </c>
      <c r="BP579" t="s">
        <v>74</v>
      </c>
      <c r="BQ579" t="s">
        <v>74</v>
      </c>
      <c r="BR579" t="s">
        <v>96</v>
      </c>
      <c r="BS579" t="s">
        <v>10860</v>
      </c>
      <c r="BT579" t="str">
        <f>HYPERLINK("https%3A%2F%2Fwww.webofscience.com%2Fwos%2Fwoscc%2Ffull-record%2FWOS:000407570000057","View Full Record in Web of Science")</f>
        <v>View Full Record in Web of Science</v>
      </c>
    </row>
    <row r="580" spans="1:72" x14ac:dyDescent="0.15">
      <c r="A580" t="s">
        <v>98</v>
      </c>
      <c r="B580" t="s">
        <v>12217</v>
      </c>
      <c r="C580" t="s">
        <v>74</v>
      </c>
      <c r="D580" t="s">
        <v>74</v>
      </c>
      <c r="E580" t="s">
        <v>74</v>
      </c>
      <c r="F580" t="s">
        <v>12218</v>
      </c>
      <c r="G580" t="s">
        <v>74</v>
      </c>
      <c r="H580" t="s">
        <v>74</v>
      </c>
      <c r="I580" t="s">
        <v>12219</v>
      </c>
      <c r="J580" t="s">
        <v>1073</v>
      </c>
      <c r="K580" t="s">
        <v>74</v>
      </c>
      <c r="L580" t="s">
        <v>74</v>
      </c>
      <c r="M580" t="s">
        <v>74</v>
      </c>
      <c r="N580" t="s">
        <v>103</v>
      </c>
      <c r="O580" t="s">
        <v>74</v>
      </c>
      <c r="P580" t="s">
        <v>74</v>
      </c>
      <c r="Q580" t="s">
        <v>74</v>
      </c>
      <c r="R580" t="s">
        <v>74</v>
      </c>
      <c r="S580" t="s">
        <v>74</v>
      </c>
      <c r="T580" t="s">
        <v>74</v>
      </c>
      <c r="U580" t="s">
        <v>12220</v>
      </c>
      <c r="V580" t="s">
        <v>12221</v>
      </c>
      <c r="W580" t="s">
        <v>12222</v>
      </c>
      <c r="X580" t="s">
        <v>12223</v>
      </c>
      <c r="Y580" t="s">
        <v>12224</v>
      </c>
      <c r="Z580" t="s">
        <v>12225</v>
      </c>
      <c r="AA580" t="s">
        <v>12226</v>
      </c>
      <c r="AB580" t="s">
        <v>12227</v>
      </c>
      <c r="AC580" t="s">
        <v>74</v>
      </c>
      <c r="AD580" t="s">
        <v>74</v>
      </c>
      <c r="AE580" t="s">
        <v>74</v>
      </c>
      <c r="AF580" t="s">
        <v>74</v>
      </c>
      <c r="AG580">
        <v>49</v>
      </c>
      <c r="AH580">
        <v>34</v>
      </c>
      <c r="AI580">
        <v>35</v>
      </c>
      <c r="AJ580">
        <v>3</v>
      </c>
      <c r="AK580">
        <v>14</v>
      </c>
      <c r="AL580" t="s">
        <v>74</v>
      </c>
      <c r="AM580" t="s">
        <v>74</v>
      </c>
      <c r="AN580" t="s">
        <v>74</v>
      </c>
      <c r="AO580" t="s">
        <v>1082</v>
      </c>
      <c r="AP580" t="s">
        <v>74</v>
      </c>
      <c r="AQ580" t="s">
        <v>74</v>
      </c>
      <c r="AR580" t="s">
        <v>74</v>
      </c>
      <c r="AS580" t="s">
        <v>74</v>
      </c>
      <c r="AT580" t="s">
        <v>7690</v>
      </c>
      <c r="AU580">
        <v>2017</v>
      </c>
      <c r="AV580">
        <v>12</v>
      </c>
      <c r="AW580">
        <v>11</v>
      </c>
      <c r="AX580" t="s">
        <v>74</v>
      </c>
      <c r="AY580" t="s">
        <v>74</v>
      </c>
      <c r="AZ580" t="s">
        <v>74</v>
      </c>
      <c r="BA580" t="s">
        <v>74</v>
      </c>
      <c r="BB580" t="s">
        <v>74</v>
      </c>
      <c r="BC580" t="s">
        <v>74</v>
      </c>
      <c r="BD580" t="s">
        <v>12228</v>
      </c>
      <c r="BE580" t="s">
        <v>12229</v>
      </c>
      <c r="BF580" t="str">
        <f>HYPERLINK("http://dx.doi.org/10.1371/journal.pone.0188840","http://dx.doi.org/10.1371/journal.pone.0188840")</f>
        <v>http://dx.doi.org/10.1371/journal.pone.0188840</v>
      </c>
      <c r="BG580" t="s">
        <v>74</v>
      </c>
      <c r="BH580" t="s">
        <v>74</v>
      </c>
      <c r="BI580" t="s">
        <v>74</v>
      </c>
      <c r="BJ580" t="s">
        <v>152</v>
      </c>
      <c r="BK580" t="s">
        <v>117</v>
      </c>
      <c r="BL580" t="s">
        <v>153</v>
      </c>
      <c r="BM580" t="s">
        <v>74</v>
      </c>
      <c r="BN580">
        <v>29182668</v>
      </c>
      <c r="BO580" t="s">
        <v>74</v>
      </c>
      <c r="BP580" t="s">
        <v>74</v>
      </c>
      <c r="BQ580" t="s">
        <v>74</v>
      </c>
      <c r="BR580" t="s">
        <v>96</v>
      </c>
      <c r="BS580" t="s">
        <v>12230</v>
      </c>
      <c r="BT580" t="str">
        <f>HYPERLINK("https%3A%2F%2Fwww.webofscience.com%2Fwos%2Fwoscc%2Ffull-record%2FWOS:000416402000059","View Full Record in Web of Science")</f>
        <v>View Full Record in Web of Science</v>
      </c>
    </row>
    <row r="581" spans="1:72" x14ac:dyDescent="0.15">
      <c r="A581" t="s">
        <v>98</v>
      </c>
      <c r="B581" t="s">
        <v>13315</v>
      </c>
      <c r="C581" t="s">
        <v>74</v>
      </c>
      <c r="D581" t="s">
        <v>74</v>
      </c>
      <c r="E581" t="s">
        <v>74</v>
      </c>
      <c r="F581" t="s">
        <v>13315</v>
      </c>
      <c r="G581" t="s">
        <v>74</v>
      </c>
      <c r="H581" t="s">
        <v>74</v>
      </c>
      <c r="I581" t="s">
        <v>13316</v>
      </c>
      <c r="J581" t="s">
        <v>13317</v>
      </c>
      <c r="K581" t="s">
        <v>74</v>
      </c>
      <c r="L581" t="s">
        <v>74</v>
      </c>
      <c r="M581" t="s">
        <v>74</v>
      </c>
      <c r="N581" t="s">
        <v>103</v>
      </c>
      <c r="O581" t="s">
        <v>74</v>
      </c>
      <c r="P581" t="s">
        <v>74</v>
      </c>
      <c r="Q581" t="s">
        <v>74</v>
      </c>
      <c r="R581" t="s">
        <v>74</v>
      </c>
      <c r="S581" t="s">
        <v>74</v>
      </c>
      <c r="T581" t="s">
        <v>13318</v>
      </c>
      <c r="U581" t="s">
        <v>13319</v>
      </c>
      <c r="V581" t="s">
        <v>13320</v>
      </c>
      <c r="W581" t="s">
        <v>13321</v>
      </c>
      <c r="X581" t="s">
        <v>13322</v>
      </c>
      <c r="Y581" t="s">
        <v>13323</v>
      </c>
      <c r="Z581" t="s">
        <v>13324</v>
      </c>
      <c r="AA581" t="s">
        <v>74</v>
      </c>
      <c r="AB581" t="s">
        <v>74</v>
      </c>
      <c r="AC581" t="s">
        <v>74</v>
      </c>
      <c r="AD581" t="s">
        <v>74</v>
      </c>
      <c r="AE581" t="s">
        <v>74</v>
      </c>
      <c r="AF581" t="s">
        <v>74</v>
      </c>
      <c r="AG581">
        <v>25</v>
      </c>
      <c r="AH581">
        <v>34</v>
      </c>
      <c r="AI581">
        <v>35</v>
      </c>
      <c r="AJ581">
        <v>0</v>
      </c>
      <c r="AK581">
        <v>6</v>
      </c>
      <c r="AL581" t="s">
        <v>74</v>
      </c>
      <c r="AM581" t="s">
        <v>74</v>
      </c>
      <c r="AN581" t="s">
        <v>74</v>
      </c>
      <c r="AO581" t="s">
        <v>13325</v>
      </c>
      <c r="AP581" t="s">
        <v>74</v>
      </c>
      <c r="AQ581" t="s">
        <v>74</v>
      </c>
      <c r="AR581" t="s">
        <v>74</v>
      </c>
      <c r="AS581" t="s">
        <v>74</v>
      </c>
      <c r="AT581" t="s">
        <v>7400</v>
      </c>
      <c r="AU581">
        <v>2000</v>
      </c>
      <c r="AV581">
        <v>192</v>
      </c>
      <c r="AW581">
        <v>1</v>
      </c>
      <c r="AX581" t="s">
        <v>74</v>
      </c>
      <c r="AY581" t="s">
        <v>74</v>
      </c>
      <c r="AZ581" t="s">
        <v>74</v>
      </c>
      <c r="BA581" t="s">
        <v>74</v>
      </c>
      <c r="BB581">
        <v>139</v>
      </c>
      <c r="BC581">
        <v>144</v>
      </c>
      <c r="BD581" t="s">
        <v>74</v>
      </c>
      <c r="BE581" t="s">
        <v>13326</v>
      </c>
      <c r="BF581" t="str">
        <f>HYPERLINK("http://dx.doi.org/10.1016/S0378-1097(00)00424-9","http://dx.doi.org/10.1016/S0378-1097(00)00424-9")</f>
        <v>http://dx.doi.org/10.1016/S0378-1097(00)00424-9</v>
      </c>
      <c r="BG581" t="s">
        <v>74</v>
      </c>
      <c r="BH581" t="s">
        <v>74</v>
      </c>
      <c r="BI581" t="s">
        <v>74</v>
      </c>
      <c r="BJ581" t="s">
        <v>898</v>
      </c>
      <c r="BK581" t="s">
        <v>117</v>
      </c>
      <c r="BL581" t="s">
        <v>898</v>
      </c>
      <c r="BM581" t="s">
        <v>74</v>
      </c>
      <c r="BN581">
        <v>11040442</v>
      </c>
      <c r="BO581" t="s">
        <v>74</v>
      </c>
      <c r="BP581" t="s">
        <v>74</v>
      </c>
      <c r="BQ581" t="s">
        <v>74</v>
      </c>
      <c r="BR581" t="s">
        <v>96</v>
      </c>
      <c r="BS581" t="s">
        <v>13327</v>
      </c>
      <c r="BT581" t="str">
        <f>HYPERLINK("https%3A%2F%2Fwww.webofscience.com%2Fwos%2Fwoscc%2Ffull-record%2FWOS:000090047200023","View Full Record in Web of Science")</f>
        <v>View Full Record in Web of Science</v>
      </c>
    </row>
    <row r="582" spans="1:72" x14ac:dyDescent="0.15">
      <c r="A582" t="s">
        <v>98</v>
      </c>
      <c r="B582" t="s">
        <v>14299</v>
      </c>
      <c r="C582" t="s">
        <v>74</v>
      </c>
      <c r="D582" t="s">
        <v>74</v>
      </c>
      <c r="E582" t="s">
        <v>74</v>
      </c>
      <c r="F582" t="s">
        <v>14300</v>
      </c>
      <c r="G582" t="s">
        <v>74</v>
      </c>
      <c r="H582" t="s">
        <v>74</v>
      </c>
      <c r="I582" t="s">
        <v>14301</v>
      </c>
      <c r="J582" t="s">
        <v>10717</v>
      </c>
      <c r="K582" t="s">
        <v>74</v>
      </c>
      <c r="L582" t="s">
        <v>74</v>
      </c>
      <c r="M582" t="s">
        <v>74</v>
      </c>
      <c r="N582" t="s">
        <v>103</v>
      </c>
      <c r="O582" t="s">
        <v>74</v>
      </c>
      <c r="P582" t="s">
        <v>74</v>
      </c>
      <c r="Q582" t="s">
        <v>74</v>
      </c>
      <c r="R582" t="s">
        <v>74</v>
      </c>
      <c r="S582" t="s">
        <v>74</v>
      </c>
      <c r="T582" t="s">
        <v>74</v>
      </c>
      <c r="U582" t="s">
        <v>14302</v>
      </c>
      <c r="V582" t="s">
        <v>14303</v>
      </c>
      <c r="W582" t="s">
        <v>14304</v>
      </c>
      <c r="X582" t="s">
        <v>14305</v>
      </c>
      <c r="Y582" t="s">
        <v>14306</v>
      </c>
      <c r="Z582" t="s">
        <v>14307</v>
      </c>
      <c r="AA582" t="s">
        <v>14308</v>
      </c>
      <c r="AB582" t="s">
        <v>14309</v>
      </c>
      <c r="AC582" t="s">
        <v>74</v>
      </c>
      <c r="AD582" t="s">
        <v>74</v>
      </c>
      <c r="AE582" t="s">
        <v>74</v>
      </c>
      <c r="AF582" t="s">
        <v>74</v>
      </c>
      <c r="AG582">
        <v>44</v>
      </c>
      <c r="AH582">
        <v>34</v>
      </c>
      <c r="AI582">
        <v>35</v>
      </c>
      <c r="AJ582">
        <v>1</v>
      </c>
      <c r="AK582">
        <v>17</v>
      </c>
      <c r="AL582" t="s">
        <v>74</v>
      </c>
      <c r="AM582" t="s">
        <v>74</v>
      </c>
      <c r="AN582" t="s">
        <v>74</v>
      </c>
      <c r="AO582" t="s">
        <v>10726</v>
      </c>
      <c r="AP582" t="s">
        <v>10727</v>
      </c>
      <c r="AQ582" t="s">
        <v>74</v>
      </c>
      <c r="AR582" t="s">
        <v>74</v>
      </c>
      <c r="AS582" t="s">
        <v>74</v>
      </c>
      <c r="AT582" t="s">
        <v>283</v>
      </c>
      <c r="AU582">
        <v>2016</v>
      </c>
      <c r="AV582">
        <v>48</v>
      </c>
      <c r="AW582" t="s">
        <v>74</v>
      </c>
      <c r="AX582" t="s">
        <v>74</v>
      </c>
      <c r="AY582" t="s">
        <v>74</v>
      </c>
      <c r="AZ582" t="s">
        <v>74</v>
      </c>
      <c r="BA582" t="s">
        <v>74</v>
      </c>
      <c r="BB582" t="s">
        <v>74</v>
      </c>
      <c r="BC582" t="s">
        <v>74</v>
      </c>
      <c r="BD582" t="s">
        <v>14310</v>
      </c>
      <c r="BE582" t="s">
        <v>14311</v>
      </c>
      <c r="BF582" t="str">
        <f>HYPERLINK("http://dx.doi.org/10.1038/emm.2015.110","http://dx.doi.org/10.1038/emm.2015.110")</f>
        <v>http://dx.doi.org/10.1038/emm.2015.110</v>
      </c>
      <c r="BG582" t="s">
        <v>74</v>
      </c>
      <c r="BH582" t="s">
        <v>74</v>
      </c>
      <c r="BI582" t="s">
        <v>74</v>
      </c>
      <c r="BJ582" t="s">
        <v>2959</v>
      </c>
      <c r="BK582" t="s">
        <v>117</v>
      </c>
      <c r="BL582" t="s">
        <v>2961</v>
      </c>
      <c r="BM582" t="s">
        <v>74</v>
      </c>
      <c r="BN582">
        <v>26846451</v>
      </c>
      <c r="BO582" t="s">
        <v>74</v>
      </c>
      <c r="BP582" t="s">
        <v>74</v>
      </c>
      <c r="BQ582" t="s">
        <v>74</v>
      </c>
      <c r="BR582" t="s">
        <v>96</v>
      </c>
      <c r="BS582" t="s">
        <v>14312</v>
      </c>
      <c r="BT582" t="str">
        <f>HYPERLINK("https%3A%2F%2Fwww.webofscience.com%2Fwos%2Fwoscc%2Ffull-record%2FWOS:000369891800002","View Full Record in Web of Science")</f>
        <v>View Full Record in Web of Science</v>
      </c>
    </row>
    <row r="583" spans="1:72" x14ac:dyDescent="0.15">
      <c r="A583" t="s">
        <v>98</v>
      </c>
      <c r="B583" t="s">
        <v>16785</v>
      </c>
      <c r="C583" t="s">
        <v>74</v>
      </c>
      <c r="D583" t="s">
        <v>74</v>
      </c>
      <c r="E583" t="s">
        <v>74</v>
      </c>
      <c r="F583" t="s">
        <v>16786</v>
      </c>
      <c r="G583" t="s">
        <v>74</v>
      </c>
      <c r="H583" t="s">
        <v>74</v>
      </c>
      <c r="I583" t="s">
        <v>16787</v>
      </c>
      <c r="J583" t="s">
        <v>2410</v>
      </c>
      <c r="K583" t="s">
        <v>74</v>
      </c>
      <c r="L583" t="s">
        <v>74</v>
      </c>
      <c r="M583" t="s">
        <v>74</v>
      </c>
      <c r="N583" t="s">
        <v>103</v>
      </c>
      <c r="O583" t="s">
        <v>74</v>
      </c>
      <c r="P583" t="s">
        <v>74</v>
      </c>
      <c r="Q583" t="s">
        <v>74</v>
      </c>
      <c r="R583" t="s">
        <v>74</v>
      </c>
      <c r="S583" t="s">
        <v>74</v>
      </c>
      <c r="T583" t="s">
        <v>16788</v>
      </c>
      <c r="U583" t="s">
        <v>16789</v>
      </c>
      <c r="V583" t="s">
        <v>16790</v>
      </c>
      <c r="W583" t="s">
        <v>16791</v>
      </c>
      <c r="X583" t="s">
        <v>16792</v>
      </c>
      <c r="Y583" t="s">
        <v>16793</v>
      </c>
      <c r="Z583" t="s">
        <v>16794</v>
      </c>
      <c r="AA583" t="s">
        <v>16795</v>
      </c>
      <c r="AB583" t="s">
        <v>16796</v>
      </c>
      <c r="AC583" t="s">
        <v>74</v>
      </c>
      <c r="AD583" t="s">
        <v>74</v>
      </c>
      <c r="AE583" t="s">
        <v>74</v>
      </c>
      <c r="AF583" t="s">
        <v>74</v>
      </c>
      <c r="AG583">
        <v>85</v>
      </c>
      <c r="AH583">
        <v>34</v>
      </c>
      <c r="AI583">
        <v>40</v>
      </c>
      <c r="AJ583">
        <v>0</v>
      </c>
      <c r="AK583">
        <v>16</v>
      </c>
      <c r="AL583" t="s">
        <v>74</v>
      </c>
      <c r="AM583" t="s">
        <v>74</v>
      </c>
      <c r="AN583" t="s">
        <v>74</v>
      </c>
      <c r="AO583" t="s">
        <v>2418</v>
      </c>
      <c r="AP583" t="s">
        <v>2419</v>
      </c>
      <c r="AQ583" t="s">
        <v>74</v>
      </c>
      <c r="AR583" t="s">
        <v>74</v>
      </c>
      <c r="AS583" t="s">
        <v>74</v>
      </c>
      <c r="AT583" t="s">
        <v>1570</v>
      </c>
      <c r="AU583">
        <v>2017</v>
      </c>
      <c r="AV583">
        <v>388</v>
      </c>
      <c r="AW583" t="s">
        <v>74</v>
      </c>
      <c r="AX583" t="s">
        <v>74</v>
      </c>
      <c r="AY583" t="s">
        <v>74</v>
      </c>
      <c r="AZ583" t="s">
        <v>74</v>
      </c>
      <c r="BA583" t="s">
        <v>74</v>
      </c>
      <c r="BB583">
        <v>334</v>
      </c>
      <c r="BC583">
        <v>343</v>
      </c>
      <c r="BD583" t="s">
        <v>74</v>
      </c>
      <c r="BE583" t="s">
        <v>16797</v>
      </c>
      <c r="BF583" t="str">
        <f>HYPERLINK("http://dx.doi.org/10.1016/j.canlet.2016.12.003","http://dx.doi.org/10.1016/j.canlet.2016.12.003")</f>
        <v>http://dx.doi.org/10.1016/j.canlet.2016.12.003</v>
      </c>
      <c r="BG583" t="s">
        <v>74</v>
      </c>
      <c r="BH583" t="s">
        <v>74</v>
      </c>
      <c r="BI583" t="s">
        <v>74</v>
      </c>
      <c r="BJ583" t="s">
        <v>267</v>
      </c>
      <c r="BK583" t="s">
        <v>117</v>
      </c>
      <c r="BL583" t="s">
        <v>267</v>
      </c>
      <c r="BM583" t="s">
        <v>74</v>
      </c>
      <c r="BN583">
        <v>27956246</v>
      </c>
      <c r="BO583" t="s">
        <v>74</v>
      </c>
      <c r="BP583" t="s">
        <v>74</v>
      </c>
      <c r="BQ583" t="s">
        <v>74</v>
      </c>
      <c r="BR583" t="s">
        <v>96</v>
      </c>
      <c r="BS583" t="s">
        <v>16798</v>
      </c>
      <c r="BT583" t="str">
        <f>HYPERLINK("https%3A%2F%2Fwww.webofscience.com%2Fwos%2Fwoscc%2Ffull-record%2FWOS:000395959800034","View Full Record in Web of Science")</f>
        <v>View Full Record in Web of Science</v>
      </c>
    </row>
    <row r="584" spans="1:72" x14ac:dyDescent="0.15">
      <c r="A584" t="s">
        <v>98</v>
      </c>
      <c r="B584" t="s">
        <v>17451</v>
      </c>
      <c r="C584" t="s">
        <v>74</v>
      </c>
      <c r="D584" t="s">
        <v>74</v>
      </c>
      <c r="E584" t="s">
        <v>74</v>
      </c>
      <c r="F584" t="s">
        <v>17452</v>
      </c>
      <c r="G584" t="s">
        <v>74</v>
      </c>
      <c r="H584" t="s">
        <v>74</v>
      </c>
      <c r="I584" t="s">
        <v>17453</v>
      </c>
      <c r="J584" t="s">
        <v>658</v>
      </c>
      <c r="K584" t="s">
        <v>74</v>
      </c>
      <c r="L584" t="s">
        <v>74</v>
      </c>
      <c r="M584" t="s">
        <v>74</v>
      </c>
      <c r="N584" t="s">
        <v>103</v>
      </c>
      <c r="O584" t="s">
        <v>74</v>
      </c>
      <c r="P584" t="s">
        <v>74</v>
      </c>
      <c r="Q584" t="s">
        <v>74</v>
      </c>
      <c r="R584" t="s">
        <v>74</v>
      </c>
      <c r="S584" t="s">
        <v>74</v>
      </c>
      <c r="T584" t="s">
        <v>17454</v>
      </c>
      <c r="U584" t="s">
        <v>17455</v>
      </c>
      <c r="V584" t="s">
        <v>17456</v>
      </c>
      <c r="W584" t="s">
        <v>17457</v>
      </c>
      <c r="X584" t="s">
        <v>17458</v>
      </c>
      <c r="Y584" t="s">
        <v>17459</v>
      </c>
      <c r="Z584" t="s">
        <v>17460</v>
      </c>
      <c r="AA584" t="s">
        <v>17461</v>
      </c>
      <c r="AB584" t="s">
        <v>74</v>
      </c>
      <c r="AC584" t="s">
        <v>74</v>
      </c>
      <c r="AD584" t="s">
        <v>74</v>
      </c>
      <c r="AE584" t="s">
        <v>74</v>
      </c>
      <c r="AF584" t="s">
        <v>74</v>
      </c>
      <c r="AG584">
        <v>85</v>
      </c>
      <c r="AH584">
        <v>34</v>
      </c>
      <c r="AI584">
        <v>34</v>
      </c>
      <c r="AJ584">
        <v>0</v>
      </c>
      <c r="AK584">
        <v>7</v>
      </c>
      <c r="AL584" t="s">
        <v>74</v>
      </c>
      <c r="AM584" t="s">
        <v>74</v>
      </c>
      <c r="AN584" t="s">
        <v>74</v>
      </c>
      <c r="AO584" t="s">
        <v>668</v>
      </c>
      <c r="AP584" t="s">
        <v>74</v>
      </c>
      <c r="AQ584" t="s">
        <v>74</v>
      </c>
      <c r="AR584" t="s">
        <v>74</v>
      </c>
      <c r="AS584" t="s">
        <v>74</v>
      </c>
      <c r="AT584" t="s">
        <v>10511</v>
      </c>
      <c r="AU584">
        <v>2017</v>
      </c>
      <c r="AV584">
        <v>114</v>
      </c>
      <c r="AW584">
        <v>32</v>
      </c>
      <c r="AX584" t="s">
        <v>74</v>
      </c>
      <c r="AY584" t="s">
        <v>74</v>
      </c>
      <c r="AZ584" t="s">
        <v>74</v>
      </c>
      <c r="BA584" t="s">
        <v>74</v>
      </c>
      <c r="BB584" t="s">
        <v>17462</v>
      </c>
      <c r="BC584" t="s">
        <v>17463</v>
      </c>
      <c r="BD584" t="s">
        <v>74</v>
      </c>
      <c r="BE584" t="s">
        <v>17464</v>
      </c>
      <c r="BF584" t="str">
        <f>HYPERLINK("http://dx.doi.org/10.1073/pnas.1705508114","http://dx.doi.org/10.1073/pnas.1705508114")</f>
        <v>http://dx.doi.org/10.1073/pnas.1705508114</v>
      </c>
      <c r="BG584" t="s">
        <v>74</v>
      </c>
      <c r="BH584" t="s">
        <v>74</v>
      </c>
      <c r="BI584" t="s">
        <v>74</v>
      </c>
      <c r="BJ584" t="s">
        <v>152</v>
      </c>
      <c r="BK584" t="s">
        <v>117</v>
      </c>
      <c r="BL584" t="s">
        <v>153</v>
      </c>
      <c r="BM584" t="s">
        <v>74</v>
      </c>
      <c r="BN584">
        <v>28696280</v>
      </c>
      <c r="BO584" t="s">
        <v>74</v>
      </c>
      <c r="BP584" t="s">
        <v>74</v>
      </c>
      <c r="BQ584" t="s">
        <v>74</v>
      </c>
      <c r="BR584" t="s">
        <v>96</v>
      </c>
      <c r="BS584" t="s">
        <v>17465</v>
      </c>
      <c r="BT584" t="str">
        <f>HYPERLINK("https%3A%2F%2Fwww.webofscience.com%2Fwos%2Fwoscc%2Ffull-record%2FWOS:000407129000019","View Full Record in Web of Science")</f>
        <v>View Full Record in Web of Science</v>
      </c>
    </row>
    <row r="585" spans="1:72" x14ac:dyDescent="0.15">
      <c r="A585" t="s">
        <v>98</v>
      </c>
      <c r="B585" t="s">
        <v>19122</v>
      </c>
      <c r="C585" t="s">
        <v>74</v>
      </c>
      <c r="D585" t="s">
        <v>74</v>
      </c>
      <c r="E585" t="s">
        <v>74</v>
      </c>
      <c r="F585" t="s">
        <v>19123</v>
      </c>
      <c r="G585" t="s">
        <v>74</v>
      </c>
      <c r="H585" t="s">
        <v>74</v>
      </c>
      <c r="I585" t="s">
        <v>19124</v>
      </c>
      <c r="J585" t="s">
        <v>140</v>
      </c>
      <c r="K585" t="s">
        <v>74</v>
      </c>
      <c r="L585" t="s">
        <v>74</v>
      </c>
      <c r="M585" t="s">
        <v>74</v>
      </c>
      <c r="N585" t="s">
        <v>103</v>
      </c>
      <c r="O585" t="s">
        <v>74</v>
      </c>
      <c r="P585" t="s">
        <v>74</v>
      </c>
      <c r="Q585" t="s">
        <v>74</v>
      </c>
      <c r="R585" t="s">
        <v>74</v>
      </c>
      <c r="S585" t="s">
        <v>74</v>
      </c>
      <c r="T585" t="s">
        <v>74</v>
      </c>
      <c r="U585" t="s">
        <v>19125</v>
      </c>
      <c r="V585" t="s">
        <v>19126</v>
      </c>
      <c r="W585" t="s">
        <v>19127</v>
      </c>
      <c r="X585" t="s">
        <v>19128</v>
      </c>
      <c r="Y585" t="s">
        <v>19129</v>
      </c>
      <c r="Z585" t="s">
        <v>19130</v>
      </c>
      <c r="AA585" t="s">
        <v>74</v>
      </c>
      <c r="AB585" t="s">
        <v>74</v>
      </c>
      <c r="AC585" t="s">
        <v>74</v>
      </c>
      <c r="AD585" t="s">
        <v>74</v>
      </c>
      <c r="AE585" t="s">
        <v>74</v>
      </c>
      <c r="AF585" t="s">
        <v>74</v>
      </c>
      <c r="AG585">
        <v>66</v>
      </c>
      <c r="AH585">
        <v>34</v>
      </c>
      <c r="AI585">
        <v>34</v>
      </c>
      <c r="AJ585">
        <v>4</v>
      </c>
      <c r="AK585">
        <v>35</v>
      </c>
      <c r="AL585" t="s">
        <v>74</v>
      </c>
      <c r="AM585" t="s">
        <v>74</v>
      </c>
      <c r="AN585" t="s">
        <v>74</v>
      </c>
      <c r="AO585" t="s">
        <v>149</v>
      </c>
      <c r="AP585" t="s">
        <v>74</v>
      </c>
      <c r="AQ585" t="s">
        <v>74</v>
      </c>
      <c r="AR585" t="s">
        <v>74</v>
      </c>
      <c r="AS585" t="s">
        <v>74</v>
      </c>
      <c r="AT585" t="s">
        <v>14226</v>
      </c>
      <c r="AU585">
        <v>2018</v>
      </c>
      <c r="AV585">
        <v>8</v>
      </c>
      <c r="AW585" t="s">
        <v>74</v>
      </c>
      <c r="AX585" t="s">
        <v>74</v>
      </c>
      <c r="AY585" t="s">
        <v>74</v>
      </c>
      <c r="AZ585" t="s">
        <v>74</v>
      </c>
      <c r="BA585" t="s">
        <v>74</v>
      </c>
      <c r="BB585" t="s">
        <v>74</v>
      </c>
      <c r="BC585" t="s">
        <v>74</v>
      </c>
      <c r="BD585">
        <v>6751</v>
      </c>
      <c r="BE585" t="s">
        <v>19131</v>
      </c>
      <c r="BF585" t="str">
        <f>HYPERLINK("http://dx.doi.org/10.1038/s41598-018-25026-2","http://dx.doi.org/10.1038/s41598-018-25026-2")</f>
        <v>http://dx.doi.org/10.1038/s41598-018-25026-2</v>
      </c>
      <c r="BG585" t="s">
        <v>74</v>
      </c>
      <c r="BH585" t="s">
        <v>74</v>
      </c>
      <c r="BI585" t="s">
        <v>74</v>
      </c>
      <c r="BJ585" t="s">
        <v>152</v>
      </c>
      <c r="BK585" t="s">
        <v>117</v>
      </c>
      <c r="BL585" t="s">
        <v>153</v>
      </c>
      <c r="BM585" t="s">
        <v>74</v>
      </c>
      <c r="BN585">
        <v>29712935</v>
      </c>
      <c r="BO585" t="s">
        <v>74</v>
      </c>
      <c r="BP585" t="s">
        <v>74</v>
      </c>
      <c r="BQ585" t="s">
        <v>74</v>
      </c>
      <c r="BR585" t="s">
        <v>96</v>
      </c>
      <c r="BS585" t="s">
        <v>19132</v>
      </c>
      <c r="BT585" t="str">
        <f>HYPERLINK("https%3A%2F%2Fwww.webofscience.com%2Fwos%2Fwoscc%2Ffull-record%2FWOS:000431107100010","View Full Record in Web of Science")</f>
        <v>View Full Record in Web of Science</v>
      </c>
    </row>
    <row r="586" spans="1:72" x14ac:dyDescent="0.15">
      <c r="A586" t="s">
        <v>98</v>
      </c>
      <c r="B586" t="s">
        <v>21071</v>
      </c>
      <c r="C586" t="s">
        <v>74</v>
      </c>
      <c r="D586" t="s">
        <v>74</v>
      </c>
      <c r="E586" t="s">
        <v>74</v>
      </c>
      <c r="F586" t="s">
        <v>21072</v>
      </c>
      <c r="G586" t="s">
        <v>74</v>
      </c>
      <c r="H586" t="s">
        <v>74</v>
      </c>
      <c r="I586" t="s">
        <v>21073</v>
      </c>
      <c r="J586" t="s">
        <v>21074</v>
      </c>
      <c r="K586" t="s">
        <v>74</v>
      </c>
      <c r="L586" t="s">
        <v>74</v>
      </c>
      <c r="M586" t="s">
        <v>74</v>
      </c>
      <c r="N586" t="s">
        <v>980</v>
      </c>
      <c r="O586" t="s">
        <v>21075</v>
      </c>
      <c r="P586" t="s">
        <v>21076</v>
      </c>
      <c r="Q586" t="s">
        <v>21077</v>
      </c>
      <c r="R586" t="s">
        <v>74</v>
      </c>
      <c r="S586" t="s">
        <v>74</v>
      </c>
      <c r="T586" t="s">
        <v>21078</v>
      </c>
      <c r="U586" t="s">
        <v>21079</v>
      </c>
      <c r="V586" t="s">
        <v>21080</v>
      </c>
      <c r="W586" t="s">
        <v>21081</v>
      </c>
      <c r="X586" t="s">
        <v>21082</v>
      </c>
      <c r="Y586" t="s">
        <v>21083</v>
      </c>
      <c r="Z586" t="s">
        <v>21084</v>
      </c>
      <c r="AA586" t="s">
        <v>21085</v>
      </c>
      <c r="AB586" t="s">
        <v>21086</v>
      </c>
      <c r="AC586" t="s">
        <v>74</v>
      </c>
      <c r="AD586" t="s">
        <v>74</v>
      </c>
      <c r="AE586" t="s">
        <v>74</v>
      </c>
      <c r="AF586" t="s">
        <v>74</v>
      </c>
      <c r="AG586">
        <v>31</v>
      </c>
      <c r="AH586">
        <v>34</v>
      </c>
      <c r="AI586">
        <v>35</v>
      </c>
      <c r="AJ586">
        <v>0</v>
      </c>
      <c r="AK586">
        <v>8</v>
      </c>
      <c r="AL586" t="s">
        <v>74</v>
      </c>
      <c r="AM586" t="s">
        <v>74</v>
      </c>
      <c r="AN586" t="s">
        <v>74</v>
      </c>
      <c r="AO586" t="s">
        <v>21087</v>
      </c>
      <c r="AP586" t="s">
        <v>21088</v>
      </c>
      <c r="AQ586" t="s">
        <v>74</v>
      </c>
      <c r="AR586" t="s">
        <v>74</v>
      </c>
      <c r="AS586" t="s">
        <v>74</v>
      </c>
      <c r="AT586" t="s">
        <v>74</v>
      </c>
      <c r="AU586">
        <v>2019</v>
      </c>
      <c r="AV586">
        <v>99</v>
      </c>
      <c r="AW586">
        <v>1</v>
      </c>
      <c r="AX586" t="s">
        <v>74</v>
      </c>
      <c r="AY586" t="s">
        <v>74</v>
      </c>
      <c r="AZ586" t="s">
        <v>447</v>
      </c>
      <c r="BA586" t="s">
        <v>74</v>
      </c>
      <c r="BB586">
        <v>39</v>
      </c>
      <c r="BC586">
        <v>45</v>
      </c>
      <c r="BD586" t="s">
        <v>74</v>
      </c>
      <c r="BE586" t="s">
        <v>21089</v>
      </c>
      <c r="BF586" t="str">
        <f>HYPERLINK("http://dx.doi.org/10.1159/000494411","http://dx.doi.org/10.1159/000494411")</f>
        <v>http://dx.doi.org/10.1159/000494411</v>
      </c>
      <c r="BG586" t="s">
        <v>74</v>
      </c>
      <c r="BH586" t="s">
        <v>74</v>
      </c>
      <c r="BI586" t="s">
        <v>74</v>
      </c>
      <c r="BJ586" t="s">
        <v>633</v>
      </c>
      <c r="BK586" t="s">
        <v>997</v>
      </c>
      <c r="BL586" t="s">
        <v>633</v>
      </c>
      <c r="BM586" t="s">
        <v>74</v>
      </c>
      <c r="BN586">
        <v>30554222</v>
      </c>
      <c r="BO586" t="s">
        <v>74</v>
      </c>
      <c r="BP586" t="s">
        <v>74</v>
      </c>
      <c r="BQ586" t="s">
        <v>74</v>
      </c>
      <c r="BR586" t="s">
        <v>96</v>
      </c>
      <c r="BS586" t="s">
        <v>21090</v>
      </c>
      <c r="BT586" t="str">
        <f>HYPERLINK("https%3A%2F%2Fwww.webofscience.com%2Fwos%2Fwoscc%2Ffull-record%2FWOS:000455064400007","View Full Record in Web of Science")</f>
        <v>View Full Record in Web of Science</v>
      </c>
    </row>
    <row r="587" spans="1:72" x14ac:dyDescent="0.15">
      <c r="A587" t="s">
        <v>98</v>
      </c>
      <c r="B587" t="s">
        <v>26260</v>
      </c>
      <c r="C587" t="s">
        <v>74</v>
      </c>
      <c r="D587" t="s">
        <v>74</v>
      </c>
      <c r="E587" t="s">
        <v>74</v>
      </c>
      <c r="F587" t="s">
        <v>26260</v>
      </c>
      <c r="G587" t="s">
        <v>74</v>
      </c>
      <c r="H587" t="s">
        <v>74</v>
      </c>
      <c r="I587" t="s">
        <v>26261</v>
      </c>
      <c r="J587" t="s">
        <v>1614</v>
      </c>
      <c r="K587" t="s">
        <v>74</v>
      </c>
      <c r="L587" t="s">
        <v>74</v>
      </c>
      <c r="M587" t="s">
        <v>74</v>
      </c>
      <c r="N587" t="s">
        <v>103</v>
      </c>
      <c r="O587" t="s">
        <v>74</v>
      </c>
      <c r="P587" t="s">
        <v>74</v>
      </c>
      <c r="Q587" t="s">
        <v>74</v>
      </c>
      <c r="R587" t="s">
        <v>74</v>
      </c>
      <c r="S587" t="s">
        <v>74</v>
      </c>
      <c r="T587" t="s">
        <v>26262</v>
      </c>
      <c r="U587" t="s">
        <v>26263</v>
      </c>
      <c r="V587" t="s">
        <v>26264</v>
      </c>
      <c r="W587" t="s">
        <v>26265</v>
      </c>
      <c r="X587" t="s">
        <v>26266</v>
      </c>
      <c r="Y587" t="s">
        <v>74</v>
      </c>
      <c r="Z587" t="s">
        <v>74</v>
      </c>
      <c r="AA587" t="s">
        <v>74</v>
      </c>
      <c r="AB587" t="s">
        <v>74</v>
      </c>
      <c r="AC587" t="s">
        <v>74</v>
      </c>
      <c r="AD587" t="s">
        <v>74</v>
      </c>
      <c r="AE587" t="s">
        <v>74</v>
      </c>
      <c r="AF587" t="s">
        <v>74</v>
      </c>
      <c r="AG587">
        <v>33</v>
      </c>
      <c r="AH587">
        <v>34</v>
      </c>
      <c r="AI587">
        <v>34</v>
      </c>
      <c r="AJ587">
        <v>1</v>
      </c>
      <c r="AK587">
        <v>2</v>
      </c>
      <c r="AL587" t="s">
        <v>74</v>
      </c>
      <c r="AM587" t="s">
        <v>74</v>
      </c>
      <c r="AN587" t="s">
        <v>74</v>
      </c>
      <c r="AO587" t="s">
        <v>1623</v>
      </c>
      <c r="AP587" t="s">
        <v>74</v>
      </c>
      <c r="AQ587" t="s">
        <v>74</v>
      </c>
      <c r="AR587" t="s">
        <v>74</v>
      </c>
      <c r="AS587" t="s">
        <v>74</v>
      </c>
      <c r="AT587" t="s">
        <v>15855</v>
      </c>
      <c r="AU587">
        <v>1995</v>
      </c>
      <c r="AV587">
        <v>15</v>
      </c>
      <c r="AW587">
        <v>2</v>
      </c>
      <c r="AX587" t="s">
        <v>74</v>
      </c>
      <c r="AY587" t="s">
        <v>74</v>
      </c>
      <c r="AZ587" t="s">
        <v>74</v>
      </c>
      <c r="BA587" t="s">
        <v>74</v>
      </c>
      <c r="BB587">
        <v>133</v>
      </c>
      <c r="BC587">
        <v>138</v>
      </c>
      <c r="BD587" t="s">
        <v>74</v>
      </c>
      <c r="BE587" t="s">
        <v>26267</v>
      </c>
      <c r="BF587" t="str">
        <f>HYPERLINK("http://dx.doi.org/10.1002/jat.2550150213","http://dx.doi.org/10.1002/jat.2550150213")</f>
        <v>http://dx.doi.org/10.1002/jat.2550150213</v>
      </c>
      <c r="BG587" t="s">
        <v>74</v>
      </c>
      <c r="BH587" t="s">
        <v>74</v>
      </c>
      <c r="BI587" t="s">
        <v>74</v>
      </c>
      <c r="BJ587" t="s">
        <v>1626</v>
      </c>
      <c r="BK587" t="s">
        <v>117</v>
      </c>
      <c r="BL587" t="s">
        <v>1626</v>
      </c>
      <c r="BM587" t="s">
        <v>74</v>
      </c>
      <c r="BN587">
        <v>7782559</v>
      </c>
      <c r="BO587" t="s">
        <v>74</v>
      </c>
      <c r="BP587" t="s">
        <v>74</v>
      </c>
      <c r="BQ587" t="s">
        <v>74</v>
      </c>
      <c r="BR587" t="s">
        <v>96</v>
      </c>
      <c r="BS587" t="s">
        <v>26268</v>
      </c>
      <c r="BT587" t="str">
        <f>HYPERLINK("https%3A%2F%2Fwww.webofscience.com%2Fwos%2Fwoscc%2Ffull-record%2FWOS:A1995QP84700011","View Full Record in Web of Science")</f>
        <v>View Full Record in Web of Science</v>
      </c>
    </row>
    <row r="588" spans="1:72" x14ac:dyDescent="0.15">
      <c r="A588" t="s">
        <v>98</v>
      </c>
      <c r="B588" t="s">
        <v>27678</v>
      </c>
      <c r="C588" t="s">
        <v>74</v>
      </c>
      <c r="D588" t="s">
        <v>74</v>
      </c>
      <c r="E588" t="s">
        <v>74</v>
      </c>
      <c r="F588" t="s">
        <v>27678</v>
      </c>
      <c r="G588" t="s">
        <v>74</v>
      </c>
      <c r="H588" t="s">
        <v>74</v>
      </c>
      <c r="I588" t="s">
        <v>27679</v>
      </c>
      <c r="J588" t="s">
        <v>11436</v>
      </c>
      <c r="K588" t="s">
        <v>74</v>
      </c>
      <c r="L588" t="s">
        <v>74</v>
      </c>
      <c r="M588" t="s">
        <v>74</v>
      </c>
      <c r="N588" t="s">
        <v>103</v>
      </c>
      <c r="O588" t="s">
        <v>74</v>
      </c>
      <c r="P588" t="s">
        <v>74</v>
      </c>
      <c r="Q588" t="s">
        <v>74</v>
      </c>
      <c r="R588" t="s">
        <v>74</v>
      </c>
      <c r="S588" t="s">
        <v>74</v>
      </c>
      <c r="T588" t="s">
        <v>74</v>
      </c>
      <c r="U588" t="s">
        <v>27680</v>
      </c>
      <c r="V588" t="s">
        <v>27681</v>
      </c>
      <c r="W588" t="s">
        <v>27682</v>
      </c>
      <c r="X588" t="s">
        <v>27683</v>
      </c>
      <c r="Y588" t="s">
        <v>74</v>
      </c>
      <c r="Z588" t="s">
        <v>74</v>
      </c>
      <c r="AA588" t="s">
        <v>27684</v>
      </c>
      <c r="AB588" t="s">
        <v>27685</v>
      </c>
      <c r="AC588" t="s">
        <v>74</v>
      </c>
      <c r="AD588" t="s">
        <v>74</v>
      </c>
      <c r="AE588" t="s">
        <v>74</v>
      </c>
      <c r="AF588" t="s">
        <v>74</v>
      </c>
      <c r="AG588">
        <v>63</v>
      </c>
      <c r="AH588">
        <v>34</v>
      </c>
      <c r="AI588">
        <v>34</v>
      </c>
      <c r="AJ588">
        <v>0</v>
      </c>
      <c r="AK588">
        <v>4</v>
      </c>
      <c r="AL588" t="s">
        <v>74</v>
      </c>
      <c r="AM588" t="s">
        <v>74</v>
      </c>
      <c r="AN588" t="s">
        <v>74</v>
      </c>
      <c r="AO588" t="s">
        <v>11443</v>
      </c>
      <c r="AP588" t="s">
        <v>74</v>
      </c>
      <c r="AQ588" t="s">
        <v>74</v>
      </c>
      <c r="AR588" t="s">
        <v>74</v>
      </c>
      <c r="AS588" t="s">
        <v>74</v>
      </c>
      <c r="AT588" t="s">
        <v>565</v>
      </c>
      <c r="AU588">
        <v>1996</v>
      </c>
      <c r="AV588">
        <v>7</v>
      </c>
      <c r="AW588">
        <v>3</v>
      </c>
      <c r="AX588" t="s">
        <v>74</v>
      </c>
      <c r="AY588" t="s">
        <v>74</v>
      </c>
      <c r="AZ588" t="s">
        <v>74</v>
      </c>
      <c r="BA588" t="s">
        <v>74</v>
      </c>
      <c r="BB588">
        <v>369</v>
      </c>
      <c r="BC588">
        <v>381</v>
      </c>
      <c r="BD588" t="s">
        <v>74</v>
      </c>
      <c r="BE588" t="s">
        <v>27686</v>
      </c>
      <c r="BF588" t="str">
        <f>HYPERLINK("http://dx.doi.org/10.1091/mbc.7.3.369","http://dx.doi.org/10.1091/mbc.7.3.369")</f>
        <v>http://dx.doi.org/10.1091/mbc.7.3.369</v>
      </c>
      <c r="BG588" t="s">
        <v>74</v>
      </c>
      <c r="BH588" t="s">
        <v>74</v>
      </c>
      <c r="BI588" t="s">
        <v>74</v>
      </c>
      <c r="BJ588" t="s">
        <v>135</v>
      </c>
      <c r="BK588" t="s">
        <v>117</v>
      </c>
      <c r="BL588" t="s">
        <v>135</v>
      </c>
      <c r="BM588" t="s">
        <v>74</v>
      </c>
      <c r="BN588">
        <v>8868466</v>
      </c>
      <c r="BO588" t="s">
        <v>74</v>
      </c>
      <c r="BP588" t="s">
        <v>74</v>
      </c>
      <c r="BQ588" t="s">
        <v>74</v>
      </c>
      <c r="BR588" t="s">
        <v>96</v>
      </c>
      <c r="BS588" t="s">
        <v>27687</v>
      </c>
      <c r="BT588" t="str">
        <f>HYPERLINK("https%3A%2F%2Fwww.webofscience.com%2Fwos%2Fwoscc%2Ffull-record%2FWOS:A1996TZ76100003","View Full Record in Web of Science")</f>
        <v>View Full Record in Web of Science</v>
      </c>
    </row>
    <row r="589" spans="1:72" x14ac:dyDescent="0.15">
      <c r="A589" t="s">
        <v>98</v>
      </c>
      <c r="B589" t="s">
        <v>28722</v>
      </c>
      <c r="C589" t="s">
        <v>74</v>
      </c>
      <c r="D589" t="s">
        <v>74</v>
      </c>
      <c r="E589" t="s">
        <v>74</v>
      </c>
      <c r="F589" t="s">
        <v>28723</v>
      </c>
      <c r="G589" t="s">
        <v>74</v>
      </c>
      <c r="H589" t="s">
        <v>74</v>
      </c>
      <c r="I589" t="s">
        <v>28724</v>
      </c>
      <c r="J589" t="s">
        <v>20638</v>
      </c>
      <c r="K589" t="s">
        <v>74</v>
      </c>
      <c r="L589" t="s">
        <v>74</v>
      </c>
      <c r="M589" t="s">
        <v>74</v>
      </c>
      <c r="N589" t="s">
        <v>103</v>
      </c>
      <c r="O589" t="s">
        <v>74</v>
      </c>
      <c r="P589" t="s">
        <v>74</v>
      </c>
      <c r="Q589" t="s">
        <v>74</v>
      </c>
      <c r="R589" t="s">
        <v>74</v>
      </c>
      <c r="S589" t="s">
        <v>74</v>
      </c>
      <c r="T589" t="s">
        <v>28725</v>
      </c>
      <c r="U589" t="s">
        <v>28726</v>
      </c>
      <c r="V589" t="s">
        <v>28727</v>
      </c>
      <c r="W589" t="s">
        <v>28728</v>
      </c>
      <c r="X589" t="s">
        <v>28729</v>
      </c>
      <c r="Y589" t="s">
        <v>28730</v>
      </c>
      <c r="Z589" t="s">
        <v>28731</v>
      </c>
      <c r="AA589" t="s">
        <v>28732</v>
      </c>
      <c r="AB589" t="s">
        <v>28733</v>
      </c>
      <c r="AC589" t="s">
        <v>74</v>
      </c>
      <c r="AD589" t="s">
        <v>74</v>
      </c>
      <c r="AE589" t="s">
        <v>74</v>
      </c>
      <c r="AF589" t="s">
        <v>74</v>
      </c>
      <c r="AG589">
        <v>55</v>
      </c>
      <c r="AH589">
        <v>34</v>
      </c>
      <c r="AI589">
        <v>38</v>
      </c>
      <c r="AJ589">
        <v>3</v>
      </c>
      <c r="AK589">
        <v>23</v>
      </c>
      <c r="AL589" t="s">
        <v>74</v>
      </c>
      <c r="AM589" t="s">
        <v>74</v>
      </c>
      <c r="AN589" t="s">
        <v>74</v>
      </c>
      <c r="AO589" t="s">
        <v>20647</v>
      </c>
      <c r="AP589" t="s">
        <v>20648</v>
      </c>
      <c r="AQ589" t="s">
        <v>74</v>
      </c>
      <c r="AR589" t="s">
        <v>74</v>
      </c>
      <c r="AS589" t="s">
        <v>74</v>
      </c>
      <c r="AT589" t="s">
        <v>170</v>
      </c>
      <c r="AU589">
        <v>2010</v>
      </c>
      <c r="AV589">
        <v>232</v>
      </c>
      <c r="AW589">
        <v>1</v>
      </c>
      <c r="AX589" t="s">
        <v>74</v>
      </c>
      <c r="AY589" t="s">
        <v>74</v>
      </c>
      <c r="AZ589" t="s">
        <v>74</v>
      </c>
      <c r="BA589" t="s">
        <v>74</v>
      </c>
      <c r="BB589">
        <v>187</v>
      </c>
      <c r="BC589">
        <v>195</v>
      </c>
      <c r="BD589" t="s">
        <v>74</v>
      </c>
      <c r="BE589" t="s">
        <v>28734</v>
      </c>
      <c r="BF589" t="str">
        <f>HYPERLINK("http://dx.doi.org/10.1007/s00425-010-1160-7","http://dx.doi.org/10.1007/s00425-010-1160-7")</f>
        <v>http://dx.doi.org/10.1007/s00425-010-1160-7</v>
      </c>
      <c r="BG589" t="s">
        <v>74</v>
      </c>
      <c r="BH589" t="s">
        <v>74</v>
      </c>
      <c r="BI589" t="s">
        <v>74</v>
      </c>
      <c r="BJ589" t="s">
        <v>20650</v>
      </c>
      <c r="BK589" t="s">
        <v>117</v>
      </c>
      <c r="BL589" t="s">
        <v>20650</v>
      </c>
      <c r="BM589" t="s">
        <v>74</v>
      </c>
      <c r="BN589">
        <v>20390294</v>
      </c>
      <c r="BO589" t="s">
        <v>74</v>
      </c>
      <c r="BP589" t="s">
        <v>74</v>
      </c>
      <c r="BQ589" t="s">
        <v>74</v>
      </c>
      <c r="BR589" t="s">
        <v>96</v>
      </c>
      <c r="BS589" t="s">
        <v>28735</v>
      </c>
      <c r="BT589" t="str">
        <f>HYPERLINK("https%3A%2F%2Fwww.webofscience.com%2Fwos%2Fwoscc%2Ffull-record%2FWOS:000277792700016","View Full Record in Web of Science")</f>
        <v>View Full Record in Web of Science</v>
      </c>
    </row>
    <row r="590" spans="1:72" x14ac:dyDescent="0.15">
      <c r="A590" t="s">
        <v>98</v>
      </c>
      <c r="B590" t="s">
        <v>29197</v>
      </c>
      <c r="C590" t="s">
        <v>74</v>
      </c>
      <c r="D590" t="s">
        <v>74</v>
      </c>
      <c r="E590" t="s">
        <v>74</v>
      </c>
      <c r="F590" t="s">
        <v>29198</v>
      </c>
      <c r="G590" t="s">
        <v>74</v>
      </c>
      <c r="H590" t="s">
        <v>74</v>
      </c>
      <c r="I590" t="s">
        <v>29199</v>
      </c>
      <c r="J590" t="s">
        <v>4486</v>
      </c>
      <c r="K590" t="s">
        <v>74</v>
      </c>
      <c r="L590" t="s">
        <v>74</v>
      </c>
      <c r="M590" t="s">
        <v>74</v>
      </c>
      <c r="N590" t="s">
        <v>103</v>
      </c>
      <c r="O590" t="s">
        <v>74</v>
      </c>
      <c r="P590" t="s">
        <v>74</v>
      </c>
      <c r="Q590" t="s">
        <v>74</v>
      </c>
      <c r="R590" t="s">
        <v>74</v>
      </c>
      <c r="S590" t="s">
        <v>74</v>
      </c>
      <c r="T590" t="s">
        <v>74</v>
      </c>
      <c r="U590" t="s">
        <v>29200</v>
      </c>
      <c r="V590" t="s">
        <v>29201</v>
      </c>
      <c r="W590" t="s">
        <v>29202</v>
      </c>
      <c r="X590" t="s">
        <v>9259</v>
      </c>
      <c r="Y590" t="s">
        <v>29203</v>
      </c>
      <c r="Z590" t="s">
        <v>29204</v>
      </c>
      <c r="AA590" t="s">
        <v>29205</v>
      </c>
      <c r="AB590" t="s">
        <v>29206</v>
      </c>
      <c r="AC590" t="s">
        <v>74</v>
      </c>
      <c r="AD590" t="s">
        <v>74</v>
      </c>
      <c r="AE590" t="s">
        <v>74</v>
      </c>
      <c r="AF590" t="s">
        <v>74</v>
      </c>
      <c r="AG590">
        <v>34</v>
      </c>
      <c r="AH590">
        <v>34</v>
      </c>
      <c r="AI590">
        <v>36</v>
      </c>
      <c r="AJ590">
        <v>7</v>
      </c>
      <c r="AK590">
        <v>130</v>
      </c>
      <c r="AL590" t="s">
        <v>74</v>
      </c>
      <c r="AM590" t="s">
        <v>74</v>
      </c>
      <c r="AN590" t="s">
        <v>74</v>
      </c>
      <c r="AO590" t="s">
        <v>4493</v>
      </c>
      <c r="AP590" t="s">
        <v>4494</v>
      </c>
      <c r="AQ590" t="s">
        <v>74</v>
      </c>
      <c r="AR590" t="s">
        <v>74</v>
      </c>
      <c r="AS590" t="s">
        <v>74</v>
      </c>
      <c r="AT590" t="s">
        <v>3255</v>
      </c>
      <c r="AU590">
        <v>2017</v>
      </c>
      <c r="AV590">
        <v>89</v>
      </c>
      <c r="AW590">
        <v>22</v>
      </c>
      <c r="AX590" t="s">
        <v>74</v>
      </c>
      <c r="AY590" t="s">
        <v>74</v>
      </c>
      <c r="AZ590" t="s">
        <v>74</v>
      </c>
      <c r="BA590" t="s">
        <v>74</v>
      </c>
      <c r="BB590">
        <v>12039</v>
      </c>
      <c r="BC590">
        <v>12044</v>
      </c>
      <c r="BD590" t="s">
        <v>74</v>
      </c>
      <c r="BE590" t="s">
        <v>29207</v>
      </c>
      <c r="BF590" t="str">
        <f>HYPERLINK("http://dx.doi.org/10.1021/acs.analchem.7b02469","http://dx.doi.org/10.1021/acs.analchem.7b02469")</f>
        <v>http://dx.doi.org/10.1021/acs.analchem.7b02469</v>
      </c>
      <c r="BG590" t="s">
        <v>74</v>
      </c>
      <c r="BH590" t="s">
        <v>74</v>
      </c>
      <c r="BI590" t="s">
        <v>74</v>
      </c>
      <c r="BJ590" t="s">
        <v>1118</v>
      </c>
      <c r="BK590" t="s">
        <v>117</v>
      </c>
      <c r="BL590" t="s">
        <v>1048</v>
      </c>
      <c r="BM590" t="s">
        <v>74</v>
      </c>
      <c r="BN590">
        <v>29072078</v>
      </c>
      <c r="BO590" t="s">
        <v>74</v>
      </c>
      <c r="BP590" t="s">
        <v>74</v>
      </c>
      <c r="BQ590" t="s">
        <v>74</v>
      </c>
      <c r="BR590" t="s">
        <v>96</v>
      </c>
      <c r="BS590" t="s">
        <v>29208</v>
      </c>
      <c r="BT590" t="str">
        <f>HYPERLINK("https%3A%2F%2Fwww.webofscience.com%2Fwos%2Fwoscc%2Ffull-record%2FWOS:000416498100023","View Full Record in Web of Science")</f>
        <v>View Full Record in Web of Science</v>
      </c>
    </row>
    <row r="591" spans="1:72" x14ac:dyDescent="0.15">
      <c r="A591" t="s">
        <v>98</v>
      </c>
      <c r="B591" t="s">
        <v>30114</v>
      </c>
      <c r="C591" t="s">
        <v>74</v>
      </c>
      <c r="D591" t="s">
        <v>74</v>
      </c>
      <c r="E591" t="s">
        <v>74</v>
      </c>
      <c r="F591" t="s">
        <v>30115</v>
      </c>
      <c r="G591" t="s">
        <v>74</v>
      </c>
      <c r="H591" t="s">
        <v>74</v>
      </c>
      <c r="I591" t="s">
        <v>30116</v>
      </c>
      <c r="J591" t="s">
        <v>13826</v>
      </c>
      <c r="K591" t="s">
        <v>74</v>
      </c>
      <c r="L591" t="s">
        <v>74</v>
      </c>
      <c r="M591" t="s">
        <v>74</v>
      </c>
      <c r="N591" t="s">
        <v>103</v>
      </c>
      <c r="O591" t="s">
        <v>74</v>
      </c>
      <c r="P591" t="s">
        <v>74</v>
      </c>
      <c r="Q591" t="s">
        <v>74</v>
      </c>
      <c r="R591" t="s">
        <v>74</v>
      </c>
      <c r="S591" t="s">
        <v>74</v>
      </c>
      <c r="T591" t="s">
        <v>30117</v>
      </c>
      <c r="U591" t="s">
        <v>30118</v>
      </c>
      <c r="V591" t="s">
        <v>30119</v>
      </c>
      <c r="W591" t="s">
        <v>30120</v>
      </c>
      <c r="X591" t="s">
        <v>12820</v>
      </c>
      <c r="Y591" t="s">
        <v>30121</v>
      </c>
      <c r="Z591" t="s">
        <v>30122</v>
      </c>
      <c r="AA591" t="s">
        <v>30123</v>
      </c>
      <c r="AB591" t="s">
        <v>30124</v>
      </c>
      <c r="AC591" t="s">
        <v>74</v>
      </c>
      <c r="AD591" t="s">
        <v>74</v>
      </c>
      <c r="AE591" t="s">
        <v>74</v>
      </c>
      <c r="AF591" t="s">
        <v>74</v>
      </c>
      <c r="AG591">
        <v>65</v>
      </c>
      <c r="AH591">
        <v>34</v>
      </c>
      <c r="AI591">
        <v>35</v>
      </c>
      <c r="AJ591">
        <v>3</v>
      </c>
      <c r="AK591">
        <v>31</v>
      </c>
      <c r="AL591" t="s">
        <v>74</v>
      </c>
      <c r="AM591" t="s">
        <v>74</v>
      </c>
      <c r="AN591" t="s">
        <v>74</v>
      </c>
      <c r="AO591" t="s">
        <v>74</v>
      </c>
      <c r="AP591" t="s">
        <v>13834</v>
      </c>
      <c r="AQ591" t="s">
        <v>74</v>
      </c>
      <c r="AR591" t="s">
        <v>74</v>
      </c>
      <c r="AS591" t="s">
        <v>74</v>
      </c>
      <c r="AT591" t="s">
        <v>211</v>
      </c>
      <c r="AU591">
        <v>2019</v>
      </c>
      <c r="AV591">
        <v>6</v>
      </c>
      <c r="AW591">
        <v>21</v>
      </c>
      <c r="AX591" t="s">
        <v>74</v>
      </c>
      <c r="AY591" t="s">
        <v>74</v>
      </c>
      <c r="AZ591" t="s">
        <v>74</v>
      </c>
      <c r="BA591" t="s">
        <v>74</v>
      </c>
      <c r="BB591" t="s">
        <v>74</v>
      </c>
      <c r="BC591" t="s">
        <v>74</v>
      </c>
      <c r="BD591">
        <v>1900582</v>
      </c>
      <c r="BE591" t="s">
        <v>30125</v>
      </c>
      <c r="BF591" t="str">
        <f>HYPERLINK("http://dx.doi.org/10.1002/advs.201900582","http://dx.doi.org/10.1002/advs.201900582")</f>
        <v>http://dx.doi.org/10.1002/advs.201900582</v>
      </c>
      <c r="BG591" t="s">
        <v>74</v>
      </c>
      <c r="BH591" t="s">
        <v>74</v>
      </c>
      <c r="BI591" t="s">
        <v>74</v>
      </c>
      <c r="BJ591" t="s">
        <v>1274</v>
      </c>
      <c r="BK591" t="s">
        <v>117</v>
      </c>
      <c r="BL591" t="s">
        <v>1275</v>
      </c>
      <c r="BM591" t="s">
        <v>74</v>
      </c>
      <c r="BN591">
        <v>31728272</v>
      </c>
      <c r="BO591" t="s">
        <v>74</v>
      </c>
      <c r="BP591" t="s">
        <v>74</v>
      </c>
      <c r="BQ591" t="s">
        <v>74</v>
      </c>
      <c r="BR591" t="s">
        <v>96</v>
      </c>
      <c r="BS591" t="s">
        <v>30126</v>
      </c>
      <c r="BT591" t="str">
        <f>HYPERLINK("https%3A%2F%2Fwww.webofscience.com%2Fwos%2Fwoscc%2Ffull-record%2FWOS:000496253700022","View Full Record in Web of Science")</f>
        <v>View Full Record in Web of Science</v>
      </c>
    </row>
    <row r="592" spans="1:72" x14ac:dyDescent="0.15">
      <c r="A592" t="s">
        <v>98</v>
      </c>
      <c r="B592" t="s">
        <v>2910</v>
      </c>
      <c r="C592" t="s">
        <v>74</v>
      </c>
      <c r="D592" t="s">
        <v>74</v>
      </c>
      <c r="E592" t="s">
        <v>74</v>
      </c>
      <c r="F592" t="s">
        <v>2911</v>
      </c>
      <c r="G592" t="s">
        <v>74</v>
      </c>
      <c r="H592" t="s">
        <v>74</v>
      </c>
      <c r="I592" t="s">
        <v>2912</v>
      </c>
      <c r="J592" t="s">
        <v>2913</v>
      </c>
      <c r="K592" t="s">
        <v>74</v>
      </c>
      <c r="L592" t="s">
        <v>74</v>
      </c>
      <c r="M592" t="s">
        <v>74</v>
      </c>
      <c r="N592" t="s">
        <v>103</v>
      </c>
      <c r="O592" t="s">
        <v>74</v>
      </c>
      <c r="P592" t="s">
        <v>74</v>
      </c>
      <c r="Q592" t="s">
        <v>74</v>
      </c>
      <c r="R592" t="s">
        <v>74</v>
      </c>
      <c r="S592" t="s">
        <v>74</v>
      </c>
      <c r="T592" t="s">
        <v>2914</v>
      </c>
      <c r="U592" t="s">
        <v>2915</v>
      </c>
      <c r="V592" t="s">
        <v>2916</v>
      </c>
      <c r="W592" t="s">
        <v>2917</v>
      </c>
      <c r="X592" t="s">
        <v>2918</v>
      </c>
      <c r="Y592" t="s">
        <v>2919</v>
      </c>
      <c r="Z592" t="s">
        <v>2920</v>
      </c>
      <c r="AA592" t="s">
        <v>2921</v>
      </c>
      <c r="AB592" t="s">
        <v>2922</v>
      </c>
      <c r="AC592" t="s">
        <v>74</v>
      </c>
      <c r="AD592" t="s">
        <v>74</v>
      </c>
      <c r="AE592" t="s">
        <v>74</v>
      </c>
      <c r="AF592" t="s">
        <v>74</v>
      </c>
      <c r="AG592">
        <v>28</v>
      </c>
      <c r="AH592">
        <v>33</v>
      </c>
      <c r="AI592">
        <v>34</v>
      </c>
      <c r="AJ592">
        <v>0</v>
      </c>
      <c r="AK592">
        <v>7</v>
      </c>
      <c r="AL592" t="s">
        <v>74</v>
      </c>
      <c r="AM592" t="s">
        <v>74</v>
      </c>
      <c r="AN592" t="s">
        <v>74</v>
      </c>
      <c r="AO592" t="s">
        <v>2923</v>
      </c>
      <c r="AP592" t="s">
        <v>2924</v>
      </c>
      <c r="AQ592" t="s">
        <v>74</v>
      </c>
      <c r="AR592" t="s">
        <v>74</v>
      </c>
      <c r="AS592" t="s">
        <v>74</v>
      </c>
      <c r="AT592" t="s">
        <v>1029</v>
      </c>
      <c r="AU592">
        <v>2019</v>
      </c>
      <c r="AV592">
        <v>60</v>
      </c>
      <c r="AW592">
        <v>3</v>
      </c>
      <c r="AX592" t="s">
        <v>74</v>
      </c>
      <c r="AY592" t="s">
        <v>74</v>
      </c>
      <c r="AZ592" t="s">
        <v>74</v>
      </c>
      <c r="BA592" t="s">
        <v>74</v>
      </c>
      <c r="BB592">
        <v>289</v>
      </c>
      <c r="BC592">
        <v>297</v>
      </c>
      <c r="BD592" t="s">
        <v>74</v>
      </c>
      <c r="BE592" t="s">
        <v>2925</v>
      </c>
      <c r="BF592" t="str">
        <f>HYPERLINK("http://dx.doi.org/10.1093/jrr/rrz001","http://dx.doi.org/10.1093/jrr/rrz001")</f>
        <v>http://dx.doi.org/10.1093/jrr/rrz001</v>
      </c>
      <c r="BG592" t="s">
        <v>74</v>
      </c>
      <c r="BH592" t="s">
        <v>74</v>
      </c>
      <c r="BI592" t="s">
        <v>74</v>
      </c>
      <c r="BJ592" t="s">
        <v>2926</v>
      </c>
      <c r="BK592" t="s">
        <v>117</v>
      </c>
      <c r="BL592" t="s">
        <v>2927</v>
      </c>
      <c r="BM592" t="s">
        <v>74</v>
      </c>
      <c r="BN592">
        <v>30805606</v>
      </c>
      <c r="BO592" t="s">
        <v>74</v>
      </c>
      <c r="BP592" t="s">
        <v>74</v>
      </c>
      <c r="BQ592" t="s">
        <v>74</v>
      </c>
      <c r="BR592" t="s">
        <v>96</v>
      </c>
      <c r="BS592" t="s">
        <v>2928</v>
      </c>
      <c r="BT592" t="str">
        <f>HYPERLINK("https%3A%2F%2Fwww.webofscience.com%2Fwos%2Fwoscc%2Ffull-record%2FWOS:000470057300002","View Full Record in Web of Science")</f>
        <v>View Full Record in Web of Science</v>
      </c>
    </row>
    <row r="593" spans="1:72" x14ac:dyDescent="0.15">
      <c r="A593" t="s">
        <v>98</v>
      </c>
      <c r="B593" t="s">
        <v>3060</v>
      </c>
      <c r="C593" t="s">
        <v>74</v>
      </c>
      <c r="D593" t="s">
        <v>74</v>
      </c>
      <c r="E593" t="s">
        <v>74</v>
      </c>
      <c r="F593" t="s">
        <v>3061</v>
      </c>
      <c r="G593" t="s">
        <v>74</v>
      </c>
      <c r="H593" t="s">
        <v>74</v>
      </c>
      <c r="I593" t="s">
        <v>3062</v>
      </c>
      <c r="J593" t="s">
        <v>503</v>
      </c>
      <c r="K593" t="s">
        <v>74</v>
      </c>
      <c r="L593" t="s">
        <v>74</v>
      </c>
      <c r="M593" t="s">
        <v>74</v>
      </c>
      <c r="N593" t="s">
        <v>103</v>
      </c>
      <c r="O593" t="s">
        <v>74</v>
      </c>
      <c r="P593" t="s">
        <v>74</v>
      </c>
      <c r="Q593" t="s">
        <v>74</v>
      </c>
      <c r="R593" t="s">
        <v>74</v>
      </c>
      <c r="S593" t="s">
        <v>74</v>
      </c>
      <c r="T593" t="s">
        <v>3063</v>
      </c>
      <c r="U593" t="s">
        <v>3064</v>
      </c>
      <c r="V593" t="s">
        <v>3065</v>
      </c>
      <c r="W593" t="s">
        <v>3066</v>
      </c>
      <c r="X593" t="s">
        <v>3067</v>
      </c>
      <c r="Y593" t="s">
        <v>3068</v>
      </c>
      <c r="Z593" t="s">
        <v>3069</v>
      </c>
      <c r="AA593" t="s">
        <v>74</v>
      </c>
      <c r="AB593" t="s">
        <v>3070</v>
      </c>
      <c r="AC593" t="s">
        <v>74</v>
      </c>
      <c r="AD593" t="s">
        <v>74</v>
      </c>
      <c r="AE593" t="s">
        <v>74</v>
      </c>
      <c r="AF593" t="s">
        <v>74</v>
      </c>
      <c r="AG593">
        <v>28</v>
      </c>
      <c r="AH593">
        <v>33</v>
      </c>
      <c r="AI593">
        <v>33</v>
      </c>
      <c r="AJ593">
        <v>5</v>
      </c>
      <c r="AK593">
        <v>24</v>
      </c>
      <c r="AL593" t="s">
        <v>74</v>
      </c>
      <c r="AM593" t="s">
        <v>74</v>
      </c>
      <c r="AN593" t="s">
        <v>74</v>
      </c>
      <c r="AO593" t="s">
        <v>512</v>
      </c>
      <c r="AP593" t="s">
        <v>513</v>
      </c>
      <c r="AQ593" t="s">
        <v>74</v>
      </c>
      <c r="AR593" t="s">
        <v>74</v>
      </c>
      <c r="AS593" t="s">
        <v>74</v>
      </c>
      <c r="AT593" t="s">
        <v>211</v>
      </c>
      <c r="AU593">
        <v>2019</v>
      </c>
      <c r="AV593">
        <v>79</v>
      </c>
      <c r="AW593">
        <v>15</v>
      </c>
      <c r="AX593" t="s">
        <v>74</v>
      </c>
      <c r="AY593" t="s">
        <v>74</v>
      </c>
      <c r="AZ593" t="s">
        <v>74</v>
      </c>
      <c r="BA593" t="s">
        <v>74</v>
      </c>
      <c r="BB593">
        <v>1767</v>
      </c>
      <c r="BC593">
        <v>1776</v>
      </c>
      <c r="BD593" t="s">
        <v>74</v>
      </c>
      <c r="BE593" t="s">
        <v>3071</v>
      </c>
      <c r="BF593" t="str">
        <f>HYPERLINK("http://dx.doi.org/10.1002/pros.23901","http://dx.doi.org/10.1002/pros.23901")</f>
        <v>http://dx.doi.org/10.1002/pros.23901</v>
      </c>
      <c r="BG593" t="s">
        <v>74</v>
      </c>
      <c r="BH593" t="s">
        <v>1358</v>
      </c>
      <c r="BI593" t="s">
        <v>74</v>
      </c>
      <c r="BJ593" t="s">
        <v>515</v>
      </c>
      <c r="BK593" t="s">
        <v>117</v>
      </c>
      <c r="BL593" t="s">
        <v>515</v>
      </c>
      <c r="BM593" t="s">
        <v>74</v>
      </c>
      <c r="BN593">
        <v>31475741</v>
      </c>
      <c r="BO593" t="s">
        <v>74</v>
      </c>
      <c r="BP593" t="s">
        <v>74</v>
      </c>
      <c r="BQ593" t="s">
        <v>74</v>
      </c>
      <c r="BR593" t="s">
        <v>96</v>
      </c>
      <c r="BS593" t="s">
        <v>3072</v>
      </c>
      <c r="BT593" t="str">
        <f>HYPERLINK("https%3A%2F%2Fwww.webofscience.com%2Fwos%2Fwoscc%2Ffull-record%2FWOS:000484689500001","View Full Record in Web of Science")</f>
        <v>View Full Record in Web of Science</v>
      </c>
    </row>
    <row r="594" spans="1:72" x14ac:dyDescent="0.15">
      <c r="A594" t="s">
        <v>98</v>
      </c>
      <c r="B594" t="s">
        <v>8326</v>
      </c>
      <c r="C594" t="s">
        <v>74</v>
      </c>
      <c r="D594" t="s">
        <v>74</v>
      </c>
      <c r="E594" t="s">
        <v>74</v>
      </c>
      <c r="F594" t="s">
        <v>8327</v>
      </c>
      <c r="G594" t="s">
        <v>74</v>
      </c>
      <c r="H594" t="s">
        <v>74</v>
      </c>
      <c r="I594" t="s">
        <v>8328</v>
      </c>
      <c r="J594" t="s">
        <v>123</v>
      </c>
      <c r="K594" t="s">
        <v>74</v>
      </c>
      <c r="L594" t="s">
        <v>74</v>
      </c>
      <c r="M594" t="s">
        <v>74</v>
      </c>
      <c r="N594" t="s">
        <v>103</v>
      </c>
      <c r="O594" t="s">
        <v>74</v>
      </c>
      <c r="P594" t="s">
        <v>74</v>
      </c>
      <c r="Q594" t="s">
        <v>74</v>
      </c>
      <c r="R594" t="s">
        <v>74</v>
      </c>
      <c r="S594" t="s">
        <v>74</v>
      </c>
      <c r="T594" t="s">
        <v>8329</v>
      </c>
      <c r="U594" t="s">
        <v>8330</v>
      </c>
      <c r="V594" t="s">
        <v>8331</v>
      </c>
      <c r="W594" t="s">
        <v>8332</v>
      </c>
      <c r="X594" t="s">
        <v>8333</v>
      </c>
      <c r="Y594" t="s">
        <v>8334</v>
      </c>
      <c r="Z594" t="s">
        <v>8335</v>
      </c>
      <c r="AA594" t="s">
        <v>8336</v>
      </c>
      <c r="AB594" t="s">
        <v>8337</v>
      </c>
      <c r="AC594" t="s">
        <v>74</v>
      </c>
      <c r="AD594" t="s">
        <v>74</v>
      </c>
      <c r="AE594" t="s">
        <v>74</v>
      </c>
      <c r="AF594" t="s">
        <v>74</v>
      </c>
      <c r="AG594">
        <v>46</v>
      </c>
      <c r="AH594">
        <v>33</v>
      </c>
      <c r="AI594">
        <v>33</v>
      </c>
      <c r="AJ594">
        <v>5</v>
      </c>
      <c r="AK594">
        <v>22</v>
      </c>
      <c r="AL594" t="s">
        <v>74</v>
      </c>
      <c r="AM594" t="s">
        <v>74</v>
      </c>
      <c r="AN594" t="s">
        <v>74</v>
      </c>
      <c r="AO594" t="s">
        <v>131</v>
      </c>
      <c r="AP594" t="s">
        <v>74</v>
      </c>
      <c r="AQ594" t="s">
        <v>74</v>
      </c>
      <c r="AR594" t="s">
        <v>74</v>
      </c>
      <c r="AS594" t="s">
        <v>74</v>
      </c>
      <c r="AT594" t="s">
        <v>599</v>
      </c>
      <c r="AU594">
        <v>2019</v>
      </c>
      <c r="AV594">
        <v>8</v>
      </c>
      <c r="AW594">
        <v>1</v>
      </c>
      <c r="AX594" t="s">
        <v>74</v>
      </c>
      <c r="AY594" t="s">
        <v>74</v>
      </c>
      <c r="AZ594" t="s">
        <v>74</v>
      </c>
      <c r="BA594" t="s">
        <v>74</v>
      </c>
      <c r="BB594" t="s">
        <v>74</v>
      </c>
      <c r="BC594" t="s">
        <v>74</v>
      </c>
      <c r="BD594">
        <v>1565885</v>
      </c>
      <c r="BE594" t="s">
        <v>8338</v>
      </c>
      <c r="BF594" t="str">
        <f>HYPERLINK("http://dx.doi.org/10.1080/20013078.2019.1565885","http://dx.doi.org/10.1080/20013078.2019.1565885")</f>
        <v>http://dx.doi.org/10.1080/20013078.2019.1565885</v>
      </c>
      <c r="BG594" t="s">
        <v>74</v>
      </c>
      <c r="BH594" t="s">
        <v>74</v>
      </c>
      <c r="BI594" t="s">
        <v>74</v>
      </c>
      <c r="BJ594" t="s">
        <v>135</v>
      </c>
      <c r="BK594" t="s">
        <v>117</v>
      </c>
      <c r="BL594" t="s">
        <v>135</v>
      </c>
      <c r="BM594" t="s">
        <v>74</v>
      </c>
      <c r="BN594">
        <v>30719241</v>
      </c>
      <c r="BO594" t="s">
        <v>74</v>
      </c>
      <c r="BP594" t="s">
        <v>74</v>
      </c>
      <c r="BQ594" t="s">
        <v>74</v>
      </c>
      <c r="BR594" t="s">
        <v>96</v>
      </c>
      <c r="BS594" t="s">
        <v>8339</v>
      </c>
      <c r="BT594" t="str">
        <f>HYPERLINK("https%3A%2F%2Fwww.webofscience.com%2Fwos%2Fwoscc%2Ffull-record%2FWOS:000456137900001","View Full Record in Web of Science")</f>
        <v>View Full Record in Web of Science</v>
      </c>
    </row>
    <row r="595" spans="1:72" x14ac:dyDescent="0.15">
      <c r="A595" t="s">
        <v>98</v>
      </c>
      <c r="B595" t="s">
        <v>10132</v>
      </c>
      <c r="C595" t="s">
        <v>74</v>
      </c>
      <c r="D595" t="s">
        <v>74</v>
      </c>
      <c r="E595" t="s">
        <v>74</v>
      </c>
      <c r="F595" t="s">
        <v>10133</v>
      </c>
      <c r="G595" t="s">
        <v>74</v>
      </c>
      <c r="H595" t="s">
        <v>74</v>
      </c>
      <c r="I595" t="s">
        <v>10134</v>
      </c>
      <c r="J595" t="s">
        <v>1073</v>
      </c>
      <c r="K595" t="s">
        <v>74</v>
      </c>
      <c r="L595" t="s">
        <v>74</v>
      </c>
      <c r="M595" t="s">
        <v>74</v>
      </c>
      <c r="N595" t="s">
        <v>103</v>
      </c>
      <c r="O595" t="s">
        <v>74</v>
      </c>
      <c r="P595" t="s">
        <v>74</v>
      </c>
      <c r="Q595" t="s">
        <v>74</v>
      </c>
      <c r="R595" t="s">
        <v>74</v>
      </c>
      <c r="S595" t="s">
        <v>74</v>
      </c>
      <c r="T595" t="s">
        <v>74</v>
      </c>
      <c r="U595" t="s">
        <v>10135</v>
      </c>
      <c r="V595" t="s">
        <v>10136</v>
      </c>
      <c r="W595" t="s">
        <v>10137</v>
      </c>
      <c r="X595" t="s">
        <v>10138</v>
      </c>
      <c r="Y595" t="s">
        <v>10139</v>
      </c>
      <c r="Z595" t="s">
        <v>10140</v>
      </c>
      <c r="AA595" t="s">
        <v>74</v>
      </c>
      <c r="AB595" t="s">
        <v>10141</v>
      </c>
      <c r="AC595" t="s">
        <v>74</v>
      </c>
      <c r="AD595" t="s">
        <v>74</v>
      </c>
      <c r="AE595" t="s">
        <v>74</v>
      </c>
      <c r="AF595" t="s">
        <v>74</v>
      </c>
      <c r="AG595">
        <v>52</v>
      </c>
      <c r="AH595">
        <v>33</v>
      </c>
      <c r="AI595">
        <v>34</v>
      </c>
      <c r="AJ595">
        <v>0</v>
      </c>
      <c r="AK595">
        <v>10</v>
      </c>
      <c r="AL595" t="s">
        <v>74</v>
      </c>
      <c r="AM595" t="s">
        <v>74</v>
      </c>
      <c r="AN595" t="s">
        <v>74</v>
      </c>
      <c r="AO595" t="s">
        <v>1082</v>
      </c>
      <c r="AP595" t="s">
        <v>74</v>
      </c>
      <c r="AQ595" t="s">
        <v>74</v>
      </c>
      <c r="AR595" t="s">
        <v>74</v>
      </c>
      <c r="AS595" t="s">
        <v>74</v>
      </c>
      <c r="AT595" t="s">
        <v>9738</v>
      </c>
      <c r="AU595">
        <v>2019</v>
      </c>
      <c r="AV595">
        <v>14</v>
      </c>
      <c r="AW595">
        <v>4</v>
      </c>
      <c r="AX595" t="s">
        <v>74</v>
      </c>
      <c r="AY595" t="s">
        <v>74</v>
      </c>
      <c r="AZ595" t="s">
        <v>74</v>
      </c>
      <c r="BA595" t="s">
        <v>74</v>
      </c>
      <c r="BB595" t="s">
        <v>74</v>
      </c>
      <c r="BC595" t="s">
        <v>74</v>
      </c>
      <c r="BD595" t="s">
        <v>10142</v>
      </c>
      <c r="BE595" t="s">
        <v>10143</v>
      </c>
      <c r="BF595" t="str">
        <f>HYPERLINK("http://dx.doi.org/10.1371/journal.pone.0215324","http://dx.doi.org/10.1371/journal.pone.0215324")</f>
        <v>http://dx.doi.org/10.1371/journal.pone.0215324</v>
      </c>
      <c r="BG595" t="s">
        <v>74</v>
      </c>
      <c r="BH595" t="s">
        <v>74</v>
      </c>
      <c r="BI595" t="s">
        <v>74</v>
      </c>
      <c r="BJ595" t="s">
        <v>152</v>
      </c>
      <c r="BK595" t="s">
        <v>117</v>
      </c>
      <c r="BL595" t="s">
        <v>153</v>
      </c>
      <c r="BM595" t="s">
        <v>74</v>
      </c>
      <c r="BN595">
        <v>30973950</v>
      </c>
      <c r="BO595" t="s">
        <v>74</v>
      </c>
      <c r="BP595" t="s">
        <v>74</v>
      </c>
      <c r="BQ595" t="s">
        <v>74</v>
      </c>
      <c r="BR595" t="s">
        <v>96</v>
      </c>
      <c r="BS595" t="s">
        <v>10144</v>
      </c>
      <c r="BT595" t="str">
        <f>HYPERLINK("https%3A%2F%2Fwww.webofscience.com%2Fwos%2Fwoscc%2Ffull-record%2FWOS:000464095000067","View Full Record in Web of Science")</f>
        <v>View Full Record in Web of Science</v>
      </c>
    </row>
    <row r="596" spans="1:72" x14ac:dyDescent="0.15">
      <c r="A596" t="s">
        <v>72</v>
      </c>
      <c r="B596" t="s">
        <v>14269</v>
      </c>
      <c r="C596" t="s">
        <v>74</v>
      </c>
      <c r="D596" t="s">
        <v>14270</v>
      </c>
      <c r="E596" t="s">
        <v>74</v>
      </c>
      <c r="F596" t="s">
        <v>14271</v>
      </c>
      <c r="G596" t="s">
        <v>74</v>
      </c>
      <c r="H596" t="s">
        <v>74</v>
      </c>
      <c r="I596" t="s">
        <v>14272</v>
      </c>
      <c r="J596" t="s">
        <v>14273</v>
      </c>
      <c r="K596" t="s">
        <v>2947</v>
      </c>
      <c r="L596" t="s">
        <v>74</v>
      </c>
      <c r="M596" t="s">
        <v>74</v>
      </c>
      <c r="N596" t="s">
        <v>80</v>
      </c>
      <c r="O596" t="s">
        <v>74</v>
      </c>
      <c r="P596" t="s">
        <v>74</v>
      </c>
      <c r="Q596" t="s">
        <v>74</v>
      </c>
      <c r="R596" t="s">
        <v>74</v>
      </c>
      <c r="S596" t="s">
        <v>74</v>
      </c>
      <c r="T596" t="s">
        <v>74</v>
      </c>
      <c r="U596" t="s">
        <v>14274</v>
      </c>
      <c r="V596" t="s">
        <v>14275</v>
      </c>
      <c r="W596" t="s">
        <v>14276</v>
      </c>
      <c r="X596" t="s">
        <v>14277</v>
      </c>
      <c r="Y596" t="s">
        <v>14278</v>
      </c>
      <c r="Z596" t="s">
        <v>14279</v>
      </c>
      <c r="AA596" t="s">
        <v>74</v>
      </c>
      <c r="AB596" t="s">
        <v>14280</v>
      </c>
      <c r="AC596" t="s">
        <v>74</v>
      </c>
      <c r="AD596" t="s">
        <v>74</v>
      </c>
      <c r="AE596" t="s">
        <v>74</v>
      </c>
      <c r="AF596" t="s">
        <v>74</v>
      </c>
      <c r="AG596">
        <v>56</v>
      </c>
      <c r="AH596">
        <v>33</v>
      </c>
      <c r="AI596">
        <v>32</v>
      </c>
      <c r="AJ596">
        <v>1</v>
      </c>
      <c r="AK596">
        <v>11</v>
      </c>
      <c r="AL596" t="s">
        <v>74</v>
      </c>
      <c r="AM596" t="s">
        <v>74</v>
      </c>
      <c r="AN596" t="s">
        <v>74</v>
      </c>
      <c r="AO596" t="s">
        <v>2954</v>
      </c>
      <c r="AP596" t="s">
        <v>74</v>
      </c>
      <c r="AQ596" t="s">
        <v>14281</v>
      </c>
      <c r="AR596" t="s">
        <v>74</v>
      </c>
      <c r="AS596" t="s">
        <v>74</v>
      </c>
      <c r="AT596" t="s">
        <v>74</v>
      </c>
      <c r="AU596">
        <v>2010</v>
      </c>
      <c r="AV596">
        <v>702</v>
      </c>
      <c r="AW596" t="s">
        <v>74</v>
      </c>
      <c r="AX596" t="s">
        <v>74</v>
      </c>
      <c r="AY596" t="s">
        <v>74</v>
      </c>
      <c r="AZ596" t="s">
        <v>74</v>
      </c>
      <c r="BA596" t="s">
        <v>74</v>
      </c>
      <c r="BB596">
        <v>9</v>
      </c>
      <c r="BC596">
        <v>28</v>
      </c>
      <c r="BD596" t="s">
        <v>74</v>
      </c>
      <c r="BE596" t="s">
        <v>74</v>
      </c>
      <c r="BF596" t="s">
        <v>74</v>
      </c>
      <c r="BG596" t="s">
        <v>14282</v>
      </c>
      <c r="BH596" t="s">
        <v>74</v>
      </c>
      <c r="BI596" t="s">
        <v>74</v>
      </c>
      <c r="BJ596" t="s">
        <v>4055</v>
      </c>
      <c r="BK596" t="s">
        <v>2960</v>
      </c>
      <c r="BL596" t="s">
        <v>4056</v>
      </c>
      <c r="BM596" t="s">
        <v>74</v>
      </c>
      <c r="BN596">
        <v>21713674</v>
      </c>
      <c r="BO596" t="s">
        <v>74</v>
      </c>
      <c r="BP596" t="s">
        <v>74</v>
      </c>
      <c r="BQ596" t="s">
        <v>74</v>
      </c>
      <c r="BR596" t="s">
        <v>96</v>
      </c>
      <c r="BS596" t="s">
        <v>14283</v>
      </c>
      <c r="BT596" t="str">
        <f>HYPERLINK("https%3A%2F%2Fwww.webofscience.com%2Fwos%2Fwoscc%2Ffull-record%2FWOS:000285532300002","View Full Record in Web of Science")</f>
        <v>View Full Record in Web of Science</v>
      </c>
    </row>
    <row r="597" spans="1:72" x14ac:dyDescent="0.15">
      <c r="A597" t="s">
        <v>98</v>
      </c>
      <c r="B597" t="s">
        <v>14527</v>
      </c>
      <c r="C597" t="s">
        <v>74</v>
      </c>
      <c r="D597" t="s">
        <v>74</v>
      </c>
      <c r="E597" t="s">
        <v>74</v>
      </c>
      <c r="F597" t="s">
        <v>14528</v>
      </c>
      <c r="G597" t="s">
        <v>74</v>
      </c>
      <c r="H597" t="s">
        <v>74</v>
      </c>
      <c r="I597" t="s">
        <v>14529</v>
      </c>
      <c r="J597" t="s">
        <v>817</v>
      </c>
      <c r="K597" t="s">
        <v>74</v>
      </c>
      <c r="L597" t="s">
        <v>74</v>
      </c>
      <c r="M597" t="s">
        <v>74</v>
      </c>
      <c r="N597" t="s">
        <v>103</v>
      </c>
      <c r="O597" t="s">
        <v>74</v>
      </c>
      <c r="P597" t="s">
        <v>74</v>
      </c>
      <c r="Q597" t="s">
        <v>74</v>
      </c>
      <c r="R597" t="s">
        <v>74</v>
      </c>
      <c r="S597" t="s">
        <v>74</v>
      </c>
      <c r="T597" t="s">
        <v>14530</v>
      </c>
      <c r="U597" t="s">
        <v>14531</v>
      </c>
      <c r="V597" t="s">
        <v>14532</v>
      </c>
      <c r="W597" t="s">
        <v>14533</v>
      </c>
      <c r="X597" t="s">
        <v>14534</v>
      </c>
      <c r="Y597" t="s">
        <v>14535</v>
      </c>
      <c r="Z597" t="s">
        <v>14536</v>
      </c>
      <c r="AA597" t="s">
        <v>74</v>
      </c>
      <c r="AB597" t="s">
        <v>74</v>
      </c>
      <c r="AC597" t="s">
        <v>74</v>
      </c>
      <c r="AD597" t="s">
        <v>74</v>
      </c>
      <c r="AE597" t="s">
        <v>74</v>
      </c>
      <c r="AF597" t="s">
        <v>74</v>
      </c>
      <c r="AG597">
        <v>37</v>
      </c>
      <c r="AH597">
        <v>33</v>
      </c>
      <c r="AI597">
        <v>34</v>
      </c>
      <c r="AJ597">
        <v>0</v>
      </c>
      <c r="AK597">
        <v>6</v>
      </c>
      <c r="AL597" t="s">
        <v>74</v>
      </c>
      <c r="AM597" t="s">
        <v>74</v>
      </c>
      <c r="AN597" t="s">
        <v>74</v>
      </c>
      <c r="AO597" t="s">
        <v>14537</v>
      </c>
      <c r="AP597" t="s">
        <v>827</v>
      </c>
      <c r="AQ597" t="s">
        <v>74</v>
      </c>
      <c r="AR597" t="s">
        <v>74</v>
      </c>
      <c r="AS597" t="s">
        <v>74</v>
      </c>
      <c r="AT597" t="s">
        <v>14538</v>
      </c>
      <c r="AU597">
        <v>2019</v>
      </c>
      <c r="AV597">
        <v>20</v>
      </c>
      <c r="AW597">
        <v>16</v>
      </c>
      <c r="AX597" t="s">
        <v>74</v>
      </c>
      <c r="AY597" t="s">
        <v>74</v>
      </c>
      <c r="AZ597" t="s">
        <v>74</v>
      </c>
      <c r="BA597" t="s">
        <v>74</v>
      </c>
      <c r="BB597" t="s">
        <v>74</v>
      </c>
      <c r="BC597" t="s">
        <v>74</v>
      </c>
      <c r="BD597">
        <v>3982</v>
      </c>
      <c r="BE597" t="s">
        <v>14539</v>
      </c>
      <c r="BF597" t="str">
        <f>HYPERLINK("http://dx.doi.org/10.3390/ijms20163982","http://dx.doi.org/10.3390/ijms20163982")</f>
        <v>http://dx.doi.org/10.3390/ijms20163982</v>
      </c>
      <c r="BG597" t="s">
        <v>74</v>
      </c>
      <c r="BH597" t="s">
        <v>74</v>
      </c>
      <c r="BI597" t="s">
        <v>74</v>
      </c>
      <c r="BJ597" t="s">
        <v>830</v>
      </c>
      <c r="BK597" t="s">
        <v>117</v>
      </c>
      <c r="BL597" t="s">
        <v>831</v>
      </c>
      <c r="BM597" t="s">
        <v>74</v>
      </c>
      <c r="BN597">
        <v>31426278</v>
      </c>
      <c r="BO597" t="s">
        <v>74</v>
      </c>
      <c r="BP597" t="s">
        <v>74</v>
      </c>
      <c r="BQ597" t="s">
        <v>74</v>
      </c>
      <c r="BR597" t="s">
        <v>96</v>
      </c>
      <c r="BS597" t="s">
        <v>14540</v>
      </c>
      <c r="BT597" t="str">
        <f>HYPERLINK("https%3A%2F%2Fwww.webofscience.com%2Fwos%2Fwoscc%2Ffull-record%2FWOS:000484411100139","View Full Record in Web of Science")</f>
        <v>View Full Record in Web of Science</v>
      </c>
    </row>
    <row r="598" spans="1:72" x14ac:dyDescent="0.15">
      <c r="A598" t="s">
        <v>98</v>
      </c>
      <c r="B598" t="s">
        <v>22641</v>
      </c>
      <c r="C598" t="s">
        <v>74</v>
      </c>
      <c r="D598" t="s">
        <v>74</v>
      </c>
      <c r="E598" t="s">
        <v>74</v>
      </c>
      <c r="F598" t="s">
        <v>22642</v>
      </c>
      <c r="G598" t="s">
        <v>74</v>
      </c>
      <c r="H598" t="s">
        <v>74</v>
      </c>
      <c r="I598" t="s">
        <v>22643</v>
      </c>
      <c r="J598" t="s">
        <v>20610</v>
      </c>
      <c r="K598" t="s">
        <v>74</v>
      </c>
      <c r="L598" t="s">
        <v>74</v>
      </c>
      <c r="M598" t="s">
        <v>74</v>
      </c>
      <c r="N598" t="s">
        <v>103</v>
      </c>
      <c r="O598" t="s">
        <v>74</v>
      </c>
      <c r="P598" t="s">
        <v>74</v>
      </c>
      <c r="Q598" t="s">
        <v>74</v>
      </c>
      <c r="R598" t="s">
        <v>74</v>
      </c>
      <c r="S598" t="s">
        <v>74</v>
      </c>
      <c r="T598" t="s">
        <v>74</v>
      </c>
      <c r="U598" t="s">
        <v>22644</v>
      </c>
      <c r="V598" t="s">
        <v>22645</v>
      </c>
      <c r="W598" t="s">
        <v>22646</v>
      </c>
      <c r="X598" t="s">
        <v>22647</v>
      </c>
      <c r="Y598" t="s">
        <v>22648</v>
      </c>
      <c r="Z598" t="s">
        <v>22649</v>
      </c>
      <c r="AA598" t="s">
        <v>74</v>
      </c>
      <c r="AB598" t="s">
        <v>22650</v>
      </c>
      <c r="AC598" t="s">
        <v>74</v>
      </c>
      <c r="AD598" t="s">
        <v>74</v>
      </c>
      <c r="AE598" t="s">
        <v>74</v>
      </c>
      <c r="AF598" t="s">
        <v>74</v>
      </c>
      <c r="AG598">
        <v>110</v>
      </c>
      <c r="AH598">
        <v>33</v>
      </c>
      <c r="AI598">
        <v>33</v>
      </c>
      <c r="AJ598">
        <v>5</v>
      </c>
      <c r="AK598">
        <v>15</v>
      </c>
      <c r="AL598" t="s">
        <v>74</v>
      </c>
      <c r="AM598" t="s">
        <v>74</v>
      </c>
      <c r="AN598" t="s">
        <v>74</v>
      </c>
      <c r="AO598" t="s">
        <v>20618</v>
      </c>
      <c r="AP598" t="s">
        <v>20619</v>
      </c>
      <c r="AQ598" t="s">
        <v>74</v>
      </c>
      <c r="AR598" t="s">
        <v>74</v>
      </c>
      <c r="AS598" t="s">
        <v>74</v>
      </c>
      <c r="AT598" t="s">
        <v>211</v>
      </c>
      <c r="AU598">
        <v>2020</v>
      </c>
      <c r="AV598">
        <v>69</v>
      </c>
      <c r="AW598">
        <v>11</v>
      </c>
      <c r="AX598" t="s">
        <v>74</v>
      </c>
      <c r="AY598" t="s">
        <v>74</v>
      </c>
      <c r="AZ598" t="s">
        <v>74</v>
      </c>
      <c r="BA598" t="s">
        <v>74</v>
      </c>
      <c r="BB598">
        <v>2025</v>
      </c>
      <c r="BC598">
        <v>2034</v>
      </c>
      <c r="BD598" t="s">
        <v>74</v>
      </c>
      <c r="BE598" t="s">
        <v>22651</v>
      </c>
      <c r="BF598" t="str">
        <f>HYPERLINK("http://dx.doi.org/10.1136/gutjnl-2019-320282","http://dx.doi.org/10.1136/gutjnl-2019-320282")</f>
        <v>http://dx.doi.org/10.1136/gutjnl-2019-320282</v>
      </c>
      <c r="BG598" t="s">
        <v>74</v>
      </c>
      <c r="BH598" t="s">
        <v>74</v>
      </c>
      <c r="BI598" t="s">
        <v>74</v>
      </c>
      <c r="BJ598" t="s">
        <v>633</v>
      </c>
      <c r="BK598" t="s">
        <v>117</v>
      </c>
      <c r="BL598" t="s">
        <v>633</v>
      </c>
      <c r="BM598" t="s">
        <v>74</v>
      </c>
      <c r="BN598">
        <v>32883873</v>
      </c>
      <c r="BO598" t="s">
        <v>74</v>
      </c>
      <c r="BP598" t="s">
        <v>74</v>
      </c>
      <c r="BQ598" t="s">
        <v>74</v>
      </c>
      <c r="BR598" t="s">
        <v>96</v>
      </c>
      <c r="BS598" t="s">
        <v>22652</v>
      </c>
      <c r="BT598" t="str">
        <f>HYPERLINK("https%3A%2F%2Fwww.webofscience.com%2Fwos%2Fwoscc%2Ffull-record%2FWOS:000582822600017","View Full Record in Web of Science")</f>
        <v>View Full Record in Web of Science</v>
      </c>
    </row>
    <row r="599" spans="1:72" x14ac:dyDescent="0.15">
      <c r="A599" t="s">
        <v>98</v>
      </c>
      <c r="B599" t="s">
        <v>23237</v>
      </c>
      <c r="C599" t="s">
        <v>74</v>
      </c>
      <c r="D599" t="s">
        <v>74</v>
      </c>
      <c r="E599" t="s">
        <v>74</v>
      </c>
      <c r="F599" t="s">
        <v>23238</v>
      </c>
      <c r="G599" t="s">
        <v>74</v>
      </c>
      <c r="H599" t="s">
        <v>74</v>
      </c>
      <c r="I599" t="s">
        <v>23239</v>
      </c>
      <c r="J599" t="s">
        <v>6273</v>
      </c>
      <c r="K599" t="s">
        <v>74</v>
      </c>
      <c r="L599" t="s">
        <v>74</v>
      </c>
      <c r="M599" t="s">
        <v>74</v>
      </c>
      <c r="N599" t="s">
        <v>103</v>
      </c>
      <c r="O599" t="s">
        <v>74</v>
      </c>
      <c r="P599" t="s">
        <v>74</v>
      </c>
      <c r="Q599" t="s">
        <v>74</v>
      </c>
      <c r="R599" t="s">
        <v>74</v>
      </c>
      <c r="S599" t="s">
        <v>74</v>
      </c>
      <c r="T599" t="s">
        <v>23240</v>
      </c>
      <c r="U599" t="s">
        <v>23241</v>
      </c>
      <c r="V599" t="s">
        <v>23242</v>
      </c>
      <c r="W599" t="s">
        <v>23243</v>
      </c>
      <c r="X599" t="s">
        <v>23244</v>
      </c>
      <c r="Y599" t="s">
        <v>23245</v>
      </c>
      <c r="Z599" t="s">
        <v>23246</v>
      </c>
      <c r="AA599" t="s">
        <v>74</v>
      </c>
      <c r="AB599" t="s">
        <v>23247</v>
      </c>
      <c r="AC599" t="s">
        <v>74</v>
      </c>
      <c r="AD599" t="s">
        <v>74</v>
      </c>
      <c r="AE599" t="s">
        <v>74</v>
      </c>
      <c r="AF599" t="s">
        <v>74</v>
      </c>
      <c r="AG599">
        <v>77</v>
      </c>
      <c r="AH599">
        <v>33</v>
      </c>
      <c r="AI599">
        <v>33</v>
      </c>
      <c r="AJ599">
        <v>0</v>
      </c>
      <c r="AK599">
        <v>18</v>
      </c>
      <c r="AL599" t="s">
        <v>74</v>
      </c>
      <c r="AM599" t="s">
        <v>74</v>
      </c>
      <c r="AN599" t="s">
        <v>74</v>
      </c>
      <c r="AO599" t="s">
        <v>6281</v>
      </c>
      <c r="AP599" t="s">
        <v>6282</v>
      </c>
      <c r="AQ599" t="s">
        <v>74</v>
      </c>
      <c r="AR599" t="s">
        <v>74</v>
      </c>
      <c r="AS599" t="s">
        <v>74</v>
      </c>
      <c r="AT599" t="s">
        <v>565</v>
      </c>
      <c r="AU599">
        <v>2019</v>
      </c>
      <c r="AV599">
        <v>201</v>
      </c>
      <c r="AW599">
        <v>5</v>
      </c>
      <c r="AX599" t="s">
        <v>74</v>
      </c>
      <c r="AY599" t="s">
        <v>74</v>
      </c>
      <c r="AZ599" t="s">
        <v>74</v>
      </c>
      <c r="BA599" t="s">
        <v>74</v>
      </c>
      <c r="BB599" t="s">
        <v>74</v>
      </c>
      <c r="BC599" t="s">
        <v>74</v>
      </c>
      <c r="BD599" t="s">
        <v>23248</v>
      </c>
      <c r="BE599" t="s">
        <v>23249</v>
      </c>
      <c r="BF599" t="str">
        <f>HYPERLINK("http://dx.doi.org/10.1128/JB.00595-18","http://dx.doi.org/10.1128/JB.00595-18")</f>
        <v>http://dx.doi.org/10.1128/JB.00595-18</v>
      </c>
      <c r="BG599" t="s">
        <v>74</v>
      </c>
      <c r="BH599" t="s">
        <v>74</v>
      </c>
      <c r="BI599" t="s">
        <v>74</v>
      </c>
      <c r="BJ599" t="s">
        <v>898</v>
      </c>
      <c r="BK599" t="s">
        <v>117</v>
      </c>
      <c r="BL599" t="s">
        <v>898</v>
      </c>
      <c r="BM599" t="s">
        <v>74</v>
      </c>
      <c r="BN599">
        <v>30530517</v>
      </c>
      <c r="BO599" t="s">
        <v>74</v>
      </c>
      <c r="BP599" t="s">
        <v>74</v>
      </c>
      <c r="BQ599" t="s">
        <v>74</v>
      </c>
      <c r="BR599" t="s">
        <v>96</v>
      </c>
      <c r="BS599" t="s">
        <v>23250</v>
      </c>
      <c r="BT599" t="str">
        <f>HYPERLINK("https%3A%2F%2Fwww.webofscience.com%2Fwos%2Fwoscc%2Ffull-record%2FWOS:000459546800003","View Full Record in Web of Science")</f>
        <v>View Full Record in Web of Science</v>
      </c>
    </row>
    <row r="600" spans="1:72" x14ac:dyDescent="0.15">
      <c r="A600" t="s">
        <v>98</v>
      </c>
      <c r="B600" t="s">
        <v>26501</v>
      </c>
      <c r="C600" t="s">
        <v>74</v>
      </c>
      <c r="D600" t="s">
        <v>74</v>
      </c>
      <c r="E600" t="s">
        <v>74</v>
      </c>
      <c r="F600" t="s">
        <v>26502</v>
      </c>
      <c r="G600" t="s">
        <v>74</v>
      </c>
      <c r="H600" t="s">
        <v>74</v>
      </c>
      <c r="I600" t="s">
        <v>26503</v>
      </c>
      <c r="J600" t="s">
        <v>7913</v>
      </c>
      <c r="K600" t="s">
        <v>74</v>
      </c>
      <c r="L600" t="s">
        <v>74</v>
      </c>
      <c r="M600" t="s">
        <v>74</v>
      </c>
      <c r="N600" t="s">
        <v>103</v>
      </c>
      <c r="O600" t="s">
        <v>74</v>
      </c>
      <c r="P600" t="s">
        <v>74</v>
      </c>
      <c r="Q600" t="s">
        <v>74</v>
      </c>
      <c r="R600" t="s">
        <v>74</v>
      </c>
      <c r="S600" t="s">
        <v>74</v>
      </c>
      <c r="T600" t="s">
        <v>26504</v>
      </c>
      <c r="U600" t="s">
        <v>26505</v>
      </c>
      <c r="V600" t="s">
        <v>26506</v>
      </c>
      <c r="W600" t="s">
        <v>26507</v>
      </c>
      <c r="X600" t="s">
        <v>26508</v>
      </c>
      <c r="Y600" t="s">
        <v>26509</v>
      </c>
      <c r="Z600" t="s">
        <v>26510</v>
      </c>
      <c r="AA600" t="s">
        <v>74</v>
      </c>
      <c r="AB600" t="s">
        <v>26511</v>
      </c>
      <c r="AC600" t="s">
        <v>74</v>
      </c>
      <c r="AD600" t="s">
        <v>74</v>
      </c>
      <c r="AE600" t="s">
        <v>74</v>
      </c>
      <c r="AF600" t="s">
        <v>74</v>
      </c>
      <c r="AG600">
        <v>57</v>
      </c>
      <c r="AH600">
        <v>33</v>
      </c>
      <c r="AI600">
        <v>36</v>
      </c>
      <c r="AJ600">
        <v>0</v>
      </c>
      <c r="AK600">
        <v>24</v>
      </c>
      <c r="AL600" t="s">
        <v>74</v>
      </c>
      <c r="AM600" t="s">
        <v>74</v>
      </c>
      <c r="AN600" t="s">
        <v>74</v>
      </c>
      <c r="AO600" t="s">
        <v>7923</v>
      </c>
      <c r="AP600" t="s">
        <v>74</v>
      </c>
      <c r="AQ600" t="s">
        <v>74</v>
      </c>
      <c r="AR600" t="s">
        <v>74</v>
      </c>
      <c r="AS600" t="s">
        <v>74</v>
      </c>
      <c r="AT600" t="s">
        <v>614</v>
      </c>
      <c r="AU600">
        <v>2012</v>
      </c>
      <c r="AV600">
        <v>33</v>
      </c>
      <c r="AW600">
        <v>12</v>
      </c>
      <c r="AX600" t="s">
        <v>74</v>
      </c>
      <c r="AY600" t="s">
        <v>74</v>
      </c>
      <c r="AZ600" t="s">
        <v>74</v>
      </c>
      <c r="BA600" t="s">
        <v>74</v>
      </c>
      <c r="BB600">
        <v>1873</v>
      </c>
      <c r="BC600">
        <v>1880</v>
      </c>
      <c r="BD600" t="s">
        <v>74</v>
      </c>
      <c r="BE600" t="s">
        <v>26512</v>
      </c>
      <c r="BF600" t="str">
        <f>HYPERLINK("http://dx.doi.org/10.1002/elps.201100687","http://dx.doi.org/10.1002/elps.201100687")</f>
        <v>http://dx.doi.org/10.1002/elps.201100687</v>
      </c>
      <c r="BG600" t="s">
        <v>74</v>
      </c>
      <c r="BH600" t="s">
        <v>74</v>
      </c>
      <c r="BI600" t="s">
        <v>74</v>
      </c>
      <c r="BJ600" t="s">
        <v>1939</v>
      </c>
      <c r="BK600" t="s">
        <v>117</v>
      </c>
      <c r="BL600" t="s">
        <v>831</v>
      </c>
      <c r="BM600" t="s">
        <v>74</v>
      </c>
      <c r="BN600">
        <v>22740476</v>
      </c>
      <c r="BO600" t="s">
        <v>74</v>
      </c>
      <c r="BP600" t="s">
        <v>74</v>
      </c>
      <c r="BQ600" t="s">
        <v>74</v>
      </c>
      <c r="BR600" t="s">
        <v>96</v>
      </c>
      <c r="BS600" t="s">
        <v>26513</v>
      </c>
      <c r="BT600" t="str">
        <f>HYPERLINK("https%3A%2F%2Fwww.webofscience.com%2Fwos%2Fwoscc%2Ffull-record%2FWOS:000305792500024","View Full Record in Web of Science")</f>
        <v>View Full Record in Web of Science</v>
      </c>
    </row>
    <row r="601" spans="1:72" x14ac:dyDescent="0.15">
      <c r="A601" t="s">
        <v>98</v>
      </c>
      <c r="B601" t="s">
        <v>28338</v>
      </c>
      <c r="C601" t="s">
        <v>74</v>
      </c>
      <c r="D601" t="s">
        <v>74</v>
      </c>
      <c r="E601" t="s">
        <v>74</v>
      </c>
      <c r="F601" t="s">
        <v>28339</v>
      </c>
      <c r="G601" t="s">
        <v>74</v>
      </c>
      <c r="H601" t="s">
        <v>74</v>
      </c>
      <c r="I601" t="s">
        <v>28340</v>
      </c>
      <c r="J601" t="s">
        <v>4486</v>
      </c>
      <c r="K601" t="s">
        <v>74</v>
      </c>
      <c r="L601" t="s">
        <v>74</v>
      </c>
      <c r="M601" t="s">
        <v>74</v>
      </c>
      <c r="N601" t="s">
        <v>103</v>
      </c>
      <c r="O601" t="s">
        <v>74</v>
      </c>
      <c r="P601" t="s">
        <v>74</v>
      </c>
      <c r="Q601" t="s">
        <v>74</v>
      </c>
      <c r="R601" t="s">
        <v>74</v>
      </c>
      <c r="S601" t="s">
        <v>74</v>
      </c>
      <c r="T601" t="s">
        <v>74</v>
      </c>
      <c r="U601" t="s">
        <v>28341</v>
      </c>
      <c r="V601" t="s">
        <v>28342</v>
      </c>
      <c r="W601" t="s">
        <v>28343</v>
      </c>
      <c r="X601" t="s">
        <v>13280</v>
      </c>
      <c r="Y601" t="s">
        <v>28344</v>
      </c>
      <c r="Z601" t="s">
        <v>9156</v>
      </c>
      <c r="AA601" t="s">
        <v>9157</v>
      </c>
      <c r="AB601" t="s">
        <v>28345</v>
      </c>
      <c r="AC601" t="s">
        <v>74</v>
      </c>
      <c r="AD601" t="s">
        <v>74</v>
      </c>
      <c r="AE601" t="s">
        <v>74</v>
      </c>
      <c r="AF601" t="s">
        <v>74</v>
      </c>
      <c r="AG601">
        <v>44</v>
      </c>
      <c r="AH601">
        <v>33</v>
      </c>
      <c r="AI601">
        <v>34</v>
      </c>
      <c r="AJ601">
        <v>13</v>
      </c>
      <c r="AK601">
        <v>188</v>
      </c>
      <c r="AL601" t="s">
        <v>74</v>
      </c>
      <c r="AM601" t="s">
        <v>74</v>
      </c>
      <c r="AN601" t="s">
        <v>74</v>
      </c>
      <c r="AO601" t="s">
        <v>4493</v>
      </c>
      <c r="AP601" t="s">
        <v>4494</v>
      </c>
      <c r="AQ601" t="s">
        <v>74</v>
      </c>
      <c r="AR601" t="s">
        <v>74</v>
      </c>
      <c r="AS601" t="s">
        <v>74</v>
      </c>
      <c r="AT601" t="s">
        <v>13457</v>
      </c>
      <c r="AU601">
        <v>2017</v>
      </c>
      <c r="AV601">
        <v>89</v>
      </c>
      <c r="AW601">
        <v>12</v>
      </c>
      <c r="AX601" t="s">
        <v>74</v>
      </c>
      <c r="AY601" t="s">
        <v>74</v>
      </c>
      <c r="AZ601" t="s">
        <v>74</v>
      </c>
      <c r="BA601" t="s">
        <v>74</v>
      </c>
      <c r="BB601">
        <v>6535</v>
      </c>
      <c r="BC601">
        <v>6542</v>
      </c>
      <c r="BD601" t="s">
        <v>74</v>
      </c>
      <c r="BE601" t="s">
        <v>28346</v>
      </c>
      <c r="BF601" t="str">
        <f>HYPERLINK("http://dx.doi.org/10.1021/acs.analchem.7b00684","http://dx.doi.org/10.1021/acs.analchem.7b00684")</f>
        <v>http://dx.doi.org/10.1021/acs.analchem.7b00684</v>
      </c>
      <c r="BG601" t="s">
        <v>74</v>
      </c>
      <c r="BH601" t="s">
        <v>74</v>
      </c>
      <c r="BI601" t="s">
        <v>74</v>
      </c>
      <c r="BJ601" t="s">
        <v>1118</v>
      </c>
      <c r="BK601" t="s">
        <v>117</v>
      </c>
      <c r="BL601" t="s">
        <v>1048</v>
      </c>
      <c r="BM601" t="s">
        <v>74</v>
      </c>
      <c r="BN601">
        <v>28541659</v>
      </c>
      <c r="BO601" t="s">
        <v>74</v>
      </c>
      <c r="BP601" t="s">
        <v>74</v>
      </c>
      <c r="BQ601" t="s">
        <v>74</v>
      </c>
      <c r="BR601" t="s">
        <v>96</v>
      </c>
      <c r="BS601" t="s">
        <v>28347</v>
      </c>
      <c r="BT601" t="str">
        <f>HYPERLINK("https%3A%2F%2Fwww.webofscience.com%2Fwos%2Fwoscc%2Ffull-record%2FWOS:000404087600037","View Full Record in Web of Science")</f>
        <v>View Full Record in Web of Science</v>
      </c>
    </row>
    <row r="602" spans="1:72" x14ac:dyDescent="0.15">
      <c r="A602" t="s">
        <v>98</v>
      </c>
      <c r="B602" t="s">
        <v>28713</v>
      </c>
      <c r="C602" t="s">
        <v>74</v>
      </c>
      <c r="D602" t="s">
        <v>74</v>
      </c>
      <c r="E602" t="s">
        <v>74</v>
      </c>
      <c r="F602" t="s">
        <v>28713</v>
      </c>
      <c r="G602" t="s">
        <v>74</v>
      </c>
      <c r="H602" t="s">
        <v>74</v>
      </c>
      <c r="I602" t="s">
        <v>28714</v>
      </c>
      <c r="J602" t="s">
        <v>3700</v>
      </c>
      <c r="K602" t="s">
        <v>74</v>
      </c>
      <c r="L602" t="s">
        <v>74</v>
      </c>
      <c r="M602" t="s">
        <v>74</v>
      </c>
      <c r="N602" t="s">
        <v>103</v>
      </c>
      <c r="O602" t="s">
        <v>74</v>
      </c>
      <c r="P602" t="s">
        <v>74</v>
      </c>
      <c r="Q602" t="s">
        <v>74</v>
      </c>
      <c r="R602" t="s">
        <v>74</v>
      </c>
      <c r="S602" t="s">
        <v>74</v>
      </c>
      <c r="T602" t="s">
        <v>74</v>
      </c>
      <c r="U602" t="s">
        <v>28715</v>
      </c>
      <c r="V602" t="s">
        <v>28716</v>
      </c>
      <c r="W602" t="s">
        <v>28717</v>
      </c>
      <c r="X602" t="s">
        <v>28718</v>
      </c>
      <c r="Y602" t="s">
        <v>74</v>
      </c>
      <c r="Z602" t="s">
        <v>74</v>
      </c>
      <c r="AA602" t="s">
        <v>28719</v>
      </c>
      <c r="AB602" t="s">
        <v>28720</v>
      </c>
      <c r="AC602" t="s">
        <v>74</v>
      </c>
      <c r="AD602" t="s">
        <v>74</v>
      </c>
      <c r="AE602" t="s">
        <v>74</v>
      </c>
      <c r="AF602" t="s">
        <v>74</v>
      </c>
      <c r="AG602">
        <v>55</v>
      </c>
      <c r="AH602">
        <v>33</v>
      </c>
      <c r="AI602">
        <v>34</v>
      </c>
      <c r="AJ602">
        <v>0</v>
      </c>
      <c r="AK602">
        <v>1</v>
      </c>
      <c r="AL602" t="s">
        <v>74</v>
      </c>
      <c r="AM602" t="s">
        <v>74</v>
      </c>
      <c r="AN602" t="s">
        <v>74</v>
      </c>
      <c r="AO602" t="s">
        <v>3710</v>
      </c>
      <c r="AP602" t="s">
        <v>74</v>
      </c>
      <c r="AQ602" t="s">
        <v>74</v>
      </c>
      <c r="AR602" t="s">
        <v>74</v>
      </c>
      <c r="AS602" t="s">
        <v>74</v>
      </c>
      <c r="AT602" t="s">
        <v>5091</v>
      </c>
      <c r="AU602">
        <v>1994</v>
      </c>
      <c r="AV602">
        <v>269</v>
      </c>
      <c r="AW602">
        <v>40</v>
      </c>
      <c r="AX602" t="s">
        <v>74</v>
      </c>
      <c r="AY602" t="s">
        <v>74</v>
      </c>
      <c r="AZ602" t="s">
        <v>74</v>
      </c>
      <c r="BA602" t="s">
        <v>74</v>
      </c>
      <c r="BB602">
        <v>24912</v>
      </c>
      <c r="BC602">
        <v>24919</v>
      </c>
      <c r="BD602" t="s">
        <v>74</v>
      </c>
      <c r="BE602" t="s">
        <v>74</v>
      </c>
      <c r="BF602" t="s">
        <v>74</v>
      </c>
      <c r="BG602" t="s">
        <v>74</v>
      </c>
      <c r="BH602" t="s">
        <v>74</v>
      </c>
      <c r="BI602" t="s">
        <v>74</v>
      </c>
      <c r="BJ602" t="s">
        <v>95</v>
      </c>
      <c r="BK602" t="s">
        <v>117</v>
      </c>
      <c r="BL602" t="s">
        <v>95</v>
      </c>
      <c r="BM602" t="s">
        <v>74</v>
      </c>
      <c r="BN602">
        <v>7929173</v>
      </c>
      <c r="BO602" t="s">
        <v>74</v>
      </c>
      <c r="BP602" t="s">
        <v>74</v>
      </c>
      <c r="BQ602" t="s">
        <v>74</v>
      </c>
      <c r="BR602" t="s">
        <v>96</v>
      </c>
      <c r="BS602" t="s">
        <v>28721</v>
      </c>
      <c r="BT602" t="str">
        <f>HYPERLINK("https%3A%2F%2Fwww.webofscience.com%2Fwos%2Fwoscc%2Ffull-record%2FWOS:A1994PQ49000060","View Full Record in Web of Science")</f>
        <v>View Full Record in Web of Science</v>
      </c>
    </row>
    <row r="603" spans="1:72" x14ac:dyDescent="0.15">
      <c r="A603" t="s">
        <v>98</v>
      </c>
      <c r="B603" t="s">
        <v>30081</v>
      </c>
      <c r="C603" t="s">
        <v>74</v>
      </c>
      <c r="D603" t="s">
        <v>74</v>
      </c>
      <c r="E603" t="s">
        <v>74</v>
      </c>
      <c r="F603" t="s">
        <v>30082</v>
      </c>
      <c r="G603" t="s">
        <v>74</v>
      </c>
      <c r="H603" t="s">
        <v>74</v>
      </c>
      <c r="I603" t="s">
        <v>30083</v>
      </c>
      <c r="J603" t="s">
        <v>30084</v>
      </c>
      <c r="K603" t="s">
        <v>74</v>
      </c>
      <c r="L603" t="s">
        <v>74</v>
      </c>
      <c r="M603" t="s">
        <v>74</v>
      </c>
      <c r="N603" t="s">
        <v>103</v>
      </c>
      <c r="O603" t="s">
        <v>74</v>
      </c>
      <c r="P603" t="s">
        <v>74</v>
      </c>
      <c r="Q603" t="s">
        <v>74</v>
      </c>
      <c r="R603" t="s">
        <v>74</v>
      </c>
      <c r="S603" t="s">
        <v>74</v>
      </c>
      <c r="T603" t="s">
        <v>74</v>
      </c>
      <c r="U603" t="s">
        <v>30085</v>
      </c>
      <c r="V603" t="s">
        <v>30086</v>
      </c>
      <c r="W603" t="s">
        <v>30087</v>
      </c>
      <c r="X603" t="s">
        <v>11523</v>
      </c>
      <c r="Y603" t="s">
        <v>30088</v>
      </c>
      <c r="Z603" t="s">
        <v>30089</v>
      </c>
      <c r="AA603" t="s">
        <v>30090</v>
      </c>
      <c r="AB603" t="s">
        <v>30091</v>
      </c>
      <c r="AC603" t="s">
        <v>74</v>
      </c>
      <c r="AD603" t="s">
        <v>74</v>
      </c>
      <c r="AE603" t="s">
        <v>74</v>
      </c>
      <c r="AF603" t="s">
        <v>74</v>
      </c>
      <c r="AG603">
        <v>212</v>
      </c>
      <c r="AH603">
        <v>33</v>
      </c>
      <c r="AI603">
        <v>33</v>
      </c>
      <c r="AJ603">
        <v>0</v>
      </c>
      <c r="AK603">
        <v>54</v>
      </c>
      <c r="AL603" t="s">
        <v>74</v>
      </c>
      <c r="AM603" t="s">
        <v>74</v>
      </c>
      <c r="AN603" t="s">
        <v>74</v>
      </c>
      <c r="AO603" t="s">
        <v>30092</v>
      </c>
      <c r="AP603" t="s">
        <v>30093</v>
      </c>
      <c r="AQ603" t="s">
        <v>74</v>
      </c>
      <c r="AR603" t="s">
        <v>74</v>
      </c>
      <c r="AS603" t="s">
        <v>74</v>
      </c>
      <c r="AT603" t="s">
        <v>283</v>
      </c>
      <c r="AU603">
        <v>2016</v>
      </c>
      <c r="AV603">
        <v>43</v>
      </c>
      <c r="AW603">
        <v>1</v>
      </c>
      <c r="AX603" t="s">
        <v>74</v>
      </c>
      <c r="AY603" t="s">
        <v>74</v>
      </c>
      <c r="AZ603" t="s">
        <v>74</v>
      </c>
      <c r="BA603" t="s">
        <v>74</v>
      </c>
      <c r="BB603">
        <v>17</v>
      </c>
      <c r="BC603" t="s">
        <v>3390</v>
      </c>
      <c r="BD603" t="s">
        <v>74</v>
      </c>
      <c r="BE603" t="s">
        <v>30094</v>
      </c>
      <c r="BF603" t="str">
        <f>HYPERLINK("http://dx.doi.org/10.1016/j.ucl.2015.08.003","http://dx.doi.org/10.1016/j.ucl.2015.08.003")</f>
        <v>http://dx.doi.org/10.1016/j.ucl.2015.08.003</v>
      </c>
      <c r="BG603" t="s">
        <v>74</v>
      </c>
      <c r="BH603" t="s">
        <v>74</v>
      </c>
      <c r="BI603" t="s">
        <v>74</v>
      </c>
      <c r="BJ603" t="s">
        <v>2193</v>
      </c>
      <c r="BK603" t="s">
        <v>117</v>
      </c>
      <c r="BL603" t="s">
        <v>2193</v>
      </c>
      <c r="BM603" t="s">
        <v>74</v>
      </c>
      <c r="BN603">
        <v>26614026</v>
      </c>
      <c r="BO603" t="s">
        <v>74</v>
      </c>
      <c r="BP603" t="s">
        <v>74</v>
      </c>
      <c r="BQ603" t="s">
        <v>74</v>
      </c>
      <c r="BR603" t="s">
        <v>96</v>
      </c>
      <c r="BS603" t="s">
        <v>30095</v>
      </c>
      <c r="BT603" t="str">
        <f>HYPERLINK("https%3A%2F%2Fwww.webofscience.com%2Fwos%2Fwoscc%2Ffull-record%2FWOS:000366960600005","View Full Record in Web of Science")</f>
        <v>View Full Record in Web of Science</v>
      </c>
    </row>
    <row r="604" spans="1:72" x14ac:dyDescent="0.15">
      <c r="A604" t="s">
        <v>98</v>
      </c>
      <c r="B604" t="s">
        <v>4597</v>
      </c>
      <c r="C604" t="s">
        <v>74</v>
      </c>
      <c r="D604" t="s">
        <v>74</v>
      </c>
      <c r="E604" t="s">
        <v>74</v>
      </c>
      <c r="F604" t="s">
        <v>4598</v>
      </c>
      <c r="G604" t="s">
        <v>74</v>
      </c>
      <c r="H604" t="s">
        <v>74</v>
      </c>
      <c r="I604" t="s">
        <v>4599</v>
      </c>
      <c r="J604" t="s">
        <v>1217</v>
      </c>
      <c r="K604" t="s">
        <v>74</v>
      </c>
      <c r="L604" t="s">
        <v>74</v>
      </c>
      <c r="M604" t="s">
        <v>74</v>
      </c>
      <c r="N604" t="s">
        <v>103</v>
      </c>
      <c r="O604" t="s">
        <v>74</v>
      </c>
      <c r="P604" t="s">
        <v>74</v>
      </c>
      <c r="Q604" t="s">
        <v>74</v>
      </c>
      <c r="R604" t="s">
        <v>74</v>
      </c>
      <c r="S604" t="s">
        <v>74</v>
      </c>
      <c r="T604" t="s">
        <v>4600</v>
      </c>
      <c r="U604" t="s">
        <v>4601</v>
      </c>
      <c r="V604" t="s">
        <v>4602</v>
      </c>
      <c r="W604" t="s">
        <v>4603</v>
      </c>
      <c r="X604" t="s">
        <v>4604</v>
      </c>
      <c r="Y604" t="s">
        <v>4605</v>
      </c>
      <c r="Z604" t="s">
        <v>4606</v>
      </c>
      <c r="AA604" t="s">
        <v>4607</v>
      </c>
      <c r="AB604" t="s">
        <v>4608</v>
      </c>
      <c r="AC604" t="s">
        <v>74</v>
      </c>
      <c r="AD604" t="s">
        <v>74</v>
      </c>
      <c r="AE604" t="s">
        <v>74</v>
      </c>
      <c r="AF604" t="s">
        <v>74</v>
      </c>
      <c r="AG604">
        <v>51</v>
      </c>
      <c r="AH604">
        <v>32</v>
      </c>
      <c r="AI604">
        <v>32</v>
      </c>
      <c r="AJ604">
        <v>17</v>
      </c>
      <c r="AK604">
        <v>159</v>
      </c>
      <c r="AL604" t="s">
        <v>74</v>
      </c>
      <c r="AM604" t="s">
        <v>74</v>
      </c>
      <c r="AN604" t="s">
        <v>74</v>
      </c>
      <c r="AO604" t="s">
        <v>1227</v>
      </c>
      <c r="AP604" t="s">
        <v>74</v>
      </c>
      <c r="AQ604" t="s">
        <v>74</v>
      </c>
      <c r="AR604" t="s">
        <v>74</v>
      </c>
      <c r="AS604" t="s">
        <v>74</v>
      </c>
      <c r="AT604" t="s">
        <v>4609</v>
      </c>
      <c r="AU604">
        <v>2020</v>
      </c>
      <c r="AV604">
        <v>5</v>
      </c>
      <c r="AW604">
        <v>3</v>
      </c>
      <c r="AX604" t="s">
        <v>74</v>
      </c>
      <c r="AY604" t="s">
        <v>74</v>
      </c>
      <c r="AZ604" t="s">
        <v>74</v>
      </c>
      <c r="BA604" t="s">
        <v>74</v>
      </c>
      <c r="BB604">
        <v>764</v>
      </c>
      <c r="BC604">
        <v>771</v>
      </c>
      <c r="BD604" t="s">
        <v>74</v>
      </c>
      <c r="BE604" t="s">
        <v>4610</v>
      </c>
      <c r="BF604" t="str">
        <f>HYPERLINK("http://dx.doi.org/10.1021/acssensors.9b02377","http://dx.doi.org/10.1021/acssensors.9b02377")</f>
        <v>http://dx.doi.org/10.1021/acssensors.9b02377</v>
      </c>
      <c r="BG604" t="s">
        <v>74</v>
      </c>
      <c r="BH604" t="s">
        <v>74</v>
      </c>
      <c r="BI604" t="s">
        <v>74</v>
      </c>
      <c r="BJ604" t="s">
        <v>1229</v>
      </c>
      <c r="BK604" t="s">
        <v>117</v>
      </c>
      <c r="BL604" t="s">
        <v>1230</v>
      </c>
      <c r="BM604" t="s">
        <v>74</v>
      </c>
      <c r="BN604">
        <v>32134252</v>
      </c>
      <c r="BO604" t="s">
        <v>74</v>
      </c>
      <c r="BP604" t="s">
        <v>74</v>
      </c>
      <c r="BQ604" t="s">
        <v>74</v>
      </c>
      <c r="BR604" t="s">
        <v>96</v>
      </c>
      <c r="BS604" t="s">
        <v>4611</v>
      </c>
      <c r="BT604" t="str">
        <f>HYPERLINK("https%3A%2F%2Fwww.webofscience.com%2Fwos%2Fwoscc%2Ffull-record%2FWOS:000526377600019","View Full Record in Web of Science")</f>
        <v>View Full Record in Web of Science</v>
      </c>
    </row>
    <row r="605" spans="1:72" x14ac:dyDescent="0.15">
      <c r="A605" t="s">
        <v>98</v>
      </c>
      <c r="B605" t="s">
        <v>9464</v>
      </c>
      <c r="C605" t="s">
        <v>74</v>
      </c>
      <c r="D605" t="s">
        <v>74</v>
      </c>
      <c r="E605" t="s">
        <v>74</v>
      </c>
      <c r="F605" t="s">
        <v>9465</v>
      </c>
      <c r="G605" t="s">
        <v>74</v>
      </c>
      <c r="H605" t="s">
        <v>74</v>
      </c>
      <c r="I605" t="s">
        <v>9466</v>
      </c>
      <c r="J605" t="s">
        <v>9467</v>
      </c>
      <c r="K605" t="s">
        <v>74</v>
      </c>
      <c r="L605" t="s">
        <v>74</v>
      </c>
      <c r="M605" t="s">
        <v>74</v>
      </c>
      <c r="N605" t="s">
        <v>103</v>
      </c>
      <c r="O605" t="s">
        <v>74</v>
      </c>
      <c r="P605" t="s">
        <v>74</v>
      </c>
      <c r="Q605" t="s">
        <v>74</v>
      </c>
      <c r="R605" t="s">
        <v>74</v>
      </c>
      <c r="S605" t="s">
        <v>74</v>
      </c>
      <c r="T605" t="s">
        <v>9468</v>
      </c>
      <c r="U605" t="s">
        <v>9469</v>
      </c>
      <c r="V605" t="s">
        <v>9470</v>
      </c>
      <c r="W605" t="s">
        <v>9471</v>
      </c>
      <c r="X605" t="s">
        <v>9472</v>
      </c>
      <c r="Y605" t="s">
        <v>9473</v>
      </c>
      <c r="Z605" t="s">
        <v>9474</v>
      </c>
      <c r="AA605" t="s">
        <v>74</v>
      </c>
      <c r="AB605" t="s">
        <v>74</v>
      </c>
      <c r="AC605" t="s">
        <v>74</v>
      </c>
      <c r="AD605" t="s">
        <v>74</v>
      </c>
      <c r="AE605" t="s">
        <v>74</v>
      </c>
      <c r="AF605" t="s">
        <v>74</v>
      </c>
      <c r="AG605">
        <v>58</v>
      </c>
      <c r="AH605">
        <v>32</v>
      </c>
      <c r="AI605">
        <v>32</v>
      </c>
      <c r="AJ605">
        <v>3</v>
      </c>
      <c r="AK605">
        <v>10</v>
      </c>
      <c r="AL605" t="s">
        <v>74</v>
      </c>
      <c r="AM605" t="s">
        <v>74</v>
      </c>
      <c r="AN605" t="s">
        <v>74</v>
      </c>
      <c r="AO605" t="s">
        <v>9475</v>
      </c>
      <c r="AP605" t="s">
        <v>9476</v>
      </c>
      <c r="AQ605" t="s">
        <v>74</v>
      </c>
      <c r="AR605" t="s">
        <v>74</v>
      </c>
      <c r="AS605" t="s">
        <v>74</v>
      </c>
      <c r="AT605" t="s">
        <v>967</v>
      </c>
      <c r="AU605">
        <v>2017</v>
      </c>
      <c r="AV605">
        <v>18</v>
      </c>
      <c r="AW605">
        <v>12</v>
      </c>
      <c r="AX605" t="s">
        <v>74</v>
      </c>
      <c r="AY605" t="s">
        <v>74</v>
      </c>
      <c r="AZ605" t="s">
        <v>74</v>
      </c>
      <c r="BA605" t="s">
        <v>74</v>
      </c>
      <c r="BB605" t="s">
        <v>74</v>
      </c>
      <c r="BC605" t="s">
        <v>74</v>
      </c>
      <c r="BD605">
        <v>100</v>
      </c>
      <c r="BE605" t="s">
        <v>9477</v>
      </c>
      <c r="BF605" t="str">
        <f>HYPERLINK("http://dx.doi.org/10.1007/s11934-017-0748-x","http://dx.doi.org/10.1007/s11934-017-0748-x")</f>
        <v>http://dx.doi.org/10.1007/s11934-017-0748-x</v>
      </c>
      <c r="BG605" t="s">
        <v>74</v>
      </c>
      <c r="BH605" t="s">
        <v>74</v>
      </c>
      <c r="BI605" t="s">
        <v>74</v>
      </c>
      <c r="BJ605" t="s">
        <v>2193</v>
      </c>
      <c r="BK605" t="s">
        <v>117</v>
      </c>
      <c r="BL605" t="s">
        <v>2193</v>
      </c>
      <c r="BM605" t="s">
        <v>74</v>
      </c>
      <c r="BN605">
        <v>29130146</v>
      </c>
      <c r="BO605" t="s">
        <v>74</v>
      </c>
      <c r="BP605" t="s">
        <v>74</v>
      </c>
      <c r="BQ605" t="s">
        <v>74</v>
      </c>
      <c r="BR605" t="s">
        <v>96</v>
      </c>
      <c r="BS605" t="s">
        <v>9478</v>
      </c>
      <c r="BT605" t="str">
        <f>HYPERLINK("https%3A%2F%2Fwww.webofscience.com%2Fwos%2Fwoscc%2Ffull-record%2FWOS:000422920300002","View Full Record in Web of Science")</f>
        <v>View Full Record in Web of Science</v>
      </c>
    </row>
    <row r="606" spans="1:72" x14ac:dyDescent="0.15">
      <c r="A606" t="s">
        <v>98</v>
      </c>
      <c r="B606" t="s">
        <v>10861</v>
      </c>
      <c r="C606" t="s">
        <v>74</v>
      </c>
      <c r="D606" t="s">
        <v>74</v>
      </c>
      <c r="E606" t="s">
        <v>74</v>
      </c>
      <c r="F606" t="s">
        <v>10862</v>
      </c>
      <c r="G606" t="s">
        <v>74</v>
      </c>
      <c r="H606" t="s">
        <v>74</v>
      </c>
      <c r="I606" t="s">
        <v>10863</v>
      </c>
      <c r="J606" t="s">
        <v>10864</v>
      </c>
      <c r="K606" t="s">
        <v>74</v>
      </c>
      <c r="L606" t="s">
        <v>74</v>
      </c>
      <c r="M606" t="s">
        <v>74</v>
      </c>
      <c r="N606" t="s">
        <v>103</v>
      </c>
      <c r="O606" t="s">
        <v>74</v>
      </c>
      <c r="P606" t="s">
        <v>74</v>
      </c>
      <c r="Q606" t="s">
        <v>74</v>
      </c>
      <c r="R606" t="s">
        <v>74</v>
      </c>
      <c r="S606" t="s">
        <v>74</v>
      </c>
      <c r="T606" t="s">
        <v>10865</v>
      </c>
      <c r="U606" t="s">
        <v>10866</v>
      </c>
      <c r="V606" t="s">
        <v>10867</v>
      </c>
      <c r="W606" t="s">
        <v>10868</v>
      </c>
      <c r="X606" t="s">
        <v>10869</v>
      </c>
      <c r="Y606" t="s">
        <v>10870</v>
      </c>
      <c r="Z606" t="s">
        <v>10871</v>
      </c>
      <c r="AA606" t="s">
        <v>74</v>
      </c>
      <c r="AB606" t="s">
        <v>74</v>
      </c>
      <c r="AC606" t="s">
        <v>74</v>
      </c>
      <c r="AD606" t="s">
        <v>74</v>
      </c>
      <c r="AE606" t="s">
        <v>74</v>
      </c>
      <c r="AF606" t="s">
        <v>74</v>
      </c>
      <c r="AG606">
        <v>47</v>
      </c>
      <c r="AH606">
        <v>32</v>
      </c>
      <c r="AI606">
        <v>35</v>
      </c>
      <c r="AJ606">
        <v>11</v>
      </c>
      <c r="AK606">
        <v>19</v>
      </c>
      <c r="AL606" t="s">
        <v>74</v>
      </c>
      <c r="AM606" t="s">
        <v>74</v>
      </c>
      <c r="AN606" t="s">
        <v>74</v>
      </c>
      <c r="AO606" t="s">
        <v>10872</v>
      </c>
      <c r="AP606" t="s">
        <v>10873</v>
      </c>
      <c r="AQ606" t="s">
        <v>74</v>
      </c>
      <c r="AR606" t="s">
        <v>74</v>
      </c>
      <c r="AS606" t="s">
        <v>74</v>
      </c>
      <c r="AT606" t="s">
        <v>10874</v>
      </c>
      <c r="AU606">
        <v>2020</v>
      </c>
      <c r="AV606">
        <v>24</v>
      </c>
      <c r="AW606">
        <v>1</v>
      </c>
      <c r="AX606" t="s">
        <v>74</v>
      </c>
      <c r="AY606" t="s">
        <v>74</v>
      </c>
      <c r="AZ606" t="s">
        <v>74</v>
      </c>
      <c r="BA606" t="s">
        <v>74</v>
      </c>
      <c r="BB606" t="s">
        <v>74</v>
      </c>
      <c r="BC606" t="s">
        <v>74</v>
      </c>
      <c r="BD606" t="s">
        <v>74</v>
      </c>
      <c r="BE606" t="s">
        <v>10875</v>
      </c>
      <c r="BF606" t="str">
        <f>HYPERLINK("http://dx.doi.org/10.1186/s13054-020-03082-3","http://dx.doi.org/10.1186/s13054-020-03082-3")</f>
        <v>http://dx.doi.org/10.1186/s13054-020-03082-3</v>
      </c>
      <c r="BG606" t="s">
        <v>74</v>
      </c>
      <c r="BH606" t="s">
        <v>74</v>
      </c>
      <c r="BI606" t="s">
        <v>74</v>
      </c>
      <c r="BJ606" t="s">
        <v>4327</v>
      </c>
      <c r="BK606" t="s">
        <v>117</v>
      </c>
      <c r="BL606" t="s">
        <v>2565</v>
      </c>
      <c r="BM606" t="s">
        <v>74</v>
      </c>
      <c r="BN606">
        <v>32600436</v>
      </c>
      <c r="BO606" t="s">
        <v>74</v>
      </c>
      <c r="BP606" t="s">
        <v>74</v>
      </c>
      <c r="BQ606" t="s">
        <v>74</v>
      </c>
      <c r="BR606" t="s">
        <v>96</v>
      </c>
      <c r="BS606" t="s">
        <v>10876</v>
      </c>
      <c r="BT606" t="str">
        <f>HYPERLINK("https%3A%2F%2Fwww.webofscience.com%2Fwos%2Fwoscc%2Ffull-record%2FWOS:000546213800001","View Full Record in Web of Science")</f>
        <v>View Full Record in Web of Science</v>
      </c>
    </row>
    <row r="607" spans="1:72" x14ac:dyDescent="0.15">
      <c r="A607" t="s">
        <v>98</v>
      </c>
      <c r="B607" t="s">
        <v>12498</v>
      </c>
      <c r="C607" t="s">
        <v>74</v>
      </c>
      <c r="D607" t="s">
        <v>74</v>
      </c>
      <c r="E607" t="s">
        <v>74</v>
      </c>
      <c r="F607" t="s">
        <v>12499</v>
      </c>
      <c r="G607" t="s">
        <v>74</v>
      </c>
      <c r="H607" t="s">
        <v>74</v>
      </c>
      <c r="I607" t="s">
        <v>12500</v>
      </c>
      <c r="J607" t="s">
        <v>3780</v>
      </c>
      <c r="K607" t="s">
        <v>74</v>
      </c>
      <c r="L607" t="s">
        <v>74</v>
      </c>
      <c r="M607" t="s">
        <v>74</v>
      </c>
      <c r="N607" t="s">
        <v>103</v>
      </c>
      <c r="O607" t="s">
        <v>74</v>
      </c>
      <c r="P607" t="s">
        <v>74</v>
      </c>
      <c r="Q607" t="s">
        <v>74</v>
      </c>
      <c r="R607" t="s">
        <v>74</v>
      </c>
      <c r="S607" t="s">
        <v>74</v>
      </c>
      <c r="T607" t="s">
        <v>74</v>
      </c>
      <c r="U607" t="s">
        <v>12501</v>
      </c>
      <c r="V607" t="s">
        <v>12502</v>
      </c>
      <c r="W607" t="s">
        <v>12503</v>
      </c>
      <c r="X607" t="s">
        <v>12504</v>
      </c>
      <c r="Y607" t="s">
        <v>12505</v>
      </c>
      <c r="Z607" t="s">
        <v>12506</v>
      </c>
      <c r="AA607" t="s">
        <v>12507</v>
      </c>
      <c r="AB607" t="s">
        <v>12508</v>
      </c>
      <c r="AC607" t="s">
        <v>74</v>
      </c>
      <c r="AD607" t="s">
        <v>74</v>
      </c>
      <c r="AE607" t="s">
        <v>74</v>
      </c>
      <c r="AF607" t="s">
        <v>74</v>
      </c>
      <c r="AG607">
        <v>27</v>
      </c>
      <c r="AH607">
        <v>32</v>
      </c>
      <c r="AI607">
        <v>32</v>
      </c>
      <c r="AJ607">
        <v>51</v>
      </c>
      <c r="AK607">
        <v>208</v>
      </c>
      <c r="AL607" t="s">
        <v>74</v>
      </c>
      <c r="AM607" t="s">
        <v>74</v>
      </c>
      <c r="AN607" t="s">
        <v>74</v>
      </c>
      <c r="AO607" t="s">
        <v>3787</v>
      </c>
      <c r="AP607" t="s">
        <v>3788</v>
      </c>
      <c r="AQ607" t="s">
        <v>74</v>
      </c>
      <c r="AR607" t="s">
        <v>74</v>
      </c>
      <c r="AS607" t="s">
        <v>74</v>
      </c>
      <c r="AT607" t="s">
        <v>12509</v>
      </c>
      <c r="AU607">
        <v>2020</v>
      </c>
      <c r="AV607">
        <v>20</v>
      </c>
      <c r="AW607">
        <v>24</v>
      </c>
      <c r="AX607" t="s">
        <v>74</v>
      </c>
      <c r="AY607" t="s">
        <v>74</v>
      </c>
      <c r="AZ607" t="s">
        <v>74</v>
      </c>
      <c r="BA607" t="s">
        <v>74</v>
      </c>
      <c r="BB607">
        <v>4632</v>
      </c>
      <c r="BC607">
        <v>4637</v>
      </c>
      <c r="BD607" t="s">
        <v>74</v>
      </c>
      <c r="BE607" t="s">
        <v>12510</v>
      </c>
      <c r="BF607" t="str">
        <f>HYPERLINK("http://dx.doi.org/10.1039/d0lc00677g","http://dx.doi.org/10.1039/d0lc00677g")</f>
        <v>http://dx.doi.org/10.1039/d0lc00677g</v>
      </c>
      <c r="BG607" t="s">
        <v>74</v>
      </c>
      <c r="BH607" t="s">
        <v>74</v>
      </c>
      <c r="BI607" t="s">
        <v>74</v>
      </c>
      <c r="BJ607" t="s">
        <v>3790</v>
      </c>
      <c r="BK607" t="s">
        <v>117</v>
      </c>
      <c r="BL607" t="s">
        <v>3791</v>
      </c>
      <c r="BM607" t="s">
        <v>74</v>
      </c>
      <c r="BN607">
        <v>33169756</v>
      </c>
      <c r="BO607" t="s">
        <v>74</v>
      </c>
      <c r="BP607" t="s">
        <v>74</v>
      </c>
      <c r="BQ607" t="s">
        <v>74</v>
      </c>
      <c r="BR607" t="s">
        <v>96</v>
      </c>
      <c r="BS607" t="s">
        <v>12511</v>
      </c>
      <c r="BT607" t="str">
        <f>HYPERLINK("https%3A%2F%2Fwww.webofscience.com%2Fwos%2Fwoscc%2Ffull-record%2FWOS:000599063600012","View Full Record in Web of Science")</f>
        <v>View Full Record in Web of Science</v>
      </c>
    </row>
    <row r="608" spans="1:72" x14ac:dyDescent="0.15">
      <c r="A608" t="s">
        <v>98</v>
      </c>
      <c r="B608" t="s">
        <v>15180</v>
      </c>
      <c r="C608" t="s">
        <v>74</v>
      </c>
      <c r="D608" t="s">
        <v>74</v>
      </c>
      <c r="E608" t="s">
        <v>74</v>
      </c>
      <c r="F608" t="s">
        <v>15181</v>
      </c>
      <c r="G608" t="s">
        <v>74</v>
      </c>
      <c r="H608" t="s">
        <v>74</v>
      </c>
      <c r="I608" t="s">
        <v>15182</v>
      </c>
      <c r="J608" t="s">
        <v>7678</v>
      </c>
      <c r="K608" t="s">
        <v>74</v>
      </c>
      <c r="L608" t="s">
        <v>74</v>
      </c>
      <c r="M608" t="s">
        <v>74</v>
      </c>
      <c r="N608" t="s">
        <v>103</v>
      </c>
      <c r="O608" t="s">
        <v>74</v>
      </c>
      <c r="P608" t="s">
        <v>74</v>
      </c>
      <c r="Q608" t="s">
        <v>74</v>
      </c>
      <c r="R608" t="s">
        <v>74</v>
      </c>
      <c r="S608" t="s">
        <v>74</v>
      </c>
      <c r="T608" t="s">
        <v>15183</v>
      </c>
      <c r="U608" t="s">
        <v>15184</v>
      </c>
      <c r="V608" t="s">
        <v>15185</v>
      </c>
      <c r="W608" t="s">
        <v>15186</v>
      </c>
      <c r="X608" t="s">
        <v>15187</v>
      </c>
      <c r="Y608" t="s">
        <v>15188</v>
      </c>
      <c r="Z608" t="s">
        <v>15189</v>
      </c>
      <c r="AA608" t="s">
        <v>15190</v>
      </c>
      <c r="AB608" t="s">
        <v>15191</v>
      </c>
      <c r="AC608" t="s">
        <v>74</v>
      </c>
      <c r="AD608" t="s">
        <v>74</v>
      </c>
      <c r="AE608" t="s">
        <v>74</v>
      </c>
      <c r="AF608" t="s">
        <v>74</v>
      </c>
      <c r="AG608">
        <v>160</v>
      </c>
      <c r="AH608">
        <v>32</v>
      </c>
      <c r="AI608">
        <v>39</v>
      </c>
      <c r="AJ608">
        <v>1</v>
      </c>
      <c r="AK608">
        <v>34</v>
      </c>
      <c r="AL608" t="s">
        <v>74</v>
      </c>
      <c r="AM608" t="s">
        <v>74</v>
      </c>
      <c r="AN608" t="s">
        <v>74</v>
      </c>
      <c r="AO608" t="s">
        <v>7688</v>
      </c>
      <c r="AP608" t="s">
        <v>7689</v>
      </c>
      <c r="AQ608" t="s">
        <v>74</v>
      </c>
      <c r="AR608" t="s">
        <v>74</v>
      </c>
      <c r="AS608" t="s">
        <v>74</v>
      </c>
      <c r="AT608" t="s">
        <v>13641</v>
      </c>
      <c r="AU608">
        <v>2015</v>
      </c>
      <c r="AV608">
        <v>21</v>
      </c>
      <c r="AW608">
        <v>41</v>
      </c>
      <c r="AX608" t="s">
        <v>74</v>
      </c>
      <c r="AY608" t="s">
        <v>74</v>
      </c>
      <c r="AZ608" t="s">
        <v>74</v>
      </c>
      <c r="BA608" t="s">
        <v>74</v>
      </c>
      <c r="BB608">
        <v>11636</v>
      </c>
      <c r="BC608">
        <v>11653</v>
      </c>
      <c r="BD608" t="s">
        <v>74</v>
      </c>
      <c r="BE608" t="s">
        <v>15192</v>
      </c>
      <c r="BF608" t="str">
        <f>HYPERLINK("http://dx.doi.org/10.3748/wjg.v21.i41.11636","http://dx.doi.org/10.3748/wjg.v21.i41.11636")</f>
        <v>http://dx.doi.org/10.3748/wjg.v21.i41.11636</v>
      </c>
      <c r="BG608" t="s">
        <v>74</v>
      </c>
      <c r="BH608" t="s">
        <v>74</v>
      </c>
      <c r="BI608" t="s">
        <v>74</v>
      </c>
      <c r="BJ608" t="s">
        <v>633</v>
      </c>
      <c r="BK608" t="s">
        <v>117</v>
      </c>
      <c r="BL608" t="s">
        <v>633</v>
      </c>
      <c r="BM608" t="s">
        <v>74</v>
      </c>
      <c r="BN608">
        <v>26556992</v>
      </c>
      <c r="BO608" t="s">
        <v>74</v>
      </c>
      <c r="BP608" t="s">
        <v>74</v>
      </c>
      <c r="BQ608" t="s">
        <v>74</v>
      </c>
      <c r="BR608" t="s">
        <v>96</v>
      </c>
      <c r="BS608" t="s">
        <v>15193</v>
      </c>
      <c r="BT608" t="str">
        <f>HYPERLINK("https%3A%2F%2Fwww.webofscience.com%2Fwos%2Fwoscc%2Ffull-record%2FWOS:000365025100012","View Full Record in Web of Science")</f>
        <v>View Full Record in Web of Science</v>
      </c>
    </row>
    <row r="609" spans="1:72" x14ac:dyDescent="0.15">
      <c r="A609" t="s">
        <v>98</v>
      </c>
      <c r="B609" t="s">
        <v>15250</v>
      </c>
      <c r="C609" t="s">
        <v>74</v>
      </c>
      <c r="D609" t="s">
        <v>74</v>
      </c>
      <c r="E609" t="s">
        <v>74</v>
      </c>
      <c r="F609" t="s">
        <v>15251</v>
      </c>
      <c r="G609" t="s">
        <v>74</v>
      </c>
      <c r="H609" t="s">
        <v>74</v>
      </c>
      <c r="I609" t="s">
        <v>15252</v>
      </c>
      <c r="J609" t="s">
        <v>15253</v>
      </c>
      <c r="K609" t="s">
        <v>74</v>
      </c>
      <c r="L609" t="s">
        <v>74</v>
      </c>
      <c r="M609" t="s">
        <v>74</v>
      </c>
      <c r="N609" t="s">
        <v>103</v>
      </c>
      <c r="O609" t="s">
        <v>74</v>
      </c>
      <c r="P609" t="s">
        <v>74</v>
      </c>
      <c r="Q609" t="s">
        <v>74</v>
      </c>
      <c r="R609" t="s">
        <v>74</v>
      </c>
      <c r="S609" t="s">
        <v>74</v>
      </c>
      <c r="T609" t="s">
        <v>15254</v>
      </c>
      <c r="U609" t="s">
        <v>15255</v>
      </c>
      <c r="V609" t="s">
        <v>15256</v>
      </c>
      <c r="W609" t="s">
        <v>15257</v>
      </c>
      <c r="X609" t="s">
        <v>6278</v>
      </c>
      <c r="Y609" t="s">
        <v>15258</v>
      </c>
      <c r="Z609" t="s">
        <v>15259</v>
      </c>
      <c r="AA609" t="s">
        <v>74</v>
      </c>
      <c r="AB609" t="s">
        <v>15260</v>
      </c>
      <c r="AC609" t="s">
        <v>74</v>
      </c>
      <c r="AD609" t="s">
        <v>74</v>
      </c>
      <c r="AE609" t="s">
        <v>74</v>
      </c>
      <c r="AF609" t="s">
        <v>74</v>
      </c>
      <c r="AG609">
        <v>167</v>
      </c>
      <c r="AH609">
        <v>32</v>
      </c>
      <c r="AI609">
        <v>33</v>
      </c>
      <c r="AJ609">
        <v>3</v>
      </c>
      <c r="AK609">
        <v>7</v>
      </c>
      <c r="AL609" t="s">
        <v>74</v>
      </c>
      <c r="AM609" t="s">
        <v>74</v>
      </c>
      <c r="AN609" t="s">
        <v>74</v>
      </c>
      <c r="AO609" t="s">
        <v>15261</v>
      </c>
      <c r="AP609" t="s">
        <v>74</v>
      </c>
      <c r="AQ609" t="s">
        <v>74</v>
      </c>
      <c r="AR609" t="s">
        <v>74</v>
      </c>
      <c r="AS609" t="s">
        <v>74</v>
      </c>
      <c r="AT609" t="s">
        <v>74</v>
      </c>
      <c r="AU609">
        <v>2019</v>
      </c>
      <c r="AV609">
        <v>11</v>
      </c>
      <c r="AW609" t="s">
        <v>74</v>
      </c>
      <c r="AX609" t="s">
        <v>74</v>
      </c>
      <c r="AY609" t="s">
        <v>74</v>
      </c>
      <c r="AZ609" t="s">
        <v>74</v>
      </c>
      <c r="BA609" t="s">
        <v>74</v>
      </c>
      <c r="BB609">
        <v>5271</v>
      </c>
      <c r="BC609">
        <v>5291</v>
      </c>
      <c r="BD609" t="s">
        <v>74</v>
      </c>
      <c r="BE609" t="s">
        <v>15262</v>
      </c>
      <c r="BF609" t="str">
        <f>HYPERLINK("http://dx.doi.org/10.2147/CMAR.S170380","http://dx.doi.org/10.2147/CMAR.S170380")</f>
        <v>http://dx.doi.org/10.2147/CMAR.S170380</v>
      </c>
      <c r="BG609" t="s">
        <v>74</v>
      </c>
      <c r="BH609" t="s">
        <v>74</v>
      </c>
      <c r="BI609" t="s">
        <v>74</v>
      </c>
      <c r="BJ609" t="s">
        <v>267</v>
      </c>
      <c r="BK609" t="s">
        <v>117</v>
      </c>
      <c r="BL609" t="s">
        <v>267</v>
      </c>
      <c r="BM609" t="s">
        <v>74</v>
      </c>
      <c r="BN609">
        <v>31239778</v>
      </c>
      <c r="BO609" t="s">
        <v>74</v>
      </c>
      <c r="BP609" t="s">
        <v>74</v>
      </c>
      <c r="BQ609" t="s">
        <v>74</v>
      </c>
      <c r="BR609" t="s">
        <v>96</v>
      </c>
      <c r="BS609" t="s">
        <v>15263</v>
      </c>
      <c r="BT609" t="str">
        <f>HYPERLINK("https%3A%2F%2Fwww.webofscience.com%2Fwos%2Fwoscc%2Ffull-record%2FWOS:000470703200004","View Full Record in Web of Science")</f>
        <v>View Full Record in Web of Science</v>
      </c>
    </row>
    <row r="610" spans="1:72" x14ac:dyDescent="0.15">
      <c r="A610" t="s">
        <v>98</v>
      </c>
      <c r="B610" t="s">
        <v>15694</v>
      </c>
      <c r="C610" t="s">
        <v>74</v>
      </c>
      <c r="D610" t="s">
        <v>74</v>
      </c>
      <c r="E610" t="s">
        <v>74</v>
      </c>
      <c r="F610" t="s">
        <v>15695</v>
      </c>
      <c r="G610" t="s">
        <v>74</v>
      </c>
      <c r="H610" t="s">
        <v>74</v>
      </c>
      <c r="I610" t="s">
        <v>15696</v>
      </c>
      <c r="J610" t="s">
        <v>14628</v>
      </c>
      <c r="K610" t="s">
        <v>74</v>
      </c>
      <c r="L610" t="s">
        <v>74</v>
      </c>
      <c r="M610" t="s">
        <v>74</v>
      </c>
      <c r="N610" t="s">
        <v>103</v>
      </c>
      <c r="O610" t="s">
        <v>74</v>
      </c>
      <c r="P610" t="s">
        <v>74</v>
      </c>
      <c r="Q610" t="s">
        <v>74</v>
      </c>
      <c r="R610" t="s">
        <v>74</v>
      </c>
      <c r="S610" t="s">
        <v>74</v>
      </c>
      <c r="T610" t="s">
        <v>15697</v>
      </c>
      <c r="U610" t="s">
        <v>15698</v>
      </c>
      <c r="V610" t="s">
        <v>15699</v>
      </c>
      <c r="W610" t="s">
        <v>15700</v>
      </c>
      <c r="X610" t="s">
        <v>15701</v>
      </c>
      <c r="Y610" t="s">
        <v>15702</v>
      </c>
      <c r="Z610" t="s">
        <v>15703</v>
      </c>
      <c r="AA610" t="s">
        <v>15704</v>
      </c>
      <c r="AB610" t="s">
        <v>15705</v>
      </c>
      <c r="AC610" t="s">
        <v>74</v>
      </c>
      <c r="AD610" t="s">
        <v>74</v>
      </c>
      <c r="AE610" t="s">
        <v>74</v>
      </c>
      <c r="AF610" t="s">
        <v>74</v>
      </c>
      <c r="AG610">
        <v>43</v>
      </c>
      <c r="AH610">
        <v>32</v>
      </c>
      <c r="AI610">
        <v>33</v>
      </c>
      <c r="AJ610">
        <v>4</v>
      </c>
      <c r="AK610">
        <v>19</v>
      </c>
      <c r="AL610" t="s">
        <v>74</v>
      </c>
      <c r="AM610" t="s">
        <v>74</v>
      </c>
      <c r="AN610" t="s">
        <v>74</v>
      </c>
      <c r="AO610" t="s">
        <v>14638</v>
      </c>
      <c r="AP610" t="s">
        <v>14639</v>
      </c>
      <c r="AQ610" t="s">
        <v>74</v>
      </c>
      <c r="AR610" t="s">
        <v>74</v>
      </c>
      <c r="AS610" t="s">
        <v>74</v>
      </c>
      <c r="AT610" t="s">
        <v>2906</v>
      </c>
      <c r="AU610">
        <v>2019</v>
      </c>
      <c r="AV610">
        <v>144</v>
      </c>
      <c r="AW610">
        <v>12</v>
      </c>
      <c r="AX610" t="s">
        <v>74</v>
      </c>
      <c r="AY610" t="s">
        <v>74</v>
      </c>
      <c r="AZ610" t="s">
        <v>74</v>
      </c>
      <c r="BA610" t="s">
        <v>74</v>
      </c>
      <c r="BB610">
        <v>3127</v>
      </c>
      <c r="BC610">
        <v>3137</v>
      </c>
      <c r="BD610" t="s">
        <v>74</v>
      </c>
      <c r="BE610" t="s">
        <v>15706</v>
      </c>
      <c r="BF610" t="str">
        <f>HYPERLINK("http://dx.doi.org/10.1002/ijc.32056","http://dx.doi.org/10.1002/ijc.32056")</f>
        <v>http://dx.doi.org/10.1002/ijc.32056</v>
      </c>
      <c r="BG610" t="s">
        <v>74</v>
      </c>
      <c r="BH610" t="s">
        <v>74</v>
      </c>
      <c r="BI610" t="s">
        <v>74</v>
      </c>
      <c r="BJ610" t="s">
        <v>267</v>
      </c>
      <c r="BK610" t="s">
        <v>117</v>
      </c>
      <c r="BL610" t="s">
        <v>267</v>
      </c>
      <c r="BM610" t="s">
        <v>74</v>
      </c>
      <c r="BN610">
        <v>30536653</v>
      </c>
      <c r="BO610" t="s">
        <v>74</v>
      </c>
      <c r="BP610" t="s">
        <v>74</v>
      </c>
      <c r="BQ610" t="s">
        <v>74</v>
      </c>
      <c r="BR610" t="s">
        <v>96</v>
      </c>
      <c r="BS610" t="s">
        <v>15707</v>
      </c>
      <c r="BT610" t="str">
        <f>HYPERLINK("https%3A%2F%2Fwww.webofscience.com%2Fwos%2Fwoscc%2Ffull-record%2FWOS:000466449100022","View Full Record in Web of Science")</f>
        <v>View Full Record in Web of Science</v>
      </c>
    </row>
    <row r="611" spans="1:72" x14ac:dyDescent="0.15">
      <c r="A611" t="s">
        <v>98</v>
      </c>
      <c r="B611" t="s">
        <v>16419</v>
      </c>
      <c r="C611" t="s">
        <v>74</v>
      </c>
      <c r="D611" t="s">
        <v>74</v>
      </c>
      <c r="E611" t="s">
        <v>74</v>
      </c>
      <c r="F611" t="s">
        <v>16420</v>
      </c>
      <c r="G611" t="s">
        <v>74</v>
      </c>
      <c r="H611" t="s">
        <v>74</v>
      </c>
      <c r="I611" t="s">
        <v>16421</v>
      </c>
      <c r="J611" t="s">
        <v>1073</v>
      </c>
      <c r="K611" t="s">
        <v>74</v>
      </c>
      <c r="L611" t="s">
        <v>74</v>
      </c>
      <c r="M611" t="s">
        <v>74</v>
      </c>
      <c r="N611" t="s">
        <v>103</v>
      </c>
      <c r="O611" t="s">
        <v>74</v>
      </c>
      <c r="P611" t="s">
        <v>74</v>
      </c>
      <c r="Q611" t="s">
        <v>74</v>
      </c>
      <c r="R611" t="s">
        <v>74</v>
      </c>
      <c r="S611" t="s">
        <v>74</v>
      </c>
      <c r="T611" t="s">
        <v>74</v>
      </c>
      <c r="U611" t="s">
        <v>16422</v>
      </c>
      <c r="V611" t="s">
        <v>16423</v>
      </c>
      <c r="W611" t="s">
        <v>16424</v>
      </c>
      <c r="X611" t="s">
        <v>16425</v>
      </c>
      <c r="Y611" t="s">
        <v>16426</v>
      </c>
      <c r="Z611" t="s">
        <v>14665</v>
      </c>
      <c r="AA611" t="s">
        <v>74</v>
      </c>
      <c r="AB611" t="s">
        <v>16427</v>
      </c>
      <c r="AC611" t="s">
        <v>74</v>
      </c>
      <c r="AD611" t="s">
        <v>74</v>
      </c>
      <c r="AE611" t="s">
        <v>74</v>
      </c>
      <c r="AF611" t="s">
        <v>74</v>
      </c>
      <c r="AG611">
        <v>79</v>
      </c>
      <c r="AH611">
        <v>32</v>
      </c>
      <c r="AI611">
        <v>34</v>
      </c>
      <c r="AJ611">
        <v>3</v>
      </c>
      <c r="AK611">
        <v>18</v>
      </c>
      <c r="AL611" t="s">
        <v>74</v>
      </c>
      <c r="AM611" t="s">
        <v>74</v>
      </c>
      <c r="AN611" t="s">
        <v>74</v>
      </c>
      <c r="AO611" t="s">
        <v>1082</v>
      </c>
      <c r="AP611" t="s">
        <v>74</v>
      </c>
      <c r="AQ611" t="s">
        <v>74</v>
      </c>
      <c r="AR611" t="s">
        <v>74</v>
      </c>
      <c r="AS611" t="s">
        <v>74</v>
      </c>
      <c r="AT611" t="s">
        <v>3712</v>
      </c>
      <c r="AU611">
        <v>2019</v>
      </c>
      <c r="AV611">
        <v>14</v>
      </c>
      <c r="AW611">
        <v>2</v>
      </c>
      <c r="AX611" t="s">
        <v>74</v>
      </c>
      <c r="AY611" t="s">
        <v>74</v>
      </c>
      <c r="AZ611" t="s">
        <v>74</v>
      </c>
      <c r="BA611" t="s">
        <v>74</v>
      </c>
      <c r="BB611" t="s">
        <v>74</v>
      </c>
      <c r="BC611" t="s">
        <v>74</v>
      </c>
      <c r="BD611" t="s">
        <v>16428</v>
      </c>
      <c r="BE611" t="s">
        <v>16429</v>
      </c>
      <c r="BF611" t="str">
        <f>HYPERLINK("http://dx.doi.org/10.1371/journal.pone.0212275","http://dx.doi.org/10.1371/journal.pone.0212275")</f>
        <v>http://dx.doi.org/10.1371/journal.pone.0212275</v>
      </c>
      <c r="BG611" t="s">
        <v>74</v>
      </c>
      <c r="BH611" t="s">
        <v>74</v>
      </c>
      <c r="BI611" t="s">
        <v>74</v>
      </c>
      <c r="BJ611" t="s">
        <v>152</v>
      </c>
      <c r="BK611" t="s">
        <v>117</v>
      </c>
      <c r="BL611" t="s">
        <v>153</v>
      </c>
      <c r="BM611" t="s">
        <v>74</v>
      </c>
      <c r="BN611">
        <v>30763382</v>
      </c>
      <c r="BO611" t="s">
        <v>74</v>
      </c>
      <c r="BP611" t="s">
        <v>74</v>
      </c>
      <c r="BQ611" t="s">
        <v>74</v>
      </c>
      <c r="BR611" t="s">
        <v>96</v>
      </c>
      <c r="BS611" t="s">
        <v>16430</v>
      </c>
      <c r="BT611" t="str">
        <f>HYPERLINK("https%3A%2F%2Fwww.webofscience.com%2Fwos%2Fwoscc%2Ffull-record%2FWOS:000458763900058","View Full Record in Web of Science")</f>
        <v>View Full Record in Web of Science</v>
      </c>
    </row>
    <row r="612" spans="1:72" x14ac:dyDescent="0.15">
      <c r="A612" t="s">
        <v>98</v>
      </c>
      <c r="B612" t="s">
        <v>18690</v>
      </c>
      <c r="C612" t="s">
        <v>74</v>
      </c>
      <c r="D612" t="s">
        <v>74</v>
      </c>
      <c r="E612" t="s">
        <v>74</v>
      </c>
      <c r="F612" t="s">
        <v>18691</v>
      </c>
      <c r="G612" t="s">
        <v>74</v>
      </c>
      <c r="H612" t="s">
        <v>74</v>
      </c>
      <c r="I612" t="s">
        <v>18692</v>
      </c>
      <c r="J612" t="s">
        <v>140</v>
      </c>
      <c r="K612" t="s">
        <v>74</v>
      </c>
      <c r="L612" t="s">
        <v>74</v>
      </c>
      <c r="M612" t="s">
        <v>74</v>
      </c>
      <c r="N612" t="s">
        <v>103</v>
      </c>
      <c r="O612" t="s">
        <v>74</v>
      </c>
      <c r="P612" t="s">
        <v>74</v>
      </c>
      <c r="Q612" t="s">
        <v>74</v>
      </c>
      <c r="R612" t="s">
        <v>74</v>
      </c>
      <c r="S612" t="s">
        <v>74</v>
      </c>
      <c r="T612" t="s">
        <v>74</v>
      </c>
      <c r="U612" t="s">
        <v>18693</v>
      </c>
      <c r="V612" t="s">
        <v>18694</v>
      </c>
      <c r="W612" t="s">
        <v>18695</v>
      </c>
      <c r="X612" t="s">
        <v>18696</v>
      </c>
      <c r="Y612" t="s">
        <v>18697</v>
      </c>
      <c r="Z612" t="s">
        <v>18698</v>
      </c>
      <c r="AA612" t="s">
        <v>18699</v>
      </c>
      <c r="AB612" t="s">
        <v>18700</v>
      </c>
      <c r="AC612" t="s">
        <v>74</v>
      </c>
      <c r="AD612" t="s">
        <v>74</v>
      </c>
      <c r="AE612" t="s">
        <v>74</v>
      </c>
      <c r="AF612" t="s">
        <v>74</v>
      </c>
      <c r="AG612">
        <v>60</v>
      </c>
      <c r="AH612">
        <v>32</v>
      </c>
      <c r="AI612">
        <v>35</v>
      </c>
      <c r="AJ612">
        <v>0</v>
      </c>
      <c r="AK612">
        <v>7</v>
      </c>
      <c r="AL612" t="s">
        <v>74</v>
      </c>
      <c r="AM612" t="s">
        <v>74</v>
      </c>
      <c r="AN612" t="s">
        <v>74</v>
      </c>
      <c r="AO612" t="s">
        <v>149</v>
      </c>
      <c r="AP612" t="s">
        <v>74</v>
      </c>
      <c r="AQ612" t="s">
        <v>74</v>
      </c>
      <c r="AR612" t="s">
        <v>74</v>
      </c>
      <c r="AS612" t="s">
        <v>74</v>
      </c>
      <c r="AT612" t="s">
        <v>18173</v>
      </c>
      <c r="AU612">
        <v>2018</v>
      </c>
      <c r="AV612">
        <v>8</v>
      </c>
      <c r="AW612" t="s">
        <v>74</v>
      </c>
      <c r="AX612" t="s">
        <v>74</v>
      </c>
      <c r="AY612" t="s">
        <v>74</v>
      </c>
      <c r="AZ612" t="s">
        <v>74</v>
      </c>
      <c r="BA612" t="s">
        <v>74</v>
      </c>
      <c r="BB612" t="s">
        <v>74</v>
      </c>
      <c r="BC612" t="s">
        <v>74</v>
      </c>
      <c r="BD612">
        <v>182</v>
      </c>
      <c r="BE612" t="s">
        <v>18701</v>
      </c>
      <c r="BF612" t="str">
        <f>HYPERLINK("http://dx.doi.org/10.1038/s41598-017-18468-7","http://dx.doi.org/10.1038/s41598-017-18468-7")</f>
        <v>http://dx.doi.org/10.1038/s41598-017-18468-7</v>
      </c>
      <c r="BG612" t="s">
        <v>74</v>
      </c>
      <c r="BH612" t="s">
        <v>74</v>
      </c>
      <c r="BI612" t="s">
        <v>74</v>
      </c>
      <c r="BJ612" t="s">
        <v>152</v>
      </c>
      <c r="BK612" t="s">
        <v>117</v>
      </c>
      <c r="BL612" t="s">
        <v>153</v>
      </c>
      <c r="BM612" t="s">
        <v>74</v>
      </c>
      <c r="BN612">
        <v>29317705</v>
      </c>
      <c r="BO612" t="s">
        <v>74</v>
      </c>
      <c r="BP612" t="s">
        <v>74</v>
      </c>
      <c r="BQ612" t="s">
        <v>74</v>
      </c>
      <c r="BR612" t="s">
        <v>96</v>
      </c>
      <c r="BS612" t="s">
        <v>18702</v>
      </c>
      <c r="BT612" t="str">
        <f>HYPERLINK("https%3A%2F%2Fwww.webofscience.com%2Fwos%2Fwoscc%2Ffull-record%2FWOS:000419659800017","View Full Record in Web of Science")</f>
        <v>View Full Record in Web of Science</v>
      </c>
    </row>
    <row r="613" spans="1:72" x14ac:dyDescent="0.15">
      <c r="A613" t="s">
        <v>98</v>
      </c>
      <c r="B613" t="s">
        <v>19296</v>
      </c>
      <c r="C613" t="s">
        <v>74</v>
      </c>
      <c r="D613" t="s">
        <v>74</v>
      </c>
      <c r="E613" t="s">
        <v>74</v>
      </c>
      <c r="F613" t="s">
        <v>19296</v>
      </c>
      <c r="G613" t="s">
        <v>74</v>
      </c>
      <c r="H613" t="s">
        <v>74</v>
      </c>
      <c r="I613" t="s">
        <v>19297</v>
      </c>
      <c r="J613" t="s">
        <v>4501</v>
      </c>
      <c r="K613" t="s">
        <v>74</v>
      </c>
      <c r="L613" t="s">
        <v>74</v>
      </c>
      <c r="M613" t="s">
        <v>74</v>
      </c>
      <c r="N613" t="s">
        <v>103</v>
      </c>
      <c r="O613" t="s">
        <v>74</v>
      </c>
      <c r="P613" t="s">
        <v>74</v>
      </c>
      <c r="Q613" t="s">
        <v>74</v>
      </c>
      <c r="R613" t="s">
        <v>74</v>
      </c>
      <c r="S613" t="s">
        <v>74</v>
      </c>
      <c r="T613" t="s">
        <v>19298</v>
      </c>
      <c r="U613" t="s">
        <v>19299</v>
      </c>
      <c r="V613" t="s">
        <v>19300</v>
      </c>
      <c r="W613" t="s">
        <v>19301</v>
      </c>
      <c r="X613" t="s">
        <v>19302</v>
      </c>
      <c r="Y613" t="s">
        <v>19303</v>
      </c>
      <c r="Z613" t="s">
        <v>19304</v>
      </c>
      <c r="AA613" t="s">
        <v>74</v>
      </c>
      <c r="AB613" t="s">
        <v>19305</v>
      </c>
      <c r="AC613" t="s">
        <v>74</v>
      </c>
      <c r="AD613" t="s">
        <v>74</v>
      </c>
      <c r="AE613" t="s">
        <v>74</v>
      </c>
      <c r="AF613" t="s">
        <v>74</v>
      </c>
      <c r="AG613">
        <v>50</v>
      </c>
      <c r="AH613">
        <v>32</v>
      </c>
      <c r="AI613">
        <v>34</v>
      </c>
      <c r="AJ613">
        <v>0</v>
      </c>
      <c r="AK613">
        <v>2</v>
      </c>
      <c r="AL613" t="s">
        <v>74</v>
      </c>
      <c r="AM613" t="s">
        <v>74</v>
      </c>
      <c r="AN613" t="s">
        <v>74</v>
      </c>
      <c r="AO613" t="s">
        <v>4511</v>
      </c>
      <c r="AP613" t="s">
        <v>4512</v>
      </c>
      <c r="AQ613" t="s">
        <v>74</v>
      </c>
      <c r="AR613" t="s">
        <v>74</v>
      </c>
      <c r="AS613" t="s">
        <v>74</v>
      </c>
      <c r="AT613" t="s">
        <v>614</v>
      </c>
      <c r="AU613">
        <v>2003</v>
      </c>
      <c r="AV613">
        <v>65</v>
      </c>
      <c r="AW613">
        <v>3</v>
      </c>
      <c r="AX613" t="s">
        <v>74</v>
      </c>
      <c r="AY613" t="s">
        <v>74</v>
      </c>
      <c r="AZ613" t="s">
        <v>74</v>
      </c>
      <c r="BA613" t="s">
        <v>74</v>
      </c>
      <c r="BB613">
        <v>289</v>
      </c>
      <c r="BC613">
        <v>297</v>
      </c>
      <c r="BD613" t="s">
        <v>74</v>
      </c>
      <c r="BE613" t="s">
        <v>19306</v>
      </c>
      <c r="BF613" t="str">
        <f>HYPERLINK("http://dx.doi.org/10.1002/mrd.10275","http://dx.doi.org/10.1002/mrd.10275")</f>
        <v>http://dx.doi.org/10.1002/mrd.10275</v>
      </c>
      <c r="BG613" t="s">
        <v>74</v>
      </c>
      <c r="BH613" t="s">
        <v>74</v>
      </c>
      <c r="BI613" t="s">
        <v>74</v>
      </c>
      <c r="BJ613" t="s">
        <v>4514</v>
      </c>
      <c r="BK613" t="s">
        <v>117</v>
      </c>
      <c r="BL613" t="s">
        <v>4514</v>
      </c>
      <c r="BM613" t="s">
        <v>74</v>
      </c>
      <c r="BN613">
        <v>12784251</v>
      </c>
      <c r="BO613" t="s">
        <v>74</v>
      </c>
      <c r="BP613" t="s">
        <v>74</v>
      </c>
      <c r="BQ613" t="s">
        <v>74</v>
      </c>
      <c r="BR613" t="s">
        <v>96</v>
      </c>
      <c r="BS613" t="s">
        <v>19307</v>
      </c>
      <c r="BT613" t="str">
        <f>HYPERLINK("https%3A%2F%2Fwww.webofscience.com%2Fwos%2Fwoscc%2Ffull-record%2FWOS:000183246000008","View Full Record in Web of Science")</f>
        <v>View Full Record in Web of Science</v>
      </c>
    </row>
    <row r="614" spans="1:72" x14ac:dyDescent="0.15">
      <c r="A614" t="s">
        <v>98</v>
      </c>
      <c r="B614" t="s">
        <v>20257</v>
      </c>
      <c r="C614" t="s">
        <v>74</v>
      </c>
      <c r="D614" t="s">
        <v>74</v>
      </c>
      <c r="E614" t="s">
        <v>74</v>
      </c>
      <c r="F614" t="s">
        <v>20258</v>
      </c>
      <c r="G614" t="s">
        <v>74</v>
      </c>
      <c r="H614" t="s">
        <v>74</v>
      </c>
      <c r="I614" t="s">
        <v>20259</v>
      </c>
      <c r="J614" t="s">
        <v>1396</v>
      </c>
      <c r="K614" t="s">
        <v>74</v>
      </c>
      <c r="L614" t="s">
        <v>74</v>
      </c>
      <c r="M614" t="s">
        <v>74</v>
      </c>
      <c r="N614" t="s">
        <v>103</v>
      </c>
      <c r="O614" t="s">
        <v>74</v>
      </c>
      <c r="P614" t="s">
        <v>74</v>
      </c>
      <c r="Q614" t="s">
        <v>74</v>
      </c>
      <c r="R614" t="s">
        <v>74</v>
      </c>
      <c r="S614" t="s">
        <v>74</v>
      </c>
      <c r="T614" t="s">
        <v>20260</v>
      </c>
      <c r="U614" t="s">
        <v>20261</v>
      </c>
      <c r="V614" t="s">
        <v>20262</v>
      </c>
      <c r="W614" t="s">
        <v>20263</v>
      </c>
      <c r="X614" t="s">
        <v>20264</v>
      </c>
      <c r="Y614" t="s">
        <v>20265</v>
      </c>
      <c r="Z614" t="s">
        <v>20266</v>
      </c>
      <c r="AA614" t="s">
        <v>20267</v>
      </c>
      <c r="AB614" t="s">
        <v>20268</v>
      </c>
      <c r="AC614" t="s">
        <v>74</v>
      </c>
      <c r="AD614" t="s">
        <v>74</v>
      </c>
      <c r="AE614" t="s">
        <v>74</v>
      </c>
      <c r="AF614" t="s">
        <v>74</v>
      </c>
      <c r="AG614">
        <v>50</v>
      </c>
      <c r="AH614">
        <v>32</v>
      </c>
      <c r="AI614">
        <v>32</v>
      </c>
      <c r="AJ614">
        <v>0</v>
      </c>
      <c r="AK614">
        <v>8</v>
      </c>
      <c r="AL614" t="s">
        <v>74</v>
      </c>
      <c r="AM614" t="s">
        <v>74</v>
      </c>
      <c r="AN614" t="s">
        <v>74</v>
      </c>
      <c r="AO614" t="s">
        <v>1406</v>
      </c>
      <c r="AP614" t="s">
        <v>1407</v>
      </c>
      <c r="AQ614" t="s">
        <v>74</v>
      </c>
      <c r="AR614" t="s">
        <v>74</v>
      </c>
      <c r="AS614" t="s">
        <v>74</v>
      </c>
      <c r="AT614" t="s">
        <v>4146</v>
      </c>
      <c r="AU614">
        <v>2017</v>
      </c>
      <c r="AV614">
        <v>215</v>
      </c>
      <c r="AW614">
        <v>9</v>
      </c>
      <c r="AX614" t="s">
        <v>74</v>
      </c>
      <c r="AY614" t="s">
        <v>74</v>
      </c>
      <c r="AZ614" t="s">
        <v>74</v>
      </c>
      <c r="BA614" t="s">
        <v>74</v>
      </c>
      <c r="BB614">
        <v>1421</v>
      </c>
      <c r="BC614">
        <v>1429</v>
      </c>
      <c r="BD614" t="s">
        <v>74</v>
      </c>
      <c r="BE614" t="s">
        <v>20269</v>
      </c>
      <c r="BF614" t="str">
        <f>HYPERLINK("http://dx.doi.org/10.1093/infdis/jix140","http://dx.doi.org/10.1093/infdis/jix140")</f>
        <v>http://dx.doi.org/10.1093/infdis/jix140</v>
      </c>
      <c r="BG614" t="s">
        <v>74</v>
      </c>
      <c r="BH614" t="s">
        <v>74</v>
      </c>
      <c r="BI614" t="s">
        <v>74</v>
      </c>
      <c r="BJ614" t="s">
        <v>1410</v>
      </c>
      <c r="BK614" t="s">
        <v>117</v>
      </c>
      <c r="BL614" t="s">
        <v>1410</v>
      </c>
      <c r="BM614" t="s">
        <v>74</v>
      </c>
      <c r="BN614">
        <v>28368488</v>
      </c>
      <c r="BO614" t="s">
        <v>74</v>
      </c>
      <c r="BP614" t="s">
        <v>74</v>
      </c>
      <c r="BQ614" t="s">
        <v>74</v>
      </c>
      <c r="BR614" t="s">
        <v>96</v>
      </c>
      <c r="BS614" t="s">
        <v>20270</v>
      </c>
      <c r="BT614" t="str">
        <f>HYPERLINK("https%3A%2F%2Fwww.webofscience.com%2Fwos%2Fwoscc%2Ffull-record%2FWOS:000402614600012","View Full Record in Web of Science")</f>
        <v>View Full Record in Web of Science</v>
      </c>
    </row>
    <row r="615" spans="1:72" x14ac:dyDescent="0.15">
      <c r="A615" t="s">
        <v>98</v>
      </c>
      <c r="B615" t="s">
        <v>20957</v>
      </c>
      <c r="C615" t="s">
        <v>74</v>
      </c>
      <c r="D615" t="s">
        <v>74</v>
      </c>
      <c r="E615" t="s">
        <v>74</v>
      </c>
      <c r="F615" t="s">
        <v>20958</v>
      </c>
      <c r="G615" t="s">
        <v>74</v>
      </c>
      <c r="H615" t="s">
        <v>74</v>
      </c>
      <c r="I615" t="s">
        <v>20959</v>
      </c>
      <c r="J615" t="s">
        <v>140</v>
      </c>
      <c r="K615" t="s">
        <v>74</v>
      </c>
      <c r="L615" t="s">
        <v>74</v>
      </c>
      <c r="M615" t="s">
        <v>74</v>
      </c>
      <c r="N615" t="s">
        <v>103</v>
      </c>
      <c r="O615" t="s">
        <v>74</v>
      </c>
      <c r="P615" t="s">
        <v>74</v>
      </c>
      <c r="Q615" t="s">
        <v>74</v>
      </c>
      <c r="R615" t="s">
        <v>74</v>
      </c>
      <c r="S615" t="s">
        <v>74</v>
      </c>
      <c r="T615" t="s">
        <v>74</v>
      </c>
      <c r="U615" t="s">
        <v>20960</v>
      </c>
      <c r="V615" t="s">
        <v>20961</v>
      </c>
      <c r="W615" t="s">
        <v>20962</v>
      </c>
      <c r="X615" t="s">
        <v>11184</v>
      </c>
      <c r="Y615" t="s">
        <v>20963</v>
      </c>
      <c r="Z615" t="s">
        <v>20964</v>
      </c>
      <c r="AA615" t="s">
        <v>20965</v>
      </c>
      <c r="AB615" t="s">
        <v>20966</v>
      </c>
      <c r="AC615" t="s">
        <v>74</v>
      </c>
      <c r="AD615" t="s">
        <v>74</v>
      </c>
      <c r="AE615" t="s">
        <v>74</v>
      </c>
      <c r="AF615" t="s">
        <v>74</v>
      </c>
      <c r="AG615">
        <v>39</v>
      </c>
      <c r="AH615">
        <v>32</v>
      </c>
      <c r="AI615">
        <v>32</v>
      </c>
      <c r="AJ615">
        <v>0</v>
      </c>
      <c r="AK615">
        <v>12</v>
      </c>
      <c r="AL615" t="s">
        <v>74</v>
      </c>
      <c r="AM615" t="s">
        <v>74</v>
      </c>
      <c r="AN615" t="s">
        <v>74</v>
      </c>
      <c r="AO615" t="s">
        <v>149</v>
      </c>
      <c r="AP615" t="s">
        <v>74</v>
      </c>
      <c r="AQ615" t="s">
        <v>74</v>
      </c>
      <c r="AR615" t="s">
        <v>74</v>
      </c>
      <c r="AS615" t="s">
        <v>74</v>
      </c>
      <c r="AT615" t="s">
        <v>10215</v>
      </c>
      <c r="AU615">
        <v>2018</v>
      </c>
      <c r="AV615">
        <v>8</v>
      </c>
      <c r="AW615" t="s">
        <v>74</v>
      </c>
      <c r="AX615" t="s">
        <v>74</v>
      </c>
      <c r="AY615" t="s">
        <v>74</v>
      </c>
      <c r="AZ615" t="s">
        <v>74</v>
      </c>
      <c r="BA615" t="s">
        <v>74</v>
      </c>
      <c r="BB615" t="s">
        <v>74</v>
      </c>
      <c r="BC615" t="s">
        <v>74</v>
      </c>
      <c r="BD615">
        <v>14707</v>
      </c>
      <c r="BE615" t="s">
        <v>20967</v>
      </c>
      <c r="BF615" t="str">
        <f>HYPERLINK("http://dx.doi.org/10.1038/s41598-018-32900-6","http://dx.doi.org/10.1038/s41598-018-32900-6")</f>
        <v>http://dx.doi.org/10.1038/s41598-018-32900-6</v>
      </c>
      <c r="BG615" t="s">
        <v>74</v>
      </c>
      <c r="BH615" t="s">
        <v>74</v>
      </c>
      <c r="BI615" t="s">
        <v>74</v>
      </c>
      <c r="BJ615" t="s">
        <v>152</v>
      </c>
      <c r="BK615" t="s">
        <v>117</v>
      </c>
      <c r="BL615" t="s">
        <v>153</v>
      </c>
      <c r="BM615" t="s">
        <v>74</v>
      </c>
      <c r="BN615">
        <v>30279572</v>
      </c>
      <c r="BO615" t="s">
        <v>74</v>
      </c>
      <c r="BP615" t="s">
        <v>74</v>
      </c>
      <c r="BQ615" t="s">
        <v>74</v>
      </c>
      <c r="BR615" t="s">
        <v>96</v>
      </c>
      <c r="BS615" t="s">
        <v>20968</v>
      </c>
      <c r="BT615" t="str">
        <f>HYPERLINK("https%3A%2F%2Fwww.webofscience.com%2Fwos%2Fwoscc%2Ffull-record%2FWOS:000446037100002","View Full Record in Web of Science")</f>
        <v>View Full Record in Web of Science</v>
      </c>
    </row>
    <row r="616" spans="1:72" x14ac:dyDescent="0.15">
      <c r="A616" t="s">
        <v>98</v>
      </c>
      <c r="B616" t="s">
        <v>22573</v>
      </c>
      <c r="C616" t="s">
        <v>74</v>
      </c>
      <c r="D616" t="s">
        <v>74</v>
      </c>
      <c r="E616" t="s">
        <v>74</v>
      </c>
      <c r="F616" t="s">
        <v>22574</v>
      </c>
      <c r="G616" t="s">
        <v>74</v>
      </c>
      <c r="H616" t="s">
        <v>74</v>
      </c>
      <c r="I616" t="s">
        <v>22575</v>
      </c>
      <c r="J616" t="s">
        <v>1073</v>
      </c>
      <c r="K616" t="s">
        <v>74</v>
      </c>
      <c r="L616" t="s">
        <v>74</v>
      </c>
      <c r="M616" t="s">
        <v>74</v>
      </c>
      <c r="N616" t="s">
        <v>103</v>
      </c>
      <c r="O616" t="s">
        <v>74</v>
      </c>
      <c r="P616" t="s">
        <v>74</v>
      </c>
      <c r="Q616" t="s">
        <v>74</v>
      </c>
      <c r="R616" t="s">
        <v>74</v>
      </c>
      <c r="S616" t="s">
        <v>74</v>
      </c>
      <c r="T616" t="s">
        <v>74</v>
      </c>
      <c r="U616" t="s">
        <v>22576</v>
      </c>
      <c r="V616" t="s">
        <v>22577</v>
      </c>
      <c r="W616" t="s">
        <v>22578</v>
      </c>
      <c r="X616" t="s">
        <v>22579</v>
      </c>
      <c r="Y616" t="s">
        <v>19276</v>
      </c>
      <c r="Z616" t="s">
        <v>19277</v>
      </c>
      <c r="AA616" t="s">
        <v>22580</v>
      </c>
      <c r="AB616" t="s">
        <v>22581</v>
      </c>
      <c r="AC616" t="s">
        <v>74</v>
      </c>
      <c r="AD616" t="s">
        <v>74</v>
      </c>
      <c r="AE616" t="s">
        <v>74</v>
      </c>
      <c r="AF616" t="s">
        <v>74</v>
      </c>
      <c r="AG616">
        <v>34</v>
      </c>
      <c r="AH616">
        <v>32</v>
      </c>
      <c r="AI616">
        <v>34</v>
      </c>
      <c r="AJ616">
        <v>1</v>
      </c>
      <c r="AK616">
        <v>8</v>
      </c>
      <c r="AL616" t="s">
        <v>74</v>
      </c>
      <c r="AM616" t="s">
        <v>74</v>
      </c>
      <c r="AN616" t="s">
        <v>74</v>
      </c>
      <c r="AO616" t="s">
        <v>1082</v>
      </c>
      <c r="AP616" t="s">
        <v>74</v>
      </c>
      <c r="AQ616" t="s">
        <v>74</v>
      </c>
      <c r="AR616" t="s">
        <v>74</v>
      </c>
      <c r="AS616" t="s">
        <v>74</v>
      </c>
      <c r="AT616" t="s">
        <v>22582</v>
      </c>
      <c r="AU616">
        <v>2016</v>
      </c>
      <c r="AV616">
        <v>11</v>
      </c>
      <c r="AW616">
        <v>9</v>
      </c>
      <c r="AX616" t="s">
        <v>74</v>
      </c>
      <c r="AY616" t="s">
        <v>74</v>
      </c>
      <c r="AZ616" t="s">
        <v>74</v>
      </c>
      <c r="BA616" t="s">
        <v>74</v>
      </c>
      <c r="BB616" t="s">
        <v>74</v>
      </c>
      <c r="BC616" t="s">
        <v>74</v>
      </c>
      <c r="BD616" t="s">
        <v>22583</v>
      </c>
      <c r="BE616" t="s">
        <v>22584</v>
      </c>
      <c r="BF616" t="str">
        <f>HYPERLINK("http://dx.doi.org/10.1371/journal.pone.0162574","http://dx.doi.org/10.1371/journal.pone.0162574")</f>
        <v>http://dx.doi.org/10.1371/journal.pone.0162574</v>
      </c>
      <c r="BG616" t="s">
        <v>74</v>
      </c>
      <c r="BH616" t="s">
        <v>74</v>
      </c>
      <c r="BI616" t="s">
        <v>74</v>
      </c>
      <c r="BJ616" t="s">
        <v>152</v>
      </c>
      <c r="BK616" t="s">
        <v>117</v>
      </c>
      <c r="BL616" t="s">
        <v>153</v>
      </c>
      <c r="BM616" t="s">
        <v>74</v>
      </c>
      <c r="BN616">
        <v>27611973</v>
      </c>
      <c r="BO616" t="s">
        <v>74</v>
      </c>
      <c r="BP616" t="s">
        <v>74</v>
      </c>
      <c r="BQ616" t="s">
        <v>74</v>
      </c>
      <c r="BR616" t="s">
        <v>96</v>
      </c>
      <c r="BS616" t="s">
        <v>22585</v>
      </c>
      <c r="BT616" t="str">
        <f>HYPERLINK("https%3A%2F%2Fwww.webofscience.com%2Fwos%2Fwoscc%2Ffull-record%2FWOS:000383255900129","View Full Record in Web of Science")</f>
        <v>View Full Record in Web of Science</v>
      </c>
    </row>
    <row r="617" spans="1:72" x14ac:dyDescent="0.15">
      <c r="A617" t="s">
        <v>98</v>
      </c>
      <c r="B617" t="s">
        <v>23446</v>
      </c>
      <c r="C617" t="s">
        <v>74</v>
      </c>
      <c r="D617" t="s">
        <v>74</v>
      </c>
      <c r="E617" t="s">
        <v>74</v>
      </c>
      <c r="F617" t="s">
        <v>23447</v>
      </c>
      <c r="G617" t="s">
        <v>74</v>
      </c>
      <c r="H617" t="s">
        <v>74</v>
      </c>
      <c r="I617" t="s">
        <v>23448</v>
      </c>
      <c r="J617" t="s">
        <v>7944</v>
      </c>
      <c r="K617" t="s">
        <v>74</v>
      </c>
      <c r="L617" t="s">
        <v>74</v>
      </c>
      <c r="M617" t="s">
        <v>74</v>
      </c>
      <c r="N617" t="s">
        <v>103</v>
      </c>
      <c r="O617" t="s">
        <v>74</v>
      </c>
      <c r="P617" t="s">
        <v>74</v>
      </c>
      <c r="Q617" t="s">
        <v>74</v>
      </c>
      <c r="R617" t="s">
        <v>74</v>
      </c>
      <c r="S617" t="s">
        <v>74</v>
      </c>
      <c r="T617" t="s">
        <v>23449</v>
      </c>
      <c r="U617" t="s">
        <v>23450</v>
      </c>
      <c r="V617" t="s">
        <v>23451</v>
      </c>
      <c r="W617" t="s">
        <v>23452</v>
      </c>
      <c r="X617" t="s">
        <v>23453</v>
      </c>
      <c r="Y617" t="s">
        <v>23454</v>
      </c>
      <c r="Z617" t="s">
        <v>20376</v>
      </c>
      <c r="AA617" t="s">
        <v>23455</v>
      </c>
      <c r="AB617" t="s">
        <v>23456</v>
      </c>
      <c r="AC617" t="s">
        <v>74</v>
      </c>
      <c r="AD617" t="s">
        <v>74</v>
      </c>
      <c r="AE617" t="s">
        <v>74</v>
      </c>
      <c r="AF617" t="s">
        <v>74</v>
      </c>
      <c r="AG617">
        <v>74</v>
      </c>
      <c r="AH617">
        <v>32</v>
      </c>
      <c r="AI617">
        <v>34</v>
      </c>
      <c r="AJ617">
        <v>1</v>
      </c>
      <c r="AK617">
        <v>13</v>
      </c>
      <c r="AL617" t="s">
        <v>74</v>
      </c>
      <c r="AM617" t="s">
        <v>74</v>
      </c>
      <c r="AN617" t="s">
        <v>74</v>
      </c>
      <c r="AO617" t="s">
        <v>7954</v>
      </c>
      <c r="AP617" t="s">
        <v>7955</v>
      </c>
      <c r="AQ617" t="s">
        <v>74</v>
      </c>
      <c r="AR617" t="s">
        <v>74</v>
      </c>
      <c r="AS617" t="s">
        <v>74</v>
      </c>
      <c r="AT617" t="s">
        <v>74</v>
      </c>
      <c r="AU617">
        <v>2017</v>
      </c>
      <c r="AV617">
        <v>28</v>
      </c>
      <c r="AW617">
        <v>3</v>
      </c>
      <c r="AX617" t="s">
        <v>74</v>
      </c>
      <c r="AY617" t="s">
        <v>74</v>
      </c>
      <c r="AZ617" t="s">
        <v>74</v>
      </c>
      <c r="BA617" t="s">
        <v>74</v>
      </c>
      <c r="BB617">
        <v>272</v>
      </c>
      <c r="BC617">
        <v>280</v>
      </c>
      <c r="BD617" t="s">
        <v>74</v>
      </c>
      <c r="BE617" t="s">
        <v>23457</v>
      </c>
      <c r="BF617" t="str">
        <f>HYPERLINK("http://dx.doi.org/10.1080/09537104.2016.1218455","http://dx.doi.org/10.1080/09537104.2016.1218455")</f>
        <v>http://dx.doi.org/10.1080/09537104.2016.1218455</v>
      </c>
      <c r="BG617" t="s">
        <v>74</v>
      </c>
      <c r="BH617" t="s">
        <v>74</v>
      </c>
      <c r="BI617" t="s">
        <v>74</v>
      </c>
      <c r="BJ617" t="s">
        <v>7957</v>
      </c>
      <c r="BK617" t="s">
        <v>117</v>
      </c>
      <c r="BL617" t="s">
        <v>7957</v>
      </c>
      <c r="BM617" t="s">
        <v>74</v>
      </c>
      <c r="BN617">
        <v>27681879</v>
      </c>
      <c r="BO617" t="s">
        <v>74</v>
      </c>
      <c r="BP617" t="s">
        <v>74</v>
      </c>
      <c r="BQ617" t="s">
        <v>74</v>
      </c>
      <c r="BR617" t="s">
        <v>96</v>
      </c>
      <c r="BS617" t="s">
        <v>23458</v>
      </c>
      <c r="BT617" t="str">
        <f>HYPERLINK("https%3A%2F%2Fwww.webofscience.com%2Fwos%2Fwoscc%2Ffull-record%2FWOS:000400794900010","View Full Record in Web of Science")</f>
        <v>View Full Record in Web of Science</v>
      </c>
    </row>
    <row r="618" spans="1:72" x14ac:dyDescent="0.15">
      <c r="A618" t="s">
        <v>98</v>
      </c>
      <c r="B618" t="s">
        <v>25393</v>
      </c>
      <c r="C618" t="s">
        <v>74</v>
      </c>
      <c r="D618" t="s">
        <v>74</v>
      </c>
      <c r="E618" t="s">
        <v>74</v>
      </c>
      <c r="F618" t="s">
        <v>25393</v>
      </c>
      <c r="G618" t="s">
        <v>74</v>
      </c>
      <c r="H618" t="s">
        <v>74</v>
      </c>
      <c r="I618" t="s">
        <v>25394</v>
      </c>
      <c r="J618" t="s">
        <v>1346</v>
      </c>
      <c r="K618" t="s">
        <v>74</v>
      </c>
      <c r="L618" t="s">
        <v>74</v>
      </c>
      <c r="M618" t="s">
        <v>74</v>
      </c>
      <c r="N618" t="s">
        <v>103</v>
      </c>
      <c r="O618" t="s">
        <v>74</v>
      </c>
      <c r="P618" t="s">
        <v>74</v>
      </c>
      <c r="Q618" t="s">
        <v>74</v>
      </c>
      <c r="R618" t="s">
        <v>74</v>
      </c>
      <c r="S618" t="s">
        <v>74</v>
      </c>
      <c r="T618" t="s">
        <v>74</v>
      </c>
      <c r="U618" t="s">
        <v>25395</v>
      </c>
      <c r="V618" t="s">
        <v>25396</v>
      </c>
      <c r="W618" t="s">
        <v>25397</v>
      </c>
      <c r="X618" t="s">
        <v>25398</v>
      </c>
      <c r="Y618" t="s">
        <v>74</v>
      </c>
      <c r="Z618" t="s">
        <v>74</v>
      </c>
      <c r="AA618" t="s">
        <v>74</v>
      </c>
      <c r="AB618" t="s">
        <v>74</v>
      </c>
      <c r="AC618" t="s">
        <v>74</v>
      </c>
      <c r="AD618" t="s">
        <v>74</v>
      </c>
      <c r="AE618" t="s">
        <v>74</v>
      </c>
      <c r="AF618" t="s">
        <v>74</v>
      </c>
      <c r="AG618">
        <v>39</v>
      </c>
      <c r="AH618">
        <v>32</v>
      </c>
      <c r="AI618">
        <v>32</v>
      </c>
      <c r="AJ618">
        <v>0</v>
      </c>
      <c r="AK618">
        <v>0</v>
      </c>
      <c r="AL618" t="s">
        <v>74</v>
      </c>
      <c r="AM618" t="s">
        <v>74</v>
      </c>
      <c r="AN618" t="s">
        <v>74</v>
      </c>
      <c r="AO618" t="s">
        <v>1355</v>
      </c>
      <c r="AP618" t="s">
        <v>74</v>
      </c>
      <c r="AQ618" t="s">
        <v>74</v>
      </c>
      <c r="AR618" t="s">
        <v>74</v>
      </c>
      <c r="AS618" t="s">
        <v>74</v>
      </c>
      <c r="AT618" t="s">
        <v>614</v>
      </c>
      <c r="AU618">
        <v>1994</v>
      </c>
      <c r="AV618">
        <v>160</v>
      </c>
      <c r="AW618">
        <v>1</v>
      </c>
      <c r="AX618" t="s">
        <v>74</v>
      </c>
      <c r="AY618" t="s">
        <v>74</v>
      </c>
      <c r="AZ618" t="s">
        <v>74</v>
      </c>
      <c r="BA618" t="s">
        <v>74</v>
      </c>
      <c r="BB618">
        <v>17</v>
      </c>
      <c r="BC618">
        <v>28</v>
      </c>
      <c r="BD618" t="s">
        <v>74</v>
      </c>
      <c r="BE618" t="s">
        <v>25399</v>
      </c>
      <c r="BF618" t="str">
        <f>HYPERLINK("http://dx.doi.org/10.1002/jcp.1041600104","http://dx.doi.org/10.1002/jcp.1041600104")</f>
        <v>http://dx.doi.org/10.1002/jcp.1041600104</v>
      </c>
      <c r="BG618" t="s">
        <v>74</v>
      </c>
      <c r="BH618" t="s">
        <v>74</v>
      </c>
      <c r="BI618" t="s">
        <v>74</v>
      </c>
      <c r="BJ618" t="s">
        <v>1359</v>
      </c>
      <c r="BK618" t="s">
        <v>117</v>
      </c>
      <c r="BL618" t="s">
        <v>1359</v>
      </c>
      <c r="BM618" t="s">
        <v>74</v>
      </c>
      <c r="BN618">
        <v>8021295</v>
      </c>
      <c r="BO618" t="s">
        <v>74</v>
      </c>
      <c r="BP618" t="s">
        <v>74</v>
      </c>
      <c r="BQ618" t="s">
        <v>74</v>
      </c>
      <c r="BR618" t="s">
        <v>96</v>
      </c>
      <c r="BS618" t="s">
        <v>25400</v>
      </c>
      <c r="BT618" t="str">
        <f>HYPERLINK("https%3A%2F%2Fwww.webofscience.com%2Fwos%2Fwoscc%2Ffull-record%2FWOS:A1994NU58600003","View Full Record in Web of Science")</f>
        <v>View Full Record in Web of Science</v>
      </c>
    </row>
    <row r="619" spans="1:72" x14ac:dyDescent="0.15">
      <c r="A619" t="s">
        <v>98</v>
      </c>
      <c r="B619" t="s">
        <v>26478</v>
      </c>
      <c r="C619" t="s">
        <v>74</v>
      </c>
      <c r="D619" t="s">
        <v>74</v>
      </c>
      <c r="E619" t="s">
        <v>74</v>
      </c>
      <c r="F619" t="s">
        <v>26478</v>
      </c>
      <c r="G619" t="s">
        <v>74</v>
      </c>
      <c r="H619" t="s">
        <v>74</v>
      </c>
      <c r="I619" t="s">
        <v>26479</v>
      </c>
      <c r="J619" t="s">
        <v>24800</v>
      </c>
      <c r="K619" t="s">
        <v>74</v>
      </c>
      <c r="L619" t="s">
        <v>74</v>
      </c>
      <c r="M619" t="s">
        <v>74</v>
      </c>
      <c r="N619" t="s">
        <v>103</v>
      </c>
      <c r="O619" t="s">
        <v>74</v>
      </c>
      <c r="P619" t="s">
        <v>74</v>
      </c>
      <c r="Q619" t="s">
        <v>74</v>
      </c>
      <c r="R619" t="s">
        <v>74</v>
      </c>
      <c r="S619" t="s">
        <v>74</v>
      </c>
      <c r="T619" t="s">
        <v>26480</v>
      </c>
      <c r="U619" t="s">
        <v>26481</v>
      </c>
      <c r="V619" t="s">
        <v>26482</v>
      </c>
      <c r="W619" t="s">
        <v>26483</v>
      </c>
      <c r="X619" t="s">
        <v>26484</v>
      </c>
      <c r="Y619" t="s">
        <v>26485</v>
      </c>
      <c r="Z619" t="s">
        <v>74</v>
      </c>
      <c r="AA619" t="s">
        <v>74</v>
      </c>
      <c r="AB619" t="s">
        <v>74</v>
      </c>
      <c r="AC619" t="s">
        <v>74</v>
      </c>
      <c r="AD619" t="s">
        <v>74</v>
      </c>
      <c r="AE619" t="s">
        <v>74</v>
      </c>
      <c r="AF619" t="s">
        <v>74</v>
      </c>
      <c r="AG619">
        <v>21</v>
      </c>
      <c r="AH619">
        <v>32</v>
      </c>
      <c r="AI619">
        <v>34</v>
      </c>
      <c r="AJ619">
        <v>0</v>
      </c>
      <c r="AK619">
        <v>1</v>
      </c>
      <c r="AL619" t="s">
        <v>74</v>
      </c>
      <c r="AM619" t="s">
        <v>74</v>
      </c>
      <c r="AN619" t="s">
        <v>74</v>
      </c>
      <c r="AO619" t="s">
        <v>24810</v>
      </c>
      <c r="AP619" t="s">
        <v>74</v>
      </c>
      <c r="AQ619" t="s">
        <v>74</v>
      </c>
      <c r="AR619" t="s">
        <v>74</v>
      </c>
      <c r="AS619" t="s">
        <v>74</v>
      </c>
      <c r="AT619" t="s">
        <v>132</v>
      </c>
      <c r="AU619">
        <v>1998</v>
      </c>
      <c r="AV619">
        <v>22</v>
      </c>
      <c r="AW619">
        <v>4</v>
      </c>
      <c r="AX619" t="s">
        <v>74</v>
      </c>
      <c r="AY619" t="s">
        <v>74</v>
      </c>
      <c r="AZ619" t="s">
        <v>74</v>
      </c>
      <c r="BA619" t="s">
        <v>74</v>
      </c>
      <c r="BB619">
        <v>331</v>
      </c>
      <c r="BC619">
        <v>339</v>
      </c>
      <c r="BD619" t="s">
        <v>74</v>
      </c>
      <c r="BE619" t="s">
        <v>26486</v>
      </c>
      <c r="BF619" t="str">
        <f>HYPERLINK("http://dx.doi.org/10.1016/S8756-3282(97)00286-X","http://dx.doi.org/10.1016/S8756-3282(97)00286-X")</f>
        <v>http://dx.doi.org/10.1016/S8756-3282(97)00286-X</v>
      </c>
      <c r="BG619" t="s">
        <v>74</v>
      </c>
      <c r="BH619" t="s">
        <v>74</v>
      </c>
      <c r="BI619" t="s">
        <v>74</v>
      </c>
      <c r="BJ619" t="s">
        <v>3599</v>
      </c>
      <c r="BK619" t="s">
        <v>117</v>
      </c>
      <c r="BL619" t="s">
        <v>3599</v>
      </c>
      <c r="BM619" t="s">
        <v>74</v>
      </c>
      <c r="BN619">
        <v>9556132</v>
      </c>
      <c r="BO619" t="s">
        <v>74</v>
      </c>
      <c r="BP619" t="s">
        <v>74</v>
      </c>
      <c r="BQ619" t="s">
        <v>74</v>
      </c>
      <c r="BR619" t="s">
        <v>96</v>
      </c>
      <c r="BS619" t="s">
        <v>26487</v>
      </c>
      <c r="BT619" t="str">
        <f>HYPERLINK("https%3A%2F%2Fwww.webofscience.com%2Fwos%2Fwoscc%2Ffull-record%2FWOS:000072854800006","View Full Record in Web of Science")</f>
        <v>View Full Record in Web of Science</v>
      </c>
    </row>
    <row r="620" spans="1:72" x14ac:dyDescent="0.15">
      <c r="A620" t="s">
        <v>98</v>
      </c>
      <c r="B620" t="s">
        <v>26841</v>
      </c>
      <c r="C620" t="s">
        <v>74</v>
      </c>
      <c r="D620" t="s">
        <v>74</v>
      </c>
      <c r="E620" t="s">
        <v>74</v>
      </c>
      <c r="F620" t="s">
        <v>26842</v>
      </c>
      <c r="G620" t="s">
        <v>74</v>
      </c>
      <c r="H620" t="s">
        <v>74</v>
      </c>
      <c r="I620" t="s">
        <v>26843</v>
      </c>
      <c r="J620" t="s">
        <v>836</v>
      </c>
      <c r="K620" t="s">
        <v>74</v>
      </c>
      <c r="L620" t="s">
        <v>74</v>
      </c>
      <c r="M620" t="s">
        <v>74</v>
      </c>
      <c r="N620" t="s">
        <v>103</v>
      </c>
      <c r="O620" t="s">
        <v>74</v>
      </c>
      <c r="P620" t="s">
        <v>74</v>
      </c>
      <c r="Q620" t="s">
        <v>74</v>
      </c>
      <c r="R620" t="s">
        <v>74</v>
      </c>
      <c r="S620" t="s">
        <v>74</v>
      </c>
      <c r="T620" t="s">
        <v>26844</v>
      </c>
      <c r="U620" t="s">
        <v>26845</v>
      </c>
      <c r="V620" t="s">
        <v>26846</v>
      </c>
      <c r="W620" t="s">
        <v>26847</v>
      </c>
      <c r="X620" t="s">
        <v>26848</v>
      </c>
      <c r="Y620" t="s">
        <v>26849</v>
      </c>
      <c r="Z620" t="s">
        <v>26850</v>
      </c>
      <c r="AA620" t="s">
        <v>74</v>
      </c>
      <c r="AB620" t="s">
        <v>74</v>
      </c>
      <c r="AC620" t="s">
        <v>74</v>
      </c>
      <c r="AD620" t="s">
        <v>74</v>
      </c>
      <c r="AE620" t="s">
        <v>74</v>
      </c>
      <c r="AF620" t="s">
        <v>74</v>
      </c>
      <c r="AG620">
        <v>53</v>
      </c>
      <c r="AH620">
        <v>32</v>
      </c>
      <c r="AI620">
        <v>32</v>
      </c>
      <c r="AJ620">
        <v>3</v>
      </c>
      <c r="AK620">
        <v>33</v>
      </c>
      <c r="AL620" t="s">
        <v>74</v>
      </c>
      <c r="AM620" t="s">
        <v>74</v>
      </c>
      <c r="AN620" t="s">
        <v>74</v>
      </c>
      <c r="AO620" t="s">
        <v>74</v>
      </c>
      <c r="AP620" t="s">
        <v>846</v>
      </c>
      <c r="AQ620" t="s">
        <v>74</v>
      </c>
      <c r="AR620" t="s">
        <v>74</v>
      </c>
      <c r="AS620" t="s">
        <v>74</v>
      </c>
      <c r="AT620" t="s">
        <v>3712</v>
      </c>
      <c r="AU620">
        <v>2017</v>
      </c>
      <c r="AV620">
        <v>8</v>
      </c>
      <c r="AW620">
        <v>7</v>
      </c>
      <c r="AX620" t="s">
        <v>74</v>
      </c>
      <c r="AY620" t="s">
        <v>74</v>
      </c>
      <c r="AZ620" t="s">
        <v>74</v>
      </c>
      <c r="BA620" t="s">
        <v>74</v>
      </c>
      <c r="BB620">
        <v>11302</v>
      </c>
      <c r="BC620">
        <v>11315</v>
      </c>
      <c r="BD620" t="s">
        <v>74</v>
      </c>
      <c r="BE620" t="s">
        <v>26851</v>
      </c>
      <c r="BF620" t="str">
        <f>HYPERLINK("http://dx.doi.org/10.18632/oncotarget.14513","http://dx.doi.org/10.18632/oncotarget.14513")</f>
        <v>http://dx.doi.org/10.18632/oncotarget.14513</v>
      </c>
      <c r="BG620" t="s">
        <v>74</v>
      </c>
      <c r="BH620" t="s">
        <v>74</v>
      </c>
      <c r="BI620" t="s">
        <v>74</v>
      </c>
      <c r="BJ620" t="s">
        <v>848</v>
      </c>
      <c r="BK620" t="s">
        <v>117</v>
      </c>
      <c r="BL620" t="s">
        <v>848</v>
      </c>
      <c r="BM620" t="s">
        <v>74</v>
      </c>
      <c r="BN620">
        <v>28076321</v>
      </c>
      <c r="BO620" t="s">
        <v>74</v>
      </c>
      <c r="BP620" t="s">
        <v>74</v>
      </c>
      <c r="BQ620" t="s">
        <v>74</v>
      </c>
      <c r="BR620" t="s">
        <v>96</v>
      </c>
      <c r="BS620" t="s">
        <v>26852</v>
      </c>
      <c r="BT620" t="str">
        <f>HYPERLINK("https%3A%2F%2Fwww.webofscience.com%2Fwos%2Fwoscc%2Ffull-record%2FWOS:000394187400055","View Full Record in Web of Science")</f>
        <v>View Full Record in Web of Science</v>
      </c>
    </row>
    <row r="621" spans="1:72" x14ac:dyDescent="0.15">
      <c r="A621" t="s">
        <v>98</v>
      </c>
      <c r="B621" t="s">
        <v>30340</v>
      </c>
      <c r="C621" t="s">
        <v>74</v>
      </c>
      <c r="D621" t="s">
        <v>74</v>
      </c>
      <c r="E621" t="s">
        <v>74</v>
      </c>
      <c r="F621" t="s">
        <v>30341</v>
      </c>
      <c r="G621" t="s">
        <v>74</v>
      </c>
      <c r="H621" t="s">
        <v>74</v>
      </c>
      <c r="I621" t="s">
        <v>30342</v>
      </c>
      <c r="J621" t="s">
        <v>5523</v>
      </c>
      <c r="K621" t="s">
        <v>74</v>
      </c>
      <c r="L621" t="s">
        <v>74</v>
      </c>
      <c r="M621" t="s">
        <v>74</v>
      </c>
      <c r="N621" t="s">
        <v>103</v>
      </c>
      <c r="O621" t="s">
        <v>74</v>
      </c>
      <c r="P621" t="s">
        <v>74</v>
      </c>
      <c r="Q621" t="s">
        <v>74</v>
      </c>
      <c r="R621" t="s">
        <v>74</v>
      </c>
      <c r="S621" t="s">
        <v>74</v>
      </c>
      <c r="T621" t="s">
        <v>30343</v>
      </c>
      <c r="U621" t="s">
        <v>30344</v>
      </c>
      <c r="V621" t="s">
        <v>30345</v>
      </c>
      <c r="W621" t="s">
        <v>30346</v>
      </c>
      <c r="X621" t="s">
        <v>2303</v>
      </c>
      <c r="Y621" t="s">
        <v>30347</v>
      </c>
      <c r="Z621" t="s">
        <v>30348</v>
      </c>
      <c r="AA621" t="s">
        <v>30349</v>
      </c>
      <c r="AB621" t="s">
        <v>30350</v>
      </c>
      <c r="AC621" t="s">
        <v>74</v>
      </c>
      <c r="AD621" t="s">
        <v>74</v>
      </c>
      <c r="AE621" t="s">
        <v>74</v>
      </c>
      <c r="AF621" t="s">
        <v>74</v>
      </c>
      <c r="AG621">
        <v>57</v>
      </c>
      <c r="AH621">
        <v>32</v>
      </c>
      <c r="AI621">
        <v>33</v>
      </c>
      <c r="AJ621">
        <v>7</v>
      </c>
      <c r="AK621">
        <v>49</v>
      </c>
      <c r="AL621" t="s">
        <v>74</v>
      </c>
      <c r="AM621" t="s">
        <v>74</v>
      </c>
      <c r="AN621" t="s">
        <v>74</v>
      </c>
      <c r="AO621" t="s">
        <v>5531</v>
      </c>
      <c r="AP621" t="s">
        <v>5532</v>
      </c>
      <c r="AQ621" t="s">
        <v>74</v>
      </c>
      <c r="AR621" t="s">
        <v>74</v>
      </c>
      <c r="AS621" t="s">
        <v>74</v>
      </c>
      <c r="AT621" t="s">
        <v>1116</v>
      </c>
      <c r="AU621">
        <v>2020</v>
      </c>
      <c r="AV621">
        <v>12</v>
      </c>
      <c r="AW621">
        <v>2</v>
      </c>
      <c r="AX621" t="s">
        <v>74</v>
      </c>
      <c r="AY621" t="s">
        <v>74</v>
      </c>
      <c r="AZ621" t="s">
        <v>74</v>
      </c>
      <c r="BA621" t="s">
        <v>74</v>
      </c>
      <c r="BB621">
        <v>2095</v>
      </c>
      <c r="BC621">
        <v>2106</v>
      </c>
      <c r="BD621" t="s">
        <v>74</v>
      </c>
      <c r="BE621" t="s">
        <v>30351</v>
      </c>
      <c r="BF621" t="str">
        <f>HYPERLINK("http://dx.doi.org/10.1021/acsami.9b19079","http://dx.doi.org/10.1021/acsami.9b19079")</f>
        <v>http://dx.doi.org/10.1021/acsami.9b19079</v>
      </c>
      <c r="BG621" t="s">
        <v>74</v>
      </c>
      <c r="BH621" t="s">
        <v>74</v>
      </c>
      <c r="BI621" t="s">
        <v>74</v>
      </c>
      <c r="BJ621" t="s">
        <v>5534</v>
      </c>
      <c r="BK621" t="s">
        <v>117</v>
      </c>
      <c r="BL621" t="s">
        <v>5535</v>
      </c>
      <c r="BM621" t="s">
        <v>74</v>
      </c>
      <c r="BN621">
        <v>31845577</v>
      </c>
      <c r="BO621" t="s">
        <v>74</v>
      </c>
      <c r="BP621" t="s">
        <v>74</v>
      </c>
      <c r="BQ621" t="s">
        <v>74</v>
      </c>
      <c r="BR621" t="s">
        <v>96</v>
      </c>
      <c r="BS621" t="s">
        <v>30352</v>
      </c>
      <c r="BT621" t="str">
        <f>HYPERLINK("https%3A%2F%2Fwww.webofscience.com%2Fwos%2Fwoscc%2Ffull-record%2FWOS:000508464500013","View Full Record in Web of Science")</f>
        <v>View Full Record in Web of Science</v>
      </c>
    </row>
    <row r="622" spans="1:72" x14ac:dyDescent="0.15">
      <c r="A622" t="s">
        <v>98</v>
      </c>
      <c r="B622" t="s">
        <v>6624</v>
      </c>
      <c r="C622" t="s">
        <v>74</v>
      </c>
      <c r="D622" t="s">
        <v>74</v>
      </c>
      <c r="E622" t="s">
        <v>74</v>
      </c>
      <c r="F622" t="s">
        <v>6625</v>
      </c>
      <c r="G622" t="s">
        <v>74</v>
      </c>
      <c r="H622" t="s">
        <v>74</v>
      </c>
      <c r="I622" t="s">
        <v>6626</v>
      </c>
      <c r="J622" t="s">
        <v>6627</v>
      </c>
      <c r="K622" t="s">
        <v>74</v>
      </c>
      <c r="L622" t="s">
        <v>74</v>
      </c>
      <c r="M622" t="s">
        <v>74</v>
      </c>
      <c r="N622" t="s">
        <v>103</v>
      </c>
      <c r="O622" t="s">
        <v>74</v>
      </c>
      <c r="P622" t="s">
        <v>74</v>
      </c>
      <c r="Q622" t="s">
        <v>74</v>
      </c>
      <c r="R622" t="s">
        <v>74</v>
      </c>
      <c r="S622" t="s">
        <v>74</v>
      </c>
      <c r="T622" t="s">
        <v>6628</v>
      </c>
      <c r="U622" t="s">
        <v>6629</v>
      </c>
      <c r="V622" t="s">
        <v>6630</v>
      </c>
      <c r="W622" t="s">
        <v>6631</v>
      </c>
      <c r="X622" t="s">
        <v>6632</v>
      </c>
      <c r="Y622" t="s">
        <v>6633</v>
      </c>
      <c r="Z622" t="s">
        <v>6634</v>
      </c>
      <c r="AA622" t="s">
        <v>6635</v>
      </c>
      <c r="AB622" t="s">
        <v>6636</v>
      </c>
      <c r="AC622" t="s">
        <v>74</v>
      </c>
      <c r="AD622" t="s">
        <v>74</v>
      </c>
      <c r="AE622" t="s">
        <v>74</v>
      </c>
      <c r="AF622" t="s">
        <v>74</v>
      </c>
      <c r="AG622">
        <v>70</v>
      </c>
      <c r="AH622">
        <v>31</v>
      </c>
      <c r="AI622">
        <v>33</v>
      </c>
      <c r="AJ622">
        <v>4</v>
      </c>
      <c r="AK622">
        <v>38</v>
      </c>
      <c r="AL622" t="s">
        <v>74</v>
      </c>
      <c r="AM622" t="s">
        <v>74</v>
      </c>
      <c r="AN622" t="s">
        <v>74</v>
      </c>
      <c r="AO622" t="s">
        <v>6637</v>
      </c>
      <c r="AP622" t="s">
        <v>6638</v>
      </c>
      <c r="AQ622" t="s">
        <v>74</v>
      </c>
      <c r="AR622" t="s">
        <v>74</v>
      </c>
      <c r="AS622" t="s">
        <v>74</v>
      </c>
      <c r="AT622" t="s">
        <v>614</v>
      </c>
      <c r="AU622">
        <v>2015</v>
      </c>
      <c r="AV622">
        <v>17</v>
      </c>
      <c r="AW622">
        <v>7</v>
      </c>
      <c r="AX622" t="s">
        <v>74</v>
      </c>
      <c r="AY622" t="s">
        <v>74</v>
      </c>
      <c r="AZ622" t="s">
        <v>447</v>
      </c>
      <c r="BA622" t="s">
        <v>74</v>
      </c>
      <c r="BB622">
        <v>531</v>
      </c>
      <c r="BC622">
        <v>537</v>
      </c>
      <c r="BD622" t="s">
        <v>74</v>
      </c>
      <c r="BE622" t="s">
        <v>6639</v>
      </c>
      <c r="BF622" t="str">
        <f>HYPERLINK("http://dx.doi.org/10.1016/j.micinf.2015.03.015","http://dx.doi.org/10.1016/j.micinf.2015.03.015")</f>
        <v>http://dx.doi.org/10.1016/j.micinf.2015.03.015</v>
      </c>
      <c r="BG622" t="s">
        <v>74</v>
      </c>
      <c r="BH622" t="s">
        <v>74</v>
      </c>
      <c r="BI622" t="s">
        <v>74</v>
      </c>
      <c r="BJ622" t="s">
        <v>1410</v>
      </c>
      <c r="BK622" t="s">
        <v>117</v>
      </c>
      <c r="BL622" t="s">
        <v>1410</v>
      </c>
      <c r="BM622" t="s">
        <v>74</v>
      </c>
      <c r="BN622">
        <v>25862975</v>
      </c>
      <c r="BO622" t="s">
        <v>74</v>
      </c>
      <c r="BP622" t="s">
        <v>74</v>
      </c>
      <c r="BQ622" t="s">
        <v>74</v>
      </c>
      <c r="BR622" t="s">
        <v>96</v>
      </c>
      <c r="BS622" t="s">
        <v>6640</v>
      </c>
      <c r="BT622" t="str">
        <f>HYPERLINK("https%3A%2F%2Fwww.webofscience.com%2Fwos%2Fwoscc%2Ffull-record%2FWOS:000357752100008","View Full Record in Web of Science")</f>
        <v>View Full Record in Web of Science</v>
      </c>
    </row>
    <row r="623" spans="1:72" x14ac:dyDescent="0.15">
      <c r="A623" t="s">
        <v>98</v>
      </c>
      <c r="B623" t="s">
        <v>12113</v>
      </c>
      <c r="C623" t="s">
        <v>74</v>
      </c>
      <c r="D623" t="s">
        <v>74</v>
      </c>
      <c r="E623" t="s">
        <v>74</v>
      </c>
      <c r="F623" t="s">
        <v>12114</v>
      </c>
      <c r="G623" t="s">
        <v>74</v>
      </c>
      <c r="H623" t="s">
        <v>74</v>
      </c>
      <c r="I623" t="s">
        <v>12115</v>
      </c>
      <c r="J623" t="s">
        <v>1123</v>
      </c>
      <c r="K623" t="s">
        <v>74</v>
      </c>
      <c r="L623" t="s">
        <v>74</v>
      </c>
      <c r="M623" t="s">
        <v>74</v>
      </c>
      <c r="N623" t="s">
        <v>103</v>
      </c>
      <c r="O623" t="s">
        <v>74</v>
      </c>
      <c r="P623" t="s">
        <v>74</v>
      </c>
      <c r="Q623" t="s">
        <v>74</v>
      </c>
      <c r="R623" t="s">
        <v>74</v>
      </c>
      <c r="S623" t="s">
        <v>74</v>
      </c>
      <c r="T623" t="s">
        <v>12116</v>
      </c>
      <c r="U623" t="s">
        <v>12117</v>
      </c>
      <c r="V623" t="s">
        <v>12118</v>
      </c>
      <c r="W623" t="s">
        <v>12119</v>
      </c>
      <c r="X623" t="s">
        <v>12120</v>
      </c>
      <c r="Y623" t="s">
        <v>12121</v>
      </c>
      <c r="Z623" t="s">
        <v>12122</v>
      </c>
      <c r="AA623" t="s">
        <v>74</v>
      </c>
      <c r="AB623" t="s">
        <v>12123</v>
      </c>
      <c r="AC623" t="s">
        <v>74</v>
      </c>
      <c r="AD623" t="s">
        <v>74</v>
      </c>
      <c r="AE623" t="s">
        <v>74</v>
      </c>
      <c r="AF623" t="s">
        <v>74</v>
      </c>
      <c r="AG623">
        <v>26</v>
      </c>
      <c r="AH623">
        <v>31</v>
      </c>
      <c r="AI623">
        <v>30</v>
      </c>
      <c r="AJ623">
        <v>45</v>
      </c>
      <c r="AK623">
        <v>203</v>
      </c>
      <c r="AL623" t="s">
        <v>74</v>
      </c>
      <c r="AM623" t="s">
        <v>74</v>
      </c>
      <c r="AN623" t="s">
        <v>74</v>
      </c>
      <c r="AO623" t="s">
        <v>1132</v>
      </c>
      <c r="AP623" t="s">
        <v>1133</v>
      </c>
      <c r="AQ623" t="s">
        <v>74</v>
      </c>
      <c r="AR623" t="s">
        <v>74</v>
      </c>
      <c r="AS623" t="s">
        <v>74</v>
      </c>
      <c r="AT623" t="s">
        <v>5213</v>
      </c>
      <c r="AU623">
        <v>2020</v>
      </c>
      <c r="AV623">
        <v>166</v>
      </c>
      <c r="AW623" t="s">
        <v>74</v>
      </c>
      <c r="AX623" t="s">
        <v>74</v>
      </c>
      <c r="AY623" t="s">
        <v>74</v>
      </c>
      <c r="AZ623" t="s">
        <v>74</v>
      </c>
      <c r="BA623" t="s">
        <v>74</v>
      </c>
      <c r="BB623" t="s">
        <v>74</v>
      </c>
      <c r="BC623" t="s">
        <v>74</v>
      </c>
      <c r="BD623">
        <v>112452</v>
      </c>
      <c r="BE623" t="s">
        <v>12124</v>
      </c>
      <c r="BF623" t="str">
        <f>HYPERLINK("http://dx.doi.org/10.1016/j.bios.2020.112452","http://dx.doi.org/10.1016/j.bios.2020.112452")</f>
        <v>http://dx.doi.org/10.1016/j.bios.2020.112452</v>
      </c>
      <c r="BG623" t="s">
        <v>74</v>
      </c>
      <c r="BH623" t="s">
        <v>74</v>
      </c>
      <c r="BI623" t="s">
        <v>74</v>
      </c>
      <c r="BJ623" t="s">
        <v>1137</v>
      </c>
      <c r="BK623" t="s">
        <v>117</v>
      </c>
      <c r="BL623" t="s">
        <v>1138</v>
      </c>
      <c r="BM623" t="s">
        <v>74</v>
      </c>
      <c r="BN623">
        <v>32738648</v>
      </c>
      <c r="BO623" t="s">
        <v>74</v>
      </c>
      <c r="BP623" t="s">
        <v>74</v>
      </c>
      <c r="BQ623" t="s">
        <v>74</v>
      </c>
      <c r="BR623" t="s">
        <v>96</v>
      </c>
      <c r="BS623" t="s">
        <v>12125</v>
      </c>
      <c r="BT623" t="str">
        <f>HYPERLINK("https%3A%2F%2Fwww.webofscience.com%2Fwos%2Fwoscc%2Ffull-record%2FWOS:000566449100006","View Full Record in Web of Science")</f>
        <v>View Full Record in Web of Science</v>
      </c>
    </row>
    <row r="624" spans="1:72" x14ac:dyDescent="0.15">
      <c r="A624" t="s">
        <v>98</v>
      </c>
      <c r="B624" t="s">
        <v>15131</v>
      </c>
      <c r="C624" t="s">
        <v>74</v>
      </c>
      <c r="D624" t="s">
        <v>74</v>
      </c>
      <c r="E624" t="s">
        <v>74</v>
      </c>
      <c r="F624" t="s">
        <v>15132</v>
      </c>
      <c r="G624" t="s">
        <v>74</v>
      </c>
      <c r="H624" t="s">
        <v>74</v>
      </c>
      <c r="I624" t="s">
        <v>15133</v>
      </c>
      <c r="J624" t="s">
        <v>7242</v>
      </c>
      <c r="K624" t="s">
        <v>74</v>
      </c>
      <c r="L624" t="s">
        <v>74</v>
      </c>
      <c r="M624" t="s">
        <v>74</v>
      </c>
      <c r="N624" t="s">
        <v>103</v>
      </c>
      <c r="O624" t="s">
        <v>74</v>
      </c>
      <c r="P624" t="s">
        <v>74</v>
      </c>
      <c r="Q624" t="s">
        <v>74</v>
      </c>
      <c r="R624" t="s">
        <v>74</v>
      </c>
      <c r="S624" t="s">
        <v>74</v>
      </c>
      <c r="T624" t="s">
        <v>15134</v>
      </c>
      <c r="U624" t="s">
        <v>15135</v>
      </c>
      <c r="V624" t="s">
        <v>15136</v>
      </c>
      <c r="W624" t="s">
        <v>15137</v>
      </c>
      <c r="X624" t="s">
        <v>15138</v>
      </c>
      <c r="Y624" t="s">
        <v>15139</v>
      </c>
      <c r="Z624" t="s">
        <v>15140</v>
      </c>
      <c r="AA624" t="s">
        <v>74</v>
      </c>
      <c r="AB624" t="s">
        <v>15141</v>
      </c>
      <c r="AC624" t="s">
        <v>74</v>
      </c>
      <c r="AD624" t="s">
        <v>74</v>
      </c>
      <c r="AE624" t="s">
        <v>74</v>
      </c>
      <c r="AF624" t="s">
        <v>74</v>
      </c>
      <c r="AG624">
        <v>43</v>
      </c>
      <c r="AH624">
        <v>31</v>
      </c>
      <c r="AI624">
        <v>31</v>
      </c>
      <c r="AJ624">
        <v>0</v>
      </c>
      <c r="AK624">
        <v>12</v>
      </c>
      <c r="AL624" t="s">
        <v>74</v>
      </c>
      <c r="AM624" t="s">
        <v>74</v>
      </c>
      <c r="AN624" t="s">
        <v>74</v>
      </c>
      <c r="AO624" t="s">
        <v>7251</v>
      </c>
      <c r="AP624" t="s">
        <v>7252</v>
      </c>
      <c r="AQ624" t="s">
        <v>74</v>
      </c>
      <c r="AR624" t="s">
        <v>74</v>
      </c>
      <c r="AS624" t="s">
        <v>74</v>
      </c>
      <c r="AT624" t="s">
        <v>565</v>
      </c>
      <c r="AU624">
        <v>2015</v>
      </c>
      <c r="AV624">
        <v>64</v>
      </c>
      <c r="AW624">
        <v>3</v>
      </c>
      <c r="AX624" t="s">
        <v>74</v>
      </c>
      <c r="AY624" t="s">
        <v>74</v>
      </c>
      <c r="AZ624" t="s">
        <v>74</v>
      </c>
      <c r="BA624" t="s">
        <v>74</v>
      </c>
      <c r="BB624">
        <v>299</v>
      </c>
      <c r="BC624">
        <v>309</v>
      </c>
      <c r="BD624" t="s">
        <v>74</v>
      </c>
      <c r="BE624" t="s">
        <v>15142</v>
      </c>
      <c r="BF624" t="str">
        <f>HYPERLINK("http://dx.doi.org/10.1007/s00262-014-1622-z","http://dx.doi.org/10.1007/s00262-014-1622-z")</f>
        <v>http://dx.doi.org/10.1007/s00262-014-1622-z</v>
      </c>
      <c r="BG624" t="s">
        <v>74</v>
      </c>
      <c r="BH624" t="s">
        <v>74</v>
      </c>
      <c r="BI624" t="s">
        <v>74</v>
      </c>
      <c r="BJ624" t="s">
        <v>7255</v>
      </c>
      <c r="BK624" t="s">
        <v>117</v>
      </c>
      <c r="BL624" t="s">
        <v>7255</v>
      </c>
      <c r="BM624" t="s">
        <v>74</v>
      </c>
      <c r="BN624">
        <v>25391690</v>
      </c>
      <c r="BO624" t="s">
        <v>74</v>
      </c>
      <c r="BP624" t="s">
        <v>74</v>
      </c>
      <c r="BQ624" t="s">
        <v>74</v>
      </c>
      <c r="BR624" t="s">
        <v>96</v>
      </c>
      <c r="BS624" t="s">
        <v>15143</v>
      </c>
      <c r="BT624" t="str">
        <f>HYPERLINK("https%3A%2F%2Fwww.webofscience.com%2Fwos%2Fwoscc%2Ffull-record%2FWOS:000350351200004","View Full Record in Web of Science")</f>
        <v>View Full Record in Web of Science</v>
      </c>
    </row>
    <row r="625" spans="1:72" x14ac:dyDescent="0.15">
      <c r="A625" t="s">
        <v>98</v>
      </c>
      <c r="B625" t="s">
        <v>16953</v>
      </c>
      <c r="C625" t="s">
        <v>74</v>
      </c>
      <c r="D625" t="s">
        <v>74</v>
      </c>
      <c r="E625" t="s">
        <v>74</v>
      </c>
      <c r="F625" t="s">
        <v>16954</v>
      </c>
      <c r="G625" t="s">
        <v>74</v>
      </c>
      <c r="H625" t="s">
        <v>74</v>
      </c>
      <c r="I625" t="s">
        <v>16955</v>
      </c>
      <c r="J625" t="s">
        <v>13730</v>
      </c>
      <c r="K625" t="s">
        <v>74</v>
      </c>
      <c r="L625" t="s">
        <v>74</v>
      </c>
      <c r="M625" t="s">
        <v>74</v>
      </c>
      <c r="N625" t="s">
        <v>103</v>
      </c>
      <c r="O625" t="s">
        <v>74</v>
      </c>
      <c r="P625" t="s">
        <v>74</v>
      </c>
      <c r="Q625" t="s">
        <v>74</v>
      </c>
      <c r="R625" t="s">
        <v>74</v>
      </c>
      <c r="S625" t="s">
        <v>74</v>
      </c>
      <c r="T625" t="s">
        <v>16956</v>
      </c>
      <c r="U625" t="s">
        <v>16957</v>
      </c>
      <c r="V625" t="s">
        <v>16958</v>
      </c>
      <c r="W625" t="s">
        <v>16959</v>
      </c>
      <c r="X625" t="s">
        <v>16960</v>
      </c>
      <c r="Y625" t="s">
        <v>16961</v>
      </c>
      <c r="Z625" t="s">
        <v>16962</v>
      </c>
      <c r="AA625" t="s">
        <v>16963</v>
      </c>
      <c r="AB625" t="s">
        <v>16964</v>
      </c>
      <c r="AC625" t="s">
        <v>74</v>
      </c>
      <c r="AD625" t="s">
        <v>74</v>
      </c>
      <c r="AE625" t="s">
        <v>74</v>
      </c>
      <c r="AF625" t="s">
        <v>74</v>
      </c>
      <c r="AG625">
        <v>29</v>
      </c>
      <c r="AH625">
        <v>31</v>
      </c>
      <c r="AI625">
        <v>33</v>
      </c>
      <c r="AJ625">
        <v>2</v>
      </c>
      <c r="AK625">
        <v>17</v>
      </c>
      <c r="AL625" t="s">
        <v>74</v>
      </c>
      <c r="AM625" t="s">
        <v>74</v>
      </c>
      <c r="AN625" t="s">
        <v>74</v>
      </c>
      <c r="AO625" t="s">
        <v>13740</v>
      </c>
      <c r="AP625" t="s">
        <v>13741</v>
      </c>
      <c r="AQ625" t="s">
        <v>74</v>
      </c>
      <c r="AR625" t="s">
        <v>74</v>
      </c>
      <c r="AS625" t="s">
        <v>74</v>
      </c>
      <c r="AT625" t="s">
        <v>16965</v>
      </c>
      <c r="AU625">
        <v>2019</v>
      </c>
      <c r="AV625">
        <v>298</v>
      </c>
      <c r="AW625" t="s">
        <v>74</v>
      </c>
      <c r="AX625" t="s">
        <v>74</v>
      </c>
      <c r="AY625" t="s">
        <v>74</v>
      </c>
      <c r="AZ625" t="s">
        <v>74</v>
      </c>
      <c r="BA625" t="s">
        <v>74</v>
      </c>
      <c r="BB625">
        <v>76</v>
      </c>
      <c r="BC625">
        <v>81</v>
      </c>
      <c r="BD625" t="s">
        <v>74</v>
      </c>
      <c r="BE625" t="s">
        <v>16966</v>
      </c>
      <c r="BF625" t="str">
        <f>HYPERLINK("http://dx.doi.org/10.1016/j.jbiotec.2019.04.015","http://dx.doi.org/10.1016/j.jbiotec.2019.04.015")</f>
        <v>http://dx.doi.org/10.1016/j.jbiotec.2019.04.015</v>
      </c>
      <c r="BG625" t="s">
        <v>74</v>
      </c>
      <c r="BH625" t="s">
        <v>74</v>
      </c>
      <c r="BI625" t="s">
        <v>74</v>
      </c>
      <c r="BJ625" t="s">
        <v>13743</v>
      </c>
      <c r="BK625" t="s">
        <v>117</v>
      </c>
      <c r="BL625" t="s">
        <v>13743</v>
      </c>
      <c r="BM625" t="s">
        <v>74</v>
      </c>
      <c r="BN625">
        <v>31002856</v>
      </c>
      <c r="BO625" t="s">
        <v>74</v>
      </c>
      <c r="BP625" t="s">
        <v>74</v>
      </c>
      <c r="BQ625" t="s">
        <v>74</v>
      </c>
      <c r="BR625" t="s">
        <v>96</v>
      </c>
      <c r="BS625" t="s">
        <v>16967</v>
      </c>
      <c r="BT625" t="str">
        <f>HYPERLINK("https%3A%2F%2Fwww.webofscience.com%2Fwos%2Fwoscc%2Ffull-record%2FWOS:000466942100010","View Full Record in Web of Science")</f>
        <v>View Full Record in Web of Science</v>
      </c>
    </row>
    <row r="626" spans="1:72" x14ac:dyDescent="0.15">
      <c r="A626" t="s">
        <v>98</v>
      </c>
      <c r="B626" t="s">
        <v>18498</v>
      </c>
      <c r="C626" t="s">
        <v>74</v>
      </c>
      <c r="D626" t="s">
        <v>74</v>
      </c>
      <c r="E626" t="s">
        <v>74</v>
      </c>
      <c r="F626" t="s">
        <v>18499</v>
      </c>
      <c r="G626" t="s">
        <v>74</v>
      </c>
      <c r="H626" t="s">
        <v>74</v>
      </c>
      <c r="I626" t="s">
        <v>18500</v>
      </c>
      <c r="J626" t="s">
        <v>538</v>
      </c>
      <c r="K626" t="s">
        <v>74</v>
      </c>
      <c r="L626" t="s">
        <v>74</v>
      </c>
      <c r="M626" t="s">
        <v>74</v>
      </c>
      <c r="N626" t="s">
        <v>103</v>
      </c>
      <c r="O626" t="s">
        <v>74</v>
      </c>
      <c r="P626" t="s">
        <v>74</v>
      </c>
      <c r="Q626" t="s">
        <v>74</v>
      </c>
      <c r="R626" t="s">
        <v>74</v>
      </c>
      <c r="S626" t="s">
        <v>74</v>
      </c>
      <c r="T626" t="s">
        <v>18501</v>
      </c>
      <c r="U626" t="s">
        <v>18502</v>
      </c>
      <c r="V626" t="s">
        <v>18503</v>
      </c>
      <c r="W626" t="s">
        <v>18504</v>
      </c>
      <c r="X626" t="s">
        <v>18505</v>
      </c>
      <c r="Y626" t="s">
        <v>18506</v>
      </c>
      <c r="Z626" t="s">
        <v>18507</v>
      </c>
      <c r="AA626" t="s">
        <v>74</v>
      </c>
      <c r="AB626" t="s">
        <v>18508</v>
      </c>
      <c r="AC626" t="s">
        <v>74</v>
      </c>
      <c r="AD626" t="s">
        <v>74</v>
      </c>
      <c r="AE626" t="s">
        <v>74</v>
      </c>
      <c r="AF626" t="s">
        <v>74</v>
      </c>
      <c r="AG626">
        <v>58</v>
      </c>
      <c r="AH626">
        <v>31</v>
      </c>
      <c r="AI626">
        <v>33</v>
      </c>
      <c r="AJ626">
        <v>0</v>
      </c>
      <c r="AK626">
        <v>27</v>
      </c>
      <c r="AL626" t="s">
        <v>74</v>
      </c>
      <c r="AM626" t="s">
        <v>74</v>
      </c>
      <c r="AN626" t="s">
        <v>74</v>
      </c>
      <c r="AO626" t="s">
        <v>547</v>
      </c>
      <c r="AP626" t="s">
        <v>74</v>
      </c>
      <c r="AQ626" t="s">
        <v>74</v>
      </c>
      <c r="AR626" t="s">
        <v>74</v>
      </c>
      <c r="AS626" t="s">
        <v>74</v>
      </c>
      <c r="AT626" t="s">
        <v>335</v>
      </c>
      <c r="AU626">
        <v>2012</v>
      </c>
      <c r="AV626">
        <v>78</v>
      </c>
      <c r="AW626">
        <v>4</v>
      </c>
      <c r="AX626" t="s">
        <v>74</v>
      </c>
      <c r="AY626" t="s">
        <v>74</v>
      </c>
      <c r="AZ626" t="s">
        <v>74</v>
      </c>
      <c r="BA626" t="s">
        <v>74</v>
      </c>
      <c r="BB626">
        <v>887</v>
      </c>
      <c r="BC626">
        <v>897</v>
      </c>
      <c r="BD626" t="s">
        <v>74</v>
      </c>
      <c r="BE626" t="s">
        <v>18509</v>
      </c>
      <c r="BF626" t="str">
        <f>HYPERLINK("http://dx.doi.org/10.1016/j.theriogenology.2012.04.002","http://dx.doi.org/10.1016/j.theriogenology.2012.04.002")</f>
        <v>http://dx.doi.org/10.1016/j.theriogenology.2012.04.002</v>
      </c>
      <c r="BG626" t="s">
        <v>74</v>
      </c>
      <c r="BH626" t="s">
        <v>74</v>
      </c>
      <c r="BI626" t="s">
        <v>74</v>
      </c>
      <c r="BJ626" t="s">
        <v>551</v>
      </c>
      <c r="BK626" t="s">
        <v>117</v>
      </c>
      <c r="BL626" t="s">
        <v>551</v>
      </c>
      <c r="BM626" t="s">
        <v>74</v>
      </c>
      <c r="BN626">
        <v>22626782</v>
      </c>
      <c r="BO626" t="s">
        <v>74</v>
      </c>
      <c r="BP626" t="s">
        <v>74</v>
      </c>
      <c r="BQ626" t="s">
        <v>74</v>
      </c>
      <c r="BR626" t="s">
        <v>96</v>
      </c>
      <c r="BS626" t="s">
        <v>18510</v>
      </c>
      <c r="BT626" t="str">
        <f>HYPERLINK("https%3A%2F%2Fwww.webofscience.com%2Fwos%2Fwoscc%2Ffull-record%2FWOS:000307622200023","View Full Record in Web of Science")</f>
        <v>View Full Record in Web of Science</v>
      </c>
    </row>
    <row r="627" spans="1:72" x14ac:dyDescent="0.15">
      <c r="A627" t="s">
        <v>98</v>
      </c>
      <c r="B627" t="s">
        <v>21786</v>
      </c>
      <c r="C627" t="s">
        <v>74</v>
      </c>
      <c r="D627" t="s">
        <v>74</v>
      </c>
      <c r="E627" t="s">
        <v>74</v>
      </c>
      <c r="F627" t="s">
        <v>21787</v>
      </c>
      <c r="G627" t="s">
        <v>74</v>
      </c>
      <c r="H627" t="s">
        <v>74</v>
      </c>
      <c r="I627" t="s">
        <v>21788</v>
      </c>
      <c r="J627" t="s">
        <v>4486</v>
      </c>
      <c r="K627" t="s">
        <v>74</v>
      </c>
      <c r="L627" t="s">
        <v>74</v>
      </c>
      <c r="M627" t="s">
        <v>74</v>
      </c>
      <c r="N627" t="s">
        <v>103</v>
      </c>
      <c r="O627" t="s">
        <v>74</v>
      </c>
      <c r="P627" t="s">
        <v>74</v>
      </c>
      <c r="Q627" t="s">
        <v>74</v>
      </c>
      <c r="R627" t="s">
        <v>74</v>
      </c>
      <c r="S627" t="s">
        <v>74</v>
      </c>
      <c r="T627" t="s">
        <v>74</v>
      </c>
      <c r="U627" t="s">
        <v>21789</v>
      </c>
      <c r="V627" t="s">
        <v>21790</v>
      </c>
      <c r="W627" t="s">
        <v>21791</v>
      </c>
      <c r="X627" t="s">
        <v>15289</v>
      </c>
      <c r="Y627" t="s">
        <v>15290</v>
      </c>
      <c r="Z627" t="s">
        <v>15291</v>
      </c>
      <c r="AA627" t="s">
        <v>74</v>
      </c>
      <c r="AB627" t="s">
        <v>74</v>
      </c>
      <c r="AC627" t="s">
        <v>74</v>
      </c>
      <c r="AD627" t="s">
        <v>74</v>
      </c>
      <c r="AE627" t="s">
        <v>74</v>
      </c>
      <c r="AF627" t="s">
        <v>74</v>
      </c>
      <c r="AG627">
        <v>54</v>
      </c>
      <c r="AH627">
        <v>31</v>
      </c>
      <c r="AI627">
        <v>30</v>
      </c>
      <c r="AJ627">
        <v>105</v>
      </c>
      <c r="AK627">
        <v>229</v>
      </c>
      <c r="AL627" t="s">
        <v>74</v>
      </c>
      <c r="AM627" t="s">
        <v>74</v>
      </c>
      <c r="AN627" t="s">
        <v>74</v>
      </c>
      <c r="AO627" t="s">
        <v>4493</v>
      </c>
      <c r="AP627" t="s">
        <v>4494</v>
      </c>
      <c r="AQ627" t="s">
        <v>74</v>
      </c>
      <c r="AR627" t="s">
        <v>74</v>
      </c>
      <c r="AS627" t="s">
        <v>74</v>
      </c>
      <c r="AT627" t="s">
        <v>2686</v>
      </c>
      <c r="AU627">
        <v>2021</v>
      </c>
      <c r="AV627">
        <v>93</v>
      </c>
      <c r="AW627">
        <v>34</v>
      </c>
      <c r="AX627" t="s">
        <v>74</v>
      </c>
      <c r="AY627" t="s">
        <v>74</v>
      </c>
      <c r="AZ627" t="s">
        <v>74</v>
      </c>
      <c r="BA627" t="s">
        <v>74</v>
      </c>
      <c r="BB627">
        <v>11792</v>
      </c>
      <c r="BC627">
        <v>11799</v>
      </c>
      <c r="BD627" t="s">
        <v>74</v>
      </c>
      <c r="BE627" t="s">
        <v>21792</v>
      </c>
      <c r="BF627" t="str">
        <f>HYPERLINK("http://dx.doi.org/10.1021/acs.analchem.1c02286","http://dx.doi.org/10.1021/acs.analchem.1c02286")</f>
        <v>http://dx.doi.org/10.1021/acs.analchem.1c02286</v>
      </c>
      <c r="BG627" t="s">
        <v>74</v>
      </c>
      <c r="BH627" t="s">
        <v>1663</v>
      </c>
      <c r="BI627" t="s">
        <v>74</v>
      </c>
      <c r="BJ627" t="s">
        <v>1118</v>
      </c>
      <c r="BK627" t="s">
        <v>117</v>
      </c>
      <c r="BL627" t="s">
        <v>1048</v>
      </c>
      <c r="BM627" t="s">
        <v>74</v>
      </c>
      <c r="BN627">
        <v>34407610</v>
      </c>
      <c r="BO627" t="s">
        <v>74</v>
      </c>
      <c r="BP627" t="s">
        <v>74</v>
      </c>
      <c r="BQ627" t="s">
        <v>74</v>
      </c>
      <c r="BR627" t="s">
        <v>96</v>
      </c>
      <c r="BS627" t="s">
        <v>21793</v>
      </c>
      <c r="BT627" t="str">
        <f>HYPERLINK("https%3A%2F%2Fwww.webofscience.com%2Fwos%2Fwoscc%2Ffull-record%2FWOS:000692905900019","View Full Record in Web of Science")</f>
        <v>View Full Record in Web of Science</v>
      </c>
    </row>
    <row r="628" spans="1:72" x14ac:dyDescent="0.15">
      <c r="A628" t="s">
        <v>98</v>
      </c>
      <c r="B628" t="s">
        <v>21964</v>
      </c>
      <c r="C628" t="s">
        <v>74</v>
      </c>
      <c r="D628" t="s">
        <v>74</v>
      </c>
      <c r="E628" t="s">
        <v>74</v>
      </c>
      <c r="F628" t="s">
        <v>21964</v>
      </c>
      <c r="G628" t="s">
        <v>74</v>
      </c>
      <c r="H628" t="s">
        <v>74</v>
      </c>
      <c r="I628" t="s">
        <v>21965</v>
      </c>
      <c r="J628" t="s">
        <v>21966</v>
      </c>
      <c r="K628" t="s">
        <v>74</v>
      </c>
      <c r="L628" t="s">
        <v>74</v>
      </c>
      <c r="M628" t="s">
        <v>74</v>
      </c>
      <c r="N628" t="s">
        <v>103</v>
      </c>
      <c r="O628" t="s">
        <v>74</v>
      </c>
      <c r="P628" t="s">
        <v>74</v>
      </c>
      <c r="Q628" t="s">
        <v>74</v>
      </c>
      <c r="R628" t="s">
        <v>74</v>
      </c>
      <c r="S628" t="s">
        <v>74</v>
      </c>
      <c r="T628" t="s">
        <v>74</v>
      </c>
      <c r="U628" t="s">
        <v>21967</v>
      </c>
      <c r="V628" t="s">
        <v>21968</v>
      </c>
      <c r="W628" t="s">
        <v>21969</v>
      </c>
      <c r="X628" t="s">
        <v>21970</v>
      </c>
      <c r="Y628" t="s">
        <v>21971</v>
      </c>
      <c r="Z628" t="s">
        <v>21972</v>
      </c>
      <c r="AA628" t="s">
        <v>21973</v>
      </c>
      <c r="AB628" t="s">
        <v>21974</v>
      </c>
      <c r="AC628" t="s">
        <v>74</v>
      </c>
      <c r="AD628" t="s">
        <v>74</v>
      </c>
      <c r="AE628" t="s">
        <v>74</v>
      </c>
      <c r="AF628" t="s">
        <v>74</v>
      </c>
      <c r="AG628">
        <v>36</v>
      </c>
      <c r="AH628">
        <v>31</v>
      </c>
      <c r="AI628">
        <v>34</v>
      </c>
      <c r="AJ628">
        <v>0</v>
      </c>
      <c r="AK628">
        <v>7</v>
      </c>
      <c r="AL628" t="s">
        <v>74</v>
      </c>
      <c r="AM628" t="s">
        <v>74</v>
      </c>
      <c r="AN628" t="s">
        <v>74</v>
      </c>
      <c r="AO628" t="s">
        <v>21975</v>
      </c>
      <c r="AP628" t="s">
        <v>21976</v>
      </c>
      <c r="AQ628" t="s">
        <v>74</v>
      </c>
      <c r="AR628" t="s">
        <v>74</v>
      </c>
      <c r="AS628" t="s">
        <v>74</v>
      </c>
      <c r="AT628" t="s">
        <v>170</v>
      </c>
      <c r="AU628">
        <v>2000</v>
      </c>
      <c r="AV628">
        <v>10</v>
      </c>
      <c r="AW628">
        <v>6</v>
      </c>
      <c r="AX628" t="s">
        <v>74</v>
      </c>
      <c r="AY628" t="s">
        <v>74</v>
      </c>
      <c r="AZ628" t="s">
        <v>74</v>
      </c>
      <c r="BA628" t="s">
        <v>74</v>
      </c>
      <c r="BB628">
        <v>481</v>
      </c>
      <c r="BC628">
        <v>487</v>
      </c>
      <c r="BD628" t="s">
        <v>74</v>
      </c>
      <c r="BE628" t="s">
        <v>21977</v>
      </c>
      <c r="BF628" t="str">
        <f>HYPERLINK("http://dx.doi.org/10.1089/thy.2000.10.481","http://dx.doi.org/10.1089/thy.2000.10.481")</f>
        <v>http://dx.doi.org/10.1089/thy.2000.10.481</v>
      </c>
      <c r="BG628" t="s">
        <v>74</v>
      </c>
      <c r="BH628" t="s">
        <v>74</v>
      </c>
      <c r="BI628" t="s">
        <v>74</v>
      </c>
      <c r="BJ628" t="s">
        <v>3599</v>
      </c>
      <c r="BK628" t="s">
        <v>117</v>
      </c>
      <c r="BL628" t="s">
        <v>3599</v>
      </c>
      <c r="BM628" t="s">
        <v>74</v>
      </c>
      <c r="BN628">
        <v>10907991</v>
      </c>
      <c r="BO628" t="s">
        <v>74</v>
      </c>
      <c r="BP628" t="s">
        <v>74</v>
      </c>
      <c r="BQ628" t="s">
        <v>74</v>
      </c>
      <c r="BR628" t="s">
        <v>96</v>
      </c>
      <c r="BS628" t="s">
        <v>21978</v>
      </c>
      <c r="BT628" t="str">
        <f>HYPERLINK("https%3A%2F%2Fwww.webofscience.com%2Fwos%2Fwoscc%2Ffull-record%2FWOS:000087969800006","View Full Record in Web of Science")</f>
        <v>View Full Record in Web of Science</v>
      </c>
    </row>
    <row r="629" spans="1:72" x14ac:dyDescent="0.15">
      <c r="A629" t="s">
        <v>98</v>
      </c>
      <c r="B629" t="s">
        <v>27283</v>
      </c>
      <c r="C629" t="s">
        <v>74</v>
      </c>
      <c r="D629" t="s">
        <v>74</v>
      </c>
      <c r="E629" t="s">
        <v>74</v>
      </c>
      <c r="F629" t="s">
        <v>27283</v>
      </c>
      <c r="G629" t="s">
        <v>74</v>
      </c>
      <c r="H629" t="s">
        <v>74</v>
      </c>
      <c r="I629" t="s">
        <v>27284</v>
      </c>
      <c r="J629" t="s">
        <v>12369</v>
      </c>
      <c r="K629" t="s">
        <v>74</v>
      </c>
      <c r="L629" t="s">
        <v>74</v>
      </c>
      <c r="M629" t="s">
        <v>74</v>
      </c>
      <c r="N629" t="s">
        <v>103</v>
      </c>
      <c r="O629" t="s">
        <v>74</v>
      </c>
      <c r="P629" t="s">
        <v>74</v>
      </c>
      <c r="Q629" t="s">
        <v>74</v>
      </c>
      <c r="R629" t="s">
        <v>74</v>
      </c>
      <c r="S629" t="s">
        <v>74</v>
      </c>
      <c r="T629" t="s">
        <v>74</v>
      </c>
      <c r="U629" t="s">
        <v>27285</v>
      </c>
      <c r="V629" t="s">
        <v>27286</v>
      </c>
      <c r="W629" t="s">
        <v>27287</v>
      </c>
      <c r="X629" t="s">
        <v>22031</v>
      </c>
      <c r="Y629" t="s">
        <v>74</v>
      </c>
      <c r="Z629" t="s">
        <v>74</v>
      </c>
      <c r="AA629" t="s">
        <v>27288</v>
      </c>
      <c r="AB629" t="s">
        <v>27289</v>
      </c>
      <c r="AC629" t="s">
        <v>74</v>
      </c>
      <c r="AD629" t="s">
        <v>74</v>
      </c>
      <c r="AE629" t="s">
        <v>74</v>
      </c>
      <c r="AF629" t="s">
        <v>74</v>
      </c>
      <c r="AG629">
        <v>34</v>
      </c>
      <c r="AH629">
        <v>31</v>
      </c>
      <c r="AI629">
        <v>33</v>
      </c>
      <c r="AJ629">
        <v>0</v>
      </c>
      <c r="AK629">
        <v>0</v>
      </c>
      <c r="AL629" t="s">
        <v>74</v>
      </c>
      <c r="AM629" t="s">
        <v>74</v>
      </c>
      <c r="AN629" t="s">
        <v>74</v>
      </c>
      <c r="AO629" t="s">
        <v>12374</v>
      </c>
      <c r="AP629" t="s">
        <v>74</v>
      </c>
      <c r="AQ629" t="s">
        <v>74</v>
      </c>
      <c r="AR629" t="s">
        <v>74</v>
      </c>
      <c r="AS629" t="s">
        <v>74</v>
      </c>
      <c r="AT629" t="s">
        <v>319</v>
      </c>
      <c r="AU629">
        <v>1995</v>
      </c>
      <c r="AV629">
        <v>214</v>
      </c>
      <c r="AW629">
        <v>1</v>
      </c>
      <c r="AX629" t="s">
        <v>74</v>
      </c>
      <c r="AY629" t="s">
        <v>74</v>
      </c>
      <c r="AZ629" t="s">
        <v>74</v>
      </c>
      <c r="BA629" t="s">
        <v>74</v>
      </c>
      <c r="BB629">
        <v>177</v>
      </c>
      <c r="BC629">
        <v>188</v>
      </c>
      <c r="BD629" t="s">
        <v>74</v>
      </c>
      <c r="BE629" t="s">
        <v>27290</v>
      </c>
      <c r="BF629" t="str">
        <f>HYPERLINK("http://dx.doi.org/10.1006/viro.1995.9942","http://dx.doi.org/10.1006/viro.1995.9942")</f>
        <v>http://dx.doi.org/10.1006/viro.1995.9942</v>
      </c>
      <c r="BG629" t="s">
        <v>74</v>
      </c>
      <c r="BH629" t="s">
        <v>74</v>
      </c>
      <c r="BI629" t="s">
        <v>74</v>
      </c>
      <c r="BJ629" t="s">
        <v>932</v>
      </c>
      <c r="BK629" t="s">
        <v>117</v>
      </c>
      <c r="BL629" t="s">
        <v>932</v>
      </c>
      <c r="BM629" t="s">
        <v>74</v>
      </c>
      <c r="BN629">
        <v>8525613</v>
      </c>
      <c r="BO629" t="s">
        <v>74</v>
      </c>
      <c r="BP629" t="s">
        <v>74</v>
      </c>
      <c r="BQ629" t="s">
        <v>74</v>
      </c>
      <c r="BR629" t="s">
        <v>96</v>
      </c>
      <c r="BS629" t="s">
        <v>27291</v>
      </c>
      <c r="BT629" t="str">
        <f>HYPERLINK("https%3A%2F%2Fwww.webofscience.com%2Fwos%2Fwoscc%2Ffull-record%2FWOS:A1995TK27400020","View Full Record in Web of Science")</f>
        <v>View Full Record in Web of Science</v>
      </c>
    </row>
    <row r="630" spans="1:72" x14ac:dyDescent="0.15">
      <c r="A630" t="s">
        <v>98</v>
      </c>
      <c r="B630" t="s">
        <v>215</v>
      </c>
      <c r="C630" t="s">
        <v>74</v>
      </c>
      <c r="D630" t="s">
        <v>74</v>
      </c>
      <c r="E630" t="s">
        <v>74</v>
      </c>
      <c r="F630" t="s">
        <v>216</v>
      </c>
      <c r="G630" t="s">
        <v>74</v>
      </c>
      <c r="H630" t="s">
        <v>74</v>
      </c>
      <c r="I630" t="s">
        <v>217</v>
      </c>
      <c r="J630" t="s">
        <v>218</v>
      </c>
      <c r="K630" t="s">
        <v>74</v>
      </c>
      <c r="L630" t="s">
        <v>74</v>
      </c>
      <c r="M630" t="s">
        <v>74</v>
      </c>
      <c r="N630" t="s">
        <v>103</v>
      </c>
      <c r="O630" t="s">
        <v>74</v>
      </c>
      <c r="P630" t="s">
        <v>74</v>
      </c>
      <c r="Q630" t="s">
        <v>74</v>
      </c>
      <c r="R630" t="s">
        <v>74</v>
      </c>
      <c r="S630" t="s">
        <v>74</v>
      </c>
      <c r="T630" t="s">
        <v>219</v>
      </c>
      <c r="U630" t="s">
        <v>220</v>
      </c>
      <c r="V630" t="s">
        <v>221</v>
      </c>
      <c r="W630" t="s">
        <v>222</v>
      </c>
      <c r="X630" t="s">
        <v>223</v>
      </c>
      <c r="Y630" t="s">
        <v>224</v>
      </c>
      <c r="Z630" t="s">
        <v>225</v>
      </c>
      <c r="AA630" t="s">
        <v>226</v>
      </c>
      <c r="AB630" t="s">
        <v>227</v>
      </c>
      <c r="AC630" t="s">
        <v>74</v>
      </c>
      <c r="AD630" t="s">
        <v>74</v>
      </c>
      <c r="AE630" t="s">
        <v>74</v>
      </c>
      <c r="AF630" t="s">
        <v>74</v>
      </c>
      <c r="AG630">
        <v>59</v>
      </c>
      <c r="AH630">
        <v>30</v>
      </c>
      <c r="AI630">
        <v>30</v>
      </c>
      <c r="AJ630">
        <v>1</v>
      </c>
      <c r="AK630">
        <v>10</v>
      </c>
      <c r="AL630" t="s">
        <v>74</v>
      </c>
      <c r="AM630" t="s">
        <v>74</v>
      </c>
      <c r="AN630" t="s">
        <v>74</v>
      </c>
      <c r="AO630" t="s">
        <v>228</v>
      </c>
      <c r="AP630" t="s">
        <v>229</v>
      </c>
      <c r="AQ630" t="s">
        <v>74</v>
      </c>
      <c r="AR630" t="s">
        <v>74</v>
      </c>
      <c r="AS630" t="s">
        <v>74</v>
      </c>
      <c r="AT630" t="s">
        <v>230</v>
      </c>
      <c r="AU630">
        <v>2018</v>
      </c>
      <c r="AV630">
        <v>285</v>
      </c>
      <c r="AW630">
        <v>16</v>
      </c>
      <c r="AX630" t="s">
        <v>74</v>
      </c>
      <c r="AY630" t="s">
        <v>74</v>
      </c>
      <c r="AZ630" t="s">
        <v>74</v>
      </c>
      <c r="BA630" t="s">
        <v>74</v>
      </c>
      <c r="BB630">
        <v>3114</v>
      </c>
      <c r="BC630">
        <v>3133</v>
      </c>
      <c r="BD630" t="s">
        <v>74</v>
      </c>
      <c r="BE630" t="s">
        <v>231</v>
      </c>
      <c r="BF630" t="str">
        <f>HYPERLINK("http://dx.doi.org/10.1111/febs.14601","http://dx.doi.org/10.1111/febs.14601")</f>
        <v>http://dx.doi.org/10.1111/febs.14601</v>
      </c>
      <c r="BG630" t="s">
        <v>74</v>
      </c>
      <c r="BH630" t="s">
        <v>74</v>
      </c>
      <c r="BI630" t="s">
        <v>74</v>
      </c>
      <c r="BJ630" t="s">
        <v>95</v>
      </c>
      <c r="BK630" t="s">
        <v>117</v>
      </c>
      <c r="BL630" t="s">
        <v>95</v>
      </c>
      <c r="BM630" t="s">
        <v>74</v>
      </c>
      <c r="BN630">
        <v>29953723</v>
      </c>
      <c r="BO630" t="s">
        <v>74</v>
      </c>
      <c r="BP630" t="s">
        <v>74</v>
      </c>
      <c r="BQ630" t="s">
        <v>74</v>
      </c>
      <c r="BR630" t="s">
        <v>96</v>
      </c>
      <c r="BS630" t="s">
        <v>232</v>
      </c>
      <c r="BT630" t="str">
        <f>HYPERLINK("https%3A%2F%2Fwww.webofscience.com%2Fwos%2Fwoscc%2Ffull-record%2FWOS:000442224000012","View Full Record in Web of Science")</f>
        <v>View Full Record in Web of Science</v>
      </c>
    </row>
    <row r="631" spans="1:72" x14ac:dyDescent="0.15">
      <c r="A631" t="s">
        <v>98</v>
      </c>
      <c r="B631" t="s">
        <v>850</v>
      </c>
      <c r="C631" t="s">
        <v>74</v>
      </c>
      <c r="D631" t="s">
        <v>74</v>
      </c>
      <c r="E631" t="s">
        <v>74</v>
      </c>
      <c r="F631" t="s">
        <v>851</v>
      </c>
      <c r="G631" t="s">
        <v>74</v>
      </c>
      <c r="H631" t="s">
        <v>74</v>
      </c>
      <c r="I631" t="s">
        <v>852</v>
      </c>
      <c r="J631" t="s">
        <v>123</v>
      </c>
      <c r="K631" t="s">
        <v>74</v>
      </c>
      <c r="L631" t="s">
        <v>74</v>
      </c>
      <c r="M631" t="s">
        <v>74</v>
      </c>
      <c r="N631" t="s">
        <v>103</v>
      </c>
      <c r="O631" t="s">
        <v>74</v>
      </c>
      <c r="P631" t="s">
        <v>74</v>
      </c>
      <c r="Q631" t="s">
        <v>74</v>
      </c>
      <c r="R631" t="s">
        <v>74</v>
      </c>
      <c r="S631" t="s">
        <v>74</v>
      </c>
      <c r="T631" t="s">
        <v>853</v>
      </c>
      <c r="U631" t="s">
        <v>854</v>
      </c>
      <c r="V631" t="s">
        <v>855</v>
      </c>
      <c r="W631" t="s">
        <v>856</v>
      </c>
      <c r="X631" t="s">
        <v>857</v>
      </c>
      <c r="Y631" t="s">
        <v>858</v>
      </c>
      <c r="Z631" t="s">
        <v>859</v>
      </c>
      <c r="AA631" t="s">
        <v>860</v>
      </c>
      <c r="AB631" t="s">
        <v>861</v>
      </c>
      <c r="AC631" t="s">
        <v>74</v>
      </c>
      <c r="AD631" t="s">
        <v>74</v>
      </c>
      <c r="AE631" t="s">
        <v>74</v>
      </c>
      <c r="AF631" t="s">
        <v>74</v>
      </c>
      <c r="AG631">
        <v>33</v>
      </c>
      <c r="AH631">
        <v>30</v>
      </c>
      <c r="AI631">
        <v>32</v>
      </c>
      <c r="AJ631">
        <v>1</v>
      </c>
      <c r="AK631">
        <v>2</v>
      </c>
      <c r="AL631" t="s">
        <v>74</v>
      </c>
      <c r="AM631" t="s">
        <v>74</v>
      </c>
      <c r="AN631" t="s">
        <v>74</v>
      </c>
      <c r="AO631" t="s">
        <v>74</v>
      </c>
      <c r="AP631" t="s">
        <v>131</v>
      </c>
      <c r="AQ631" t="s">
        <v>74</v>
      </c>
      <c r="AR631" t="s">
        <v>74</v>
      </c>
      <c r="AS631" t="s">
        <v>74</v>
      </c>
      <c r="AT631" t="s">
        <v>74</v>
      </c>
      <c r="AU631">
        <v>2014</v>
      </c>
      <c r="AV631">
        <v>3</v>
      </c>
      <c r="AW631">
        <v>1</v>
      </c>
      <c r="AX631" t="s">
        <v>74</v>
      </c>
      <c r="AY631" t="s">
        <v>74</v>
      </c>
      <c r="AZ631" t="s">
        <v>74</v>
      </c>
      <c r="BA631" t="s">
        <v>74</v>
      </c>
      <c r="BB631" t="s">
        <v>74</v>
      </c>
      <c r="BC631" t="s">
        <v>74</v>
      </c>
      <c r="BD631">
        <v>24646</v>
      </c>
      <c r="BE631" t="s">
        <v>862</v>
      </c>
      <c r="BF631" t="str">
        <f>HYPERLINK("http://dx.doi.org/10.3402/jev.v3.24646","http://dx.doi.org/10.3402/jev.v3.24646")</f>
        <v>http://dx.doi.org/10.3402/jev.v3.24646</v>
      </c>
      <c r="BG631" t="s">
        <v>74</v>
      </c>
      <c r="BH631" t="s">
        <v>74</v>
      </c>
      <c r="BI631" t="s">
        <v>74</v>
      </c>
      <c r="BJ631" t="s">
        <v>135</v>
      </c>
      <c r="BK631" t="s">
        <v>467</v>
      </c>
      <c r="BL631" t="s">
        <v>135</v>
      </c>
      <c r="BM631" t="s">
        <v>74</v>
      </c>
      <c r="BN631">
        <v>25206960</v>
      </c>
      <c r="BO631" t="s">
        <v>74</v>
      </c>
      <c r="BP631" t="s">
        <v>74</v>
      </c>
      <c r="BQ631" t="s">
        <v>74</v>
      </c>
      <c r="BR631" t="s">
        <v>96</v>
      </c>
      <c r="BS631" t="s">
        <v>863</v>
      </c>
      <c r="BT631" t="str">
        <f>HYPERLINK("https%3A%2F%2Fwww.webofscience.com%2Fwos%2Fwoscc%2Ffull-record%2FWOS:000215617200011","View Full Record in Web of Science")</f>
        <v>View Full Record in Web of Science</v>
      </c>
    </row>
    <row r="632" spans="1:72" x14ac:dyDescent="0.15">
      <c r="A632" t="s">
        <v>98</v>
      </c>
      <c r="B632" t="s">
        <v>3615</v>
      </c>
      <c r="C632" t="s">
        <v>74</v>
      </c>
      <c r="D632" t="s">
        <v>74</v>
      </c>
      <c r="E632" t="s">
        <v>74</v>
      </c>
      <c r="F632" t="s">
        <v>3616</v>
      </c>
      <c r="G632" t="s">
        <v>74</v>
      </c>
      <c r="H632" t="s">
        <v>74</v>
      </c>
      <c r="I632" t="s">
        <v>3617</v>
      </c>
      <c r="J632" t="s">
        <v>2051</v>
      </c>
      <c r="K632" t="s">
        <v>74</v>
      </c>
      <c r="L632" t="s">
        <v>74</v>
      </c>
      <c r="M632" t="s">
        <v>74</v>
      </c>
      <c r="N632" t="s">
        <v>103</v>
      </c>
      <c r="O632" t="s">
        <v>74</v>
      </c>
      <c r="P632" t="s">
        <v>74</v>
      </c>
      <c r="Q632" t="s">
        <v>74</v>
      </c>
      <c r="R632" t="s">
        <v>74</v>
      </c>
      <c r="S632" t="s">
        <v>74</v>
      </c>
      <c r="T632" t="s">
        <v>3618</v>
      </c>
      <c r="U632" t="s">
        <v>3619</v>
      </c>
      <c r="V632" t="s">
        <v>3620</v>
      </c>
      <c r="W632" t="s">
        <v>3621</v>
      </c>
      <c r="X632" t="s">
        <v>3622</v>
      </c>
      <c r="Y632" t="s">
        <v>3623</v>
      </c>
      <c r="Z632" t="s">
        <v>3624</v>
      </c>
      <c r="AA632" t="s">
        <v>3625</v>
      </c>
      <c r="AB632" t="s">
        <v>3626</v>
      </c>
      <c r="AC632" t="s">
        <v>74</v>
      </c>
      <c r="AD632" t="s">
        <v>74</v>
      </c>
      <c r="AE632" t="s">
        <v>74</v>
      </c>
      <c r="AF632" t="s">
        <v>74</v>
      </c>
      <c r="AG632">
        <v>28</v>
      </c>
      <c r="AH632">
        <v>30</v>
      </c>
      <c r="AI632">
        <v>30</v>
      </c>
      <c r="AJ632">
        <v>2</v>
      </c>
      <c r="AK632">
        <v>7</v>
      </c>
      <c r="AL632" t="s">
        <v>74</v>
      </c>
      <c r="AM632" t="s">
        <v>74</v>
      </c>
      <c r="AN632" t="s">
        <v>74</v>
      </c>
      <c r="AO632" t="s">
        <v>2061</v>
      </c>
      <c r="AP632" t="s">
        <v>74</v>
      </c>
      <c r="AQ632" t="s">
        <v>74</v>
      </c>
      <c r="AR632" t="s">
        <v>74</v>
      </c>
      <c r="AS632" t="s">
        <v>74</v>
      </c>
      <c r="AT632" t="s">
        <v>3627</v>
      </c>
      <c r="AU632">
        <v>2018</v>
      </c>
      <c r="AV632">
        <v>9</v>
      </c>
      <c r="AW632" t="s">
        <v>74</v>
      </c>
      <c r="AX632" t="s">
        <v>74</v>
      </c>
      <c r="AY632" t="s">
        <v>74</v>
      </c>
      <c r="AZ632" t="s">
        <v>74</v>
      </c>
      <c r="BA632" t="s">
        <v>74</v>
      </c>
      <c r="BB632" t="s">
        <v>74</v>
      </c>
      <c r="BC632" t="s">
        <v>74</v>
      </c>
      <c r="BD632">
        <v>1463</v>
      </c>
      <c r="BE632" t="s">
        <v>3628</v>
      </c>
      <c r="BF632" t="str">
        <f>HYPERLINK("http://dx.doi.org/10.3389/fimmu.2018.01463","http://dx.doi.org/10.3389/fimmu.2018.01463")</f>
        <v>http://dx.doi.org/10.3389/fimmu.2018.01463</v>
      </c>
      <c r="BG632" t="s">
        <v>74</v>
      </c>
      <c r="BH632" t="s">
        <v>74</v>
      </c>
      <c r="BI632" t="s">
        <v>74</v>
      </c>
      <c r="BJ632" t="s">
        <v>2064</v>
      </c>
      <c r="BK632" t="s">
        <v>117</v>
      </c>
      <c r="BL632" t="s">
        <v>2064</v>
      </c>
      <c r="BM632" t="s">
        <v>74</v>
      </c>
      <c r="BN632">
        <v>29997623</v>
      </c>
      <c r="BO632" t="s">
        <v>74</v>
      </c>
      <c r="BP632" t="s">
        <v>74</v>
      </c>
      <c r="BQ632" t="s">
        <v>74</v>
      </c>
      <c r="BR632" t="s">
        <v>96</v>
      </c>
      <c r="BS632" t="s">
        <v>3629</v>
      </c>
      <c r="BT632" t="str">
        <f>HYPERLINK("https%3A%2F%2Fwww.webofscience.com%2Fwos%2Fwoscc%2Ffull-record%2FWOS:000436466800001","View Full Record in Web of Science")</f>
        <v>View Full Record in Web of Science</v>
      </c>
    </row>
    <row r="633" spans="1:72" x14ac:dyDescent="0.15">
      <c r="A633" t="s">
        <v>98</v>
      </c>
      <c r="B633" t="s">
        <v>5506</v>
      </c>
      <c r="C633" t="s">
        <v>74</v>
      </c>
      <c r="D633" t="s">
        <v>74</v>
      </c>
      <c r="E633" t="s">
        <v>74</v>
      </c>
      <c r="F633" t="s">
        <v>5507</v>
      </c>
      <c r="G633" t="s">
        <v>74</v>
      </c>
      <c r="H633" t="s">
        <v>74</v>
      </c>
      <c r="I633" t="s">
        <v>5508</v>
      </c>
      <c r="J633" t="s">
        <v>2051</v>
      </c>
      <c r="K633" t="s">
        <v>74</v>
      </c>
      <c r="L633" t="s">
        <v>74</v>
      </c>
      <c r="M633" t="s">
        <v>74</v>
      </c>
      <c r="N633" t="s">
        <v>103</v>
      </c>
      <c r="O633" t="s">
        <v>74</v>
      </c>
      <c r="P633" t="s">
        <v>74</v>
      </c>
      <c r="Q633" t="s">
        <v>74</v>
      </c>
      <c r="R633" t="s">
        <v>74</v>
      </c>
      <c r="S633" t="s">
        <v>74</v>
      </c>
      <c r="T633" t="s">
        <v>5509</v>
      </c>
      <c r="U633" t="s">
        <v>5510</v>
      </c>
      <c r="V633" t="s">
        <v>5511</v>
      </c>
      <c r="W633" t="s">
        <v>5512</v>
      </c>
      <c r="X633" t="s">
        <v>5513</v>
      </c>
      <c r="Y633" t="s">
        <v>5514</v>
      </c>
      <c r="Z633" t="s">
        <v>5515</v>
      </c>
      <c r="AA633" t="s">
        <v>74</v>
      </c>
      <c r="AB633" t="s">
        <v>5516</v>
      </c>
      <c r="AC633" t="s">
        <v>74</v>
      </c>
      <c r="AD633" t="s">
        <v>74</v>
      </c>
      <c r="AE633" t="s">
        <v>74</v>
      </c>
      <c r="AF633" t="s">
        <v>74</v>
      </c>
      <c r="AG633">
        <v>65</v>
      </c>
      <c r="AH633">
        <v>30</v>
      </c>
      <c r="AI633">
        <v>29</v>
      </c>
      <c r="AJ633">
        <v>0</v>
      </c>
      <c r="AK633">
        <v>5</v>
      </c>
      <c r="AL633" t="s">
        <v>74</v>
      </c>
      <c r="AM633" t="s">
        <v>74</v>
      </c>
      <c r="AN633" t="s">
        <v>74</v>
      </c>
      <c r="AO633" t="s">
        <v>2061</v>
      </c>
      <c r="AP633" t="s">
        <v>74</v>
      </c>
      <c r="AQ633" t="s">
        <v>74</v>
      </c>
      <c r="AR633" t="s">
        <v>74</v>
      </c>
      <c r="AS633" t="s">
        <v>74</v>
      </c>
      <c r="AT633" t="s">
        <v>5517</v>
      </c>
      <c r="AU633">
        <v>2018</v>
      </c>
      <c r="AV633">
        <v>9</v>
      </c>
      <c r="AW633" t="s">
        <v>74</v>
      </c>
      <c r="AX633" t="s">
        <v>74</v>
      </c>
      <c r="AY633" t="s">
        <v>74</v>
      </c>
      <c r="AZ633" t="s">
        <v>74</v>
      </c>
      <c r="BA633" t="s">
        <v>74</v>
      </c>
      <c r="BB633" t="s">
        <v>74</v>
      </c>
      <c r="BC633" t="s">
        <v>74</v>
      </c>
      <c r="BD633">
        <v>1111</v>
      </c>
      <c r="BE633" t="s">
        <v>5518</v>
      </c>
      <c r="BF633" t="str">
        <f>HYPERLINK("http://dx.doi.org/10.3389/fimmu.2018.01111","http://dx.doi.org/10.3389/fimmu.2018.01111")</f>
        <v>http://dx.doi.org/10.3389/fimmu.2018.01111</v>
      </c>
      <c r="BG633" t="s">
        <v>74</v>
      </c>
      <c r="BH633" t="s">
        <v>74</v>
      </c>
      <c r="BI633" t="s">
        <v>74</v>
      </c>
      <c r="BJ633" t="s">
        <v>2064</v>
      </c>
      <c r="BK633" t="s">
        <v>117</v>
      </c>
      <c r="BL633" t="s">
        <v>2064</v>
      </c>
      <c r="BM633" t="s">
        <v>74</v>
      </c>
      <c r="BN633">
        <v>29875772</v>
      </c>
      <c r="BO633" t="s">
        <v>74</v>
      </c>
      <c r="BP633" t="s">
        <v>74</v>
      </c>
      <c r="BQ633" t="s">
        <v>74</v>
      </c>
      <c r="BR633" t="s">
        <v>96</v>
      </c>
      <c r="BS633" t="s">
        <v>5519</v>
      </c>
      <c r="BT633" t="str">
        <f>HYPERLINK("https%3A%2F%2Fwww.webofscience.com%2Fwos%2Fwoscc%2Ffull-record%2FWOS:000432827400001","View Full Record in Web of Science")</f>
        <v>View Full Record in Web of Science</v>
      </c>
    </row>
    <row r="634" spans="1:72" x14ac:dyDescent="0.15">
      <c r="A634" t="s">
        <v>98</v>
      </c>
      <c r="B634" t="s">
        <v>9147</v>
      </c>
      <c r="C634" t="s">
        <v>74</v>
      </c>
      <c r="D634" t="s">
        <v>74</v>
      </c>
      <c r="E634" t="s">
        <v>74</v>
      </c>
      <c r="F634" t="s">
        <v>9148</v>
      </c>
      <c r="G634" t="s">
        <v>74</v>
      </c>
      <c r="H634" t="s">
        <v>74</v>
      </c>
      <c r="I634" t="s">
        <v>9149</v>
      </c>
      <c r="J634" t="s">
        <v>5523</v>
      </c>
      <c r="K634" t="s">
        <v>74</v>
      </c>
      <c r="L634" t="s">
        <v>74</v>
      </c>
      <c r="M634" t="s">
        <v>74</v>
      </c>
      <c r="N634" t="s">
        <v>103</v>
      </c>
      <c r="O634" t="s">
        <v>74</v>
      </c>
      <c r="P634" t="s">
        <v>74</v>
      </c>
      <c r="Q634" t="s">
        <v>74</v>
      </c>
      <c r="R634" t="s">
        <v>74</v>
      </c>
      <c r="S634" t="s">
        <v>74</v>
      </c>
      <c r="T634" t="s">
        <v>9150</v>
      </c>
      <c r="U634" t="s">
        <v>9151</v>
      </c>
      <c r="V634" t="s">
        <v>9152</v>
      </c>
      <c r="W634" t="s">
        <v>9153</v>
      </c>
      <c r="X634" t="s">
        <v>9154</v>
      </c>
      <c r="Y634" t="s">
        <v>9155</v>
      </c>
      <c r="Z634" t="s">
        <v>9156</v>
      </c>
      <c r="AA634" t="s">
        <v>9157</v>
      </c>
      <c r="AB634" t="s">
        <v>9158</v>
      </c>
      <c r="AC634" t="s">
        <v>74</v>
      </c>
      <c r="AD634" t="s">
        <v>74</v>
      </c>
      <c r="AE634" t="s">
        <v>74</v>
      </c>
      <c r="AF634" t="s">
        <v>74</v>
      </c>
      <c r="AG634">
        <v>40</v>
      </c>
      <c r="AH634">
        <v>30</v>
      </c>
      <c r="AI634">
        <v>31</v>
      </c>
      <c r="AJ634">
        <v>2</v>
      </c>
      <c r="AK634">
        <v>88</v>
      </c>
      <c r="AL634" t="s">
        <v>74</v>
      </c>
      <c r="AM634" t="s">
        <v>74</v>
      </c>
      <c r="AN634" t="s">
        <v>74</v>
      </c>
      <c r="AO634" t="s">
        <v>5531</v>
      </c>
      <c r="AP634" t="s">
        <v>74</v>
      </c>
      <c r="AQ634" t="s">
        <v>74</v>
      </c>
      <c r="AR634" t="s">
        <v>74</v>
      </c>
      <c r="AS634" t="s">
        <v>74</v>
      </c>
      <c r="AT634" t="s">
        <v>3660</v>
      </c>
      <c r="AU634">
        <v>2017</v>
      </c>
      <c r="AV634">
        <v>9</v>
      </c>
      <c r="AW634">
        <v>6</v>
      </c>
      <c r="AX634" t="s">
        <v>74</v>
      </c>
      <c r="AY634" t="s">
        <v>74</v>
      </c>
      <c r="AZ634" t="s">
        <v>74</v>
      </c>
      <c r="BA634" t="s">
        <v>74</v>
      </c>
      <c r="BB634">
        <v>5100</v>
      </c>
      <c r="BC634">
        <v>5108</v>
      </c>
      <c r="BD634" t="s">
        <v>74</v>
      </c>
      <c r="BE634" t="s">
        <v>9159</v>
      </c>
      <c r="BF634" t="str">
        <f>HYPERLINK("http://dx.doi.org/10.1021/acsami.6b14633","http://dx.doi.org/10.1021/acsami.6b14633")</f>
        <v>http://dx.doi.org/10.1021/acsami.6b14633</v>
      </c>
      <c r="BG634" t="s">
        <v>74</v>
      </c>
      <c r="BH634" t="s">
        <v>74</v>
      </c>
      <c r="BI634" t="s">
        <v>74</v>
      </c>
      <c r="BJ634" t="s">
        <v>5534</v>
      </c>
      <c r="BK634" t="s">
        <v>117</v>
      </c>
      <c r="BL634" t="s">
        <v>5535</v>
      </c>
      <c r="BM634" t="s">
        <v>74</v>
      </c>
      <c r="BN634">
        <v>28106372</v>
      </c>
      <c r="BO634" t="s">
        <v>74</v>
      </c>
      <c r="BP634" t="s">
        <v>74</v>
      </c>
      <c r="BQ634" t="s">
        <v>74</v>
      </c>
      <c r="BR634" t="s">
        <v>96</v>
      </c>
      <c r="BS634" t="s">
        <v>9160</v>
      </c>
      <c r="BT634" t="str">
        <f>HYPERLINK("https%3A%2F%2Fwww.webofscience.com%2Fwos%2Fwoscc%2Ffull-record%2FWOS:000394481800008","View Full Record in Web of Science")</f>
        <v>View Full Record in Web of Science</v>
      </c>
    </row>
    <row r="635" spans="1:72" x14ac:dyDescent="0.15">
      <c r="A635" t="s">
        <v>98</v>
      </c>
      <c r="B635" t="s">
        <v>13644</v>
      </c>
      <c r="C635" t="s">
        <v>74</v>
      </c>
      <c r="D635" t="s">
        <v>74</v>
      </c>
      <c r="E635" t="s">
        <v>74</v>
      </c>
      <c r="F635" t="s">
        <v>13645</v>
      </c>
      <c r="G635" t="s">
        <v>74</v>
      </c>
      <c r="H635" t="s">
        <v>74</v>
      </c>
      <c r="I635" t="s">
        <v>13646</v>
      </c>
      <c r="J635" t="s">
        <v>13647</v>
      </c>
      <c r="K635" t="s">
        <v>74</v>
      </c>
      <c r="L635" t="s">
        <v>74</v>
      </c>
      <c r="M635" t="s">
        <v>74</v>
      </c>
      <c r="N635" t="s">
        <v>103</v>
      </c>
      <c r="O635" t="s">
        <v>74</v>
      </c>
      <c r="P635" t="s">
        <v>74</v>
      </c>
      <c r="Q635" t="s">
        <v>74</v>
      </c>
      <c r="R635" t="s">
        <v>74</v>
      </c>
      <c r="S635" t="s">
        <v>74</v>
      </c>
      <c r="T635" t="s">
        <v>13648</v>
      </c>
      <c r="U635" t="s">
        <v>13649</v>
      </c>
      <c r="V635" t="s">
        <v>13650</v>
      </c>
      <c r="W635" t="s">
        <v>13651</v>
      </c>
      <c r="X635" t="s">
        <v>13652</v>
      </c>
      <c r="Y635" t="s">
        <v>13653</v>
      </c>
      <c r="Z635" t="s">
        <v>13654</v>
      </c>
      <c r="AA635" t="s">
        <v>74</v>
      </c>
      <c r="AB635" t="s">
        <v>13655</v>
      </c>
      <c r="AC635" t="s">
        <v>74</v>
      </c>
      <c r="AD635" t="s">
        <v>74</v>
      </c>
      <c r="AE635" t="s">
        <v>74</v>
      </c>
      <c r="AF635" t="s">
        <v>74</v>
      </c>
      <c r="AG635">
        <v>49</v>
      </c>
      <c r="AH635">
        <v>30</v>
      </c>
      <c r="AI635">
        <v>31</v>
      </c>
      <c r="AJ635">
        <v>8</v>
      </c>
      <c r="AK635">
        <v>28</v>
      </c>
      <c r="AL635" t="s">
        <v>74</v>
      </c>
      <c r="AM635" t="s">
        <v>74</v>
      </c>
      <c r="AN635" t="s">
        <v>74</v>
      </c>
      <c r="AO635" t="s">
        <v>74</v>
      </c>
      <c r="AP635" t="s">
        <v>13656</v>
      </c>
      <c r="AQ635" t="s">
        <v>74</v>
      </c>
      <c r="AR635" t="s">
        <v>74</v>
      </c>
      <c r="AS635" t="s">
        <v>74</v>
      </c>
      <c r="AT635" t="s">
        <v>13657</v>
      </c>
      <c r="AU635">
        <v>2020</v>
      </c>
      <c r="AV635">
        <v>13</v>
      </c>
      <c r="AW635">
        <v>1</v>
      </c>
      <c r="AX635" t="s">
        <v>74</v>
      </c>
      <c r="AY635" t="s">
        <v>74</v>
      </c>
      <c r="AZ635" t="s">
        <v>74</v>
      </c>
      <c r="BA635" t="s">
        <v>74</v>
      </c>
      <c r="BB635" t="s">
        <v>74</v>
      </c>
      <c r="BC635" t="s">
        <v>74</v>
      </c>
      <c r="BD635">
        <v>9</v>
      </c>
      <c r="BE635" t="s">
        <v>13658</v>
      </c>
      <c r="BF635" t="str">
        <f>HYPERLINK("http://dx.doi.org/10.1186/s13048-020-0609-y","http://dx.doi.org/10.1186/s13048-020-0609-y")</f>
        <v>http://dx.doi.org/10.1186/s13048-020-0609-y</v>
      </c>
      <c r="BG635" t="s">
        <v>74</v>
      </c>
      <c r="BH635" t="s">
        <v>74</v>
      </c>
      <c r="BI635" t="s">
        <v>74</v>
      </c>
      <c r="BJ635" t="s">
        <v>13659</v>
      </c>
      <c r="BK635" t="s">
        <v>117</v>
      </c>
      <c r="BL635" t="s">
        <v>13659</v>
      </c>
      <c r="BM635" t="s">
        <v>74</v>
      </c>
      <c r="BN635">
        <v>31969186</v>
      </c>
      <c r="BO635" t="s">
        <v>74</v>
      </c>
      <c r="BP635" t="s">
        <v>74</v>
      </c>
      <c r="BQ635" t="s">
        <v>74</v>
      </c>
      <c r="BR635" t="s">
        <v>96</v>
      </c>
      <c r="BS635" t="s">
        <v>13660</v>
      </c>
      <c r="BT635" t="str">
        <f>HYPERLINK("https%3A%2F%2Fwww.webofscience.com%2Fwos%2Fwoscc%2Ffull-record%2FWOS:000526275100001","View Full Record in Web of Science")</f>
        <v>View Full Record in Web of Science</v>
      </c>
    </row>
    <row r="636" spans="1:72" x14ac:dyDescent="0.15">
      <c r="A636" t="s">
        <v>98</v>
      </c>
      <c r="B636" t="s">
        <v>14469</v>
      </c>
      <c r="C636" t="s">
        <v>74</v>
      </c>
      <c r="D636" t="s">
        <v>74</v>
      </c>
      <c r="E636" t="s">
        <v>74</v>
      </c>
      <c r="F636" t="s">
        <v>14470</v>
      </c>
      <c r="G636" t="s">
        <v>74</v>
      </c>
      <c r="H636" t="s">
        <v>74</v>
      </c>
      <c r="I636" t="s">
        <v>14471</v>
      </c>
      <c r="J636" t="s">
        <v>14472</v>
      </c>
      <c r="K636" t="s">
        <v>74</v>
      </c>
      <c r="L636" t="s">
        <v>74</v>
      </c>
      <c r="M636" t="s">
        <v>74</v>
      </c>
      <c r="N636" t="s">
        <v>103</v>
      </c>
      <c r="O636" t="s">
        <v>74</v>
      </c>
      <c r="P636" t="s">
        <v>74</v>
      </c>
      <c r="Q636" t="s">
        <v>74</v>
      </c>
      <c r="R636" t="s">
        <v>74</v>
      </c>
      <c r="S636" t="s">
        <v>74</v>
      </c>
      <c r="T636" t="s">
        <v>74</v>
      </c>
      <c r="U636" t="s">
        <v>14473</v>
      </c>
      <c r="V636" t="s">
        <v>14474</v>
      </c>
      <c r="W636" t="s">
        <v>14475</v>
      </c>
      <c r="X636" t="s">
        <v>14476</v>
      </c>
      <c r="Y636" t="s">
        <v>14477</v>
      </c>
      <c r="Z636" t="s">
        <v>14478</v>
      </c>
      <c r="AA636" t="s">
        <v>14479</v>
      </c>
      <c r="AB636" t="s">
        <v>14480</v>
      </c>
      <c r="AC636" t="s">
        <v>74</v>
      </c>
      <c r="AD636" t="s">
        <v>74</v>
      </c>
      <c r="AE636" t="s">
        <v>74</v>
      </c>
      <c r="AF636" t="s">
        <v>74</v>
      </c>
      <c r="AG636">
        <v>32</v>
      </c>
      <c r="AH636">
        <v>30</v>
      </c>
      <c r="AI636">
        <v>30</v>
      </c>
      <c r="AJ636">
        <v>1</v>
      </c>
      <c r="AK636">
        <v>11</v>
      </c>
      <c r="AL636" t="s">
        <v>74</v>
      </c>
      <c r="AM636" t="s">
        <v>74</v>
      </c>
      <c r="AN636" t="s">
        <v>74</v>
      </c>
      <c r="AO636" t="s">
        <v>14481</v>
      </c>
      <c r="AP636" t="s">
        <v>74</v>
      </c>
      <c r="AQ636" t="s">
        <v>74</v>
      </c>
      <c r="AR636" t="s">
        <v>74</v>
      </c>
      <c r="AS636" t="s">
        <v>74</v>
      </c>
      <c r="AT636" t="s">
        <v>230</v>
      </c>
      <c r="AU636">
        <v>2013</v>
      </c>
      <c r="AV636">
        <v>46</v>
      </c>
      <c r="AW636">
        <v>5</v>
      </c>
      <c r="AX636" t="s">
        <v>74</v>
      </c>
      <c r="AY636" t="s">
        <v>74</v>
      </c>
      <c r="AZ636" t="s">
        <v>74</v>
      </c>
      <c r="BA636" t="s">
        <v>74</v>
      </c>
      <c r="BB636">
        <v>342</v>
      </c>
      <c r="BC636">
        <v>346</v>
      </c>
      <c r="BD636" t="s">
        <v>74</v>
      </c>
      <c r="BE636" t="s">
        <v>14482</v>
      </c>
      <c r="BF636" t="str">
        <f>HYPERLINK("http://dx.doi.org/10.3109/08916934.2012.750302","http://dx.doi.org/10.3109/08916934.2012.750302")</f>
        <v>http://dx.doi.org/10.3109/08916934.2012.750302</v>
      </c>
      <c r="BG636" t="s">
        <v>74</v>
      </c>
      <c r="BH636" t="s">
        <v>74</v>
      </c>
      <c r="BI636" t="s">
        <v>74</v>
      </c>
      <c r="BJ636" t="s">
        <v>2064</v>
      </c>
      <c r="BK636" t="s">
        <v>117</v>
      </c>
      <c r="BL636" t="s">
        <v>2064</v>
      </c>
      <c r="BM636" t="s">
        <v>74</v>
      </c>
      <c r="BN636">
        <v>23194089</v>
      </c>
      <c r="BO636" t="s">
        <v>74</v>
      </c>
      <c r="BP636" t="s">
        <v>74</v>
      </c>
      <c r="BQ636" t="s">
        <v>74</v>
      </c>
      <c r="BR636" t="s">
        <v>96</v>
      </c>
      <c r="BS636" t="s">
        <v>14483</v>
      </c>
      <c r="BT636" t="str">
        <f>HYPERLINK("https%3A%2F%2Fwww.webofscience.com%2Fwos%2Fwoscc%2Ffull-record%2FWOS:000321762600011","View Full Record in Web of Science")</f>
        <v>View Full Record in Web of Science</v>
      </c>
    </row>
    <row r="637" spans="1:72" x14ac:dyDescent="0.15">
      <c r="A637" t="s">
        <v>98</v>
      </c>
      <c r="B637" t="s">
        <v>15465</v>
      </c>
      <c r="C637" t="s">
        <v>74</v>
      </c>
      <c r="D637" t="s">
        <v>74</v>
      </c>
      <c r="E637" t="s">
        <v>74</v>
      </c>
      <c r="F637" t="s">
        <v>15466</v>
      </c>
      <c r="G637" t="s">
        <v>74</v>
      </c>
      <c r="H637" t="s">
        <v>74</v>
      </c>
      <c r="I637" t="s">
        <v>15467</v>
      </c>
      <c r="J637" t="s">
        <v>5331</v>
      </c>
      <c r="K637" t="s">
        <v>74</v>
      </c>
      <c r="L637" t="s">
        <v>74</v>
      </c>
      <c r="M637" t="s">
        <v>74</v>
      </c>
      <c r="N637" t="s">
        <v>103</v>
      </c>
      <c r="O637" t="s">
        <v>74</v>
      </c>
      <c r="P637" t="s">
        <v>74</v>
      </c>
      <c r="Q637" t="s">
        <v>74</v>
      </c>
      <c r="R637" t="s">
        <v>74</v>
      </c>
      <c r="S637" t="s">
        <v>74</v>
      </c>
      <c r="T637" t="s">
        <v>15468</v>
      </c>
      <c r="U637" t="s">
        <v>15469</v>
      </c>
      <c r="V637" t="s">
        <v>15470</v>
      </c>
      <c r="W637" t="s">
        <v>15471</v>
      </c>
      <c r="X637" t="s">
        <v>15472</v>
      </c>
      <c r="Y637" t="s">
        <v>15473</v>
      </c>
      <c r="Z637" t="s">
        <v>15474</v>
      </c>
      <c r="AA637" t="s">
        <v>15475</v>
      </c>
      <c r="AB637" t="s">
        <v>15476</v>
      </c>
      <c r="AC637" t="s">
        <v>74</v>
      </c>
      <c r="AD637" t="s">
        <v>74</v>
      </c>
      <c r="AE637" t="s">
        <v>74</v>
      </c>
      <c r="AF637" t="s">
        <v>74</v>
      </c>
      <c r="AG637">
        <v>76</v>
      </c>
      <c r="AH637">
        <v>30</v>
      </c>
      <c r="AI637">
        <v>31</v>
      </c>
      <c r="AJ637">
        <v>2</v>
      </c>
      <c r="AK637">
        <v>38</v>
      </c>
      <c r="AL637" t="s">
        <v>74</v>
      </c>
      <c r="AM637" t="s">
        <v>74</v>
      </c>
      <c r="AN637" t="s">
        <v>74</v>
      </c>
      <c r="AO637" t="s">
        <v>5339</v>
      </c>
      <c r="AP637" t="s">
        <v>5340</v>
      </c>
      <c r="AQ637" t="s">
        <v>74</v>
      </c>
      <c r="AR637" t="s">
        <v>74</v>
      </c>
      <c r="AS637" t="s">
        <v>74</v>
      </c>
      <c r="AT637" t="s">
        <v>132</v>
      </c>
      <c r="AU637">
        <v>2015</v>
      </c>
      <c r="AV637">
        <v>30</v>
      </c>
      <c r="AW637">
        <v>2</v>
      </c>
      <c r="AX637" t="s">
        <v>74</v>
      </c>
      <c r="AY637" t="s">
        <v>74</v>
      </c>
      <c r="AZ637" t="s">
        <v>74</v>
      </c>
      <c r="BA637" t="s">
        <v>74</v>
      </c>
      <c r="BB637">
        <v>427</v>
      </c>
      <c r="BC637">
        <v>435</v>
      </c>
      <c r="BD637" t="s">
        <v>74</v>
      </c>
      <c r="BE637" t="s">
        <v>15477</v>
      </c>
      <c r="BF637" t="str">
        <f>HYPERLINK("http://dx.doi.org/10.1007/s11011-014-9537-0","http://dx.doi.org/10.1007/s11011-014-9537-0")</f>
        <v>http://dx.doi.org/10.1007/s11011-014-9537-0</v>
      </c>
      <c r="BG637" t="s">
        <v>74</v>
      </c>
      <c r="BH637" t="s">
        <v>74</v>
      </c>
      <c r="BI637" t="s">
        <v>74</v>
      </c>
      <c r="BJ637" t="s">
        <v>5342</v>
      </c>
      <c r="BK637" t="s">
        <v>117</v>
      </c>
      <c r="BL637" t="s">
        <v>5343</v>
      </c>
      <c r="BM637" t="s">
        <v>74</v>
      </c>
      <c r="BN637">
        <v>24788895</v>
      </c>
      <c r="BO637" t="s">
        <v>74</v>
      </c>
      <c r="BP637" t="s">
        <v>74</v>
      </c>
      <c r="BQ637" t="s">
        <v>74</v>
      </c>
      <c r="BR637" t="s">
        <v>96</v>
      </c>
      <c r="BS637" t="s">
        <v>15478</v>
      </c>
      <c r="BT637" t="str">
        <f>HYPERLINK("https%3A%2F%2Fwww.webofscience.com%2Fwos%2Fwoscc%2Ffull-record%2FWOS:000350894800008","View Full Record in Web of Science")</f>
        <v>View Full Record in Web of Science</v>
      </c>
    </row>
    <row r="638" spans="1:72" x14ac:dyDescent="0.15">
      <c r="A638" t="s">
        <v>98</v>
      </c>
      <c r="B638" t="s">
        <v>16462</v>
      </c>
      <c r="C638" t="s">
        <v>74</v>
      </c>
      <c r="D638" t="s">
        <v>74</v>
      </c>
      <c r="E638" t="s">
        <v>74</v>
      </c>
      <c r="F638" t="s">
        <v>16463</v>
      </c>
      <c r="G638" t="s">
        <v>74</v>
      </c>
      <c r="H638" t="s">
        <v>74</v>
      </c>
      <c r="I638" t="s">
        <v>16464</v>
      </c>
      <c r="J638" t="s">
        <v>8124</v>
      </c>
      <c r="K638" t="s">
        <v>74</v>
      </c>
      <c r="L638" t="s">
        <v>74</v>
      </c>
      <c r="M638" t="s">
        <v>74</v>
      </c>
      <c r="N638" t="s">
        <v>103</v>
      </c>
      <c r="O638" t="s">
        <v>74</v>
      </c>
      <c r="P638" t="s">
        <v>74</v>
      </c>
      <c r="Q638" t="s">
        <v>74</v>
      </c>
      <c r="R638" t="s">
        <v>74</v>
      </c>
      <c r="S638" t="s">
        <v>74</v>
      </c>
      <c r="T638" t="s">
        <v>16465</v>
      </c>
      <c r="U638" t="s">
        <v>16466</v>
      </c>
      <c r="V638" t="s">
        <v>16467</v>
      </c>
      <c r="W638" t="s">
        <v>16468</v>
      </c>
      <c r="X638" t="s">
        <v>16469</v>
      </c>
      <c r="Y638" t="s">
        <v>16470</v>
      </c>
      <c r="Z638" t="s">
        <v>16471</v>
      </c>
      <c r="AA638" t="s">
        <v>74</v>
      </c>
      <c r="AB638" t="s">
        <v>74</v>
      </c>
      <c r="AC638" t="s">
        <v>74</v>
      </c>
      <c r="AD638" t="s">
        <v>74</v>
      </c>
      <c r="AE638" t="s">
        <v>74</v>
      </c>
      <c r="AF638" t="s">
        <v>74</v>
      </c>
      <c r="AG638">
        <v>51</v>
      </c>
      <c r="AH638">
        <v>30</v>
      </c>
      <c r="AI638">
        <v>31</v>
      </c>
      <c r="AJ638">
        <v>4</v>
      </c>
      <c r="AK638">
        <v>18</v>
      </c>
      <c r="AL638" t="s">
        <v>74</v>
      </c>
      <c r="AM638" t="s">
        <v>74</v>
      </c>
      <c r="AN638" t="s">
        <v>74</v>
      </c>
      <c r="AO638" t="s">
        <v>8134</v>
      </c>
      <c r="AP638" t="s">
        <v>8135</v>
      </c>
      <c r="AQ638" t="s">
        <v>74</v>
      </c>
      <c r="AR638" t="s">
        <v>74</v>
      </c>
      <c r="AS638" t="s">
        <v>74</v>
      </c>
      <c r="AT638" t="s">
        <v>531</v>
      </c>
      <c r="AU638">
        <v>2020</v>
      </c>
      <c r="AV638">
        <v>24</v>
      </c>
      <c r="AW638">
        <v>18</v>
      </c>
      <c r="AX638" t="s">
        <v>74</v>
      </c>
      <c r="AY638" t="s">
        <v>74</v>
      </c>
      <c r="AZ638" t="s">
        <v>74</v>
      </c>
      <c r="BA638" t="s">
        <v>74</v>
      </c>
      <c r="BB638">
        <v>10855</v>
      </c>
      <c r="BC638">
        <v>10865</v>
      </c>
      <c r="BD638" t="s">
        <v>74</v>
      </c>
      <c r="BE638" t="s">
        <v>16472</v>
      </c>
      <c r="BF638" t="str">
        <f>HYPERLINK("http://dx.doi.org/10.1111/jcmm.15714","http://dx.doi.org/10.1111/jcmm.15714")</f>
        <v>http://dx.doi.org/10.1111/jcmm.15714</v>
      </c>
      <c r="BG638" t="s">
        <v>74</v>
      </c>
      <c r="BH638" t="s">
        <v>1323</v>
      </c>
      <c r="BI638" t="s">
        <v>74</v>
      </c>
      <c r="BJ638" t="s">
        <v>8137</v>
      </c>
      <c r="BK638" t="s">
        <v>117</v>
      </c>
      <c r="BL638" t="s">
        <v>3116</v>
      </c>
      <c r="BM638" t="s">
        <v>74</v>
      </c>
      <c r="BN638">
        <v>32776418</v>
      </c>
      <c r="BO638" t="s">
        <v>74</v>
      </c>
      <c r="BP638" t="s">
        <v>74</v>
      </c>
      <c r="BQ638" t="s">
        <v>74</v>
      </c>
      <c r="BR638" t="s">
        <v>96</v>
      </c>
      <c r="BS638" t="s">
        <v>16473</v>
      </c>
      <c r="BT638" t="str">
        <f>HYPERLINK("https%3A%2F%2Fwww.webofscience.com%2Fwos%2Fwoscc%2Ffull-record%2FWOS:000557660500001","View Full Record in Web of Science")</f>
        <v>View Full Record in Web of Science</v>
      </c>
    </row>
    <row r="639" spans="1:72" x14ac:dyDescent="0.15">
      <c r="A639" t="s">
        <v>98</v>
      </c>
      <c r="B639" t="s">
        <v>20761</v>
      </c>
      <c r="C639" t="s">
        <v>74</v>
      </c>
      <c r="D639" t="s">
        <v>74</v>
      </c>
      <c r="E639" t="s">
        <v>74</v>
      </c>
      <c r="F639" t="s">
        <v>20762</v>
      </c>
      <c r="G639" t="s">
        <v>74</v>
      </c>
      <c r="H639" t="s">
        <v>74</v>
      </c>
      <c r="I639" t="s">
        <v>20763</v>
      </c>
      <c r="J639" t="s">
        <v>20764</v>
      </c>
      <c r="K639" t="s">
        <v>74</v>
      </c>
      <c r="L639" t="s">
        <v>74</v>
      </c>
      <c r="M639" t="s">
        <v>74</v>
      </c>
      <c r="N639" t="s">
        <v>103</v>
      </c>
      <c r="O639" t="s">
        <v>74</v>
      </c>
      <c r="P639" t="s">
        <v>74</v>
      </c>
      <c r="Q639" t="s">
        <v>74</v>
      </c>
      <c r="R639" t="s">
        <v>74</v>
      </c>
      <c r="S639" t="s">
        <v>74</v>
      </c>
      <c r="T639" t="s">
        <v>74</v>
      </c>
      <c r="U639" t="s">
        <v>20765</v>
      </c>
      <c r="V639" t="s">
        <v>20766</v>
      </c>
      <c r="W639" t="s">
        <v>20767</v>
      </c>
      <c r="X639" t="s">
        <v>4171</v>
      </c>
      <c r="Y639" t="s">
        <v>20768</v>
      </c>
      <c r="Z639" t="s">
        <v>20769</v>
      </c>
      <c r="AA639" t="s">
        <v>74</v>
      </c>
      <c r="AB639" t="s">
        <v>74</v>
      </c>
      <c r="AC639" t="s">
        <v>74</v>
      </c>
      <c r="AD639" t="s">
        <v>74</v>
      </c>
      <c r="AE639" t="s">
        <v>74</v>
      </c>
      <c r="AF639" t="s">
        <v>74</v>
      </c>
      <c r="AG639">
        <v>45</v>
      </c>
      <c r="AH639">
        <v>30</v>
      </c>
      <c r="AI639">
        <v>33</v>
      </c>
      <c r="AJ639">
        <v>0</v>
      </c>
      <c r="AK639">
        <v>3</v>
      </c>
      <c r="AL639" t="s">
        <v>74</v>
      </c>
      <c r="AM639" t="s">
        <v>74</v>
      </c>
      <c r="AN639" t="s">
        <v>74</v>
      </c>
      <c r="AO639" t="s">
        <v>20770</v>
      </c>
      <c r="AP639" t="s">
        <v>74</v>
      </c>
      <c r="AQ639" t="s">
        <v>74</v>
      </c>
      <c r="AR639" t="s">
        <v>74</v>
      </c>
      <c r="AS639" t="s">
        <v>74</v>
      </c>
      <c r="AT639" t="s">
        <v>16965</v>
      </c>
      <c r="AU639">
        <v>2010</v>
      </c>
      <c r="AV639">
        <v>6</v>
      </c>
      <c r="AW639">
        <v>6</v>
      </c>
      <c r="AX639" t="s">
        <v>74</v>
      </c>
      <c r="AY639" t="s">
        <v>74</v>
      </c>
      <c r="AZ639" t="s">
        <v>74</v>
      </c>
      <c r="BA639" t="s">
        <v>74</v>
      </c>
      <c r="BB639">
        <v>368</v>
      </c>
      <c r="BC639">
        <v>372</v>
      </c>
      <c r="BD639" t="s">
        <v>74</v>
      </c>
      <c r="BE639" t="s">
        <v>20771</v>
      </c>
      <c r="BF639" t="str">
        <f>HYPERLINK("http://dx.doi.org/10.1038/nrrheum.2010.66","http://dx.doi.org/10.1038/nrrheum.2010.66")</f>
        <v>http://dx.doi.org/10.1038/nrrheum.2010.66</v>
      </c>
      <c r="BG639" t="s">
        <v>74</v>
      </c>
      <c r="BH639" t="s">
        <v>74</v>
      </c>
      <c r="BI639" t="s">
        <v>74</v>
      </c>
      <c r="BJ639" t="s">
        <v>16983</v>
      </c>
      <c r="BK639" t="s">
        <v>117</v>
      </c>
      <c r="BL639" t="s">
        <v>16983</v>
      </c>
      <c r="BM639" t="s">
        <v>74</v>
      </c>
      <c r="BN639">
        <v>20458331</v>
      </c>
      <c r="BO639" t="s">
        <v>74</v>
      </c>
      <c r="BP639" t="s">
        <v>74</v>
      </c>
      <c r="BQ639" t="s">
        <v>74</v>
      </c>
      <c r="BR639" t="s">
        <v>96</v>
      </c>
      <c r="BS639" t="s">
        <v>20772</v>
      </c>
      <c r="BT639" t="str">
        <f>HYPERLINK("https%3A%2F%2Fwww.webofscience.com%2Fwos%2Fwoscc%2Ffull-record%2FWOS:000278354600009","View Full Record in Web of Science")</f>
        <v>View Full Record in Web of Science</v>
      </c>
    </row>
    <row r="640" spans="1:72" x14ac:dyDescent="0.15">
      <c r="A640" t="s">
        <v>98</v>
      </c>
      <c r="B640" t="s">
        <v>21723</v>
      </c>
      <c r="C640" t="s">
        <v>74</v>
      </c>
      <c r="D640" t="s">
        <v>74</v>
      </c>
      <c r="E640" t="s">
        <v>74</v>
      </c>
      <c r="F640" t="s">
        <v>21724</v>
      </c>
      <c r="G640" t="s">
        <v>74</v>
      </c>
      <c r="H640" t="s">
        <v>74</v>
      </c>
      <c r="I640" t="s">
        <v>21725</v>
      </c>
      <c r="J640" t="s">
        <v>1346</v>
      </c>
      <c r="K640" t="s">
        <v>74</v>
      </c>
      <c r="L640" t="s">
        <v>74</v>
      </c>
      <c r="M640" t="s">
        <v>74</v>
      </c>
      <c r="N640" t="s">
        <v>103</v>
      </c>
      <c r="O640" t="s">
        <v>74</v>
      </c>
      <c r="P640" t="s">
        <v>74</v>
      </c>
      <c r="Q640" t="s">
        <v>74</v>
      </c>
      <c r="R640" t="s">
        <v>74</v>
      </c>
      <c r="S640" t="s">
        <v>74</v>
      </c>
      <c r="T640" t="s">
        <v>74</v>
      </c>
      <c r="U640" t="s">
        <v>21726</v>
      </c>
      <c r="V640" t="s">
        <v>21727</v>
      </c>
      <c r="W640" t="s">
        <v>21728</v>
      </c>
      <c r="X640" t="s">
        <v>21729</v>
      </c>
      <c r="Y640" t="s">
        <v>21730</v>
      </c>
      <c r="Z640" t="s">
        <v>21731</v>
      </c>
      <c r="AA640" t="s">
        <v>74</v>
      </c>
      <c r="AB640" t="s">
        <v>21732</v>
      </c>
      <c r="AC640" t="s">
        <v>74</v>
      </c>
      <c r="AD640" t="s">
        <v>74</v>
      </c>
      <c r="AE640" t="s">
        <v>74</v>
      </c>
      <c r="AF640" t="s">
        <v>74</v>
      </c>
      <c r="AG640">
        <v>57</v>
      </c>
      <c r="AH640">
        <v>30</v>
      </c>
      <c r="AI640">
        <v>30</v>
      </c>
      <c r="AJ640">
        <v>1</v>
      </c>
      <c r="AK640">
        <v>27</v>
      </c>
      <c r="AL640" t="s">
        <v>74</v>
      </c>
      <c r="AM640" t="s">
        <v>74</v>
      </c>
      <c r="AN640" t="s">
        <v>74</v>
      </c>
      <c r="AO640" t="s">
        <v>1355</v>
      </c>
      <c r="AP640" t="s">
        <v>1356</v>
      </c>
      <c r="AQ640" t="s">
        <v>74</v>
      </c>
      <c r="AR640" t="s">
        <v>74</v>
      </c>
      <c r="AS640" t="s">
        <v>74</v>
      </c>
      <c r="AT640" t="s">
        <v>170</v>
      </c>
      <c r="AU640">
        <v>2016</v>
      </c>
      <c r="AV640">
        <v>231</v>
      </c>
      <c r="AW640">
        <v>6</v>
      </c>
      <c r="AX640" t="s">
        <v>74</v>
      </c>
      <c r="AY640" t="s">
        <v>74</v>
      </c>
      <c r="AZ640" t="s">
        <v>74</v>
      </c>
      <c r="BA640" t="s">
        <v>74</v>
      </c>
      <c r="BB640">
        <v>1364</v>
      </c>
      <c r="BC640">
        <v>1374</v>
      </c>
      <c r="BD640" t="s">
        <v>74</v>
      </c>
      <c r="BE640" t="s">
        <v>21733</v>
      </c>
      <c r="BF640" t="str">
        <f>HYPERLINK("http://dx.doi.org/10.1002/jcp.25240","http://dx.doi.org/10.1002/jcp.25240")</f>
        <v>http://dx.doi.org/10.1002/jcp.25240</v>
      </c>
      <c r="BG640" t="s">
        <v>74</v>
      </c>
      <c r="BH640" t="s">
        <v>74</v>
      </c>
      <c r="BI640" t="s">
        <v>74</v>
      </c>
      <c r="BJ640" t="s">
        <v>1359</v>
      </c>
      <c r="BK640" t="s">
        <v>117</v>
      </c>
      <c r="BL640" t="s">
        <v>1359</v>
      </c>
      <c r="BM640" t="s">
        <v>74</v>
      </c>
      <c r="BN640">
        <v>26530043</v>
      </c>
      <c r="BO640" t="s">
        <v>74</v>
      </c>
      <c r="BP640" t="s">
        <v>74</v>
      </c>
      <c r="BQ640" t="s">
        <v>74</v>
      </c>
      <c r="BR640" t="s">
        <v>96</v>
      </c>
      <c r="BS640" t="s">
        <v>21734</v>
      </c>
      <c r="BT640" t="str">
        <f>HYPERLINK("https%3A%2F%2Fwww.webofscience.com%2Fwos%2Fwoscc%2Ffull-record%2FWOS:000370736600019","View Full Record in Web of Science")</f>
        <v>View Full Record in Web of Science</v>
      </c>
    </row>
    <row r="641" spans="1:72" x14ac:dyDescent="0.15">
      <c r="A641" t="s">
        <v>98</v>
      </c>
      <c r="B641" t="s">
        <v>21886</v>
      </c>
      <c r="C641" t="s">
        <v>74</v>
      </c>
      <c r="D641" t="s">
        <v>74</v>
      </c>
      <c r="E641" t="s">
        <v>74</v>
      </c>
      <c r="F641" t="s">
        <v>21887</v>
      </c>
      <c r="G641" t="s">
        <v>74</v>
      </c>
      <c r="H641" t="s">
        <v>74</v>
      </c>
      <c r="I641" t="s">
        <v>21888</v>
      </c>
      <c r="J641" t="s">
        <v>140</v>
      </c>
      <c r="K641" t="s">
        <v>74</v>
      </c>
      <c r="L641" t="s">
        <v>74</v>
      </c>
      <c r="M641" t="s">
        <v>74</v>
      </c>
      <c r="N641" t="s">
        <v>103</v>
      </c>
      <c r="O641" t="s">
        <v>74</v>
      </c>
      <c r="P641" t="s">
        <v>74</v>
      </c>
      <c r="Q641" t="s">
        <v>74</v>
      </c>
      <c r="R641" t="s">
        <v>74</v>
      </c>
      <c r="S641" t="s">
        <v>74</v>
      </c>
      <c r="T641" t="s">
        <v>74</v>
      </c>
      <c r="U641" t="s">
        <v>21889</v>
      </c>
      <c r="V641" t="s">
        <v>21890</v>
      </c>
      <c r="W641" t="s">
        <v>21891</v>
      </c>
      <c r="X641" t="s">
        <v>21892</v>
      </c>
      <c r="Y641" t="s">
        <v>21893</v>
      </c>
      <c r="Z641" t="s">
        <v>21894</v>
      </c>
      <c r="AA641" t="s">
        <v>21895</v>
      </c>
      <c r="AB641" t="s">
        <v>21896</v>
      </c>
      <c r="AC641" t="s">
        <v>74</v>
      </c>
      <c r="AD641" t="s">
        <v>74</v>
      </c>
      <c r="AE641" t="s">
        <v>74</v>
      </c>
      <c r="AF641" t="s">
        <v>74</v>
      </c>
      <c r="AG641">
        <v>37</v>
      </c>
      <c r="AH641">
        <v>30</v>
      </c>
      <c r="AI641">
        <v>30</v>
      </c>
      <c r="AJ641">
        <v>0</v>
      </c>
      <c r="AK641">
        <v>44</v>
      </c>
      <c r="AL641" t="s">
        <v>74</v>
      </c>
      <c r="AM641" t="s">
        <v>74</v>
      </c>
      <c r="AN641" t="s">
        <v>74</v>
      </c>
      <c r="AO641" t="s">
        <v>149</v>
      </c>
      <c r="AP641" t="s">
        <v>74</v>
      </c>
      <c r="AQ641" t="s">
        <v>74</v>
      </c>
      <c r="AR641" t="s">
        <v>74</v>
      </c>
      <c r="AS641" t="s">
        <v>74</v>
      </c>
      <c r="AT641" t="s">
        <v>21897</v>
      </c>
      <c r="AU641">
        <v>2017</v>
      </c>
      <c r="AV641">
        <v>7</v>
      </c>
      <c r="AW641" t="s">
        <v>74</v>
      </c>
      <c r="AX641" t="s">
        <v>74</v>
      </c>
      <c r="AY641" t="s">
        <v>74</v>
      </c>
      <c r="AZ641" t="s">
        <v>74</v>
      </c>
      <c r="BA641" t="s">
        <v>74</v>
      </c>
      <c r="BB641" t="s">
        <v>74</v>
      </c>
      <c r="BC641" t="s">
        <v>74</v>
      </c>
      <c r="BD641">
        <v>42741</v>
      </c>
      <c r="BE641" t="s">
        <v>21898</v>
      </c>
      <c r="BF641" t="str">
        <f>HYPERLINK("http://dx.doi.org/10.1038/srep42741","http://dx.doi.org/10.1038/srep42741")</f>
        <v>http://dx.doi.org/10.1038/srep42741</v>
      </c>
      <c r="BG641" t="s">
        <v>74</v>
      </c>
      <c r="BH641" t="s">
        <v>74</v>
      </c>
      <c r="BI641" t="s">
        <v>74</v>
      </c>
      <c r="BJ641" t="s">
        <v>152</v>
      </c>
      <c r="BK641" t="s">
        <v>117</v>
      </c>
      <c r="BL641" t="s">
        <v>153</v>
      </c>
      <c r="BM641" t="s">
        <v>74</v>
      </c>
      <c r="BN641">
        <v>28218293</v>
      </c>
      <c r="BO641" t="s">
        <v>74</v>
      </c>
      <c r="BP641" t="s">
        <v>74</v>
      </c>
      <c r="BQ641" t="s">
        <v>74</v>
      </c>
      <c r="BR641" t="s">
        <v>96</v>
      </c>
      <c r="BS641" t="s">
        <v>21899</v>
      </c>
      <c r="BT641" t="str">
        <f>HYPERLINK("https%3A%2F%2Fwww.webofscience.com%2Fwos%2Fwoscc%2Ffull-record%2FWOS:000394419800001","View Full Record in Web of Science")</f>
        <v>View Full Record in Web of Science</v>
      </c>
    </row>
    <row r="642" spans="1:72" x14ac:dyDescent="0.15">
      <c r="A642" t="s">
        <v>98</v>
      </c>
      <c r="B642" t="s">
        <v>22603</v>
      </c>
      <c r="C642" t="s">
        <v>74</v>
      </c>
      <c r="D642" t="s">
        <v>74</v>
      </c>
      <c r="E642" t="s">
        <v>74</v>
      </c>
      <c r="F642" t="s">
        <v>22604</v>
      </c>
      <c r="G642" t="s">
        <v>74</v>
      </c>
      <c r="H642" t="s">
        <v>74</v>
      </c>
      <c r="I642" t="s">
        <v>22605</v>
      </c>
      <c r="J642" t="s">
        <v>22606</v>
      </c>
      <c r="K642" t="s">
        <v>74</v>
      </c>
      <c r="L642" t="s">
        <v>74</v>
      </c>
      <c r="M642" t="s">
        <v>74</v>
      </c>
      <c r="N642" t="s">
        <v>103</v>
      </c>
      <c r="O642" t="s">
        <v>74</v>
      </c>
      <c r="P642" t="s">
        <v>74</v>
      </c>
      <c r="Q642" t="s">
        <v>74</v>
      </c>
      <c r="R642" t="s">
        <v>74</v>
      </c>
      <c r="S642" t="s">
        <v>74</v>
      </c>
      <c r="T642" t="s">
        <v>22607</v>
      </c>
      <c r="U642" t="s">
        <v>22608</v>
      </c>
      <c r="V642" t="s">
        <v>22609</v>
      </c>
      <c r="W642" t="s">
        <v>22610</v>
      </c>
      <c r="X642" t="s">
        <v>22611</v>
      </c>
      <c r="Y642" t="s">
        <v>22612</v>
      </c>
      <c r="Z642" t="s">
        <v>22613</v>
      </c>
      <c r="AA642" t="s">
        <v>74</v>
      </c>
      <c r="AB642" t="s">
        <v>74</v>
      </c>
      <c r="AC642" t="s">
        <v>74</v>
      </c>
      <c r="AD642" t="s">
        <v>74</v>
      </c>
      <c r="AE642" t="s">
        <v>74</v>
      </c>
      <c r="AF642" t="s">
        <v>74</v>
      </c>
      <c r="AG642">
        <v>27</v>
      </c>
      <c r="AH642">
        <v>30</v>
      </c>
      <c r="AI642">
        <v>30</v>
      </c>
      <c r="AJ642">
        <v>2</v>
      </c>
      <c r="AK642">
        <v>16</v>
      </c>
      <c r="AL642" t="s">
        <v>74</v>
      </c>
      <c r="AM642" t="s">
        <v>74</v>
      </c>
      <c r="AN642" t="s">
        <v>74</v>
      </c>
      <c r="AO642" t="s">
        <v>22614</v>
      </c>
      <c r="AP642" t="s">
        <v>22615</v>
      </c>
      <c r="AQ642" t="s">
        <v>74</v>
      </c>
      <c r="AR642" t="s">
        <v>74</v>
      </c>
      <c r="AS642" t="s">
        <v>74</v>
      </c>
      <c r="AT642" t="s">
        <v>565</v>
      </c>
      <c r="AU642">
        <v>2020</v>
      </c>
      <c r="AV642">
        <v>401</v>
      </c>
      <c r="AW642">
        <v>3</v>
      </c>
      <c r="AX642" t="s">
        <v>74</v>
      </c>
      <c r="AY642" t="s">
        <v>74</v>
      </c>
      <c r="AZ642" t="s">
        <v>74</v>
      </c>
      <c r="BA642" t="s">
        <v>74</v>
      </c>
      <c r="BB642">
        <v>367</v>
      </c>
      <c r="BC642">
        <v>376</v>
      </c>
      <c r="BD642" t="s">
        <v>74</v>
      </c>
      <c r="BE642" t="s">
        <v>22616</v>
      </c>
      <c r="BF642" t="str">
        <f>HYPERLINK("http://dx.doi.org/10.1515/hsz-2019-0219","http://dx.doi.org/10.1515/hsz-2019-0219")</f>
        <v>http://dx.doi.org/10.1515/hsz-2019-0219</v>
      </c>
      <c r="BG642" t="s">
        <v>74</v>
      </c>
      <c r="BH642" t="s">
        <v>74</v>
      </c>
      <c r="BI642" t="s">
        <v>74</v>
      </c>
      <c r="BJ642" t="s">
        <v>95</v>
      </c>
      <c r="BK642" t="s">
        <v>117</v>
      </c>
      <c r="BL642" t="s">
        <v>95</v>
      </c>
      <c r="BM642" t="s">
        <v>74</v>
      </c>
      <c r="BN642">
        <v>31318684</v>
      </c>
      <c r="BO642" t="s">
        <v>74</v>
      </c>
      <c r="BP642" t="s">
        <v>74</v>
      </c>
      <c r="BQ642" t="s">
        <v>74</v>
      </c>
      <c r="BR642" t="s">
        <v>96</v>
      </c>
      <c r="BS642" t="s">
        <v>22617</v>
      </c>
      <c r="BT642" t="str">
        <f>HYPERLINK("https%3A%2F%2Fwww.webofscience.com%2Fwos%2Fwoscc%2Ffull-record%2FWOS:000513877100005","View Full Record in Web of Science")</f>
        <v>View Full Record in Web of Science</v>
      </c>
    </row>
    <row r="643" spans="1:72" x14ac:dyDescent="0.15">
      <c r="A643" t="s">
        <v>98</v>
      </c>
      <c r="B643" t="s">
        <v>25307</v>
      </c>
      <c r="C643" t="s">
        <v>74</v>
      </c>
      <c r="D643" t="s">
        <v>74</v>
      </c>
      <c r="E643" t="s">
        <v>74</v>
      </c>
      <c r="F643" t="s">
        <v>25308</v>
      </c>
      <c r="G643" t="s">
        <v>74</v>
      </c>
      <c r="H643" t="s">
        <v>74</v>
      </c>
      <c r="I643" t="s">
        <v>25309</v>
      </c>
      <c r="J643" t="s">
        <v>6273</v>
      </c>
      <c r="K643" t="s">
        <v>74</v>
      </c>
      <c r="L643" t="s">
        <v>74</v>
      </c>
      <c r="M643" t="s">
        <v>74</v>
      </c>
      <c r="N643" t="s">
        <v>103</v>
      </c>
      <c r="O643" t="s">
        <v>74</v>
      </c>
      <c r="P643" t="s">
        <v>74</v>
      </c>
      <c r="Q643" t="s">
        <v>74</v>
      </c>
      <c r="R643" t="s">
        <v>74</v>
      </c>
      <c r="S643" t="s">
        <v>74</v>
      </c>
      <c r="T643" t="s">
        <v>74</v>
      </c>
      <c r="U643" t="s">
        <v>25310</v>
      </c>
      <c r="V643" t="s">
        <v>25311</v>
      </c>
      <c r="W643" t="s">
        <v>25312</v>
      </c>
      <c r="X643" t="s">
        <v>25313</v>
      </c>
      <c r="Y643" t="s">
        <v>25314</v>
      </c>
      <c r="Z643" t="s">
        <v>25315</v>
      </c>
      <c r="AA643" t="s">
        <v>74</v>
      </c>
      <c r="AB643" t="s">
        <v>74</v>
      </c>
      <c r="AC643" t="s">
        <v>74</v>
      </c>
      <c r="AD643" t="s">
        <v>74</v>
      </c>
      <c r="AE643" t="s">
        <v>74</v>
      </c>
      <c r="AF643" t="s">
        <v>74</v>
      </c>
      <c r="AG643">
        <v>39</v>
      </c>
      <c r="AH643">
        <v>30</v>
      </c>
      <c r="AI643">
        <v>31</v>
      </c>
      <c r="AJ643">
        <v>0</v>
      </c>
      <c r="AK643">
        <v>12</v>
      </c>
      <c r="AL643" t="s">
        <v>74</v>
      </c>
      <c r="AM643" t="s">
        <v>74</v>
      </c>
      <c r="AN643" t="s">
        <v>74</v>
      </c>
      <c r="AO643" t="s">
        <v>6281</v>
      </c>
      <c r="AP643" t="s">
        <v>74</v>
      </c>
      <c r="AQ643" t="s">
        <v>74</v>
      </c>
      <c r="AR643" t="s">
        <v>74</v>
      </c>
      <c r="AS643" t="s">
        <v>74</v>
      </c>
      <c r="AT643" t="s">
        <v>565</v>
      </c>
      <c r="AU643">
        <v>2007</v>
      </c>
      <c r="AV643">
        <v>189</v>
      </c>
      <c r="AW643">
        <v>5</v>
      </c>
      <c r="AX643" t="s">
        <v>74</v>
      </c>
      <c r="AY643" t="s">
        <v>74</v>
      </c>
      <c r="AZ643" t="s">
        <v>74</v>
      </c>
      <c r="BA643" t="s">
        <v>74</v>
      </c>
      <c r="BB643">
        <v>1905</v>
      </c>
      <c r="BC643">
        <v>1913</v>
      </c>
      <c r="BD643" t="s">
        <v>74</v>
      </c>
      <c r="BE643" t="s">
        <v>25316</v>
      </c>
      <c r="BF643" t="str">
        <f>HYPERLINK("http://dx.doi.org/10.1128/JB.01512-06","http://dx.doi.org/10.1128/JB.01512-06")</f>
        <v>http://dx.doi.org/10.1128/JB.01512-06</v>
      </c>
      <c r="BG643" t="s">
        <v>74</v>
      </c>
      <c r="BH643" t="s">
        <v>74</v>
      </c>
      <c r="BI643" t="s">
        <v>74</v>
      </c>
      <c r="BJ643" t="s">
        <v>898</v>
      </c>
      <c r="BK643" t="s">
        <v>117</v>
      </c>
      <c r="BL643" t="s">
        <v>898</v>
      </c>
      <c r="BM643" t="s">
        <v>74</v>
      </c>
      <c r="BN643">
        <v>17142389</v>
      </c>
      <c r="BO643" t="s">
        <v>74</v>
      </c>
      <c r="BP643" t="s">
        <v>74</v>
      </c>
      <c r="BQ643" t="s">
        <v>74</v>
      </c>
      <c r="BR643" t="s">
        <v>96</v>
      </c>
      <c r="BS643" t="s">
        <v>25317</v>
      </c>
      <c r="BT643" t="str">
        <f>HYPERLINK("https%3A%2F%2Fwww.webofscience.com%2Fwos%2Fwoscc%2Ffull-record%2FWOS:000244462800046","View Full Record in Web of Science")</f>
        <v>View Full Record in Web of Science</v>
      </c>
    </row>
    <row r="644" spans="1:72" x14ac:dyDescent="0.15">
      <c r="A644" t="s">
        <v>98</v>
      </c>
      <c r="B644" t="s">
        <v>25318</v>
      </c>
      <c r="C644" t="s">
        <v>74</v>
      </c>
      <c r="D644" t="s">
        <v>74</v>
      </c>
      <c r="E644" t="s">
        <v>74</v>
      </c>
      <c r="F644" t="s">
        <v>25319</v>
      </c>
      <c r="G644" t="s">
        <v>74</v>
      </c>
      <c r="H644" t="s">
        <v>74</v>
      </c>
      <c r="I644" t="s">
        <v>25320</v>
      </c>
      <c r="J644" t="s">
        <v>23568</v>
      </c>
      <c r="K644" t="s">
        <v>74</v>
      </c>
      <c r="L644" t="s">
        <v>74</v>
      </c>
      <c r="M644" t="s">
        <v>74</v>
      </c>
      <c r="N644" t="s">
        <v>103</v>
      </c>
      <c r="O644" t="s">
        <v>74</v>
      </c>
      <c r="P644" t="s">
        <v>74</v>
      </c>
      <c r="Q644" t="s">
        <v>74</v>
      </c>
      <c r="R644" t="s">
        <v>74</v>
      </c>
      <c r="S644" t="s">
        <v>74</v>
      </c>
      <c r="T644" t="s">
        <v>74</v>
      </c>
      <c r="U644" t="s">
        <v>25321</v>
      </c>
      <c r="V644" t="s">
        <v>25322</v>
      </c>
      <c r="W644" t="s">
        <v>25323</v>
      </c>
      <c r="X644" t="s">
        <v>25324</v>
      </c>
      <c r="Y644" t="s">
        <v>25325</v>
      </c>
      <c r="Z644" t="s">
        <v>25326</v>
      </c>
      <c r="AA644" t="s">
        <v>25327</v>
      </c>
      <c r="AB644" t="s">
        <v>25328</v>
      </c>
      <c r="AC644" t="s">
        <v>74</v>
      </c>
      <c r="AD644" t="s">
        <v>74</v>
      </c>
      <c r="AE644" t="s">
        <v>74</v>
      </c>
      <c r="AF644" t="s">
        <v>74</v>
      </c>
      <c r="AG644">
        <v>37</v>
      </c>
      <c r="AH644">
        <v>30</v>
      </c>
      <c r="AI644">
        <v>34</v>
      </c>
      <c r="AJ644">
        <v>3</v>
      </c>
      <c r="AK644">
        <v>21</v>
      </c>
      <c r="AL644" t="s">
        <v>74</v>
      </c>
      <c r="AM644" t="s">
        <v>74</v>
      </c>
      <c r="AN644" t="s">
        <v>74</v>
      </c>
      <c r="AO644" t="s">
        <v>23576</v>
      </c>
      <c r="AP644" t="s">
        <v>23577</v>
      </c>
      <c r="AQ644" t="s">
        <v>74</v>
      </c>
      <c r="AR644" t="s">
        <v>74</v>
      </c>
      <c r="AS644" t="s">
        <v>74</v>
      </c>
      <c r="AT644" t="s">
        <v>230</v>
      </c>
      <c r="AU644">
        <v>2020</v>
      </c>
      <c r="AV644">
        <v>72</v>
      </c>
      <c r="AW644">
        <v>2</v>
      </c>
      <c r="AX644" t="s">
        <v>74</v>
      </c>
      <c r="AY644" t="s">
        <v>74</v>
      </c>
      <c r="AZ644" t="s">
        <v>74</v>
      </c>
      <c r="BA644" t="s">
        <v>74</v>
      </c>
      <c r="BB644">
        <v>609</v>
      </c>
      <c r="BC644">
        <v>625</v>
      </c>
      <c r="BD644" t="s">
        <v>74</v>
      </c>
      <c r="BE644" t="s">
        <v>25329</v>
      </c>
      <c r="BF644" t="str">
        <f>HYPERLINK("http://dx.doi.org/10.1002/hep.31041","http://dx.doi.org/10.1002/hep.31041")</f>
        <v>http://dx.doi.org/10.1002/hep.31041</v>
      </c>
      <c r="BG644" t="s">
        <v>74</v>
      </c>
      <c r="BH644" t="s">
        <v>1066</v>
      </c>
      <c r="BI644" t="s">
        <v>74</v>
      </c>
      <c r="BJ644" t="s">
        <v>633</v>
      </c>
      <c r="BK644" t="s">
        <v>117</v>
      </c>
      <c r="BL644" t="s">
        <v>633</v>
      </c>
      <c r="BM644" t="s">
        <v>74</v>
      </c>
      <c r="BN644">
        <v>31849082</v>
      </c>
      <c r="BO644" t="s">
        <v>74</v>
      </c>
      <c r="BP644" t="s">
        <v>74</v>
      </c>
      <c r="BQ644" t="s">
        <v>74</v>
      </c>
      <c r="BR644" t="s">
        <v>96</v>
      </c>
      <c r="BS644" t="s">
        <v>25330</v>
      </c>
      <c r="BT644" t="str">
        <f>HYPERLINK("https%3A%2F%2Fwww.webofscience.com%2Fwos%2Fwoscc%2Ffull-record%2FWOS:000530993500001","View Full Record in Web of Science")</f>
        <v>View Full Record in Web of Science</v>
      </c>
    </row>
    <row r="645" spans="1:72" x14ac:dyDescent="0.15">
      <c r="A645" t="s">
        <v>98</v>
      </c>
      <c r="B645" t="s">
        <v>25522</v>
      </c>
      <c r="C645" t="s">
        <v>74</v>
      </c>
      <c r="D645" t="s">
        <v>74</v>
      </c>
      <c r="E645" t="s">
        <v>74</v>
      </c>
      <c r="F645" t="s">
        <v>25523</v>
      </c>
      <c r="G645" t="s">
        <v>74</v>
      </c>
      <c r="H645" t="s">
        <v>74</v>
      </c>
      <c r="I645" t="s">
        <v>25524</v>
      </c>
      <c r="J645" t="s">
        <v>23333</v>
      </c>
      <c r="K645" t="s">
        <v>74</v>
      </c>
      <c r="L645" t="s">
        <v>74</v>
      </c>
      <c r="M645" t="s">
        <v>74</v>
      </c>
      <c r="N645" t="s">
        <v>103</v>
      </c>
      <c r="O645" t="s">
        <v>74</v>
      </c>
      <c r="P645" t="s">
        <v>74</v>
      </c>
      <c r="Q645" t="s">
        <v>74</v>
      </c>
      <c r="R645" t="s">
        <v>74</v>
      </c>
      <c r="S645" t="s">
        <v>74</v>
      </c>
      <c r="T645" t="s">
        <v>25525</v>
      </c>
      <c r="U645" t="s">
        <v>25526</v>
      </c>
      <c r="V645" t="s">
        <v>25527</v>
      </c>
      <c r="W645" t="s">
        <v>25528</v>
      </c>
      <c r="X645" t="s">
        <v>25529</v>
      </c>
      <c r="Y645" t="s">
        <v>25530</v>
      </c>
      <c r="Z645" t="s">
        <v>13373</v>
      </c>
      <c r="AA645" t="s">
        <v>25531</v>
      </c>
      <c r="AB645" t="s">
        <v>25532</v>
      </c>
      <c r="AC645" t="s">
        <v>74</v>
      </c>
      <c r="AD645" t="s">
        <v>74</v>
      </c>
      <c r="AE645" t="s">
        <v>74</v>
      </c>
      <c r="AF645" t="s">
        <v>74</v>
      </c>
      <c r="AG645">
        <v>54</v>
      </c>
      <c r="AH645">
        <v>30</v>
      </c>
      <c r="AI645">
        <v>30</v>
      </c>
      <c r="AJ645">
        <v>2</v>
      </c>
      <c r="AK645">
        <v>17</v>
      </c>
      <c r="AL645" t="s">
        <v>74</v>
      </c>
      <c r="AM645" t="s">
        <v>74</v>
      </c>
      <c r="AN645" t="s">
        <v>74</v>
      </c>
      <c r="AO645" t="s">
        <v>23342</v>
      </c>
      <c r="AP645" t="s">
        <v>23343</v>
      </c>
      <c r="AQ645" t="s">
        <v>74</v>
      </c>
      <c r="AR645" t="s">
        <v>74</v>
      </c>
      <c r="AS645" t="s">
        <v>74</v>
      </c>
      <c r="AT645" t="s">
        <v>189</v>
      </c>
      <c r="AU645">
        <v>2016</v>
      </c>
      <c r="AV645">
        <v>61</v>
      </c>
      <c r="AW645" t="s">
        <v>74</v>
      </c>
      <c r="AX645" t="s">
        <v>74</v>
      </c>
      <c r="AY645" t="s">
        <v>74</v>
      </c>
      <c r="AZ645" t="s">
        <v>74</v>
      </c>
      <c r="BA645" t="s">
        <v>74</v>
      </c>
      <c r="BB645">
        <v>8</v>
      </c>
      <c r="BC645">
        <v>11</v>
      </c>
      <c r="BD645" t="s">
        <v>74</v>
      </c>
      <c r="BE645" t="s">
        <v>25533</v>
      </c>
      <c r="BF645" t="str">
        <f>HYPERLINK("http://dx.doi.org/10.1016/j.oraloncology.2016.07.014","http://dx.doi.org/10.1016/j.oraloncology.2016.07.014")</f>
        <v>http://dx.doi.org/10.1016/j.oraloncology.2016.07.014</v>
      </c>
      <c r="BG645" t="s">
        <v>74</v>
      </c>
      <c r="BH645" t="s">
        <v>74</v>
      </c>
      <c r="BI645" t="s">
        <v>74</v>
      </c>
      <c r="BJ645" t="s">
        <v>23345</v>
      </c>
      <c r="BK645" t="s">
        <v>117</v>
      </c>
      <c r="BL645" t="s">
        <v>23345</v>
      </c>
      <c r="BM645" t="s">
        <v>74</v>
      </c>
      <c r="BN645">
        <v>27688098</v>
      </c>
      <c r="BO645" t="s">
        <v>74</v>
      </c>
      <c r="BP645" t="s">
        <v>74</v>
      </c>
      <c r="BQ645" t="s">
        <v>74</v>
      </c>
      <c r="BR645" t="s">
        <v>96</v>
      </c>
      <c r="BS645" t="s">
        <v>25534</v>
      </c>
      <c r="BT645" t="str">
        <f>HYPERLINK("https%3A%2F%2Fwww.webofscience.com%2Fwos%2Fwoscc%2Ffull-record%2FWOS:000384695400002","View Full Record in Web of Science")</f>
        <v>View Full Record in Web of Science</v>
      </c>
    </row>
    <row r="646" spans="1:72" x14ac:dyDescent="0.15">
      <c r="A646" t="s">
        <v>98</v>
      </c>
      <c r="B646" t="s">
        <v>28174</v>
      </c>
      <c r="C646" t="s">
        <v>74</v>
      </c>
      <c r="D646" t="s">
        <v>74</v>
      </c>
      <c r="E646" t="s">
        <v>74</v>
      </c>
      <c r="F646" t="s">
        <v>28175</v>
      </c>
      <c r="G646" t="s">
        <v>74</v>
      </c>
      <c r="H646" t="s">
        <v>74</v>
      </c>
      <c r="I646" t="s">
        <v>28176</v>
      </c>
      <c r="J646" t="s">
        <v>7360</v>
      </c>
      <c r="K646" t="s">
        <v>74</v>
      </c>
      <c r="L646" t="s">
        <v>74</v>
      </c>
      <c r="M646" t="s">
        <v>74</v>
      </c>
      <c r="N646" t="s">
        <v>103</v>
      </c>
      <c r="O646" t="s">
        <v>74</v>
      </c>
      <c r="P646" t="s">
        <v>74</v>
      </c>
      <c r="Q646" t="s">
        <v>74</v>
      </c>
      <c r="R646" t="s">
        <v>74</v>
      </c>
      <c r="S646" t="s">
        <v>74</v>
      </c>
      <c r="T646" t="s">
        <v>28177</v>
      </c>
      <c r="U646" t="s">
        <v>28178</v>
      </c>
      <c r="V646" t="s">
        <v>28179</v>
      </c>
      <c r="W646" t="s">
        <v>28180</v>
      </c>
      <c r="X646" t="s">
        <v>23533</v>
      </c>
      <c r="Y646" t="s">
        <v>28181</v>
      </c>
      <c r="Z646" t="s">
        <v>28182</v>
      </c>
      <c r="AA646" t="s">
        <v>74</v>
      </c>
      <c r="AB646" t="s">
        <v>74</v>
      </c>
      <c r="AC646" t="s">
        <v>74</v>
      </c>
      <c r="AD646" t="s">
        <v>74</v>
      </c>
      <c r="AE646" t="s">
        <v>74</v>
      </c>
      <c r="AF646" t="s">
        <v>74</v>
      </c>
      <c r="AG646">
        <v>45</v>
      </c>
      <c r="AH646">
        <v>30</v>
      </c>
      <c r="AI646">
        <v>31</v>
      </c>
      <c r="AJ646">
        <v>1</v>
      </c>
      <c r="AK646">
        <v>13</v>
      </c>
      <c r="AL646" t="s">
        <v>74</v>
      </c>
      <c r="AM646" t="s">
        <v>74</v>
      </c>
      <c r="AN646" t="s">
        <v>74</v>
      </c>
      <c r="AO646" t="s">
        <v>7368</v>
      </c>
      <c r="AP646" t="s">
        <v>7369</v>
      </c>
      <c r="AQ646" t="s">
        <v>74</v>
      </c>
      <c r="AR646" t="s">
        <v>74</v>
      </c>
      <c r="AS646" t="s">
        <v>74</v>
      </c>
      <c r="AT646" t="s">
        <v>189</v>
      </c>
      <c r="AU646">
        <v>2015</v>
      </c>
      <c r="AV646">
        <v>780</v>
      </c>
      <c r="AW646" t="s">
        <v>74</v>
      </c>
      <c r="AX646" t="s">
        <v>74</v>
      </c>
      <c r="AY646" t="s">
        <v>74</v>
      </c>
      <c r="AZ646" t="s">
        <v>74</v>
      </c>
      <c r="BA646" t="s">
        <v>74</v>
      </c>
      <c r="BB646">
        <v>77</v>
      </c>
      <c r="BC646">
        <v>85</v>
      </c>
      <c r="BD646" t="s">
        <v>74</v>
      </c>
      <c r="BE646" t="s">
        <v>28183</v>
      </c>
      <c r="BF646" t="str">
        <f>HYPERLINK("http://dx.doi.org/10.1016/j.mrfmmm.2015.08.003","http://dx.doi.org/10.1016/j.mrfmmm.2015.08.003")</f>
        <v>http://dx.doi.org/10.1016/j.mrfmmm.2015.08.003</v>
      </c>
      <c r="BG646" t="s">
        <v>74</v>
      </c>
      <c r="BH646" t="s">
        <v>74</v>
      </c>
      <c r="BI646" t="s">
        <v>74</v>
      </c>
      <c r="BJ646" t="s">
        <v>7371</v>
      </c>
      <c r="BK646" t="s">
        <v>117</v>
      </c>
      <c r="BL646" t="s">
        <v>7371</v>
      </c>
      <c r="BM646" t="s">
        <v>74</v>
      </c>
      <c r="BN646">
        <v>26302379</v>
      </c>
      <c r="BO646" t="s">
        <v>74</v>
      </c>
      <c r="BP646" t="s">
        <v>74</v>
      </c>
      <c r="BQ646" t="s">
        <v>74</v>
      </c>
      <c r="BR646" t="s">
        <v>96</v>
      </c>
      <c r="BS646" t="s">
        <v>28184</v>
      </c>
      <c r="BT646" t="str">
        <f>HYPERLINK("https%3A%2F%2Fwww.webofscience.com%2Fwos%2Fwoscc%2Ffull-record%2FWOS:000362306000009","View Full Record in Web of Science")</f>
        <v>View Full Record in Web of Science</v>
      </c>
    </row>
    <row r="647" spans="1:72" x14ac:dyDescent="0.15">
      <c r="A647" t="s">
        <v>98</v>
      </c>
      <c r="B647" t="s">
        <v>28562</v>
      </c>
      <c r="C647" t="s">
        <v>74</v>
      </c>
      <c r="D647" t="s">
        <v>74</v>
      </c>
      <c r="E647" t="s">
        <v>74</v>
      </c>
      <c r="F647" t="s">
        <v>28562</v>
      </c>
      <c r="G647" t="s">
        <v>74</v>
      </c>
      <c r="H647" t="s">
        <v>74</v>
      </c>
      <c r="I647" t="s">
        <v>28563</v>
      </c>
      <c r="J647" t="s">
        <v>2505</v>
      </c>
      <c r="K647" t="s">
        <v>74</v>
      </c>
      <c r="L647" t="s">
        <v>74</v>
      </c>
      <c r="M647" t="s">
        <v>74</v>
      </c>
      <c r="N647" t="s">
        <v>103</v>
      </c>
      <c r="O647" t="s">
        <v>74</v>
      </c>
      <c r="P647" t="s">
        <v>74</v>
      </c>
      <c r="Q647" t="s">
        <v>74</v>
      </c>
      <c r="R647" t="s">
        <v>74</v>
      </c>
      <c r="S647" t="s">
        <v>74</v>
      </c>
      <c r="T647" t="s">
        <v>28564</v>
      </c>
      <c r="U647" t="s">
        <v>28565</v>
      </c>
      <c r="V647" t="s">
        <v>28566</v>
      </c>
      <c r="W647" t="s">
        <v>28567</v>
      </c>
      <c r="X647" t="s">
        <v>26810</v>
      </c>
      <c r="Y647" t="s">
        <v>74</v>
      </c>
      <c r="Z647" t="s">
        <v>74</v>
      </c>
      <c r="AA647" t="s">
        <v>74</v>
      </c>
      <c r="AB647" t="s">
        <v>74</v>
      </c>
      <c r="AC647" t="s">
        <v>74</v>
      </c>
      <c r="AD647" t="s">
        <v>74</v>
      </c>
      <c r="AE647" t="s">
        <v>74</v>
      </c>
      <c r="AF647" t="s">
        <v>74</v>
      </c>
      <c r="AG647">
        <v>53</v>
      </c>
      <c r="AH647">
        <v>30</v>
      </c>
      <c r="AI647">
        <v>30</v>
      </c>
      <c r="AJ647">
        <v>0</v>
      </c>
      <c r="AK647">
        <v>1</v>
      </c>
      <c r="AL647" t="s">
        <v>74</v>
      </c>
      <c r="AM647" t="s">
        <v>74</v>
      </c>
      <c r="AN647" t="s">
        <v>74</v>
      </c>
      <c r="AO647" t="s">
        <v>2513</v>
      </c>
      <c r="AP647" t="s">
        <v>2514</v>
      </c>
      <c r="AQ647" t="s">
        <v>74</v>
      </c>
      <c r="AR647" t="s">
        <v>74</v>
      </c>
      <c r="AS647" t="s">
        <v>74</v>
      </c>
      <c r="AT647" t="s">
        <v>170</v>
      </c>
      <c r="AU647">
        <v>1992</v>
      </c>
      <c r="AV647">
        <v>49</v>
      </c>
      <c r="AW647">
        <v>2</v>
      </c>
      <c r="AX647" t="s">
        <v>74</v>
      </c>
      <c r="AY647" t="s">
        <v>74</v>
      </c>
      <c r="AZ647" t="s">
        <v>74</v>
      </c>
      <c r="BA647" t="s">
        <v>74</v>
      </c>
      <c r="BB647">
        <v>181</v>
      </c>
      <c r="BC647">
        <v>198</v>
      </c>
      <c r="BD647" t="s">
        <v>74</v>
      </c>
      <c r="BE647" t="s">
        <v>28568</v>
      </c>
      <c r="BF647" t="str">
        <f>HYPERLINK("http://dx.doi.org/10.1002/jcb.240490211","http://dx.doi.org/10.1002/jcb.240490211")</f>
        <v>http://dx.doi.org/10.1002/jcb.240490211</v>
      </c>
      <c r="BG647" t="s">
        <v>74</v>
      </c>
      <c r="BH647" t="s">
        <v>74</v>
      </c>
      <c r="BI647" t="s">
        <v>74</v>
      </c>
      <c r="BJ647" t="s">
        <v>498</v>
      </c>
      <c r="BK647" t="s">
        <v>117</v>
      </c>
      <c r="BL647" t="s">
        <v>498</v>
      </c>
      <c r="BM647" t="s">
        <v>74</v>
      </c>
      <c r="BN647">
        <v>1400624</v>
      </c>
      <c r="BO647" t="s">
        <v>74</v>
      </c>
      <c r="BP647" t="s">
        <v>74</v>
      </c>
      <c r="BQ647" t="s">
        <v>74</v>
      </c>
      <c r="BR647" t="s">
        <v>96</v>
      </c>
      <c r="BS647" t="s">
        <v>28569</v>
      </c>
      <c r="BT647" t="str">
        <f>HYPERLINK("https%3A%2F%2Fwww.webofscience.com%2Fwos%2Fwoscc%2Ffull-record%2FWOS:A1992HZ93500010","View Full Record in Web of Science")</f>
        <v>View Full Record in Web of Science</v>
      </c>
    </row>
    <row r="648" spans="1:72" x14ac:dyDescent="0.15">
      <c r="A648" t="s">
        <v>98</v>
      </c>
      <c r="B648" t="s">
        <v>29041</v>
      </c>
      <c r="C648" t="s">
        <v>74</v>
      </c>
      <c r="D648" t="s">
        <v>74</v>
      </c>
      <c r="E648" t="s">
        <v>74</v>
      </c>
      <c r="F648" t="s">
        <v>29042</v>
      </c>
      <c r="G648" t="s">
        <v>74</v>
      </c>
      <c r="H648" t="s">
        <v>74</v>
      </c>
      <c r="I648" t="s">
        <v>29043</v>
      </c>
      <c r="J648" t="s">
        <v>29044</v>
      </c>
      <c r="K648" t="s">
        <v>74</v>
      </c>
      <c r="L648" t="s">
        <v>74</v>
      </c>
      <c r="M648" t="s">
        <v>74</v>
      </c>
      <c r="N648" t="s">
        <v>103</v>
      </c>
      <c r="O648" t="s">
        <v>74</v>
      </c>
      <c r="P648" t="s">
        <v>74</v>
      </c>
      <c r="Q648" t="s">
        <v>74</v>
      </c>
      <c r="R648" t="s">
        <v>74</v>
      </c>
      <c r="S648" t="s">
        <v>74</v>
      </c>
      <c r="T648" t="s">
        <v>29045</v>
      </c>
      <c r="U648" t="s">
        <v>29046</v>
      </c>
      <c r="V648" t="s">
        <v>29047</v>
      </c>
      <c r="W648" t="s">
        <v>29048</v>
      </c>
      <c r="X648" t="s">
        <v>29049</v>
      </c>
      <c r="Y648" t="s">
        <v>29050</v>
      </c>
      <c r="Z648" t="s">
        <v>29051</v>
      </c>
      <c r="AA648" t="s">
        <v>74</v>
      </c>
      <c r="AB648" t="s">
        <v>74</v>
      </c>
      <c r="AC648" t="s">
        <v>74</v>
      </c>
      <c r="AD648" t="s">
        <v>74</v>
      </c>
      <c r="AE648" t="s">
        <v>74</v>
      </c>
      <c r="AF648" t="s">
        <v>74</v>
      </c>
      <c r="AG648">
        <v>50</v>
      </c>
      <c r="AH648">
        <v>30</v>
      </c>
      <c r="AI648">
        <v>32</v>
      </c>
      <c r="AJ648">
        <v>1</v>
      </c>
      <c r="AK648">
        <v>4</v>
      </c>
      <c r="AL648" t="s">
        <v>74</v>
      </c>
      <c r="AM648" t="s">
        <v>74</v>
      </c>
      <c r="AN648" t="s">
        <v>74</v>
      </c>
      <c r="AO648" t="s">
        <v>29052</v>
      </c>
      <c r="AP648" t="s">
        <v>29053</v>
      </c>
      <c r="AQ648" t="s">
        <v>74</v>
      </c>
      <c r="AR648" t="s">
        <v>74</v>
      </c>
      <c r="AS648" t="s">
        <v>74</v>
      </c>
      <c r="AT648" t="s">
        <v>132</v>
      </c>
      <c r="AU648">
        <v>2007</v>
      </c>
      <c r="AV648">
        <v>50</v>
      </c>
      <c r="AW648">
        <v>4</v>
      </c>
      <c r="AX648" t="s">
        <v>74</v>
      </c>
      <c r="AY648" t="s">
        <v>74</v>
      </c>
      <c r="AZ648" t="s">
        <v>74</v>
      </c>
      <c r="BA648" t="s">
        <v>74</v>
      </c>
      <c r="BB648">
        <v>764</v>
      </c>
      <c r="BC648">
        <v>773</v>
      </c>
      <c r="BD648" t="s">
        <v>74</v>
      </c>
      <c r="BE648" t="s">
        <v>29054</v>
      </c>
      <c r="BF648" t="str">
        <f>HYPERLINK("http://dx.doi.org/10.1007/s00125-007-0601-8","http://dx.doi.org/10.1007/s00125-007-0601-8")</f>
        <v>http://dx.doi.org/10.1007/s00125-007-0601-8</v>
      </c>
      <c r="BG648" t="s">
        <v>74</v>
      </c>
      <c r="BH648" t="s">
        <v>74</v>
      </c>
      <c r="BI648" t="s">
        <v>74</v>
      </c>
      <c r="BJ648" t="s">
        <v>3599</v>
      </c>
      <c r="BK648" t="s">
        <v>117</v>
      </c>
      <c r="BL648" t="s">
        <v>3599</v>
      </c>
      <c r="BM648" t="s">
        <v>74</v>
      </c>
      <c r="BN648">
        <v>17318626</v>
      </c>
      <c r="BO648" t="s">
        <v>74</v>
      </c>
      <c r="BP648" t="s">
        <v>74</v>
      </c>
      <c r="BQ648" t="s">
        <v>74</v>
      </c>
      <c r="BR648" t="s">
        <v>96</v>
      </c>
      <c r="BS648" t="s">
        <v>29055</v>
      </c>
      <c r="BT648" t="str">
        <f>HYPERLINK("https%3A%2F%2Fwww.webofscience.com%2Fwos%2Fwoscc%2Ffull-record%2FWOS:000244687700010","View Full Record in Web of Science")</f>
        <v>View Full Record in Web of Science</v>
      </c>
    </row>
    <row r="649" spans="1:72" x14ac:dyDescent="0.15">
      <c r="A649" t="s">
        <v>98</v>
      </c>
      <c r="B649" t="s">
        <v>4655</v>
      </c>
      <c r="C649" t="s">
        <v>74</v>
      </c>
      <c r="D649" t="s">
        <v>74</v>
      </c>
      <c r="E649" t="s">
        <v>74</v>
      </c>
      <c r="F649" t="s">
        <v>4656</v>
      </c>
      <c r="G649" t="s">
        <v>74</v>
      </c>
      <c r="H649" t="s">
        <v>74</v>
      </c>
      <c r="I649" t="s">
        <v>4657</v>
      </c>
      <c r="J649" t="s">
        <v>1143</v>
      </c>
      <c r="K649" t="s">
        <v>74</v>
      </c>
      <c r="L649" t="s">
        <v>74</v>
      </c>
      <c r="M649" t="s">
        <v>74</v>
      </c>
      <c r="N649" t="s">
        <v>103</v>
      </c>
      <c r="O649" t="s">
        <v>74</v>
      </c>
      <c r="P649" t="s">
        <v>74</v>
      </c>
      <c r="Q649" t="s">
        <v>74</v>
      </c>
      <c r="R649" t="s">
        <v>74</v>
      </c>
      <c r="S649" t="s">
        <v>74</v>
      </c>
      <c r="T649" t="s">
        <v>4658</v>
      </c>
      <c r="U649" t="s">
        <v>4659</v>
      </c>
      <c r="V649" t="s">
        <v>4660</v>
      </c>
      <c r="W649" t="s">
        <v>4661</v>
      </c>
      <c r="X649" t="s">
        <v>4662</v>
      </c>
      <c r="Y649" t="s">
        <v>4663</v>
      </c>
      <c r="Z649" t="s">
        <v>4664</v>
      </c>
      <c r="AA649" t="s">
        <v>4665</v>
      </c>
      <c r="AB649" t="s">
        <v>4666</v>
      </c>
      <c r="AC649" t="s">
        <v>74</v>
      </c>
      <c r="AD649" t="s">
        <v>74</v>
      </c>
      <c r="AE649" t="s">
        <v>74</v>
      </c>
      <c r="AF649" t="s">
        <v>74</v>
      </c>
      <c r="AG649">
        <v>60</v>
      </c>
      <c r="AH649">
        <v>29</v>
      </c>
      <c r="AI649">
        <v>29</v>
      </c>
      <c r="AJ649">
        <v>3</v>
      </c>
      <c r="AK649">
        <v>12</v>
      </c>
      <c r="AL649" t="s">
        <v>74</v>
      </c>
      <c r="AM649" t="s">
        <v>74</v>
      </c>
      <c r="AN649" t="s">
        <v>74</v>
      </c>
      <c r="AO649" t="s">
        <v>1153</v>
      </c>
      <c r="AP649" t="s">
        <v>74</v>
      </c>
      <c r="AQ649" t="s">
        <v>74</v>
      </c>
      <c r="AR649" t="s">
        <v>74</v>
      </c>
      <c r="AS649" t="s">
        <v>74</v>
      </c>
      <c r="AT649" t="s">
        <v>74</v>
      </c>
      <c r="AU649">
        <v>2019</v>
      </c>
      <c r="AV649">
        <v>9</v>
      </c>
      <c r="AW649">
        <v>23</v>
      </c>
      <c r="AX649" t="s">
        <v>74</v>
      </c>
      <c r="AY649" t="s">
        <v>74</v>
      </c>
      <c r="AZ649" t="s">
        <v>74</v>
      </c>
      <c r="BA649" t="s">
        <v>74</v>
      </c>
      <c r="BB649">
        <v>6976</v>
      </c>
      <c r="BC649">
        <v>6990</v>
      </c>
      <c r="BD649" t="s">
        <v>74</v>
      </c>
      <c r="BE649" t="s">
        <v>4667</v>
      </c>
      <c r="BF649" t="str">
        <f>HYPERLINK("http://dx.doi.org/10.7150/thno.35305","http://dx.doi.org/10.7150/thno.35305")</f>
        <v>http://dx.doi.org/10.7150/thno.35305</v>
      </c>
      <c r="BG649" t="s">
        <v>74</v>
      </c>
      <c r="BH649" t="s">
        <v>74</v>
      </c>
      <c r="BI649" t="s">
        <v>74</v>
      </c>
      <c r="BJ649" t="s">
        <v>795</v>
      </c>
      <c r="BK649" t="s">
        <v>117</v>
      </c>
      <c r="BL649" t="s">
        <v>796</v>
      </c>
      <c r="BM649" t="s">
        <v>74</v>
      </c>
      <c r="BN649">
        <v>31660081</v>
      </c>
      <c r="BO649" t="s">
        <v>74</v>
      </c>
      <c r="BP649" t="s">
        <v>74</v>
      </c>
      <c r="BQ649" t="s">
        <v>74</v>
      </c>
      <c r="BR649" t="s">
        <v>96</v>
      </c>
      <c r="BS649" t="s">
        <v>4668</v>
      </c>
      <c r="BT649" t="str">
        <f>HYPERLINK("https%3A%2F%2Fwww.webofscience.com%2Fwos%2Fwoscc%2Ffull-record%2FWOS:000487830500017","View Full Record in Web of Science")</f>
        <v>View Full Record in Web of Science</v>
      </c>
    </row>
    <row r="650" spans="1:72" x14ac:dyDescent="0.15">
      <c r="A650" t="s">
        <v>98</v>
      </c>
      <c r="B650" t="s">
        <v>12877</v>
      </c>
      <c r="C650" t="s">
        <v>74</v>
      </c>
      <c r="D650" t="s">
        <v>74</v>
      </c>
      <c r="E650" t="s">
        <v>74</v>
      </c>
      <c r="F650" t="s">
        <v>12878</v>
      </c>
      <c r="G650" t="s">
        <v>74</v>
      </c>
      <c r="H650" t="s">
        <v>74</v>
      </c>
      <c r="I650" t="s">
        <v>12879</v>
      </c>
      <c r="J650" t="s">
        <v>2536</v>
      </c>
      <c r="K650" t="s">
        <v>74</v>
      </c>
      <c r="L650" t="s">
        <v>74</v>
      </c>
      <c r="M650" t="s">
        <v>74</v>
      </c>
      <c r="N650" t="s">
        <v>103</v>
      </c>
      <c r="O650" t="s">
        <v>74</v>
      </c>
      <c r="P650" t="s">
        <v>74</v>
      </c>
      <c r="Q650" t="s">
        <v>74</v>
      </c>
      <c r="R650" t="s">
        <v>74</v>
      </c>
      <c r="S650" t="s">
        <v>74</v>
      </c>
      <c r="T650" t="s">
        <v>12880</v>
      </c>
      <c r="U650" t="s">
        <v>12881</v>
      </c>
      <c r="V650" t="s">
        <v>12882</v>
      </c>
      <c r="W650" t="s">
        <v>12883</v>
      </c>
      <c r="X650" t="s">
        <v>12884</v>
      </c>
      <c r="Y650" t="s">
        <v>12885</v>
      </c>
      <c r="Z650" t="s">
        <v>12886</v>
      </c>
      <c r="AA650" t="s">
        <v>12887</v>
      </c>
      <c r="AB650" t="s">
        <v>12888</v>
      </c>
      <c r="AC650" t="s">
        <v>74</v>
      </c>
      <c r="AD650" t="s">
        <v>74</v>
      </c>
      <c r="AE650" t="s">
        <v>74</v>
      </c>
      <c r="AF650" t="s">
        <v>74</v>
      </c>
      <c r="AG650">
        <v>64</v>
      </c>
      <c r="AH650">
        <v>29</v>
      </c>
      <c r="AI650">
        <v>30</v>
      </c>
      <c r="AJ650">
        <v>2</v>
      </c>
      <c r="AK650">
        <v>9</v>
      </c>
      <c r="AL650" t="s">
        <v>74</v>
      </c>
      <c r="AM650" t="s">
        <v>74</v>
      </c>
      <c r="AN650" t="s">
        <v>74</v>
      </c>
      <c r="AO650" t="s">
        <v>2544</v>
      </c>
      <c r="AP650" t="s">
        <v>2545</v>
      </c>
      <c r="AQ650" t="s">
        <v>74</v>
      </c>
      <c r="AR650" t="s">
        <v>74</v>
      </c>
      <c r="AS650" t="s">
        <v>74</v>
      </c>
      <c r="AT650" t="s">
        <v>211</v>
      </c>
      <c r="AU650">
        <v>2018</v>
      </c>
      <c r="AV650">
        <v>92</v>
      </c>
      <c r="AW650">
        <v>21</v>
      </c>
      <c r="AX650" t="s">
        <v>74</v>
      </c>
      <c r="AY650" t="s">
        <v>74</v>
      </c>
      <c r="AZ650" t="s">
        <v>74</v>
      </c>
      <c r="BA650" t="s">
        <v>74</v>
      </c>
      <c r="BB650" t="s">
        <v>74</v>
      </c>
      <c r="BC650" t="s">
        <v>74</v>
      </c>
      <c r="BD650" t="s">
        <v>12889</v>
      </c>
      <c r="BE650" t="s">
        <v>12890</v>
      </c>
      <c r="BF650" t="str">
        <f>HYPERLINK("http://dx.doi.org/10.1128/JVI.00731-18","http://dx.doi.org/10.1128/JVI.00731-18")</f>
        <v>http://dx.doi.org/10.1128/JVI.00731-18</v>
      </c>
      <c r="BG650" t="s">
        <v>74</v>
      </c>
      <c r="BH650" t="s">
        <v>74</v>
      </c>
      <c r="BI650" t="s">
        <v>74</v>
      </c>
      <c r="BJ650" t="s">
        <v>932</v>
      </c>
      <c r="BK650" t="s">
        <v>117</v>
      </c>
      <c r="BL650" t="s">
        <v>932</v>
      </c>
      <c r="BM650" t="s">
        <v>74</v>
      </c>
      <c r="BN650">
        <v>30111566</v>
      </c>
      <c r="BO650" t="s">
        <v>74</v>
      </c>
      <c r="BP650" t="s">
        <v>74</v>
      </c>
      <c r="BQ650" t="s">
        <v>74</v>
      </c>
      <c r="BR650" t="s">
        <v>96</v>
      </c>
      <c r="BS650" t="s">
        <v>12891</v>
      </c>
      <c r="BT650" t="str">
        <f>HYPERLINK("https%3A%2F%2Fwww.webofscience.com%2Fwos%2Fwoscc%2Ffull-record%2FWOS:000447139100005","View Full Record in Web of Science")</f>
        <v>View Full Record in Web of Science</v>
      </c>
    </row>
    <row r="651" spans="1:72" x14ac:dyDescent="0.15">
      <c r="A651" t="s">
        <v>98</v>
      </c>
      <c r="B651" t="s">
        <v>13873</v>
      </c>
      <c r="C651" t="s">
        <v>74</v>
      </c>
      <c r="D651" t="s">
        <v>74</v>
      </c>
      <c r="E651" t="s">
        <v>74</v>
      </c>
      <c r="F651" t="s">
        <v>13874</v>
      </c>
      <c r="G651" t="s">
        <v>74</v>
      </c>
      <c r="H651" t="s">
        <v>74</v>
      </c>
      <c r="I651" t="s">
        <v>13875</v>
      </c>
      <c r="J651" t="s">
        <v>12261</v>
      </c>
      <c r="K651" t="s">
        <v>74</v>
      </c>
      <c r="L651" t="s">
        <v>74</v>
      </c>
      <c r="M651" t="s">
        <v>74</v>
      </c>
      <c r="N651" t="s">
        <v>103</v>
      </c>
      <c r="O651" t="s">
        <v>74</v>
      </c>
      <c r="P651" t="s">
        <v>74</v>
      </c>
      <c r="Q651" t="s">
        <v>74</v>
      </c>
      <c r="R651" t="s">
        <v>74</v>
      </c>
      <c r="S651" t="s">
        <v>74</v>
      </c>
      <c r="T651" t="s">
        <v>74</v>
      </c>
      <c r="U651" t="s">
        <v>13876</v>
      </c>
      <c r="V651" t="s">
        <v>13877</v>
      </c>
      <c r="W651" t="s">
        <v>13878</v>
      </c>
      <c r="X651" t="s">
        <v>13879</v>
      </c>
      <c r="Y651" t="s">
        <v>13880</v>
      </c>
      <c r="Z651" t="s">
        <v>13881</v>
      </c>
      <c r="AA651" t="s">
        <v>13882</v>
      </c>
      <c r="AB651" t="s">
        <v>13883</v>
      </c>
      <c r="AC651" t="s">
        <v>74</v>
      </c>
      <c r="AD651" t="s">
        <v>74</v>
      </c>
      <c r="AE651" t="s">
        <v>74</v>
      </c>
      <c r="AF651" t="s">
        <v>74</v>
      </c>
      <c r="AG651">
        <v>48</v>
      </c>
      <c r="AH651">
        <v>29</v>
      </c>
      <c r="AI651">
        <v>31</v>
      </c>
      <c r="AJ651">
        <v>3</v>
      </c>
      <c r="AK651">
        <v>27</v>
      </c>
      <c r="AL651" t="s">
        <v>74</v>
      </c>
      <c r="AM651" t="s">
        <v>74</v>
      </c>
      <c r="AN651" t="s">
        <v>74</v>
      </c>
      <c r="AO651" t="s">
        <v>12268</v>
      </c>
      <c r="AP651" t="s">
        <v>12269</v>
      </c>
      <c r="AQ651" t="s">
        <v>74</v>
      </c>
      <c r="AR651" t="s">
        <v>74</v>
      </c>
      <c r="AS651" t="s">
        <v>74</v>
      </c>
      <c r="AT651" t="s">
        <v>614</v>
      </c>
      <c r="AU651">
        <v>2020</v>
      </c>
      <c r="AV651">
        <v>26</v>
      </c>
      <c r="AW651">
        <v>13</v>
      </c>
      <c r="AX651" t="s">
        <v>74</v>
      </c>
      <c r="AY651" t="s">
        <v>74</v>
      </c>
      <c r="AZ651" t="s">
        <v>74</v>
      </c>
      <c r="BA651" t="s">
        <v>74</v>
      </c>
      <c r="BB651">
        <v>3248</v>
      </c>
      <c r="BC651">
        <v>3258</v>
      </c>
      <c r="BD651" t="s">
        <v>74</v>
      </c>
      <c r="BE651" t="s">
        <v>13884</v>
      </c>
      <c r="BF651" t="str">
        <f>HYPERLINK("http://dx.doi.org/10.1158/1078-0432.CCR-19-3313","http://dx.doi.org/10.1158/1078-0432.CCR-19-3313")</f>
        <v>http://dx.doi.org/10.1158/1078-0432.CCR-19-3313</v>
      </c>
      <c r="BG651" t="s">
        <v>74</v>
      </c>
      <c r="BH651" t="s">
        <v>74</v>
      </c>
      <c r="BI651" t="s">
        <v>74</v>
      </c>
      <c r="BJ651" t="s">
        <v>267</v>
      </c>
      <c r="BK651" t="s">
        <v>117</v>
      </c>
      <c r="BL651" t="s">
        <v>267</v>
      </c>
      <c r="BM651" t="s">
        <v>74</v>
      </c>
      <c r="BN651">
        <v>32299821</v>
      </c>
      <c r="BO651" t="s">
        <v>74</v>
      </c>
      <c r="BP651" t="s">
        <v>74</v>
      </c>
      <c r="BQ651" t="s">
        <v>74</v>
      </c>
      <c r="BR651" t="s">
        <v>96</v>
      </c>
      <c r="BS651" t="s">
        <v>13885</v>
      </c>
      <c r="BT651" t="str">
        <f>HYPERLINK("https%3A%2F%2Fwww.webofscience.com%2Fwos%2Fwoscc%2Ffull-record%2FWOS:000546016400021","View Full Record in Web of Science")</f>
        <v>View Full Record in Web of Science</v>
      </c>
    </row>
    <row r="652" spans="1:72" x14ac:dyDescent="0.15">
      <c r="A652" t="s">
        <v>98</v>
      </c>
      <c r="B652" t="s">
        <v>18585</v>
      </c>
      <c r="C652" t="s">
        <v>74</v>
      </c>
      <c r="D652" t="s">
        <v>74</v>
      </c>
      <c r="E652" t="s">
        <v>74</v>
      </c>
      <c r="F652" t="s">
        <v>18585</v>
      </c>
      <c r="G652" t="s">
        <v>74</v>
      </c>
      <c r="H652" t="s">
        <v>74</v>
      </c>
      <c r="I652" t="s">
        <v>18586</v>
      </c>
      <c r="J652" t="s">
        <v>11436</v>
      </c>
      <c r="K652" t="s">
        <v>74</v>
      </c>
      <c r="L652" t="s">
        <v>74</v>
      </c>
      <c r="M652" t="s">
        <v>74</v>
      </c>
      <c r="N652" t="s">
        <v>103</v>
      </c>
      <c r="O652" t="s">
        <v>74</v>
      </c>
      <c r="P652" t="s">
        <v>74</v>
      </c>
      <c r="Q652" t="s">
        <v>74</v>
      </c>
      <c r="R652" t="s">
        <v>74</v>
      </c>
      <c r="S652" t="s">
        <v>74</v>
      </c>
      <c r="T652" t="s">
        <v>74</v>
      </c>
      <c r="U652" t="s">
        <v>18587</v>
      </c>
      <c r="V652" t="s">
        <v>18588</v>
      </c>
      <c r="W652" t="s">
        <v>18589</v>
      </c>
      <c r="X652" t="s">
        <v>18590</v>
      </c>
      <c r="Y652" t="s">
        <v>18591</v>
      </c>
      <c r="Z652" t="s">
        <v>18592</v>
      </c>
      <c r="AA652" t="s">
        <v>74</v>
      </c>
      <c r="AB652" t="s">
        <v>74</v>
      </c>
      <c r="AC652" t="s">
        <v>74</v>
      </c>
      <c r="AD652" t="s">
        <v>74</v>
      </c>
      <c r="AE652" t="s">
        <v>74</v>
      </c>
      <c r="AF652" t="s">
        <v>74</v>
      </c>
      <c r="AG652">
        <v>50</v>
      </c>
      <c r="AH652">
        <v>29</v>
      </c>
      <c r="AI652">
        <v>39</v>
      </c>
      <c r="AJ652">
        <v>7</v>
      </c>
      <c r="AK652">
        <v>22</v>
      </c>
      <c r="AL652" t="s">
        <v>74</v>
      </c>
      <c r="AM652" t="s">
        <v>74</v>
      </c>
      <c r="AN652" t="s">
        <v>74</v>
      </c>
      <c r="AO652" t="s">
        <v>11443</v>
      </c>
      <c r="AP652" t="s">
        <v>11444</v>
      </c>
      <c r="AQ652" t="s">
        <v>74</v>
      </c>
      <c r="AR652" t="s">
        <v>74</v>
      </c>
      <c r="AS652" t="s">
        <v>74</v>
      </c>
      <c r="AT652" t="s">
        <v>565</v>
      </c>
      <c r="AU652">
        <v>2004</v>
      </c>
      <c r="AV652">
        <v>15</v>
      </c>
      <c r="AW652">
        <v>3</v>
      </c>
      <c r="AX652" t="s">
        <v>74</v>
      </c>
      <c r="AY652" t="s">
        <v>74</v>
      </c>
      <c r="AZ652" t="s">
        <v>74</v>
      </c>
      <c r="BA652" t="s">
        <v>74</v>
      </c>
      <c r="BB652">
        <v>1387</v>
      </c>
      <c r="BC652">
        <v>1396</v>
      </c>
      <c r="BD652" t="s">
        <v>74</v>
      </c>
      <c r="BE652" t="s">
        <v>18593</v>
      </c>
      <c r="BF652" t="str">
        <f>HYPERLINK("http://dx.doi.org/10.1091/mbc.E03-06-0367","http://dx.doi.org/10.1091/mbc.E03-06-0367")</f>
        <v>http://dx.doi.org/10.1091/mbc.E03-06-0367</v>
      </c>
      <c r="BG652" t="s">
        <v>74</v>
      </c>
      <c r="BH652" t="s">
        <v>74</v>
      </c>
      <c r="BI652" t="s">
        <v>74</v>
      </c>
      <c r="BJ652" t="s">
        <v>135</v>
      </c>
      <c r="BK652" t="s">
        <v>117</v>
      </c>
      <c r="BL652" t="s">
        <v>135</v>
      </c>
      <c r="BM652" t="s">
        <v>74</v>
      </c>
      <c r="BN652">
        <v>14699071</v>
      </c>
      <c r="BO652" t="s">
        <v>74</v>
      </c>
      <c r="BP652" t="s">
        <v>74</v>
      </c>
      <c r="BQ652" t="s">
        <v>74</v>
      </c>
      <c r="BR652" t="s">
        <v>96</v>
      </c>
      <c r="BS652" t="s">
        <v>18594</v>
      </c>
      <c r="BT652" t="str">
        <f>HYPERLINK("https%3A%2F%2Fwww.webofscience.com%2Fwos%2Fwoscc%2Ffull-record%2FWOS:000220051900041","View Full Record in Web of Science")</f>
        <v>View Full Record in Web of Science</v>
      </c>
    </row>
    <row r="653" spans="1:72" x14ac:dyDescent="0.15">
      <c r="A653" t="s">
        <v>98</v>
      </c>
      <c r="B653" t="s">
        <v>20561</v>
      </c>
      <c r="C653" t="s">
        <v>74</v>
      </c>
      <c r="D653" t="s">
        <v>74</v>
      </c>
      <c r="E653" t="s">
        <v>74</v>
      </c>
      <c r="F653" t="s">
        <v>20562</v>
      </c>
      <c r="G653" t="s">
        <v>74</v>
      </c>
      <c r="H653" t="s">
        <v>74</v>
      </c>
      <c r="I653" t="s">
        <v>20563</v>
      </c>
      <c r="J653" t="s">
        <v>20545</v>
      </c>
      <c r="K653" t="s">
        <v>74</v>
      </c>
      <c r="L653" t="s">
        <v>74</v>
      </c>
      <c r="M653" t="s">
        <v>74</v>
      </c>
      <c r="N653" t="s">
        <v>103</v>
      </c>
      <c r="O653" t="s">
        <v>74</v>
      </c>
      <c r="P653" t="s">
        <v>74</v>
      </c>
      <c r="Q653" t="s">
        <v>74</v>
      </c>
      <c r="R653" t="s">
        <v>74</v>
      </c>
      <c r="S653" t="s">
        <v>74</v>
      </c>
      <c r="T653" t="s">
        <v>20564</v>
      </c>
      <c r="U653" t="s">
        <v>20565</v>
      </c>
      <c r="V653" t="s">
        <v>20566</v>
      </c>
      <c r="W653" t="s">
        <v>20567</v>
      </c>
      <c r="X653" t="s">
        <v>20568</v>
      </c>
      <c r="Y653" t="s">
        <v>20569</v>
      </c>
      <c r="Z653" t="s">
        <v>20570</v>
      </c>
      <c r="AA653" t="s">
        <v>74</v>
      </c>
      <c r="AB653" t="s">
        <v>74</v>
      </c>
      <c r="AC653" t="s">
        <v>74</v>
      </c>
      <c r="AD653" t="s">
        <v>74</v>
      </c>
      <c r="AE653" t="s">
        <v>74</v>
      </c>
      <c r="AF653" t="s">
        <v>74</v>
      </c>
      <c r="AG653">
        <v>52</v>
      </c>
      <c r="AH653">
        <v>29</v>
      </c>
      <c r="AI653">
        <v>32</v>
      </c>
      <c r="AJ653">
        <v>5</v>
      </c>
      <c r="AK653">
        <v>35</v>
      </c>
      <c r="AL653" t="s">
        <v>74</v>
      </c>
      <c r="AM653" t="s">
        <v>74</v>
      </c>
      <c r="AN653" t="s">
        <v>74</v>
      </c>
      <c r="AO653" t="s">
        <v>20556</v>
      </c>
      <c r="AP653" t="s">
        <v>20557</v>
      </c>
      <c r="AQ653" t="s">
        <v>74</v>
      </c>
      <c r="AR653" t="s">
        <v>74</v>
      </c>
      <c r="AS653" t="s">
        <v>74</v>
      </c>
      <c r="AT653" t="s">
        <v>531</v>
      </c>
      <c r="AU653">
        <v>2020</v>
      </c>
      <c r="AV653">
        <v>38</v>
      </c>
      <c r="AW653">
        <v>9</v>
      </c>
      <c r="AX653" t="s">
        <v>74</v>
      </c>
      <c r="AY653" t="s">
        <v>74</v>
      </c>
      <c r="AZ653" t="s">
        <v>74</v>
      </c>
      <c r="BA653" t="s">
        <v>74</v>
      </c>
      <c r="BB653">
        <v>1137</v>
      </c>
      <c r="BC653">
        <v>1148</v>
      </c>
      <c r="BD653" t="s">
        <v>74</v>
      </c>
      <c r="BE653" t="s">
        <v>20571</v>
      </c>
      <c r="BF653" t="str">
        <f>HYPERLINK("http://dx.doi.org/10.1002/stem.3204","http://dx.doi.org/10.1002/stem.3204")</f>
        <v>http://dx.doi.org/10.1002/stem.3204</v>
      </c>
      <c r="BG653" t="s">
        <v>74</v>
      </c>
      <c r="BH653" t="s">
        <v>1066</v>
      </c>
      <c r="BI653" t="s">
        <v>74</v>
      </c>
      <c r="BJ653" t="s">
        <v>20558</v>
      </c>
      <c r="BK653" t="s">
        <v>117</v>
      </c>
      <c r="BL653" t="s">
        <v>20559</v>
      </c>
      <c r="BM653" t="s">
        <v>74</v>
      </c>
      <c r="BN653">
        <v>32442343</v>
      </c>
      <c r="BO653" t="s">
        <v>74</v>
      </c>
      <c r="BP653" t="s">
        <v>74</v>
      </c>
      <c r="BQ653" t="s">
        <v>74</v>
      </c>
      <c r="BR653" t="s">
        <v>96</v>
      </c>
      <c r="BS653" t="s">
        <v>20572</v>
      </c>
      <c r="BT653" t="str">
        <f>HYPERLINK("https%3A%2F%2Fwww.webofscience.com%2Fwos%2Fwoscc%2Ffull-record%2FWOS:000536007900001","View Full Record in Web of Science")</f>
        <v>View Full Record in Web of Science</v>
      </c>
    </row>
    <row r="654" spans="1:72" x14ac:dyDescent="0.15">
      <c r="A654" t="s">
        <v>98</v>
      </c>
      <c r="B654" t="s">
        <v>22691</v>
      </c>
      <c r="C654" t="s">
        <v>74</v>
      </c>
      <c r="D654" t="s">
        <v>74</v>
      </c>
      <c r="E654" t="s">
        <v>74</v>
      </c>
      <c r="F654" t="s">
        <v>22692</v>
      </c>
      <c r="G654" t="s">
        <v>74</v>
      </c>
      <c r="H654" t="s">
        <v>74</v>
      </c>
      <c r="I654" t="s">
        <v>22693</v>
      </c>
      <c r="J654" t="s">
        <v>2180</v>
      </c>
      <c r="K654" t="s">
        <v>74</v>
      </c>
      <c r="L654" t="s">
        <v>74</v>
      </c>
      <c r="M654" t="s">
        <v>74</v>
      </c>
      <c r="N654" t="s">
        <v>103</v>
      </c>
      <c r="O654" t="s">
        <v>74</v>
      </c>
      <c r="P654" t="s">
        <v>74</v>
      </c>
      <c r="Q654" t="s">
        <v>74</v>
      </c>
      <c r="R654" t="s">
        <v>74</v>
      </c>
      <c r="S654" t="s">
        <v>74</v>
      </c>
      <c r="T654" t="s">
        <v>22694</v>
      </c>
      <c r="U654" t="s">
        <v>22695</v>
      </c>
      <c r="V654" t="s">
        <v>22696</v>
      </c>
      <c r="W654" t="s">
        <v>22697</v>
      </c>
      <c r="X654" t="s">
        <v>22698</v>
      </c>
      <c r="Y654" t="s">
        <v>22699</v>
      </c>
      <c r="Z654" t="s">
        <v>22700</v>
      </c>
      <c r="AA654" t="s">
        <v>22701</v>
      </c>
      <c r="AB654" t="s">
        <v>22702</v>
      </c>
      <c r="AC654" t="s">
        <v>74</v>
      </c>
      <c r="AD654" t="s">
        <v>74</v>
      </c>
      <c r="AE654" t="s">
        <v>74</v>
      </c>
      <c r="AF654" t="s">
        <v>74</v>
      </c>
      <c r="AG654">
        <v>30</v>
      </c>
      <c r="AH654">
        <v>29</v>
      </c>
      <c r="AI654">
        <v>29</v>
      </c>
      <c r="AJ654">
        <v>0</v>
      </c>
      <c r="AK654">
        <v>3</v>
      </c>
      <c r="AL654" t="s">
        <v>74</v>
      </c>
      <c r="AM654" t="s">
        <v>74</v>
      </c>
      <c r="AN654" t="s">
        <v>74</v>
      </c>
      <c r="AO654" t="s">
        <v>2190</v>
      </c>
      <c r="AP654" t="s">
        <v>2191</v>
      </c>
      <c r="AQ654" t="s">
        <v>74</v>
      </c>
      <c r="AR654" t="s">
        <v>74</v>
      </c>
      <c r="AS654" t="s">
        <v>74</v>
      </c>
      <c r="AT654" t="s">
        <v>614</v>
      </c>
      <c r="AU654">
        <v>2017</v>
      </c>
      <c r="AV654">
        <v>72</v>
      </c>
      <c r="AW654">
        <v>1</v>
      </c>
      <c r="AX654" t="s">
        <v>74</v>
      </c>
      <c r="AY654" t="s">
        <v>74</v>
      </c>
      <c r="AZ654" t="s">
        <v>74</v>
      </c>
      <c r="BA654" t="s">
        <v>74</v>
      </c>
      <c r="BB654">
        <v>22</v>
      </c>
      <c r="BC654">
        <v>31</v>
      </c>
      <c r="BD654" t="s">
        <v>74</v>
      </c>
      <c r="BE654" t="s">
        <v>22703</v>
      </c>
      <c r="BF654" t="str">
        <f>HYPERLINK("http://dx.doi.org/10.1016/j.eururo.2016.10.013","http://dx.doi.org/10.1016/j.eururo.2016.10.013")</f>
        <v>http://dx.doi.org/10.1016/j.eururo.2016.10.013</v>
      </c>
      <c r="BG654" t="s">
        <v>74</v>
      </c>
      <c r="BH654" t="s">
        <v>74</v>
      </c>
      <c r="BI654" t="s">
        <v>74</v>
      </c>
      <c r="BJ654" t="s">
        <v>2193</v>
      </c>
      <c r="BK654" t="s">
        <v>117</v>
      </c>
      <c r="BL654" t="s">
        <v>2193</v>
      </c>
      <c r="BM654" t="s">
        <v>74</v>
      </c>
      <c r="BN654">
        <v>27815082</v>
      </c>
      <c r="BO654" t="s">
        <v>74</v>
      </c>
      <c r="BP654" t="s">
        <v>74</v>
      </c>
      <c r="BQ654" t="s">
        <v>74</v>
      </c>
      <c r="BR654" t="s">
        <v>96</v>
      </c>
      <c r="BS654" t="s">
        <v>22704</v>
      </c>
      <c r="BT654" t="str">
        <f>HYPERLINK("https%3A%2F%2Fwww.webofscience.com%2Fwos%2Fwoscc%2Ffull-record%2FWOS:000403205900012","View Full Record in Web of Science")</f>
        <v>View Full Record in Web of Science</v>
      </c>
    </row>
    <row r="655" spans="1:72" x14ac:dyDescent="0.15">
      <c r="A655" t="s">
        <v>98</v>
      </c>
      <c r="B655" t="s">
        <v>29142</v>
      </c>
      <c r="C655" t="s">
        <v>74</v>
      </c>
      <c r="D655" t="s">
        <v>74</v>
      </c>
      <c r="E655" t="s">
        <v>74</v>
      </c>
      <c r="F655" t="s">
        <v>29143</v>
      </c>
      <c r="G655" t="s">
        <v>74</v>
      </c>
      <c r="H655" t="s">
        <v>74</v>
      </c>
      <c r="I655" t="s">
        <v>29144</v>
      </c>
      <c r="J655" t="s">
        <v>638</v>
      </c>
      <c r="K655" t="s">
        <v>74</v>
      </c>
      <c r="L655" t="s">
        <v>74</v>
      </c>
      <c r="M655" t="s">
        <v>74</v>
      </c>
      <c r="N655" t="s">
        <v>103</v>
      </c>
      <c r="O655" t="s">
        <v>74</v>
      </c>
      <c r="P655" t="s">
        <v>74</v>
      </c>
      <c r="Q655" t="s">
        <v>74</v>
      </c>
      <c r="R655" t="s">
        <v>74</v>
      </c>
      <c r="S655" t="s">
        <v>74</v>
      </c>
      <c r="T655" t="s">
        <v>29145</v>
      </c>
      <c r="U655" t="s">
        <v>29146</v>
      </c>
      <c r="V655" t="s">
        <v>29147</v>
      </c>
      <c r="W655" t="s">
        <v>29148</v>
      </c>
      <c r="X655" t="s">
        <v>29149</v>
      </c>
      <c r="Y655" t="s">
        <v>29150</v>
      </c>
      <c r="Z655" t="s">
        <v>29151</v>
      </c>
      <c r="AA655" t="s">
        <v>29152</v>
      </c>
      <c r="AB655" t="s">
        <v>29153</v>
      </c>
      <c r="AC655" t="s">
        <v>74</v>
      </c>
      <c r="AD655" t="s">
        <v>74</v>
      </c>
      <c r="AE655" t="s">
        <v>74</v>
      </c>
      <c r="AF655" t="s">
        <v>74</v>
      </c>
      <c r="AG655">
        <v>54</v>
      </c>
      <c r="AH655">
        <v>29</v>
      </c>
      <c r="AI655">
        <v>30</v>
      </c>
      <c r="AJ655">
        <v>0</v>
      </c>
      <c r="AK655">
        <v>8</v>
      </c>
      <c r="AL655" t="s">
        <v>74</v>
      </c>
      <c r="AM655" t="s">
        <v>74</v>
      </c>
      <c r="AN655" t="s">
        <v>74</v>
      </c>
      <c r="AO655" t="s">
        <v>648</v>
      </c>
      <c r="AP655" t="s">
        <v>74</v>
      </c>
      <c r="AQ655" t="s">
        <v>74</v>
      </c>
      <c r="AR655" t="s">
        <v>74</v>
      </c>
      <c r="AS655" t="s">
        <v>74</v>
      </c>
      <c r="AT655" t="s">
        <v>7938</v>
      </c>
      <c r="AU655">
        <v>2014</v>
      </c>
      <c r="AV655">
        <v>34</v>
      </c>
      <c r="AW655">
        <v>21</v>
      </c>
      <c r="AX655" t="s">
        <v>74</v>
      </c>
      <c r="AY655" t="s">
        <v>74</v>
      </c>
      <c r="AZ655" t="s">
        <v>74</v>
      </c>
      <c r="BA655" t="s">
        <v>74</v>
      </c>
      <c r="BB655">
        <v>7165</v>
      </c>
      <c r="BC655">
        <v>7178</v>
      </c>
      <c r="BD655" t="s">
        <v>74</v>
      </c>
      <c r="BE655" t="s">
        <v>29154</v>
      </c>
      <c r="BF655" t="str">
        <f>HYPERLINK("http://dx.doi.org/10.1523/JNEUROSCI.5261-13.2014","http://dx.doi.org/10.1523/JNEUROSCI.5261-13.2014")</f>
        <v>http://dx.doi.org/10.1523/JNEUROSCI.5261-13.2014</v>
      </c>
      <c r="BG655" t="s">
        <v>74</v>
      </c>
      <c r="BH655" t="s">
        <v>74</v>
      </c>
      <c r="BI655" t="s">
        <v>74</v>
      </c>
      <c r="BJ655" t="s">
        <v>652</v>
      </c>
      <c r="BK655" t="s">
        <v>117</v>
      </c>
      <c r="BL655" t="s">
        <v>653</v>
      </c>
      <c r="BM655" t="s">
        <v>74</v>
      </c>
      <c r="BN655">
        <v>24849351</v>
      </c>
      <c r="BO655" t="s">
        <v>74</v>
      </c>
      <c r="BP655" t="s">
        <v>74</v>
      </c>
      <c r="BQ655" t="s">
        <v>74</v>
      </c>
      <c r="BR655" t="s">
        <v>96</v>
      </c>
      <c r="BS655" t="s">
        <v>29155</v>
      </c>
      <c r="BT655" t="str">
        <f>HYPERLINK("https%3A%2F%2Fwww.webofscience.com%2Fwos%2Fwoscc%2Ffull-record%2FWOS:000336895200013","View Full Record in Web of Science")</f>
        <v>View Full Record in Web of Science</v>
      </c>
    </row>
    <row r="656" spans="1:72" x14ac:dyDescent="0.15">
      <c r="A656" t="s">
        <v>98</v>
      </c>
      <c r="B656" t="s">
        <v>29365</v>
      </c>
      <c r="C656" t="s">
        <v>74</v>
      </c>
      <c r="D656" t="s">
        <v>74</v>
      </c>
      <c r="E656" t="s">
        <v>74</v>
      </c>
      <c r="F656" t="s">
        <v>29366</v>
      </c>
      <c r="G656" t="s">
        <v>74</v>
      </c>
      <c r="H656" t="s">
        <v>74</v>
      </c>
      <c r="I656" t="s">
        <v>29367</v>
      </c>
      <c r="J656" t="s">
        <v>2536</v>
      </c>
      <c r="K656" t="s">
        <v>74</v>
      </c>
      <c r="L656" t="s">
        <v>74</v>
      </c>
      <c r="M656" t="s">
        <v>74</v>
      </c>
      <c r="N656" t="s">
        <v>103</v>
      </c>
      <c r="O656" t="s">
        <v>74</v>
      </c>
      <c r="P656" t="s">
        <v>74</v>
      </c>
      <c r="Q656" t="s">
        <v>74</v>
      </c>
      <c r="R656" t="s">
        <v>74</v>
      </c>
      <c r="S656" t="s">
        <v>74</v>
      </c>
      <c r="T656" t="s">
        <v>74</v>
      </c>
      <c r="U656" t="s">
        <v>29368</v>
      </c>
      <c r="V656" t="s">
        <v>29369</v>
      </c>
      <c r="W656" t="s">
        <v>29370</v>
      </c>
      <c r="X656" t="s">
        <v>29371</v>
      </c>
      <c r="Y656" t="s">
        <v>29372</v>
      </c>
      <c r="Z656" t="s">
        <v>29373</v>
      </c>
      <c r="AA656" t="s">
        <v>29374</v>
      </c>
      <c r="AB656" t="s">
        <v>29375</v>
      </c>
      <c r="AC656" t="s">
        <v>74</v>
      </c>
      <c r="AD656" t="s">
        <v>74</v>
      </c>
      <c r="AE656" t="s">
        <v>74</v>
      </c>
      <c r="AF656" t="s">
        <v>74</v>
      </c>
      <c r="AG656">
        <v>61</v>
      </c>
      <c r="AH656">
        <v>29</v>
      </c>
      <c r="AI656">
        <v>30</v>
      </c>
      <c r="AJ656">
        <v>1</v>
      </c>
      <c r="AK656">
        <v>10</v>
      </c>
      <c r="AL656" t="s">
        <v>74</v>
      </c>
      <c r="AM656" t="s">
        <v>74</v>
      </c>
      <c r="AN656" t="s">
        <v>74</v>
      </c>
      <c r="AO656" t="s">
        <v>2544</v>
      </c>
      <c r="AP656" t="s">
        <v>2545</v>
      </c>
      <c r="AQ656" t="s">
        <v>74</v>
      </c>
      <c r="AR656" t="s">
        <v>74</v>
      </c>
      <c r="AS656" t="s">
        <v>74</v>
      </c>
      <c r="AT656" t="s">
        <v>211</v>
      </c>
      <c r="AU656">
        <v>2015</v>
      </c>
      <c r="AV656">
        <v>89</v>
      </c>
      <c r="AW656">
        <v>21</v>
      </c>
      <c r="AX656" t="s">
        <v>74</v>
      </c>
      <c r="AY656" t="s">
        <v>74</v>
      </c>
      <c r="AZ656" t="s">
        <v>74</v>
      </c>
      <c r="BA656" t="s">
        <v>74</v>
      </c>
      <c r="BB656">
        <v>11046</v>
      </c>
      <c r="BC656">
        <v>11055</v>
      </c>
      <c r="BD656" t="s">
        <v>74</v>
      </c>
      <c r="BE656" t="s">
        <v>29376</v>
      </c>
      <c r="BF656" t="str">
        <f>HYPERLINK("http://dx.doi.org/10.1128/JVI.01517-15","http://dx.doi.org/10.1128/JVI.01517-15")</f>
        <v>http://dx.doi.org/10.1128/JVI.01517-15</v>
      </c>
      <c r="BG656" t="s">
        <v>74</v>
      </c>
      <c r="BH656" t="s">
        <v>74</v>
      </c>
      <c r="BI656" t="s">
        <v>74</v>
      </c>
      <c r="BJ656" t="s">
        <v>932</v>
      </c>
      <c r="BK656" t="s">
        <v>117</v>
      </c>
      <c r="BL656" t="s">
        <v>932</v>
      </c>
      <c r="BM656" t="s">
        <v>74</v>
      </c>
      <c r="BN656">
        <v>26311871</v>
      </c>
      <c r="BO656" t="s">
        <v>74</v>
      </c>
      <c r="BP656" t="s">
        <v>74</v>
      </c>
      <c r="BQ656" t="s">
        <v>74</v>
      </c>
      <c r="BR656" t="s">
        <v>96</v>
      </c>
      <c r="BS656" t="s">
        <v>29377</v>
      </c>
      <c r="BT656" t="str">
        <f>HYPERLINK("https%3A%2F%2Fwww.webofscience.com%2Fwos%2Fwoscc%2Ffull-record%2FWOS:000363465900028","View Full Record in Web of Science")</f>
        <v>View Full Record in Web of Science</v>
      </c>
    </row>
    <row r="657" spans="1:72" x14ac:dyDescent="0.15">
      <c r="A657" t="s">
        <v>98</v>
      </c>
      <c r="B657" t="s">
        <v>29642</v>
      </c>
      <c r="C657" t="s">
        <v>74</v>
      </c>
      <c r="D657" t="s">
        <v>74</v>
      </c>
      <c r="E657" t="s">
        <v>74</v>
      </c>
      <c r="F657" t="s">
        <v>29643</v>
      </c>
      <c r="G657" t="s">
        <v>74</v>
      </c>
      <c r="H657" t="s">
        <v>74</v>
      </c>
      <c r="I657" t="s">
        <v>29644</v>
      </c>
      <c r="J657" t="s">
        <v>4452</v>
      </c>
      <c r="K657" t="s">
        <v>74</v>
      </c>
      <c r="L657" t="s">
        <v>74</v>
      </c>
      <c r="M657" t="s">
        <v>74</v>
      </c>
      <c r="N657" t="s">
        <v>103</v>
      </c>
      <c r="O657" t="s">
        <v>74</v>
      </c>
      <c r="P657" t="s">
        <v>74</v>
      </c>
      <c r="Q657" t="s">
        <v>74</v>
      </c>
      <c r="R657" t="s">
        <v>74</v>
      </c>
      <c r="S657" t="s">
        <v>74</v>
      </c>
      <c r="T657" t="s">
        <v>29645</v>
      </c>
      <c r="U657" t="s">
        <v>29646</v>
      </c>
      <c r="V657" t="s">
        <v>29647</v>
      </c>
      <c r="W657" t="s">
        <v>29648</v>
      </c>
      <c r="X657" t="s">
        <v>24569</v>
      </c>
      <c r="Y657" t="s">
        <v>29649</v>
      </c>
      <c r="Z657" t="s">
        <v>24571</v>
      </c>
      <c r="AA657" t="s">
        <v>29650</v>
      </c>
      <c r="AB657" t="s">
        <v>29651</v>
      </c>
      <c r="AC657" t="s">
        <v>74</v>
      </c>
      <c r="AD657" t="s">
        <v>74</v>
      </c>
      <c r="AE657" t="s">
        <v>74</v>
      </c>
      <c r="AF657" t="s">
        <v>74</v>
      </c>
      <c r="AG657">
        <v>67</v>
      </c>
      <c r="AH657">
        <v>29</v>
      </c>
      <c r="AI657">
        <v>30</v>
      </c>
      <c r="AJ657">
        <v>1</v>
      </c>
      <c r="AK657">
        <v>22</v>
      </c>
      <c r="AL657" t="s">
        <v>74</v>
      </c>
      <c r="AM657" t="s">
        <v>74</v>
      </c>
      <c r="AN657" t="s">
        <v>74</v>
      </c>
      <c r="AO657" t="s">
        <v>4462</v>
      </c>
      <c r="AP657" t="s">
        <v>74</v>
      </c>
      <c r="AQ657" t="s">
        <v>74</v>
      </c>
      <c r="AR657" t="s">
        <v>74</v>
      </c>
      <c r="AS657" t="s">
        <v>74</v>
      </c>
      <c r="AT657" t="s">
        <v>5955</v>
      </c>
      <c r="AU657">
        <v>2014</v>
      </c>
      <c r="AV657">
        <v>15</v>
      </c>
      <c r="AW657" t="s">
        <v>74</v>
      </c>
      <c r="AX657" t="s">
        <v>74</v>
      </c>
      <c r="AY657" t="s">
        <v>74</v>
      </c>
      <c r="AZ657" t="s">
        <v>74</v>
      </c>
      <c r="BA657" t="s">
        <v>74</v>
      </c>
      <c r="BB657" t="s">
        <v>74</v>
      </c>
      <c r="BC657" t="s">
        <v>74</v>
      </c>
      <c r="BD657">
        <v>814</v>
      </c>
      <c r="BE657" t="s">
        <v>29652</v>
      </c>
      <c r="BF657" t="str">
        <f>HYPERLINK("http://dx.doi.org/10.1186/1471-2164-15-814","http://dx.doi.org/10.1186/1471-2164-15-814")</f>
        <v>http://dx.doi.org/10.1186/1471-2164-15-814</v>
      </c>
      <c r="BG657" t="s">
        <v>74</v>
      </c>
      <c r="BH657" t="s">
        <v>74</v>
      </c>
      <c r="BI657" t="s">
        <v>74</v>
      </c>
      <c r="BJ657" t="s">
        <v>4464</v>
      </c>
      <c r="BK657" t="s">
        <v>117</v>
      </c>
      <c r="BL657" t="s">
        <v>4464</v>
      </c>
      <c r="BM657" t="s">
        <v>74</v>
      </c>
      <c r="BN657">
        <v>25257395</v>
      </c>
      <c r="BO657" t="s">
        <v>74</v>
      </c>
      <c r="BP657" t="s">
        <v>74</v>
      </c>
      <c r="BQ657" t="s">
        <v>74</v>
      </c>
      <c r="BR657" t="s">
        <v>96</v>
      </c>
      <c r="BS657" t="s">
        <v>29653</v>
      </c>
      <c r="BT657" t="str">
        <f>HYPERLINK("https%3A%2F%2Fwww.webofscience.com%2Fwos%2Fwoscc%2Ffull-record%2FWOS:000342463500003","View Full Record in Web of Science")</f>
        <v>View Full Record in Web of Science</v>
      </c>
    </row>
    <row r="658" spans="1:72" x14ac:dyDescent="0.15">
      <c r="A658" t="s">
        <v>98</v>
      </c>
      <c r="B658" t="s">
        <v>29820</v>
      </c>
      <c r="C658" t="s">
        <v>74</v>
      </c>
      <c r="D658" t="s">
        <v>74</v>
      </c>
      <c r="E658" t="s">
        <v>74</v>
      </c>
      <c r="F658" t="s">
        <v>29821</v>
      </c>
      <c r="G658" t="s">
        <v>74</v>
      </c>
      <c r="H658" t="s">
        <v>74</v>
      </c>
      <c r="I658" t="s">
        <v>29822</v>
      </c>
      <c r="J658" t="s">
        <v>5139</v>
      </c>
      <c r="K658" t="s">
        <v>74</v>
      </c>
      <c r="L658" t="s">
        <v>74</v>
      </c>
      <c r="M658" t="s">
        <v>74</v>
      </c>
      <c r="N658" t="s">
        <v>103</v>
      </c>
      <c r="O658" t="s">
        <v>74</v>
      </c>
      <c r="P658" t="s">
        <v>74</v>
      </c>
      <c r="Q658" t="s">
        <v>74</v>
      </c>
      <c r="R658" t="s">
        <v>74</v>
      </c>
      <c r="S658" t="s">
        <v>74</v>
      </c>
      <c r="T658" t="s">
        <v>74</v>
      </c>
      <c r="U658" t="s">
        <v>29823</v>
      </c>
      <c r="V658" t="s">
        <v>29824</v>
      </c>
      <c r="W658" t="s">
        <v>29825</v>
      </c>
      <c r="X658" t="s">
        <v>29826</v>
      </c>
      <c r="Y658" t="s">
        <v>29827</v>
      </c>
      <c r="Z658" t="s">
        <v>29828</v>
      </c>
      <c r="AA658" t="s">
        <v>29829</v>
      </c>
      <c r="AB658" t="s">
        <v>29830</v>
      </c>
      <c r="AC658" t="s">
        <v>74</v>
      </c>
      <c r="AD658" t="s">
        <v>74</v>
      </c>
      <c r="AE658" t="s">
        <v>74</v>
      </c>
      <c r="AF658" t="s">
        <v>74</v>
      </c>
      <c r="AG658">
        <v>64</v>
      </c>
      <c r="AH658">
        <v>29</v>
      </c>
      <c r="AI658">
        <v>29</v>
      </c>
      <c r="AJ658">
        <v>30</v>
      </c>
      <c r="AK658">
        <v>121</v>
      </c>
      <c r="AL658" t="s">
        <v>74</v>
      </c>
      <c r="AM658" t="s">
        <v>74</v>
      </c>
      <c r="AN658" t="s">
        <v>74</v>
      </c>
      <c r="AO658" t="s">
        <v>5148</v>
      </c>
      <c r="AP658" t="s">
        <v>74</v>
      </c>
      <c r="AQ658" t="s">
        <v>74</v>
      </c>
      <c r="AR658" t="s">
        <v>74</v>
      </c>
      <c r="AS658" t="s">
        <v>74</v>
      </c>
      <c r="AT658" t="s">
        <v>16965</v>
      </c>
      <c r="AU658">
        <v>2021</v>
      </c>
      <c r="AV658">
        <v>12</v>
      </c>
      <c r="AW658">
        <v>1</v>
      </c>
      <c r="AX658" t="s">
        <v>74</v>
      </c>
      <c r="AY658" t="s">
        <v>74</v>
      </c>
      <c r="AZ658" t="s">
        <v>74</v>
      </c>
      <c r="BA658" t="s">
        <v>74</v>
      </c>
      <c r="BB658" t="s">
        <v>74</v>
      </c>
      <c r="BC658" t="s">
        <v>74</v>
      </c>
      <c r="BD658">
        <v>3515</v>
      </c>
      <c r="BE658" t="s">
        <v>29831</v>
      </c>
      <c r="BF658" t="str">
        <f>HYPERLINK("http://dx.doi.org/10.1038/s41467-021-23497-y","http://dx.doi.org/10.1038/s41467-021-23497-y")</f>
        <v>http://dx.doi.org/10.1038/s41467-021-23497-y</v>
      </c>
      <c r="BG658" t="s">
        <v>74</v>
      </c>
      <c r="BH658" t="s">
        <v>74</v>
      </c>
      <c r="BI658" t="s">
        <v>74</v>
      </c>
      <c r="BJ658" t="s">
        <v>152</v>
      </c>
      <c r="BK658" t="s">
        <v>117</v>
      </c>
      <c r="BL658" t="s">
        <v>153</v>
      </c>
      <c r="BM658" t="s">
        <v>74</v>
      </c>
      <c r="BN658">
        <v>34112774</v>
      </c>
      <c r="BO658" t="s">
        <v>74</v>
      </c>
      <c r="BP658" t="s">
        <v>74</v>
      </c>
      <c r="BQ658" t="s">
        <v>74</v>
      </c>
      <c r="BR658" t="s">
        <v>96</v>
      </c>
      <c r="BS658" t="s">
        <v>29832</v>
      </c>
      <c r="BT658" t="str">
        <f>HYPERLINK("https%3A%2F%2Fwww.webofscience.com%2Fwos%2Fwoscc%2Ffull-record%2FWOS:000663747800005","View Full Record in Web of Science")</f>
        <v>View Full Record in Web of Science</v>
      </c>
    </row>
    <row r="659" spans="1:72" x14ac:dyDescent="0.15">
      <c r="A659" t="s">
        <v>98</v>
      </c>
      <c r="B659" t="s">
        <v>29967</v>
      </c>
      <c r="C659" t="s">
        <v>74</v>
      </c>
      <c r="D659" t="s">
        <v>74</v>
      </c>
      <c r="E659" t="s">
        <v>74</v>
      </c>
      <c r="F659" t="s">
        <v>29968</v>
      </c>
      <c r="G659" t="s">
        <v>74</v>
      </c>
      <c r="H659" t="s">
        <v>74</v>
      </c>
      <c r="I659" t="s">
        <v>29969</v>
      </c>
      <c r="J659" t="s">
        <v>1712</v>
      </c>
      <c r="K659" t="s">
        <v>74</v>
      </c>
      <c r="L659" t="s">
        <v>74</v>
      </c>
      <c r="M659" t="s">
        <v>74</v>
      </c>
      <c r="N659" t="s">
        <v>103</v>
      </c>
      <c r="O659" t="s">
        <v>74</v>
      </c>
      <c r="P659" t="s">
        <v>74</v>
      </c>
      <c r="Q659" t="s">
        <v>74</v>
      </c>
      <c r="R659" t="s">
        <v>74</v>
      </c>
      <c r="S659" t="s">
        <v>74</v>
      </c>
      <c r="T659" t="s">
        <v>29970</v>
      </c>
      <c r="U659" t="s">
        <v>29971</v>
      </c>
      <c r="V659" t="s">
        <v>29972</v>
      </c>
      <c r="W659" t="s">
        <v>29973</v>
      </c>
      <c r="X659" t="s">
        <v>29974</v>
      </c>
      <c r="Y659" t="s">
        <v>29975</v>
      </c>
      <c r="Z659" t="s">
        <v>29976</v>
      </c>
      <c r="AA659" t="s">
        <v>29977</v>
      </c>
      <c r="AB659" t="s">
        <v>29978</v>
      </c>
      <c r="AC659" t="s">
        <v>74</v>
      </c>
      <c r="AD659" t="s">
        <v>74</v>
      </c>
      <c r="AE659" t="s">
        <v>74</v>
      </c>
      <c r="AF659" t="s">
        <v>74</v>
      </c>
      <c r="AG659">
        <v>46</v>
      </c>
      <c r="AH659">
        <v>29</v>
      </c>
      <c r="AI659">
        <v>29</v>
      </c>
      <c r="AJ659">
        <v>10</v>
      </c>
      <c r="AK659">
        <v>58</v>
      </c>
      <c r="AL659" t="s">
        <v>74</v>
      </c>
      <c r="AM659" t="s">
        <v>74</v>
      </c>
      <c r="AN659" t="s">
        <v>74</v>
      </c>
      <c r="AO659" t="s">
        <v>1722</v>
      </c>
      <c r="AP659" t="s">
        <v>1723</v>
      </c>
      <c r="AQ659" t="s">
        <v>74</v>
      </c>
      <c r="AR659" t="s">
        <v>74</v>
      </c>
      <c r="AS659" t="s">
        <v>74</v>
      </c>
      <c r="AT659" t="s">
        <v>189</v>
      </c>
      <c r="AU659">
        <v>2019</v>
      </c>
      <c r="AV659">
        <v>13</v>
      </c>
      <c r="AW659">
        <v>10</v>
      </c>
      <c r="AX659" t="s">
        <v>74</v>
      </c>
      <c r="AY659" t="s">
        <v>74</v>
      </c>
      <c r="AZ659" t="s">
        <v>74</v>
      </c>
      <c r="BA659" t="s">
        <v>74</v>
      </c>
      <c r="BB659">
        <v>12070</v>
      </c>
      <c r="BC659">
        <v>12080</v>
      </c>
      <c r="BD659" t="s">
        <v>74</v>
      </c>
      <c r="BE659" t="s">
        <v>29979</v>
      </c>
      <c r="BF659" t="str">
        <f>HYPERLINK("http://dx.doi.org/10.1021/acsnano.9b06459","http://dx.doi.org/10.1021/acsnano.9b06459")</f>
        <v>http://dx.doi.org/10.1021/acsnano.9b06459</v>
      </c>
      <c r="BG659" t="s">
        <v>74</v>
      </c>
      <c r="BH659" t="s">
        <v>74</v>
      </c>
      <c r="BI659" t="s">
        <v>74</v>
      </c>
      <c r="BJ659" t="s">
        <v>1725</v>
      </c>
      <c r="BK659" t="s">
        <v>117</v>
      </c>
      <c r="BL659" t="s">
        <v>1275</v>
      </c>
      <c r="BM659" t="s">
        <v>74</v>
      </c>
      <c r="BN659">
        <v>31585042</v>
      </c>
      <c r="BO659" t="s">
        <v>74</v>
      </c>
      <c r="BP659" t="s">
        <v>74</v>
      </c>
      <c r="BQ659" t="s">
        <v>74</v>
      </c>
      <c r="BR659" t="s">
        <v>96</v>
      </c>
      <c r="BS659" t="s">
        <v>29980</v>
      </c>
      <c r="BT659" t="str">
        <f>HYPERLINK("https%3A%2F%2Fwww.webofscience.com%2Fwos%2Fwoscc%2Ffull-record%2FWOS:000492801600116","View Full Record in Web of Science")</f>
        <v>View Full Record in Web of Science</v>
      </c>
    </row>
    <row r="660" spans="1:72" x14ac:dyDescent="0.15">
      <c r="A660" t="s">
        <v>98</v>
      </c>
      <c r="B660" t="s">
        <v>4257</v>
      </c>
      <c r="C660" t="s">
        <v>74</v>
      </c>
      <c r="D660" t="s">
        <v>74</v>
      </c>
      <c r="E660" t="s">
        <v>74</v>
      </c>
      <c r="F660" t="s">
        <v>4258</v>
      </c>
      <c r="G660" t="s">
        <v>74</v>
      </c>
      <c r="H660" t="s">
        <v>74</v>
      </c>
      <c r="I660" t="s">
        <v>4259</v>
      </c>
      <c r="J660" t="s">
        <v>4260</v>
      </c>
      <c r="K660" t="s">
        <v>74</v>
      </c>
      <c r="L660" t="s">
        <v>74</v>
      </c>
      <c r="M660" t="s">
        <v>74</v>
      </c>
      <c r="N660" t="s">
        <v>980</v>
      </c>
      <c r="O660" t="s">
        <v>4261</v>
      </c>
      <c r="P660">
        <v>2019</v>
      </c>
      <c r="Q660" t="s">
        <v>4262</v>
      </c>
      <c r="R660" t="s">
        <v>74</v>
      </c>
      <c r="S660" t="s">
        <v>74</v>
      </c>
      <c r="T660" t="s">
        <v>4263</v>
      </c>
      <c r="U660" t="s">
        <v>4264</v>
      </c>
      <c r="V660" t="s">
        <v>4265</v>
      </c>
      <c r="W660" t="s">
        <v>4266</v>
      </c>
      <c r="X660" t="s">
        <v>4267</v>
      </c>
      <c r="Y660" t="s">
        <v>4268</v>
      </c>
      <c r="Z660" t="s">
        <v>4269</v>
      </c>
      <c r="AA660" t="s">
        <v>4270</v>
      </c>
      <c r="AB660" t="s">
        <v>4271</v>
      </c>
      <c r="AC660" t="s">
        <v>74</v>
      </c>
      <c r="AD660" t="s">
        <v>74</v>
      </c>
      <c r="AE660" t="s">
        <v>74</v>
      </c>
      <c r="AF660" t="s">
        <v>74</v>
      </c>
      <c r="AG660">
        <v>89</v>
      </c>
      <c r="AH660">
        <v>28</v>
      </c>
      <c r="AI660">
        <v>28</v>
      </c>
      <c r="AJ660">
        <v>4</v>
      </c>
      <c r="AK660">
        <v>18</v>
      </c>
      <c r="AL660" t="s">
        <v>74</v>
      </c>
      <c r="AM660" t="s">
        <v>74</v>
      </c>
      <c r="AN660" t="s">
        <v>74</v>
      </c>
      <c r="AO660" t="s">
        <v>4272</v>
      </c>
      <c r="AP660" t="s">
        <v>4273</v>
      </c>
      <c r="AQ660" t="s">
        <v>74</v>
      </c>
      <c r="AR660" t="s">
        <v>74</v>
      </c>
      <c r="AS660" t="s">
        <v>74</v>
      </c>
      <c r="AT660" t="s">
        <v>614</v>
      </c>
      <c r="AU660">
        <v>2019</v>
      </c>
      <c r="AV660">
        <v>593</v>
      </c>
      <c r="AW660">
        <v>13</v>
      </c>
      <c r="AX660" t="s">
        <v>74</v>
      </c>
      <c r="AY660" t="s">
        <v>74</v>
      </c>
      <c r="AZ660" t="s">
        <v>447</v>
      </c>
      <c r="BA660" t="s">
        <v>74</v>
      </c>
      <c r="BB660">
        <v>1580</v>
      </c>
      <c r="BC660">
        <v>1597</v>
      </c>
      <c r="BD660" t="s">
        <v>74</v>
      </c>
      <c r="BE660" t="s">
        <v>4274</v>
      </c>
      <c r="BF660" t="str">
        <f>HYPERLINK("http://dx.doi.org/10.1002/1873-3468.13487","http://dx.doi.org/10.1002/1873-3468.13487")</f>
        <v>http://dx.doi.org/10.1002/1873-3468.13487</v>
      </c>
      <c r="BG660" t="s">
        <v>74</v>
      </c>
      <c r="BH660" t="s">
        <v>74</v>
      </c>
      <c r="BI660" t="s">
        <v>74</v>
      </c>
      <c r="BJ660" t="s">
        <v>4275</v>
      </c>
      <c r="BK660" t="s">
        <v>997</v>
      </c>
      <c r="BL660" t="s">
        <v>4275</v>
      </c>
      <c r="BM660" t="s">
        <v>74</v>
      </c>
      <c r="BN660">
        <v>31198995</v>
      </c>
      <c r="BO660" t="s">
        <v>74</v>
      </c>
      <c r="BP660" t="s">
        <v>74</v>
      </c>
      <c r="BQ660" t="s">
        <v>74</v>
      </c>
      <c r="BR660" t="s">
        <v>96</v>
      </c>
      <c r="BS660" t="s">
        <v>4276</v>
      </c>
      <c r="BT660" t="str">
        <f>HYPERLINK("https%3A%2F%2Fwww.webofscience.com%2Fwos%2Fwoscc%2Ffull-record%2FWOS:000477916000014","View Full Record in Web of Science")</f>
        <v>View Full Record in Web of Science</v>
      </c>
    </row>
    <row r="661" spans="1:72" x14ac:dyDescent="0.15">
      <c r="A661" t="s">
        <v>98</v>
      </c>
      <c r="B661" t="s">
        <v>6545</v>
      </c>
      <c r="C661" t="s">
        <v>74</v>
      </c>
      <c r="D661" t="s">
        <v>74</v>
      </c>
      <c r="E661" t="s">
        <v>74</v>
      </c>
      <c r="F661" t="s">
        <v>6546</v>
      </c>
      <c r="G661" t="s">
        <v>74</v>
      </c>
      <c r="H661" t="s">
        <v>74</v>
      </c>
      <c r="I661" t="s">
        <v>6547</v>
      </c>
      <c r="J661" t="s">
        <v>1201</v>
      </c>
      <c r="K661" t="s">
        <v>74</v>
      </c>
      <c r="L661" t="s">
        <v>74</v>
      </c>
      <c r="M661" t="s">
        <v>74</v>
      </c>
      <c r="N661" t="s">
        <v>103</v>
      </c>
      <c r="O661" t="s">
        <v>74</v>
      </c>
      <c r="P661" t="s">
        <v>74</v>
      </c>
      <c r="Q661" t="s">
        <v>74</v>
      </c>
      <c r="R661" t="s">
        <v>74</v>
      </c>
      <c r="S661" t="s">
        <v>74</v>
      </c>
      <c r="T661" t="s">
        <v>6548</v>
      </c>
      <c r="U661" t="s">
        <v>6549</v>
      </c>
      <c r="V661" t="s">
        <v>6550</v>
      </c>
      <c r="W661" t="s">
        <v>6551</v>
      </c>
      <c r="X661" t="s">
        <v>6552</v>
      </c>
      <c r="Y661" t="s">
        <v>4764</v>
      </c>
      <c r="Z661" t="s">
        <v>4765</v>
      </c>
      <c r="AA661" t="s">
        <v>6553</v>
      </c>
      <c r="AB661" t="s">
        <v>6554</v>
      </c>
      <c r="AC661" t="s">
        <v>74</v>
      </c>
      <c r="AD661" t="s">
        <v>74</v>
      </c>
      <c r="AE661" t="s">
        <v>74</v>
      </c>
      <c r="AF661" t="s">
        <v>74</v>
      </c>
      <c r="AG661">
        <v>216</v>
      </c>
      <c r="AH661">
        <v>28</v>
      </c>
      <c r="AI661">
        <v>28</v>
      </c>
      <c r="AJ661">
        <v>1</v>
      </c>
      <c r="AK661">
        <v>32</v>
      </c>
      <c r="AL661" t="s">
        <v>74</v>
      </c>
      <c r="AM661" t="s">
        <v>74</v>
      </c>
      <c r="AN661" t="s">
        <v>74</v>
      </c>
      <c r="AO661" t="s">
        <v>1210</v>
      </c>
      <c r="AP661" t="s">
        <v>1211</v>
      </c>
      <c r="AQ661" t="s">
        <v>74</v>
      </c>
      <c r="AR661" t="s">
        <v>74</v>
      </c>
      <c r="AS661" t="s">
        <v>74</v>
      </c>
      <c r="AT661" t="s">
        <v>967</v>
      </c>
      <c r="AU661">
        <v>2016</v>
      </c>
      <c r="AV661">
        <v>73</v>
      </c>
      <c r="AW661">
        <v>23</v>
      </c>
      <c r="AX661" t="s">
        <v>74</v>
      </c>
      <c r="AY661" t="s">
        <v>74</v>
      </c>
      <c r="AZ661" t="s">
        <v>74</v>
      </c>
      <c r="BA661" t="s">
        <v>74</v>
      </c>
      <c r="BB661">
        <v>4355</v>
      </c>
      <c r="BC661">
        <v>4381</v>
      </c>
      <c r="BD661" t="s">
        <v>74</v>
      </c>
      <c r="BE661" t="s">
        <v>6555</v>
      </c>
      <c r="BF661" t="str">
        <f>HYPERLINK("http://dx.doi.org/10.1007/s00018-016-2370-3","http://dx.doi.org/10.1007/s00018-016-2370-3")</f>
        <v>http://dx.doi.org/10.1007/s00018-016-2370-3</v>
      </c>
      <c r="BG661" t="s">
        <v>74</v>
      </c>
      <c r="BH661" t="s">
        <v>74</v>
      </c>
      <c r="BI661" t="s">
        <v>74</v>
      </c>
      <c r="BJ661" t="s">
        <v>498</v>
      </c>
      <c r="BK661" t="s">
        <v>117</v>
      </c>
      <c r="BL661" t="s">
        <v>498</v>
      </c>
      <c r="BM661" t="s">
        <v>74</v>
      </c>
      <c r="BN661">
        <v>27652382</v>
      </c>
      <c r="BO661" t="s">
        <v>74</v>
      </c>
      <c r="BP661" t="s">
        <v>74</v>
      </c>
      <c r="BQ661" t="s">
        <v>74</v>
      </c>
      <c r="BR661" t="s">
        <v>96</v>
      </c>
      <c r="BS661" t="s">
        <v>6556</v>
      </c>
      <c r="BT661" t="str">
        <f>HYPERLINK("https%3A%2F%2Fwww.webofscience.com%2Fwos%2Fwoscc%2Ffull-record%2FWOS:000386696300001","View Full Record in Web of Science")</f>
        <v>View Full Record in Web of Science</v>
      </c>
    </row>
    <row r="662" spans="1:72" x14ac:dyDescent="0.15">
      <c r="A662" t="s">
        <v>98</v>
      </c>
      <c r="B662" t="s">
        <v>8426</v>
      </c>
      <c r="C662" t="s">
        <v>74</v>
      </c>
      <c r="D662" t="s">
        <v>74</v>
      </c>
      <c r="E662" t="s">
        <v>74</v>
      </c>
      <c r="F662" t="s">
        <v>8427</v>
      </c>
      <c r="G662" t="s">
        <v>74</v>
      </c>
      <c r="H662" t="s">
        <v>74</v>
      </c>
      <c r="I662" t="s">
        <v>8428</v>
      </c>
      <c r="J662" t="s">
        <v>1105</v>
      </c>
      <c r="K662" t="s">
        <v>74</v>
      </c>
      <c r="L662" t="s">
        <v>74</v>
      </c>
      <c r="M662" t="s">
        <v>74</v>
      </c>
      <c r="N662" t="s">
        <v>103</v>
      </c>
      <c r="O662" t="s">
        <v>74</v>
      </c>
      <c r="P662" t="s">
        <v>74</v>
      </c>
      <c r="Q662" t="s">
        <v>74</v>
      </c>
      <c r="R662" t="s">
        <v>74</v>
      </c>
      <c r="S662" t="s">
        <v>74</v>
      </c>
      <c r="T662" t="s">
        <v>8429</v>
      </c>
      <c r="U662" t="s">
        <v>8430</v>
      </c>
      <c r="V662" t="s">
        <v>8431</v>
      </c>
      <c r="W662" t="s">
        <v>8432</v>
      </c>
      <c r="X662" t="s">
        <v>8433</v>
      </c>
      <c r="Y662" t="s">
        <v>8434</v>
      </c>
      <c r="Z662" t="s">
        <v>8435</v>
      </c>
      <c r="AA662" t="s">
        <v>74</v>
      </c>
      <c r="AB662" t="s">
        <v>74</v>
      </c>
      <c r="AC662" t="s">
        <v>74</v>
      </c>
      <c r="AD662" t="s">
        <v>74</v>
      </c>
      <c r="AE662" t="s">
        <v>74</v>
      </c>
      <c r="AF662" t="s">
        <v>74</v>
      </c>
      <c r="AG662">
        <v>41</v>
      </c>
      <c r="AH662">
        <v>28</v>
      </c>
      <c r="AI662">
        <v>28</v>
      </c>
      <c r="AJ662">
        <v>22</v>
      </c>
      <c r="AK662">
        <v>196</v>
      </c>
      <c r="AL662" t="s">
        <v>74</v>
      </c>
      <c r="AM662" t="s">
        <v>74</v>
      </c>
      <c r="AN662" t="s">
        <v>74</v>
      </c>
      <c r="AO662" t="s">
        <v>1114</v>
      </c>
      <c r="AP662" t="s">
        <v>1115</v>
      </c>
      <c r="AQ662" t="s">
        <v>74</v>
      </c>
      <c r="AR662" t="s">
        <v>74</v>
      </c>
      <c r="AS662" t="s">
        <v>74</v>
      </c>
      <c r="AT662" t="s">
        <v>1570</v>
      </c>
      <c r="AU662">
        <v>2020</v>
      </c>
      <c r="AV662">
        <v>209</v>
      </c>
      <c r="AW662" t="s">
        <v>74</v>
      </c>
      <c r="AX662" t="s">
        <v>74</v>
      </c>
      <c r="AY662" t="s">
        <v>74</v>
      </c>
      <c r="AZ662" t="s">
        <v>74</v>
      </c>
      <c r="BA662" t="s">
        <v>74</v>
      </c>
      <c r="BB662" t="s">
        <v>74</v>
      </c>
      <c r="BC662" t="s">
        <v>74</v>
      </c>
      <c r="BD662">
        <v>120510</v>
      </c>
      <c r="BE662" t="s">
        <v>8436</v>
      </c>
      <c r="BF662" t="str">
        <f>HYPERLINK("http://dx.doi.org/10.1016/j.talanta.2019.120510","http://dx.doi.org/10.1016/j.talanta.2019.120510")</f>
        <v>http://dx.doi.org/10.1016/j.talanta.2019.120510</v>
      </c>
      <c r="BG662" t="s">
        <v>74</v>
      </c>
      <c r="BH662" t="s">
        <v>74</v>
      </c>
      <c r="BI662" t="s">
        <v>74</v>
      </c>
      <c r="BJ662" t="s">
        <v>1118</v>
      </c>
      <c r="BK662" t="s">
        <v>117</v>
      </c>
      <c r="BL662" t="s">
        <v>1048</v>
      </c>
      <c r="BM662" t="s">
        <v>74</v>
      </c>
      <c r="BN662">
        <v>31892034</v>
      </c>
      <c r="BO662" t="s">
        <v>74</v>
      </c>
      <c r="BP662" t="s">
        <v>74</v>
      </c>
      <c r="BQ662" t="s">
        <v>74</v>
      </c>
      <c r="BR662" t="s">
        <v>96</v>
      </c>
      <c r="BS662" t="s">
        <v>8437</v>
      </c>
      <c r="BT662" t="str">
        <f>HYPERLINK("https%3A%2F%2Fwww.webofscience.com%2Fwos%2Fwoscc%2Ffull-record%2FWOS:000509632900029","View Full Record in Web of Science")</f>
        <v>View Full Record in Web of Science</v>
      </c>
    </row>
    <row r="663" spans="1:72" x14ac:dyDescent="0.15">
      <c r="A663" t="s">
        <v>98</v>
      </c>
      <c r="B663" t="s">
        <v>12981</v>
      </c>
      <c r="C663" t="s">
        <v>74</v>
      </c>
      <c r="D663" t="s">
        <v>74</v>
      </c>
      <c r="E663" t="s">
        <v>74</v>
      </c>
      <c r="F663" t="s">
        <v>12982</v>
      </c>
      <c r="G663" t="s">
        <v>74</v>
      </c>
      <c r="H663" t="s">
        <v>74</v>
      </c>
      <c r="I663" t="s">
        <v>12983</v>
      </c>
      <c r="J663" t="s">
        <v>12984</v>
      </c>
      <c r="K663" t="s">
        <v>74</v>
      </c>
      <c r="L663" t="s">
        <v>74</v>
      </c>
      <c r="M663" t="s">
        <v>74</v>
      </c>
      <c r="N663" t="s">
        <v>103</v>
      </c>
      <c r="O663" t="s">
        <v>74</v>
      </c>
      <c r="P663" t="s">
        <v>74</v>
      </c>
      <c r="Q663" t="s">
        <v>74</v>
      </c>
      <c r="R663" t="s">
        <v>74</v>
      </c>
      <c r="S663" t="s">
        <v>74</v>
      </c>
      <c r="T663" t="s">
        <v>74</v>
      </c>
      <c r="U663" t="s">
        <v>12985</v>
      </c>
      <c r="V663" t="s">
        <v>12986</v>
      </c>
      <c r="W663" t="s">
        <v>12987</v>
      </c>
      <c r="X663" t="s">
        <v>10407</v>
      </c>
      <c r="Y663" t="s">
        <v>12988</v>
      </c>
      <c r="Z663" t="s">
        <v>12989</v>
      </c>
      <c r="AA663" t="s">
        <v>12990</v>
      </c>
      <c r="AB663" t="s">
        <v>12991</v>
      </c>
      <c r="AC663" t="s">
        <v>74</v>
      </c>
      <c r="AD663" t="s">
        <v>74</v>
      </c>
      <c r="AE663" t="s">
        <v>74</v>
      </c>
      <c r="AF663" t="s">
        <v>74</v>
      </c>
      <c r="AG663">
        <v>45</v>
      </c>
      <c r="AH663">
        <v>28</v>
      </c>
      <c r="AI663">
        <v>29</v>
      </c>
      <c r="AJ663">
        <v>0</v>
      </c>
      <c r="AK663">
        <v>7</v>
      </c>
      <c r="AL663" t="s">
        <v>74</v>
      </c>
      <c r="AM663" t="s">
        <v>74</v>
      </c>
      <c r="AN663" t="s">
        <v>74</v>
      </c>
      <c r="AO663" t="s">
        <v>12992</v>
      </c>
      <c r="AP663" t="s">
        <v>12993</v>
      </c>
      <c r="AQ663" t="s">
        <v>74</v>
      </c>
      <c r="AR663" t="s">
        <v>74</v>
      </c>
      <c r="AS663" t="s">
        <v>74</v>
      </c>
      <c r="AT663" t="s">
        <v>132</v>
      </c>
      <c r="AU663">
        <v>2020</v>
      </c>
      <c r="AV663">
        <v>16</v>
      </c>
      <c r="AW663">
        <v>4</v>
      </c>
      <c r="AX663" t="s">
        <v>74</v>
      </c>
      <c r="AY663" t="s">
        <v>74</v>
      </c>
      <c r="AZ663" t="s">
        <v>74</v>
      </c>
      <c r="BA663" t="s">
        <v>74</v>
      </c>
      <c r="BB663" t="s">
        <v>74</v>
      </c>
      <c r="BC663" t="s">
        <v>74</v>
      </c>
      <c r="BD663" t="s">
        <v>12994</v>
      </c>
      <c r="BE663" t="s">
        <v>12995</v>
      </c>
      <c r="BF663" t="str">
        <f>HYPERLINK("http://dx.doi.org/10.1371/journal.ppat.1008474","http://dx.doi.org/10.1371/journal.ppat.1008474")</f>
        <v>http://dx.doi.org/10.1371/journal.ppat.1008474</v>
      </c>
      <c r="BG663" t="s">
        <v>74</v>
      </c>
      <c r="BH663" t="s">
        <v>74</v>
      </c>
      <c r="BI663" t="s">
        <v>74</v>
      </c>
      <c r="BJ663" t="s">
        <v>12996</v>
      </c>
      <c r="BK663" t="s">
        <v>117</v>
      </c>
      <c r="BL663" t="s">
        <v>12996</v>
      </c>
      <c r="BM663" t="s">
        <v>74</v>
      </c>
      <c r="BN663">
        <v>32315358</v>
      </c>
      <c r="BO663" t="s">
        <v>74</v>
      </c>
      <c r="BP663" t="s">
        <v>74</v>
      </c>
      <c r="BQ663" t="s">
        <v>74</v>
      </c>
      <c r="BR663" t="s">
        <v>96</v>
      </c>
      <c r="BS663" t="s">
        <v>12997</v>
      </c>
      <c r="BT663" t="str">
        <f>HYPERLINK("https%3A%2F%2Fwww.webofscience.com%2Fwos%2Fwoscc%2Ffull-record%2FWOS:000531365400038","View Full Record in Web of Science")</f>
        <v>View Full Record in Web of Science</v>
      </c>
    </row>
    <row r="664" spans="1:72" x14ac:dyDescent="0.15">
      <c r="A664" t="s">
        <v>98</v>
      </c>
      <c r="B664" t="s">
        <v>13257</v>
      </c>
      <c r="C664" t="s">
        <v>74</v>
      </c>
      <c r="D664" t="s">
        <v>74</v>
      </c>
      <c r="E664" t="s">
        <v>74</v>
      </c>
      <c r="F664" t="s">
        <v>13258</v>
      </c>
      <c r="G664" t="s">
        <v>74</v>
      </c>
      <c r="H664" t="s">
        <v>74</v>
      </c>
      <c r="I664" t="s">
        <v>13259</v>
      </c>
      <c r="J664" t="s">
        <v>13260</v>
      </c>
      <c r="K664" t="s">
        <v>74</v>
      </c>
      <c r="L664" t="s">
        <v>74</v>
      </c>
      <c r="M664" t="s">
        <v>74</v>
      </c>
      <c r="N664" t="s">
        <v>103</v>
      </c>
      <c r="O664" t="s">
        <v>74</v>
      </c>
      <c r="P664" t="s">
        <v>74</v>
      </c>
      <c r="Q664" t="s">
        <v>74</v>
      </c>
      <c r="R664" t="s">
        <v>74</v>
      </c>
      <c r="S664" t="s">
        <v>74</v>
      </c>
      <c r="T664" t="s">
        <v>74</v>
      </c>
      <c r="U664" t="s">
        <v>13261</v>
      </c>
      <c r="V664" t="s">
        <v>13262</v>
      </c>
      <c r="W664" t="s">
        <v>13263</v>
      </c>
      <c r="X664" t="s">
        <v>13264</v>
      </c>
      <c r="Y664" t="s">
        <v>13265</v>
      </c>
      <c r="Z664" t="s">
        <v>13266</v>
      </c>
      <c r="AA664" t="s">
        <v>13267</v>
      </c>
      <c r="AB664" t="s">
        <v>13268</v>
      </c>
      <c r="AC664" t="s">
        <v>74</v>
      </c>
      <c r="AD664" t="s">
        <v>74</v>
      </c>
      <c r="AE664" t="s">
        <v>74</v>
      </c>
      <c r="AF664" t="s">
        <v>74</v>
      </c>
      <c r="AG664">
        <v>78</v>
      </c>
      <c r="AH664">
        <v>28</v>
      </c>
      <c r="AI664">
        <v>29</v>
      </c>
      <c r="AJ664">
        <v>3</v>
      </c>
      <c r="AK664">
        <v>19</v>
      </c>
      <c r="AL664" t="s">
        <v>74</v>
      </c>
      <c r="AM664" t="s">
        <v>74</v>
      </c>
      <c r="AN664" t="s">
        <v>74</v>
      </c>
      <c r="AO664" t="s">
        <v>13269</v>
      </c>
      <c r="AP664" t="s">
        <v>13270</v>
      </c>
      <c r="AQ664" t="s">
        <v>74</v>
      </c>
      <c r="AR664" t="s">
        <v>74</v>
      </c>
      <c r="AS664" t="s">
        <v>74</v>
      </c>
      <c r="AT664" t="s">
        <v>7400</v>
      </c>
      <c r="AU664">
        <v>2019</v>
      </c>
      <c r="AV664">
        <v>10</v>
      </c>
      <c r="AW664">
        <v>11</v>
      </c>
      <c r="AX664" t="s">
        <v>74</v>
      </c>
      <c r="AY664" t="s">
        <v>74</v>
      </c>
      <c r="AZ664" t="s">
        <v>74</v>
      </c>
      <c r="BA664" t="s">
        <v>74</v>
      </c>
      <c r="BB664">
        <v>7523</v>
      </c>
      <c r="BC664">
        <v>7532</v>
      </c>
      <c r="BD664" t="s">
        <v>74</v>
      </c>
      <c r="BE664" t="s">
        <v>13271</v>
      </c>
      <c r="BF664" t="str">
        <f>HYPERLINK("http://dx.doi.org/10.1039/c9fo01914f","http://dx.doi.org/10.1039/c9fo01914f")</f>
        <v>http://dx.doi.org/10.1039/c9fo01914f</v>
      </c>
      <c r="BG664" t="s">
        <v>74</v>
      </c>
      <c r="BH664" t="s">
        <v>74</v>
      </c>
      <c r="BI664" t="s">
        <v>74</v>
      </c>
      <c r="BJ664" t="s">
        <v>13272</v>
      </c>
      <c r="BK664" t="s">
        <v>117</v>
      </c>
      <c r="BL664" t="s">
        <v>13272</v>
      </c>
      <c r="BM664" t="s">
        <v>74</v>
      </c>
      <c r="BN664">
        <v>31674611</v>
      </c>
      <c r="BO664" t="s">
        <v>74</v>
      </c>
      <c r="BP664" t="s">
        <v>74</v>
      </c>
      <c r="BQ664" t="s">
        <v>74</v>
      </c>
      <c r="BR664" t="s">
        <v>96</v>
      </c>
      <c r="BS664" t="s">
        <v>13273</v>
      </c>
      <c r="BT664" t="str">
        <f>HYPERLINK("https%3A%2F%2Fwww.webofscience.com%2Fwos%2Fwoscc%2Ffull-record%2FWOS:000497763600048","View Full Record in Web of Science")</f>
        <v>View Full Record in Web of Science</v>
      </c>
    </row>
    <row r="665" spans="1:72" x14ac:dyDescent="0.15">
      <c r="A665" t="s">
        <v>98</v>
      </c>
      <c r="B665" t="s">
        <v>13997</v>
      </c>
      <c r="C665" t="s">
        <v>74</v>
      </c>
      <c r="D665" t="s">
        <v>74</v>
      </c>
      <c r="E665" t="s">
        <v>74</v>
      </c>
      <c r="F665" t="s">
        <v>13998</v>
      </c>
      <c r="G665" t="s">
        <v>74</v>
      </c>
      <c r="H665" t="s">
        <v>74</v>
      </c>
      <c r="I665" t="s">
        <v>13999</v>
      </c>
      <c r="J665" t="s">
        <v>3780</v>
      </c>
      <c r="K665" t="s">
        <v>74</v>
      </c>
      <c r="L665" t="s">
        <v>74</v>
      </c>
      <c r="M665" t="s">
        <v>74</v>
      </c>
      <c r="N665" t="s">
        <v>103</v>
      </c>
      <c r="O665" t="s">
        <v>74</v>
      </c>
      <c r="P665" t="s">
        <v>74</v>
      </c>
      <c r="Q665" t="s">
        <v>74</v>
      </c>
      <c r="R665" t="s">
        <v>74</v>
      </c>
      <c r="S665" t="s">
        <v>74</v>
      </c>
      <c r="T665" t="s">
        <v>74</v>
      </c>
      <c r="U665" t="s">
        <v>14000</v>
      </c>
      <c r="V665" t="s">
        <v>14001</v>
      </c>
      <c r="W665" t="s">
        <v>14002</v>
      </c>
      <c r="X665" t="s">
        <v>14003</v>
      </c>
      <c r="Y665" t="s">
        <v>14004</v>
      </c>
      <c r="Z665" t="s">
        <v>14005</v>
      </c>
      <c r="AA665" t="s">
        <v>74</v>
      </c>
      <c r="AB665" t="s">
        <v>14006</v>
      </c>
      <c r="AC665" t="s">
        <v>74</v>
      </c>
      <c r="AD665" t="s">
        <v>74</v>
      </c>
      <c r="AE665" t="s">
        <v>74</v>
      </c>
      <c r="AF665" t="s">
        <v>74</v>
      </c>
      <c r="AG665">
        <v>67</v>
      </c>
      <c r="AH665">
        <v>28</v>
      </c>
      <c r="AI665">
        <v>28</v>
      </c>
      <c r="AJ665">
        <v>5</v>
      </c>
      <c r="AK665">
        <v>131</v>
      </c>
      <c r="AL665" t="s">
        <v>74</v>
      </c>
      <c r="AM665" t="s">
        <v>74</v>
      </c>
      <c r="AN665" t="s">
        <v>74</v>
      </c>
      <c r="AO665" t="s">
        <v>3787</v>
      </c>
      <c r="AP665" t="s">
        <v>3788</v>
      </c>
      <c r="AQ665" t="s">
        <v>74</v>
      </c>
      <c r="AR665" t="s">
        <v>74</v>
      </c>
      <c r="AS665" t="s">
        <v>74</v>
      </c>
      <c r="AT665" t="s">
        <v>12509</v>
      </c>
      <c r="AU665">
        <v>2018</v>
      </c>
      <c r="AV665">
        <v>18</v>
      </c>
      <c r="AW665">
        <v>24</v>
      </c>
      <c r="AX665" t="s">
        <v>74</v>
      </c>
      <c r="AY665" t="s">
        <v>74</v>
      </c>
      <c r="AZ665" t="s">
        <v>74</v>
      </c>
      <c r="BA665" t="s">
        <v>74</v>
      </c>
      <c r="BB665">
        <v>3790</v>
      </c>
      <c r="BC665">
        <v>3801</v>
      </c>
      <c r="BD665" t="s">
        <v>74</v>
      </c>
      <c r="BE665" t="s">
        <v>14007</v>
      </c>
      <c r="BF665" t="str">
        <f>HYPERLINK("http://dx.doi.org/10.1039/c8lc01071d","http://dx.doi.org/10.1039/c8lc01071d")</f>
        <v>http://dx.doi.org/10.1039/c8lc01071d</v>
      </c>
      <c r="BG665" t="s">
        <v>74</v>
      </c>
      <c r="BH665" t="s">
        <v>74</v>
      </c>
      <c r="BI665" t="s">
        <v>74</v>
      </c>
      <c r="BJ665" t="s">
        <v>3790</v>
      </c>
      <c r="BK665" t="s">
        <v>117</v>
      </c>
      <c r="BL665" t="s">
        <v>3791</v>
      </c>
      <c r="BM665" t="s">
        <v>74</v>
      </c>
      <c r="BN665">
        <v>30474100</v>
      </c>
      <c r="BO665" t="s">
        <v>74</v>
      </c>
      <c r="BP665" t="s">
        <v>74</v>
      </c>
      <c r="BQ665" t="s">
        <v>74</v>
      </c>
      <c r="BR665" t="s">
        <v>96</v>
      </c>
      <c r="BS665" t="s">
        <v>14008</v>
      </c>
      <c r="BT665" t="str">
        <f>HYPERLINK("https%3A%2F%2Fwww.webofscience.com%2Fwos%2Fwoscc%2Ffull-record%2FWOS:000452320500007","View Full Record in Web of Science")</f>
        <v>View Full Record in Web of Science</v>
      </c>
    </row>
    <row r="666" spans="1:72" x14ac:dyDescent="0.15">
      <c r="A666" t="s">
        <v>98</v>
      </c>
      <c r="B666" t="s">
        <v>14847</v>
      </c>
      <c r="C666" t="s">
        <v>74</v>
      </c>
      <c r="D666" t="s">
        <v>74</v>
      </c>
      <c r="E666" t="s">
        <v>74</v>
      </c>
      <c r="F666" t="s">
        <v>14848</v>
      </c>
      <c r="G666" t="s">
        <v>74</v>
      </c>
      <c r="H666" t="s">
        <v>74</v>
      </c>
      <c r="I666" t="s">
        <v>14849</v>
      </c>
      <c r="J666" t="s">
        <v>1877</v>
      </c>
      <c r="K666" t="s">
        <v>74</v>
      </c>
      <c r="L666" t="s">
        <v>74</v>
      </c>
      <c r="M666" t="s">
        <v>74</v>
      </c>
      <c r="N666" t="s">
        <v>103</v>
      </c>
      <c r="O666" t="s">
        <v>74</v>
      </c>
      <c r="P666" t="s">
        <v>74</v>
      </c>
      <c r="Q666" t="s">
        <v>74</v>
      </c>
      <c r="R666" t="s">
        <v>74</v>
      </c>
      <c r="S666" t="s">
        <v>74</v>
      </c>
      <c r="T666" t="s">
        <v>14850</v>
      </c>
      <c r="U666" t="s">
        <v>14851</v>
      </c>
      <c r="V666" t="s">
        <v>14852</v>
      </c>
      <c r="W666" t="s">
        <v>14853</v>
      </c>
      <c r="X666" t="s">
        <v>14854</v>
      </c>
      <c r="Y666" t="s">
        <v>14855</v>
      </c>
      <c r="Z666" t="s">
        <v>14856</v>
      </c>
      <c r="AA666" t="s">
        <v>74</v>
      </c>
      <c r="AB666" t="s">
        <v>74</v>
      </c>
      <c r="AC666" t="s">
        <v>74</v>
      </c>
      <c r="AD666" t="s">
        <v>74</v>
      </c>
      <c r="AE666" t="s">
        <v>74</v>
      </c>
      <c r="AF666" t="s">
        <v>74</v>
      </c>
      <c r="AG666">
        <v>58</v>
      </c>
      <c r="AH666">
        <v>28</v>
      </c>
      <c r="AI666">
        <v>30</v>
      </c>
      <c r="AJ666">
        <v>0</v>
      </c>
      <c r="AK666">
        <v>10</v>
      </c>
      <c r="AL666" t="s">
        <v>74</v>
      </c>
      <c r="AM666" t="s">
        <v>74</v>
      </c>
      <c r="AN666" t="s">
        <v>74</v>
      </c>
      <c r="AO666" t="s">
        <v>1885</v>
      </c>
      <c r="AP666" t="s">
        <v>1886</v>
      </c>
      <c r="AQ666" t="s">
        <v>74</v>
      </c>
      <c r="AR666" t="s">
        <v>74</v>
      </c>
      <c r="AS666" t="s">
        <v>74</v>
      </c>
      <c r="AT666" t="s">
        <v>1029</v>
      </c>
      <c r="AU666">
        <v>2017</v>
      </c>
      <c r="AV666">
        <v>13</v>
      </c>
      <c r="AW666">
        <v>5</v>
      </c>
      <c r="AX666" t="s">
        <v>74</v>
      </c>
      <c r="AY666" t="s">
        <v>74</v>
      </c>
      <c r="AZ666" t="s">
        <v>74</v>
      </c>
      <c r="BA666" t="s">
        <v>74</v>
      </c>
      <c r="BB666">
        <v>3608</v>
      </c>
      <c r="BC666">
        <v>3616</v>
      </c>
      <c r="BD666" t="s">
        <v>74</v>
      </c>
      <c r="BE666" t="s">
        <v>14857</v>
      </c>
      <c r="BF666" t="str">
        <f>HYPERLINK("http://dx.doi.org/10.3892/ol.2017.5889","http://dx.doi.org/10.3892/ol.2017.5889")</f>
        <v>http://dx.doi.org/10.3892/ol.2017.5889</v>
      </c>
      <c r="BG666" t="s">
        <v>74</v>
      </c>
      <c r="BH666" t="s">
        <v>74</v>
      </c>
      <c r="BI666" t="s">
        <v>74</v>
      </c>
      <c r="BJ666" t="s">
        <v>267</v>
      </c>
      <c r="BK666" t="s">
        <v>117</v>
      </c>
      <c r="BL666" t="s">
        <v>267</v>
      </c>
      <c r="BM666" t="s">
        <v>74</v>
      </c>
      <c r="BN666">
        <v>28521461</v>
      </c>
      <c r="BO666" t="s">
        <v>74</v>
      </c>
      <c r="BP666" t="s">
        <v>74</v>
      </c>
      <c r="BQ666" t="s">
        <v>74</v>
      </c>
      <c r="BR666" t="s">
        <v>96</v>
      </c>
      <c r="BS666" t="s">
        <v>14858</v>
      </c>
      <c r="BT666" t="str">
        <f>HYPERLINK("https%3A%2F%2Fwww.webofscience.com%2Fwos%2Fwoscc%2Ffull-record%2FWOS:000401129800103","View Full Record in Web of Science")</f>
        <v>View Full Record in Web of Science</v>
      </c>
    </row>
    <row r="667" spans="1:72" x14ac:dyDescent="0.15">
      <c r="A667" t="s">
        <v>98</v>
      </c>
      <c r="B667" t="s">
        <v>17560</v>
      </c>
      <c r="C667" t="s">
        <v>74</v>
      </c>
      <c r="D667" t="s">
        <v>74</v>
      </c>
      <c r="E667" t="s">
        <v>74</v>
      </c>
      <c r="F667" t="s">
        <v>17561</v>
      </c>
      <c r="G667" t="s">
        <v>74</v>
      </c>
      <c r="H667" t="s">
        <v>74</v>
      </c>
      <c r="I667" t="s">
        <v>17562</v>
      </c>
      <c r="J667" t="s">
        <v>17563</v>
      </c>
      <c r="K667" t="s">
        <v>74</v>
      </c>
      <c r="L667" t="s">
        <v>74</v>
      </c>
      <c r="M667" t="s">
        <v>74</v>
      </c>
      <c r="N667" t="s">
        <v>103</v>
      </c>
      <c r="O667" t="s">
        <v>74</v>
      </c>
      <c r="P667" t="s">
        <v>74</v>
      </c>
      <c r="Q667" t="s">
        <v>74</v>
      </c>
      <c r="R667" t="s">
        <v>74</v>
      </c>
      <c r="S667" t="s">
        <v>74</v>
      </c>
      <c r="T667" t="s">
        <v>17564</v>
      </c>
      <c r="U667" t="s">
        <v>17565</v>
      </c>
      <c r="V667" t="s">
        <v>17566</v>
      </c>
      <c r="W667" t="s">
        <v>17567</v>
      </c>
      <c r="X667" t="s">
        <v>17568</v>
      </c>
      <c r="Y667" t="s">
        <v>17569</v>
      </c>
      <c r="Z667" t="s">
        <v>17570</v>
      </c>
      <c r="AA667" t="s">
        <v>17571</v>
      </c>
      <c r="AB667" t="s">
        <v>17572</v>
      </c>
      <c r="AC667" t="s">
        <v>74</v>
      </c>
      <c r="AD667" t="s">
        <v>74</v>
      </c>
      <c r="AE667" t="s">
        <v>74</v>
      </c>
      <c r="AF667" t="s">
        <v>74</v>
      </c>
      <c r="AG667">
        <v>23</v>
      </c>
      <c r="AH667">
        <v>28</v>
      </c>
      <c r="AI667">
        <v>31</v>
      </c>
      <c r="AJ667">
        <v>1</v>
      </c>
      <c r="AK667">
        <v>22</v>
      </c>
      <c r="AL667" t="s">
        <v>74</v>
      </c>
      <c r="AM667" t="s">
        <v>74</v>
      </c>
      <c r="AN667" t="s">
        <v>74</v>
      </c>
      <c r="AO667" t="s">
        <v>17573</v>
      </c>
      <c r="AP667" t="s">
        <v>17574</v>
      </c>
      <c r="AQ667" t="s">
        <v>74</v>
      </c>
      <c r="AR667" t="s">
        <v>74</v>
      </c>
      <c r="AS667" t="s">
        <v>74</v>
      </c>
      <c r="AT667" t="s">
        <v>8092</v>
      </c>
      <c r="AU667">
        <v>2017</v>
      </c>
      <c r="AV667">
        <v>14</v>
      </c>
      <c r="AW667" t="s">
        <v>74</v>
      </c>
      <c r="AX667" t="s">
        <v>74</v>
      </c>
      <c r="AY667" t="s">
        <v>74</v>
      </c>
      <c r="AZ667" t="s">
        <v>74</v>
      </c>
      <c r="BA667" t="s">
        <v>74</v>
      </c>
      <c r="BB667" t="s">
        <v>74</v>
      </c>
      <c r="BC667" t="s">
        <v>74</v>
      </c>
      <c r="BD667">
        <v>21</v>
      </c>
      <c r="BE667" t="s">
        <v>17575</v>
      </c>
      <c r="BF667" t="str">
        <f>HYPERLINK("http://dx.doi.org/10.1186/s12014-017-9156-y","http://dx.doi.org/10.1186/s12014-017-9156-y")</f>
        <v>http://dx.doi.org/10.1186/s12014-017-9156-y</v>
      </c>
      <c r="BG667" t="s">
        <v>74</v>
      </c>
      <c r="BH667" t="s">
        <v>74</v>
      </c>
      <c r="BI667" t="s">
        <v>74</v>
      </c>
      <c r="BJ667" t="s">
        <v>812</v>
      </c>
      <c r="BK667" t="s">
        <v>117</v>
      </c>
      <c r="BL667" t="s">
        <v>95</v>
      </c>
      <c r="BM667" t="s">
        <v>74</v>
      </c>
      <c r="BN667">
        <v>28592925</v>
      </c>
      <c r="BO667" t="s">
        <v>74</v>
      </c>
      <c r="BP667" t="s">
        <v>74</v>
      </c>
      <c r="BQ667" t="s">
        <v>74</v>
      </c>
      <c r="BR667" t="s">
        <v>96</v>
      </c>
      <c r="BS667" t="s">
        <v>17576</v>
      </c>
      <c r="BT667" t="str">
        <f>HYPERLINK("https%3A%2F%2Fwww.webofscience.com%2Fwos%2Fwoscc%2Ffull-record%2FWOS:000403046200001","View Full Record in Web of Science")</f>
        <v>View Full Record in Web of Science</v>
      </c>
    </row>
    <row r="668" spans="1:72" x14ac:dyDescent="0.15">
      <c r="A668" t="s">
        <v>98</v>
      </c>
      <c r="B668" t="s">
        <v>19969</v>
      </c>
      <c r="C668" t="s">
        <v>74</v>
      </c>
      <c r="D668" t="s">
        <v>74</v>
      </c>
      <c r="E668" t="s">
        <v>74</v>
      </c>
      <c r="F668" t="s">
        <v>19970</v>
      </c>
      <c r="G668" t="s">
        <v>74</v>
      </c>
      <c r="H668" t="s">
        <v>74</v>
      </c>
      <c r="I668" t="s">
        <v>19971</v>
      </c>
      <c r="J668" t="s">
        <v>19972</v>
      </c>
      <c r="K668" t="s">
        <v>74</v>
      </c>
      <c r="L668" t="s">
        <v>74</v>
      </c>
      <c r="M668" t="s">
        <v>74</v>
      </c>
      <c r="N668" t="s">
        <v>103</v>
      </c>
      <c r="O668" t="s">
        <v>74</v>
      </c>
      <c r="P668" t="s">
        <v>74</v>
      </c>
      <c r="Q668" t="s">
        <v>74</v>
      </c>
      <c r="R668" t="s">
        <v>74</v>
      </c>
      <c r="S668" t="s">
        <v>74</v>
      </c>
      <c r="T668" t="s">
        <v>19973</v>
      </c>
      <c r="U668" t="s">
        <v>19974</v>
      </c>
      <c r="V668" t="s">
        <v>19975</v>
      </c>
      <c r="W668" t="s">
        <v>19976</v>
      </c>
      <c r="X668" t="s">
        <v>19977</v>
      </c>
      <c r="Y668" t="s">
        <v>19978</v>
      </c>
      <c r="Z668" t="s">
        <v>19979</v>
      </c>
      <c r="AA668" t="s">
        <v>74</v>
      </c>
      <c r="AB668" t="s">
        <v>74</v>
      </c>
      <c r="AC668" t="s">
        <v>74</v>
      </c>
      <c r="AD668" t="s">
        <v>74</v>
      </c>
      <c r="AE668" t="s">
        <v>74</v>
      </c>
      <c r="AF668" t="s">
        <v>74</v>
      </c>
      <c r="AG668">
        <v>84</v>
      </c>
      <c r="AH668">
        <v>28</v>
      </c>
      <c r="AI668">
        <v>28</v>
      </c>
      <c r="AJ668">
        <v>0</v>
      </c>
      <c r="AK668">
        <v>14</v>
      </c>
      <c r="AL668" t="s">
        <v>74</v>
      </c>
      <c r="AM668" t="s">
        <v>74</v>
      </c>
      <c r="AN668" t="s">
        <v>74</v>
      </c>
      <c r="AO668" t="s">
        <v>19980</v>
      </c>
      <c r="AP668" t="s">
        <v>19981</v>
      </c>
      <c r="AQ668" t="s">
        <v>74</v>
      </c>
      <c r="AR668" t="s">
        <v>74</v>
      </c>
      <c r="AS668" t="s">
        <v>74</v>
      </c>
      <c r="AT668" t="s">
        <v>531</v>
      </c>
      <c r="AU668">
        <v>2009</v>
      </c>
      <c r="AV668">
        <v>297</v>
      </c>
      <c r="AW668">
        <v>3</v>
      </c>
      <c r="AX668" t="s">
        <v>74</v>
      </c>
      <c r="AY668" t="s">
        <v>74</v>
      </c>
      <c r="AZ668" t="s">
        <v>74</v>
      </c>
      <c r="BA668" t="s">
        <v>74</v>
      </c>
      <c r="BB668" t="s">
        <v>19982</v>
      </c>
      <c r="BC668" t="s">
        <v>19983</v>
      </c>
      <c r="BD668" t="s">
        <v>74</v>
      </c>
      <c r="BE668" t="s">
        <v>19984</v>
      </c>
      <c r="BF668" t="str">
        <f>HYPERLINK("http://dx.doi.org/10.1152/ajpheart.00414.2009","http://dx.doi.org/10.1152/ajpheart.00414.2009")</f>
        <v>http://dx.doi.org/10.1152/ajpheart.00414.2009</v>
      </c>
      <c r="BG668" t="s">
        <v>74</v>
      </c>
      <c r="BH668" t="s">
        <v>74</v>
      </c>
      <c r="BI668" t="s">
        <v>74</v>
      </c>
      <c r="BJ668" t="s">
        <v>19985</v>
      </c>
      <c r="BK668" t="s">
        <v>117</v>
      </c>
      <c r="BL668" t="s">
        <v>19986</v>
      </c>
      <c r="BM668" t="s">
        <v>74</v>
      </c>
      <c r="BN668">
        <v>19592610</v>
      </c>
      <c r="BO668" t="s">
        <v>74</v>
      </c>
      <c r="BP668" t="s">
        <v>74</v>
      </c>
      <c r="BQ668" t="s">
        <v>74</v>
      </c>
      <c r="BR668" t="s">
        <v>96</v>
      </c>
      <c r="BS668" t="s">
        <v>19987</v>
      </c>
      <c r="BT668" t="str">
        <f>HYPERLINK("https%3A%2F%2Fwww.webofscience.com%2Fwos%2Fwoscc%2Ffull-record%2FWOS:000269308900001","View Full Record in Web of Science")</f>
        <v>View Full Record in Web of Science</v>
      </c>
    </row>
    <row r="669" spans="1:72" x14ac:dyDescent="0.15">
      <c r="A669" t="s">
        <v>98</v>
      </c>
      <c r="B669" t="s">
        <v>20205</v>
      </c>
      <c r="C669" t="s">
        <v>74</v>
      </c>
      <c r="D669" t="s">
        <v>74</v>
      </c>
      <c r="E669" t="s">
        <v>74</v>
      </c>
      <c r="F669" t="s">
        <v>20206</v>
      </c>
      <c r="G669" t="s">
        <v>74</v>
      </c>
      <c r="H669" t="s">
        <v>74</v>
      </c>
      <c r="I669" t="s">
        <v>20207</v>
      </c>
      <c r="J669" t="s">
        <v>9792</v>
      </c>
      <c r="K669" t="s">
        <v>74</v>
      </c>
      <c r="L669" t="s">
        <v>74</v>
      </c>
      <c r="M669" t="s">
        <v>74</v>
      </c>
      <c r="N669" t="s">
        <v>103</v>
      </c>
      <c r="O669" t="s">
        <v>74</v>
      </c>
      <c r="P669" t="s">
        <v>74</v>
      </c>
      <c r="Q669" t="s">
        <v>74</v>
      </c>
      <c r="R669" t="s">
        <v>74</v>
      </c>
      <c r="S669" t="s">
        <v>74</v>
      </c>
      <c r="T669" t="s">
        <v>20208</v>
      </c>
      <c r="U669" t="s">
        <v>20209</v>
      </c>
      <c r="V669" t="s">
        <v>20210</v>
      </c>
      <c r="W669" t="s">
        <v>20211</v>
      </c>
      <c r="X669" t="s">
        <v>20212</v>
      </c>
      <c r="Y669" t="s">
        <v>20213</v>
      </c>
      <c r="Z669" t="s">
        <v>20214</v>
      </c>
      <c r="AA669" t="s">
        <v>20215</v>
      </c>
      <c r="AB669" t="s">
        <v>20216</v>
      </c>
      <c r="AC669" t="s">
        <v>74</v>
      </c>
      <c r="AD669" t="s">
        <v>74</v>
      </c>
      <c r="AE669" t="s">
        <v>74</v>
      </c>
      <c r="AF669" t="s">
        <v>74</v>
      </c>
      <c r="AG669">
        <v>46</v>
      </c>
      <c r="AH669">
        <v>28</v>
      </c>
      <c r="AI669">
        <v>30</v>
      </c>
      <c r="AJ669">
        <v>2</v>
      </c>
      <c r="AK669">
        <v>3</v>
      </c>
      <c r="AL669" t="s">
        <v>74</v>
      </c>
      <c r="AM669" t="s">
        <v>74</v>
      </c>
      <c r="AN669" t="s">
        <v>74</v>
      </c>
      <c r="AO669" t="s">
        <v>9802</v>
      </c>
      <c r="AP669" t="s">
        <v>9803</v>
      </c>
      <c r="AQ669" t="s">
        <v>74</v>
      </c>
      <c r="AR669" t="s">
        <v>74</v>
      </c>
      <c r="AS669" t="s">
        <v>74</v>
      </c>
      <c r="AT669" t="s">
        <v>189</v>
      </c>
      <c r="AU669">
        <v>2017</v>
      </c>
      <c r="AV669">
        <v>38</v>
      </c>
      <c r="AW669" t="s">
        <v>74</v>
      </c>
      <c r="AX669" t="s">
        <v>74</v>
      </c>
      <c r="AY669" t="s">
        <v>74</v>
      </c>
      <c r="AZ669" t="s">
        <v>74</v>
      </c>
      <c r="BA669" t="s">
        <v>74</v>
      </c>
      <c r="BB669">
        <v>146</v>
      </c>
      <c r="BC669">
        <v>158</v>
      </c>
      <c r="BD669" t="s">
        <v>74</v>
      </c>
      <c r="BE669" t="s">
        <v>20217</v>
      </c>
      <c r="BF669" t="str">
        <f>HYPERLINK("http://dx.doi.org/10.1016/j.cellsig.2017.07.005","http://dx.doi.org/10.1016/j.cellsig.2017.07.005")</f>
        <v>http://dx.doi.org/10.1016/j.cellsig.2017.07.005</v>
      </c>
      <c r="BG669" t="s">
        <v>74</v>
      </c>
      <c r="BH669" t="s">
        <v>74</v>
      </c>
      <c r="BI669" t="s">
        <v>74</v>
      </c>
      <c r="BJ669" t="s">
        <v>135</v>
      </c>
      <c r="BK669" t="s">
        <v>117</v>
      </c>
      <c r="BL669" t="s">
        <v>135</v>
      </c>
      <c r="BM669" t="s">
        <v>74</v>
      </c>
      <c r="BN669">
        <v>28709644</v>
      </c>
      <c r="BO669" t="s">
        <v>74</v>
      </c>
      <c r="BP669" t="s">
        <v>74</v>
      </c>
      <c r="BQ669" t="s">
        <v>74</v>
      </c>
      <c r="BR669" t="s">
        <v>96</v>
      </c>
      <c r="BS669" t="s">
        <v>20218</v>
      </c>
      <c r="BT669" t="str">
        <f>HYPERLINK("https%3A%2F%2Fwww.webofscience.com%2Fwos%2Fwoscc%2Ffull-record%2FWOS:000408788800015","View Full Record in Web of Science")</f>
        <v>View Full Record in Web of Science</v>
      </c>
    </row>
    <row r="670" spans="1:72" x14ac:dyDescent="0.15">
      <c r="A670" t="s">
        <v>98</v>
      </c>
      <c r="B670" t="s">
        <v>21117</v>
      </c>
      <c r="C670" t="s">
        <v>74</v>
      </c>
      <c r="D670" t="s">
        <v>74</v>
      </c>
      <c r="E670" t="s">
        <v>74</v>
      </c>
      <c r="F670" t="s">
        <v>21118</v>
      </c>
      <c r="G670" t="s">
        <v>74</v>
      </c>
      <c r="H670" t="s">
        <v>74</v>
      </c>
      <c r="I670" t="s">
        <v>21119</v>
      </c>
      <c r="J670" t="s">
        <v>1972</v>
      </c>
      <c r="K670" t="s">
        <v>74</v>
      </c>
      <c r="L670" t="s">
        <v>74</v>
      </c>
      <c r="M670" t="s">
        <v>74</v>
      </c>
      <c r="N670" t="s">
        <v>103</v>
      </c>
      <c r="O670" t="s">
        <v>74</v>
      </c>
      <c r="P670" t="s">
        <v>74</v>
      </c>
      <c r="Q670" t="s">
        <v>74</v>
      </c>
      <c r="R670" t="s">
        <v>74</v>
      </c>
      <c r="S670" t="s">
        <v>74</v>
      </c>
      <c r="T670" t="s">
        <v>21120</v>
      </c>
      <c r="U670" t="s">
        <v>21121</v>
      </c>
      <c r="V670" t="s">
        <v>21122</v>
      </c>
      <c r="W670" t="s">
        <v>21123</v>
      </c>
      <c r="X670" t="s">
        <v>21124</v>
      </c>
      <c r="Y670" t="s">
        <v>21125</v>
      </c>
      <c r="Z670" t="s">
        <v>21126</v>
      </c>
      <c r="AA670" t="s">
        <v>21127</v>
      </c>
      <c r="AB670" t="s">
        <v>21128</v>
      </c>
      <c r="AC670" t="s">
        <v>74</v>
      </c>
      <c r="AD670" t="s">
        <v>74</v>
      </c>
      <c r="AE670" t="s">
        <v>74</v>
      </c>
      <c r="AF670" t="s">
        <v>74</v>
      </c>
      <c r="AG670">
        <v>52</v>
      </c>
      <c r="AH670">
        <v>28</v>
      </c>
      <c r="AI670">
        <v>28</v>
      </c>
      <c r="AJ670">
        <v>29</v>
      </c>
      <c r="AK670">
        <v>171</v>
      </c>
      <c r="AL670" t="s">
        <v>74</v>
      </c>
      <c r="AM670" t="s">
        <v>74</v>
      </c>
      <c r="AN670" t="s">
        <v>74</v>
      </c>
      <c r="AO670" t="s">
        <v>1980</v>
      </c>
      <c r="AP670" t="s">
        <v>1981</v>
      </c>
      <c r="AQ670" t="s">
        <v>74</v>
      </c>
      <c r="AR670" t="s">
        <v>74</v>
      </c>
      <c r="AS670" t="s">
        <v>74</v>
      </c>
      <c r="AT670" t="s">
        <v>189</v>
      </c>
      <c r="AU670">
        <v>2020</v>
      </c>
      <c r="AV670">
        <v>257</v>
      </c>
      <c r="AW670" t="s">
        <v>74</v>
      </c>
      <c r="AX670" t="s">
        <v>74</v>
      </c>
      <c r="AY670" t="s">
        <v>74</v>
      </c>
      <c r="AZ670" t="s">
        <v>74</v>
      </c>
      <c r="BA670" t="s">
        <v>74</v>
      </c>
      <c r="BB670" t="s">
        <v>74</v>
      </c>
      <c r="BC670" t="s">
        <v>74</v>
      </c>
      <c r="BD670">
        <v>120256</v>
      </c>
      <c r="BE670" t="s">
        <v>21129</v>
      </c>
      <c r="BF670" t="str">
        <f>HYPERLINK("http://dx.doi.org/10.1016/j.biomaterials.2020.120256","http://dx.doi.org/10.1016/j.biomaterials.2020.120256")</f>
        <v>http://dx.doi.org/10.1016/j.biomaterials.2020.120256</v>
      </c>
      <c r="BG670" t="s">
        <v>74</v>
      </c>
      <c r="BH670" t="s">
        <v>74</v>
      </c>
      <c r="BI670" t="s">
        <v>74</v>
      </c>
      <c r="BJ670" t="s">
        <v>1983</v>
      </c>
      <c r="BK670" t="s">
        <v>117</v>
      </c>
      <c r="BL670" t="s">
        <v>1984</v>
      </c>
      <c r="BM670" t="s">
        <v>74</v>
      </c>
      <c r="BN670">
        <v>32736263</v>
      </c>
      <c r="BO670" t="s">
        <v>74</v>
      </c>
      <c r="BP670" t="s">
        <v>74</v>
      </c>
      <c r="BQ670" t="s">
        <v>74</v>
      </c>
      <c r="BR670" t="s">
        <v>96</v>
      </c>
      <c r="BS670" t="s">
        <v>21130</v>
      </c>
      <c r="BT670" t="str">
        <f>HYPERLINK("https%3A%2F%2Fwww.webofscience.com%2Fwos%2Fwoscc%2Ffull-record%2FWOS:000563957300003","View Full Record in Web of Science")</f>
        <v>View Full Record in Web of Science</v>
      </c>
    </row>
    <row r="671" spans="1:72" x14ac:dyDescent="0.15">
      <c r="A671" t="s">
        <v>98</v>
      </c>
      <c r="B671" t="s">
        <v>21403</v>
      </c>
      <c r="C671" t="s">
        <v>74</v>
      </c>
      <c r="D671" t="s">
        <v>74</v>
      </c>
      <c r="E671" t="s">
        <v>74</v>
      </c>
      <c r="F671" t="s">
        <v>21404</v>
      </c>
      <c r="G671" t="s">
        <v>74</v>
      </c>
      <c r="H671" t="s">
        <v>74</v>
      </c>
      <c r="I671" t="s">
        <v>21405</v>
      </c>
      <c r="J671" t="s">
        <v>21406</v>
      </c>
      <c r="K671" t="s">
        <v>74</v>
      </c>
      <c r="L671" t="s">
        <v>74</v>
      </c>
      <c r="M671" t="s">
        <v>74</v>
      </c>
      <c r="N671" t="s">
        <v>103</v>
      </c>
      <c r="O671" t="s">
        <v>74</v>
      </c>
      <c r="P671" t="s">
        <v>74</v>
      </c>
      <c r="Q671" t="s">
        <v>74</v>
      </c>
      <c r="R671" t="s">
        <v>74</v>
      </c>
      <c r="S671" t="s">
        <v>74</v>
      </c>
      <c r="T671" t="s">
        <v>21407</v>
      </c>
      <c r="U671" t="s">
        <v>21408</v>
      </c>
      <c r="V671" t="s">
        <v>21409</v>
      </c>
      <c r="W671" t="s">
        <v>21410</v>
      </c>
      <c r="X671" t="s">
        <v>21411</v>
      </c>
      <c r="Y671" t="s">
        <v>21412</v>
      </c>
      <c r="Z671" t="s">
        <v>21413</v>
      </c>
      <c r="AA671" t="s">
        <v>74</v>
      </c>
      <c r="AB671" t="s">
        <v>21414</v>
      </c>
      <c r="AC671" t="s">
        <v>74</v>
      </c>
      <c r="AD671" t="s">
        <v>74</v>
      </c>
      <c r="AE671" t="s">
        <v>74</v>
      </c>
      <c r="AF671" t="s">
        <v>74</v>
      </c>
      <c r="AG671">
        <v>57</v>
      </c>
      <c r="AH671">
        <v>28</v>
      </c>
      <c r="AI671">
        <v>28</v>
      </c>
      <c r="AJ671">
        <v>19</v>
      </c>
      <c r="AK671">
        <v>44</v>
      </c>
      <c r="AL671" t="s">
        <v>74</v>
      </c>
      <c r="AM671" t="s">
        <v>74</v>
      </c>
      <c r="AN671" t="s">
        <v>74</v>
      </c>
      <c r="AO671" t="s">
        <v>21415</v>
      </c>
      <c r="AP671" t="s">
        <v>21416</v>
      </c>
      <c r="AQ671" t="s">
        <v>74</v>
      </c>
      <c r="AR671" t="s">
        <v>74</v>
      </c>
      <c r="AS671" t="s">
        <v>74</v>
      </c>
      <c r="AT671" t="s">
        <v>74</v>
      </c>
      <c r="AU671">
        <v>2018</v>
      </c>
      <c r="AV671">
        <v>46</v>
      </c>
      <c r="AW671" t="s">
        <v>74</v>
      </c>
      <c r="AX671" t="s">
        <v>74</v>
      </c>
      <c r="AY671">
        <v>3</v>
      </c>
      <c r="AZ671" t="s">
        <v>74</v>
      </c>
      <c r="BA671" t="s">
        <v>74</v>
      </c>
      <c r="BB671" t="s">
        <v>21417</v>
      </c>
      <c r="BC671" t="s">
        <v>21418</v>
      </c>
      <c r="BD671" t="s">
        <v>74</v>
      </c>
      <c r="BE671" t="s">
        <v>21419</v>
      </c>
      <c r="BF671" t="str">
        <f>HYPERLINK("http://dx.doi.org/10.1080/21691401.2018.1489263","http://dx.doi.org/10.1080/21691401.2018.1489263")</f>
        <v>http://dx.doi.org/10.1080/21691401.2018.1489263</v>
      </c>
      <c r="BG671" t="s">
        <v>74</v>
      </c>
      <c r="BH671" t="s">
        <v>74</v>
      </c>
      <c r="BI671" t="s">
        <v>74</v>
      </c>
      <c r="BJ671" t="s">
        <v>21420</v>
      </c>
      <c r="BK671" t="s">
        <v>117</v>
      </c>
      <c r="BL671" t="s">
        <v>21421</v>
      </c>
      <c r="BM671" t="s">
        <v>74</v>
      </c>
      <c r="BN671">
        <v>30033809</v>
      </c>
      <c r="BO671" t="s">
        <v>74</v>
      </c>
      <c r="BP671" t="s">
        <v>74</v>
      </c>
      <c r="BQ671" t="s">
        <v>74</v>
      </c>
      <c r="BR671" t="s">
        <v>96</v>
      </c>
      <c r="BS671" t="s">
        <v>21422</v>
      </c>
      <c r="BT671" t="str">
        <f>HYPERLINK("https%3A%2F%2Fwww.webofscience.com%2Fwos%2Fwoscc%2Ffull-record%2FWOS:000460141900005","View Full Record in Web of Science")</f>
        <v>View Full Record in Web of Science</v>
      </c>
    </row>
    <row r="672" spans="1:72" x14ac:dyDescent="0.15">
      <c r="A672" t="s">
        <v>98</v>
      </c>
      <c r="B672" t="s">
        <v>22419</v>
      </c>
      <c r="C672" t="s">
        <v>74</v>
      </c>
      <c r="D672" t="s">
        <v>74</v>
      </c>
      <c r="E672" t="s">
        <v>74</v>
      </c>
      <c r="F672" t="s">
        <v>22420</v>
      </c>
      <c r="G672" t="s">
        <v>74</v>
      </c>
      <c r="H672" t="s">
        <v>74</v>
      </c>
      <c r="I672" t="s">
        <v>22421</v>
      </c>
      <c r="J672" t="s">
        <v>7316</v>
      </c>
      <c r="K672" t="s">
        <v>74</v>
      </c>
      <c r="L672" t="s">
        <v>74</v>
      </c>
      <c r="M672" t="s">
        <v>74</v>
      </c>
      <c r="N672" t="s">
        <v>103</v>
      </c>
      <c r="O672" t="s">
        <v>74</v>
      </c>
      <c r="P672" t="s">
        <v>74</v>
      </c>
      <c r="Q672" t="s">
        <v>74</v>
      </c>
      <c r="R672" t="s">
        <v>74</v>
      </c>
      <c r="S672" t="s">
        <v>74</v>
      </c>
      <c r="T672" t="s">
        <v>74</v>
      </c>
      <c r="U672" t="s">
        <v>22422</v>
      </c>
      <c r="V672" t="s">
        <v>22423</v>
      </c>
      <c r="W672" t="s">
        <v>22424</v>
      </c>
      <c r="X672" t="s">
        <v>22425</v>
      </c>
      <c r="Y672" t="s">
        <v>22426</v>
      </c>
      <c r="Z672" t="s">
        <v>22427</v>
      </c>
      <c r="AA672" t="s">
        <v>74</v>
      </c>
      <c r="AB672" t="s">
        <v>74</v>
      </c>
      <c r="AC672" t="s">
        <v>74</v>
      </c>
      <c r="AD672" t="s">
        <v>74</v>
      </c>
      <c r="AE672" t="s">
        <v>74</v>
      </c>
      <c r="AF672" t="s">
        <v>74</v>
      </c>
      <c r="AG672">
        <v>31</v>
      </c>
      <c r="AH672">
        <v>28</v>
      </c>
      <c r="AI672">
        <v>28</v>
      </c>
      <c r="AJ672">
        <v>25</v>
      </c>
      <c r="AK672">
        <v>110</v>
      </c>
      <c r="AL672" t="s">
        <v>74</v>
      </c>
      <c r="AM672" t="s">
        <v>74</v>
      </c>
      <c r="AN672" t="s">
        <v>74</v>
      </c>
      <c r="AO672" t="s">
        <v>7324</v>
      </c>
      <c r="AP672" t="s">
        <v>7325</v>
      </c>
      <c r="AQ672" t="s">
        <v>74</v>
      </c>
      <c r="AR672" t="s">
        <v>74</v>
      </c>
      <c r="AS672" t="s">
        <v>74</v>
      </c>
      <c r="AT672" t="s">
        <v>2843</v>
      </c>
      <c r="AU672">
        <v>2020</v>
      </c>
      <c r="AV672">
        <v>145</v>
      </c>
      <c r="AW672">
        <v>9</v>
      </c>
      <c r="AX672" t="s">
        <v>74</v>
      </c>
      <c r="AY672" t="s">
        <v>74</v>
      </c>
      <c r="AZ672" t="s">
        <v>74</v>
      </c>
      <c r="BA672" t="s">
        <v>74</v>
      </c>
      <c r="BB672">
        <v>3289</v>
      </c>
      <c r="BC672">
        <v>3296</v>
      </c>
      <c r="BD672" t="s">
        <v>74</v>
      </c>
      <c r="BE672" t="s">
        <v>22428</v>
      </c>
      <c r="BF672" t="str">
        <f>HYPERLINK("http://dx.doi.org/10.1039/d0an00393j","http://dx.doi.org/10.1039/d0an00393j")</f>
        <v>http://dx.doi.org/10.1039/d0an00393j</v>
      </c>
      <c r="BG672" t="s">
        <v>74</v>
      </c>
      <c r="BH672" t="s">
        <v>74</v>
      </c>
      <c r="BI672" t="s">
        <v>74</v>
      </c>
      <c r="BJ672" t="s">
        <v>1118</v>
      </c>
      <c r="BK672" t="s">
        <v>117</v>
      </c>
      <c r="BL672" t="s">
        <v>1048</v>
      </c>
      <c r="BM672" t="s">
        <v>74</v>
      </c>
      <c r="BN672">
        <v>32255115</v>
      </c>
      <c r="BO672" t="s">
        <v>74</v>
      </c>
      <c r="BP672" t="s">
        <v>74</v>
      </c>
      <c r="BQ672" t="s">
        <v>74</v>
      </c>
      <c r="BR672" t="s">
        <v>96</v>
      </c>
      <c r="BS672" t="s">
        <v>22429</v>
      </c>
      <c r="BT672" t="str">
        <f>HYPERLINK("https%3A%2F%2Fwww.webofscience.com%2Fwos%2Fwoscc%2Ffull-record%2FWOS:000532257200009","View Full Record in Web of Science")</f>
        <v>View Full Record in Web of Science</v>
      </c>
    </row>
    <row r="673" spans="1:72" x14ac:dyDescent="0.15">
      <c r="A673" t="s">
        <v>98</v>
      </c>
      <c r="B673" t="s">
        <v>25124</v>
      </c>
      <c r="C673" t="s">
        <v>74</v>
      </c>
      <c r="D673" t="s">
        <v>74</v>
      </c>
      <c r="E673" t="s">
        <v>74</v>
      </c>
      <c r="F673" t="s">
        <v>25125</v>
      </c>
      <c r="G673" t="s">
        <v>74</v>
      </c>
      <c r="H673" t="s">
        <v>74</v>
      </c>
      <c r="I673" t="s">
        <v>25126</v>
      </c>
      <c r="J673" t="s">
        <v>17730</v>
      </c>
      <c r="K673" t="s">
        <v>74</v>
      </c>
      <c r="L673" t="s">
        <v>74</v>
      </c>
      <c r="M673" t="s">
        <v>74</v>
      </c>
      <c r="N673" t="s">
        <v>103</v>
      </c>
      <c r="O673" t="s">
        <v>74</v>
      </c>
      <c r="P673" t="s">
        <v>74</v>
      </c>
      <c r="Q673" t="s">
        <v>74</v>
      </c>
      <c r="R673" t="s">
        <v>74</v>
      </c>
      <c r="S673" t="s">
        <v>74</v>
      </c>
      <c r="T673" t="s">
        <v>25127</v>
      </c>
      <c r="U673" t="s">
        <v>25128</v>
      </c>
      <c r="V673" t="s">
        <v>25129</v>
      </c>
      <c r="W673" t="s">
        <v>25130</v>
      </c>
      <c r="X673" t="s">
        <v>4817</v>
      </c>
      <c r="Y673" t="s">
        <v>25131</v>
      </c>
      <c r="Z673" t="s">
        <v>18320</v>
      </c>
      <c r="AA673" t="s">
        <v>74</v>
      </c>
      <c r="AB673" t="s">
        <v>74</v>
      </c>
      <c r="AC673" t="s">
        <v>74</v>
      </c>
      <c r="AD673" t="s">
        <v>74</v>
      </c>
      <c r="AE673" t="s">
        <v>74</v>
      </c>
      <c r="AF673" t="s">
        <v>74</v>
      </c>
      <c r="AG673">
        <v>31</v>
      </c>
      <c r="AH673">
        <v>28</v>
      </c>
      <c r="AI673">
        <v>34</v>
      </c>
      <c r="AJ673">
        <v>2</v>
      </c>
      <c r="AK673">
        <v>12</v>
      </c>
      <c r="AL673" t="s">
        <v>74</v>
      </c>
      <c r="AM673" t="s">
        <v>74</v>
      </c>
      <c r="AN673" t="s">
        <v>74</v>
      </c>
      <c r="AO673" t="s">
        <v>17738</v>
      </c>
      <c r="AP673" t="s">
        <v>17739</v>
      </c>
      <c r="AQ673" t="s">
        <v>74</v>
      </c>
      <c r="AR673" t="s">
        <v>74</v>
      </c>
      <c r="AS673" t="s">
        <v>74</v>
      </c>
      <c r="AT673" t="s">
        <v>170</v>
      </c>
      <c r="AU673">
        <v>2011</v>
      </c>
      <c r="AV673">
        <v>158</v>
      </c>
      <c r="AW673" t="s">
        <v>1694</v>
      </c>
      <c r="AX673" t="s">
        <v>74</v>
      </c>
      <c r="AY673" t="s">
        <v>74</v>
      </c>
      <c r="AZ673" t="s">
        <v>74</v>
      </c>
      <c r="BA673" t="s">
        <v>74</v>
      </c>
      <c r="BB673">
        <v>72</v>
      </c>
      <c r="BC673">
        <v>78</v>
      </c>
      <c r="BD673" t="s">
        <v>74</v>
      </c>
      <c r="BE673" t="s">
        <v>25132</v>
      </c>
      <c r="BF673" t="str">
        <f>HYPERLINK("http://dx.doi.org/10.1016/j.virusres.2011.03.012","http://dx.doi.org/10.1016/j.virusres.2011.03.012")</f>
        <v>http://dx.doi.org/10.1016/j.virusres.2011.03.012</v>
      </c>
      <c r="BG673" t="s">
        <v>74</v>
      </c>
      <c r="BH673" t="s">
        <v>74</v>
      </c>
      <c r="BI673" t="s">
        <v>74</v>
      </c>
      <c r="BJ673" t="s">
        <v>932</v>
      </c>
      <c r="BK673" t="s">
        <v>117</v>
      </c>
      <c r="BL673" t="s">
        <v>932</v>
      </c>
      <c r="BM673" t="s">
        <v>74</v>
      </c>
      <c r="BN673">
        <v>21440017</v>
      </c>
      <c r="BO673" t="s">
        <v>74</v>
      </c>
      <c r="BP673" t="s">
        <v>74</v>
      </c>
      <c r="BQ673" t="s">
        <v>74</v>
      </c>
      <c r="BR673" t="s">
        <v>96</v>
      </c>
      <c r="BS673" t="s">
        <v>25133</v>
      </c>
      <c r="BT673" t="str">
        <f>HYPERLINK("https%3A%2F%2Fwww.webofscience.com%2Fwos%2Fwoscc%2Ffull-record%2FWOS:000292077300010","View Full Record in Web of Science")</f>
        <v>View Full Record in Web of Science</v>
      </c>
    </row>
    <row r="674" spans="1:72" x14ac:dyDescent="0.15">
      <c r="A674" t="s">
        <v>98</v>
      </c>
      <c r="B674" t="s">
        <v>25144</v>
      </c>
      <c r="C674" t="s">
        <v>74</v>
      </c>
      <c r="D674" t="s">
        <v>74</v>
      </c>
      <c r="E674" t="s">
        <v>74</v>
      </c>
      <c r="F674" t="s">
        <v>25145</v>
      </c>
      <c r="G674" t="s">
        <v>74</v>
      </c>
      <c r="H674" t="s">
        <v>74</v>
      </c>
      <c r="I674" t="s">
        <v>25146</v>
      </c>
      <c r="J674" t="s">
        <v>7841</v>
      </c>
      <c r="K674" t="s">
        <v>74</v>
      </c>
      <c r="L674" t="s">
        <v>74</v>
      </c>
      <c r="M674" t="s">
        <v>74</v>
      </c>
      <c r="N674" t="s">
        <v>103</v>
      </c>
      <c r="O674" t="s">
        <v>74</v>
      </c>
      <c r="P674" t="s">
        <v>74</v>
      </c>
      <c r="Q674" t="s">
        <v>74</v>
      </c>
      <c r="R674" t="s">
        <v>74</v>
      </c>
      <c r="S674" t="s">
        <v>74</v>
      </c>
      <c r="T674" t="s">
        <v>74</v>
      </c>
      <c r="U674" t="s">
        <v>25147</v>
      </c>
      <c r="V674" t="s">
        <v>25148</v>
      </c>
      <c r="W674" t="s">
        <v>25149</v>
      </c>
      <c r="X674" t="s">
        <v>25150</v>
      </c>
      <c r="Y674" t="s">
        <v>25151</v>
      </c>
      <c r="Z674" t="s">
        <v>25152</v>
      </c>
      <c r="AA674" t="s">
        <v>25153</v>
      </c>
      <c r="AB674" t="s">
        <v>25154</v>
      </c>
      <c r="AC674" t="s">
        <v>74</v>
      </c>
      <c r="AD674" t="s">
        <v>74</v>
      </c>
      <c r="AE674" t="s">
        <v>74</v>
      </c>
      <c r="AF674" t="s">
        <v>74</v>
      </c>
      <c r="AG674">
        <v>46</v>
      </c>
      <c r="AH674">
        <v>28</v>
      </c>
      <c r="AI674">
        <v>30</v>
      </c>
      <c r="AJ674">
        <v>0</v>
      </c>
      <c r="AK674">
        <v>3</v>
      </c>
      <c r="AL674" t="s">
        <v>74</v>
      </c>
      <c r="AM674" t="s">
        <v>74</v>
      </c>
      <c r="AN674" t="s">
        <v>74</v>
      </c>
      <c r="AO674" t="s">
        <v>7850</v>
      </c>
      <c r="AP674" t="s">
        <v>74</v>
      </c>
      <c r="AQ674" t="s">
        <v>74</v>
      </c>
      <c r="AR674" t="s">
        <v>74</v>
      </c>
      <c r="AS674" t="s">
        <v>74</v>
      </c>
      <c r="AT674" t="s">
        <v>8524</v>
      </c>
      <c r="AU674">
        <v>2011</v>
      </c>
      <c r="AV674">
        <v>187</v>
      </c>
      <c r="AW674">
        <v>3</v>
      </c>
      <c r="AX674" t="s">
        <v>74</v>
      </c>
      <c r="AY674" t="s">
        <v>74</v>
      </c>
      <c r="AZ674" t="s">
        <v>74</v>
      </c>
      <c r="BA674" t="s">
        <v>74</v>
      </c>
      <c r="BB674">
        <v>1281</v>
      </c>
      <c r="BC674">
        <v>1288</v>
      </c>
      <c r="BD674" t="s">
        <v>74</v>
      </c>
      <c r="BE674" t="s">
        <v>25155</v>
      </c>
      <c r="BF674" t="str">
        <f>HYPERLINK("http://dx.doi.org/10.4049/jimmunol.1003905","http://dx.doi.org/10.4049/jimmunol.1003905")</f>
        <v>http://dx.doi.org/10.4049/jimmunol.1003905</v>
      </c>
      <c r="BG674" t="s">
        <v>74</v>
      </c>
      <c r="BH674" t="s">
        <v>74</v>
      </c>
      <c r="BI674" t="s">
        <v>74</v>
      </c>
      <c r="BJ674" t="s">
        <v>2064</v>
      </c>
      <c r="BK674" t="s">
        <v>117</v>
      </c>
      <c r="BL674" t="s">
        <v>2064</v>
      </c>
      <c r="BM674" t="s">
        <v>74</v>
      </c>
      <c r="BN674">
        <v>21705625</v>
      </c>
      <c r="BO674" t="s">
        <v>74</v>
      </c>
      <c r="BP674" t="s">
        <v>74</v>
      </c>
      <c r="BQ674" t="s">
        <v>74</v>
      </c>
      <c r="BR674" t="s">
        <v>96</v>
      </c>
      <c r="BS674" t="s">
        <v>25156</v>
      </c>
      <c r="BT674" t="str">
        <f>HYPERLINK("https%3A%2F%2Fwww.webofscience.com%2Fwos%2Fwoscc%2Ffull-record%2FWOS:000292874200028","View Full Record in Web of Science")</f>
        <v>View Full Record in Web of Science</v>
      </c>
    </row>
    <row r="675" spans="1:72" x14ac:dyDescent="0.15">
      <c r="A675" t="s">
        <v>98</v>
      </c>
      <c r="B675" t="s">
        <v>27751</v>
      </c>
      <c r="C675" t="s">
        <v>74</v>
      </c>
      <c r="D675" t="s">
        <v>74</v>
      </c>
      <c r="E675" t="s">
        <v>74</v>
      </c>
      <c r="F675" t="s">
        <v>27752</v>
      </c>
      <c r="G675" t="s">
        <v>74</v>
      </c>
      <c r="H675" t="s">
        <v>74</v>
      </c>
      <c r="I675" t="s">
        <v>27753</v>
      </c>
      <c r="J675" t="s">
        <v>817</v>
      </c>
      <c r="K675" t="s">
        <v>74</v>
      </c>
      <c r="L675" t="s">
        <v>74</v>
      </c>
      <c r="M675" t="s">
        <v>74</v>
      </c>
      <c r="N675" t="s">
        <v>103</v>
      </c>
      <c r="O675" t="s">
        <v>74</v>
      </c>
      <c r="P675" t="s">
        <v>74</v>
      </c>
      <c r="Q675" t="s">
        <v>74</v>
      </c>
      <c r="R675" t="s">
        <v>74</v>
      </c>
      <c r="S675" t="s">
        <v>74</v>
      </c>
      <c r="T675" t="s">
        <v>27754</v>
      </c>
      <c r="U675" t="s">
        <v>27755</v>
      </c>
      <c r="V675" t="s">
        <v>27756</v>
      </c>
      <c r="W675" t="s">
        <v>27757</v>
      </c>
      <c r="X675" t="s">
        <v>27758</v>
      </c>
      <c r="Y675" t="s">
        <v>27759</v>
      </c>
      <c r="Z675" t="s">
        <v>27760</v>
      </c>
      <c r="AA675" t="s">
        <v>27761</v>
      </c>
      <c r="AB675" t="s">
        <v>27762</v>
      </c>
      <c r="AC675" t="s">
        <v>74</v>
      </c>
      <c r="AD675" t="s">
        <v>74</v>
      </c>
      <c r="AE675" t="s">
        <v>74</v>
      </c>
      <c r="AF675" t="s">
        <v>74</v>
      </c>
      <c r="AG675">
        <v>35</v>
      </c>
      <c r="AH675">
        <v>28</v>
      </c>
      <c r="AI675">
        <v>28</v>
      </c>
      <c r="AJ675">
        <v>0</v>
      </c>
      <c r="AK675">
        <v>3</v>
      </c>
      <c r="AL675" t="s">
        <v>74</v>
      </c>
      <c r="AM675" t="s">
        <v>74</v>
      </c>
      <c r="AN675" t="s">
        <v>74</v>
      </c>
      <c r="AO675" t="s">
        <v>74</v>
      </c>
      <c r="AP675" t="s">
        <v>827</v>
      </c>
      <c r="AQ675" t="s">
        <v>74</v>
      </c>
      <c r="AR675" t="s">
        <v>74</v>
      </c>
      <c r="AS675" t="s">
        <v>74</v>
      </c>
      <c r="AT675" t="s">
        <v>132</v>
      </c>
      <c r="AU675">
        <v>2016</v>
      </c>
      <c r="AV675">
        <v>17</v>
      </c>
      <c r="AW675">
        <v>4</v>
      </c>
      <c r="AX675" t="s">
        <v>74</v>
      </c>
      <c r="AY675" t="s">
        <v>74</v>
      </c>
      <c r="AZ675" t="s">
        <v>74</v>
      </c>
      <c r="BA675" t="s">
        <v>74</v>
      </c>
      <c r="BB675" t="s">
        <v>74</v>
      </c>
      <c r="BC675" t="s">
        <v>74</v>
      </c>
      <c r="BD675">
        <v>570</v>
      </c>
      <c r="BE675" t="s">
        <v>27763</v>
      </c>
      <c r="BF675" t="str">
        <f>HYPERLINK("http://dx.doi.org/10.3390/ijms17040570","http://dx.doi.org/10.3390/ijms17040570")</f>
        <v>http://dx.doi.org/10.3390/ijms17040570</v>
      </c>
      <c r="BG675" t="s">
        <v>74</v>
      </c>
      <c r="BH675" t="s">
        <v>74</v>
      </c>
      <c r="BI675" t="s">
        <v>74</v>
      </c>
      <c r="BJ675" t="s">
        <v>830</v>
      </c>
      <c r="BK675" t="s">
        <v>117</v>
      </c>
      <c r="BL675" t="s">
        <v>831</v>
      </c>
      <c r="BM675" t="s">
        <v>74</v>
      </c>
      <c r="BN675">
        <v>27092489</v>
      </c>
      <c r="BO675" t="s">
        <v>74</v>
      </c>
      <c r="BP675" t="s">
        <v>74</v>
      </c>
      <c r="BQ675" t="s">
        <v>74</v>
      </c>
      <c r="BR675" t="s">
        <v>96</v>
      </c>
      <c r="BS675" t="s">
        <v>27764</v>
      </c>
      <c r="BT675" t="str">
        <f>HYPERLINK("https%3A%2F%2Fwww.webofscience.com%2Fwos%2Fwoscc%2Ffull-record%2FWOS:000374585300149","View Full Record in Web of Science")</f>
        <v>View Full Record in Web of Science</v>
      </c>
    </row>
    <row r="676" spans="1:72" x14ac:dyDescent="0.15">
      <c r="A676" t="s">
        <v>98</v>
      </c>
      <c r="B676" t="s">
        <v>28653</v>
      </c>
      <c r="C676" t="s">
        <v>74</v>
      </c>
      <c r="D676" t="s">
        <v>74</v>
      </c>
      <c r="E676" t="s">
        <v>74</v>
      </c>
      <c r="F676" t="s">
        <v>28653</v>
      </c>
      <c r="G676" t="s">
        <v>74</v>
      </c>
      <c r="H676" t="s">
        <v>74</v>
      </c>
      <c r="I676" t="s">
        <v>28654</v>
      </c>
      <c r="J676" t="s">
        <v>19867</v>
      </c>
      <c r="K676" t="s">
        <v>74</v>
      </c>
      <c r="L676" t="s">
        <v>74</v>
      </c>
      <c r="M676" t="s">
        <v>74</v>
      </c>
      <c r="N676" t="s">
        <v>103</v>
      </c>
      <c r="O676" t="s">
        <v>74</v>
      </c>
      <c r="P676" t="s">
        <v>74</v>
      </c>
      <c r="Q676" t="s">
        <v>74</v>
      </c>
      <c r="R676" t="s">
        <v>74</v>
      </c>
      <c r="S676" t="s">
        <v>74</v>
      </c>
      <c r="T676" t="s">
        <v>28655</v>
      </c>
      <c r="U676" t="s">
        <v>28656</v>
      </c>
      <c r="V676" t="s">
        <v>28657</v>
      </c>
      <c r="W676" t="s">
        <v>28658</v>
      </c>
      <c r="X676" t="s">
        <v>28659</v>
      </c>
      <c r="Y676" t="s">
        <v>28660</v>
      </c>
      <c r="Z676" t="s">
        <v>74</v>
      </c>
      <c r="AA676" t="s">
        <v>74</v>
      </c>
      <c r="AB676" t="s">
        <v>74</v>
      </c>
      <c r="AC676" t="s">
        <v>74</v>
      </c>
      <c r="AD676" t="s">
        <v>74</v>
      </c>
      <c r="AE676" t="s">
        <v>74</v>
      </c>
      <c r="AF676" t="s">
        <v>74</v>
      </c>
      <c r="AG676">
        <v>55</v>
      </c>
      <c r="AH676">
        <v>28</v>
      </c>
      <c r="AI676">
        <v>28</v>
      </c>
      <c r="AJ676">
        <v>0</v>
      </c>
      <c r="AK676">
        <v>0</v>
      </c>
      <c r="AL676" t="s">
        <v>74</v>
      </c>
      <c r="AM676" t="s">
        <v>74</v>
      </c>
      <c r="AN676" t="s">
        <v>74</v>
      </c>
      <c r="AO676" t="s">
        <v>19876</v>
      </c>
      <c r="AP676" t="s">
        <v>74</v>
      </c>
      <c r="AQ676" t="s">
        <v>74</v>
      </c>
      <c r="AR676" t="s">
        <v>74</v>
      </c>
      <c r="AS676" t="s">
        <v>74</v>
      </c>
      <c r="AT676" t="s">
        <v>114</v>
      </c>
      <c r="AU676">
        <v>1991</v>
      </c>
      <c r="AV676">
        <v>87</v>
      </c>
      <c r="AW676">
        <v>1</v>
      </c>
      <c r="AX676" t="s">
        <v>74</v>
      </c>
      <c r="AY676" t="s">
        <v>74</v>
      </c>
      <c r="AZ676" t="s">
        <v>74</v>
      </c>
      <c r="BA676" t="s">
        <v>74</v>
      </c>
      <c r="BB676">
        <v>213</v>
      </c>
      <c r="BC676">
        <v>220</v>
      </c>
      <c r="BD676" t="s">
        <v>74</v>
      </c>
      <c r="BE676" t="s">
        <v>28661</v>
      </c>
      <c r="BF676" t="str">
        <f>HYPERLINK("http://dx.doi.org/10.1172/JCI114974","http://dx.doi.org/10.1172/JCI114974")</f>
        <v>http://dx.doi.org/10.1172/JCI114974</v>
      </c>
      <c r="BG676" t="s">
        <v>74</v>
      </c>
      <c r="BH676" t="s">
        <v>74</v>
      </c>
      <c r="BI676" t="s">
        <v>74</v>
      </c>
      <c r="BJ676" t="s">
        <v>795</v>
      </c>
      <c r="BK676" t="s">
        <v>117</v>
      </c>
      <c r="BL676" t="s">
        <v>796</v>
      </c>
      <c r="BM676" t="s">
        <v>74</v>
      </c>
      <c r="BN676">
        <v>1985097</v>
      </c>
      <c r="BO676" t="s">
        <v>74</v>
      </c>
      <c r="BP676" t="s">
        <v>74</v>
      </c>
      <c r="BQ676" t="s">
        <v>74</v>
      </c>
      <c r="BR676" t="s">
        <v>96</v>
      </c>
      <c r="BS676" t="s">
        <v>28662</v>
      </c>
      <c r="BT676" t="str">
        <f>HYPERLINK("https%3A%2F%2Fwww.webofscience.com%2Fwos%2Fwoscc%2Ffull-record%2FWOS:A1991EQ97600029","View Full Record in Web of Science")</f>
        <v>View Full Record in Web of Science</v>
      </c>
    </row>
    <row r="677" spans="1:72" x14ac:dyDescent="0.15">
      <c r="A677" t="s">
        <v>98</v>
      </c>
      <c r="B677" t="s">
        <v>1611</v>
      </c>
      <c r="C677" t="s">
        <v>74</v>
      </c>
      <c r="D677" t="s">
        <v>74</v>
      </c>
      <c r="E677" t="s">
        <v>74</v>
      </c>
      <c r="F677" t="s">
        <v>1612</v>
      </c>
      <c r="G677" t="s">
        <v>74</v>
      </c>
      <c r="H677" t="s">
        <v>74</v>
      </c>
      <c r="I677" t="s">
        <v>1613</v>
      </c>
      <c r="J677" t="s">
        <v>1614</v>
      </c>
      <c r="K677" t="s">
        <v>74</v>
      </c>
      <c r="L677" t="s">
        <v>74</v>
      </c>
      <c r="M677" t="s">
        <v>74</v>
      </c>
      <c r="N677" t="s">
        <v>103</v>
      </c>
      <c r="O677" t="s">
        <v>74</v>
      </c>
      <c r="P677" t="s">
        <v>74</v>
      </c>
      <c r="Q677" t="s">
        <v>74</v>
      </c>
      <c r="R677" t="s">
        <v>74</v>
      </c>
      <c r="S677" t="s">
        <v>74</v>
      </c>
      <c r="T677" t="s">
        <v>1615</v>
      </c>
      <c r="U677" t="s">
        <v>1616</v>
      </c>
      <c r="V677" t="s">
        <v>1617</v>
      </c>
      <c r="W677" t="s">
        <v>1618</v>
      </c>
      <c r="X677" t="s">
        <v>1619</v>
      </c>
      <c r="Y677" t="s">
        <v>1620</v>
      </c>
      <c r="Z677" t="s">
        <v>1621</v>
      </c>
      <c r="AA677" t="s">
        <v>1622</v>
      </c>
      <c r="AB677" t="s">
        <v>74</v>
      </c>
      <c r="AC677" t="s">
        <v>74</v>
      </c>
      <c r="AD677" t="s">
        <v>74</v>
      </c>
      <c r="AE677" t="s">
        <v>74</v>
      </c>
      <c r="AF677" t="s">
        <v>74</v>
      </c>
      <c r="AG677">
        <v>49</v>
      </c>
      <c r="AH677">
        <v>27</v>
      </c>
      <c r="AI677">
        <v>27</v>
      </c>
      <c r="AJ677">
        <v>3</v>
      </c>
      <c r="AK677">
        <v>25</v>
      </c>
      <c r="AL677" t="s">
        <v>74</v>
      </c>
      <c r="AM677" t="s">
        <v>74</v>
      </c>
      <c r="AN677" t="s">
        <v>74</v>
      </c>
      <c r="AO677" t="s">
        <v>1623</v>
      </c>
      <c r="AP677" t="s">
        <v>1624</v>
      </c>
      <c r="AQ677" t="s">
        <v>74</v>
      </c>
      <c r="AR677" t="s">
        <v>74</v>
      </c>
      <c r="AS677" t="s">
        <v>74</v>
      </c>
      <c r="AT677" t="s">
        <v>565</v>
      </c>
      <c r="AU677">
        <v>2017</v>
      </c>
      <c r="AV677">
        <v>37</v>
      </c>
      <c r="AW677">
        <v>3</v>
      </c>
      <c r="AX677" t="s">
        <v>74</v>
      </c>
      <c r="AY677" t="s">
        <v>74</v>
      </c>
      <c r="AZ677" t="s">
        <v>74</v>
      </c>
      <c r="BA677" t="s">
        <v>74</v>
      </c>
      <c r="BB677">
        <v>310</v>
      </c>
      <c r="BC677">
        <v>318</v>
      </c>
      <c r="BD677" t="s">
        <v>74</v>
      </c>
      <c r="BE677" t="s">
        <v>1625</v>
      </c>
      <c r="BF677" t="str">
        <f>HYPERLINK("http://dx.doi.org/10.1002/jat.3362","http://dx.doi.org/10.1002/jat.3362")</f>
        <v>http://dx.doi.org/10.1002/jat.3362</v>
      </c>
      <c r="BG677" t="s">
        <v>74</v>
      </c>
      <c r="BH677" t="s">
        <v>74</v>
      </c>
      <c r="BI677" t="s">
        <v>74</v>
      </c>
      <c r="BJ677" t="s">
        <v>1626</v>
      </c>
      <c r="BK677" t="s">
        <v>117</v>
      </c>
      <c r="BL677" t="s">
        <v>1626</v>
      </c>
      <c r="BM677" t="s">
        <v>74</v>
      </c>
      <c r="BN677">
        <v>27435060</v>
      </c>
      <c r="BO677" t="s">
        <v>74</v>
      </c>
      <c r="BP677" t="s">
        <v>74</v>
      </c>
      <c r="BQ677" t="s">
        <v>74</v>
      </c>
      <c r="BR677" t="s">
        <v>96</v>
      </c>
      <c r="BS677" t="s">
        <v>1627</v>
      </c>
      <c r="BT677" t="str">
        <f>HYPERLINK("https%3A%2F%2Fwww.webofscience.com%2Fwos%2Fwoscc%2Ffull-record%2FWOS:000394425600007","View Full Record in Web of Science")</f>
        <v>View Full Record in Web of Science</v>
      </c>
    </row>
    <row r="678" spans="1:72" x14ac:dyDescent="0.15">
      <c r="A678" t="s">
        <v>98</v>
      </c>
      <c r="B678" t="s">
        <v>6915</v>
      </c>
      <c r="C678" t="s">
        <v>74</v>
      </c>
      <c r="D678" t="s">
        <v>74</v>
      </c>
      <c r="E678" t="s">
        <v>74</v>
      </c>
      <c r="F678" t="s">
        <v>6916</v>
      </c>
      <c r="G678" t="s">
        <v>74</v>
      </c>
      <c r="H678" t="s">
        <v>74</v>
      </c>
      <c r="I678" t="s">
        <v>6917</v>
      </c>
      <c r="J678" t="s">
        <v>2995</v>
      </c>
      <c r="K678" t="s">
        <v>74</v>
      </c>
      <c r="L678" t="s">
        <v>74</v>
      </c>
      <c r="M678" t="s">
        <v>74</v>
      </c>
      <c r="N678" t="s">
        <v>103</v>
      </c>
      <c r="O678" t="s">
        <v>74</v>
      </c>
      <c r="P678" t="s">
        <v>74</v>
      </c>
      <c r="Q678" t="s">
        <v>74</v>
      </c>
      <c r="R678" t="s">
        <v>74</v>
      </c>
      <c r="S678" t="s">
        <v>74</v>
      </c>
      <c r="T678" t="s">
        <v>6918</v>
      </c>
      <c r="U678" t="s">
        <v>6919</v>
      </c>
      <c r="V678" t="s">
        <v>6920</v>
      </c>
      <c r="W678" t="s">
        <v>6921</v>
      </c>
      <c r="X678" t="s">
        <v>74</v>
      </c>
      <c r="Y678" t="s">
        <v>6922</v>
      </c>
      <c r="Z678" t="s">
        <v>5608</v>
      </c>
      <c r="AA678" t="s">
        <v>6923</v>
      </c>
      <c r="AB678" t="s">
        <v>6924</v>
      </c>
      <c r="AC678" t="s">
        <v>74</v>
      </c>
      <c r="AD678" t="s">
        <v>74</v>
      </c>
      <c r="AE678" t="s">
        <v>74</v>
      </c>
      <c r="AF678" t="s">
        <v>74</v>
      </c>
      <c r="AG678">
        <v>76</v>
      </c>
      <c r="AH678">
        <v>27</v>
      </c>
      <c r="AI678">
        <v>27</v>
      </c>
      <c r="AJ678">
        <v>2</v>
      </c>
      <c r="AK678">
        <v>11</v>
      </c>
      <c r="AL678" t="s">
        <v>74</v>
      </c>
      <c r="AM678" t="s">
        <v>74</v>
      </c>
      <c r="AN678" t="s">
        <v>74</v>
      </c>
      <c r="AO678" t="s">
        <v>3006</v>
      </c>
      <c r="AP678" t="s">
        <v>3007</v>
      </c>
      <c r="AQ678" t="s">
        <v>74</v>
      </c>
      <c r="AR678" t="s">
        <v>74</v>
      </c>
      <c r="AS678" t="s">
        <v>74</v>
      </c>
      <c r="AT678" t="s">
        <v>650</v>
      </c>
      <c r="AU678">
        <v>2018</v>
      </c>
      <c r="AV678">
        <v>95</v>
      </c>
      <c r="AW678">
        <v>1</v>
      </c>
      <c r="AX678" t="s">
        <v>74</v>
      </c>
      <c r="AY678" t="s">
        <v>74</v>
      </c>
      <c r="AZ678" t="s">
        <v>447</v>
      </c>
      <c r="BA678" t="s">
        <v>74</v>
      </c>
      <c r="BB678">
        <v>12</v>
      </c>
      <c r="BC678">
        <v>22</v>
      </c>
      <c r="BD678" t="s">
        <v>74</v>
      </c>
      <c r="BE678" t="s">
        <v>6925</v>
      </c>
      <c r="BF678" t="str">
        <f>HYPERLINK("http://dx.doi.org/10.1080/09553002.2018.1450533","http://dx.doi.org/10.1080/09553002.2018.1450533")</f>
        <v>http://dx.doi.org/10.1080/09553002.2018.1450533</v>
      </c>
      <c r="BG678" t="s">
        <v>74</v>
      </c>
      <c r="BH678" t="s">
        <v>74</v>
      </c>
      <c r="BI678" t="s">
        <v>74</v>
      </c>
      <c r="BJ678" t="s">
        <v>3009</v>
      </c>
      <c r="BK678" t="s">
        <v>117</v>
      </c>
      <c r="BL678" t="s">
        <v>3010</v>
      </c>
      <c r="BM678" t="s">
        <v>74</v>
      </c>
      <c r="BN678">
        <v>29533121</v>
      </c>
      <c r="BO678" t="s">
        <v>74</v>
      </c>
      <c r="BP678" t="s">
        <v>74</v>
      </c>
      <c r="BQ678" t="s">
        <v>74</v>
      </c>
      <c r="BR678" t="s">
        <v>96</v>
      </c>
      <c r="BS678" t="s">
        <v>6926</v>
      </c>
      <c r="BT678" t="str">
        <f>HYPERLINK("https%3A%2F%2Fwww.webofscience.com%2Fwos%2Fwoscc%2Ffull-record%2FWOS:000456695400003","View Full Record in Web of Science")</f>
        <v>View Full Record in Web of Science</v>
      </c>
    </row>
    <row r="679" spans="1:72" x14ac:dyDescent="0.15">
      <c r="A679" t="s">
        <v>98</v>
      </c>
      <c r="B679" t="s">
        <v>7418</v>
      </c>
      <c r="C679" t="s">
        <v>74</v>
      </c>
      <c r="D679" t="s">
        <v>74</v>
      </c>
      <c r="E679" t="s">
        <v>74</v>
      </c>
      <c r="F679" t="s">
        <v>7419</v>
      </c>
      <c r="G679" t="s">
        <v>74</v>
      </c>
      <c r="H679" t="s">
        <v>74</v>
      </c>
      <c r="I679" t="s">
        <v>7420</v>
      </c>
      <c r="J679" t="s">
        <v>7421</v>
      </c>
      <c r="K679" t="s">
        <v>74</v>
      </c>
      <c r="L679" t="s">
        <v>74</v>
      </c>
      <c r="M679" t="s">
        <v>74</v>
      </c>
      <c r="N679" t="s">
        <v>103</v>
      </c>
      <c r="O679" t="s">
        <v>74</v>
      </c>
      <c r="P679" t="s">
        <v>74</v>
      </c>
      <c r="Q679" t="s">
        <v>74</v>
      </c>
      <c r="R679" t="s">
        <v>74</v>
      </c>
      <c r="S679" t="s">
        <v>74</v>
      </c>
      <c r="T679" t="s">
        <v>7422</v>
      </c>
      <c r="U679" t="s">
        <v>7423</v>
      </c>
      <c r="V679" t="s">
        <v>7424</v>
      </c>
      <c r="W679" t="s">
        <v>7425</v>
      </c>
      <c r="X679" t="s">
        <v>7426</v>
      </c>
      <c r="Y679" t="s">
        <v>7427</v>
      </c>
      <c r="Z679" t="s">
        <v>7428</v>
      </c>
      <c r="AA679" t="s">
        <v>7429</v>
      </c>
      <c r="AB679" t="s">
        <v>7430</v>
      </c>
      <c r="AC679" t="s">
        <v>74</v>
      </c>
      <c r="AD679" t="s">
        <v>74</v>
      </c>
      <c r="AE679" t="s">
        <v>74</v>
      </c>
      <c r="AF679" t="s">
        <v>74</v>
      </c>
      <c r="AG679">
        <v>51</v>
      </c>
      <c r="AH679">
        <v>27</v>
      </c>
      <c r="AI679">
        <v>28</v>
      </c>
      <c r="AJ679">
        <v>0</v>
      </c>
      <c r="AK679">
        <v>5</v>
      </c>
      <c r="AL679" t="s">
        <v>74</v>
      </c>
      <c r="AM679" t="s">
        <v>74</v>
      </c>
      <c r="AN679" t="s">
        <v>74</v>
      </c>
      <c r="AO679" t="s">
        <v>7431</v>
      </c>
      <c r="AP679" t="s">
        <v>7432</v>
      </c>
      <c r="AQ679" t="s">
        <v>74</v>
      </c>
      <c r="AR679" t="s">
        <v>74</v>
      </c>
      <c r="AS679" t="s">
        <v>74</v>
      </c>
      <c r="AT679" t="s">
        <v>211</v>
      </c>
      <c r="AU679">
        <v>2020</v>
      </c>
      <c r="AV679">
        <v>63</v>
      </c>
      <c r="AW679">
        <v>5</v>
      </c>
      <c r="AX679" t="s">
        <v>74</v>
      </c>
      <c r="AY679" t="s">
        <v>74</v>
      </c>
      <c r="AZ679" t="s">
        <v>74</v>
      </c>
      <c r="BA679" t="s">
        <v>74</v>
      </c>
      <c r="BB679">
        <v>623</v>
      </c>
      <c r="BC679">
        <v>636</v>
      </c>
      <c r="BD679" t="s">
        <v>74</v>
      </c>
      <c r="BE679" t="s">
        <v>7433</v>
      </c>
      <c r="BF679" t="str">
        <f>HYPERLINK("http://dx.doi.org/10.1165/rcmb.2020-0002OC","http://dx.doi.org/10.1165/rcmb.2020-0002OC")</f>
        <v>http://dx.doi.org/10.1165/rcmb.2020-0002OC</v>
      </c>
      <c r="BG679" t="s">
        <v>74</v>
      </c>
      <c r="BH679" t="s">
        <v>74</v>
      </c>
      <c r="BI679" t="s">
        <v>74</v>
      </c>
      <c r="BJ679" t="s">
        <v>7434</v>
      </c>
      <c r="BK679" t="s">
        <v>117</v>
      </c>
      <c r="BL679" t="s">
        <v>7434</v>
      </c>
      <c r="BM679" t="s">
        <v>74</v>
      </c>
      <c r="BN679">
        <v>32730709</v>
      </c>
      <c r="BO679" t="s">
        <v>74</v>
      </c>
      <c r="BP679" t="s">
        <v>74</v>
      </c>
      <c r="BQ679" t="s">
        <v>74</v>
      </c>
      <c r="BR679" t="s">
        <v>96</v>
      </c>
      <c r="BS679" t="s">
        <v>7435</v>
      </c>
      <c r="BT679" t="str">
        <f>HYPERLINK("https%3A%2F%2Fwww.webofscience.com%2Fwos%2Fwoscc%2Ffull-record%2FWOS:000587619800012","View Full Record in Web of Science")</f>
        <v>View Full Record in Web of Science</v>
      </c>
    </row>
    <row r="680" spans="1:72" x14ac:dyDescent="0.15">
      <c r="A680" t="s">
        <v>98</v>
      </c>
      <c r="B680" t="s">
        <v>11176</v>
      </c>
      <c r="C680" t="s">
        <v>74</v>
      </c>
      <c r="D680" t="s">
        <v>74</v>
      </c>
      <c r="E680" t="s">
        <v>74</v>
      </c>
      <c r="F680" t="s">
        <v>11177</v>
      </c>
      <c r="G680" t="s">
        <v>74</v>
      </c>
      <c r="H680" t="s">
        <v>74</v>
      </c>
      <c r="I680" t="s">
        <v>11178</v>
      </c>
      <c r="J680" t="s">
        <v>11179</v>
      </c>
      <c r="K680" t="s">
        <v>74</v>
      </c>
      <c r="L680" t="s">
        <v>74</v>
      </c>
      <c r="M680" t="s">
        <v>74</v>
      </c>
      <c r="N680" t="s">
        <v>103</v>
      </c>
      <c r="O680" t="s">
        <v>74</v>
      </c>
      <c r="P680" t="s">
        <v>74</v>
      </c>
      <c r="Q680" t="s">
        <v>74</v>
      </c>
      <c r="R680" t="s">
        <v>74</v>
      </c>
      <c r="S680" t="s">
        <v>74</v>
      </c>
      <c r="T680" t="s">
        <v>11180</v>
      </c>
      <c r="U680" t="s">
        <v>11181</v>
      </c>
      <c r="V680" t="s">
        <v>11182</v>
      </c>
      <c r="W680" t="s">
        <v>11183</v>
      </c>
      <c r="X680" t="s">
        <v>11184</v>
      </c>
      <c r="Y680" t="s">
        <v>11185</v>
      </c>
      <c r="Z680" t="s">
        <v>11186</v>
      </c>
      <c r="AA680" t="s">
        <v>74</v>
      </c>
      <c r="AB680" t="s">
        <v>11187</v>
      </c>
      <c r="AC680" t="s">
        <v>74</v>
      </c>
      <c r="AD680" t="s">
        <v>74</v>
      </c>
      <c r="AE680" t="s">
        <v>74</v>
      </c>
      <c r="AF680" t="s">
        <v>74</v>
      </c>
      <c r="AG680">
        <v>45</v>
      </c>
      <c r="AH680">
        <v>27</v>
      </c>
      <c r="AI680">
        <v>27</v>
      </c>
      <c r="AJ680">
        <v>5</v>
      </c>
      <c r="AK680">
        <v>26</v>
      </c>
      <c r="AL680" t="s">
        <v>74</v>
      </c>
      <c r="AM680" t="s">
        <v>74</v>
      </c>
      <c r="AN680" t="s">
        <v>74</v>
      </c>
      <c r="AO680" t="s">
        <v>11188</v>
      </c>
      <c r="AP680" t="s">
        <v>11189</v>
      </c>
      <c r="AQ680" t="s">
        <v>74</v>
      </c>
      <c r="AR680" t="s">
        <v>74</v>
      </c>
      <c r="AS680" t="s">
        <v>74</v>
      </c>
      <c r="AT680" t="s">
        <v>189</v>
      </c>
      <c r="AU680">
        <v>2017</v>
      </c>
      <c r="AV680">
        <v>26</v>
      </c>
      <c r="AW680">
        <v>5</v>
      </c>
      <c r="AX680" t="s">
        <v>74</v>
      </c>
      <c r="AY680" t="s">
        <v>74</v>
      </c>
      <c r="AZ680" t="s">
        <v>74</v>
      </c>
      <c r="BA680" t="s">
        <v>74</v>
      </c>
      <c r="BB680">
        <v>307</v>
      </c>
      <c r="BC680">
        <v>317</v>
      </c>
      <c r="BD680" t="s">
        <v>74</v>
      </c>
      <c r="BE680" t="s">
        <v>11190</v>
      </c>
      <c r="BF680" t="str">
        <f>HYPERLINK("http://dx.doi.org/10.5607/en.2017.26.5.307","http://dx.doi.org/10.5607/en.2017.26.5.307")</f>
        <v>http://dx.doi.org/10.5607/en.2017.26.5.307</v>
      </c>
      <c r="BG680" t="s">
        <v>74</v>
      </c>
      <c r="BH680" t="s">
        <v>74</v>
      </c>
      <c r="BI680" t="s">
        <v>74</v>
      </c>
      <c r="BJ680" t="s">
        <v>11191</v>
      </c>
      <c r="BK680" t="s">
        <v>3223</v>
      </c>
      <c r="BL680" t="s">
        <v>11192</v>
      </c>
      <c r="BM680" t="s">
        <v>74</v>
      </c>
      <c r="BN680">
        <v>29093639</v>
      </c>
      <c r="BO680" t="s">
        <v>74</v>
      </c>
      <c r="BP680" t="s">
        <v>74</v>
      </c>
      <c r="BQ680" t="s">
        <v>74</v>
      </c>
      <c r="BR680" t="s">
        <v>96</v>
      </c>
      <c r="BS680" t="s">
        <v>11193</v>
      </c>
      <c r="BT680" t="str">
        <f>HYPERLINK("https%3A%2F%2Fwww.webofscience.com%2Fwos%2Fwoscc%2Ffull-record%2FWOS:000424432900007","View Full Record in Web of Science")</f>
        <v>View Full Record in Web of Science</v>
      </c>
    </row>
    <row r="681" spans="1:72" x14ac:dyDescent="0.15">
      <c r="A681" t="s">
        <v>98</v>
      </c>
      <c r="B681" t="s">
        <v>11394</v>
      </c>
      <c r="C681" t="s">
        <v>74</v>
      </c>
      <c r="D681" t="s">
        <v>74</v>
      </c>
      <c r="E681" t="s">
        <v>74</v>
      </c>
      <c r="F681" t="s">
        <v>11395</v>
      </c>
      <c r="G681" t="s">
        <v>74</v>
      </c>
      <c r="H681" t="s">
        <v>74</v>
      </c>
      <c r="I681" t="s">
        <v>11396</v>
      </c>
      <c r="J681" t="s">
        <v>1712</v>
      </c>
      <c r="K681" t="s">
        <v>74</v>
      </c>
      <c r="L681" t="s">
        <v>74</v>
      </c>
      <c r="M681" t="s">
        <v>74</v>
      </c>
      <c r="N681" t="s">
        <v>103</v>
      </c>
      <c r="O681" t="s">
        <v>74</v>
      </c>
      <c r="P681" t="s">
        <v>74</v>
      </c>
      <c r="Q681" t="s">
        <v>74</v>
      </c>
      <c r="R681" t="s">
        <v>74</v>
      </c>
      <c r="S681" t="s">
        <v>74</v>
      </c>
      <c r="T681" t="s">
        <v>11397</v>
      </c>
      <c r="U681" t="s">
        <v>11398</v>
      </c>
      <c r="V681" t="s">
        <v>11399</v>
      </c>
      <c r="W681" t="s">
        <v>11400</v>
      </c>
      <c r="X681" t="s">
        <v>11401</v>
      </c>
      <c r="Y681" t="s">
        <v>11402</v>
      </c>
      <c r="Z681" t="s">
        <v>11403</v>
      </c>
      <c r="AA681" t="s">
        <v>11404</v>
      </c>
      <c r="AB681" t="s">
        <v>11405</v>
      </c>
      <c r="AC681" t="s">
        <v>74</v>
      </c>
      <c r="AD681" t="s">
        <v>74</v>
      </c>
      <c r="AE681" t="s">
        <v>74</v>
      </c>
      <c r="AF681" t="s">
        <v>74</v>
      </c>
      <c r="AG681">
        <v>63</v>
      </c>
      <c r="AH681">
        <v>27</v>
      </c>
      <c r="AI681">
        <v>27</v>
      </c>
      <c r="AJ681">
        <v>15</v>
      </c>
      <c r="AK681">
        <v>58</v>
      </c>
      <c r="AL681" t="s">
        <v>74</v>
      </c>
      <c r="AM681" t="s">
        <v>74</v>
      </c>
      <c r="AN681" t="s">
        <v>74</v>
      </c>
      <c r="AO681" t="s">
        <v>1722</v>
      </c>
      <c r="AP681" t="s">
        <v>1723</v>
      </c>
      <c r="AQ681" t="s">
        <v>74</v>
      </c>
      <c r="AR681" t="s">
        <v>74</v>
      </c>
      <c r="AS681" t="s">
        <v>74</v>
      </c>
      <c r="AT681" t="s">
        <v>114</v>
      </c>
      <c r="AU681">
        <v>2020</v>
      </c>
      <c r="AV681">
        <v>14</v>
      </c>
      <c r="AW681">
        <v>1</v>
      </c>
      <c r="AX681" t="s">
        <v>74</v>
      </c>
      <c r="AY681" t="s">
        <v>74</v>
      </c>
      <c r="AZ681" t="s">
        <v>74</v>
      </c>
      <c r="BA681" t="s">
        <v>74</v>
      </c>
      <c r="BB681">
        <v>422</v>
      </c>
      <c r="BC681">
        <v>433</v>
      </c>
      <c r="BD681" t="s">
        <v>74</v>
      </c>
      <c r="BE681" t="s">
        <v>11406</v>
      </c>
      <c r="BF681" t="str">
        <f>HYPERLINK("http://dx.doi.org/10.1021/acsnano.9b06123","http://dx.doi.org/10.1021/acsnano.9b06123")</f>
        <v>http://dx.doi.org/10.1021/acsnano.9b06123</v>
      </c>
      <c r="BG681" t="s">
        <v>74</v>
      </c>
      <c r="BH681" t="s">
        <v>74</v>
      </c>
      <c r="BI681" t="s">
        <v>74</v>
      </c>
      <c r="BJ681" t="s">
        <v>1725</v>
      </c>
      <c r="BK681" t="s">
        <v>117</v>
      </c>
      <c r="BL681" t="s">
        <v>1275</v>
      </c>
      <c r="BM681" t="s">
        <v>74</v>
      </c>
      <c r="BN681">
        <v>31794192</v>
      </c>
      <c r="BO681" t="s">
        <v>74</v>
      </c>
      <c r="BP681" t="s">
        <v>74</v>
      </c>
      <c r="BQ681" t="s">
        <v>74</v>
      </c>
      <c r="BR681" t="s">
        <v>96</v>
      </c>
      <c r="BS681" t="s">
        <v>11407</v>
      </c>
      <c r="BT681" t="str">
        <f>HYPERLINK("https%3A%2F%2Fwww.webofscience.com%2Fwos%2Fwoscc%2Ffull-record%2FWOS:000510531500034","View Full Record in Web of Science")</f>
        <v>View Full Record in Web of Science</v>
      </c>
    </row>
    <row r="682" spans="1:72" x14ac:dyDescent="0.15">
      <c r="A682" t="s">
        <v>98</v>
      </c>
      <c r="B682" t="s">
        <v>11792</v>
      </c>
      <c r="C682" t="s">
        <v>74</v>
      </c>
      <c r="D682" t="s">
        <v>74</v>
      </c>
      <c r="E682" t="s">
        <v>74</v>
      </c>
      <c r="F682" t="s">
        <v>11793</v>
      </c>
      <c r="G682" t="s">
        <v>74</v>
      </c>
      <c r="H682" t="s">
        <v>74</v>
      </c>
      <c r="I682" t="s">
        <v>11794</v>
      </c>
      <c r="J682" t="s">
        <v>11795</v>
      </c>
      <c r="K682" t="s">
        <v>74</v>
      </c>
      <c r="L682" t="s">
        <v>74</v>
      </c>
      <c r="M682" t="s">
        <v>74</v>
      </c>
      <c r="N682" t="s">
        <v>103</v>
      </c>
      <c r="O682" t="s">
        <v>74</v>
      </c>
      <c r="P682" t="s">
        <v>74</v>
      </c>
      <c r="Q682" t="s">
        <v>74</v>
      </c>
      <c r="R682" t="s">
        <v>74</v>
      </c>
      <c r="S682" t="s">
        <v>74</v>
      </c>
      <c r="T682" t="s">
        <v>74</v>
      </c>
      <c r="U682" t="s">
        <v>11796</v>
      </c>
      <c r="V682" t="s">
        <v>11797</v>
      </c>
      <c r="W682" t="s">
        <v>11798</v>
      </c>
      <c r="X682" t="s">
        <v>11799</v>
      </c>
      <c r="Y682" t="s">
        <v>11800</v>
      </c>
      <c r="Z682" t="s">
        <v>11801</v>
      </c>
      <c r="AA682" t="s">
        <v>11802</v>
      </c>
      <c r="AB682" t="s">
        <v>11803</v>
      </c>
      <c r="AC682" t="s">
        <v>74</v>
      </c>
      <c r="AD682" t="s">
        <v>74</v>
      </c>
      <c r="AE682" t="s">
        <v>74</v>
      </c>
      <c r="AF682" t="s">
        <v>74</v>
      </c>
      <c r="AG682">
        <v>66</v>
      </c>
      <c r="AH682">
        <v>27</v>
      </c>
      <c r="AI682">
        <v>28</v>
      </c>
      <c r="AJ682">
        <v>1</v>
      </c>
      <c r="AK682">
        <v>5</v>
      </c>
      <c r="AL682" t="s">
        <v>74</v>
      </c>
      <c r="AM682" t="s">
        <v>74</v>
      </c>
      <c r="AN682" t="s">
        <v>74</v>
      </c>
      <c r="AO682" t="s">
        <v>11804</v>
      </c>
      <c r="AP682" t="s">
        <v>11805</v>
      </c>
      <c r="AQ682" t="s">
        <v>74</v>
      </c>
      <c r="AR682" t="s">
        <v>74</v>
      </c>
      <c r="AS682" t="s">
        <v>74</v>
      </c>
      <c r="AT682" t="s">
        <v>614</v>
      </c>
      <c r="AU682">
        <v>2019</v>
      </c>
      <c r="AV682">
        <v>59</v>
      </c>
      <c r="AW682">
        <v>7</v>
      </c>
      <c r="AX682" t="s">
        <v>74</v>
      </c>
      <c r="AY682" t="s">
        <v>74</v>
      </c>
      <c r="AZ682" t="s">
        <v>74</v>
      </c>
      <c r="BA682" t="s">
        <v>74</v>
      </c>
      <c r="BB682">
        <v>2403</v>
      </c>
      <c r="BC682">
        <v>2414</v>
      </c>
      <c r="BD682" t="s">
        <v>74</v>
      </c>
      <c r="BE682" t="s">
        <v>11806</v>
      </c>
      <c r="BF682" t="str">
        <f>HYPERLINK("http://dx.doi.org/10.1111/trf.15300","http://dx.doi.org/10.1111/trf.15300")</f>
        <v>http://dx.doi.org/10.1111/trf.15300</v>
      </c>
      <c r="BG682" t="s">
        <v>74</v>
      </c>
      <c r="BH682" t="s">
        <v>74</v>
      </c>
      <c r="BI682" t="s">
        <v>74</v>
      </c>
      <c r="BJ682" t="s">
        <v>2438</v>
      </c>
      <c r="BK682" t="s">
        <v>117</v>
      </c>
      <c r="BL682" t="s">
        <v>2438</v>
      </c>
      <c r="BM682" t="s">
        <v>74</v>
      </c>
      <c r="BN682">
        <v>30973972</v>
      </c>
      <c r="BO682" t="s">
        <v>74</v>
      </c>
      <c r="BP682" t="s">
        <v>74</v>
      </c>
      <c r="BQ682" t="s">
        <v>74</v>
      </c>
      <c r="BR682" t="s">
        <v>96</v>
      </c>
      <c r="BS682" t="s">
        <v>11807</v>
      </c>
      <c r="BT682" t="str">
        <f>HYPERLINK("https%3A%2F%2Fwww.webofscience.com%2Fwos%2Fwoscc%2Ffull-record%2FWOS:000489700500035","View Full Record in Web of Science")</f>
        <v>View Full Record in Web of Science</v>
      </c>
    </row>
    <row r="683" spans="1:72" x14ac:dyDescent="0.15">
      <c r="A683" t="s">
        <v>98</v>
      </c>
      <c r="B683" t="s">
        <v>12472</v>
      </c>
      <c r="C683" t="s">
        <v>74</v>
      </c>
      <c r="D683" t="s">
        <v>74</v>
      </c>
      <c r="E683" t="s">
        <v>74</v>
      </c>
      <c r="F683" t="s">
        <v>12473</v>
      </c>
      <c r="G683" t="s">
        <v>74</v>
      </c>
      <c r="H683" t="s">
        <v>74</v>
      </c>
      <c r="I683" t="s">
        <v>12474</v>
      </c>
      <c r="J683" t="s">
        <v>7216</v>
      </c>
      <c r="K683" t="s">
        <v>74</v>
      </c>
      <c r="L683" t="s">
        <v>74</v>
      </c>
      <c r="M683" t="s">
        <v>74</v>
      </c>
      <c r="N683" t="s">
        <v>103</v>
      </c>
      <c r="O683" t="s">
        <v>74</v>
      </c>
      <c r="P683" t="s">
        <v>74</v>
      </c>
      <c r="Q683" t="s">
        <v>74</v>
      </c>
      <c r="R683" t="s">
        <v>74</v>
      </c>
      <c r="S683" t="s">
        <v>74</v>
      </c>
      <c r="T683" t="s">
        <v>12475</v>
      </c>
      <c r="U683" t="s">
        <v>12476</v>
      </c>
      <c r="V683" t="s">
        <v>12477</v>
      </c>
      <c r="W683" t="s">
        <v>12478</v>
      </c>
      <c r="X683" t="s">
        <v>12479</v>
      </c>
      <c r="Y683" t="s">
        <v>12480</v>
      </c>
      <c r="Z683" t="s">
        <v>12481</v>
      </c>
      <c r="AA683" t="s">
        <v>74</v>
      </c>
      <c r="AB683" t="s">
        <v>74</v>
      </c>
      <c r="AC683" t="s">
        <v>74</v>
      </c>
      <c r="AD683" t="s">
        <v>74</v>
      </c>
      <c r="AE683" t="s">
        <v>74</v>
      </c>
      <c r="AF683" t="s">
        <v>74</v>
      </c>
      <c r="AG683">
        <v>86</v>
      </c>
      <c r="AH683">
        <v>27</v>
      </c>
      <c r="AI683">
        <v>28</v>
      </c>
      <c r="AJ683">
        <v>2</v>
      </c>
      <c r="AK683">
        <v>14</v>
      </c>
      <c r="AL683" t="s">
        <v>74</v>
      </c>
      <c r="AM683" t="s">
        <v>74</v>
      </c>
      <c r="AN683" t="s">
        <v>74</v>
      </c>
      <c r="AO683" t="s">
        <v>7223</v>
      </c>
      <c r="AP683" t="s">
        <v>7224</v>
      </c>
      <c r="AQ683" t="s">
        <v>74</v>
      </c>
      <c r="AR683" t="s">
        <v>74</v>
      </c>
      <c r="AS683" t="s">
        <v>74</v>
      </c>
      <c r="AT683" t="s">
        <v>114</v>
      </c>
      <c r="AU683">
        <v>2020</v>
      </c>
      <c r="AV683">
        <v>43</v>
      </c>
      <c r="AW683">
        <v>1</v>
      </c>
      <c r="AX683" t="s">
        <v>74</v>
      </c>
      <c r="AY683" t="s">
        <v>74</v>
      </c>
      <c r="AZ683" t="s">
        <v>74</v>
      </c>
      <c r="BA683" t="s">
        <v>74</v>
      </c>
      <c r="BB683">
        <v>240</v>
      </c>
      <c r="BC683">
        <v>250</v>
      </c>
      <c r="BD683" t="s">
        <v>74</v>
      </c>
      <c r="BE683" t="s">
        <v>12482</v>
      </c>
      <c r="BF683" t="str">
        <f>HYPERLINK("http://dx.doi.org/10.3892/or.2019.7401","http://dx.doi.org/10.3892/or.2019.7401")</f>
        <v>http://dx.doi.org/10.3892/or.2019.7401</v>
      </c>
      <c r="BG683" t="s">
        <v>74</v>
      </c>
      <c r="BH683" t="s">
        <v>74</v>
      </c>
      <c r="BI683" t="s">
        <v>74</v>
      </c>
      <c r="BJ683" t="s">
        <v>267</v>
      </c>
      <c r="BK683" t="s">
        <v>117</v>
      </c>
      <c r="BL683" t="s">
        <v>267</v>
      </c>
      <c r="BM683" t="s">
        <v>74</v>
      </c>
      <c r="BN683">
        <v>31746410</v>
      </c>
      <c r="BO683" t="s">
        <v>74</v>
      </c>
      <c r="BP683" t="s">
        <v>74</v>
      </c>
      <c r="BQ683" t="s">
        <v>74</v>
      </c>
      <c r="BR683" t="s">
        <v>96</v>
      </c>
      <c r="BS683" t="s">
        <v>12483</v>
      </c>
      <c r="BT683" t="str">
        <f>HYPERLINK("https%3A%2F%2Fwww.webofscience.com%2Fwos%2Fwoscc%2Ffull-record%2FWOS:000505696300020","View Full Record in Web of Science")</f>
        <v>View Full Record in Web of Science</v>
      </c>
    </row>
    <row r="684" spans="1:72" x14ac:dyDescent="0.15">
      <c r="A684" t="s">
        <v>98</v>
      </c>
      <c r="B684" t="s">
        <v>14961</v>
      </c>
      <c r="C684" t="s">
        <v>74</v>
      </c>
      <c r="D684" t="s">
        <v>74</v>
      </c>
      <c r="E684" t="s">
        <v>74</v>
      </c>
      <c r="F684" t="s">
        <v>14962</v>
      </c>
      <c r="G684" t="s">
        <v>74</v>
      </c>
      <c r="H684" t="s">
        <v>74</v>
      </c>
      <c r="I684" t="s">
        <v>14963</v>
      </c>
      <c r="J684" t="s">
        <v>4812</v>
      </c>
      <c r="K684" t="s">
        <v>74</v>
      </c>
      <c r="L684" t="s">
        <v>74</v>
      </c>
      <c r="M684" t="s">
        <v>74</v>
      </c>
      <c r="N684" t="s">
        <v>103</v>
      </c>
      <c r="O684" t="s">
        <v>74</v>
      </c>
      <c r="P684" t="s">
        <v>74</v>
      </c>
      <c r="Q684" t="s">
        <v>74</v>
      </c>
      <c r="R684" t="s">
        <v>74</v>
      </c>
      <c r="S684" t="s">
        <v>74</v>
      </c>
      <c r="T684" t="s">
        <v>14964</v>
      </c>
      <c r="U684" t="s">
        <v>14965</v>
      </c>
      <c r="V684" t="s">
        <v>14966</v>
      </c>
      <c r="W684" t="s">
        <v>14967</v>
      </c>
      <c r="X684" t="s">
        <v>14968</v>
      </c>
      <c r="Y684" t="s">
        <v>14969</v>
      </c>
      <c r="Z684" t="s">
        <v>1181</v>
      </c>
      <c r="AA684" t="s">
        <v>14970</v>
      </c>
      <c r="AB684" t="s">
        <v>14971</v>
      </c>
      <c r="AC684" t="s">
        <v>74</v>
      </c>
      <c r="AD684" t="s">
        <v>74</v>
      </c>
      <c r="AE684" t="s">
        <v>74</v>
      </c>
      <c r="AF684" t="s">
        <v>74</v>
      </c>
      <c r="AG684">
        <v>60</v>
      </c>
      <c r="AH684">
        <v>27</v>
      </c>
      <c r="AI684">
        <v>27</v>
      </c>
      <c r="AJ684">
        <v>1</v>
      </c>
      <c r="AK684">
        <v>15</v>
      </c>
      <c r="AL684" t="s">
        <v>74</v>
      </c>
      <c r="AM684" t="s">
        <v>74</v>
      </c>
      <c r="AN684" t="s">
        <v>74</v>
      </c>
      <c r="AO684" t="s">
        <v>4820</v>
      </c>
      <c r="AP684" t="s">
        <v>4821</v>
      </c>
      <c r="AQ684" t="s">
        <v>74</v>
      </c>
      <c r="AR684" t="s">
        <v>74</v>
      </c>
      <c r="AS684" t="s">
        <v>74</v>
      </c>
      <c r="AT684" t="s">
        <v>1321</v>
      </c>
      <c r="AU684">
        <v>2009</v>
      </c>
      <c r="AV684">
        <v>380</v>
      </c>
      <c r="AW684" t="s">
        <v>1694</v>
      </c>
      <c r="AX684" t="s">
        <v>74</v>
      </c>
      <c r="AY684" t="s">
        <v>74</v>
      </c>
      <c r="AZ684" t="s">
        <v>74</v>
      </c>
      <c r="BA684" t="s">
        <v>74</v>
      </c>
      <c r="BB684">
        <v>206</v>
      </c>
      <c r="BC684">
        <v>215</v>
      </c>
      <c r="BD684" t="s">
        <v>74</v>
      </c>
      <c r="BE684" t="s">
        <v>14972</v>
      </c>
      <c r="BF684" t="str">
        <f>HYPERLINK("http://dx.doi.org/10.1016/j.ijpharm.2009.06.039","http://dx.doi.org/10.1016/j.ijpharm.2009.06.039")</f>
        <v>http://dx.doi.org/10.1016/j.ijpharm.2009.06.039</v>
      </c>
      <c r="BG684" t="s">
        <v>74</v>
      </c>
      <c r="BH684" t="s">
        <v>74</v>
      </c>
      <c r="BI684" t="s">
        <v>74</v>
      </c>
      <c r="BJ684" t="s">
        <v>533</v>
      </c>
      <c r="BK684" t="s">
        <v>117</v>
      </c>
      <c r="BL684" t="s">
        <v>533</v>
      </c>
      <c r="BM684" t="s">
        <v>74</v>
      </c>
      <c r="BN684">
        <v>19589376</v>
      </c>
      <c r="BO684" t="s">
        <v>74</v>
      </c>
      <c r="BP684" t="s">
        <v>74</v>
      </c>
      <c r="BQ684" t="s">
        <v>74</v>
      </c>
      <c r="BR684" t="s">
        <v>96</v>
      </c>
      <c r="BS684" t="s">
        <v>14973</v>
      </c>
      <c r="BT684" t="str">
        <f>HYPERLINK("https%3A%2F%2Fwww.webofscience.com%2Fwos%2Fwoscc%2Ffull-record%2FWOS:000270495400028","View Full Record in Web of Science")</f>
        <v>View Full Record in Web of Science</v>
      </c>
    </row>
    <row r="685" spans="1:72" x14ac:dyDescent="0.15">
      <c r="A685" t="s">
        <v>98</v>
      </c>
      <c r="B685" t="s">
        <v>17335</v>
      </c>
      <c r="C685" t="s">
        <v>74</v>
      </c>
      <c r="D685" t="s">
        <v>74</v>
      </c>
      <c r="E685" t="s">
        <v>74</v>
      </c>
      <c r="F685" t="s">
        <v>17336</v>
      </c>
      <c r="G685" t="s">
        <v>74</v>
      </c>
      <c r="H685" t="s">
        <v>74</v>
      </c>
      <c r="I685" t="s">
        <v>17337</v>
      </c>
      <c r="J685" t="s">
        <v>14628</v>
      </c>
      <c r="K685" t="s">
        <v>74</v>
      </c>
      <c r="L685" t="s">
        <v>74</v>
      </c>
      <c r="M685" t="s">
        <v>74</v>
      </c>
      <c r="N685" t="s">
        <v>103</v>
      </c>
      <c r="O685" t="s">
        <v>74</v>
      </c>
      <c r="P685" t="s">
        <v>74</v>
      </c>
      <c r="Q685" t="s">
        <v>74</v>
      </c>
      <c r="R685" t="s">
        <v>74</v>
      </c>
      <c r="S685" t="s">
        <v>74</v>
      </c>
      <c r="T685" t="s">
        <v>17338</v>
      </c>
      <c r="U685" t="s">
        <v>17339</v>
      </c>
      <c r="V685" t="s">
        <v>17340</v>
      </c>
      <c r="W685" t="s">
        <v>17341</v>
      </c>
      <c r="X685" t="s">
        <v>17342</v>
      </c>
      <c r="Y685" t="s">
        <v>17343</v>
      </c>
      <c r="Z685" t="s">
        <v>8755</v>
      </c>
      <c r="AA685" t="s">
        <v>17344</v>
      </c>
      <c r="AB685" t="s">
        <v>17345</v>
      </c>
      <c r="AC685" t="s">
        <v>74</v>
      </c>
      <c r="AD685" t="s">
        <v>74</v>
      </c>
      <c r="AE685" t="s">
        <v>74</v>
      </c>
      <c r="AF685" t="s">
        <v>74</v>
      </c>
      <c r="AG685">
        <v>53</v>
      </c>
      <c r="AH685">
        <v>27</v>
      </c>
      <c r="AI685">
        <v>29</v>
      </c>
      <c r="AJ685">
        <v>1</v>
      </c>
      <c r="AK685">
        <v>13</v>
      </c>
      <c r="AL685" t="s">
        <v>74</v>
      </c>
      <c r="AM685" t="s">
        <v>74</v>
      </c>
      <c r="AN685" t="s">
        <v>74</v>
      </c>
      <c r="AO685" t="s">
        <v>14638</v>
      </c>
      <c r="AP685" t="s">
        <v>14639</v>
      </c>
      <c r="AQ685" t="s">
        <v>74</v>
      </c>
      <c r="AR685" t="s">
        <v>74</v>
      </c>
      <c r="AS685" t="s">
        <v>74</v>
      </c>
      <c r="AT685" t="s">
        <v>12712</v>
      </c>
      <c r="AU685">
        <v>2019</v>
      </c>
      <c r="AV685">
        <v>144</v>
      </c>
      <c r="AW685">
        <v>10</v>
      </c>
      <c r="AX685" t="s">
        <v>74</v>
      </c>
      <c r="AY685" t="s">
        <v>74</v>
      </c>
      <c r="AZ685" t="s">
        <v>74</v>
      </c>
      <c r="BA685" t="s">
        <v>74</v>
      </c>
      <c r="BB685">
        <v>2555</v>
      </c>
      <c r="BC685">
        <v>2566</v>
      </c>
      <c r="BD685" t="s">
        <v>74</v>
      </c>
      <c r="BE685" t="s">
        <v>17346</v>
      </c>
      <c r="BF685" t="str">
        <f>HYPERLINK("http://dx.doi.org/10.1002/ijc.31967","http://dx.doi.org/10.1002/ijc.31967")</f>
        <v>http://dx.doi.org/10.1002/ijc.31967</v>
      </c>
      <c r="BG685" t="s">
        <v>74</v>
      </c>
      <c r="BH685" t="s">
        <v>74</v>
      </c>
      <c r="BI685" t="s">
        <v>74</v>
      </c>
      <c r="BJ685" t="s">
        <v>267</v>
      </c>
      <c r="BK685" t="s">
        <v>117</v>
      </c>
      <c r="BL685" t="s">
        <v>267</v>
      </c>
      <c r="BM685" t="s">
        <v>74</v>
      </c>
      <c r="BN685">
        <v>30411781</v>
      </c>
      <c r="BO685" t="s">
        <v>74</v>
      </c>
      <c r="BP685" t="s">
        <v>74</v>
      </c>
      <c r="BQ685" t="s">
        <v>74</v>
      </c>
      <c r="BR685" t="s">
        <v>96</v>
      </c>
      <c r="BS685" t="s">
        <v>17347</v>
      </c>
      <c r="BT685" t="str">
        <f>HYPERLINK("https%3A%2F%2Fwww.webofscience.com%2Fwos%2Fwoscc%2Ffull-record%2FWOS:000462131100020","View Full Record in Web of Science")</f>
        <v>View Full Record in Web of Science</v>
      </c>
    </row>
    <row r="686" spans="1:72" x14ac:dyDescent="0.15">
      <c r="A686" t="s">
        <v>98</v>
      </c>
      <c r="B686" t="s">
        <v>19988</v>
      </c>
      <c r="C686" t="s">
        <v>74</v>
      </c>
      <c r="D686" t="s">
        <v>74</v>
      </c>
      <c r="E686" t="s">
        <v>74</v>
      </c>
      <c r="F686" t="s">
        <v>19989</v>
      </c>
      <c r="G686" t="s">
        <v>74</v>
      </c>
      <c r="H686" t="s">
        <v>74</v>
      </c>
      <c r="I686" t="s">
        <v>19990</v>
      </c>
      <c r="J686" t="s">
        <v>5139</v>
      </c>
      <c r="K686" t="s">
        <v>74</v>
      </c>
      <c r="L686" t="s">
        <v>74</v>
      </c>
      <c r="M686" t="s">
        <v>74</v>
      </c>
      <c r="N686" t="s">
        <v>103</v>
      </c>
      <c r="O686" t="s">
        <v>74</v>
      </c>
      <c r="P686" t="s">
        <v>74</v>
      </c>
      <c r="Q686" t="s">
        <v>74</v>
      </c>
      <c r="R686" t="s">
        <v>74</v>
      </c>
      <c r="S686" t="s">
        <v>74</v>
      </c>
      <c r="T686" t="s">
        <v>74</v>
      </c>
      <c r="U686" t="s">
        <v>19991</v>
      </c>
      <c r="V686" t="s">
        <v>19992</v>
      </c>
      <c r="W686" t="s">
        <v>19993</v>
      </c>
      <c r="X686" t="s">
        <v>19994</v>
      </c>
      <c r="Y686" t="s">
        <v>19995</v>
      </c>
      <c r="Z686" t="s">
        <v>19996</v>
      </c>
      <c r="AA686" t="s">
        <v>74</v>
      </c>
      <c r="AB686" t="s">
        <v>19997</v>
      </c>
      <c r="AC686" t="s">
        <v>74</v>
      </c>
      <c r="AD686" t="s">
        <v>74</v>
      </c>
      <c r="AE686" t="s">
        <v>74</v>
      </c>
      <c r="AF686" t="s">
        <v>74</v>
      </c>
      <c r="AG686">
        <v>51</v>
      </c>
      <c r="AH686">
        <v>27</v>
      </c>
      <c r="AI686">
        <v>27</v>
      </c>
      <c r="AJ686">
        <v>0</v>
      </c>
      <c r="AK686">
        <v>10</v>
      </c>
      <c r="AL686" t="s">
        <v>74</v>
      </c>
      <c r="AM686" t="s">
        <v>74</v>
      </c>
      <c r="AN686" t="s">
        <v>74</v>
      </c>
      <c r="AO686" t="s">
        <v>5148</v>
      </c>
      <c r="AP686" t="s">
        <v>74</v>
      </c>
      <c r="AQ686" t="s">
        <v>74</v>
      </c>
      <c r="AR686" t="s">
        <v>74</v>
      </c>
      <c r="AS686" t="s">
        <v>74</v>
      </c>
      <c r="AT686" t="s">
        <v>5955</v>
      </c>
      <c r="AU686">
        <v>2018</v>
      </c>
      <c r="AV686">
        <v>9</v>
      </c>
      <c r="AW686" t="s">
        <v>74</v>
      </c>
      <c r="AX686" t="s">
        <v>74</v>
      </c>
      <c r="AY686" t="s">
        <v>74</v>
      </c>
      <c r="AZ686" t="s">
        <v>74</v>
      </c>
      <c r="BA686" t="s">
        <v>74</v>
      </c>
      <c r="BB686" t="s">
        <v>74</v>
      </c>
      <c r="BC686" t="s">
        <v>74</v>
      </c>
      <c r="BD686">
        <v>3906</v>
      </c>
      <c r="BE686" t="s">
        <v>19998</v>
      </c>
      <c r="BF686" t="str">
        <f>HYPERLINK("http://dx.doi.org/10.1038/s41467-018-06206-0","http://dx.doi.org/10.1038/s41467-018-06206-0")</f>
        <v>http://dx.doi.org/10.1038/s41467-018-06206-0</v>
      </c>
      <c r="BG686" t="s">
        <v>74</v>
      </c>
      <c r="BH686" t="s">
        <v>74</v>
      </c>
      <c r="BI686" t="s">
        <v>74</v>
      </c>
      <c r="BJ686" t="s">
        <v>152</v>
      </c>
      <c r="BK686" t="s">
        <v>117</v>
      </c>
      <c r="BL686" t="s">
        <v>153</v>
      </c>
      <c r="BM686" t="s">
        <v>74</v>
      </c>
      <c r="BN686">
        <v>30254196</v>
      </c>
      <c r="BO686" t="s">
        <v>74</v>
      </c>
      <c r="BP686" t="s">
        <v>74</v>
      </c>
      <c r="BQ686" t="s">
        <v>74</v>
      </c>
      <c r="BR686" t="s">
        <v>96</v>
      </c>
      <c r="BS686" t="s">
        <v>19999</v>
      </c>
      <c r="BT686" t="str">
        <f>HYPERLINK("https%3A%2F%2Fwww.webofscience.com%2Fwos%2Fwoscc%2Ffull-record%2FWOS:000445560800014","View Full Record in Web of Science")</f>
        <v>View Full Record in Web of Science</v>
      </c>
    </row>
    <row r="687" spans="1:72" x14ac:dyDescent="0.15">
      <c r="A687" t="s">
        <v>98</v>
      </c>
      <c r="B687" t="s">
        <v>23926</v>
      </c>
      <c r="C687" t="s">
        <v>74</v>
      </c>
      <c r="D687" t="s">
        <v>74</v>
      </c>
      <c r="E687" t="s">
        <v>74</v>
      </c>
      <c r="F687" t="s">
        <v>23927</v>
      </c>
      <c r="G687" t="s">
        <v>74</v>
      </c>
      <c r="H687" t="s">
        <v>74</v>
      </c>
      <c r="I687" t="s">
        <v>23928</v>
      </c>
      <c r="J687" t="s">
        <v>5139</v>
      </c>
      <c r="K687" t="s">
        <v>74</v>
      </c>
      <c r="L687" t="s">
        <v>74</v>
      </c>
      <c r="M687" t="s">
        <v>74</v>
      </c>
      <c r="N687" t="s">
        <v>103</v>
      </c>
      <c r="O687" t="s">
        <v>74</v>
      </c>
      <c r="P687" t="s">
        <v>74</v>
      </c>
      <c r="Q687" t="s">
        <v>74</v>
      </c>
      <c r="R687" t="s">
        <v>74</v>
      </c>
      <c r="S687" t="s">
        <v>74</v>
      </c>
      <c r="T687" t="s">
        <v>74</v>
      </c>
      <c r="U687" t="s">
        <v>23929</v>
      </c>
      <c r="V687" t="s">
        <v>23930</v>
      </c>
      <c r="W687" t="s">
        <v>23931</v>
      </c>
      <c r="X687" t="s">
        <v>23932</v>
      </c>
      <c r="Y687" t="s">
        <v>23933</v>
      </c>
      <c r="Z687" t="s">
        <v>23934</v>
      </c>
      <c r="AA687" t="s">
        <v>23935</v>
      </c>
      <c r="AB687" t="s">
        <v>23936</v>
      </c>
      <c r="AC687" t="s">
        <v>74</v>
      </c>
      <c r="AD687" t="s">
        <v>74</v>
      </c>
      <c r="AE687" t="s">
        <v>74</v>
      </c>
      <c r="AF687" t="s">
        <v>74</v>
      </c>
      <c r="AG687">
        <v>55</v>
      </c>
      <c r="AH687">
        <v>27</v>
      </c>
      <c r="AI687">
        <v>29</v>
      </c>
      <c r="AJ687">
        <v>13</v>
      </c>
      <c r="AK687">
        <v>123</v>
      </c>
      <c r="AL687" t="s">
        <v>74</v>
      </c>
      <c r="AM687" t="s">
        <v>74</v>
      </c>
      <c r="AN687" t="s">
        <v>74</v>
      </c>
      <c r="AO687" t="s">
        <v>5148</v>
      </c>
      <c r="AP687" t="s">
        <v>74</v>
      </c>
      <c r="AQ687" t="s">
        <v>74</v>
      </c>
      <c r="AR687" t="s">
        <v>74</v>
      </c>
      <c r="AS687" t="s">
        <v>74</v>
      </c>
      <c r="AT687" t="s">
        <v>23937</v>
      </c>
      <c r="AU687">
        <v>2018</v>
      </c>
      <c r="AV687">
        <v>9</v>
      </c>
      <c r="AW687" t="s">
        <v>74</v>
      </c>
      <c r="AX687" t="s">
        <v>74</v>
      </c>
      <c r="AY687" t="s">
        <v>74</v>
      </c>
      <c r="AZ687" t="s">
        <v>74</v>
      </c>
      <c r="BA687" t="s">
        <v>74</v>
      </c>
      <c r="BB687" t="s">
        <v>74</v>
      </c>
      <c r="BC687" t="s">
        <v>74</v>
      </c>
      <c r="BD687">
        <v>1254</v>
      </c>
      <c r="BE687" t="s">
        <v>23938</v>
      </c>
      <c r="BF687" t="str">
        <f>HYPERLINK("http://dx.doi.org/10.1038/s41467-018-03596-z","http://dx.doi.org/10.1038/s41467-018-03596-z")</f>
        <v>http://dx.doi.org/10.1038/s41467-018-03596-z</v>
      </c>
      <c r="BG687" t="s">
        <v>74</v>
      </c>
      <c r="BH687" t="s">
        <v>74</v>
      </c>
      <c r="BI687" t="s">
        <v>74</v>
      </c>
      <c r="BJ687" t="s">
        <v>152</v>
      </c>
      <c r="BK687" t="s">
        <v>117</v>
      </c>
      <c r="BL687" t="s">
        <v>153</v>
      </c>
      <c r="BM687" t="s">
        <v>74</v>
      </c>
      <c r="BN687">
        <v>29593276</v>
      </c>
      <c r="BO687" t="s">
        <v>74</v>
      </c>
      <c r="BP687" t="s">
        <v>74</v>
      </c>
      <c r="BQ687" t="s">
        <v>74</v>
      </c>
      <c r="BR687" t="s">
        <v>96</v>
      </c>
      <c r="BS687" t="s">
        <v>23939</v>
      </c>
      <c r="BT687" t="str">
        <f>HYPERLINK("https%3A%2F%2Fwww.webofscience.com%2Fwos%2Fwoscc%2Ffull-record%2FWOS:000428520600009","View Full Record in Web of Science")</f>
        <v>View Full Record in Web of Science</v>
      </c>
    </row>
    <row r="688" spans="1:72" x14ac:dyDescent="0.15">
      <c r="A688" t="s">
        <v>98</v>
      </c>
      <c r="B688" t="s">
        <v>24010</v>
      </c>
      <c r="C688" t="s">
        <v>74</v>
      </c>
      <c r="D688" t="s">
        <v>74</v>
      </c>
      <c r="E688" t="s">
        <v>74</v>
      </c>
      <c r="F688" t="s">
        <v>24010</v>
      </c>
      <c r="G688" t="s">
        <v>74</v>
      </c>
      <c r="H688" t="s">
        <v>74</v>
      </c>
      <c r="I688" t="s">
        <v>24011</v>
      </c>
      <c r="J688" t="s">
        <v>2536</v>
      </c>
      <c r="K688" t="s">
        <v>74</v>
      </c>
      <c r="L688" t="s">
        <v>74</v>
      </c>
      <c r="M688" t="s">
        <v>74</v>
      </c>
      <c r="N688" t="s">
        <v>103</v>
      </c>
      <c r="O688" t="s">
        <v>74</v>
      </c>
      <c r="P688" t="s">
        <v>74</v>
      </c>
      <c r="Q688" t="s">
        <v>74</v>
      </c>
      <c r="R688" t="s">
        <v>74</v>
      </c>
      <c r="S688" t="s">
        <v>74</v>
      </c>
      <c r="T688" t="s">
        <v>74</v>
      </c>
      <c r="U688" t="s">
        <v>24012</v>
      </c>
      <c r="V688" t="s">
        <v>24013</v>
      </c>
      <c r="W688" t="s">
        <v>24014</v>
      </c>
      <c r="X688" t="s">
        <v>24015</v>
      </c>
      <c r="Y688" t="s">
        <v>24016</v>
      </c>
      <c r="Z688" t="s">
        <v>24017</v>
      </c>
      <c r="AA688" t="s">
        <v>74</v>
      </c>
      <c r="AB688" t="s">
        <v>24018</v>
      </c>
      <c r="AC688" t="s">
        <v>74</v>
      </c>
      <c r="AD688" t="s">
        <v>74</v>
      </c>
      <c r="AE688" t="s">
        <v>74</v>
      </c>
      <c r="AF688" t="s">
        <v>74</v>
      </c>
      <c r="AG688">
        <v>68</v>
      </c>
      <c r="AH688">
        <v>27</v>
      </c>
      <c r="AI688">
        <v>27</v>
      </c>
      <c r="AJ688">
        <v>0</v>
      </c>
      <c r="AK688">
        <v>5</v>
      </c>
      <c r="AL688" t="s">
        <v>74</v>
      </c>
      <c r="AM688" t="s">
        <v>74</v>
      </c>
      <c r="AN688" t="s">
        <v>74</v>
      </c>
      <c r="AO688" t="s">
        <v>2544</v>
      </c>
      <c r="AP688" t="s">
        <v>2545</v>
      </c>
      <c r="AQ688" t="s">
        <v>74</v>
      </c>
      <c r="AR688" t="s">
        <v>74</v>
      </c>
      <c r="AS688" t="s">
        <v>74</v>
      </c>
      <c r="AT688" t="s">
        <v>565</v>
      </c>
      <c r="AU688">
        <v>2006</v>
      </c>
      <c r="AV688">
        <v>80</v>
      </c>
      <c r="AW688">
        <v>6</v>
      </c>
      <c r="AX688" t="s">
        <v>74</v>
      </c>
      <c r="AY688" t="s">
        <v>74</v>
      </c>
      <c r="AZ688" t="s">
        <v>74</v>
      </c>
      <c r="BA688" t="s">
        <v>74</v>
      </c>
      <c r="BB688">
        <v>2609</v>
      </c>
      <c r="BC688">
        <v>2620</v>
      </c>
      <c r="BD688" t="s">
        <v>74</v>
      </c>
      <c r="BE688" t="s">
        <v>24019</v>
      </c>
      <c r="BF688" t="str">
        <f>HYPERLINK("http://dx.doi.org/10.1128/JVI.80.6.2609-2620.2006","http://dx.doi.org/10.1128/JVI.80.6.2609-2620.2006")</f>
        <v>http://dx.doi.org/10.1128/JVI.80.6.2609-2620.2006</v>
      </c>
      <c r="BG688" t="s">
        <v>74</v>
      </c>
      <c r="BH688" t="s">
        <v>74</v>
      </c>
      <c r="BI688" t="s">
        <v>74</v>
      </c>
      <c r="BJ688" t="s">
        <v>932</v>
      </c>
      <c r="BK688" t="s">
        <v>117</v>
      </c>
      <c r="BL688" t="s">
        <v>932</v>
      </c>
      <c r="BM688" t="s">
        <v>74</v>
      </c>
      <c r="BN688">
        <v>16501071</v>
      </c>
      <c r="BO688" t="s">
        <v>74</v>
      </c>
      <c r="BP688" t="s">
        <v>74</v>
      </c>
      <c r="BQ688" t="s">
        <v>74</v>
      </c>
      <c r="BR688" t="s">
        <v>96</v>
      </c>
      <c r="BS688" t="s">
        <v>24020</v>
      </c>
      <c r="BT688" t="str">
        <f>HYPERLINK("https%3A%2F%2Fwww.webofscience.com%2Fwos%2Fwoscc%2Ffull-record%2FWOS:000236131400003","View Full Record in Web of Science")</f>
        <v>View Full Record in Web of Science</v>
      </c>
    </row>
    <row r="689" spans="1:72" x14ac:dyDescent="0.15">
      <c r="A689" t="s">
        <v>98</v>
      </c>
      <c r="B689" t="s">
        <v>24095</v>
      </c>
      <c r="C689" t="s">
        <v>74</v>
      </c>
      <c r="D689" t="s">
        <v>74</v>
      </c>
      <c r="E689" t="s">
        <v>74</v>
      </c>
      <c r="F689" t="s">
        <v>24096</v>
      </c>
      <c r="G689" t="s">
        <v>74</v>
      </c>
      <c r="H689" t="s">
        <v>74</v>
      </c>
      <c r="I689" t="s">
        <v>24097</v>
      </c>
      <c r="J689" t="s">
        <v>140</v>
      </c>
      <c r="K689" t="s">
        <v>74</v>
      </c>
      <c r="L689" t="s">
        <v>74</v>
      </c>
      <c r="M689" t="s">
        <v>74</v>
      </c>
      <c r="N689" t="s">
        <v>103</v>
      </c>
      <c r="O689" t="s">
        <v>74</v>
      </c>
      <c r="P689" t="s">
        <v>74</v>
      </c>
      <c r="Q689" t="s">
        <v>74</v>
      </c>
      <c r="R689" t="s">
        <v>74</v>
      </c>
      <c r="S689" t="s">
        <v>74</v>
      </c>
      <c r="T689" t="s">
        <v>74</v>
      </c>
      <c r="U689" t="s">
        <v>24098</v>
      </c>
      <c r="V689" t="s">
        <v>24099</v>
      </c>
      <c r="W689" t="s">
        <v>24100</v>
      </c>
      <c r="X689" t="s">
        <v>24101</v>
      </c>
      <c r="Y689" t="s">
        <v>24102</v>
      </c>
      <c r="Z689" t="s">
        <v>24103</v>
      </c>
      <c r="AA689" t="s">
        <v>24104</v>
      </c>
      <c r="AB689" t="s">
        <v>24105</v>
      </c>
      <c r="AC689" t="s">
        <v>74</v>
      </c>
      <c r="AD689" t="s">
        <v>74</v>
      </c>
      <c r="AE689" t="s">
        <v>74</v>
      </c>
      <c r="AF689" t="s">
        <v>74</v>
      </c>
      <c r="AG689">
        <v>78</v>
      </c>
      <c r="AH689">
        <v>27</v>
      </c>
      <c r="AI689">
        <v>28</v>
      </c>
      <c r="AJ689">
        <v>1</v>
      </c>
      <c r="AK689">
        <v>8</v>
      </c>
      <c r="AL689" t="s">
        <v>74</v>
      </c>
      <c r="AM689" t="s">
        <v>74</v>
      </c>
      <c r="AN689" t="s">
        <v>74</v>
      </c>
      <c r="AO689" t="s">
        <v>149</v>
      </c>
      <c r="AP689" t="s">
        <v>74</v>
      </c>
      <c r="AQ689" t="s">
        <v>74</v>
      </c>
      <c r="AR689" t="s">
        <v>74</v>
      </c>
      <c r="AS689" t="s">
        <v>74</v>
      </c>
      <c r="AT689" t="s">
        <v>24106</v>
      </c>
      <c r="AU689">
        <v>2018</v>
      </c>
      <c r="AV689">
        <v>8</v>
      </c>
      <c r="AW689" t="s">
        <v>74</v>
      </c>
      <c r="AX689" t="s">
        <v>74</v>
      </c>
      <c r="AY689" t="s">
        <v>74</v>
      </c>
      <c r="AZ689" t="s">
        <v>74</v>
      </c>
      <c r="BA689" t="s">
        <v>74</v>
      </c>
      <c r="BB689" t="s">
        <v>74</v>
      </c>
      <c r="BC689" t="s">
        <v>74</v>
      </c>
      <c r="BD689">
        <v>10189</v>
      </c>
      <c r="BE689" t="s">
        <v>24107</v>
      </c>
      <c r="BF689" t="str">
        <f>HYPERLINK("http://dx.doi.org/10.1038/s41598-018-27657-x","http://dx.doi.org/10.1038/s41598-018-27657-x")</f>
        <v>http://dx.doi.org/10.1038/s41598-018-27657-x</v>
      </c>
      <c r="BG689" t="s">
        <v>74</v>
      </c>
      <c r="BH689" t="s">
        <v>74</v>
      </c>
      <c r="BI689" t="s">
        <v>74</v>
      </c>
      <c r="BJ689" t="s">
        <v>152</v>
      </c>
      <c r="BK689" t="s">
        <v>117</v>
      </c>
      <c r="BL689" t="s">
        <v>153</v>
      </c>
      <c r="BM689" t="s">
        <v>74</v>
      </c>
      <c r="BN689">
        <v>29976931</v>
      </c>
      <c r="BO689" t="s">
        <v>74</v>
      </c>
      <c r="BP689" t="s">
        <v>74</v>
      </c>
      <c r="BQ689" t="s">
        <v>74</v>
      </c>
      <c r="BR689" t="s">
        <v>96</v>
      </c>
      <c r="BS689" t="s">
        <v>24108</v>
      </c>
      <c r="BT689" t="str">
        <f>HYPERLINK("https%3A%2F%2Fwww.webofscience.com%2Fwos%2Fwoscc%2Ffull-record%2FWOS:000437413200045","View Full Record in Web of Science")</f>
        <v>View Full Record in Web of Science</v>
      </c>
    </row>
    <row r="690" spans="1:72" x14ac:dyDescent="0.15">
      <c r="A690" t="s">
        <v>98</v>
      </c>
      <c r="B690" t="s">
        <v>24424</v>
      </c>
      <c r="C690" t="s">
        <v>74</v>
      </c>
      <c r="D690" t="s">
        <v>74</v>
      </c>
      <c r="E690" t="s">
        <v>74</v>
      </c>
      <c r="F690" t="s">
        <v>24425</v>
      </c>
      <c r="G690" t="s">
        <v>74</v>
      </c>
      <c r="H690" t="s">
        <v>74</v>
      </c>
      <c r="I690" t="s">
        <v>24426</v>
      </c>
      <c r="J690" t="s">
        <v>24427</v>
      </c>
      <c r="K690" t="s">
        <v>74</v>
      </c>
      <c r="L690" t="s">
        <v>74</v>
      </c>
      <c r="M690" t="s">
        <v>74</v>
      </c>
      <c r="N690" t="s">
        <v>103</v>
      </c>
      <c r="O690" t="s">
        <v>74</v>
      </c>
      <c r="P690" t="s">
        <v>74</v>
      </c>
      <c r="Q690" t="s">
        <v>74</v>
      </c>
      <c r="R690" t="s">
        <v>74</v>
      </c>
      <c r="S690" t="s">
        <v>74</v>
      </c>
      <c r="T690" t="s">
        <v>24428</v>
      </c>
      <c r="U690" t="s">
        <v>24429</v>
      </c>
      <c r="V690" t="s">
        <v>24430</v>
      </c>
      <c r="W690" t="s">
        <v>24431</v>
      </c>
      <c r="X690" t="s">
        <v>24432</v>
      </c>
      <c r="Y690" t="s">
        <v>24433</v>
      </c>
      <c r="Z690" t="s">
        <v>24434</v>
      </c>
      <c r="AA690" t="s">
        <v>24435</v>
      </c>
      <c r="AB690" t="s">
        <v>24436</v>
      </c>
      <c r="AC690" t="s">
        <v>74</v>
      </c>
      <c r="AD690" t="s">
        <v>74</v>
      </c>
      <c r="AE690" t="s">
        <v>74</v>
      </c>
      <c r="AF690" t="s">
        <v>74</v>
      </c>
      <c r="AG690">
        <v>70</v>
      </c>
      <c r="AH690">
        <v>27</v>
      </c>
      <c r="AI690">
        <v>28</v>
      </c>
      <c r="AJ690">
        <v>1</v>
      </c>
      <c r="AK690">
        <v>3</v>
      </c>
      <c r="AL690" t="s">
        <v>74</v>
      </c>
      <c r="AM690" t="s">
        <v>74</v>
      </c>
      <c r="AN690" t="s">
        <v>74</v>
      </c>
      <c r="AO690" t="s">
        <v>24437</v>
      </c>
      <c r="AP690" t="s">
        <v>24438</v>
      </c>
      <c r="AQ690" t="s">
        <v>74</v>
      </c>
      <c r="AR690" t="s">
        <v>74</v>
      </c>
      <c r="AS690" t="s">
        <v>74</v>
      </c>
      <c r="AT690" t="s">
        <v>283</v>
      </c>
      <c r="AU690">
        <v>2011</v>
      </c>
      <c r="AV690">
        <v>58</v>
      </c>
      <c r="AW690">
        <v>3</v>
      </c>
      <c r="AX690" t="s">
        <v>74</v>
      </c>
      <c r="AY690" t="s">
        <v>74</v>
      </c>
      <c r="AZ690" t="s">
        <v>74</v>
      </c>
      <c r="BA690" t="s">
        <v>74</v>
      </c>
      <c r="BB690">
        <v>414</v>
      </c>
      <c r="BC690">
        <v>422</v>
      </c>
      <c r="BD690" t="s">
        <v>74</v>
      </c>
      <c r="BE690" t="s">
        <v>24439</v>
      </c>
      <c r="BF690" t="str">
        <f>HYPERLINK("http://dx.doi.org/10.1016/j.neuint.2010.12.019","http://dx.doi.org/10.1016/j.neuint.2010.12.019")</f>
        <v>http://dx.doi.org/10.1016/j.neuint.2010.12.019</v>
      </c>
      <c r="BG690" t="s">
        <v>74</v>
      </c>
      <c r="BH690" t="s">
        <v>74</v>
      </c>
      <c r="BI690" t="s">
        <v>74</v>
      </c>
      <c r="BJ690" t="s">
        <v>7452</v>
      </c>
      <c r="BK690" t="s">
        <v>117</v>
      </c>
      <c r="BL690" t="s">
        <v>7453</v>
      </c>
      <c r="BM690" t="s">
        <v>74</v>
      </c>
      <c r="BN690">
        <v>21193002</v>
      </c>
      <c r="BO690" t="s">
        <v>74</v>
      </c>
      <c r="BP690" t="s">
        <v>74</v>
      </c>
      <c r="BQ690" t="s">
        <v>74</v>
      </c>
      <c r="BR690" t="s">
        <v>96</v>
      </c>
      <c r="BS690" t="s">
        <v>24440</v>
      </c>
      <c r="BT690" t="str">
        <f>HYPERLINK("https%3A%2F%2Fwww.webofscience.com%2Fwos%2Fwoscc%2Ffull-record%2FWOS:000295749500019","View Full Record in Web of Science")</f>
        <v>View Full Record in Web of Science</v>
      </c>
    </row>
    <row r="691" spans="1:72" x14ac:dyDescent="0.15">
      <c r="A691" t="s">
        <v>98</v>
      </c>
      <c r="B691" t="s">
        <v>27501</v>
      </c>
      <c r="C691" t="s">
        <v>74</v>
      </c>
      <c r="D691" t="s">
        <v>74</v>
      </c>
      <c r="E691" t="s">
        <v>74</v>
      </c>
      <c r="F691" t="s">
        <v>27502</v>
      </c>
      <c r="G691" t="s">
        <v>74</v>
      </c>
      <c r="H691" t="s">
        <v>74</v>
      </c>
      <c r="I691" t="s">
        <v>27503</v>
      </c>
      <c r="J691" t="s">
        <v>19972</v>
      </c>
      <c r="K691" t="s">
        <v>74</v>
      </c>
      <c r="L691" t="s">
        <v>74</v>
      </c>
      <c r="M691" t="s">
        <v>74</v>
      </c>
      <c r="N691" t="s">
        <v>103</v>
      </c>
      <c r="O691" t="s">
        <v>74</v>
      </c>
      <c r="P691" t="s">
        <v>74</v>
      </c>
      <c r="Q691" t="s">
        <v>74</v>
      </c>
      <c r="R691" t="s">
        <v>74</v>
      </c>
      <c r="S691" t="s">
        <v>74</v>
      </c>
      <c r="T691" t="s">
        <v>27504</v>
      </c>
      <c r="U691" t="s">
        <v>27505</v>
      </c>
      <c r="V691" t="s">
        <v>27506</v>
      </c>
      <c r="W691" t="s">
        <v>27507</v>
      </c>
      <c r="X691" t="s">
        <v>27508</v>
      </c>
      <c r="Y691" t="s">
        <v>27509</v>
      </c>
      <c r="Z691" t="s">
        <v>27510</v>
      </c>
      <c r="AA691" t="s">
        <v>27511</v>
      </c>
      <c r="AB691" t="s">
        <v>27512</v>
      </c>
      <c r="AC691" t="s">
        <v>74</v>
      </c>
      <c r="AD691" t="s">
        <v>74</v>
      </c>
      <c r="AE691" t="s">
        <v>74</v>
      </c>
      <c r="AF691" t="s">
        <v>74</v>
      </c>
      <c r="AG691">
        <v>176</v>
      </c>
      <c r="AH691">
        <v>27</v>
      </c>
      <c r="AI691">
        <v>32</v>
      </c>
      <c r="AJ691">
        <v>0</v>
      </c>
      <c r="AK691">
        <v>16</v>
      </c>
      <c r="AL691" t="s">
        <v>74</v>
      </c>
      <c r="AM691" t="s">
        <v>74</v>
      </c>
      <c r="AN691" t="s">
        <v>74</v>
      </c>
      <c r="AO691" t="s">
        <v>19980</v>
      </c>
      <c r="AP691" t="s">
        <v>19981</v>
      </c>
      <c r="AQ691" t="s">
        <v>74</v>
      </c>
      <c r="AR691" t="s">
        <v>74</v>
      </c>
      <c r="AS691" t="s">
        <v>74</v>
      </c>
      <c r="AT691" t="s">
        <v>283</v>
      </c>
      <c r="AU691">
        <v>2018</v>
      </c>
      <c r="AV691">
        <v>314</v>
      </c>
      <c r="AW691">
        <v>2</v>
      </c>
      <c r="AX691" t="s">
        <v>74</v>
      </c>
      <c r="AY691" t="s">
        <v>74</v>
      </c>
      <c r="AZ691" t="s">
        <v>74</v>
      </c>
      <c r="BA691" t="s">
        <v>74</v>
      </c>
      <c r="BB691" t="s">
        <v>27513</v>
      </c>
      <c r="BC691" t="s">
        <v>27514</v>
      </c>
      <c r="BD691" t="s">
        <v>74</v>
      </c>
      <c r="BE691" t="s">
        <v>27515</v>
      </c>
      <c r="BF691" t="str">
        <f>HYPERLINK("http://dx.doi.org/10.1152/ajpheart.00520.2017","http://dx.doi.org/10.1152/ajpheart.00520.2017")</f>
        <v>http://dx.doi.org/10.1152/ajpheart.00520.2017</v>
      </c>
      <c r="BG691" t="s">
        <v>74</v>
      </c>
      <c r="BH691" t="s">
        <v>74</v>
      </c>
      <c r="BI691" t="s">
        <v>74</v>
      </c>
      <c r="BJ691" t="s">
        <v>19985</v>
      </c>
      <c r="BK691" t="s">
        <v>117</v>
      </c>
      <c r="BL691" t="s">
        <v>19986</v>
      </c>
      <c r="BM691" t="s">
        <v>74</v>
      </c>
      <c r="BN691">
        <v>28986361</v>
      </c>
      <c r="BO691" t="s">
        <v>74</v>
      </c>
      <c r="BP691" t="s">
        <v>74</v>
      </c>
      <c r="BQ691" t="s">
        <v>74</v>
      </c>
      <c r="BR691" t="s">
        <v>96</v>
      </c>
      <c r="BS691" t="s">
        <v>27516</v>
      </c>
      <c r="BT691" t="str">
        <f>HYPERLINK("https%3A%2F%2Fwww.webofscience.com%2Fwos%2Fwoscc%2Ffull-record%2FWOS:000425154700017","View Full Record in Web of Science")</f>
        <v>View Full Record in Web of Science</v>
      </c>
    </row>
    <row r="692" spans="1:72" x14ac:dyDescent="0.15">
      <c r="A692" t="s">
        <v>98</v>
      </c>
      <c r="B692" t="s">
        <v>27545</v>
      </c>
      <c r="C692" t="s">
        <v>74</v>
      </c>
      <c r="D692" t="s">
        <v>74</v>
      </c>
      <c r="E692" t="s">
        <v>74</v>
      </c>
      <c r="F692" t="s">
        <v>27545</v>
      </c>
      <c r="G692" t="s">
        <v>74</v>
      </c>
      <c r="H692" t="s">
        <v>74</v>
      </c>
      <c r="I692" t="s">
        <v>27546</v>
      </c>
      <c r="J692" t="s">
        <v>7065</v>
      </c>
      <c r="K692" t="s">
        <v>74</v>
      </c>
      <c r="L692" t="s">
        <v>74</v>
      </c>
      <c r="M692" t="s">
        <v>74</v>
      </c>
      <c r="N692" t="s">
        <v>103</v>
      </c>
      <c r="O692" t="s">
        <v>74</v>
      </c>
      <c r="P692" t="s">
        <v>74</v>
      </c>
      <c r="Q692" t="s">
        <v>74</v>
      </c>
      <c r="R692" t="s">
        <v>74</v>
      </c>
      <c r="S692" t="s">
        <v>74</v>
      </c>
      <c r="T692" t="s">
        <v>74</v>
      </c>
      <c r="U692" t="s">
        <v>27547</v>
      </c>
      <c r="V692" t="s">
        <v>27548</v>
      </c>
      <c r="W692" t="s">
        <v>27549</v>
      </c>
      <c r="X692" t="s">
        <v>27550</v>
      </c>
      <c r="Y692" t="s">
        <v>74</v>
      </c>
      <c r="Z692" t="s">
        <v>74</v>
      </c>
      <c r="AA692" t="s">
        <v>74</v>
      </c>
      <c r="AB692" t="s">
        <v>74</v>
      </c>
      <c r="AC692" t="s">
        <v>74</v>
      </c>
      <c r="AD692" t="s">
        <v>74</v>
      </c>
      <c r="AE692" t="s">
        <v>74</v>
      </c>
      <c r="AF692" t="s">
        <v>74</v>
      </c>
      <c r="AG692">
        <v>23</v>
      </c>
      <c r="AH692">
        <v>27</v>
      </c>
      <c r="AI692">
        <v>27</v>
      </c>
      <c r="AJ692">
        <v>0</v>
      </c>
      <c r="AK692">
        <v>3</v>
      </c>
      <c r="AL692" t="s">
        <v>74</v>
      </c>
      <c r="AM692" t="s">
        <v>74</v>
      </c>
      <c r="AN692" t="s">
        <v>74</v>
      </c>
      <c r="AO692" t="s">
        <v>7074</v>
      </c>
      <c r="AP692" t="s">
        <v>74</v>
      </c>
      <c r="AQ692" t="s">
        <v>74</v>
      </c>
      <c r="AR692" t="s">
        <v>74</v>
      </c>
      <c r="AS692" t="s">
        <v>74</v>
      </c>
      <c r="AT692" t="s">
        <v>8524</v>
      </c>
      <c r="AU692">
        <v>1995</v>
      </c>
      <c r="AV692">
        <v>55</v>
      </c>
      <c r="AW692">
        <v>15</v>
      </c>
      <c r="AX692" t="s">
        <v>74</v>
      </c>
      <c r="AY692" t="s">
        <v>74</v>
      </c>
      <c r="AZ692" t="s">
        <v>74</v>
      </c>
      <c r="BA692" t="s">
        <v>74</v>
      </c>
      <c r="BB692">
        <v>3424</v>
      </c>
      <c r="BC692">
        <v>3430</v>
      </c>
      <c r="BD692" t="s">
        <v>74</v>
      </c>
      <c r="BE692" t="s">
        <v>74</v>
      </c>
      <c r="BF692" t="s">
        <v>74</v>
      </c>
      <c r="BG692" t="s">
        <v>74</v>
      </c>
      <c r="BH692" t="s">
        <v>74</v>
      </c>
      <c r="BI692" t="s">
        <v>74</v>
      </c>
      <c r="BJ692" t="s">
        <v>267</v>
      </c>
      <c r="BK692" t="s">
        <v>117</v>
      </c>
      <c r="BL692" t="s">
        <v>267</v>
      </c>
      <c r="BM692" t="s">
        <v>74</v>
      </c>
      <c r="BN692">
        <v>7614483</v>
      </c>
      <c r="BO692" t="s">
        <v>74</v>
      </c>
      <c r="BP692" t="s">
        <v>74</v>
      </c>
      <c r="BQ692" t="s">
        <v>74</v>
      </c>
      <c r="BR692" t="s">
        <v>96</v>
      </c>
      <c r="BS692" t="s">
        <v>27551</v>
      </c>
      <c r="BT692" t="str">
        <f>HYPERLINK("https%3A%2F%2Fwww.webofscience.com%2Fwos%2Fwoscc%2Ffull-record%2FWOS:A1995RL49300036","View Full Record in Web of Science")</f>
        <v>View Full Record in Web of Science</v>
      </c>
    </row>
    <row r="693" spans="1:72" x14ac:dyDescent="0.15">
      <c r="A693" t="s">
        <v>98</v>
      </c>
      <c r="B693" t="s">
        <v>28570</v>
      </c>
      <c r="C693" t="s">
        <v>74</v>
      </c>
      <c r="D693" t="s">
        <v>74</v>
      </c>
      <c r="E693" t="s">
        <v>74</v>
      </c>
      <c r="F693" t="s">
        <v>28571</v>
      </c>
      <c r="G693" t="s">
        <v>74</v>
      </c>
      <c r="H693" t="s">
        <v>28572</v>
      </c>
      <c r="I693" t="s">
        <v>28573</v>
      </c>
      <c r="J693" t="s">
        <v>28574</v>
      </c>
      <c r="K693" t="s">
        <v>74</v>
      </c>
      <c r="L693" t="s">
        <v>74</v>
      </c>
      <c r="M693" t="s">
        <v>74</v>
      </c>
      <c r="N693" t="s">
        <v>103</v>
      </c>
      <c r="O693" t="s">
        <v>74</v>
      </c>
      <c r="P693" t="s">
        <v>74</v>
      </c>
      <c r="Q693" t="s">
        <v>74</v>
      </c>
      <c r="R693" t="s">
        <v>74</v>
      </c>
      <c r="S693" t="s">
        <v>74</v>
      </c>
      <c r="T693" t="s">
        <v>74</v>
      </c>
      <c r="U693" t="s">
        <v>28575</v>
      </c>
      <c r="V693" t="s">
        <v>28576</v>
      </c>
      <c r="W693" t="s">
        <v>28577</v>
      </c>
      <c r="X693" t="s">
        <v>28578</v>
      </c>
      <c r="Y693" t="s">
        <v>28579</v>
      </c>
      <c r="Z693" t="s">
        <v>28580</v>
      </c>
      <c r="AA693" t="s">
        <v>28581</v>
      </c>
      <c r="AB693" t="s">
        <v>28582</v>
      </c>
      <c r="AC693" t="s">
        <v>74</v>
      </c>
      <c r="AD693" t="s">
        <v>74</v>
      </c>
      <c r="AE693" t="s">
        <v>74</v>
      </c>
      <c r="AF693" t="s">
        <v>74</v>
      </c>
      <c r="AG693">
        <v>42</v>
      </c>
      <c r="AH693">
        <v>27</v>
      </c>
      <c r="AI693">
        <v>27</v>
      </c>
      <c r="AJ693">
        <v>1</v>
      </c>
      <c r="AK693">
        <v>12</v>
      </c>
      <c r="AL693" t="s">
        <v>74</v>
      </c>
      <c r="AM693" t="s">
        <v>74</v>
      </c>
      <c r="AN693" t="s">
        <v>74</v>
      </c>
      <c r="AO693" t="s">
        <v>28583</v>
      </c>
      <c r="AP693" t="s">
        <v>28584</v>
      </c>
      <c r="AQ693" t="s">
        <v>74</v>
      </c>
      <c r="AR693" t="s">
        <v>74</v>
      </c>
      <c r="AS693" t="s">
        <v>74</v>
      </c>
      <c r="AT693" t="s">
        <v>230</v>
      </c>
      <c r="AU693">
        <v>2018</v>
      </c>
      <c r="AV693">
        <v>89</v>
      </c>
      <c r="AW693">
        <v>8</v>
      </c>
      <c r="AX693" t="s">
        <v>74</v>
      </c>
      <c r="AY693" t="s">
        <v>74</v>
      </c>
      <c r="AZ693" t="s">
        <v>74</v>
      </c>
      <c r="BA693" t="s">
        <v>74</v>
      </c>
      <c r="BB693">
        <v>851</v>
      </c>
      <c r="BC693">
        <v>858</v>
      </c>
      <c r="BD693" t="s">
        <v>74</v>
      </c>
      <c r="BE693" t="s">
        <v>28585</v>
      </c>
      <c r="BF693" t="str">
        <f>HYPERLINK("http://dx.doi.org/10.1136/jnnp-2017-317492","http://dx.doi.org/10.1136/jnnp-2017-317492")</f>
        <v>http://dx.doi.org/10.1136/jnnp-2017-317492</v>
      </c>
      <c r="BG693" t="s">
        <v>74</v>
      </c>
      <c r="BH693" t="s">
        <v>74</v>
      </c>
      <c r="BI693" t="s">
        <v>74</v>
      </c>
      <c r="BJ693" t="s">
        <v>28586</v>
      </c>
      <c r="BK693" t="s">
        <v>117</v>
      </c>
      <c r="BL693" t="s">
        <v>28587</v>
      </c>
      <c r="BM693" t="s">
        <v>74</v>
      </c>
      <c r="BN693">
        <v>29434051</v>
      </c>
      <c r="BO693" t="s">
        <v>74</v>
      </c>
      <c r="BP693" t="s">
        <v>74</v>
      </c>
      <c r="BQ693" t="s">
        <v>74</v>
      </c>
      <c r="BR693" t="s">
        <v>96</v>
      </c>
      <c r="BS693" t="s">
        <v>28588</v>
      </c>
      <c r="BT693" t="str">
        <f>HYPERLINK("https%3A%2F%2Fwww.webofscience.com%2Fwos%2Fwoscc%2Ffull-record%2FWOS:000442475000017","View Full Record in Web of Science")</f>
        <v>View Full Record in Web of Science</v>
      </c>
    </row>
    <row r="694" spans="1:72" x14ac:dyDescent="0.15">
      <c r="A694" t="s">
        <v>72</v>
      </c>
      <c r="B694" t="s">
        <v>4042</v>
      </c>
      <c r="C694" t="s">
        <v>74</v>
      </c>
      <c r="D694" t="s">
        <v>4043</v>
      </c>
      <c r="E694" t="s">
        <v>74</v>
      </c>
      <c r="F694" t="s">
        <v>4044</v>
      </c>
      <c r="G694" t="s">
        <v>74</v>
      </c>
      <c r="H694" t="s">
        <v>74</v>
      </c>
      <c r="I694" t="s">
        <v>4045</v>
      </c>
      <c r="J694" t="s">
        <v>4046</v>
      </c>
      <c r="K694" t="s">
        <v>2947</v>
      </c>
      <c r="L694" t="s">
        <v>74</v>
      </c>
      <c r="M694" t="s">
        <v>74</v>
      </c>
      <c r="N694" t="s">
        <v>80</v>
      </c>
      <c r="O694" t="s">
        <v>74</v>
      </c>
      <c r="P694" t="s">
        <v>74</v>
      </c>
      <c r="Q694" t="s">
        <v>74</v>
      </c>
      <c r="R694" t="s">
        <v>74</v>
      </c>
      <c r="S694" t="s">
        <v>74</v>
      </c>
      <c r="T694" t="s">
        <v>74</v>
      </c>
      <c r="U694" t="s">
        <v>4047</v>
      </c>
      <c r="V694" t="s">
        <v>4048</v>
      </c>
      <c r="W694" t="s">
        <v>4049</v>
      </c>
      <c r="X694" t="s">
        <v>4050</v>
      </c>
      <c r="Y694" t="s">
        <v>4051</v>
      </c>
      <c r="Z694" t="s">
        <v>4052</v>
      </c>
      <c r="AA694" t="s">
        <v>74</v>
      </c>
      <c r="AB694" t="s">
        <v>74</v>
      </c>
      <c r="AC694" t="s">
        <v>74</v>
      </c>
      <c r="AD694" t="s">
        <v>74</v>
      </c>
      <c r="AE694" t="s">
        <v>74</v>
      </c>
      <c r="AF694" t="s">
        <v>74</v>
      </c>
      <c r="AG694">
        <v>82</v>
      </c>
      <c r="AH694">
        <v>26</v>
      </c>
      <c r="AI694">
        <v>27</v>
      </c>
      <c r="AJ694">
        <v>0</v>
      </c>
      <c r="AK694">
        <v>10</v>
      </c>
      <c r="AL694" t="s">
        <v>74</v>
      </c>
      <c r="AM694" t="s">
        <v>74</v>
      </c>
      <c r="AN694" t="s">
        <v>74</v>
      </c>
      <c r="AO694" t="s">
        <v>2954</v>
      </c>
      <c r="AP694" t="s">
        <v>74</v>
      </c>
      <c r="AQ694" t="s">
        <v>4053</v>
      </c>
      <c r="AR694" t="s">
        <v>74</v>
      </c>
      <c r="AS694" t="s">
        <v>74</v>
      </c>
      <c r="AT694" t="s">
        <v>74</v>
      </c>
      <c r="AU694">
        <v>2011</v>
      </c>
      <c r="AV694">
        <v>714</v>
      </c>
      <c r="AW694" t="s">
        <v>74</v>
      </c>
      <c r="AX694" t="s">
        <v>74</v>
      </c>
      <c r="AY694" t="s">
        <v>74</v>
      </c>
      <c r="AZ694" t="s">
        <v>74</v>
      </c>
      <c r="BA694" t="s">
        <v>74</v>
      </c>
      <c r="BB694">
        <v>183</v>
      </c>
      <c r="BC694">
        <v>199</v>
      </c>
      <c r="BD694" t="s">
        <v>74</v>
      </c>
      <c r="BE694" t="s">
        <v>4054</v>
      </c>
      <c r="BF694" t="str">
        <f>HYPERLINK("http://dx.doi.org/10.1007/978-94-007-0782-5_10","http://dx.doi.org/10.1007/978-94-007-0782-5_10")</f>
        <v>http://dx.doi.org/10.1007/978-94-007-0782-5_10</v>
      </c>
      <c r="BG694" t="s">
        <v>74</v>
      </c>
      <c r="BH694" t="s">
        <v>74</v>
      </c>
      <c r="BI694" t="s">
        <v>74</v>
      </c>
      <c r="BJ694" t="s">
        <v>4055</v>
      </c>
      <c r="BK694" t="s">
        <v>2960</v>
      </c>
      <c r="BL694" t="s">
        <v>4056</v>
      </c>
      <c r="BM694" t="s">
        <v>74</v>
      </c>
      <c r="BN694">
        <v>21506015</v>
      </c>
      <c r="BO694" t="s">
        <v>74</v>
      </c>
      <c r="BP694" t="s">
        <v>74</v>
      </c>
      <c r="BQ694" t="s">
        <v>74</v>
      </c>
      <c r="BR694" t="s">
        <v>96</v>
      </c>
      <c r="BS694" t="s">
        <v>4057</v>
      </c>
      <c r="BT694" t="str">
        <f>HYPERLINK("https%3A%2F%2Fwww.webofscience.com%2Fwos%2Fwoscc%2Ffull-record%2FWOS:000290775400010","View Full Record in Web of Science")</f>
        <v>View Full Record in Web of Science</v>
      </c>
    </row>
    <row r="695" spans="1:72" x14ac:dyDescent="0.15">
      <c r="A695" t="s">
        <v>98</v>
      </c>
      <c r="B695" t="s">
        <v>7388</v>
      </c>
      <c r="C695" t="s">
        <v>74</v>
      </c>
      <c r="D695" t="s">
        <v>74</v>
      </c>
      <c r="E695" t="s">
        <v>74</v>
      </c>
      <c r="F695" t="s">
        <v>7389</v>
      </c>
      <c r="G695" t="s">
        <v>74</v>
      </c>
      <c r="H695" t="s">
        <v>74</v>
      </c>
      <c r="I695" t="s">
        <v>7390</v>
      </c>
      <c r="J695" t="s">
        <v>1123</v>
      </c>
      <c r="K695" t="s">
        <v>74</v>
      </c>
      <c r="L695" t="s">
        <v>74</v>
      </c>
      <c r="M695" t="s">
        <v>74</v>
      </c>
      <c r="N695" t="s">
        <v>103</v>
      </c>
      <c r="O695" t="s">
        <v>74</v>
      </c>
      <c r="P695" t="s">
        <v>74</v>
      </c>
      <c r="Q695" t="s">
        <v>74</v>
      </c>
      <c r="R695" t="s">
        <v>74</v>
      </c>
      <c r="S695" t="s">
        <v>74</v>
      </c>
      <c r="T695" t="s">
        <v>7391</v>
      </c>
      <c r="U695" t="s">
        <v>7392</v>
      </c>
      <c r="V695" t="s">
        <v>7393</v>
      </c>
      <c r="W695" t="s">
        <v>7394</v>
      </c>
      <c r="X695" t="s">
        <v>7395</v>
      </c>
      <c r="Y695" t="s">
        <v>7396</v>
      </c>
      <c r="Z695" t="s">
        <v>7397</v>
      </c>
      <c r="AA695" t="s">
        <v>7398</v>
      </c>
      <c r="AB695" t="s">
        <v>7399</v>
      </c>
      <c r="AC695" t="s">
        <v>74</v>
      </c>
      <c r="AD695" t="s">
        <v>74</v>
      </c>
      <c r="AE695" t="s">
        <v>74</v>
      </c>
      <c r="AF695" t="s">
        <v>74</v>
      </c>
      <c r="AG695">
        <v>49</v>
      </c>
      <c r="AH695">
        <v>26</v>
      </c>
      <c r="AI695">
        <v>28</v>
      </c>
      <c r="AJ695">
        <v>40</v>
      </c>
      <c r="AK695">
        <v>252</v>
      </c>
      <c r="AL695" t="s">
        <v>74</v>
      </c>
      <c r="AM695" t="s">
        <v>74</v>
      </c>
      <c r="AN695" t="s">
        <v>74</v>
      </c>
      <c r="AO695" t="s">
        <v>1132</v>
      </c>
      <c r="AP695" t="s">
        <v>1133</v>
      </c>
      <c r="AQ695" t="s">
        <v>74</v>
      </c>
      <c r="AR695" t="s">
        <v>74</v>
      </c>
      <c r="AS695" t="s">
        <v>74</v>
      </c>
      <c r="AT695" t="s">
        <v>7400</v>
      </c>
      <c r="AU695">
        <v>2020</v>
      </c>
      <c r="AV695">
        <v>167</v>
      </c>
      <c r="AW695" t="s">
        <v>74</v>
      </c>
      <c r="AX695" t="s">
        <v>74</v>
      </c>
      <c r="AY695" t="s">
        <v>74</v>
      </c>
      <c r="AZ695" t="s">
        <v>74</v>
      </c>
      <c r="BA695" t="s">
        <v>74</v>
      </c>
      <c r="BB695" t="s">
        <v>74</v>
      </c>
      <c r="BC695" t="s">
        <v>74</v>
      </c>
      <c r="BD695">
        <v>112482</v>
      </c>
      <c r="BE695" t="s">
        <v>7401</v>
      </c>
      <c r="BF695" t="str">
        <f>HYPERLINK("http://dx.doi.org/10.1016/j.bios.2020.112482","http://dx.doi.org/10.1016/j.bios.2020.112482")</f>
        <v>http://dx.doi.org/10.1016/j.bios.2020.112482</v>
      </c>
      <c r="BG695" t="s">
        <v>74</v>
      </c>
      <c r="BH695" t="s">
        <v>74</v>
      </c>
      <c r="BI695" t="s">
        <v>74</v>
      </c>
      <c r="BJ695" t="s">
        <v>1137</v>
      </c>
      <c r="BK695" t="s">
        <v>117</v>
      </c>
      <c r="BL695" t="s">
        <v>1138</v>
      </c>
      <c r="BM695" t="s">
        <v>74</v>
      </c>
      <c r="BN695">
        <v>32795917</v>
      </c>
      <c r="BO695" t="s">
        <v>74</v>
      </c>
      <c r="BP695" t="s">
        <v>74</v>
      </c>
      <c r="BQ695" t="s">
        <v>74</v>
      </c>
      <c r="BR695" t="s">
        <v>96</v>
      </c>
      <c r="BS695" t="s">
        <v>7402</v>
      </c>
      <c r="BT695" t="str">
        <f>HYPERLINK("https%3A%2F%2Fwww.webofscience.com%2Fwos%2Fwoscc%2Ffull-record%2FWOS:000571153000004","View Full Record in Web of Science")</f>
        <v>View Full Record in Web of Science</v>
      </c>
    </row>
    <row r="696" spans="1:72" x14ac:dyDescent="0.15">
      <c r="A696" t="s">
        <v>98</v>
      </c>
      <c r="B696" t="s">
        <v>9279</v>
      </c>
      <c r="C696" t="s">
        <v>74</v>
      </c>
      <c r="D696" t="s">
        <v>74</v>
      </c>
      <c r="E696" t="s">
        <v>74</v>
      </c>
      <c r="F696" t="s">
        <v>9280</v>
      </c>
      <c r="G696" t="s">
        <v>74</v>
      </c>
      <c r="H696" t="s">
        <v>74</v>
      </c>
      <c r="I696" t="s">
        <v>9281</v>
      </c>
      <c r="J696" t="s">
        <v>9282</v>
      </c>
      <c r="K696" t="s">
        <v>74</v>
      </c>
      <c r="L696" t="s">
        <v>74</v>
      </c>
      <c r="M696" t="s">
        <v>74</v>
      </c>
      <c r="N696" t="s">
        <v>103</v>
      </c>
      <c r="O696" t="s">
        <v>74</v>
      </c>
      <c r="P696" t="s">
        <v>74</v>
      </c>
      <c r="Q696" t="s">
        <v>74</v>
      </c>
      <c r="R696" t="s">
        <v>74</v>
      </c>
      <c r="S696" t="s">
        <v>74</v>
      </c>
      <c r="T696" t="s">
        <v>9283</v>
      </c>
      <c r="U696" t="s">
        <v>9284</v>
      </c>
      <c r="V696" t="s">
        <v>9285</v>
      </c>
      <c r="W696" t="s">
        <v>9286</v>
      </c>
      <c r="X696" t="s">
        <v>9287</v>
      </c>
      <c r="Y696" t="s">
        <v>9288</v>
      </c>
      <c r="Z696" t="s">
        <v>9289</v>
      </c>
      <c r="AA696" t="s">
        <v>9290</v>
      </c>
      <c r="AB696" t="s">
        <v>9291</v>
      </c>
      <c r="AC696" t="s">
        <v>74</v>
      </c>
      <c r="AD696" t="s">
        <v>74</v>
      </c>
      <c r="AE696" t="s">
        <v>74</v>
      </c>
      <c r="AF696" t="s">
        <v>74</v>
      </c>
      <c r="AG696">
        <v>55</v>
      </c>
      <c r="AH696">
        <v>26</v>
      </c>
      <c r="AI696">
        <v>28</v>
      </c>
      <c r="AJ696">
        <v>1</v>
      </c>
      <c r="AK696">
        <v>13</v>
      </c>
      <c r="AL696" t="s">
        <v>74</v>
      </c>
      <c r="AM696" t="s">
        <v>74</v>
      </c>
      <c r="AN696" t="s">
        <v>74</v>
      </c>
      <c r="AO696" t="s">
        <v>9292</v>
      </c>
      <c r="AP696" t="s">
        <v>9293</v>
      </c>
      <c r="AQ696" t="s">
        <v>74</v>
      </c>
      <c r="AR696" t="s">
        <v>74</v>
      </c>
      <c r="AS696" t="s">
        <v>74</v>
      </c>
      <c r="AT696" t="s">
        <v>9294</v>
      </c>
      <c r="AU696">
        <v>2016</v>
      </c>
      <c r="AV696">
        <v>259</v>
      </c>
      <c r="AW696" t="s">
        <v>74</v>
      </c>
      <c r="AX696" t="s">
        <v>74</v>
      </c>
      <c r="AY696" t="s">
        <v>74</v>
      </c>
      <c r="AZ696" t="s">
        <v>74</v>
      </c>
      <c r="BA696" t="s">
        <v>74</v>
      </c>
      <c r="BB696">
        <v>143</v>
      </c>
      <c r="BC696">
        <v>150</v>
      </c>
      <c r="BD696" t="s">
        <v>74</v>
      </c>
      <c r="BE696" t="s">
        <v>9295</v>
      </c>
      <c r="BF696" t="str">
        <f>HYPERLINK("http://dx.doi.org/10.1016/j.toxlet.2016.08.002","http://dx.doi.org/10.1016/j.toxlet.2016.08.002")</f>
        <v>http://dx.doi.org/10.1016/j.toxlet.2016.08.002</v>
      </c>
      <c r="BG696" t="s">
        <v>74</v>
      </c>
      <c r="BH696" t="s">
        <v>74</v>
      </c>
      <c r="BI696" t="s">
        <v>74</v>
      </c>
      <c r="BJ696" t="s">
        <v>1626</v>
      </c>
      <c r="BK696" t="s">
        <v>117</v>
      </c>
      <c r="BL696" t="s">
        <v>1626</v>
      </c>
      <c r="BM696" t="s">
        <v>74</v>
      </c>
      <c r="BN696">
        <v>27506416</v>
      </c>
      <c r="BO696" t="s">
        <v>74</v>
      </c>
      <c r="BP696" t="s">
        <v>74</v>
      </c>
      <c r="BQ696" t="s">
        <v>74</v>
      </c>
      <c r="BR696" t="s">
        <v>96</v>
      </c>
      <c r="BS696" t="s">
        <v>9296</v>
      </c>
      <c r="BT696" t="str">
        <f>HYPERLINK("https%3A%2F%2Fwww.webofscience.com%2Fwos%2Fwoscc%2Ffull-record%2FWOS:000385332000017","View Full Record in Web of Science")</f>
        <v>View Full Record in Web of Science</v>
      </c>
    </row>
    <row r="697" spans="1:72" x14ac:dyDescent="0.15">
      <c r="A697" t="s">
        <v>98</v>
      </c>
      <c r="B697" t="s">
        <v>10105</v>
      </c>
      <c r="C697" t="s">
        <v>74</v>
      </c>
      <c r="D697" t="s">
        <v>74</v>
      </c>
      <c r="E697" t="s">
        <v>74</v>
      </c>
      <c r="F697" t="s">
        <v>10106</v>
      </c>
      <c r="G697" t="s">
        <v>74</v>
      </c>
      <c r="H697" t="s">
        <v>74</v>
      </c>
      <c r="I697" t="s">
        <v>10107</v>
      </c>
      <c r="J697" t="s">
        <v>9651</v>
      </c>
      <c r="K697" t="s">
        <v>74</v>
      </c>
      <c r="L697" t="s">
        <v>74</v>
      </c>
      <c r="M697" t="s">
        <v>74</v>
      </c>
      <c r="N697" t="s">
        <v>103</v>
      </c>
      <c r="O697" t="s">
        <v>74</v>
      </c>
      <c r="P697" t="s">
        <v>74</v>
      </c>
      <c r="Q697" t="s">
        <v>74</v>
      </c>
      <c r="R697" t="s">
        <v>74</v>
      </c>
      <c r="S697" t="s">
        <v>74</v>
      </c>
      <c r="T697" t="s">
        <v>74</v>
      </c>
      <c r="U697" t="s">
        <v>10108</v>
      </c>
      <c r="V697" t="s">
        <v>10109</v>
      </c>
      <c r="W697" t="s">
        <v>10110</v>
      </c>
      <c r="X697" t="s">
        <v>10111</v>
      </c>
      <c r="Y697" t="s">
        <v>10112</v>
      </c>
      <c r="Z697" t="s">
        <v>10113</v>
      </c>
      <c r="AA697" t="s">
        <v>10114</v>
      </c>
      <c r="AB697" t="s">
        <v>10115</v>
      </c>
      <c r="AC697" t="s">
        <v>74</v>
      </c>
      <c r="AD697" t="s">
        <v>74</v>
      </c>
      <c r="AE697" t="s">
        <v>74</v>
      </c>
      <c r="AF697" t="s">
        <v>74</v>
      </c>
      <c r="AG697">
        <v>27</v>
      </c>
      <c r="AH697">
        <v>26</v>
      </c>
      <c r="AI697">
        <v>27</v>
      </c>
      <c r="AJ697">
        <v>31</v>
      </c>
      <c r="AK697">
        <v>170</v>
      </c>
      <c r="AL697" t="s">
        <v>74</v>
      </c>
      <c r="AM697" t="s">
        <v>74</v>
      </c>
      <c r="AN697" t="s">
        <v>74</v>
      </c>
      <c r="AO697" t="s">
        <v>9658</v>
      </c>
      <c r="AP697" t="s">
        <v>9659</v>
      </c>
      <c r="AQ697" t="s">
        <v>74</v>
      </c>
      <c r="AR697" t="s">
        <v>74</v>
      </c>
      <c r="AS697" t="s">
        <v>74</v>
      </c>
      <c r="AT697" t="s">
        <v>2843</v>
      </c>
      <c r="AU697">
        <v>2020</v>
      </c>
      <c r="AV697">
        <v>56</v>
      </c>
      <c r="AW697">
        <v>37</v>
      </c>
      <c r="AX697" t="s">
        <v>74</v>
      </c>
      <c r="AY697" t="s">
        <v>74</v>
      </c>
      <c r="AZ697" t="s">
        <v>74</v>
      </c>
      <c r="BA697" t="s">
        <v>74</v>
      </c>
      <c r="BB697">
        <v>4982</v>
      </c>
      <c r="BC697">
        <v>4985</v>
      </c>
      <c r="BD697" t="s">
        <v>74</v>
      </c>
      <c r="BE697" t="s">
        <v>10116</v>
      </c>
      <c r="BF697" t="str">
        <f>HYPERLINK("http://dx.doi.org/10.1039/d0cc01817a","http://dx.doi.org/10.1039/d0cc01817a")</f>
        <v>http://dx.doi.org/10.1039/d0cc01817a</v>
      </c>
      <c r="BG697" t="s">
        <v>74</v>
      </c>
      <c r="BH697" t="s">
        <v>74</v>
      </c>
      <c r="BI697" t="s">
        <v>74</v>
      </c>
      <c r="BJ697" t="s">
        <v>1047</v>
      </c>
      <c r="BK697" t="s">
        <v>117</v>
      </c>
      <c r="BL697" t="s">
        <v>1048</v>
      </c>
      <c r="BM697" t="s">
        <v>74</v>
      </c>
      <c r="BN697">
        <v>32289816</v>
      </c>
      <c r="BO697" t="s">
        <v>74</v>
      </c>
      <c r="BP697" t="s">
        <v>74</v>
      </c>
      <c r="BQ697" t="s">
        <v>74</v>
      </c>
      <c r="BR697" t="s">
        <v>96</v>
      </c>
      <c r="BS697" t="s">
        <v>10117</v>
      </c>
      <c r="BT697" t="str">
        <f>HYPERLINK("https%3A%2F%2Fwww.webofscience.com%2Fwos%2Fwoscc%2Ffull-record%2FWOS:000532500300020","View Full Record in Web of Science")</f>
        <v>View Full Record in Web of Science</v>
      </c>
    </row>
    <row r="698" spans="1:72" x14ac:dyDescent="0.15">
      <c r="A698" t="s">
        <v>98</v>
      </c>
      <c r="B698" t="s">
        <v>14717</v>
      </c>
      <c r="C698" t="s">
        <v>74</v>
      </c>
      <c r="D698" t="s">
        <v>74</v>
      </c>
      <c r="E698" t="s">
        <v>74</v>
      </c>
      <c r="F698" t="s">
        <v>14718</v>
      </c>
      <c r="G698" t="s">
        <v>74</v>
      </c>
      <c r="H698" t="s">
        <v>74</v>
      </c>
      <c r="I698" t="s">
        <v>14719</v>
      </c>
      <c r="J698" t="s">
        <v>1053</v>
      </c>
      <c r="K698" t="s">
        <v>74</v>
      </c>
      <c r="L698" t="s">
        <v>74</v>
      </c>
      <c r="M698" t="s">
        <v>74</v>
      </c>
      <c r="N698" t="s">
        <v>103</v>
      </c>
      <c r="O698" t="s">
        <v>74</v>
      </c>
      <c r="P698" t="s">
        <v>74</v>
      </c>
      <c r="Q698" t="s">
        <v>74</v>
      </c>
      <c r="R698" t="s">
        <v>74</v>
      </c>
      <c r="S698" t="s">
        <v>74</v>
      </c>
      <c r="T698" t="s">
        <v>14720</v>
      </c>
      <c r="U698" t="s">
        <v>14721</v>
      </c>
      <c r="V698" t="s">
        <v>14722</v>
      </c>
      <c r="W698" t="s">
        <v>14723</v>
      </c>
      <c r="X698" t="s">
        <v>14724</v>
      </c>
      <c r="Y698" t="s">
        <v>14725</v>
      </c>
      <c r="Z698" t="s">
        <v>14726</v>
      </c>
      <c r="AA698" t="s">
        <v>74</v>
      </c>
      <c r="AB698" t="s">
        <v>14727</v>
      </c>
      <c r="AC698" t="s">
        <v>74</v>
      </c>
      <c r="AD698" t="s">
        <v>74</v>
      </c>
      <c r="AE698" t="s">
        <v>74</v>
      </c>
      <c r="AF698" t="s">
        <v>74</v>
      </c>
      <c r="AG698">
        <v>47</v>
      </c>
      <c r="AH698">
        <v>26</v>
      </c>
      <c r="AI698">
        <v>27</v>
      </c>
      <c r="AJ698">
        <v>1</v>
      </c>
      <c r="AK698">
        <v>22</v>
      </c>
      <c r="AL698" t="s">
        <v>74</v>
      </c>
      <c r="AM698" t="s">
        <v>74</v>
      </c>
      <c r="AN698" t="s">
        <v>74</v>
      </c>
      <c r="AO698" t="s">
        <v>1063</v>
      </c>
      <c r="AP698" t="s">
        <v>1064</v>
      </c>
      <c r="AQ698" t="s">
        <v>74</v>
      </c>
      <c r="AR698" t="s">
        <v>74</v>
      </c>
      <c r="AS698" t="s">
        <v>74</v>
      </c>
      <c r="AT698" t="s">
        <v>967</v>
      </c>
      <c r="AU698">
        <v>2018</v>
      </c>
      <c r="AV698">
        <v>32</v>
      </c>
      <c r="AW698">
        <v>12</v>
      </c>
      <c r="AX698" t="s">
        <v>74</v>
      </c>
      <c r="AY698" t="s">
        <v>74</v>
      </c>
      <c r="AZ698" t="s">
        <v>74</v>
      </c>
      <c r="BA698" t="s">
        <v>74</v>
      </c>
      <c r="BB698">
        <v>6911</v>
      </c>
      <c r="BC698">
        <v>6922</v>
      </c>
      <c r="BD698" t="s">
        <v>74</v>
      </c>
      <c r="BE698" t="s">
        <v>14728</v>
      </c>
      <c r="BF698" t="str">
        <f>HYPERLINK("http://dx.doi.org/10.1096/fj.201800597R","http://dx.doi.org/10.1096/fj.201800597R")</f>
        <v>http://dx.doi.org/10.1096/fj.201800597R</v>
      </c>
      <c r="BG698" t="s">
        <v>74</v>
      </c>
      <c r="BH698" t="s">
        <v>74</v>
      </c>
      <c r="BI698" t="s">
        <v>74</v>
      </c>
      <c r="BJ698" t="s">
        <v>1067</v>
      </c>
      <c r="BK698" t="s">
        <v>117</v>
      </c>
      <c r="BL698" t="s">
        <v>1068</v>
      </c>
      <c r="BM698" t="s">
        <v>74</v>
      </c>
      <c r="BN698">
        <v>29932869</v>
      </c>
      <c r="BO698" t="s">
        <v>74</v>
      </c>
      <c r="BP698" t="s">
        <v>74</v>
      </c>
      <c r="BQ698" t="s">
        <v>74</v>
      </c>
      <c r="BR698" t="s">
        <v>96</v>
      </c>
      <c r="BS698" t="s">
        <v>14729</v>
      </c>
      <c r="BT698" t="str">
        <f>HYPERLINK("https%3A%2F%2Fwww.webofscience.com%2Fwos%2Fwoscc%2Ffull-record%2FWOS:000449359700043","View Full Record in Web of Science")</f>
        <v>View Full Record in Web of Science</v>
      </c>
    </row>
    <row r="699" spans="1:72" x14ac:dyDescent="0.15">
      <c r="A699" t="s">
        <v>98</v>
      </c>
      <c r="B699" t="s">
        <v>15104</v>
      </c>
      <c r="C699" t="s">
        <v>74</v>
      </c>
      <c r="D699" t="s">
        <v>74</v>
      </c>
      <c r="E699" t="s">
        <v>74</v>
      </c>
      <c r="F699" t="s">
        <v>15105</v>
      </c>
      <c r="G699" t="s">
        <v>74</v>
      </c>
      <c r="H699" t="s">
        <v>74</v>
      </c>
      <c r="I699" t="s">
        <v>15106</v>
      </c>
      <c r="J699" t="s">
        <v>15107</v>
      </c>
      <c r="K699" t="s">
        <v>74</v>
      </c>
      <c r="L699" t="s">
        <v>74</v>
      </c>
      <c r="M699" t="s">
        <v>74</v>
      </c>
      <c r="N699" t="s">
        <v>103</v>
      </c>
      <c r="O699" t="s">
        <v>74</v>
      </c>
      <c r="P699" t="s">
        <v>74</v>
      </c>
      <c r="Q699" t="s">
        <v>74</v>
      </c>
      <c r="R699" t="s">
        <v>74</v>
      </c>
      <c r="S699" t="s">
        <v>74</v>
      </c>
      <c r="T699" t="s">
        <v>15108</v>
      </c>
      <c r="U699" t="s">
        <v>15109</v>
      </c>
      <c r="V699" t="s">
        <v>15110</v>
      </c>
      <c r="W699" t="s">
        <v>15111</v>
      </c>
      <c r="X699" t="s">
        <v>10354</v>
      </c>
      <c r="Y699" t="s">
        <v>15112</v>
      </c>
      <c r="Z699" t="s">
        <v>15113</v>
      </c>
      <c r="AA699" t="s">
        <v>74</v>
      </c>
      <c r="AB699" t="s">
        <v>74</v>
      </c>
      <c r="AC699" t="s">
        <v>74</v>
      </c>
      <c r="AD699" t="s">
        <v>74</v>
      </c>
      <c r="AE699" t="s">
        <v>74</v>
      </c>
      <c r="AF699" t="s">
        <v>74</v>
      </c>
      <c r="AG699">
        <v>47</v>
      </c>
      <c r="AH699">
        <v>26</v>
      </c>
      <c r="AI699">
        <v>29</v>
      </c>
      <c r="AJ699">
        <v>0</v>
      </c>
      <c r="AK699">
        <v>16</v>
      </c>
      <c r="AL699" t="s">
        <v>74</v>
      </c>
      <c r="AM699" t="s">
        <v>74</v>
      </c>
      <c r="AN699" t="s">
        <v>74</v>
      </c>
      <c r="AO699" t="s">
        <v>15114</v>
      </c>
      <c r="AP699" t="s">
        <v>15115</v>
      </c>
      <c r="AQ699" t="s">
        <v>74</v>
      </c>
      <c r="AR699" t="s">
        <v>74</v>
      </c>
      <c r="AS699" t="s">
        <v>74</v>
      </c>
      <c r="AT699" t="s">
        <v>531</v>
      </c>
      <c r="AU699">
        <v>2016</v>
      </c>
      <c r="AV699">
        <v>36</v>
      </c>
      <c r="AW699">
        <v>3</v>
      </c>
      <c r="AX699" t="s">
        <v>74</v>
      </c>
      <c r="AY699" t="s">
        <v>74</v>
      </c>
      <c r="AZ699" t="s">
        <v>74</v>
      </c>
      <c r="BA699" t="s">
        <v>74</v>
      </c>
      <c r="BB699">
        <v>557</v>
      </c>
      <c r="BC699" t="s">
        <v>3390</v>
      </c>
      <c r="BD699" t="s">
        <v>74</v>
      </c>
      <c r="BE699" t="s">
        <v>15116</v>
      </c>
      <c r="BF699" t="str">
        <f>HYPERLINK("http://dx.doi.org/10.1016/j.cii.2016.05.003","http://dx.doi.org/10.1016/j.cii.2016.05.003")</f>
        <v>http://dx.doi.org/10.1016/j.cii.2016.05.003</v>
      </c>
      <c r="BG699" t="s">
        <v>74</v>
      </c>
      <c r="BH699" t="s">
        <v>74</v>
      </c>
      <c r="BI699" t="s">
        <v>74</v>
      </c>
      <c r="BJ699" t="s">
        <v>2773</v>
      </c>
      <c r="BK699" t="s">
        <v>117</v>
      </c>
      <c r="BL699" t="s">
        <v>2773</v>
      </c>
      <c r="BM699" t="s">
        <v>74</v>
      </c>
      <c r="BN699">
        <v>27514468</v>
      </c>
      <c r="BO699" t="s">
        <v>74</v>
      </c>
      <c r="BP699" t="s">
        <v>74</v>
      </c>
      <c r="BQ699" t="s">
        <v>74</v>
      </c>
      <c r="BR699" t="s">
        <v>96</v>
      </c>
      <c r="BS699" t="s">
        <v>15117</v>
      </c>
      <c r="BT699" t="str">
        <f>HYPERLINK("https%3A%2F%2Fwww.webofscience.com%2Fwos%2Fwoscc%2Ffull-record%2FWOS:000382802500009","View Full Record in Web of Science")</f>
        <v>View Full Record in Web of Science</v>
      </c>
    </row>
    <row r="700" spans="1:72" x14ac:dyDescent="0.15">
      <c r="A700" t="s">
        <v>98</v>
      </c>
      <c r="B700" t="s">
        <v>6270</v>
      </c>
      <c r="C700" t="s">
        <v>74</v>
      </c>
      <c r="D700" t="s">
        <v>74</v>
      </c>
      <c r="E700" t="s">
        <v>74</v>
      </c>
      <c r="F700" t="s">
        <v>15276</v>
      </c>
      <c r="G700" t="s">
        <v>74</v>
      </c>
      <c r="H700" t="s">
        <v>74</v>
      </c>
      <c r="I700" t="s">
        <v>15277</v>
      </c>
      <c r="J700" t="s">
        <v>140</v>
      </c>
      <c r="K700" t="s">
        <v>74</v>
      </c>
      <c r="L700" t="s">
        <v>74</v>
      </c>
      <c r="M700" t="s">
        <v>74</v>
      </c>
      <c r="N700" t="s">
        <v>103</v>
      </c>
      <c r="O700" t="s">
        <v>74</v>
      </c>
      <c r="P700" t="s">
        <v>74</v>
      </c>
      <c r="Q700" t="s">
        <v>74</v>
      </c>
      <c r="R700" t="s">
        <v>74</v>
      </c>
      <c r="S700" t="s">
        <v>74</v>
      </c>
      <c r="T700" t="s">
        <v>74</v>
      </c>
      <c r="U700" t="s">
        <v>15278</v>
      </c>
      <c r="V700" t="s">
        <v>15279</v>
      </c>
      <c r="W700" t="s">
        <v>15280</v>
      </c>
      <c r="X700" t="s">
        <v>6278</v>
      </c>
      <c r="Y700" t="s">
        <v>15281</v>
      </c>
      <c r="Z700" t="s">
        <v>6280</v>
      </c>
      <c r="AA700" t="s">
        <v>74</v>
      </c>
      <c r="AB700" t="s">
        <v>74</v>
      </c>
      <c r="AC700" t="s">
        <v>74</v>
      </c>
      <c r="AD700" t="s">
        <v>74</v>
      </c>
      <c r="AE700" t="s">
        <v>74</v>
      </c>
      <c r="AF700" t="s">
        <v>74</v>
      </c>
      <c r="AG700">
        <v>97</v>
      </c>
      <c r="AH700">
        <v>26</v>
      </c>
      <c r="AI700">
        <v>27</v>
      </c>
      <c r="AJ700">
        <v>0</v>
      </c>
      <c r="AK700">
        <v>32</v>
      </c>
      <c r="AL700" t="s">
        <v>74</v>
      </c>
      <c r="AM700" t="s">
        <v>74</v>
      </c>
      <c r="AN700" t="s">
        <v>74</v>
      </c>
      <c r="AO700" t="s">
        <v>149</v>
      </c>
      <c r="AP700" t="s">
        <v>74</v>
      </c>
      <c r="AQ700" t="s">
        <v>74</v>
      </c>
      <c r="AR700" t="s">
        <v>74</v>
      </c>
      <c r="AS700" t="s">
        <v>74</v>
      </c>
      <c r="AT700" t="s">
        <v>6935</v>
      </c>
      <c r="AU700">
        <v>2017</v>
      </c>
      <c r="AV700">
        <v>7</v>
      </c>
      <c r="AW700" t="s">
        <v>74</v>
      </c>
      <c r="AX700" t="s">
        <v>74</v>
      </c>
      <c r="AY700" t="s">
        <v>74</v>
      </c>
      <c r="AZ700" t="s">
        <v>74</v>
      </c>
      <c r="BA700" t="s">
        <v>74</v>
      </c>
      <c r="BB700" t="s">
        <v>74</v>
      </c>
      <c r="BC700" t="s">
        <v>74</v>
      </c>
      <c r="BD700">
        <v>8813</v>
      </c>
      <c r="BE700" t="s">
        <v>15282</v>
      </c>
      <c r="BF700" t="str">
        <f>HYPERLINK("http://dx.doi.org/10.1038/s41598-017-07447-7","http://dx.doi.org/10.1038/s41598-017-07447-7")</f>
        <v>http://dx.doi.org/10.1038/s41598-017-07447-7</v>
      </c>
      <c r="BG700" t="s">
        <v>74</v>
      </c>
      <c r="BH700" t="s">
        <v>74</v>
      </c>
      <c r="BI700" t="s">
        <v>74</v>
      </c>
      <c r="BJ700" t="s">
        <v>152</v>
      </c>
      <c r="BK700" t="s">
        <v>117</v>
      </c>
      <c r="BL700" t="s">
        <v>153</v>
      </c>
      <c r="BM700" t="s">
        <v>74</v>
      </c>
      <c r="BN700">
        <v>28821711</v>
      </c>
      <c r="BO700" t="s">
        <v>74</v>
      </c>
      <c r="BP700" t="s">
        <v>74</v>
      </c>
      <c r="BQ700" t="s">
        <v>74</v>
      </c>
      <c r="BR700" t="s">
        <v>96</v>
      </c>
      <c r="BS700" t="s">
        <v>15283</v>
      </c>
      <c r="BT700" t="str">
        <f>HYPERLINK("https%3A%2F%2Fwww.webofscience.com%2Fwos%2Fwoscc%2Ffull-record%2FWOS:000407980000067","View Full Record in Web of Science")</f>
        <v>View Full Record in Web of Science</v>
      </c>
    </row>
    <row r="701" spans="1:72" x14ac:dyDescent="0.15">
      <c r="A701" t="s">
        <v>98</v>
      </c>
      <c r="B701" t="s">
        <v>15753</v>
      </c>
      <c r="C701" t="s">
        <v>74</v>
      </c>
      <c r="D701" t="s">
        <v>74</v>
      </c>
      <c r="E701" t="s">
        <v>74</v>
      </c>
      <c r="F701" t="s">
        <v>15754</v>
      </c>
      <c r="G701" t="s">
        <v>74</v>
      </c>
      <c r="H701" t="s">
        <v>74</v>
      </c>
      <c r="I701" t="s">
        <v>15755</v>
      </c>
      <c r="J701" t="s">
        <v>5523</v>
      </c>
      <c r="K701" t="s">
        <v>74</v>
      </c>
      <c r="L701" t="s">
        <v>74</v>
      </c>
      <c r="M701" t="s">
        <v>74</v>
      </c>
      <c r="N701" t="s">
        <v>103</v>
      </c>
      <c r="O701" t="s">
        <v>74</v>
      </c>
      <c r="P701" t="s">
        <v>74</v>
      </c>
      <c r="Q701" t="s">
        <v>74</v>
      </c>
      <c r="R701" t="s">
        <v>74</v>
      </c>
      <c r="S701" t="s">
        <v>74</v>
      </c>
      <c r="T701" t="s">
        <v>15756</v>
      </c>
      <c r="U701" t="s">
        <v>15757</v>
      </c>
      <c r="V701" t="s">
        <v>15758</v>
      </c>
      <c r="W701" t="s">
        <v>15759</v>
      </c>
      <c r="X701" t="s">
        <v>15760</v>
      </c>
      <c r="Y701" t="s">
        <v>15761</v>
      </c>
      <c r="Z701" t="s">
        <v>15762</v>
      </c>
      <c r="AA701" t="s">
        <v>74</v>
      </c>
      <c r="AB701" t="s">
        <v>15763</v>
      </c>
      <c r="AC701" t="s">
        <v>74</v>
      </c>
      <c r="AD701" t="s">
        <v>74</v>
      </c>
      <c r="AE701" t="s">
        <v>74</v>
      </c>
      <c r="AF701" t="s">
        <v>74</v>
      </c>
      <c r="AG701">
        <v>45</v>
      </c>
      <c r="AH701">
        <v>26</v>
      </c>
      <c r="AI701">
        <v>26</v>
      </c>
      <c r="AJ701">
        <v>34</v>
      </c>
      <c r="AK701">
        <v>141</v>
      </c>
      <c r="AL701" t="s">
        <v>74</v>
      </c>
      <c r="AM701" t="s">
        <v>74</v>
      </c>
      <c r="AN701" t="s">
        <v>74</v>
      </c>
      <c r="AO701" t="s">
        <v>5531</v>
      </c>
      <c r="AP701" t="s">
        <v>5532</v>
      </c>
      <c r="AQ701" t="s">
        <v>74</v>
      </c>
      <c r="AR701" t="s">
        <v>74</v>
      </c>
      <c r="AS701" t="s">
        <v>74</v>
      </c>
      <c r="AT701" t="s">
        <v>5091</v>
      </c>
      <c r="AU701">
        <v>2020</v>
      </c>
      <c r="AV701">
        <v>12</v>
      </c>
      <c r="AW701">
        <v>40</v>
      </c>
      <c r="AX701" t="s">
        <v>74</v>
      </c>
      <c r="AY701" t="s">
        <v>74</v>
      </c>
      <c r="AZ701" t="s">
        <v>74</v>
      </c>
      <c r="BA701" t="s">
        <v>74</v>
      </c>
      <c r="BB701">
        <v>45648</v>
      </c>
      <c r="BC701">
        <v>45656</v>
      </c>
      <c r="BD701" t="s">
        <v>74</v>
      </c>
      <c r="BE701" t="s">
        <v>15764</v>
      </c>
      <c r="BF701" t="str">
        <f>HYPERLINK("http://dx.doi.org/10.1021/acsami.0c14621","http://dx.doi.org/10.1021/acsami.0c14621")</f>
        <v>http://dx.doi.org/10.1021/acsami.0c14621</v>
      </c>
      <c r="BG701" t="s">
        <v>74</v>
      </c>
      <c r="BH701" t="s">
        <v>74</v>
      </c>
      <c r="BI701" t="s">
        <v>74</v>
      </c>
      <c r="BJ701" t="s">
        <v>5534</v>
      </c>
      <c r="BK701" t="s">
        <v>117</v>
      </c>
      <c r="BL701" t="s">
        <v>5535</v>
      </c>
      <c r="BM701" t="s">
        <v>74</v>
      </c>
      <c r="BN701">
        <v>32915531</v>
      </c>
      <c r="BO701" t="s">
        <v>74</v>
      </c>
      <c r="BP701" t="s">
        <v>74</v>
      </c>
      <c r="BQ701" t="s">
        <v>74</v>
      </c>
      <c r="BR701" t="s">
        <v>96</v>
      </c>
      <c r="BS701" t="s">
        <v>15765</v>
      </c>
      <c r="BT701" t="str">
        <f>HYPERLINK("https%3A%2F%2Fwww.webofscience.com%2Fwos%2Fwoscc%2Ffull-record%2FWOS:000579956100128","View Full Record in Web of Science")</f>
        <v>View Full Record in Web of Science</v>
      </c>
    </row>
    <row r="702" spans="1:72" x14ac:dyDescent="0.15">
      <c r="A702" t="s">
        <v>98</v>
      </c>
      <c r="B702" t="s">
        <v>18928</v>
      </c>
      <c r="C702" t="s">
        <v>74</v>
      </c>
      <c r="D702" t="s">
        <v>74</v>
      </c>
      <c r="E702" t="s">
        <v>74</v>
      </c>
      <c r="F702" t="s">
        <v>18929</v>
      </c>
      <c r="G702" t="s">
        <v>74</v>
      </c>
      <c r="H702" t="s">
        <v>74</v>
      </c>
      <c r="I702" t="s">
        <v>18930</v>
      </c>
      <c r="J702" t="s">
        <v>123</v>
      </c>
      <c r="K702" t="s">
        <v>74</v>
      </c>
      <c r="L702" t="s">
        <v>74</v>
      </c>
      <c r="M702" t="s">
        <v>74</v>
      </c>
      <c r="N702" t="s">
        <v>103</v>
      </c>
      <c r="O702" t="s">
        <v>74</v>
      </c>
      <c r="P702" t="s">
        <v>74</v>
      </c>
      <c r="Q702" t="s">
        <v>74</v>
      </c>
      <c r="R702" t="s">
        <v>74</v>
      </c>
      <c r="S702" t="s">
        <v>74</v>
      </c>
      <c r="T702" t="s">
        <v>18931</v>
      </c>
      <c r="U702" t="s">
        <v>18932</v>
      </c>
      <c r="V702" t="s">
        <v>18933</v>
      </c>
      <c r="W702" t="s">
        <v>18934</v>
      </c>
      <c r="X702" t="s">
        <v>18935</v>
      </c>
      <c r="Y702" t="s">
        <v>18936</v>
      </c>
      <c r="Z702" t="s">
        <v>18937</v>
      </c>
      <c r="AA702" t="s">
        <v>18938</v>
      </c>
      <c r="AB702" t="s">
        <v>18939</v>
      </c>
      <c r="AC702" t="s">
        <v>74</v>
      </c>
      <c r="AD702" t="s">
        <v>74</v>
      </c>
      <c r="AE702" t="s">
        <v>74</v>
      </c>
      <c r="AF702" t="s">
        <v>74</v>
      </c>
      <c r="AG702">
        <v>52</v>
      </c>
      <c r="AH702">
        <v>26</v>
      </c>
      <c r="AI702">
        <v>29</v>
      </c>
      <c r="AJ702">
        <v>0</v>
      </c>
      <c r="AK702">
        <v>3</v>
      </c>
      <c r="AL702" t="s">
        <v>74</v>
      </c>
      <c r="AM702" t="s">
        <v>74</v>
      </c>
      <c r="AN702" t="s">
        <v>74</v>
      </c>
      <c r="AO702" t="s">
        <v>74</v>
      </c>
      <c r="AP702" t="s">
        <v>131</v>
      </c>
      <c r="AQ702" t="s">
        <v>74</v>
      </c>
      <c r="AR702" t="s">
        <v>74</v>
      </c>
      <c r="AS702" t="s">
        <v>74</v>
      </c>
      <c r="AT702" t="s">
        <v>15750</v>
      </c>
      <c r="AU702">
        <v>2018</v>
      </c>
      <c r="AV702">
        <v>7</v>
      </c>
      <c r="AW702">
        <v>1</v>
      </c>
      <c r="AX702" t="s">
        <v>74</v>
      </c>
      <c r="AY702" t="s">
        <v>74</v>
      </c>
      <c r="AZ702" t="s">
        <v>74</v>
      </c>
      <c r="BA702" t="s">
        <v>74</v>
      </c>
      <c r="BB702" t="s">
        <v>74</v>
      </c>
      <c r="BC702" t="s">
        <v>74</v>
      </c>
      <c r="BD702">
        <v>1506198</v>
      </c>
      <c r="BE702" t="s">
        <v>18940</v>
      </c>
      <c r="BF702" t="str">
        <f>HYPERLINK("http://dx.doi.org/10.1080/20013078.2018.1506198","http://dx.doi.org/10.1080/20013078.2018.1506198")</f>
        <v>http://dx.doi.org/10.1080/20013078.2018.1506198</v>
      </c>
      <c r="BG702" t="s">
        <v>74</v>
      </c>
      <c r="BH702" t="s">
        <v>74</v>
      </c>
      <c r="BI702" t="s">
        <v>74</v>
      </c>
      <c r="BJ702" t="s">
        <v>135</v>
      </c>
      <c r="BK702" t="s">
        <v>117</v>
      </c>
      <c r="BL702" t="s">
        <v>135</v>
      </c>
      <c r="BM702" t="s">
        <v>74</v>
      </c>
      <c r="BN702">
        <v>30128086</v>
      </c>
      <c r="BO702" t="s">
        <v>74</v>
      </c>
      <c r="BP702" t="s">
        <v>74</v>
      </c>
      <c r="BQ702" t="s">
        <v>74</v>
      </c>
      <c r="BR702" t="s">
        <v>96</v>
      </c>
      <c r="BS702" t="s">
        <v>18941</v>
      </c>
      <c r="BT702" t="str">
        <f>HYPERLINK("https%3A%2F%2Fwww.webofscience.com%2Fwos%2Fwoscc%2Ffull-record%2FWOS:000441656000001","View Full Record in Web of Science")</f>
        <v>View Full Record in Web of Science</v>
      </c>
    </row>
    <row r="703" spans="1:72" x14ac:dyDescent="0.15">
      <c r="A703" t="s">
        <v>98</v>
      </c>
      <c r="B703" t="s">
        <v>19955</v>
      </c>
      <c r="C703" t="s">
        <v>74</v>
      </c>
      <c r="D703" t="s">
        <v>74</v>
      </c>
      <c r="E703" t="s">
        <v>74</v>
      </c>
      <c r="F703" t="s">
        <v>19956</v>
      </c>
      <c r="G703" t="s">
        <v>74</v>
      </c>
      <c r="H703" t="s">
        <v>74</v>
      </c>
      <c r="I703" t="s">
        <v>19957</v>
      </c>
      <c r="J703" t="s">
        <v>19062</v>
      </c>
      <c r="K703" t="s">
        <v>74</v>
      </c>
      <c r="L703" t="s">
        <v>74</v>
      </c>
      <c r="M703" t="s">
        <v>74</v>
      </c>
      <c r="N703" t="s">
        <v>103</v>
      </c>
      <c r="O703" t="s">
        <v>74</v>
      </c>
      <c r="P703" t="s">
        <v>74</v>
      </c>
      <c r="Q703" t="s">
        <v>74</v>
      </c>
      <c r="R703" t="s">
        <v>74</v>
      </c>
      <c r="S703" t="s">
        <v>74</v>
      </c>
      <c r="T703" t="s">
        <v>19958</v>
      </c>
      <c r="U703" t="s">
        <v>19959</v>
      </c>
      <c r="V703" t="s">
        <v>19960</v>
      </c>
      <c r="W703" t="s">
        <v>19961</v>
      </c>
      <c r="X703" t="s">
        <v>19962</v>
      </c>
      <c r="Y703" t="s">
        <v>19963</v>
      </c>
      <c r="Z703" t="s">
        <v>19964</v>
      </c>
      <c r="AA703" t="s">
        <v>19965</v>
      </c>
      <c r="AB703" t="s">
        <v>19966</v>
      </c>
      <c r="AC703" t="s">
        <v>74</v>
      </c>
      <c r="AD703" t="s">
        <v>74</v>
      </c>
      <c r="AE703" t="s">
        <v>74</v>
      </c>
      <c r="AF703" t="s">
        <v>74</v>
      </c>
      <c r="AG703">
        <v>142</v>
      </c>
      <c r="AH703">
        <v>26</v>
      </c>
      <c r="AI703">
        <v>29</v>
      </c>
      <c r="AJ703">
        <v>0</v>
      </c>
      <c r="AK703">
        <v>33</v>
      </c>
      <c r="AL703" t="s">
        <v>74</v>
      </c>
      <c r="AM703" t="s">
        <v>74</v>
      </c>
      <c r="AN703" t="s">
        <v>74</v>
      </c>
      <c r="AO703" t="s">
        <v>19071</v>
      </c>
      <c r="AP703" t="s">
        <v>74</v>
      </c>
      <c r="AQ703" t="s">
        <v>74</v>
      </c>
      <c r="AR703" t="s">
        <v>74</v>
      </c>
      <c r="AS703" t="s">
        <v>74</v>
      </c>
      <c r="AT703" t="s">
        <v>189</v>
      </c>
      <c r="AU703">
        <v>2013</v>
      </c>
      <c r="AV703">
        <v>134</v>
      </c>
      <c r="AW703">
        <v>10</v>
      </c>
      <c r="AX703" t="s">
        <v>74</v>
      </c>
      <c r="AY703" t="s">
        <v>74</v>
      </c>
      <c r="AZ703" t="s">
        <v>447</v>
      </c>
      <c r="BA703" t="s">
        <v>74</v>
      </c>
      <c r="BB703">
        <v>449</v>
      </c>
      <c r="BC703">
        <v>459</v>
      </c>
      <c r="BD703" t="s">
        <v>74</v>
      </c>
      <c r="BE703" t="s">
        <v>19967</v>
      </c>
      <c r="BF703" t="str">
        <f>HYPERLINK("http://dx.doi.org/10.1016/j.mad.2013.10.001","http://dx.doi.org/10.1016/j.mad.2013.10.001")</f>
        <v>http://dx.doi.org/10.1016/j.mad.2013.10.001</v>
      </c>
      <c r="BG703" t="s">
        <v>74</v>
      </c>
      <c r="BH703" t="s">
        <v>74</v>
      </c>
      <c r="BI703" t="s">
        <v>74</v>
      </c>
      <c r="BJ703" t="s">
        <v>305</v>
      </c>
      <c r="BK703" t="s">
        <v>117</v>
      </c>
      <c r="BL703" t="s">
        <v>305</v>
      </c>
      <c r="BM703" t="s">
        <v>74</v>
      </c>
      <c r="BN703">
        <v>24141107</v>
      </c>
      <c r="BO703" t="s">
        <v>74</v>
      </c>
      <c r="BP703" t="s">
        <v>74</v>
      </c>
      <c r="BQ703" t="s">
        <v>74</v>
      </c>
      <c r="BR703" t="s">
        <v>96</v>
      </c>
      <c r="BS703" t="s">
        <v>19968</v>
      </c>
      <c r="BT703" t="str">
        <f>HYPERLINK("https%3A%2F%2Fwww.webofscience.com%2Fwos%2Fwoscc%2Ffull-record%2FWOS:000329148400004","View Full Record in Web of Science")</f>
        <v>View Full Record in Web of Science</v>
      </c>
    </row>
    <row r="704" spans="1:72" x14ac:dyDescent="0.15">
      <c r="A704" t="s">
        <v>98</v>
      </c>
      <c r="B704" t="s">
        <v>20328</v>
      </c>
      <c r="C704" t="s">
        <v>74</v>
      </c>
      <c r="D704" t="s">
        <v>74</v>
      </c>
      <c r="E704" t="s">
        <v>74</v>
      </c>
      <c r="F704" t="s">
        <v>20329</v>
      </c>
      <c r="G704" t="s">
        <v>74</v>
      </c>
      <c r="H704" t="s">
        <v>74</v>
      </c>
      <c r="I704" t="s">
        <v>20330</v>
      </c>
      <c r="J704" t="s">
        <v>15659</v>
      </c>
      <c r="K704" t="s">
        <v>74</v>
      </c>
      <c r="L704" t="s">
        <v>74</v>
      </c>
      <c r="M704" t="s">
        <v>74</v>
      </c>
      <c r="N704" t="s">
        <v>103</v>
      </c>
      <c r="O704" t="s">
        <v>74</v>
      </c>
      <c r="P704" t="s">
        <v>74</v>
      </c>
      <c r="Q704" t="s">
        <v>74</v>
      </c>
      <c r="R704" t="s">
        <v>74</v>
      </c>
      <c r="S704" t="s">
        <v>74</v>
      </c>
      <c r="T704" t="s">
        <v>74</v>
      </c>
      <c r="U704" t="s">
        <v>20331</v>
      </c>
      <c r="V704" t="s">
        <v>20332</v>
      </c>
      <c r="W704" t="s">
        <v>20333</v>
      </c>
      <c r="X704" t="s">
        <v>20334</v>
      </c>
      <c r="Y704" t="s">
        <v>20335</v>
      </c>
      <c r="Z704" t="s">
        <v>20336</v>
      </c>
      <c r="AA704" t="s">
        <v>74</v>
      </c>
      <c r="AB704" t="s">
        <v>20337</v>
      </c>
      <c r="AC704" t="s">
        <v>74</v>
      </c>
      <c r="AD704" t="s">
        <v>74</v>
      </c>
      <c r="AE704" t="s">
        <v>74</v>
      </c>
      <c r="AF704" t="s">
        <v>74</v>
      </c>
      <c r="AG704">
        <v>49</v>
      </c>
      <c r="AH704">
        <v>26</v>
      </c>
      <c r="AI704">
        <v>28</v>
      </c>
      <c r="AJ704">
        <v>4</v>
      </c>
      <c r="AK704">
        <v>12</v>
      </c>
      <c r="AL704" t="s">
        <v>74</v>
      </c>
      <c r="AM704" t="s">
        <v>74</v>
      </c>
      <c r="AN704" t="s">
        <v>74</v>
      </c>
      <c r="AO704" t="s">
        <v>15668</v>
      </c>
      <c r="AP704" t="s">
        <v>15669</v>
      </c>
      <c r="AQ704" t="s">
        <v>74</v>
      </c>
      <c r="AR704" t="s">
        <v>74</v>
      </c>
      <c r="AS704" t="s">
        <v>74</v>
      </c>
      <c r="AT704" t="s">
        <v>5183</v>
      </c>
      <c r="AU704">
        <v>2019</v>
      </c>
      <c r="AV704">
        <v>2019</v>
      </c>
      <c r="AW704" t="s">
        <v>74</v>
      </c>
      <c r="AX704" t="s">
        <v>74</v>
      </c>
      <c r="AY704" t="s">
        <v>74</v>
      </c>
      <c r="AZ704" t="s">
        <v>74</v>
      </c>
      <c r="BA704" t="s">
        <v>74</v>
      </c>
      <c r="BB704" t="s">
        <v>74</v>
      </c>
      <c r="BC704" t="s">
        <v>74</v>
      </c>
      <c r="BD704">
        <v>4506303</v>
      </c>
      <c r="BE704" t="s">
        <v>20338</v>
      </c>
      <c r="BF704" t="str">
        <f>HYPERLINK("http://dx.doi.org/10.1155/2019/4506303","http://dx.doi.org/10.1155/2019/4506303")</f>
        <v>http://dx.doi.org/10.1155/2019/4506303</v>
      </c>
      <c r="BG704" t="s">
        <v>74</v>
      </c>
      <c r="BH704" t="s">
        <v>74</v>
      </c>
      <c r="BI704" t="s">
        <v>74</v>
      </c>
      <c r="BJ704" t="s">
        <v>135</v>
      </c>
      <c r="BK704" t="s">
        <v>117</v>
      </c>
      <c r="BL704" t="s">
        <v>135</v>
      </c>
      <c r="BM704" t="s">
        <v>74</v>
      </c>
      <c r="BN704">
        <v>31949877</v>
      </c>
      <c r="BO704" t="s">
        <v>74</v>
      </c>
      <c r="BP704" t="s">
        <v>74</v>
      </c>
      <c r="BQ704" t="s">
        <v>74</v>
      </c>
      <c r="BR704" t="s">
        <v>96</v>
      </c>
      <c r="BS704" t="s">
        <v>20339</v>
      </c>
      <c r="BT704" t="str">
        <f>HYPERLINK("https%3A%2F%2Fwww.webofscience.com%2Fwos%2Fwoscc%2Ffull-record%2FWOS:000522098100003","View Full Record in Web of Science")</f>
        <v>View Full Record in Web of Science</v>
      </c>
    </row>
    <row r="705" spans="1:72" x14ac:dyDescent="0.15">
      <c r="A705" t="s">
        <v>98</v>
      </c>
      <c r="B705" t="s">
        <v>22799</v>
      </c>
      <c r="C705" t="s">
        <v>74</v>
      </c>
      <c r="D705" t="s">
        <v>74</v>
      </c>
      <c r="E705" t="s">
        <v>74</v>
      </c>
      <c r="F705" t="s">
        <v>22799</v>
      </c>
      <c r="G705" t="s">
        <v>74</v>
      </c>
      <c r="H705" t="s">
        <v>74</v>
      </c>
      <c r="I705" t="s">
        <v>22800</v>
      </c>
      <c r="J705" t="s">
        <v>17027</v>
      </c>
      <c r="K705" t="s">
        <v>74</v>
      </c>
      <c r="L705" t="s">
        <v>74</v>
      </c>
      <c r="M705" t="s">
        <v>74</v>
      </c>
      <c r="N705" t="s">
        <v>103</v>
      </c>
      <c r="O705" t="s">
        <v>74</v>
      </c>
      <c r="P705" t="s">
        <v>74</v>
      </c>
      <c r="Q705" t="s">
        <v>74</v>
      </c>
      <c r="R705" t="s">
        <v>74</v>
      </c>
      <c r="S705" t="s">
        <v>74</v>
      </c>
      <c r="T705" t="s">
        <v>74</v>
      </c>
      <c r="U705" t="s">
        <v>22801</v>
      </c>
      <c r="V705" t="s">
        <v>22802</v>
      </c>
      <c r="W705" t="s">
        <v>22803</v>
      </c>
      <c r="X705" t="s">
        <v>22804</v>
      </c>
      <c r="Y705" t="s">
        <v>74</v>
      </c>
      <c r="Z705" t="s">
        <v>74</v>
      </c>
      <c r="AA705" t="s">
        <v>74</v>
      </c>
      <c r="AB705" t="s">
        <v>74</v>
      </c>
      <c r="AC705" t="s">
        <v>74</v>
      </c>
      <c r="AD705" t="s">
        <v>74</v>
      </c>
      <c r="AE705" t="s">
        <v>74</v>
      </c>
      <c r="AF705" t="s">
        <v>74</v>
      </c>
      <c r="AG705">
        <v>60</v>
      </c>
      <c r="AH705">
        <v>26</v>
      </c>
      <c r="AI705">
        <v>26</v>
      </c>
      <c r="AJ705">
        <v>0</v>
      </c>
      <c r="AK705">
        <v>3</v>
      </c>
      <c r="AL705" t="s">
        <v>74</v>
      </c>
      <c r="AM705" t="s">
        <v>74</v>
      </c>
      <c r="AN705" t="s">
        <v>74</v>
      </c>
      <c r="AO705" t="s">
        <v>17035</v>
      </c>
      <c r="AP705" t="s">
        <v>74</v>
      </c>
      <c r="AQ705" t="s">
        <v>74</v>
      </c>
      <c r="AR705" t="s">
        <v>74</v>
      </c>
      <c r="AS705" t="s">
        <v>74</v>
      </c>
      <c r="AT705" t="s">
        <v>1321</v>
      </c>
      <c r="AU705">
        <v>1994</v>
      </c>
      <c r="AV705">
        <v>84</v>
      </c>
      <c r="AW705">
        <v>7</v>
      </c>
      <c r="AX705" t="s">
        <v>74</v>
      </c>
      <c r="AY705" t="s">
        <v>74</v>
      </c>
      <c r="AZ705" t="s">
        <v>74</v>
      </c>
      <c r="BA705" t="s">
        <v>74</v>
      </c>
      <c r="BB705">
        <v>2182</v>
      </c>
      <c r="BC705">
        <v>2188</v>
      </c>
      <c r="BD705" t="s">
        <v>74</v>
      </c>
      <c r="BE705" t="s">
        <v>74</v>
      </c>
      <c r="BF705" t="s">
        <v>74</v>
      </c>
      <c r="BG705" t="s">
        <v>74</v>
      </c>
      <c r="BH705" t="s">
        <v>74</v>
      </c>
      <c r="BI705" t="s">
        <v>74</v>
      </c>
      <c r="BJ705" t="s">
        <v>2438</v>
      </c>
      <c r="BK705" t="s">
        <v>117</v>
      </c>
      <c r="BL705" t="s">
        <v>2438</v>
      </c>
      <c r="BM705" t="s">
        <v>74</v>
      </c>
      <c r="BN705">
        <v>7919334</v>
      </c>
      <c r="BO705" t="s">
        <v>74</v>
      </c>
      <c r="BP705" t="s">
        <v>74</v>
      </c>
      <c r="BQ705" t="s">
        <v>74</v>
      </c>
      <c r="BR705" t="s">
        <v>96</v>
      </c>
      <c r="BS705" t="s">
        <v>22805</v>
      </c>
      <c r="BT705" t="str">
        <f>HYPERLINK("https%3A%2F%2Fwww.webofscience.com%2Fwos%2Fwoscc%2Ffull-record%2FWOS:A1994PK12500015","View Full Record in Web of Science")</f>
        <v>View Full Record in Web of Science</v>
      </c>
    </row>
    <row r="706" spans="1:72" x14ac:dyDescent="0.15">
      <c r="A706" t="s">
        <v>98</v>
      </c>
      <c r="B706" t="s">
        <v>24048</v>
      </c>
      <c r="C706" t="s">
        <v>74</v>
      </c>
      <c r="D706" t="s">
        <v>74</v>
      </c>
      <c r="E706" t="s">
        <v>74</v>
      </c>
      <c r="F706" t="s">
        <v>24049</v>
      </c>
      <c r="G706" t="s">
        <v>74</v>
      </c>
      <c r="H706" t="s">
        <v>74</v>
      </c>
      <c r="I706" t="s">
        <v>24050</v>
      </c>
      <c r="J706" t="s">
        <v>24051</v>
      </c>
      <c r="K706" t="s">
        <v>74</v>
      </c>
      <c r="L706" t="s">
        <v>74</v>
      </c>
      <c r="M706" t="s">
        <v>74</v>
      </c>
      <c r="N706" t="s">
        <v>103</v>
      </c>
      <c r="O706" t="s">
        <v>74</v>
      </c>
      <c r="P706" t="s">
        <v>74</v>
      </c>
      <c r="Q706" t="s">
        <v>74</v>
      </c>
      <c r="R706" t="s">
        <v>74</v>
      </c>
      <c r="S706" t="s">
        <v>74</v>
      </c>
      <c r="T706" t="s">
        <v>74</v>
      </c>
      <c r="U706" t="s">
        <v>24052</v>
      </c>
      <c r="V706" t="s">
        <v>24053</v>
      </c>
      <c r="W706" t="s">
        <v>24054</v>
      </c>
      <c r="X706" t="s">
        <v>24055</v>
      </c>
      <c r="Y706" t="s">
        <v>24056</v>
      </c>
      <c r="Z706" t="s">
        <v>24057</v>
      </c>
      <c r="AA706" t="s">
        <v>24058</v>
      </c>
      <c r="AB706" t="s">
        <v>24059</v>
      </c>
      <c r="AC706" t="s">
        <v>74</v>
      </c>
      <c r="AD706" t="s">
        <v>74</v>
      </c>
      <c r="AE706" t="s">
        <v>74</v>
      </c>
      <c r="AF706" t="s">
        <v>74</v>
      </c>
      <c r="AG706">
        <v>48</v>
      </c>
      <c r="AH706">
        <v>26</v>
      </c>
      <c r="AI706">
        <v>27</v>
      </c>
      <c r="AJ706">
        <v>0</v>
      </c>
      <c r="AK706">
        <v>8</v>
      </c>
      <c r="AL706" t="s">
        <v>74</v>
      </c>
      <c r="AM706" t="s">
        <v>74</v>
      </c>
      <c r="AN706" t="s">
        <v>74</v>
      </c>
      <c r="AO706" t="s">
        <v>24060</v>
      </c>
      <c r="AP706" t="s">
        <v>24061</v>
      </c>
      <c r="AQ706" t="s">
        <v>74</v>
      </c>
      <c r="AR706" t="s">
        <v>74</v>
      </c>
      <c r="AS706" t="s">
        <v>74</v>
      </c>
      <c r="AT706" t="s">
        <v>230</v>
      </c>
      <c r="AU706">
        <v>2011</v>
      </c>
      <c r="AV706">
        <v>22</v>
      </c>
      <c r="AW706">
        <v>4</v>
      </c>
      <c r="AX706" t="s">
        <v>74</v>
      </c>
      <c r="AY706" t="s">
        <v>74</v>
      </c>
      <c r="AZ706" t="s">
        <v>74</v>
      </c>
      <c r="BA706" t="s">
        <v>74</v>
      </c>
      <c r="BB706">
        <v>319</v>
      </c>
      <c r="BC706">
        <v>326</v>
      </c>
      <c r="BD706" t="s">
        <v>74</v>
      </c>
      <c r="BE706" t="s">
        <v>24062</v>
      </c>
      <c r="BF706" t="str">
        <f>HYPERLINK("http://dx.doi.org/10.1111/j.1365-3164.2011.00952.x","http://dx.doi.org/10.1111/j.1365-3164.2011.00952.x")</f>
        <v>http://dx.doi.org/10.1111/j.1365-3164.2011.00952.x</v>
      </c>
      <c r="BG706" t="s">
        <v>74</v>
      </c>
      <c r="BH706" t="s">
        <v>74</v>
      </c>
      <c r="BI706" t="s">
        <v>74</v>
      </c>
      <c r="BJ706" t="s">
        <v>24063</v>
      </c>
      <c r="BK706" t="s">
        <v>117</v>
      </c>
      <c r="BL706" t="s">
        <v>24063</v>
      </c>
      <c r="BM706" t="s">
        <v>74</v>
      </c>
      <c r="BN706">
        <v>21410798</v>
      </c>
      <c r="BO706" t="s">
        <v>74</v>
      </c>
      <c r="BP706" t="s">
        <v>74</v>
      </c>
      <c r="BQ706" t="s">
        <v>74</v>
      </c>
      <c r="BR706" t="s">
        <v>96</v>
      </c>
      <c r="BS706" t="s">
        <v>24064</v>
      </c>
      <c r="BT706" t="str">
        <f>HYPERLINK("https%3A%2F%2Fwww.webofscience.com%2Fwos%2Fwoscc%2Ffull-record%2FWOS:000292646400003","View Full Record in Web of Science")</f>
        <v>View Full Record in Web of Science</v>
      </c>
    </row>
    <row r="707" spans="1:72" x14ac:dyDescent="0.15">
      <c r="A707" t="s">
        <v>98</v>
      </c>
      <c r="B707" t="s">
        <v>24165</v>
      </c>
      <c r="C707" t="s">
        <v>74</v>
      </c>
      <c r="D707" t="s">
        <v>74</v>
      </c>
      <c r="E707" t="s">
        <v>74</v>
      </c>
      <c r="F707" t="s">
        <v>24166</v>
      </c>
      <c r="G707" t="s">
        <v>74</v>
      </c>
      <c r="H707" t="s">
        <v>74</v>
      </c>
      <c r="I707" t="s">
        <v>24167</v>
      </c>
      <c r="J707" t="s">
        <v>1798</v>
      </c>
      <c r="K707" t="s">
        <v>74</v>
      </c>
      <c r="L707" t="s">
        <v>74</v>
      </c>
      <c r="M707" t="s">
        <v>74</v>
      </c>
      <c r="N707" t="s">
        <v>103</v>
      </c>
      <c r="O707" t="s">
        <v>74</v>
      </c>
      <c r="P707" t="s">
        <v>74</v>
      </c>
      <c r="Q707" t="s">
        <v>74</v>
      </c>
      <c r="R707" t="s">
        <v>74</v>
      </c>
      <c r="S707" t="s">
        <v>74</v>
      </c>
      <c r="T707" t="s">
        <v>24168</v>
      </c>
      <c r="U707" t="s">
        <v>24169</v>
      </c>
      <c r="V707" t="s">
        <v>24170</v>
      </c>
      <c r="W707" t="s">
        <v>24171</v>
      </c>
      <c r="X707" t="s">
        <v>24172</v>
      </c>
      <c r="Y707" t="s">
        <v>24173</v>
      </c>
      <c r="Z707" t="s">
        <v>24174</v>
      </c>
      <c r="AA707" t="s">
        <v>24175</v>
      </c>
      <c r="AB707" t="s">
        <v>24176</v>
      </c>
      <c r="AC707" t="s">
        <v>74</v>
      </c>
      <c r="AD707" t="s">
        <v>74</v>
      </c>
      <c r="AE707" t="s">
        <v>74</v>
      </c>
      <c r="AF707" t="s">
        <v>74</v>
      </c>
      <c r="AG707">
        <v>507</v>
      </c>
      <c r="AH707">
        <v>26</v>
      </c>
      <c r="AI707">
        <v>29</v>
      </c>
      <c r="AJ707">
        <v>0</v>
      </c>
      <c r="AK707">
        <v>37</v>
      </c>
      <c r="AL707" t="s">
        <v>74</v>
      </c>
      <c r="AM707" t="s">
        <v>74</v>
      </c>
      <c r="AN707" t="s">
        <v>74</v>
      </c>
      <c r="AO707" t="s">
        <v>1806</v>
      </c>
      <c r="AP707" t="s">
        <v>74</v>
      </c>
      <c r="AQ707" t="s">
        <v>74</v>
      </c>
      <c r="AR707" t="s">
        <v>74</v>
      </c>
      <c r="AS707" t="s">
        <v>74</v>
      </c>
      <c r="AT707" t="s">
        <v>3712</v>
      </c>
      <c r="AU707">
        <v>2018</v>
      </c>
      <c r="AV707">
        <v>9</v>
      </c>
      <c r="AW707" t="s">
        <v>74</v>
      </c>
      <c r="AX707" t="s">
        <v>74</v>
      </c>
      <c r="AY707" t="s">
        <v>74</v>
      </c>
      <c r="AZ707" t="s">
        <v>74</v>
      </c>
      <c r="BA707" t="s">
        <v>74</v>
      </c>
      <c r="BB707" t="s">
        <v>74</v>
      </c>
      <c r="BC707" t="s">
        <v>74</v>
      </c>
      <c r="BD707">
        <v>50</v>
      </c>
      <c r="BE707" t="s">
        <v>24177</v>
      </c>
      <c r="BF707" t="str">
        <f>HYPERLINK("http://dx.doi.org/10.3389/fphys.2018.00050","http://dx.doi.org/10.3389/fphys.2018.00050")</f>
        <v>http://dx.doi.org/10.3389/fphys.2018.00050</v>
      </c>
      <c r="BG707" t="s">
        <v>74</v>
      </c>
      <c r="BH707" t="s">
        <v>74</v>
      </c>
      <c r="BI707" t="s">
        <v>74</v>
      </c>
      <c r="BJ707" t="s">
        <v>1809</v>
      </c>
      <c r="BK707" t="s">
        <v>117</v>
      </c>
      <c r="BL707" t="s">
        <v>1809</v>
      </c>
      <c r="BM707" t="s">
        <v>74</v>
      </c>
      <c r="BN707">
        <v>29491838</v>
      </c>
      <c r="BO707" t="s">
        <v>74</v>
      </c>
      <c r="BP707" t="s">
        <v>74</v>
      </c>
      <c r="BQ707" t="s">
        <v>74</v>
      </c>
      <c r="BR707" t="s">
        <v>96</v>
      </c>
      <c r="BS707" t="s">
        <v>24178</v>
      </c>
      <c r="BT707" t="str">
        <f>HYPERLINK("https%3A%2F%2Fwww.webofscience.com%2Fwos%2Fwoscc%2Ffull-record%2FWOS:000425157400001","View Full Record in Web of Science")</f>
        <v>View Full Record in Web of Science</v>
      </c>
    </row>
    <row r="708" spans="1:72" x14ac:dyDescent="0.15">
      <c r="A708" t="s">
        <v>98</v>
      </c>
      <c r="B708" t="s">
        <v>25281</v>
      </c>
      <c r="C708" t="s">
        <v>74</v>
      </c>
      <c r="D708" t="s">
        <v>74</v>
      </c>
      <c r="E708" t="s">
        <v>74</v>
      </c>
      <c r="F708" t="s">
        <v>25282</v>
      </c>
      <c r="G708" t="s">
        <v>74</v>
      </c>
      <c r="H708" t="s">
        <v>74</v>
      </c>
      <c r="I708" t="s">
        <v>25283</v>
      </c>
      <c r="J708" t="s">
        <v>5139</v>
      </c>
      <c r="K708" t="s">
        <v>74</v>
      </c>
      <c r="L708" t="s">
        <v>74</v>
      </c>
      <c r="M708" t="s">
        <v>74</v>
      </c>
      <c r="N708" t="s">
        <v>103</v>
      </c>
      <c r="O708" t="s">
        <v>74</v>
      </c>
      <c r="P708" t="s">
        <v>74</v>
      </c>
      <c r="Q708" t="s">
        <v>74</v>
      </c>
      <c r="R708" t="s">
        <v>74</v>
      </c>
      <c r="S708" t="s">
        <v>74</v>
      </c>
      <c r="T708" t="s">
        <v>74</v>
      </c>
      <c r="U708" t="s">
        <v>25284</v>
      </c>
      <c r="V708" t="s">
        <v>25285</v>
      </c>
      <c r="W708" t="s">
        <v>25286</v>
      </c>
      <c r="X708" t="s">
        <v>25287</v>
      </c>
      <c r="Y708" t="s">
        <v>25288</v>
      </c>
      <c r="Z708" t="s">
        <v>25289</v>
      </c>
      <c r="AA708" t="s">
        <v>25290</v>
      </c>
      <c r="AB708" t="s">
        <v>25291</v>
      </c>
      <c r="AC708" t="s">
        <v>74</v>
      </c>
      <c r="AD708" t="s">
        <v>74</v>
      </c>
      <c r="AE708" t="s">
        <v>74</v>
      </c>
      <c r="AF708" t="s">
        <v>74</v>
      </c>
      <c r="AG708">
        <v>80</v>
      </c>
      <c r="AH708">
        <v>26</v>
      </c>
      <c r="AI708">
        <v>26</v>
      </c>
      <c r="AJ708">
        <v>1</v>
      </c>
      <c r="AK708">
        <v>13</v>
      </c>
      <c r="AL708" t="s">
        <v>74</v>
      </c>
      <c r="AM708" t="s">
        <v>74</v>
      </c>
      <c r="AN708" t="s">
        <v>74</v>
      </c>
      <c r="AO708" t="s">
        <v>5148</v>
      </c>
      <c r="AP708" t="s">
        <v>74</v>
      </c>
      <c r="AQ708" t="s">
        <v>74</v>
      </c>
      <c r="AR708" t="s">
        <v>74</v>
      </c>
      <c r="AS708" t="s">
        <v>74</v>
      </c>
      <c r="AT708" t="s">
        <v>11696</v>
      </c>
      <c r="AU708">
        <v>2018</v>
      </c>
      <c r="AV708">
        <v>9</v>
      </c>
      <c r="AW708" t="s">
        <v>74</v>
      </c>
      <c r="AX708" t="s">
        <v>74</v>
      </c>
      <c r="AY708" t="s">
        <v>74</v>
      </c>
      <c r="AZ708" t="s">
        <v>74</v>
      </c>
      <c r="BA708" t="s">
        <v>74</v>
      </c>
      <c r="BB708" t="s">
        <v>74</v>
      </c>
      <c r="BC708" t="s">
        <v>74</v>
      </c>
      <c r="BD708">
        <v>2207</v>
      </c>
      <c r="BE708" t="s">
        <v>25292</v>
      </c>
      <c r="BF708" t="str">
        <f>HYPERLINK("http://dx.doi.org/10.1038/s41467-018-04442-y","http://dx.doi.org/10.1038/s41467-018-04442-y")</f>
        <v>http://dx.doi.org/10.1038/s41467-018-04442-y</v>
      </c>
      <c r="BG708" t="s">
        <v>74</v>
      </c>
      <c r="BH708" t="s">
        <v>74</v>
      </c>
      <c r="BI708" t="s">
        <v>74</v>
      </c>
      <c r="BJ708" t="s">
        <v>152</v>
      </c>
      <c r="BK708" t="s">
        <v>117</v>
      </c>
      <c r="BL708" t="s">
        <v>153</v>
      </c>
      <c r="BM708" t="s">
        <v>74</v>
      </c>
      <c r="BN708">
        <v>29880824</v>
      </c>
      <c r="BO708" t="s">
        <v>74</v>
      </c>
      <c r="BP708" t="s">
        <v>74</v>
      </c>
      <c r="BQ708" t="s">
        <v>74</v>
      </c>
      <c r="BR708" t="s">
        <v>96</v>
      </c>
      <c r="BS708" t="s">
        <v>25293</v>
      </c>
      <c r="BT708" t="str">
        <f>HYPERLINK("https%3A%2F%2Fwww.webofscience.com%2Fwos%2Fwoscc%2Ffull-record%2FWOS:000434379800004","View Full Record in Web of Science")</f>
        <v>View Full Record in Web of Science</v>
      </c>
    </row>
    <row r="709" spans="1:72" x14ac:dyDescent="0.15">
      <c r="A709" t="s">
        <v>98</v>
      </c>
      <c r="B709" t="s">
        <v>26907</v>
      </c>
      <c r="C709" t="s">
        <v>74</v>
      </c>
      <c r="D709" t="s">
        <v>74</v>
      </c>
      <c r="E709" t="s">
        <v>74</v>
      </c>
      <c r="F709" t="s">
        <v>26908</v>
      </c>
      <c r="G709" t="s">
        <v>74</v>
      </c>
      <c r="H709" t="s">
        <v>74</v>
      </c>
      <c r="I709" t="s">
        <v>26909</v>
      </c>
      <c r="J709" t="s">
        <v>26818</v>
      </c>
      <c r="K709" t="s">
        <v>74</v>
      </c>
      <c r="L709" t="s">
        <v>74</v>
      </c>
      <c r="M709" t="s">
        <v>74</v>
      </c>
      <c r="N709" t="s">
        <v>103</v>
      </c>
      <c r="O709" t="s">
        <v>74</v>
      </c>
      <c r="P709" t="s">
        <v>74</v>
      </c>
      <c r="Q709" t="s">
        <v>74</v>
      </c>
      <c r="R709" t="s">
        <v>74</v>
      </c>
      <c r="S709" t="s">
        <v>74</v>
      </c>
      <c r="T709" t="s">
        <v>26910</v>
      </c>
      <c r="U709" t="s">
        <v>26911</v>
      </c>
      <c r="V709" t="s">
        <v>26912</v>
      </c>
      <c r="W709" t="s">
        <v>26913</v>
      </c>
      <c r="X709" t="s">
        <v>26914</v>
      </c>
      <c r="Y709" t="s">
        <v>26915</v>
      </c>
      <c r="Z709" t="s">
        <v>26916</v>
      </c>
      <c r="AA709" t="s">
        <v>26917</v>
      </c>
      <c r="AB709" t="s">
        <v>26918</v>
      </c>
      <c r="AC709" t="s">
        <v>74</v>
      </c>
      <c r="AD709" t="s">
        <v>74</v>
      </c>
      <c r="AE709" t="s">
        <v>74</v>
      </c>
      <c r="AF709" t="s">
        <v>74</v>
      </c>
      <c r="AG709">
        <v>45</v>
      </c>
      <c r="AH709">
        <v>26</v>
      </c>
      <c r="AI709">
        <v>29</v>
      </c>
      <c r="AJ709">
        <v>0</v>
      </c>
      <c r="AK709">
        <v>1</v>
      </c>
      <c r="AL709" t="s">
        <v>74</v>
      </c>
      <c r="AM709" t="s">
        <v>74</v>
      </c>
      <c r="AN709" t="s">
        <v>74</v>
      </c>
      <c r="AO709" t="s">
        <v>26826</v>
      </c>
      <c r="AP709" t="s">
        <v>26827</v>
      </c>
      <c r="AQ709" t="s">
        <v>74</v>
      </c>
      <c r="AR709" t="s">
        <v>74</v>
      </c>
      <c r="AS709" t="s">
        <v>74</v>
      </c>
      <c r="AT709" t="s">
        <v>319</v>
      </c>
      <c r="AU709">
        <v>2010</v>
      </c>
      <c r="AV709">
        <v>432</v>
      </c>
      <c r="AW709" t="s">
        <v>74</v>
      </c>
      <c r="AX709">
        <v>2</v>
      </c>
      <c r="AY709" t="s">
        <v>74</v>
      </c>
      <c r="AZ709" t="s">
        <v>74</v>
      </c>
      <c r="BA709" t="s">
        <v>74</v>
      </c>
      <c r="BB709">
        <v>365</v>
      </c>
      <c r="BC709">
        <v>373</v>
      </c>
      <c r="BD709" t="s">
        <v>74</v>
      </c>
      <c r="BE709" t="s">
        <v>26919</v>
      </c>
      <c r="BF709" t="str">
        <f>HYPERLINK("http://dx.doi.org/10.1042/BJ20100561","http://dx.doi.org/10.1042/BJ20100561")</f>
        <v>http://dx.doi.org/10.1042/BJ20100561</v>
      </c>
      <c r="BG709" t="s">
        <v>74</v>
      </c>
      <c r="BH709" t="s">
        <v>74</v>
      </c>
      <c r="BI709" t="s">
        <v>74</v>
      </c>
      <c r="BJ709" t="s">
        <v>95</v>
      </c>
      <c r="BK709" t="s">
        <v>117</v>
      </c>
      <c r="BL709" t="s">
        <v>95</v>
      </c>
      <c r="BM709" t="s">
        <v>74</v>
      </c>
      <c r="BN709">
        <v>20846121</v>
      </c>
      <c r="BO709" t="s">
        <v>74</v>
      </c>
      <c r="BP709" t="s">
        <v>74</v>
      </c>
      <c r="BQ709" t="s">
        <v>74</v>
      </c>
      <c r="BR709" t="s">
        <v>96</v>
      </c>
      <c r="BS709" t="s">
        <v>26920</v>
      </c>
      <c r="BT709" t="str">
        <f>HYPERLINK("https%3A%2F%2Fwww.webofscience.com%2Fwos%2Fwoscc%2Ffull-record%2FWOS:000284813800015","View Full Record in Web of Science")</f>
        <v>View Full Record in Web of Science</v>
      </c>
    </row>
    <row r="710" spans="1:72" x14ac:dyDescent="0.15">
      <c r="A710" t="s">
        <v>98</v>
      </c>
      <c r="B710" t="s">
        <v>30473</v>
      </c>
      <c r="C710" t="s">
        <v>74</v>
      </c>
      <c r="D710" t="s">
        <v>74</v>
      </c>
      <c r="E710" t="s">
        <v>74</v>
      </c>
      <c r="F710" t="s">
        <v>30474</v>
      </c>
      <c r="G710" t="s">
        <v>74</v>
      </c>
      <c r="H710" t="s">
        <v>74</v>
      </c>
      <c r="I710" t="s">
        <v>30475</v>
      </c>
      <c r="J710" t="s">
        <v>23515</v>
      </c>
      <c r="K710" t="s">
        <v>74</v>
      </c>
      <c r="L710" t="s">
        <v>74</v>
      </c>
      <c r="M710" t="s">
        <v>74</v>
      </c>
      <c r="N710" t="s">
        <v>103</v>
      </c>
      <c r="O710" t="s">
        <v>74</v>
      </c>
      <c r="P710" t="s">
        <v>74</v>
      </c>
      <c r="Q710" t="s">
        <v>74</v>
      </c>
      <c r="R710" t="s">
        <v>74</v>
      </c>
      <c r="S710" t="s">
        <v>74</v>
      </c>
      <c r="T710" t="s">
        <v>74</v>
      </c>
      <c r="U710" t="s">
        <v>30476</v>
      </c>
      <c r="V710" t="s">
        <v>74</v>
      </c>
      <c r="W710" t="s">
        <v>30477</v>
      </c>
      <c r="X710" t="s">
        <v>27000</v>
      </c>
      <c r="Y710" t="s">
        <v>30478</v>
      </c>
      <c r="Z710" t="s">
        <v>30479</v>
      </c>
      <c r="AA710" t="s">
        <v>27002</v>
      </c>
      <c r="AB710" t="s">
        <v>27003</v>
      </c>
      <c r="AC710" t="s">
        <v>74</v>
      </c>
      <c r="AD710" t="s">
        <v>74</v>
      </c>
      <c r="AE710" t="s">
        <v>74</v>
      </c>
      <c r="AF710" t="s">
        <v>74</v>
      </c>
      <c r="AG710">
        <v>43</v>
      </c>
      <c r="AH710">
        <v>26</v>
      </c>
      <c r="AI710">
        <v>27</v>
      </c>
      <c r="AJ710">
        <v>0</v>
      </c>
      <c r="AK710">
        <v>7</v>
      </c>
      <c r="AL710" t="s">
        <v>74</v>
      </c>
      <c r="AM710" t="s">
        <v>74</v>
      </c>
      <c r="AN710" t="s">
        <v>74</v>
      </c>
      <c r="AO710" t="s">
        <v>23523</v>
      </c>
      <c r="AP710" t="s">
        <v>74</v>
      </c>
      <c r="AQ710" t="s">
        <v>74</v>
      </c>
      <c r="AR710" t="s">
        <v>74</v>
      </c>
      <c r="AS710" t="s">
        <v>74</v>
      </c>
      <c r="AT710" t="s">
        <v>1807</v>
      </c>
      <c r="AU710">
        <v>2019</v>
      </c>
      <c r="AV710">
        <v>104</v>
      </c>
      <c r="AW710">
        <v>4</v>
      </c>
      <c r="AX710" t="s">
        <v>74</v>
      </c>
      <c r="AY710" t="s">
        <v>74</v>
      </c>
      <c r="AZ710" t="s">
        <v>74</v>
      </c>
      <c r="BA710" t="s">
        <v>74</v>
      </c>
      <c r="BB710">
        <v>648</v>
      </c>
      <c r="BC710">
        <v>652</v>
      </c>
      <c r="BD710" t="s">
        <v>74</v>
      </c>
      <c r="BE710" t="s">
        <v>30480</v>
      </c>
      <c r="BF710" t="str">
        <f>HYPERLINK("http://dx.doi.org/10.3324/haematol.2018.206177","http://dx.doi.org/10.3324/haematol.2018.206177")</f>
        <v>http://dx.doi.org/10.3324/haematol.2018.206177</v>
      </c>
      <c r="BG710" t="s">
        <v>74</v>
      </c>
      <c r="BH710" t="s">
        <v>74</v>
      </c>
      <c r="BI710" t="s">
        <v>74</v>
      </c>
      <c r="BJ710" t="s">
        <v>2438</v>
      </c>
      <c r="BK710" t="s">
        <v>117</v>
      </c>
      <c r="BL710" t="s">
        <v>2438</v>
      </c>
      <c r="BM710" t="s">
        <v>74</v>
      </c>
      <c r="BN710">
        <v>30846503</v>
      </c>
      <c r="BO710" t="s">
        <v>74</v>
      </c>
      <c r="BP710" t="s">
        <v>74</v>
      </c>
      <c r="BQ710" t="s">
        <v>74</v>
      </c>
      <c r="BR710" t="s">
        <v>96</v>
      </c>
      <c r="BS710" t="s">
        <v>30481</v>
      </c>
      <c r="BT710" t="str">
        <f>HYPERLINK("https%3A%2F%2Fwww.webofscience.com%2Fwos%2Fwoscc%2Ffull-record%2FWOS:000462841300020","View Full Record in Web of Science")</f>
        <v>View Full Record in Web of Science</v>
      </c>
    </row>
    <row r="711" spans="1:72" x14ac:dyDescent="0.15">
      <c r="A711" t="s">
        <v>98</v>
      </c>
      <c r="B711" t="s">
        <v>1499</v>
      </c>
      <c r="C711" t="s">
        <v>74</v>
      </c>
      <c r="D711" t="s">
        <v>74</v>
      </c>
      <c r="E711" t="s">
        <v>74</v>
      </c>
      <c r="F711" t="s">
        <v>1500</v>
      </c>
      <c r="G711" t="s">
        <v>74</v>
      </c>
      <c r="H711" t="s">
        <v>74</v>
      </c>
      <c r="I711" t="s">
        <v>1501</v>
      </c>
      <c r="J711" t="s">
        <v>903</v>
      </c>
      <c r="K711" t="s">
        <v>74</v>
      </c>
      <c r="L711" t="s">
        <v>74</v>
      </c>
      <c r="M711" t="s">
        <v>74</v>
      </c>
      <c r="N711" t="s">
        <v>103</v>
      </c>
      <c r="O711" t="s">
        <v>74</v>
      </c>
      <c r="P711" t="s">
        <v>74</v>
      </c>
      <c r="Q711" t="s">
        <v>74</v>
      </c>
      <c r="R711" t="s">
        <v>74</v>
      </c>
      <c r="S711" t="s">
        <v>74</v>
      </c>
      <c r="T711" t="s">
        <v>1502</v>
      </c>
      <c r="U711" t="s">
        <v>1503</v>
      </c>
      <c r="V711" t="s">
        <v>1504</v>
      </c>
      <c r="W711" t="s">
        <v>1505</v>
      </c>
      <c r="X711" t="s">
        <v>1506</v>
      </c>
      <c r="Y711" t="s">
        <v>1507</v>
      </c>
      <c r="Z711" t="s">
        <v>1508</v>
      </c>
      <c r="AA711" t="s">
        <v>74</v>
      </c>
      <c r="AB711" t="s">
        <v>1509</v>
      </c>
      <c r="AC711" t="s">
        <v>74</v>
      </c>
      <c r="AD711" t="s">
        <v>74</v>
      </c>
      <c r="AE711" t="s">
        <v>74</v>
      </c>
      <c r="AF711" t="s">
        <v>74</v>
      </c>
      <c r="AG711">
        <v>43</v>
      </c>
      <c r="AH711">
        <v>25</v>
      </c>
      <c r="AI711">
        <v>25</v>
      </c>
      <c r="AJ711">
        <v>9</v>
      </c>
      <c r="AK711">
        <v>17</v>
      </c>
      <c r="AL711" t="s">
        <v>74</v>
      </c>
      <c r="AM711" t="s">
        <v>74</v>
      </c>
      <c r="AN711" t="s">
        <v>74</v>
      </c>
      <c r="AO711" t="s">
        <v>74</v>
      </c>
      <c r="AP711" t="s">
        <v>913</v>
      </c>
      <c r="AQ711" t="s">
        <v>74</v>
      </c>
      <c r="AR711" t="s">
        <v>74</v>
      </c>
      <c r="AS711" t="s">
        <v>74</v>
      </c>
      <c r="AT711" t="s">
        <v>283</v>
      </c>
      <c r="AU711">
        <v>2021</v>
      </c>
      <c r="AV711">
        <v>13</v>
      </c>
      <c r="AW711">
        <v>4</v>
      </c>
      <c r="AX711" t="s">
        <v>74</v>
      </c>
      <c r="AY711" t="s">
        <v>74</v>
      </c>
      <c r="AZ711" t="s">
        <v>74</v>
      </c>
      <c r="BA711" t="s">
        <v>74</v>
      </c>
      <c r="BB711" t="s">
        <v>74</v>
      </c>
      <c r="BC711" t="s">
        <v>74</v>
      </c>
      <c r="BD711">
        <v>780</v>
      </c>
      <c r="BE711" t="s">
        <v>1510</v>
      </c>
      <c r="BF711" t="str">
        <f>HYPERLINK("http://dx.doi.org/10.3390/cancers13040780","http://dx.doi.org/10.3390/cancers13040780")</f>
        <v>http://dx.doi.org/10.3390/cancers13040780</v>
      </c>
      <c r="BG711" t="s">
        <v>74</v>
      </c>
      <c r="BH711" t="s">
        <v>74</v>
      </c>
      <c r="BI711" t="s">
        <v>74</v>
      </c>
      <c r="BJ711" t="s">
        <v>267</v>
      </c>
      <c r="BK711" t="s">
        <v>117</v>
      </c>
      <c r="BL711" t="s">
        <v>267</v>
      </c>
      <c r="BM711" t="s">
        <v>74</v>
      </c>
      <c r="BN711">
        <v>33668490</v>
      </c>
      <c r="BO711" t="s">
        <v>74</v>
      </c>
      <c r="BP711" t="s">
        <v>193</v>
      </c>
      <c r="BQ711" t="s">
        <v>194</v>
      </c>
      <c r="BR711" t="s">
        <v>96</v>
      </c>
      <c r="BS711" t="s">
        <v>1511</v>
      </c>
      <c r="BT711" t="str">
        <f>HYPERLINK("https%3A%2F%2Fwww.webofscience.com%2Fwos%2Fwoscc%2Ffull-record%2FWOS:000623354700001","View Full Record in Web of Science")</f>
        <v>View Full Record in Web of Science</v>
      </c>
    </row>
    <row r="712" spans="1:72" x14ac:dyDescent="0.15">
      <c r="A712" t="s">
        <v>98</v>
      </c>
      <c r="B712" t="s">
        <v>3531</v>
      </c>
      <c r="C712" t="s">
        <v>74</v>
      </c>
      <c r="D712" t="s">
        <v>74</v>
      </c>
      <c r="E712" t="s">
        <v>74</v>
      </c>
      <c r="F712" t="s">
        <v>3532</v>
      </c>
      <c r="G712" t="s">
        <v>74</v>
      </c>
      <c r="H712" t="s">
        <v>74</v>
      </c>
      <c r="I712" t="s">
        <v>3533</v>
      </c>
      <c r="J712" t="s">
        <v>2520</v>
      </c>
      <c r="K712" t="s">
        <v>74</v>
      </c>
      <c r="L712" t="s">
        <v>74</v>
      </c>
      <c r="M712" t="s">
        <v>74</v>
      </c>
      <c r="N712" t="s">
        <v>103</v>
      </c>
      <c r="O712" t="s">
        <v>74</v>
      </c>
      <c r="P712" t="s">
        <v>74</v>
      </c>
      <c r="Q712" t="s">
        <v>74</v>
      </c>
      <c r="R712" t="s">
        <v>74</v>
      </c>
      <c r="S712" t="s">
        <v>74</v>
      </c>
      <c r="T712" t="s">
        <v>3534</v>
      </c>
      <c r="U712" t="s">
        <v>3535</v>
      </c>
      <c r="V712" t="s">
        <v>3536</v>
      </c>
      <c r="W712" t="s">
        <v>3537</v>
      </c>
      <c r="X712" t="s">
        <v>3538</v>
      </c>
      <c r="Y712" t="s">
        <v>3539</v>
      </c>
      <c r="Z712" t="s">
        <v>1834</v>
      </c>
      <c r="AA712" t="s">
        <v>3540</v>
      </c>
      <c r="AB712" t="s">
        <v>3541</v>
      </c>
      <c r="AC712" t="s">
        <v>74</v>
      </c>
      <c r="AD712" t="s">
        <v>74</v>
      </c>
      <c r="AE712" t="s">
        <v>74</v>
      </c>
      <c r="AF712" t="s">
        <v>74</v>
      </c>
      <c r="AG712">
        <v>97</v>
      </c>
      <c r="AH712">
        <v>25</v>
      </c>
      <c r="AI712">
        <v>25</v>
      </c>
      <c r="AJ712">
        <v>0</v>
      </c>
      <c r="AK712">
        <v>3</v>
      </c>
      <c r="AL712" t="s">
        <v>74</v>
      </c>
      <c r="AM712" t="s">
        <v>74</v>
      </c>
      <c r="AN712" t="s">
        <v>74</v>
      </c>
      <c r="AO712" t="s">
        <v>2529</v>
      </c>
      <c r="AP712" t="s">
        <v>74</v>
      </c>
      <c r="AQ712" t="s">
        <v>74</v>
      </c>
      <c r="AR712" t="s">
        <v>74</v>
      </c>
      <c r="AS712" t="s">
        <v>74</v>
      </c>
      <c r="AT712" t="s">
        <v>3542</v>
      </c>
      <c r="AU712">
        <v>2019</v>
      </c>
      <c r="AV712">
        <v>10</v>
      </c>
      <c r="AW712" t="s">
        <v>74</v>
      </c>
      <c r="AX712" t="s">
        <v>74</v>
      </c>
      <c r="AY712" t="s">
        <v>74</v>
      </c>
      <c r="AZ712" t="s">
        <v>74</v>
      </c>
      <c r="BA712" t="s">
        <v>74</v>
      </c>
      <c r="BB712" t="s">
        <v>74</v>
      </c>
      <c r="BC712" t="s">
        <v>74</v>
      </c>
      <c r="BD712">
        <v>2147</v>
      </c>
      <c r="BE712" t="s">
        <v>3543</v>
      </c>
      <c r="BF712" t="str">
        <f>HYPERLINK("http://dx.doi.org/10.3389/fmicb.2019.02147","http://dx.doi.org/10.3389/fmicb.2019.02147")</f>
        <v>http://dx.doi.org/10.3389/fmicb.2019.02147</v>
      </c>
      <c r="BG712" t="s">
        <v>74</v>
      </c>
      <c r="BH712" t="s">
        <v>74</v>
      </c>
      <c r="BI712" t="s">
        <v>74</v>
      </c>
      <c r="BJ712" t="s">
        <v>898</v>
      </c>
      <c r="BK712" t="s">
        <v>117</v>
      </c>
      <c r="BL712" t="s">
        <v>898</v>
      </c>
      <c r="BM712" t="s">
        <v>74</v>
      </c>
      <c r="BN712">
        <v>31620104</v>
      </c>
      <c r="BO712" t="s">
        <v>74</v>
      </c>
      <c r="BP712" t="s">
        <v>74</v>
      </c>
      <c r="BQ712" t="s">
        <v>74</v>
      </c>
      <c r="BR712" t="s">
        <v>96</v>
      </c>
      <c r="BS712" t="s">
        <v>3544</v>
      </c>
      <c r="BT712" t="str">
        <f>HYPERLINK("https%3A%2F%2Fwww.webofscience.com%2Fwos%2Fwoscc%2Ffull-record%2FWOS:000486384600001","View Full Record in Web of Science")</f>
        <v>View Full Record in Web of Science</v>
      </c>
    </row>
    <row r="713" spans="1:72" x14ac:dyDescent="0.15">
      <c r="A713" t="s">
        <v>98</v>
      </c>
      <c r="B713" t="s">
        <v>3930</v>
      </c>
      <c r="C713" t="s">
        <v>74</v>
      </c>
      <c r="D713" t="s">
        <v>74</v>
      </c>
      <c r="E713" t="s">
        <v>74</v>
      </c>
      <c r="F713" t="s">
        <v>3931</v>
      </c>
      <c r="G713" t="s">
        <v>74</v>
      </c>
      <c r="H713" t="s">
        <v>74</v>
      </c>
      <c r="I713" t="s">
        <v>3932</v>
      </c>
      <c r="J713" t="s">
        <v>3933</v>
      </c>
      <c r="K713" t="s">
        <v>74</v>
      </c>
      <c r="L713" t="s">
        <v>74</v>
      </c>
      <c r="M713" t="s">
        <v>74</v>
      </c>
      <c r="N713" t="s">
        <v>103</v>
      </c>
      <c r="O713" t="s">
        <v>74</v>
      </c>
      <c r="P713" t="s">
        <v>74</v>
      </c>
      <c r="Q713" t="s">
        <v>74</v>
      </c>
      <c r="R713" t="s">
        <v>74</v>
      </c>
      <c r="S713" t="s">
        <v>74</v>
      </c>
      <c r="T713" t="s">
        <v>3934</v>
      </c>
      <c r="U713" t="s">
        <v>3935</v>
      </c>
      <c r="V713" t="s">
        <v>3936</v>
      </c>
      <c r="W713" t="s">
        <v>3937</v>
      </c>
      <c r="X713" t="s">
        <v>3938</v>
      </c>
      <c r="Y713" t="s">
        <v>3939</v>
      </c>
      <c r="Z713" t="s">
        <v>2603</v>
      </c>
      <c r="AA713" t="s">
        <v>3940</v>
      </c>
      <c r="AB713" t="s">
        <v>3941</v>
      </c>
      <c r="AC713" t="s">
        <v>74</v>
      </c>
      <c r="AD713" t="s">
        <v>74</v>
      </c>
      <c r="AE713" t="s">
        <v>74</v>
      </c>
      <c r="AF713" t="s">
        <v>74</v>
      </c>
      <c r="AG713">
        <v>30</v>
      </c>
      <c r="AH713">
        <v>25</v>
      </c>
      <c r="AI713">
        <v>25</v>
      </c>
      <c r="AJ713">
        <v>12</v>
      </c>
      <c r="AK713">
        <v>43</v>
      </c>
      <c r="AL713" t="s">
        <v>74</v>
      </c>
      <c r="AM713" t="s">
        <v>74</v>
      </c>
      <c r="AN713" t="s">
        <v>74</v>
      </c>
      <c r="AO713" t="s">
        <v>74</v>
      </c>
      <c r="AP713" t="s">
        <v>3942</v>
      </c>
      <c r="AQ713" t="s">
        <v>74</v>
      </c>
      <c r="AR713" t="s">
        <v>74</v>
      </c>
      <c r="AS713" t="s">
        <v>74</v>
      </c>
      <c r="AT713" t="s">
        <v>967</v>
      </c>
      <c r="AU713">
        <v>2020</v>
      </c>
      <c r="AV713">
        <v>4</v>
      </c>
      <c r="AW713">
        <v>12</v>
      </c>
      <c r="AX713" t="s">
        <v>74</v>
      </c>
      <c r="AY713" t="s">
        <v>74</v>
      </c>
      <c r="AZ713" t="s">
        <v>447</v>
      </c>
      <c r="BA713" t="s">
        <v>74</v>
      </c>
      <c r="BB713" t="s">
        <v>74</v>
      </c>
      <c r="BC713" t="s">
        <v>74</v>
      </c>
      <c r="BD713">
        <v>1900307</v>
      </c>
      <c r="BE713" t="s">
        <v>3943</v>
      </c>
      <c r="BF713" t="str">
        <f>HYPERLINK("http://dx.doi.org/10.1002/adbi.201900307","http://dx.doi.org/10.1002/adbi.201900307")</f>
        <v>http://dx.doi.org/10.1002/adbi.201900307</v>
      </c>
      <c r="BG713" t="s">
        <v>74</v>
      </c>
      <c r="BH713" t="s">
        <v>3944</v>
      </c>
      <c r="BI713" t="s">
        <v>74</v>
      </c>
      <c r="BJ713" t="s">
        <v>3945</v>
      </c>
      <c r="BK713" t="s">
        <v>117</v>
      </c>
      <c r="BL713" t="s">
        <v>3946</v>
      </c>
      <c r="BM713" t="s">
        <v>74</v>
      </c>
      <c r="BN713">
        <v>33274611</v>
      </c>
      <c r="BO713" t="s">
        <v>74</v>
      </c>
      <c r="BP713" t="s">
        <v>74</v>
      </c>
      <c r="BQ713" t="s">
        <v>74</v>
      </c>
      <c r="BR713" t="s">
        <v>96</v>
      </c>
      <c r="BS713" t="s">
        <v>3947</v>
      </c>
      <c r="BT713" t="str">
        <f>HYPERLINK("https%3A%2F%2Fwww.webofscience.com%2Fwos%2Fwoscc%2Ffull-record%2FWOS:000565303200001","View Full Record in Web of Science")</f>
        <v>View Full Record in Web of Science</v>
      </c>
    </row>
    <row r="714" spans="1:72" x14ac:dyDescent="0.15">
      <c r="A714" t="s">
        <v>98</v>
      </c>
      <c r="B714" t="s">
        <v>3982</v>
      </c>
      <c r="C714" t="s">
        <v>74</v>
      </c>
      <c r="D714" t="s">
        <v>74</v>
      </c>
      <c r="E714" t="s">
        <v>74</v>
      </c>
      <c r="F714" t="s">
        <v>3983</v>
      </c>
      <c r="G714" t="s">
        <v>74</v>
      </c>
      <c r="H714" t="s">
        <v>74</v>
      </c>
      <c r="I714" t="s">
        <v>3984</v>
      </c>
      <c r="J714" t="s">
        <v>3985</v>
      </c>
      <c r="K714" t="s">
        <v>74</v>
      </c>
      <c r="L714" t="s">
        <v>74</v>
      </c>
      <c r="M714" t="s">
        <v>74</v>
      </c>
      <c r="N714" t="s">
        <v>103</v>
      </c>
      <c r="O714" t="s">
        <v>74</v>
      </c>
      <c r="P714" t="s">
        <v>74</v>
      </c>
      <c r="Q714" t="s">
        <v>74</v>
      </c>
      <c r="R714" t="s">
        <v>74</v>
      </c>
      <c r="S714" t="s">
        <v>74</v>
      </c>
      <c r="T714" t="s">
        <v>3986</v>
      </c>
      <c r="U714" t="s">
        <v>3987</v>
      </c>
      <c r="V714" t="s">
        <v>3988</v>
      </c>
      <c r="W714" t="s">
        <v>3989</v>
      </c>
      <c r="X714" t="s">
        <v>3990</v>
      </c>
      <c r="Y714" t="s">
        <v>3991</v>
      </c>
      <c r="Z714" t="s">
        <v>843</v>
      </c>
      <c r="AA714" t="s">
        <v>3992</v>
      </c>
      <c r="AB714" t="s">
        <v>3993</v>
      </c>
      <c r="AC714" t="s">
        <v>74</v>
      </c>
      <c r="AD714" t="s">
        <v>74</v>
      </c>
      <c r="AE714" t="s">
        <v>74</v>
      </c>
      <c r="AF714" t="s">
        <v>74</v>
      </c>
      <c r="AG714">
        <v>53</v>
      </c>
      <c r="AH714">
        <v>25</v>
      </c>
      <c r="AI714">
        <v>25</v>
      </c>
      <c r="AJ714">
        <v>3</v>
      </c>
      <c r="AK714">
        <v>17</v>
      </c>
      <c r="AL714" t="s">
        <v>74</v>
      </c>
      <c r="AM714" t="s">
        <v>74</v>
      </c>
      <c r="AN714" t="s">
        <v>74</v>
      </c>
      <c r="AO714" t="s">
        <v>3994</v>
      </c>
      <c r="AP714" t="s">
        <v>74</v>
      </c>
      <c r="AQ714" t="s">
        <v>74</v>
      </c>
      <c r="AR714" t="s">
        <v>74</v>
      </c>
      <c r="AS714" t="s">
        <v>74</v>
      </c>
      <c r="AT714" t="s">
        <v>2470</v>
      </c>
      <c r="AU714">
        <v>2019</v>
      </c>
      <c r="AV714">
        <v>17</v>
      </c>
      <c r="AW714" t="s">
        <v>74</v>
      </c>
      <c r="AX714" t="s">
        <v>74</v>
      </c>
      <c r="AY714" t="s">
        <v>74</v>
      </c>
      <c r="AZ714" t="s">
        <v>74</v>
      </c>
      <c r="BA714" t="s">
        <v>74</v>
      </c>
      <c r="BB714" t="s">
        <v>74</v>
      </c>
      <c r="BC714" t="s">
        <v>74</v>
      </c>
      <c r="BD714">
        <v>75</v>
      </c>
      <c r="BE714" t="s">
        <v>3995</v>
      </c>
      <c r="BF714" t="str">
        <f>HYPERLINK("http://dx.doi.org/10.1186/s12967-019-1825-3","http://dx.doi.org/10.1186/s12967-019-1825-3")</f>
        <v>http://dx.doi.org/10.1186/s12967-019-1825-3</v>
      </c>
      <c r="BG714" t="s">
        <v>74</v>
      </c>
      <c r="BH714" t="s">
        <v>74</v>
      </c>
      <c r="BI714" t="s">
        <v>74</v>
      </c>
      <c r="BJ714" t="s">
        <v>795</v>
      </c>
      <c r="BK714" t="s">
        <v>117</v>
      </c>
      <c r="BL714" t="s">
        <v>796</v>
      </c>
      <c r="BM714" t="s">
        <v>74</v>
      </c>
      <c r="BN714">
        <v>30871557</v>
      </c>
      <c r="BO714" t="s">
        <v>74</v>
      </c>
      <c r="BP714" t="s">
        <v>74</v>
      </c>
      <c r="BQ714" t="s">
        <v>74</v>
      </c>
      <c r="BR714" t="s">
        <v>96</v>
      </c>
      <c r="BS714" t="s">
        <v>3996</v>
      </c>
      <c r="BT714" t="str">
        <f>HYPERLINK("https%3A%2F%2Fwww.webofscience.com%2Fwos%2Fwoscc%2Ffull-record%2FWOS:000461326700001","View Full Record in Web of Science")</f>
        <v>View Full Record in Web of Science</v>
      </c>
    </row>
    <row r="715" spans="1:72" x14ac:dyDescent="0.15">
      <c r="A715" t="s">
        <v>98</v>
      </c>
      <c r="B715" t="s">
        <v>4388</v>
      </c>
      <c r="C715" t="s">
        <v>74</v>
      </c>
      <c r="D715" t="s">
        <v>74</v>
      </c>
      <c r="E715" t="s">
        <v>74</v>
      </c>
      <c r="F715" t="s">
        <v>4389</v>
      </c>
      <c r="G715" t="s">
        <v>74</v>
      </c>
      <c r="H715" t="s">
        <v>74</v>
      </c>
      <c r="I715" t="s">
        <v>4390</v>
      </c>
      <c r="J715" t="s">
        <v>4391</v>
      </c>
      <c r="K715" t="s">
        <v>74</v>
      </c>
      <c r="L715" t="s">
        <v>74</v>
      </c>
      <c r="M715" t="s">
        <v>74</v>
      </c>
      <c r="N715" t="s">
        <v>103</v>
      </c>
      <c r="O715" t="s">
        <v>74</v>
      </c>
      <c r="P715" t="s">
        <v>74</v>
      </c>
      <c r="Q715" t="s">
        <v>74</v>
      </c>
      <c r="R715" t="s">
        <v>74</v>
      </c>
      <c r="S715" t="s">
        <v>74</v>
      </c>
      <c r="T715" t="s">
        <v>4392</v>
      </c>
      <c r="U715" t="s">
        <v>4393</v>
      </c>
      <c r="V715" t="s">
        <v>4394</v>
      </c>
      <c r="W715" t="s">
        <v>4395</v>
      </c>
      <c r="X715" t="s">
        <v>4396</v>
      </c>
      <c r="Y715" t="s">
        <v>4397</v>
      </c>
      <c r="Z715" t="s">
        <v>4398</v>
      </c>
      <c r="AA715" t="s">
        <v>4399</v>
      </c>
      <c r="AB715" t="s">
        <v>4400</v>
      </c>
      <c r="AC715" t="s">
        <v>74</v>
      </c>
      <c r="AD715" t="s">
        <v>74</v>
      </c>
      <c r="AE715" t="s">
        <v>74</v>
      </c>
      <c r="AF715" t="s">
        <v>74</v>
      </c>
      <c r="AG715">
        <v>34</v>
      </c>
      <c r="AH715">
        <v>25</v>
      </c>
      <c r="AI715">
        <v>25</v>
      </c>
      <c r="AJ715">
        <v>0</v>
      </c>
      <c r="AK715">
        <v>7</v>
      </c>
      <c r="AL715" t="s">
        <v>74</v>
      </c>
      <c r="AM715" t="s">
        <v>74</v>
      </c>
      <c r="AN715" t="s">
        <v>74</v>
      </c>
      <c r="AO715" t="s">
        <v>4401</v>
      </c>
      <c r="AP715" t="s">
        <v>74</v>
      </c>
      <c r="AQ715" t="s">
        <v>74</v>
      </c>
      <c r="AR715" t="s">
        <v>74</v>
      </c>
      <c r="AS715" t="s">
        <v>74</v>
      </c>
      <c r="AT715" t="s">
        <v>4402</v>
      </c>
      <c r="AU715">
        <v>2017</v>
      </c>
      <c r="AV715">
        <v>8</v>
      </c>
      <c r="AW715" t="s">
        <v>74</v>
      </c>
      <c r="AX715" t="s">
        <v>74</v>
      </c>
      <c r="AY715" t="s">
        <v>74</v>
      </c>
      <c r="AZ715" t="s">
        <v>74</v>
      </c>
      <c r="BA715" t="s">
        <v>74</v>
      </c>
      <c r="BB715" t="s">
        <v>74</v>
      </c>
      <c r="BC715" t="s">
        <v>74</v>
      </c>
      <c r="BD715">
        <v>176</v>
      </c>
      <c r="BE715" t="s">
        <v>4403</v>
      </c>
      <c r="BF715" t="str">
        <f>HYPERLINK("http://dx.doi.org/10.1186/s13287-017-0628-9","http://dx.doi.org/10.1186/s13287-017-0628-9")</f>
        <v>http://dx.doi.org/10.1186/s13287-017-0628-9</v>
      </c>
      <c r="BG715" t="s">
        <v>74</v>
      </c>
      <c r="BH715" t="s">
        <v>74</v>
      </c>
      <c r="BI715" t="s">
        <v>74</v>
      </c>
      <c r="BJ715" t="s">
        <v>3115</v>
      </c>
      <c r="BK715" t="s">
        <v>117</v>
      </c>
      <c r="BL715" t="s">
        <v>3116</v>
      </c>
      <c r="BM715" t="s">
        <v>74</v>
      </c>
      <c r="BN715">
        <v>28750687</v>
      </c>
      <c r="BO715" t="s">
        <v>74</v>
      </c>
      <c r="BP715" t="s">
        <v>74</v>
      </c>
      <c r="BQ715" t="s">
        <v>74</v>
      </c>
      <c r="BR715" t="s">
        <v>96</v>
      </c>
      <c r="BS715" t="s">
        <v>4404</v>
      </c>
      <c r="BT715" t="str">
        <f>HYPERLINK("https%3A%2F%2Fwww.webofscience.com%2Fwos%2Fwoscc%2Ffull-record%2FWOS:000406580400004","View Full Record in Web of Science")</f>
        <v>View Full Record in Web of Science</v>
      </c>
    </row>
    <row r="716" spans="1:72" x14ac:dyDescent="0.15">
      <c r="A716" t="s">
        <v>98</v>
      </c>
      <c r="B716" t="s">
        <v>5827</v>
      </c>
      <c r="C716" t="s">
        <v>74</v>
      </c>
      <c r="D716" t="s">
        <v>74</v>
      </c>
      <c r="E716" t="s">
        <v>74</v>
      </c>
      <c r="F716" t="s">
        <v>5828</v>
      </c>
      <c r="G716" t="s">
        <v>74</v>
      </c>
      <c r="H716" t="s">
        <v>74</v>
      </c>
      <c r="I716" t="s">
        <v>5829</v>
      </c>
      <c r="J716" t="s">
        <v>5830</v>
      </c>
      <c r="K716" t="s">
        <v>74</v>
      </c>
      <c r="L716" t="s">
        <v>74</v>
      </c>
      <c r="M716" t="s">
        <v>74</v>
      </c>
      <c r="N716" t="s">
        <v>103</v>
      </c>
      <c r="O716" t="s">
        <v>74</v>
      </c>
      <c r="P716" t="s">
        <v>74</v>
      </c>
      <c r="Q716" t="s">
        <v>74</v>
      </c>
      <c r="R716" t="s">
        <v>74</v>
      </c>
      <c r="S716" t="s">
        <v>74</v>
      </c>
      <c r="T716" t="s">
        <v>5831</v>
      </c>
      <c r="U716" t="s">
        <v>5832</v>
      </c>
      <c r="V716" t="s">
        <v>5833</v>
      </c>
      <c r="W716" t="s">
        <v>5834</v>
      </c>
      <c r="X716" t="s">
        <v>5835</v>
      </c>
      <c r="Y716" t="s">
        <v>5836</v>
      </c>
      <c r="Z716" t="s">
        <v>5837</v>
      </c>
      <c r="AA716" t="s">
        <v>4894</v>
      </c>
      <c r="AB716" t="s">
        <v>5838</v>
      </c>
      <c r="AC716" t="s">
        <v>74</v>
      </c>
      <c r="AD716" t="s">
        <v>74</v>
      </c>
      <c r="AE716" t="s">
        <v>74</v>
      </c>
      <c r="AF716" t="s">
        <v>74</v>
      </c>
      <c r="AG716">
        <v>55</v>
      </c>
      <c r="AH716">
        <v>25</v>
      </c>
      <c r="AI716">
        <v>25</v>
      </c>
      <c r="AJ716">
        <v>6</v>
      </c>
      <c r="AK716">
        <v>27</v>
      </c>
      <c r="AL716" t="s">
        <v>74</v>
      </c>
      <c r="AM716" t="s">
        <v>74</v>
      </c>
      <c r="AN716" t="s">
        <v>74</v>
      </c>
      <c r="AO716" t="s">
        <v>5839</v>
      </c>
      <c r="AP716" t="s">
        <v>5840</v>
      </c>
      <c r="AQ716" t="s">
        <v>74</v>
      </c>
      <c r="AR716" t="s">
        <v>74</v>
      </c>
      <c r="AS716" t="s">
        <v>74</v>
      </c>
      <c r="AT716" t="s">
        <v>393</v>
      </c>
      <c r="AU716">
        <v>2021</v>
      </c>
      <c r="AV716">
        <v>35</v>
      </c>
      <c r="AW716">
        <v>11</v>
      </c>
      <c r="AX716" t="s">
        <v>74</v>
      </c>
      <c r="AY716" t="s">
        <v>74</v>
      </c>
      <c r="AZ716" t="s">
        <v>74</v>
      </c>
      <c r="BA716" t="s">
        <v>74</v>
      </c>
      <c r="BB716">
        <v>849</v>
      </c>
      <c r="BC716">
        <v>862</v>
      </c>
      <c r="BD716" t="s">
        <v>74</v>
      </c>
      <c r="BE716" t="s">
        <v>5841</v>
      </c>
      <c r="BF716" t="str">
        <f>HYPERLINK("http://dx.doi.org/10.1089/ars.2019.7965","http://dx.doi.org/10.1089/ars.2019.7965")</f>
        <v>http://dx.doi.org/10.1089/ars.2019.7965</v>
      </c>
      <c r="BG716" t="s">
        <v>74</v>
      </c>
      <c r="BH716" t="s">
        <v>1323</v>
      </c>
      <c r="BI716" t="s">
        <v>74</v>
      </c>
      <c r="BJ716" t="s">
        <v>5825</v>
      </c>
      <c r="BK716" t="s">
        <v>117</v>
      </c>
      <c r="BL716" t="s">
        <v>5825</v>
      </c>
      <c r="BM716" t="s">
        <v>74</v>
      </c>
      <c r="BN716">
        <v>32664737</v>
      </c>
      <c r="BO716" t="s">
        <v>74</v>
      </c>
      <c r="BP716" t="s">
        <v>74</v>
      </c>
      <c r="BQ716" t="s">
        <v>74</v>
      </c>
      <c r="BR716" t="s">
        <v>96</v>
      </c>
      <c r="BS716" t="s">
        <v>5842</v>
      </c>
      <c r="BT716" t="str">
        <f>HYPERLINK("https%3A%2F%2Fwww.webofscience.com%2Fwos%2Fwoscc%2Ffull-record%2FWOS:000558372500001","View Full Record in Web of Science")</f>
        <v>View Full Record in Web of Science</v>
      </c>
    </row>
    <row r="717" spans="1:72" x14ac:dyDescent="0.15">
      <c r="A717" t="s">
        <v>98</v>
      </c>
      <c r="B717" t="s">
        <v>7513</v>
      </c>
      <c r="C717" t="s">
        <v>74</v>
      </c>
      <c r="D717" t="s">
        <v>74</v>
      </c>
      <c r="E717" t="s">
        <v>74</v>
      </c>
      <c r="F717" t="s">
        <v>7514</v>
      </c>
      <c r="G717" t="s">
        <v>74</v>
      </c>
      <c r="H717" t="s">
        <v>74</v>
      </c>
      <c r="I717" t="s">
        <v>7515</v>
      </c>
      <c r="J717" t="s">
        <v>1073</v>
      </c>
      <c r="K717" t="s">
        <v>74</v>
      </c>
      <c r="L717" t="s">
        <v>74</v>
      </c>
      <c r="M717" t="s">
        <v>74</v>
      </c>
      <c r="N717" t="s">
        <v>103</v>
      </c>
      <c r="O717" t="s">
        <v>74</v>
      </c>
      <c r="P717" t="s">
        <v>74</v>
      </c>
      <c r="Q717" t="s">
        <v>74</v>
      </c>
      <c r="R717" t="s">
        <v>74</v>
      </c>
      <c r="S717" t="s">
        <v>74</v>
      </c>
      <c r="T717" t="s">
        <v>74</v>
      </c>
      <c r="U717" t="s">
        <v>7516</v>
      </c>
      <c r="V717" t="s">
        <v>7517</v>
      </c>
      <c r="W717" t="s">
        <v>7518</v>
      </c>
      <c r="X717" t="s">
        <v>7519</v>
      </c>
      <c r="Y717" t="s">
        <v>7520</v>
      </c>
      <c r="Z717" t="s">
        <v>7521</v>
      </c>
      <c r="AA717" t="s">
        <v>7522</v>
      </c>
      <c r="AB717" t="s">
        <v>7523</v>
      </c>
      <c r="AC717" t="s">
        <v>74</v>
      </c>
      <c r="AD717" t="s">
        <v>74</v>
      </c>
      <c r="AE717" t="s">
        <v>74</v>
      </c>
      <c r="AF717" t="s">
        <v>74</v>
      </c>
      <c r="AG717">
        <v>32</v>
      </c>
      <c r="AH717">
        <v>25</v>
      </c>
      <c r="AI717">
        <v>25</v>
      </c>
      <c r="AJ717">
        <v>0</v>
      </c>
      <c r="AK717">
        <v>6</v>
      </c>
      <c r="AL717" t="s">
        <v>74</v>
      </c>
      <c r="AM717" t="s">
        <v>74</v>
      </c>
      <c r="AN717" t="s">
        <v>74</v>
      </c>
      <c r="AO717" t="s">
        <v>1082</v>
      </c>
      <c r="AP717" t="s">
        <v>74</v>
      </c>
      <c r="AQ717" t="s">
        <v>74</v>
      </c>
      <c r="AR717" t="s">
        <v>74</v>
      </c>
      <c r="AS717" t="s">
        <v>74</v>
      </c>
      <c r="AT717" t="s">
        <v>4432</v>
      </c>
      <c r="AU717">
        <v>2018</v>
      </c>
      <c r="AV717">
        <v>13</v>
      </c>
      <c r="AW717">
        <v>12</v>
      </c>
      <c r="AX717" t="s">
        <v>74</v>
      </c>
      <c r="AY717" t="s">
        <v>74</v>
      </c>
      <c r="AZ717" t="s">
        <v>74</v>
      </c>
      <c r="BA717" t="s">
        <v>74</v>
      </c>
      <c r="BB717" t="s">
        <v>74</v>
      </c>
      <c r="BC717" t="s">
        <v>74</v>
      </c>
      <c r="BD717" t="s">
        <v>7524</v>
      </c>
      <c r="BE717" t="s">
        <v>7525</v>
      </c>
      <c r="BF717" t="str">
        <f>HYPERLINK("http://dx.doi.org/10.1371/journal.pone.0205886","http://dx.doi.org/10.1371/journal.pone.0205886")</f>
        <v>http://dx.doi.org/10.1371/journal.pone.0205886</v>
      </c>
      <c r="BG717" t="s">
        <v>74</v>
      </c>
      <c r="BH717" t="s">
        <v>74</v>
      </c>
      <c r="BI717" t="s">
        <v>74</v>
      </c>
      <c r="BJ717" t="s">
        <v>152</v>
      </c>
      <c r="BK717" t="s">
        <v>117</v>
      </c>
      <c r="BL717" t="s">
        <v>153</v>
      </c>
      <c r="BM717" t="s">
        <v>74</v>
      </c>
      <c r="BN717">
        <v>30596665</v>
      </c>
      <c r="BO717" t="s">
        <v>74</v>
      </c>
      <c r="BP717" t="s">
        <v>74</v>
      </c>
      <c r="BQ717" t="s">
        <v>74</v>
      </c>
      <c r="BR717" t="s">
        <v>96</v>
      </c>
      <c r="BS717" t="s">
        <v>7526</v>
      </c>
      <c r="BT717" t="str">
        <f>HYPERLINK("https%3A%2F%2Fwww.webofscience.com%2Fwos%2Fwoscc%2Ffull-record%2FWOS:000454627200006","View Full Record in Web of Science")</f>
        <v>View Full Record in Web of Science</v>
      </c>
    </row>
    <row r="718" spans="1:72" x14ac:dyDescent="0.15">
      <c r="A718" t="s">
        <v>98</v>
      </c>
      <c r="B718" t="s">
        <v>7941</v>
      </c>
      <c r="C718" t="s">
        <v>74</v>
      </c>
      <c r="D718" t="s">
        <v>74</v>
      </c>
      <c r="E718" t="s">
        <v>74</v>
      </c>
      <c r="F718" t="s">
        <v>7942</v>
      </c>
      <c r="G718" t="s">
        <v>74</v>
      </c>
      <c r="H718" t="s">
        <v>74</v>
      </c>
      <c r="I718" t="s">
        <v>7943</v>
      </c>
      <c r="J718" t="s">
        <v>7944</v>
      </c>
      <c r="K718" t="s">
        <v>74</v>
      </c>
      <c r="L718" t="s">
        <v>74</v>
      </c>
      <c r="M718" t="s">
        <v>74</v>
      </c>
      <c r="N718" t="s">
        <v>103</v>
      </c>
      <c r="O718" t="s">
        <v>74</v>
      </c>
      <c r="P718" t="s">
        <v>74</v>
      </c>
      <c r="Q718" t="s">
        <v>74</v>
      </c>
      <c r="R718" t="s">
        <v>74</v>
      </c>
      <c r="S718" t="s">
        <v>74</v>
      </c>
      <c r="T718" t="s">
        <v>7945</v>
      </c>
      <c r="U718" t="s">
        <v>7946</v>
      </c>
      <c r="V718" t="s">
        <v>7947</v>
      </c>
      <c r="W718" t="s">
        <v>7948</v>
      </c>
      <c r="X718" t="s">
        <v>7949</v>
      </c>
      <c r="Y718" t="s">
        <v>7950</v>
      </c>
      <c r="Z718" t="s">
        <v>7951</v>
      </c>
      <c r="AA718" t="s">
        <v>7952</v>
      </c>
      <c r="AB718" t="s">
        <v>7953</v>
      </c>
      <c r="AC718" t="s">
        <v>74</v>
      </c>
      <c r="AD718" t="s">
        <v>74</v>
      </c>
      <c r="AE718" t="s">
        <v>74</v>
      </c>
      <c r="AF718" t="s">
        <v>74</v>
      </c>
      <c r="AG718">
        <v>28</v>
      </c>
      <c r="AH718">
        <v>25</v>
      </c>
      <c r="AI718">
        <v>28</v>
      </c>
      <c r="AJ718">
        <v>0</v>
      </c>
      <c r="AK718">
        <v>5</v>
      </c>
      <c r="AL718" t="s">
        <v>74</v>
      </c>
      <c r="AM718" t="s">
        <v>74</v>
      </c>
      <c r="AN718" t="s">
        <v>74</v>
      </c>
      <c r="AO718" t="s">
        <v>7954</v>
      </c>
      <c r="AP718" t="s">
        <v>7955</v>
      </c>
      <c r="AQ718" t="s">
        <v>74</v>
      </c>
      <c r="AR718" t="s">
        <v>74</v>
      </c>
      <c r="AS718" t="s">
        <v>74</v>
      </c>
      <c r="AT718" t="s">
        <v>967</v>
      </c>
      <c r="AU718">
        <v>2006</v>
      </c>
      <c r="AV718">
        <v>17</v>
      </c>
      <c r="AW718">
        <v>8</v>
      </c>
      <c r="AX718" t="s">
        <v>74</v>
      </c>
      <c r="AY718" t="s">
        <v>74</v>
      </c>
      <c r="AZ718" t="s">
        <v>74</v>
      </c>
      <c r="BA718" t="s">
        <v>74</v>
      </c>
      <c r="BB718">
        <v>571</v>
      </c>
      <c r="BC718">
        <v>576</v>
      </c>
      <c r="BD718" t="s">
        <v>74</v>
      </c>
      <c r="BE718" t="s">
        <v>7956</v>
      </c>
      <c r="BF718" t="str">
        <f>HYPERLINK("http://dx.doi.org/10.1080/09537100600760244","http://dx.doi.org/10.1080/09537100600760244")</f>
        <v>http://dx.doi.org/10.1080/09537100600760244</v>
      </c>
      <c r="BG718" t="s">
        <v>74</v>
      </c>
      <c r="BH718" t="s">
        <v>74</v>
      </c>
      <c r="BI718" t="s">
        <v>74</v>
      </c>
      <c r="BJ718" t="s">
        <v>7957</v>
      </c>
      <c r="BK718" t="s">
        <v>117</v>
      </c>
      <c r="BL718" t="s">
        <v>7957</v>
      </c>
      <c r="BM718" t="s">
        <v>74</v>
      </c>
      <c r="BN718">
        <v>17127485</v>
      </c>
      <c r="BO718" t="s">
        <v>74</v>
      </c>
      <c r="BP718" t="s">
        <v>74</v>
      </c>
      <c r="BQ718" t="s">
        <v>74</v>
      </c>
      <c r="BR718" t="s">
        <v>96</v>
      </c>
      <c r="BS718" t="s">
        <v>7958</v>
      </c>
      <c r="BT718" t="str">
        <f>HYPERLINK("https%3A%2F%2Fwww.webofscience.com%2Fwos%2Fwoscc%2Ffull-record%2FWOS:000242939500008","View Full Record in Web of Science")</f>
        <v>View Full Record in Web of Science</v>
      </c>
    </row>
    <row r="719" spans="1:72" x14ac:dyDescent="0.15">
      <c r="A719" t="s">
        <v>98</v>
      </c>
      <c r="B719" t="s">
        <v>10528</v>
      </c>
      <c r="C719" t="s">
        <v>74</v>
      </c>
      <c r="D719" t="s">
        <v>74</v>
      </c>
      <c r="E719" t="s">
        <v>74</v>
      </c>
      <c r="F719" t="s">
        <v>10529</v>
      </c>
      <c r="G719" t="s">
        <v>74</v>
      </c>
      <c r="H719" t="s">
        <v>74</v>
      </c>
      <c r="I719" t="s">
        <v>10530</v>
      </c>
      <c r="J719" t="s">
        <v>8839</v>
      </c>
      <c r="K719" t="s">
        <v>74</v>
      </c>
      <c r="L719" t="s">
        <v>74</v>
      </c>
      <c r="M719" t="s">
        <v>74</v>
      </c>
      <c r="N719" t="s">
        <v>103</v>
      </c>
      <c r="O719" t="s">
        <v>74</v>
      </c>
      <c r="P719" t="s">
        <v>74</v>
      </c>
      <c r="Q719" t="s">
        <v>74</v>
      </c>
      <c r="R719" t="s">
        <v>74</v>
      </c>
      <c r="S719" t="s">
        <v>74</v>
      </c>
      <c r="T719" t="s">
        <v>10531</v>
      </c>
      <c r="U719" t="s">
        <v>10532</v>
      </c>
      <c r="V719" t="s">
        <v>10533</v>
      </c>
      <c r="W719" t="s">
        <v>10534</v>
      </c>
      <c r="X719" t="s">
        <v>10535</v>
      </c>
      <c r="Y719" t="s">
        <v>10536</v>
      </c>
      <c r="Z719" t="s">
        <v>10537</v>
      </c>
      <c r="AA719" t="s">
        <v>10538</v>
      </c>
      <c r="AB719" t="s">
        <v>10539</v>
      </c>
      <c r="AC719" t="s">
        <v>74</v>
      </c>
      <c r="AD719" t="s">
        <v>74</v>
      </c>
      <c r="AE719" t="s">
        <v>74</v>
      </c>
      <c r="AF719" t="s">
        <v>74</v>
      </c>
      <c r="AG719">
        <v>34</v>
      </c>
      <c r="AH719">
        <v>25</v>
      </c>
      <c r="AI719">
        <v>27</v>
      </c>
      <c r="AJ719">
        <v>5</v>
      </c>
      <c r="AK719">
        <v>20</v>
      </c>
      <c r="AL719" t="s">
        <v>74</v>
      </c>
      <c r="AM719" t="s">
        <v>74</v>
      </c>
      <c r="AN719" t="s">
        <v>74</v>
      </c>
      <c r="AO719" t="s">
        <v>74</v>
      </c>
      <c r="AP719" t="s">
        <v>8847</v>
      </c>
      <c r="AQ719" t="s">
        <v>74</v>
      </c>
      <c r="AR719" t="s">
        <v>74</v>
      </c>
      <c r="AS719" t="s">
        <v>74</v>
      </c>
      <c r="AT719" t="s">
        <v>531</v>
      </c>
      <c r="AU719">
        <v>2020</v>
      </c>
      <c r="AV719">
        <v>12</v>
      </c>
      <c r="AW719">
        <v>9</v>
      </c>
      <c r="AX719" t="s">
        <v>74</v>
      </c>
      <c r="AY719" t="s">
        <v>74</v>
      </c>
      <c r="AZ719" t="s">
        <v>74</v>
      </c>
      <c r="BA719" t="s">
        <v>74</v>
      </c>
      <c r="BB719" t="s">
        <v>74</v>
      </c>
      <c r="BC719" t="s">
        <v>74</v>
      </c>
      <c r="BD719">
        <v>2589</v>
      </c>
      <c r="BE719" t="s">
        <v>10540</v>
      </c>
      <c r="BF719" t="str">
        <f>HYPERLINK("http://dx.doi.org/10.3390/nu12092589","http://dx.doi.org/10.3390/nu12092589")</f>
        <v>http://dx.doi.org/10.3390/nu12092589</v>
      </c>
      <c r="BG719" t="s">
        <v>74</v>
      </c>
      <c r="BH719" t="s">
        <v>74</v>
      </c>
      <c r="BI719" t="s">
        <v>74</v>
      </c>
      <c r="BJ719" t="s">
        <v>8849</v>
      </c>
      <c r="BK719" t="s">
        <v>117</v>
      </c>
      <c r="BL719" t="s">
        <v>8849</v>
      </c>
      <c r="BM719" t="s">
        <v>74</v>
      </c>
      <c r="BN719">
        <v>32858892</v>
      </c>
      <c r="BO719" t="s">
        <v>74</v>
      </c>
      <c r="BP719" t="s">
        <v>74</v>
      </c>
      <c r="BQ719" t="s">
        <v>74</v>
      </c>
      <c r="BR719" t="s">
        <v>96</v>
      </c>
      <c r="BS719" t="s">
        <v>10541</v>
      </c>
      <c r="BT719" t="str">
        <f>HYPERLINK("https%3A%2F%2Fwww.webofscience.com%2Fwos%2Fwoscc%2Ffull-record%2FWOS:000581486400001","View Full Record in Web of Science")</f>
        <v>View Full Record in Web of Science</v>
      </c>
    </row>
    <row r="720" spans="1:72" x14ac:dyDescent="0.15">
      <c r="A720" t="s">
        <v>98</v>
      </c>
      <c r="B720" t="s">
        <v>17092</v>
      </c>
      <c r="C720" t="s">
        <v>74</v>
      </c>
      <c r="D720" t="s">
        <v>74</v>
      </c>
      <c r="E720" t="s">
        <v>74</v>
      </c>
      <c r="F720" t="s">
        <v>17093</v>
      </c>
      <c r="G720" t="s">
        <v>74</v>
      </c>
      <c r="H720" t="s">
        <v>74</v>
      </c>
      <c r="I720" t="s">
        <v>17094</v>
      </c>
      <c r="J720" t="s">
        <v>5139</v>
      </c>
      <c r="K720" t="s">
        <v>74</v>
      </c>
      <c r="L720" t="s">
        <v>74</v>
      </c>
      <c r="M720" t="s">
        <v>74</v>
      </c>
      <c r="N720" t="s">
        <v>103</v>
      </c>
      <c r="O720" t="s">
        <v>74</v>
      </c>
      <c r="P720" t="s">
        <v>74</v>
      </c>
      <c r="Q720" t="s">
        <v>74</v>
      </c>
      <c r="R720" t="s">
        <v>74</v>
      </c>
      <c r="S720" t="s">
        <v>74</v>
      </c>
      <c r="T720" t="s">
        <v>74</v>
      </c>
      <c r="U720" t="s">
        <v>17095</v>
      </c>
      <c r="V720" t="s">
        <v>17096</v>
      </c>
      <c r="W720" t="s">
        <v>17097</v>
      </c>
      <c r="X720" t="s">
        <v>17098</v>
      </c>
      <c r="Y720" t="s">
        <v>17099</v>
      </c>
      <c r="Z720" t="s">
        <v>17100</v>
      </c>
      <c r="AA720" t="s">
        <v>17101</v>
      </c>
      <c r="AB720" t="s">
        <v>17102</v>
      </c>
      <c r="AC720" t="s">
        <v>74</v>
      </c>
      <c r="AD720" t="s">
        <v>74</v>
      </c>
      <c r="AE720" t="s">
        <v>74</v>
      </c>
      <c r="AF720" t="s">
        <v>74</v>
      </c>
      <c r="AG720">
        <v>101</v>
      </c>
      <c r="AH720">
        <v>25</v>
      </c>
      <c r="AI720">
        <v>25</v>
      </c>
      <c r="AJ720">
        <v>2</v>
      </c>
      <c r="AK720">
        <v>16</v>
      </c>
      <c r="AL720" t="s">
        <v>74</v>
      </c>
      <c r="AM720" t="s">
        <v>74</v>
      </c>
      <c r="AN720" t="s">
        <v>74</v>
      </c>
      <c r="AO720" t="s">
        <v>5148</v>
      </c>
      <c r="AP720" t="s">
        <v>74</v>
      </c>
      <c r="AQ720" t="s">
        <v>74</v>
      </c>
      <c r="AR720" t="s">
        <v>74</v>
      </c>
      <c r="AS720" t="s">
        <v>74</v>
      </c>
      <c r="AT720" t="s">
        <v>17103</v>
      </c>
      <c r="AU720">
        <v>2020</v>
      </c>
      <c r="AV720">
        <v>11</v>
      </c>
      <c r="AW720">
        <v>1</v>
      </c>
      <c r="AX720" t="s">
        <v>74</v>
      </c>
      <c r="AY720" t="s">
        <v>74</v>
      </c>
      <c r="AZ720" t="s">
        <v>74</v>
      </c>
      <c r="BA720" t="s">
        <v>74</v>
      </c>
      <c r="BB720" t="s">
        <v>74</v>
      </c>
      <c r="BC720" t="s">
        <v>74</v>
      </c>
      <c r="BD720">
        <v>42</v>
      </c>
      <c r="BE720" t="s">
        <v>17104</v>
      </c>
      <c r="BF720" t="str">
        <f>HYPERLINK("http://dx.doi.org/10.1038/s41467-019-13894-9","http://dx.doi.org/10.1038/s41467-019-13894-9")</f>
        <v>http://dx.doi.org/10.1038/s41467-019-13894-9</v>
      </c>
      <c r="BG720" t="s">
        <v>74</v>
      </c>
      <c r="BH720" t="s">
        <v>74</v>
      </c>
      <c r="BI720" t="s">
        <v>74</v>
      </c>
      <c r="BJ720" t="s">
        <v>152</v>
      </c>
      <c r="BK720" t="s">
        <v>117</v>
      </c>
      <c r="BL720" t="s">
        <v>153</v>
      </c>
      <c r="BM720" t="s">
        <v>74</v>
      </c>
      <c r="BN720">
        <v>31896748</v>
      </c>
      <c r="BO720" t="s">
        <v>74</v>
      </c>
      <c r="BP720" t="s">
        <v>74</v>
      </c>
      <c r="BQ720" t="s">
        <v>74</v>
      </c>
      <c r="BR720" t="s">
        <v>96</v>
      </c>
      <c r="BS720" t="s">
        <v>17105</v>
      </c>
      <c r="BT720" t="str">
        <f>HYPERLINK("https%3A%2F%2Fwww.webofscience.com%2Fwos%2Fwoscc%2Ffull-record%2FWOS:000551395800001","View Full Record in Web of Science")</f>
        <v>View Full Record in Web of Science</v>
      </c>
    </row>
    <row r="721" spans="1:72" x14ac:dyDescent="0.15">
      <c r="A721" t="s">
        <v>98</v>
      </c>
      <c r="B721" t="s">
        <v>17483</v>
      </c>
      <c r="C721" t="s">
        <v>74</v>
      </c>
      <c r="D721" t="s">
        <v>74</v>
      </c>
      <c r="E721" t="s">
        <v>74</v>
      </c>
      <c r="F721" t="s">
        <v>17484</v>
      </c>
      <c r="G721" t="s">
        <v>74</v>
      </c>
      <c r="H721" t="s">
        <v>74</v>
      </c>
      <c r="I721" t="s">
        <v>17485</v>
      </c>
      <c r="J721" t="s">
        <v>6885</v>
      </c>
      <c r="K721" t="s">
        <v>74</v>
      </c>
      <c r="L721" t="s">
        <v>74</v>
      </c>
      <c r="M721" t="s">
        <v>74</v>
      </c>
      <c r="N721" t="s">
        <v>103</v>
      </c>
      <c r="O721" t="s">
        <v>74</v>
      </c>
      <c r="P721" t="s">
        <v>74</v>
      </c>
      <c r="Q721" t="s">
        <v>74</v>
      </c>
      <c r="R721" t="s">
        <v>74</v>
      </c>
      <c r="S721" t="s">
        <v>74</v>
      </c>
      <c r="T721" t="s">
        <v>74</v>
      </c>
      <c r="U721" t="s">
        <v>17486</v>
      </c>
      <c r="V721" t="s">
        <v>17487</v>
      </c>
      <c r="W721" t="s">
        <v>17488</v>
      </c>
      <c r="X721" t="s">
        <v>17489</v>
      </c>
      <c r="Y721" t="s">
        <v>17490</v>
      </c>
      <c r="Z721" t="s">
        <v>17491</v>
      </c>
      <c r="AA721" t="s">
        <v>17492</v>
      </c>
      <c r="AB721" t="s">
        <v>74</v>
      </c>
      <c r="AC721" t="s">
        <v>74</v>
      </c>
      <c r="AD721" t="s">
        <v>74</v>
      </c>
      <c r="AE721" t="s">
        <v>74</v>
      </c>
      <c r="AF721" t="s">
        <v>74</v>
      </c>
      <c r="AG721">
        <v>31</v>
      </c>
      <c r="AH721">
        <v>25</v>
      </c>
      <c r="AI721">
        <v>25</v>
      </c>
      <c r="AJ721">
        <v>3</v>
      </c>
      <c r="AK721">
        <v>13</v>
      </c>
      <c r="AL721" t="s">
        <v>74</v>
      </c>
      <c r="AM721" t="s">
        <v>74</v>
      </c>
      <c r="AN721" t="s">
        <v>74</v>
      </c>
      <c r="AO721" t="s">
        <v>6894</v>
      </c>
      <c r="AP721" t="s">
        <v>74</v>
      </c>
      <c r="AQ721" t="s">
        <v>74</v>
      </c>
      <c r="AR721" t="s">
        <v>74</v>
      </c>
      <c r="AS721" t="s">
        <v>74</v>
      </c>
      <c r="AT721" t="s">
        <v>14296</v>
      </c>
      <c r="AU721">
        <v>2021</v>
      </c>
      <c r="AV721">
        <v>23</v>
      </c>
      <c r="AW721" t="s">
        <v>74</v>
      </c>
      <c r="AX721" t="s">
        <v>74</v>
      </c>
      <c r="AY721" t="s">
        <v>74</v>
      </c>
      <c r="AZ721" t="s">
        <v>74</v>
      </c>
      <c r="BA721" t="s">
        <v>74</v>
      </c>
      <c r="BB721">
        <v>1334</v>
      </c>
      <c r="BC721">
        <v>1344</v>
      </c>
      <c r="BD721" t="s">
        <v>74</v>
      </c>
      <c r="BE721" t="s">
        <v>17493</v>
      </c>
      <c r="BF721" t="str">
        <f>HYPERLINK("http://dx.doi.org/10.1016/j.omtn.2021.01.022","http://dx.doi.org/10.1016/j.omtn.2021.01.022")</f>
        <v>http://dx.doi.org/10.1016/j.omtn.2021.01.022</v>
      </c>
      <c r="BG721" t="s">
        <v>74</v>
      </c>
      <c r="BH721" t="s">
        <v>1557</v>
      </c>
      <c r="BI721" t="s">
        <v>74</v>
      </c>
      <c r="BJ721" t="s">
        <v>795</v>
      </c>
      <c r="BK721" t="s">
        <v>117</v>
      </c>
      <c r="BL721" t="s">
        <v>796</v>
      </c>
      <c r="BM721" t="s">
        <v>74</v>
      </c>
      <c r="BN721">
        <v>33717653</v>
      </c>
      <c r="BO721" t="s">
        <v>74</v>
      </c>
      <c r="BP721" t="s">
        <v>74</v>
      </c>
      <c r="BQ721" t="s">
        <v>74</v>
      </c>
      <c r="BR721" t="s">
        <v>96</v>
      </c>
      <c r="BS721" t="s">
        <v>17494</v>
      </c>
      <c r="BT721" t="str">
        <f>HYPERLINK("https%3A%2F%2Fwww.webofscience.com%2Fwos%2Fwoscc%2Ffull-record%2FWOS:000631861800009","View Full Record in Web of Science")</f>
        <v>View Full Record in Web of Science</v>
      </c>
    </row>
    <row r="722" spans="1:72" x14ac:dyDescent="0.15">
      <c r="A722" t="s">
        <v>98</v>
      </c>
      <c r="B722" t="s">
        <v>17780</v>
      </c>
      <c r="C722" t="s">
        <v>74</v>
      </c>
      <c r="D722" t="s">
        <v>74</v>
      </c>
      <c r="E722" t="s">
        <v>74</v>
      </c>
      <c r="F722" t="s">
        <v>17781</v>
      </c>
      <c r="G722" t="s">
        <v>74</v>
      </c>
      <c r="H722" t="s">
        <v>74</v>
      </c>
      <c r="I722" t="s">
        <v>17782</v>
      </c>
      <c r="J722" t="s">
        <v>7572</v>
      </c>
      <c r="K722" t="s">
        <v>74</v>
      </c>
      <c r="L722" t="s">
        <v>74</v>
      </c>
      <c r="M722" t="s">
        <v>74</v>
      </c>
      <c r="N722" t="s">
        <v>103</v>
      </c>
      <c r="O722" t="s">
        <v>74</v>
      </c>
      <c r="P722" t="s">
        <v>74</v>
      </c>
      <c r="Q722" t="s">
        <v>74</v>
      </c>
      <c r="R722" t="s">
        <v>74</v>
      </c>
      <c r="S722" t="s">
        <v>74</v>
      </c>
      <c r="T722" t="s">
        <v>74</v>
      </c>
      <c r="U722" t="s">
        <v>17783</v>
      </c>
      <c r="V722" t="s">
        <v>17784</v>
      </c>
      <c r="W722" t="s">
        <v>17785</v>
      </c>
      <c r="X722" t="s">
        <v>17786</v>
      </c>
      <c r="Y722" t="s">
        <v>17787</v>
      </c>
      <c r="Z722" t="s">
        <v>17788</v>
      </c>
      <c r="AA722" t="s">
        <v>17789</v>
      </c>
      <c r="AB722" t="s">
        <v>17790</v>
      </c>
      <c r="AC722" t="s">
        <v>74</v>
      </c>
      <c r="AD722" t="s">
        <v>74</v>
      </c>
      <c r="AE722" t="s">
        <v>74</v>
      </c>
      <c r="AF722" t="s">
        <v>74</v>
      </c>
      <c r="AG722">
        <v>87</v>
      </c>
      <c r="AH722">
        <v>25</v>
      </c>
      <c r="AI722">
        <v>26</v>
      </c>
      <c r="AJ722">
        <v>2</v>
      </c>
      <c r="AK722">
        <v>39</v>
      </c>
      <c r="AL722" t="s">
        <v>74</v>
      </c>
      <c r="AM722" t="s">
        <v>74</v>
      </c>
      <c r="AN722" t="s">
        <v>74</v>
      </c>
      <c r="AO722" t="s">
        <v>7581</v>
      </c>
      <c r="AP722" t="s">
        <v>7582</v>
      </c>
      <c r="AQ722" t="s">
        <v>74</v>
      </c>
      <c r="AR722" t="s">
        <v>74</v>
      </c>
      <c r="AS722" t="s">
        <v>74</v>
      </c>
      <c r="AT722" t="s">
        <v>211</v>
      </c>
      <c r="AU722">
        <v>2016</v>
      </c>
      <c r="AV722">
        <v>18</v>
      </c>
      <c r="AW722">
        <v>11</v>
      </c>
      <c r="AX722" t="s">
        <v>74</v>
      </c>
      <c r="AY722" t="s">
        <v>74</v>
      </c>
      <c r="AZ722" t="s">
        <v>447</v>
      </c>
      <c r="BA722" t="s">
        <v>74</v>
      </c>
      <c r="BB722">
        <v>4103</v>
      </c>
      <c r="BC722">
        <v>4117</v>
      </c>
      <c r="BD722" t="s">
        <v>74</v>
      </c>
      <c r="BE722" t="s">
        <v>17791</v>
      </c>
      <c r="BF722" t="str">
        <f>HYPERLINK("http://dx.doi.org/10.1111/1462-2920.13446","http://dx.doi.org/10.1111/1462-2920.13446")</f>
        <v>http://dx.doi.org/10.1111/1462-2920.13446</v>
      </c>
      <c r="BG722" t="s">
        <v>74</v>
      </c>
      <c r="BH722" t="s">
        <v>74</v>
      </c>
      <c r="BI722" t="s">
        <v>74</v>
      </c>
      <c r="BJ722" t="s">
        <v>898</v>
      </c>
      <c r="BK722" t="s">
        <v>117</v>
      </c>
      <c r="BL722" t="s">
        <v>898</v>
      </c>
      <c r="BM722" t="s">
        <v>74</v>
      </c>
      <c r="BN722">
        <v>27387368</v>
      </c>
      <c r="BO722" t="s">
        <v>74</v>
      </c>
      <c r="BP722" t="s">
        <v>74</v>
      </c>
      <c r="BQ722" t="s">
        <v>74</v>
      </c>
      <c r="BR722" t="s">
        <v>96</v>
      </c>
      <c r="BS722" t="s">
        <v>17792</v>
      </c>
      <c r="BT722" t="str">
        <f>HYPERLINK("https%3A%2F%2Fwww.webofscience.com%2Fwos%2Fwoscc%2Ffull-record%2FWOS:000388614800036","View Full Record in Web of Science")</f>
        <v>View Full Record in Web of Science</v>
      </c>
    </row>
    <row r="723" spans="1:72" x14ac:dyDescent="0.15">
      <c r="A723" t="s">
        <v>98</v>
      </c>
      <c r="B723" t="s">
        <v>18141</v>
      </c>
      <c r="C723" t="s">
        <v>74</v>
      </c>
      <c r="D723" t="s">
        <v>74</v>
      </c>
      <c r="E723" t="s">
        <v>74</v>
      </c>
      <c r="F723" t="s">
        <v>18142</v>
      </c>
      <c r="G723" t="s">
        <v>74</v>
      </c>
      <c r="H723" t="s">
        <v>74</v>
      </c>
      <c r="I723" t="s">
        <v>18143</v>
      </c>
      <c r="J723" t="s">
        <v>4486</v>
      </c>
      <c r="K723" t="s">
        <v>74</v>
      </c>
      <c r="L723" t="s">
        <v>74</v>
      </c>
      <c r="M723" t="s">
        <v>74</v>
      </c>
      <c r="N723" t="s">
        <v>103</v>
      </c>
      <c r="O723" t="s">
        <v>74</v>
      </c>
      <c r="P723" t="s">
        <v>74</v>
      </c>
      <c r="Q723" t="s">
        <v>74</v>
      </c>
      <c r="R723" t="s">
        <v>74</v>
      </c>
      <c r="S723" t="s">
        <v>74</v>
      </c>
      <c r="T723" t="s">
        <v>74</v>
      </c>
      <c r="U723" t="s">
        <v>18144</v>
      </c>
      <c r="V723" t="s">
        <v>18145</v>
      </c>
      <c r="W723" t="s">
        <v>18146</v>
      </c>
      <c r="X723" t="s">
        <v>15242</v>
      </c>
      <c r="Y723" t="s">
        <v>18147</v>
      </c>
      <c r="Z723" t="s">
        <v>16614</v>
      </c>
      <c r="AA723" t="s">
        <v>18148</v>
      </c>
      <c r="AB723" t="s">
        <v>18149</v>
      </c>
      <c r="AC723" t="s">
        <v>74</v>
      </c>
      <c r="AD723" t="s">
        <v>74</v>
      </c>
      <c r="AE723" t="s">
        <v>74</v>
      </c>
      <c r="AF723" t="s">
        <v>74</v>
      </c>
      <c r="AG723">
        <v>101</v>
      </c>
      <c r="AH723">
        <v>25</v>
      </c>
      <c r="AI723">
        <v>25</v>
      </c>
      <c r="AJ723">
        <v>26</v>
      </c>
      <c r="AK723">
        <v>104</v>
      </c>
      <c r="AL723" t="s">
        <v>74</v>
      </c>
      <c r="AM723" t="s">
        <v>74</v>
      </c>
      <c r="AN723" t="s">
        <v>74</v>
      </c>
      <c r="AO723" t="s">
        <v>4493</v>
      </c>
      <c r="AP723" t="s">
        <v>4494</v>
      </c>
      <c r="AQ723" t="s">
        <v>74</v>
      </c>
      <c r="AR723" t="s">
        <v>74</v>
      </c>
      <c r="AS723" t="s">
        <v>74</v>
      </c>
      <c r="AT723" t="s">
        <v>9537</v>
      </c>
      <c r="AU723">
        <v>2020</v>
      </c>
      <c r="AV723">
        <v>92</v>
      </c>
      <c r="AW723">
        <v>19</v>
      </c>
      <c r="AX723" t="s">
        <v>74</v>
      </c>
      <c r="AY723" t="s">
        <v>74</v>
      </c>
      <c r="AZ723" t="s">
        <v>74</v>
      </c>
      <c r="BA723" t="s">
        <v>74</v>
      </c>
      <c r="BB723">
        <v>12733</v>
      </c>
      <c r="BC723">
        <v>12740</v>
      </c>
      <c r="BD723" t="s">
        <v>74</v>
      </c>
      <c r="BE723" t="s">
        <v>18150</v>
      </c>
      <c r="BF723" t="str">
        <f>HYPERLINK("http://dx.doi.org/10.1021/acs.analchem.0c02745","http://dx.doi.org/10.1021/acs.analchem.0c02745")</f>
        <v>http://dx.doi.org/10.1021/acs.analchem.0c02745</v>
      </c>
      <c r="BG723" t="s">
        <v>74</v>
      </c>
      <c r="BH723" t="s">
        <v>74</v>
      </c>
      <c r="BI723" t="s">
        <v>74</v>
      </c>
      <c r="BJ723" t="s">
        <v>1118</v>
      </c>
      <c r="BK723" t="s">
        <v>117</v>
      </c>
      <c r="BL723" t="s">
        <v>1048</v>
      </c>
      <c r="BM723" t="s">
        <v>74</v>
      </c>
      <c r="BN723">
        <v>32902258</v>
      </c>
      <c r="BO723" t="s">
        <v>74</v>
      </c>
      <c r="BP723" t="s">
        <v>74</v>
      </c>
      <c r="BQ723" t="s">
        <v>74</v>
      </c>
      <c r="BR723" t="s">
        <v>96</v>
      </c>
      <c r="BS723" t="s">
        <v>18151</v>
      </c>
      <c r="BT723" t="str">
        <f>HYPERLINK("https%3A%2F%2Fwww.webofscience.com%2Fwos%2Fwoscc%2Ffull-record%2FWOS:000580426800001","View Full Record in Web of Science")</f>
        <v>View Full Record in Web of Science</v>
      </c>
    </row>
    <row r="724" spans="1:72" x14ac:dyDescent="0.15">
      <c r="A724" t="s">
        <v>98</v>
      </c>
      <c r="B724" t="s">
        <v>19486</v>
      </c>
      <c r="C724" t="s">
        <v>74</v>
      </c>
      <c r="D724" t="s">
        <v>74</v>
      </c>
      <c r="E724" t="s">
        <v>74</v>
      </c>
      <c r="F724" t="s">
        <v>19487</v>
      </c>
      <c r="G724" t="s">
        <v>74</v>
      </c>
      <c r="H724" t="s">
        <v>74</v>
      </c>
      <c r="I724" t="s">
        <v>19488</v>
      </c>
      <c r="J724" t="s">
        <v>7995</v>
      </c>
      <c r="K724" t="s">
        <v>74</v>
      </c>
      <c r="L724" t="s">
        <v>74</v>
      </c>
      <c r="M724" t="s">
        <v>74</v>
      </c>
      <c r="N724" t="s">
        <v>103</v>
      </c>
      <c r="O724" t="s">
        <v>74</v>
      </c>
      <c r="P724" t="s">
        <v>74</v>
      </c>
      <c r="Q724" t="s">
        <v>74</v>
      </c>
      <c r="R724" t="s">
        <v>74</v>
      </c>
      <c r="S724" t="s">
        <v>74</v>
      </c>
      <c r="T724" t="s">
        <v>19489</v>
      </c>
      <c r="U724" t="s">
        <v>19490</v>
      </c>
      <c r="V724" t="s">
        <v>19491</v>
      </c>
      <c r="W724" t="s">
        <v>19492</v>
      </c>
      <c r="X724" t="s">
        <v>19493</v>
      </c>
      <c r="Y724" t="s">
        <v>19494</v>
      </c>
      <c r="Z724" t="s">
        <v>19495</v>
      </c>
      <c r="AA724" t="s">
        <v>19496</v>
      </c>
      <c r="AB724" t="s">
        <v>19497</v>
      </c>
      <c r="AC724" t="s">
        <v>74</v>
      </c>
      <c r="AD724" t="s">
        <v>74</v>
      </c>
      <c r="AE724" t="s">
        <v>74</v>
      </c>
      <c r="AF724" t="s">
        <v>74</v>
      </c>
      <c r="AG724">
        <v>35</v>
      </c>
      <c r="AH724">
        <v>25</v>
      </c>
      <c r="AI724">
        <v>27</v>
      </c>
      <c r="AJ724">
        <v>0</v>
      </c>
      <c r="AK724">
        <v>11</v>
      </c>
      <c r="AL724" t="s">
        <v>74</v>
      </c>
      <c r="AM724" t="s">
        <v>74</v>
      </c>
      <c r="AN724" t="s">
        <v>74</v>
      </c>
      <c r="AO724" t="s">
        <v>8005</v>
      </c>
      <c r="AP724" t="s">
        <v>74</v>
      </c>
      <c r="AQ724" t="s">
        <v>74</v>
      </c>
      <c r="AR724" t="s">
        <v>74</v>
      </c>
      <c r="AS724" t="s">
        <v>74</v>
      </c>
      <c r="AT724" t="s">
        <v>230</v>
      </c>
      <c r="AU724">
        <v>2006</v>
      </c>
      <c r="AV724">
        <v>23</v>
      </c>
      <c r="AW724">
        <v>8</v>
      </c>
      <c r="AX724" t="s">
        <v>74</v>
      </c>
      <c r="AY724" t="s">
        <v>74</v>
      </c>
      <c r="AZ724" t="s">
        <v>74</v>
      </c>
      <c r="BA724" t="s">
        <v>74</v>
      </c>
      <c r="BB724">
        <v>1687</v>
      </c>
      <c r="BC724">
        <v>1695</v>
      </c>
      <c r="BD724" t="s">
        <v>74</v>
      </c>
      <c r="BE724" t="s">
        <v>19498</v>
      </c>
      <c r="BF724" t="str">
        <f>HYPERLINK("http://dx.doi.org/10.1007/s11095-006-9043-0","http://dx.doi.org/10.1007/s11095-006-9043-0")</f>
        <v>http://dx.doi.org/10.1007/s11095-006-9043-0</v>
      </c>
      <c r="BG724" t="s">
        <v>74</v>
      </c>
      <c r="BH724" t="s">
        <v>74</v>
      </c>
      <c r="BI724" t="s">
        <v>74</v>
      </c>
      <c r="BJ724" t="s">
        <v>396</v>
      </c>
      <c r="BK724" t="s">
        <v>117</v>
      </c>
      <c r="BL724" t="s">
        <v>397</v>
      </c>
      <c r="BM724" t="s">
        <v>74</v>
      </c>
      <c r="BN724">
        <v>16841193</v>
      </c>
      <c r="BO724" t="s">
        <v>74</v>
      </c>
      <c r="BP724" t="s">
        <v>74</v>
      </c>
      <c r="BQ724" t="s">
        <v>74</v>
      </c>
      <c r="BR724" t="s">
        <v>96</v>
      </c>
      <c r="BS724" t="s">
        <v>19499</v>
      </c>
      <c r="BT724" t="str">
        <f>HYPERLINK("https%3A%2F%2Fwww.webofscience.com%2Fwos%2Fwoscc%2Ffull-record%2FWOS:000239666100006","View Full Record in Web of Science")</f>
        <v>View Full Record in Web of Science</v>
      </c>
    </row>
    <row r="725" spans="1:72" x14ac:dyDescent="0.15">
      <c r="A725" t="s">
        <v>98</v>
      </c>
      <c r="B725" t="s">
        <v>19570</v>
      </c>
      <c r="C725" t="s">
        <v>74</v>
      </c>
      <c r="D725" t="s">
        <v>74</v>
      </c>
      <c r="E725" t="s">
        <v>74</v>
      </c>
      <c r="F725" t="s">
        <v>19571</v>
      </c>
      <c r="G725" t="s">
        <v>74</v>
      </c>
      <c r="H725" t="s">
        <v>74</v>
      </c>
      <c r="I725" t="s">
        <v>19572</v>
      </c>
      <c r="J725" t="s">
        <v>11811</v>
      </c>
      <c r="K725" t="s">
        <v>74</v>
      </c>
      <c r="L725" t="s">
        <v>74</v>
      </c>
      <c r="M725" t="s">
        <v>74</v>
      </c>
      <c r="N725" t="s">
        <v>103</v>
      </c>
      <c r="O725" t="s">
        <v>74</v>
      </c>
      <c r="P725" t="s">
        <v>74</v>
      </c>
      <c r="Q725" t="s">
        <v>74</v>
      </c>
      <c r="R725" t="s">
        <v>74</v>
      </c>
      <c r="S725" t="s">
        <v>74</v>
      </c>
      <c r="T725" t="s">
        <v>74</v>
      </c>
      <c r="U725" t="s">
        <v>19573</v>
      </c>
      <c r="V725" t="s">
        <v>19574</v>
      </c>
      <c r="W725" t="s">
        <v>19575</v>
      </c>
      <c r="X725" t="s">
        <v>19576</v>
      </c>
      <c r="Y725" t="s">
        <v>19577</v>
      </c>
      <c r="Z725" t="s">
        <v>19578</v>
      </c>
      <c r="AA725" t="s">
        <v>19579</v>
      </c>
      <c r="AB725" t="s">
        <v>19580</v>
      </c>
      <c r="AC725" t="s">
        <v>74</v>
      </c>
      <c r="AD725" t="s">
        <v>74</v>
      </c>
      <c r="AE725" t="s">
        <v>74</v>
      </c>
      <c r="AF725" t="s">
        <v>74</v>
      </c>
      <c r="AG725">
        <v>49</v>
      </c>
      <c r="AH725">
        <v>25</v>
      </c>
      <c r="AI725">
        <v>25</v>
      </c>
      <c r="AJ725">
        <v>0</v>
      </c>
      <c r="AK725">
        <v>10</v>
      </c>
      <c r="AL725" t="s">
        <v>74</v>
      </c>
      <c r="AM725" t="s">
        <v>74</v>
      </c>
      <c r="AN725" t="s">
        <v>74</v>
      </c>
      <c r="AO725" t="s">
        <v>11820</v>
      </c>
      <c r="AP725" t="s">
        <v>74</v>
      </c>
      <c r="AQ725" t="s">
        <v>74</v>
      </c>
      <c r="AR725" t="s">
        <v>74</v>
      </c>
      <c r="AS725" t="s">
        <v>74</v>
      </c>
      <c r="AT725" t="s">
        <v>283</v>
      </c>
      <c r="AU725">
        <v>2017</v>
      </c>
      <c r="AV725">
        <v>8</v>
      </c>
      <c r="AW725" t="s">
        <v>74</v>
      </c>
      <c r="AX725" t="s">
        <v>74</v>
      </c>
      <c r="AY725" t="s">
        <v>74</v>
      </c>
      <c r="AZ725" t="s">
        <v>74</v>
      </c>
      <c r="BA725" t="s">
        <v>74</v>
      </c>
      <c r="BB725" t="s">
        <v>74</v>
      </c>
      <c r="BC725" t="s">
        <v>74</v>
      </c>
      <c r="BD725" t="s">
        <v>19581</v>
      </c>
      <c r="BE725" t="s">
        <v>19582</v>
      </c>
      <c r="BF725" t="str">
        <f>HYPERLINK("http://dx.doi.org/10.1038/cddis.2016.403","http://dx.doi.org/10.1038/cddis.2016.403")</f>
        <v>http://dx.doi.org/10.1038/cddis.2016.403</v>
      </c>
      <c r="BG725" t="s">
        <v>74</v>
      </c>
      <c r="BH725" t="s">
        <v>74</v>
      </c>
      <c r="BI725" t="s">
        <v>74</v>
      </c>
      <c r="BJ725" t="s">
        <v>135</v>
      </c>
      <c r="BK725" t="s">
        <v>117</v>
      </c>
      <c r="BL725" t="s">
        <v>135</v>
      </c>
      <c r="BM725" t="s">
        <v>74</v>
      </c>
      <c r="BN725">
        <v>28151481</v>
      </c>
      <c r="BO725" t="s">
        <v>74</v>
      </c>
      <c r="BP725" t="s">
        <v>74</v>
      </c>
      <c r="BQ725" t="s">
        <v>74</v>
      </c>
      <c r="BR725" t="s">
        <v>96</v>
      </c>
      <c r="BS725" t="s">
        <v>19583</v>
      </c>
      <c r="BT725" t="str">
        <f>HYPERLINK("https%3A%2F%2Fwww.webofscience.com%2Fwos%2Fwoscc%2Ffull-record%2FWOS:000393680700028","View Full Record in Web of Science")</f>
        <v>View Full Record in Web of Science</v>
      </c>
    </row>
    <row r="726" spans="1:72" x14ac:dyDescent="0.15">
      <c r="A726" t="s">
        <v>98</v>
      </c>
      <c r="B726" t="s">
        <v>21833</v>
      </c>
      <c r="C726" t="s">
        <v>74</v>
      </c>
      <c r="D726" t="s">
        <v>74</v>
      </c>
      <c r="E726" t="s">
        <v>74</v>
      </c>
      <c r="F726" t="s">
        <v>21834</v>
      </c>
      <c r="G726" t="s">
        <v>74</v>
      </c>
      <c r="H726" t="s">
        <v>74</v>
      </c>
      <c r="I726" t="s">
        <v>21835</v>
      </c>
      <c r="J726" t="s">
        <v>817</v>
      </c>
      <c r="K726" t="s">
        <v>74</v>
      </c>
      <c r="L726" t="s">
        <v>74</v>
      </c>
      <c r="M726" t="s">
        <v>74</v>
      </c>
      <c r="N726" t="s">
        <v>103</v>
      </c>
      <c r="O726" t="s">
        <v>74</v>
      </c>
      <c r="P726" t="s">
        <v>74</v>
      </c>
      <c r="Q726" t="s">
        <v>74</v>
      </c>
      <c r="R726" t="s">
        <v>74</v>
      </c>
      <c r="S726" t="s">
        <v>74</v>
      </c>
      <c r="T726" t="s">
        <v>21836</v>
      </c>
      <c r="U726" t="s">
        <v>21837</v>
      </c>
      <c r="V726" t="s">
        <v>21838</v>
      </c>
      <c r="W726" t="s">
        <v>21839</v>
      </c>
      <c r="X726" t="s">
        <v>21840</v>
      </c>
      <c r="Y726" t="s">
        <v>21841</v>
      </c>
      <c r="Z726" t="s">
        <v>21842</v>
      </c>
      <c r="AA726" t="s">
        <v>21843</v>
      </c>
      <c r="AB726" t="s">
        <v>21844</v>
      </c>
      <c r="AC726" t="s">
        <v>74</v>
      </c>
      <c r="AD726" t="s">
        <v>74</v>
      </c>
      <c r="AE726" t="s">
        <v>74</v>
      </c>
      <c r="AF726" t="s">
        <v>74</v>
      </c>
      <c r="AG726">
        <v>45</v>
      </c>
      <c r="AH726">
        <v>25</v>
      </c>
      <c r="AI726">
        <v>27</v>
      </c>
      <c r="AJ726">
        <v>0</v>
      </c>
      <c r="AK726">
        <v>11</v>
      </c>
      <c r="AL726" t="s">
        <v>74</v>
      </c>
      <c r="AM726" t="s">
        <v>74</v>
      </c>
      <c r="AN726" t="s">
        <v>74</v>
      </c>
      <c r="AO726" t="s">
        <v>74</v>
      </c>
      <c r="AP726" t="s">
        <v>827</v>
      </c>
      <c r="AQ726" t="s">
        <v>74</v>
      </c>
      <c r="AR726" t="s">
        <v>74</v>
      </c>
      <c r="AS726" t="s">
        <v>74</v>
      </c>
      <c r="AT726" t="s">
        <v>1029</v>
      </c>
      <c r="AU726">
        <v>2017</v>
      </c>
      <c r="AV726">
        <v>18</v>
      </c>
      <c r="AW726">
        <v>5</v>
      </c>
      <c r="AX726" t="s">
        <v>74</v>
      </c>
      <c r="AY726" t="s">
        <v>74</v>
      </c>
      <c r="AZ726" t="s">
        <v>74</v>
      </c>
      <c r="BA726" t="s">
        <v>74</v>
      </c>
      <c r="BB726" t="s">
        <v>74</v>
      </c>
      <c r="BC726" t="s">
        <v>74</v>
      </c>
      <c r="BD726">
        <v>1035</v>
      </c>
      <c r="BE726" t="s">
        <v>21845</v>
      </c>
      <c r="BF726" t="str">
        <f>HYPERLINK("http://dx.doi.org/10.3390/ijms18051035","http://dx.doi.org/10.3390/ijms18051035")</f>
        <v>http://dx.doi.org/10.3390/ijms18051035</v>
      </c>
      <c r="BG726" t="s">
        <v>74</v>
      </c>
      <c r="BH726" t="s">
        <v>74</v>
      </c>
      <c r="BI726" t="s">
        <v>74</v>
      </c>
      <c r="BJ726" t="s">
        <v>830</v>
      </c>
      <c r="BK726" t="s">
        <v>117</v>
      </c>
      <c r="BL726" t="s">
        <v>831</v>
      </c>
      <c r="BM726" t="s">
        <v>74</v>
      </c>
      <c r="BN726">
        <v>28492516</v>
      </c>
      <c r="BO726" t="s">
        <v>74</v>
      </c>
      <c r="BP726" t="s">
        <v>74</v>
      </c>
      <c r="BQ726" t="s">
        <v>74</v>
      </c>
      <c r="BR726" t="s">
        <v>96</v>
      </c>
      <c r="BS726" t="s">
        <v>21846</v>
      </c>
      <c r="BT726" t="str">
        <f>HYPERLINK("https%3A%2F%2Fwww.webofscience.com%2Fwos%2Fwoscc%2Ffull-record%2FWOS:000404113900141","View Full Record in Web of Science")</f>
        <v>View Full Record in Web of Science</v>
      </c>
    </row>
    <row r="727" spans="1:72" x14ac:dyDescent="0.15">
      <c r="A727" t="s">
        <v>98</v>
      </c>
      <c r="B727" t="s">
        <v>22062</v>
      </c>
      <c r="C727" t="s">
        <v>74</v>
      </c>
      <c r="D727" t="s">
        <v>74</v>
      </c>
      <c r="E727" t="s">
        <v>74</v>
      </c>
      <c r="F727" t="s">
        <v>22063</v>
      </c>
      <c r="G727" t="s">
        <v>74</v>
      </c>
      <c r="H727" t="s">
        <v>74</v>
      </c>
      <c r="I727" t="s">
        <v>22064</v>
      </c>
      <c r="J727" t="s">
        <v>4486</v>
      </c>
      <c r="K727" t="s">
        <v>74</v>
      </c>
      <c r="L727" t="s">
        <v>74</v>
      </c>
      <c r="M727" t="s">
        <v>74</v>
      </c>
      <c r="N727" t="s">
        <v>103</v>
      </c>
      <c r="O727" t="s">
        <v>74</v>
      </c>
      <c r="P727" t="s">
        <v>74</v>
      </c>
      <c r="Q727" t="s">
        <v>74</v>
      </c>
      <c r="R727" t="s">
        <v>74</v>
      </c>
      <c r="S727" t="s">
        <v>74</v>
      </c>
      <c r="T727" t="s">
        <v>74</v>
      </c>
      <c r="U727" t="s">
        <v>74</v>
      </c>
      <c r="V727" t="s">
        <v>22065</v>
      </c>
      <c r="W727" t="s">
        <v>22066</v>
      </c>
      <c r="X727" t="s">
        <v>10068</v>
      </c>
      <c r="Y727" t="s">
        <v>22067</v>
      </c>
      <c r="Z727" t="s">
        <v>22068</v>
      </c>
      <c r="AA727" t="s">
        <v>74</v>
      </c>
      <c r="AB727" t="s">
        <v>22069</v>
      </c>
      <c r="AC727" t="s">
        <v>74</v>
      </c>
      <c r="AD727" t="s">
        <v>74</v>
      </c>
      <c r="AE727" t="s">
        <v>74</v>
      </c>
      <c r="AF727" t="s">
        <v>74</v>
      </c>
      <c r="AG727">
        <v>47</v>
      </c>
      <c r="AH727">
        <v>25</v>
      </c>
      <c r="AI727">
        <v>25</v>
      </c>
      <c r="AJ727">
        <v>30</v>
      </c>
      <c r="AK727">
        <v>117</v>
      </c>
      <c r="AL727" t="s">
        <v>74</v>
      </c>
      <c r="AM727" t="s">
        <v>74</v>
      </c>
      <c r="AN727" t="s">
        <v>74</v>
      </c>
      <c r="AO727" t="s">
        <v>4493</v>
      </c>
      <c r="AP727" t="s">
        <v>4494</v>
      </c>
      <c r="AQ727" t="s">
        <v>74</v>
      </c>
      <c r="AR727" t="s">
        <v>74</v>
      </c>
      <c r="AS727" t="s">
        <v>74</v>
      </c>
      <c r="AT727" t="s">
        <v>17694</v>
      </c>
      <c r="AU727">
        <v>2021</v>
      </c>
      <c r="AV727">
        <v>93</v>
      </c>
      <c r="AW727">
        <v>4</v>
      </c>
      <c r="AX727" t="s">
        <v>74</v>
      </c>
      <c r="AY727" t="s">
        <v>74</v>
      </c>
      <c r="AZ727" t="s">
        <v>74</v>
      </c>
      <c r="BA727" t="s">
        <v>74</v>
      </c>
      <c r="BB727">
        <v>2519</v>
      </c>
      <c r="BC727">
        <v>2526</v>
      </c>
      <c r="BD727" t="s">
        <v>74</v>
      </c>
      <c r="BE727" t="s">
        <v>22070</v>
      </c>
      <c r="BF727" t="str">
        <f>HYPERLINK("http://dx.doi.org/10.1021/acs.analchem.0c04561","http://dx.doi.org/10.1021/acs.analchem.0c04561")</f>
        <v>http://dx.doi.org/10.1021/acs.analchem.0c04561</v>
      </c>
      <c r="BG727" t="s">
        <v>74</v>
      </c>
      <c r="BH727" t="s">
        <v>74</v>
      </c>
      <c r="BI727" t="s">
        <v>74</v>
      </c>
      <c r="BJ727" t="s">
        <v>1118</v>
      </c>
      <c r="BK727" t="s">
        <v>117</v>
      </c>
      <c r="BL727" t="s">
        <v>1048</v>
      </c>
      <c r="BM727" t="s">
        <v>74</v>
      </c>
      <c r="BN727">
        <v>33404216</v>
      </c>
      <c r="BO727" t="s">
        <v>74</v>
      </c>
      <c r="BP727" t="s">
        <v>74</v>
      </c>
      <c r="BQ727" t="s">
        <v>74</v>
      </c>
      <c r="BR727" t="s">
        <v>96</v>
      </c>
      <c r="BS727" t="s">
        <v>22071</v>
      </c>
      <c r="BT727" t="str">
        <f>HYPERLINK("https%3A%2F%2Fwww.webofscience.com%2Fwos%2Fwoscc%2Ffull-record%2FWOS:000618089100078","View Full Record in Web of Science")</f>
        <v>View Full Record in Web of Science</v>
      </c>
    </row>
    <row r="728" spans="1:72" x14ac:dyDescent="0.15">
      <c r="A728" t="s">
        <v>98</v>
      </c>
      <c r="B728" t="s">
        <v>23717</v>
      </c>
      <c r="C728" t="s">
        <v>74</v>
      </c>
      <c r="D728" t="s">
        <v>74</v>
      </c>
      <c r="E728" t="s">
        <v>74</v>
      </c>
      <c r="F728" t="s">
        <v>23718</v>
      </c>
      <c r="G728" t="s">
        <v>74</v>
      </c>
      <c r="H728" t="s">
        <v>74</v>
      </c>
      <c r="I728" t="s">
        <v>23719</v>
      </c>
      <c r="J728" t="s">
        <v>5173</v>
      </c>
      <c r="K728" t="s">
        <v>74</v>
      </c>
      <c r="L728" t="s">
        <v>74</v>
      </c>
      <c r="M728" t="s">
        <v>74</v>
      </c>
      <c r="N728" t="s">
        <v>103</v>
      </c>
      <c r="O728" t="s">
        <v>74</v>
      </c>
      <c r="P728" t="s">
        <v>74</v>
      </c>
      <c r="Q728" t="s">
        <v>74</v>
      </c>
      <c r="R728" t="s">
        <v>74</v>
      </c>
      <c r="S728" t="s">
        <v>74</v>
      </c>
      <c r="T728" t="s">
        <v>23720</v>
      </c>
      <c r="U728" t="s">
        <v>23721</v>
      </c>
      <c r="V728" t="s">
        <v>23722</v>
      </c>
      <c r="W728" t="s">
        <v>23723</v>
      </c>
      <c r="X728" t="s">
        <v>23724</v>
      </c>
      <c r="Y728" t="s">
        <v>23725</v>
      </c>
      <c r="Z728" t="s">
        <v>23726</v>
      </c>
      <c r="AA728" t="s">
        <v>74</v>
      </c>
      <c r="AB728" t="s">
        <v>23727</v>
      </c>
      <c r="AC728" t="s">
        <v>74</v>
      </c>
      <c r="AD728" t="s">
        <v>74</v>
      </c>
      <c r="AE728" t="s">
        <v>74</v>
      </c>
      <c r="AF728" t="s">
        <v>74</v>
      </c>
      <c r="AG728">
        <v>27</v>
      </c>
      <c r="AH728">
        <v>25</v>
      </c>
      <c r="AI728">
        <v>25</v>
      </c>
      <c r="AJ728">
        <v>1</v>
      </c>
      <c r="AK728">
        <v>9</v>
      </c>
      <c r="AL728" t="s">
        <v>74</v>
      </c>
      <c r="AM728" t="s">
        <v>74</v>
      </c>
      <c r="AN728" t="s">
        <v>74</v>
      </c>
      <c r="AO728" t="s">
        <v>74</v>
      </c>
      <c r="AP728" t="s">
        <v>5182</v>
      </c>
      <c r="AQ728" t="s">
        <v>74</v>
      </c>
      <c r="AR728" t="s">
        <v>74</v>
      </c>
      <c r="AS728" t="s">
        <v>74</v>
      </c>
      <c r="AT728" t="s">
        <v>21720</v>
      </c>
      <c r="AU728">
        <v>2019</v>
      </c>
      <c r="AV728">
        <v>10</v>
      </c>
      <c r="AW728" t="s">
        <v>74</v>
      </c>
      <c r="AX728" t="s">
        <v>74</v>
      </c>
      <c r="AY728" t="s">
        <v>74</v>
      </c>
      <c r="AZ728" t="s">
        <v>74</v>
      </c>
      <c r="BA728" t="s">
        <v>74</v>
      </c>
      <c r="BB728" t="s">
        <v>74</v>
      </c>
      <c r="BC728" t="s">
        <v>74</v>
      </c>
      <c r="BD728">
        <v>860</v>
      </c>
      <c r="BE728" t="s">
        <v>23728</v>
      </c>
      <c r="BF728" t="str">
        <f>HYPERLINK("http://dx.doi.org/10.3389/fgene.2019.00860","http://dx.doi.org/10.3389/fgene.2019.00860")</f>
        <v>http://dx.doi.org/10.3389/fgene.2019.00860</v>
      </c>
      <c r="BG728" t="s">
        <v>74</v>
      </c>
      <c r="BH728" t="s">
        <v>74</v>
      </c>
      <c r="BI728" t="s">
        <v>74</v>
      </c>
      <c r="BJ728" t="s">
        <v>285</v>
      </c>
      <c r="BK728" t="s">
        <v>117</v>
      </c>
      <c r="BL728" t="s">
        <v>285</v>
      </c>
      <c r="BM728" t="s">
        <v>74</v>
      </c>
      <c r="BN728">
        <v>31611906</v>
      </c>
      <c r="BO728" t="s">
        <v>74</v>
      </c>
      <c r="BP728" t="s">
        <v>74</v>
      </c>
      <c r="BQ728" t="s">
        <v>74</v>
      </c>
      <c r="BR728" t="s">
        <v>96</v>
      </c>
      <c r="BS728" t="s">
        <v>23729</v>
      </c>
      <c r="BT728" t="str">
        <f>HYPERLINK("https%3A%2F%2Fwww.webofscience.com%2Fwos%2Fwoscc%2Ffull-record%2FWOS:000488084400001","View Full Record in Web of Science")</f>
        <v>View Full Record in Web of Science</v>
      </c>
    </row>
    <row r="729" spans="1:72" x14ac:dyDescent="0.15">
      <c r="A729" t="s">
        <v>98</v>
      </c>
      <c r="B729" t="s">
        <v>24285</v>
      </c>
      <c r="C729" t="s">
        <v>74</v>
      </c>
      <c r="D729" t="s">
        <v>74</v>
      </c>
      <c r="E729" t="s">
        <v>74</v>
      </c>
      <c r="F729" t="s">
        <v>24286</v>
      </c>
      <c r="G729" t="s">
        <v>74</v>
      </c>
      <c r="H729" t="s">
        <v>74</v>
      </c>
      <c r="I729" t="s">
        <v>24287</v>
      </c>
      <c r="J729" t="s">
        <v>1123</v>
      </c>
      <c r="K729" t="s">
        <v>74</v>
      </c>
      <c r="L729" t="s">
        <v>74</v>
      </c>
      <c r="M729" t="s">
        <v>74</v>
      </c>
      <c r="N729" t="s">
        <v>103</v>
      </c>
      <c r="O729" t="s">
        <v>74</v>
      </c>
      <c r="P729" t="s">
        <v>74</v>
      </c>
      <c r="Q729" t="s">
        <v>74</v>
      </c>
      <c r="R729" t="s">
        <v>74</v>
      </c>
      <c r="S729" t="s">
        <v>74</v>
      </c>
      <c r="T729" t="s">
        <v>24288</v>
      </c>
      <c r="U729" t="s">
        <v>24289</v>
      </c>
      <c r="V729" t="s">
        <v>24290</v>
      </c>
      <c r="W729" t="s">
        <v>24291</v>
      </c>
      <c r="X729" t="s">
        <v>24292</v>
      </c>
      <c r="Y729" t="s">
        <v>24293</v>
      </c>
      <c r="Z729" t="s">
        <v>24294</v>
      </c>
      <c r="AA729" t="s">
        <v>74</v>
      </c>
      <c r="AB729" t="s">
        <v>4084</v>
      </c>
      <c r="AC729" t="s">
        <v>74</v>
      </c>
      <c r="AD729" t="s">
        <v>74</v>
      </c>
      <c r="AE729" t="s">
        <v>74</v>
      </c>
      <c r="AF729" t="s">
        <v>74</v>
      </c>
      <c r="AG729">
        <v>43</v>
      </c>
      <c r="AH729">
        <v>25</v>
      </c>
      <c r="AI729">
        <v>25</v>
      </c>
      <c r="AJ729">
        <v>43</v>
      </c>
      <c r="AK729">
        <v>294</v>
      </c>
      <c r="AL729" t="s">
        <v>74</v>
      </c>
      <c r="AM729" t="s">
        <v>74</v>
      </c>
      <c r="AN729" t="s">
        <v>74</v>
      </c>
      <c r="AO729" t="s">
        <v>1132</v>
      </c>
      <c r="AP729" t="s">
        <v>1133</v>
      </c>
      <c r="AQ729" t="s">
        <v>74</v>
      </c>
      <c r="AR729" t="s">
        <v>74</v>
      </c>
      <c r="AS729" t="s">
        <v>74</v>
      </c>
      <c r="AT729" t="s">
        <v>1134</v>
      </c>
      <c r="AU729">
        <v>2020</v>
      </c>
      <c r="AV729">
        <v>168</v>
      </c>
      <c r="AW729" t="s">
        <v>74</v>
      </c>
      <c r="AX729" t="s">
        <v>74</v>
      </c>
      <c r="AY729" t="s">
        <v>74</v>
      </c>
      <c r="AZ729" t="s">
        <v>74</v>
      </c>
      <c r="BA729" t="s">
        <v>74</v>
      </c>
      <c r="BB729" t="s">
        <v>74</v>
      </c>
      <c r="BC729" t="s">
        <v>74</v>
      </c>
      <c r="BD729">
        <v>112520</v>
      </c>
      <c r="BE729" t="s">
        <v>24295</v>
      </c>
      <c r="BF729" t="str">
        <f>HYPERLINK("http://dx.doi.org/10.1016/j.bios.2020.112520","http://dx.doi.org/10.1016/j.bios.2020.112520")</f>
        <v>http://dx.doi.org/10.1016/j.bios.2020.112520</v>
      </c>
      <c r="BG729" t="s">
        <v>74</v>
      </c>
      <c r="BH729" t="s">
        <v>74</v>
      </c>
      <c r="BI729" t="s">
        <v>74</v>
      </c>
      <c r="BJ729" t="s">
        <v>1137</v>
      </c>
      <c r="BK729" t="s">
        <v>117</v>
      </c>
      <c r="BL729" t="s">
        <v>1138</v>
      </c>
      <c r="BM729" t="s">
        <v>74</v>
      </c>
      <c r="BN729">
        <v>32866725</v>
      </c>
      <c r="BO729" t="s">
        <v>74</v>
      </c>
      <c r="BP729" t="s">
        <v>74</v>
      </c>
      <c r="BQ729" t="s">
        <v>74</v>
      </c>
      <c r="BR729" t="s">
        <v>96</v>
      </c>
      <c r="BS729" t="s">
        <v>24296</v>
      </c>
      <c r="BT729" t="str">
        <f>HYPERLINK("https%3A%2F%2Fwww.webofscience.com%2Fwos%2Fwoscc%2Ffull-record%2FWOS:000574929400007","View Full Record in Web of Science")</f>
        <v>View Full Record in Web of Science</v>
      </c>
    </row>
    <row r="730" spans="1:72" x14ac:dyDescent="0.15">
      <c r="A730" t="s">
        <v>98</v>
      </c>
      <c r="B730" t="s">
        <v>24385</v>
      </c>
      <c r="C730" t="s">
        <v>74</v>
      </c>
      <c r="D730" t="s">
        <v>74</v>
      </c>
      <c r="E730" t="s">
        <v>74</v>
      </c>
      <c r="F730" t="s">
        <v>24386</v>
      </c>
      <c r="G730" t="s">
        <v>74</v>
      </c>
      <c r="H730" t="s">
        <v>74</v>
      </c>
      <c r="I730" t="s">
        <v>24387</v>
      </c>
      <c r="J730" t="s">
        <v>24388</v>
      </c>
      <c r="K730" t="s">
        <v>74</v>
      </c>
      <c r="L730" t="s">
        <v>74</v>
      </c>
      <c r="M730" t="s">
        <v>74</v>
      </c>
      <c r="N730" t="s">
        <v>103</v>
      </c>
      <c r="O730" t="s">
        <v>74</v>
      </c>
      <c r="P730" t="s">
        <v>74</v>
      </c>
      <c r="Q730" t="s">
        <v>74</v>
      </c>
      <c r="R730" t="s">
        <v>74</v>
      </c>
      <c r="S730" t="s">
        <v>74</v>
      </c>
      <c r="T730" t="s">
        <v>24389</v>
      </c>
      <c r="U730" t="s">
        <v>24390</v>
      </c>
      <c r="V730" t="s">
        <v>24391</v>
      </c>
      <c r="W730" t="s">
        <v>24392</v>
      </c>
      <c r="X730" t="s">
        <v>24393</v>
      </c>
      <c r="Y730" t="s">
        <v>24394</v>
      </c>
      <c r="Z730" t="s">
        <v>24395</v>
      </c>
      <c r="AA730" t="s">
        <v>74</v>
      </c>
      <c r="AB730" t="s">
        <v>74</v>
      </c>
      <c r="AC730" t="s">
        <v>74</v>
      </c>
      <c r="AD730" t="s">
        <v>74</v>
      </c>
      <c r="AE730" t="s">
        <v>74</v>
      </c>
      <c r="AF730" t="s">
        <v>74</v>
      </c>
      <c r="AG730">
        <v>33</v>
      </c>
      <c r="AH730">
        <v>25</v>
      </c>
      <c r="AI730">
        <v>26</v>
      </c>
      <c r="AJ730">
        <v>0</v>
      </c>
      <c r="AK730">
        <v>8</v>
      </c>
      <c r="AL730" t="s">
        <v>74</v>
      </c>
      <c r="AM730" t="s">
        <v>74</v>
      </c>
      <c r="AN730" t="s">
        <v>74</v>
      </c>
      <c r="AO730" t="s">
        <v>24396</v>
      </c>
      <c r="AP730" t="s">
        <v>24397</v>
      </c>
      <c r="AQ730" t="s">
        <v>74</v>
      </c>
      <c r="AR730" t="s">
        <v>74</v>
      </c>
      <c r="AS730" t="s">
        <v>74</v>
      </c>
      <c r="AT730" t="s">
        <v>1029</v>
      </c>
      <c r="AU730">
        <v>2011</v>
      </c>
      <c r="AV730">
        <v>76</v>
      </c>
      <c r="AW730" t="s">
        <v>1694</v>
      </c>
      <c r="AX730" t="s">
        <v>74</v>
      </c>
      <c r="AY730" t="s">
        <v>74</v>
      </c>
      <c r="AZ730" t="s">
        <v>74</v>
      </c>
      <c r="BA730" t="s">
        <v>74</v>
      </c>
      <c r="BB730">
        <v>117</v>
      </c>
      <c r="BC730">
        <v>129</v>
      </c>
      <c r="BD730" t="s">
        <v>74</v>
      </c>
      <c r="BE730" t="s">
        <v>24398</v>
      </c>
      <c r="BF730" t="str">
        <f>HYPERLINK("http://dx.doi.org/10.1007/s11103-011-9773-1","http://dx.doi.org/10.1007/s11103-011-9773-1")</f>
        <v>http://dx.doi.org/10.1007/s11103-011-9773-1</v>
      </c>
      <c r="BG730" t="s">
        <v>74</v>
      </c>
      <c r="BH730" t="s">
        <v>74</v>
      </c>
      <c r="BI730" t="s">
        <v>74</v>
      </c>
      <c r="BJ730" t="s">
        <v>24399</v>
      </c>
      <c r="BK730" t="s">
        <v>117</v>
      </c>
      <c r="BL730" t="s">
        <v>24399</v>
      </c>
      <c r="BM730" t="s">
        <v>74</v>
      </c>
      <c r="BN730">
        <v>21461976</v>
      </c>
      <c r="BO730" t="s">
        <v>74</v>
      </c>
      <c r="BP730" t="s">
        <v>74</v>
      </c>
      <c r="BQ730" t="s">
        <v>74</v>
      </c>
      <c r="BR730" t="s">
        <v>96</v>
      </c>
      <c r="BS730" t="s">
        <v>24400</v>
      </c>
      <c r="BT730" t="str">
        <f>HYPERLINK("https%3A%2F%2Fwww.webofscience.com%2Fwos%2Fwoscc%2Ffull-record%2FWOS:000290771800009","View Full Record in Web of Science")</f>
        <v>View Full Record in Web of Science</v>
      </c>
    </row>
    <row r="731" spans="1:72" x14ac:dyDescent="0.15">
      <c r="A731" t="s">
        <v>98</v>
      </c>
      <c r="B731" t="s">
        <v>25629</v>
      </c>
      <c r="C731" t="s">
        <v>74</v>
      </c>
      <c r="D731" t="s">
        <v>74</v>
      </c>
      <c r="E731" t="s">
        <v>74</v>
      </c>
      <c r="F731" t="s">
        <v>25630</v>
      </c>
      <c r="G731" t="s">
        <v>74</v>
      </c>
      <c r="H731" t="s">
        <v>74</v>
      </c>
      <c r="I731" t="s">
        <v>25631</v>
      </c>
      <c r="J731" t="s">
        <v>7811</v>
      </c>
      <c r="K731" t="s">
        <v>74</v>
      </c>
      <c r="L731" t="s">
        <v>74</v>
      </c>
      <c r="M731" t="s">
        <v>74</v>
      </c>
      <c r="N731" t="s">
        <v>103</v>
      </c>
      <c r="O731" t="s">
        <v>74</v>
      </c>
      <c r="P731" t="s">
        <v>74</v>
      </c>
      <c r="Q731" t="s">
        <v>74</v>
      </c>
      <c r="R731" t="s">
        <v>74</v>
      </c>
      <c r="S731" t="s">
        <v>74</v>
      </c>
      <c r="T731" t="s">
        <v>25632</v>
      </c>
      <c r="U731" t="s">
        <v>25633</v>
      </c>
      <c r="V731" t="s">
        <v>25634</v>
      </c>
      <c r="W731" t="s">
        <v>25635</v>
      </c>
      <c r="X731" t="s">
        <v>25636</v>
      </c>
      <c r="Y731" t="s">
        <v>25637</v>
      </c>
      <c r="Z731" t="s">
        <v>25638</v>
      </c>
      <c r="AA731" t="s">
        <v>25639</v>
      </c>
      <c r="AB731" t="s">
        <v>25640</v>
      </c>
      <c r="AC731" t="s">
        <v>74</v>
      </c>
      <c r="AD731" t="s">
        <v>74</v>
      </c>
      <c r="AE731" t="s">
        <v>74</v>
      </c>
      <c r="AF731" t="s">
        <v>74</v>
      </c>
      <c r="AG731">
        <v>30</v>
      </c>
      <c r="AH731">
        <v>25</v>
      </c>
      <c r="AI731">
        <v>26</v>
      </c>
      <c r="AJ731">
        <v>1</v>
      </c>
      <c r="AK731">
        <v>4</v>
      </c>
      <c r="AL731" t="s">
        <v>74</v>
      </c>
      <c r="AM731" t="s">
        <v>74</v>
      </c>
      <c r="AN731" t="s">
        <v>74</v>
      </c>
      <c r="AO731" t="s">
        <v>7821</v>
      </c>
      <c r="AP731" t="s">
        <v>7822</v>
      </c>
      <c r="AQ731" t="s">
        <v>74</v>
      </c>
      <c r="AR731" t="s">
        <v>74</v>
      </c>
      <c r="AS731" t="s">
        <v>74</v>
      </c>
      <c r="AT731" t="s">
        <v>189</v>
      </c>
      <c r="AU731">
        <v>2010</v>
      </c>
      <c r="AV731">
        <v>26</v>
      </c>
      <c r="AW731">
        <v>4</v>
      </c>
      <c r="AX731" t="s">
        <v>74</v>
      </c>
      <c r="AY731" t="s">
        <v>74</v>
      </c>
      <c r="AZ731" t="s">
        <v>74</v>
      </c>
      <c r="BA731" t="s">
        <v>74</v>
      </c>
      <c r="BB731">
        <v>457</v>
      </c>
      <c r="BC731">
        <v>462</v>
      </c>
      <c r="BD731" t="s">
        <v>74</v>
      </c>
      <c r="BE731" t="s">
        <v>25641</v>
      </c>
      <c r="BF731" t="str">
        <f>HYPERLINK("http://dx.doi.org/10.3892/ijmm_00000485","http://dx.doi.org/10.3892/ijmm_00000485")</f>
        <v>http://dx.doi.org/10.3892/ijmm_00000485</v>
      </c>
      <c r="BG731" t="s">
        <v>74</v>
      </c>
      <c r="BH731" t="s">
        <v>74</v>
      </c>
      <c r="BI731" t="s">
        <v>74</v>
      </c>
      <c r="BJ731" t="s">
        <v>795</v>
      </c>
      <c r="BK731" t="s">
        <v>117</v>
      </c>
      <c r="BL731" t="s">
        <v>796</v>
      </c>
      <c r="BM731" t="s">
        <v>74</v>
      </c>
      <c r="BN731">
        <v>20818482</v>
      </c>
      <c r="BO731" t="s">
        <v>74</v>
      </c>
      <c r="BP731" t="s">
        <v>74</v>
      </c>
      <c r="BQ731" t="s">
        <v>74</v>
      </c>
      <c r="BR731" t="s">
        <v>96</v>
      </c>
      <c r="BS731" t="s">
        <v>25642</v>
      </c>
      <c r="BT731" t="str">
        <f>HYPERLINK("https%3A%2F%2Fwww.webofscience.com%2Fwos%2Fwoscc%2Ffull-record%2FWOS:000281917800002","View Full Record in Web of Science")</f>
        <v>View Full Record in Web of Science</v>
      </c>
    </row>
    <row r="732" spans="1:72" x14ac:dyDescent="0.15">
      <c r="A732" t="s">
        <v>98</v>
      </c>
      <c r="B732" t="s">
        <v>25717</v>
      </c>
      <c r="C732" t="s">
        <v>74</v>
      </c>
      <c r="D732" t="s">
        <v>74</v>
      </c>
      <c r="E732" t="s">
        <v>74</v>
      </c>
      <c r="F732" t="s">
        <v>25718</v>
      </c>
      <c r="G732" t="s">
        <v>74</v>
      </c>
      <c r="H732" t="s">
        <v>74</v>
      </c>
      <c r="I732" t="s">
        <v>25719</v>
      </c>
      <c r="J732" t="s">
        <v>3700</v>
      </c>
      <c r="K732" t="s">
        <v>74</v>
      </c>
      <c r="L732" t="s">
        <v>74</v>
      </c>
      <c r="M732" t="s">
        <v>74</v>
      </c>
      <c r="N732" t="s">
        <v>103</v>
      </c>
      <c r="O732" t="s">
        <v>74</v>
      </c>
      <c r="P732" t="s">
        <v>74</v>
      </c>
      <c r="Q732" t="s">
        <v>74</v>
      </c>
      <c r="R732" t="s">
        <v>74</v>
      </c>
      <c r="S732" t="s">
        <v>74</v>
      </c>
      <c r="T732" t="s">
        <v>74</v>
      </c>
      <c r="U732" t="s">
        <v>25720</v>
      </c>
      <c r="V732" t="s">
        <v>25721</v>
      </c>
      <c r="W732" t="s">
        <v>25722</v>
      </c>
      <c r="X732" t="s">
        <v>25723</v>
      </c>
      <c r="Y732" t="s">
        <v>25724</v>
      </c>
      <c r="Z732" t="s">
        <v>25725</v>
      </c>
      <c r="AA732" t="s">
        <v>25726</v>
      </c>
      <c r="AB732" t="s">
        <v>25727</v>
      </c>
      <c r="AC732" t="s">
        <v>74</v>
      </c>
      <c r="AD732" t="s">
        <v>74</v>
      </c>
      <c r="AE732" t="s">
        <v>74</v>
      </c>
      <c r="AF732" t="s">
        <v>74</v>
      </c>
      <c r="AG732">
        <v>66</v>
      </c>
      <c r="AH732">
        <v>25</v>
      </c>
      <c r="AI732">
        <v>27</v>
      </c>
      <c r="AJ732">
        <v>0</v>
      </c>
      <c r="AK732">
        <v>13</v>
      </c>
      <c r="AL732" t="s">
        <v>74</v>
      </c>
      <c r="AM732" t="s">
        <v>74</v>
      </c>
      <c r="AN732" t="s">
        <v>74</v>
      </c>
      <c r="AO732" t="s">
        <v>74</v>
      </c>
      <c r="AP732" t="s">
        <v>3711</v>
      </c>
      <c r="AQ732" t="s">
        <v>74</v>
      </c>
      <c r="AR732" t="s">
        <v>74</v>
      </c>
      <c r="AS732" t="s">
        <v>74</v>
      </c>
      <c r="AT732" t="s">
        <v>25728</v>
      </c>
      <c r="AU732">
        <v>2008</v>
      </c>
      <c r="AV732">
        <v>283</v>
      </c>
      <c r="AW732">
        <v>8</v>
      </c>
      <c r="AX732" t="s">
        <v>74</v>
      </c>
      <c r="AY732" t="s">
        <v>74</v>
      </c>
      <c r="AZ732" t="s">
        <v>74</v>
      </c>
      <c r="BA732" t="s">
        <v>74</v>
      </c>
      <c r="BB732">
        <v>5034</v>
      </c>
      <c r="BC732">
        <v>5045</v>
      </c>
      <c r="BD732" t="s">
        <v>74</v>
      </c>
      <c r="BE732" t="s">
        <v>25729</v>
      </c>
      <c r="BF732" t="str">
        <f>HYPERLINK("http://dx.doi.org/10.1074/jbc.M708844200","http://dx.doi.org/10.1074/jbc.M708844200")</f>
        <v>http://dx.doi.org/10.1074/jbc.M708844200</v>
      </c>
      <c r="BG732" t="s">
        <v>74</v>
      </c>
      <c r="BH732" t="s">
        <v>74</v>
      </c>
      <c r="BI732" t="s">
        <v>74</v>
      </c>
      <c r="BJ732" t="s">
        <v>95</v>
      </c>
      <c r="BK732" t="s">
        <v>117</v>
      </c>
      <c r="BL732" t="s">
        <v>95</v>
      </c>
      <c r="BM732" t="s">
        <v>74</v>
      </c>
      <c r="BN732">
        <v>18089561</v>
      </c>
      <c r="BO732" t="s">
        <v>74</v>
      </c>
      <c r="BP732" t="s">
        <v>74</v>
      </c>
      <c r="BQ732" t="s">
        <v>74</v>
      </c>
      <c r="BR732" t="s">
        <v>96</v>
      </c>
      <c r="BS732" t="s">
        <v>25730</v>
      </c>
      <c r="BT732" t="str">
        <f>HYPERLINK("https%3A%2F%2Fwww.webofscience.com%2Fwos%2Fwoscc%2Ffull-record%2FWOS:000253426500061","View Full Record in Web of Science")</f>
        <v>View Full Record in Web of Science</v>
      </c>
    </row>
    <row r="733" spans="1:72" x14ac:dyDescent="0.15">
      <c r="A733" t="s">
        <v>98</v>
      </c>
      <c r="B733" t="s">
        <v>25958</v>
      </c>
      <c r="C733" t="s">
        <v>74</v>
      </c>
      <c r="D733" t="s">
        <v>74</v>
      </c>
      <c r="E733" t="s">
        <v>74</v>
      </c>
      <c r="F733" t="s">
        <v>25959</v>
      </c>
      <c r="G733" t="s">
        <v>74</v>
      </c>
      <c r="H733" t="s">
        <v>74</v>
      </c>
      <c r="I733" t="s">
        <v>25960</v>
      </c>
      <c r="J733" t="s">
        <v>1860</v>
      </c>
      <c r="K733" t="s">
        <v>74</v>
      </c>
      <c r="L733" t="s">
        <v>74</v>
      </c>
      <c r="M733" t="s">
        <v>74</v>
      </c>
      <c r="N733" t="s">
        <v>103</v>
      </c>
      <c r="O733" t="s">
        <v>74</v>
      </c>
      <c r="P733" t="s">
        <v>74</v>
      </c>
      <c r="Q733" t="s">
        <v>74</v>
      </c>
      <c r="R733" t="s">
        <v>74</v>
      </c>
      <c r="S733" t="s">
        <v>74</v>
      </c>
      <c r="T733" t="s">
        <v>25961</v>
      </c>
      <c r="U733" t="s">
        <v>25962</v>
      </c>
      <c r="V733" t="s">
        <v>25963</v>
      </c>
      <c r="W733" t="s">
        <v>25964</v>
      </c>
      <c r="X733" t="s">
        <v>3499</v>
      </c>
      <c r="Y733" t="s">
        <v>25965</v>
      </c>
      <c r="Z733" t="s">
        <v>25966</v>
      </c>
      <c r="AA733" t="s">
        <v>74</v>
      </c>
      <c r="AB733" t="s">
        <v>25967</v>
      </c>
      <c r="AC733" t="s">
        <v>74</v>
      </c>
      <c r="AD733" t="s">
        <v>74</v>
      </c>
      <c r="AE733" t="s">
        <v>74</v>
      </c>
      <c r="AF733" t="s">
        <v>74</v>
      </c>
      <c r="AG733">
        <v>41</v>
      </c>
      <c r="AH733">
        <v>25</v>
      </c>
      <c r="AI733">
        <v>25</v>
      </c>
      <c r="AJ733">
        <v>5</v>
      </c>
      <c r="AK733">
        <v>289</v>
      </c>
      <c r="AL733" t="s">
        <v>74</v>
      </c>
      <c r="AM733" t="s">
        <v>74</v>
      </c>
      <c r="AN733" t="s">
        <v>74</v>
      </c>
      <c r="AO733" t="s">
        <v>1870</v>
      </c>
      <c r="AP733" t="s">
        <v>1871</v>
      </c>
      <c r="AQ733" t="s">
        <v>74</v>
      </c>
      <c r="AR733" t="s">
        <v>74</v>
      </c>
      <c r="AS733" t="s">
        <v>74</v>
      </c>
      <c r="AT733" t="s">
        <v>2686</v>
      </c>
      <c r="AU733">
        <v>2018</v>
      </c>
      <c r="AV733">
        <v>1022</v>
      </c>
      <c r="AW733" t="s">
        <v>74</v>
      </c>
      <c r="AX733" t="s">
        <v>74</v>
      </c>
      <c r="AY733" t="s">
        <v>74</v>
      </c>
      <c r="AZ733" t="s">
        <v>74</v>
      </c>
      <c r="BA733" t="s">
        <v>74</v>
      </c>
      <c r="BB733">
        <v>124</v>
      </c>
      <c r="BC733">
        <v>130</v>
      </c>
      <c r="BD733" t="s">
        <v>74</v>
      </c>
      <c r="BE733" t="s">
        <v>25968</v>
      </c>
      <c r="BF733" t="str">
        <f>HYPERLINK("http://dx.doi.org/10.1016/j.aca.2018.03.016","http://dx.doi.org/10.1016/j.aca.2018.03.016")</f>
        <v>http://dx.doi.org/10.1016/j.aca.2018.03.016</v>
      </c>
      <c r="BG733" t="s">
        <v>74</v>
      </c>
      <c r="BH733" t="s">
        <v>74</v>
      </c>
      <c r="BI733" t="s">
        <v>74</v>
      </c>
      <c r="BJ733" t="s">
        <v>1118</v>
      </c>
      <c r="BK733" t="s">
        <v>117</v>
      </c>
      <c r="BL733" t="s">
        <v>1048</v>
      </c>
      <c r="BM733" t="s">
        <v>74</v>
      </c>
      <c r="BN733">
        <v>29729732</v>
      </c>
      <c r="BO733" t="s">
        <v>74</v>
      </c>
      <c r="BP733" t="s">
        <v>74</v>
      </c>
      <c r="BQ733" t="s">
        <v>74</v>
      </c>
      <c r="BR733" t="s">
        <v>96</v>
      </c>
      <c r="BS733" t="s">
        <v>25969</v>
      </c>
      <c r="BT733" t="str">
        <f>HYPERLINK("https%3A%2F%2Fwww.webofscience.com%2Fwos%2Fwoscc%2Ffull-record%2FWOS:000432333600014","View Full Record in Web of Science")</f>
        <v>View Full Record in Web of Science</v>
      </c>
    </row>
    <row r="734" spans="1:72" x14ac:dyDescent="0.15">
      <c r="A734" t="s">
        <v>98</v>
      </c>
      <c r="B734" t="s">
        <v>26332</v>
      </c>
      <c r="C734" t="s">
        <v>74</v>
      </c>
      <c r="D734" t="s">
        <v>74</v>
      </c>
      <c r="E734" t="s">
        <v>74</v>
      </c>
      <c r="F734" t="s">
        <v>26332</v>
      </c>
      <c r="G734" t="s">
        <v>74</v>
      </c>
      <c r="H734" t="s">
        <v>74</v>
      </c>
      <c r="I734" t="s">
        <v>26333</v>
      </c>
      <c r="J734" t="s">
        <v>26334</v>
      </c>
      <c r="K734" t="s">
        <v>74</v>
      </c>
      <c r="L734" t="s">
        <v>74</v>
      </c>
      <c r="M734" t="s">
        <v>74</v>
      </c>
      <c r="N734" t="s">
        <v>103</v>
      </c>
      <c r="O734" t="s">
        <v>74</v>
      </c>
      <c r="P734" t="s">
        <v>74</v>
      </c>
      <c r="Q734" t="s">
        <v>74</v>
      </c>
      <c r="R734" t="s">
        <v>74</v>
      </c>
      <c r="S734" t="s">
        <v>74</v>
      </c>
      <c r="T734" t="s">
        <v>26335</v>
      </c>
      <c r="U734" t="s">
        <v>26336</v>
      </c>
      <c r="V734" t="s">
        <v>26337</v>
      </c>
      <c r="W734" t="s">
        <v>26338</v>
      </c>
      <c r="X734" t="s">
        <v>26339</v>
      </c>
      <c r="Y734" t="s">
        <v>26340</v>
      </c>
      <c r="Z734" t="s">
        <v>74</v>
      </c>
      <c r="AA734" t="s">
        <v>74</v>
      </c>
      <c r="AB734" t="s">
        <v>74</v>
      </c>
      <c r="AC734" t="s">
        <v>74</v>
      </c>
      <c r="AD734" t="s">
        <v>74</v>
      </c>
      <c r="AE734" t="s">
        <v>74</v>
      </c>
      <c r="AF734" t="s">
        <v>74</v>
      </c>
      <c r="AG734">
        <v>34</v>
      </c>
      <c r="AH734">
        <v>25</v>
      </c>
      <c r="AI734">
        <v>27</v>
      </c>
      <c r="AJ734">
        <v>0</v>
      </c>
      <c r="AK734">
        <v>10</v>
      </c>
      <c r="AL734" t="s">
        <v>74</v>
      </c>
      <c r="AM734" t="s">
        <v>74</v>
      </c>
      <c r="AN734" t="s">
        <v>74</v>
      </c>
      <c r="AO734" t="s">
        <v>26341</v>
      </c>
      <c r="AP734" t="s">
        <v>74</v>
      </c>
      <c r="AQ734" t="s">
        <v>74</v>
      </c>
      <c r="AR734" t="s">
        <v>74</v>
      </c>
      <c r="AS734" t="s">
        <v>74</v>
      </c>
      <c r="AT734" t="s">
        <v>114</v>
      </c>
      <c r="AU734">
        <v>2003</v>
      </c>
      <c r="AV734">
        <v>25</v>
      </c>
      <c r="AW734">
        <v>4</v>
      </c>
      <c r="AX734" t="s">
        <v>74</v>
      </c>
      <c r="AY734" t="s">
        <v>74</v>
      </c>
      <c r="AZ734" t="s">
        <v>74</v>
      </c>
      <c r="BA734" t="s">
        <v>74</v>
      </c>
      <c r="BB734">
        <v>205</v>
      </c>
      <c r="BC734">
        <v>212</v>
      </c>
      <c r="BD734" t="s">
        <v>74</v>
      </c>
      <c r="BE734" t="s">
        <v>26342</v>
      </c>
      <c r="BF734" t="str">
        <f>HYPERLINK("http://dx.doi.org/10.1007/s00449-002-0300-2","http://dx.doi.org/10.1007/s00449-002-0300-2")</f>
        <v>http://dx.doi.org/10.1007/s00449-002-0300-2</v>
      </c>
      <c r="BG734" t="s">
        <v>74</v>
      </c>
      <c r="BH734" t="s">
        <v>74</v>
      </c>
      <c r="BI734" t="s">
        <v>74</v>
      </c>
      <c r="BJ734" t="s">
        <v>25475</v>
      </c>
      <c r="BK734" t="s">
        <v>117</v>
      </c>
      <c r="BL734" t="s">
        <v>5728</v>
      </c>
      <c r="BM734" t="s">
        <v>74</v>
      </c>
      <c r="BN734">
        <v>14504997</v>
      </c>
      <c r="BO734" t="s">
        <v>74</v>
      </c>
      <c r="BP734" t="s">
        <v>74</v>
      </c>
      <c r="BQ734" t="s">
        <v>74</v>
      </c>
      <c r="BR734" t="s">
        <v>96</v>
      </c>
      <c r="BS734" t="s">
        <v>26343</v>
      </c>
      <c r="BT734" t="str">
        <f>HYPERLINK("https%3A%2F%2Fwww.webofscience.com%2Fwos%2Fwoscc%2Ffull-record%2FWOS:000180866700001","View Full Record in Web of Science")</f>
        <v>View Full Record in Web of Science</v>
      </c>
    </row>
    <row r="735" spans="1:72" x14ac:dyDescent="0.15">
      <c r="A735" t="s">
        <v>98</v>
      </c>
      <c r="B735" t="s">
        <v>29398</v>
      </c>
      <c r="C735" t="s">
        <v>74</v>
      </c>
      <c r="D735" t="s">
        <v>74</v>
      </c>
      <c r="E735" t="s">
        <v>74</v>
      </c>
      <c r="F735" t="s">
        <v>29399</v>
      </c>
      <c r="G735" t="s">
        <v>74</v>
      </c>
      <c r="H735" t="s">
        <v>74</v>
      </c>
      <c r="I735" t="s">
        <v>29400</v>
      </c>
      <c r="J735" t="s">
        <v>29401</v>
      </c>
      <c r="K735" t="s">
        <v>74</v>
      </c>
      <c r="L735" t="s">
        <v>74</v>
      </c>
      <c r="M735" t="s">
        <v>74</v>
      </c>
      <c r="N735" t="s">
        <v>103</v>
      </c>
      <c r="O735" t="s">
        <v>74</v>
      </c>
      <c r="P735" t="s">
        <v>74</v>
      </c>
      <c r="Q735" t="s">
        <v>74</v>
      </c>
      <c r="R735" t="s">
        <v>74</v>
      </c>
      <c r="S735" t="s">
        <v>74</v>
      </c>
      <c r="T735" t="s">
        <v>29402</v>
      </c>
      <c r="U735" t="s">
        <v>29403</v>
      </c>
      <c r="V735" t="s">
        <v>29404</v>
      </c>
      <c r="W735" t="s">
        <v>29405</v>
      </c>
      <c r="X735" t="s">
        <v>29406</v>
      </c>
      <c r="Y735" t="s">
        <v>29407</v>
      </c>
      <c r="Z735" t="s">
        <v>29408</v>
      </c>
      <c r="AA735" t="s">
        <v>74</v>
      </c>
      <c r="AB735" t="s">
        <v>74</v>
      </c>
      <c r="AC735" t="s">
        <v>74</v>
      </c>
      <c r="AD735" t="s">
        <v>74</v>
      </c>
      <c r="AE735" t="s">
        <v>74</v>
      </c>
      <c r="AF735" t="s">
        <v>74</v>
      </c>
      <c r="AG735">
        <v>29</v>
      </c>
      <c r="AH735">
        <v>25</v>
      </c>
      <c r="AI735">
        <v>28</v>
      </c>
      <c r="AJ735">
        <v>0</v>
      </c>
      <c r="AK735">
        <v>4</v>
      </c>
      <c r="AL735" t="s">
        <v>74</v>
      </c>
      <c r="AM735" t="s">
        <v>74</v>
      </c>
      <c r="AN735" t="s">
        <v>74</v>
      </c>
      <c r="AO735" t="s">
        <v>29409</v>
      </c>
      <c r="AP735" t="s">
        <v>29410</v>
      </c>
      <c r="AQ735" t="s">
        <v>74</v>
      </c>
      <c r="AR735" t="s">
        <v>74</v>
      </c>
      <c r="AS735" t="s">
        <v>74</v>
      </c>
      <c r="AT735" t="s">
        <v>74</v>
      </c>
      <c r="AU735">
        <v>2008</v>
      </c>
      <c r="AV735">
        <v>45</v>
      </c>
      <c r="AW735">
        <v>1</v>
      </c>
      <c r="AX735" t="s">
        <v>74</v>
      </c>
      <c r="AY735" t="s">
        <v>74</v>
      </c>
      <c r="AZ735" t="s">
        <v>74</v>
      </c>
      <c r="BA735" t="s">
        <v>74</v>
      </c>
      <c r="BB735">
        <v>19</v>
      </c>
      <c r="BC735">
        <v>32</v>
      </c>
      <c r="BD735" t="s">
        <v>74</v>
      </c>
      <c r="BE735" t="s">
        <v>29411</v>
      </c>
      <c r="BF735" t="str">
        <f>HYPERLINK("http://dx.doi.org/10.1159/000109074","http://dx.doi.org/10.1159/000109074")</f>
        <v>http://dx.doi.org/10.1159/000109074</v>
      </c>
      <c r="BG735" t="s">
        <v>74</v>
      </c>
      <c r="BH735" t="s">
        <v>74</v>
      </c>
      <c r="BI735" t="s">
        <v>74</v>
      </c>
      <c r="BJ735" t="s">
        <v>29412</v>
      </c>
      <c r="BK735" t="s">
        <v>117</v>
      </c>
      <c r="BL735" t="s">
        <v>29413</v>
      </c>
      <c r="BM735" t="s">
        <v>74</v>
      </c>
      <c r="BN735">
        <v>17898544</v>
      </c>
      <c r="BO735" t="s">
        <v>74</v>
      </c>
      <c r="BP735" t="s">
        <v>74</v>
      </c>
      <c r="BQ735" t="s">
        <v>74</v>
      </c>
      <c r="BR735" t="s">
        <v>96</v>
      </c>
      <c r="BS735" t="s">
        <v>29414</v>
      </c>
      <c r="BT735" t="str">
        <f>HYPERLINK("https%3A%2F%2Fwww.webofscience.com%2Fwos%2Fwoscc%2Ffull-record%2FWOS:000251436500003","View Full Record in Web of Science")</f>
        <v>View Full Record in Web of Science</v>
      </c>
    </row>
    <row r="736" spans="1:72" x14ac:dyDescent="0.15">
      <c r="A736" t="s">
        <v>98</v>
      </c>
      <c r="B736" t="s">
        <v>618</v>
      </c>
      <c r="C736" t="s">
        <v>74</v>
      </c>
      <c r="D736" t="s">
        <v>74</v>
      </c>
      <c r="E736" t="s">
        <v>74</v>
      </c>
      <c r="F736" t="s">
        <v>619</v>
      </c>
      <c r="G736" t="s">
        <v>74</v>
      </c>
      <c r="H736" t="s">
        <v>74</v>
      </c>
      <c r="I736" t="s">
        <v>620</v>
      </c>
      <c r="J736" t="s">
        <v>621</v>
      </c>
      <c r="K736" t="s">
        <v>74</v>
      </c>
      <c r="L736" t="s">
        <v>74</v>
      </c>
      <c r="M736" t="s">
        <v>74</v>
      </c>
      <c r="N736" t="s">
        <v>103</v>
      </c>
      <c r="O736" t="s">
        <v>74</v>
      </c>
      <c r="P736" t="s">
        <v>74</v>
      </c>
      <c r="Q736" t="s">
        <v>74</v>
      </c>
      <c r="R736" t="s">
        <v>74</v>
      </c>
      <c r="S736" t="s">
        <v>74</v>
      </c>
      <c r="T736" t="s">
        <v>622</v>
      </c>
      <c r="U736" t="s">
        <v>623</v>
      </c>
      <c r="V736" t="s">
        <v>624</v>
      </c>
      <c r="W736" t="s">
        <v>625</v>
      </c>
      <c r="X736" t="s">
        <v>626</v>
      </c>
      <c r="Y736" t="s">
        <v>627</v>
      </c>
      <c r="Z736" t="s">
        <v>628</v>
      </c>
      <c r="AA736" t="s">
        <v>629</v>
      </c>
      <c r="AB736" t="s">
        <v>630</v>
      </c>
      <c r="AC736" t="s">
        <v>74</v>
      </c>
      <c r="AD736" t="s">
        <v>74</v>
      </c>
      <c r="AE736" t="s">
        <v>74</v>
      </c>
      <c r="AF736" t="s">
        <v>74</v>
      </c>
      <c r="AG736">
        <v>32</v>
      </c>
      <c r="AH736">
        <v>24</v>
      </c>
      <c r="AI736">
        <v>26</v>
      </c>
      <c r="AJ736">
        <v>2</v>
      </c>
      <c r="AK736">
        <v>6</v>
      </c>
      <c r="AL736" t="s">
        <v>74</v>
      </c>
      <c r="AM736" t="s">
        <v>74</v>
      </c>
      <c r="AN736" t="s">
        <v>74</v>
      </c>
      <c r="AO736" t="s">
        <v>631</v>
      </c>
      <c r="AP736" t="s">
        <v>74</v>
      </c>
      <c r="AQ736" t="s">
        <v>74</v>
      </c>
      <c r="AR736" t="s">
        <v>74</v>
      </c>
      <c r="AS736" t="s">
        <v>74</v>
      </c>
      <c r="AT736" t="s">
        <v>565</v>
      </c>
      <c r="AU736">
        <v>2017</v>
      </c>
      <c r="AV736">
        <v>3</v>
      </c>
      <c r="AW736">
        <v>2</v>
      </c>
      <c r="AX736" t="s">
        <v>74</v>
      </c>
      <c r="AY736" t="s">
        <v>74</v>
      </c>
      <c r="AZ736" t="s">
        <v>74</v>
      </c>
      <c r="BA736" t="s">
        <v>74</v>
      </c>
      <c r="BB736">
        <v>272</v>
      </c>
      <c r="BC736">
        <v>283</v>
      </c>
      <c r="BD736" t="s">
        <v>74</v>
      </c>
      <c r="BE736" t="s">
        <v>632</v>
      </c>
      <c r="BF736" t="str">
        <f>HYPERLINK("http://dx.doi.org/10.1016/j.jcmgh.2016.10.003","http://dx.doi.org/10.1016/j.jcmgh.2016.10.003")</f>
        <v>http://dx.doi.org/10.1016/j.jcmgh.2016.10.003</v>
      </c>
      <c r="BG736" t="s">
        <v>74</v>
      </c>
      <c r="BH736" t="s">
        <v>74</v>
      </c>
      <c r="BI736" t="s">
        <v>74</v>
      </c>
      <c r="BJ736" t="s">
        <v>633</v>
      </c>
      <c r="BK736" t="s">
        <v>117</v>
      </c>
      <c r="BL736" t="s">
        <v>633</v>
      </c>
      <c r="BM736" t="s">
        <v>74</v>
      </c>
      <c r="BN736">
        <v>28275693</v>
      </c>
      <c r="BO736" t="s">
        <v>74</v>
      </c>
      <c r="BP736" t="s">
        <v>74</v>
      </c>
      <c r="BQ736" t="s">
        <v>74</v>
      </c>
      <c r="BR736" t="s">
        <v>96</v>
      </c>
      <c r="BS736" t="s">
        <v>634</v>
      </c>
      <c r="BT736" t="str">
        <f>HYPERLINK("https%3A%2F%2Fwww.webofscience.com%2Fwos%2Fwoscc%2Ffull-record%2FWOS:000424537700018","View Full Record in Web of Science")</f>
        <v>View Full Record in Web of Science</v>
      </c>
    </row>
    <row r="737" spans="1:72" x14ac:dyDescent="0.15">
      <c r="A737" t="s">
        <v>98</v>
      </c>
      <c r="B737" t="s">
        <v>6332</v>
      </c>
      <c r="C737" t="s">
        <v>74</v>
      </c>
      <c r="D737" t="s">
        <v>74</v>
      </c>
      <c r="E737" t="s">
        <v>74</v>
      </c>
      <c r="F737" t="s">
        <v>6333</v>
      </c>
      <c r="G737" t="s">
        <v>74</v>
      </c>
      <c r="H737" t="s">
        <v>74</v>
      </c>
      <c r="I737" t="s">
        <v>6334</v>
      </c>
      <c r="J737" t="s">
        <v>140</v>
      </c>
      <c r="K737" t="s">
        <v>74</v>
      </c>
      <c r="L737" t="s">
        <v>74</v>
      </c>
      <c r="M737" t="s">
        <v>74</v>
      </c>
      <c r="N737" t="s">
        <v>103</v>
      </c>
      <c r="O737" t="s">
        <v>74</v>
      </c>
      <c r="P737" t="s">
        <v>74</v>
      </c>
      <c r="Q737" t="s">
        <v>74</v>
      </c>
      <c r="R737" t="s">
        <v>74</v>
      </c>
      <c r="S737" t="s">
        <v>74</v>
      </c>
      <c r="T737" t="s">
        <v>74</v>
      </c>
      <c r="U737" t="s">
        <v>6335</v>
      </c>
      <c r="V737" t="s">
        <v>6336</v>
      </c>
      <c r="W737" t="s">
        <v>6337</v>
      </c>
      <c r="X737" t="s">
        <v>6338</v>
      </c>
      <c r="Y737" t="s">
        <v>6339</v>
      </c>
      <c r="Z737" t="s">
        <v>6340</v>
      </c>
      <c r="AA737" t="s">
        <v>6341</v>
      </c>
      <c r="AB737" t="s">
        <v>6342</v>
      </c>
      <c r="AC737" t="s">
        <v>74</v>
      </c>
      <c r="AD737" t="s">
        <v>74</v>
      </c>
      <c r="AE737" t="s">
        <v>74</v>
      </c>
      <c r="AF737" t="s">
        <v>74</v>
      </c>
      <c r="AG737">
        <v>73</v>
      </c>
      <c r="AH737">
        <v>24</v>
      </c>
      <c r="AI737">
        <v>26</v>
      </c>
      <c r="AJ737">
        <v>1</v>
      </c>
      <c r="AK737">
        <v>7</v>
      </c>
      <c r="AL737" t="s">
        <v>74</v>
      </c>
      <c r="AM737" t="s">
        <v>74</v>
      </c>
      <c r="AN737" t="s">
        <v>74</v>
      </c>
      <c r="AO737" t="s">
        <v>149</v>
      </c>
      <c r="AP737" t="s">
        <v>74</v>
      </c>
      <c r="AQ737" t="s">
        <v>74</v>
      </c>
      <c r="AR737" t="s">
        <v>74</v>
      </c>
      <c r="AS737" t="s">
        <v>74</v>
      </c>
      <c r="AT737" t="s">
        <v>6343</v>
      </c>
      <c r="AU737">
        <v>2017</v>
      </c>
      <c r="AV737">
        <v>7</v>
      </c>
      <c r="AW737" t="s">
        <v>74</v>
      </c>
      <c r="AX737" t="s">
        <v>74</v>
      </c>
      <c r="AY737" t="s">
        <v>74</v>
      </c>
      <c r="AZ737" t="s">
        <v>74</v>
      </c>
      <c r="BA737" t="s">
        <v>74</v>
      </c>
      <c r="BB737" t="s">
        <v>74</v>
      </c>
      <c r="BC737" t="s">
        <v>74</v>
      </c>
      <c r="BD737">
        <v>16556</v>
      </c>
      <c r="BE737" t="s">
        <v>6344</v>
      </c>
      <c r="BF737" t="str">
        <f>HYPERLINK("http://dx.doi.org/10.1038/s41598-017-16448-5","http://dx.doi.org/10.1038/s41598-017-16448-5")</f>
        <v>http://dx.doi.org/10.1038/s41598-017-16448-5</v>
      </c>
      <c r="BG737" t="s">
        <v>74</v>
      </c>
      <c r="BH737" t="s">
        <v>74</v>
      </c>
      <c r="BI737" t="s">
        <v>74</v>
      </c>
      <c r="BJ737" t="s">
        <v>152</v>
      </c>
      <c r="BK737" t="s">
        <v>117</v>
      </c>
      <c r="BL737" t="s">
        <v>153</v>
      </c>
      <c r="BM737" t="s">
        <v>74</v>
      </c>
      <c r="BN737">
        <v>29185455</v>
      </c>
      <c r="BO737" t="s">
        <v>74</v>
      </c>
      <c r="BP737" t="s">
        <v>74</v>
      </c>
      <c r="BQ737" t="s">
        <v>74</v>
      </c>
      <c r="BR737" t="s">
        <v>96</v>
      </c>
      <c r="BS737" t="s">
        <v>6345</v>
      </c>
      <c r="BT737" t="str">
        <f>HYPERLINK("https%3A%2F%2Fwww.webofscience.com%2Fwos%2Fwoscc%2Ffull-record%2FWOS:000416409100016","View Full Record in Web of Science")</f>
        <v>View Full Record in Web of Science</v>
      </c>
    </row>
    <row r="738" spans="1:72" x14ac:dyDescent="0.15">
      <c r="A738" t="s">
        <v>98</v>
      </c>
      <c r="B738" t="s">
        <v>7199</v>
      </c>
      <c r="C738" t="s">
        <v>74</v>
      </c>
      <c r="D738" t="s">
        <v>74</v>
      </c>
      <c r="E738" t="s">
        <v>74</v>
      </c>
      <c r="F738" t="s">
        <v>7200</v>
      </c>
      <c r="G738" t="s">
        <v>74</v>
      </c>
      <c r="H738" t="s">
        <v>74</v>
      </c>
      <c r="I738" t="s">
        <v>7201</v>
      </c>
      <c r="J738" t="s">
        <v>5811</v>
      </c>
      <c r="K738" t="s">
        <v>74</v>
      </c>
      <c r="L738" t="s">
        <v>74</v>
      </c>
      <c r="M738" t="s">
        <v>74</v>
      </c>
      <c r="N738" t="s">
        <v>103</v>
      </c>
      <c r="O738" t="s">
        <v>74</v>
      </c>
      <c r="P738" t="s">
        <v>74</v>
      </c>
      <c r="Q738" t="s">
        <v>74</v>
      </c>
      <c r="R738" t="s">
        <v>74</v>
      </c>
      <c r="S738" t="s">
        <v>74</v>
      </c>
      <c r="T738" t="s">
        <v>7202</v>
      </c>
      <c r="U738" t="s">
        <v>7203</v>
      </c>
      <c r="V738" t="s">
        <v>7204</v>
      </c>
      <c r="W738" t="s">
        <v>7205</v>
      </c>
      <c r="X738" t="s">
        <v>7206</v>
      </c>
      <c r="Y738" t="s">
        <v>7207</v>
      </c>
      <c r="Z738" t="s">
        <v>7208</v>
      </c>
      <c r="AA738" t="s">
        <v>7209</v>
      </c>
      <c r="AB738" t="s">
        <v>7210</v>
      </c>
      <c r="AC738" t="s">
        <v>74</v>
      </c>
      <c r="AD738" t="s">
        <v>74</v>
      </c>
      <c r="AE738" t="s">
        <v>74</v>
      </c>
      <c r="AF738" t="s">
        <v>74</v>
      </c>
      <c r="AG738">
        <v>58</v>
      </c>
      <c r="AH738">
        <v>24</v>
      </c>
      <c r="AI738">
        <v>26</v>
      </c>
      <c r="AJ738">
        <v>0</v>
      </c>
      <c r="AK738">
        <v>8</v>
      </c>
      <c r="AL738" t="s">
        <v>74</v>
      </c>
      <c r="AM738" t="s">
        <v>74</v>
      </c>
      <c r="AN738" t="s">
        <v>74</v>
      </c>
      <c r="AO738" t="s">
        <v>5821</v>
      </c>
      <c r="AP738" t="s">
        <v>5822</v>
      </c>
      <c r="AQ738" t="s">
        <v>74</v>
      </c>
      <c r="AR738" t="s">
        <v>74</v>
      </c>
      <c r="AS738" t="s">
        <v>74</v>
      </c>
      <c r="AT738" t="s">
        <v>230</v>
      </c>
      <c r="AU738">
        <v>2016</v>
      </c>
      <c r="AV738">
        <v>97</v>
      </c>
      <c r="AW738" t="s">
        <v>74</v>
      </c>
      <c r="AX738" t="s">
        <v>74</v>
      </c>
      <c r="AY738" t="s">
        <v>74</v>
      </c>
      <c r="AZ738" t="s">
        <v>74</v>
      </c>
      <c r="BA738" t="s">
        <v>74</v>
      </c>
      <c r="BB738">
        <v>478</v>
      </c>
      <c r="BC738">
        <v>488</v>
      </c>
      <c r="BD738" t="s">
        <v>74</v>
      </c>
      <c r="BE738" t="s">
        <v>7211</v>
      </c>
      <c r="BF738" t="str">
        <f>HYPERLINK("http://dx.doi.org/10.1016/j.freeradbiomed.2016.07.004","http://dx.doi.org/10.1016/j.freeradbiomed.2016.07.004")</f>
        <v>http://dx.doi.org/10.1016/j.freeradbiomed.2016.07.004</v>
      </c>
      <c r="BG738" t="s">
        <v>74</v>
      </c>
      <c r="BH738" t="s">
        <v>74</v>
      </c>
      <c r="BI738" t="s">
        <v>74</v>
      </c>
      <c r="BJ738" t="s">
        <v>5825</v>
      </c>
      <c r="BK738" t="s">
        <v>117</v>
      </c>
      <c r="BL738" t="s">
        <v>5825</v>
      </c>
      <c r="BM738" t="s">
        <v>74</v>
      </c>
      <c r="BN738">
        <v>27394172</v>
      </c>
      <c r="BO738" t="s">
        <v>74</v>
      </c>
      <c r="BP738" t="s">
        <v>74</v>
      </c>
      <c r="BQ738" t="s">
        <v>74</v>
      </c>
      <c r="BR738" t="s">
        <v>96</v>
      </c>
      <c r="BS738" t="s">
        <v>7212</v>
      </c>
      <c r="BT738" t="str">
        <f>HYPERLINK("https%3A%2F%2Fwww.webofscience.com%2Fwos%2Fwoscc%2Ffull-record%2FWOS:000381924100043","View Full Record in Web of Science")</f>
        <v>View Full Record in Web of Science</v>
      </c>
    </row>
    <row r="739" spans="1:72" x14ac:dyDescent="0.15">
      <c r="A739" t="s">
        <v>98</v>
      </c>
      <c r="B739" t="s">
        <v>7555</v>
      </c>
      <c r="C739" t="s">
        <v>74</v>
      </c>
      <c r="D739" t="s">
        <v>74</v>
      </c>
      <c r="E739" t="s">
        <v>74</v>
      </c>
      <c r="F739" t="s">
        <v>7556</v>
      </c>
      <c r="G739" t="s">
        <v>74</v>
      </c>
      <c r="H739" t="s">
        <v>74</v>
      </c>
      <c r="I739" t="s">
        <v>7557</v>
      </c>
      <c r="J739" t="s">
        <v>1747</v>
      </c>
      <c r="K739" t="s">
        <v>74</v>
      </c>
      <c r="L739" t="s">
        <v>74</v>
      </c>
      <c r="M739" t="s">
        <v>74</v>
      </c>
      <c r="N739" t="s">
        <v>103</v>
      </c>
      <c r="O739" t="s">
        <v>74</v>
      </c>
      <c r="P739" t="s">
        <v>74</v>
      </c>
      <c r="Q739" t="s">
        <v>74</v>
      </c>
      <c r="R739" t="s">
        <v>74</v>
      </c>
      <c r="S739" t="s">
        <v>74</v>
      </c>
      <c r="T739" t="s">
        <v>7558</v>
      </c>
      <c r="U739" t="s">
        <v>7559</v>
      </c>
      <c r="V739" t="s">
        <v>7560</v>
      </c>
      <c r="W739" t="s">
        <v>7561</v>
      </c>
      <c r="X739" t="s">
        <v>7562</v>
      </c>
      <c r="Y739" t="s">
        <v>7563</v>
      </c>
      <c r="Z739" t="s">
        <v>7564</v>
      </c>
      <c r="AA739" t="s">
        <v>7565</v>
      </c>
      <c r="AB739" t="s">
        <v>7566</v>
      </c>
      <c r="AC739" t="s">
        <v>74</v>
      </c>
      <c r="AD739" t="s">
        <v>74</v>
      </c>
      <c r="AE739" t="s">
        <v>74</v>
      </c>
      <c r="AF739" t="s">
        <v>74</v>
      </c>
      <c r="AG739">
        <v>51</v>
      </c>
      <c r="AH739">
        <v>24</v>
      </c>
      <c r="AI739">
        <v>25</v>
      </c>
      <c r="AJ739">
        <v>2</v>
      </c>
      <c r="AK739">
        <v>8</v>
      </c>
      <c r="AL739" t="s">
        <v>74</v>
      </c>
      <c r="AM739" t="s">
        <v>74</v>
      </c>
      <c r="AN739" t="s">
        <v>74</v>
      </c>
      <c r="AO739" t="s">
        <v>1757</v>
      </c>
      <c r="AP739" t="s">
        <v>1758</v>
      </c>
      <c r="AQ739" t="s">
        <v>74</v>
      </c>
      <c r="AR739" t="s">
        <v>74</v>
      </c>
      <c r="AS739" t="s">
        <v>74</v>
      </c>
      <c r="AT739" t="s">
        <v>230</v>
      </c>
      <c r="AU739">
        <v>2020</v>
      </c>
      <c r="AV739">
        <v>28</v>
      </c>
      <c r="AW739" t="s">
        <v>74</v>
      </c>
      <c r="AX739" t="s">
        <v>74</v>
      </c>
      <c r="AY739" t="s">
        <v>74</v>
      </c>
      <c r="AZ739" t="s">
        <v>74</v>
      </c>
      <c r="BA739" t="s">
        <v>74</v>
      </c>
      <c r="BB739" t="s">
        <v>74</v>
      </c>
      <c r="BC739" t="s">
        <v>74</v>
      </c>
      <c r="BD739">
        <v>102207</v>
      </c>
      <c r="BE739" t="s">
        <v>7567</v>
      </c>
      <c r="BF739" t="str">
        <f>HYPERLINK("http://dx.doi.org/10.1016/j.nano.2020.102207","http://dx.doi.org/10.1016/j.nano.2020.102207")</f>
        <v>http://dx.doi.org/10.1016/j.nano.2020.102207</v>
      </c>
      <c r="BG739" t="s">
        <v>74</v>
      </c>
      <c r="BH739" t="s">
        <v>74</v>
      </c>
      <c r="BI739" t="s">
        <v>74</v>
      </c>
      <c r="BJ739" t="s">
        <v>1760</v>
      </c>
      <c r="BK739" t="s">
        <v>117</v>
      </c>
      <c r="BL739" t="s">
        <v>1761</v>
      </c>
      <c r="BM739" t="s">
        <v>74</v>
      </c>
      <c r="BN739">
        <v>32334098</v>
      </c>
      <c r="BO739" t="s">
        <v>74</v>
      </c>
      <c r="BP739" t="s">
        <v>74</v>
      </c>
      <c r="BQ739" t="s">
        <v>74</v>
      </c>
      <c r="BR739" t="s">
        <v>96</v>
      </c>
      <c r="BS739" t="s">
        <v>7568</v>
      </c>
      <c r="BT739" t="str">
        <f>HYPERLINK("https%3A%2F%2Fwww.webofscience.com%2Fwos%2Fwoscc%2Ffull-record%2FWOS:000563776400006","View Full Record in Web of Science")</f>
        <v>View Full Record in Web of Science</v>
      </c>
    </row>
    <row r="740" spans="1:72" x14ac:dyDescent="0.15">
      <c r="A740" t="s">
        <v>98</v>
      </c>
      <c r="B740" t="s">
        <v>9324</v>
      </c>
      <c r="C740" t="s">
        <v>74</v>
      </c>
      <c r="D740" t="s">
        <v>74</v>
      </c>
      <c r="E740" t="s">
        <v>74</v>
      </c>
      <c r="F740" t="s">
        <v>9324</v>
      </c>
      <c r="G740" t="s">
        <v>74</v>
      </c>
      <c r="H740" t="s">
        <v>74</v>
      </c>
      <c r="I740" t="s">
        <v>9325</v>
      </c>
      <c r="J740" t="s">
        <v>9326</v>
      </c>
      <c r="K740" t="s">
        <v>74</v>
      </c>
      <c r="L740" t="s">
        <v>74</v>
      </c>
      <c r="M740" t="s">
        <v>74</v>
      </c>
      <c r="N740" t="s">
        <v>103</v>
      </c>
      <c r="O740" t="s">
        <v>74</v>
      </c>
      <c r="P740" t="s">
        <v>74</v>
      </c>
      <c r="Q740" t="s">
        <v>74</v>
      </c>
      <c r="R740" t="s">
        <v>74</v>
      </c>
      <c r="S740" t="s">
        <v>74</v>
      </c>
      <c r="T740" t="s">
        <v>9327</v>
      </c>
      <c r="U740" t="s">
        <v>9328</v>
      </c>
      <c r="V740" t="s">
        <v>9329</v>
      </c>
      <c r="W740" t="s">
        <v>9330</v>
      </c>
      <c r="X740" t="s">
        <v>9331</v>
      </c>
      <c r="Y740" t="s">
        <v>9332</v>
      </c>
      <c r="Z740" t="s">
        <v>74</v>
      </c>
      <c r="AA740" t="s">
        <v>9333</v>
      </c>
      <c r="AB740" t="s">
        <v>9334</v>
      </c>
      <c r="AC740" t="s">
        <v>74</v>
      </c>
      <c r="AD740" t="s">
        <v>74</v>
      </c>
      <c r="AE740" t="s">
        <v>74</v>
      </c>
      <c r="AF740" t="s">
        <v>74</v>
      </c>
      <c r="AG740">
        <v>19</v>
      </c>
      <c r="AH740">
        <v>24</v>
      </c>
      <c r="AI740">
        <v>24</v>
      </c>
      <c r="AJ740">
        <v>1</v>
      </c>
      <c r="AK740">
        <v>3</v>
      </c>
      <c r="AL740" t="s">
        <v>74</v>
      </c>
      <c r="AM740" t="s">
        <v>74</v>
      </c>
      <c r="AN740" t="s">
        <v>74</v>
      </c>
      <c r="AO740" t="s">
        <v>9335</v>
      </c>
      <c r="AP740" t="s">
        <v>74</v>
      </c>
      <c r="AQ740" t="s">
        <v>74</v>
      </c>
      <c r="AR740" t="s">
        <v>74</v>
      </c>
      <c r="AS740" t="s">
        <v>74</v>
      </c>
      <c r="AT740" t="s">
        <v>9336</v>
      </c>
      <c r="AU740">
        <v>2003</v>
      </c>
      <c r="AV740">
        <v>13</v>
      </c>
      <c r="AW740">
        <v>1</v>
      </c>
      <c r="AX740" t="s">
        <v>74</v>
      </c>
      <c r="AY740" t="s">
        <v>74</v>
      </c>
      <c r="AZ740" t="s">
        <v>74</v>
      </c>
      <c r="BA740" t="s">
        <v>74</v>
      </c>
      <c r="BB740">
        <v>1</v>
      </c>
      <c r="BC740">
        <v>10</v>
      </c>
      <c r="BD740" t="s">
        <v>74</v>
      </c>
      <c r="BE740" t="s">
        <v>74</v>
      </c>
      <c r="BF740" t="s">
        <v>74</v>
      </c>
      <c r="BG740" t="s">
        <v>74</v>
      </c>
      <c r="BH740" t="s">
        <v>74</v>
      </c>
      <c r="BI740" t="s">
        <v>74</v>
      </c>
      <c r="BJ740" t="s">
        <v>9337</v>
      </c>
      <c r="BK740" t="s">
        <v>117</v>
      </c>
      <c r="BL740" t="s">
        <v>9337</v>
      </c>
      <c r="BM740" t="s">
        <v>74</v>
      </c>
      <c r="BN740">
        <v>12635668</v>
      </c>
      <c r="BO740" t="s">
        <v>74</v>
      </c>
      <c r="BP740" t="s">
        <v>74</v>
      </c>
      <c r="BQ740" t="s">
        <v>74</v>
      </c>
      <c r="BR740" t="s">
        <v>96</v>
      </c>
      <c r="BS740" t="s">
        <v>9338</v>
      </c>
      <c r="BT740" t="str">
        <f>HYPERLINK("https%3A%2F%2Fwww.webofscience.com%2Fwos%2Fwoscc%2Ffull-record%2FWOS:000181262200001","View Full Record in Web of Science")</f>
        <v>View Full Record in Web of Science</v>
      </c>
    </row>
    <row r="741" spans="1:72" x14ac:dyDescent="0.15">
      <c r="A741" t="s">
        <v>98</v>
      </c>
      <c r="B741" t="s">
        <v>10263</v>
      </c>
      <c r="C741" t="s">
        <v>74</v>
      </c>
      <c r="D741" t="s">
        <v>74</v>
      </c>
      <c r="E741" t="s">
        <v>74</v>
      </c>
      <c r="F741" t="s">
        <v>10264</v>
      </c>
      <c r="G741" t="s">
        <v>74</v>
      </c>
      <c r="H741" t="s">
        <v>74</v>
      </c>
      <c r="I741" t="s">
        <v>10265</v>
      </c>
      <c r="J741" t="s">
        <v>1073</v>
      </c>
      <c r="K741" t="s">
        <v>74</v>
      </c>
      <c r="L741" t="s">
        <v>74</v>
      </c>
      <c r="M741" t="s">
        <v>74</v>
      </c>
      <c r="N741" t="s">
        <v>103</v>
      </c>
      <c r="O741" t="s">
        <v>74</v>
      </c>
      <c r="P741" t="s">
        <v>74</v>
      </c>
      <c r="Q741" t="s">
        <v>74</v>
      </c>
      <c r="R741" t="s">
        <v>74</v>
      </c>
      <c r="S741" t="s">
        <v>74</v>
      </c>
      <c r="T741" t="s">
        <v>74</v>
      </c>
      <c r="U741" t="s">
        <v>10266</v>
      </c>
      <c r="V741" t="s">
        <v>10267</v>
      </c>
      <c r="W741" t="s">
        <v>10268</v>
      </c>
      <c r="X741" t="s">
        <v>10269</v>
      </c>
      <c r="Y741" t="s">
        <v>10270</v>
      </c>
      <c r="Z741" t="s">
        <v>10271</v>
      </c>
      <c r="AA741" t="s">
        <v>10272</v>
      </c>
      <c r="AB741" t="s">
        <v>10273</v>
      </c>
      <c r="AC741" t="s">
        <v>74</v>
      </c>
      <c r="AD741" t="s">
        <v>74</v>
      </c>
      <c r="AE741" t="s">
        <v>74</v>
      </c>
      <c r="AF741" t="s">
        <v>74</v>
      </c>
      <c r="AG741">
        <v>81</v>
      </c>
      <c r="AH741">
        <v>24</v>
      </c>
      <c r="AI741">
        <v>24</v>
      </c>
      <c r="AJ741">
        <v>0</v>
      </c>
      <c r="AK741">
        <v>7</v>
      </c>
      <c r="AL741" t="s">
        <v>74</v>
      </c>
      <c r="AM741" t="s">
        <v>74</v>
      </c>
      <c r="AN741" t="s">
        <v>74</v>
      </c>
      <c r="AO741" t="s">
        <v>1082</v>
      </c>
      <c r="AP741" t="s">
        <v>74</v>
      </c>
      <c r="AQ741" t="s">
        <v>74</v>
      </c>
      <c r="AR741" t="s">
        <v>74</v>
      </c>
      <c r="AS741" t="s">
        <v>74</v>
      </c>
      <c r="AT741" t="s">
        <v>2686</v>
      </c>
      <c r="AU741">
        <v>2016</v>
      </c>
      <c r="AV741">
        <v>11</v>
      </c>
      <c r="AW741">
        <v>8</v>
      </c>
      <c r="AX741" t="s">
        <v>74</v>
      </c>
      <c r="AY741" t="s">
        <v>74</v>
      </c>
      <c r="AZ741" t="s">
        <v>74</v>
      </c>
      <c r="BA741" t="s">
        <v>74</v>
      </c>
      <c r="BB741" t="s">
        <v>74</v>
      </c>
      <c r="BC741" t="s">
        <v>74</v>
      </c>
      <c r="BD741" t="s">
        <v>10274</v>
      </c>
      <c r="BE741" t="s">
        <v>10275</v>
      </c>
      <c r="BF741" t="str">
        <f>HYPERLINK("http://dx.doi.org/10.1371/journal.pone.0161824","http://dx.doi.org/10.1371/journal.pone.0161824")</f>
        <v>http://dx.doi.org/10.1371/journal.pone.0161824</v>
      </c>
      <c r="BG741" t="s">
        <v>74</v>
      </c>
      <c r="BH741" t="s">
        <v>74</v>
      </c>
      <c r="BI741" t="s">
        <v>74</v>
      </c>
      <c r="BJ741" t="s">
        <v>152</v>
      </c>
      <c r="BK741" t="s">
        <v>117</v>
      </c>
      <c r="BL741" t="s">
        <v>153</v>
      </c>
      <c r="BM741" t="s">
        <v>74</v>
      </c>
      <c r="BN741">
        <v>27579604</v>
      </c>
      <c r="BO741" t="s">
        <v>74</v>
      </c>
      <c r="BP741" t="s">
        <v>74</v>
      </c>
      <c r="BQ741" t="s">
        <v>74</v>
      </c>
      <c r="BR741" t="s">
        <v>96</v>
      </c>
      <c r="BS741" t="s">
        <v>10276</v>
      </c>
      <c r="BT741" t="str">
        <f>HYPERLINK("https%3A%2F%2Fwww.webofscience.com%2Fwos%2Fwoscc%2Ffull-record%2FWOS:000382877400043","View Full Record in Web of Science")</f>
        <v>View Full Record in Web of Science</v>
      </c>
    </row>
    <row r="742" spans="1:72" x14ac:dyDescent="0.15">
      <c r="A742" t="s">
        <v>98</v>
      </c>
      <c r="B742" t="s">
        <v>11024</v>
      </c>
      <c r="C742" t="s">
        <v>74</v>
      </c>
      <c r="D742" t="s">
        <v>74</v>
      </c>
      <c r="E742" t="s">
        <v>74</v>
      </c>
      <c r="F742" t="s">
        <v>11025</v>
      </c>
      <c r="G742" t="s">
        <v>74</v>
      </c>
      <c r="H742" t="s">
        <v>74</v>
      </c>
      <c r="I742" t="s">
        <v>11026</v>
      </c>
      <c r="J742" t="s">
        <v>8854</v>
      </c>
      <c r="K742" t="s">
        <v>74</v>
      </c>
      <c r="L742" t="s">
        <v>74</v>
      </c>
      <c r="M742" t="s">
        <v>74</v>
      </c>
      <c r="N742" t="s">
        <v>103</v>
      </c>
      <c r="O742" t="s">
        <v>74</v>
      </c>
      <c r="P742" t="s">
        <v>74</v>
      </c>
      <c r="Q742" t="s">
        <v>74</v>
      </c>
      <c r="R742" t="s">
        <v>74</v>
      </c>
      <c r="S742" t="s">
        <v>74</v>
      </c>
      <c r="T742" t="s">
        <v>74</v>
      </c>
      <c r="U742" t="s">
        <v>11027</v>
      </c>
      <c r="V742" t="s">
        <v>11028</v>
      </c>
      <c r="W742" t="s">
        <v>11029</v>
      </c>
      <c r="X742" t="s">
        <v>11030</v>
      </c>
      <c r="Y742" t="s">
        <v>11031</v>
      </c>
      <c r="Z742" t="s">
        <v>11032</v>
      </c>
      <c r="AA742" t="s">
        <v>11033</v>
      </c>
      <c r="AB742" t="s">
        <v>11034</v>
      </c>
      <c r="AC742" t="s">
        <v>74</v>
      </c>
      <c r="AD742" t="s">
        <v>74</v>
      </c>
      <c r="AE742" t="s">
        <v>74</v>
      </c>
      <c r="AF742" t="s">
        <v>74</v>
      </c>
      <c r="AG742">
        <v>61</v>
      </c>
      <c r="AH742">
        <v>24</v>
      </c>
      <c r="AI742">
        <v>25</v>
      </c>
      <c r="AJ742">
        <v>2</v>
      </c>
      <c r="AK742">
        <v>15</v>
      </c>
      <c r="AL742" t="s">
        <v>74</v>
      </c>
      <c r="AM742" t="s">
        <v>74</v>
      </c>
      <c r="AN742" t="s">
        <v>74</v>
      </c>
      <c r="AO742" t="s">
        <v>8862</v>
      </c>
      <c r="AP742" t="s">
        <v>8863</v>
      </c>
      <c r="AQ742" t="s">
        <v>74</v>
      </c>
      <c r="AR742" t="s">
        <v>74</v>
      </c>
      <c r="AS742" t="s">
        <v>74</v>
      </c>
      <c r="AT742" t="s">
        <v>3597</v>
      </c>
      <c r="AU742">
        <v>2018</v>
      </c>
      <c r="AV742">
        <v>26</v>
      </c>
      <c r="AW742">
        <v>4</v>
      </c>
      <c r="AX742" t="s">
        <v>74</v>
      </c>
      <c r="AY742" t="s">
        <v>74</v>
      </c>
      <c r="AZ742" t="s">
        <v>74</v>
      </c>
      <c r="BA742" t="s">
        <v>74</v>
      </c>
      <c r="BB742">
        <v>1020</v>
      </c>
      <c r="BC742">
        <v>1031</v>
      </c>
      <c r="BD742" t="s">
        <v>74</v>
      </c>
      <c r="BE742" t="s">
        <v>11035</v>
      </c>
      <c r="BF742" t="str">
        <f>HYPERLINK("http://dx.doi.org/10.1016/j.ymthe.2018.02.018","http://dx.doi.org/10.1016/j.ymthe.2018.02.018")</f>
        <v>http://dx.doi.org/10.1016/j.ymthe.2018.02.018</v>
      </c>
      <c r="BG742" t="s">
        <v>74</v>
      </c>
      <c r="BH742" t="s">
        <v>74</v>
      </c>
      <c r="BI742" t="s">
        <v>74</v>
      </c>
      <c r="BJ742" t="s">
        <v>2875</v>
      </c>
      <c r="BK742" t="s">
        <v>117</v>
      </c>
      <c r="BL742" t="s">
        <v>2876</v>
      </c>
      <c r="BM742" t="s">
        <v>74</v>
      </c>
      <c r="BN742">
        <v>29550075</v>
      </c>
      <c r="BO742" t="s">
        <v>74</v>
      </c>
      <c r="BP742" t="s">
        <v>74</v>
      </c>
      <c r="BQ742" t="s">
        <v>74</v>
      </c>
      <c r="BR742" t="s">
        <v>96</v>
      </c>
      <c r="BS742" t="s">
        <v>11036</v>
      </c>
      <c r="BT742" t="str">
        <f>HYPERLINK("https%3A%2F%2Fwww.webofscience.com%2Fwos%2Fwoscc%2Ffull-record%2FWOS:000431483400011","View Full Record in Web of Science")</f>
        <v>View Full Record in Web of Science</v>
      </c>
    </row>
    <row r="743" spans="1:72" x14ac:dyDescent="0.15">
      <c r="A743" t="s">
        <v>98</v>
      </c>
      <c r="B743" t="s">
        <v>11226</v>
      </c>
      <c r="C743" t="s">
        <v>74</v>
      </c>
      <c r="D743" t="s">
        <v>74</v>
      </c>
      <c r="E743" t="s">
        <v>74</v>
      </c>
      <c r="F743" t="s">
        <v>11227</v>
      </c>
      <c r="G743" t="s">
        <v>74</v>
      </c>
      <c r="H743" t="s">
        <v>74</v>
      </c>
      <c r="I743" t="s">
        <v>11228</v>
      </c>
      <c r="J743" t="s">
        <v>11229</v>
      </c>
      <c r="K743" t="s">
        <v>74</v>
      </c>
      <c r="L743" t="s">
        <v>74</v>
      </c>
      <c r="M743" t="s">
        <v>74</v>
      </c>
      <c r="N743" t="s">
        <v>103</v>
      </c>
      <c r="O743" t="s">
        <v>74</v>
      </c>
      <c r="P743" t="s">
        <v>74</v>
      </c>
      <c r="Q743" t="s">
        <v>74</v>
      </c>
      <c r="R743" t="s">
        <v>74</v>
      </c>
      <c r="S743" t="s">
        <v>74</v>
      </c>
      <c r="T743" t="s">
        <v>74</v>
      </c>
      <c r="U743" t="s">
        <v>11230</v>
      </c>
      <c r="V743" t="s">
        <v>11231</v>
      </c>
      <c r="W743" t="s">
        <v>11232</v>
      </c>
      <c r="X743" t="s">
        <v>11233</v>
      </c>
      <c r="Y743" t="s">
        <v>11234</v>
      </c>
      <c r="Z743" t="s">
        <v>11235</v>
      </c>
      <c r="AA743" t="s">
        <v>11236</v>
      </c>
      <c r="AB743" t="s">
        <v>11237</v>
      </c>
      <c r="AC743" t="s">
        <v>74</v>
      </c>
      <c r="AD743" t="s">
        <v>74</v>
      </c>
      <c r="AE743" t="s">
        <v>74</v>
      </c>
      <c r="AF743" t="s">
        <v>74</v>
      </c>
      <c r="AG743">
        <v>49</v>
      </c>
      <c r="AH743">
        <v>24</v>
      </c>
      <c r="AI743">
        <v>26</v>
      </c>
      <c r="AJ743">
        <v>5</v>
      </c>
      <c r="AK743">
        <v>10</v>
      </c>
      <c r="AL743" t="s">
        <v>74</v>
      </c>
      <c r="AM743" t="s">
        <v>74</v>
      </c>
      <c r="AN743" t="s">
        <v>74</v>
      </c>
      <c r="AO743" t="s">
        <v>11238</v>
      </c>
      <c r="AP743" t="s">
        <v>11239</v>
      </c>
      <c r="AQ743" t="s">
        <v>74</v>
      </c>
      <c r="AR743" t="s">
        <v>74</v>
      </c>
      <c r="AS743" t="s">
        <v>74</v>
      </c>
      <c r="AT743" t="s">
        <v>967</v>
      </c>
      <c r="AU743">
        <v>2019</v>
      </c>
      <c r="AV743">
        <v>18</v>
      </c>
      <c r="AW743">
        <v>12</v>
      </c>
      <c r="AX743" t="s">
        <v>74</v>
      </c>
      <c r="AY743" t="s">
        <v>74</v>
      </c>
      <c r="AZ743" t="s">
        <v>74</v>
      </c>
      <c r="BA743" t="s">
        <v>74</v>
      </c>
      <c r="BB743">
        <v>2331</v>
      </c>
      <c r="BC743">
        <v>2342</v>
      </c>
      <c r="BD743" t="s">
        <v>74</v>
      </c>
      <c r="BE743" t="s">
        <v>11240</v>
      </c>
      <c r="BF743" t="str">
        <f>HYPERLINK("http://dx.doi.org/10.1158/1535-7163.MCT-19-0299","http://dx.doi.org/10.1158/1535-7163.MCT-19-0299")</f>
        <v>http://dx.doi.org/10.1158/1535-7163.MCT-19-0299</v>
      </c>
      <c r="BG743" t="s">
        <v>74</v>
      </c>
      <c r="BH743" t="s">
        <v>74</v>
      </c>
      <c r="BI743" t="s">
        <v>74</v>
      </c>
      <c r="BJ743" t="s">
        <v>267</v>
      </c>
      <c r="BK743" t="s">
        <v>117</v>
      </c>
      <c r="BL743" t="s">
        <v>267</v>
      </c>
      <c r="BM743" t="s">
        <v>74</v>
      </c>
      <c r="BN743">
        <v>31451563</v>
      </c>
      <c r="BO743" t="s">
        <v>74</v>
      </c>
      <c r="BP743" t="s">
        <v>74</v>
      </c>
      <c r="BQ743" t="s">
        <v>74</v>
      </c>
      <c r="BR743" t="s">
        <v>96</v>
      </c>
      <c r="BS743" t="s">
        <v>11241</v>
      </c>
      <c r="BT743" t="str">
        <f>HYPERLINK("https%3A%2F%2Fwww.webofscience.com%2Fwos%2Fwoscc%2Ffull-record%2FWOS:000500955700013","View Full Record in Web of Science")</f>
        <v>View Full Record in Web of Science</v>
      </c>
    </row>
    <row r="744" spans="1:72" x14ac:dyDescent="0.15">
      <c r="A744" t="s">
        <v>98</v>
      </c>
      <c r="B744" t="s">
        <v>15378</v>
      </c>
      <c r="C744" t="s">
        <v>74</v>
      </c>
      <c r="D744" t="s">
        <v>74</v>
      </c>
      <c r="E744" t="s">
        <v>74</v>
      </c>
      <c r="F744" t="s">
        <v>15379</v>
      </c>
      <c r="G744" t="s">
        <v>74</v>
      </c>
      <c r="H744" t="s">
        <v>74</v>
      </c>
      <c r="I744" t="s">
        <v>15380</v>
      </c>
      <c r="J744" t="s">
        <v>15381</v>
      </c>
      <c r="K744" t="s">
        <v>74</v>
      </c>
      <c r="L744" t="s">
        <v>74</v>
      </c>
      <c r="M744" t="s">
        <v>74</v>
      </c>
      <c r="N744" t="s">
        <v>103</v>
      </c>
      <c r="O744" t="s">
        <v>74</v>
      </c>
      <c r="P744" t="s">
        <v>74</v>
      </c>
      <c r="Q744" t="s">
        <v>74</v>
      </c>
      <c r="R744" t="s">
        <v>74</v>
      </c>
      <c r="S744" t="s">
        <v>74</v>
      </c>
      <c r="T744" t="s">
        <v>15382</v>
      </c>
      <c r="U744" t="s">
        <v>15383</v>
      </c>
      <c r="V744" t="s">
        <v>15384</v>
      </c>
      <c r="W744" t="s">
        <v>15385</v>
      </c>
      <c r="X744" t="s">
        <v>15386</v>
      </c>
      <c r="Y744" t="s">
        <v>15387</v>
      </c>
      <c r="Z744" t="s">
        <v>15388</v>
      </c>
      <c r="AA744" t="s">
        <v>74</v>
      </c>
      <c r="AB744" t="s">
        <v>15389</v>
      </c>
      <c r="AC744" t="s">
        <v>74</v>
      </c>
      <c r="AD744" t="s">
        <v>74</v>
      </c>
      <c r="AE744" t="s">
        <v>74</v>
      </c>
      <c r="AF744" t="s">
        <v>74</v>
      </c>
      <c r="AG744">
        <v>19</v>
      </c>
      <c r="AH744">
        <v>24</v>
      </c>
      <c r="AI744">
        <v>24</v>
      </c>
      <c r="AJ744">
        <v>0</v>
      </c>
      <c r="AK744">
        <v>13</v>
      </c>
      <c r="AL744" t="s">
        <v>74</v>
      </c>
      <c r="AM744" t="s">
        <v>74</v>
      </c>
      <c r="AN744" t="s">
        <v>74</v>
      </c>
      <c r="AO744" t="s">
        <v>15390</v>
      </c>
      <c r="AP744" t="s">
        <v>15391</v>
      </c>
      <c r="AQ744" t="s">
        <v>74</v>
      </c>
      <c r="AR744" t="s">
        <v>74</v>
      </c>
      <c r="AS744" t="s">
        <v>74</v>
      </c>
      <c r="AT744" t="s">
        <v>132</v>
      </c>
      <c r="AU744">
        <v>2006</v>
      </c>
      <c r="AV744">
        <v>139</v>
      </c>
      <c r="AW744">
        <v>4</v>
      </c>
      <c r="AX744" t="s">
        <v>74</v>
      </c>
      <c r="AY744" t="s">
        <v>74</v>
      </c>
      <c r="AZ744" t="s">
        <v>74</v>
      </c>
      <c r="BA744" t="s">
        <v>74</v>
      </c>
      <c r="BB744">
        <v>805</v>
      </c>
      <c r="BC744">
        <v>811</v>
      </c>
      <c r="BD744" t="s">
        <v>74</v>
      </c>
      <c r="BE744" t="s">
        <v>15392</v>
      </c>
      <c r="BF744" t="str">
        <f>HYPERLINK("http://dx.doi.org/10.1093/jb/mvj091","http://dx.doi.org/10.1093/jb/mvj091")</f>
        <v>http://dx.doi.org/10.1093/jb/mvj091</v>
      </c>
      <c r="BG744" t="s">
        <v>74</v>
      </c>
      <c r="BH744" t="s">
        <v>74</v>
      </c>
      <c r="BI744" t="s">
        <v>74</v>
      </c>
      <c r="BJ744" t="s">
        <v>95</v>
      </c>
      <c r="BK744" t="s">
        <v>117</v>
      </c>
      <c r="BL744" t="s">
        <v>95</v>
      </c>
      <c r="BM744" t="s">
        <v>74</v>
      </c>
      <c r="BN744">
        <v>16672282</v>
      </c>
      <c r="BO744" t="s">
        <v>74</v>
      </c>
      <c r="BP744" t="s">
        <v>74</v>
      </c>
      <c r="BQ744" t="s">
        <v>74</v>
      </c>
      <c r="BR744" t="s">
        <v>96</v>
      </c>
      <c r="BS744" t="s">
        <v>15393</v>
      </c>
      <c r="BT744" t="str">
        <f>HYPERLINK("https%3A%2F%2Fwww.webofscience.com%2Fwos%2Fwoscc%2Ffull-record%2FWOS:000237887000021","View Full Record in Web of Science")</f>
        <v>View Full Record in Web of Science</v>
      </c>
    </row>
    <row r="745" spans="1:72" x14ac:dyDescent="0.15">
      <c r="A745" t="s">
        <v>98</v>
      </c>
      <c r="B745" t="s">
        <v>15803</v>
      </c>
      <c r="C745" t="s">
        <v>74</v>
      </c>
      <c r="D745" t="s">
        <v>74</v>
      </c>
      <c r="E745" t="s">
        <v>74</v>
      </c>
      <c r="F745" t="s">
        <v>15804</v>
      </c>
      <c r="G745" t="s">
        <v>74</v>
      </c>
      <c r="H745" t="s">
        <v>74</v>
      </c>
      <c r="I745" t="s">
        <v>15805</v>
      </c>
      <c r="J745" t="s">
        <v>140</v>
      </c>
      <c r="K745" t="s">
        <v>74</v>
      </c>
      <c r="L745" t="s">
        <v>74</v>
      </c>
      <c r="M745" t="s">
        <v>74</v>
      </c>
      <c r="N745" t="s">
        <v>103</v>
      </c>
      <c r="O745" t="s">
        <v>74</v>
      </c>
      <c r="P745" t="s">
        <v>74</v>
      </c>
      <c r="Q745" t="s">
        <v>74</v>
      </c>
      <c r="R745" t="s">
        <v>74</v>
      </c>
      <c r="S745" t="s">
        <v>74</v>
      </c>
      <c r="T745" t="s">
        <v>74</v>
      </c>
      <c r="U745" t="s">
        <v>15806</v>
      </c>
      <c r="V745" t="s">
        <v>15807</v>
      </c>
      <c r="W745" t="s">
        <v>15808</v>
      </c>
      <c r="X745" t="s">
        <v>15809</v>
      </c>
      <c r="Y745" t="s">
        <v>15810</v>
      </c>
      <c r="Z745" t="s">
        <v>15811</v>
      </c>
      <c r="AA745" t="s">
        <v>15812</v>
      </c>
      <c r="AB745" t="s">
        <v>15813</v>
      </c>
      <c r="AC745" t="s">
        <v>74</v>
      </c>
      <c r="AD745" t="s">
        <v>74</v>
      </c>
      <c r="AE745" t="s">
        <v>74</v>
      </c>
      <c r="AF745" t="s">
        <v>74</v>
      </c>
      <c r="AG745">
        <v>77</v>
      </c>
      <c r="AH745">
        <v>24</v>
      </c>
      <c r="AI745">
        <v>24</v>
      </c>
      <c r="AJ745">
        <v>0</v>
      </c>
      <c r="AK745">
        <v>3</v>
      </c>
      <c r="AL745" t="s">
        <v>74</v>
      </c>
      <c r="AM745" t="s">
        <v>74</v>
      </c>
      <c r="AN745" t="s">
        <v>74</v>
      </c>
      <c r="AO745" t="s">
        <v>149</v>
      </c>
      <c r="AP745" t="s">
        <v>74</v>
      </c>
      <c r="AQ745" t="s">
        <v>74</v>
      </c>
      <c r="AR745" t="s">
        <v>74</v>
      </c>
      <c r="AS745" t="s">
        <v>74</v>
      </c>
      <c r="AT745" t="s">
        <v>15814</v>
      </c>
      <c r="AU745">
        <v>2017</v>
      </c>
      <c r="AV745">
        <v>7</v>
      </c>
      <c r="AW745" t="s">
        <v>74</v>
      </c>
      <c r="AX745" t="s">
        <v>74</v>
      </c>
      <c r="AY745" t="s">
        <v>74</v>
      </c>
      <c r="AZ745" t="s">
        <v>74</v>
      </c>
      <c r="BA745" t="s">
        <v>74</v>
      </c>
      <c r="BB745" t="s">
        <v>74</v>
      </c>
      <c r="BC745" t="s">
        <v>74</v>
      </c>
      <c r="BD745">
        <v>16120</v>
      </c>
      <c r="BE745" t="s">
        <v>15815</v>
      </c>
      <c r="BF745" t="str">
        <f>HYPERLINK("http://dx.doi.org/10.1038/s41598-017-16301-9","http://dx.doi.org/10.1038/s41598-017-16301-9")</f>
        <v>http://dx.doi.org/10.1038/s41598-017-16301-9</v>
      </c>
      <c r="BG745" t="s">
        <v>74</v>
      </c>
      <c r="BH745" t="s">
        <v>74</v>
      </c>
      <c r="BI745" t="s">
        <v>74</v>
      </c>
      <c r="BJ745" t="s">
        <v>152</v>
      </c>
      <c r="BK745" t="s">
        <v>117</v>
      </c>
      <c r="BL745" t="s">
        <v>153</v>
      </c>
      <c r="BM745" t="s">
        <v>74</v>
      </c>
      <c r="BN745">
        <v>29170447</v>
      </c>
      <c r="BO745" t="s">
        <v>74</v>
      </c>
      <c r="BP745" t="s">
        <v>74</v>
      </c>
      <c r="BQ745" t="s">
        <v>74</v>
      </c>
      <c r="BR745" t="s">
        <v>96</v>
      </c>
      <c r="BS745" t="s">
        <v>15816</v>
      </c>
      <c r="BT745" t="str">
        <f>HYPERLINK("https%3A%2F%2Fwww.webofscience.com%2Fwos%2Fwoscc%2Ffull-record%2FWOS:000416129200032","View Full Record in Web of Science")</f>
        <v>View Full Record in Web of Science</v>
      </c>
    </row>
    <row r="746" spans="1:72" x14ac:dyDescent="0.15">
      <c r="A746" t="s">
        <v>98</v>
      </c>
      <c r="B746" t="s">
        <v>16813</v>
      </c>
      <c r="C746" t="s">
        <v>74</v>
      </c>
      <c r="D746" t="s">
        <v>74</v>
      </c>
      <c r="E746" t="s">
        <v>74</v>
      </c>
      <c r="F746" t="s">
        <v>16814</v>
      </c>
      <c r="G746" t="s">
        <v>74</v>
      </c>
      <c r="H746" t="s">
        <v>74</v>
      </c>
      <c r="I746" t="s">
        <v>16815</v>
      </c>
      <c r="J746" t="s">
        <v>16816</v>
      </c>
      <c r="K746" t="s">
        <v>74</v>
      </c>
      <c r="L746" t="s">
        <v>74</v>
      </c>
      <c r="M746" t="s">
        <v>74</v>
      </c>
      <c r="N746" t="s">
        <v>103</v>
      </c>
      <c r="O746" t="s">
        <v>74</v>
      </c>
      <c r="P746" t="s">
        <v>74</v>
      </c>
      <c r="Q746" t="s">
        <v>74</v>
      </c>
      <c r="R746" t="s">
        <v>74</v>
      </c>
      <c r="S746" t="s">
        <v>74</v>
      </c>
      <c r="T746" t="s">
        <v>16817</v>
      </c>
      <c r="U746" t="s">
        <v>16818</v>
      </c>
      <c r="V746" t="s">
        <v>16819</v>
      </c>
      <c r="W746" t="s">
        <v>16820</v>
      </c>
      <c r="X746" t="s">
        <v>16821</v>
      </c>
      <c r="Y746" t="s">
        <v>16822</v>
      </c>
      <c r="Z746" t="s">
        <v>16823</v>
      </c>
      <c r="AA746" t="s">
        <v>16824</v>
      </c>
      <c r="AB746" t="s">
        <v>16825</v>
      </c>
      <c r="AC746" t="s">
        <v>74</v>
      </c>
      <c r="AD746" t="s">
        <v>74</v>
      </c>
      <c r="AE746" t="s">
        <v>74</v>
      </c>
      <c r="AF746" t="s">
        <v>74</v>
      </c>
      <c r="AG746">
        <v>53</v>
      </c>
      <c r="AH746">
        <v>24</v>
      </c>
      <c r="AI746">
        <v>27</v>
      </c>
      <c r="AJ746">
        <v>0</v>
      </c>
      <c r="AK746">
        <v>22</v>
      </c>
      <c r="AL746" t="s">
        <v>74</v>
      </c>
      <c r="AM746" t="s">
        <v>74</v>
      </c>
      <c r="AN746" t="s">
        <v>74</v>
      </c>
      <c r="AO746" t="s">
        <v>16826</v>
      </c>
      <c r="AP746" t="s">
        <v>74</v>
      </c>
      <c r="AQ746" t="s">
        <v>74</v>
      </c>
      <c r="AR746" t="s">
        <v>74</v>
      </c>
      <c r="AS746" t="s">
        <v>74</v>
      </c>
      <c r="AT746" t="s">
        <v>132</v>
      </c>
      <c r="AU746">
        <v>2014</v>
      </c>
      <c r="AV746">
        <v>70</v>
      </c>
      <c r="AW746">
        <v>3</v>
      </c>
      <c r="AX746" t="s">
        <v>74</v>
      </c>
      <c r="AY746" t="s">
        <v>74</v>
      </c>
      <c r="AZ746" t="s">
        <v>447</v>
      </c>
      <c r="BA746" t="s">
        <v>74</v>
      </c>
      <c r="BB746">
        <v>414</v>
      </c>
      <c r="BC746">
        <v>422</v>
      </c>
      <c r="BD746" t="s">
        <v>74</v>
      </c>
      <c r="BE746" t="s">
        <v>16827</v>
      </c>
      <c r="BF746" t="str">
        <f>HYPERLINK("http://dx.doi.org/10.1111/2049-632X.12158","http://dx.doi.org/10.1111/2049-632X.12158")</f>
        <v>http://dx.doi.org/10.1111/2049-632X.12158</v>
      </c>
      <c r="BG746" t="s">
        <v>74</v>
      </c>
      <c r="BH746" t="s">
        <v>74</v>
      </c>
      <c r="BI746" t="s">
        <v>74</v>
      </c>
      <c r="BJ746" t="s">
        <v>1410</v>
      </c>
      <c r="BK746" t="s">
        <v>117</v>
      </c>
      <c r="BL746" t="s">
        <v>1410</v>
      </c>
      <c r="BM746" t="s">
        <v>74</v>
      </c>
      <c r="BN746">
        <v>24535842</v>
      </c>
      <c r="BO746" t="s">
        <v>74</v>
      </c>
      <c r="BP746" t="s">
        <v>74</v>
      </c>
      <c r="BQ746" t="s">
        <v>74</v>
      </c>
      <c r="BR746" t="s">
        <v>96</v>
      </c>
      <c r="BS746" t="s">
        <v>16828</v>
      </c>
      <c r="BT746" t="str">
        <f>HYPERLINK("https%3A%2F%2Fwww.webofscience.com%2Fwos%2Fwoscc%2Ffull-record%2FWOS:000334124300024","View Full Record in Web of Science")</f>
        <v>View Full Record in Web of Science</v>
      </c>
    </row>
    <row r="747" spans="1:72" x14ac:dyDescent="0.15">
      <c r="A747" t="s">
        <v>98</v>
      </c>
      <c r="B747" t="s">
        <v>17519</v>
      </c>
      <c r="C747" t="s">
        <v>74</v>
      </c>
      <c r="D747" t="s">
        <v>74</v>
      </c>
      <c r="E747" t="s">
        <v>74</v>
      </c>
      <c r="F747" t="s">
        <v>17520</v>
      </c>
      <c r="G747" t="s">
        <v>74</v>
      </c>
      <c r="H747" t="s">
        <v>74</v>
      </c>
      <c r="I747" t="s">
        <v>17521</v>
      </c>
      <c r="J747" t="s">
        <v>1217</v>
      </c>
      <c r="K747" t="s">
        <v>74</v>
      </c>
      <c r="L747" t="s">
        <v>74</v>
      </c>
      <c r="M747" t="s">
        <v>74</v>
      </c>
      <c r="N747" t="s">
        <v>103</v>
      </c>
      <c r="O747" t="s">
        <v>74</v>
      </c>
      <c r="P747" t="s">
        <v>74</v>
      </c>
      <c r="Q747" t="s">
        <v>74</v>
      </c>
      <c r="R747" t="s">
        <v>74</v>
      </c>
      <c r="S747" t="s">
        <v>74</v>
      </c>
      <c r="T747" t="s">
        <v>17522</v>
      </c>
      <c r="U747" t="s">
        <v>17523</v>
      </c>
      <c r="V747" t="s">
        <v>17524</v>
      </c>
      <c r="W747" t="s">
        <v>17525</v>
      </c>
      <c r="X747" t="s">
        <v>17526</v>
      </c>
      <c r="Y747" t="s">
        <v>17527</v>
      </c>
      <c r="Z747" t="s">
        <v>17528</v>
      </c>
      <c r="AA747" t="s">
        <v>74</v>
      </c>
      <c r="AB747" t="s">
        <v>4084</v>
      </c>
      <c r="AC747" t="s">
        <v>74</v>
      </c>
      <c r="AD747" t="s">
        <v>74</v>
      </c>
      <c r="AE747" t="s">
        <v>74</v>
      </c>
      <c r="AF747" t="s">
        <v>74</v>
      </c>
      <c r="AG747">
        <v>30</v>
      </c>
      <c r="AH747">
        <v>24</v>
      </c>
      <c r="AI747">
        <v>24</v>
      </c>
      <c r="AJ747">
        <v>24</v>
      </c>
      <c r="AK747">
        <v>166</v>
      </c>
      <c r="AL747" t="s">
        <v>74</v>
      </c>
      <c r="AM747" t="s">
        <v>74</v>
      </c>
      <c r="AN747" t="s">
        <v>74</v>
      </c>
      <c r="AO747" t="s">
        <v>1227</v>
      </c>
      <c r="AP747" t="s">
        <v>74</v>
      </c>
      <c r="AQ747" t="s">
        <v>74</v>
      </c>
      <c r="AR747" t="s">
        <v>74</v>
      </c>
      <c r="AS747" t="s">
        <v>74</v>
      </c>
      <c r="AT747" t="s">
        <v>17529</v>
      </c>
      <c r="AU747">
        <v>2020</v>
      </c>
      <c r="AV747">
        <v>5</v>
      </c>
      <c r="AW747">
        <v>7</v>
      </c>
      <c r="AX747" t="s">
        <v>74</v>
      </c>
      <c r="AY747" t="s">
        <v>74</v>
      </c>
      <c r="AZ747" t="s">
        <v>74</v>
      </c>
      <c r="BA747" t="s">
        <v>74</v>
      </c>
      <c r="BB747">
        <v>2052</v>
      </c>
      <c r="BC747">
        <v>2060</v>
      </c>
      <c r="BD747" t="s">
        <v>74</v>
      </c>
      <c r="BE747" t="s">
        <v>17530</v>
      </c>
      <c r="BF747" t="str">
        <f>HYPERLINK("http://dx.doi.org/10.1021/acssensors.0c00513","http://dx.doi.org/10.1021/acssensors.0c00513")</f>
        <v>http://dx.doi.org/10.1021/acssensors.0c00513</v>
      </c>
      <c r="BG747" t="s">
        <v>74</v>
      </c>
      <c r="BH747" t="s">
        <v>74</v>
      </c>
      <c r="BI747" t="s">
        <v>74</v>
      </c>
      <c r="BJ747" t="s">
        <v>1229</v>
      </c>
      <c r="BK747" t="s">
        <v>117</v>
      </c>
      <c r="BL747" t="s">
        <v>1230</v>
      </c>
      <c r="BM747" t="s">
        <v>74</v>
      </c>
      <c r="BN747">
        <v>32594744</v>
      </c>
      <c r="BO747" t="s">
        <v>74</v>
      </c>
      <c r="BP747" t="s">
        <v>74</v>
      </c>
      <c r="BQ747" t="s">
        <v>74</v>
      </c>
      <c r="BR747" t="s">
        <v>96</v>
      </c>
      <c r="BS747" t="s">
        <v>17531</v>
      </c>
      <c r="BT747" t="str">
        <f>HYPERLINK("https%3A%2F%2Fwww.webofscience.com%2Fwos%2Fwoscc%2Ffull-record%2FWOS:000573554900026","View Full Record in Web of Science")</f>
        <v>View Full Record in Web of Science</v>
      </c>
    </row>
    <row r="748" spans="1:72" x14ac:dyDescent="0.15">
      <c r="A748" t="s">
        <v>98</v>
      </c>
      <c r="B748" t="s">
        <v>22407</v>
      </c>
      <c r="C748" t="s">
        <v>74</v>
      </c>
      <c r="D748" t="s">
        <v>74</v>
      </c>
      <c r="E748" t="s">
        <v>74</v>
      </c>
      <c r="F748" t="s">
        <v>22408</v>
      </c>
      <c r="G748" t="s">
        <v>74</v>
      </c>
      <c r="H748" t="s">
        <v>74</v>
      </c>
      <c r="I748" t="s">
        <v>22409</v>
      </c>
      <c r="J748" t="s">
        <v>15711</v>
      </c>
      <c r="K748" t="s">
        <v>74</v>
      </c>
      <c r="L748" t="s">
        <v>74</v>
      </c>
      <c r="M748" t="s">
        <v>74</v>
      </c>
      <c r="N748" t="s">
        <v>103</v>
      </c>
      <c r="O748" t="s">
        <v>74</v>
      </c>
      <c r="P748" t="s">
        <v>74</v>
      </c>
      <c r="Q748" t="s">
        <v>74</v>
      </c>
      <c r="R748" t="s">
        <v>74</v>
      </c>
      <c r="S748" t="s">
        <v>74</v>
      </c>
      <c r="T748" t="s">
        <v>22410</v>
      </c>
      <c r="U748" t="s">
        <v>22411</v>
      </c>
      <c r="V748" t="s">
        <v>22412</v>
      </c>
      <c r="W748" t="s">
        <v>22413</v>
      </c>
      <c r="X748" t="s">
        <v>22414</v>
      </c>
      <c r="Y748" t="s">
        <v>22415</v>
      </c>
      <c r="Z748" t="s">
        <v>22416</v>
      </c>
      <c r="AA748" t="s">
        <v>74</v>
      </c>
      <c r="AB748" t="s">
        <v>74</v>
      </c>
      <c r="AC748" t="s">
        <v>74</v>
      </c>
      <c r="AD748" t="s">
        <v>74</v>
      </c>
      <c r="AE748" t="s">
        <v>74</v>
      </c>
      <c r="AF748" t="s">
        <v>74</v>
      </c>
      <c r="AG748">
        <v>29</v>
      </c>
      <c r="AH748">
        <v>24</v>
      </c>
      <c r="AI748">
        <v>25</v>
      </c>
      <c r="AJ748">
        <v>2</v>
      </c>
      <c r="AK748">
        <v>17</v>
      </c>
      <c r="AL748" t="s">
        <v>74</v>
      </c>
      <c r="AM748" t="s">
        <v>74</v>
      </c>
      <c r="AN748" t="s">
        <v>74</v>
      </c>
      <c r="AO748" t="s">
        <v>15720</v>
      </c>
      <c r="AP748" t="s">
        <v>15721</v>
      </c>
      <c r="AQ748" t="s">
        <v>74</v>
      </c>
      <c r="AR748" t="s">
        <v>74</v>
      </c>
      <c r="AS748" t="s">
        <v>74</v>
      </c>
      <c r="AT748" t="s">
        <v>967</v>
      </c>
      <c r="AU748">
        <v>2019</v>
      </c>
      <c r="AV748">
        <v>51</v>
      </c>
      <c r="AW748">
        <v>12</v>
      </c>
      <c r="AX748" t="s">
        <v>74</v>
      </c>
      <c r="AY748" t="s">
        <v>74</v>
      </c>
      <c r="AZ748" t="s">
        <v>74</v>
      </c>
      <c r="BA748" t="s">
        <v>74</v>
      </c>
      <c r="BB748">
        <v>1233</v>
      </c>
      <c r="BC748">
        <v>1241</v>
      </c>
      <c r="BD748" t="s">
        <v>74</v>
      </c>
      <c r="BE748" t="s">
        <v>22417</v>
      </c>
      <c r="BF748" t="str">
        <f>HYPERLINK("http://dx.doi.org/10.1093/abbs/gmz123","http://dx.doi.org/10.1093/abbs/gmz123")</f>
        <v>http://dx.doi.org/10.1093/abbs/gmz123</v>
      </c>
      <c r="BG748" t="s">
        <v>74</v>
      </c>
      <c r="BH748" t="s">
        <v>74</v>
      </c>
      <c r="BI748" t="s">
        <v>74</v>
      </c>
      <c r="BJ748" t="s">
        <v>2845</v>
      </c>
      <c r="BK748" t="s">
        <v>117</v>
      </c>
      <c r="BL748" t="s">
        <v>2845</v>
      </c>
      <c r="BM748" t="s">
        <v>74</v>
      </c>
      <c r="BN748">
        <v>31768526</v>
      </c>
      <c r="BO748" t="s">
        <v>74</v>
      </c>
      <c r="BP748" t="s">
        <v>74</v>
      </c>
      <c r="BQ748" t="s">
        <v>74</v>
      </c>
      <c r="BR748" t="s">
        <v>96</v>
      </c>
      <c r="BS748" t="s">
        <v>22418</v>
      </c>
      <c r="BT748" t="str">
        <f>HYPERLINK("https%3A%2F%2Fwww.webofscience.com%2Fwos%2Fwoscc%2Ffull-record%2FWOS:000509541900006","View Full Record in Web of Science")</f>
        <v>View Full Record in Web of Science</v>
      </c>
    </row>
    <row r="749" spans="1:72" x14ac:dyDescent="0.15">
      <c r="A749" t="s">
        <v>98</v>
      </c>
      <c r="B749" t="s">
        <v>23251</v>
      </c>
      <c r="C749" t="s">
        <v>74</v>
      </c>
      <c r="D749" t="s">
        <v>74</v>
      </c>
      <c r="E749" t="s">
        <v>74</v>
      </c>
      <c r="F749" t="s">
        <v>23252</v>
      </c>
      <c r="G749" t="s">
        <v>74</v>
      </c>
      <c r="H749" t="s">
        <v>74</v>
      </c>
      <c r="I749" t="s">
        <v>23253</v>
      </c>
      <c r="J749" t="s">
        <v>7962</v>
      </c>
      <c r="K749" t="s">
        <v>74</v>
      </c>
      <c r="L749" t="s">
        <v>74</v>
      </c>
      <c r="M749" t="s">
        <v>74</v>
      </c>
      <c r="N749" t="s">
        <v>103</v>
      </c>
      <c r="O749" t="s">
        <v>74</v>
      </c>
      <c r="P749" t="s">
        <v>74</v>
      </c>
      <c r="Q749" t="s">
        <v>74</v>
      </c>
      <c r="R749" t="s">
        <v>74</v>
      </c>
      <c r="S749" t="s">
        <v>74</v>
      </c>
      <c r="T749" t="s">
        <v>74</v>
      </c>
      <c r="U749" t="s">
        <v>23254</v>
      </c>
      <c r="V749" t="s">
        <v>23255</v>
      </c>
      <c r="W749" t="s">
        <v>23256</v>
      </c>
      <c r="X749" t="s">
        <v>23257</v>
      </c>
      <c r="Y749" t="s">
        <v>23258</v>
      </c>
      <c r="Z749" t="s">
        <v>23259</v>
      </c>
      <c r="AA749" t="s">
        <v>74</v>
      </c>
      <c r="AB749" t="s">
        <v>23260</v>
      </c>
      <c r="AC749" t="s">
        <v>74</v>
      </c>
      <c r="AD749" t="s">
        <v>74</v>
      </c>
      <c r="AE749" t="s">
        <v>74</v>
      </c>
      <c r="AF749" t="s">
        <v>74</v>
      </c>
      <c r="AG749">
        <v>36</v>
      </c>
      <c r="AH749">
        <v>24</v>
      </c>
      <c r="AI749">
        <v>24</v>
      </c>
      <c r="AJ749">
        <v>0</v>
      </c>
      <c r="AK749">
        <v>6</v>
      </c>
      <c r="AL749" t="s">
        <v>74</v>
      </c>
      <c r="AM749" t="s">
        <v>74</v>
      </c>
      <c r="AN749" t="s">
        <v>74</v>
      </c>
      <c r="AO749" t="s">
        <v>74</v>
      </c>
      <c r="AP749" t="s">
        <v>7970</v>
      </c>
      <c r="AQ749" t="s">
        <v>74</v>
      </c>
      <c r="AR749" t="s">
        <v>74</v>
      </c>
      <c r="AS749" t="s">
        <v>74</v>
      </c>
      <c r="AT749" t="s">
        <v>6249</v>
      </c>
      <c r="AU749">
        <v>2019</v>
      </c>
      <c r="AV749">
        <v>2</v>
      </c>
      <c r="AW749" t="s">
        <v>74</v>
      </c>
      <c r="AX749" t="s">
        <v>74</v>
      </c>
      <c r="AY749" t="s">
        <v>74</v>
      </c>
      <c r="AZ749" t="s">
        <v>74</v>
      </c>
      <c r="BA749" t="s">
        <v>74</v>
      </c>
      <c r="BB749" t="s">
        <v>74</v>
      </c>
      <c r="BC749" t="s">
        <v>74</v>
      </c>
      <c r="BD749">
        <v>57</v>
      </c>
      <c r="BE749" t="s">
        <v>23261</v>
      </c>
      <c r="BF749" t="str">
        <f>HYPERLINK("http://dx.doi.org/10.1038/s42003-019-0300-2","http://dx.doi.org/10.1038/s42003-019-0300-2")</f>
        <v>http://dx.doi.org/10.1038/s42003-019-0300-2</v>
      </c>
      <c r="BG749" t="s">
        <v>74</v>
      </c>
      <c r="BH749" t="s">
        <v>74</v>
      </c>
      <c r="BI749" t="s">
        <v>74</v>
      </c>
      <c r="BJ749" t="s">
        <v>7972</v>
      </c>
      <c r="BK749" t="s">
        <v>117</v>
      </c>
      <c r="BL749" t="s">
        <v>7973</v>
      </c>
      <c r="BM749" t="s">
        <v>74</v>
      </c>
      <c r="BN749" t="s">
        <v>74</v>
      </c>
      <c r="BO749" t="s">
        <v>74</v>
      </c>
      <c r="BP749" t="s">
        <v>74</v>
      </c>
      <c r="BQ749" t="s">
        <v>74</v>
      </c>
      <c r="BR749" t="s">
        <v>96</v>
      </c>
      <c r="BS749" t="s">
        <v>23262</v>
      </c>
      <c r="BT749" t="str">
        <f>HYPERLINK("https%3A%2F%2Fwww.webofscience.com%2Fwos%2Fwoscc%2Ffull-record%2FWOS:000461153700002","View Full Record in Web of Science")</f>
        <v>View Full Record in Web of Science</v>
      </c>
    </row>
    <row r="750" spans="1:72" x14ac:dyDescent="0.15">
      <c r="A750" t="s">
        <v>98</v>
      </c>
      <c r="B750" t="s">
        <v>23580</v>
      </c>
      <c r="C750" t="s">
        <v>74</v>
      </c>
      <c r="D750" t="s">
        <v>74</v>
      </c>
      <c r="E750" t="s">
        <v>74</v>
      </c>
      <c r="F750" t="s">
        <v>23581</v>
      </c>
      <c r="G750" t="s">
        <v>74</v>
      </c>
      <c r="H750" t="s">
        <v>74</v>
      </c>
      <c r="I750" t="s">
        <v>23582</v>
      </c>
      <c r="J750" t="s">
        <v>23583</v>
      </c>
      <c r="K750" t="s">
        <v>74</v>
      </c>
      <c r="L750" t="s">
        <v>74</v>
      </c>
      <c r="M750" t="s">
        <v>74</v>
      </c>
      <c r="N750" t="s">
        <v>103</v>
      </c>
      <c r="O750" t="s">
        <v>74</v>
      </c>
      <c r="P750" t="s">
        <v>74</v>
      </c>
      <c r="Q750" t="s">
        <v>74</v>
      </c>
      <c r="R750" t="s">
        <v>74</v>
      </c>
      <c r="S750" t="s">
        <v>74</v>
      </c>
      <c r="T750" t="s">
        <v>23584</v>
      </c>
      <c r="U750" t="s">
        <v>23585</v>
      </c>
      <c r="V750" t="s">
        <v>23586</v>
      </c>
      <c r="W750" t="s">
        <v>23587</v>
      </c>
      <c r="X750" t="s">
        <v>23588</v>
      </c>
      <c r="Y750" t="s">
        <v>23589</v>
      </c>
      <c r="Z750" t="s">
        <v>23590</v>
      </c>
      <c r="AA750" t="s">
        <v>74</v>
      </c>
      <c r="AB750" t="s">
        <v>74</v>
      </c>
      <c r="AC750" t="s">
        <v>74</v>
      </c>
      <c r="AD750" t="s">
        <v>74</v>
      </c>
      <c r="AE750" t="s">
        <v>74</v>
      </c>
      <c r="AF750" t="s">
        <v>74</v>
      </c>
      <c r="AG750">
        <v>34</v>
      </c>
      <c r="AH750">
        <v>24</v>
      </c>
      <c r="AI750">
        <v>25</v>
      </c>
      <c r="AJ750">
        <v>0</v>
      </c>
      <c r="AK750">
        <v>1</v>
      </c>
      <c r="AL750" t="s">
        <v>74</v>
      </c>
      <c r="AM750" t="s">
        <v>74</v>
      </c>
      <c r="AN750" t="s">
        <v>74</v>
      </c>
      <c r="AO750" t="s">
        <v>23591</v>
      </c>
      <c r="AP750" t="s">
        <v>23592</v>
      </c>
      <c r="AQ750" t="s">
        <v>74</v>
      </c>
      <c r="AR750" t="s">
        <v>74</v>
      </c>
      <c r="AS750" t="s">
        <v>74</v>
      </c>
      <c r="AT750" t="s">
        <v>335</v>
      </c>
      <c r="AU750">
        <v>2021</v>
      </c>
      <c r="AV750">
        <v>36</v>
      </c>
      <c r="AW750">
        <v>7</v>
      </c>
      <c r="AX750" t="s">
        <v>74</v>
      </c>
      <c r="AY750" t="s">
        <v>74</v>
      </c>
      <c r="AZ750" t="s">
        <v>74</v>
      </c>
      <c r="BA750" t="s">
        <v>74</v>
      </c>
      <c r="BB750">
        <v>537</v>
      </c>
      <c r="BC750">
        <v>548</v>
      </c>
      <c r="BD750" t="s">
        <v>74</v>
      </c>
      <c r="BE750" t="s">
        <v>23593</v>
      </c>
      <c r="BF750" t="str">
        <f>HYPERLINK("http://dx.doi.org/10.1089/cbr.2019.3492","http://dx.doi.org/10.1089/cbr.2019.3492")</f>
        <v>http://dx.doi.org/10.1089/cbr.2019.3492</v>
      </c>
      <c r="BG750" t="s">
        <v>74</v>
      </c>
      <c r="BH750" t="s">
        <v>7893</v>
      </c>
      <c r="BI750" t="s">
        <v>74</v>
      </c>
      <c r="BJ750" t="s">
        <v>23594</v>
      </c>
      <c r="BK750" t="s">
        <v>117</v>
      </c>
      <c r="BL750" t="s">
        <v>23595</v>
      </c>
      <c r="BM750" t="s">
        <v>74</v>
      </c>
      <c r="BN750">
        <v>32644821</v>
      </c>
      <c r="BO750" t="s">
        <v>74</v>
      </c>
      <c r="BP750" t="s">
        <v>74</v>
      </c>
      <c r="BQ750" t="s">
        <v>74</v>
      </c>
      <c r="BR750" t="s">
        <v>96</v>
      </c>
      <c r="BS750" t="s">
        <v>23596</v>
      </c>
      <c r="BT750" t="str">
        <f>HYPERLINK("https%3A%2F%2Fwww.webofscience.com%2Fwos%2Fwoscc%2Ffull-record%2FWOS:000586234500005","View Full Record in Web of Science")</f>
        <v>View Full Record in Web of Science</v>
      </c>
    </row>
    <row r="751" spans="1:72" x14ac:dyDescent="0.15">
      <c r="A751" t="s">
        <v>98</v>
      </c>
      <c r="B751" t="s">
        <v>25165</v>
      </c>
      <c r="C751" t="s">
        <v>74</v>
      </c>
      <c r="D751" t="s">
        <v>74</v>
      </c>
      <c r="E751" t="s">
        <v>74</v>
      </c>
      <c r="F751" t="s">
        <v>25166</v>
      </c>
      <c r="G751" t="s">
        <v>74</v>
      </c>
      <c r="H751" t="s">
        <v>74</v>
      </c>
      <c r="I751" t="s">
        <v>25167</v>
      </c>
      <c r="J751" t="s">
        <v>1712</v>
      </c>
      <c r="K751" t="s">
        <v>74</v>
      </c>
      <c r="L751" t="s">
        <v>74</v>
      </c>
      <c r="M751" t="s">
        <v>74</v>
      </c>
      <c r="N751" t="s">
        <v>103</v>
      </c>
      <c r="O751" t="s">
        <v>74</v>
      </c>
      <c r="P751" t="s">
        <v>74</v>
      </c>
      <c r="Q751" t="s">
        <v>74</v>
      </c>
      <c r="R751" t="s">
        <v>74</v>
      </c>
      <c r="S751" t="s">
        <v>74</v>
      </c>
      <c r="T751" t="s">
        <v>25168</v>
      </c>
      <c r="U751" t="s">
        <v>25169</v>
      </c>
      <c r="V751" t="s">
        <v>25170</v>
      </c>
      <c r="W751" t="s">
        <v>25171</v>
      </c>
      <c r="X751" t="s">
        <v>4171</v>
      </c>
      <c r="Y751" t="s">
        <v>25172</v>
      </c>
      <c r="Z751" t="s">
        <v>25173</v>
      </c>
      <c r="AA751" t="s">
        <v>25174</v>
      </c>
      <c r="AB751" t="s">
        <v>25175</v>
      </c>
      <c r="AC751" t="s">
        <v>74</v>
      </c>
      <c r="AD751" t="s">
        <v>74</v>
      </c>
      <c r="AE751" t="s">
        <v>74</v>
      </c>
      <c r="AF751" t="s">
        <v>74</v>
      </c>
      <c r="AG751">
        <v>70</v>
      </c>
      <c r="AH751">
        <v>24</v>
      </c>
      <c r="AI751">
        <v>24</v>
      </c>
      <c r="AJ751">
        <v>29</v>
      </c>
      <c r="AK751">
        <v>221</v>
      </c>
      <c r="AL751" t="s">
        <v>74</v>
      </c>
      <c r="AM751" t="s">
        <v>74</v>
      </c>
      <c r="AN751" t="s">
        <v>74</v>
      </c>
      <c r="AO751" t="s">
        <v>1722</v>
      </c>
      <c r="AP751" t="s">
        <v>1723</v>
      </c>
      <c r="AQ751" t="s">
        <v>74</v>
      </c>
      <c r="AR751" t="s">
        <v>74</v>
      </c>
      <c r="AS751" t="s">
        <v>74</v>
      </c>
      <c r="AT751" t="s">
        <v>21541</v>
      </c>
      <c r="AU751">
        <v>2020</v>
      </c>
      <c r="AV751">
        <v>14</v>
      </c>
      <c r="AW751">
        <v>5</v>
      </c>
      <c r="AX751" t="s">
        <v>74</v>
      </c>
      <c r="AY751" t="s">
        <v>74</v>
      </c>
      <c r="AZ751" t="s">
        <v>74</v>
      </c>
      <c r="BA751" t="s">
        <v>74</v>
      </c>
      <c r="BB751">
        <v>6150</v>
      </c>
      <c r="BC751">
        <v>6163</v>
      </c>
      <c r="BD751" t="s">
        <v>74</v>
      </c>
      <c r="BE751" t="s">
        <v>25176</v>
      </c>
      <c r="BF751" t="str">
        <f>HYPERLINK("http://dx.doi.org/10.1021/acsnano.0c02145","http://dx.doi.org/10.1021/acsnano.0c02145")</f>
        <v>http://dx.doi.org/10.1021/acsnano.0c02145</v>
      </c>
      <c r="BG751" t="s">
        <v>74</v>
      </c>
      <c r="BH751" t="s">
        <v>74</v>
      </c>
      <c r="BI751" t="s">
        <v>74</v>
      </c>
      <c r="BJ751" t="s">
        <v>1725</v>
      </c>
      <c r="BK751" t="s">
        <v>117</v>
      </c>
      <c r="BL751" t="s">
        <v>1275</v>
      </c>
      <c r="BM751" t="s">
        <v>74</v>
      </c>
      <c r="BN751">
        <v>32352741</v>
      </c>
      <c r="BO751" t="s">
        <v>74</v>
      </c>
      <c r="BP751" t="s">
        <v>74</v>
      </c>
      <c r="BQ751" t="s">
        <v>74</v>
      </c>
      <c r="BR751" t="s">
        <v>96</v>
      </c>
      <c r="BS751" t="s">
        <v>25177</v>
      </c>
      <c r="BT751" t="str">
        <f>HYPERLINK("https%3A%2F%2Fwww.webofscience.com%2Fwos%2Fwoscc%2Ffull-record%2FWOS:000537682300098","View Full Record in Web of Science")</f>
        <v>View Full Record in Web of Science</v>
      </c>
    </row>
    <row r="752" spans="1:72" x14ac:dyDescent="0.15">
      <c r="A752" t="s">
        <v>98</v>
      </c>
      <c r="B752" t="s">
        <v>26864</v>
      </c>
      <c r="C752" t="s">
        <v>74</v>
      </c>
      <c r="D752" t="s">
        <v>74</v>
      </c>
      <c r="E752" t="s">
        <v>74</v>
      </c>
      <c r="F752" t="s">
        <v>26864</v>
      </c>
      <c r="G752" t="s">
        <v>74</v>
      </c>
      <c r="H752" t="s">
        <v>74</v>
      </c>
      <c r="I752" t="s">
        <v>26865</v>
      </c>
      <c r="J752" t="s">
        <v>12369</v>
      </c>
      <c r="K752" t="s">
        <v>74</v>
      </c>
      <c r="L752" t="s">
        <v>74</v>
      </c>
      <c r="M752" t="s">
        <v>74</v>
      </c>
      <c r="N752" t="s">
        <v>103</v>
      </c>
      <c r="O752" t="s">
        <v>74</v>
      </c>
      <c r="P752" t="s">
        <v>74</v>
      </c>
      <c r="Q752" t="s">
        <v>74</v>
      </c>
      <c r="R752" t="s">
        <v>74</v>
      </c>
      <c r="S752" t="s">
        <v>74</v>
      </c>
      <c r="T752" t="s">
        <v>74</v>
      </c>
      <c r="U752" t="s">
        <v>26866</v>
      </c>
      <c r="V752" t="s">
        <v>26867</v>
      </c>
      <c r="W752" t="s">
        <v>26868</v>
      </c>
      <c r="X752" t="s">
        <v>26858</v>
      </c>
      <c r="Y752" t="s">
        <v>26869</v>
      </c>
      <c r="Z752" t="s">
        <v>74</v>
      </c>
      <c r="AA752" t="s">
        <v>74</v>
      </c>
      <c r="AB752" t="s">
        <v>24018</v>
      </c>
      <c r="AC752" t="s">
        <v>74</v>
      </c>
      <c r="AD752" t="s">
        <v>74</v>
      </c>
      <c r="AE752" t="s">
        <v>74</v>
      </c>
      <c r="AF752" t="s">
        <v>74</v>
      </c>
      <c r="AG752">
        <v>48</v>
      </c>
      <c r="AH752">
        <v>24</v>
      </c>
      <c r="AI752">
        <v>24</v>
      </c>
      <c r="AJ752">
        <v>0</v>
      </c>
      <c r="AK752">
        <v>0</v>
      </c>
      <c r="AL752" t="s">
        <v>74</v>
      </c>
      <c r="AM752" t="s">
        <v>74</v>
      </c>
      <c r="AN752" t="s">
        <v>74</v>
      </c>
      <c r="AO752" t="s">
        <v>12374</v>
      </c>
      <c r="AP752" t="s">
        <v>74</v>
      </c>
      <c r="AQ752" t="s">
        <v>74</v>
      </c>
      <c r="AR752" t="s">
        <v>74</v>
      </c>
      <c r="AS752" t="s">
        <v>74</v>
      </c>
      <c r="AT752" t="s">
        <v>11469</v>
      </c>
      <c r="AU752">
        <v>2000</v>
      </c>
      <c r="AV752">
        <v>278</v>
      </c>
      <c r="AW752">
        <v>2</v>
      </c>
      <c r="AX752" t="s">
        <v>74</v>
      </c>
      <c r="AY752" t="s">
        <v>74</v>
      </c>
      <c r="AZ752" t="s">
        <v>74</v>
      </c>
      <c r="BA752" t="s">
        <v>74</v>
      </c>
      <c r="BB752">
        <v>477</v>
      </c>
      <c r="BC752">
        <v>489</v>
      </c>
      <c r="BD752" t="s">
        <v>74</v>
      </c>
      <c r="BE752" t="s">
        <v>26870</v>
      </c>
      <c r="BF752" t="str">
        <f>HYPERLINK("http://dx.doi.org/10.1006/viro.2000.0664","http://dx.doi.org/10.1006/viro.2000.0664")</f>
        <v>http://dx.doi.org/10.1006/viro.2000.0664</v>
      </c>
      <c r="BG752" t="s">
        <v>74</v>
      </c>
      <c r="BH752" t="s">
        <v>74</v>
      </c>
      <c r="BI752" t="s">
        <v>74</v>
      </c>
      <c r="BJ752" t="s">
        <v>932</v>
      </c>
      <c r="BK752" t="s">
        <v>117</v>
      </c>
      <c r="BL752" t="s">
        <v>932</v>
      </c>
      <c r="BM752" t="s">
        <v>74</v>
      </c>
      <c r="BN752">
        <v>11118370</v>
      </c>
      <c r="BO752" t="s">
        <v>74</v>
      </c>
      <c r="BP752" t="s">
        <v>74</v>
      </c>
      <c r="BQ752" t="s">
        <v>74</v>
      </c>
      <c r="BR752" t="s">
        <v>96</v>
      </c>
      <c r="BS752" t="s">
        <v>26871</v>
      </c>
      <c r="BT752" t="str">
        <f>HYPERLINK("https%3A%2F%2Fwww.webofscience.com%2Fwos%2Fwoscc%2Ffull-record%2FWOS:000166164300017","View Full Record in Web of Science")</f>
        <v>View Full Record in Web of Science</v>
      </c>
    </row>
    <row r="753" spans="1:72" x14ac:dyDescent="0.15">
      <c r="A753" t="s">
        <v>98</v>
      </c>
      <c r="B753" t="s">
        <v>30495</v>
      </c>
      <c r="C753" t="s">
        <v>74</v>
      </c>
      <c r="D753" t="s">
        <v>74</v>
      </c>
      <c r="E753" t="s">
        <v>74</v>
      </c>
      <c r="F753" t="s">
        <v>30496</v>
      </c>
      <c r="G753" t="s">
        <v>74</v>
      </c>
      <c r="H753" t="s">
        <v>74</v>
      </c>
      <c r="I753" t="s">
        <v>30497</v>
      </c>
      <c r="J753" t="s">
        <v>10816</v>
      </c>
      <c r="K753" t="s">
        <v>74</v>
      </c>
      <c r="L753" t="s">
        <v>74</v>
      </c>
      <c r="M753" t="s">
        <v>74</v>
      </c>
      <c r="N753" t="s">
        <v>103</v>
      </c>
      <c r="O753" t="s">
        <v>74</v>
      </c>
      <c r="P753" t="s">
        <v>74</v>
      </c>
      <c r="Q753" t="s">
        <v>74</v>
      </c>
      <c r="R753" t="s">
        <v>74</v>
      </c>
      <c r="S753" t="s">
        <v>74</v>
      </c>
      <c r="T753" t="s">
        <v>30498</v>
      </c>
      <c r="U753" t="s">
        <v>30499</v>
      </c>
      <c r="V753" t="s">
        <v>30500</v>
      </c>
      <c r="W753" t="s">
        <v>30501</v>
      </c>
      <c r="X753" t="s">
        <v>30502</v>
      </c>
      <c r="Y753" t="s">
        <v>30503</v>
      </c>
      <c r="Z753" t="s">
        <v>30504</v>
      </c>
      <c r="AA753" t="s">
        <v>30505</v>
      </c>
      <c r="AB753" t="s">
        <v>30506</v>
      </c>
      <c r="AC753" t="s">
        <v>74</v>
      </c>
      <c r="AD753" t="s">
        <v>74</v>
      </c>
      <c r="AE753" t="s">
        <v>74</v>
      </c>
      <c r="AF753" t="s">
        <v>74</v>
      </c>
      <c r="AG753">
        <v>101</v>
      </c>
      <c r="AH753">
        <v>24</v>
      </c>
      <c r="AI753">
        <v>25</v>
      </c>
      <c r="AJ753">
        <v>3</v>
      </c>
      <c r="AK753">
        <v>28</v>
      </c>
      <c r="AL753" t="s">
        <v>74</v>
      </c>
      <c r="AM753" t="s">
        <v>74</v>
      </c>
      <c r="AN753" t="s">
        <v>74</v>
      </c>
      <c r="AO753" t="s">
        <v>10825</v>
      </c>
      <c r="AP753" t="s">
        <v>74</v>
      </c>
      <c r="AQ753" t="s">
        <v>74</v>
      </c>
      <c r="AR753" t="s">
        <v>74</v>
      </c>
      <c r="AS753" t="s">
        <v>74</v>
      </c>
      <c r="AT753" t="s">
        <v>30507</v>
      </c>
      <c r="AU753">
        <v>2017</v>
      </c>
      <c r="AV753">
        <v>5</v>
      </c>
      <c r="AW753" t="s">
        <v>74</v>
      </c>
      <c r="AX753" t="s">
        <v>74</v>
      </c>
      <c r="AY753" t="s">
        <v>74</v>
      </c>
      <c r="AZ753" t="s">
        <v>74</v>
      </c>
      <c r="BA753" t="s">
        <v>74</v>
      </c>
      <c r="BB753" t="s">
        <v>74</v>
      </c>
      <c r="BC753" t="s">
        <v>74</v>
      </c>
      <c r="BD753" t="s">
        <v>30508</v>
      </c>
      <c r="BE753" t="s">
        <v>30509</v>
      </c>
      <c r="BF753" t="str">
        <f>HYPERLINK("http://dx.doi.org/10.7717/peerj.4196","http://dx.doi.org/10.7717/peerj.4196")</f>
        <v>http://dx.doi.org/10.7717/peerj.4196</v>
      </c>
      <c r="BG753" t="s">
        <v>74</v>
      </c>
      <c r="BH753" t="s">
        <v>74</v>
      </c>
      <c r="BI753" t="s">
        <v>74</v>
      </c>
      <c r="BJ753" t="s">
        <v>152</v>
      </c>
      <c r="BK753" t="s">
        <v>117</v>
      </c>
      <c r="BL753" t="s">
        <v>153</v>
      </c>
      <c r="BM753" t="s">
        <v>74</v>
      </c>
      <c r="BN753">
        <v>29302403</v>
      </c>
      <c r="BO753" t="s">
        <v>74</v>
      </c>
      <c r="BP753" t="s">
        <v>74</v>
      </c>
      <c r="BQ753" t="s">
        <v>74</v>
      </c>
      <c r="BR753" t="s">
        <v>96</v>
      </c>
      <c r="BS753" t="s">
        <v>30510</v>
      </c>
      <c r="BT753" t="str">
        <f>HYPERLINK("https%3A%2F%2Fwww.webofscience.com%2Fwos%2Fwoscc%2Ffull-record%2FWOS:000419184400008","View Full Record in Web of Science")</f>
        <v>View Full Record in Web of Science</v>
      </c>
    </row>
    <row r="754" spans="1:72" x14ac:dyDescent="0.15">
      <c r="A754" t="s">
        <v>98</v>
      </c>
      <c r="B754" t="s">
        <v>30511</v>
      </c>
      <c r="C754" t="s">
        <v>74</v>
      </c>
      <c r="D754" t="s">
        <v>74</v>
      </c>
      <c r="E754" t="s">
        <v>74</v>
      </c>
      <c r="F754" t="s">
        <v>30512</v>
      </c>
      <c r="G754" t="s">
        <v>74</v>
      </c>
      <c r="H754" t="s">
        <v>74</v>
      </c>
      <c r="I754" t="s">
        <v>30513</v>
      </c>
      <c r="J754" t="s">
        <v>30514</v>
      </c>
      <c r="K754" t="s">
        <v>74</v>
      </c>
      <c r="L754" t="s">
        <v>74</v>
      </c>
      <c r="M754" t="s">
        <v>74</v>
      </c>
      <c r="N754" t="s">
        <v>103</v>
      </c>
      <c r="O754" t="s">
        <v>74</v>
      </c>
      <c r="P754" t="s">
        <v>74</v>
      </c>
      <c r="Q754" t="s">
        <v>74</v>
      </c>
      <c r="R754" t="s">
        <v>74</v>
      </c>
      <c r="S754" t="s">
        <v>74</v>
      </c>
      <c r="T754" t="s">
        <v>30515</v>
      </c>
      <c r="U754" t="s">
        <v>30516</v>
      </c>
      <c r="V754" t="s">
        <v>30517</v>
      </c>
      <c r="W754" t="s">
        <v>30518</v>
      </c>
      <c r="X754" t="s">
        <v>30519</v>
      </c>
      <c r="Y754" t="s">
        <v>30520</v>
      </c>
      <c r="Z754" t="s">
        <v>30521</v>
      </c>
      <c r="AA754" t="s">
        <v>30522</v>
      </c>
      <c r="AB754" t="s">
        <v>30523</v>
      </c>
      <c r="AC754" t="s">
        <v>74</v>
      </c>
      <c r="AD754" t="s">
        <v>74</v>
      </c>
      <c r="AE754" t="s">
        <v>74</v>
      </c>
      <c r="AF754" t="s">
        <v>74</v>
      </c>
      <c r="AG754">
        <v>36</v>
      </c>
      <c r="AH754">
        <v>24</v>
      </c>
      <c r="AI754">
        <v>26</v>
      </c>
      <c r="AJ754">
        <v>1</v>
      </c>
      <c r="AK754">
        <v>28</v>
      </c>
      <c r="AL754" t="s">
        <v>74</v>
      </c>
      <c r="AM754" t="s">
        <v>74</v>
      </c>
      <c r="AN754" t="s">
        <v>74</v>
      </c>
      <c r="AO754" t="s">
        <v>30524</v>
      </c>
      <c r="AP754" t="s">
        <v>74</v>
      </c>
      <c r="AQ754" t="s">
        <v>74</v>
      </c>
      <c r="AR754" t="s">
        <v>74</v>
      </c>
      <c r="AS754" t="s">
        <v>74</v>
      </c>
      <c r="AT754" t="s">
        <v>614</v>
      </c>
      <c r="AU754">
        <v>2013</v>
      </c>
      <c r="AV754">
        <v>140</v>
      </c>
      <c r="AW754">
        <v>2</v>
      </c>
      <c r="AX754" t="s">
        <v>74</v>
      </c>
      <c r="AY754" t="s">
        <v>74</v>
      </c>
      <c r="AZ754" t="s">
        <v>74</v>
      </c>
      <c r="BA754" t="s">
        <v>74</v>
      </c>
      <c r="BB754">
        <v>273</v>
      </c>
      <c r="BC754">
        <v>284</v>
      </c>
      <c r="BD754" t="s">
        <v>74</v>
      </c>
      <c r="BE754" t="s">
        <v>30525</v>
      </c>
      <c r="BF754" t="str">
        <f>HYPERLINK("http://dx.doi.org/10.1007/s10549-013-2626-7","http://dx.doi.org/10.1007/s10549-013-2626-7")</f>
        <v>http://dx.doi.org/10.1007/s10549-013-2626-7</v>
      </c>
      <c r="BG754" t="s">
        <v>74</v>
      </c>
      <c r="BH754" t="s">
        <v>74</v>
      </c>
      <c r="BI754" t="s">
        <v>74</v>
      </c>
      <c r="BJ754" t="s">
        <v>267</v>
      </c>
      <c r="BK754" t="s">
        <v>117</v>
      </c>
      <c r="BL754" t="s">
        <v>267</v>
      </c>
      <c r="BM754" t="s">
        <v>74</v>
      </c>
      <c r="BN754">
        <v>23881522</v>
      </c>
      <c r="BO754" t="s">
        <v>74</v>
      </c>
      <c r="BP754" t="s">
        <v>74</v>
      </c>
      <c r="BQ754" t="s">
        <v>74</v>
      </c>
      <c r="BR754" t="s">
        <v>96</v>
      </c>
      <c r="BS754" t="s">
        <v>30526</v>
      </c>
      <c r="BT754" t="str">
        <f>HYPERLINK("https%3A%2F%2Fwww.webofscience.com%2Fwos%2Fwoscc%2Ffull-record%2FWOS:000323245200007","View Full Record in Web of Science")</f>
        <v>View Full Record in Web of Science</v>
      </c>
    </row>
    <row r="755" spans="1:72" x14ac:dyDescent="0.15">
      <c r="A755" t="s">
        <v>98</v>
      </c>
      <c r="B755" t="s">
        <v>1584</v>
      </c>
      <c r="C755" t="s">
        <v>74</v>
      </c>
      <c r="D755" t="s">
        <v>74</v>
      </c>
      <c r="E755" t="s">
        <v>74</v>
      </c>
      <c r="F755" t="s">
        <v>1585</v>
      </c>
      <c r="G755" t="s">
        <v>74</v>
      </c>
      <c r="H755" t="s">
        <v>74</v>
      </c>
      <c r="I755" t="s">
        <v>1586</v>
      </c>
      <c r="J755" t="s">
        <v>123</v>
      </c>
      <c r="K755" t="s">
        <v>74</v>
      </c>
      <c r="L755" t="s">
        <v>74</v>
      </c>
      <c r="M755" t="s">
        <v>74</v>
      </c>
      <c r="N755" t="s">
        <v>103</v>
      </c>
      <c r="O755" t="s">
        <v>74</v>
      </c>
      <c r="P755" t="s">
        <v>74</v>
      </c>
      <c r="Q755" t="s">
        <v>74</v>
      </c>
      <c r="R755" t="s">
        <v>74</v>
      </c>
      <c r="S755" t="s">
        <v>74</v>
      </c>
      <c r="T755" t="s">
        <v>1587</v>
      </c>
      <c r="U755" t="s">
        <v>1588</v>
      </c>
      <c r="V755" t="s">
        <v>1589</v>
      </c>
      <c r="W755" t="s">
        <v>1590</v>
      </c>
      <c r="X755" t="s">
        <v>1591</v>
      </c>
      <c r="Y755" t="s">
        <v>1592</v>
      </c>
      <c r="Z755" t="s">
        <v>1593</v>
      </c>
      <c r="AA755" t="s">
        <v>1594</v>
      </c>
      <c r="AB755" t="s">
        <v>1595</v>
      </c>
      <c r="AC755" t="s">
        <v>74</v>
      </c>
      <c r="AD755" t="s">
        <v>74</v>
      </c>
      <c r="AE755" t="s">
        <v>74</v>
      </c>
      <c r="AF755" t="s">
        <v>74</v>
      </c>
      <c r="AG755">
        <v>44</v>
      </c>
      <c r="AH755">
        <v>23</v>
      </c>
      <c r="AI755">
        <v>24</v>
      </c>
      <c r="AJ755">
        <v>6</v>
      </c>
      <c r="AK755">
        <v>31</v>
      </c>
      <c r="AL755" t="s">
        <v>74</v>
      </c>
      <c r="AM755" t="s">
        <v>74</v>
      </c>
      <c r="AN755" t="s">
        <v>74</v>
      </c>
      <c r="AO755" t="s">
        <v>74</v>
      </c>
      <c r="AP755" t="s">
        <v>131</v>
      </c>
      <c r="AQ755" t="s">
        <v>74</v>
      </c>
      <c r="AR755" t="s">
        <v>74</v>
      </c>
      <c r="AS755" t="s">
        <v>74</v>
      </c>
      <c r="AT755" t="s">
        <v>599</v>
      </c>
      <c r="AU755">
        <v>2020</v>
      </c>
      <c r="AV755">
        <v>9</v>
      </c>
      <c r="AW755">
        <v>1</v>
      </c>
      <c r="AX755" t="s">
        <v>74</v>
      </c>
      <c r="AY755" t="s">
        <v>74</v>
      </c>
      <c r="AZ755" t="s">
        <v>74</v>
      </c>
      <c r="BA755" t="s">
        <v>74</v>
      </c>
      <c r="BB755" t="s">
        <v>74</v>
      </c>
      <c r="BC755" t="s">
        <v>74</v>
      </c>
      <c r="BD755">
        <v>1751428</v>
      </c>
      <c r="BE755" t="s">
        <v>1596</v>
      </c>
      <c r="BF755" t="str">
        <f>HYPERLINK("http://dx.doi.org/10.1080/20013078.2020.1751428","http://dx.doi.org/10.1080/20013078.2020.1751428")</f>
        <v>http://dx.doi.org/10.1080/20013078.2020.1751428</v>
      </c>
      <c r="BG755" t="s">
        <v>74</v>
      </c>
      <c r="BH755" t="s">
        <v>74</v>
      </c>
      <c r="BI755" t="s">
        <v>74</v>
      </c>
      <c r="BJ755" t="s">
        <v>135</v>
      </c>
      <c r="BK755" t="s">
        <v>117</v>
      </c>
      <c r="BL755" t="s">
        <v>135</v>
      </c>
      <c r="BM755" t="s">
        <v>74</v>
      </c>
      <c r="BN755">
        <v>32363015</v>
      </c>
      <c r="BO755" t="s">
        <v>74</v>
      </c>
      <c r="BP755" t="s">
        <v>74</v>
      </c>
      <c r="BQ755" t="s">
        <v>74</v>
      </c>
      <c r="BR755" t="s">
        <v>96</v>
      </c>
      <c r="BS755" t="s">
        <v>1597</v>
      </c>
      <c r="BT755" t="str">
        <f>HYPERLINK("https%3A%2F%2Fwww.webofscience.com%2Fwos%2Fwoscc%2Ffull-record%2FWOS:000526442500001","View Full Record in Web of Science")</f>
        <v>View Full Record in Web of Science</v>
      </c>
    </row>
    <row r="756" spans="1:72" x14ac:dyDescent="0.15">
      <c r="A756" t="s">
        <v>98</v>
      </c>
      <c r="B756" t="s">
        <v>3729</v>
      </c>
      <c r="C756" t="s">
        <v>74</v>
      </c>
      <c r="D756" t="s">
        <v>74</v>
      </c>
      <c r="E756" t="s">
        <v>74</v>
      </c>
      <c r="F756" t="s">
        <v>3730</v>
      </c>
      <c r="G756" t="s">
        <v>74</v>
      </c>
      <c r="H756" t="s">
        <v>74</v>
      </c>
      <c r="I756" t="s">
        <v>3731</v>
      </c>
      <c r="J756" t="s">
        <v>3732</v>
      </c>
      <c r="K756" t="s">
        <v>74</v>
      </c>
      <c r="L756" t="s">
        <v>74</v>
      </c>
      <c r="M756" t="s">
        <v>74</v>
      </c>
      <c r="N756" t="s">
        <v>103</v>
      </c>
      <c r="O756" t="s">
        <v>74</v>
      </c>
      <c r="P756" t="s">
        <v>74</v>
      </c>
      <c r="Q756" t="s">
        <v>74</v>
      </c>
      <c r="R756" t="s">
        <v>74</v>
      </c>
      <c r="S756" t="s">
        <v>74</v>
      </c>
      <c r="T756" t="s">
        <v>3733</v>
      </c>
      <c r="U756" t="s">
        <v>3734</v>
      </c>
      <c r="V756" t="s">
        <v>3735</v>
      </c>
      <c r="W756" t="s">
        <v>3736</v>
      </c>
      <c r="X756" t="s">
        <v>3737</v>
      </c>
      <c r="Y756" t="s">
        <v>3738</v>
      </c>
      <c r="Z756" t="s">
        <v>3739</v>
      </c>
      <c r="AA756" t="s">
        <v>3740</v>
      </c>
      <c r="AB756" t="s">
        <v>3741</v>
      </c>
      <c r="AC756" t="s">
        <v>74</v>
      </c>
      <c r="AD756" t="s">
        <v>74</v>
      </c>
      <c r="AE756" t="s">
        <v>74</v>
      </c>
      <c r="AF756" t="s">
        <v>74</v>
      </c>
      <c r="AG756">
        <v>59</v>
      </c>
      <c r="AH756">
        <v>23</v>
      </c>
      <c r="AI756">
        <v>23</v>
      </c>
      <c r="AJ756">
        <v>0</v>
      </c>
      <c r="AK756">
        <v>3</v>
      </c>
      <c r="AL756" t="s">
        <v>74</v>
      </c>
      <c r="AM756" t="s">
        <v>74</v>
      </c>
      <c r="AN756" t="s">
        <v>74</v>
      </c>
      <c r="AO756" t="s">
        <v>3742</v>
      </c>
      <c r="AP756" t="s">
        <v>3743</v>
      </c>
      <c r="AQ756" t="s">
        <v>74</v>
      </c>
      <c r="AR756" t="s">
        <v>74</v>
      </c>
      <c r="AS756" t="s">
        <v>74</v>
      </c>
      <c r="AT756" t="s">
        <v>3744</v>
      </c>
      <c r="AU756">
        <v>2019</v>
      </c>
      <c r="AV756">
        <v>14</v>
      </c>
      <c r="AW756">
        <v>4</v>
      </c>
      <c r="AX756" t="s">
        <v>74</v>
      </c>
      <c r="AY756" t="s">
        <v>74</v>
      </c>
      <c r="AZ756" t="s">
        <v>74</v>
      </c>
      <c r="BA756" t="s">
        <v>74</v>
      </c>
      <c r="BB756">
        <v>352</v>
      </c>
      <c r="BC756">
        <v>364</v>
      </c>
      <c r="BD756" t="s">
        <v>74</v>
      </c>
      <c r="BE756" t="s">
        <v>3745</v>
      </c>
      <c r="BF756" t="str">
        <f>HYPERLINK("http://dx.doi.org/10.1080/15592294.2019.1585177","http://dx.doi.org/10.1080/15592294.2019.1585177")</f>
        <v>http://dx.doi.org/10.1080/15592294.2019.1585177</v>
      </c>
      <c r="BG756" t="s">
        <v>74</v>
      </c>
      <c r="BH756" t="s">
        <v>3746</v>
      </c>
      <c r="BI756" t="s">
        <v>74</v>
      </c>
      <c r="BJ756" t="s">
        <v>950</v>
      </c>
      <c r="BK756" t="s">
        <v>117</v>
      </c>
      <c r="BL756" t="s">
        <v>950</v>
      </c>
      <c r="BM756" t="s">
        <v>74</v>
      </c>
      <c r="BN756">
        <v>30907225</v>
      </c>
      <c r="BO756" t="s">
        <v>74</v>
      </c>
      <c r="BP756" t="s">
        <v>74</v>
      </c>
      <c r="BQ756" t="s">
        <v>74</v>
      </c>
      <c r="BR756" t="s">
        <v>96</v>
      </c>
      <c r="BS756" t="s">
        <v>3747</v>
      </c>
      <c r="BT756" t="str">
        <f>HYPERLINK("https%3A%2F%2Fwww.webofscience.com%2Fwos%2Fwoscc%2Ffull-record%2FWOS:000463538700001","View Full Record in Web of Science")</f>
        <v>View Full Record in Web of Science</v>
      </c>
    </row>
    <row r="757" spans="1:72" x14ac:dyDescent="0.15">
      <c r="A757" t="s">
        <v>98</v>
      </c>
      <c r="B757" t="s">
        <v>4841</v>
      </c>
      <c r="C757" t="s">
        <v>74</v>
      </c>
      <c r="D757" t="s">
        <v>74</v>
      </c>
      <c r="E757" t="s">
        <v>74</v>
      </c>
      <c r="F757" t="s">
        <v>4842</v>
      </c>
      <c r="G757" t="s">
        <v>74</v>
      </c>
      <c r="H757" t="s">
        <v>74</v>
      </c>
      <c r="I757" t="s">
        <v>4843</v>
      </c>
      <c r="J757" t="s">
        <v>1827</v>
      </c>
      <c r="K757" t="s">
        <v>74</v>
      </c>
      <c r="L757" t="s">
        <v>74</v>
      </c>
      <c r="M757" t="s">
        <v>74</v>
      </c>
      <c r="N757" t="s">
        <v>103</v>
      </c>
      <c r="O757" t="s">
        <v>74</v>
      </c>
      <c r="P757" t="s">
        <v>74</v>
      </c>
      <c r="Q757" t="s">
        <v>74</v>
      </c>
      <c r="R757" t="s">
        <v>74</v>
      </c>
      <c r="S757" t="s">
        <v>74</v>
      </c>
      <c r="T757" t="s">
        <v>4844</v>
      </c>
      <c r="U757" t="s">
        <v>4845</v>
      </c>
      <c r="V757" t="s">
        <v>4846</v>
      </c>
      <c r="W757" t="s">
        <v>4847</v>
      </c>
      <c r="X757" t="s">
        <v>4848</v>
      </c>
      <c r="Y757" t="s">
        <v>4849</v>
      </c>
      <c r="Z757" t="s">
        <v>4850</v>
      </c>
      <c r="AA757" t="s">
        <v>4851</v>
      </c>
      <c r="AB757" t="s">
        <v>4852</v>
      </c>
      <c r="AC757" t="s">
        <v>74</v>
      </c>
      <c r="AD757" t="s">
        <v>74</v>
      </c>
      <c r="AE757" t="s">
        <v>74</v>
      </c>
      <c r="AF757" t="s">
        <v>74</v>
      </c>
      <c r="AG757">
        <v>58</v>
      </c>
      <c r="AH757">
        <v>23</v>
      </c>
      <c r="AI757">
        <v>23</v>
      </c>
      <c r="AJ757">
        <v>2</v>
      </c>
      <c r="AK757">
        <v>6</v>
      </c>
      <c r="AL757" t="s">
        <v>74</v>
      </c>
      <c r="AM757" t="s">
        <v>74</v>
      </c>
      <c r="AN757" t="s">
        <v>74</v>
      </c>
      <c r="AO757" t="s">
        <v>74</v>
      </c>
      <c r="AP757" t="s">
        <v>1836</v>
      </c>
      <c r="AQ757" t="s">
        <v>74</v>
      </c>
      <c r="AR757" t="s">
        <v>74</v>
      </c>
      <c r="AS757" t="s">
        <v>74</v>
      </c>
      <c r="AT757" t="s">
        <v>614</v>
      </c>
      <c r="AU757">
        <v>2019</v>
      </c>
      <c r="AV757">
        <v>8</v>
      </c>
      <c r="AW757">
        <v>7</v>
      </c>
      <c r="AX757" t="s">
        <v>74</v>
      </c>
      <c r="AY757" t="s">
        <v>74</v>
      </c>
      <c r="AZ757" t="s">
        <v>74</v>
      </c>
      <c r="BA757" t="s">
        <v>74</v>
      </c>
      <c r="BB757" t="s">
        <v>74</v>
      </c>
      <c r="BC757" t="s">
        <v>74</v>
      </c>
      <c r="BD757">
        <v>765</v>
      </c>
      <c r="BE757" t="s">
        <v>4853</v>
      </c>
      <c r="BF757" t="str">
        <f>HYPERLINK("http://dx.doi.org/10.3390/cells8070765","http://dx.doi.org/10.3390/cells8070765")</f>
        <v>http://dx.doi.org/10.3390/cells8070765</v>
      </c>
      <c r="BG757" t="s">
        <v>74</v>
      </c>
      <c r="BH757" t="s">
        <v>74</v>
      </c>
      <c r="BI757" t="s">
        <v>74</v>
      </c>
      <c r="BJ757" t="s">
        <v>135</v>
      </c>
      <c r="BK757" t="s">
        <v>117</v>
      </c>
      <c r="BL757" t="s">
        <v>135</v>
      </c>
      <c r="BM757" t="s">
        <v>74</v>
      </c>
      <c r="BN757">
        <v>31340551</v>
      </c>
      <c r="BO757" t="s">
        <v>74</v>
      </c>
      <c r="BP757" t="s">
        <v>74</v>
      </c>
      <c r="BQ757" t="s">
        <v>74</v>
      </c>
      <c r="BR757" t="s">
        <v>96</v>
      </c>
      <c r="BS757" t="s">
        <v>4854</v>
      </c>
      <c r="BT757" t="str">
        <f>HYPERLINK("https%3A%2F%2Fwww.webofscience.com%2Fwos%2Fwoscc%2Ffull-record%2FWOS:000478902000031","View Full Record in Web of Science")</f>
        <v>View Full Record in Web of Science</v>
      </c>
    </row>
    <row r="758" spans="1:72" x14ac:dyDescent="0.15">
      <c r="A758" t="s">
        <v>98</v>
      </c>
      <c r="B758" t="s">
        <v>5274</v>
      </c>
      <c r="C758" t="s">
        <v>74</v>
      </c>
      <c r="D758" t="s">
        <v>74</v>
      </c>
      <c r="E758" t="s">
        <v>74</v>
      </c>
      <c r="F758" t="s">
        <v>5275</v>
      </c>
      <c r="G758" t="s">
        <v>74</v>
      </c>
      <c r="H758" t="s">
        <v>74</v>
      </c>
      <c r="I758" t="s">
        <v>5276</v>
      </c>
      <c r="J758" t="s">
        <v>1766</v>
      </c>
      <c r="K758" t="s">
        <v>74</v>
      </c>
      <c r="L758" t="s">
        <v>74</v>
      </c>
      <c r="M758" t="s">
        <v>74</v>
      </c>
      <c r="N758" t="s">
        <v>103</v>
      </c>
      <c r="O758" t="s">
        <v>74</v>
      </c>
      <c r="P758" t="s">
        <v>74</v>
      </c>
      <c r="Q758" t="s">
        <v>74</v>
      </c>
      <c r="R758" t="s">
        <v>74</v>
      </c>
      <c r="S758" t="s">
        <v>74</v>
      </c>
      <c r="T758" t="s">
        <v>5277</v>
      </c>
      <c r="U758" t="s">
        <v>5278</v>
      </c>
      <c r="V758" t="s">
        <v>5279</v>
      </c>
      <c r="W758" t="s">
        <v>5280</v>
      </c>
      <c r="X758" t="s">
        <v>5281</v>
      </c>
      <c r="Y758" t="s">
        <v>5282</v>
      </c>
      <c r="Z758" t="s">
        <v>5283</v>
      </c>
      <c r="AA758" t="s">
        <v>5284</v>
      </c>
      <c r="AB758" t="s">
        <v>5285</v>
      </c>
      <c r="AC758" t="s">
        <v>74</v>
      </c>
      <c r="AD758" t="s">
        <v>74</v>
      </c>
      <c r="AE758" t="s">
        <v>74</v>
      </c>
      <c r="AF758" t="s">
        <v>74</v>
      </c>
      <c r="AG758">
        <v>34</v>
      </c>
      <c r="AH758">
        <v>23</v>
      </c>
      <c r="AI758">
        <v>23</v>
      </c>
      <c r="AJ758">
        <v>2</v>
      </c>
      <c r="AK758">
        <v>11</v>
      </c>
      <c r="AL758" t="s">
        <v>74</v>
      </c>
      <c r="AM758" t="s">
        <v>74</v>
      </c>
      <c r="AN758" t="s">
        <v>74</v>
      </c>
      <c r="AO758" t="s">
        <v>74</v>
      </c>
      <c r="AP758" t="s">
        <v>1776</v>
      </c>
      <c r="AQ758" t="s">
        <v>74</v>
      </c>
      <c r="AR758" t="s">
        <v>74</v>
      </c>
      <c r="AS758" t="s">
        <v>74</v>
      </c>
      <c r="AT758" t="s">
        <v>1029</v>
      </c>
      <c r="AU758">
        <v>2020</v>
      </c>
      <c r="AV758">
        <v>8</v>
      </c>
      <c r="AW758">
        <v>5</v>
      </c>
      <c r="AX758" t="s">
        <v>74</v>
      </c>
      <c r="AY758" t="s">
        <v>74</v>
      </c>
      <c r="AZ758" t="s">
        <v>74</v>
      </c>
      <c r="BA758" t="s">
        <v>74</v>
      </c>
      <c r="BB758" t="s">
        <v>74</v>
      </c>
      <c r="BC758" t="s">
        <v>74</v>
      </c>
      <c r="BD758">
        <v>131</v>
      </c>
      <c r="BE758" t="s">
        <v>5286</v>
      </c>
      <c r="BF758" t="str">
        <f>HYPERLINK("http://dx.doi.org/10.3390/biomedicines8050131","http://dx.doi.org/10.3390/biomedicines8050131")</f>
        <v>http://dx.doi.org/10.3390/biomedicines8050131</v>
      </c>
      <c r="BG758" t="s">
        <v>74</v>
      </c>
      <c r="BH758" t="s">
        <v>74</v>
      </c>
      <c r="BI758" t="s">
        <v>74</v>
      </c>
      <c r="BJ758" t="s">
        <v>1778</v>
      </c>
      <c r="BK758" t="s">
        <v>117</v>
      </c>
      <c r="BL758" t="s">
        <v>1779</v>
      </c>
      <c r="BM758" t="s">
        <v>74</v>
      </c>
      <c r="BN758">
        <v>32455948</v>
      </c>
      <c r="BO758" t="s">
        <v>74</v>
      </c>
      <c r="BP758" t="s">
        <v>74</v>
      </c>
      <c r="BQ758" t="s">
        <v>74</v>
      </c>
      <c r="BR758" t="s">
        <v>96</v>
      </c>
      <c r="BS758" t="s">
        <v>5287</v>
      </c>
      <c r="BT758" t="str">
        <f>HYPERLINK("https%3A%2F%2Fwww.webofscience.com%2Fwos%2Fwoscc%2Ffull-record%2FWOS:000540842200035","View Full Record in Web of Science")</f>
        <v>View Full Record in Web of Science</v>
      </c>
    </row>
    <row r="759" spans="1:72" x14ac:dyDescent="0.15">
      <c r="A759" t="s">
        <v>98</v>
      </c>
      <c r="B759" t="s">
        <v>6939</v>
      </c>
      <c r="C759" t="s">
        <v>74</v>
      </c>
      <c r="D759" t="s">
        <v>74</v>
      </c>
      <c r="E759" t="s">
        <v>74</v>
      </c>
      <c r="F759" t="s">
        <v>6940</v>
      </c>
      <c r="G759" t="s">
        <v>74</v>
      </c>
      <c r="H759" t="s">
        <v>74</v>
      </c>
      <c r="I759" t="s">
        <v>6941</v>
      </c>
      <c r="J759" t="s">
        <v>6942</v>
      </c>
      <c r="K759" t="s">
        <v>74</v>
      </c>
      <c r="L759" t="s">
        <v>74</v>
      </c>
      <c r="M759" t="s">
        <v>74</v>
      </c>
      <c r="N759" t="s">
        <v>103</v>
      </c>
      <c r="O759" t="s">
        <v>74</v>
      </c>
      <c r="P759" t="s">
        <v>74</v>
      </c>
      <c r="Q759" t="s">
        <v>74</v>
      </c>
      <c r="R759" t="s">
        <v>74</v>
      </c>
      <c r="S759" t="s">
        <v>74</v>
      </c>
      <c r="T759" t="s">
        <v>6943</v>
      </c>
      <c r="U759" t="s">
        <v>6944</v>
      </c>
      <c r="V759" t="s">
        <v>6945</v>
      </c>
      <c r="W759" t="s">
        <v>6946</v>
      </c>
      <c r="X759" t="s">
        <v>6947</v>
      </c>
      <c r="Y759" t="s">
        <v>6948</v>
      </c>
      <c r="Z759" t="s">
        <v>6949</v>
      </c>
      <c r="AA759" t="s">
        <v>6950</v>
      </c>
      <c r="AB759" t="s">
        <v>6951</v>
      </c>
      <c r="AC759" t="s">
        <v>74</v>
      </c>
      <c r="AD759" t="s">
        <v>74</v>
      </c>
      <c r="AE759" t="s">
        <v>74</v>
      </c>
      <c r="AF759" t="s">
        <v>74</v>
      </c>
      <c r="AG759">
        <v>102</v>
      </c>
      <c r="AH759">
        <v>23</v>
      </c>
      <c r="AI759">
        <v>26</v>
      </c>
      <c r="AJ759">
        <v>0</v>
      </c>
      <c r="AK759">
        <v>35</v>
      </c>
      <c r="AL759" t="s">
        <v>74</v>
      </c>
      <c r="AM759" t="s">
        <v>74</v>
      </c>
      <c r="AN759" t="s">
        <v>74</v>
      </c>
      <c r="AO759" t="s">
        <v>6952</v>
      </c>
      <c r="AP759" t="s">
        <v>6953</v>
      </c>
      <c r="AQ759" t="s">
        <v>74</v>
      </c>
      <c r="AR759" t="s">
        <v>74</v>
      </c>
      <c r="AS759" t="s">
        <v>74</v>
      </c>
      <c r="AT759" t="s">
        <v>531</v>
      </c>
      <c r="AU759">
        <v>2017</v>
      </c>
      <c r="AV759">
        <v>26</v>
      </c>
      <c r="AW759">
        <v>3</v>
      </c>
      <c r="AX759" t="s">
        <v>74</v>
      </c>
      <c r="AY759" t="s">
        <v>74</v>
      </c>
      <c r="AZ759" t="s">
        <v>74</v>
      </c>
      <c r="BA759" t="s">
        <v>74</v>
      </c>
      <c r="BB759">
        <v>219</v>
      </c>
      <c r="BC759">
        <v>228</v>
      </c>
      <c r="BD759" t="s">
        <v>74</v>
      </c>
      <c r="BE759" t="s">
        <v>6954</v>
      </c>
      <c r="BF759" t="str">
        <f>HYPERLINK("http://dx.doi.org/10.1016/j.suronc.2017.04.005","http://dx.doi.org/10.1016/j.suronc.2017.04.005")</f>
        <v>http://dx.doi.org/10.1016/j.suronc.2017.04.005</v>
      </c>
      <c r="BG759" t="s">
        <v>74</v>
      </c>
      <c r="BH759" t="s">
        <v>74</v>
      </c>
      <c r="BI759" t="s">
        <v>74</v>
      </c>
      <c r="BJ759" t="s">
        <v>6955</v>
      </c>
      <c r="BK759" t="s">
        <v>117</v>
      </c>
      <c r="BL759" t="s">
        <v>6955</v>
      </c>
      <c r="BM759" t="s">
        <v>74</v>
      </c>
      <c r="BN759">
        <v>28807240</v>
      </c>
      <c r="BO759" t="s">
        <v>74</v>
      </c>
      <c r="BP759" t="s">
        <v>74</v>
      </c>
      <c r="BQ759" t="s">
        <v>74</v>
      </c>
      <c r="BR759" t="s">
        <v>96</v>
      </c>
      <c r="BS759" t="s">
        <v>6956</v>
      </c>
      <c r="BT759" t="str">
        <f>HYPERLINK("https%3A%2F%2Fwww.webofscience.com%2Fwos%2Fwoscc%2Ffull-record%2FWOS:000410652800001","View Full Record in Web of Science")</f>
        <v>View Full Record in Web of Science</v>
      </c>
    </row>
    <row r="760" spans="1:72" x14ac:dyDescent="0.15">
      <c r="A760" t="s">
        <v>98</v>
      </c>
      <c r="B760" t="s">
        <v>7164</v>
      </c>
      <c r="C760" t="s">
        <v>74</v>
      </c>
      <c r="D760" t="s">
        <v>74</v>
      </c>
      <c r="E760" t="s">
        <v>74</v>
      </c>
      <c r="F760" t="s">
        <v>7165</v>
      </c>
      <c r="G760" t="s">
        <v>74</v>
      </c>
      <c r="H760" t="s">
        <v>74</v>
      </c>
      <c r="I760" t="s">
        <v>7166</v>
      </c>
      <c r="J760" t="s">
        <v>7167</v>
      </c>
      <c r="K760" t="s">
        <v>74</v>
      </c>
      <c r="L760" t="s">
        <v>74</v>
      </c>
      <c r="M760" t="s">
        <v>74</v>
      </c>
      <c r="N760" t="s">
        <v>103</v>
      </c>
      <c r="O760" t="s">
        <v>74</v>
      </c>
      <c r="P760" t="s">
        <v>74</v>
      </c>
      <c r="Q760" t="s">
        <v>74</v>
      </c>
      <c r="R760" t="s">
        <v>74</v>
      </c>
      <c r="S760" t="s">
        <v>74</v>
      </c>
      <c r="T760" t="s">
        <v>7168</v>
      </c>
      <c r="U760" t="s">
        <v>7169</v>
      </c>
      <c r="V760" t="s">
        <v>7170</v>
      </c>
      <c r="W760" t="s">
        <v>7171</v>
      </c>
      <c r="X760" t="s">
        <v>7172</v>
      </c>
      <c r="Y760" t="s">
        <v>7173</v>
      </c>
      <c r="Z760" t="s">
        <v>7174</v>
      </c>
      <c r="AA760" t="s">
        <v>7175</v>
      </c>
      <c r="AB760" t="s">
        <v>7176</v>
      </c>
      <c r="AC760" t="s">
        <v>74</v>
      </c>
      <c r="AD760" t="s">
        <v>74</v>
      </c>
      <c r="AE760" t="s">
        <v>74</v>
      </c>
      <c r="AF760" t="s">
        <v>74</v>
      </c>
      <c r="AG760">
        <v>44</v>
      </c>
      <c r="AH760">
        <v>23</v>
      </c>
      <c r="AI760">
        <v>24</v>
      </c>
      <c r="AJ760">
        <v>1</v>
      </c>
      <c r="AK760">
        <v>17</v>
      </c>
      <c r="AL760" t="s">
        <v>74</v>
      </c>
      <c r="AM760" t="s">
        <v>74</v>
      </c>
      <c r="AN760" t="s">
        <v>74</v>
      </c>
      <c r="AO760" t="s">
        <v>7177</v>
      </c>
      <c r="AP760" t="s">
        <v>7178</v>
      </c>
      <c r="AQ760" t="s">
        <v>74</v>
      </c>
      <c r="AR760" t="s">
        <v>74</v>
      </c>
      <c r="AS760" t="s">
        <v>74</v>
      </c>
      <c r="AT760" t="s">
        <v>211</v>
      </c>
      <c r="AU760">
        <v>2018</v>
      </c>
      <c r="AV760">
        <v>167</v>
      </c>
      <c r="AW760" t="s">
        <v>74</v>
      </c>
      <c r="AX760" t="s">
        <v>74</v>
      </c>
      <c r="AY760" t="s">
        <v>74</v>
      </c>
      <c r="AZ760" t="s">
        <v>74</v>
      </c>
      <c r="BA760" t="s">
        <v>74</v>
      </c>
      <c r="BB760">
        <v>640</v>
      </c>
      <c r="BC760">
        <v>649</v>
      </c>
      <c r="BD760" t="s">
        <v>74</v>
      </c>
      <c r="BE760" t="s">
        <v>7179</v>
      </c>
      <c r="BF760" t="str">
        <f>HYPERLINK("http://dx.doi.org/10.1016/j.envres.2018.09.002","http://dx.doi.org/10.1016/j.envres.2018.09.002")</f>
        <v>http://dx.doi.org/10.1016/j.envres.2018.09.002</v>
      </c>
      <c r="BG760" t="s">
        <v>74</v>
      </c>
      <c r="BH760" t="s">
        <v>74</v>
      </c>
      <c r="BI760" t="s">
        <v>74</v>
      </c>
      <c r="BJ760" t="s">
        <v>7180</v>
      </c>
      <c r="BK760" t="s">
        <v>117</v>
      </c>
      <c r="BL760" t="s">
        <v>7181</v>
      </c>
      <c r="BM760" t="s">
        <v>74</v>
      </c>
      <c r="BN760">
        <v>30216846</v>
      </c>
      <c r="BO760" t="s">
        <v>74</v>
      </c>
      <c r="BP760" t="s">
        <v>74</v>
      </c>
      <c r="BQ760" t="s">
        <v>74</v>
      </c>
      <c r="BR760" t="s">
        <v>96</v>
      </c>
      <c r="BS760" t="s">
        <v>7182</v>
      </c>
      <c r="BT760" t="str">
        <f>HYPERLINK("https%3A%2F%2Fwww.webofscience.com%2Fwos%2Fwoscc%2Ffull-record%2FWOS:000447247500067","View Full Record in Web of Science")</f>
        <v>View Full Record in Web of Science</v>
      </c>
    </row>
    <row r="761" spans="1:72" x14ac:dyDescent="0.15">
      <c r="A761" t="s">
        <v>98</v>
      </c>
      <c r="B761" t="s">
        <v>7647</v>
      </c>
      <c r="C761" t="s">
        <v>74</v>
      </c>
      <c r="D761" t="s">
        <v>74</v>
      </c>
      <c r="E761" t="s">
        <v>74</v>
      </c>
      <c r="F761" t="s">
        <v>7648</v>
      </c>
      <c r="G761" t="s">
        <v>74</v>
      </c>
      <c r="H761" t="s">
        <v>74</v>
      </c>
      <c r="I761" t="s">
        <v>7649</v>
      </c>
      <c r="J761" t="s">
        <v>7650</v>
      </c>
      <c r="K761" t="s">
        <v>74</v>
      </c>
      <c r="L761" t="s">
        <v>74</v>
      </c>
      <c r="M761" t="s">
        <v>74</v>
      </c>
      <c r="N761" t="s">
        <v>103</v>
      </c>
      <c r="O761" t="s">
        <v>74</v>
      </c>
      <c r="P761" t="s">
        <v>74</v>
      </c>
      <c r="Q761" t="s">
        <v>74</v>
      </c>
      <c r="R761" t="s">
        <v>74</v>
      </c>
      <c r="S761" t="s">
        <v>74</v>
      </c>
      <c r="T761" t="s">
        <v>74</v>
      </c>
      <c r="U761" t="s">
        <v>7651</v>
      </c>
      <c r="V761" t="s">
        <v>7652</v>
      </c>
      <c r="W761" t="s">
        <v>7653</v>
      </c>
      <c r="X761" t="s">
        <v>7654</v>
      </c>
      <c r="Y761" t="s">
        <v>7655</v>
      </c>
      <c r="Z761" t="s">
        <v>7656</v>
      </c>
      <c r="AA761" t="s">
        <v>74</v>
      </c>
      <c r="AB761" t="s">
        <v>7657</v>
      </c>
      <c r="AC761" t="s">
        <v>74</v>
      </c>
      <c r="AD761" t="s">
        <v>74</v>
      </c>
      <c r="AE761" t="s">
        <v>74</v>
      </c>
      <c r="AF761" t="s">
        <v>74</v>
      </c>
      <c r="AG761">
        <v>22</v>
      </c>
      <c r="AH761">
        <v>23</v>
      </c>
      <c r="AI761">
        <v>26</v>
      </c>
      <c r="AJ761">
        <v>0</v>
      </c>
      <c r="AK761">
        <v>10</v>
      </c>
      <c r="AL761" t="s">
        <v>74</v>
      </c>
      <c r="AM761" t="s">
        <v>74</v>
      </c>
      <c r="AN761" t="s">
        <v>74</v>
      </c>
      <c r="AO761" t="s">
        <v>7658</v>
      </c>
      <c r="AP761" t="s">
        <v>7659</v>
      </c>
      <c r="AQ761" t="s">
        <v>74</v>
      </c>
      <c r="AR761" t="s">
        <v>74</v>
      </c>
      <c r="AS761" t="s">
        <v>74</v>
      </c>
      <c r="AT761" t="s">
        <v>531</v>
      </c>
      <c r="AU761">
        <v>2008</v>
      </c>
      <c r="AV761">
        <v>61</v>
      </c>
      <c r="AW761">
        <v>5</v>
      </c>
      <c r="AX761" t="s">
        <v>74</v>
      </c>
      <c r="AY761" t="s">
        <v>74</v>
      </c>
      <c r="AZ761" t="s">
        <v>74</v>
      </c>
      <c r="BA761" t="s">
        <v>74</v>
      </c>
      <c r="BB761">
        <v>375</v>
      </c>
      <c r="BC761">
        <v>378</v>
      </c>
      <c r="BD761" t="s">
        <v>74</v>
      </c>
      <c r="BE761" t="s">
        <v>74</v>
      </c>
      <c r="BF761" t="s">
        <v>74</v>
      </c>
      <c r="BG761" t="s">
        <v>74</v>
      </c>
      <c r="BH761" t="s">
        <v>74</v>
      </c>
      <c r="BI761" t="s">
        <v>74</v>
      </c>
      <c r="BJ761" t="s">
        <v>7660</v>
      </c>
      <c r="BK761" t="s">
        <v>117</v>
      </c>
      <c r="BL761" t="s">
        <v>7660</v>
      </c>
      <c r="BM761" t="s">
        <v>74</v>
      </c>
      <c r="BN761">
        <v>18806345</v>
      </c>
      <c r="BO761" t="s">
        <v>74</v>
      </c>
      <c r="BP761" t="s">
        <v>74</v>
      </c>
      <c r="BQ761" t="s">
        <v>74</v>
      </c>
      <c r="BR761" t="s">
        <v>96</v>
      </c>
      <c r="BS761" t="s">
        <v>7661</v>
      </c>
      <c r="BT761" t="str">
        <f>HYPERLINK("https%3A%2F%2Fwww.webofscience.com%2Fwos%2Fwoscc%2Ffull-record%2FWOS:000259753900009","View Full Record in Web of Science")</f>
        <v>View Full Record in Web of Science</v>
      </c>
    </row>
    <row r="762" spans="1:72" x14ac:dyDescent="0.15">
      <c r="A762" t="s">
        <v>98</v>
      </c>
      <c r="B762" t="s">
        <v>11909</v>
      </c>
      <c r="C762" t="s">
        <v>74</v>
      </c>
      <c r="D762" t="s">
        <v>74</v>
      </c>
      <c r="E762" t="s">
        <v>74</v>
      </c>
      <c r="F762" t="s">
        <v>11910</v>
      </c>
      <c r="G762" t="s">
        <v>74</v>
      </c>
      <c r="H762" t="s">
        <v>74</v>
      </c>
      <c r="I762" t="s">
        <v>11911</v>
      </c>
      <c r="J762" t="s">
        <v>1123</v>
      </c>
      <c r="K762" t="s">
        <v>74</v>
      </c>
      <c r="L762" t="s">
        <v>74</v>
      </c>
      <c r="M762" t="s">
        <v>74</v>
      </c>
      <c r="N762" t="s">
        <v>103</v>
      </c>
      <c r="O762" t="s">
        <v>74</v>
      </c>
      <c r="P762" t="s">
        <v>74</v>
      </c>
      <c r="Q762" t="s">
        <v>74</v>
      </c>
      <c r="R762" t="s">
        <v>74</v>
      </c>
      <c r="S762" t="s">
        <v>74</v>
      </c>
      <c r="T762" t="s">
        <v>11912</v>
      </c>
      <c r="U762" t="s">
        <v>10644</v>
      </c>
      <c r="V762" t="s">
        <v>11913</v>
      </c>
      <c r="W762" t="s">
        <v>11914</v>
      </c>
      <c r="X762" t="s">
        <v>11915</v>
      </c>
      <c r="Y762" t="s">
        <v>11916</v>
      </c>
      <c r="Z762" t="s">
        <v>11917</v>
      </c>
      <c r="AA762" t="s">
        <v>74</v>
      </c>
      <c r="AB762" t="s">
        <v>11918</v>
      </c>
      <c r="AC762" t="s">
        <v>74</v>
      </c>
      <c r="AD762" t="s">
        <v>74</v>
      </c>
      <c r="AE762" t="s">
        <v>74</v>
      </c>
      <c r="AF762" t="s">
        <v>74</v>
      </c>
      <c r="AG762">
        <v>39</v>
      </c>
      <c r="AH762">
        <v>23</v>
      </c>
      <c r="AI762">
        <v>23</v>
      </c>
      <c r="AJ762">
        <v>46</v>
      </c>
      <c r="AK762">
        <v>111</v>
      </c>
      <c r="AL762" t="s">
        <v>74</v>
      </c>
      <c r="AM762" t="s">
        <v>74</v>
      </c>
      <c r="AN762" t="s">
        <v>74</v>
      </c>
      <c r="AO762" t="s">
        <v>1132</v>
      </c>
      <c r="AP762" t="s">
        <v>1133</v>
      </c>
      <c r="AQ762" t="s">
        <v>74</v>
      </c>
      <c r="AR762" t="s">
        <v>74</v>
      </c>
      <c r="AS762" t="s">
        <v>74</v>
      </c>
      <c r="AT762" t="s">
        <v>7400</v>
      </c>
      <c r="AU762">
        <v>2021</v>
      </c>
      <c r="AV762">
        <v>191</v>
      </c>
      <c r="AW762" t="s">
        <v>74</v>
      </c>
      <c r="AX762" t="s">
        <v>74</v>
      </c>
      <c r="AY762" t="s">
        <v>74</v>
      </c>
      <c r="AZ762" t="s">
        <v>74</v>
      </c>
      <c r="BA762" t="s">
        <v>74</v>
      </c>
      <c r="BB762" t="s">
        <v>74</v>
      </c>
      <c r="BC762" t="s">
        <v>74</v>
      </c>
      <c r="BD762">
        <v>113465</v>
      </c>
      <c r="BE762" t="s">
        <v>11919</v>
      </c>
      <c r="BF762" t="str">
        <f>HYPERLINK("http://dx.doi.org/10.1016/j.bios.2021.113465","http://dx.doi.org/10.1016/j.bios.2021.113465")</f>
        <v>http://dx.doi.org/10.1016/j.bios.2021.113465</v>
      </c>
      <c r="BG762" t="s">
        <v>74</v>
      </c>
      <c r="BH762" t="s">
        <v>1136</v>
      </c>
      <c r="BI762" t="s">
        <v>74</v>
      </c>
      <c r="BJ762" t="s">
        <v>1137</v>
      </c>
      <c r="BK762" t="s">
        <v>117</v>
      </c>
      <c r="BL762" t="s">
        <v>1138</v>
      </c>
      <c r="BM762" t="s">
        <v>74</v>
      </c>
      <c r="BN762">
        <v>34218177</v>
      </c>
      <c r="BO762" t="s">
        <v>74</v>
      </c>
      <c r="BP762" t="s">
        <v>74</v>
      </c>
      <c r="BQ762" t="s">
        <v>74</v>
      </c>
      <c r="BR762" t="s">
        <v>96</v>
      </c>
      <c r="BS762" t="s">
        <v>11920</v>
      </c>
      <c r="BT762" t="str">
        <f>HYPERLINK("https%3A%2F%2Fwww.webofscience.com%2Fwos%2Fwoscc%2Ffull-record%2FWOS:000695231500004","View Full Record in Web of Science")</f>
        <v>View Full Record in Web of Science</v>
      </c>
    </row>
    <row r="763" spans="1:72" x14ac:dyDescent="0.15">
      <c r="A763" t="s">
        <v>98</v>
      </c>
      <c r="B763" t="s">
        <v>13792</v>
      </c>
      <c r="C763" t="s">
        <v>74</v>
      </c>
      <c r="D763" t="s">
        <v>74</v>
      </c>
      <c r="E763" t="s">
        <v>74</v>
      </c>
      <c r="F763" t="s">
        <v>13793</v>
      </c>
      <c r="G763" t="s">
        <v>74</v>
      </c>
      <c r="H763" t="s">
        <v>74</v>
      </c>
      <c r="I763" t="s">
        <v>13794</v>
      </c>
      <c r="J763" t="s">
        <v>13795</v>
      </c>
      <c r="K763" t="s">
        <v>74</v>
      </c>
      <c r="L763" t="s">
        <v>74</v>
      </c>
      <c r="M763" t="s">
        <v>74</v>
      </c>
      <c r="N763" t="s">
        <v>103</v>
      </c>
      <c r="O763" t="s">
        <v>74</v>
      </c>
      <c r="P763" t="s">
        <v>74</v>
      </c>
      <c r="Q763" t="s">
        <v>74</v>
      </c>
      <c r="R763" t="s">
        <v>74</v>
      </c>
      <c r="S763" t="s">
        <v>74</v>
      </c>
      <c r="T763" t="s">
        <v>13796</v>
      </c>
      <c r="U763" t="s">
        <v>13797</v>
      </c>
      <c r="V763" t="s">
        <v>13798</v>
      </c>
      <c r="W763" t="s">
        <v>13799</v>
      </c>
      <c r="X763" t="s">
        <v>13800</v>
      </c>
      <c r="Y763" t="s">
        <v>13801</v>
      </c>
      <c r="Z763" t="s">
        <v>13802</v>
      </c>
      <c r="AA763" t="s">
        <v>13803</v>
      </c>
      <c r="AB763" t="s">
        <v>13804</v>
      </c>
      <c r="AC763" t="s">
        <v>74</v>
      </c>
      <c r="AD763" t="s">
        <v>74</v>
      </c>
      <c r="AE763" t="s">
        <v>74</v>
      </c>
      <c r="AF763" t="s">
        <v>74</v>
      </c>
      <c r="AG763">
        <v>58</v>
      </c>
      <c r="AH763">
        <v>23</v>
      </c>
      <c r="AI763">
        <v>24</v>
      </c>
      <c r="AJ763">
        <v>5</v>
      </c>
      <c r="AK763">
        <v>19</v>
      </c>
      <c r="AL763" t="s">
        <v>74</v>
      </c>
      <c r="AM763" t="s">
        <v>74</v>
      </c>
      <c r="AN763" t="s">
        <v>74</v>
      </c>
      <c r="AO763" t="s">
        <v>74</v>
      </c>
      <c r="AP763" t="s">
        <v>13805</v>
      </c>
      <c r="AQ763" t="s">
        <v>74</v>
      </c>
      <c r="AR763" t="s">
        <v>74</v>
      </c>
      <c r="AS763" t="s">
        <v>74</v>
      </c>
      <c r="AT763" t="s">
        <v>74</v>
      </c>
      <c r="AU763">
        <v>2020</v>
      </c>
      <c r="AV763">
        <v>8</v>
      </c>
      <c r="AW763">
        <v>2</v>
      </c>
      <c r="AX763" t="s">
        <v>74</v>
      </c>
      <c r="AY763" t="s">
        <v>74</v>
      </c>
      <c r="AZ763" t="s">
        <v>74</v>
      </c>
      <c r="BA763" t="s">
        <v>74</v>
      </c>
      <c r="BB763" t="s">
        <v>74</v>
      </c>
      <c r="BC763" t="s">
        <v>74</v>
      </c>
      <c r="BD763" t="s">
        <v>13806</v>
      </c>
      <c r="BE763" t="s">
        <v>13807</v>
      </c>
      <c r="BF763" t="str">
        <f>HYPERLINK("http://dx.doi.org/10.1136/jitc-2020-001372","http://dx.doi.org/10.1136/jitc-2020-001372")</f>
        <v>http://dx.doi.org/10.1136/jitc-2020-001372</v>
      </c>
      <c r="BG763" t="s">
        <v>74</v>
      </c>
      <c r="BH763" t="s">
        <v>74</v>
      </c>
      <c r="BI763" t="s">
        <v>74</v>
      </c>
      <c r="BJ763" t="s">
        <v>7255</v>
      </c>
      <c r="BK763" t="s">
        <v>117</v>
      </c>
      <c r="BL763" t="s">
        <v>7255</v>
      </c>
      <c r="BM763" t="s">
        <v>74</v>
      </c>
      <c r="BN763">
        <v>33268351</v>
      </c>
      <c r="BO763" t="s">
        <v>74</v>
      </c>
      <c r="BP763" t="s">
        <v>74</v>
      </c>
      <c r="BQ763" t="s">
        <v>74</v>
      </c>
      <c r="BR763" t="s">
        <v>96</v>
      </c>
      <c r="BS763" t="s">
        <v>13808</v>
      </c>
      <c r="BT763" t="str">
        <f>HYPERLINK("https%3A%2F%2Fwww.webofscience.com%2Fwos%2Fwoscc%2Ffull-record%2FWOS:000597166600001","View Full Record in Web of Science")</f>
        <v>View Full Record in Web of Science</v>
      </c>
    </row>
    <row r="764" spans="1:72" x14ac:dyDescent="0.15">
      <c r="A764" t="s">
        <v>98</v>
      </c>
      <c r="B764" t="s">
        <v>14020</v>
      </c>
      <c r="C764" t="s">
        <v>74</v>
      </c>
      <c r="D764" t="s">
        <v>74</v>
      </c>
      <c r="E764" t="s">
        <v>74</v>
      </c>
      <c r="F764" t="s">
        <v>14021</v>
      </c>
      <c r="G764" t="s">
        <v>74</v>
      </c>
      <c r="H764" t="s">
        <v>74</v>
      </c>
      <c r="I764" t="s">
        <v>14022</v>
      </c>
      <c r="J764" t="s">
        <v>14023</v>
      </c>
      <c r="K764" t="s">
        <v>74</v>
      </c>
      <c r="L764" t="s">
        <v>74</v>
      </c>
      <c r="M764" t="s">
        <v>74</v>
      </c>
      <c r="N764" t="s">
        <v>103</v>
      </c>
      <c r="O764" t="s">
        <v>74</v>
      </c>
      <c r="P764" t="s">
        <v>74</v>
      </c>
      <c r="Q764" t="s">
        <v>74</v>
      </c>
      <c r="R764" t="s">
        <v>74</v>
      </c>
      <c r="S764" t="s">
        <v>74</v>
      </c>
      <c r="T764" t="s">
        <v>14024</v>
      </c>
      <c r="U764" t="s">
        <v>14025</v>
      </c>
      <c r="V764" t="s">
        <v>14026</v>
      </c>
      <c r="W764" t="s">
        <v>14027</v>
      </c>
      <c r="X764" t="s">
        <v>14028</v>
      </c>
      <c r="Y764" t="s">
        <v>5739</v>
      </c>
      <c r="Z764" t="s">
        <v>5740</v>
      </c>
      <c r="AA764" t="s">
        <v>74</v>
      </c>
      <c r="AB764" t="s">
        <v>14029</v>
      </c>
      <c r="AC764" t="s">
        <v>74</v>
      </c>
      <c r="AD764" t="s">
        <v>74</v>
      </c>
      <c r="AE764" t="s">
        <v>74</v>
      </c>
      <c r="AF764" t="s">
        <v>74</v>
      </c>
      <c r="AG764">
        <v>52</v>
      </c>
      <c r="AH764">
        <v>23</v>
      </c>
      <c r="AI764">
        <v>23</v>
      </c>
      <c r="AJ764">
        <v>3</v>
      </c>
      <c r="AK764">
        <v>10</v>
      </c>
      <c r="AL764" t="s">
        <v>74</v>
      </c>
      <c r="AM764" t="s">
        <v>74</v>
      </c>
      <c r="AN764" t="s">
        <v>74</v>
      </c>
      <c r="AO764" t="s">
        <v>14030</v>
      </c>
      <c r="AP764" t="s">
        <v>74</v>
      </c>
      <c r="AQ764" t="s">
        <v>74</v>
      </c>
      <c r="AR764" t="s">
        <v>74</v>
      </c>
      <c r="AS764" t="s">
        <v>74</v>
      </c>
      <c r="AT764" t="s">
        <v>967</v>
      </c>
      <c r="AU764">
        <v>2019</v>
      </c>
      <c r="AV764">
        <v>3</v>
      </c>
      <c r="AW764">
        <v>12</v>
      </c>
      <c r="AX764" t="s">
        <v>74</v>
      </c>
      <c r="AY764" t="s">
        <v>74</v>
      </c>
      <c r="AZ764" t="s">
        <v>74</v>
      </c>
      <c r="BA764" t="s">
        <v>74</v>
      </c>
      <c r="BB764" t="s">
        <v>74</v>
      </c>
      <c r="BC764" t="s">
        <v>74</v>
      </c>
      <c r="BD764" t="s">
        <v>14031</v>
      </c>
      <c r="BE764" t="s">
        <v>14032</v>
      </c>
      <c r="BF764" t="str">
        <f>HYPERLINK("http://dx.doi.org/10.1093/cdn/nzz122","http://dx.doi.org/10.1093/cdn/nzz122")</f>
        <v>http://dx.doi.org/10.1093/cdn/nzz122</v>
      </c>
      <c r="BG764" t="s">
        <v>74</v>
      </c>
      <c r="BH764" t="s">
        <v>74</v>
      </c>
      <c r="BI764" t="s">
        <v>74</v>
      </c>
      <c r="BJ764" t="s">
        <v>8849</v>
      </c>
      <c r="BK764" t="s">
        <v>467</v>
      </c>
      <c r="BL764" t="s">
        <v>8849</v>
      </c>
      <c r="BM764" t="s">
        <v>74</v>
      </c>
      <c r="BN764">
        <v>32154493</v>
      </c>
      <c r="BO764" t="s">
        <v>74</v>
      </c>
      <c r="BP764" t="s">
        <v>74</v>
      </c>
      <c r="BQ764" t="s">
        <v>74</v>
      </c>
      <c r="BR764" t="s">
        <v>96</v>
      </c>
      <c r="BS764" t="s">
        <v>14033</v>
      </c>
      <c r="BT764" t="str">
        <f>HYPERLINK("https%3A%2F%2Fwww.webofscience.com%2Fwos%2Fwoscc%2Ffull-record%2FWOS:000504327500002","View Full Record in Web of Science")</f>
        <v>View Full Record in Web of Science</v>
      </c>
    </row>
    <row r="765" spans="1:72" x14ac:dyDescent="0.15">
      <c r="A765" t="s">
        <v>98</v>
      </c>
      <c r="B765" t="s">
        <v>23045</v>
      </c>
      <c r="C765" t="s">
        <v>74</v>
      </c>
      <c r="D765" t="s">
        <v>74</v>
      </c>
      <c r="E765" t="s">
        <v>74</v>
      </c>
      <c r="F765" t="s">
        <v>23046</v>
      </c>
      <c r="G765" t="s">
        <v>74</v>
      </c>
      <c r="H765" t="s">
        <v>74</v>
      </c>
      <c r="I765" t="s">
        <v>23047</v>
      </c>
      <c r="J765" t="s">
        <v>919</v>
      </c>
      <c r="K765" t="s">
        <v>74</v>
      </c>
      <c r="L765" t="s">
        <v>74</v>
      </c>
      <c r="M765" t="s">
        <v>74</v>
      </c>
      <c r="N765" t="s">
        <v>103</v>
      </c>
      <c r="O765" t="s">
        <v>74</v>
      </c>
      <c r="P765" t="s">
        <v>74</v>
      </c>
      <c r="Q765" t="s">
        <v>74</v>
      </c>
      <c r="R765" t="s">
        <v>74</v>
      </c>
      <c r="S765" t="s">
        <v>74</v>
      </c>
      <c r="T765" t="s">
        <v>23048</v>
      </c>
      <c r="U765" t="s">
        <v>23049</v>
      </c>
      <c r="V765" t="s">
        <v>23050</v>
      </c>
      <c r="W765" t="s">
        <v>23051</v>
      </c>
      <c r="X765" t="s">
        <v>23052</v>
      </c>
      <c r="Y765" t="s">
        <v>23053</v>
      </c>
      <c r="Z765" t="s">
        <v>23054</v>
      </c>
      <c r="AA765" t="s">
        <v>23055</v>
      </c>
      <c r="AB765" t="s">
        <v>23056</v>
      </c>
      <c r="AC765" t="s">
        <v>74</v>
      </c>
      <c r="AD765" t="s">
        <v>74</v>
      </c>
      <c r="AE765" t="s">
        <v>74</v>
      </c>
      <c r="AF765" t="s">
        <v>74</v>
      </c>
      <c r="AG765">
        <v>66</v>
      </c>
      <c r="AH765">
        <v>23</v>
      </c>
      <c r="AI765">
        <v>24</v>
      </c>
      <c r="AJ765">
        <v>0</v>
      </c>
      <c r="AK765">
        <v>5</v>
      </c>
      <c r="AL765" t="s">
        <v>74</v>
      </c>
      <c r="AM765" t="s">
        <v>74</v>
      </c>
      <c r="AN765" t="s">
        <v>74</v>
      </c>
      <c r="AO765" t="s">
        <v>74</v>
      </c>
      <c r="AP765" t="s">
        <v>929</v>
      </c>
      <c r="AQ765" t="s">
        <v>74</v>
      </c>
      <c r="AR765" t="s">
        <v>74</v>
      </c>
      <c r="AS765" t="s">
        <v>74</v>
      </c>
      <c r="AT765" t="s">
        <v>14551</v>
      </c>
      <c r="AU765">
        <v>2016</v>
      </c>
      <c r="AV765">
        <v>13</v>
      </c>
      <c r="AW765" t="s">
        <v>74</v>
      </c>
      <c r="AX765" t="s">
        <v>74</v>
      </c>
      <c r="AY765" t="s">
        <v>74</v>
      </c>
      <c r="AZ765" t="s">
        <v>74</v>
      </c>
      <c r="BA765" t="s">
        <v>74</v>
      </c>
      <c r="BB765" t="s">
        <v>74</v>
      </c>
      <c r="BC765" t="s">
        <v>74</v>
      </c>
      <c r="BD765">
        <v>179</v>
      </c>
      <c r="BE765" t="s">
        <v>23057</v>
      </c>
      <c r="BF765" t="str">
        <f>HYPERLINK("http://dx.doi.org/10.1186/s12985-016-0634-z","http://dx.doi.org/10.1186/s12985-016-0634-z")</f>
        <v>http://dx.doi.org/10.1186/s12985-016-0634-z</v>
      </c>
      <c r="BG765" t="s">
        <v>74</v>
      </c>
      <c r="BH765" t="s">
        <v>74</v>
      </c>
      <c r="BI765" t="s">
        <v>74</v>
      </c>
      <c r="BJ765" t="s">
        <v>932</v>
      </c>
      <c r="BK765" t="s">
        <v>117</v>
      </c>
      <c r="BL765" t="s">
        <v>932</v>
      </c>
      <c r="BM765" t="s">
        <v>74</v>
      </c>
      <c r="BN765">
        <v>27770817</v>
      </c>
      <c r="BO765" t="s">
        <v>74</v>
      </c>
      <c r="BP765" t="s">
        <v>74</v>
      </c>
      <c r="BQ765" t="s">
        <v>74</v>
      </c>
      <c r="BR765" t="s">
        <v>96</v>
      </c>
      <c r="BS765" t="s">
        <v>23058</v>
      </c>
      <c r="BT765" t="str">
        <f>HYPERLINK("https%3A%2F%2Fwww.webofscience.com%2Fwos%2Fwoscc%2Ffull-record%2FWOS:000386399900001","View Full Record in Web of Science")</f>
        <v>View Full Record in Web of Science</v>
      </c>
    </row>
    <row r="766" spans="1:72" x14ac:dyDescent="0.15">
      <c r="A766" t="s">
        <v>98</v>
      </c>
      <c r="B766" t="s">
        <v>25731</v>
      </c>
      <c r="C766" t="s">
        <v>74</v>
      </c>
      <c r="D766" t="s">
        <v>74</v>
      </c>
      <c r="E766" t="s">
        <v>74</v>
      </c>
      <c r="F766" t="s">
        <v>25731</v>
      </c>
      <c r="G766" t="s">
        <v>74</v>
      </c>
      <c r="H766" t="s">
        <v>74</v>
      </c>
      <c r="I766" t="s">
        <v>25732</v>
      </c>
      <c r="J766" t="s">
        <v>25733</v>
      </c>
      <c r="K766" t="s">
        <v>74</v>
      </c>
      <c r="L766" t="s">
        <v>74</v>
      </c>
      <c r="M766" t="s">
        <v>74</v>
      </c>
      <c r="N766" t="s">
        <v>103</v>
      </c>
      <c r="O766" t="s">
        <v>74</v>
      </c>
      <c r="P766" t="s">
        <v>74</v>
      </c>
      <c r="Q766" t="s">
        <v>74</v>
      </c>
      <c r="R766" t="s">
        <v>74</v>
      </c>
      <c r="S766" t="s">
        <v>74</v>
      </c>
      <c r="T766" t="s">
        <v>25734</v>
      </c>
      <c r="U766" t="s">
        <v>25735</v>
      </c>
      <c r="V766" t="s">
        <v>25736</v>
      </c>
      <c r="W766" t="s">
        <v>25737</v>
      </c>
      <c r="X766" t="s">
        <v>25738</v>
      </c>
      <c r="Y766" t="s">
        <v>25739</v>
      </c>
      <c r="Z766" t="s">
        <v>25740</v>
      </c>
      <c r="AA766" t="s">
        <v>74</v>
      </c>
      <c r="AB766" t="s">
        <v>74</v>
      </c>
      <c r="AC766" t="s">
        <v>74</v>
      </c>
      <c r="AD766" t="s">
        <v>74</v>
      </c>
      <c r="AE766" t="s">
        <v>74</v>
      </c>
      <c r="AF766" t="s">
        <v>74</v>
      </c>
      <c r="AG766">
        <v>33</v>
      </c>
      <c r="AH766">
        <v>23</v>
      </c>
      <c r="AI766">
        <v>28</v>
      </c>
      <c r="AJ766">
        <v>1</v>
      </c>
      <c r="AK766">
        <v>11</v>
      </c>
      <c r="AL766" t="s">
        <v>74</v>
      </c>
      <c r="AM766" t="s">
        <v>74</v>
      </c>
      <c r="AN766" t="s">
        <v>74</v>
      </c>
      <c r="AO766" t="s">
        <v>25741</v>
      </c>
      <c r="AP766" t="s">
        <v>25742</v>
      </c>
      <c r="AQ766" t="s">
        <v>74</v>
      </c>
      <c r="AR766" t="s">
        <v>74</v>
      </c>
      <c r="AS766" t="s">
        <v>74</v>
      </c>
      <c r="AT766" t="s">
        <v>283</v>
      </c>
      <c r="AU766">
        <v>2006</v>
      </c>
      <c r="AV766">
        <v>70</v>
      </c>
      <c r="AW766">
        <v>2</v>
      </c>
      <c r="AX766" t="s">
        <v>74</v>
      </c>
      <c r="AY766" t="s">
        <v>74</v>
      </c>
      <c r="AZ766" t="s">
        <v>74</v>
      </c>
      <c r="BA766" t="s">
        <v>74</v>
      </c>
      <c r="BB766">
        <v>471</v>
      </c>
      <c r="BC766">
        <v>479</v>
      </c>
      <c r="BD766" t="s">
        <v>74</v>
      </c>
      <c r="BE766" t="s">
        <v>25743</v>
      </c>
      <c r="BF766" t="str">
        <f>HYPERLINK("http://dx.doi.org/10.1271/bbb.70.471","http://dx.doi.org/10.1271/bbb.70.471")</f>
        <v>http://dx.doi.org/10.1271/bbb.70.471</v>
      </c>
      <c r="BG766" t="s">
        <v>74</v>
      </c>
      <c r="BH766" t="s">
        <v>74</v>
      </c>
      <c r="BI766" t="s">
        <v>74</v>
      </c>
      <c r="BJ766" t="s">
        <v>25744</v>
      </c>
      <c r="BK766" t="s">
        <v>117</v>
      </c>
      <c r="BL766" t="s">
        <v>25745</v>
      </c>
      <c r="BM766" t="s">
        <v>74</v>
      </c>
      <c r="BN766">
        <v>16495665</v>
      </c>
      <c r="BO766" t="s">
        <v>74</v>
      </c>
      <c r="BP766" t="s">
        <v>74</v>
      </c>
      <c r="BQ766" t="s">
        <v>74</v>
      </c>
      <c r="BR766" t="s">
        <v>96</v>
      </c>
      <c r="BS766" t="s">
        <v>25746</v>
      </c>
      <c r="BT766" t="str">
        <f>HYPERLINK("https%3A%2F%2Fwww.webofscience.com%2Fwos%2Fwoscc%2Ffull-record%2FWOS:000235759800021","View Full Record in Web of Science")</f>
        <v>View Full Record in Web of Science</v>
      </c>
    </row>
    <row r="767" spans="1:72" x14ac:dyDescent="0.15">
      <c r="A767" t="s">
        <v>98</v>
      </c>
      <c r="B767" t="s">
        <v>25796</v>
      </c>
      <c r="C767" t="s">
        <v>74</v>
      </c>
      <c r="D767" t="s">
        <v>74</v>
      </c>
      <c r="E767" t="s">
        <v>74</v>
      </c>
      <c r="F767" t="s">
        <v>25797</v>
      </c>
      <c r="G767" t="s">
        <v>74</v>
      </c>
      <c r="H767" t="s">
        <v>74</v>
      </c>
      <c r="I767" t="s">
        <v>25798</v>
      </c>
      <c r="J767" t="s">
        <v>1073</v>
      </c>
      <c r="K767" t="s">
        <v>74</v>
      </c>
      <c r="L767" t="s">
        <v>74</v>
      </c>
      <c r="M767" t="s">
        <v>74</v>
      </c>
      <c r="N767" t="s">
        <v>103</v>
      </c>
      <c r="O767" t="s">
        <v>74</v>
      </c>
      <c r="P767" t="s">
        <v>74</v>
      </c>
      <c r="Q767" t="s">
        <v>74</v>
      </c>
      <c r="R767" t="s">
        <v>74</v>
      </c>
      <c r="S767" t="s">
        <v>74</v>
      </c>
      <c r="T767" t="s">
        <v>74</v>
      </c>
      <c r="U767" t="s">
        <v>25799</v>
      </c>
      <c r="V767" t="s">
        <v>25800</v>
      </c>
      <c r="W767" t="s">
        <v>25801</v>
      </c>
      <c r="X767" t="s">
        <v>25802</v>
      </c>
      <c r="Y767" t="s">
        <v>25803</v>
      </c>
      <c r="Z767" t="s">
        <v>25804</v>
      </c>
      <c r="AA767" t="s">
        <v>25805</v>
      </c>
      <c r="AB767" t="s">
        <v>25806</v>
      </c>
      <c r="AC767" t="s">
        <v>74</v>
      </c>
      <c r="AD767" t="s">
        <v>74</v>
      </c>
      <c r="AE767" t="s">
        <v>74</v>
      </c>
      <c r="AF767" t="s">
        <v>74</v>
      </c>
      <c r="AG767">
        <v>27</v>
      </c>
      <c r="AH767">
        <v>23</v>
      </c>
      <c r="AI767">
        <v>24</v>
      </c>
      <c r="AJ767">
        <v>0</v>
      </c>
      <c r="AK767">
        <v>8</v>
      </c>
      <c r="AL767" t="s">
        <v>74</v>
      </c>
      <c r="AM767" t="s">
        <v>74</v>
      </c>
      <c r="AN767" t="s">
        <v>74</v>
      </c>
      <c r="AO767" t="s">
        <v>1082</v>
      </c>
      <c r="AP767" t="s">
        <v>74</v>
      </c>
      <c r="AQ767" t="s">
        <v>74</v>
      </c>
      <c r="AR767" t="s">
        <v>74</v>
      </c>
      <c r="AS767" t="s">
        <v>74</v>
      </c>
      <c r="AT767" t="s">
        <v>16335</v>
      </c>
      <c r="AU767">
        <v>2015</v>
      </c>
      <c r="AV767">
        <v>10</v>
      </c>
      <c r="AW767">
        <v>3</v>
      </c>
      <c r="AX767" t="s">
        <v>74</v>
      </c>
      <c r="AY767" t="s">
        <v>74</v>
      </c>
      <c r="AZ767" t="s">
        <v>74</v>
      </c>
      <c r="BA767" t="s">
        <v>74</v>
      </c>
      <c r="BB767" t="s">
        <v>74</v>
      </c>
      <c r="BC767" t="s">
        <v>74</v>
      </c>
      <c r="BD767" t="s">
        <v>25807</v>
      </c>
      <c r="BE767" t="s">
        <v>25808</v>
      </c>
      <c r="BF767" t="str">
        <f>HYPERLINK("http://dx.doi.org/10.1371/journal.pone.0122766","http://dx.doi.org/10.1371/journal.pone.0122766")</f>
        <v>http://dx.doi.org/10.1371/journal.pone.0122766</v>
      </c>
      <c r="BG767" t="s">
        <v>74</v>
      </c>
      <c r="BH767" t="s">
        <v>74</v>
      </c>
      <c r="BI767" t="s">
        <v>74</v>
      </c>
      <c r="BJ767" t="s">
        <v>152</v>
      </c>
      <c r="BK767" t="s">
        <v>117</v>
      </c>
      <c r="BL767" t="s">
        <v>153</v>
      </c>
      <c r="BM767" t="s">
        <v>74</v>
      </c>
      <c r="BN767">
        <v>25811468</v>
      </c>
      <c r="BO767" t="s">
        <v>74</v>
      </c>
      <c r="BP767" t="s">
        <v>74</v>
      </c>
      <c r="BQ767" t="s">
        <v>74</v>
      </c>
      <c r="BR767" t="s">
        <v>96</v>
      </c>
      <c r="BS767" t="s">
        <v>25809</v>
      </c>
      <c r="BT767" t="str">
        <f>HYPERLINK("https%3A%2F%2Fwww.webofscience.com%2Fwos%2Fwoscc%2Ffull-record%2FWOS:000356353700200","View Full Record in Web of Science")</f>
        <v>View Full Record in Web of Science</v>
      </c>
    </row>
    <row r="768" spans="1:72" x14ac:dyDescent="0.15">
      <c r="A768" t="s">
        <v>98</v>
      </c>
      <c r="B768" t="s">
        <v>25901</v>
      </c>
      <c r="C768" t="s">
        <v>74</v>
      </c>
      <c r="D768" t="s">
        <v>74</v>
      </c>
      <c r="E768" t="s">
        <v>74</v>
      </c>
      <c r="F768" t="s">
        <v>25901</v>
      </c>
      <c r="G768" t="s">
        <v>74</v>
      </c>
      <c r="H768" t="s">
        <v>74</v>
      </c>
      <c r="I768" t="s">
        <v>25902</v>
      </c>
      <c r="J768" t="s">
        <v>2833</v>
      </c>
      <c r="K768" t="s">
        <v>74</v>
      </c>
      <c r="L768" t="s">
        <v>74</v>
      </c>
      <c r="M768" t="s">
        <v>74</v>
      </c>
      <c r="N768" t="s">
        <v>103</v>
      </c>
      <c r="O768" t="s">
        <v>74</v>
      </c>
      <c r="P768" t="s">
        <v>74</v>
      </c>
      <c r="Q768" t="s">
        <v>74</v>
      </c>
      <c r="R768" t="s">
        <v>74</v>
      </c>
      <c r="S768" t="s">
        <v>74</v>
      </c>
      <c r="T768" t="s">
        <v>25903</v>
      </c>
      <c r="U768" t="s">
        <v>25904</v>
      </c>
      <c r="V768" t="s">
        <v>25905</v>
      </c>
      <c r="W768" t="s">
        <v>25906</v>
      </c>
      <c r="X768" t="s">
        <v>25907</v>
      </c>
      <c r="Y768" t="s">
        <v>25908</v>
      </c>
      <c r="Z768" t="s">
        <v>25909</v>
      </c>
      <c r="AA768" t="s">
        <v>25910</v>
      </c>
      <c r="AB768" t="s">
        <v>25911</v>
      </c>
      <c r="AC768" t="s">
        <v>74</v>
      </c>
      <c r="AD768" t="s">
        <v>74</v>
      </c>
      <c r="AE768" t="s">
        <v>74</v>
      </c>
      <c r="AF768" t="s">
        <v>74</v>
      </c>
      <c r="AG768">
        <v>41</v>
      </c>
      <c r="AH768">
        <v>23</v>
      </c>
      <c r="AI768">
        <v>24</v>
      </c>
      <c r="AJ768">
        <v>0</v>
      </c>
      <c r="AK768">
        <v>0</v>
      </c>
      <c r="AL768" t="s">
        <v>74</v>
      </c>
      <c r="AM768" t="s">
        <v>74</v>
      </c>
      <c r="AN768" t="s">
        <v>74</v>
      </c>
      <c r="AO768" t="s">
        <v>2841</v>
      </c>
      <c r="AP768" t="s">
        <v>2842</v>
      </c>
      <c r="AQ768" t="s">
        <v>74</v>
      </c>
      <c r="AR768" t="s">
        <v>74</v>
      </c>
      <c r="AS768" t="s">
        <v>74</v>
      </c>
      <c r="AT768" t="s">
        <v>19806</v>
      </c>
      <c r="AU768">
        <v>1999</v>
      </c>
      <c r="AV768">
        <v>265</v>
      </c>
      <c r="AW768">
        <v>3</v>
      </c>
      <c r="AX768" t="s">
        <v>74</v>
      </c>
      <c r="AY768" t="s">
        <v>74</v>
      </c>
      <c r="AZ768" t="s">
        <v>74</v>
      </c>
      <c r="BA768" t="s">
        <v>74</v>
      </c>
      <c r="BB768">
        <v>709</v>
      </c>
      <c r="BC768">
        <v>715</v>
      </c>
      <c r="BD768" t="s">
        <v>74</v>
      </c>
      <c r="BE768" t="s">
        <v>25912</v>
      </c>
      <c r="BF768" t="str">
        <f>HYPERLINK("http://dx.doi.org/10.1006/bbrc.1999.1752","http://dx.doi.org/10.1006/bbrc.1999.1752")</f>
        <v>http://dx.doi.org/10.1006/bbrc.1999.1752</v>
      </c>
      <c r="BG768" t="s">
        <v>74</v>
      </c>
      <c r="BH768" t="s">
        <v>74</v>
      </c>
      <c r="BI768" t="s">
        <v>74</v>
      </c>
      <c r="BJ768" t="s">
        <v>2845</v>
      </c>
      <c r="BK768" t="s">
        <v>117</v>
      </c>
      <c r="BL768" t="s">
        <v>2845</v>
      </c>
      <c r="BM768" t="s">
        <v>74</v>
      </c>
      <c r="BN768">
        <v>10600485</v>
      </c>
      <c r="BO768" t="s">
        <v>74</v>
      </c>
      <c r="BP768" t="s">
        <v>74</v>
      </c>
      <c r="BQ768" t="s">
        <v>74</v>
      </c>
      <c r="BR768" t="s">
        <v>96</v>
      </c>
      <c r="BS768" t="s">
        <v>25913</v>
      </c>
      <c r="BT768" t="str">
        <f>HYPERLINK("https%3A%2F%2Fwww.webofscience.com%2Fwos%2Fwoscc%2Ffull-record%2FWOS:000083998500017","View Full Record in Web of Science")</f>
        <v>View Full Record in Web of Science</v>
      </c>
    </row>
    <row r="769" spans="1:72" x14ac:dyDescent="0.15">
      <c r="A769" t="s">
        <v>98</v>
      </c>
      <c r="B769" t="s">
        <v>26488</v>
      </c>
      <c r="C769" t="s">
        <v>74</v>
      </c>
      <c r="D769" t="s">
        <v>74</v>
      </c>
      <c r="E769" t="s">
        <v>74</v>
      </c>
      <c r="F769" t="s">
        <v>26489</v>
      </c>
      <c r="G769" t="s">
        <v>74</v>
      </c>
      <c r="H769" t="s">
        <v>74</v>
      </c>
      <c r="I769" t="s">
        <v>26490</v>
      </c>
      <c r="J769" t="s">
        <v>7065</v>
      </c>
      <c r="K769" t="s">
        <v>74</v>
      </c>
      <c r="L769" t="s">
        <v>74</v>
      </c>
      <c r="M769" t="s">
        <v>74</v>
      </c>
      <c r="N769" t="s">
        <v>103</v>
      </c>
      <c r="O769" t="s">
        <v>74</v>
      </c>
      <c r="P769" t="s">
        <v>74</v>
      </c>
      <c r="Q769" t="s">
        <v>74</v>
      </c>
      <c r="R769" t="s">
        <v>74</v>
      </c>
      <c r="S769" t="s">
        <v>74</v>
      </c>
      <c r="T769" t="s">
        <v>74</v>
      </c>
      <c r="U769" t="s">
        <v>26491</v>
      </c>
      <c r="V769" t="s">
        <v>26492</v>
      </c>
      <c r="W769" t="s">
        <v>26493</v>
      </c>
      <c r="X769" t="s">
        <v>26494</v>
      </c>
      <c r="Y769" t="s">
        <v>26495</v>
      </c>
      <c r="Z769" t="s">
        <v>26496</v>
      </c>
      <c r="AA769" t="s">
        <v>26497</v>
      </c>
      <c r="AB769" t="s">
        <v>26498</v>
      </c>
      <c r="AC769" t="s">
        <v>74</v>
      </c>
      <c r="AD769" t="s">
        <v>74</v>
      </c>
      <c r="AE769" t="s">
        <v>74</v>
      </c>
      <c r="AF769" t="s">
        <v>74</v>
      </c>
      <c r="AG769">
        <v>55</v>
      </c>
      <c r="AH769">
        <v>23</v>
      </c>
      <c r="AI769">
        <v>24</v>
      </c>
      <c r="AJ769">
        <v>2</v>
      </c>
      <c r="AK769">
        <v>24</v>
      </c>
      <c r="AL769" t="s">
        <v>74</v>
      </c>
      <c r="AM769" t="s">
        <v>74</v>
      </c>
      <c r="AN769" t="s">
        <v>74</v>
      </c>
      <c r="AO769" t="s">
        <v>7074</v>
      </c>
      <c r="AP769" t="s">
        <v>7075</v>
      </c>
      <c r="AQ769" t="s">
        <v>74</v>
      </c>
      <c r="AR769" t="s">
        <v>74</v>
      </c>
      <c r="AS769" t="s">
        <v>74</v>
      </c>
      <c r="AT769" t="s">
        <v>9418</v>
      </c>
      <c r="AU769">
        <v>2019</v>
      </c>
      <c r="AV769">
        <v>79</v>
      </c>
      <c r="AW769">
        <v>7</v>
      </c>
      <c r="AX769" t="s">
        <v>74</v>
      </c>
      <c r="AY769" t="s">
        <v>74</v>
      </c>
      <c r="AZ769" t="s">
        <v>74</v>
      </c>
      <c r="BA769" t="s">
        <v>74</v>
      </c>
      <c r="BB769">
        <v>1681</v>
      </c>
      <c r="BC769">
        <v>1695</v>
      </c>
      <c r="BD769" t="s">
        <v>74</v>
      </c>
      <c r="BE769" t="s">
        <v>26499</v>
      </c>
      <c r="BF769" t="str">
        <f>HYPERLINK("http://dx.doi.org/10.1158/0008-5472.CAN-18-2602","http://dx.doi.org/10.1158/0008-5472.CAN-18-2602")</f>
        <v>http://dx.doi.org/10.1158/0008-5472.CAN-18-2602</v>
      </c>
      <c r="BG769" t="s">
        <v>74</v>
      </c>
      <c r="BH769" t="s">
        <v>74</v>
      </c>
      <c r="BI769" t="s">
        <v>74</v>
      </c>
      <c r="BJ769" t="s">
        <v>267</v>
      </c>
      <c r="BK769" t="s">
        <v>117</v>
      </c>
      <c r="BL769" t="s">
        <v>267</v>
      </c>
      <c r="BM769" t="s">
        <v>74</v>
      </c>
      <c r="BN769">
        <v>30674533</v>
      </c>
      <c r="BO769" t="s">
        <v>74</v>
      </c>
      <c r="BP769" t="s">
        <v>74</v>
      </c>
      <c r="BQ769" t="s">
        <v>74</v>
      </c>
      <c r="BR769" t="s">
        <v>96</v>
      </c>
      <c r="BS769" t="s">
        <v>26500</v>
      </c>
      <c r="BT769" t="str">
        <f>HYPERLINK("https%3A%2F%2Fwww.webofscience.com%2Fwos%2Fwoscc%2Ffull-record%2FWOS:000463005700038","View Full Record in Web of Science")</f>
        <v>View Full Record in Web of Science</v>
      </c>
    </row>
    <row r="770" spans="1:72" x14ac:dyDescent="0.15">
      <c r="A770" t="s">
        <v>98</v>
      </c>
      <c r="B770" t="s">
        <v>26528</v>
      </c>
      <c r="C770" t="s">
        <v>74</v>
      </c>
      <c r="D770" t="s">
        <v>74</v>
      </c>
      <c r="E770" t="s">
        <v>74</v>
      </c>
      <c r="F770" t="s">
        <v>26529</v>
      </c>
      <c r="G770" t="s">
        <v>74</v>
      </c>
      <c r="H770" t="s">
        <v>74</v>
      </c>
      <c r="I770" t="s">
        <v>26530</v>
      </c>
      <c r="J770" t="s">
        <v>26531</v>
      </c>
      <c r="K770" t="s">
        <v>74</v>
      </c>
      <c r="L770" t="s">
        <v>74</v>
      </c>
      <c r="M770" t="s">
        <v>74</v>
      </c>
      <c r="N770" t="s">
        <v>103</v>
      </c>
      <c r="O770" t="s">
        <v>74</v>
      </c>
      <c r="P770" t="s">
        <v>74</v>
      </c>
      <c r="Q770" t="s">
        <v>74</v>
      </c>
      <c r="R770" t="s">
        <v>74</v>
      </c>
      <c r="S770" t="s">
        <v>74</v>
      </c>
      <c r="T770" t="s">
        <v>26532</v>
      </c>
      <c r="U770" t="s">
        <v>26533</v>
      </c>
      <c r="V770" t="s">
        <v>26534</v>
      </c>
      <c r="W770" t="s">
        <v>26535</v>
      </c>
      <c r="X770" t="s">
        <v>26536</v>
      </c>
      <c r="Y770" t="s">
        <v>18329</v>
      </c>
      <c r="Z770" t="s">
        <v>18330</v>
      </c>
      <c r="AA770" t="s">
        <v>74</v>
      </c>
      <c r="AB770" t="s">
        <v>74</v>
      </c>
      <c r="AC770" t="s">
        <v>74</v>
      </c>
      <c r="AD770" t="s">
        <v>74</v>
      </c>
      <c r="AE770" t="s">
        <v>74</v>
      </c>
      <c r="AF770" t="s">
        <v>74</v>
      </c>
      <c r="AG770">
        <v>180</v>
      </c>
      <c r="AH770">
        <v>23</v>
      </c>
      <c r="AI770">
        <v>23</v>
      </c>
      <c r="AJ770">
        <v>2</v>
      </c>
      <c r="AK770">
        <v>35</v>
      </c>
      <c r="AL770" t="s">
        <v>74</v>
      </c>
      <c r="AM770" t="s">
        <v>74</v>
      </c>
      <c r="AN770" t="s">
        <v>74</v>
      </c>
      <c r="AO770" t="s">
        <v>74</v>
      </c>
      <c r="AP770" t="s">
        <v>26537</v>
      </c>
      <c r="AQ770" t="s">
        <v>74</v>
      </c>
      <c r="AR770" t="s">
        <v>74</v>
      </c>
      <c r="AS770" t="s">
        <v>74</v>
      </c>
      <c r="AT770" t="s">
        <v>150</v>
      </c>
      <c r="AU770">
        <v>2017</v>
      </c>
      <c r="AV770">
        <v>14</v>
      </c>
      <c r="AW770" t="s">
        <v>74</v>
      </c>
      <c r="AX770" t="s">
        <v>74</v>
      </c>
      <c r="AY770" t="s">
        <v>74</v>
      </c>
      <c r="AZ770" t="s">
        <v>74</v>
      </c>
      <c r="BA770" t="s">
        <v>74</v>
      </c>
      <c r="BB770" t="s">
        <v>74</v>
      </c>
      <c r="BC770" t="s">
        <v>74</v>
      </c>
      <c r="BD770">
        <v>55</v>
      </c>
      <c r="BE770" t="s">
        <v>26538</v>
      </c>
      <c r="BF770" t="str">
        <f>HYPERLINK("http://dx.doi.org/10.1186/s12986-017-0212-4","http://dx.doi.org/10.1186/s12986-017-0212-4")</f>
        <v>http://dx.doi.org/10.1186/s12986-017-0212-4</v>
      </c>
      <c r="BG770" t="s">
        <v>74</v>
      </c>
      <c r="BH770" t="s">
        <v>74</v>
      </c>
      <c r="BI770" t="s">
        <v>74</v>
      </c>
      <c r="BJ770" t="s">
        <v>8849</v>
      </c>
      <c r="BK770" t="s">
        <v>117</v>
      </c>
      <c r="BL770" t="s">
        <v>8849</v>
      </c>
      <c r="BM770" t="s">
        <v>74</v>
      </c>
      <c r="BN770">
        <v>28814964</v>
      </c>
      <c r="BO770" t="s">
        <v>74</v>
      </c>
      <c r="BP770" t="s">
        <v>74</v>
      </c>
      <c r="BQ770" t="s">
        <v>74</v>
      </c>
      <c r="BR770" t="s">
        <v>96</v>
      </c>
      <c r="BS770" t="s">
        <v>26539</v>
      </c>
      <c r="BT770" t="str">
        <f>HYPERLINK("https%3A%2F%2Fwww.webofscience.com%2Fwos%2Fwoscc%2Ffull-record%2FWOS:000407718000001","View Full Record in Web of Science")</f>
        <v>View Full Record in Web of Science</v>
      </c>
    </row>
    <row r="771" spans="1:72" x14ac:dyDescent="0.15">
      <c r="A771" t="s">
        <v>98</v>
      </c>
      <c r="B771" t="s">
        <v>27348</v>
      </c>
      <c r="C771" t="s">
        <v>74</v>
      </c>
      <c r="D771" t="s">
        <v>74</v>
      </c>
      <c r="E771" t="s">
        <v>74</v>
      </c>
      <c r="F771" t="s">
        <v>27349</v>
      </c>
      <c r="G771" t="s">
        <v>74</v>
      </c>
      <c r="H771" t="s">
        <v>74</v>
      </c>
      <c r="I771" t="s">
        <v>27350</v>
      </c>
      <c r="J771" t="s">
        <v>1073</v>
      </c>
      <c r="K771" t="s">
        <v>74</v>
      </c>
      <c r="L771" t="s">
        <v>74</v>
      </c>
      <c r="M771" t="s">
        <v>74</v>
      </c>
      <c r="N771" t="s">
        <v>103</v>
      </c>
      <c r="O771" t="s">
        <v>74</v>
      </c>
      <c r="P771" t="s">
        <v>74</v>
      </c>
      <c r="Q771" t="s">
        <v>74</v>
      </c>
      <c r="R771" t="s">
        <v>74</v>
      </c>
      <c r="S771" t="s">
        <v>74</v>
      </c>
      <c r="T771" t="s">
        <v>74</v>
      </c>
      <c r="U771" t="s">
        <v>27351</v>
      </c>
      <c r="V771" t="s">
        <v>27352</v>
      </c>
      <c r="W771" t="s">
        <v>27353</v>
      </c>
      <c r="X771" t="s">
        <v>27354</v>
      </c>
      <c r="Y771" t="s">
        <v>27355</v>
      </c>
      <c r="Z771" t="s">
        <v>27356</v>
      </c>
      <c r="AA771" t="s">
        <v>27357</v>
      </c>
      <c r="AB771" t="s">
        <v>27358</v>
      </c>
      <c r="AC771" t="s">
        <v>74</v>
      </c>
      <c r="AD771" t="s">
        <v>74</v>
      </c>
      <c r="AE771" t="s">
        <v>74</v>
      </c>
      <c r="AF771" t="s">
        <v>74</v>
      </c>
      <c r="AG771">
        <v>49</v>
      </c>
      <c r="AH771">
        <v>23</v>
      </c>
      <c r="AI771">
        <v>24</v>
      </c>
      <c r="AJ771">
        <v>0</v>
      </c>
      <c r="AK771">
        <v>25</v>
      </c>
      <c r="AL771" t="s">
        <v>74</v>
      </c>
      <c r="AM771" t="s">
        <v>74</v>
      </c>
      <c r="AN771" t="s">
        <v>74</v>
      </c>
      <c r="AO771" t="s">
        <v>1082</v>
      </c>
      <c r="AP771" t="s">
        <v>74</v>
      </c>
      <c r="AQ771" t="s">
        <v>74</v>
      </c>
      <c r="AR771" t="s">
        <v>74</v>
      </c>
      <c r="AS771" t="s">
        <v>74</v>
      </c>
      <c r="AT771" t="s">
        <v>23358</v>
      </c>
      <c r="AU771">
        <v>2012</v>
      </c>
      <c r="AV771">
        <v>7</v>
      </c>
      <c r="AW771">
        <v>6</v>
      </c>
      <c r="AX771" t="s">
        <v>74</v>
      </c>
      <c r="AY771" t="s">
        <v>74</v>
      </c>
      <c r="AZ771" t="s">
        <v>74</v>
      </c>
      <c r="BA771" t="s">
        <v>74</v>
      </c>
      <c r="BB771" t="s">
        <v>74</v>
      </c>
      <c r="BC771" t="s">
        <v>74</v>
      </c>
      <c r="BD771" t="s">
        <v>27359</v>
      </c>
      <c r="BE771" t="s">
        <v>27360</v>
      </c>
      <c r="BF771" t="str">
        <f>HYPERLINK("http://dx.doi.org/10.1371/journal.pone.0038746","http://dx.doi.org/10.1371/journal.pone.0038746")</f>
        <v>http://dx.doi.org/10.1371/journal.pone.0038746</v>
      </c>
      <c r="BG771" t="s">
        <v>74</v>
      </c>
      <c r="BH771" t="s">
        <v>74</v>
      </c>
      <c r="BI771" t="s">
        <v>74</v>
      </c>
      <c r="BJ771" t="s">
        <v>152</v>
      </c>
      <c r="BK771" t="s">
        <v>117</v>
      </c>
      <c r="BL771" t="s">
        <v>153</v>
      </c>
      <c r="BM771" t="s">
        <v>74</v>
      </c>
      <c r="BN771" t="s">
        <v>74</v>
      </c>
      <c r="BO771" t="s">
        <v>74</v>
      </c>
      <c r="BP771" t="s">
        <v>74</v>
      </c>
      <c r="BQ771" t="s">
        <v>74</v>
      </c>
      <c r="BR771" t="s">
        <v>96</v>
      </c>
      <c r="BS771" t="s">
        <v>27361</v>
      </c>
      <c r="BT771" t="str">
        <f>HYPERLINK("https%3A%2F%2Fwww.webofscience.com%2Fwos%2Fwoscc%2Ffull-record%2FWOS:000305652700025","View Full Record in Web of Science")</f>
        <v>View Full Record in Web of Science</v>
      </c>
    </row>
    <row r="772" spans="1:72" x14ac:dyDescent="0.15">
      <c r="A772" t="s">
        <v>98</v>
      </c>
      <c r="B772" t="s">
        <v>28258</v>
      </c>
      <c r="C772" t="s">
        <v>74</v>
      </c>
      <c r="D772" t="s">
        <v>74</v>
      </c>
      <c r="E772" t="s">
        <v>74</v>
      </c>
      <c r="F772" t="s">
        <v>28258</v>
      </c>
      <c r="G772" t="s">
        <v>74</v>
      </c>
      <c r="H772" t="s">
        <v>74</v>
      </c>
      <c r="I772" t="s">
        <v>28259</v>
      </c>
      <c r="J772" t="s">
        <v>28260</v>
      </c>
      <c r="K772" t="s">
        <v>74</v>
      </c>
      <c r="L772" t="s">
        <v>74</v>
      </c>
      <c r="M772" t="s">
        <v>74</v>
      </c>
      <c r="N772" t="s">
        <v>980</v>
      </c>
      <c r="O772" t="s">
        <v>28261</v>
      </c>
      <c r="P772" t="s">
        <v>28262</v>
      </c>
      <c r="Q772" t="s">
        <v>28263</v>
      </c>
      <c r="R772" t="s">
        <v>74</v>
      </c>
      <c r="S772" t="s">
        <v>74</v>
      </c>
      <c r="T772" t="s">
        <v>74</v>
      </c>
      <c r="U772" t="s">
        <v>28264</v>
      </c>
      <c r="V772" t="s">
        <v>28265</v>
      </c>
      <c r="W772" t="s">
        <v>28266</v>
      </c>
      <c r="X772" t="s">
        <v>28267</v>
      </c>
      <c r="Y772" t="s">
        <v>74</v>
      </c>
      <c r="Z772" t="s">
        <v>74</v>
      </c>
      <c r="AA772" t="s">
        <v>74</v>
      </c>
      <c r="AB772" t="s">
        <v>74</v>
      </c>
      <c r="AC772" t="s">
        <v>74</v>
      </c>
      <c r="AD772" t="s">
        <v>74</v>
      </c>
      <c r="AE772" t="s">
        <v>74</v>
      </c>
      <c r="AF772" t="s">
        <v>74</v>
      </c>
      <c r="AG772">
        <v>50</v>
      </c>
      <c r="AH772">
        <v>23</v>
      </c>
      <c r="AI772">
        <v>26</v>
      </c>
      <c r="AJ772">
        <v>0</v>
      </c>
      <c r="AK772">
        <v>0</v>
      </c>
      <c r="AL772" t="s">
        <v>74</v>
      </c>
      <c r="AM772" t="s">
        <v>74</v>
      </c>
      <c r="AN772" t="s">
        <v>74</v>
      </c>
      <c r="AO772" t="s">
        <v>28268</v>
      </c>
      <c r="AP772" t="s">
        <v>74</v>
      </c>
      <c r="AQ772" t="s">
        <v>74</v>
      </c>
      <c r="AR772" t="s">
        <v>74</v>
      </c>
      <c r="AS772" t="s">
        <v>74</v>
      </c>
      <c r="AT772" t="s">
        <v>565</v>
      </c>
      <c r="AU772">
        <v>1997</v>
      </c>
      <c r="AV772">
        <v>12</v>
      </c>
      <c r="AW772">
        <v>3</v>
      </c>
      <c r="AX772" t="s">
        <v>74</v>
      </c>
      <c r="AY772" t="s">
        <v>74</v>
      </c>
      <c r="AZ772" t="s">
        <v>74</v>
      </c>
      <c r="BA772" t="s">
        <v>74</v>
      </c>
      <c r="BB772">
        <v>356</v>
      </c>
      <c r="BC772">
        <v>366</v>
      </c>
      <c r="BD772" t="s">
        <v>74</v>
      </c>
      <c r="BE772" t="s">
        <v>28269</v>
      </c>
      <c r="BF772" t="str">
        <f>HYPERLINK("http://dx.doi.org/10.1359/jbmr.1997.12.3.356","http://dx.doi.org/10.1359/jbmr.1997.12.3.356")</f>
        <v>http://dx.doi.org/10.1359/jbmr.1997.12.3.356</v>
      </c>
      <c r="BG772" t="s">
        <v>74</v>
      </c>
      <c r="BH772" t="s">
        <v>74</v>
      </c>
      <c r="BI772" t="s">
        <v>74</v>
      </c>
      <c r="BJ772" t="s">
        <v>3599</v>
      </c>
      <c r="BK772" t="s">
        <v>16883</v>
      </c>
      <c r="BL772" t="s">
        <v>3599</v>
      </c>
      <c r="BM772" t="s">
        <v>74</v>
      </c>
      <c r="BN772">
        <v>9076578</v>
      </c>
      <c r="BO772" t="s">
        <v>74</v>
      </c>
      <c r="BP772" t="s">
        <v>74</v>
      </c>
      <c r="BQ772" t="s">
        <v>74</v>
      </c>
      <c r="BR772" t="s">
        <v>96</v>
      </c>
      <c r="BS772" t="s">
        <v>28270</v>
      </c>
      <c r="BT772" t="str">
        <f>HYPERLINK("https%3A%2F%2Fwww.webofscience.com%2Fwos%2Fwoscc%2Ffull-record%2FWOS:A1997WN14800007","View Full Record in Web of Science")</f>
        <v>View Full Record in Web of Science</v>
      </c>
    </row>
    <row r="773" spans="1:72" x14ac:dyDescent="0.15">
      <c r="A773" t="s">
        <v>98</v>
      </c>
      <c r="B773" t="s">
        <v>29565</v>
      </c>
      <c r="C773" t="s">
        <v>74</v>
      </c>
      <c r="D773" t="s">
        <v>74</v>
      </c>
      <c r="E773" t="s">
        <v>74</v>
      </c>
      <c r="F773" t="s">
        <v>29566</v>
      </c>
      <c r="G773" t="s">
        <v>74</v>
      </c>
      <c r="H773" t="s">
        <v>74</v>
      </c>
      <c r="I773" t="s">
        <v>29567</v>
      </c>
      <c r="J773" t="s">
        <v>29568</v>
      </c>
      <c r="K773" t="s">
        <v>74</v>
      </c>
      <c r="L773" t="s">
        <v>74</v>
      </c>
      <c r="M773" t="s">
        <v>74</v>
      </c>
      <c r="N773" t="s">
        <v>103</v>
      </c>
      <c r="O773" t="s">
        <v>74</v>
      </c>
      <c r="P773" t="s">
        <v>74</v>
      </c>
      <c r="Q773" t="s">
        <v>74</v>
      </c>
      <c r="R773" t="s">
        <v>74</v>
      </c>
      <c r="S773" t="s">
        <v>74</v>
      </c>
      <c r="T773" t="s">
        <v>29569</v>
      </c>
      <c r="U773" t="s">
        <v>29570</v>
      </c>
      <c r="V773" t="s">
        <v>29571</v>
      </c>
      <c r="W773" t="s">
        <v>29572</v>
      </c>
      <c r="X773" t="s">
        <v>29573</v>
      </c>
      <c r="Y773" t="s">
        <v>29574</v>
      </c>
      <c r="Z773" t="s">
        <v>22214</v>
      </c>
      <c r="AA773" t="s">
        <v>74</v>
      </c>
      <c r="AB773" t="s">
        <v>74</v>
      </c>
      <c r="AC773" t="s">
        <v>74</v>
      </c>
      <c r="AD773" t="s">
        <v>74</v>
      </c>
      <c r="AE773" t="s">
        <v>74</v>
      </c>
      <c r="AF773" t="s">
        <v>74</v>
      </c>
      <c r="AG773">
        <v>90</v>
      </c>
      <c r="AH773">
        <v>23</v>
      </c>
      <c r="AI773">
        <v>24</v>
      </c>
      <c r="AJ773">
        <v>3</v>
      </c>
      <c r="AK773">
        <v>21</v>
      </c>
      <c r="AL773" t="s">
        <v>74</v>
      </c>
      <c r="AM773" t="s">
        <v>74</v>
      </c>
      <c r="AN773" t="s">
        <v>74</v>
      </c>
      <c r="AO773" t="s">
        <v>29575</v>
      </c>
      <c r="AP773" t="s">
        <v>29576</v>
      </c>
      <c r="AQ773" t="s">
        <v>74</v>
      </c>
      <c r="AR773" t="s">
        <v>74</v>
      </c>
      <c r="AS773" t="s">
        <v>74</v>
      </c>
      <c r="AT773" t="s">
        <v>565</v>
      </c>
      <c r="AU773">
        <v>2015</v>
      </c>
      <c r="AV773">
        <v>37</v>
      </c>
      <c r="AW773">
        <v>3</v>
      </c>
      <c r="AX773" t="s">
        <v>74</v>
      </c>
      <c r="AY773" t="s">
        <v>74</v>
      </c>
      <c r="AZ773" t="s">
        <v>74</v>
      </c>
      <c r="BA773" t="s">
        <v>74</v>
      </c>
      <c r="BB773">
        <v>540</v>
      </c>
      <c r="BC773">
        <v>551</v>
      </c>
      <c r="BD773" t="s">
        <v>74</v>
      </c>
      <c r="BE773" t="s">
        <v>29577</v>
      </c>
      <c r="BF773" t="str">
        <f>HYPERLINK("http://dx.doi.org/10.1016/j.clinthera.2015.02.017","http://dx.doi.org/10.1016/j.clinthera.2015.02.017")</f>
        <v>http://dx.doi.org/10.1016/j.clinthera.2015.02.017</v>
      </c>
      <c r="BG773" t="s">
        <v>74</v>
      </c>
      <c r="BH773" t="s">
        <v>74</v>
      </c>
      <c r="BI773" t="s">
        <v>74</v>
      </c>
      <c r="BJ773" t="s">
        <v>533</v>
      </c>
      <c r="BK773" t="s">
        <v>117</v>
      </c>
      <c r="BL773" t="s">
        <v>533</v>
      </c>
      <c r="BM773" t="s">
        <v>74</v>
      </c>
      <c r="BN773">
        <v>25795433</v>
      </c>
      <c r="BO773" t="s">
        <v>74</v>
      </c>
      <c r="BP773" t="s">
        <v>74</v>
      </c>
      <c r="BQ773" t="s">
        <v>74</v>
      </c>
      <c r="BR773" t="s">
        <v>96</v>
      </c>
      <c r="BS773" t="s">
        <v>29578</v>
      </c>
      <c r="BT773" t="str">
        <f>HYPERLINK("https%3A%2F%2Fwww.webofscience.com%2Fwos%2Fwoscc%2Ffull-record%2FWOS:000353252300009","View Full Record in Web of Science")</f>
        <v>View Full Record in Web of Science</v>
      </c>
    </row>
    <row r="774" spans="1:72" x14ac:dyDescent="0.15">
      <c r="A774" t="s">
        <v>98</v>
      </c>
      <c r="B774" t="s">
        <v>30379</v>
      </c>
      <c r="C774" t="s">
        <v>74</v>
      </c>
      <c r="D774" t="s">
        <v>74</v>
      </c>
      <c r="E774" t="s">
        <v>74</v>
      </c>
      <c r="F774" t="s">
        <v>30380</v>
      </c>
      <c r="G774" t="s">
        <v>74</v>
      </c>
      <c r="H774" t="s">
        <v>74</v>
      </c>
      <c r="I774" t="s">
        <v>30381</v>
      </c>
      <c r="J774" t="s">
        <v>1860</v>
      </c>
      <c r="K774" t="s">
        <v>74</v>
      </c>
      <c r="L774" t="s">
        <v>74</v>
      </c>
      <c r="M774" t="s">
        <v>74</v>
      </c>
      <c r="N774" t="s">
        <v>103</v>
      </c>
      <c r="O774" t="s">
        <v>74</v>
      </c>
      <c r="P774" t="s">
        <v>74</v>
      </c>
      <c r="Q774" t="s">
        <v>74</v>
      </c>
      <c r="R774" t="s">
        <v>74</v>
      </c>
      <c r="S774" t="s">
        <v>74</v>
      </c>
      <c r="T774" t="s">
        <v>30382</v>
      </c>
      <c r="U774" t="s">
        <v>30383</v>
      </c>
      <c r="V774" t="s">
        <v>30384</v>
      </c>
      <c r="W774" t="s">
        <v>30385</v>
      </c>
      <c r="X774" t="s">
        <v>30386</v>
      </c>
      <c r="Y774" t="s">
        <v>30387</v>
      </c>
      <c r="Z774" t="s">
        <v>30388</v>
      </c>
      <c r="AA774" t="s">
        <v>30389</v>
      </c>
      <c r="AB774" t="s">
        <v>30390</v>
      </c>
      <c r="AC774" t="s">
        <v>74</v>
      </c>
      <c r="AD774" t="s">
        <v>74</v>
      </c>
      <c r="AE774" t="s">
        <v>74</v>
      </c>
      <c r="AF774" t="s">
        <v>74</v>
      </c>
      <c r="AG774">
        <v>44</v>
      </c>
      <c r="AH774">
        <v>23</v>
      </c>
      <c r="AI774">
        <v>23</v>
      </c>
      <c r="AJ774">
        <v>10</v>
      </c>
      <c r="AK774">
        <v>280</v>
      </c>
      <c r="AL774" t="s">
        <v>74</v>
      </c>
      <c r="AM774" t="s">
        <v>74</v>
      </c>
      <c r="AN774" t="s">
        <v>74</v>
      </c>
      <c r="AO774" t="s">
        <v>1870</v>
      </c>
      <c r="AP774" t="s">
        <v>1871</v>
      </c>
      <c r="AQ774" t="s">
        <v>74</v>
      </c>
      <c r="AR774" t="s">
        <v>74</v>
      </c>
      <c r="AS774" t="s">
        <v>74</v>
      </c>
      <c r="AT774" t="s">
        <v>26650</v>
      </c>
      <c r="AU774">
        <v>2018</v>
      </c>
      <c r="AV774">
        <v>1029</v>
      </c>
      <c r="AW774" t="s">
        <v>74</v>
      </c>
      <c r="AX774" t="s">
        <v>74</v>
      </c>
      <c r="AY774" t="s">
        <v>74</v>
      </c>
      <c r="AZ774" t="s">
        <v>74</v>
      </c>
      <c r="BA774" t="s">
        <v>74</v>
      </c>
      <c r="BB774">
        <v>58</v>
      </c>
      <c r="BC774">
        <v>64</v>
      </c>
      <c r="BD774" t="s">
        <v>74</v>
      </c>
      <c r="BE774" t="s">
        <v>30391</v>
      </c>
      <c r="BF774" t="str">
        <f>HYPERLINK("http://dx.doi.org/10.1016/j.aca.2018.04.068","http://dx.doi.org/10.1016/j.aca.2018.04.068")</f>
        <v>http://dx.doi.org/10.1016/j.aca.2018.04.068</v>
      </c>
      <c r="BG774" t="s">
        <v>74</v>
      </c>
      <c r="BH774" t="s">
        <v>74</v>
      </c>
      <c r="BI774" t="s">
        <v>74</v>
      </c>
      <c r="BJ774" t="s">
        <v>1118</v>
      </c>
      <c r="BK774" t="s">
        <v>117</v>
      </c>
      <c r="BL774" t="s">
        <v>1048</v>
      </c>
      <c r="BM774" t="s">
        <v>74</v>
      </c>
      <c r="BN774">
        <v>29907291</v>
      </c>
      <c r="BO774" t="s">
        <v>74</v>
      </c>
      <c r="BP774" t="s">
        <v>74</v>
      </c>
      <c r="BQ774" t="s">
        <v>74</v>
      </c>
      <c r="BR774" t="s">
        <v>96</v>
      </c>
      <c r="BS774" t="s">
        <v>30392</v>
      </c>
      <c r="BT774" t="str">
        <f>HYPERLINK("https%3A%2F%2Fwww.webofscience.com%2Fwos%2Fwoscc%2Ffull-record%2FWOS:000436586000009","View Full Record in Web of Science")</f>
        <v>View Full Record in Web of Science</v>
      </c>
    </row>
    <row r="775" spans="1:72" x14ac:dyDescent="0.15">
      <c r="A775" t="s">
        <v>98</v>
      </c>
      <c r="B775" t="s">
        <v>451</v>
      </c>
      <c r="C775" t="s">
        <v>74</v>
      </c>
      <c r="D775" t="s">
        <v>74</v>
      </c>
      <c r="E775" t="s">
        <v>74</v>
      </c>
      <c r="F775" t="s">
        <v>452</v>
      </c>
      <c r="G775" t="s">
        <v>74</v>
      </c>
      <c r="H775" t="s">
        <v>74</v>
      </c>
      <c r="I775" t="s">
        <v>453</v>
      </c>
      <c r="J775" t="s">
        <v>454</v>
      </c>
      <c r="K775" t="s">
        <v>74</v>
      </c>
      <c r="L775" t="s">
        <v>74</v>
      </c>
      <c r="M775" t="s">
        <v>74</v>
      </c>
      <c r="N775" t="s">
        <v>103</v>
      </c>
      <c r="O775" t="s">
        <v>74</v>
      </c>
      <c r="P775" t="s">
        <v>74</v>
      </c>
      <c r="Q775" t="s">
        <v>74</v>
      </c>
      <c r="R775" t="s">
        <v>74</v>
      </c>
      <c r="S775" t="s">
        <v>74</v>
      </c>
      <c r="T775" t="s">
        <v>455</v>
      </c>
      <c r="U775" t="s">
        <v>456</v>
      </c>
      <c r="V775" t="s">
        <v>457</v>
      </c>
      <c r="W775" t="s">
        <v>458</v>
      </c>
      <c r="X775" t="s">
        <v>459</v>
      </c>
      <c r="Y775" t="s">
        <v>460</v>
      </c>
      <c r="Z775" t="s">
        <v>461</v>
      </c>
      <c r="AA775" t="s">
        <v>462</v>
      </c>
      <c r="AB775" t="s">
        <v>463</v>
      </c>
      <c r="AC775" t="s">
        <v>74</v>
      </c>
      <c r="AD775" t="s">
        <v>74</v>
      </c>
      <c r="AE775" t="s">
        <v>74</v>
      </c>
      <c r="AF775" t="s">
        <v>74</v>
      </c>
      <c r="AG775">
        <v>27</v>
      </c>
      <c r="AH775">
        <v>22</v>
      </c>
      <c r="AI775">
        <v>22</v>
      </c>
      <c r="AJ775">
        <v>0</v>
      </c>
      <c r="AK775">
        <v>19</v>
      </c>
      <c r="AL775" t="s">
        <v>74</v>
      </c>
      <c r="AM775" t="s">
        <v>74</v>
      </c>
      <c r="AN775" t="s">
        <v>74</v>
      </c>
      <c r="AO775" t="s">
        <v>464</v>
      </c>
      <c r="AP775" t="s">
        <v>465</v>
      </c>
      <c r="AQ775" t="s">
        <v>74</v>
      </c>
      <c r="AR775" t="s">
        <v>74</v>
      </c>
      <c r="AS775" t="s">
        <v>74</v>
      </c>
      <c r="AT775" t="s">
        <v>132</v>
      </c>
      <c r="AU775">
        <v>2016</v>
      </c>
      <c r="AV775">
        <v>10</v>
      </c>
      <c r="AW775">
        <v>2</v>
      </c>
      <c r="AX775" t="s">
        <v>74</v>
      </c>
      <c r="AY775" t="s">
        <v>74</v>
      </c>
      <c r="AZ775" t="s">
        <v>74</v>
      </c>
      <c r="BA775" t="s">
        <v>74</v>
      </c>
      <c r="BB775">
        <v>165</v>
      </c>
      <c r="BC775">
        <v>172</v>
      </c>
      <c r="BD775" t="s">
        <v>74</v>
      </c>
      <c r="BE775" t="s">
        <v>466</v>
      </c>
      <c r="BF775" t="str">
        <f>HYPERLINK("http://dx.doi.org/10.1134/S1990750816020049","http://dx.doi.org/10.1134/S1990750816020049")</f>
        <v>http://dx.doi.org/10.1134/S1990750816020049</v>
      </c>
      <c r="BG775" t="s">
        <v>74</v>
      </c>
      <c r="BH775" t="s">
        <v>74</v>
      </c>
      <c r="BI775" t="s">
        <v>74</v>
      </c>
      <c r="BJ775" t="s">
        <v>95</v>
      </c>
      <c r="BK775" t="s">
        <v>467</v>
      </c>
      <c r="BL775" t="s">
        <v>95</v>
      </c>
      <c r="BM775" t="s">
        <v>74</v>
      </c>
      <c r="BN775" t="s">
        <v>74</v>
      </c>
      <c r="BO775" t="s">
        <v>74</v>
      </c>
      <c r="BP775" t="s">
        <v>74</v>
      </c>
      <c r="BQ775" t="s">
        <v>74</v>
      </c>
      <c r="BR775" t="s">
        <v>96</v>
      </c>
      <c r="BS775" t="s">
        <v>468</v>
      </c>
      <c r="BT775" t="str">
        <f>HYPERLINK("https%3A%2F%2Fwww.webofscience.com%2Fwos%2Fwoscc%2Ffull-record%2FWOS:000383051100008","View Full Record in Web of Science")</f>
        <v>View Full Record in Web of Science</v>
      </c>
    </row>
    <row r="776" spans="1:72" x14ac:dyDescent="0.15">
      <c r="A776" t="s">
        <v>98</v>
      </c>
      <c r="B776" t="s">
        <v>2370</v>
      </c>
      <c r="C776" t="s">
        <v>74</v>
      </c>
      <c r="D776" t="s">
        <v>74</v>
      </c>
      <c r="E776" t="s">
        <v>74</v>
      </c>
      <c r="F776" t="s">
        <v>2371</v>
      </c>
      <c r="G776" t="s">
        <v>74</v>
      </c>
      <c r="H776" t="s">
        <v>74</v>
      </c>
      <c r="I776" t="s">
        <v>2372</v>
      </c>
      <c r="J776" t="s">
        <v>2373</v>
      </c>
      <c r="K776" t="s">
        <v>74</v>
      </c>
      <c r="L776" t="s">
        <v>74</v>
      </c>
      <c r="M776" t="s">
        <v>74</v>
      </c>
      <c r="N776" t="s">
        <v>103</v>
      </c>
      <c r="O776" t="s">
        <v>74</v>
      </c>
      <c r="P776" t="s">
        <v>74</v>
      </c>
      <c r="Q776" t="s">
        <v>74</v>
      </c>
      <c r="R776" t="s">
        <v>74</v>
      </c>
      <c r="S776" t="s">
        <v>74</v>
      </c>
      <c r="T776" t="s">
        <v>2374</v>
      </c>
      <c r="U776" t="s">
        <v>2375</v>
      </c>
      <c r="V776" t="s">
        <v>2376</v>
      </c>
      <c r="W776" t="s">
        <v>2377</v>
      </c>
      <c r="X776" t="s">
        <v>2378</v>
      </c>
      <c r="Y776" t="s">
        <v>2379</v>
      </c>
      <c r="Z776" t="s">
        <v>2380</v>
      </c>
      <c r="AA776" t="s">
        <v>74</v>
      </c>
      <c r="AB776" t="s">
        <v>2381</v>
      </c>
      <c r="AC776" t="s">
        <v>74</v>
      </c>
      <c r="AD776" t="s">
        <v>74</v>
      </c>
      <c r="AE776" t="s">
        <v>74</v>
      </c>
      <c r="AF776" t="s">
        <v>74</v>
      </c>
      <c r="AG776">
        <v>79</v>
      </c>
      <c r="AH776">
        <v>22</v>
      </c>
      <c r="AI776">
        <v>22</v>
      </c>
      <c r="AJ776">
        <v>2</v>
      </c>
      <c r="AK776">
        <v>8</v>
      </c>
      <c r="AL776" t="s">
        <v>74</v>
      </c>
      <c r="AM776" t="s">
        <v>74</v>
      </c>
      <c r="AN776" t="s">
        <v>74</v>
      </c>
      <c r="AO776" t="s">
        <v>2382</v>
      </c>
      <c r="AP776" t="s">
        <v>2383</v>
      </c>
      <c r="AQ776" t="s">
        <v>74</v>
      </c>
      <c r="AR776" t="s">
        <v>74</v>
      </c>
      <c r="AS776" t="s">
        <v>74</v>
      </c>
      <c r="AT776" t="s">
        <v>614</v>
      </c>
      <c r="AU776">
        <v>2019</v>
      </c>
      <c r="AV776">
        <v>20</v>
      </c>
      <c r="AW776">
        <v>7</v>
      </c>
      <c r="AX776" t="s">
        <v>74</v>
      </c>
      <c r="AY776" t="s">
        <v>74</v>
      </c>
      <c r="AZ776" t="s">
        <v>74</v>
      </c>
      <c r="BA776" t="s">
        <v>74</v>
      </c>
      <c r="BB776" t="s">
        <v>74</v>
      </c>
      <c r="BC776" t="s">
        <v>74</v>
      </c>
      <c r="BD776" t="s">
        <v>2384</v>
      </c>
      <c r="BE776" t="s">
        <v>2385</v>
      </c>
      <c r="BF776" t="str">
        <f>HYPERLINK("http://dx.doi.org/10.15252/embr.201847546","http://dx.doi.org/10.15252/embr.201847546")</f>
        <v>http://dx.doi.org/10.15252/embr.201847546</v>
      </c>
      <c r="BG776" t="s">
        <v>74</v>
      </c>
      <c r="BH776" t="s">
        <v>74</v>
      </c>
      <c r="BI776" t="s">
        <v>74</v>
      </c>
      <c r="BJ776" t="s">
        <v>498</v>
      </c>
      <c r="BK776" t="s">
        <v>117</v>
      </c>
      <c r="BL776" t="s">
        <v>498</v>
      </c>
      <c r="BM776" t="s">
        <v>74</v>
      </c>
      <c r="BN776">
        <v>31267709</v>
      </c>
      <c r="BO776" t="s">
        <v>74</v>
      </c>
      <c r="BP776" t="s">
        <v>74</v>
      </c>
      <c r="BQ776" t="s">
        <v>74</v>
      </c>
      <c r="BR776" t="s">
        <v>96</v>
      </c>
      <c r="BS776" t="s">
        <v>2386</v>
      </c>
      <c r="BT776" t="str">
        <f>HYPERLINK("https%3A%2F%2Fwww.webofscience.com%2Fwos%2Fwoscc%2Ffull-record%2FWOS:000474489700010","View Full Record in Web of Science")</f>
        <v>View Full Record in Web of Science</v>
      </c>
    </row>
    <row r="777" spans="1:72" x14ac:dyDescent="0.15">
      <c r="A777" t="s">
        <v>98</v>
      </c>
      <c r="B777" t="s">
        <v>3861</v>
      </c>
      <c r="C777" t="s">
        <v>74</v>
      </c>
      <c r="D777" t="s">
        <v>74</v>
      </c>
      <c r="E777" t="s">
        <v>74</v>
      </c>
      <c r="F777" t="s">
        <v>3862</v>
      </c>
      <c r="G777" t="s">
        <v>74</v>
      </c>
      <c r="H777" t="s">
        <v>74</v>
      </c>
      <c r="I777" t="s">
        <v>3863</v>
      </c>
      <c r="J777" t="s">
        <v>3864</v>
      </c>
      <c r="K777" t="s">
        <v>74</v>
      </c>
      <c r="L777" t="s">
        <v>74</v>
      </c>
      <c r="M777" t="s">
        <v>74</v>
      </c>
      <c r="N777" t="s">
        <v>103</v>
      </c>
      <c r="O777" t="s">
        <v>74</v>
      </c>
      <c r="P777" t="s">
        <v>74</v>
      </c>
      <c r="Q777" t="s">
        <v>74</v>
      </c>
      <c r="R777" t="s">
        <v>74</v>
      </c>
      <c r="S777" t="s">
        <v>74</v>
      </c>
      <c r="T777" t="s">
        <v>3865</v>
      </c>
      <c r="U777" t="s">
        <v>3866</v>
      </c>
      <c r="V777" t="s">
        <v>3867</v>
      </c>
      <c r="W777" t="s">
        <v>3868</v>
      </c>
      <c r="X777" t="s">
        <v>3869</v>
      </c>
      <c r="Y777" t="s">
        <v>3870</v>
      </c>
      <c r="Z777" t="s">
        <v>3871</v>
      </c>
      <c r="AA777" t="s">
        <v>3872</v>
      </c>
      <c r="AB777" t="s">
        <v>3873</v>
      </c>
      <c r="AC777" t="s">
        <v>74</v>
      </c>
      <c r="AD777" t="s">
        <v>74</v>
      </c>
      <c r="AE777" t="s">
        <v>74</v>
      </c>
      <c r="AF777" t="s">
        <v>74</v>
      </c>
      <c r="AG777">
        <v>52</v>
      </c>
      <c r="AH777">
        <v>22</v>
      </c>
      <c r="AI777">
        <v>22</v>
      </c>
      <c r="AJ777">
        <v>10</v>
      </c>
      <c r="AK777">
        <v>46</v>
      </c>
      <c r="AL777" t="s">
        <v>74</v>
      </c>
      <c r="AM777" t="s">
        <v>74</v>
      </c>
      <c r="AN777" t="s">
        <v>74</v>
      </c>
      <c r="AO777" t="s">
        <v>74</v>
      </c>
      <c r="AP777" t="s">
        <v>3874</v>
      </c>
      <c r="AQ777" t="s">
        <v>74</v>
      </c>
      <c r="AR777" t="s">
        <v>74</v>
      </c>
      <c r="AS777" t="s">
        <v>74</v>
      </c>
      <c r="AT777" t="s">
        <v>3875</v>
      </c>
      <c r="AU777">
        <v>2021</v>
      </c>
      <c r="AV777">
        <v>19</v>
      </c>
      <c r="AW777">
        <v>1</v>
      </c>
      <c r="AX777" t="s">
        <v>74</v>
      </c>
      <c r="AY777" t="s">
        <v>74</v>
      </c>
      <c r="AZ777" t="s">
        <v>74</v>
      </c>
      <c r="BA777" t="s">
        <v>74</v>
      </c>
      <c r="BB777" t="s">
        <v>74</v>
      </c>
      <c r="BC777" t="s">
        <v>74</v>
      </c>
      <c r="BD777">
        <v>22</v>
      </c>
      <c r="BE777" t="s">
        <v>3876</v>
      </c>
      <c r="BF777" t="str">
        <f>HYPERLINK("http://dx.doi.org/10.1186/s12951-020-00767-3","http://dx.doi.org/10.1186/s12951-020-00767-3")</f>
        <v>http://dx.doi.org/10.1186/s12951-020-00767-3</v>
      </c>
      <c r="BG777" t="s">
        <v>74</v>
      </c>
      <c r="BH777" t="s">
        <v>74</v>
      </c>
      <c r="BI777" t="s">
        <v>74</v>
      </c>
      <c r="BJ777" t="s">
        <v>3877</v>
      </c>
      <c r="BK777" t="s">
        <v>117</v>
      </c>
      <c r="BL777" t="s">
        <v>3878</v>
      </c>
      <c r="BM777" t="s">
        <v>74</v>
      </c>
      <c r="BN777">
        <v>33436002</v>
      </c>
      <c r="BO777" t="s">
        <v>74</v>
      </c>
      <c r="BP777" t="s">
        <v>193</v>
      </c>
      <c r="BQ777" t="s">
        <v>194</v>
      </c>
      <c r="BR777" t="s">
        <v>96</v>
      </c>
      <c r="BS777" t="s">
        <v>3879</v>
      </c>
      <c r="BT777" t="str">
        <f>HYPERLINK("https%3A%2F%2Fwww.webofscience.com%2Fwos%2Fwoscc%2Ffull-record%2FWOS:000607396600001","View Full Record in Web of Science")</f>
        <v>View Full Record in Web of Science</v>
      </c>
    </row>
    <row r="778" spans="1:72" x14ac:dyDescent="0.15">
      <c r="A778" t="s">
        <v>98</v>
      </c>
      <c r="B778" t="s">
        <v>4329</v>
      </c>
      <c r="C778" t="s">
        <v>74</v>
      </c>
      <c r="D778" t="s">
        <v>74</v>
      </c>
      <c r="E778" t="s">
        <v>74</v>
      </c>
      <c r="F778" t="s">
        <v>4330</v>
      </c>
      <c r="G778" t="s">
        <v>74</v>
      </c>
      <c r="H778" t="s">
        <v>74</v>
      </c>
      <c r="I778" t="s">
        <v>4331</v>
      </c>
      <c r="J778" t="s">
        <v>4332</v>
      </c>
      <c r="K778" t="s">
        <v>74</v>
      </c>
      <c r="L778" t="s">
        <v>74</v>
      </c>
      <c r="M778" t="s">
        <v>74</v>
      </c>
      <c r="N778" t="s">
        <v>103</v>
      </c>
      <c r="O778" t="s">
        <v>74</v>
      </c>
      <c r="P778" t="s">
        <v>74</v>
      </c>
      <c r="Q778" t="s">
        <v>74</v>
      </c>
      <c r="R778" t="s">
        <v>74</v>
      </c>
      <c r="S778" t="s">
        <v>74</v>
      </c>
      <c r="T778" t="s">
        <v>4333</v>
      </c>
      <c r="U778" t="s">
        <v>4334</v>
      </c>
      <c r="V778" t="s">
        <v>4335</v>
      </c>
      <c r="W778" t="s">
        <v>4336</v>
      </c>
      <c r="X778" t="s">
        <v>4337</v>
      </c>
      <c r="Y778" t="s">
        <v>4338</v>
      </c>
      <c r="Z778" t="s">
        <v>4339</v>
      </c>
      <c r="AA778" t="s">
        <v>4340</v>
      </c>
      <c r="AB778" t="s">
        <v>4341</v>
      </c>
      <c r="AC778" t="s">
        <v>74</v>
      </c>
      <c r="AD778" t="s">
        <v>74</v>
      </c>
      <c r="AE778" t="s">
        <v>74</v>
      </c>
      <c r="AF778" t="s">
        <v>74</v>
      </c>
      <c r="AG778">
        <v>51</v>
      </c>
      <c r="AH778">
        <v>22</v>
      </c>
      <c r="AI778">
        <v>22</v>
      </c>
      <c r="AJ778">
        <v>2</v>
      </c>
      <c r="AK778">
        <v>12</v>
      </c>
      <c r="AL778" t="s">
        <v>74</v>
      </c>
      <c r="AM778" t="s">
        <v>74</v>
      </c>
      <c r="AN778" t="s">
        <v>74</v>
      </c>
      <c r="AO778" t="s">
        <v>74</v>
      </c>
      <c r="AP778" t="s">
        <v>4342</v>
      </c>
      <c r="AQ778" t="s">
        <v>74</v>
      </c>
      <c r="AR778" t="s">
        <v>74</v>
      </c>
      <c r="AS778" t="s">
        <v>74</v>
      </c>
      <c r="AT778" t="s">
        <v>4343</v>
      </c>
      <c r="AU778">
        <v>2019</v>
      </c>
      <c r="AV778">
        <v>38</v>
      </c>
      <c r="AW778" t="s">
        <v>74</v>
      </c>
      <c r="AX778" t="s">
        <v>74</v>
      </c>
      <c r="AY778" t="s">
        <v>74</v>
      </c>
      <c r="AZ778" t="s">
        <v>74</v>
      </c>
      <c r="BA778" t="s">
        <v>74</v>
      </c>
      <c r="BB778" t="s">
        <v>74</v>
      </c>
      <c r="BC778" t="s">
        <v>74</v>
      </c>
      <c r="BD778">
        <v>257</v>
      </c>
      <c r="BE778" t="s">
        <v>4344</v>
      </c>
      <c r="BF778" t="str">
        <f>HYPERLINK("http://dx.doi.org/10.1186/s13046-019-1248-2","http://dx.doi.org/10.1186/s13046-019-1248-2")</f>
        <v>http://dx.doi.org/10.1186/s13046-019-1248-2</v>
      </c>
      <c r="BG778" t="s">
        <v>74</v>
      </c>
      <c r="BH778" t="s">
        <v>74</v>
      </c>
      <c r="BI778" t="s">
        <v>74</v>
      </c>
      <c r="BJ778" t="s">
        <v>267</v>
      </c>
      <c r="BK778" t="s">
        <v>117</v>
      </c>
      <c r="BL778" t="s">
        <v>267</v>
      </c>
      <c r="BM778" t="s">
        <v>74</v>
      </c>
      <c r="BN778">
        <v>31200749</v>
      </c>
      <c r="BO778" t="s">
        <v>74</v>
      </c>
      <c r="BP778" t="s">
        <v>74</v>
      </c>
      <c r="BQ778" t="s">
        <v>74</v>
      </c>
      <c r="BR778" t="s">
        <v>96</v>
      </c>
      <c r="BS778" t="s">
        <v>4345</v>
      </c>
      <c r="BT778" t="str">
        <f>HYPERLINK("https%3A%2F%2Fwww.webofscience.com%2Fwos%2Fwoscc%2Ffull-record%2FWOS:000471625700001","View Full Record in Web of Science")</f>
        <v>View Full Record in Web of Science</v>
      </c>
    </row>
    <row r="779" spans="1:72" x14ac:dyDescent="0.15">
      <c r="A779" t="s">
        <v>98</v>
      </c>
      <c r="B779" t="s">
        <v>5945</v>
      </c>
      <c r="C779" t="s">
        <v>74</v>
      </c>
      <c r="D779" t="s">
        <v>74</v>
      </c>
      <c r="E779" t="s">
        <v>74</v>
      </c>
      <c r="F779" t="s">
        <v>5946</v>
      </c>
      <c r="G779" t="s">
        <v>74</v>
      </c>
      <c r="H779" t="s">
        <v>74</v>
      </c>
      <c r="I779" t="s">
        <v>5947</v>
      </c>
      <c r="J779" t="s">
        <v>140</v>
      </c>
      <c r="K779" t="s">
        <v>74</v>
      </c>
      <c r="L779" t="s">
        <v>74</v>
      </c>
      <c r="M779" t="s">
        <v>74</v>
      </c>
      <c r="N779" t="s">
        <v>103</v>
      </c>
      <c r="O779" t="s">
        <v>74</v>
      </c>
      <c r="P779" t="s">
        <v>74</v>
      </c>
      <c r="Q779" t="s">
        <v>74</v>
      </c>
      <c r="R779" t="s">
        <v>74</v>
      </c>
      <c r="S779" t="s">
        <v>74</v>
      </c>
      <c r="T779" t="s">
        <v>74</v>
      </c>
      <c r="U779" t="s">
        <v>5948</v>
      </c>
      <c r="V779" t="s">
        <v>5949</v>
      </c>
      <c r="W779" t="s">
        <v>5950</v>
      </c>
      <c r="X779" t="s">
        <v>5951</v>
      </c>
      <c r="Y779" t="s">
        <v>5952</v>
      </c>
      <c r="Z779" t="s">
        <v>3373</v>
      </c>
      <c r="AA779" t="s">
        <v>5953</v>
      </c>
      <c r="AB779" t="s">
        <v>5954</v>
      </c>
      <c r="AC779" t="s">
        <v>74</v>
      </c>
      <c r="AD779" t="s">
        <v>74</v>
      </c>
      <c r="AE779" t="s">
        <v>74</v>
      </c>
      <c r="AF779" t="s">
        <v>74</v>
      </c>
      <c r="AG779">
        <v>50</v>
      </c>
      <c r="AH779">
        <v>22</v>
      </c>
      <c r="AI779">
        <v>22</v>
      </c>
      <c r="AJ779">
        <v>0</v>
      </c>
      <c r="AK779">
        <v>2</v>
      </c>
      <c r="AL779" t="s">
        <v>74</v>
      </c>
      <c r="AM779" t="s">
        <v>74</v>
      </c>
      <c r="AN779" t="s">
        <v>74</v>
      </c>
      <c r="AO779" t="s">
        <v>149</v>
      </c>
      <c r="AP779" t="s">
        <v>74</v>
      </c>
      <c r="AQ779" t="s">
        <v>74</v>
      </c>
      <c r="AR779" t="s">
        <v>74</v>
      </c>
      <c r="AS779" t="s">
        <v>74</v>
      </c>
      <c r="AT779" t="s">
        <v>5955</v>
      </c>
      <c r="AU779">
        <v>2020</v>
      </c>
      <c r="AV779">
        <v>10</v>
      </c>
      <c r="AW779">
        <v>1</v>
      </c>
      <c r="AX779" t="s">
        <v>74</v>
      </c>
      <c r="AY779" t="s">
        <v>74</v>
      </c>
      <c r="AZ779" t="s">
        <v>74</v>
      </c>
      <c r="BA779" t="s">
        <v>74</v>
      </c>
      <c r="BB779" t="s">
        <v>74</v>
      </c>
      <c r="BC779" t="s">
        <v>74</v>
      </c>
      <c r="BD779">
        <v>15745</v>
      </c>
      <c r="BE779" t="s">
        <v>5956</v>
      </c>
      <c r="BF779" t="str">
        <f>HYPERLINK("http://dx.doi.org/10.1038/s41598-020-72834-6","http://dx.doi.org/10.1038/s41598-020-72834-6")</f>
        <v>http://dx.doi.org/10.1038/s41598-020-72834-6</v>
      </c>
      <c r="BG779" t="s">
        <v>74</v>
      </c>
      <c r="BH779" t="s">
        <v>74</v>
      </c>
      <c r="BI779" t="s">
        <v>74</v>
      </c>
      <c r="BJ779" t="s">
        <v>152</v>
      </c>
      <c r="BK779" t="s">
        <v>117</v>
      </c>
      <c r="BL779" t="s">
        <v>153</v>
      </c>
      <c r="BM779" t="s">
        <v>74</v>
      </c>
      <c r="BN779">
        <v>32978468</v>
      </c>
      <c r="BO779" t="s">
        <v>74</v>
      </c>
      <c r="BP779" t="s">
        <v>74</v>
      </c>
      <c r="BQ779" t="s">
        <v>74</v>
      </c>
      <c r="BR779" t="s">
        <v>96</v>
      </c>
      <c r="BS779" t="s">
        <v>5957</v>
      </c>
      <c r="BT779" t="str">
        <f>HYPERLINK("https%3A%2F%2Fwww.webofscience.com%2Fwos%2Fwoscc%2Ffull-record%2FWOS:000577248100020","View Full Record in Web of Science")</f>
        <v>View Full Record in Web of Science</v>
      </c>
    </row>
    <row r="780" spans="1:72" x14ac:dyDescent="0.15">
      <c r="A780" t="s">
        <v>98</v>
      </c>
      <c r="B780" t="s">
        <v>5971</v>
      </c>
      <c r="C780" t="s">
        <v>74</v>
      </c>
      <c r="D780" t="s">
        <v>74</v>
      </c>
      <c r="E780" t="s">
        <v>74</v>
      </c>
      <c r="F780" t="s">
        <v>5972</v>
      </c>
      <c r="G780" t="s">
        <v>74</v>
      </c>
      <c r="H780" t="s">
        <v>74</v>
      </c>
      <c r="I780" t="s">
        <v>5973</v>
      </c>
      <c r="J780" t="s">
        <v>3381</v>
      </c>
      <c r="K780" t="s">
        <v>74</v>
      </c>
      <c r="L780" t="s">
        <v>74</v>
      </c>
      <c r="M780" t="s">
        <v>74</v>
      </c>
      <c r="N780" t="s">
        <v>103</v>
      </c>
      <c r="O780" t="s">
        <v>74</v>
      </c>
      <c r="P780" t="s">
        <v>74</v>
      </c>
      <c r="Q780" t="s">
        <v>74</v>
      </c>
      <c r="R780" t="s">
        <v>74</v>
      </c>
      <c r="S780" t="s">
        <v>74</v>
      </c>
      <c r="T780" t="s">
        <v>5974</v>
      </c>
      <c r="U780" t="s">
        <v>5975</v>
      </c>
      <c r="V780" t="s">
        <v>5976</v>
      </c>
      <c r="W780" t="s">
        <v>5977</v>
      </c>
      <c r="X780" t="s">
        <v>5978</v>
      </c>
      <c r="Y780" t="s">
        <v>5979</v>
      </c>
      <c r="Z780" t="s">
        <v>1166</v>
      </c>
      <c r="AA780" t="s">
        <v>74</v>
      </c>
      <c r="AB780" t="s">
        <v>74</v>
      </c>
      <c r="AC780" t="s">
        <v>74</v>
      </c>
      <c r="AD780" t="s">
        <v>74</v>
      </c>
      <c r="AE780" t="s">
        <v>74</v>
      </c>
      <c r="AF780" t="s">
        <v>74</v>
      </c>
      <c r="AG780">
        <v>29</v>
      </c>
      <c r="AH780">
        <v>22</v>
      </c>
      <c r="AI780">
        <v>23</v>
      </c>
      <c r="AJ780">
        <v>0</v>
      </c>
      <c r="AK780">
        <v>1</v>
      </c>
      <c r="AL780" t="s">
        <v>74</v>
      </c>
      <c r="AM780" t="s">
        <v>74</v>
      </c>
      <c r="AN780" t="s">
        <v>74</v>
      </c>
      <c r="AO780" t="s">
        <v>3388</v>
      </c>
      <c r="AP780" t="s">
        <v>3389</v>
      </c>
      <c r="AQ780" t="s">
        <v>74</v>
      </c>
      <c r="AR780" t="s">
        <v>74</v>
      </c>
      <c r="AS780" t="s">
        <v>74</v>
      </c>
      <c r="AT780" t="s">
        <v>967</v>
      </c>
      <c r="AU780">
        <v>2019</v>
      </c>
      <c r="AV780">
        <v>8</v>
      </c>
      <c r="AW780">
        <v>6</v>
      </c>
      <c r="AX780" t="s">
        <v>74</v>
      </c>
      <c r="AY780" t="s">
        <v>74</v>
      </c>
      <c r="AZ780" t="s">
        <v>74</v>
      </c>
      <c r="BA780" t="s">
        <v>74</v>
      </c>
      <c r="BB780">
        <v>1051</v>
      </c>
      <c r="BC780" t="s">
        <v>3390</v>
      </c>
      <c r="BD780" t="s">
        <v>74</v>
      </c>
      <c r="BE780" t="s">
        <v>5980</v>
      </c>
      <c r="BF780" t="str">
        <f>HYPERLINK("http://dx.doi.org/10.21037/tlcr.2019.12.16","http://dx.doi.org/10.21037/tlcr.2019.12.16")</f>
        <v>http://dx.doi.org/10.21037/tlcr.2019.12.16</v>
      </c>
      <c r="BG780" t="s">
        <v>74</v>
      </c>
      <c r="BH780" t="s">
        <v>74</v>
      </c>
      <c r="BI780" t="s">
        <v>74</v>
      </c>
      <c r="BJ780" t="s">
        <v>1539</v>
      </c>
      <c r="BK780" t="s">
        <v>117</v>
      </c>
      <c r="BL780" t="s">
        <v>1539</v>
      </c>
      <c r="BM780" t="s">
        <v>74</v>
      </c>
      <c r="BN780">
        <v>32010582</v>
      </c>
      <c r="BO780" t="s">
        <v>74</v>
      </c>
      <c r="BP780" t="s">
        <v>74</v>
      </c>
      <c r="BQ780" t="s">
        <v>74</v>
      </c>
      <c r="BR780" t="s">
        <v>96</v>
      </c>
      <c r="BS780" t="s">
        <v>5981</v>
      </c>
      <c r="BT780" t="str">
        <f>HYPERLINK("https%3A%2F%2Fwww.webofscience.com%2Fwos%2Fwoscc%2Ffull-record%2FWOS:000505217600030","View Full Record in Web of Science")</f>
        <v>View Full Record in Web of Science</v>
      </c>
    </row>
    <row r="781" spans="1:72" x14ac:dyDescent="0.15">
      <c r="A781" t="s">
        <v>98</v>
      </c>
      <c r="B781" t="s">
        <v>6135</v>
      </c>
      <c r="C781" t="s">
        <v>74</v>
      </c>
      <c r="D781" t="s">
        <v>74</v>
      </c>
      <c r="E781" t="s">
        <v>74</v>
      </c>
      <c r="F781" t="s">
        <v>6136</v>
      </c>
      <c r="G781" t="s">
        <v>74</v>
      </c>
      <c r="H781" t="s">
        <v>74</v>
      </c>
      <c r="I781" t="s">
        <v>6137</v>
      </c>
      <c r="J781" t="s">
        <v>1105</v>
      </c>
      <c r="K781" t="s">
        <v>74</v>
      </c>
      <c r="L781" t="s">
        <v>74</v>
      </c>
      <c r="M781" t="s">
        <v>74</v>
      </c>
      <c r="N781" t="s">
        <v>103</v>
      </c>
      <c r="O781" t="s">
        <v>74</v>
      </c>
      <c r="P781" t="s">
        <v>74</v>
      </c>
      <c r="Q781" t="s">
        <v>74</v>
      </c>
      <c r="R781" t="s">
        <v>74</v>
      </c>
      <c r="S781" t="s">
        <v>74</v>
      </c>
      <c r="T781" t="s">
        <v>6138</v>
      </c>
      <c r="U781" t="s">
        <v>6139</v>
      </c>
      <c r="V781" t="s">
        <v>6140</v>
      </c>
      <c r="W781" t="s">
        <v>6141</v>
      </c>
      <c r="X781" t="s">
        <v>6142</v>
      </c>
      <c r="Y781" t="s">
        <v>6143</v>
      </c>
      <c r="Z781" t="s">
        <v>6144</v>
      </c>
      <c r="AA781" t="s">
        <v>74</v>
      </c>
      <c r="AB781" t="s">
        <v>74</v>
      </c>
      <c r="AC781" t="s">
        <v>74</v>
      </c>
      <c r="AD781" t="s">
        <v>74</v>
      </c>
      <c r="AE781" t="s">
        <v>74</v>
      </c>
      <c r="AF781" t="s">
        <v>74</v>
      </c>
      <c r="AG781">
        <v>50</v>
      </c>
      <c r="AH781">
        <v>22</v>
      </c>
      <c r="AI781">
        <v>21</v>
      </c>
      <c r="AJ781">
        <v>39</v>
      </c>
      <c r="AK781">
        <v>147</v>
      </c>
      <c r="AL781" t="s">
        <v>74</v>
      </c>
      <c r="AM781" t="s">
        <v>74</v>
      </c>
      <c r="AN781" t="s">
        <v>74</v>
      </c>
      <c r="AO781" t="s">
        <v>1114</v>
      </c>
      <c r="AP781" t="s">
        <v>1115</v>
      </c>
      <c r="AQ781" t="s">
        <v>74</v>
      </c>
      <c r="AR781" t="s">
        <v>74</v>
      </c>
      <c r="AS781" t="s">
        <v>74</v>
      </c>
      <c r="AT781" t="s">
        <v>599</v>
      </c>
      <c r="AU781">
        <v>2021</v>
      </c>
      <c r="AV781">
        <v>221</v>
      </c>
      <c r="AW781" t="s">
        <v>74</v>
      </c>
      <c r="AX781" t="s">
        <v>74</v>
      </c>
      <c r="AY781" t="s">
        <v>74</v>
      </c>
      <c r="AZ781" t="s">
        <v>74</v>
      </c>
      <c r="BA781" t="s">
        <v>74</v>
      </c>
      <c r="BB781" t="s">
        <v>74</v>
      </c>
      <c r="BC781" t="s">
        <v>74</v>
      </c>
      <c r="BD781">
        <v>121670</v>
      </c>
      <c r="BE781" t="s">
        <v>6145</v>
      </c>
      <c r="BF781" t="str">
        <f>HYPERLINK("http://dx.doi.org/10.1016/j.talanta.2020.121670","http://dx.doi.org/10.1016/j.talanta.2020.121670")</f>
        <v>http://dx.doi.org/10.1016/j.talanta.2020.121670</v>
      </c>
      <c r="BG781" t="s">
        <v>74</v>
      </c>
      <c r="BH781" t="s">
        <v>74</v>
      </c>
      <c r="BI781" t="s">
        <v>74</v>
      </c>
      <c r="BJ781" t="s">
        <v>1118</v>
      </c>
      <c r="BK781" t="s">
        <v>117</v>
      </c>
      <c r="BL781" t="s">
        <v>1048</v>
      </c>
      <c r="BM781" t="s">
        <v>74</v>
      </c>
      <c r="BN781">
        <v>33076176</v>
      </c>
      <c r="BO781" t="s">
        <v>74</v>
      </c>
      <c r="BP781" t="s">
        <v>74</v>
      </c>
      <c r="BQ781" t="s">
        <v>74</v>
      </c>
      <c r="BR781" t="s">
        <v>96</v>
      </c>
      <c r="BS781" t="s">
        <v>6146</v>
      </c>
      <c r="BT781" t="str">
        <f>HYPERLINK("https%3A%2F%2Fwww.webofscience.com%2Fwos%2Fwoscc%2Ffull-record%2FWOS:000579910600132","View Full Record in Web of Science")</f>
        <v>View Full Record in Web of Science</v>
      </c>
    </row>
    <row r="782" spans="1:72" x14ac:dyDescent="0.15">
      <c r="A782" t="s">
        <v>98</v>
      </c>
      <c r="B782" t="s">
        <v>6850</v>
      </c>
      <c r="C782" t="s">
        <v>74</v>
      </c>
      <c r="D782" t="s">
        <v>74</v>
      </c>
      <c r="E782" t="s">
        <v>74</v>
      </c>
      <c r="F782" t="s">
        <v>6851</v>
      </c>
      <c r="G782" t="s">
        <v>74</v>
      </c>
      <c r="H782" t="s">
        <v>74</v>
      </c>
      <c r="I782" t="s">
        <v>6852</v>
      </c>
      <c r="J782" t="s">
        <v>6853</v>
      </c>
      <c r="K782" t="s">
        <v>74</v>
      </c>
      <c r="L782" t="s">
        <v>74</v>
      </c>
      <c r="M782" t="s">
        <v>74</v>
      </c>
      <c r="N782" t="s">
        <v>103</v>
      </c>
      <c r="O782" t="s">
        <v>74</v>
      </c>
      <c r="P782" t="s">
        <v>74</v>
      </c>
      <c r="Q782" t="s">
        <v>74</v>
      </c>
      <c r="R782" t="s">
        <v>74</v>
      </c>
      <c r="S782" t="s">
        <v>74</v>
      </c>
      <c r="T782" t="s">
        <v>6854</v>
      </c>
      <c r="U782" t="s">
        <v>6855</v>
      </c>
      <c r="V782" t="s">
        <v>6856</v>
      </c>
      <c r="W782" t="s">
        <v>6857</v>
      </c>
      <c r="X782" t="s">
        <v>6858</v>
      </c>
      <c r="Y782" t="s">
        <v>6859</v>
      </c>
      <c r="Z782" t="s">
        <v>6860</v>
      </c>
      <c r="AA782" t="s">
        <v>74</v>
      </c>
      <c r="AB782" t="s">
        <v>74</v>
      </c>
      <c r="AC782" t="s">
        <v>74</v>
      </c>
      <c r="AD782" t="s">
        <v>74</v>
      </c>
      <c r="AE782" t="s">
        <v>74</v>
      </c>
      <c r="AF782" t="s">
        <v>74</v>
      </c>
      <c r="AG782">
        <v>34</v>
      </c>
      <c r="AH782">
        <v>22</v>
      </c>
      <c r="AI782">
        <v>22</v>
      </c>
      <c r="AJ782">
        <v>0</v>
      </c>
      <c r="AK782">
        <v>16</v>
      </c>
      <c r="AL782" t="s">
        <v>74</v>
      </c>
      <c r="AM782" t="s">
        <v>74</v>
      </c>
      <c r="AN782" t="s">
        <v>74</v>
      </c>
      <c r="AO782" t="s">
        <v>6861</v>
      </c>
      <c r="AP782" t="s">
        <v>6862</v>
      </c>
      <c r="AQ782" t="s">
        <v>74</v>
      </c>
      <c r="AR782" t="s">
        <v>74</v>
      </c>
      <c r="AS782" t="s">
        <v>74</v>
      </c>
      <c r="AT782" t="s">
        <v>230</v>
      </c>
      <c r="AU782">
        <v>2015</v>
      </c>
      <c r="AV782">
        <v>129</v>
      </c>
      <c r="AW782">
        <v>3</v>
      </c>
      <c r="AX782" t="s">
        <v>74</v>
      </c>
      <c r="AY782" t="s">
        <v>74</v>
      </c>
      <c r="AZ782" t="s">
        <v>74</v>
      </c>
      <c r="BA782" t="s">
        <v>74</v>
      </c>
      <c r="BB782">
        <v>259</v>
      </c>
      <c r="BC782">
        <v>269</v>
      </c>
      <c r="BD782" t="s">
        <v>74</v>
      </c>
      <c r="BE782" t="s">
        <v>6863</v>
      </c>
      <c r="BF782" t="str">
        <f>HYPERLINK("http://dx.doi.org/10.1042/CS20140826","http://dx.doi.org/10.1042/CS20140826")</f>
        <v>http://dx.doi.org/10.1042/CS20140826</v>
      </c>
      <c r="BG782" t="s">
        <v>74</v>
      </c>
      <c r="BH782" t="s">
        <v>74</v>
      </c>
      <c r="BI782" t="s">
        <v>74</v>
      </c>
      <c r="BJ782" t="s">
        <v>795</v>
      </c>
      <c r="BK782" t="s">
        <v>117</v>
      </c>
      <c r="BL782" t="s">
        <v>796</v>
      </c>
      <c r="BM782" t="s">
        <v>74</v>
      </c>
      <c r="BN782">
        <v>25783200</v>
      </c>
      <c r="BO782" t="s">
        <v>74</v>
      </c>
      <c r="BP782" t="s">
        <v>74</v>
      </c>
      <c r="BQ782" t="s">
        <v>74</v>
      </c>
      <c r="BR782" t="s">
        <v>96</v>
      </c>
      <c r="BS782" t="s">
        <v>6864</v>
      </c>
      <c r="BT782" t="str">
        <f>HYPERLINK("https%3A%2F%2Fwww.webofscience.com%2Fwos%2Fwoscc%2Ffull-record%2FWOS:000355144700004","View Full Record in Web of Science")</f>
        <v>View Full Record in Web of Science</v>
      </c>
    </row>
    <row r="783" spans="1:72" x14ac:dyDescent="0.15">
      <c r="A783" t="s">
        <v>98</v>
      </c>
      <c r="B783" t="s">
        <v>9075</v>
      </c>
      <c r="C783" t="s">
        <v>74</v>
      </c>
      <c r="D783" t="s">
        <v>74</v>
      </c>
      <c r="E783" t="s">
        <v>74</v>
      </c>
      <c r="F783" t="s">
        <v>9076</v>
      </c>
      <c r="G783" t="s">
        <v>74</v>
      </c>
      <c r="H783" t="s">
        <v>74</v>
      </c>
      <c r="I783" t="s">
        <v>9077</v>
      </c>
      <c r="J783" t="s">
        <v>140</v>
      </c>
      <c r="K783" t="s">
        <v>74</v>
      </c>
      <c r="L783" t="s">
        <v>74</v>
      </c>
      <c r="M783" t="s">
        <v>74</v>
      </c>
      <c r="N783" t="s">
        <v>103</v>
      </c>
      <c r="O783" t="s">
        <v>74</v>
      </c>
      <c r="P783" t="s">
        <v>74</v>
      </c>
      <c r="Q783" t="s">
        <v>74</v>
      </c>
      <c r="R783" t="s">
        <v>74</v>
      </c>
      <c r="S783" t="s">
        <v>74</v>
      </c>
      <c r="T783" t="s">
        <v>74</v>
      </c>
      <c r="U783" t="s">
        <v>9078</v>
      </c>
      <c r="V783" t="s">
        <v>9079</v>
      </c>
      <c r="W783" t="s">
        <v>9080</v>
      </c>
      <c r="X783" t="s">
        <v>4171</v>
      </c>
      <c r="Y783" t="s">
        <v>9081</v>
      </c>
      <c r="Z783" t="s">
        <v>9082</v>
      </c>
      <c r="AA783" t="s">
        <v>4174</v>
      </c>
      <c r="AB783" t="s">
        <v>4175</v>
      </c>
      <c r="AC783" t="s">
        <v>74</v>
      </c>
      <c r="AD783" t="s">
        <v>74</v>
      </c>
      <c r="AE783" t="s">
        <v>74</v>
      </c>
      <c r="AF783" t="s">
        <v>74</v>
      </c>
      <c r="AG783">
        <v>71</v>
      </c>
      <c r="AH783">
        <v>22</v>
      </c>
      <c r="AI783">
        <v>24</v>
      </c>
      <c r="AJ783">
        <v>3</v>
      </c>
      <c r="AK783">
        <v>7</v>
      </c>
      <c r="AL783" t="s">
        <v>74</v>
      </c>
      <c r="AM783" t="s">
        <v>74</v>
      </c>
      <c r="AN783" t="s">
        <v>74</v>
      </c>
      <c r="AO783" t="s">
        <v>149</v>
      </c>
      <c r="AP783" t="s">
        <v>74</v>
      </c>
      <c r="AQ783" t="s">
        <v>74</v>
      </c>
      <c r="AR783" t="s">
        <v>74</v>
      </c>
      <c r="AS783" t="s">
        <v>74</v>
      </c>
      <c r="AT783" t="s">
        <v>9083</v>
      </c>
      <c r="AU783">
        <v>2020</v>
      </c>
      <c r="AV783">
        <v>10</v>
      </c>
      <c r="AW783">
        <v>1</v>
      </c>
      <c r="AX783" t="s">
        <v>74</v>
      </c>
      <c r="AY783" t="s">
        <v>74</v>
      </c>
      <c r="AZ783" t="s">
        <v>74</v>
      </c>
      <c r="BA783" t="s">
        <v>74</v>
      </c>
      <c r="BB783" t="s">
        <v>74</v>
      </c>
      <c r="BC783" t="s">
        <v>74</v>
      </c>
      <c r="BD783">
        <v>18293</v>
      </c>
      <c r="BE783" t="s">
        <v>9084</v>
      </c>
      <c r="BF783" t="str">
        <f>HYPERLINK("http://dx.doi.org/10.1038/s41598-020-75108-3","http://dx.doi.org/10.1038/s41598-020-75108-3")</f>
        <v>http://dx.doi.org/10.1038/s41598-020-75108-3</v>
      </c>
      <c r="BG783" t="s">
        <v>74</v>
      </c>
      <c r="BH783" t="s">
        <v>74</v>
      </c>
      <c r="BI783" t="s">
        <v>74</v>
      </c>
      <c r="BJ783" t="s">
        <v>152</v>
      </c>
      <c r="BK783" t="s">
        <v>117</v>
      </c>
      <c r="BL783" t="s">
        <v>153</v>
      </c>
      <c r="BM783" t="s">
        <v>74</v>
      </c>
      <c r="BN783">
        <v>33106559</v>
      </c>
      <c r="BO783" t="s">
        <v>74</v>
      </c>
      <c r="BP783" t="s">
        <v>74</v>
      </c>
      <c r="BQ783" t="s">
        <v>74</v>
      </c>
      <c r="BR783" t="s">
        <v>96</v>
      </c>
      <c r="BS783" t="s">
        <v>9085</v>
      </c>
      <c r="BT783" t="str">
        <f>HYPERLINK("https%3A%2F%2Fwww.webofscience.com%2Fwos%2Fwoscc%2Ffull-record%2FWOS:000615370600025","View Full Record in Web of Science")</f>
        <v>View Full Record in Web of Science</v>
      </c>
    </row>
    <row r="784" spans="1:72" x14ac:dyDescent="0.15">
      <c r="A784" t="s">
        <v>98</v>
      </c>
      <c r="B784" t="s">
        <v>9339</v>
      </c>
      <c r="C784" t="s">
        <v>74</v>
      </c>
      <c r="D784" t="s">
        <v>74</v>
      </c>
      <c r="E784" t="s">
        <v>74</v>
      </c>
      <c r="F784" t="s">
        <v>9340</v>
      </c>
      <c r="G784" t="s">
        <v>74</v>
      </c>
      <c r="H784" t="s">
        <v>74</v>
      </c>
      <c r="I784" t="s">
        <v>9341</v>
      </c>
      <c r="J784" t="s">
        <v>7065</v>
      </c>
      <c r="K784" t="s">
        <v>74</v>
      </c>
      <c r="L784" t="s">
        <v>74</v>
      </c>
      <c r="M784" t="s">
        <v>74</v>
      </c>
      <c r="N784" t="s">
        <v>103</v>
      </c>
      <c r="O784" t="s">
        <v>74</v>
      </c>
      <c r="P784" t="s">
        <v>74</v>
      </c>
      <c r="Q784" t="s">
        <v>74</v>
      </c>
      <c r="R784" t="s">
        <v>74</v>
      </c>
      <c r="S784" t="s">
        <v>74</v>
      </c>
      <c r="T784" t="s">
        <v>74</v>
      </c>
      <c r="U784" t="s">
        <v>9342</v>
      </c>
      <c r="V784" t="s">
        <v>9343</v>
      </c>
      <c r="W784" t="s">
        <v>9344</v>
      </c>
      <c r="X784" t="s">
        <v>9345</v>
      </c>
      <c r="Y784" t="s">
        <v>9346</v>
      </c>
      <c r="Z784" t="s">
        <v>9347</v>
      </c>
      <c r="AA784" t="s">
        <v>74</v>
      </c>
      <c r="AB784" t="s">
        <v>74</v>
      </c>
      <c r="AC784" t="s">
        <v>74</v>
      </c>
      <c r="AD784" t="s">
        <v>74</v>
      </c>
      <c r="AE784" t="s">
        <v>74</v>
      </c>
      <c r="AF784" t="s">
        <v>74</v>
      </c>
      <c r="AG784">
        <v>53</v>
      </c>
      <c r="AH784">
        <v>22</v>
      </c>
      <c r="AI784">
        <v>22</v>
      </c>
      <c r="AJ784">
        <v>5</v>
      </c>
      <c r="AK784">
        <v>15</v>
      </c>
      <c r="AL784" t="s">
        <v>74</v>
      </c>
      <c r="AM784" t="s">
        <v>74</v>
      </c>
      <c r="AN784" t="s">
        <v>74</v>
      </c>
      <c r="AO784" t="s">
        <v>7074</v>
      </c>
      <c r="AP784" t="s">
        <v>7075</v>
      </c>
      <c r="AQ784" t="s">
        <v>74</v>
      </c>
      <c r="AR784" t="s">
        <v>74</v>
      </c>
      <c r="AS784" t="s">
        <v>74</v>
      </c>
      <c r="AT784" t="s">
        <v>1408</v>
      </c>
      <c r="AU784">
        <v>2021</v>
      </c>
      <c r="AV784">
        <v>81</v>
      </c>
      <c r="AW784">
        <v>6</v>
      </c>
      <c r="AX784" t="s">
        <v>74</v>
      </c>
      <c r="AY784" t="s">
        <v>74</v>
      </c>
      <c r="AZ784" t="s">
        <v>74</v>
      </c>
      <c r="BA784" t="s">
        <v>74</v>
      </c>
      <c r="BB784">
        <v>1567</v>
      </c>
      <c r="BC784">
        <v>1582</v>
      </c>
      <c r="BD784" t="s">
        <v>74</v>
      </c>
      <c r="BE784" t="s">
        <v>9348</v>
      </c>
      <c r="BF784" t="str">
        <f>HYPERLINK("http://dx.doi.org/10.1158/0008-5472.CAN-20-2434","http://dx.doi.org/10.1158/0008-5472.CAN-20-2434")</f>
        <v>http://dx.doi.org/10.1158/0008-5472.CAN-20-2434</v>
      </c>
      <c r="BG784" t="s">
        <v>74</v>
      </c>
      <c r="BH784" t="s">
        <v>74</v>
      </c>
      <c r="BI784" t="s">
        <v>74</v>
      </c>
      <c r="BJ784" t="s">
        <v>267</v>
      </c>
      <c r="BK784" t="s">
        <v>117</v>
      </c>
      <c r="BL784" t="s">
        <v>267</v>
      </c>
      <c r="BM784" t="s">
        <v>74</v>
      </c>
      <c r="BN784">
        <v>33500249</v>
      </c>
      <c r="BO784" t="s">
        <v>74</v>
      </c>
      <c r="BP784" t="s">
        <v>74</v>
      </c>
      <c r="BQ784" t="s">
        <v>74</v>
      </c>
      <c r="BR784" t="s">
        <v>96</v>
      </c>
      <c r="BS784" t="s">
        <v>9349</v>
      </c>
      <c r="BT784" t="str">
        <f>HYPERLINK("https%3A%2F%2Fwww.webofscience.com%2Fwos%2Fwoscc%2Ffull-record%2FWOS:000630141900013","View Full Record in Web of Science")</f>
        <v>View Full Record in Web of Science</v>
      </c>
    </row>
    <row r="785" spans="1:72" x14ac:dyDescent="0.15">
      <c r="A785" t="s">
        <v>98</v>
      </c>
      <c r="B785" t="s">
        <v>11699</v>
      </c>
      <c r="C785" t="s">
        <v>74</v>
      </c>
      <c r="D785" t="s">
        <v>74</v>
      </c>
      <c r="E785" t="s">
        <v>74</v>
      </c>
      <c r="F785" t="s">
        <v>11700</v>
      </c>
      <c r="G785" t="s">
        <v>74</v>
      </c>
      <c r="H785" t="s">
        <v>74</v>
      </c>
      <c r="I785" t="s">
        <v>11701</v>
      </c>
      <c r="J785" t="s">
        <v>11702</v>
      </c>
      <c r="K785" t="s">
        <v>74</v>
      </c>
      <c r="L785" t="s">
        <v>74</v>
      </c>
      <c r="M785" t="s">
        <v>74</v>
      </c>
      <c r="N785" t="s">
        <v>103</v>
      </c>
      <c r="O785" t="s">
        <v>74</v>
      </c>
      <c r="P785" t="s">
        <v>74</v>
      </c>
      <c r="Q785" t="s">
        <v>74</v>
      </c>
      <c r="R785" t="s">
        <v>74</v>
      </c>
      <c r="S785" t="s">
        <v>74</v>
      </c>
      <c r="T785" t="s">
        <v>11703</v>
      </c>
      <c r="U785" t="s">
        <v>11704</v>
      </c>
      <c r="V785" t="s">
        <v>11705</v>
      </c>
      <c r="W785" t="s">
        <v>11706</v>
      </c>
      <c r="X785" t="s">
        <v>11707</v>
      </c>
      <c r="Y785" t="s">
        <v>11708</v>
      </c>
      <c r="Z785" t="s">
        <v>11709</v>
      </c>
      <c r="AA785" t="s">
        <v>11710</v>
      </c>
      <c r="AB785" t="s">
        <v>11711</v>
      </c>
      <c r="AC785" t="s">
        <v>74</v>
      </c>
      <c r="AD785" t="s">
        <v>74</v>
      </c>
      <c r="AE785" t="s">
        <v>74</v>
      </c>
      <c r="AF785" t="s">
        <v>74</v>
      </c>
      <c r="AG785">
        <v>38</v>
      </c>
      <c r="AH785">
        <v>22</v>
      </c>
      <c r="AI785">
        <v>23</v>
      </c>
      <c r="AJ785">
        <v>1</v>
      </c>
      <c r="AK785">
        <v>6</v>
      </c>
      <c r="AL785" t="s">
        <v>74</v>
      </c>
      <c r="AM785" t="s">
        <v>74</v>
      </c>
      <c r="AN785" t="s">
        <v>74</v>
      </c>
      <c r="AO785" t="s">
        <v>11712</v>
      </c>
      <c r="AP785" t="s">
        <v>74</v>
      </c>
      <c r="AQ785" t="s">
        <v>74</v>
      </c>
      <c r="AR785" t="s">
        <v>74</v>
      </c>
      <c r="AS785" t="s">
        <v>74</v>
      </c>
      <c r="AT785" t="s">
        <v>967</v>
      </c>
      <c r="AU785">
        <v>2013</v>
      </c>
      <c r="AV785">
        <v>42</v>
      </c>
      <c r="AW785" t="s">
        <v>74</v>
      </c>
      <c r="AX785" t="s">
        <v>74</v>
      </c>
      <c r="AY785" t="s">
        <v>74</v>
      </c>
      <c r="AZ785" t="s">
        <v>74</v>
      </c>
      <c r="BA785" t="s">
        <v>74</v>
      </c>
      <c r="BB785">
        <v>78</v>
      </c>
      <c r="BC785">
        <v>84</v>
      </c>
      <c r="BD785" t="s">
        <v>74</v>
      </c>
      <c r="BE785" t="s">
        <v>11713</v>
      </c>
      <c r="BF785" t="str">
        <f>HYPERLINK("http://dx.doi.org/10.1016/j.reprotox.2013.07.024","http://dx.doi.org/10.1016/j.reprotox.2013.07.024")</f>
        <v>http://dx.doi.org/10.1016/j.reprotox.2013.07.024</v>
      </c>
      <c r="BG785" t="s">
        <v>74</v>
      </c>
      <c r="BH785" t="s">
        <v>74</v>
      </c>
      <c r="BI785" t="s">
        <v>74</v>
      </c>
      <c r="BJ785" t="s">
        <v>11714</v>
      </c>
      <c r="BK785" t="s">
        <v>117</v>
      </c>
      <c r="BL785" t="s">
        <v>11714</v>
      </c>
      <c r="BM785" t="s">
        <v>74</v>
      </c>
      <c r="BN785">
        <v>23958892</v>
      </c>
      <c r="BO785" t="s">
        <v>74</v>
      </c>
      <c r="BP785" t="s">
        <v>74</v>
      </c>
      <c r="BQ785" t="s">
        <v>74</v>
      </c>
      <c r="BR785" t="s">
        <v>96</v>
      </c>
      <c r="BS785" t="s">
        <v>11715</v>
      </c>
      <c r="BT785" t="str">
        <f>HYPERLINK("https%3A%2F%2Fwww.webofscience.com%2Fwos%2Fwoscc%2Ffull-record%2FWOS:000327569100009","View Full Record in Web of Science")</f>
        <v>View Full Record in Web of Science</v>
      </c>
    </row>
    <row r="786" spans="1:72" x14ac:dyDescent="0.15">
      <c r="A786" t="s">
        <v>98</v>
      </c>
      <c r="B786" t="s">
        <v>12126</v>
      </c>
      <c r="C786" t="s">
        <v>74</v>
      </c>
      <c r="D786" t="s">
        <v>74</v>
      </c>
      <c r="E786" t="s">
        <v>74</v>
      </c>
      <c r="F786" t="s">
        <v>12127</v>
      </c>
      <c r="G786" t="s">
        <v>74</v>
      </c>
      <c r="H786" t="s">
        <v>74</v>
      </c>
      <c r="I786" t="s">
        <v>12128</v>
      </c>
      <c r="J786" t="s">
        <v>6885</v>
      </c>
      <c r="K786" t="s">
        <v>74</v>
      </c>
      <c r="L786" t="s">
        <v>74</v>
      </c>
      <c r="M786" t="s">
        <v>74</v>
      </c>
      <c r="N786" t="s">
        <v>103</v>
      </c>
      <c r="O786" t="s">
        <v>74</v>
      </c>
      <c r="P786" t="s">
        <v>74</v>
      </c>
      <c r="Q786" t="s">
        <v>74</v>
      </c>
      <c r="R786" t="s">
        <v>74</v>
      </c>
      <c r="S786" t="s">
        <v>74</v>
      </c>
      <c r="T786" t="s">
        <v>74</v>
      </c>
      <c r="U786" t="s">
        <v>12129</v>
      </c>
      <c r="V786" t="s">
        <v>12130</v>
      </c>
      <c r="W786" t="s">
        <v>12131</v>
      </c>
      <c r="X786" t="s">
        <v>12132</v>
      </c>
      <c r="Y786" t="s">
        <v>12133</v>
      </c>
      <c r="Z786" t="s">
        <v>12134</v>
      </c>
      <c r="AA786" t="s">
        <v>74</v>
      </c>
      <c r="AB786" t="s">
        <v>74</v>
      </c>
      <c r="AC786" t="s">
        <v>74</v>
      </c>
      <c r="AD786" t="s">
        <v>74</v>
      </c>
      <c r="AE786" t="s">
        <v>74</v>
      </c>
      <c r="AF786" t="s">
        <v>74</v>
      </c>
      <c r="AG786">
        <v>23</v>
      </c>
      <c r="AH786">
        <v>22</v>
      </c>
      <c r="AI786">
        <v>24</v>
      </c>
      <c r="AJ786">
        <v>4</v>
      </c>
      <c r="AK786">
        <v>11</v>
      </c>
      <c r="AL786" t="s">
        <v>74</v>
      </c>
      <c r="AM786" t="s">
        <v>74</v>
      </c>
      <c r="AN786" t="s">
        <v>74</v>
      </c>
      <c r="AO786" t="s">
        <v>6894</v>
      </c>
      <c r="AP786" t="s">
        <v>74</v>
      </c>
      <c r="AQ786" t="s">
        <v>74</v>
      </c>
      <c r="AR786" t="s">
        <v>74</v>
      </c>
      <c r="AS786" t="s">
        <v>74</v>
      </c>
      <c r="AT786" t="s">
        <v>1045</v>
      </c>
      <c r="AU786">
        <v>2020</v>
      </c>
      <c r="AV786">
        <v>19</v>
      </c>
      <c r="AW786" t="s">
        <v>74</v>
      </c>
      <c r="AX786" t="s">
        <v>74</v>
      </c>
      <c r="AY786" t="s">
        <v>74</v>
      </c>
      <c r="AZ786" t="s">
        <v>74</v>
      </c>
      <c r="BA786" t="s">
        <v>74</v>
      </c>
      <c r="BB786">
        <v>951</v>
      </c>
      <c r="BC786">
        <v>960</v>
      </c>
      <c r="BD786" t="s">
        <v>74</v>
      </c>
      <c r="BE786" t="s">
        <v>12135</v>
      </c>
      <c r="BF786" t="str">
        <f>HYPERLINK("http://dx.doi.org/10.1016/j.omtn.2019.10.049","http://dx.doi.org/10.1016/j.omtn.2019.10.049")</f>
        <v>http://dx.doi.org/10.1016/j.omtn.2019.10.049</v>
      </c>
      <c r="BG786" t="s">
        <v>74</v>
      </c>
      <c r="BH786" t="s">
        <v>74</v>
      </c>
      <c r="BI786" t="s">
        <v>74</v>
      </c>
      <c r="BJ786" t="s">
        <v>795</v>
      </c>
      <c r="BK786" t="s">
        <v>117</v>
      </c>
      <c r="BL786" t="s">
        <v>796</v>
      </c>
      <c r="BM786" t="s">
        <v>74</v>
      </c>
      <c r="BN786">
        <v>32018116</v>
      </c>
      <c r="BO786" t="s">
        <v>74</v>
      </c>
      <c r="BP786" t="s">
        <v>74</v>
      </c>
      <c r="BQ786" t="s">
        <v>74</v>
      </c>
      <c r="BR786" t="s">
        <v>96</v>
      </c>
      <c r="BS786" t="s">
        <v>12136</v>
      </c>
      <c r="BT786" t="str">
        <f>HYPERLINK("https%3A%2F%2Fwww.webofscience.com%2Fwos%2Fwoscc%2Ffull-record%2FWOS:000519557700082","View Full Record in Web of Science")</f>
        <v>View Full Record in Web of Science</v>
      </c>
    </row>
    <row r="787" spans="1:72" x14ac:dyDescent="0.15">
      <c r="A787" t="s">
        <v>98</v>
      </c>
      <c r="B787" t="s">
        <v>12685</v>
      </c>
      <c r="C787" t="s">
        <v>74</v>
      </c>
      <c r="D787" t="s">
        <v>74</v>
      </c>
      <c r="E787" t="s">
        <v>74</v>
      </c>
      <c r="F787" t="s">
        <v>12686</v>
      </c>
      <c r="G787" t="s">
        <v>74</v>
      </c>
      <c r="H787" t="s">
        <v>74</v>
      </c>
      <c r="I787" t="s">
        <v>12687</v>
      </c>
      <c r="J787" t="s">
        <v>12688</v>
      </c>
      <c r="K787" t="s">
        <v>74</v>
      </c>
      <c r="L787" t="s">
        <v>74</v>
      </c>
      <c r="M787" t="s">
        <v>74</v>
      </c>
      <c r="N787" t="s">
        <v>103</v>
      </c>
      <c r="O787" t="s">
        <v>74</v>
      </c>
      <c r="P787" t="s">
        <v>74</v>
      </c>
      <c r="Q787" t="s">
        <v>74</v>
      </c>
      <c r="R787" t="s">
        <v>74</v>
      </c>
      <c r="S787" t="s">
        <v>74</v>
      </c>
      <c r="T787" t="s">
        <v>12689</v>
      </c>
      <c r="U787" t="s">
        <v>12690</v>
      </c>
      <c r="V787" t="s">
        <v>12691</v>
      </c>
      <c r="W787" t="s">
        <v>12692</v>
      </c>
      <c r="X787" t="s">
        <v>12693</v>
      </c>
      <c r="Y787" t="s">
        <v>7887</v>
      </c>
      <c r="Z787" t="s">
        <v>12694</v>
      </c>
      <c r="AA787" t="s">
        <v>12695</v>
      </c>
      <c r="AB787" t="s">
        <v>12696</v>
      </c>
      <c r="AC787" t="s">
        <v>74</v>
      </c>
      <c r="AD787" t="s">
        <v>74</v>
      </c>
      <c r="AE787" t="s">
        <v>74</v>
      </c>
      <c r="AF787" t="s">
        <v>74</v>
      </c>
      <c r="AG787">
        <v>35</v>
      </c>
      <c r="AH787">
        <v>22</v>
      </c>
      <c r="AI787">
        <v>22</v>
      </c>
      <c r="AJ787">
        <v>0</v>
      </c>
      <c r="AK787">
        <v>9</v>
      </c>
      <c r="AL787" t="s">
        <v>74</v>
      </c>
      <c r="AM787" t="s">
        <v>74</v>
      </c>
      <c r="AN787" t="s">
        <v>74</v>
      </c>
      <c r="AO787" t="s">
        <v>12697</v>
      </c>
      <c r="AP787" t="s">
        <v>12698</v>
      </c>
      <c r="AQ787" t="s">
        <v>74</v>
      </c>
      <c r="AR787" t="s">
        <v>74</v>
      </c>
      <c r="AS787" t="s">
        <v>74</v>
      </c>
      <c r="AT787" t="s">
        <v>967</v>
      </c>
      <c r="AU787">
        <v>2018</v>
      </c>
      <c r="AV787" t="s">
        <v>12699</v>
      </c>
      <c r="AW787">
        <v>12</v>
      </c>
      <c r="AX787" t="s">
        <v>74</v>
      </c>
      <c r="AY787" t="s">
        <v>74</v>
      </c>
      <c r="AZ787" t="s">
        <v>447</v>
      </c>
      <c r="BA787" t="s">
        <v>74</v>
      </c>
      <c r="BB787">
        <v>1207</v>
      </c>
      <c r="BC787">
        <v>1212</v>
      </c>
      <c r="BD787" t="s">
        <v>74</v>
      </c>
      <c r="BE787" t="s">
        <v>12700</v>
      </c>
      <c r="BF787" t="str">
        <f>HYPERLINK("http://dx.doi.org/10.1002/cyto.a.23641","http://dx.doi.org/10.1002/cyto.a.23641")</f>
        <v>http://dx.doi.org/10.1002/cyto.a.23641</v>
      </c>
      <c r="BG787" t="s">
        <v>74</v>
      </c>
      <c r="BH787" t="s">
        <v>74</v>
      </c>
      <c r="BI787" t="s">
        <v>74</v>
      </c>
      <c r="BJ787" t="s">
        <v>5109</v>
      </c>
      <c r="BK787" t="s">
        <v>117</v>
      </c>
      <c r="BL787" t="s">
        <v>498</v>
      </c>
      <c r="BM787" t="s">
        <v>74</v>
      </c>
      <c r="BN787">
        <v>30551256</v>
      </c>
      <c r="BO787" t="s">
        <v>74</v>
      </c>
      <c r="BP787" t="s">
        <v>74</v>
      </c>
      <c r="BQ787" t="s">
        <v>74</v>
      </c>
      <c r="BR787" t="s">
        <v>96</v>
      </c>
      <c r="BS787" t="s">
        <v>12701</v>
      </c>
      <c r="BT787" t="str">
        <f>HYPERLINK("https%3A%2F%2Fwww.webofscience.com%2Fwos%2Fwoscc%2Ffull-record%2FWOS:000453599300006","View Full Record in Web of Science")</f>
        <v>View Full Record in Web of Science</v>
      </c>
    </row>
    <row r="788" spans="1:72" x14ac:dyDescent="0.15">
      <c r="A788" t="s">
        <v>98</v>
      </c>
      <c r="B788" t="s">
        <v>12919</v>
      </c>
      <c r="C788" t="s">
        <v>74</v>
      </c>
      <c r="D788" t="s">
        <v>74</v>
      </c>
      <c r="E788" t="s">
        <v>74</v>
      </c>
      <c r="F788" t="s">
        <v>12920</v>
      </c>
      <c r="G788" t="s">
        <v>74</v>
      </c>
      <c r="H788" t="s">
        <v>74</v>
      </c>
      <c r="I788" t="s">
        <v>12921</v>
      </c>
      <c r="J788" t="s">
        <v>1544</v>
      </c>
      <c r="K788" t="s">
        <v>74</v>
      </c>
      <c r="L788" t="s">
        <v>74</v>
      </c>
      <c r="M788" t="s">
        <v>74</v>
      </c>
      <c r="N788" t="s">
        <v>103</v>
      </c>
      <c r="O788" t="s">
        <v>74</v>
      </c>
      <c r="P788" t="s">
        <v>74</v>
      </c>
      <c r="Q788" t="s">
        <v>74</v>
      </c>
      <c r="R788" t="s">
        <v>74</v>
      </c>
      <c r="S788" t="s">
        <v>74</v>
      </c>
      <c r="T788" t="s">
        <v>12922</v>
      </c>
      <c r="U788" t="s">
        <v>12923</v>
      </c>
      <c r="V788" t="s">
        <v>12924</v>
      </c>
      <c r="W788" t="s">
        <v>12925</v>
      </c>
      <c r="X788" t="s">
        <v>12926</v>
      </c>
      <c r="Y788" t="s">
        <v>12927</v>
      </c>
      <c r="Z788" t="s">
        <v>12928</v>
      </c>
      <c r="AA788" t="s">
        <v>12929</v>
      </c>
      <c r="AB788" t="s">
        <v>12930</v>
      </c>
      <c r="AC788" t="s">
        <v>74</v>
      </c>
      <c r="AD788" t="s">
        <v>74</v>
      </c>
      <c r="AE788" t="s">
        <v>74</v>
      </c>
      <c r="AF788" t="s">
        <v>74</v>
      </c>
      <c r="AG788">
        <v>77</v>
      </c>
      <c r="AH788">
        <v>22</v>
      </c>
      <c r="AI788">
        <v>23</v>
      </c>
      <c r="AJ788">
        <v>2</v>
      </c>
      <c r="AK788">
        <v>10</v>
      </c>
      <c r="AL788" t="s">
        <v>74</v>
      </c>
      <c r="AM788" t="s">
        <v>74</v>
      </c>
      <c r="AN788" t="s">
        <v>74</v>
      </c>
      <c r="AO788" t="s">
        <v>1554</v>
      </c>
      <c r="AP788" t="s">
        <v>1555</v>
      </c>
      <c r="AQ788" t="s">
        <v>74</v>
      </c>
      <c r="AR788" t="s">
        <v>74</v>
      </c>
      <c r="AS788" t="s">
        <v>74</v>
      </c>
      <c r="AT788" t="s">
        <v>531</v>
      </c>
      <c r="AU788">
        <v>2020</v>
      </c>
      <c r="AV788">
        <v>159</v>
      </c>
      <c r="AW788">
        <v>3</v>
      </c>
      <c r="AX788" t="s">
        <v>74</v>
      </c>
      <c r="AY788" t="s">
        <v>74</v>
      </c>
      <c r="AZ788" t="s">
        <v>74</v>
      </c>
      <c r="BA788" t="s">
        <v>74</v>
      </c>
      <c r="BB788">
        <v>1019</v>
      </c>
      <c r="BC788" t="s">
        <v>3390</v>
      </c>
      <c r="BD788" t="s">
        <v>74</v>
      </c>
      <c r="BE788" t="s">
        <v>12931</v>
      </c>
      <c r="BF788" t="str">
        <f>HYPERLINK("http://dx.doi.org/10.1053/j.gastro.2020.05.052","http://dx.doi.org/10.1053/j.gastro.2020.05.052")</f>
        <v>http://dx.doi.org/10.1053/j.gastro.2020.05.052</v>
      </c>
      <c r="BG788" t="s">
        <v>74</v>
      </c>
      <c r="BH788" t="s">
        <v>74</v>
      </c>
      <c r="BI788" t="s">
        <v>74</v>
      </c>
      <c r="BJ788" t="s">
        <v>633</v>
      </c>
      <c r="BK788" t="s">
        <v>117</v>
      </c>
      <c r="BL788" t="s">
        <v>633</v>
      </c>
      <c r="BM788" t="s">
        <v>74</v>
      </c>
      <c r="BN788">
        <v>32446697</v>
      </c>
      <c r="BO788" t="s">
        <v>74</v>
      </c>
      <c r="BP788" t="s">
        <v>74</v>
      </c>
      <c r="BQ788" t="s">
        <v>74</v>
      </c>
      <c r="BR788" t="s">
        <v>96</v>
      </c>
      <c r="BS788" t="s">
        <v>12932</v>
      </c>
      <c r="BT788" t="str">
        <f>HYPERLINK("https%3A%2F%2Fwww.webofscience.com%2Fwos%2Fwoscc%2Ffull-record%2FWOS:000573089700006","View Full Record in Web of Science")</f>
        <v>View Full Record in Web of Science</v>
      </c>
    </row>
    <row r="789" spans="1:72" x14ac:dyDescent="0.15">
      <c r="A789" t="s">
        <v>98</v>
      </c>
      <c r="B789" t="s">
        <v>13109</v>
      </c>
      <c r="C789" t="s">
        <v>74</v>
      </c>
      <c r="D789" t="s">
        <v>74</v>
      </c>
      <c r="E789" t="s">
        <v>74</v>
      </c>
      <c r="F789" t="s">
        <v>13110</v>
      </c>
      <c r="G789" t="s">
        <v>74</v>
      </c>
      <c r="H789" t="s">
        <v>74</v>
      </c>
      <c r="I789" t="s">
        <v>13111</v>
      </c>
      <c r="J789" t="s">
        <v>8024</v>
      </c>
      <c r="K789" t="s">
        <v>74</v>
      </c>
      <c r="L789" t="s">
        <v>74</v>
      </c>
      <c r="M789" t="s">
        <v>74</v>
      </c>
      <c r="N789" t="s">
        <v>103</v>
      </c>
      <c r="O789" t="s">
        <v>74</v>
      </c>
      <c r="P789" t="s">
        <v>74</v>
      </c>
      <c r="Q789" t="s">
        <v>74</v>
      </c>
      <c r="R789" t="s">
        <v>74</v>
      </c>
      <c r="S789" t="s">
        <v>74</v>
      </c>
      <c r="T789" t="s">
        <v>13112</v>
      </c>
      <c r="U789" t="s">
        <v>13113</v>
      </c>
      <c r="V789" t="s">
        <v>13114</v>
      </c>
      <c r="W789" t="s">
        <v>13115</v>
      </c>
      <c r="X789" t="s">
        <v>13116</v>
      </c>
      <c r="Y789" t="s">
        <v>13117</v>
      </c>
      <c r="Z789" t="s">
        <v>13118</v>
      </c>
      <c r="AA789" t="s">
        <v>8032</v>
      </c>
      <c r="AB789" t="s">
        <v>13119</v>
      </c>
      <c r="AC789" t="s">
        <v>74</v>
      </c>
      <c r="AD789" t="s">
        <v>74</v>
      </c>
      <c r="AE789" t="s">
        <v>74</v>
      </c>
      <c r="AF789" t="s">
        <v>74</v>
      </c>
      <c r="AG789">
        <v>27</v>
      </c>
      <c r="AH789">
        <v>22</v>
      </c>
      <c r="AI789">
        <v>22</v>
      </c>
      <c r="AJ789">
        <v>4</v>
      </c>
      <c r="AK789">
        <v>12</v>
      </c>
      <c r="AL789" t="s">
        <v>74</v>
      </c>
      <c r="AM789" t="s">
        <v>74</v>
      </c>
      <c r="AN789" t="s">
        <v>74</v>
      </c>
      <c r="AO789" t="s">
        <v>8034</v>
      </c>
      <c r="AP789" t="s">
        <v>8035</v>
      </c>
      <c r="AQ789" t="s">
        <v>74</v>
      </c>
      <c r="AR789" t="s">
        <v>74</v>
      </c>
      <c r="AS789" t="s">
        <v>74</v>
      </c>
      <c r="AT789" t="s">
        <v>531</v>
      </c>
      <c r="AU789">
        <v>2017</v>
      </c>
      <c r="AV789">
        <v>9</v>
      </c>
      <c r="AW789">
        <v>5</v>
      </c>
      <c r="AX789" t="s">
        <v>74</v>
      </c>
      <c r="AY789" t="s">
        <v>74</v>
      </c>
      <c r="AZ789" t="s">
        <v>74</v>
      </c>
      <c r="BA789" t="s">
        <v>74</v>
      </c>
      <c r="BB789">
        <v>453</v>
      </c>
      <c r="BC789">
        <v>461</v>
      </c>
      <c r="BD789" t="s">
        <v>74</v>
      </c>
      <c r="BE789" t="s">
        <v>13120</v>
      </c>
      <c r="BF789" t="str">
        <f>HYPERLINK("http://dx.doi.org/10.4168/aair.2017.9.5.453","http://dx.doi.org/10.4168/aair.2017.9.5.453")</f>
        <v>http://dx.doi.org/10.4168/aair.2017.9.5.453</v>
      </c>
      <c r="BG789" t="s">
        <v>74</v>
      </c>
      <c r="BH789" t="s">
        <v>74</v>
      </c>
      <c r="BI789" t="s">
        <v>74</v>
      </c>
      <c r="BJ789" t="s">
        <v>4195</v>
      </c>
      <c r="BK789" t="s">
        <v>117</v>
      </c>
      <c r="BL789" t="s">
        <v>4195</v>
      </c>
      <c r="BM789" t="s">
        <v>74</v>
      </c>
      <c r="BN789">
        <v>28677360</v>
      </c>
      <c r="BO789" t="s">
        <v>74</v>
      </c>
      <c r="BP789" t="s">
        <v>74</v>
      </c>
      <c r="BQ789" t="s">
        <v>74</v>
      </c>
      <c r="BR789" t="s">
        <v>96</v>
      </c>
      <c r="BS789" t="s">
        <v>13121</v>
      </c>
      <c r="BT789" t="str">
        <f>HYPERLINK("https%3A%2F%2Fwww.webofscience.com%2Fwos%2Fwoscc%2Ffull-record%2FWOS:000409288100011","View Full Record in Web of Science")</f>
        <v>View Full Record in Web of Science</v>
      </c>
    </row>
    <row r="790" spans="1:72" x14ac:dyDescent="0.15">
      <c r="A790" t="s">
        <v>98</v>
      </c>
      <c r="B790" t="s">
        <v>15439</v>
      </c>
      <c r="C790" t="s">
        <v>74</v>
      </c>
      <c r="D790" t="s">
        <v>74</v>
      </c>
      <c r="E790" t="s">
        <v>74</v>
      </c>
      <c r="F790" t="s">
        <v>15440</v>
      </c>
      <c r="G790" t="s">
        <v>74</v>
      </c>
      <c r="H790" t="s">
        <v>74</v>
      </c>
      <c r="I790" t="s">
        <v>15441</v>
      </c>
      <c r="J790" t="s">
        <v>1123</v>
      </c>
      <c r="K790" t="s">
        <v>74</v>
      </c>
      <c r="L790" t="s">
        <v>74</v>
      </c>
      <c r="M790" t="s">
        <v>74</v>
      </c>
      <c r="N790" t="s">
        <v>103</v>
      </c>
      <c r="O790" t="s">
        <v>74</v>
      </c>
      <c r="P790" t="s">
        <v>74</v>
      </c>
      <c r="Q790" t="s">
        <v>74</v>
      </c>
      <c r="R790" t="s">
        <v>74</v>
      </c>
      <c r="S790" t="s">
        <v>74</v>
      </c>
      <c r="T790" t="s">
        <v>15442</v>
      </c>
      <c r="U790" t="s">
        <v>15443</v>
      </c>
      <c r="V790" t="s">
        <v>15444</v>
      </c>
      <c r="W790" t="s">
        <v>15445</v>
      </c>
      <c r="X790" t="s">
        <v>15446</v>
      </c>
      <c r="Y790" t="s">
        <v>15447</v>
      </c>
      <c r="Z790" t="s">
        <v>15448</v>
      </c>
      <c r="AA790" t="s">
        <v>74</v>
      </c>
      <c r="AB790" t="s">
        <v>74</v>
      </c>
      <c r="AC790" t="s">
        <v>74</v>
      </c>
      <c r="AD790" t="s">
        <v>74</v>
      </c>
      <c r="AE790" t="s">
        <v>74</v>
      </c>
      <c r="AF790" t="s">
        <v>74</v>
      </c>
      <c r="AG790">
        <v>48</v>
      </c>
      <c r="AH790">
        <v>22</v>
      </c>
      <c r="AI790">
        <v>22</v>
      </c>
      <c r="AJ790">
        <v>49</v>
      </c>
      <c r="AK790">
        <v>265</v>
      </c>
      <c r="AL790" t="s">
        <v>74</v>
      </c>
      <c r="AM790" t="s">
        <v>74</v>
      </c>
      <c r="AN790" t="s">
        <v>74</v>
      </c>
      <c r="AO790" t="s">
        <v>1132</v>
      </c>
      <c r="AP790" t="s">
        <v>1133</v>
      </c>
      <c r="AQ790" t="s">
        <v>74</v>
      </c>
      <c r="AR790" t="s">
        <v>74</v>
      </c>
      <c r="AS790" t="s">
        <v>74</v>
      </c>
      <c r="AT790" t="s">
        <v>599</v>
      </c>
      <c r="AU790">
        <v>2021</v>
      </c>
      <c r="AV790">
        <v>171</v>
      </c>
      <c r="AW790" t="s">
        <v>74</v>
      </c>
      <c r="AX790" t="s">
        <v>74</v>
      </c>
      <c r="AY790" t="s">
        <v>74</v>
      </c>
      <c r="AZ790" t="s">
        <v>74</v>
      </c>
      <c r="BA790" t="s">
        <v>74</v>
      </c>
      <c r="BB790" t="s">
        <v>74</v>
      </c>
      <c r="BC790" t="s">
        <v>74</v>
      </c>
      <c r="BD790">
        <v>112733</v>
      </c>
      <c r="BE790" t="s">
        <v>15449</v>
      </c>
      <c r="BF790" t="str">
        <f>HYPERLINK("http://dx.doi.org/10.1016/j.bios.2020.112733","http://dx.doi.org/10.1016/j.bios.2020.112733")</f>
        <v>http://dx.doi.org/10.1016/j.bios.2020.112733</v>
      </c>
      <c r="BG790" t="s">
        <v>74</v>
      </c>
      <c r="BH790" t="s">
        <v>74</v>
      </c>
      <c r="BI790" t="s">
        <v>74</v>
      </c>
      <c r="BJ790" t="s">
        <v>1137</v>
      </c>
      <c r="BK790" t="s">
        <v>117</v>
      </c>
      <c r="BL790" t="s">
        <v>1138</v>
      </c>
      <c r="BM790" t="s">
        <v>74</v>
      </c>
      <c r="BN790">
        <v>33096430</v>
      </c>
      <c r="BO790" t="s">
        <v>74</v>
      </c>
      <c r="BP790" t="s">
        <v>74</v>
      </c>
      <c r="BQ790" t="s">
        <v>74</v>
      </c>
      <c r="BR790" t="s">
        <v>96</v>
      </c>
      <c r="BS790" t="s">
        <v>15450</v>
      </c>
      <c r="BT790" t="str">
        <f>HYPERLINK("https%3A%2F%2Fwww.webofscience.com%2Fwos%2Fwoscc%2Ffull-record%2FWOS:000603553700003","View Full Record in Web of Science")</f>
        <v>View Full Record in Web of Science</v>
      </c>
    </row>
    <row r="791" spans="1:72" x14ac:dyDescent="0.15">
      <c r="A791" t="s">
        <v>98</v>
      </c>
      <c r="B791" t="s">
        <v>15672</v>
      </c>
      <c r="C791" t="s">
        <v>74</v>
      </c>
      <c r="D791" t="s">
        <v>74</v>
      </c>
      <c r="E791" t="s">
        <v>74</v>
      </c>
      <c r="F791" t="s">
        <v>15673</v>
      </c>
      <c r="G791" t="s">
        <v>74</v>
      </c>
      <c r="H791" t="s">
        <v>74</v>
      </c>
      <c r="I791" t="s">
        <v>15674</v>
      </c>
      <c r="J791" t="s">
        <v>325</v>
      </c>
      <c r="K791" t="s">
        <v>74</v>
      </c>
      <c r="L791" t="s">
        <v>74</v>
      </c>
      <c r="M791" t="s">
        <v>74</v>
      </c>
      <c r="N791" t="s">
        <v>103</v>
      </c>
      <c r="O791" t="s">
        <v>74</v>
      </c>
      <c r="P791" t="s">
        <v>74</v>
      </c>
      <c r="Q791" t="s">
        <v>74</v>
      </c>
      <c r="R791" t="s">
        <v>74</v>
      </c>
      <c r="S791" t="s">
        <v>74</v>
      </c>
      <c r="T791" t="s">
        <v>15675</v>
      </c>
      <c r="U791" t="s">
        <v>15676</v>
      </c>
      <c r="V791" t="s">
        <v>15677</v>
      </c>
      <c r="W791" t="s">
        <v>15678</v>
      </c>
      <c r="X791" t="s">
        <v>15679</v>
      </c>
      <c r="Y791" t="s">
        <v>15680</v>
      </c>
      <c r="Z791" t="s">
        <v>1834</v>
      </c>
      <c r="AA791" t="s">
        <v>74</v>
      </c>
      <c r="AB791" t="s">
        <v>74</v>
      </c>
      <c r="AC791" t="s">
        <v>74</v>
      </c>
      <c r="AD791" t="s">
        <v>74</v>
      </c>
      <c r="AE791" t="s">
        <v>74</v>
      </c>
      <c r="AF791" t="s">
        <v>74</v>
      </c>
      <c r="AG791">
        <v>64</v>
      </c>
      <c r="AH791">
        <v>22</v>
      </c>
      <c r="AI791">
        <v>23</v>
      </c>
      <c r="AJ791">
        <v>2</v>
      </c>
      <c r="AK791">
        <v>27</v>
      </c>
      <c r="AL791" t="s">
        <v>74</v>
      </c>
      <c r="AM791" t="s">
        <v>74</v>
      </c>
      <c r="AN791" t="s">
        <v>74</v>
      </c>
      <c r="AO791" t="s">
        <v>333</v>
      </c>
      <c r="AP791" t="s">
        <v>334</v>
      </c>
      <c r="AQ791" t="s">
        <v>74</v>
      </c>
      <c r="AR791" t="s">
        <v>74</v>
      </c>
      <c r="AS791" t="s">
        <v>74</v>
      </c>
      <c r="AT791" t="s">
        <v>132</v>
      </c>
      <c r="AU791">
        <v>2017</v>
      </c>
      <c r="AV791">
        <v>36</v>
      </c>
      <c r="AW791">
        <v>4</v>
      </c>
      <c r="AX791" t="s">
        <v>74</v>
      </c>
      <c r="AY791" t="s">
        <v>74</v>
      </c>
      <c r="AZ791" t="s">
        <v>74</v>
      </c>
      <c r="BA791" t="s">
        <v>74</v>
      </c>
      <c r="BB791">
        <v>243</v>
      </c>
      <c r="BC791">
        <v>248</v>
      </c>
      <c r="BD791" t="s">
        <v>74</v>
      </c>
      <c r="BE791" t="s">
        <v>15681</v>
      </c>
      <c r="BF791" t="str">
        <f>HYPERLINK("http://dx.doi.org/10.1089/dna.2017.3639","http://dx.doi.org/10.1089/dna.2017.3639")</f>
        <v>http://dx.doi.org/10.1089/dna.2017.3639</v>
      </c>
      <c r="BG791" t="s">
        <v>74</v>
      </c>
      <c r="BH791" t="s">
        <v>74</v>
      </c>
      <c r="BI791" t="s">
        <v>74</v>
      </c>
      <c r="BJ791" t="s">
        <v>338</v>
      </c>
      <c r="BK791" t="s">
        <v>117</v>
      </c>
      <c r="BL791" t="s">
        <v>338</v>
      </c>
      <c r="BM791" t="s">
        <v>74</v>
      </c>
      <c r="BN791">
        <v>28177658</v>
      </c>
      <c r="BO791" t="s">
        <v>74</v>
      </c>
      <c r="BP791" t="s">
        <v>74</v>
      </c>
      <c r="BQ791" t="s">
        <v>74</v>
      </c>
      <c r="BR791" t="s">
        <v>96</v>
      </c>
      <c r="BS791" t="s">
        <v>15682</v>
      </c>
      <c r="BT791" t="str">
        <f>HYPERLINK("https%3A%2F%2Fwww.webofscience.com%2Fwos%2Fwoscc%2Ffull-record%2FWOS:000398466900001","View Full Record in Web of Science")</f>
        <v>View Full Record in Web of Science</v>
      </c>
    </row>
    <row r="792" spans="1:72" x14ac:dyDescent="0.15">
      <c r="A792" t="s">
        <v>98</v>
      </c>
      <c r="B792" t="s">
        <v>16046</v>
      </c>
      <c r="C792" t="s">
        <v>74</v>
      </c>
      <c r="D792" t="s">
        <v>74</v>
      </c>
      <c r="E792" t="s">
        <v>74</v>
      </c>
      <c r="F792" t="s">
        <v>16047</v>
      </c>
      <c r="G792" t="s">
        <v>74</v>
      </c>
      <c r="H792" t="s">
        <v>74</v>
      </c>
      <c r="I792" t="s">
        <v>16048</v>
      </c>
      <c r="J792" t="s">
        <v>6747</v>
      </c>
      <c r="K792" t="s">
        <v>74</v>
      </c>
      <c r="L792" t="s">
        <v>74</v>
      </c>
      <c r="M792" t="s">
        <v>74</v>
      </c>
      <c r="N792" t="s">
        <v>103</v>
      </c>
      <c r="O792" t="s">
        <v>74</v>
      </c>
      <c r="P792" t="s">
        <v>74</v>
      </c>
      <c r="Q792" t="s">
        <v>74</v>
      </c>
      <c r="R792" t="s">
        <v>74</v>
      </c>
      <c r="S792" t="s">
        <v>74</v>
      </c>
      <c r="T792" t="s">
        <v>74</v>
      </c>
      <c r="U792" t="s">
        <v>16049</v>
      </c>
      <c r="V792" t="s">
        <v>16050</v>
      </c>
      <c r="W792" t="s">
        <v>16051</v>
      </c>
      <c r="X792" t="s">
        <v>16052</v>
      </c>
      <c r="Y792" t="s">
        <v>16053</v>
      </c>
      <c r="Z792" t="s">
        <v>16054</v>
      </c>
      <c r="AA792" t="s">
        <v>16055</v>
      </c>
      <c r="AB792" t="s">
        <v>16056</v>
      </c>
      <c r="AC792" t="s">
        <v>74</v>
      </c>
      <c r="AD792" t="s">
        <v>74</v>
      </c>
      <c r="AE792" t="s">
        <v>74</v>
      </c>
      <c r="AF792" t="s">
        <v>74</v>
      </c>
      <c r="AG792">
        <v>31</v>
      </c>
      <c r="AH792">
        <v>22</v>
      </c>
      <c r="AI792">
        <v>22</v>
      </c>
      <c r="AJ792">
        <v>2</v>
      </c>
      <c r="AK792">
        <v>15</v>
      </c>
      <c r="AL792" t="s">
        <v>74</v>
      </c>
      <c r="AM792" t="s">
        <v>74</v>
      </c>
      <c r="AN792" t="s">
        <v>74</v>
      </c>
      <c r="AO792" t="s">
        <v>6756</v>
      </c>
      <c r="AP792" t="s">
        <v>6757</v>
      </c>
      <c r="AQ792" t="s">
        <v>74</v>
      </c>
      <c r="AR792" t="s">
        <v>74</v>
      </c>
      <c r="AS792" t="s">
        <v>74</v>
      </c>
      <c r="AT792" t="s">
        <v>16057</v>
      </c>
      <c r="AU792">
        <v>2017</v>
      </c>
      <c r="AV792">
        <v>45</v>
      </c>
      <c r="AW792">
        <v>7</v>
      </c>
      <c r="AX792" t="s">
        <v>74</v>
      </c>
      <c r="AY792" t="s">
        <v>74</v>
      </c>
      <c r="AZ792" t="s">
        <v>74</v>
      </c>
      <c r="BA792" t="s">
        <v>74</v>
      </c>
      <c r="BB792">
        <v>4131</v>
      </c>
      <c r="BC792">
        <v>4141</v>
      </c>
      <c r="BD792" t="s">
        <v>74</v>
      </c>
      <c r="BE792" t="s">
        <v>16058</v>
      </c>
      <c r="BF792" t="str">
        <f>HYPERLINK("http://dx.doi.org/10.1093/nar/gkw1284","http://dx.doi.org/10.1093/nar/gkw1284")</f>
        <v>http://dx.doi.org/10.1093/nar/gkw1284</v>
      </c>
      <c r="BG792" t="s">
        <v>74</v>
      </c>
      <c r="BH792" t="s">
        <v>74</v>
      </c>
      <c r="BI792" t="s">
        <v>74</v>
      </c>
      <c r="BJ792" t="s">
        <v>95</v>
      </c>
      <c r="BK792" t="s">
        <v>117</v>
      </c>
      <c r="BL792" t="s">
        <v>95</v>
      </c>
      <c r="BM792" t="s">
        <v>74</v>
      </c>
      <c r="BN792">
        <v>27994032</v>
      </c>
      <c r="BO792" t="s">
        <v>74</v>
      </c>
      <c r="BP792" t="s">
        <v>74</v>
      </c>
      <c r="BQ792" t="s">
        <v>74</v>
      </c>
      <c r="BR792" t="s">
        <v>96</v>
      </c>
      <c r="BS792" t="s">
        <v>16059</v>
      </c>
      <c r="BT792" t="str">
        <f>HYPERLINK("https%3A%2F%2Fwww.webofscience.com%2Fwos%2Fwoscc%2Ffull-record%2FWOS:000399448400051","View Full Record in Web of Science")</f>
        <v>View Full Record in Web of Science</v>
      </c>
    </row>
    <row r="793" spans="1:72" x14ac:dyDescent="0.15">
      <c r="A793" t="s">
        <v>98</v>
      </c>
      <c r="B793" t="s">
        <v>17076</v>
      </c>
      <c r="C793" t="s">
        <v>74</v>
      </c>
      <c r="D793" t="s">
        <v>74</v>
      </c>
      <c r="E793" t="s">
        <v>74</v>
      </c>
      <c r="F793" t="s">
        <v>17077</v>
      </c>
      <c r="G793" t="s">
        <v>74</v>
      </c>
      <c r="H793" t="s">
        <v>74</v>
      </c>
      <c r="I793" t="s">
        <v>17078</v>
      </c>
      <c r="J793" t="s">
        <v>17079</v>
      </c>
      <c r="K793" t="s">
        <v>74</v>
      </c>
      <c r="L793" t="s">
        <v>74</v>
      </c>
      <c r="M793" t="s">
        <v>74</v>
      </c>
      <c r="N793" t="s">
        <v>103</v>
      </c>
      <c r="O793" t="s">
        <v>74</v>
      </c>
      <c r="P793" t="s">
        <v>74</v>
      </c>
      <c r="Q793" t="s">
        <v>74</v>
      </c>
      <c r="R793" t="s">
        <v>74</v>
      </c>
      <c r="S793" t="s">
        <v>74</v>
      </c>
      <c r="T793" t="s">
        <v>17080</v>
      </c>
      <c r="U793" t="s">
        <v>17081</v>
      </c>
      <c r="V793" t="s">
        <v>17082</v>
      </c>
      <c r="W793" t="s">
        <v>17083</v>
      </c>
      <c r="X793" t="s">
        <v>17084</v>
      </c>
      <c r="Y793" t="s">
        <v>17085</v>
      </c>
      <c r="Z793" t="s">
        <v>17086</v>
      </c>
      <c r="AA793" t="s">
        <v>17087</v>
      </c>
      <c r="AB793" t="s">
        <v>17088</v>
      </c>
      <c r="AC793" t="s">
        <v>74</v>
      </c>
      <c r="AD793" t="s">
        <v>74</v>
      </c>
      <c r="AE793" t="s">
        <v>74</v>
      </c>
      <c r="AF793" t="s">
        <v>74</v>
      </c>
      <c r="AG793">
        <v>67</v>
      </c>
      <c r="AH793">
        <v>22</v>
      </c>
      <c r="AI793">
        <v>25</v>
      </c>
      <c r="AJ793">
        <v>0</v>
      </c>
      <c r="AK793">
        <v>5</v>
      </c>
      <c r="AL793" t="s">
        <v>74</v>
      </c>
      <c r="AM793" t="s">
        <v>74</v>
      </c>
      <c r="AN793" t="s">
        <v>74</v>
      </c>
      <c r="AO793" t="s">
        <v>17089</v>
      </c>
      <c r="AP793" t="s">
        <v>74</v>
      </c>
      <c r="AQ793" t="s">
        <v>74</v>
      </c>
      <c r="AR793" t="s">
        <v>74</v>
      </c>
      <c r="AS793" t="s">
        <v>74</v>
      </c>
      <c r="AT793" t="s">
        <v>230</v>
      </c>
      <c r="AU793">
        <v>2010</v>
      </c>
      <c r="AV793">
        <v>59</v>
      </c>
      <c r="AW793">
        <v>3</v>
      </c>
      <c r="AX793" t="s">
        <v>74</v>
      </c>
      <c r="AY793" t="s">
        <v>74</v>
      </c>
      <c r="AZ793" t="s">
        <v>74</v>
      </c>
      <c r="BA793" t="s">
        <v>74</v>
      </c>
      <c r="BB793">
        <v>364</v>
      </c>
      <c r="BC793">
        <v>377</v>
      </c>
      <c r="BD793" t="s">
        <v>74</v>
      </c>
      <c r="BE793" t="s">
        <v>17090</v>
      </c>
      <c r="BF793" t="str">
        <f>HYPERLINK("http://dx.doi.org/10.1111/j.1574-695X.2010.00689.x","http://dx.doi.org/10.1111/j.1574-695X.2010.00689.x")</f>
        <v>http://dx.doi.org/10.1111/j.1574-695X.2010.00689.x</v>
      </c>
      <c r="BG793" t="s">
        <v>74</v>
      </c>
      <c r="BH793" t="s">
        <v>74</v>
      </c>
      <c r="BI793" t="s">
        <v>74</v>
      </c>
      <c r="BJ793" t="s">
        <v>1410</v>
      </c>
      <c r="BK793" t="s">
        <v>117</v>
      </c>
      <c r="BL793" t="s">
        <v>1410</v>
      </c>
      <c r="BM793" t="s">
        <v>74</v>
      </c>
      <c r="BN793">
        <v>20497223</v>
      </c>
      <c r="BO793" t="s">
        <v>74</v>
      </c>
      <c r="BP793" t="s">
        <v>74</v>
      </c>
      <c r="BQ793" t="s">
        <v>74</v>
      </c>
      <c r="BR793" t="s">
        <v>96</v>
      </c>
      <c r="BS793" t="s">
        <v>17091</v>
      </c>
      <c r="BT793" t="str">
        <f>HYPERLINK("https%3A%2F%2Fwww.webofscience.com%2Fwos%2Fwoscc%2Ffull-record%2FWOS:000279900400014","View Full Record in Web of Science")</f>
        <v>View Full Record in Web of Science</v>
      </c>
    </row>
    <row r="794" spans="1:72" x14ac:dyDescent="0.15">
      <c r="A794" t="s">
        <v>98</v>
      </c>
      <c r="B794" t="s">
        <v>18942</v>
      </c>
      <c r="C794" t="s">
        <v>74</v>
      </c>
      <c r="D794" t="s">
        <v>74</v>
      </c>
      <c r="E794" t="s">
        <v>74</v>
      </c>
      <c r="F794" t="s">
        <v>18943</v>
      </c>
      <c r="G794" t="s">
        <v>74</v>
      </c>
      <c r="H794" t="s">
        <v>74</v>
      </c>
      <c r="I794" t="s">
        <v>18944</v>
      </c>
      <c r="J794" t="s">
        <v>18945</v>
      </c>
      <c r="K794" t="s">
        <v>74</v>
      </c>
      <c r="L794" t="s">
        <v>74</v>
      </c>
      <c r="M794" t="s">
        <v>74</v>
      </c>
      <c r="N794" t="s">
        <v>103</v>
      </c>
      <c r="O794" t="s">
        <v>74</v>
      </c>
      <c r="P794" t="s">
        <v>74</v>
      </c>
      <c r="Q794" t="s">
        <v>74</v>
      </c>
      <c r="R794" t="s">
        <v>74</v>
      </c>
      <c r="S794" t="s">
        <v>74</v>
      </c>
      <c r="T794" t="s">
        <v>18946</v>
      </c>
      <c r="U794" t="s">
        <v>18947</v>
      </c>
      <c r="V794" t="s">
        <v>18948</v>
      </c>
      <c r="W794" t="s">
        <v>18949</v>
      </c>
      <c r="X794" t="s">
        <v>18950</v>
      </c>
      <c r="Y794" t="s">
        <v>18951</v>
      </c>
      <c r="Z794" t="s">
        <v>18952</v>
      </c>
      <c r="AA794" t="s">
        <v>18953</v>
      </c>
      <c r="AB794" t="s">
        <v>18954</v>
      </c>
      <c r="AC794" t="s">
        <v>74</v>
      </c>
      <c r="AD794" t="s">
        <v>74</v>
      </c>
      <c r="AE794" t="s">
        <v>74</v>
      </c>
      <c r="AF794" t="s">
        <v>74</v>
      </c>
      <c r="AG794">
        <v>43</v>
      </c>
      <c r="AH794">
        <v>22</v>
      </c>
      <c r="AI794">
        <v>23</v>
      </c>
      <c r="AJ794">
        <v>2</v>
      </c>
      <c r="AK794">
        <v>10</v>
      </c>
      <c r="AL794" t="s">
        <v>74</v>
      </c>
      <c r="AM794" t="s">
        <v>74</v>
      </c>
      <c r="AN794" t="s">
        <v>74</v>
      </c>
      <c r="AO794" t="s">
        <v>18955</v>
      </c>
      <c r="AP794" t="s">
        <v>18956</v>
      </c>
      <c r="AQ794" t="s">
        <v>74</v>
      </c>
      <c r="AR794" t="s">
        <v>74</v>
      </c>
      <c r="AS794" t="s">
        <v>74</v>
      </c>
      <c r="AT794" t="s">
        <v>230</v>
      </c>
      <c r="AU794">
        <v>2019</v>
      </c>
      <c r="AV794">
        <v>102</v>
      </c>
      <c r="AW794" t="s">
        <v>74</v>
      </c>
      <c r="AX794" t="s">
        <v>74</v>
      </c>
      <c r="AY794" t="s">
        <v>74</v>
      </c>
      <c r="AZ794" t="s">
        <v>74</v>
      </c>
      <c r="BA794" t="s">
        <v>74</v>
      </c>
      <c r="BB794">
        <v>142</v>
      </c>
      <c r="BC794">
        <v>149</v>
      </c>
      <c r="BD794" t="s">
        <v>74</v>
      </c>
      <c r="BE794" t="s">
        <v>18957</v>
      </c>
      <c r="BF794" t="str">
        <f>HYPERLINK("http://dx.doi.org/10.1016/j.jaut.2019.05.003","http://dx.doi.org/10.1016/j.jaut.2019.05.003")</f>
        <v>http://dx.doi.org/10.1016/j.jaut.2019.05.003</v>
      </c>
      <c r="BG794" t="s">
        <v>74</v>
      </c>
      <c r="BH794" t="s">
        <v>74</v>
      </c>
      <c r="BI794" t="s">
        <v>74</v>
      </c>
      <c r="BJ794" t="s">
        <v>2064</v>
      </c>
      <c r="BK794" t="s">
        <v>117</v>
      </c>
      <c r="BL794" t="s">
        <v>2064</v>
      </c>
      <c r="BM794" t="s">
        <v>74</v>
      </c>
      <c r="BN794">
        <v>31103269</v>
      </c>
      <c r="BO794" t="s">
        <v>74</v>
      </c>
      <c r="BP794" t="s">
        <v>74</v>
      </c>
      <c r="BQ794" t="s">
        <v>74</v>
      </c>
      <c r="BR794" t="s">
        <v>96</v>
      </c>
      <c r="BS794" t="s">
        <v>18958</v>
      </c>
      <c r="BT794" t="str">
        <f>HYPERLINK("https%3A%2F%2Fwww.webofscience.com%2Fwos%2Fwoscc%2Ffull-record%2FWOS:000479024700012","View Full Record in Web of Science")</f>
        <v>View Full Record in Web of Science</v>
      </c>
    </row>
    <row r="795" spans="1:72" x14ac:dyDescent="0.15">
      <c r="A795" t="s">
        <v>98</v>
      </c>
      <c r="B795" t="s">
        <v>19035</v>
      </c>
      <c r="C795" t="s">
        <v>74</v>
      </c>
      <c r="D795" t="s">
        <v>74</v>
      </c>
      <c r="E795" t="s">
        <v>74</v>
      </c>
      <c r="F795" t="s">
        <v>19036</v>
      </c>
      <c r="G795" t="s">
        <v>74</v>
      </c>
      <c r="H795" t="s">
        <v>74</v>
      </c>
      <c r="I795" t="s">
        <v>19037</v>
      </c>
      <c r="J795" t="s">
        <v>1073</v>
      </c>
      <c r="K795" t="s">
        <v>74</v>
      </c>
      <c r="L795" t="s">
        <v>74</v>
      </c>
      <c r="M795" t="s">
        <v>74</v>
      </c>
      <c r="N795" t="s">
        <v>103</v>
      </c>
      <c r="O795" t="s">
        <v>74</v>
      </c>
      <c r="P795" t="s">
        <v>74</v>
      </c>
      <c r="Q795" t="s">
        <v>74</v>
      </c>
      <c r="R795" t="s">
        <v>74</v>
      </c>
      <c r="S795" t="s">
        <v>74</v>
      </c>
      <c r="T795" t="s">
        <v>74</v>
      </c>
      <c r="U795" t="s">
        <v>19038</v>
      </c>
      <c r="V795" t="s">
        <v>19039</v>
      </c>
      <c r="W795" t="s">
        <v>19040</v>
      </c>
      <c r="X795" t="s">
        <v>19041</v>
      </c>
      <c r="Y795" t="s">
        <v>19042</v>
      </c>
      <c r="Z795" t="s">
        <v>19043</v>
      </c>
      <c r="AA795" t="s">
        <v>74</v>
      </c>
      <c r="AB795" t="s">
        <v>19044</v>
      </c>
      <c r="AC795" t="s">
        <v>74</v>
      </c>
      <c r="AD795" t="s">
        <v>74</v>
      </c>
      <c r="AE795" t="s">
        <v>74</v>
      </c>
      <c r="AF795" t="s">
        <v>74</v>
      </c>
      <c r="AG795">
        <v>40</v>
      </c>
      <c r="AH795">
        <v>22</v>
      </c>
      <c r="AI795">
        <v>22</v>
      </c>
      <c r="AJ795">
        <v>0</v>
      </c>
      <c r="AK795">
        <v>22</v>
      </c>
      <c r="AL795" t="s">
        <v>74</v>
      </c>
      <c r="AM795" t="s">
        <v>74</v>
      </c>
      <c r="AN795" t="s">
        <v>74</v>
      </c>
      <c r="AO795" t="s">
        <v>1082</v>
      </c>
      <c r="AP795" t="s">
        <v>74</v>
      </c>
      <c r="AQ795" t="s">
        <v>74</v>
      </c>
      <c r="AR795" t="s">
        <v>74</v>
      </c>
      <c r="AS795" t="s">
        <v>74</v>
      </c>
      <c r="AT795" t="s">
        <v>930</v>
      </c>
      <c r="AU795">
        <v>2012</v>
      </c>
      <c r="AV795">
        <v>7</v>
      </c>
      <c r="AW795">
        <v>9</v>
      </c>
      <c r="AX795" t="s">
        <v>74</v>
      </c>
      <c r="AY795" t="s">
        <v>74</v>
      </c>
      <c r="AZ795" t="s">
        <v>74</v>
      </c>
      <c r="BA795" t="s">
        <v>74</v>
      </c>
      <c r="BB795" t="s">
        <v>74</v>
      </c>
      <c r="BC795" t="s">
        <v>74</v>
      </c>
      <c r="BD795" t="s">
        <v>19045</v>
      </c>
      <c r="BE795" t="s">
        <v>19046</v>
      </c>
      <c r="BF795" t="str">
        <f>HYPERLINK("http://dx.doi.org/10.1371/journal.pone.0045623","http://dx.doi.org/10.1371/journal.pone.0045623")</f>
        <v>http://dx.doi.org/10.1371/journal.pone.0045623</v>
      </c>
      <c r="BG795" t="s">
        <v>74</v>
      </c>
      <c r="BH795" t="s">
        <v>74</v>
      </c>
      <c r="BI795" t="s">
        <v>74</v>
      </c>
      <c r="BJ795" t="s">
        <v>152</v>
      </c>
      <c r="BK795" t="s">
        <v>117</v>
      </c>
      <c r="BL795" t="s">
        <v>153</v>
      </c>
      <c r="BM795" t="s">
        <v>74</v>
      </c>
      <c r="BN795">
        <v>23029142</v>
      </c>
      <c r="BO795" t="s">
        <v>74</v>
      </c>
      <c r="BP795" t="s">
        <v>74</v>
      </c>
      <c r="BQ795" t="s">
        <v>74</v>
      </c>
      <c r="BR795" t="s">
        <v>96</v>
      </c>
      <c r="BS795" t="s">
        <v>19047</v>
      </c>
      <c r="BT795" t="str">
        <f>HYPERLINK("https%3A%2F%2Fwww.webofscience.com%2Fwos%2Fwoscc%2Ffull-record%2FWOS:000309388900083","View Full Record in Web of Science")</f>
        <v>View Full Record in Web of Science</v>
      </c>
    </row>
    <row r="796" spans="1:72" x14ac:dyDescent="0.15">
      <c r="A796" t="s">
        <v>98</v>
      </c>
      <c r="B796" t="s">
        <v>19253</v>
      </c>
      <c r="C796" t="s">
        <v>74</v>
      </c>
      <c r="D796" t="s">
        <v>74</v>
      </c>
      <c r="E796" t="s">
        <v>74</v>
      </c>
      <c r="F796" t="s">
        <v>19254</v>
      </c>
      <c r="G796" t="s">
        <v>74</v>
      </c>
      <c r="H796" t="s">
        <v>74</v>
      </c>
      <c r="I796" t="s">
        <v>19255</v>
      </c>
      <c r="J796" t="s">
        <v>658</v>
      </c>
      <c r="K796" t="s">
        <v>74</v>
      </c>
      <c r="L796" t="s">
        <v>74</v>
      </c>
      <c r="M796" t="s">
        <v>74</v>
      </c>
      <c r="N796" t="s">
        <v>103</v>
      </c>
      <c r="O796" t="s">
        <v>74</v>
      </c>
      <c r="P796" t="s">
        <v>74</v>
      </c>
      <c r="Q796" t="s">
        <v>74</v>
      </c>
      <c r="R796" t="s">
        <v>74</v>
      </c>
      <c r="S796" t="s">
        <v>74</v>
      </c>
      <c r="T796" t="s">
        <v>19256</v>
      </c>
      <c r="U796" t="s">
        <v>19257</v>
      </c>
      <c r="V796" t="s">
        <v>19258</v>
      </c>
      <c r="W796" t="s">
        <v>19259</v>
      </c>
      <c r="X796" t="s">
        <v>19260</v>
      </c>
      <c r="Y796" t="s">
        <v>19261</v>
      </c>
      <c r="Z796" t="s">
        <v>19262</v>
      </c>
      <c r="AA796" t="s">
        <v>19263</v>
      </c>
      <c r="AB796" t="s">
        <v>19264</v>
      </c>
      <c r="AC796" t="s">
        <v>74</v>
      </c>
      <c r="AD796" t="s">
        <v>74</v>
      </c>
      <c r="AE796" t="s">
        <v>74</v>
      </c>
      <c r="AF796" t="s">
        <v>74</v>
      </c>
      <c r="AG796">
        <v>58</v>
      </c>
      <c r="AH796">
        <v>22</v>
      </c>
      <c r="AI796">
        <v>22</v>
      </c>
      <c r="AJ796">
        <v>36</v>
      </c>
      <c r="AK796">
        <v>129</v>
      </c>
      <c r="AL796" t="s">
        <v>74</v>
      </c>
      <c r="AM796" t="s">
        <v>74</v>
      </c>
      <c r="AN796" t="s">
        <v>74</v>
      </c>
      <c r="AO796" t="s">
        <v>668</v>
      </c>
      <c r="AP796" t="s">
        <v>74</v>
      </c>
      <c r="AQ796" t="s">
        <v>74</v>
      </c>
      <c r="AR796" t="s">
        <v>74</v>
      </c>
      <c r="AS796" t="s">
        <v>74</v>
      </c>
      <c r="AT796" t="s">
        <v>3875</v>
      </c>
      <c r="AU796">
        <v>2021</v>
      </c>
      <c r="AV796">
        <v>118</v>
      </c>
      <c r="AW796">
        <v>2</v>
      </c>
      <c r="AX796" t="s">
        <v>74</v>
      </c>
      <c r="AY796" t="s">
        <v>74</v>
      </c>
      <c r="AZ796" t="s">
        <v>74</v>
      </c>
      <c r="BA796" t="s">
        <v>74</v>
      </c>
      <c r="BB796" t="s">
        <v>74</v>
      </c>
      <c r="BC796" t="s">
        <v>74</v>
      </c>
      <c r="BD796" t="s">
        <v>19265</v>
      </c>
      <c r="BE796" t="s">
        <v>19266</v>
      </c>
      <c r="BF796" t="str">
        <f>HYPERLINK("http://dx.doi.org/10.1073/pnas.2020241118","http://dx.doi.org/10.1073/pnas.2020241118")</f>
        <v>http://dx.doi.org/10.1073/pnas.2020241118</v>
      </c>
      <c r="BG796" t="s">
        <v>74</v>
      </c>
      <c r="BH796" t="s">
        <v>74</v>
      </c>
      <c r="BI796" t="s">
        <v>74</v>
      </c>
      <c r="BJ796" t="s">
        <v>152</v>
      </c>
      <c r="BK796" t="s">
        <v>117</v>
      </c>
      <c r="BL796" t="s">
        <v>153</v>
      </c>
      <c r="BM796" t="s">
        <v>74</v>
      </c>
      <c r="BN796">
        <v>33384328</v>
      </c>
      <c r="BO796" t="s">
        <v>74</v>
      </c>
      <c r="BP796" t="s">
        <v>74</v>
      </c>
      <c r="BQ796" t="s">
        <v>74</v>
      </c>
      <c r="BR796" t="s">
        <v>96</v>
      </c>
      <c r="BS796" t="s">
        <v>19267</v>
      </c>
      <c r="BT796" t="str">
        <f>HYPERLINK("https%3A%2F%2Fwww.webofscience.com%2Fwos%2Fwoscc%2Ffull-record%2FWOS:000607277100080","View Full Record in Web of Science")</f>
        <v>View Full Record in Web of Science</v>
      </c>
    </row>
    <row r="797" spans="1:72" x14ac:dyDescent="0.15">
      <c r="A797" t="s">
        <v>98</v>
      </c>
      <c r="B797" t="s">
        <v>19500</v>
      </c>
      <c r="C797" t="s">
        <v>74</v>
      </c>
      <c r="D797" t="s">
        <v>74</v>
      </c>
      <c r="E797" t="s">
        <v>74</v>
      </c>
      <c r="F797" t="s">
        <v>19501</v>
      </c>
      <c r="G797" t="s">
        <v>74</v>
      </c>
      <c r="H797" t="s">
        <v>74</v>
      </c>
      <c r="I797" t="s">
        <v>19502</v>
      </c>
      <c r="J797" t="s">
        <v>17009</v>
      </c>
      <c r="K797" t="s">
        <v>74</v>
      </c>
      <c r="L797" t="s">
        <v>74</v>
      </c>
      <c r="M797" t="s">
        <v>74</v>
      </c>
      <c r="N797" t="s">
        <v>103</v>
      </c>
      <c r="O797" t="s">
        <v>74</v>
      </c>
      <c r="P797" t="s">
        <v>74</v>
      </c>
      <c r="Q797" t="s">
        <v>74</v>
      </c>
      <c r="R797" t="s">
        <v>74</v>
      </c>
      <c r="S797" t="s">
        <v>74</v>
      </c>
      <c r="T797" t="s">
        <v>19503</v>
      </c>
      <c r="U797" t="s">
        <v>19504</v>
      </c>
      <c r="V797" t="s">
        <v>19505</v>
      </c>
      <c r="W797" t="s">
        <v>19506</v>
      </c>
      <c r="X797" t="s">
        <v>19507</v>
      </c>
      <c r="Y797" t="s">
        <v>19508</v>
      </c>
      <c r="Z797" t="s">
        <v>19509</v>
      </c>
      <c r="AA797" t="s">
        <v>19510</v>
      </c>
      <c r="AB797" t="s">
        <v>19511</v>
      </c>
      <c r="AC797" t="s">
        <v>74</v>
      </c>
      <c r="AD797" t="s">
        <v>74</v>
      </c>
      <c r="AE797" t="s">
        <v>74</v>
      </c>
      <c r="AF797" t="s">
        <v>74</v>
      </c>
      <c r="AG797">
        <v>52</v>
      </c>
      <c r="AH797">
        <v>22</v>
      </c>
      <c r="AI797">
        <v>22</v>
      </c>
      <c r="AJ797">
        <v>0</v>
      </c>
      <c r="AK797">
        <v>5</v>
      </c>
      <c r="AL797" t="s">
        <v>74</v>
      </c>
      <c r="AM797" t="s">
        <v>74</v>
      </c>
      <c r="AN797" t="s">
        <v>74</v>
      </c>
      <c r="AO797" t="s">
        <v>17019</v>
      </c>
      <c r="AP797" t="s">
        <v>17020</v>
      </c>
      <c r="AQ797" t="s">
        <v>74</v>
      </c>
      <c r="AR797" t="s">
        <v>74</v>
      </c>
      <c r="AS797" t="s">
        <v>74</v>
      </c>
      <c r="AT797" t="s">
        <v>1321</v>
      </c>
      <c r="AU797">
        <v>2018</v>
      </c>
      <c r="AV797">
        <v>20</v>
      </c>
      <c r="AW797" t="s">
        <v>74</v>
      </c>
      <c r="AX797" t="s">
        <v>74</v>
      </c>
      <c r="AY797" t="s">
        <v>74</v>
      </c>
      <c r="AZ797" t="s">
        <v>74</v>
      </c>
      <c r="BA797" t="s">
        <v>74</v>
      </c>
      <c r="BB797" t="s">
        <v>74</v>
      </c>
      <c r="BC797" t="s">
        <v>74</v>
      </c>
      <c r="BD797">
        <v>117</v>
      </c>
      <c r="BE797" t="s">
        <v>19512</v>
      </c>
      <c r="BF797" t="str">
        <f>HYPERLINK("http://dx.doi.org/10.1186/s13058-018-1046-3","http://dx.doi.org/10.1186/s13058-018-1046-3")</f>
        <v>http://dx.doi.org/10.1186/s13058-018-1046-3</v>
      </c>
      <c r="BG797" t="s">
        <v>74</v>
      </c>
      <c r="BH797" t="s">
        <v>74</v>
      </c>
      <c r="BI797" t="s">
        <v>74</v>
      </c>
      <c r="BJ797" t="s">
        <v>267</v>
      </c>
      <c r="BK797" t="s">
        <v>117</v>
      </c>
      <c r="BL797" t="s">
        <v>267</v>
      </c>
      <c r="BM797" t="s">
        <v>74</v>
      </c>
      <c r="BN797">
        <v>30285805</v>
      </c>
      <c r="BO797" t="s">
        <v>74</v>
      </c>
      <c r="BP797" t="s">
        <v>74</v>
      </c>
      <c r="BQ797" t="s">
        <v>74</v>
      </c>
      <c r="BR797" t="s">
        <v>96</v>
      </c>
      <c r="BS797" t="s">
        <v>19513</v>
      </c>
      <c r="BT797" t="str">
        <f>HYPERLINK("https%3A%2F%2Fwww.webofscience.com%2Fwos%2Fwoscc%2Ffull-record%2FWOS:000446494700003","View Full Record in Web of Science")</f>
        <v>View Full Record in Web of Science</v>
      </c>
    </row>
    <row r="798" spans="1:72" x14ac:dyDescent="0.15">
      <c r="A798" t="s">
        <v>98</v>
      </c>
      <c r="B798" t="s">
        <v>20573</v>
      </c>
      <c r="C798" t="s">
        <v>74</v>
      </c>
      <c r="D798" t="s">
        <v>74</v>
      </c>
      <c r="E798" t="s">
        <v>74</v>
      </c>
      <c r="F798" t="s">
        <v>20574</v>
      </c>
      <c r="G798" t="s">
        <v>74</v>
      </c>
      <c r="H798" t="s">
        <v>74</v>
      </c>
      <c r="I798" t="s">
        <v>20575</v>
      </c>
      <c r="J798" t="s">
        <v>12442</v>
      </c>
      <c r="K798" t="s">
        <v>74</v>
      </c>
      <c r="L798" t="s">
        <v>74</v>
      </c>
      <c r="M798" t="s">
        <v>74</v>
      </c>
      <c r="N798" t="s">
        <v>103</v>
      </c>
      <c r="O798" t="s">
        <v>74</v>
      </c>
      <c r="P798" t="s">
        <v>74</v>
      </c>
      <c r="Q798" t="s">
        <v>74</v>
      </c>
      <c r="R798" t="s">
        <v>74</v>
      </c>
      <c r="S798" t="s">
        <v>74</v>
      </c>
      <c r="T798" t="s">
        <v>74</v>
      </c>
      <c r="U798" t="s">
        <v>20576</v>
      </c>
      <c r="V798" t="s">
        <v>20577</v>
      </c>
      <c r="W798" t="s">
        <v>20578</v>
      </c>
      <c r="X798" t="s">
        <v>20579</v>
      </c>
      <c r="Y798" t="s">
        <v>20580</v>
      </c>
      <c r="Z798" t="s">
        <v>4286</v>
      </c>
      <c r="AA798" t="s">
        <v>74</v>
      </c>
      <c r="AB798" t="s">
        <v>74</v>
      </c>
      <c r="AC798" t="s">
        <v>74</v>
      </c>
      <c r="AD798" t="s">
        <v>74</v>
      </c>
      <c r="AE798" t="s">
        <v>74</v>
      </c>
      <c r="AF798" t="s">
        <v>74</v>
      </c>
      <c r="AG798">
        <v>71</v>
      </c>
      <c r="AH798">
        <v>22</v>
      </c>
      <c r="AI798">
        <v>25</v>
      </c>
      <c r="AJ798">
        <v>0</v>
      </c>
      <c r="AK798">
        <v>11</v>
      </c>
      <c r="AL798" t="s">
        <v>74</v>
      </c>
      <c r="AM798" t="s">
        <v>74</v>
      </c>
      <c r="AN798" t="s">
        <v>74</v>
      </c>
      <c r="AO798" t="s">
        <v>12451</v>
      </c>
      <c r="AP798" t="s">
        <v>12452</v>
      </c>
      <c r="AQ798" t="s">
        <v>74</v>
      </c>
      <c r="AR798" t="s">
        <v>74</v>
      </c>
      <c r="AS798" t="s">
        <v>74</v>
      </c>
      <c r="AT798" t="s">
        <v>114</v>
      </c>
      <c r="AU798">
        <v>2017</v>
      </c>
      <c r="AV798">
        <v>187</v>
      </c>
      <c r="AW798">
        <v>1</v>
      </c>
      <c r="AX798" t="s">
        <v>74</v>
      </c>
      <c r="AY798" t="s">
        <v>74</v>
      </c>
      <c r="AZ798" t="s">
        <v>74</v>
      </c>
      <c r="BA798" t="s">
        <v>74</v>
      </c>
      <c r="BB798">
        <v>98</v>
      </c>
      <c r="BC798">
        <v>106</v>
      </c>
      <c r="BD798" t="s">
        <v>74</v>
      </c>
      <c r="BE798" t="s">
        <v>20581</v>
      </c>
      <c r="BF798" t="str">
        <f>HYPERLINK("http://dx.doi.org/10.1667/RR14201.1","http://dx.doi.org/10.1667/RR14201.1")</f>
        <v>http://dx.doi.org/10.1667/RR14201.1</v>
      </c>
      <c r="BG798" t="s">
        <v>74</v>
      </c>
      <c r="BH798" t="s">
        <v>74</v>
      </c>
      <c r="BI798" t="s">
        <v>74</v>
      </c>
      <c r="BJ798" t="s">
        <v>12454</v>
      </c>
      <c r="BK798" t="s">
        <v>117</v>
      </c>
      <c r="BL798" t="s">
        <v>12455</v>
      </c>
      <c r="BM798" t="s">
        <v>74</v>
      </c>
      <c r="BN798">
        <v>27959588</v>
      </c>
      <c r="BO798" t="s">
        <v>74</v>
      </c>
      <c r="BP798" t="s">
        <v>74</v>
      </c>
      <c r="BQ798" t="s">
        <v>74</v>
      </c>
      <c r="BR798" t="s">
        <v>96</v>
      </c>
      <c r="BS798" t="s">
        <v>20582</v>
      </c>
      <c r="BT798" t="str">
        <f>HYPERLINK("https%3A%2F%2Fwww.webofscience.com%2Fwos%2Fwoscc%2Ffull-record%2FWOS:000395111100011","View Full Record in Web of Science")</f>
        <v>View Full Record in Web of Science</v>
      </c>
    </row>
    <row r="799" spans="1:72" x14ac:dyDescent="0.15">
      <c r="A799" t="s">
        <v>98</v>
      </c>
      <c r="B799" t="s">
        <v>21091</v>
      </c>
      <c r="C799" t="s">
        <v>74</v>
      </c>
      <c r="D799" t="s">
        <v>74</v>
      </c>
      <c r="E799" t="s">
        <v>74</v>
      </c>
      <c r="F799" t="s">
        <v>21092</v>
      </c>
      <c r="G799" t="s">
        <v>74</v>
      </c>
      <c r="H799" t="s">
        <v>74</v>
      </c>
      <c r="I799" t="s">
        <v>21093</v>
      </c>
      <c r="J799" t="s">
        <v>14163</v>
      </c>
      <c r="K799" t="s">
        <v>74</v>
      </c>
      <c r="L799" t="s">
        <v>74</v>
      </c>
      <c r="M799" t="s">
        <v>74</v>
      </c>
      <c r="N799" t="s">
        <v>103</v>
      </c>
      <c r="O799" t="s">
        <v>74</v>
      </c>
      <c r="P799" t="s">
        <v>74</v>
      </c>
      <c r="Q799" t="s">
        <v>74</v>
      </c>
      <c r="R799" t="s">
        <v>74</v>
      </c>
      <c r="S799" t="s">
        <v>74</v>
      </c>
      <c r="T799" t="s">
        <v>74</v>
      </c>
      <c r="U799" t="s">
        <v>21094</v>
      </c>
      <c r="V799" t="s">
        <v>21095</v>
      </c>
      <c r="W799" t="s">
        <v>21096</v>
      </c>
      <c r="X799" t="s">
        <v>21097</v>
      </c>
      <c r="Y799" t="s">
        <v>21098</v>
      </c>
      <c r="Z799" t="s">
        <v>21099</v>
      </c>
      <c r="AA799" t="s">
        <v>21100</v>
      </c>
      <c r="AB799" t="s">
        <v>21101</v>
      </c>
      <c r="AC799" t="s">
        <v>74</v>
      </c>
      <c r="AD799" t="s">
        <v>74</v>
      </c>
      <c r="AE799" t="s">
        <v>74</v>
      </c>
      <c r="AF799" t="s">
        <v>74</v>
      </c>
      <c r="AG799">
        <v>57</v>
      </c>
      <c r="AH799">
        <v>22</v>
      </c>
      <c r="AI799">
        <v>22</v>
      </c>
      <c r="AJ799">
        <v>1</v>
      </c>
      <c r="AK799">
        <v>4</v>
      </c>
      <c r="AL799" t="s">
        <v>74</v>
      </c>
      <c r="AM799" t="s">
        <v>74</v>
      </c>
      <c r="AN799" t="s">
        <v>74</v>
      </c>
      <c r="AO799" t="s">
        <v>14170</v>
      </c>
      <c r="AP799" t="s">
        <v>14171</v>
      </c>
      <c r="AQ799" t="s">
        <v>74</v>
      </c>
      <c r="AR799" t="s">
        <v>74</v>
      </c>
      <c r="AS799" t="s">
        <v>74</v>
      </c>
      <c r="AT799" t="s">
        <v>531</v>
      </c>
      <c r="AU799">
        <v>2019</v>
      </c>
      <c r="AV799">
        <v>26</v>
      </c>
      <c r="AW799">
        <v>9</v>
      </c>
      <c r="AX799" t="s">
        <v>74</v>
      </c>
      <c r="AY799" t="s">
        <v>74</v>
      </c>
      <c r="AZ799" t="s">
        <v>74</v>
      </c>
      <c r="BA799" t="s">
        <v>74</v>
      </c>
      <c r="BB799">
        <v>1845</v>
      </c>
      <c r="BC799">
        <v>1858</v>
      </c>
      <c r="BD799" t="s">
        <v>74</v>
      </c>
      <c r="BE799" t="s">
        <v>21102</v>
      </c>
      <c r="BF799" t="str">
        <f>HYPERLINK("http://dx.doi.org/10.1038/s41418-018-0255-8","http://dx.doi.org/10.1038/s41418-018-0255-8")</f>
        <v>http://dx.doi.org/10.1038/s41418-018-0255-8</v>
      </c>
      <c r="BG799" t="s">
        <v>74</v>
      </c>
      <c r="BH799" t="s">
        <v>74</v>
      </c>
      <c r="BI799" t="s">
        <v>74</v>
      </c>
      <c r="BJ799" t="s">
        <v>498</v>
      </c>
      <c r="BK799" t="s">
        <v>117</v>
      </c>
      <c r="BL799" t="s">
        <v>498</v>
      </c>
      <c r="BM799" t="s">
        <v>74</v>
      </c>
      <c r="BN799">
        <v>30622304</v>
      </c>
      <c r="BO799" t="s">
        <v>74</v>
      </c>
      <c r="BP799" t="s">
        <v>74</v>
      </c>
      <c r="BQ799" t="s">
        <v>74</v>
      </c>
      <c r="BR799" t="s">
        <v>96</v>
      </c>
      <c r="BS799" t="s">
        <v>21103</v>
      </c>
      <c r="BT799" t="str">
        <f>HYPERLINK("https%3A%2F%2Fwww.webofscience.com%2Fwos%2Fwoscc%2Ffull-record%2FWOS:000480648400020","View Full Record in Web of Science")</f>
        <v>View Full Record in Web of Science</v>
      </c>
    </row>
    <row r="800" spans="1:72" x14ac:dyDescent="0.15">
      <c r="A800" t="s">
        <v>98</v>
      </c>
      <c r="B800" t="s">
        <v>24021</v>
      </c>
      <c r="C800" t="s">
        <v>74</v>
      </c>
      <c r="D800" t="s">
        <v>74</v>
      </c>
      <c r="E800" t="s">
        <v>74</v>
      </c>
      <c r="F800" t="s">
        <v>24022</v>
      </c>
      <c r="G800" t="s">
        <v>74</v>
      </c>
      <c r="H800" t="s">
        <v>74</v>
      </c>
      <c r="I800" t="s">
        <v>24023</v>
      </c>
      <c r="J800" t="s">
        <v>5139</v>
      </c>
      <c r="K800" t="s">
        <v>74</v>
      </c>
      <c r="L800" t="s">
        <v>74</v>
      </c>
      <c r="M800" t="s">
        <v>74</v>
      </c>
      <c r="N800" t="s">
        <v>103</v>
      </c>
      <c r="O800" t="s">
        <v>74</v>
      </c>
      <c r="P800" t="s">
        <v>74</v>
      </c>
      <c r="Q800" t="s">
        <v>74</v>
      </c>
      <c r="R800" t="s">
        <v>74</v>
      </c>
      <c r="S800" t="s">
        <v>74</v>
      </c>
      <c r="T800" t="s">
        <v>74</v>
      </c>
      <c r="U800" t="s">
        <v>24024</v>
      </c>
      <c r="V800" t="s">
        <v>24025</v>
      </c>
      <c r="W800" t="s">
        <v>24026</v>
      </c>
      <c r="X800" t="s">
        <v>24027</v>
      </c>
      <c r="Y800" t="s">
        <v>24028</v>
      </c>
      <c r="Z800" t="s">
        <v>24029</v>
      </c>
      <c r="AA800" t="s">
        <v>24030</v>
      </c>
      <c r="AB800" t="s">
        <v>24031</v>
      </c>
      <c r="AC800" t="s">
        <v>74</v>
      </c>
      <c r="AD800" t="s">
        <v>74</v>
      </c>
      <c r="AE800" t="s">
        <v>74</v>
      </c>
      <c r="AF800" t="s">
        <v>74</v>
      </c>
      <c r="AG800">
        <v>60</v>
      </c>
      <c r="AH800">
        <v>22</v>
      </c>
      <c r="AI800">
        <v>22</v>
      </c>
      <c r="AJ800">
        <v>0</v>
      </c>
      <c r="AK800">
        <v>5</v>
      </c>
      <c r="AL800" t="s">
        <v>74</v>
      </c>
      <c r="AM800" t="s">
        <v>74</v>
      </c>
      <c r="AN800" t="s">
        <v>74</v>
      </c>
      <c r="AO800" t="s">
        <v>5148</v>
      </c>
      <c r="AP800" t="s">
        <v>74</v>
      </c>
      <c r="AQ800" t="s">
        <v>74</v>
      </c>
      <c r="AR800" t="s">
        <v>74</v>
      </c>
      <c r="AS800" t="s">
        <v>74</v>
      </c>
      <c r="AT800" t="s">
        <v>930</v>
      </c>
      <c r="AU800">
        <v>2018</v>
      </c>
      <c r="AV800">
        <v>9</v>
      </c>
      <c r="AW800" t="s">
        <v>74</v>
      </c>
      <c r="AX800" t="s">
        <v>74</v>
      </c>
      <c r="AY800" t="s">
        <v>74</v>
      </c>
      <c r="AZ800" t="s">
        <v>74</v>
      </c>
      <c r="BA800" t="s">
        <v>74</v>
      </c>
      <c r="BB800" t="s">
        <v>74</v>
      </c>
      <c r="BC800" t="s">
        <v>74</v>
      </c>
      <c r="BD800">
        <v>3835</v>
      </c>
      <c r="BE800" t="s">
        <v>24032</v>
      </c>
      <c r="BF800" t="str">
        <f>HYPERLINK("http://dx.doi.org/10.1038/s41467-018-06148-7","http://dx.doi.org/10.1038/s41467-018-06148-7")</f>
        <v>http://dx.doi.org/10.1038/s41467-018-06148-7</v>
      </c>
      <c r="BG800" t="s">
        <v>74</v>
      </c>
      <c r="BH800" t="s">
        <v>74</v>
      </c>
      <c r="BI800" t="s">
        <v>74</v>
      </c>
      <c r="BJ800" t="s">
        <v>152</v>
      </c>
      <c r="BK800" t="s">
        <v>117</v>
      </c>
      <c r="BL800" t="s">
        <v>153</v>
      </c>
      <c r="BM800" t="s">
        <v>74</v>
      </c>
      <c r="BN800">
        <v>30237437</v>
      </c>
      <c r="BO800" t="s">
        <v>74</v>
      </c>
      <c r="BP800" t="s">
        <v>74</v>
      </c>
      <c r="BQ800" t="s">
        <v>74</v>
      </c>
      <c r="BR800" t="s">
        <v>96</v>
      </c>
      <c r="BS800" t="s">
        <v>24033</v>
      </c>
      <c r="BT800" t="str">
        <f>HYPERLINK("https%3A%2F%2Fwww.webofscience.com%2Fwos%2Fwoscc%2Ffull-record%2FWOS:000445064100004","View Full Record in Web of Science")</f>
        <v>View Full Record in Web of Science</v>
      </c>
    </row>
    <row r="801" spans="1:72" x14ac:dyDescent="0.15">
      <c r="A801" t="s">
        <v>98</v>
      </c>
      <c r="B801" t="s">
        <v>25618</v>
      </c>
      <c r="C801" t="s">
        <v>74</v>
      </c>
      <c r="D801" t="s">
        <v>74</v>
      </c>
      <c r="E801" t="s">
        <v>74</v>
      </c>
      <c r="F801" t="s">
        <v>25619</v>
      </c>
      <c r="G801" t="s">
        <v>74</v>
      </c>
      <c r="H801" t="s">
        <v>74</v>
      </c>
      <c r="I801" t="s">
        <v>25620</v>
      </c>
      <c r="J801" t="s">
        <v>140</v>
      </c>
      <c r="K801" t="s">
        <v>74</v>
      </c>
      <c r="L801" t="s">
        <v>74</v>
      </c>
      <c r="M801" t="s">
        <v>74</v>
      </c>
      <c r="N801" t="s">
        <v>103</v>
      </c>
      <c r="O801" t="s">
        <v>74</v>
      </c>
      <c r="P801" t="s">
        <v>74</v>
      </c>
      <c r="Q801" t="s">
        <v>74</v>
      </c>
      <c r="R801" t="s">
        <v>74</v>
      </c>
      <c r="S801" t="s">
        <v>74</v>
      </c>
      <c r="T801" t="s">
        <v>74</v>
      </c>
      <c r="U801" t="s">
        <v>25621</v>
      </c>
      <c r="V801" t="s">
        <v>25622</v>
      </c>
      <c r="W801" t="s">
        <v>25623</v>
      </c>
      <c r="X801" t="s">
        <v>25624</v>
      </c>
      <c r="Y801" t="s">
        <v>25625</v>
      </c>
      <c r="Z801" t="s">
        <v>25626</v>
      </c>
      <c r="AA801" t="s">
        <v>74</v>
      </c>
      <c r="AB801" t="s">
        <v>74</v>
      </c>
      <c r="AC801" t="s">
        <v>74</v>
      </c>
      <c r="AD801" t="s">
        <v>74</v>
      </c>
      <c r="AE801" t="s">
        <v>74</v>
      </c>
      <c r="AF801" t="s">
        <v>74</v>
      </c>
      <c r="AG801">
        <v>43</v>
      </c>
      <c r="AH801">
        <v>22</v>
      </c>
      <c r="AI801">
        <v>22</v>
      </c>
      <c r="AJ801">
        <v>0</v>
      </c>
      <c r="AK801">
        <v>13</v>
      </c>
      <c r="AL801" t="s">
        <v>74</v>
      </c>
      <c r="AM801" t="s">
        <v>74</v>
      </c>
      <c r="AN801" t="s">
        <v>74</v>
      </c>
      <c r="AO801" t="s">
        <v>149</v>
      </c>
      <c r="AP801" t="s">
        <v>74</v>
      </c>
      <c r="AQ801" t="s">
        <v>74</v>
      </c>
      <c r="AR801" t="s">
        <v>74</v>
      </c>
      <c r="AS801" t="s">
        <v>74</v>
      </c>
      <c r="AT801" t="s">
        <v>10016</v>
      </c>
      <c r="AU801">
        <v>2017</v>
      </c>
      <c r="AV801">
        <v>7</v>
      </c>
      <c r="AW801" t="s">
        <v>74</v>
      </c>
      <c r="AX801" t="s">
        <v>74</v>
      </c>
      <c r="AY801" t="s">
        <v>74</v>
      </c>
      <c r="AZ801" t="s">
        <v>74</v>
      </c>
      <c r="BA801" t="s">
        <v>74</v>
      </c>
      <c r="BB801" t="s">
        <v>74</v>
      </c>
      <c r="BC801" t="s">
        <v>74</v>
      </c>
      <c r="BD801">
        <v>40783</v>
      </c>
      <c r="BE801" t="s">
        <v>25627</v>
      </c>
      <c r="BF801" t="str">
        <f>HYPERLINK("http://dx.doi.org/10.1038/srep40783","http://dx.doi.org/10.1038/srep40783")</f>
        <v>http://dx.doi.org/10.1038/srep40783</v>
      </c>
      <c r="BG801" t="s">
        <v>74</v>
      </c>
      <c r="BH801" t="s">
        <v>74</v>
      </c>
      <c r="BI801" t="s">
        <v>74</v>
      </c>
      <c r="BJ801" t="s">
        <v>152</v>
      </c>
      <c r="BK801" t="s">
        <v>117</v>
      </c>
      <c r="BL801" t="s">
        <v>153</v>
      </c>
      <c r="BM801" t="s">
        <v>74</v>
      </c>
      <c r="BN801">
        <v>28098260</v>
      </c>
      <c r="BO801" t="s">
        <v>74</v>
      </c>
      <c r="BP801" t="s">
        <v>74</v>
      </c>
      <c r="BQ801" t="s">
        <v>74</v>
      </c>
      <c r="BR801" t="s">
        <v>96</v>
      </c>
      <c r="BS801" t="s">
        <v>25628</v>
      </c>
      <c r="BT801" t="str">
        <f>HYPERLINK("https%3A%2F%2Fwww.webofscience.com%2Fwos%2Fwoscc%2Ffull-record%2FWOS:000392185000001","View Full Record in Web of Science")</f>
        <v>View Full Record in Web of Science</v>
      </c>
    </row>
    <row r="802" spans="1:72" x14ac:dyDescent="0.15">
      <c r="A802" t="s">
        <v>98</v>
      </c>
      <c r="B802" t="s">
        <v>25783</v>
      </c>
      <c r="C802" t="s">
        <v>74</v>
      </c>
      <c r="D802" t="s">
        <v>74</v>
      </c>
      <c r="E802" t="s">
        <v>74</v>
      </c>
      <c r="F802" t="s">
        <v>25784</v>
      </c>
      <c r="G802" t="s">
        <v>74</v>
      </c>
      <c r="H802" t="s">
        <v>74</v>
      </c>
      <c r="I802" t="s">
        <v>25785</v>
      </c>
      <c r="J802" t="s">
        <v>4486</v>
      </c>
      <c r="K802" t="s">
        <v>74</v>
      </c>
      <c r="L802" t="s">
        <v>74</v>
      </c>
      <c r="M802" t="s">
        <v>74</v>
      </c>
      <c r="N802" t="s">
        <v>103</v>
      </c>
      <c r="O802" t="s">
        <v>74</v>
      </c>
      <c r="P802" t="s">
        <v>74</v>
      </c>
      <c r="Q802" t="s">
        <v>74</v>
      </c>
      <c r="R802" t="s">
        <v>74</v>
      </c>
      <c r="S802" t="s">
        <v>74</v>
      </c>
      <c r="T802" t="s">
        <v>74</v>
      </c>
      <c r="U802" t="s">
        <v>25786</v>
      </c>
      <c r="V802" t="s">
        <v>25787</v>
      </c>
      <c r="W802" t="s">
        <v>25788</v>
      </c>
      <c r="X802" t="s">
        <v>25789</v>
      </c>
      <c r="Y802" t="s">
        <v>25790</v>
      </c>
      <c r="Z802" t="s">
        <v>25791</v>
      </c>
      <c r="AA802" t="s">
        <v>25792</v>
      </c>
      <c r="AB802" t="s">
        <v>25793</v>
      </c>
      <c r="AC802" t="s">
        <v>74</v>
      </c>
      <c r="AD802" t="s">
        <v>74</v>
      </c>
      <c r="AE802" t="s">
        <v>74</v>
      </c>
      <c r="AF802" t="s">
        <v>74</v>
      </c>
      <c r="AG802">
        <v>124</v>
      </c>
      <c r="AH802">
        <v>22</v>
      </c>
      <c r="AI802">
        <v>22</v>
      </c>
      <c r="AJ802">
        <v>6</v>
      </c>
      <c r="AK802">
        <v>64</v>
      </c>
      <c r="AL802" t="s">
        <v>74</v>
      </c>
      <c r="AM802" t="s">
        <v>74</v>
      </c>
      <c r="AN802" t="s">
        <v>74</v>
      </c>
      <c r="AO802" t="s">
        <v>4493</v>
      </c>
      <c r="AP802" t="s">
        <v>4494</v>
      </c>
      <c r="AQ802" t="s">
        <v>74</v>
      </c>
      <c r="AR802" t="s">
        <v>74</v>
      </c>
      <c r="AS802" t="s">
        <v>74</v>
      </c>
      <c r="AT802" t="s">
        <v>17631</v>
      </c>
      <c r="AU802">
        <v>2020</v>
      </c>
      <c r="AV802">
        <v>92</v>
      </c>
      <c r="AW802">
        <v>11</v>
      </c>
      <c r="AX802" t="s">
        <v>74</v>
      </c>
      <c r="AY802" t="s">
        <v>74</v>
      </c>
      <c r="AZ802" t="s">
        <v>74</v>
      </c>
      <c r="BA802" t="s">
        <v>74</v>
      </c>
      <c r="BB802">
        <v>7373</v>
      </c>
      <c r="BC802">
        <v>7381</v>
      </c>
      <c r="BD802" t="s">
        <v>74</v>
      </c>
      <c r="BE802" t="s">
        <v>25794</v>
      </c>
      <c r="BF802" t="str">
        <f>HYPERLINK("http://dx.doi.org/10.1021/acs.analchem.0c00711","http://dx.doi.org/10.1021/acs.analchem.0c00711")</f>
        <v>http://dx.doi.org/10.1021/acs.analchem.0c00711</v>
      </c>
      <c r="BG802" t="s">
        <v>74</v>
      </c>
      <c r="BH802" t="s">
        <v>74</v>
      </c>
      <c r="BI802" t="s">
        <v>74</v>
      </c>
      <c r="BJ802" t="s">
        <v>1118</v>
      </c>
      <c r="BK802" t="s">
        <v>117</v>
      </c>
      <c r="BL802" t="s">
        <v>1048</v>
      </c>
      <c r="BM802" t="s">
        <v>74</v>
      </c>
      <c r="BN802">
        <v>32369338</v>
      </c>
      <c r="BO802" t="s">
        <v>74</v>
      </c>
      <c r="BP802" t="s">
        <v>74</v>
      </c>
      <c r="BQ802" t="s">
        <v>74</v>
      </c>
      <c r="BR802" t="s">
        <v>96</v>
      </c>
      <c r="BS802" t="s">
        <v>25795</v>
      </c>
      <c r="BT802" t="str">
        <f>HYPERLINK("https%3A%2F%2Fwww.webofscience.com%2Fwos%2Fwoscc%2Ffull-record%2FWOS:000538417400002","View Full Record in Web of Science")</f>
        <v>View Full Record in Web of Science</v>
      </c>
    </row>
    <row r="803" spans="1:72" x14ac:dyDescent="0.15">
      <c r="A803" t="s">
        <v>98</v>
      </c>
      <c r="B803" t="s">
        <v>25834</v>
      </c>
      <c r="C803" t="s">
        <v>74</v>
      </c>
      <c r="D803" t="s">
        <v>74</v>
      </c>
      <c r="E803" t="s">
        <v>74</v>
      </c>
      <c r="F803" t="s">
        <v>25835</v>
      </c>
      <c r="G803" t="s">
        <v>74</v>
      </c>
      <c r="H803" t="s">
        <v>74</v>
      </c>
      <c r="I803" t="s">
        <v>25836</v>
      </c>
      <c r="J803" t="s">
        <v>25837</v>
      </c>
      <c r="K803" t="s">
        <v>74</v>
      </c>
      <c r="L803" t="s">
        <v>74</v>
      </c>
      <c r="M803" t="s">
        <v>74</v>
      </c>
      <c r="N803" t="s">
        <v>103</v>
      </c>
      <c r="O803" t="s">
        <v>74</v>
      </c>
      <c r="P803" t="s">
        <v>74</v>
      </c>
      <c r="Q803" t="s">
        <v>74</v>
      </c>
      <c r="R803" t="s">
        <v>74</v>
      </c>
      <c r="S803" t="s">
        <v>74</v>
      </c>
      <c r="T803" t="s">
        <v>74</v>
      </c>
      <c r="U803" t="s">
        <v>25838</v>
      </c>
      <c r="V803" t="s">
        <v>25839</v>
      </c>
      <c r="W803" t="s">
        <v>25840</v>
      </c>
      <c r="X803" t="s">
        <v>25841</v>
      </c>
      <c r="Y803" t="s">
        <v>25842</v>
      </c>
      <c r="Z803" t="s">
        <v>5852</v>
      </c>
      <c r="AA803" t="s">
        <v>25843</v>
      </c>
      <c r="AB803" t="s">
        <v>25844</v>
      </c>
      <c r="AC803" t="s">
        <v>74</v>
      </c>
      <c r="AD803" t="s">
        <v>74</v>
      </c>
      <c r="AE803" t="s">
        <v>74</v>
      </c>
      <c r="AF803" t="s">
        <v>74</v>
      </c>
      <c r="AG803">
        <v>41</v>
      </c>
      <c r="AH803">
        <v>22</v>
      </c>
      <c r="AI803">
        <v>22</v>
      </c>
      <c r="AJ803">
        <v>0</v>
      </c>
      <c r="AK803">
        <v>9</v>
      </c>
      <c r="AL803" t="s">
        <v>74</v>
      </c>
      <c r="AM803" t="s">
        <v>74</v>
      </c>
      <c r="AN803" t="s">
        <v>74</v>
      </c>
      <c r="AO803" t="s">
        <v>25845</v>
      </c>
      <c r="AP803" t="s">
        <v>25846</v>
      </c>
      <c r="AQ803" t="s">
        <v>74</v>
      </c>
      <c r="AR803" t="s">
        <v>74</v>
      </c>
      <c r="AS803" t="s">
        <v>74</v>
      </c>
      <c r="AT803" t="s">
        <v>230</v>
      </c>
      <c r="AU803">
        <v>2014</v>
      </c>
      <c r="AV803">
        <v>20</v>
      </c>
      <c r="AW803">
        <v>8</v>
      </c>
      <c r="AX803" t="s">
        <v>74</v>
      </c>
      <c r="AY803" t="s">
        <v>74</v>
      </c>
      <c r="AZ803" t="s">
        <v>74</v>
      </c>
      <c r="BA803" t="s">
        <v>74</v>
      </c>
      <c r="BB803">
        <v>652</v>
      </c>
      <c r="BC803">
        <v>662</v>
      </c>
      <c r="BD803" t="s">
        <v>74</v>
      </c>
      <c r="BE803" t="s">
        <v>25847</v>
      </c>
      <c r="BF803" t="str">
        <f>HYPERLINK("http://dx.doi.org/10.1089/ten.tec.2013.0479","http://dx.doi.org/10.1089/ten.tec.2013.0479")</f>
        <v>http://dx.doi.org/10.1089/ten.tec.2013.0479</v>
      </c>
      <c r="BG803" t="s">
        <v>74</v>
      </c>
      <c r="BH803" t="s">
        <v>74</v>
      </c>
      <c r="BI803" t="s">
        <v>74</v>
      </c>
      <c r="BJ803" t="s">
        <v>25848</v>
      </c>
      <c r="BK803" t="s">
        <v>117</v>
      </c>
      <c r="BL803" t="s">
        <v>25849</v>
      </c>
      <c r="BM803" t="s">
        <v>74</v>
      </c>
      <c r="BN803">
        <v>24304309</v>
      </c>
      <c r="BO803" t="s">
        <v>74</v>
      </c>
      <c r="BP803" t="s">
        <v>74</v>
      </c>
      <c r="BQ803" t="s">
        <v>74</v>
      </c>
      <c r="BR803" t="s">
        <v>96</v>
      </c>
      <c r="BS803" t="s">
        <v>25850</v>
      </c>
      <c r="BT803" t="str">
        <f>HYPERLINK("https%3A%2F%2Fwww.webofscience.com%2Fwos%2Fwoscc%2Ffull-record%2FWOS:000340521300005","View Full Record in Web of Science")</f>
        <v>View Full Record in Web of Science</v>
      </c>
    </row>
    <row r="804" spans="1:72" x14ac:dyDescent="0.15">
      <c r="A804" t="s">
        <v>98</v>
      </c>
      <c r="B804" t="s">
        <v>26149</v>
      </c>
      <c r="C804" t="s">
        <v>74</v>
      </c>
      <c r="D804" t="s">
        <v>74</v>
      </c>
      <c r="E804" t="s">
        <v>74</v>
      </c>
      <c r="F804" t="s">
        <v>26149</v>
      </c>
      <c r="G804" t="s">
        <v>74</v>
      </c>
      <c r="H804" t="s">
        <v>74</v>
      </c>
      <c r="I804" t="s">
        <v>26150</v>
      </c>
      <c r="J804" t="s">
        <v>1346</v>
      </c>
      <c r="K804" t="s">
        <v>74</v>
      </c>
      <c r="L804" t="s">
        <v>74</v>
      </c>
      <c r="M804" t="s">
        <v>74</v>
      </c>
      <c r="N804" t="s">
        <v>103</v>
      </c>
      <c r="O804" t="s">
        <v>74</v>
      </c>
      <c r="P804" t="s">
        <v>74</v>
      </c>
      <c r="Q804" t="s">
        <v>74</v>
      </c>
      <c r="R804" t="s">
        <v>74</v>
      </c>
      <c r="S804" t="s">
        <v>74</v>
      </c>
      <c r="T804" t="s">
        <v>74</v>
      </c>
      <c r="U804" t="s">
        <v>26151</v>
      </c>
      <c r="V804" t="s">
        <v>26152</v>
      </c>
      <c r="W804" t="s">
        <v>26153</v>
      </c>
      <c r="X804" t="s">
        <v>26154</v>
      </c>
      <c r="Y804" t="s">
        <v>74</v>
      </c>
      <c r="Z804" t="s">
        <v>74</v>
      </c>
      <c r="AA804" t="s">
        <v>74</v>
      </c>
      <c r="AB804" t="s">
        <v>26155</v>
      </c>
      <c r="AC804" t="s">
        <v>74</v>
      </c>
      <c r="AD804" t="s">
        <v>74</v>
      </c>
      <c r="AE804" t="s">
        <v>74</v>
      </c>
      <c r="AF804" t="s">
        <v>74</v>
      </c>
      <c r="AG804">
        <v>60</v>
      </c>
      <c r="AH804">
        <v>22</v>
      </c>
      <c r="AI804">
        <v>22</v>
      </c>
      <c r="AJ804">
        <v>0</v>
      </c>
      <c r="AK804">
        <v>1</v>
      </c>
      <c r="AL804" t="s">
        <v>74</v>
      </c>
      <c r="AM804" t="s">
        <v>74</v>
      </c>
      <c r="AN804" t="s">
        <v>74</v>
      </c>
      <c r="AO804" t="s">
        <v>1355</v>
      </c>
      <c r="AP804" t="s">
        <v>74</v>
      </c>
      <c r="AQ804" t="s">
        <v>74</v>
      </c>
      <c r="AR804" t="s">
        <v>74</v>
      </c>
      <c r="AS804" t="s">
        <v>74</v>
      </c>
      <c r="AT804" t="s">
        <v>170</v>
      </c>
      <c r="AU804">
        <v>1997</v>
      </c>
      <c r="AV804">
        <v>171</v>
      </c>
      <c r="AW804">
        <v>3</v>
      </c>
      <c r="AX804" t="s">
        <v>74</v>
      </c>
      <c r="AY804" t="s">
        <v>74</v>
      </c>
      <c r="AZ804" t="s">
        <v>74</v>
      </c>
      <c r="BA804" t="s">
        <v>74</v>
      </c>
      <c r="BB804">
        <v>357</v>
      </c>
      <c r="BC804">
        <v>367</v>
      </c>
      <c r="BD804" t="s">
        <v>74</v>
      </c>
      <c r="BE804" t="s">
        <v>74</v>
      </c>
      <c r="BF804" t="s">
        <v>74</v>
      </c>
      <c r="BG804" t="s">
        <v>74</v>
      </c>
      <c r="BH804" t="s">
        <v>74</v>
      </c>
      <c r="BI804" t="s">
        <v>74</v>
      </c>
      <c r="BJ804" t="s">
        <v>1359</v>
      </c>
      <c r="BK804" t="s">
        <v>117</v>
      </c>
      <c r="BL804" t="s">
        <v>1359</v>
      </c>
      <c r="BM804" t="s">
        <v>74</v>
      </c>
      <c r="BN804">
        <v>9180905</v>
      </c>
      <c r="BO804" t="s">
        <v>74</v>
      </c>
      <c r="BP804" t="s">
        <v>74</v>
      </c>
      <c r="BQ804" t="s">
        <v>74</v>
      </c>
      <c r="BR804" t="s">
        <v>96</v>
      </c>
      <c r="BS804" t="s">
        <v>26156</v>
      </c>
      <c r="BT804" t="str">
        <f>HYPERLINK("https%3A%2F%2Fwww.webofscience.com%2Fwos%2Fwoscc%2Ffull-record%2FWOS:A1997XL16600014","View Full Record in Web of Science")</f>
        <v>View Full Record in Web of Science</v>
      </c>
    </row>
    <row r="805" spans="1:72" x14ac:dyDescent="0.15">
      <c r="A805" t="s">
        <v>98</v>
      </c>
      <c r="B805" t="s">
        <v>27025</v>
      </c>
      <c r="C805" t="s">
        <v>74</v>
      </c>
      <c r="D805" t="s">
        <v>74</v>
      </c>
      <c r="E805" t="s">
        <v>74</v>
      </c>
      <c r="F805" t="s">
        <v>27026</v>
      </c>
      <c r="G805" t="s">
        <v>74</v>
      </c>
      <c r="H805" t="s">
        <v>74</v>
      </c>
      <c r="I805" t="s">
        <v>27027</v>
      </c>
      <c r="J805" t="s">
        <v>1073</v>
      </c>
      <c r="K805" t="s">
        <v>74</v>
      </c>
      <c r="L805" t="s">
        <v>74</v>
      </c>
      <c r="M805" t="s">
        <v>74</v>
      </c>
      <c r="N805" t="s">
        <v>103</v>
      </c>
      <c r="O805" t="s">
        <v>74</v>
      </c>
      <c r="P805" t="s">
        <v>74</v>
      </c>
      <c r="Q805" t="s">
        <v>74</v>
      </c>
      <c r="R805" t="s">
        <v>74</v>
      </c>
      <c r="S805" t="s">
        <v>74</v>
      </c>
      <c r="T805" t="s">
        <v>74</v>
      </c>
      <c r="U805" t="s">
        <v>27028</v>
      </c>
      <c r="V805" t="s">
        <v>27029</v>
      </c>
      <c r="W805" t="s">
        <v>27030</v>
      </c>
      <c r="X805" t="s">
        <v>27031</v>
      </c>
      <c r="Y805" t="s">
        <v>27032</v>
      </c>
      <c r="Z805" t="s">
        <v>27033</v>
      </c>
      <c r="AA805" t="s">
        <v>27034</v>
      </c>
      <c r="AB805" t="s">
        <v>27035</v>
      </c>
      <c r="AC805" t="s">
        <v>74</v>
      </c>
      <c r="AD805" t="s">
        <v>74</v>
      </c>
      <c r="AE805" t="s">
        <v>74</v>
      </c>
      <c r="AF805" t="s">
        <v>74</v>
      </c>
      <c r="AG805">
        <v>50</v>
      </c>
      <c r="AH805">
        <v>22</v>
      </c>
      <c r="AI805">
        <v>24</v>
      </c>
      <c r="AJ805">
        <v>0</v>
      </c>
      <c r="AK805">
        <v>11</v>
      </c>
      <c r="AL805" t="s">
        <v>74</v>
      </c>
      <c r="AM805" t="s">
        <v>74</v>
      </c>
      <c r="AN805" t="s">
        <v>74</v>
      </c>
      <c r="AO805" t="s">
        <v>1082</v>
      </c>
      <c r="AP805" t="s">
        <v>74</v>
      </c>
      <c r="AQ805" t="s">
        <v>74</v>
      </c>
      <c r="AR805" t="s">
        <v>74</v>
      </c>
      <c r="AS805" t="s">
        <v>74</v>
      </c>
      <c r="AT805" t="s">
        <v>25997</v>
      </c>
      <c r="AU805">
        <v>2015</v>
      </c>
      <c r="AV805">
        <v>10</v>
      </c>
      <c r="AW805">
        <v>5</v>
      </c>
      <c r="AX805" t="s">
        <v>74</v>
      </c>
      <c r="AY805" t="s">
        <v>74</v>
      </c>
      <c r="AZ805" t="s">
        <v>74</v>
      </c>
      <c r="BA805" t="s">
        <v>74</v>
      </c>
      <c r="BB805" t="s">
        <v>74</v>
      </c>
      <c r="BC805" t="s">
        <v>74</v>
      </c>
      <c r="BD805" t="s">
        <v>27036</v>
      </c>
      <c r="BE805" t="s">
        <v>27037</v>
      </c>
      <c r="BF805" t="str">
        <f>HYPERLINK("http://dx.doi.org/10.1371/journal.pone.0128076","http://dx.doi.org/10.1371/journal.pone.0128076")</f>
        <v>http://dx.doi.org/10.1371/journal.pone.0128076</v>
      </c>
      <c r="BG805" t="s">
        <v>74</v>
      </c>
      <c r="BH805" t="s">
        <v>74</v>
      </c>
      <c r="BI805" t="s">
        <v>74</v>
      </c>
      <c r="BJ805" t="s">
        <v>152</v>
      </c>
      <c r="BK805" t="s">
        <v>117</v>
      </c>
      <c r="BL805" t="s">
        <v>153</v>
      </c>
      <c r="BM805" t="s">
        <v>74</v>
      </c>
      <c r="BN805">
        <v>26018205</v>
      </c>
      <c r="BO805" t="s">
        <v>74</v>
      </c>
      <c r="BP805" t="s">
        <v>74</v>
      </c>
      <c r="BQ805" t="s">
        <v>74</v>
      </c>
      <c r="BR805" t="s">
        <v>96</v>
      </c>
      <c r="BS805" t="s">
        <v>27038</v>
      </c>
      <c r="BT805" t="str">
        <f>HYPERLINK("https%3A%2F%2Fwww.webofscience.com%2Fwos%2Fwoscc%2Ffull-record%2FWOS:000355185600109","View Full Record in Web of Science")</f>
        <v>View Full Record in Web of Science</v>
      </c>
    </row>
    <row r="806" spans="1:72" x14ac:dyDescent="0.15">
      <c r="A806" t="s">
        <v>98</v>
      </c>
      <c r="B806" t="s">
        <v>27156</v>
      </c>
      <c r="C806" t="s">
        <v>74</v>
      </c>
      <c r="D806" t="s">
        <v>74</v>
      </c>
      <c r="E806" t="s">
        <v>74</v>
      </c>
      <c r="F806" t="s">
        <v>27157</v>
      </c>
      <c r="G806" t="s">
        <v>74</v>
      </c>
      <c r="H806" t="s">
        <v>74</v>
      </c>
      <c r="I806" t="s">
        <v>27158</v>
      </c>
      <c r="J806" t="s">
        <v>27159</v>
      </c>
      <c r="K806" t="s">
        <v>74</v>
      </c>
      <c r="L806" t="s">
        <v>74</v>
      </c>
      <c r="M806" t="s">
        <v>74</v>
      </c>
      <c r="N806" t="s">
        <v>103</v>
      </c>
      <c r="O806" t="s">
        <v>74</v>
      </c>
      <c r="P806" t="s">
        <v>74</v>
      </c>
      <c r="Q806" t="s">
        <v>74</v>
      </c>
      <c r="R806" t="s">
        <v>74</v>
      </c>
      <c r="S806" t="s">
        <v>74</v>
      </c>
      <c r="T806" t="s">
        <v>27160</v>
      </c>
      <c r="U806" t="s">
        <v>27161</v>
      </c>
      <c r="V806" t="s">
        <v>27162</v>
      </c>
      <c r="W806" t="s">
        <v>27163</v>
      </c>
      <c r="X806" t="s">
        <v>27164</v>
      </c>
      <c r="Y806" t="s">
        <v>27165</v>
      </c>
      <c r="Z806" t="s">
        <v>27166</v>
      </c>
      <c r="AA806" t="s">
        <v>74</v>
      </c>
      <c r="AB806" t="s">
        <v>27167</v>
      </c>
      <c r="AC806" t="s">
        <v>74</v>
      </c>
      <c r="AD806" t="s">
        <v>74</v>
      </c>
      <c r="AE806" t="s">
        <v>74</v>
      </c>
      <c r="AF806" t="s">
        <v>74</v>
      </c>
      <c r="AG806">
        <v>51</v>
      </c>
      <c r="AH806">
        <v>22</v>
      </c>
      <c r="AI806">
        <v>22</v>
      </c>
      <c r="AJ806">
        <v>1</v>
      </c>
      <c r="AK806">
        <v>5</v>
      </c>
      <c r="AL806" t="s">
        <v>74</v>
      </c>
      <c r="AM806" t="s">
        <v>74</v>
      </c>
      <c r="AN806" t="s">
        <v>74</v>
      </c>
      <c r="AO806" t="s">
        <v>27168</v>
      </c>
      <c r="AP806" t="s">
        <v>74</v>
      </c>
      <c r="AQ806" t="s">
        <v>74</v>
      </c>
      <c r="AR806" t="s">
        <v>74</v>
      </c>
      <c r="AS806" t="s">
        <v>74</v>
      </c>
      <c r="AT806" t="s">
        <v>283</v>
      </c>
      <c r="AU806">
        <v>2020</v>
      </c>
      <c r="AV806">
        <v>9</v>
      </c>
      <c r="AW806">
        <v>3</v>
      </c>
      <c r="AX806" t="s">
        <v>74</v>
      </c>
      <c r="AY806" t="s">
        <v>74</v>
      </c>
      <c r="AZ806" t="s">
        <v>74</v>
      </c>
      <c r="BA806" t="s">
        <v>74</v>
      </c>
      <c r="BB806">
        <v>1230</v>
      </c>
      <c r="BC806">
        <v>1241</v>
      </c>
      <c r="BD806" t="s">
        <v>74</v>
      </c>
      <c r="BE806" t="s">
        <v>27169</v>
      </c>
      <c r="BF806" t="str">
        <f>HYPERLINK("http://dx.doi.org/10.1002/cam4.2676","http://dx.doi.org/10.1002/cam4.2676")</f>
        <v>http://dx.doi.org/10.1002/cam4.2676</v>
      </c>
      <c r="BG806" t="s">
        <v>74</v>
      </c>
      <c r="BH806" t="s">
        <v>27170</v>
      </c>
      <c r="BI806" t="s">
        <v>74</v>
      </c>
      <c r="BJ806" t="s">
        <v>267</v>
      </c>
      <c r="BK806" t="s">
        <v>117</v>
      </c>
      <c r="BL806" t="s">
        <v>267</v>
      </c>
      <c r="BM806" t="s">
        <v>74</v>
      </c>
      <c r="BN806">
        <v>31856390</v>
      </c>
      <c r="BO806" t="s">
        <v>74</v>
      </c>
      <c r="BP806" t="s">
        <v>74</v>
      </c>
      <c r="BQ806" t="s">
        <v>74</v>
      </c>
      <c r="BR806" t="s">
        <v>96</v>
      </c>
      <c r="BS806" t="s">
        <v>27171</v>
      </c>
      <c r="BT806" t="str">
        <f>HYPERLINK("https%3A%2F%2Fwww.webofscience.com%2Fwos%2Fwoscc%2Ffull-record%2FWOS:000503335700001","View Full Record in Web of Science")</f>
        <v>View Full Record in Web of Science</v>
      </c>
    </row>
    <row r="807" spans="1:72" x14ac:dyDescent="0.15">
      <c r="A807" t="s">
        <v>98</v>
      </c>
      <c r="B807" t="s">
        <v>27434</v>
      </c>
      <c r="C807" t="s">
        <v>74</v>
      </c>
      <c r="D807" t="s">
        <v>74</v>
      </c>
      <c r="E807" t="s">
        <v>74</v>
      </c>
      <c r="F807" t="s">
        <v>27434</v>
      </c>
      <c r="G807" t="s">
        <v>74</v>
      </c>
      <c r="H807" t="s">
        <v>74</v>
      </c>
      <c r="I807" t="s">
        <v>27435</v>
      </c>
      <c r="J807" t="s">
        <v>27436</v>
      </c>
      <c r="K807" t="s">
        <v>74</v>
      </c>
      <c r="L807" t="s">
        <v>74</v>
      </c>
      <c r="M807" t="s">
        <v>74</v>
      </c>
      <c r="N807" t="s">
        <v>103</v>
      </c>
      <c r="O807" t="s">
        <v>74</v>
      </c>
      <c r="P807" t="s">
        <v>74</v>
      </c>
      <c r="Q807" t="s">
        <v>74</v>
      </c>
      <c r="R807" t="s">
        <v>74</v>
      </c>
      <c r="S807" t="s">
        <v>74</v>
      </c>
      <c r="T807" t="s">
        <v>74</v>
      </c>
      <c r="U807" t="s">
        <v>27437</v>
      </c>
      <c r="V807" t="s">
        <v>27438</v>
      </c>
      <c r="W807" t="s">
        <v>27439</v>
      </c>
      <c r="X807" t="s">
        <v>13079</v>
      </c>
      <c r="Y807" t="s">
        <v>74</v>
      </c>
      <c r="Z807" t="s">
        <v>74</v>
      </c>
      <c r="AA807" t="s">
        <v>74</v>
      </c>
      <c r="AB807" t="s">
        <v>74</v>
      </c>
      <c r="AC807" t="s">
        <v>74</v>
      </c>
      <c r="AD807" t="s">
        <v>74</v>
      </c>
      <c r="AE807" t="s">
        <v>74</v>
      </c>
      <c r="AF807" t="s">
        <v>74</v>
      </c>
      <c r="AG807">
        <v>146</v>
      </c>
      <c r="AH807">
        <v>22</v>
      </c>
      <c r="AI807">
        <v>22</v>
      </c>
      <c r="AJ807">
        <v>0</v>
      </c>
      <c r="AK807">
        <v>0</v>
      </c>
      <c r="AL807" t="s">
        <v>74</v>
      </c>
      <c r="AM807" t="s">
        <v>74</v>
      </c>
      <c r="AN807" t="s">
        <v>74</v>
      </c>
      <c r="AO807" t="s">
        <v>27440</v>
      </c>
      <c r="AP807" t="s">
        <v>74</v>
      </c>
      <c r="AQ807" t="s">
        <v>74</v>
      </c>
      <c r="AR807" t="s">
        <v>74</v>
      </c>
      <c r="AS807" t="s">
        <v>74</v>
      </c>
      <c r="AT807" t="s">
        <v>74</v>
      </c>
      <c r="AU807">
        <v>1994</v>
      </c>
      <c r="AV807" t="s">
        <v>74</v>
      </c>
      <c r="AW807" t="s">
        <v>74</v>
      </c>
      <c r="AX807" t="s">
        <v>74</v>
      </c>
      <c r="AY807">
        <v>162</v>
      </c>
      <c r="AZ807" t="s">
        <v>74</v>
      </c>
      <c r="BA807" t="s">
        <v>74</v>
      </c>
      <c r="BB807">
        <v>7</v>
      </c>
      <c r="BC807">
        <v>40</v>
      </c>
      <c r="BD807" t="s">
        <v>74</v>
      </c>
      <c r="BE807" t="s">
        <v>74</v>
      </c>
      <c r="BF807" t="s">
        <v>74</v>
      </c>
      <c r="BG807" t="s">
        <v>74</v>
      </c>
      <c r="BH807" t="s">
        <v>74</v>
      </c>
      <c r="BI807" t="s">
        <v>74</v>
      </c>
      <c r="BJ807" t="s">
        <v>2193</v>
      </c>
      <c r="BK807" t="s">
        <v>117</v>
      </c>
      <c r="BL807" t="s">
        <v>2193</v>
      </c>
      <c r="BM807" t="s">
        <v>74</v>
      </c>
      <c r="BN807" t="s">
        <v>74</v>
      </c>
      <c r="BO807" t="s">
        <v>74</v>
      </c>
      <c r="BP807" t="s">
        <v>74</v>
      </c>
      <c r="BQ807" t="s">
        <v>74</v>
      </c>
      <c r="BR807" t="s">
        <v>96</v>
      </c>
      <c r="BS807" t="s">
        <v>27441</v>
      </c>
      <c r="BT807" t="str">
        <f>HYPERLINK("https%3A%2F%2Fwww.webofscience.com%2Fwos%2Fwoscc%2Ffull-record%2FWOS:A1994PK11300002","View Full Record in Web of Science")</f>
        <v>View Full Record in Web of Science</v>
      </c>
    </row>
    <row r="808" spans="1:72" x14ac:dyDescent="0.15">
      <c r="A808" t="s">
        <v>98</v>
      </c>
      <c r="B808" t="s">
        <v>28037</v>
      </c>
      <c r="C808" t="s">
        <v>74</v>
      </c>
      <c r="D808" t="s">
        <v>74</v>
      </c>
      <c r="E808" t="s">
        <v>74</v>
      </c>
      <c r="F808" t="s">
        <v>28038</v>
      </c>
      <c r="G808" t="s">
        <v>74</v>
      </c>
      <c r="H808" t="s">
        <v>74</v>
      </c>
      <c r="I808" t="s">
        <v>28039</v>
      </c>
      <c r="J808" t="s">
        <v>25334</v>
      </c>
      <c r="K808" t="s">
        <v>74</v>
      </c>
      <c r="L808" t="s">
        <v>74</v>
      </c>
      <c r="M808" t="s">
        <v>74</v>
      </c>
      <c r="N808" t="s">
        <v>103</v>
      </c>
      <c r="O808" t="s">
        <v>74</v>
      </c>
      <c r="P808" t="s">
        <v>74</v>
      </c>
      <c r="Q808" t="s">
        <v>74</v>
      </c>
      <c r="R808" t="s">
        <v>74</v>
      </c>
      <c r="S808" t="s">
        <v>74</v>
      </c>
      <c r="T808" t="s">
        <v>74</v>
      </c>
      <c r="U808" t="s">
        <v>28040</v>
      </c>
      <c r="V808" t="s">
        <v>28041</v>
      </c>
      <c r="W808" t="s">
        <v>28042</v>
      </c>
      <c r="X808" t="s">
        <v>28043</v>
      </c>
      <c r="Y808" t="s">
        <v>28044</v>
      </c>
      <c r="Z808" t="s">
        <v>28045</v>
      </c>
      <c r="AA808" t="s">
        <v>28046</v>
      </c>
      <c r="AB808" t="s">
        <v>28047</v>
      </c>
      <c r="AC808" t="s">
        <v>74</v>
      </c>
      <c r="AD808" t="s">
        <v>74</v>
      </c>
      <c r="AE808" t="s">
        <v>74</v>
      </c>
      <c r="AF808" t="s">
        <v>74</v>
      </c>
      <c r="AG808">
        <v>41</v>
      </c>
      <c r="AH808">
        <v>22</v>
      </c>
      <c r="AI808">
        <v>23</v>
      </c>
      <c r="AJ808">
        <v>0</v>
      </c>
      <c r="AK808">
        <v>3</v>
      </c>
      <c r="AL808" t="s">
        <v>74</v>
      </c>
      <c r="AM808" t="s">
        <v>74</v>
      </c>
      <c r="AN808" t="s">
        <v>74</v>
      </c>
      <c r="AO808" t="s">
        <v>74</v>
      </c>
      <c r="AP808" t="s">
        <v>25343</v>
      </c>
      <c r="AQ808" t="s">
        <v>74</v>
      </c>
      <c r="AR808" t="s">
        <v>74</v>
      </c>
      <c r="AS808" t="s">
        <v>74</v>
      </c>
      <c r="AT808" t="s">
        <v>1029</v>
      </c>
      <c r="AU808">
        <v>2019</v>
      </c>
      <c r="AV808">
        <v>18</v>
      </c>
      <c r="AW808">
        <v>5</v>
      </c>
      <c r="AX808" t="s">
        <v>74</v>
      </c>
      <c r="AY808" t="s">
        <v>74</v>
      </c>
      <c r="AZ808" t="s">
        <v>74</v>
      </c>
      <c r="BA808" t="s">
        <v>74</v>
      </c>
      <c r="BB808">
        <v>865</v>
      </c>
      <c r="BC808">
        <v>875</v>
      </c>
      <c r="BD808" t="s">
        <v>74</v>
      </c>
      <c r="BE808" t="s">
        <v>28048</v>
      </c>
      <c r="BF808" t="str">
        <f>HYPERLINK("http://dx.doi.org/10.1074/mcp.RA119.001362","http://dx.doi.org/10.1074/mcp.RA119.001362")</f>
        <v>http://dx.doi.org/10.1074/mcp.RA119.001362</v>
      </c>
      <c r="BG808" t="s">
        <v>74</v>
      </c>
      <c r="BH808" t="s">
        <v>74</v>
      </c>
      <c r="BI808" t="s">
        <v>74</v>
      </c>
      <c r="BJ808" t="s">
        <v>812</v>
      </c>
      <c r="BK808" t="s">
        <v>117</v>
      </c>
      <c r="BL808" t="s">
        <v>95</v>
      </c>
      <c r="BM808" t="s">
        <v>74</v>
      </c>
      <c r="BN808" t="s">
        <v>74</v>
      </c>
      <c r="BO808" t="s">
        <v>74</v>
      </c>
      <c r="BP808" t="s">
        <v>74</v>
      </c>
      <c r="BQ808" t="s">
        <v>74</v>
      </c>
      <c r="BR808" t="s">
        <v>96</v>
      </c>
      <c r="BS808" t="s">
        <v>28049</v>
      </c>
      <c r="BT808" t="str">
        <f>HYPERLINK("https%3A%2F%2Fwww.webofscience.com%2Fwos%2Fwoscc%2Ffull-record%2FWOS:000467185700004","View Full Record in Web of Science")</f>
        <v>View Full Record in Web of Science</v>
      </c>
    </row>
    <row r="809" spans="1:72" x14ac:dyDescent="0.15">
      <c r="A809" t="s">
        <v>98</v>
      </c>
      <c r="B809" t="s">
        <v>29232</v>
      </c>
      <c r="C809" t="s">
        <v>74</v>
      </c>
      <c r="D809" t="s">
        <v>74</v>
      </c>
      <c r="E809" t="s">
        <v>74</v>
      </c>
      <c r="F809" t="s">
        <v>29233</v>
      </c>
      <c r="G809" t="s">
        <v>74</v>
      </c>
      <c r="H809" t="s">
        <v>74</v>
      </c>
      <c r="I809" t="s">
        <v>29234</v>
      </c>
      <c r="J809" t="s">
        <v>572</v>
      </c>
      <c r="K809" t="s">
        <v>74</v>
      </c>
      <c r="L809" t="s">
        <v>74</v>
      </c>
      <c r="M809" t="s">
        <v>74</v>
      </c>
      <c r="N809" t="s">
        <v>103</v>
      </c>
      <c r="O809" t="s">
        <v>74</v>
      </c>
      <c r="P809" t="s">
        <v>74</v>
      </c>
      <c r="Q809" t="s">
        <v>74</v>
      </c>
      <c r="R809" t="s">
        <v>74</v>
      </c>
      <c r="S809" t="s">
        <v>74</v>
      </c>
      <c r="T809" t="s">
        <v>29235</v>
      </c>
      <c r="U809" t="s">
        <v>29236</v>
      </c>
      <c r="V809" t="s">
        <v>29237</v>
      </c>
      <c r="W809" t="s">
        <v>29238</v>
      </c>
      <c r="X809" t="s">
        <v>29239</v>
      </c>
      <c r="Y809" t="s">
        <v>29240</v>
      </c>
      <c r="Z809" t="s">
        <v>29241</v>
      </c>
      <c r="AA809" t="s">
        <v>74</v>
      </c>
      <c r="AB809" t="s">
        <v>74</v>
      </c>
      <c r="AC809" t="s">
        <v>74</v>
      </c>
      <c r="AD809" t="s">
        <v>74</v>
      </c>
      <c r="AE809" t="s">
        <v>74</v>
      </c>
      <c r="AF809" t="s">
        <v>74</v>
      </c>
      <c r="AG809">
        <v>26</v>
      </c>
      <c r="AH809">
        <v>22</v>
      </c>
      <c r="AI809">
        <v>23</v>
      </c>
      <c r="AJ809">
        <v>0</v>
      </c>
      <c r="AK809">
        <v>8</v>
      </c>
      <c r="AL809" t="s">
        <v>74</v>
      </c>
      <c r="AM809" t="s">
        <v>74</v>
      </c>
      <c r="AN809" t="s">
        <v>74</v>
      </c>
      <c r="AO809" t="s">
        <v>580</v>
      </c>
      <c r="AP809" t="s">
        <v>74</v>
      </c>
      <c r="AQ809" t="s">
        <v>74</v>
      </c>
      <c r="AR809" t="s">
        <v>74</v>
      </c>
      <c r="AS809" t="s">
        <v>74</v>
      </c>
      <c r="AT809" t="s">
        <v>74</v>
      </c>
      <c r="AU809">
        <v>2008</v>
      </c>
      <c r="AV809">
        <v>123</v>
      </c>
      <c r="AW809">
        <v>2</v>
      </c>
      <c r="AX809" t="s">
        <v>74</v>
      </c>
      <c r="AY809" t="s">
        <v>74</v>
      </c>
      <c r="AZ809" t="s">
        <v>74</v>
      </c>
      <c r="BA809" t="s">
        <v>74</v>
      </c>
      <c r="BB809">
        <v>324</v>
      </c>
      <c r="BC809">
        <v>330</v>
      </c>
      <c r="BD809" t="s">
        <v>74</v>
      </c>
      <c r="BE809" t="s">
        <v>29242</v>
      </c>
      <c r="BF809" t="str">
        <f>HYPERLINK("http://dx.doi.org/10.1016/j.thromres.2008.06.021","http://dx.doi.org/10.1016/j.thromres.2008.06.021")</f>
        <v>http://dx.doi.org/10.1016/j.thromres.2008.06.021</v>
      </c>
      <c r="BG809" t="s">
        <v>74</v>
      </c>
      <c r="BH809" t="s">
        <v>74</v>
      </c>
      <c r="BI809" t="s">
        <v>74</v>
      </c>
      <c r="BJ809" t="s">
        <v>584</v>
      </c>
      <c r="BK809" t="s">
        <v>117</v>
      </c>
      <c r="BL809" t="s">
        <v>585</v>
      </c>
      <c r="BM809" t="s">
        <v>74</v>
      </c>
      <c r="BN809">
        <v>18694587</v>
      </c>
      <c r="BO809" t="s">
        <v>74</v>
      </c>
      <c r="BP809" t="s">
        <v>74</v>
      </c>
      <c r="BQ809" t="s">
        <v>74</v>
      </c>
      <c r="BR809" t="s">
        <v>96</v>
      </c>
      <c r="BS809" t="s">
        <v>29243</v>
      </c>
      <c r="BT809" t="str">
        <f>HYPERLINK("https%3A%2F%2Fwww.webofscience.com%2Fwos%2Fwoscc%2Ffull-record%2FWOS:000261583500020","View Full Record in Web of Science")</f>
        <v>View Full Record in Web of Science</v>
      </c>
    </row>
    <row r="810" spans="1:72" x14ac:dyDescent="0.15">
      <c r="A810" t="s">
        <v>98</v>
      </c>
      <c r="B810" t="s">
        <v>1448</v>
      </c>
      <c r="C810" t="s">
        <v>74</v>
      </c>
      <c r="D810" t="s">
        <v>74</v>
      </c>
      <c r="E810" t="s">
        <v>74</v>
      </c>
      <c r="F810" t="s">
        <v>1449</v>
      </c>
      <c r="G810" t="s">
        <v>74</v>
      </c>
      <c r="H810" t="s">
        <v>74</v>
      </c>
      <c r="I810" t="s">
        <v>1450</v>
      </c>
      <c r="J810" t="s">
        <v>1451</v>
      </c>
      <c r="K810" t="s">
        <v>74</v>
      </c>
      <c r="L810" t="s">
        <v>74</v>
      </c>
      <c r="M810" t="s">
        <v>74</v>
      </c>
      <c r="N810" t="s">
        <v>103</v>
      </c>
      <c r="O810" t="s">
        <v>74</v>
      </c>
      <c r="P810" t="s">
        <v>74</v>
      </c>
      <c r="Q810" t="s">
        <v>74</v>
      </c>
      <c r="R810" t="s">
        <v>74</v>
      </c>
      <c r="S810" t="s">
        <v>74</v>
      </c>
      <c r="T810" t="s">
        <v>1452</v>
      </c>
      <c r="U810" t="s">
        <v>1453</v>
      </c>
      <c r="V810" t="s">
        <v>1454</v>
      </c>
      <c r="W810" t="s">
        <v>1455</v>
      </c>
      <c r="X810" t="s">
        <v>1456</v>
      </c>
      <c r="Y810" t="s">
        <v>1457</v>
      </c>
      <c r="Z810" t="s">
        <v>1458</v>
      </c>
      <c r="AA810" t="s">
        <v>1459</v>
      </c>
      <c r="AB810" t="s">
        <v>1460</v>
      </c>
      <c r="AC810" t="s">
        <v>74</v>
      </c>
      <c r="AD810" t="s">
        <v>74</v>
      </c>
      <c r="AE810" t="s">
        <v>74</v>
      </c>
      <c r="AF810" t="s">
        <v>74</v>
      </c>
      <c r="AG810">
        <v>57</v>
      </c>
      <c r="AH810">
        <v>21</v>
      </c>
      <c r="AI810">
        <v>22</v>
      </c>
      <c r="AJ810">
        <v>3</v>
      </c>
      <c r="AK810">
        <v>27</v>
      </c>
      <c r="AL810" t="s">
        <v>74</v>
      </c>
      <c r="AM810" t="s">
        <v>74</v>
      </c>
      <c r="AN810" t="s">
        <v>74</v>
      </c>
      <c r="AO810" t="s">
        <v>1461</v>
      </c>
      <c r="AP810" t="s">
        <v>1462</v>
      </c>
      <c r="AQ810" t="s">
        <v>74</v>
      </c>
      <c r="AR810" t="s">
        <v>74</v>
      </c>
      <c r="AS810" t="s">
        <v>74</v>
      </c>
      <c r="AT810" t="s">
        <v>74</v>
      </c>
      <c r="AU810">
        <v>2015</v>
      </c>
      <c r="AV810">
        <v>18</v>
      </c>
      <c r="AW810">
        <v>3</v>
      </c>
      <c r="AX810" t="s">
        <v>74</v>
      </c>
      <c r="AY810" t="s">
        <v>74</v>
      </c>
      <c r="AZ810" t="s">
        <v>74</v>
      </c>
      <c r="BA810" t="s">
        <v>74</v>
      </c>
      <c r="BB810">
        <v>177</v>
      </c>
      <c r="BC810">
        <v>187</v>
      </c>
      <c r="BD810" t="s">
        <v>74</v>
      </c>
      <c r="BE810" t="s">
        <v>1463</v>
      </c>
      <c r="BF810" t="str">
        <f>HYPERLINK("http://dx.doi.org/10.2436/20.1501.01.248","http://dx.doi.org/10.2436/20.1501.01.248")</f>
        <v>http://dx.doi.org/10.2436/20.1501.01.248</v>
      </c>
      <c r="BG810" t="s">
        <v>74</v>
      </c>
      <c r="BH810" t="s">
        <v>74</v>
      </c>
      <c r="BI810" t="s">
        <v>74</v>
      </c>
      <c r="BJ810" t="s">
        <v>1464</v>
      </c>
      <c r="BK810" t="s">
        <v>117</v>
      </c>
      <c r="BL810" t="s">
        <v>1464</v>
      </c>
      <c r="BM810" t="s">
        <v>74</v>
      </c>
      <c r="BN810">
        <v>27036745</v>
      </c>
      <c r="BO810" t="s">
        <v>74</v>
      </c>
      <c r="BP810" t="s">
        <v>74</v>
      </c>
      <c r="BQ810" t="s">
        <v>74</v>
      </c>
      <c r="BR810" t="s">
        <v>96</v>
      </c>
      <c r="BS810" t="s">
        <v>1465</v>
      </c>
      <c r="BT810" t="str">
        <f>HYPERLINK("https%3A%2F%2Fwww.webofscience.com%2Fwos%2Fwoscc%2Ffull-record%2FWOS:000377768600006","View Full Record in Web of Science")</f>
        <v>View Full Record in Web of Science</v>
      </c>
    </row>
    <row r="811" spans="1:72" x14ac:dyDescent="0.15">
      <c r="A811" t="s">
        <v>98</v>
      </c>
      <c r="B811" t="s">
        <v>2246</v>
      </c>
      <c r="C811" t="s">
        <v>74</v>
      </c>
      <c r="D811" t="s">
        <v>74</v>
      </c>
      <c r="E811" t="s">
        <v>74</v>
      </c>
      <c r="F811" t="s">
        <v>2247</v>
      </c>
      <c r="G811" t="s">
        <v>74</v>
      </c>
      <c r="H811" t="s">
        <v>74</v>
      </c>
      <c r="I811" t="s">
        <v>2248</v>
      </c>
      <c r="J811" t="s">
        <v>2051</v>
      </c>
      <c r="K811" t="s">
        <v>74</v>
      </c>
      <c r="L811" t="s">
        <v>74</v>
      </c>
      <c r="M811" t="s">
        <v>74</v>
      </c>
      <c r="N811" t="s">
        <v>103</v>
      </c>
      <c r="O811" t="s">
        <v>74</v>
      </c>
      <c r="P811" t="s">
        <v>74</v>
      </c>
      <c r="Q811" t="s">
        <v>74</v>
      </c>
      <c r="R811" t="s">
        <v>74</v>
      </c>
      <c r="S811" t="s">
        <v>74</v>
      </c>
      <c r="T811" t="s">
        <v>2249</v>
      </c>
      <c r="U811" t="s">
        <v>2250</v>
      </c>
      <c r="V811" t="s">
        <v>2251</v>
      </c>
      <c r="W811" t="s">
        <v>2252</v>
      </c>
      <c r="X811" t="s">
        <v>2253</v>
      </c>
      <c r="Y811" t="s">
        <v>2254</v>
      </c>
      <c r="Z811" t="s">
        <v>2255</v>
      </c>
      <c r="AA811" t="s">
        <v>2256</v>
      </c>
      <c r="AB811" t="s">
        <v>2257</v>
      </c>
      <c r="AC811" t="s">
        <v>74</v>
      </c>
      <c r="AD811" t="s">
        <v>74</v>
      </c>
      <c r="AE811" t="s">
        <v>74</v>
      </c>
      <c r="AF811" t="s">
        <v>74</v>
      </c>
      <c r="AG811">
        <v>47</v>
      </c>
      <c r="AH811">
        <v>21</v>
      </c>
      <c r="AI811">
        <v>21</v>
      </c>
      <c r="AJ811">
        <v>3</v>
      </c>
      <c r="AK811">
        <v>9</v>
      </c>
      <c r="AL811" t="s">
        <v>74</v>
      </c>
      <c r="AM811" t="s">
        <v>74</v>
      </c>
      <c r="AN811" t="s">
        <v>74</v>
      </c>
      <c r="AO811" t="s">
        <v>2061</v>
      </c>
      <c r="AP811" t="s">
        <v>74</v>
      </c>
      <c r="AQ811" t="s">
        <v>74</v>
      </c>
      <c r="AR811" t="s">
        <v>74</v>
      </c>
      <c r="AS811" t="s">
        <v>74</v>
      </c>
      <c r="AT811" t="s">
        <v>2258</v>
      </c>
      <c r="AU811">
        <v>2019</v>
      </c>
      <c r="AV811">
        <v>10</v>
      </c>
      <c r="AW811" t="s">
        <v>74</v>
      </c>
      <c r="AX811" t="s">
        <v>74</v>
      </c>
      <c r="AY811" t="s">
        <v>74</v>
      </c>
      <c r="AZ811" t="s">
        <v>74</v>
      </c>
      <c r="BA811" t="s">
        <v>74</v>
      </c>
      <c r="BB811" t="s">
        <v>74</v>
      </c>
      <c r="BC811" t="s">
        <v>74</v>
      </c>
      <c r="BD811">
        <v>876</v>
      </c>
      <c r="BE811" t="s">
        <v>2259</v>
      </c>
      <c r="BF811" t="str">
        <f>HYPERLINK("http://dx.doi.org/10.3389/fimmu.2019.00876","http://dx.doi.org/10.3389/fimmu.2019.00876")</f>
        <v>http://dx.doi.org/10.3389/fimmu.2019.00876</v>
      </c>
      <c r="BG811" t="s">
        <v>74</v>
      </c>
      <c r="BH811" t="s">
        <v>74</v>
      </c>
      <c r="BI811" t="s">
        <v>74</v>
      </c>
      <c r="BJ811" t="s">
        <v>2064</v>
      </c>
      <c r="BK811" t="s">
        <v>117</v>
      </c>
      <c r="BL811" t="s">
        <v>2064</v>
      </c>
      <c r="BM811" t="s">
        <v>74</v>
      </c>
      <c r="BN811">
        <v>31068945</v>
      </c>
      <c r="BO811" t="s">
        <v>74</v>
      </c>
      <c r="BP811" t="s">
        <v>74</v>
      </c>
      <c r="BQ811" t="s">
        <v>74</v>
      </c>
      <c r="BR811" t="s">
        <v>96</v>
      </c>
      <c r="BS811" t="s">
        <v>2260</v>
      </c>
      <c r="BT811" t="str">
        <f>HYPERLINK("https%3A%2F%2Fwww.webofscience.com%2Fwos%2Fwoscc%2Ffull-record%2FWOS:000465395900002","View Full Record in Web of Science")</f>
        <v>View Full Record in Web of Science</v>
      </c>
    </row>
    <row r="812" spans="1:72" x14ac:dyDescent="0.15">
      <c r="A812" t="s">
        <v>98</v>
      </c>
      <c r="B812" t="s">
        <v>2609</v>
      </c>
      <c r="C812" t="s">
        <v>74</v>
      </c>
      <c r="D812" t="s">
        <v>74</v>
      </c>
      <c r="E812" t="s">
        <v>74</v>
      </c>
      <c r="F812" t="s">
        <v>2610</v>
      </c>
      <c r="G812" t="s">
        <v>74</v>
      </c>
      <c r="H812" t="s">
        <v>74</v>
      </c>
      <c r="I812" t="s">
        <v>2611</v>
      </c>
      <c r="J812" t="s">
        <v>817</v>
      </c>
      <c r="K812" t="s">
        <v>74</v>
      </c>
      <c r="L812" t="s">
        <v>74</v>
      </c>
      <c r="M812" t="s">
        <v>74</v>
      </c>
      <c r="N812" t="s">
        <v>103</v>
      </c>
      <c r="O812" t="s">
        <v>74</v>
      </c>
      <c r="P812" t="s">
        <v>74</v>
      </c>
      <c r="Q812" t="s">
        <v>74</v>
      </c>
      <c r="R812" t="s">
        <v>74</v>
      </c>
      <c r="S812" t="s">
        <v>74</v>
      </c>
      <c r="T812" t="s">
        <v>2612</v>
      </c>
      <c r="U812" t="s">
        <v>2613</v>
      </c>
      <c r="V812" t="s">
        <v>2614</v>
      </c>
      <c r="W812" t="s">
        <v>2615</v>
      </c>
      <c r="X812" t="s">
        <v>2616</v>
      </c>
      <c r="Y812" t="s">
        <v>2617</v>
      </c>
      <c r="Z812" t="s">
        <v>2618</v>
      </c>
      <c r="AA812" t="s">
        <v>2619</v>
      </c>
      <c r="AB812" t="s">
        <v>2620</v>
      </c>
      <c r="AC812" t="s">
        <v>74</v>
      </c>
      <c r="AD812" t="s">
        <v>74</v>
      </c>
      <c r="AE812" t="s">
        <v>74</v>
      </c>
      <c r="AF812" t="s">
        <v>74</v>
      </c>
      <c r="AG812">
        <v>64</v>
      </c>
      <c r="AH812">
        <v>21</v>
      </c>
      <c r="AI812">
        <v>22</v>
      </c>
      <c r="AJ812">
        <v>0</v>
      </c>
      <c r="AK812">
        <v>21</v>
      </c>
      <c r="AL812" t="s">
        <v>74</v>
      </c>
      <c r="AM812" t="s">
        <v>74</v>
      </c>
      <c r="AN812" t="s">
        <v>74</v>
      </c>
      <c r="AO812" t="s">
        <v>827</v>
      </c>
      <c r="AP812" t="s">
        <v>74</v>
      </c>
      <c r="AQ812" t="s">
        <v>74</v>
      </c>
      <c r="AR812" t="s">
        <v>74</v>
      </c>
      <c r="AS812" t="s">
        <v>74</v>
      </c>
      <c r="AT812" t="s">
        <v>211</v>
      </c>
      <c r="AU812">
        <v>2017</v>
      </c>
      <c r="AV812">
        <v>18</v>
      </c>
      <c r="AW812">
        <v>11</v>
      </c>
      <c r="AX812" t="s">
        <v>74</v>
      </c>
      <c r="AY812" t="s">
        <v>74</v>
      </c>
      <c r="AZ812" t="s">
        <v>74</v>
      </c>
      <c r="BA812" t="s">
        <v>74</v>
      </c>
      <c r="BB812" t="s">
        <v>74</v>
      </c>
      <c r="BC812" t="s">
        <v>74</v>
      </c>
      <c r="BD812">
        <v>2488</v>
      </c>
      <c r="BE812" t="s">
        <v>2621</v>
      </c>
      <c r="BF812" t="str">
        <f>HYPERLINK("http://dx.doi.org/10.3390/ijms18112488","http://dx.doi.org/10.3390/ijms18112488")</f>
        <v>http://dx.doi.org/10.3390/ijms18112488</v>
      </c>
      <c r="BG812" t="s">
        <v>74</v>
      </c>
      <c r="BH812" t="s">
        <v>74</v>
      </c>
      <c r="BI812" t="s">
        <v>74</v>
      </c>
      <c r="BJ812" t="s">
        <v>830</v>
      </c>
      <c r="BK812" t="s">
        <v>117</v>
      </c>
      <c r="BL812" t="s">
        <v>831</v>
      </c>
      <c r="BM812" t="s">
        <v>74</v>
      </c>
      <c r="BN812">
        <v>29165341</v>
      </c>
      <c r="BO812" t="s">
        <v>74</v>
      </c>
      <c r="BP812" t="s">
        <v>74</v>
      </c>
      <c r="BQ812" t="s">
        <v>74</v>
      </c>
      <c r="BR812" t="s">
        <v>96</v>
      </c>
      <c r="BS812" t="s">
        <v>2622</v>
      </c>
      <c r="BT812" t="str">
        <f>HYPERLINK("https%3A%2F%2Fwww.webofscience.com%2Fwos%2Fwoscc%2Ffull-record%2FWOS:000416811300258","View Full Record in Web of Science")</f>
        <v>View Full Record in Web of Science</v>
      </c>
    </row>
    <row r="813" spans="1:72" x14ac:dyDescent="0.15">
      <c r="A813" t="s">
        <v>98</v>
      </c>
      <c r="B813" t="s">
        <v>2721</v>
      </c>
      <c r="C813" t="s">
        <v>74</v>
      </c>
      <c r="D813" t="s">
        <v>74</v>
      </c>
      <c r="E813" t="s">
        <v>74</v>
      </c>
      <c r="F813" t="s">
        <v>2722</v>
      </c>
      <c r="G813" t="s">
        <v>74</v>
      </c>
      <c r="H813" t="s">
        <v>74</v>
      </c>
      <c r="I813" t="s">
        <v>2723</v>
      </c>
      <c r="J813" t="s">
        <v>2724</v>
      </c>
      <c r="K813" t="s">
        <v>74</v>
      </c>
      <c r="L813" t="s">
        <v>74</v>
      </c>
      <c r="M813" t="s">
        <v>74</v>
      </c>
      <c r="N813" t="s">
        <v>103</v>
      </c>
      <c r="O813" t="s">
        <v>74</v>
      </c>
      <c r="P813" t="s">
        <v>74</v>
      </c>
      <c r="Q813" t="s">
        <v>74</v>
      </c>
      <c r="R813" t="s">
        <v>74</v>
      </c>
      <c r="S813" t="s">
        <v>74</v>
      </c>
      <c r="T813" t="s">
        <v>2725</v>
      </c>
      <c r="U813" t="s">
        <v>2726</v>
      </c>
      <c r="V813" t="s">
        <v>2727</v>
      </c>
      <c r="W813" t="s">
        <v>2728</v>
      </c>
      <c r="X813" t="s">
        <v>2729</v>
      </c>
      <c r="Y813" t="s">
        <v>2730</v>
      </c>
      <c r="Z813" t="s">
        <v>2731</v>
      </c>
      <c r="AA813" t="s">
        <v>2732</v>
      </c>
      <c r="AB813" t="s">
        <v>2733</v>
      </c>
      <c r="AC813" t="s">
        <v>74</v>
      </c>
      <c r="AD813" t="s">
        <v>74</v>
      </c>
      <c r="AE813" t="s">
        <v>74</v>
      </c>
      <c r="AF813" t="s">
        <v>74</v>
      </c>
      <c r="AG813">
        <v>28</v>
      </c>
      <c r="AH813">
        <v>21</v>
      </c>
      <c r="AI813">
        <v>21</v>
      </c>
      <c r="AJ813">
        <v>0</v>
      </c>
      <c r="AK813">
        <v>4</v>
      </c>
      <c r="AL813" t="s">
        <v>74</v>
      </c>
      <c r="AM813" t="s">
        <v>74</v>
      </c>
      <c r="AN813" t="s">
        <v>74</v>
      </c>
      <c r="AO813" t="s">
        <v>2734</v>
      </c>
      <c r="AP813" t="s">
        <v>74</v>
      </c>
      <c r="AQ813" t="s">
        <v>74</v>
      </c>
      <c r="AR813" t="s">
        <v>74</v>
      </c>
      <c r="AS813" t="s">
        <v>74</v>
      </c>
      <c r="AT813" t="s">
        <v>74</v>
      </c>
      <c r="AU813">
        <v>2011</v>
      </c>
      <c r="AV813">
        <v>11</v>
      </c>
      <c r="AW813" t="s">
        <v>74</v>
      </c>
      <c r="AX813" t="s">
        <v>74</v>
      </c>
      <c r="AY813" t="s">
        <v>74</v>
      </c>
      <c r="AZ813" t="s">
        <v>74</v>
      </c>
      <c r="BA813" t="s">
        <v>74</v>
      </c>
      <c r="BB813">
        <v>1120</v>
      </c>
      <c r="BC813">
        <v>1130</v>
      </c>
      <c r="BD813" t="s">
        <v>74</v>
      </c>
      <c r="BE813" t="s">
        <v>2735</v>
      </c>
      <c r="BF813" t="str">
        <f>HYPERLINK("http://dx.doi.org/10.1100/tsw.2011.109","http://dx.doi.org/10.1100/tsw.2011.109")</f>
        <v>http://dx.doi.org/10.1100/tsw.2011.109</v>
      </c>
      <c r="BG813" t="s">
        <v>74</v>
      </c>
      <c r="BH813" t="s">
        <v>74</v>
      </c>
      <c r="BI813" t="s">
        <v>74</v>
      </c>
      <c r="BJ813" t="s">
        <v>2736</v>
      </c>
      <c r="BK813" t="s">
        <v>117</v>
      </c>
      <c r="BL813" t="s">
        <v>2737</v>
      </c>
      <c r="BM813" t="s">
        <v>74</v>
      </c>
      <c r="BN813">
        <v>21623458</v>
      </c>
      <c r="BO813" t="s">
        <v>74</v>
      </c>
      <c r="BP813" t="s">
        <v>74</v>
      </c>
      <c r="BQ813" t="s">
        <v>74</v>
      </c>
      <c r="BR813" t="s">
        <v>96</v>
      </c>
      <c r="BS813" t="s">
        <v>2738</v>
      </c>
      <c r="BT813" t="str">
        <f>HYPERLINK("https%3A%2F%2Fwww.webofscience.com%2Fwos%2Fwoscc%2Ffull-record%2FWOS:000310229700026","View Full Record in Web of Science")</f>
        <v>View Full Record in Web of Science</v>
      </c>
    </row>
    <row r="814" spans="1:72" x14ac:dyDescent="0.15">
      <c r="A814" t="s">
        <v>98</v>
      </c>
      <c r="B814" t="s">
        <v>8209</v>
      </c>
      <c r="C814" t="s">
        <v>74</v>
      </c>
      <c r="D814" t="s">
        <v>74</v>
      </c>
      <c r="E814" t="s">
        <v>74</v>
      </c>
      <c r="F814" t="s">
        <v>8210</v>
      </c>
      <c r="G814" t="s">
        <v>74</v>
      </c>
      <c r="H814" t="s">
        <v>74</v>
      </c>
      <c r="I814" t="s">
        <v>8211</v>
      </c>
      <c r="J814" t="s">
        <v>2105</v>
      </c>
      <c r="K814" t="s">
        <v>74</v>
      </c>
      <c r="L814" t="s">
        <v>74</v>
      </c>
      <c r="M814" t="s">
        <v>74</v>
      </c>
      <c r="N814" t="s">
        <v>103</v>
      </c>
      <c r="O814" t="s">
        <v>74</v>
      </c>
      <c r="P814" t="s">
        <v>74</v>
      </c>
      <c r="Q814" t="s">
        <v>74</v>
      </c>
      <c r="R814" t="s">
        <v>74</v>
      </c>
      <c r="S814" t="s">
        <v>74</v>
      </c>
      <c r="T814" t="s">
        <v>8212</v>
      </c>
      <c r="U814" t="s">
        <v>8213</v>
      </c>
      <c r="V814" t="s">
        <v>8214</v>
      </c>
      <c r="W814" t="s">
        <v>8215</v>
      </c>
      <c r="X814" t="s">
        <v>8216</v>
      </c>
      <c r="Y814" t="s">
        <v>8217</v>
      </c>
      <c r="Z814" t="s">
        <v>8218</v>
      </c>
      <c r="AA814" t="s">
        <v>74</v>
      </c>
      <c r="AB814" t="s">
        <v>74</v>
      </c>
      <c r="AC814" t="s">
        <v>74</v>
      </c>
      <c r="AD814" t="s">
        <v>74</v>
      </c>
      <c r="AE814" t="s">
        <v>74</v>
      </c>
      <c r="AF814" t="s">
        <v>74</v>
      </c>
      <c r="AG814">
        <v>26</v>
      </c>
      <c r="AH814">
        <v>21</v>
      </c>
      <c r="AI814">
        <v>22</v>
      </c>
      <c r="AJ814">
        <v>2</v>
      </c>
      <c r="AK814">
        <v>8</v>
      </c>
      <c r="AL814" t="s">
        <v>74</v>
      </c>
      <c r="AM814" t="s">
        <v>74</v>
      </c>
      <c r="AN814" t="s">
        <v>74</v>
      </c>
      <c r="AO814" t="s">
        <v>2115</v>
      </c>
      <c r="AP814" t="s">
        <v>74</v>
      </c>
      <c r="AQ814" t="s">
        <v>74</v>
      </c>
      <c r="AR814" t="s">
        <v>74</v>
      </c>
      <c r="AS814" t="s">
        <v>74</v>
      </c>
      <c r="AT814" t="s">
        <v>5955</v>
      </c>
      <c r="AU814">
        <v>2019</v>
      </c>
      <c r="AV814">
        <v>9</v>
      </c>
      <c r="AW814" t="s">
        <v>74</v>
      </c>
      <c r="AX814" t="s">
        <v>74</v>
      </c>
      <c r="AY814" t="s">
        <v>74</v>
      </c>
      <c r="AZ814" t="s">
        <v>74</v>
      </c>
      <c r="BA814" t="s">
        <v>74</v>
      </c>
      <c r="BB814" t="s">
        <v>74</v>
      </c>
      <c r="BC814" t="s">
        <v>74</v>
      </c>
      <c r="BD814">
        <v>931</v>
      </c>
      <c r="BE814" t="s">
        <v>8219</v>
      </c>
      <c r="BF814" t="str">
        <f>HYPERLINK("http://dx.doi.org/10.3389/fonc.2019.00931","http://dx.doi.org/10.3389/fonc.2019.00931")</f>
        <v>http://dx.doi.org/10.3389/fonc.2019.00931</v>
      </c>
      <c r="BG814" t="s">
        <v>74</v>
      </c>
      <c r="BH814" t="s">
        <v>74</v>
      </c>
      <c r="BI814" t="s">
        <v>74</v>
      </c>
      <c r="BJ814" t="s">
        <v>267</v>
      </c>
      <c r="BK814" t="s">
        <v>117</v>
      </c>
      <c r="BL814" t="s">
        <v>267</v>
      </c>
      <c r="BM814" t="s">
        <v>74</v>
      </c>
      <c r="BN814">
        <v>31608233</v>
      </c>
      <c r="BO814" t="s">
        <v>74</v>
      </c>
      <c r="BP814" t="s">
        <v>74</v>
      </c>
      <c r="BQ814" t="s">
        <v>74</v>
      </c>
      <c r="BR814" t="s">
        <v>96</v>
      </c>
      <c r="BS814" t="s">
        <v>8220</v>
      </c>
      <c r="BT814" t="str">
        <f>HYPERLINK("https%3A%2F%2Fwww.webofscience.com%2Fwos%2Fwoscc%2Ffull-record%2FWOS:000487658600001","View Full Record in Web of Science")</f>
        <v>View Full Record in Web of Science</v>
      </c>
    </row>
    <row r="815" spans="1:72" x14ac:dyDescent="0.15">
      <c r="A815" t="s">
        <v>98</v>
      </c>
      <c r="B815" t="s">
        <v>8594</v>
      </c>
      <c r="C815" t="s">
        <v>74</v>
      </c>
      <c r="D815" t="s">
        <v>74</v>
      </c>
      <c r="E815" t="s">
        <v>74</v>
      </c>
      <c r="F815" t="s">
        <v>8595</v>
      </c>
      <c r="G815" t="s">
        <v>74</v>
      </c>
      <c r="H815" t="s">
        <v>74</v>
      </c>
      <c r="I815" t="s">
        <v>8596</v>
      </c>
      <c r="J815" t="s">
        <v>8597</v>
      </c>
      <c r="K815" t="s">
        <v>74</v>
      </c>
      <c r="L815" t="s">
        <v>74</v>
      </c>
      <c r="M815" t="s">
        <v>74</v>
      </c>
      <c r="N815" t="s">
        <v>103</v>
      </c>
      <c r="O815" t="s">
        <v>74</v>
      </c>
      <c r="P815" t="s">
        <v>74</v>
      </c>
      <c r="Q815" t="s">
        <v>74</v>
      </c>
      <c r="R815" t="s">
        <v>74</v>
      </c>
      <c r="S815" t="s">
        <v>74</v>
      </c>
      <c r="T815" t="s">
        <v>8598</v>
      </c>
      <c r="U815" t="s">
        <v>8599</v>
      </c>
      <c r="V815" t="s">
        <v>8600</v>
      </c>
      <c r="W815" t="s">
        <v>8601</v>
      </c>
      <c r="X815" t="s">
        <v>8602</v>
      </c>
      <c r="Y815" t="s">
        <v>8603</v>
      </c>
      <c r="Z815" t="s">
        <v>8604</v>
      </c>
      <c r="AA815" t="s">
        <v>8605</v>
      </c>
      <c r="AB815" t="s">
        <v>8606</v>
      </c>
      <c r="AC815" t="s">
        <v>74</v>
      </c>
      <c r="AD815" t="s">
        <v>74</v>
      </c>
      <c r="AE815" t="s">
        <v>74</v>
      </c>
      <c r="AF815" t="s">
        <v>74</v>
      </c>
      <c r="AG815">
        <v>34</v>
      </c>
      <c r="AH815">
        <v>21</v>
      </c>
      <c r="AI815">
        <v>21</v>
      </c>
      <c r="AJ815">
        <v>1</v>
      </c>
      <c r="AK815">
        <v>4</v>
      </c>
      <c r="AL815" t="s">
        <v>74</v>
      </c>
      <c r="AM815" t="s">
        <v>74</v>
      </c>
      <c r="AN815" t="s">
        <v>74</v>
      </c>
      <c r="AO815" t="s">
        <v>8607</v>
      </c>
      <c r="AP815" t="s">
        <v>74</v>
      </c>
      <c r="AQ815" t="s">
        <v>74</v>
      </c>
      <c r="AR815" t="s">
        <v>74</v>
      </c>
      <c r="AS815" t="s">
        <v>74</v>
      </c>
      <c r="AT815" t="s">
        <v>967</v>
      </c>
      <c r="AU815">
        <v>2016</v>
      </c>
      <c r="AV815">
        <v>5</v>
      </c>
      <c r="AW815">
        <v>12</v>
      </c>
      <c r="AX815" t="s">
        <v>74</v>
      </c>
      <c r="AY815" t="s">
        <v>74</v>
      </c>
      <c r="AZ815" t="s">
        <v>74</v>
      </c>
      <c r="BA815" t="s">
        <v>74</v>
      </c>
      <c r="BB815" t="s">
        <v>74</v>
      </c>
      <c r="BC815" t="s">
        <v>74</v>
      </c>
      <c r="BD815" t="s">
        <v>8608</v>
      </c>
      <c r="BE815" t="s">
        <v>8609</v>
      </c>
      <c r="BF815" t="str">
        <f>HYPERLINK("http://dx.doi.org/10.1161/JAHA.116.004207","http://dx.doi.org/10.1161/JAHA.116.004207")</f>
        <v>http://dx.doi.org/10.1161/JAHA.116.004207</v>
      </c>
      <c r="BG815" t="s">
        <v>74</v>
      </c>
      <c r="BH815" t="s">
        <v>74</v>
      </c>
      <c r="BI815" t="s">
        <v>74</v>
      </c>
      <c r="BJ815" t="s">
        <v>3811</v>
      </c>
      <c r="BK815" t="s">
        <v>117</v>
      </c>
      <c r="BL815" t="s">
        <v>3812</v>
      </c>
      <c r="BM815" t="s">
        <v>74</v>
      </c>
      <c r="BN815">
        <v>27919931</v>
      </c>
      <c r="BO815" t="s">
        <v>74</v>
      </c>
      <c r="BP815" t="s">
        <v>74</v>
      </c>
      <c r="BQ815" t="s">
        <v>74</v>
      </c>
      <c r="BR815" t="s">
        <v>96</v>
      </c>
      <c r="BS815" t="s">
        <v>8610</v>
      </c>
      <c r="BT815" t="str">
        <f>HYPERLINK("https%3A%2F%2Fwww.webofscience.com%2Fwos%2Fwoscc%2Ffull-record%2FWOS:000390787700022","View Full Record in Web of Science")</f>
        <v>View Full Record in Web of Science</v>
      </c>
    </row>
    <row r="816" spans="1:72" x14ac:dyDescent="0.15">
      <c r="A816" t="s">
        <v>98</v>
      </c>
      <c r="B816" t="s">
        <v>9989</v>
      </c>
      <c r="C816" t="s">
        <v>74</v>
      </c>
      <c r="D816" t="s">
        <v>74</v>
      </c>
      <c r="E816" t="s">
        <v>74</v>
      </c>
      <c r="F816" t="s">
        <v>9990</v>
      </c>
      <c r="G816" t="s">
        <v>74</v>
      </c>
      <c r="H816" t="s">
        <v>74</v>
      </c>
      <c r="I816" t="s">
        <v>9991</v>
      </c>
      <c r="J816" t="s">
        <v>9992</v>
      </c>
      <c r="K816" t="s">
        <v>74</v>
      </c>
      <c r="L816" t="s">
        <v>74</v>
      </c>
      <c r="M816" t="s">
        <v>74</v>
      </c>
      <c r="N816" t="s">
        <v>103</v>
      </c>
      <c r="O816" t="s">
        <v>74</v>
      </c>
      <c r="P816" t="s">
        <v>74</v>
      </c>
      <c r="Q816" t="s">
        <v>74</v>
      </c>
      <c r="R816" t="s">
        <v>74</v>
      </c>
      <c r="S816" t="s">
        <v>74</v>
      </c>
      <c r="T816" t="s">
        <v>9993</v>
      </c>
      <c r="U816" t="s">
        <v>9994</v>
      </c>
      <c r="V816" t="s">
        <v>9995</v>
      </c>
      <c r="W816" t="s">
        <v>9996</v>
      </c>
      <c r="X816" t="s">
        <v>9997</v>
      </c>
      <c r="Y816" t="s">
        <v>1490</v>
      </c>
      <c r="Z816" t="s">
        <v>6605</v>
      </c>
      <c r="AA816" t="s">
        <v>9998</v>
      </c>
      <c r="AB816" t="s">
        <v>9999</v>
      </c>
      <c r="AC816" t="s">
        <v>74</v>
      </c>
      <c r="AD816" t="s">
        <v>74</v>
      </c>
      <c r="AE816" t="s">
        <v>74</v>
      </c>
      <c r="AF816" t="s">
        <v>74</v>
      </c>
      <c r="AG816">
        <v>40</v>
      </c>
      <c r="AH816">
        <v>21</v>
      </c>
      <c r="AI816">
        <v>21</v>
      </c>
      <c r="AJ816">
        <v>2</v>
      </c>
      <c r="AK816">
        <v>15</v>
      </c>
      <c r="AL816" t="s">
        <v>74</v>
      </c>
      <c r="AM816" t="s">
        <v>74</v>
      </c>
      <c r="AN816" t="s">
        <v>74</v>
      </c>
      <c r="AO816" t="s">
        <v>10000</v>
      </c>
      <c r="AP816" t="s">
        <v>10001</v>
      </c>
      <c r="AQ816" t="s">
        <v>74</v>
      </c>
      <c r="AR816" t="s">
        <v>74</v>
      </c>
      <c r="AS816" t="s">
        <v>74</v>
      </c>
      <c r="AT816" t="s">
        <v>283</v>
      </c>
      <c r="AU816">
        <v>2018</v>
      </c>
      <c r="AV816">
        <v>96</v>
      </c>
      <c r="AW816">
        <v>2</v>
      </c>
      <c r="AX816" t="s">
        <v>74</v>
      </c>
      <c r="AY816" t="s">
        <v>74</v>
      </c>
      <c r="AZ816" t="s">
        <v>74</v>
      </c>
      <c r="BA816" t="s">
        <v>74</v>
      </c>
      <c r="BB816">
        <v>211</v>
      </c>
      <c r="BC816">
        <v>221</v>
      </c>
      <c r="BD816" t="s">
        <v>74</v>
      </c>
      <c r="BE816" t="s">
        <v>10002</v>
      </c>
      <c r="BF816" t="str">
        <f>HYPERLINK("http://dx.doi.org/10.1007/s00109-017-1617-2","http://dx.doi.org/10.1007/s00109-017-1617-2")</f>
        <v>http://dx.doi.org/10.1007/s00109-017-1617-2</v>
      </c>
      <c r="BG816" t="s">
        <v>74</v>
      </c>
      <c r="BH816" t="s">
        <v>74</v>
      </c>
      <c r="BI816" t="s">
        <v>74</v>
      </c>
      <c r="BJ816" t="s">
        <v>10003</v>
      </c>
      <c r="BK816" t="s">
        <v>117</v>
      </c>
      <c r="BL816" t="s">
        <v>10004</v>
      </c>
      <c r="BM816" t="s">
        <v>74</v>
      </c>
      <c r="BN816">
        <v>29282521</v>
      </c>
      <c r="BO816" t="s">
        <v>74</v>
      </c>
      <c r="BP816" t="s">
        <v>74</v>
      </c>
      <c r="BQ816" t="s">
        <v>74</v>
      </c>
      <c r="BR816" t="s">
        <v>96</v>
      </c>
      <c r="BS816" t="s">
        <v>10005</v>
      </c>
      <c r="BT816" t="str">
        <f>HYPERLINK("https%3A%2F%2Fwww.webofscience.com%2Fwos%2Fwoscc%2Ffull-record%2FWOS:000423123100009","View Full Record in Web of Science")</f>
        <v>View Full Record in Web of Science</v>
      </c>
    </row>
    <row r="817" spans="1:72" x14ac:dyDescent="0.15">
      <c r="A817" t="s">
        <v>98</v>
      </c>
      <c r="B817" t="s">
        <v>13943</v>
      </c>
      <c r="C817" t="s">
        <v>74</v>
      </c>
      <c r="D817" t="s">
        <v>74</v>
      </c>
      <c r="E817" t="s">
        <v>74</v>
      </c>
      <c r="F817" t="s">
        <v>13944</v>
      </c>
      <c r="G817" t="s">
        <v>74</v>
      </c>
      <c r="H817" t="s">
        <v>74</v>
      </c>
      <c r="I817" t="s">
        <v>13945</v>
      </c>
      <c r="J817" t="s">
        <v>658</v>
      </c>
      <c r="K817" t="s">
        <v>74</v>
      </c>
      <c r="L817" t="s">
        <v>74</v>
      </c>
      <c r="M817" t="s">
        <v>74</v>
      </c>
      <c r="N817" t="s">
        <v>103</v>
      </c>
      <c r="O817" t="s">
        <v>74</v>
      </c>
      <c r="P817" t="s">
        <v>74</v>
      </c>
      <c r="Q817" t="s">
        <v>74</v>
      </c>
      <c r="R817" t="s">
        <v>74</v>
      </c>
      <c r="S817" t="s">
        <v>74</v>
      </c>
      <c r="T817" t="s">
        <v>13946</v>
      </c>
      <c r="U817" t="s">
        <v>13947</v>
      </c>
      <c r="V817" t="s">
        <v>13948</v>
      </c>
      <c r="W817" t="s">
        <v>13949</v>
      </c>
      <c r="X817" t="s">
        <v>13950</v>
      </c>
      <c r="Y817" t="s">
        <v>13951</v>
      </c>
      <c r="Z817" t="s">
        <v>9114</v>
      </c>
      <c r="AA817" t="s">
        <v>13952</v>
      </c>
      <c r="AB817" t="s">
        <v>13953</v>
      </c>
      <c r="AC817" t="s">
        <v>74</v>
      </c>
      <c r="AD817" t="s">
        <v>74</v>
      </c>
      <c r="AE817" t="s">
        <v>74</v>
      </c>
      <c r="AF817" t="s">
        <v>74</v>
      </c>
      <c r="AG817">
        <v>45</v>
      </c>
      <c r="AH817">
        <v>21</v>
      </c>
      <c r="AI817">
        <v>21</v>
      </c>
      <c r="AJ817">
        <v>0</v>
      </c>
      <c r="AK817">
        <v>17</v>
      </c>
      <c r="AL817" t="s">
        <v>74</v>
      </c>
      <c r="AM817" t="s">
        <v>74</v>
      </c>
      <c r="AN817" t="s">
        <v>74</v>
      </c>
      <c r="AO817" t="s">
        <v>668</v>
      </c>
      <c r="AP817" t="s">
        <v>74</v>
      </c>
      <c r="AQ817" t="s">
        <v>74</v>
      </c>
      <c r="AR817" t="s">
        <v>74</v>
      </c>
      <c r="AS817" t="s">
        <v>74</v>
      </c>
      <c r="AT817" t="s">
        <v>2939</v>
      </c>
      <c r="AU817">
        <v>2013</v>
      </c>
      <c r="AV817">
        <v>110</v>
      </c>
      <c r="AW817">
        <v>50</v>
      </c>
      <c r="AX817" t="s">
        <v>74</v>
      </c>
      <c r="AY817" t="s">
        <v>74</v>
      </c>
      <c r="AZ817" t="s">
        <v>74</v>
      </c>
      <c r="BA817" t="s">
        <v>74</v>
      </c>
      <c r="BB817">
        <v>20182</v>
      </c>
      <c r="BC817">
        <v>20187</v>
      </c>
      <c r="BD817" t="s">
        <v>74</v>
      </c>
      <c r="BE817" t="s">
        <v>13954</v>
      </c>
      <c r="BF817" t="str">
        <f>HYPERLINK("http://dx.doi.org/10.1073/pnas.1311145110","http://dx.doi.org/10.1073/pnas.1311145110")</f>
        <v>http://dx.doi.org/10.1073/pnas.1311145110</v>
      </c>
      <c r="BG817" t="s">
        <v>74</v>
      </c>
      <c r="BH817" t="s">
        <v>74</v>
      </c>
      <c r="BI817" t="s">
        <v>74</v>
      </c>
      <c r="BJ817" t="s">
        <v>152</v>
      </c>
      <c r="BK817" t="s">
        <v>117</v>
      </c>
      <c r="BL817" t="s">
        <v>153</v>
      </c>
      <c r="BM817" t="s">
        <v>74</v>
      </c>
      <c r="BN817">
        <v>24277816</v>
      </c>
      <c r="BO817" t="s">
        <v>74</v>
      </c>
      <c r="BP817" t="s">
        <v>74</v>
      </c>
      <c r="BQ817" t="s">
        <v>74</v>
      </c>
      <c r="BR817" t="s">
        <v>96</v>
      </c>
      <c r="BS817" t="s">
        <v>13955</v>
      </c>
      <c r="BT817" t="str">
        <f>HYPERLINK("https%3A%2F%2Fwww.webofscience.com%2Fwos%2Fwoscc%2Ffull-record%2FWOS:000328061700056","View Full Record in Web of Science")</f>
        <v>View Full Record in Web of Science</v>
      </c>
    </row>
    <row r="818" spans="1:72" x14ac:dyDescent="0.15">
      <c r="A818" t="s">
        <v>98</v>
      </c>
      <c r="B818" t="s">
        <v>18096</v>
      </c>
      <c r="C818" t="s">
        <v>74</v>
      </c>
      <c r="D818" t="s">
        <v>74</v>
      </c>
      <c r="E818" t="s">
        <v>74</v>
      </c>
      <c r="F818" t="s">
        <v>18097</v>
      </c>
      <c r="G818" t="s">
        <v>74</v>
      </c>
      <c r="H818" t="s">
        <v>74</v>
      </c>
      <c r="I818" t="s">
        <v>18098</v>
      </c>
      <c r="J818" t="s">
        <v>18099</v>
      </c>
      <c r="K818" t="s">
        <v>74</v>
      </c>
      <c r="L818" t="s">
        <v>74</v>
      </c>
      <c r="M818" t="s">
        <v>74</v>
      </c>
      <c r="N818" t="s">
        <v>103</v>
      </c>
      <c r="O818" t="s">
        <v>74</v>
      </c>
      <c r="P818" t="s">
        <v>74</v>
      </c>
      <c r="Q818" t="s">
        <v>74</v>
      </c>
      <c r="R818" t="s">
        <v>74</v>
      </c>
      <c r="S818" t="s">
        <v>74</v>
      </c>
      <c r="T818" t="s">
        <v>18100</v>
      </c>
      <c r="U818" t="s">
        <v>18101</v>
      </c>
      <c r="V818" t="s">
        <v>18102</v>
      </c>
      <c r="W818" t="s">
        <v>18103</v>
      </c>
      <c r="X818" t="s">
        <v>18104</v>
      </c>
      <c r="Y818" t="s">
        <v>18105</v>
      </c>
      <c r="Z818" t="s">
        <v>18106</v>
      </c>
      <c r="AA818" t="s">
        <v>74</v>
      </c>
      <c r="AB818" t="s">
        <v>18107</v>
      </c>
      <c r="AC818" t="s">
        <v>74</v>
      </c>
      <c r="AD818" t="s">
        <v>74</v>
      </c>
      <c r="AE818" t="s">
        <v>74</v>
      </c>
      <c r="AF818" t="s">
        <v>74</v>
      </c>
      <c r="AG818">
        <v>51</v>
      </c>
      <c r="AH818">
        <v>21</v>
      </c>
      <c r="AI818">
        <v>22</v>
      </c>
      <c r="AJ818">
        <v>5</v>
      </c>
      <c r="AK818">
        <v>20</v>
      </c>
      <c r="AL818" t="s">
        <v>74</v>
      </c>
      <c r="AM818" t="s">
        <v>74</v>
      </c>
      <c r="AN818" t="s">
        <v>74</v>
      </c>
      <c r="AO818" t="s">
        <v>18108</v>
      </c>
      <c r="AP818" t="s">
        <v>18109</v>
      </c>
      <c r="AQ818" t="s">
        <v>74</v>
      </c>
      <c r="AR818" t="s">
        <v>74</v>
      </c>
      <c r="AS818" t="s">
        <v>74</v>
      </c>
      <c r="AT818" t="s">
        <v>132</v>
      </c>
      <c r="AU818">
        <v>2020</v>
      </c>
      <c r="AV818">
        <v>26</v>
      </c>
      <c r="AW818">
        <v>5</v>
      </c>
      <c r="AX818" t="s">
        <v>74</v>
      </c>
      <c r="AY818" t="s">
        <v>74</v>
      </c>
      <c r="AZ818" t="s">
        <v>447</v>
      </c>
      <c r="BA818" t="s">
        <v>74</v>
      </c>
      <c r="BB818">
        <v>599</v>
      </c>
      <c r="BC818">
        <v>604</v>
      </c>
      <c r="BD818">
        <v>1352458519879303</v>
      </c>
      <c r="BE818" t="s">
        <v>18110</v>
      </c>
      <c r="BF818" t="str">
        <f>HYPERLINK("http://dx.doi.org/10.1177/1352458519879303","http://dx.doi.org/10.1177/1352458519879303")</f>
        <v>http://dx.doi.org/10.1177/1352458519879303</v>
      </c>
      <c r="BG818" t="s">
        <v>74</v>
      </c>
      <c r="BH818" t="s">
        <v>4780</v>
      </c>
      <c r="BI818" t="s">
        <v>74</v>
      </c>
      <c r="BJ818" t="s">
        <v>2639</v>
      </c>
      <c r="BK818" t="s">
        <v>117</v>
      </c>
      <c r="BL818" t="s">
        <v>653</v>
      </c>
      <c r="BM818" t="s">
        <v>74</v>
      </c>
      <c r="BN818">
        <v>31965891</v>
      </c>
      <c r="BO818" t="s">
        <v>74</v>
      </c>
      <c r="BP818" t="s">
        <v>74</v>
      </c>
      <c r="BQ818" t="s">
        <v>74</v>
      </c>
      <c r="BR818" t="s">
        <v>96</v>
      </c>
      <c r="BS818" t="s">
        <v>18111</v>
      </c>
      <c r="BT818" t="str">
        <f>HYPERLINK("https%3A%2F%2Fwww.webofscience.com%2Fwos%2Fwoscc%2Ffull-record%2FWOS:000509049900001","View Full Record in Web of Science")</f>
        <v>View Full Record in Web of Science</v>
      </c>
    </row>
    <row r="819" spans="1:72" x14ac:dyDescent="0.15">
      <c r="A819" t="s">
        <v>98</v>
      </c>
      <c r="B819" t="s">
        <v>20583</v>
      </c>
      <c r="C819" t="s">
        <v>74</v>
      </c>
      <c r="D819" t="s">
        <v>74</v>
      </c>
      <c r="E819" t="s">
        <v>74</v>
      </c>
      <c r="F819" t="s">
        <v>20583</v>
      </c>
      <c r="G819" t="s">
        <v>74</v>
      </c>
      <c r="H819" t="s">
        <v>74</v>
      </c>
      <c r="I819" t="s">
        <v>20584</v>
      </c>
      <c r="J819" t="s">
        <v>10444</v>
      </c>
      <c r="K819" t="s">
        <v>74</v>
      </c>
      <c r="L819" t="s">
        <v>74</v>
      </c>
      <c r="M819" t="s">
        <v>74</v>
      </c>
      <c r="N819" t="s">
        <v>103</v>
      </c>
      <c r="O819" t="s">
        <v>74</v>
      </c>
      <c r="P819" t="s">
        <v>74</v>
      </c>
      <c r="Q819" t="s">
        <v>74</v>
      </c>
      <c r="R819" t="s">
        <v>74</v>
      </c>
      <c r="S819" t="s">
        <v>74</v>
      </c>
      <c r="T819" t="s">
        <v>20585</v>
      </c>
      <c r="U819" t="s">
        <v>20586</v>
      </c>
      <c r="V819" t="s">
        <v>20587</v>
      </c>
      <c r="W819" t="s">
        <v>74</v>
      </c>
      <c r="X819" t="s">
        <v>74</v>
      </c>
      <c r="Y819" t="s">
        <v>20588</v>
      </c>
      <c r="Z819" t="s">
        <v>74</v>
      </c>
      <c r="AA819" t="s">
        <v>74</v>
      </c>
      <c r="AB819" t="s">
        <v>74</v>
      </c>
      <c r="AC819" t="s">
        <v>74</v>
      </c>
      <c r="AD819" t="s">
        <v>74</v>
      </c>
      <c r="AE819" t="s">
        <v>74</v>
      </c>
      <c r="AF819" t="s">
        <v>74</v>
      </c>
      <c r="AG819">
        <v>14</v>
      </c>
      <c r="AH819">
        <v>21</v>
      </c>
      <c r="AI819">
        <v>22</v>
      </c>
      <c r="AJ819">
        <v>1</v>
      </c>
      <c r="AK819">
        <v>4</v>
      </c>
      <c r="AL819" t="s">
        <v>74</v>
      </c>
      <c r="AM819" t="s">
        <v>74</v>
      </c>
      <c r="AN819" t="s">
        <v>74</v>
      </c>
      <c r="AO819" t="s">
        <v>10452</v>
      </c>
      <c r="AP819" t="s">
        <v>74</v>
      </c>
      <c r="AQ819" t="s">
        <v>74</v>
      </c>
      <c r="AR819" t="s">
        <v>74</v>
      </c>
      <c r="AS819" t="s">
        <v>74</v>
      </c>
      <c r="AT819" t="s">
        <v>20589</v>
      </c>
      <c r="AU819">
        <v>1997</v>
      </c>
      <c r="AV819">
        <v>222</v>
      </c>
      <c r="AW819">
        <v>1</v>
      </c>
      <c r="AX819" t="s">
        <v>74</v>
      </c>
      <c r="AY819" t="s">
        <v>74</v>
      </c>
      <c r="AZ819" t="s">
        <v>74</v>
      </c>
      <c r="BA819" t="s">
        <v>74</v>
      </c>
      <c r="BB819">
        <v>17</v>
      </c>
      <c r="BC819">
        <v>20</v>
      </c>
      <c r="BD819" t="s">
        <v>74</v>
      </c>
      <c r="BE819" t="s">
        <v>20590</v>
      </c>
      <c r="BF819" t="str">
        <f>HYPERLINK("http://dx.doi.org/10.1016/S0304-3940(97)13330-4","http://dx.doi.org/10.1016/S0304-3940(97)13330-4")</f>
        <v>http://dx.doi.org/10.1016/S0304-3940(97)13330-4</v>
      </c>
      <c r="BG819" t="s">
        <v>74</v>
      </c>
      <c r="BH819" t="s">
        <v>74</v>
      </c>
      <c r="BI819" t="s">
        <v>74</v>
      </c>
      <c r="BJ819" t="s">
        <v>652</v>
      </c>
      <c r="BK819" t="s">
        <v>117</v>
      </c>
      <c r="BL819" t="s">
        <v>653</v>
      </c>
      <c r="BM819" t="s">
        <v>74</v>
      </c>
      <c r="BN819">
        <v>9121712</v>
      </c>
      <c r="BO819" t="s">
        <v>74</v>
      </c>
      <c r="BP819" t="s">
        <v>74</v>
      </c>
      <c r="BQ819" t="s">
        <v>74</v>
      </c>
      <c r="BR819" t="s">
        <v>96</v>
      </c>
      <c r="BS819" t="s">
        <v>20591</v>
      </c>
      <c r="BT819" t="str">
        <f>HYPERLINK("https%3A%2F%2Fwww.webofscience.com%2Fwos%2Fwoscc%2Ffull-record%2FWOS:A1997WF31100005","View Full Record in Web of Science")</f>
        <v>View Full Record in Web of Science</v>
      </c>
    </row>
    <row r="820" spans="1:72" x14ac:dyDescent="0.15">
      <c r="A820" t="s">
        <v>98</v>
      </c>
      <c r="B820" t="s">
        <v>21320</v>
      </c>
      <c r="C820" t="s">
        <v>74</v>
      </c>
      <c r="D820" t="s">
        <v>74</v>
      </c>
      <c r="E820" t="s">
        <v>74</v>
      </c>
      <c r="F820" t="s">
        <v>21321</v>
      </c>
      <c r="G820" t="s">
        <v>74</v>
      </c>
      <c r="H820" t="s">
        <v>74</v>
      </c>
      <c r="I820" t="s">
        <v>21322</v>
      </c>
      <c r="J820" t="s">
        <v>2410</v>
      </c>
      <c r="K820" t="s">
        <v>74</v>
      </c>
      <c r="L820" t="s">
        <v>74</v>
      </c>
      <c r="M820" t="s">
        <v>74</v>
      </c>
      <c r="N820" t="s">
        <v>103</v>
      </c>
      <c r="O820" t="s">
        <v>74</v>
      </c>
      <c r="P820" t="s">
        <v>74</v>
      </c>
      <c r="Q820" t="s">
        <v>74</v>
      </c>
      <c r="R820" t="s">
        <v>74</v>
      </c>
      <c r="S820" t="s">
        <v>74</v>
      </c>
      <c r="T820" t="s">
        <v>21323</v>
      </c>
      <c r="U820" t="s">
        <v>21324</v>
      </c>
      <c r="V820" t="s">
        <v>21325</v>
      </c>
      <c r="W820" t="s">
        <v>21326</v>
      </c>
      <c r="X820" t="s">
        <v>21327</v>
      </c>
      <c r="Y820" t="s">
        <v>21328</v>
      </c>
      <c r="Z820" t="s">
        <v>21329</v>
      </c>
      <c r="AA820" t="s">
        <v>21330</v>
      </c>
      <c r="AB820" t="s">
        <v>21331</v>
      </c>
      <c r="AC820" t="s">
        <v>74</v>
      </c>
      <c r="AD820" t="s">
        <v>74</v>
      </c>
      <c r="AE820" t="s">
        <v>74</v>
      </c>
      <c r="AF820" t="s">
        <v>74</v>
      </c>
      <c r="AG820">
        <v>35</v>
      </c>
      <c r="AH820">
        <v>21</v>
      </c>
      <c r="AI820">
        <v>21</v>
      </c>
      <c r="AJ820">
        <v>1</v>
      </c>
      <c r="AK820">
        <v>38</v>
      </c>
      <c r="AL820" t="s">
        <v>74</v>
      </c>
      <c r="AM820" t="s">
        <v>74</v>
      </c>
      <c r="AN820" t="s">
        <v>74</v>
      </c>
      <c r="AO820" t="s">
        <v>2418</v>
      </c>
      <c r="AP820" t="s">
        <v>2419</v>
      </c>
      <c r="AQ820" t="s">
        <v>74</v>
      </c>
      <c r="AR820" t="s">
        <v>74</v>
      </c>
      <c r="AS820" t="s">
        <v>74</v>
      </c>
      <c r="AT820" t="s">
        <v>12606</v>
      </c>
      <c r="AU820">
        <v>2020</v>
      </c>
      <c r="AV820">
        <v>480</v>
      </c>
      <c r="AW820" t="s">
        <v>74</v>
      </c>
      <c r="AX820" t="s">
        <v>74</v>
      </c>
      <c r="AY820" t="s">
        <v>74</v>
      </c>
      <c r="AZ820" t="s">
        <v>74</v>
      </c>
      <c r="BA820" t="s">
        <v>74</v>
      </c>
      <c r="BB820">
        <v>24</v>
      </c>
      <c r="BC820">
        <v>28</v>
      </c>
      <c r="BD820" t="s">
        <v>74</v>
      </c>
      <c r="BE820" t="s">
        <v>21332</v>
      </c>
      <c r="BF820" t="str">
        <f>HYPERLINK("http://dx.doi.org/10.1016/j.canlet.2020.03.021","http://dx.doi.org/10.1016/j.canlet.2020.03.021")</f>
        <v>http://dx.doi.org/10.1016/j.canlet.2020.03.021</v>
      </c>
      <c r="BG820" t="s">
        <v>74</v>
      </c>
      <c r="BH820" t="s">
        <v>74</v>
      </c>
      <c r="BI820" t="s">
        <v>74</v>
      </c>
      <c r="BJ820" t="s">
        <v>267</v>
      </c>
      <c r="BK820" t="s">
        <v>117</v>
      </c>
      <c r="BL820" t="s">
        <v>267</v>
      </c>
      <c r="BM820" t="s">
        <v>74</v>
      </c>
      <c r="BN820">
        <v>32229189</v>
      </c>
      <c r="BO820" t="s">
        <v>74</v>
      </c>
      <c r="BP820" t="s">
        <v>74</v>
      </c>
      <c r="BQ820" t="s">
        <v>74</v>
      </c>
      <c r="BR820" t="s">
        <v>96</v>
      </c>
      <c r="BS820" t="s">
        <v>21333</v>
      </c>
      <c r="BT820" t="str">
        <f>HYPERLINK("https%3A%2F%2Fwww.webofscience.com%2Fwos%2Fwoscc%2Ffull-record%2FWOS:000525869200004","View Full Record in Web of Science")</f>
        <v>View Full Record in Web of Science</v>
      </c>
    </row>
    <row r="821" spans="1:72" x14ac:dyDescent="0.15">
      <c r="A821" t="s">
        <v>98</v>
      </c>
      <c r="B821" t="s">
        <v>21544</v>
      </c>
      <c r="C821" t="s">
        <v>74</v>
      </c>
      <c r="D821" t="s">
        <v>74</v>
      </c>
      <c r="E821" t="s">
        <v>74</v>
      </c>
      <c r="F821" t="s">
        <v>21545</v>
      </c>
      <c r="G821" t="s">
        <v>74</v>
      </c>
      <c r="H821" t="s">
        <v>74</v>
      </c>
      <c r="I821" t="s">
        <v>21546</v>
      </c>
      <c r="J821" t="s">
        <v>21547</v>
      </c>
      <c r="K821" t="s">
        <v>74</v>
      </c>
      <c r="L821" t="s">
        <v>74</v>
      </c>
      <c r="M821" t="s">
        <v>74</v>
      </c>
      <c r="N821" t="s">
        <v>103</v>
      </c>
      <c r="O821" t="s">
        <v>74</v>
      </c>
      <c r="P821" t="s">
        <v>74</v>
      </c>
      <c r="Q821" t="s">
        <v>74</v>
      </c>
      <c r="R821" t="s">
        <v>74</v>
      </c>
      <c r="S821" t="s">
        <v>74</v>
      </c>
      <c r="T821" t="s">
        <v>21548</v>
      </c>
      <c r="U821" t="s">
        <v>21549</v>
      </c>
      <c r="V821" t="s">
        <v>21550</v>
      </c>
      <c r="W821" t="s">
        <v>21551</v>
      </c>
      <c r="X821" t="s">
        <v>21552</v>
      </c>
      <c r="Y821" t="s">
        <v>21553</v>
      </c>
      <c r="Z821" t="s">
        <v>21554</v>
      </c>
      <c r="AA821" t="s">
        <v>21555</v>
      </c>
      <c r="AB821" t="s">
        <v>21556</v>
      </c>
      <c r="AC821" t="s">
        <v>74</v>
      </c>
      <c r="AD821" t="s">
        <v>74</v>
      </c>
      <c r="AE821" t="s">
        <v>74</v>
      </c>
      <c r="AF821" t="s">
        <v>74</v>
      </c>
      <c r="AG821">
        <v>103</v>
      </c>
      <c r="AH821">
        <v>21</v>
      </c>
      <c r="AI821">
        <v>21</v>
      </c>
      <c r="AJ821">
        <v>2</v>
      </c>
      <c r="AK821">
        <v>13</v>
      </c>
      <c r="AL821" t="s">
        <v>74</v>
      </c>
      <c r="AM821" t="s">
        <v>74</v>
      </c>
      <c r="AN821" t="s">
        <v>74</v>
      </c>
      <c r="AO821" t="s">
        <v>21557</v>
      </c>
      <c r="AP821" t="s">
        <v>74</v>
      </c>
      <c r="AQ821" t="s">
        <v>74</v>
      </c>
      <c r="AR821" t="s">
        <v>74</v>
      </c>
      <c r="AS821" t="s">
        <v>74</v>
      </c>
      <c r="AT821" t="s">
        <v>9754</v>
      </c>
      <c r="AU821">
        <v>2019</v>
      </c>
      <c r="AV821">
        <v>37</v>
      </c>
      <c r="AW821" t="s">
        <v>74</v>
      </c>
      <c r="AX821" t="s">
        <v>74</v>
      </c>
      <c r="AY821" t="s">
        <v>74</v>
      </c>
      <c r="AZ821" t="s">
        <v>74</v>
      </c>
      <c r="BA821" t="s">
        <v>74</v>
      </c>
      <c r="BB821">
        <v>175</v>
      </c>
      <c r="BC821">
        <v>185</v>
      </c>
      <c r="BD821" t="s">
        <v>74</v>
      </c>
      <c r="BE821" t="s">
        <v>21558</v>
      </c>
      <c r="BF821" t="str">
        <f>HYPERLINK("http://dx.doi.org/10.22203/eCM.v037a11","http://dx.doi.org/10.22203/eCM.v037a11")</f>
        <v>http://dx.doi.org/10.22203/eCM.v037a11</v>
      </c>
      <c r="BG821" t="s">
        <v>74</v>
      </c>
      <c r="BH821" t="s">
        <v>74</v>
      </c>
      <c r="BI821" t="s">
        <v>74</v>
      </c>
      <c r="BJ821" t="s">
        <v>21559</v>
      </c>
      <c r="BK821" t="s">
        <v>117</v>
      </c>
      <c r="BL821" t="s">
        <v>21560</v>
      </c>
      <c r="BM821" t="s">
        <v>74</v>
      </c>
      <c r="BN821">
        <v>30805914</v>
      </c>
      <c r="BO821" t="s">
        <v>74</v>
      </c>
      <c r="BP821" t="s">
        <v>74</v>
      </c>
      <c r="BQ821" t="s">
        <v>74</v>
      </c>
      <c r="BR821" t="s">
        <v>96</v>
      </c>
      <c r="BS821" t="s">
        <v>21561</v>
      </c>
      <c r="BT821" t="str">
        <f>HYPERLINK("https%3A%2F%2Fwww.webofscience.com%2Fwos%2Fwoscc%2Ffull-record%2FWOS:000463430000011","View Full Record in Web of Science")</f>
        <v>View Full Record in Web of Science</v>
      </c>
    </row>
    <row r="822" spans="1:72" x14ac:dyDescent="0.15">
      <c r="A822" t="s">
        <v>98</v>
      </c>
      <c r="B822" t="s">
        <v>22268</v>
      </c>
      <c r="C822" t="s">
        <v>74</v>
      </c>
      <c r="D822" t="s">
        <v>74</v>
      </c>
      <c r="E822" t="s">
        <v>74</v>
      </c>
      <c r="F822" t="s">
        <v>22269</v>
      </c>
      <c r="G822" t="s">
        <v>74</v>
      </c>
      <c r="H822" t="s">
        <v>74</v>
      </c>
      <c r="I822" t="s">
        <v>22270</v>
      </c>
      <c r="J822" t="s">
        <v>3333</v>
      </c>
      <c r="K822" t="s">
        <v>74</v>
      </c>
      <c r="L822" t="s">
        <v>74</v>
      </c>
      <c r="M822" t="s">
        <v>74</v>
      </c>
      <c r="N822" t="s">
        <v>103</v>
      </c>
      <c r="O822" t="s">
        <v>74</v>
      </c>
      <c r="P822" t="s">
        <v>74</v>
      </c>
      <c r="Q822" t="s">
        <v>74</v>
      </c>
      <c r="R822" t="s">
        <v>74</v>
      </c>
      <c r="S822" t="s">
        <v>74</v>
      </c>
      <c r="T822" t="s">
        <v>22271</v>
      </c>
      <c r="U822" t="s">
        <v>22272</v>
      </c>
      <c r="V822" t="s">
        <v>22273</v>
      </c>
      <c r="W822" t="s">
        <v>22274</v>
      </c>
      <c r="X822" t="s">
        <v>22275</v>
      </c>
      <c r="Y822" t="s">
        <v>22276</v>
      </c>
      <c r="Z822" t="s">
        <v>22277</v>
      </c>
      <c r="AA822" t="s">
        <v>22278</v>
      </c>
      <c r="AB822" t="s">
        <v>22279</v>
      </c>
      <c r="AC822" t="s">
        <v>74</v>
      </c>
      <c r="AD822" t="s">
        <v>74</v>
      </c>
      <c r="AE822" t="s">
        <v>74</v>
      </c>
      <c r="AF822" t="s">
        <v>74</v>
      </c>
      <c r="AG822">
        <v>61</v>
      </c>
      <c r="AH822">
        <v>21</v>
      </c>
      <c r="AI822">
        <v>23</v>
      </c>
      <c r="AJ822">
        <v>1</v>
      </c>
      <c r="AK822">
        <v>18</v>
      </c>
      <c r="AL822" t="s">
        <v>74</v>
      </c>
      <c r="AM822" t="s">
        <v>74</v>
      </c>
      <c r="AN822" t="s">
        <v>74</v>
      </c>
      <c r="AO822" t="s">
        <v>3342</v>
      </c>
      <c r="AP822" t="s">
        <v>74</v>
      </c>
      <c r="AQ822" t="s">
        <v>74</v>
      </c>
      <c r="AR822" t="s">
        <v>74</v>
      </c>
      <c r="AS822" t="s">
        <v>74</v>
      </c>
      <c r="AT822" t="s">
        <v>170</v>
      </c>
      <c r="AU822">
        <v>2017</v>
      </c>
      <c r="AV822">
        <v>86</v>
      </c>
      <c r="AW822" t="s">
        <v>74</v>
      </c>
      <c r="AX822" t="s">
        <v>74</v>
      </c>
      <c r="AY822" t="s">
        <v>74</v>
      </c>
      <c r="AZ822" t="s">
        <v>447</v>
      </c>
      <c r="BA822" t="s">
        <v>74</v>
      </c>
      <c r="BB822">
        <v>16</v>
      </c>
      <c r="BC822">
        <v>22</v>
      </c>
      <c r="BD822" t="s">
        <v>74</v>
      </c>
      <c r="BE822" t="s">
        <v>22280</v>
      </c>
      <c r="BF822" t="str">
        <f>HYPERLINK("http://dx.doi.org/10.1016/j.molimm.2016.10.002","http://dx.doi.org/10.1016/j.molimm.2016.10.002")</f>
        <v>http://dx.doi.org/10.1016/j.molimm.2016.10.002</v>
      </c>
      <c r="BG822" t="s">
        <v>74</v>
      </c>
      <c r="BH822" t="s">
        <v>74</v>
      </c>
      <c r="BI822" t="s">
        <v>74</v>
      </c>
      <c r="BJ822" t="s">
        <v>3346</v>
      </c>
      <c r="BK822" t="s">
        <v>117</v>
      </c>
      <c r="BL822" t="s">
        <v>3346</v>
      </c>
      <c r="BM822" t="s">
        <v>74</v>
      </c>
      <c r="BN822">
        <v>27769523</v>
      </c>
      <c r="BO822" t="s">
        <v>74</v>
      </c>
      <c r="BP822" t="s">
        <v>74</v>
      </c>
      <c r="BQ822" t="s">
        <v>74</v>
      </c>
      <c r="BR822" t="s">
        <v>96</v>
      </c>
      <c r="BS822" t="s">
        <v>22281</v>
      </c>
      <c r="BT822" t="str">
        <f>HYPERLINK("https%3A%2F%2Fwww.webofscience.com%2Fwos%2Fwoscc%2Ffull-record%2FWOS:000403522600004","View Full Record in Web of Science")</f>
        <v>View Full Record in Web of Science</v>
      </c>
    </row>
    <row r="823" spans="1:72" x14ac:dyDescent="0.15">
      <c r="A823" t="s">
        <v>98</v>
      </c>
      <c r="B823" t="s">
        <v>22325</v>
      </c>
      <c r="C823" t="s">
        <v>74</v>
      </c>
      <c r="D823" t="s">
        <v>74</v>
      </c>
      <c r="E823" t="s">
        <v>74</v>
      </c>
      <c r="F823" t="s">
        <v>22326</v>
      </c>
      <c r="G823" t="s">
        <v>74</v>
      </c>
      <c r="H823" t="s">
        <v>74</v>
      </c>
      <c r="I823" t="s">
        <v>22327</v>
      </c>
      <c r="J823" t="s">
        <v>22328</v>
      </c>
      <c r="K823" t="s">
        <v>74</v>
      </c>
      <c r="L823" t="s">
        <v>74</v>
      </c>
      <c r="M823" t="s">
        <v>74</v>
      </c>
      <c r="N823" t="s">
        <v>103</v>
      </c>
      <c r="O823" t="s">
        <v>74</v>
      </c>
      <c r="P823" t="s">
        <v>74</v>
      </c>
      <c r="Q823" t="s">
        <v>74</v>
      </c>
      <c r="R823" t="s">
        <v>74</v>
      </c>
      <c r="S823" t="s">
        <v>74</v>
      </c>
      <c r="T823" t="s">
        <v>74</v>
      </c>
      <c r="U823" t="s">
        <v>22329</v>
      </c>
      <c r="V823" t="s">
        <v>22330</v>
      </c>
      <c r="W823" t="s">
        <v>22331</v>
      </c>
      <c r="X823" t="s">
        <v>22332</v>
      </c>
      <c r="Y823" t="s">
        <v>22333</v>
      </c>
      <c r="Z823" t="s">
        <v>22334</v>
      </c>
      <c r="AA823" t="s">
        <v>22335</v>
      </c>
      <c r="AB823" t="s">
        <v>22336</v>
      </c>
      <c r="AC823" t="s">
        <v>74</v>
      </c>
      <c r="AD823" t="s">
        <v>74</v>
      </c>
      <c r="AE823" t="s">
        <v>74</v>
      </c>
      <c r="AF823" t="s">
        <v>74</v>
      </c>
      <c r="AG823">
        <v>51</v>
      </c>
      <c r="AH823">
        <v>21</v>
      </c>
      <c r="AI823">
        <v>21</v>
      </c>
      <c r="AJ823">
        <v>1</v>
      </c>
      <c r="AK823">
        <v>10</v>
      </c>
      <c r="AL823" t="s">
        <v>74</v>
      </c>
      <c r="AM823" t="s">
        <v>74</v>
      </c>
      <c r="AN823" t="s">
        <v>74</v>
      </c>
      <c r="AO823" t="s">
        <v>22337</v>
      </c>
      <c r="AP823" t="s">
        <v>22338</v>
      </c>
      <c r="AQ823" t="s">
        <v>74</v>
      </c>
      <c r="AR823" t="s">
        <v>74</v>
      </c>
      <c r="AS823" t="s">
        <v>74</v>
      </c>
      <c r="AT823" t="s">
        <v>283</v>
      </c>
      <c r="AU823">
        <v>2020</v>
      </c>
      <c r="AV823">
        <v>50</v>
      </c>
      <c r="AW823" t="s">
        <v>74</v>
      </c>
      <c r="AX823" t="s">
        <v>74</v>
      </c>
      <c r="AY823" t="s">
        <v>74</v>
      </c>
      <c r="AZ823" t="s">
        <v>447</v>
      </c>
      <c r="BA823" t="s">
        <v>74</v>
      </c>
      <c r="BB823">
        <v>61</v>
      </c>
      <c r="BC823">
        <v>66</v>
      </c>
      <c r="BD823" t="s">
        <v>74</v>
      </c>
      <c r="BE823" t="s">
        <v>22339</v>
      </c>
      <c r="BF823" t="str">
        <f>HYPERLINK("http://dx.doi.org/10.1016/j.coph.2019.12.003","http://dx.doi.org/10.1016/j.coph.2019.12.003")</f>
        <v>http://dx.doi.org/10.1016/j.coph.2019.12.003</v>
      </c>
      <c r="BG823" t="s">
        <v>74</v>
      </c>
      <c r="BH823" t="s">
        <v>74</v>
      </c>
      <c r="BI823" t="s">
        <v>74</v>
      </c>
      <c r="BJ823" t="s">
        <v>533</v>
      </c>
      <c r="BK823" t="s">
        <v>117</v>
      </c>
      <c r="BL823" t="s">
        <v>533</v>
      </c>
      <c r="BM823" t="s">
        <v>74</v>
      </c>
      <c r="BN823">
        <v>31896533</v>
      </c>
      <c r="BO823" t="s">
        <v>74</v>
      </c>
      <c r="BP823" t="s">
        <v>74</v>
      </c>
      <c r="BQ823" t="s">
        <v>74</v>
      </c>
      <c r="BR823" t="s">
        <v>96</v>
      </c>
      <c r="BS823" t="s">
        <v>22340</v>
      </c>
      <c r="BT823" t="str">
        <f>HYPERLINK("https%3A%2F%2Fwww.webofscience.com%2Fwos%2Fwoscc%2Ffull-record%2FWOS:000564622400010","View Full Record in Web of Science")</f>
        <v>View Full Record in Web of Science</v>
      </c>
    </row>
    <row r="824" spans="1:72" x14ac:dyDescent="0.15">
      <c r="A824" t="s">
        <v>72</v>
      </c>
      <c r="B824" t="s">
        <v>23730</v>
      </c>
      <c r="C824" t="s">
        <v>74</v>
      </c>
      <c r="D824" t="s">
        <v>23731</v>
      </c>
      <c r="E824" t="s">
        <v>74</v>
      </c>
      <c r="F824" t="s">
        <v>23732</v>
      </c>
      <c r="G824" t="s">
        <v>74</v>
      </c>
      <c r="H824" t="s">
        <v>74</v>
      </c>
      <c r="I824" t="s">
        <v>23733</v>
      </c>
      <c r="J824" t="s">
        <v>23734</v>
      </c>
      <c r="K824" t="s">
        <v>23735</v>
      </c>
      <c r="L824" t="s">
        <v>74</v>
      </c>
      <c r="M824" t="s">
        <v>74</v>
      </c>
      <c r="N824" t="s">
        <v>980</v>
      </c>
      <c r="O824" t="s">
        <v>23736</v>
      </c>
      <c r="P824" t="s">
        <v>23737</v>
      </c>
      <c r="Q824" t="s">
        <v>23738</v>
      </c>
      <c r="R824" t="s">
        <v>74</v>
      </c>
      <c r="S824" t="s">
        <v>23739</v>
      </c>
      <c r="T824" t="s">
        <v>23740</v>
      </c>
      <c r="U824" t="s">
        <v>23741</v>
      </c>
      <c r="V824" t="s">
        <v>23742</v>
      </c>
      <c r="W824" t="s">
        <v>23743</v>
      </c>
      <c r="X824" t="s">
        <v>23744</v>
      </c>
      <c r="Y824" t="s">
        <v>23745</v>
      </c>
      <c r="Z824" t="s">
        <v>23746</v>
      </c>
      <c r="AA824" t="s">
        <v>74</v>
      </c>
      <c r="AB824" t="s">
        <v>74</v>
      </c>
      <c r="AC824" t="s">
        <v>74</v>
      </c>
      <c r="AD824" t="s">
        <v>74</v>
      </c>
      <c r="AE824" t="s">
        <v>74</v>
      </c>
      <c r="AF824" t="s">
        <v>74</v>
      </c>
      <c r="AG824">
        <v>41</v>
      </c>
      <c r="AH824">
        <v>21</v>
      </c>
      <c r="AI824">
        <v>23</v>
      </c>
      <c r="AJ824">
        <v>0</v>
      </c>
      <c r="AK824">
        <v>6</v>
      </c>
      <c r="AL824" t="s">
        <v>74</v>
      </c>
      <c r="AM824" t="s">
        <v>74</v>
      </c>
      <c r="AN824" t="s">
        <v>74</v>
      </c>
      <c r="AO824" t="s">
        <v>18971</v>
      </c>
      <c r="AP824" t="s">
        <v>74</v>
      </c>
      <c r="AQ824" t="s">
        <v>23747</v>
      </c>
      <c r="AR824" t="s">
        <v>74</v>
      </c>
      <c r="AS824" t="s">
        <v>74</v>
      </c>
      <c r="AT824" t="s">
        <v>74</v>
      </c>
      <c r="AU824">
        <v>2006</v>
      </c>
      <c r="AV824">
        <v>1075</v>
      </c>
      <c r="AW824" t="s">
        <v>74</v>
      </c>
      <c r="AX824" t="s">
        <v>74</v>
      </c>
      <c r="AY824" t="s">
        <v>74</v>
      </c>
      <c r="AZ824" t="s">
        <v>74</v>
      </c>
      <c r="BA824" t="s">
        <v>74</v>
      </c>
      <c r="BB824">
        <v>40</v>
      </c>
      <c r="BC824">
        <v>49</v>
      </c>
      <c r="BD824" t="s">
        <v>74</v>
      </c>
      <c r="BE824" t="s">
        <v>23748</v>
      </c>
      <c r="BF824" t="str">
        <f>HYPERLINK("http://dx.doi.org/10.1196/annals.1368.005","http://dx.doi.org/10.1196/annals.1368.005")</f>
        <v>http://dx.doi.org/10.1196/annals.1368.005</v>
      </c>
      <c r="BG824" t="s">
        <v>74</v>
      </c>
      <c r="BH824" t="s">
        <v>74</v>
      </c>
      <c r="BI824" t="s">
        <v>74</v>
      </c>
      <c r="BJ824" t="s">
        <v>23749</v>
      </c>
      <c r="BK824" t="s">
        <v>16883</v>
      </c>
      <c r="BL824" t="s">
        <v>23750</v>
      </c>
      <c r="BM824" t="s">
        <v>74</v>
      </c>
      <c r="BN824">
        <v>17108190</v>
      </c>
      <c r="BO824" t="s">
        <v>74</v>
      </c>
      <c r="BP824" t="s">
        <v>74</v>
      </c>
      <c r="BQ824" t="s">
        <v>74</v>
      </c>
      <c r="BR824" t="s">
        <v>96</v>
      </c>
      <c r="BS824" t="s">
        <v>23751</v>
      </c>
      <c r="BT824" t="str">
        <f>HYPERLINK("https%3A%2F%2Fwww.webofscience.com%2Fwos%2Fwoscc%2Ffull-record%2FWOS:000241725400005","View Full Record in Web of Science")</f>
        <v>View Full Record in Web of Science</v>
      </c>
    </row>
    <row r="825" spans="1:72" x14ac:dyDescent="0.15">
      <c r="A825" t="s">
        <v>98</v>
      </c>
      <c r="B825" t="s">
        <v>24401</v>
      </c>
      <c r="C825" t="s">
        <v>74</v>
      </c>
      <c r="D825" t="s">
        <v>74</v>
      </c>
      <c r="E825" t="s">
        <v>74</v>
      </c>
      <c r="F825" t="s">
        <v>24402</v>
      </c>
      <c r="G825" t="s">
        <v>74</v>
      </c>
      <c r="H825" t="s">
        <v>74</v>
      </c>
      <c r="I825" t="s">
        <v>24403</v>
      </c>
      <c r="J825" t="s">
        <v>919</v>
      </c>
      <c r="K825" t="s">
        <v>74</v>
      </c>
      <c r="L825" t="s">
        <v>74</v>
      </c>
      <c r="M825" t="s">
        <v>74</v>
      </c>
      <c r="N825" t="s">
        <v>103</v>
      </c>
      <c r="O825" t="s">
        <v>74</v>
      </c>
      <c r="P825" t="s">
        <v>74</v>
      </c>
      <c r="Q825" t="s">
        <v>74</v>
      </c>
      <c r="R825" t="s">
        <v>74</v>
      </c>
      <c r="S825" t="s">
        <v>74</v>
      </c>
      <c r="T825" t="s">
        <v>74</v>
      </c>
      <c r="U825" t="s">
        <v>24404</v>
      </c>
      <c r="V825" t="s">
        <v>24405</v>
      </c>
      <c r="W825" t="s">
        <v>24406</v>
      </c>
      <c r="X825" t="s">
        <v>18059</v>
      </c>
      <c r="Y825" t="s">
        <v>24407</v>
      </c>
      <c r="Z825" t="s">
        <v>24408</v>
      </c>
      <c r="AA825" t="s">
        <v>24409</v>
      </c>
      <c r="AB825" t="s">
        <v>24410</v>
      </c>
      <c r="AC825" t="s">
        <v>74</v>
      </c>
      <c r="AD825" t="s">
        <v>74</v>
      </c>
      <c r="AE825" t="s">
        <v>74</v>
      </c>
      <c r="AF825" t="s">
        <v>74</v>
      </c>
      <c r="AG825">
        <v>61</v>
      </c>
      <c r="AH825">
        <v>21</v>
      </c>
      <c r="AI825">
        <v>22</v>
      </c>
      <c r="AJ825">
        <v>0</v>
      </c>
      <c r="AK825">
        <v>7</v>
      </c>
      <c r="AL825" t="s">
        <v>74</v>
      </c>
      <c r="AM825" t="s">
        <v>74</v>
      </c>
      <c r="AN825" t="s">
        <v>74</v>
      </c>
      <c r="AO825" t="s">
        <v>74</v>
      </c>
      <c r="AP825" t="s">
        <v>929</v>
      </c>
      <c r="AQ825" t="s">
        <v>74</v>
      </c>
      <c r="AR825" t="s">
        <v>74</v>
      </c>
      <c r="AS825" t="s">
        <v>74</v>
      </c>
      <c r="AT825" t="s">
        <v>22899</v>
      </c>
      <c r="AU825">
        <v>2009</v>
      </c>
      <c r="AV825">
        <v>6</v>
      </c>
      <c r="AW825" t="s">
        <v>74</v>
      </c>
      <c r="AX825" t="s">
        <v>74</v>
      </c>
      <c r="AY825" t="s">
        <v>74</v>
      </c>
      <c r="AZ825" t="s">
        <v>74</v>
      </c>
      <c r="BA825" t="s">
        <v>74</v>
      </c>
      <c r="BB825" t="s">
        <v>74</v>
      </c>
      <c r="BC825" t="s">
        <v>74</v>
      </c>
      <c r="BD825">
        <v>168</v>
      </c>
      <c r="BE825" t="s">
        <v>24411</v>
      </c>
      <c r="BF825" t="str">
        <f>HYPERLINK("http://dx.doi.org/10.1186/1743-422X-6-168","http://dx.doi.org/10.1186/1743-422X-6-168")</f>
        <v>http://dx.doi.org/10.1186/1743-422X-6-168</v>
      </c>
      <c r="BG825" t="s">
        <v>74</v>
      </c>
      <c r="BH825" t="s">
        <v>74</v>
      </c>
      <c r="BI825" t="s">
        <v>74</v>
      </c>
      <c r="BJ825" t="s">
        <v>932</v>
      </c>
      <c r="BK825" t="s">
        <v>117</v>
      </c>
      <c r="BL825" t="s">
        <v>932</v>
      </c>
      <c r="BM825" t="s">
        <v>74</v>
      </c>
      <c r="BN825">
        <v>19835589</v>
      </c>
      <c r="BO825" t="s">
        <v>74</v>
      </c>
      <c r="BP825" t="s">
        <v>74</v>
      </c>
      <c r="BQ825" t="s">
        <v>74</v>
      </c>
      <c r="BR825" t="s">
        <v>96</v>
      </c>
      <c r="BS825" t="s">
        <v>24412</v>
      </c>
      <c r="BT825" t="str">
        <f>HYPERLINK("https%3A%2F%2Fwww.webofscience.com%2Fwos%2Fwoscc%2Ffull-record%2FWOS:000271679000002","View Full Record in Web of Science")</f>
        <v>View Full Record in Web of Science</v>
      </c>
    </row>
    <row r="826" spans="1:72" x14ac:dyDescent="0.15">
      <c r="A826" t="s">
        <v>98</v>
      </c>
      <c r="B826" t="s">
        <v>24628</v>
      </c>
      <c r="C826" t="s">
        <v>74</v>
      </c>
      <c r="D826" t="s">
        <v>74</v>
      </c>
      <c r="E826" t="s">
        <v>74</v>
      </c>
      <c r="F826" t="s">
        <v>24629</v>
      </c>
      <c r="G826" t="s">
        <v>74</v>
      </c>
      <c r="H826" t="s">
        <v>74</v>
      </c>
      <c r="I826" t="s">
        <v>24630</v>
      </c>
      <c r="J826" t="s">
        <v>1396</v>
      </c>
      <c r="K826" t="s">
        <v>74</v>
      </c>
      <c r="L826" t="s">
        <v>74</v>
      </c>
      <c r="M826" t="s">
        <v>74</v>
      </c>
      <c r="N826" t="s">
        <v>103</v>
      </c>
      <c r="O826" t="s">
        <v>74</v>
      </c>
      <c r="P826" t="s">
        <v>74</v>
      </c>
      <c r="Q826" t="s">
        <v>74</v>
      </c>
      <c r="R826" t="s">
        <v>74</v>
      </c>
      <c r="S826" t="s">
        <v>74</v>
      </c>
      <c r="T826" t="s">
        <v>24631</v>
      </c>
      <c r="U826" t="s">
        <v>24632</v>
      </c>
      <c r="V826" t="s">
        <v>24633</v>
      </c>
      <c r="W826" t="s">
        <v>24634</v>
      </c>
      <c r="X826" t="s">
        <v>24635</v>
      </c>
      <c r="Y826" t="s">
        <v>24636</v>
      </c>
      <c r="Z826" t="s">
        <v>24637</v>
      </c>
      <c r="AA826" t="s">
        <v>74</v>
      </c>
      <c r="AB826" t="s">
        <v>74</v>
      </c>
      <c r="AC826" t="s">
        <v>74</v>
      </c>
      <c r="AD826" t="s">
        <v>74</v>
      </c>
      <c r="AE826" t="s">
        <v>74</v>
      </c>
      <c r="AF826" t="s">
        <v>74</v>
      </c>
      <c r="AG826">
        <v>64</v>
      </c>
      <c r="AH826">
        <v>21</v>
      </c>
      <c r="AI826">
        <v>24</v>
      </c>
      <c r="AJ826">
        <v>0</v>
      </c>
      <c r="AK826">
        <v>3</v>
      </c>
      <c r="AL826" t="s">
        <v>74</v>
      </c>
      <c r="AM826" t="s">
        <v>74</v>
      </c>
      <c r="AN826" t="s">
        <v>74</v>
      </c>
      <c r="AO826" t="s">
        <v>1406</v>
      </c>
      <c r="AP826" t="s">
        <v>1407</v>
      </c>
      <c r="AQ826" t="s">
        <v>74</v>
      </c>
      <c r="AR826" t="s">
        <v>74</v>
      </c>
      <c r="AS826" t="s">
        <v>74</v>
      </c>
      <c r="AT826" t="s">
        <v>7400</v>
      </c>
      <c r="AU826">
        <v>2018</v>
      </c>
      <c r="AV826">
        <v>218</v>
      </c>
      <c r="AW826" t="s">
        <v>74</v>
      </c>
      <c r="AX826" t="s">
        <v>74</v>
      </c>
      <c r="AY826">
        <v>2</v>
      </c>
      <c r="AZ826" t="s">
        <v>74</v>
      </c>
      <c r="BA826" t="s">
        <v>74</v>
      </c>
      <c r="BB826" t="s">
        <v>24638</v>
      </c>
      <c r="BC826" t="s">
        <v>24639</v>
      </c>
      <c r="BD826" t="s">
        <v>74</v>
      </c>
      <c r="BE826" t="s">
        <v>24640</v>
      </c>
      <c r="BF826" t="str">
        <f>HYPERLINK("http://dx.doi.org/10.1093/infdis/jiy407","http://dx.doi.org/10.1093/infdis/jiy407")</f>
        <v>http://dx.doi.org/10.1093/infdis/jiy407</v>
      </c>
      <c r="BG826" t="s">
        <v>74</v>
      </c>
      <c r="BH826" t="s">
        <v>74</v>
      </c>
      <c r="BI826" t="s">
        <v>74</v>
      </c>
      <c r="BJ826" t="s">
        <v>1410</v>
      </c>
      <c r="BK826" t="s">
        <v>117</v>
      </c>
      <c r="BL826" t="s">
        <v>1410</v>
      </c>
      <c r="BM826" t="s">
        <v>74</v>
      </c>
      <c r="BN826">
        <v>30247599</v>
      </c>
      <c r="BO826" t="s">
        <v>74</v>
      </c>
      <c r="BP826" t="s">
        <v>74</v>
      </c>
      <c r="BQ826" t="s">
        <v>74</v>
      </c>
      <c r="BR826" t="s">
        <v>96</v>
      </c>
      <c r="BS826" t="s">
        <v>24641</v>
      </c>
      <c r="BT826" t="str">
        <f>HYPERLINK("https%3A%2F%2Fwww.webofscience.com%2Fwos%2Fwoscc%2Ffull-record%2FWOS:000448167700011","View Full Record in Web of Science")</f>
        <v>View Full Record in Web of Science</v>
      </c>
    </row>
    <row r="827" spans="1:72" x14ac:dyDescent="0.15">
      <c r="A827" t="s">
        <v>98</v>
      </c>
      <c r="B827" t="s">
        <v>25588</v>
      </c>
      <c r="C827" t="s">
        <v>74</v>
      </c>
      <c r="D827" t="s">
        <v>74</v>
      </c>
      <c r="E827" t="s">
        <v>74</v>
      </c>
      <c r="F827" t="s">
        <v>25589</v>
      </c>
      <c r="G827" t="s">
        <v>74</v>
      </c>
      <c r="H827" t="s">
        <v>74</v>
      </c>
      <c r="I827" t="s">
        <v>25590</v>
      </c>
      <c r="J827" t="s">
        <v>25591</v>
      </c>
      <c r="K827" t="s">
        <v>74</v>
      </c>
      <c r="L827" t="s">
        <v>74</v>
      </c>
      <c r="M827" t="s">
        <v>74</v>
      </c>
      <c r="N827" t="s">
        <v>103</v>
      </c>
      <c r="O827" t="s">
        <v>74</v>
      </c>
      <c r="P827" t="s">
        <v>74</v>
      </c>
      <c r="Q827" t="s">
        <v>74</v>
      </c>
      <c r="R827" t="s">
        <v>74</v>
      </c>
      <c r="S827" t="s">
        <v>74</v>
      </c>
      <c r="T827" t="s">
        <v>25592</v>
      </c>
      <c r="U827" t="s">
        <v>25593</v>
      </c>
      <c r="V827" t="s">
        <v>25594</v>
      </c>
      <c r="W827" t="s">
        <v>25595</v>
      </c>
      <c r="X827" t="s">
        <v>25596</v>
      </c>
      <c r="Y827" t="s">
        <v>25597</v>
      </c>
      <c r="Z827" t="s">
        <v>25598</v>
      </c>
      <c r="AA827" t="s">
        <v>25599</v>
      </c>
      <c r="AB827" t="s">
        <v>25600</v>
      </c>
      <c r="AC827" t="s">
        <v>74</v>
      </c>
      <c r="AD827" t="s">
        <v>74</v>
      </c>
      <c r="AE827" t="s">
        <v>74</v>
      </c>
      <c r="AF827" t="s">
        <v>74</v>
      </c>
      <c r="AG827">
        <v>80</v>
      </c>
      <c r="AH827">
        <v>21</v>
      </c>
      <c r="AI827">
        <v>21</v>
      </c>
      <c r="AJ827">
        <v>35</v>
      </c>
      <c r="AK827">
        <v>72</v>
      </c>
      <c r="AL827" t="s">
        <v>74</v>
      </c>
      <c r="AM827" t="s">
        <v>74</v>
      </c>
      <c r="AN827" t="s">
        <v>74</v>
      </c>
      <c r="AO827" t="s">
        <v>25601</v>
      </c>
      <c r="AP827" t="s">
        <v>25602</v>
      </c>
      <c r="AQ827" t="s">
        <v>74</v>
      </c>
      <c r="AR827" t="s">
        <v>74</v>
      </c>
      <c r="AS827" t="s">
        <v>74</v>
      </c>
      <c r="AT827" t="s">
        <v>189</v>
      </c>
      <c r="AU827">
        <v>2021</v>
      </c>
      <c r="AV827">
        <v>251</v>
      </c>
      <c r="AW827" t="s">
        <v>74</v>
      </c>
      <c r="AX827" t="s">
        <v>74</v>
      </c>
      <c r="AY827" t="s">
        <v>74</v>
      </c>
      <c r="AZ827" t="s">
        <v>74</v>
      </c>
      <c r="BA827" t="s">
        <v>74</v>
      </c>
      <c r="BB827" t="s">
        <v>74</v>
      </c>
      <c r="BC827" t="s">
        <v>74</v>
      </c>
      <c r="BD827">
        <v>126829</v>
      </c>
      <c r="BE827" t="s">
        <v>25603</v>
      </c>
      <c r="BF827" t="str">
        <f>HYPERLINK("http://dx.doi.org/10.1016/j.micres.2021.126829","http://dx.doi.org/10.1016/j.micres.2021.126829")</f>
        <v>http://dx.doi.org/10.1016/j.micres.2021.126829</v>
      </c>
      <c r="BG827" t="s">
        <v>74</v>
      </c>
      <c r="BH827" t="s">
        <v>1136</v>
      </c>
      <c r="BI827" t="s">
        <v>74</v>
      </c>
      <c r="BJ827" t="s">
        <v>898</v>
      </c>
      <c r="BK827" t="s">
        <v>117</v>
      </c>
      <c r="BL827" t="s">
        <v>898</v>
      </c>
      <c r="BM827" t="s">
        <v>74</v>
      </c>
      <c r="BN827">
        <v>34332222</v>
      </c>
      <c r="BO827" t="s">
        <v>74</v>
      </c>
      <c r="BP827" t="s">
        <v>74</v>
      </c>
      <c r="BQ827" t="s">
        <v>74</v>
      </c>
      <c r="BR827" t="s">
        <v>96</v>
      </c>
      <c r="BS827" t="s">
        <v>25604</v>
      </c>
      <c r="BT827" t="str">
        <f>HYPERLINK("https%3A%2F%2Fwww.webofscience.com%2Fwos%2Fwoscc%2Ffull-record%2FWOS:000688391000003","View Full Record in Web of Science")</f>
        <v>View Full Record in Web of Science</v>
      </c>
    </row>
    <row r="828" spans="1:72" x14ac:dyDescent="0.15">
      <c r="A828" t="s">
        <v>98</v>
      </c>
      <c r="B828" t="s">
        <v>26921</v>
      </c>
      <c r="C828" t="s">
        <v>74</v>
      </c>
      <c r="D828" t="s">
        <v>74</v>
      </c>
      <c r="E828" t="s">
        <v>74</v>
      </c>
      <c r="F828" t="s">
        <v>26922</v>
      </c>
      <c r="G828" t="s">
        <v>74</v>
      </c>
      <c r="H828" t="s">
        <v>74</v>
      </c>
      <c r="I828" t="s">
        <v>26923</v>
      </c>
      <c r="J828" t="s">
        <v>26924</v>
      </c>
      <c r="K828" t="s">
        <v>74</v>
      </c>
      <c r="L828" t="s">
        <v>74</v>
      </c>
      <c r="M828" t="s">
        <v>74</v>
      </c>
      <c r="N828" t="s">
        <v>103</v>
      </c>
      <c r="O828" t="s">
        <v>74</v>
      </c>
      <c r="P828" t="s">
        <v>74</v>
      </c>
      <c r="Q828" t="s">
        <v>74</v>
      </c>
      <c r="R828" t="s">
        <v>74</v>
      </c>
      <c r="S828" t="s">
        <v>74</v>
      </c>
      <c r="T828" t="s">
        <v>26925</v>
      </c>
      <c r="U828" t="s">
        <v>26926</v>
      </c>
      <c r="V828" t="s">
        <v>26927</v>
      </c>
      <c r="W828" t="s">
        <v>26928</v>
      </c>
      <c r="X828" t="s">
        <v>26929</v>
      </c>
      <c r="Y828" t="s">
        <v>26930</v>
      </c>
      <c r="Z828" t="s">
        <v>26931</v>
      </c>
      <c r="AA828" t="s">
        <v>74</v>
      </c>
      <c r="AB828" t="s">
        <v>74</v>
      </c>
      <c r="AC828" t="s">
        <v>74</v>
      </c>
      <c r="AD828" t="s">
        <v>74</v>
      </c>
      <c r="AE828" t="s">
        <v>74</v>
      </c>
      <c r="AF828" t="s">
        <v>74</v>
      </c>
      <c r="AG828">
        <v>41</v>
      </c>
      <c r="AH828">
        <v>21</v>
      </c>
      <c r="AI828">
        <v>21</v>
      </c>
      <c r="AJ828">
        <v>0</v>
      </c>
      <c r="AK828">
        <v>3</v>
      </c>
      <c r="AL828" t="s">
        <v>74</v>
      </c>
      <c r="AM828" t="s">
        <v>74</v>
      </c>
      <c r="AN828" t="s">
        <v>74</v>
      </c>
      <c r="AO828" t="s">
        <v>26932</v>
      </c>
      <c r="AP828" t="s">
        <v>26933</v>
      </c>
      <c r="AQ828" t="s">
        <v>74</v>
      </c>
      <c r="AR828" t="s">
        <v>74</v>
      </c>
      <c r="AS828" t="s">
        <v>74</v>
      </c>
      <c r="AT828" t="s">
        <v>283</v>
      </c>
      <c r="AU828">
        <v>2017</v>
      </c>
      <c r="AV828">
        <v>34</v>
      </c>
      <c r="AW828">
        <v>2</v>
      </c>
      <c r="AX828" t="s">
        <v>74</v>
      </c>
      <c r="AY828" t="s">
        <v>74</v>
      </c>
      <c r="AZ828" t="s">
        <v>74</v>
      </c>
      <c r="BA828" t="s">
        <v>74</v>
      </c>
      <c r="BB828">
        <v>185</v>
      </c>
      <c r="BC828">
        <v>196</v>
      </c>
      <c r="BD828" t="s">
        <v>74</v>
      </c>
      <c r="BE828" t="s">
        <v>26934</v>
      </c>
      <c r="BF828" t="str">
        <f>HYPERLINK("http://dx.doi.org/10.1007/s10585-017-9839-9","http://dx.doi.org/10.1007/s10585-017-9839-9")</f>
        <v>http://dx.doi.org/10.1007/s10585-017-9839-9</v>
      </c>
      <c r="BG828" t="s">
        <v>74</v>
      </c>
      <c r="BH828" t="s">
        <v>74</v>
      </c>
      <c r="BI828" t="s">
        <v>74</v>
      </c>
      <c r="BJ828" t="s">
        <v>267</v>
      </c>
      <c r="BK828" t="s">
        <v>117</v>
      </c>
      <c r="BL828" t="s">
        <v>267</v>
      </c>
      <c r="BM828" t="s">
        <v>74</v>
      </c>
      <c r="BN828">
        <v>28210910</v>
      </c>
      <c r="BO828" t="s">
        <v>74</v>
      </c>
      <c r="BP828" t="s">
        <v>74</v>
      </c>
      <c r="BQ828" t="s">
        <v>74</v>
      </c>
      <c r="BR828" t="s">
        <v>96</v>
      </c>
      <c r="BS828" t="s">
        <v>26935</v>
      </c>
      <c r="BT828" t="str">
        <f>HYPERLINK("https%3A%2F%2Fwww.webofscience.com%2Fwos%2Fwoscc%2Ffull-record%2FWOS:000396107600007","View Full Record in Web of Science")</f>
        <v>View Full Record in Web of Science</v>
      </c>
    </row>
    <row r="829" spans="1:72" x14ac:dyDescent="0.15">
      <c r="A829" t="s">
        <v>98</v>
      </c>
      <c r="B829" t="s">
        <v>30231</v>
      </c>
      <c r="C829" t="s">
        <v>74</v>
      </c>
      <c r="D829" t="s">
        <v>74</v>
      </c>
      <c r="E829" t="s">
        <v>74</v>
      </c>
      <c r="F829" t="s">
        <v>30232</v>
      </c>
      <c r="G829" t="s">
        <v>74</v>
      </c>
      <c r="H829" t="s">
        <v>74</v>
      </c>
      <c r="I829" t="s">
        <v>30233</v>
      </c>
      <c r="J829" t="s">
        <v>1018</v>
      </c>
      <c r="K829" t="s">
        <v>74</v>
      </c>
      <c r="L829" t="s">
        <v>74</v>
      </c>
      <c r="M829" t="s">
        <v>74</v>
      </c>
      <c r="N829" t="s">
        <v>103</v>
      </c>
      <c r="O829" t="s">
        <v>74</v>
      </c>
      <c r="P829" t="s">
        <v>74</v>
      </c>
      <c r="Q829" t="s">
        <v>74</v>
      </c>
      <c r="R829" t="s">
        <v>74</v>
      </c>
      <c r="S829" t="s">
        <v>74</v>
      </c>
      <c r="T829" t="s">
        <v>30234</v>
      </c>
      <c r="U829" t="s">
        <v>30235</v>
      </c>
      <c r="V829" t="s">
        <v>30236</v>
      </c>
      <c r="W829" t="s">
        <v>30237</v>
      </c>
      <c r="X829" t="s">
        <v>30238</v>
      </c>
      <c r="Y829" t="s">
        <v>30239</v>
      </c>
      <c r="Z829" t="s">
        <v>30240</v>
      </c>
      <c r="AA829" t="s">
        <v>30241</v>
      </c>
      <c r="AB829" t="s">
        <v>30242</v>
      </c>
      <c r="AC829" t="s">
        <v>74</v>
      </c>
      <c r="AD829" t="s">
        <v>74</v>
      </c>
      <c r="AE829" t="s">
        <v>74</v>
      </c>
      <c r="AF829" t="s">
        <v>74</v>
      </c>
      <c r="AG829">
        <v>45</v>
      </c>
      <c r="AH829">
        <v>21</v>
      </c>
      <c r="AI829">
        <v>21</v>
      </c>
      <c r="AJ829">
        <v>2</v>
      </c>
      <c r="AK829">
        <v>5</v>
      </c>
      <c r="AL829" t="s">
        <v>74</v>
      </c>
      <c r="AM829" t="s">
        <v>74</v>
      </c>
      <c r="AN829" t="s">
        <v>74</v>
      </c>
      <c r="AO829" t="s">
        <v>1028</v>
      </c>
      <c r="AP829" t="s">
        <v>74</v>
      </c>
      <c r="AQ829" t="s">
        <v>74</v>
      </c>
      <c r="AR829" t="s">
        <v>74</v>
      </c>
      <c r="AS829" t="s">
        <v>74</v>
      </c>
      <c r="AT829" t="s">
        <v>531</v>
      </c>
      <c r="AU829">
        <v>2017</v>
      </c>
      <c r="AV829">
        <v>22</v>
      </c>
      <c r="AW829">
        <v>9</v>
      </c>
      <c r="AX829" t="s">
        <v>74</v>
      </c>
      <c r="AY829" t="s">
        <v>74</v>
      </c>
      <c r="AZ829" t="s">
        <v>74</v>
      </c>
      <c r="BA829" t="s">
        <v>74</v>
      </c>
      <c r="BB829" t="s">
        <v>74</v>
      </c>
      <c r="BC829" t="s">
        <v>74</v>
      </c>
      <c r="BD829">
        <v>1516</v>
      </c>
      <c r="BE829" t="s">
        <v>30243</v>
      </c>
      <c r="BF829" t="str">
        <f>HYPERLINK("http://dx.doi.org/10.3390/molecules22091516","http://dx.doi.org/10.3390/molecules22091516")</f>
        <v>http://dx.doi.org/10.3390/molecules22091516</v>
      </c>
      <c r="BG829" t="s">
        <v>74</v>
      </c>
      <c r="BH829" t="s">
        <v>74</v>
      </c>
      <c r="BI829" t="s">
        <v>74</v>
      </c>
      <c r="BJ829" t="s">
        <v>830</v>
      </c>
      <c r="BK829" t="s">
        <v>117</v>
      </c>
      <c r="BL829" t="s">
        <v>831</v>
      </c>
      <c r="BM829" t="s">
        <v>74</v>
      </c>
      <c r="BN829">
        <v>28891967</v>
      </c>
      <c r="BO829" t="s">
        <v>74</v>
      </c>
      <c r="BP829" t="s">
        <v>74</v>
      </c>
      <c r="BQ829" t="s">
        <v>74</v>
      </c>
      <c r="BR829" t="s">
        <v>96</v>
      </c>
      <c r="BS829" t="s">
        <v>30244</v>
      </c>
      <c r="BT829" t="str">
        <f>HYPERLINK("https%3A%2F%2Fwww.webofscience.com%2Fwos%2Fwoscc%2Ffull-record%2FWOS:000411499400105","View Full Record in Web of Science")</f>
        <v>View Full Record in Web of Science</v>
      </c>
    </row>
    <row r="830" spans="1:72" x14ac:dyDescent="0.15">
      <c r="A830" t="s">
        <v>98</v>
      </c>
      <c r="B830" t="s">
        <v>2164</v>
      </c>
      <c r="C830" t="s">
        <v>74</v>
      </c>
      <c r="D830" t="s">
        <v>74</v>
      </c>
      <c r="E830" t="s">
        <v>74</v>
      </c>
      <c r="F830" t="s">
        <v>2165</v>
      </c>
      <c r="G830" t="s">
        <v>74</v>
      </c>
      <c r="H830" t="s">
        <v>74</v>
      </c>
      <c r="I830" t="s">
        <v>2166</v>
      </c>
      <c r="J830" t="s">
        <v>817</v>
      </c>
      <c r="K830" t="s">
        <v>74</v>
      </c>
      <c r="L830" t="s">
        <v>74</v>
      </c>
      <c r="M830" t="s">
        <v>74</v>
      </c>
      <c r="N830" t="s">
        <v>103</v>
      </c>
      <c r="O830" t="s">
        <v>74</v>
      </c>
      <c r="P830" t="s">
        <v>74</v>
      </c>
      <c r="Q830" t="s">
        <v>74</v>
      </c>
      <c r="R830" t="s">
        <v>74</v>
      </c>
      <c r="S830" t="s">
        <v>74</v>
      </c>
      <c r="T830" t="s">
        <v>2167</v>
      </c>
      <c r="U830" t="s">
        <v>2168</v>
      </c>
      <c r="V830" t="s">
        <v>2169</v>
      </c>
      <c r="W830" t="s">
        <v>2170</v>
      </c>
      <c r="X830" t="s">
        <v>2171</v>
      </c>
      <c r="Y830" t="s">
        <v>2172</v>
      </c>
      <c r="Z830" t="s">
        <v>2173</v>
      </c>
      <c r="AA830" t="s">
        <v>74</v>
      </c>
      <c r="AB830" t="s">
        <v>2174</v>
      </c>
      <c r="AC830" t="s">
        <v>74</v>
      </c>
      <c r="AD830" t="s">
        <v>74</v>
      </c>
      <c r="AE830" t="s">
        <v>74</v>
      </c>
      <c r="AF830" t="s">
        <v>74</v>
      </c>
      <c r="AG830">
        <v>73</v>
      </c>
      <c r="AH830">
        <v>20</v>
      </c>
      <c r="AI830">
        <v>20</v>
      </c>
      <c r="AJ830">
        <v>2</v>
      </c>
      <c r="AK830">
        <v>11</v>
      </c>
      <c r="AL830" t="s">
        <v>74</v>
      </c>
      <c r="AM830" t="s">
        <v>74</v>
      </c>
      <c r="AN830" t="s">
        <v>74</v>
      </c>
      <c r="AO830" t="s">
        <v>74</v>
      </c>
      <c r="AP830" t="s">
        <v>827</v>
      </c>
      <c r="AQ830" t="s">
        <v>74</v>
      </c>
      <c r="AR830" t="s">
        <v>74</v>
      </c>
      <c r="AS830" t="s">
        <v>74</v>
      </c>
      <c r="AT830" t="s">
        <v>1029</v>
      </c>
      <c r="AU830">
        <v>2020</v>
      </c>
      <c r="AV830">
        <v>21</v>
      </c>
      <c r="AW830">
        <v>10</v>
      </c>
      <c r="AX830" t="s">
        <v>74</v>
      </c>
      <c r="AY830" t="s">
        <v>74</v>
      </c>
      <c r="AZ830" t="s">
        <v>74</v>
      </c>
      <c r="BA830" t="s">
        <v>74</v>
      </c>
      <c r="BB830" t="s">
        <v>74</v>
      </c>
      <c r="BC830" t="s">
        <v>74</v>
      </c>
      <c r="BD830" t="s">
        <v>74</v>
      </c>
      <c r="BE830" t="s">
        <v>2175</v>
      </c>
      <c r="BF830" t="str">
        <f>HYPERLINK("http://dx.doi.org/10.3390/ijms21103720","http://dx.doi.org/10.3390/ijms21103720")</f>
        <v>http://dx.doi.org/10.3390/ijms21103720</v>
      </c>
      <c r="BG830" t="s">
        <v>74</v>
      </c>
      <c r="BH830" t="s">
        <v>74</v>
      </c>
      <c r="BI830" t="s">
        <v>74</v>
      </c>
      <c r="BJ830" t="s">
        <v>830</v>
      </c>
      <c r="BK830" t="s">
        <v>117</v>
      </c>
      <c r="BL830" t="s">
        <v>831</v>
      </c>
      <c r="BM830" t="s">
        <v>74</v>
      </c>
      <c r="BN830">
        <v>32466233</v>
      </c>
      <c r="BO830" t="s">
        <v>74</v>
      </c>
      <c r="BP830" t="s">
        <v>74</v>
      </c>
      <c r="BQ830" t="s">
        <v>74</v>
      </c>
      <c r="BR830" t="s">
        <v>96</v>
      </c>
      <c r="BS830" t="s">
        <v>2176</v>
      </c>
      <c r="BT830" t="str">
        <f>HYPERLINK("https%3A%2F%2Fwww.webofscience.com%2Fwos%2Fwoscc%2Ffull-record%2FWOS:000539312100316","View Full Record in Web of Science")</f>
        <v>View Full Record in Web of Science</v>
      </c>
    </row>
    <row r="831" spans="1:72" x14ac:dyDescent="0.15">
      <c r="A831" t="s">
        <v>98</v>
      </c>
      <c r="B831" t="s">
        <v>3393</v>
      </c>
      <c r="C831" t="s">
        <v>74</v>
      </c>
      <c r="D831" t="s">
        <v>74</v>
      </c>
      <c r="E831" t="s">
        <v>74</v>
      </c>
      <c r="F831" t="s">
        <v>3394</v>
      </c>
      <c r="G831" t="s">
        <v>74</v>
      </c>
      <c r="H831" t="s">
        <v>74</v>
      </c>
      <c r="I831" t="s">
        <v>3395</v>
      </c>
      <c r="J831" t="s">
        <v>903</v>
      </c>
      <c r="K831" t="s">
        <v>74</v>
      </c>
      <c r="L831" t="s">
        <v>74</v>
      </c>
      <c r="M831" t="s">
        <v>74</v>
      </c>
      <c r="N831" t="s">
        <v>103</v>
      </c>
      <c r="O831" t="s">
        <v>74</v>
      </c>
      <c r="P831" t="s">
        <v>74</v>
      </c>
      <c r="Q831" t="s">
        <v>74</v>
      </c>
      <c r="R831" t="s">
        <v>74</v>
      </c>
      <c r="S831" t="s">
        <v>74</v>
      </c>
      <c r="T831" t="s">
        <v>3396</v>
      </c>
      <c r="U831" t="s">
        <v>3397</v>
      </c>
      <c r="V831" t="s">
        <v>3398</v>
      </c>
      <c r="W831" t="s">
        <v>3399</v>
      </c>
      <c r="X831" t="s">
        <v>3400</v>
      </c>
      <c r="Y831" t="s">
        <v>3401</v>
      </c>
      <c r="Z831" t="s">
        <v>3402</v>
      </c>
      <c r="AA831" t="s">
        <v>3403</v>
      </c>
      <c r="AB831" t="s">
        <v>3404</v>
      </c>
      <c r="AC831" t="s">
        <v>74</v>
      </c>
      <c r="AD831" t="s">
        <v>74</v>
      </c>
      <c r="AE831" t="s">
        <v>74</v>
      </c>
      <c r="AF831" t="s">
        <v>74</v>
      </c>
      <c r="AG831">
        <v>92</v>
      </c>
      <c r="AH831">
        <v>20</v>
      </c>
      <c r="AI831">
        <v>20</v>
      </c>
      <c r="AJ831">
        <v>2</v>
      </c>
      <c r="AK831">
        <v>4</v>
      </c>
      <c r="AL831" t="s">
        <v>74</v>
      </c>
      <c r="AM831" t="s">
        <v>74</v>
      </c>
      <c r="AN831" t="s">
        <v>74</v>
      </c>
      <c r="AO831" t="s">
        <v>74</v>
      </c>
      <c r="AP831" t="s">
        <v>913</v>
      </c>
      <c r="AQ831" t="s">
        <v>74</v>
      </c>
      <c r="AR831" t="s">
        <v>74</v>
      </c>
      <c r="AS831" t="s">
        <v>74</v>
      </c>
      <c r="AT831" t="s">
        <v>565</v>
      </c>
      <c r="AU831">
        <v>2020</v>
      </c>
      <c r="AV831">
        <v>12</v>
      </c>
      <c r="AW831">
        <v>3</v>
      </c>
      <c r="AX831" t="s">
        <v>74</v>
      </c>
      <c r="AY831" t="s">
        <v>74</v>
      </c>
      <c r="AZ831" t="s">
        <v>74</v>
      </c>
      <c r="BA831" t="s">
        <v>74</v>
      </c>
      <c r="BB831" t="s">
        <v>74</v>
      </c>
      <c r="BC831" t="s">
        <v>74</v>
      </c>
      <c r="BD831">
        <v>692</v>
      </c>
      <c r="BE831" t="s">
        <v>3405</v>
      </c>
      <c r="BF831" t="str">
        <f>HYPERLINK("http://dx.doi.org/10.3390/cancers12030692","http://dx.doi.org/10.3390/cancers12030692")</f>
        <v>http://dx.doi.org/10.3390/cancers12030692</v>
      </c>
      <c r="BG831" t="s">
        <v>74</v>
      </c>
      <c r="BH831" t="s">
        <v>74</v>
      </c>
      <c r="BI831" t="s">
        <v>74</v>
      </c>
      <c r="BJ831" t="s">
        <v>267</v>
      </c>
      <c r="BK831" t="s">
        <v>117</v>
      </c>
      <c r="BL831" t="s">
        <v>267</v>
      </c>
      <c r="BM831" t="s">
        <v>74</v>
      </c>
      <c r="BN831">
        <v>32183388</v>
      </c>
      <c r="BO831" t="s">
        <v>74</v>
      </c>
      <c r="BP831" t="s">
        <v>74</v>
      </c>
      <c r="BQ831" t="s">
        <v>74</v>
      </c>
      <c r="BR831" t="s">
        <v>96</v>
      </c>
      <c r="BS831" t="s">
        <v>3406</v>
      </c>
      <c r="BT831" t="str">
        <f>HYPERLINK("https%3A%2F%2Fwww.webofscience.com%2Fwos%2Fwoscc%2Ffull-record%2FWOS:000530232300168","View Full Record in Web of Science")</f>
        <v>View Full Record in Web of Science</v>
      </c>
    </row>
    <row r="832" spans="1:72" x14ac:dyDescent="0.15">
      <c r="A832" t="s">
        <v>98</v>
      </c>
      <c r="B832" t="s">
        <v>7301</v>
      </c>
      <c r="C832" t="s">
        <v>74</v>
      </c>
      <c r="D832" t="s">
        <v>74</v>
      </c>
      <c r="E832" t="s">
        <v>74</v>
      </c>
      <c r="F832" t="s">
        <v>7302</v>
      </c>
      <c r="G832" t="s">
        <v>74</v>
      </c>
      <c r="H832" t="s">
        <v>74</v>
      </c>
      <c r="I832" t="s">
        <v>7303</v>
      </c>
      <c r="J832" t="s">
        <v>1105</v>
      </c>
      <c r="K832" t="s">
        <v>74</v>
      </c>
      <c r="L832" t="s">
        <v>74</v>
      </c>
      <c r="M832" t="s">
        <v>74</v>
      </c>
      <c r="N832" t="s">
        <v>103</v>
      </c>
      <c r="O832" t="s">
        <v>74</v>
      </c>
      <c r="P832" t="s">
        <v>74</v>
      </c>
      <c r="Q832" t="s">
        <v>74</v>
      </c>
      <c r="R832" t="s">
        <v>74</v>
      </c>
      <c r="S832" t="s">
        <v>74</v>
      </c>
      <c r="T832" t="s">
        <v>7304</v>
      </c>
      <c r="U832" t="s">
        <v>7305</v>
      </c>
      <c r="V832" t="s">
        <v>7306</v>
      </c>
      <c r="W832" t="s">
        <v>7307</v>
      </c>
      <c r="X832" t="s">
        <v>7308</v>
      </c>
      <c r="Y832" t="s">
        <v>7309</v>
      </c>
      <c r="Z832" t="s">
        <v>7310</v>
      </c>
      <c r="AA832" t="s">
        <v>74</v>
      </c>
      <c r="AB832" t="s">
        <v>74</v>
      </c>
      <c r="AC832" t="s">
        <v>74</v>
      </c>
      <c r="AD832" t="s">
        <v>74</v>
      </c>
      <c r="AE832" t="s">
        <v>74</v>
      </c>
      <c r="AF832" t="s">
        <v>74</v>
      </c>
      <c r="AG832">
        <v>69</v>
      </c>
      <c r="AH832">
        <v>20</v>
      </c>
      <c r="AI832">
        <v>20</v>
      </c>
      <c r="AJ832">
        <v>27</v>
      </c>
      <c r="AK832">
        <v>172</v>
      </c>
      <c r="AL832" t="s">
        <v>74</v>
      </c>
      <c r="AM832" t="s">
        <v>74</v>
      </c>
      <c r="AN832" t="s">
        <v>74</v>
      </c>
      <c r="AO832" t="s">
        <v>1114</v>
      </c>
      <c r="AP832" t="s">
        <v>1115</v>
      </c>
      <c r="AQ832" t="s">
        <v>74</v>
      </c>
      <c r="AR832" t="s">
        <v>74</v>
      </c>
      <c r="AS832" t="s">
        <v>74</v>
      </c>
      <c r="AT832" t="s">
        <v>549</v>
      </c>
      <c r="AU832">
        <v>2020</v>
      </c>
      <c r="AV832">
        <v>214</v>
      </c>
      <c r="AW832" t="s">
        <v>74</v>
      </c>
      <c r="AX832" t="s">
        <v>74</v>
      </c>
      <c r="AY832" t="s">
        <v>74</v>
      </c>
      <c r="AZ832" t="s">
        <v>74</v>
      </c>
      <c r="BA832" t="s">
        <v>74</v>
      </c>
      <c r="BB832" t="s">
        <v>74</v>
      </c>
      <c r="BC832" t="s">
        <v>74</v>
      </c>
      <c r="BD832">
        <v>120851</v>
      </c>
      <c r="BE832" t="s">
        <v>7311</v>
      </c>
      <c r="BF832" t="str">
        <f>HYPERLINK("http://dx.doi.org/10.1016/j.talanta.2020.120851","http://dx.doi.org/10.1016/j.talanta.2020.120851")</f>
        <v>http://dx.doi.org/10.1016/j.talanta.2020.120851</v>
      </c>
      <c r="BG832" t="s">
        <v>74</v>
      </c>
      <c r="BH832" t="s">
        <v>74</v>
      </c>
      <c r="BI832" t="s">
        <v>74</v>
      </c>
      <c r="BJ832" t="s">
        <v>1118</v>
      </c>
      <c r="BK832" t="s">
        <v>117</v>
      </c>
      <c r="BL832" t="s">
        <v>1048</v>
      </c>
      <c r="BM832" t="s">
        <v>74</v>
      </c>
      <c r="BN832">
        <v>32278412</v>
      </c>
      <c r="BO832" t="s">
        <v>74</v>
      </c>
      <c r="BP832" t="s">
        <v>74</v>
      </c>
      <c r="BQ832" t="s">
        <v>74</v>
      </c>
      <c r="BR832" t="s">
        <v>96</v>
      </c>
      <c r="BS832" t="s">
        <v>7312</v>
      </c>
      <c r="BT832" t="str">
        <f>HYPERLINK("https%3A%2F%2Fwww.webofscience.com%2Fwos%2Fwoscc%2Ffull-record%2FWOS:000525713300011","View Full Record in Web of Science")</f>
        <v>View Full Record in Web of Science</v>
      </c>
    </row>
    <row r="833" spans="1:72" x14ac:dyDescent="0.15">
      <c r="A833" t="s">
        <v>98</v>
      </c>
      <c r="B833" t="s">
        <v>7838</v>
      </c>
      <c r="C833" t="s">
        <v>74</v>
      </c>
      <c r="D833" t="s">
        <v>74</v>
      </c>
      <c r="E833" t="s">
        <v>74</v>
      </c>
      <c r="F833" t="s">
        <v>7839</v>
      </c>
      <c r="G833" t="s">
        <v>74</v>
      </c>
      <c r="H833" t="s">
        <v>74</v>
      </c>
      <c r="I833" t="s">
        <v>7840</v>
      </c>
      <c r="J833" t="s">
        <v>7841</v>
      </c>
      <c r="K833" t="s">
        <v>74</v>
      </c>
      <c r="L833" t="s">
        <v>74</v>
      </c>
      <c r="M833" t="s">
        <v>74</v>
      </c>
      <c r="N833" t="s">
        <v>103</v>
      </c>
      <c r="O833" t="s">
        <v>74</v>
      </c>
      <c r="P833" t="s">
        <v>74</v>
      </c>
      <c r="Q833" t="s">
        <v>74</v>
      </c>
      <c r="R833" t="s">
        <v>74</v>
      </c>
      <c r="S833" t="s">
        <v>74</v>
      </c>
      <c r="T833" t="s">
        <v>74</v>
      </c>
      <c r="U833" t="s">
        <v>7842</v>
      </c>
      <c r="V833" t="s">
        <v>7843</v>
      </c>
      <c r="W833" t="s">
        <v>7844</v>
      </c>
      <c r="X833" t="s">
        <v>7845</v>
      </c>
      <c r="Y833" t="s">
        <v>7846</v>
      </c>
      <c r="Z833" t="s">
        <v>7847</v>
      </c>
      <c r="AA833" t="s">
        <v>7848</v>
      </c>
      <c r="AB833" t="s">
        <v>7849</v>
      </c>
      <c r="AC833" t="s">
        <v>74</v>
      </c>
      <c r="AD833" t="s">
        <v>74</v>
      </c>
      <c r="AE833" t="s">
        <v>74</v>
      </c>
      <c r="AF833" t="s">
        <v>74</v>
      </c>
      <c r="AG833">
        <v>58</v>
      </c>
      <c r="AH833">
        <v>20</v>
      </c>
      <c r="AI833">
        <v>20</v>
      </c>
      <c r="AJ833">
        <v>0</v>
      </c>
      <c r="AK833">
        <v>9</v>
      </c>
      <c r="AL833" t="s">
        <v>74</v>
      </c>
      <c r="AM833" t="s">
        <v>74</v>
      </c>
      <c r="AN833" t="s">
        <v>74</v>
      </c>
      <c r="AO833" t="s">
        <v>7850</v>
      </c>
      <c r="AP833" t="s">
        <v>7851</v>
      </c>
      <c r="AQ833" t="s">
        <v>74</v>
      </c>
      <c r="AR833" t="s">
        <v>74</v>
      </c>
      <c r="AS833" t="s">
        <v>74</v>
      </c>
      <c r="AT833" t="s">
        <v>2906</v>
      </c>
      <c r="AU833">
        <v>2017</v>
      </c>
      <c r="AV833">
        <v>198</v>
      </c>
      <c r="AW833">
        <v>12</v>
      </c>
      <c r="AX833" t="s">
        <v>74</v>
      </c>
      <c r="AY833" t="s">
        <v>74</v>
      </c>
      <c r="AZ833" t="s">
        <v>74</v>
      </c>
      <c r="BA833" t="s">
        <v>74</v>
      </c>
      <c r="BB833">
        <v>4707</v>
      </c>
      <c r="BC833">
        <v>4715</v>
      </c>
      <c r="BD833" t="s">
        <v>74</v>
      </c>
      <c r="BE833" t="s">
        <v>7852</v>
      </c>
      <c r="BF833" t="str">
        <f>HYPERLINK("http://dx.doi.org/10.4049/jimmunol.1600731","http://dx.doi.org/10.4049/jimmunol.1600731")</f>
        <v>http://dx.doi.org/10.4049/jimmunol.1600731</v>
      </c>
      <c r="BG833" t="s">
        <v>74</v>
      </c>
      <c r="BH833" t="s">
        <v>74</v>
      </c>
      <c r="BI833" t="s">
        <v>74</v>
      </c>
      <c r="BJ833" t="s">
        <v>2064</v>
      </c>
      <c r="BK833" t="s">
        <v>117</v>
      </c>
      <c r="BL833" t="s">
        <v>2064</v>
      </c>
      <c r="BM833" t="s">
        <v>74</v>
      </c>
      <c r="BN833">
        <v>28507029</v>
      </c>
      <c r="BO833" t="s">
        <v>74</v>
      </c>
      <c r="BP833" t="s">
        <v>74</v>
      </c>
      <c r="BQ833" t="s">
        <v>74</v>
      </c>
      <c r="BR833" t="s">
        <v>96</v>
      </c>
      <c r="BS833" t="s">
        <v>7853</v>
      </c>
      <c r="BT833" t="str">
        <f>HYPERLINK("https%3A%2F%2Fwww.webofscience.com%2Fwos%2Fwoscc%2Ffull-record%2FWOS:000405271300017","View Full Record in Web of Science")</f>
        <v>View Full Record in Web of Science</v>
      </c>
    </row>
    <row r="834" spans="1:72" x14ac:dyDescent="0.15">
      <c r="A834" t="s">
        <v>98</v>
      </c>
      <c r="B834" t="s">
        <v>10651</v>
      </c>
      <c r="C834" t="s">
        <v>74</v>
      </c>
      <c r="D834" t="s">
        <v>74</v>
      </c>
      <c r="E834" t="s">
        <v>74</v>
      </c>
      <c r="F834" t="s">
        <v>10652</v>
      </c>
      <c r="G834" t="s">
        <v>74</v>
      </c>
      <c r="H834" t="s">
        <v>74</v>
      </c>
      <c r="I834" t="s">
        <v>10653</v>
      </c>
      <c r="J834" t="s">
        <v>10654</v>
      </c>
      <c r="K834" t="s">
        <v>74</v>
      </c>
      <c r="L834" t="s">
        <v>74</v>
      </c>
      <c r="M834" t="s">
        <v>74</v>
      </c>
      <c r="N834" t="s">
        <v>103</v>
      </c>
      <c r="O834" t="s">
        <v>74</v>
      </c>
      <c r="P834" t="s">
        <v>74</v>
      </c>
      <c r="Q834" t="s">
        <v>74</v>
      </c>
      <c r="R834" t="s">
        <v>74</v>
      </c>
      <c r="S834" t="s">
        <v>74</v>
      </c>
      <c r="T834" t="s">
        <v>10655</v>
      </c>
      <c r="U834" t="s">
        <v>10656</v>
      </c>
      <c r="V834" t="s">
        <v>10657</v>
      </c>
      <c r="W834" t="s">
        <v>10658</v>
      </c>
      <c r="X834" t="s">
        <v>459</v>
      </c>
      <c r="Y834" t="s">
        <v>10659</v>
      </c>
      <c r="Z834" t="s">
        <v>10660</v>
      </c>
      <c r="AA834" t="s">
        <v>10661</v>
      </c>
      <c r="AB834" t="s">
        <v>10662</v>
      </c>
      <c r="AC834" t="s">
        <v>74</v>
      </c>
      <c r="AD834" t="s">
        <v>74</v>
      </c>
      <c r="AE834" t="s">
        <v>74</v>
      </c>
      <c r="AF834" t="s">
        <v>74</v>
      </c>
      <c r="AG834">
        <v>54</v>
      </c>
      <c r="AH834">
        <v>20</v>
      </c>
      <c r="AI834">
        <v>21</v>
      </c>
      <c r="AJ834">
        <v>0</v>
      </c>
      <c r="AK834">
        <v>8</v>
      </c>
      <c r="AL834" t="s">
        <v>74</v>
      </c>
      <c r="AM834" t="s">
        <v>74</v>
      </c>
      <c r="AN834" t="s">
        <v>74</v>
      </c>
      <c r="AO834" t="s">
        <v>10663</v>
      </c>
      <c r="AP834" t="s">
        <v>10664</v>
      </c>
      <c r="AQ834" t="s">
        <v>74</v>
      </c>
      <c r="AR834" t="s">
        <v>74</v>
      </c>
      <c r="AS834" t="s">
        <v>74</v>
      </c>
      <c r="AT834" t="s">
        <v>230</v>
      </c>
      <c r="AU834">
        <v>2019</v>
      </c>
      <c r="AV834">
        <v>495</v>
      </c>
      <c r="AW834" t="s">
        <v>74</v>
      </c>
      <c r="AX834" t="s">
        <v>74</v>
      </c>
      <c r="AY834" t="s">
        <v>74</v>
      </c>
      <c r="AZ834" t="s">
        <v>74</v>
      </c>
      <c r="BA834" t="s">
        <v>74</v>
      </c>
      <c r="BB834">
        <v>529</v>
      </c>
      <c r="BC834">
        <v>537</v>
      </c>
      <c r="BD834" t="s">
        <v>74</v>
      </c>
      <c r="BE834" t="s">
        <v>10665</v>
      </c>
      <c r="BF834" t="str">
        <f>HYPERLINK("http://dx.doi.org/10.1016/j.cca.2019.05.028","http://dx.doi.org/10.1016/j.cca.2019.05.028")</f>
        <v>http://dx.doi.org/10.1016/j.cca.2019.05.028</v>
      </c>
      <c r="BG834" t="s">
        <v>74</v>
      </c>
      <c r="BH834" t="s">
        <v>74</v>
      </c>
      <c r="BI834" t="s">
        <v>74</v>
      </c>
      <c r="BJ834" t="s">
        <v>2773</v>
      </c>
      <c r="BK834" t="s">
        <v>117</v>
      </c>
      <c r="BL834" t="s">
        <v>2773</v>
      </c>
      <c r="BM834" t="s">
        <v>74</v>
      </c>
      <c r="BN834">
        <v>31153869</v>
      </c>
      <c r="BO834" t="s">
        <v>74</v>
      </c>
      <c r="BP834" t="s">
        <v>74</v>
      </c>
      <c r="BQ834" t="s">
        <v>74</v>
      </c>
      <c r="BR834" t="s">
        <v>96</v>
      </c>
      <c r="BS834" t="s">
        <v>10666</v>
      </c>
      <c r="BT834" t="str">
        <f>HYPERLINK("https%3A%2F%2Fwww.webofscience.com%2Fwos%2Fwoscc%2Ffull-record%2FWOS:000476964200079","View Full Record in Web of Science")</f>
        <v>View Full Record in Web of Science</v>
      </c>
    </row>
    <row r="835" spans="1:72" x14ac:dyDescent="0.15">
      <c r="A835" t="s">
        <v>98</v>
      </c>
      <c r="B835" t="s">
        <v>11589</v>
      </c>
      <c r="C835" t="s">
        <v>74</v>
      </c>
      <c r="D835" t="s">
        <v>74</v>
      </c>
      <c r="E835" t="s">
        <v>74</v>
      </c>
      <c r="F835" t="s">
        <v>11590</v>
      </c>
      <c r="G835" t="s">
        <v>74</v>
      </c>
      <c r="H835" t="s">
        <v>74</v>
      </c>
      <c r="I835" t="s">
        <v>11591</v>
      </c>
      <c r="J835" t="s">
        <v>11592</v>
      </c>
      <c r="K835" t="s">
        <v>74</v>
      </c>
      <c r="L835" t="s">
        <v>74</v>
      </c>
      <c r="M835" t="s">
        <v>74</v>
      </c>
      <c r="N835" t="s">
        <v>103</v>
      </c>
      <c r="O835" t="s">
        <v>74</v>
      </c>
      <c r="P835" t="s">
        <v>74</v>
      </c>
      <c r="Q835" t="s">
        <v>74</v>
      </c>
      <c r="R835" t="s">
        <v>74</v>
      </c>
      <c r="S835" t="s">
        <v>74</v>
      </c>
      <c r="T835" t="s">
        <v>11593</v>
      </c>
      <c r="U835" t="s">
        <v>11594</v>
      </c>
      <c r="V835" t="s">
        <v>11595</v>
      </c>
      <c r="W835" t="s">
        <v>11596</v>
      </c>
      <c r="X835" t="s">
        <v>11597</v>
      </c>
      <c r="Y835" t="s">
        <v>11598</v>
      </c>
      <c r="Z835" t="s">
        <v>5451</v>
      </c>
      <c r="AA835" t="s">
        <v>74</v>
      </c>
      <c r="AB835" t="s">
        <v>11599</v>
      </c>
      <c r="AC835" t="s">
        <v>74</v>
      </c>
      <c r="AD835" t="s">
        <v>74</v>
      </c>
      <c r="AE835" t="s">
        <v>74</v>
      </c>
      <c r="AF835" t="s">
        <v>74</v>
      </c>
      <c r="AG835">
        <v>73</v>
      </c>
      <c r="AH835">
        <v>20</v>
      </c>
      <c r="AI835">
        <v>20</v>
      </c>
      <c r="AJ835">
        <v>0</v>
      </c>
      <c r="AK835">
        <v>12</v>
      </c>
      <c r="AL835" t="s">
        <v>74</v>
      </c>
      <c r="AM835" t="s">
        <v>74</v>
      </c>
      <c r="AN835" t="s">
        <v>74</v>
      </c>
      <c r="AO835" t="s">
        <v>11600</v>
      </c>
      <c r="AP835" t="s">
        <v>74</v>
      </c>
      <c r="AQ835" t="s">
        <v>74</v>
      </c>
      <c r="AR835" t="s">
        <v>74</v>
      </c>
      <c r="AS835" t="s">
        <v>74</v>
      </c>
      <c r="AT835" t="s">
        <v>3597</v>
      </c>
      <c r="AU835">
        <v>2017</v>
      </c>
      <c r="AV835">
        <v>15</v>
      </c>
      <c r="AW835" t="s">
        <v>74</v>
      </c>
      <c r="AX835" t="s">
        <v>74</v>
      </c>
      <c r="AY835" t="s">
        <v>74</v>
      </c>
      <c r="AZ835" t="s">
        <v>74</v>
      </c>
      <c r="BA835" t="s">
        <v>74</v>
      </c>
      <c r="BB835" t="s">
        <v>74</v>
      </c>
      <c r="BC835" t="s">
        <v>74</v>
      </c>
      <c r="BD835">
        <v>14</v>
      </c>
      <c r="BE835" t="s">
        <v>11601</v>
      </c>
      <c r="BF835" t="str">
        <f>HYPERLINK("http://dx.doi.org/10.1186/s12964-017-0169-y","http://dx.doi.org/10.1186/s12964-017-0169-y")</f>
        <v>http://dx.doi.org/10.1186/s12964-017-0169-y</v>
      </c>
      <c r="BG835" t="s">
        <v>74</v>
      </c>
      <c r="BH835" t="s">
        <v>74</v>
      </c>
      <c r="BI835" t="s">
        <v>74</v>
      </c>
      <c r="BJ835" t="s">
        <v>135</v>
      </c>
      <c r="BK835" t="s">
        <v>117</v>
      </c>
      <c r="BL835" t="s">
        <v>135</v>
      </c>
      <c r="BM835" t="s">
        <v>74</v>
      </c>
      <c r="BN835">
        <v>28376875</v>
      </c>
      <c r="BO835" t="s">
        <v>74</v>
      </c>
      <c r="BP835" t="s">
        <v>74</v>
      </c>
      <c r="BQ835" t="s">
        <v>74</v>
      </c>
      <c r="BR835" t="s">
        <v>96</v>
      </c>
      <c r="BS835" t="s">
        <v>11602</v>
      </c>
      <c r="BT835" t="str">
        <f>HYPERLINK("https%3A%2F%2Fwww.webofscience.com%2Fwos%2Fwoscc%2Ffull-record%2FWOS:000398116600001","View Full Record in Web of Science")</f>
        <v>View Full Record in Web of Science</v>
      </c>
    </row>
    <row r="836" spans="1:72" x14ac:dyDescent="0.15">
      <c r="A836" t="s">
        <v>98</v>
      </c>
      <c r="B836" t="s">
        <v>12019</v>
      </c>
      <c r="C836" t="s">
        <v>74</v>
      </c>
      <c r="D836" t="s">
        <v>74</v>
      </c>
      <c r="E836" t="s">
        <v>74</v>
      </c>
      <c r="F836" t="s">
        <v>12020</v>
      </c>
      <c r="G836" t="s">
        <v>74</v>
      </c>
      <c r="H836" t="s">
        <v>74</v>
      </c>
      <c r="I836" t="s">
        <v>12021</v>
      </c>
      <c r="J836" t="s">
        <v>10894</v>
      </c>
      <c r="K836" t="s">
        <v>74</v>
      </c>
      <c r="L836" t="s">
        <v>74</v>
      </c>
      <c r="M836" t="s">
        <v>74</v>
      </c>
      <c r="N836" t="s">
        <v>103</v>
      </c>
      <c r="O836" t="s">
        <v>74</v>
      </c>
      <c r="P836" t="s">
        <v>74</v>
      </c>
      <c r="Q836" t="s">
        <v>74</v>
      </c>
      <c r="R836" t="s">
        <v>74</v>
      </c>
      <c r="S836" t="s">
        <v>74</v>
      </c>
      <c r="T836" t="s">
        <v>74</v>
      </c>
      <c r="U836" t="s">
        <v>12022</v>
      </c>
      <c r="V836" t="s">
        <v>12023</v>
      </c>
      <c r="W836" t="s">
        <v>12024</v>
      </c>
      <c r="X836" t="s">
        <v>12025</v>
      </c>
      <c r="Y836" t="s">
        <v>12026</v>
      </c>
      <c r="Z836" t="s">
        <v>12027</v>
      </c>
      <c r="AA836" t="s">
        <v>12028</v>
      </c>
      <c r="AB836" t="s">
        <v>12029</v>
      </c>
      <c r="AC836" t="s">
        <v>74</v>
      </c>
      <c r="AD836" t="s">
        <v>74</v>
      </c>
      <c r="AE836" t="s">
        <v>74</v>
      </c>
      <c r="AF836" t="s">
        <v>74</v>
      </c>
      <c r="AG836">
        <v>86</v>
      </c>
      <c r="AH836">
        <v>20</v>
      </c>
      <c r="AI836">
        <v>22</v>
      </c>
      <c r="AJ836">
        <v>1</v>
      </c>
      <c r="AK836">
        <v>4</v>
      </c>
      <c r="AL836" t="s">
        <v>74</v>
      </c>
      <c r="AM836" t="s">
        <v>74</v>
      </c>
      <c r="AN836" t="s">
        <v>74</v>
      </c>
      <c r="AO836" t="s">
        <v>10902</v>
      </c>
      <c r="AP836" t="s">
        <v>74</v>
      </c>
      <c r="AQ836" t="s">
        <v>74</v>
      </c>
      <c r="AR836" t="s">
        <v>74</v>
      </c>
      <c r="AS836" t="s">
        <v>74</v>
      </c>
      <c r="AT836" t="s">
        <v>283</v>
      </c>
      <c r="AU836">
        <v>2019</v>
      </c>
      <c r="AV836">
        <v>13</v>
      </c>
      <c r="AW836">
        <v>2</v>
      </c>
      <c r="AX836" t="s">
        <v>74</v>
      </c>
      <c r="AY836" t="s">
        <v>74</v>
      </c>
      <c r="AZ836" t="s">
        <v>74</v>
      </c>
      <c r="BA836" t="s">
        <v>74</v>
      </c>
      <c r="BB836" t="s">
        <v>74</v>
      </c>
      <c r="BC836" t="s">
        <v>74</v>
      </c>
      <c r="BD836" t="s">
        <v>12030</v>
      </c>
      <c r="BE836" t="s">
        <v>12031</v>
      </c>
      <c r="BF836" t="str">
        <f>HYPERLINK("http://dx.doi.org/10.1371/journal.pntd.0007163","http://dx.doi.org/10.1371/journal.pntd.0007163")</f>
        <v>http://dx.doi.org/10.1371/journal.pntd.0007163</v>
      </c>
      <c r="BG836" t="s">
        <v>74</v>
      </c>
      <c r="BH836" t="s">
        <v>74</v>
      </c>
      <c r="BI836" t="s">
        <v>74</v>
      </c>
      <c r="BJ836" t="s">
        <v>10905</v>
      </c>
      <c r="BK836" t="s">
        <v>117</v>
      </c>
      <c r="BL836" t="s">
        <v>10905</v>
      </c>
      <c r="BM836" t="s">
        <v>74</v>
      </c>
      <c r="BN836">
        <v>30789912</v>
      </c>
      <c r="BO836" t="s">
        <v>74</v>
      </c>
      <c r="BP836" t="s">
        <v>74</v>
      </c>
      <c r="BQ836" t="s">
        <v>74</v>
      </c>
      <c r="BR836" t="s">
        <v>96</v>
      </c>
      <c r="BS836" t="s">
        <v>12032</v>
      </c>
      <c r="BT836" t="str">
        <f>HYPERLINK("https%3A%2F%2Fwww.webofscience.com%2Fwos%2Fwoscc%2Ffull-record%2FWOS:000459970700051","View Full Record in Web of Science")</f>
        <v>View Full Record in Web of Science</v>
      </c>
    </row>
    <row r="837" spans="1:72" x14ac:dyDescent="0.15">
      <c r="A837" t="s">
        <v>98</v>
      </c>
      <c r="B837" t="s">
        <v>12180</v>
      </c>
      <c r="C837" t="s">
        <v>74</v>
      </c>
      <c r="D837" t="s">
        <v>74</v>
      </c>
      <c r="E837" t="s">
        <v>74</v>
      </c>
      <c r="F837" t="s">
        <v>12181</v>
      </c>
      <c r="G837" t="s">
        <v>74</v>
      </c>
      <c r="H837" t="s">
        <v>74</v>
      </c>
      <c r="I837" t="s">
        <v>12182</v>
      </c>
      <c r="J837" t="s">
        <v>12183</v>
      </c>
      <c r="K837" t="s">
        <v>74</v>
      </c>
      <c r="L837" t="s">
        <v>74</v>
      </c>
      <c r="M837" t="s">
        <v>74</v>
      </c>
      <c r="N837" t="s">
        <v>103</v>
      </c>
      <c r="O837" t="s">
        <v>74</v>
      </c>
      <c r="P837" t="s">
        <v>74</v>
      </c>
      <c r="Q837" t="s">
        <v>74</v>
      </c>
      <c r="R837" t="s">
        <v>74</v>
      </c>
      <c r="S837" t="s">
        <v>74</v>
      </c>
      <c r="T837" t="s">
        <v>74</v>
      </c>
      <c r="U837" t="s">
        <v>12184</v>
      </c>
      <c r="V837" t="s">
        <v>12185</v>
      </c>
      <c r="W837" t="s">
        <v>12186</v>
      </c>
      <c r="X837" t="s">
        <v>2729</v>
      </c>
      <c r="Y837" t="s">
        <v>12187</v>
      </c>
      <c r="Z837" t="s">
        <v>12188</v>
      </c>
      <c r="AA837" t="s">
        <v>2732</v>
      </c>
      <c r="AB837" t="s">
        <v>2733</v>
      </c>
      <c r="AC837" t="s">
        <v>74</v>
      </c>
      <c r="AD837" t="s">
        <v>74</v>
      </c>
      <c r="AE837" t="s">
        <v>74</v>
      </c>
      <c r="AF837" t="s">
        <v>74</v>
      </c>
      <c r="AG837">
        <v>33</v>
      </c>
      <c r="AH837">
        <v>20</v>
      </c>
      <c r="AI837">
        <v>24</v>
      </c>
      <c r="AJ837">
        <v>0</v>
      </c>
      <c r="AK837">
        <v>6</v>
      </c>
      <c r="AL837" t="s">
        <v>74</v>
      </c>
      <c r="AM837" t="s">
        <v>74</v>
      </c>
      <c r="AN837" t="s">
        <v>74</v>
      </c>
      <c r="AO837" t="s">
        <v>2734</v>
      </c>
      <c r="AP837" t="s">
        <v>74</v>
      </c>
      <c r="AQ837" t="s">
        <v>74</v>
      </c>
      <c r="AR837" t="s">
        <v>74</v>
      </c>
      <c r="AS837" t="s">
        <v>74</v>
      </c>
      <c r="AT837" t="s">
        <v>74</v>
      </c>
      <c r="AU837">
        <v>2014</v>
      </c>
      <c r="AV837" t="s">
        <v>74</v>
      </c>
      <c r="AW837" t="s">
        <v>74</v>
      </c>
      <c r="AX837" t="s">
        <v>74</v>
      </c>
      <c r="AY837" t="s">
        <v>74</v>
      </c>
      <c r="AZ837" t="s">
        <v>74</v>
      </c>
      <c r="BA837" t="s">
        <v>74</v>
      </c>
      <c r="BB837" t="s">
        <v>74</v>
      </c>
      <c r="BC837" t="s">
        <v>74</v>
      </c>
      <c r="BD837">
        <v>150615</v>
      </c>
      <c r="BE837" t="s">
        <v>12189</v>
      </c>
      <c r="BF837" t="str">
        <f>HYPERLINK("http://dx.doi.org/10.1155/2014/150615","http://dx.doi.org/10.1155/2014/150615")</f>
        <v>http://dx.doi.org/10.1155/2014/150615</v>
      </c>
      <c r="BG837" t="s">
        <v>74</v>
      </c>
      <c r="BH837" t="s">
        <v>74</v>
      </c>
      <c r="BI837" t="s">
        <v>74</v>
      </c>
      <c r="BJ837" t="s">
        <v>152</v>
      </c>
      <c r="BK837" t="s">
        <v>117</v>
      </c>
      <c r="BL837" t="s">
        <v>153</v>
      </c>
      <c r="BM837" t="s">
        <v>74</v>
      </c>
      <c r="BN837">
        <v>24605048</v>
      </c>
      <c r="BO837" t="s">
        <v>74</v>
      </c>
      <c r="BP837" t="s">
        <v>74</v>
      </c>
      <c r="BQ837" t="s">
        <v>74</v>
      </c>
      <c r="BR837" t="s">
        <v>96</v>
      </c>
      <c r="BS837" t="s">
        <v>12190</v>
      </c>
      <c r="BT837" t="str">
        <f>HYPERLINK("https%3A%2F%2Fwww.webofscience.com%2Fwos%2Fwoscc%2Ffull-record%2FWOS:000330852100001","View Full Record in Web of Science")</f>
        <v>View Full Record in Web of Science</v>
      </c>
    </row>
    <row r="838" spans="1:72" x14ac:dyDescent="0.15">
      <c r="A838" t="s">
        <v>98</v>
      </c>
      <c r="B838" t="s">
        <v>12962</v>
      </c>
      <c r="C838" t="s">
        <v>74</v>
      </c>
      <c r="D838" t="s">
        <v>74</v>
      </c>
      <c r="E838" t="s">
        <v>74</v>
      </c>
      <c r="F838" t="s">
        <v>12963</v>
      </c>
      <c r="G838" t="s">
        <v>74</v>
      </c>
      <c r="H838" t="s">
        <v>74</v>
      </c>
      <c r="I838" t="s">
        <v>12964</v>
      </c>
      <c r="J838" t="s">
        <v>12965</v>
      </c>
      <c r="K838" t="s">
        <v>74</v>
      </c>
      <c r="L838" t="s">
        <v>74</v>
      </c>
      <c r="M838" t="s">
        <v>74</v>
      </c>
      <c r="N838" t="s">
        <v>103</v>
      </c>
      <c r="O838" t="s">
        <v>74</v>
      </c>
      <c r="P838" t="s">
        <v>74</v>
      </c>
      <c r="Q838" t="s">
        <v>74</v>
      </c>
      <c r="R838" t="s">
        <v>74</v>
      </c>
      <c r="S838" t="s">
        <v>74</v>
      </c>
      <c r="T838" t="s">
        <v>12966</v>
      </c>
      <c r="U838" t="s">
        <v>12967</v>
      </c>
      <c r="V838" t="s">
        <v>12968</v>
      </c>
      <c r="W838" t="s">
        <v>12969</v>
      </c>
      <c r="X838" t="s">
        <v>12970</v>
      </c>
      <c r="Y838" t="s">
        <v>12971</v>
      </c>
      <c r="Z838" t="s">
        <v>12972</v>
      </c>
      <c r="AA838" t="s">
        <v>74</v>
      </c>
      <c r="AB838" t="s">
        <v>12973</v>
      </c>
      <c r="AC838" t="s">
        <v>74</v>
      </c>
      <c r="AD838" t="s">
        <v>74</v>
      </c>
      <c r="AE838" t="s">
        <v>74</v>
      </c>
      <c r="AF838" t="s">
        <v>74</v>
      </c>
      <c r="AG838">
        <v>46</v>
      </c>
      <c r="AH838">
        <v>20</v>
      </c>
      <c r="AI838">
        <v>21</v>
      </c>
      <c r="AJ838">
        <v>0</v>
      </c>
      <c r="AK838">
        <v>7</v>
      </c>
      <c r="AL838" t="s">
        <v>74</v>
      </c>
      <c r="AM838" t="s">
        <v>74</v>
      </c>
      <c r="AN838" t="s">
        <v>74</v>
      </c>
      <c r="AO838" t="s">
        <v>12974</v>
      </c>
      <c r="AP838" t="s">
        <v>12975</v>
      </c>
      <c r="AQ838" t="s">
        <v>74</v>
      </c>
      <c r="AR838" t="s">
        <v>74</v>
      </c>
      <c r="AS838" t="s">
        <v>74</v>
      </c>
      <c r="AT838" t="s">
        <v>189</v>
      </c>
      <c r="AU838">
        <v>2020</v>
      </c>
      <c r="AV838">
        <v>319</v>
      </c>
      <c r="AW838">
        <v>4</v>
      </c>
      <c r="AX838" t="s">
        <v>74</v>
      </c>
      <c r="AY838" t="s">
        <v>74</v>
      </c>
      <c r="AZ838" t="s">
        <v>74</v>
      </c>
      <c r="BA838" t="s">
        <v>74</v>
      </c>
      <c r="BB838" t="s">
        <v>12976</v>
      </c>
      <c r="BC838" t="s">
        <v>12977</v>
      </c>
      <c r="BD838" t="s">
        <v>74</v>
      </c>
      <c r="BE838" t="s">
        <v>12978</v>
      </c>
      <c r="BF838" t="str">
        <f>HYPERLINK("http://dx.doi.org/10.1152/ajprenal.00292.2020","http://dx.doi.org/10.1152/ajprenal.00292.2020")</f>
        <v>http://dx.doi.org/10.1152/ajprenal.00292.2020</v>
      </c>
      <c r="BG838" t="s">
        <v>74</v>
      </c>
      <c r="BH838" t="s">
        <v>74</v>
      </c>
      <c r="BI838" t="s">
        <v>74</v>
      </c>
      <c r="BJ838" t="s">
        <v>12979</v>
      </c>
      <c r="BK838" t="s">
        <v>117</v>
      </c>
      <c r="BL838" t="s">
        <v>12979</v>
      </c>
      <c r="BM838" t="s">
        <v>74</v>
      </c>
      <c r="BN838">
        <v>32715764</v>
      </c>
      <c r="BO838" t="s">
        <v>74</v>
      </c>
      <c r="BP838" t="s">
        <v>74</v>
      </c>
      <c r="BQ838" t="s">
        <v>74</v>
      </c>
      <c r="BR838" t="s">
        <v>96</v>
      </c>
      <c r="BS838" t="s">
        <v>12980</v>
      </c>
      <c r="BT838" t="str">
        <f>HYPERLINK("https%3A%2F%2Fwww.webofscience.com%2Fwos%2Fwoscc%2Ffull-record%2FWOS:000581068700003","View Full Record in Web of Science")</f>
        <v>View Full Record in Web of Science</v>
      </c>
    </row>
    <row r="839" spans="1:72" x14ac:dyDescent="0.15">
      <c r="A839" t="s">
        <v>98</v>
      </c>
      <c r="B839" t="s">
        <v>13561</v>
      </c>
      <c r="C839" t="s">
        <v>74</v>
      </c>
      <c r="D839" t="s">
        <v>74</v>
      </c>
      <c r="E839" t="s">
        <v>74</v>
      </c>
      <c r="F839" t="s">
        <v>13562</v>
      </c>
      <c r="G839" t="s">
        <v>74</v>
      </c>
      <c r="H839" t="s">
        <v>74</v>
      </c>
      <c r="I839" t="s">
        <v>13563</v>
      </c>
      <c r="J839" t="s">
        <v>1105</v>
      </c>
      <c r="K839" t="s">
        <v>74</v>
      </c>
      <c r="L839" t="s">
        <v>74</v>
      </c>
      <c r="M839" t="s">
        <v>74</v>
      </c>
      <c r="N839" t="s">
        <v>103</v>
      </c>
      <c r="O839" t="s">
        <v>74</v>
      </c>
      <c r="P839" t="s">
        <v>74</v>
      </c>
      <c r="Q839" t="s">
        <v>74</v>
      </c>
      <c r="R839" t="s">
        <v>74</v>
      </c>
      <c r="S839" t="s">
        <v>74</v>
      </c>
      <c r="T839" t="s">
        <v>13564</v>
      </c>
      <c r="U839" t="s">
        <v>74</v>
      </c>
      <c r="V839" t="s">
        <v>13565</v>
      </c>
      <c r="W839" t="s">
        <v>13566</v>
      </c>
      <c r="X839" t="s">
        <v>13567</v>
      </c>
      <c r="Y839" t="s">
        <v>13568</v>
      </c>
      <c r="Z839" t="s">
        <v>13569</v>
      </c>
      <c r="AA839" t="s">
        <v>74</v>
      </c>
      <c r="AB839" t="s">
        <v>13570</v>
      </c>
      <c r="AC839" t="s">
        <v>74</v>
      </c>
      <c r="AD839" t="s">
        <v>74</v>
      </c>
      <c r="AE839" t="s">
        <v>74</v>
      </c>
      <c r="AF839" t="s">
        <v>74</v>
      </c>
      <c r="AG839">
        <v>25</v>
      </c>
      <c r="AH839">
        <v>20</v>
      </c>
      <c r="AI839">
        <v>21</v>
      </c>
      <c r="AJ839">
        <v>27</v>
      </c>
      <c r="AK839">
        <v>151</v>
      </c>
      <c r="AL839" t="s">
        <v>74</v>
      </c>
      <c r="AM839" t="s">
        <v>74</v>
      </c>
      <c r="AN839" t="s">
        <v>74</v>
      </c>
      <c r="AO839" t="s">
        <v>1114</v>
      </c>
      <c r="AP839" t="s">
        <v>1115</v>
      </c>
      <c r="AQ839" t="s">
        <v>74</v>
      </c>
      <c r="AR839" t="s">
        <v>74</v>
      </c>
      <c r="AS839" t="s">
        <v>74</v>
      </c>
      <c r="AT839" t="s">
        <v>599</v>
      </c>
      <c r="AU839">
        <v>2021</v>
      </c>
      <c r="AV839">
        <v>221</v>
      </c>
      <c r="AW839" t="s">
        <v>74</v>
      </c>
      <c r="AX839" t="s">
        <v>74</v>
      </c>
      <c r="AY839" t="s">
        <v>74</v>
      </c>
      <c r="AZ839" t="s">
        <v>74</v>
      </c>
      <c r="BA839" t="s">
        <v>74</v>
      </c>
      <c r="BB839" t="s">
        <v>74</v>
      </c>
      <c r="BC839" t="s">
        <v>74</v>
      </c>
      <c r="BD839">
        <v>121600</v>
      </c>
      <c r="BE839" t="s">
        <v>13571</v>
      </c>
      <c r="BF839" t="str">
        <f>HYPERLINK("http://dx.doi.org/10.1016/j.talanta.2020.121600","http://dx.doi.org/10.1016/j.talanta.2020.121600")</f>
        <v>http://dx.doi.org/10.1016/j.talanta.2020.121600</v>
      </c>
      <c r="BG839" t="s">
        <v>74</v>
      </c>
      <c r="BH839" t="s">
        <v>74</v>
      </c>
      <c r="BI839" t="s">
        <v>74</v>
      </c>
      <c r="BJ839" t="s">
        <v>1118</v>
      </c>
      <c r="BK839" t="s">
        <v>117</v>
      </c>
      <c r="BL839" t="s">
        <v>1048</v>
      </c>
      <c r="BM839" t="s">
        <v>74</v>
      </c>
      <c r="BN839">
        <v>33076131</v>
      </c>
      <c r="BO839" t="s">
        <v>74</v>
      </c>
      <c r="BP839" t="s">
        <v>74</v>
      </c>
      <c r="BQ839" t="s">
        <v>74</v>
      </c>
      <c r="BR839" t="s">
        <v>96</v>
      </c>
      <c r="BS839" t="s">
        <v>13572</v>
      </c>
      <c r="BT839" t="str">
        <f>HYPERLINK("https%3A%2F%2Fwww.webofscience.com%2Fwos%2Fwoscc%2Ffull-record%2FWOS:000579910600087","View Full Record in Web of Science")</f>
        <v>View Full Record in Web of Science</v>
      </c>
    </row>
    <row r="840" spans="1:72" x14ac:dyDescent="0.15">
      <c r="A840" t="s">
        <v>98</v>
      </c>
      <c r="B840" t="s">
        <v>13929</v>
      </c>
      <c r="C840" t="s">
        <v>74</v>
      </c>
      <c r="D840" t="s">
        <v>74</v>
      </c>
      <c r="E840" t="s">
        <v>74</v>
      </c>
      <c r="F840" t="s">
        <v>13930</v>
      </c>
      <c r="G840" t="s">
        <v>74</v>
      </c>
      <c r="H840" t="s">
        <v>74</v>
      </c>
      <c r="I840" t="s">
        <v>13931</v>
      </c>
      <c r="J840" t="s">
        <v>1730</v>
      </c>
      <c r="K840" t="s">
        <v>74</v>
      </c>
      <c r="L840" t="s">
        <v>74</v>
      </c>
      <c r="M840" t="s">
        <v>74</v>
      </c>
      <c r="N840" t="s">
        <v>103</v>
      </c>
      <c r="O840" t="s">
        <v>74</v>
      </c>
      <c r="P840" t="s">
        <v>74</v>
      </c>
      <c r="Q840" t="s">
        <v>74</v>
      </c>
      <c r="R840" t="s">
        <v>74</v>
      </c>
      <c r="S840" t="s">
        <v>74</v>
      </c>
      <c r="T840" t="s">
        <v>13932</v>
      </c>
      <c r="U840" t="s">
        <v>13933</v>
      </c>
      <c r="V840" t="s">
        <v>13934</v>
      </c>
      <c r="W840" t="s">
        <v>13935</v>
      </c>
      <c r="X840" t="s">
        <v>13936</v>
      </c>
      <c r="Y840" t="s">
        <v>13937</v>
      </c>
      <c r="Z840" t="s">
        <v>13938</v>
      </c>
      <c r="AA840" t="s">
        <v>13939</v>
      </c>
      <c r="AB840" t="s">
        <v>13940</v>
      </c>
      <c r="AC840" t="s">
        <v>74</v>
      </c>
      <c r="AD840" t="s">
        <v>74</v>
      </c>
      <c r="AE840" t="s">
        <v>74</v>
      </c>
      <c r="AF840" t="s">
        <v>74</v>
      </c>
      <c r="AG840">
        <v>13</v>
      </c>
      <c r="AH840">
        <v>20</v>
      </c>
      <c r="AI840">
        <v>21</v>
      </c>
      <c r="AJ840">
        <v>1</v>
      </c>
      <c r="AK840">
        <v>4</v>
      </c>
      <c r="AL840" t="s">
        <v>74</v>
      </c>
      <c r="AM840" t="s">
        <v>74</v>
      </c>
      <c r="AN840" t="s">
        <v>74</v>
      </c>
      <c r="AO840" t="s">
        <v>1740</v>
      </c>
      <c r="AP840" t="s">
        <v>1741</v>
      </c>
      <c r="AQ840" t="s">
        <v>74</v>
      </c>
      <c r="AR840" t="s">
        <v>74</v>
      </c>
      <c r="AS840" t="s">
        <v>74</v>
      </c>
      <c r="AT840" t="s">
        <v>1029</v>
      </c>
      <c r="AU840">
        <v>2018</v>
      </c>
      <c r="AV840">
        <v>64</v>
      </c>
      <c r="AW840">
        <v>5</v>
      </c>
      <c r="AX840" t="s">
        <v>74</v>
      </c>
      <c r="AY840" t="s">
        <v>74</v>
      </c>
      <c r="AZ840" t="s">
        <v>74</v>
      </c>
      <c r="BA840" t="s">
        <v>74</v>
      </c>
      <c r="BB840">
        <v>225</v>
      </c>
      <c r="BC840">
        <v>230</v>
      </c>
      <c r="BD840" t="s">
        <v>74</v>
      </c>
      <c r="BE840" t="s">
        <v>13941</v>
      </c>
      <c r="BF840" t="str">
        <f>HYPERLINK("http://dx.doi.org/10.2144/btn-2018-0003","http://dx.doi.org/10.2144/btn-2018-0003")</f>
        <v>http://dx.doi.org/10.2144/btn-2018-0003</v>
      </c>
      <c r="BG840" t="s">
        <v>74</v>
      </c>
      <c r="BH840" t="s">
        <v>74</v>
      </c>
      <c r="BI840" t="s">
        <v>74</v>
      </c>
      <c r="BJ840" t="s">
        <v>93</v>
      </c>
      <c r="BK840" t="s">
        <v>117</v>
      </c>
      <c r="BL840" t="s">
        <v>95</v>
      </c>
      <c r="BM840" t="s">
        <v>74</v>
      </c>
      <c r="BN840">
        <v>29793362</v>
      </c>
      <c r="BO840" t="s">
        <v>74</v>
      </c>
      <c r="BP840" t="s">
        <v>74</v>
      </c>
      <c r="BQ840" t="s">
        <v>74</v>
      </c>
      <c r="BR840" t="s">
        <v>96</v>
      </c>
      <c r="BS840" t="s">
        <v>13942</v>
      </c>
      <c r="BT840" t="str">
        <f>HYPERLINK("https%3A%2F%2Fwww.webofscience.com%2Fwos%2Fwoscc%2Ffull-record%2FWOS:000433310500007","View Full Record in Web of Science")</f>
        <v>View Full Record in Web of Science</v>
      </c>
    </row>
    <row r="841" spans="1:72" x14ac:dyDescent="0.15">
      <c r="A841" t="s">
        <v>98</v>
      </c>
      <c r="B841" t="s">
        <v>14859</v>
      </c>
      <c r="C841" t="s">
        <v>74</v>
      </c>
      <c r="D841" t="s">
        <v>74</v>
      </c>
      <c r="E841" t="s">
        <v>74</v>
      </c>
      <c r="F841" t="s">
        <v>14860</v>
      </c>
      <c r="G841" t="s">
        <v>74</v>
      </c>
      <c r="H841" t="s">
        <v>74</v>
      </c>
      <c r="I841" t="s">
        <v>14861</v>
      </c>
      <c r="J841" t="s">
        <v>4332</v>
      </c>
      <c r="K841" t="s">
        <v>74</v>
      </c>
      <c r="L841" t="s">
        <v>74</v>
      </c>
      <c r="M841" t="s">
        <v>74</v>
      </c>
      <c r="N841" t="s">
        <v>103</v>
      </c>
      <c r="O841" t="s">
        <v>74</v>
      </c>
      <c r="P841" t="s">
        <v>74</v>
      </c>
      <c r="Q841" t="s">
        <v>74</v>
      </c>
      <c r="R841" t="s">
        <v>74</v>
      </c>
      <c r="S841" t="s">
        <v>74</v>
      </c>
      <c r="T841" t="s">
        <v>14862</v>
      </c>
      <c r="U841" t="s">
        <v>14863</v>
      </c>
      <c r="V841" t="s">
        <v>14864</v>
      </c>
      <c r="W841" t="s">
        <v>14865</v>
      </c>
      <c r="X841" t="s">
        <v>14866</v>
      </c>
      <c r="Y841" t="s">
        <v>14867</v>
      </c>
      <c r="Z841" t="s">
        <v>14868</v>
      </c>
      <c r="AA841" t="s">
        <v>74</v>
      </c>
      <c r="AB841" t="s">
        <v>74</v>
      </c>
      <c r="AC841" t="s">
        <v>74</v>
      </c>
      <c r="AD841" t="s">
        <v>74</v>
      </c>
      <c r="AE841" t="s">
        <v>74</v>
      </c>
      <c r="AF841" t="s">
        <v>74</v>
      </c>
      <c r="AG841">
        <v>36</v>
      </c>
      <c r="AH841">
        <v>20</v>
      </c>
      <c r="AI841">
        <v>20</v>
      </c>
      <c r="AJ841">
        <v>3</v>
      </c>
      <c r="AK841">
        <v>6</v>
      </c>
      <c r="AL841" t="s">
        <v>74</v>
      </c>
      <c r="AM841" t="s">
        <v>74</v>
      </c>
      <c r="AN841" t="s">
        <v>74</v>
      </c>
      <c r="AO841" t="s">
        <v>74</v>
      </c>
      <c r="AP841" t="s">
        <v>4342</v>
      </c>
      <c r="AQ841" t="s">
        <v>74</v>
      </c>
      <c r="AR841" t="s">
        <v>74</v>
      </c>
      <c r="AS841" t="s">
        <v>74</v>
      </c>
      <c r="AT841" t="s">
        <v>14869</v>
      </c>
      <c r="AU841">
        <v>2021</v>
      </c>
      <c r="AV841">
        <v>40</v>
      </c>
      <c r="AW841">
        <v>1</v>
      </c>
      <c r="AX841" t="s">
        <v>74</v>
      </c>
      <c r="AY841" t="s">
        <v>74</v>
      </c>
      <c r="AZ841" t="s">
        <v>74</v>
      </c>
      <c r="BA841" t="s">
        <v>74</v>
      </c>
      <c r="BB841" t="s">
        <v>74</v>
      </c>
      <c r="BC841" t="s">
        <v>74</v>
      </c>
      <c r="BD841">
        <v>38</v>
      </c>
      <c r="BE841" t="s">
        <v>14870</v>
      </c>
      <c r="BF841" t="str">
        <f>HYPERLINK("http://dx.doi.org/10.1186/s13046-021-01834-9","http://dx.doi.org/10.1186/s13046-021-01834-9")</f>
        <v>http://dx.doi.org/10.1186/s13046-021-01834-9</v>
      </c>
      <c r="BG841" t="s">
        <v>74</v>
      </c>
      <c r="BH841" t="s">
        <v>74</v>
      </c>
      <c r="BI841" t="s">
        <v>74</v>
      </c>
      <c r="BJ841" t="s">
        <v>267</v>
      </c>
      <c r="BK841" t="s">
        <v>117</v>
      </c>
      <c r="BL841" t="s">
        <v>267</v>
      </c>
      <c r="BM841" t="s">
        <v>74</v>
      </c>
      <c r="BN841">
        <v>33485367</v>
      </c>
      <c r="BO841" t="s">
        <v>74</v>
      </c>
      <c r="BP841" t="s">
        <v>74</v>
      </c>
      <c r="BQ841" t="s">
        <v>74</v>
      </c>
      <c r="BR841" t="s">
        <v>96</v>
      </c>
      <c r="BS841" t="s">
        <v>14871</v>
      </c>
      <c r="BT841" t="str">
        <f>HYPERLINK("https%3A%2F%2Fwww.webofscience.com%2Fwos%2Fwoscc%2Ffull-record%2FWOS:000612959100003","View Full Record in Web of Science")</f>
        <v>View Full Record in Web of Science</v>
      </c>
    </row>
    <row r="842" spans="1:72" x14ac:dyDescent="0.15">
      <c r="A842" t="s">
        <v>98</v>
      </c>
      <c r="B842" t="s">
        <v>15656</v>
      </c>
      <c r="C842" t="s">
        <v>74</v>
      </c>
      <c r="D842" t="s">
        <v>74</v>
      </c>
      <c r="E842" t="s">
        <v>74</v>
      </c>
      <c r="F842" t="s">
        <v>15657</v>
      </c>
      <c r="G842" t="s">
        <v>74</v>
      </c>
      <c r="H842" t="s">
        <v>74</v>
      </c>
      <c r="I842" t="s">
        <v>15658</v>
      </c>
      <c r="J842" t="s">
        <v>15659</v>
      </c>
      <c r="K842" t="s">
        <v>74</v>
      </c>
      <c r="L842" t="s">
        <v>74</v>
      </c>
      <c r="M842" t="s">
        <v>74</v>
      </c>
      <c r="N842" t="s">
        <v>103</v>
      </c>
      <c r="O842" t="s">
        <v>74</v>
      </c>
      <c r="P842" t="s">
        <v>74</v>
      </c>
      <c r="Q842" t="s">
        <v>74</v>
      </c>
      <c r="R842" t="s">
        <v>74</v>
      </c>
      <c r="S842" t="s">
        <v>74</v>
      </c>
      <c r="T842" t="s">
        <v>74</v>
      </c>
      <c r="U842" t="s">
        <v>15660</v>
      </c>
      <c r="V842" t="s">
        <v>15661</v>
      </c>
      <c r="W842" t="s">
        <v>15662</v>
      </c>
      <c r="X842" t="s">
        <v>15663</v>
      </c>
      <c r="Y842" t="s">
        <v>15664</v>
      </c>
      <c r="Z842" t="s">
        <v>15665</v>
      </c>
      <c r="AA842" t="s">
        <v>15666</v>
      </c>
      <c r="AB842" t="s">
        <v>15667</v>
      </c>
      <c r="AC842" t="s">
        <v>74</v>
      </c>
      <c r="AD842" t="s">
        <v>74</v>
      </c>
      <c r="AE842" t="s">
        <v>74</v>
      </c>
      <c r="AF842" t="s">
        <v>74</v>
      </c>
      <c r="AG842">
        <v>60</v>
      </c>
      <c r="AH842">
        <v>20</v>
      </c>
      <c r="AI842">
        <v>20</v>
      </c>
      <c r="AJ842">
        <v>0</v>
      </c>
      <c r="AK842">
        <v>4</v>
      </c>
      <c r="AL842" t="s">
        <v>74</v>
      </c>
      <c r="AM842" t="s">
        <v>74</v>
      </c>
      <c r="AN842" t="s">
        <v>74</v>
      </c>
      <c r="AO842" t="s">
        <v>15668</v>
      </c>
      <c r="AP842" t="s">
        <v>15669</v>
      </c>
      <c r="AQ842" t="s">
        <v>74</v>
      </c>
      <c r="AR842" t="s">
        <v>74</v>
      </c>
      <c r="AS842" t="s">
        <v>74</v>
      </c>
      <c r="AT842" t="s">
        <v>74</v>
      </c>
      <c r="AU842">
        <v>2018</v>
      </c>
      <c r="AV842">
        <v>2018</v>
      </c>
      <c r="AW842" t="s">
        <v>74</v>
      </c>
      <c r="AX842" t="s">
        <v>74</v>
      </c>
      <c r="AY842" t="s">
        <v>74</v>
      </c>
      <c r="AZ842" t="s">
        <v>74</v>
      </c>
      <c r="BA842" t="s">
        <v>74</v>
      </c>
      <c r="BB842" t="s">
        <v>74</v>
      </c>
      <c r="BC842" t="s">
        <v>74</v>
      </c>
      <c r="BD842">
        <v>3183794</v>
      </c>
      <c r="BE842" t="s">
        <v>15670</v>
      </c>
      <c r="BF842" t="str">
        <f>HYPERLINK("http://dx.doi.org/10.1155/2018/3183794","http://dx.doi.org/10.1155/2018/3183794")</f>
        <v>http://dx.doi.org/10.1155/2018/3183794</v>
      </c>
      <c r="BG842" t="s">
        <v>74</v>
      </c>
      <c r="BH842" t="s">
        <v>74</v>
      </c>
      <c r="BI842" t="s">
        <v>74</v>
      </c>
      <c r="BJ842" t="s">
        <v>135</v>
      </c>
      <c r="BK842" t="s">
        <v>117</v>
      </c>
      <c r="BL842" t="s">
        <v>135</v>
      </c>
      <c r="BM842" t="s">
        <v>74</v>
      </c>
      <c r="BN842">
        <v>29849879</v>
      </c>
      <c r="BO842" t="s">
        <v>74</v>
      </c>
      <c r="BP842" t="s">
        <v>74</v>
      </c>
      <c r="BQ842" t="s">
        <v>74</v>
      </c>
      <c r="BR842" t="s">
        <v>96</v>
      </c>
      <c r="BS842" t="s">
        <v>15671</v>
      </c>
      <c r="BT842" t="str">
        <f>HYPERLINK("https%3A%2F%2Fwww.webofscience.com%2Fwos%2Fwoscc%2Ffull-record%2FWOS:000430275300001","View Full Record in Web of Science")</f>
        <v>View Full Record in Web of Science</v>
      </c>
    </row>
    <row r="843" spans="1:72" x14ac:dyDescent="0.15">
      <c r="A843" t="s">
        <v>98</v>
      </c>
      <c r="B843" t="s">
        <v>15886</v>
      </c>
      <c r="C843" t="s">
        <v>74</v>
      </c>
      <c r="D843" t="s">
        <v>74</v>
      </c>
      <c r="E843" t="s">
        <v>74</v>
      </c>
      <c r="F843" t="s">
        <v>15887</v>
      </c>
      <c r="G843" t="s">
        <v>74</v>
      </c>
      <c r="H843" t="s">
        <v>74</v>
      </c>
      <c r="I843" t="s">
        <v>15888</v>
      </c>
      <c r="J843" t="s">
        <v>12328</v>
      </c>
      <c r="K843" t="s">
        <v>74</v>
      </c>
      <c r="L843" t="s">
        <v>74</v>
      </c>
      <c r="M843" t="s">
        <v>74</v>
      </c>
      <c r="N843" t="s">
        <v>103</v>
      </c>
      <c r="O843" t="s">
        <v>74</v>
      </c>
      <c r="P843" t="s">
        <v>74</v>
      </c>
      <c r="Q843" t="s">
        <v>74</v>
      </c>
      <c r="R843" t="s">
        <v>74</v>
      </c>
      <c r="S843" t="s">
        <v>74</v>
      </c>
      <c r="T843" t="s">
        <v>15889</v>
      </c>
      <c r="U843" t="s">
        <v>15890</v>
      </c>
      <c r="V843" t="s">
        <v>15891</v>
      </c>
      <c r="W843" t="s">
        <v>15892</v>
      </c>
      <c r="X843" t="s">
        <v>15893</v>
      </c>
      <c r="Y843" t="s">
        <v>15894</v>
      </c>
      <c r="Z843" t="s">
        <v>926</v>
      </c>
      <c r="AA843" t="s">
        <v>15895</v>
      </c>
      <c r="AB843" t="s">
        <v>15896</v>
      </c>
      <c r="AC843" t="s">
        <v>74</v>
      </c>
      <c r="AD843" t="s">
        <v>74</v>
      </c>
      <c r="AE843" t="s">
        <v>74</v>
      </c>
      <c r="AF843" t="s">
        <v>74</v>
      </c>
      <c r="AG843">
        <v>24</v>
      </c>
      <c r="AH843">
        <v>20</v>
      </c>
      <c r="AI843">
        <v>20</v>
      </c>
      <c r="AJ843">
        <v>0</v>
      </c>
      <c r="AK843">
        <v>6</v>
      </c>
      <c r="AL843" t="s">
        <v>74</v>
      </c>
      <c r="AM843" t="s">
        <v>74</v>
      </c>
      <c r="AN843" t="s">
        <v>74</v>
      </c>
      <c r="AO843" t="s">
        <v>12335</v>
      </c>
      <c r="AP843" t="s">
        <v>12336</v>
      </c>
      <c r="AQ843" t="s">
        <v>74</v>
      </c>
      <c r="AR843" t="s">
        <v>74</v>
      </c>
      <c r="AS843" t="s">
        <v>74</v>
      </c>
      <c r="AT843" t="s">
        <v>531</v>
      </c>
      <c r="AU843">
        <v>2015</v>
      </c>
      <c r="AV843">
        <v>70</v>
      </c>
      <c r="AW843" t="s">
        <v>74</v>
      </c>
      <c r="AX843" t="s">
        <v>74</v>
      </c>
      <c r="AY843" t="s">
        <v>74</v>
      </c>
      <c r="AZ843" t="s">
        <v>74</v>
      </c>
      <c r="BA843" t="s">
        <v>74</v>
      </c>
      <c r="BB843">
        <v>1</v>
      </c>
      <c r="BC843">
        <v>6</v>
      </c>
      <c r="BD843" t="s">
        <v>74</v>
      </c>
      <c r="BE843" t="s">
        <v>15897</v>
      </c>
      <c r="BF843" t="str">
        <f>HYPERLINK("http://dx.doi.org/10.1016/j.jcv.2015.06.104","http://dx.doi.org/10.1016/j.jcv.2015.06.104")</f>
        <v>http://dx.doi.org/10.1016/j.jcv.2015.06.104</v>
      </c>
      <c r="BG843" t="s">
        <v>74</v>
      </c>
      <c r="BH843" t="s">
        <v>74</v>
      </c>
      <c r="BI843" t="s">
        <v>74</v>
      </c>
      <c r="BJ843" t="s">
        <v>932</v>
      </c>
      <c r="BK843" t="s">
        <v>117</v>
      </c>
      <c r="BL843" t="s">
        <v>932</v>
      </c>
      <c r="BM843" t="s">
        <v>74</v>
      </c>
      <c r="BN843">
        <v>26305810</v>
      </c>
      <c r="BO843" t="s">
        <v>74</v>
      </c>
      <c r="BP843" t="s">
        <v>74</v>
      </c>
      <c r="BQ843" t="s">
        <v>74</v>
      </c>
      <c r="BR843" t="s">
        <v>96</v>
      </c>
      <c r="BS843" t="s">
        <v>15898</v>
      </c>
      <c r="BT843" t="str">
        <f>HYPERLINK("https%3A%2F%2Fwww.webofscience.com%2Fwos%2Fwoscc%2Ffull-record%2FWOS:000360075100001","View Full Record in Web of Science")</f>
        <v>View Full Record in Web of Science</v>
      </c>
    </row>
    <row r="844" spans="1:72" x14ac:dyDescent="0.15">
      <c r="A844" t="s">
        <v>98</v>
      </c>
      <c r="B844" t="s">
        <v>16262</v>
      </c>
      <c r="C844" t="s">
        <v>74</v>
      </c>
      <c r="D844" t="s">
        <v>74</v>
      </c>
      <c r="E844" t="s">
        <v>74</v>
      </c>
      <c r="F844" t="s">
        <v>16263</v>
      </c>
      <c r="G844" t="s">
        <v>74</v>
      </c>
      <c r="H844" t="s">
        <v>74</v>
      </c>
      <c r="I844" t="s">
        <v>16264</v>
      </c>
      <c r="J844" t="s">
        <v>16265</v>
      </c>
      <c r="K844" t="s">
        <v>74</v>
      </c>
      <c r="L844" t="s">
        <v>74</v>
      </c>
      <c r="M844" t="s">
        <v>74</v>
      </c>
      <c r="N844" t="s">
        <v>103</v>
      </c>
      <c r="O844" t="s">
        <v>74</v>
      </c>
      <c r="P844" t="s">
        <v>74</v>
      </c>
      <c r="Q844" t="s">
        <v>74</v>
      </c>
      <c r="R844" t="s">
        <v>74</v>
      </c>
      <c r="S844" t="s">
        <v>74</v>
      </c>
      <c r="T844" t="s">
        <v>16266</v>
      </c>
      <c r="U844" t="s">
        <v>16267</v>
      </c>
      <c r="V844" t="s">
        <v>16268</v>
      </c>
      <c r="W844" t="s">
        <v>16269</v>
      </c>
      <c r="X844" t="s">
        <v>16270</v>
      </c>
      <c r="Y844" t="s">
        <v>16271</v>
      </c>
      <c r="Z844" t="s">
        <v>16272</v>
      </c>
      <c r="AA844" t="s">
        <v>16273</v>
      </c>
      <c r="AB844" t="s">
        <v>16274</v>
      </c>
      <c r="AC844" t="s">
        <v>74</v>
      </c>
      <c r="AD844" t="s">
        <v>74</v>
      </c>
      <c r="AE844" t="s">
        <v>74</v>
      </c>
      <c r="AF844" t="s">
        <v>74</v>
      </c>
      <c r="AG844">
        <v>48</v>
      </c>
      <c r="AH844">
        <v>20</v>
      </c>
      <c r="AI844">
        <v>20</v>
      </c>
      <c r="AJ844">
        <v>1</v>
      </c>
      <c r="AK844">
        <v>11</v>
      </c>
      <c r="AL844" t="s">
        <v>74</v>
      </c>
      <c r="AM844" t="s">
        <v>74</v>
      </c>
      <c r="AN844" t="s">
        <v>74</v>
      </c>
      <c r="AO844" t="s">
        <v>16275</v>
      </c>
      <c r="AP844" t="s">
        <v>16276</v>
      </c>
      <c r="AQ844" t="s">
        <v>74</v>
      </c>
      <c r="AR844" t="s">
        <v>74</v>
      </c>
      <c r="AS844" t="s">
        <v>74</v>
      </c>
      <c r="AT844" t="s">
        <v>599</v>
      </c>
      <c r="AU844">
        <v>2019</v>
      </c>
      <c r="AV844">
        <v>34</v>
      </c>
      <c r="AW844">
        <v>1</v>
      </c>
      <c r="AX844" t="s">
        <v>74</v>
      </c>
      <c r="AY844" t="s">
        <v>74</v>
      </c>
      <c r="AZ844" t="s">
        <v>74</v>
      </c>
      <c r="BA844" t="s">
        <v>74</v>
      </c>
      <c r="BB844">
        <v>189</v>
      </c>
      <c r="BC844">
        <v>195</v>
      </c>
      <c r="BD844" t="s">
        <v>74</v>
      </c>
      <c r="BE844" t="s">
        <v>16277</v>
      </c>
      <c r="BF844" t="str">
        <f>HYPERLINK("http://dx.doi.org/10.1080/14756366.2018.1539716","http://dx.doi.org/10.1080/14756366.2018.1539716")</f>
        <v>http://dx.doi.org/10.1080/14756366.2018.1539716</v>
      </c>
      <c r="BG844" t="s">
        <v>74</v>
      </c>
      <c r="BH844" t="s">
        <v>74</v>
      </c>
      <c r="BI844" t="s">
        <v>74</v>
      </c>
      <c r="BJ844" t="s">
        <v>16278</v>
      </c>
      <c r="BK844" t="s">
        <v>117</v>
      </c>
      <c r="BL844" t="s">
        <v>9708</v>
      </c>
      <c r="BM844" t="s">
        <v>74</v>
      </c>
      <c r="BN844">
        <v>30734607</v>
      </c>
      <c r="BO844" t="s">
        <v>74</v>
      </c>
      <c r="BP844" t="s">
        <v>74</v>
      </c>
      <c r="BQ844" t="s">
        <v>74</v>
      </c>
      <c r="BR844" t="s">
        <v>96</v>
      </c>
      <c r="BS844" t="s">
        <v>16279</v>
      </c>
      <c r="BT844" t="str">
        <f>HYPERLINK("https%3A%2F%2Fwww.webofscience.com%2Fwos%2Fwoscc%2Ffull-record%2FWOS:000454983900001","View Full Record in Web of Science")</f>
        <v>View Full Record in Web of Science</v>
      </c>
    </row>
    <row r="845" spans="1:72" x14ac:dyDescent="0.15">
      <c r="A845" t="s">
        <v>98</v>
      </c>
      <c r="B845" t="s">
        <v>20053</v>
      </c>
      <c r="C845" t="s">
        <v>74</v>
      </c>
      <c r="D845" t="s">
        <v>74</v>
      </c>
      <c r="E845" t="s">
        <v>74</v>
      </c>
      <c r="F845" t="s">
        <v>20054</v>
      </c>
      <c r="G845" t="s">
        <v>74</v>
      </c>
      <c r="H845" t="s">
        <v>74</v>
      </c>
      <c r="I845" t="s">
        <v>20055</v>
      </c>
      <c r="J845" t="s">
        <v>10402</v>
      </c>
      <c r="K845" t="s">
        <v>74</v>
      </c>
      <c r="L845" t="s">
        <v>74</v>
      </c>
      <c r="M845" t="s">
        <v>74</v>
      </c>
      <c r="N845" t="s">
        <v>103</v>
      </c>
      <c r="O845" t="s">
        <v>74</v>
      </c>
      <c r="P845" t="s">
        <v>74</v>
      </c>
      <c r="Q845" t="s">
        <v>74</v>
      </c>
      <c r="R845" t="s">
        <v>74</v>
      </c>
      <c r="S845" t="s">
        <v>74</v>
      </c>
      <c r="T845" t="s">
        <v>20056</v>
      </c>
      <c r="U845" t="s">
        <v>20057</v>
      </c>
      <c r="V845" t="s">
        <v>20058</v>
      </c>
      <c r="W845" t="s">
        <v>20059</v>
      </c>
      <c r="X845" t="s">
        <v>20060</v>
      </c>
      <c r="Y845" t="s">
        <v>20061</v>
      </c>
      <c r="Z845" t="s">
        <v>20062</v>
      </c>
      <c r="AA845" t="s">
        <v>20063</v>
      </c>
      <c r="AB845" t="s">
        <v>20064</v>
      </c>
      <c r="AC845" t="s">
        <v>74</v>
      </c>
      <c r="AD845" t="s">
        <v>74</v>
      </c>
      <c r="AE845" t="s">
        <v>74</v>
      </c>
      <c r="AF845" t="s">
        <v>74</v>
      </c>
      <c r="AG845">
        <v>51</v>
      </c>
      <c r="AH845">
        <v>20</v>
      </c>
      <c r="AI845">
        <v>24</v>
      </c>
      <c r="AJ845">
        <v>0</v>
      </c>
      <c r="AK845">
        <v>19</v>
      </c>
      <c r="AL845" t="s">
        <v>74</v>
      </c>
      <c r="AM845" t="s">
        <v>74</v>
      </c>
      <c r="AN845" t="s">
        <v>74</v>
      </c>
      <c r="AO845" t="s">
        <v>10412</v>
      </c>
      <c r="AP845" t="s">
        <v>20065</v>
      </c>
      <c r="AQ845" t="s">
        <v>74</v>
      </c>
      <c r="AR845" t="s">
        <v>74</v>
      </c>
      <c r="AS845" t="s">
        <v>74</v>
      </c>
      <c r="AT845" t="s">
        <v>189</v>
      </c>
      <c r="AU845">
        <v>2014</v>
      </c>
      <c r="AV845">
        <v>104</v>
      </c>
      <c r="AW845" t="s">
        <v>74</v>
      </c>
      <c r="AX845" t="s">
        <v>74</v>
      </c>
      <c r="AY845" t="s">
        <v>74</v>
      </c>
      <c r="AZ845" t="s">
        <v>447</v>
      </c>
      <c r="BA845" t="s">
        <v>74</v>
      </c>
      <c r="BB845">
        <v>26</v>
      </c>
      <c r="BC845">
        <v>31</v>
      </c>
      <c r="BD845" t="s">
        <v>74</v>
      </c>
      <c r="BE845" t="s">
        <v>20066</v>
      </c>
      <c r="BF845" t="str">
        <f>HYPERLINK("http://dx.doi.org/10.1016/j.jri.2014.03.007","http://dx.doi.org/10.1016/j.jri.2014.03.007")</f>
        <v>http://dx.doi.org/10.1016/j.jri.2014.03.007</v>
      </c>
      <c r="BG845" t="s">
        <v>74</v>
      </c>
      <c r="BH845" t="s">
        <v>74</v>
      </c>
      <c r="BI845" t="s">
        <v>74</v>
      </c>
      <c r="BJ845" t="s">
        <v>10414</v>
      </c>
      <c r="BK845" t="s">
        <v>117</v>
      </c>
      <c r="BL845" t="s">
        <v>10414</v>
      </c>
      <c r="BM845" t="s">
        <v>74</v>
      </c>
      <c r="BN845">
        <v>24815811</v>
      </c>
      <c r="BO845" t="s">
        <v>74</v>
      </c>
      <c r="BP845" t="s">
        <v>74</v>
      </c>
      <c r="BQ845" t="s">
        <v>74</v>
      </c>
      <c r="BR845" t="s">
        <v>96</v>
      </c>
      <c r="BS845" t="s">
        <v>20067</v>
      </c>
      <c r="BT845" t="str">
        <f>HYPERLINK("https%3A%2F%2Fwww.webofscience.com%2Fwos%2Fwoscc%2Ffull-record%2FWOS:000342879000006","View Full Record in Web of Science")</f>
        <v>View Full Record in Web of Science</v>
      </c>
    </row>
    <row r="846" spans="1:72" x14ac:dyDescent="0.15">
      <c r="A846" t="s">
        <v>98</v>
      </c>
      <c r="B846" t="s">
        <v>22039</v>
      </c>
      <c r="C846" t="s">
        <v>74</v>
      </c>
      <c r="D846" t="s">
        <v>74</v>
      </c>
      <c r="E846" t="s">
        <v>74</v>
      </c>
      <c r="F846" t="s">
        <v>22040</v>
      </c>
      <c r="G846" t="s">
        <v>74</v>
      </c>
      <c r="H846" t="s">
        <v>74</v>
      </c>
      <c r="I846" t="s">
        <v>22041</v>
      </c>
      <c r="J846" t="s">
        <v>7316</v>
      </c>
      <c r="K846" t="s">
        <v>74</v>
      </c>
      <c r="L846" t="s">
        <v>74</v>
      </c>
      <c r="M846" t="s">
        <v>74</v>
      </c>
      <c r="N846" t="s">
        <v>103</v>
      </c>
      <c r="O846" t="s">
        <v>74</v>
      </c>
      <c r="P846" t="s">
        <v>74</v>
      </c>
      <c r="Q846" t="s">
        <v>74</v>
      </c>
      <c r="R846" t="s">
        <v>74</v>
      </c>
      <c r="S846" t="s">
        <v>74</v>
      </c>
      <c r="T846" t="s">
        <v>74</v>
      </c>
      <c r="U846" t="s">
        <v>22042</v>
      </c>
      <c r="V846" t="s">
        <v>22043</v>
      </c>
      <c r="W846" t="s">
        <v>22044</v>
      </c>
      <c r="X846" t="s">
        <v>22045</v>
      </c>
      <c r="Y846" t="s">
        <v>22046</v>
      </c>
      <c r="Z846" t="s">
        <v>22047</v>
      </c>
      <c r="AA846" t="s">
        <v>244</v>
      </c>
      <c r="AB846" t="s">
        <v>245</v>
      </c>
      <c r="AC846" t="s">
        <v>74</v>
      </c>
      <c r="AD846" t="s">
        <v>74</v>
      </c>
      <c r="AE846" t="s">
        <v>74</v>
      </c>
      <c r="AF846" t="s">
        <v>74</v>
      </c>
      <c r="AG846">
        <v>54</v>
      </c>
      <c r="AH846">
        <v>20</v>
      </c>
      <c r="AI846">
        <v>21</v>
      </c>
      <c r="AJ846">
        <v>16</v>
      </c>
      <c r="AK846">
        <v>80</v>
      </c>
      <c r="AL846" t="s">
        <v>74</v>
      </c>
      <c r="AM846" t="s">
        <v>74</v>
      </c>
      <c r="AN846" t="s">
        <v>74</v>
      </c>
      <c r="AO846" t="s">
        <v>7324</v>
      </c>
      <c r="AP846" t="s">
        <v>7325</v>
      </c>
      <c r="AQ846" t="s">
        <v>74</v>
      </c>
      <c r="AR846" t="s">
        <v>74</v>
      </c>
      <c r="AS846" t="s">
        <v>74</v>
      </c>
      <c r="AT846" t="s">
        <v>5091</v>
      </c>
      <c r="AU846">
        <v>2019</v>
      </c>
      <c r="AV846">
        <v>144</v>
      </c>
      <c r="AW846">
        <v>19</v>
      </c>
      <c r="AX846" t="s">
        <v>74</v>
      </c>
      <c r="AY846" t="s">
        <v>74</v>
      </c>
      <c r="AZ846" t="s">
        <v>74</v>
      </c>
      <c r="BA846" t="s">
        <v>74</v>
      </c>
      <c r="BB846">
        <v>5856</v>
      </c>
      <c r="BC846">
        <v>5865</v>
      </c>
      <c r="BD846" t="s">
        <v>74</v>
      </c>
      <c r="BE846" t="s">
        <v>22048</v>
      </c>
      <c r="BF846" t="str">
        <f>HYPERLINK("http://dx.doi.org/10.1039/c9an00777f","http://dx.doi.org/10.1039/c9an00777f")</f>
        <v>http://dx.doi.org/10.1039/c9an00777f</v>
      </c>
      <c r="BG846" t="s">
        <v>74</v>
      </c>
      <c r="BH846" t="s">
        <v>74</v>
      </c>
      <c r="BI846" t="s">
        <v>74</v>
      </c>
      <c r="BJ846" t="s">
        <v>1118</v>
      </c>
      <c r="BK846" t="s">
        <v>117</v>
      </c>
      <c r="BL846" t="s">
        <v>1048</v>
      </c>
      <c r="BM846" t="s">
        <v>74</v>
      </c>
      <c r="BN846">
        <v>31482867</v>
      </c>
      <c r="BO846" t="s">
        <v>74</v>
      </c>
      <c r="BP846" t="s">
        <v>74</v>
      </c>
      <c r="BQ846" t="s">
        <v>74</v>
      </c>
      <c r="BR846" t="s">
        <v>96</v>
      </c>
      <c r="BS846" t="s">
        <v>22049</v>
      </c>
      <c r="BT846" t="str">
        <f>HYPERLINK("https%3A%2F%2Fwww.webofscience.com%2Fwos%2Fwoscc%2Ffull-record%2FWOS:000487329700018","View Full Record in Web of Science")</f>
        <v>View Full Record in Web of Science</v>
      </c>
    </row>
    <row r="847" spans="1:72" x14ac:dyDescent="0.15">
      <c r="A847" t="s">
        <v>98</v>
      </c>
      <c r="B847" t="s">
        <v>24151</v>
      </c>
      <c r="C847" t="s">
        <v>74</v>
      </c>
      <c r="D847" t="s">
        <v>74</v>
      </c>
      <c r="E847" t="s">
        <v>74</v>
      </c>
      <c r="F847" t="s">
        <v>24152</v>
      </c>
      <c r="G847" t="s">
        <v>74</v>
      </c>
      <c r="H847" t="s">
        <v>74</v>
      </c>
      <c r="I847" t="s">
        <v>24153</v>
      </c>
      <c r="J847" t="s">
        <v>1684</v>
      </c>
      <c r="K847" t="s">
        <v>74</v>
      </c>
      <c r="L847" t="s">
        <v>74</v>
      </c>
      <c r="M847" t="s">
        <v>74</v>
      </c>
      <c r="N847" t="s">
        <v>103</v>
      </c>
      <c r="O847" t="s">
        <v>74</v>
      </c>
      <c r="P847" t="s">
        <v>74</v>
      </c>
      <c r="Q847" t="s">
        <v>74</v>
      </c>
      <c r="R847" t="s">
        <v>74</v>
      </c>
      <c r="S847" t="s">
        <v>74</v>
      </c>
      <c r="T847" t="s">
        <v>24154</v>
      </c>
      <c r="U847" t="s">
        <v>24155</v>
      </c>
      <c r="V847" t="s">
        <v>24156</v>
      </c>
      <c r="W847" t="s">
        <v>24157</v>
      </c>
      <c r="X847" t="s">
        <v>24158</v>
      </c>
      <c r="Y847" t="s">
        <v>24159</v>
      </c>
      <c r="Z847" t="s">
        <v>24160</v>
      </c>
      <c r="AA847" t="s">
        <v>24161</v>
      </c>
      <c r="AB847" t="s">
        <v>24162</v>
      </c>
      <c r="AC847" t="s">
        <v>74</v>
      </c>
      <c r="AD847" t="s">
        <v>74</v>
      </c>
      <c r="AE847" t="s">
        <v>74</v>
      </c>
      <c r="AF847" t="s">
        <v>74</v>
      </c>
      <c r="AG847">
        <v>58</v>
      </c>
      <c r="AH847">
        <v>20</v>
      </c>
      <c r="AI847">
        <v>21</v>
      </c>
      <c r="AJ847">
        <v>2</v>
      </c>
      <c r="AK847">
        <v>19</v>
      </c>
      <c r="AL847" t="s">
        <v>74</v>
      </c>
      <c r="AM847" t="s">
        <v>74</v>
      </c>
      <c r="AN847" t="s">
        <v>74</v>
      </c>
      <c r="AO847" t="s">
        <v>1692</v>
      </c>
      <c r="AP847" t="s">
        <v>1693</v>
      </c>
      <c r="AQ847" t="s">
        <v>74</v>
      </c>
      <c r="AR847" t="s">
        <v>74</v>
      </c>
      <c r="AS847" t="s">
        <v>74</v>
      </c>
      <c r="AT847" t="s">
        <v>1029</v>
      </c>
      <c r="AU847">
        <v>2018</v>
      </c>
      <c r="AV847">
        <v>18</v>
      </c>
      <c r="AW847">
        <v>10</v>
      </c>
      <c r="AX847" t="s">
        <v>74</v>
      </c>
      <c r="AY847" t="s">
        <v>74</v>
      </c>
      <c r="AZ847" t="s">
        <v>447</v>
      </c>
      <c r="BA847" t="s">
        <v>74</v>
      </c>
      <c r="BB847" t="s">
        <v>74</v>
      </c>
      <c r="BC847" t="s">
        <v>74</v>
      </c>
      <c r="BD847">
        <v>1700218</v>
      </c>
      <c r="BE847" t="s">
        <v>24163</v>
      </c>
      <c r="BF847" t="str">
        <f>HYPERLINK("http://dx.doi.org/10.1002/pmic.201700218","http://dx.doi.org/10.1002/pmic.201700218")</f>
        <v>http://dx.doi.org/10.1002/pmic.201700218</v>
      </c>
      <c r="BG847" t="s">
        <v>74</v>
      </c>
      <c r="BH847" t="s">
        <v>74</v>
      </c>
      <c r="BI847" t="s">
        <v>74</v>
      </c>
      <c r="BJ847" t="s">
        <v>93</v>
      </c>
      <c r="BK847" t="s">
        <v>117</v>
      </c>
      <c r="BL847" t="s">
        <v>95</v>
      </c>
      <c r="BM847" t="s">
        <v>74</v>
      </c>
      <c r="BN847">
        <v>29710410</v>
      </c>
      <c r="BO847" t="s">
        <v>74</v>
      </c>
      <c r="BP847" t="s">
        <v>74</v>
      </c>
      <c r="BQ847" t="s">
        <v>74</v>
      </c>
      <c r="BR847" t="s">
        <v>96</v>
      </c>
      <c r="BS847" t="s">
        <v>24164</v>
      </c>
      <c r="BT847" t="str">
        <f>HYPERLINK("https%3A%2F%2Fwww.webofscience.com%2Fwos%2Fwoscc%2Ffull-record%2FWOS:000433593000010","View Full Record in Web of Science")</f>
        <v>View Full Record in Web of Science</v>
      </c>
    </row>
    <row r="848" spans="1:72" x14ac:dyDescent="0.15">
      <c r="A848" t="s">
        <v>98</v>
      </c>
      <c r="B848" t="s">
        <v>26000</v>
      </c>
      <c r="C848" t="s">
        <v>74</v>
      </c>
      <c r="D848" t="s">
        <v>74</v>
      </c>
      <c r="E848" t="s">
        <v>74</v>
      </c>
      <c r="F848" t="s">
        <v>26001</v>
      </c>
      <c r="G848" t="s">
        <v>74</v>
      </c>
      <c r="H848" t="s">
        <v>74</v>
      </c>
      <c r="I848" t="s">
        <v>26002</v>
      </c>
      <c r="J848" t="s">
        <v>9482</v>
      </c>
      <c r="K848" t="s">
        <v>74</v>
      </c>
      <c r="L848" t="s">
        <v>74</v>
      </c>
      <c r="M848" t="s">
        <v>74</v>
      </c>
      <c r="N848" t="s">
        <v>103</v>
      </c>
      <c r="O848" t="s">
        <v>74</v>
      </c>
      <c r="P848" t="s">
        <v>74</v>
      </c>
      <c r="Q848" t="s">
        <v>74</v>
      </c>
      <c r="R848" t="s">
        <v>74</v>
      </c>
      <c r="S848" t="s">
        <v>74</v>
      </c>
      <c r="T848" t="s">
        <v>26003</v>
      </c>
      <c r="U848" t="s">
        <v>26004</v>
      </c>
      <c r="V848" t="s">
        <v>26005</v>
      </c>
      <c r="W848" t="s">
        <v>26006</v>
      </c>
      <c r="X848" t="s">
        <v>18059</v>
      </c>
      <c r="Y848" t="s">
        <v>26007</v>
      </c>
      <c r="Z848" t="s">
        <v>26008</v>
      </c>
      <c r="AA848" t="s">
        <v>26009</v>
      </c>
      <c r="AB848" t="s">
        <v>74</v>
      </c>
      <c r="AC848" t="s">
        <v>74</v>
      </c>
      <c r="AD848" t="s">
        <v>74</v>
      </c>
      <c r="AE848" t="s">
        <v>74</v>
      </c>
      <c r="AF848" t="s">
        <v>74</v>
      </c>
      <c r="AG848">
        <v>64</v>
      </c>
      <c r="AH848">
        <v>20</v>
      </c>
      <c r="AI848">
        <v>21</v>
      </c>
      <c r="AJ848">
        <v>8</v>
      </c>
      <c r="AK848">
        <v>27</v>
      </c>
      <c r="AL848" t="s">
        <v>74</v>
      </c>
      <c r="AM848" t="s">
        <v>74</v>
      </c>
      <c r="AN848" t="s">
        <v>74</v>
      </c>
      <c r="AO848" t="s">
        <v>9492</v>
      </c>
      <c r="AP848" t="s">
        <v>9493</v>
      </c>
      <c r="AQ848" t="s">
        <v>74</v>
      </c>
      <c r="AR848" t="s">
        <v>74</v>
      </c>
      <c r="AS848" t="s">
        <v>74</v>
      </c>
      <c r="AT848" t="s">
        <v>230</v>
      </c>
      <c r="AU848">
        <v>2019</v>
      </c>
      <c r="AV848">
        <v>63</v>
      </c>
      <c r="AW848">
        <v>8</v>
      </c>
      <c r="AX848" t="s">
        <v>74</v>
      </c>
      <c r="AY848" t="s">
        <v>74</v>
      </c>
      <c r="AZ848" t="s">
        <v>74</v>
      </c>
      <c r="BA848" t="s">
        <v>74</v>
      </c>
      <c r="BB848" t="s">
        <v>74</v>
      </c>
      <c r="BC848" t="s">
        <v>74</v>
      </c>
      <c r="BD848" t="s">
        <v>26010</v>
      </c>
      <c r="BE848" t="s">
        <v>26011</v>
      </c>
      <c r="BF848" t="str">
        <f>HYPERLINK("http://dx.doi.org/10.1128/AAC.00334-19","http://dx.doi.org/10.1128/AAC.00334-19")</f>
        <v>http://dx.doi.org/10.1128/AAC.00334-19</v>
      </c>
      <c r="BG848" t="s">
        <v>74</v>
      </c>
      <c r="BH848" t="s">
        <v>74</v>
      </c>
      <c r="BI848" t="s">
        <v>74</v>
      </c>
      <c r="BJ848" t="s">
        <v>9496</v>
      </c>
      <c r="BK848" t="s">
        <v>117</v>
      </c>
      <c r="BL848" t="s">
        <v>9496</v>
      </c>
      <c r="BM848" t="s">
        <v>74</v>
      </c>
      <c r="BN848">
        <v>31138576</v>
      </c>
      <c r="BO848" t="s">
        <v>74</v>
      </c>
      <c r="BP848" t="s">
        <v>74</v>
      </c>
      <c r="BQ848" t="s">
        <v>74</v>
      </c>
      <c r="BR848" t="s">
        <v>96</v>
      </c>
      <c r="BS848" t="s">
        <v>26012</v>
      </c>
      <c r="BT848" t="str">
        <f>HYPERLINK("https%3A%2F%2Fwww.webofscience.com%2Fwos%2Fwoscc%2Ffull-record%2FWOS:000477070900011","View Full Record in Web of Science")</f>
        <v>View Full Record in Web of Science</v>
      </c>
    </row>
    <row r="849" spans="1:72" x14ac:dyDescent="0.15">
      <c r="A849" t="s">
        <v>98</v>
      </c>
      <c r="B849" t="s">
        <v>19658</v>
      </c>
      <c r="C849" t="s">
        <v>74</v>
      </c>
      <c r="D849" t="s">
        <v>74</v>
      </c>
      <c r="E849" t="s">
        <v>74</v>
      </c>
      <c r="F849" t="s">
        <v>19659</v>
      </c>
      <c r="G849" t="s">
        <v>74</v>
      </c>
      <c r="H849" t="s">
        <v>74</v>
      </c>
      <c r="I849" t="s">
        <v>26118</v>
      </c>
      <c r="J849" t="s">
        <v>572</v>
      </c>
      <c r="K849" t="s">
        <v>74</v>
      </c>
      <c r="L849" t="s">
        <v>74</v>
      </c>
      <c r="M849" t="s">
        <v>74</v>
      </c>
      <c r="N849" t="s">
        <v>980</v>
      </c>
      <c r="O849" t="s">
        <v>26119</v>
      </c>
      <c r="P849" t="s">
        <v>26120</v>
      </c>
      <c r="Q849" t="s">
        <v>26121</v>
      </c>
      <c r="R849" t="s">
        <v>74</v>
      </c>
      <c r="S849" t="s">
        <v>74</v>
      </c>
      <c r="T849" t="s">
        <v>26122</v>
      </c>
      <c r="U849" t="s">
        <v>26123</v>
      </c>
      <c r="V849" t="s">
        <v>26124</v>
      </c>
      <c r="W849" t="s">
        <v>26125</v>
      </c>
      <c r="X849" t="s">
        <v>26126</v>
      </c>
      <c r="Y849" t="s">
        <v>26127</v>
      </c>
      <c r="Z849" t="s">
        <v>26128</v>
      </c>
      <c r="AA849" t="s">
        <v>19671</v>
      </c>
      <c r="AB849" t="s">
        <v>19672</v>
      </c>
      <c r="AC849" t="s">
        <v>74</v>
      </c>
      <c r="AD849" t="s">
        <v>74</v>
      </c>
      <c r="AE849" t="s">
        <v>74</v>
      </c>
      <c r="AF849" t="s">
        <v>74</v>
      </c>
      <c r="AG849">
        <v>65</v>
      </c>
      <c r="AH849">
        <v>20</v>
      </c>
      <c r="AI849">
        <v>20</v>
      </c>
      <c r="AJ849">
        <v>2</v>
      </c>
      <c r="AK849">
        <v>12</v>
      </c>
      <c r="AL849" t="s">
        <v>74</v>
      </c>
      <c r="AM849" t="s">
        <v>74</v>
      </c>
      <c r="AN849" t="s">
        <v>74</v>
      </c>
      <c r="AO849" t="s">
        <v>580</v>
      </c>
      <c r="AP849" t="s">
        <v>74</v>
      </c>
      <c r="AQ849" t="s">
        <v>74</v>
      </c>
      <c r="AR849" t="s">
        <v>74</v>
      </c>
      <c r="AS849" t="s">
        <v>74</v>
      </c>
      <c r="AT849" t="s">
        <v>132</v>
      </c>
      <c r="AU849">
        <v>2018</v>
      </c>
      <c r="AV849">
        <v>164</v>
      </c>
      <c r="AW849" t="s">
        <v>74</v>
      </c>
      <c r="AX849" t="s">
        <v>74</v>
      </c>
      <c r="AY849">
        <v>1</v>
      </c>
      <c r="AZ849" t="s">
        <v>74</v>
      </c>
      <c r="BA849" t="s">
        <v>74</v>
      </c>
      <c r="BB849" t="s">
        <v>26129</v>
      </c>
      <c r="BC849" t="s">
        <v>26130</v>
      </c>
      <c r="BD849" t="s">
        <v>74</v>
      </c>
      <c r="BE849" t="s">
        <v>26131</v>
      </c>
      <c r="BF849" t="str">
        <f>HYPERLINK("http://dx.doi.org/10.1016/j.thromres.2017.12.018","http://dx.doi.org/10.1016/j.thromres.2017.12.018")</f>
        <v>http://dx.doi.org/10.1016/j.thromres.2017.12.018</v>
      </c>
      <c r="BG849" t="s">
        <v>74</v>
      </c>
      <c r="BH849" t="s">
        <v>74</v>
      </c>
      <c r="BI849" t="s">
        <v>74</v>
      </c>
      <c r="BJ849" t="s">
        <v>584</v>
      </c>
      <c r="BK849" t="s">
        <v>997</v>
      </c>
      <c r="BL849" t="s">
        <v>585</v>
      </c>
      <c r="BM849" t="s">
        <v>74</v>
      </c>
      <c r="BN849">
        <v>29306575</v>
      </c>
      <c r="BO849" t="s">
        <v>74</v>
      </c>
      <c r="BP849" t="s">
        <v>74</v>
      </c>
      <c r="BQ849" t="s">
        <v>74</v>
      </c>
      <c r="BR849" t="s">
        <v>96</v>
      </c>
      <c r="BS849" t="s">
        <v>26132</v>
      </c>
      <c r="BT849" t="str">
        <f>HYPERLINK("https%3A%2F%2Fwww.webofscience.com%2Fwos%2Fwoscc%2Ffull-record%2FWOS:000432889200010","View Full Record in Web of Science")</f>
        <v>View Full Record in Web of Science</v>
      </c>
    </row>
    <row r="850" spans="1:72" x14ac:dyDescent="0.15">
      <c r="A850" t="s">
        <v>98</v>
      </c>
      <c r="B850" t="s">
        <v>26368</v>
      </c>
      <c r="C850" t="s">
        <v>74</v>
      </c>
      <c r="D850" t="s">
        <v>74</v>
      </c>
      <c r="E850" t="s">
        <v>74</v>
      </c>
      <c r="F850" t="s">
        <v>26369</v>
      </c>
      <c r="G850" t="s">
        <v>74</v>
      </c>
      <c r="H850" t="s">
        <v>74</v>
      </c>
      <c r="I850" t="s">
        <v>26370</v>
      </c>
      <c r="J850" t="s">
        <v>1073</v>
      </c>
      <c r="K850" t="s">
        <v>74</v>
      </c>
      <c r="L850" t="s">
        <v>74</v>
      </c>
      <c r="M850" t="s">
        <v>74</v>
      </c>
      <c r="N850" t="s">
        <v>103</v>
      </c>
      <c r="O850" t="s">
        <v>74</v>
      </c>
      <c r="P850" t="s">
        <v>74</v>
      </c>
      <c r="Q850" t="s">
        <v>74</v>
      </c>
      <c r="R850" t="s">
        <v>74</v>
      </c>
      <c r="S850" t="s">
        <v>74</v>
      </c>
      <c r="T850" t="s">
        <v>74</v>
      </c>
      <c r="U850" t="s">
        <v>26371</v>
      </c>
      <c r="V850" t="s">
        <v>26372</v>
      </c>
      <c r="W850" t="s">
        <v>26373</v>
      </c>
      <c r="X850" t="s">
        <v>26374</v>
      </c>
      <c r="Y850" t="s">
        <v>26375</v>
      </c>
      <c r="Z850" t="s">
        <v>26376</v>
      </c>
      <c r="AA850" t="s">
        <v>26377</v>
      </c>
      <c r="AB850" t="s">
        <v>74</v>
      </c>
      <c r="AC850" t="s">
        <v>74</v>
      </c>
      <c r="AD850" t="s">
        <v>74</v>
      </c>
      <c r="AE850" t="s">
        <v>74</v>
      </c>
      <c r="AF850" t="s">
        <v>74</v>
      </c>
      <c r="AG850">
        <v>84</v>
      </c>
      <c r="AH850">
        <v>20</v>
      </c>
      <c r="AI850">
        <v>22</v>
      </c>
      <c r="AJ850">
        <v>0</v>
      </c>
      <c r="AK850">
        <v>20</v>
      </c>
      <c r="AL850" t="s">
        <v>74</v>
      </c>
      <c r="AM850" t="s">
        <v>74</v>
      </c>
      <c r="AN850" t="s">
        <v>74</v>
      </c>
      <c r="AO850" t="s">
        <v>1082</v>
      </c>
      <c r="AP850" t="s">
        <v>74</v>
      </c>
      <c r="AQ850" t="s">
        <v>74</v>
      </c>
      <c r="AR850" t="s">
        <v>74</v>
      </c>
      <c r="AS850" t="s">
        <v>74</v>
      </c>
      <c r="AT850" t="s">
        <v>6741</v>
      </c>
      <c r="AU850">
        <v>2014</v>
      </c>
      <c r="AV850">
        <v>9</v>
      </c>
      <c r="AW850">
        <v>4</v>
      </c>
      <c r="AX850" t="s">
        <v>74</v>
      </c>
      <c r="AY850" t="s">
        <v>74</v>
      </c>
      <c r="AZ850" t="s">
        <v>74</v>
      </c>
      <c r="BA850" t="s">
        <v>74</v>
      </c>
      <c r="BB850" t="s">
        <v>74</v>
      </c>
      <c r="BC850" t="s">
        <v>74</v>
      </c>
      <c r="BD850" t="s">
        <v>26378</v>
      </c>
      <c r="BE850" t="s">
        <v>26379</v>
      </c>
      <c r="BF850" t="str">
        <f>HYPERLINK("http://dx.doi.org/10.1371/journal.pone.0095266","http://dx.doi.org/10.1371/journal.pone.0095266")</f>
        <v>http://dx.doi.org/10.1371/journal.pone.0095266</v>
      </c>
      <c r="BG850" t="s">
        <v>74</v>
      </c>
      <c r="BH850" t="s">
        <v>74</v>
      </c>
      <c r="BI850" t="s">
        <v>74</v>
      </c>
      <c r="BJ850" t="s">
        <v>152</v>
      </c>
      <c r="BK850" t="s">
        <v>117</v>
      </c>
      <c r="BL850" t="s">
        <v>153</v>
      </c>
      <c r="BM850" t="s">
        <v>74</v>
      </c>
      <c r="BN850">
        <v>24777121</v>
      </c>
      <c r="BO850" t="s">
        <v>74</v>
      </c>
      <c r="BP850" t="s">
        <v>74</v>
      </c>
      <c r="BQ850" t="s">
        <v>74</v>
      </c>
      <c r="BR850" t="s">
        <v>96</v>
      </c>
      <c r="BS850" t="s">
        <v>26380</v>
      </c>
      <c r="BT850" t="str">
        <f>HYPERLINK("https%3A%2F%2Fwww.webofscience.com%2Fwos%2Fwoscc%2Ffull-record%2FWOS:000346241800010","View Full Record in Web of Science")</f>
        <v>View Full Record in Web of Science</v>
      </c>
    </row>
    <row r="851" spans="1:72" x14ac:dyDescent="0.15">
      <c r="A851" t="s">
        <v>98</v>
      </c>
      <c r="B851" t="s">
        <v>27517</v>
      </c>
      <c r="C851" t="s">
        <v>74</v>
      </c>
      <c r="D851" t="s">
        <v>74</v>
      </c>
      <c r="E851" t="s">
        <v>74</v>
      </c>
      <c r="F851" t="s">
        <v>27518</v>
      </c>
      <c r="G851" t="s">
        <v>74</v>
      </c>
      <c r="H851" t="s">
        <v>74</v>
      </c>
      <c r="I851" t="s">
        <v>27519</v>
      </c>
      <c r="J851" t="s">
        <v>25932</v>
      </c>
      <c r="K851" t="s">
        <v>74</v>
      </c>
      <c r="L851" t="s">
        <v>74</v>
      </c>
      <c r="M851" t="s">
        <v>74</v>
      </c>
      <c r="N851" t="s">
        <v>103</v>
      </c>
      <c r="O851" t="s">
        <v>74</v>
      </c>
      <c r="P851" t="s">
        <v>74</v>
      </c>
      <c r="Q851" t="s">
        <v>74</v>
      </c>
      <c r="R851" t="s">
        <v>74</v>
      </c>
      <c r="S851" t="s">
        <v>74</v>
      </c>
      <c r="T851" t="s">
        <v>27520</v>
      </c>
      <c r="U851" t="s">
        <v>27521</v>
      </c>
      <c r="V851" t="s">
        <v>27522</v>
      </c>
      <c r="W851" t="s">
        <v>27523</v>
      </c>
      <c r="X851" t="s">
        <v>25581</v>
      </c>
      <c r="Y851" t="s">
        <v>27524</v>
      </c>
      <c r="Z851" t="s">
        <v>27525</v>
      </c>
      <c r="AA851" t="s">
        <v>27526</v>
      </c>
      <c r="AB851" t="s">
        <v>27527</v>
      </c>
      <c r="AC851" t="s">
        <v>74</v>
      </c>
      <c r="AD851" t="s">
        <v>74</v>
      </c>
      <c r="AE851" t="s">
        <v>74</v>
      </c>
      <c r="AF851" t="s">
        <v>74</v>
      </c>
      <c r="AG851">
        <v>60</v>
      </c>
      <c r="AH851">
        <v>20</v>
      </c>
      <c r="AI851">
        <v>21</v>
      </c>
      <c r="AJ851">
        <v>0</v>
      </c>
      <c r="AK851">
        <v>19</v>
      </c>
      <c r="AL851" t="s">
        <v>74</v>
      </c>
      <c r="AM851" t="s">
        <v>74</v>
      </c>
      <c r="AN851" t="s">
        <v>74</v>
      </c>
      <c r="AO851" t="s">
        <v>25940</v>
      </c>
      <c r="AP851" t="s">
        <v>25941</v>
      </c>
      <c r="AQ851" t="s">
        <v>74</v>
      </c>
      <c r="AR851" t="s">
        <v>74</v>
      </c>
      <c r="AS851" t="s">
        <v>74</v>
      </c>
      <c r="AT851" t="s">
        <v>150</v>
      </c>
      <c r="AU851">
        <v>2013</v>
      </c>
      <c r="AV851">
        <v>126</v>
      </c>
      <c r="AW851">
        <v>16</v>
      </c>
      <c r="AX851" t="s">
        <v>74</v>
      </c>
      <c r="AY851" t="s">
        <v>74</v>
      </c>
      <c r="AZ851" t="s">
        <v>74</v>
      </c>
      <c r="BA851" t="s">
        <v>74</v>
      </c>
      <c r="BB851">
        <v>3724</v>
      </c>
      <c r="BC851">
        <v>3737</v>
      </c>
      <c r="BD851" t="s">
        <v>74</v>
      </c>
      <c r="BE851" t="s">
        <v>27528</v>
      </c>
      <c r="BF851" t="str">
        <f>HYPERLINK("http://dx.doi.org/10.1242/jcs.128322","http://dx.doi.org/10.1242/jcs.128322")</f>
        <v>http://dx.doi.org/10.1242/jcs.128322</v>
      </c>
      <c r="BG851" t="s">
        <v>74</v>
      </c>
      <c r="BH851" t="s">
        <v>74</v>
      </c>
      <c r="BI851" t="s">
        <v>74</v>
      </c>
      <c r="BJ851" t="s">
        <v>135</v>
      </c>
      <c r="BK851" t="s">
        <v>117</v>
      </c>
      <c r="BL851" t="s">
        <v>135</v>
      </c>
      <c r="BM851" t="s">
        <v>74</v>
      </c>
      <c r="BN851">
        <v>23750009</v>
      </c>
      <c r="BO851" t="s">
        <v>74</v>
      </c>
      <c r="BP851" t="s">
        <v>74</v>
      </c>
      <c r="BQ851" t="s">
        <v>74</v>
      </c>
      <c r="BR851" t="s">
        <v>96</v>
      </c>
      <c r="BS851" t="s">
        <v>27529</v>
      </c>
      <c r="BT851" t="str">
        <f>HYPERLINK("https%3A%2F%2Fwww.webofscience.com%2Fwos%2Fwoscc%2Ffull-record%2FWOS:000323204400021","View Full Record in Web of Science")</f>
        <v>View Full Record in Web of Science</v>
      </c>
    </row>
    <row r="852" spans="1:72" x14ac:dyDescent="0.15">
      <c r="A852" t="s">
        <v>98</v>
      </c>
      <c r="B852" t="s">
        <v>28271</v>
      </c>
      <c r="C852" t="s">
        <v>74</v>
      </c>
      <c r="D852" t="s">
        <v>74</v>
      </c>
      <c r="E852" t="s">
        <v>74</v>
      </c>
      <c r="F852" t="s">
        <v>28272</v>
      </c>
      <c r="G852" t="s">
        <v>74</v>
      </c>
      <c r="H852" t="s">
        <v>74</v>
      </c>
      <c r="I852" t="s">
        <v>28273</v>
      </c>
      <c r="J852" t="s">
        <v>28274</v>
      </c>
      <c r="K852" t="s">
        <v>74</v>
      </c>
      <c r="L852" t="s">
        <v>74</v>
      </c>
      <c r="M852" t="s">
        <v>74</v>
      </c>
      <c r="N852" t="s">
        <v>980</v>
      </c>
      <c r="O852" t="s">
        <v>28275</v>
      </c>
      <c r="P852" t="s">
        <v>28276</v>
      </c>
      <c r="Q852" t="s">
        <v>28277</v>
      </c>
      <c r="R852" t="s">
        <v>74</v>
      </c>
      <c r="S852" t="s">
        <v>74</v>
      </c>
      <c r="T852" t="s">
        <v>28278</v>
      </c>
      <c r="U852" t="s">
        <v>28279</v>
      </c>
      <c r="V852" t="s">
        <v>28280</v>
      </c>
      <c r="W852" t="s">
        <v>28281</v>
      </c>
      <c r="X852" t="s">
        <v>28282</v>
      </c>
      <c r="Y852" t="s">
        <v>28283</v>
      </c>
      <c r="Z852" t="s">
        <v>28284</v>
      </c>
      <c r="AA852" t="s">
        <v>28285</v>
      </c>
      <c r="AB852" t="s">
        <v>28286</v>
      </c>
      <c r="AC852" t="s">
        <v>74</v>
      </c>
      <c r="AD852" t="s">
        <v>74</v>
      </c>
      <c r="AE852" t="s">
        <v>74</v>
      </c>
      <c r="AF852" t="s">
        <v>74</v>
      </c>
      <c r="AG852">
        <v>37</v>
      </c>
      <c r="AH852">
        <v>20</v>
      </c>
      <c r="AI852">
        <v>20</v>
      </c>
      <c r="AJ852">
        <v>0</v>
      </c>
      <c r="AK852">
        <v>11</v>
      </c>
      <c r="AL852" t="s">
        <v>74</v>
      </c>
      <c r="AM852" t="s">
        <v>74</v>
      </c>
      <c r="AN852" t="s">
        <v>74</v>
      </c>
      <c r="AO852" t="s">
        <v>28287</v>
      </c>
      <c r="AP852" t="s">
        <v>28288</v>
      </c>
      <c r="AQ852" t="s">
        <v>74</v>
      </c>
      <c r="AR852" t="s">
        <v>74</v>
      </c>
      <c r="AS852" t="s">
        <v>74</v>
      </c>
      <c r="AT852" t="s">
        <v>565</v>
      </c>
      <c r="AU852">
        <v>2019</v>
      </c>
      <c r="AV852">
        <v>57</v>
      </c>
      <c r="AW852">
        <v>3</v>
      </c>
      <c r="AX852" t="s">
        <v>74</v>
      </c>
      <c r="AY852" t="s">
        <v>74</v>
      </c>
      <c r="AZ852" t="s">
        <v>447</v>
      </c>
      <c r="BA852" t="s">
        <v>74</v>
      </c>
      <c r="BB852">
        <v>312</v>
      </c>
      <c r="BC852">
        <v>316</v>
      </c>
      <c r="BD852" t="s">
        <v>74</v>
      </c>
      <c r="BE852" t="s">
        <v>28289</v>
      </c>
      <c r="BF852" t="str">
        <f>HYPERLINK("http://dx.doi.org/10.1515/cclm-2018-0610","http://dx.doi.org/10.1515/cclm-2018-0610")</f>
        <v>http://dx.doi.org/10.1515/cclm-2018-0610</v>
      </c>
      <c r="BG852" t="s">
        <v>74</v>
      </c>
      <c r="BH852" t="s">
        <v>74</v>
      </c>
      <c r="BI852" t="s">
        <v>74</v>
      </c>
      <c r="BJ852" t="s">
        <v>2773</v>
      </c>
      <c r="BK852" t="s">
        <v>997</v>
      </c>
      <c r="BL852" t="s">
        <v>2773</v>
      </c>
      <c r="BM852" t="s">
        <v>74</v>
      </c>
      <c r="BN852">
        <v>30465714</v>
      </c>
      <c r="BO852" t="s">
        <v>74</v>
      </c>
      <c r="BP852" t="s">
        <v>74</v>
      </c>
      <c r="BQ852" t="s">
        <v>74</v>
      </c>
      <c r="BR852" t="s">
        <v>96</v>
      </c>
      <c r="BS852" t="s">
        <v>28290</v>
      </c>
      <c r="BT852" t="str">
        <f>HYPERLINK("https%3A%2F%2Fwww.webofscience.com%2Fwos%2Fwoscc%2Ffull-record%2FWOS:000460119400003","View Full Record in Web of Science")</f>
        <v>View Full Record in Web of Science</v>
      </c>
    </row>
    <row r="853" spans="1:72" x14ac:dyDescent="0.15">
      <c r="A853" t="s">
        <v>98</v>
      </c>
      <c r="B853" t="s">
        <v>28889</v>
      </c>
      <c r="C853" t="s">
        <v>74</v>
      </c>
      <c r="D853" t="s">
        <v>74</v>
      </c>
      <c r="E853" t="s">
        <v>74</v>
      </c>
      <c r="F853" t="s">
        <v>28890</v>
      </c>
      <c r="G853" t="s">
        <v>74</v>
      </c>
      <c r="H853" t="s">
        <v>74</v>
      </c>
      <c r="I853" t="s">
        <v>28891</v>
      </c>
      <c r="J853" t="s">
        <v>28892</v>
      </c>
      <c r="K853" t="s">
        <v>74</v>
      </c>
      <c r="L853" t="s">
        <v>74</v>
      </c>
      <c r="M853" t="s">
        <v>74</v>
      </c>
      <c r="N853" t="s">
        <v>103</v>
      </c>
      <c r="O853" t="s">
        <v>74</v>
      </c>
      <c r="P853" t="s">
        <v>74</v>
      </c>
      <c r="Q853" t="s">
        <v>74</v>
      </c>
      <c r="R853" t="s">
        <v>74</v>
      </c>
      <c r="S853" t="s">
        <v>74</v>
      </c>
      <c r="T853" t="s">
        <v>28893</v>
      </c>
      <c r="U853" t="s">
        <v>28894</v>
      </c>
      <c r="V853" t="s">
        <v>28895</v>
      </c>
      <c r="W853" t="s">
        <v>28896</v>
      </c>
      <c r="X853" t="s">
        <v>28897</v>
      </c>
      <c r="Y853" t="s">
        <v>28898</v>
      </c>
      <c r="Z853" t="s">
        <v>28899</v>
      </c>
      <c r="AA853" t="s">
        <v>74</v>
      </c>
      <c r="AB853" t="s">
        <v>28900</v>
      </c>
      <c r="AC853" t="s">
        <v>74</v>
      </c>
      <c r="AD853" t="s">
        <v>74</v>
      </c>
      <c r="AE853" t="s">
        <v>74</v>
      </c>
      <c r="AF853" t="s">
        <v>74</v>
      </c>
      <c r="AG853">
        <v>470</v>
      </c>
      <c r="AH853">
        <v>20</v>
      </c>
      <c r="AI853">
        <v>20</v>
      </c>
      <c r="AJ853">
        <v>1</v>
      </c>
      <c r="AK853">
        <v>4</v>
      </c>
      <c r="AL853" t="s">
        <v>74</v>
      </c>
      <c r="AM853" t="s">
        <v>74</v>
      </c>
      <c r="AN853" t="s">
        <v>74</v>
      </c>
      <c r="AO853" t="s">
        <v>28901</v>
      </c>
      <c r="AP853" t="s">
        <v>28902</v>
      </c>
      <c r="AQ853" t="s">
        <v>74</v>
      </c>
      <c r="AR853" t="s">
        <v>74</v>
      </c>
      <c r="AS853" t="s">
        <v>74</v>
      </c>
      <c r="AT853" t="s">
        <v>531</v>
      </c>
      <c r="AU853">
        <v>2021</v>
      </c>
      <c r="AV853">
        <v>7</v>
      </c>
      <c r="AW853">
        <v>3</v>
      </c>
      <c r="AX853" t="s">
        <v>74</v>
      </c>
      <c r="AY853" t="s">
        <v>74</v>
      </c>
      <c r="AZ853" t="s">
        <v>74</v>
      </c>
      <c r="BA853" t="s">
        <v>74</v>
      </c>
      <c r="BB853">
        <v>312</v>
      </c>
      <c r="BC853">
        <v>352</v>
      </c>
      <c r="BD853" t="s">
        <v>74</v>
      </c>
      <c r="BE853" t="s">
        <v>28903</v>
      </c>
      <c r="BF853" t="str">
        <f>HYPERLINK("http://dx.doi.org/10.1007/s40883-019-00141-2","http://dx.doi.org/10.1007/s40883-019-00141-2")</f>
        <v>http://dx.doi.org/10.1007/s40883-019-00141-2</v>
      </c>
      <c r="BG853" t="s">
        <v>74</v>
      </c>
      <c r="BH853" t="s">
        <v>74</v>
      </c>
      <c r="BI853" t="s">
        <v>74</v>
      </c>
      <c r="BJ853" t="s">
        <v>10174</v>
      </c>
      <c r="BK853" t="s">
        <v>467</v>
      </c>
      <c r="BL853" t="s">
        <v>7748</v>
      </c>
      <c r="BM853" t="s">
        <v>74</v>
      </c>
      <c r="BN853" t="s">
        <v>74</v>
      </c>
      <c r="BO853" t="s">
        <v>74</v>
      </c>
      <c r="BP853" t="s">
        <v>74</v>
      </c>
      <c r="BQ853" t="s">
        <v>74</v>
      </c>
      <c r="BR853" t="s">
        <v>96</v>
      </c>
      <c r="BS853" t="s">
        <v>28904</v>
      </c>
      <c r="BT853" t="str">
        <f>HYPERLINK("https%3A%2F%2Fwww.webofscience.com%2Fwos%2Fwoscc%2Ffull-record%2FWOS:000698957500006","View Full Record in Web of Science")</f>
        <v>View Full Record in Web of Science</v>
      </c>
    </row>
    <row r="854" spans="1:72" x14ac:dyDescent="0.15">
      <c r="A854" t="s">
        <v>98</v>
      </c>
      <c r="B854" t="s">
        <v>287</v>
      </c>
      <c r="C854" t="s">
        <v>74</v>
      </c>
      <c r="D854" t="s">
        <v>74</v>
      </c>
      <c r="E854" t="s">
        <v>74</v>
      </c>
      <c r="F854" t="s">
        <v>288</v>
      </c>
      <c r="G854" t="s">
        <v>74</v>
      </c>
      <c r="H854" t="s">
        <v>74</v>
      </c>
      <c r="I854" t="s">
        <v>289</v>
      </c>
      <c r="J854" t="s">
        <v>290</v>
      </c>
      <c r="K854" t="s">
        <v>74</v>
      </c>
      <c r="L854" t="s">
        <v>74</v>
      </c>
      <c r="M854" t="s">
        <v>74</v>
      </c>
      <c r="N854" t="s">
        <v>103</v>
      </c>
      <c r="O854" t="s">
        <v>74</v>
      </c>
      <c r="P854" t="s">
        <v>74</v>
      </c>
      <c r="Q854" t="s">
        <v>74</v>
      </c>
      <c r="R854" t="s">
        <v>74</v>
      </c>
      <c r="S854" t="s">
        <v>74</v>
      </c>
      <c r="T854" t="s">
        <v>291</v>
      </c>
      <c r="U854" t="s">
        <v>292</v>
      </c>
      <c r="V854" t="s">
        <v>293</v>
      </c>
      <c r="W854" t="s">
        <v>294</v>
      </c>
      <c r="X854" t="s">
        <v>295</v>
      </c>
      <c r="Y854" t="s">
        <v>296</v>
      </c>
      <c r="Z854" t="s">
        <v>297</v>
      </c>
      <c r="AA854" t="s">
        <v>298</v>
      </c>
      <c r="AB854" t="s">
        <v>299</v>
      </c>
      <c r="AC854" t="s">
        <v>74</v>
      </c>
      <c r="AD854" t="s">
        <v>74</v>
      </c>
      <c r="AE854" t="s">
        <v>74</v>
      </c>
      <c r="AF854" t="s">
        <v>74</v>
      </c>
      <c r="AG854">
        <v>49</v>
      </c>
      <c r="AH854">
        <v>19</v>
      </c>
      <c r="AI854">
        <v>19</v>
      </c>
      <c r="AJ854">
        <v>1</v>
      </c>
      <c r="AK854">
        <v>8</v>
      </c>
      <c r="AL854" t="s">
        <v>74</v>
      </c>
      <c r="AM854" t="s">
        <v>74</v>
      </c>
      <c r="AN854" t="s">
        <v>74</v>
      </c>
      <c r="AO854" t="s">
        <v>300</v>
      </c>
      <c r="AP854" t="s">
        <v>301</v>
      </c>
      <c r="AQ854" t="s">
        <v>74</v>
      </c>
      <c r="AR854" t="s">
        <v>74</v>
      </c>
      <c r="AS854" t="s">
        <v>74</v>
      </c>
      <c r="AT854" t="s">
        <v>114</v>
      </c>
      <c r="AU854">
        <v>2021</v>
      </c>
      <c r="AV854">
        <v>20</v>
      </c>
      <c r="AW854">
        <v>1</v>
      </c>
      <c r="AX854" t="s">
        <v>74</v>
      </c>
      <c r="AY854" t="s">
        <v>74</v>
      </c>
      <c r="AZ854" t="s">
        <v>74</v>
      </c>
      <c r="BA854" t="s">
        <v>74</v>
      </c>
      <c r="BB854" t="s">
        <v>74</v>
      </c>
      <c r="BC854" t="s">
        <v>74</v>
      </c>
      <c r="BD854" t="s">
        <v>302</v>
      </c>
      <c r="BE854" t="s">
        <v>303</v>
      </c>
      <c r="BF854" t="str">
        <f>HYPERLINK("http://dx.doi.org/10.1111/acel.13283","http://dx.doi.org/10.1111/acel.13283")</f>
        <v>http://dx.doi.org/10.1111/acel.13283</v>
      </c>
      <c r="BG854" t="s">
        <v>74</v>
      </c>
      <c r="BH854" t="s">
        <v>304</v>
      </c>
      <c r="BI854" t="s">
        <v>74</v>
      </c>
      <c r="BJ854" t="s">
        <v>305</v>
      </c>
      <c r="BK854" t="s">
        <v>117</v>
      </c>
      <c r="BL854" t="s">
        <v>305</v>
      </c>
      <c r="BM854" t="s">
        <v>74</v>
      </c>
      <c r="BN854">
        <v>33355987</v>
      </c>
      <c r="BO854" t="s">
        <v>74</v>
      </c>
      <c r="BP854" t="s">
        <v>74</v>
      </c>
      <c r="BQ854" t="s">
        <v>74</v>
      </c>
      <c r="BR854" t="s">
        <v>96</v>
      </c>
      <c r="BS854" t="s">
        <v>306</v>
      </c>
      <c r="BT854" t="str">
        <f>HYPERLINK("https%3A%2F%2Fwww.webofscience.com%2Fwos%2Fwoscc%2Ffull-record%2FWOS:000601040400001","View Full Record in Web of Science")</f>
        <v>View Full Record in Web of Science</v>
      </c>
    </row>
    <row r="855" spans="1:72" x14ac:dyDescent="0.15">
      <c r="A855" t="s">
        <v>98</v>
      </c>
      <c r="B855" t="s">
        <v>1000</v>
      </c>
      <c r="C855" t="s">
        <v>74</v>
      </c>
      <c r="D855" t="s">
        <v>74</v>
      </c>
      <c r="E855" t="s">
        <v>74</v>
      </c>
      <c r="F855" t="s">
        <v>1001</v>
      </c>
      <c r="G855" t="s">
        <v>74</v>
      </c>
      <c r="H855" t="s">
        <v>74</v>
      </c>
      <c r="I855" t="s">
        <v>1002</v>
      </c>
      <c r="J855" t="s">
        <v>418</v>
      </c>
      <c r="K855" t="s">
        <v>74</v>
      </c>
      <c r="L855" t="s">
        <v>74</v>
      </c>
      <c r="M855" t="s">
        <v>74</v>
      </c>
      <c r="N855" t="s">
        <v>103</v>
      </c>
      <c r="O855" t="s">
        <v>74</v>
      </c>
      <c r="P855" t="s">
        <v>74</v>
      </c>
      <c r="Q855" t="s">
        <v>74</v>
      </c>
      <c r="R855" t="s">
        <v>74</v>
      </c>
      <c r="S855" t="s">
        <v>74</v>
      </c>
      <c r="T855" t="s">
        <v>1003</v>
      </c>
      <c r="U855" t="s">
        <v>1004</v>
      </c>
      <c r="V855" t="s">
        <v>1005</v>
      </c>
      <c r="W855" t="s">
        <v>1006</v>
      </c>
      <c r="X855" t="s">
        <v>1007</v>
      </c>
      <c r="Y855" t="s">
        <v>1008</v>
      </c>
      <c r="Z855" t="s">
        <v>1009</v>
      </c>
      <c r="AA855" t="s">
        <v>1010</v>
      </c>
      <c r="AB855" t="s">
        <v>1011</v>
      </c>
      <c r="AC855" t="s">
        <v>74</v>
      </c>
      <c r="AD855" t="s">
        <v>74</v>
      </c>
      <c r="AE855" t="s">
        <v>74</v>
      </c>
      <c r="AF855" t="s">
        <v>74</v>
      </c>
      <c r="AG855">
        <v>25</v>
      </c>
      <c r="AH855">
        <v>19</v>
      </c>
      <c r="AI855">
        <v>19</v>
      </c>
      <c r="AJ855">
        <v>5</v>
      </c>
      <c r="AK855">
        <v>20</v>
      </c>
      <c r="AL855" t="s">
        <v>74</v>
      </c>
      <c r="AM855" t="s">
        <v>74</v>
      </c>
      <c r="AN855" t="s">
        <v>74</v>
      </c>
      <c r="AO855" t="s">
        <v>428</v>
      </c>
      <c r="AP855" t="s">
        <v>74</v>
      </c>
      <c r="AQ855" t="s">
        <v>74</v>
      </c>
      <c r="AR855" t="s">
        <v>74</v>
      </c>
      <c r="AS855" t="s">
        <v>74</v>
      </c>
      <c r="AT855" t="s">
        <v>531</v>
      </c>
      <c r="AU855">
        <v>2019</v>
      </c>
      <c r="AV855" t="s">
        <v>74</v>
      </c>
      <c r="AW855">
        <v>151</v>
      </c>
      <c r="AX855" t="s">
        <v>74</v>
      </c>
      <c r="AY855" t="s">
        <v>74</v>
      </c>
      <c r="AZ855" t="s">
        <v>74</v>
      </c>
      <c r="BA855" t="s">
        <v>74</v>
      </c>
      <c r="BB855" t="s">
        <v>74</v>
      </c>
      <c r="BC855" t="s">
        <v>74</v>
      </c>
      <c r="BD855" t="s">
        <v>1012</v>
      </c>
      <c r="BE855" t="s">
        <v>1013</v>
      </c>
      <c r="BF855" t="str">
        <f>HYPERLINK("http://dx.doi.org/10.3791/59254","http://dx.doi.org/10.3791/59254")</f>
        <v>http://dx.doi.org/10.3791/59254</v>
      </c>
      <c r="BG855" t="s">
        <v>74</v>
      </c>
      <c r="BH855" t="s">
        <v>74</v>
      </c>
      <c r="BI855" t="s">
        <v>74</v>
      </c>
      <c r="BJ855" t="s">
        <v>152</v>
      </c>
      <c r="BK855" t="s">
        <v>117</v>
      </c>
      <c r="BL855" t="s">
        <v>153</v>
      </c>
      <c r="BM855" t="s">
        <v>74</v>
      </c>
      <c r="BN855">
        <v>31566613</v>
      </c>
      <c r="BO855" t="s">
        <v>74</v>
      </c>
      <c r="BP855" t="s">
        <v>74</v>
      </c>
      <c r="BQ855" t="s">
        <v>74</v>
      </c>
      <c r="BR855" t="s">
        <v>96</v>
      </c>
      <c r="BS855" t="s">
        <v>1014</v>
      </c>
      <c r="BT855" t="str">
        <f>HYPERLINK("https%3A%2F%2Fwww.webofscience.com%2Fwos%2Fwoscc%2Ffull-record%2FWOS:000493374200009","View Full Record in Web of Science")</f>
        <v>View Full Record in Web of Science</v>
      </c>
    </row>
    <row r="856" spans="1:72" x14ac:dyDescent="0.15">
      <c r="A856" t="s">
        <v>98</v>
      </c>
      <c r="B856" t="s">
        <v>3915</v>
      </c>
      <c r="C856" t="s">
        <v>74</v>
      </c>
      <c r="D856" t="s">
        <v>74</v>
      </c>
      <c r="E856" t="s">
        <v>74</v>
      </c>
      <c r="F856" t="s">
        <v>3916</v>
      </c>
      <c r="G856" t="s">
        <v>74</v>
      </c>
      <c r="H856" t="s">
        <v>74</v>
      </c>
      <c r="I856" t="s">
        <v>3917</v>
      </c>
      <c r="J856" t="s">
        <v>3918</v>
      </c>
      <c r="K856" t="s">
        <v>74</v>
      </c>
      <c r="L856" t="s">
        <v>74</v>
      </c>
      <c r="M856" t="s">
        <v>74</v>
      </c>
      <c r="N856" t="s">
        <v>103</v>
      </c>
      <c r="O856" t="s">
        <v>74</v>
      </c>
      <c r="P856" t="s">
        <v>74</v>
      </c>
      <c r="Q856" t="s">
        <v>74</v>
      </c>
      <c r="R856" t="s">
        <v>74</v>
      </c>
      <c r="S856" t="s">
        <v>74</v>
      </c>
      <c r="T856" t="s">
        <v>3919</v>
      </c>
      <c r="U856" t="s">
        <v>3920</v>
      </c>
      <c r="V856" t="s">
        <v>3921</v>
      </c>
      <c r="W856" t="s">
        <v>3922</v>
      </c>
      <c r="X856" t="s">
        <v>3923</v>
      </c>
      <c r="Y856" t="s">
        <v>3924</v>
      </c>
      <c r="Z856" t="s">
        <v>3925</v>
      </c>
      <c r="AA856" t="s">
        <v>74</v>
      </c>
      <c r="AB856" t="s">
        <v>74</v>
      </c>
      <c r="AC856" t="s">
        <v>74</v>
      </c>
      <c r="AD856" t="s">
        <v>74</v>
      </c>
      <c r="AE856" t="s">
        <v>74</v>
      </c>
      <c r="AF856" t="s">
        <v>74</v>
      </c>
      <c r="AG856">
        <v>46</v>
      </c>
      <c r="AH856">
        <v>19</v>
      </c>
      <c r="AI856">
        <v>19</v>
      </c>
      <c r="AJ856">
        <v>2</v>
      </c>
      <c r="AK856">
        <v>8</v>
      </c>
      <c r="AL856" t="s">
        <v>74</v>
      </c>
      <c r="AM856" t="s">
        <v>74</v>
      </c>
      <c r="AN856" t="s">
        <v>74</v>
      </c>
      <c r="AO856" t="s">
        <v>74</v>
      </c>
      <c r="AP856" t="s">
        <v>3926</v>
      </c>
      <c r="AQ856" t="s">
        <v>74</v>
      </c>
      <c r="AR856" t="s">
        <v>74</v>
      </c>
      <c r="AS856" t="s">
        <v>74</v>
      </c>
      <c r="AT856" t="s">
        <v>3927</v>
      </c>
      <c r="AU856">
        <v>2020</v>
      </c>
      <c r="AV856">
        <v>7</v>
      </c>
      <c r="AW856" t="s">
        <v>74</v>
      </c>
      <c r="AX856" t="s">
        <v>74</v>
      </c>
      <c r="AY856" t="s">
        <v>74</v>
      </c>
      <c r="AZ856" t="s">
        <v>74</v>
      </c>
      <c r="BA856" t="s">
        <v>74</v>
      </c>
      <c r="BB856" t="s">
        <v>74</v>
      </c>
      <c r="BC856" t="s">
        <v>74</v>
      </c>
      <c r="BD856">
        <v>596366</v>
      </c>
      <c r="BE856" t="s">
        <v>3928</v>
      </c>
      <c r="BF856" t="str">
        <f>HYPERLINK("http://dx.doi.org/10.3389/fmolb.2020.596366","http://dx.doi.org/10.3389/fmolb.2020.596366")</f>
        <v>http://dx.doi.org/10.3389/fmolb.2020.596366</v>
      </c>
      <c r="BG856" t="s">
        <v>74</v>
      </c>
      <c r="BH856" t="s">
        <v>74</v>
      </c>
      <c r="BI856" t="s">
        <v>74</v>
      </c>
      <c r="BJ856" t="s">
        <v>95</v>
      </c>
      <c r="BK856" t="s">
        <v>117</v>
      </c>
      <c r="BL856" t="s">
        <v>95</v>
      </c>
      <c r="BM856" t="s">
        <v>74</v>
      </c>
      <c r="BN856">
        <v>33330627</v>
      </c>
      <c r="BO856" t="s">
        <v>74</v>
      </c>
      <c r="BP856" t="s">
        <v>74</v>
      </c>
      <c r="BQ856" t="s">
        <v>74</v>
      </c>
      <c r="BR856" t="s">
        <v>96</v>
      </c>
      <c r="BS856" t="s">
        <v>3929</v>
      </c>
      <c r="BT856" t="str">
        <f>HYPERLINK("https%3A%2F%2Fwww.webofscience.com%2Fwos%2Fwoscc%2Ffull-record%2FWOS:000596758000001","View Full Record in Web of Science")</f>
        <v>View Full Record in Web of Science</v>
      </c>
    </row>
    <row r="857" spans="1:72" x14ac:dyDescent="0.15">
      <c r="A857" t="s">
        <v>98</v>
      </c>
      <c r="B857" t="s">
        <v>4405</v>
      </c>
      <c r="C857" t="s">
        <v>74</v>
      </c>
      <c r="D857" t="s">
        <v>74</v>
      </c>
      <c r="E857" t="s">
        <v>74</v>
      </c>
      <c r="F857" t="s">
        <v>4406</v>
      </c>
      <c r="G857" t="s">
        <v>74</v>
      </c>
      <c r="H857" t="s">
        <v>74</v>
      </c>
      <c r="I857" t="s">
        <v>4407</v>
      </c>
      <c r="J857" t="s">
        <v>2833</v>
      </c>
      <c r="K857" t="s">
        <v>74</v>
      </c>
      <c r="L857" t="s">
        <v>74</v>
      </c>
      <c r="M857" t="s">
        <v>74</v>
      </c>
      <c r="N857" t="s">
        <v>103</v>
      </c>
      <c r="O857" t="s">
        <v>74</v>
      </c>
      <c r="P857" t="s">
        <v>74</v>
      </c>
      <c r="Q857" t="s">
        <v>74</v>
      </c>
      <c r="R857" t="s">
        <v>74</v>
      </c>
      <c r="S857" t="s">
        <v>74</v>
      </c>
      <c r="T857" t="s">
        <v>4408</v>
      </c>
      <c r="U857" t="s">
        <v>4409</v>
      </c>
      <c r="V857" t="s">
        <v>4410</v>
      </c>
      <c r="W857" t="s">
        <v>4411</v>
      </c>
      <c r="X857" t="s">
        <v>4412</v>
      </c>
      <c r="Y857" t="s">
        <v>4413</v>
      </c>
      <c r="Z857" t="s">
        <v>4414</v>
      </c>
      <c r="AA857" t="s">
        <v>74</v>
      </c>
      <c r="AB857" t="s">
        <v>74</v>
      </c>
      <c r="AC857" t="s">
        <v>74</v>
      </c>
      <c r="AD857" t="s">
        <v>74</v>
      </c>
      <c r="AE857" t="s">
        <v>74</v>
      </c>
      <c r="AF857" t="s">
        <v>74</v>
      </c>
      <c r="AG857">
        <v>34</v>
      </c>
      <c r="AH857">
        <v>19</v>
      </c>
      <c r="AI857">
        <v>21</v>
      </c>
      <c r="AJ857">
        <v>0</v>
      </c>
      <c r="AK857">
        <v>5</v>
      </c>
      <c r="AL857" t="s">
        <v>74</v>
      </c>
      <c r="AM857" t="s">
        <v>74</v>
      </c>
      <c r="AN857" t="s">
        <v>74</v>
      </c>
      <c r="AO857" t="s">
        <v>2841</v>
      </c>
      <c r="AP857" t="s">
        <v>2842</v>
      </c>
      <c r="AQ857" t="s">
        <v>74</v>
      </c>
      <c r="AR857" t="s">
        <v>74</v>
      </c>
      <c r="AS857" t="s">
        <v>74</v>
      </c>
      <c r="AT857" t="s">
        <v>4415</v>
      </c>
      <c r="AU857">
        <v>2009</v>
      </c>
      <c r="AV857">
        <v>388</v>
      </c>
      <c r="AW857">
        <v>3</v>
      </c>
      <c r="AX857" t="s">
        <v>74</v>
      </c>
      <c r="AY857" t="s">
        <v>74</v>
      </c>
      <c r="AZ857" t="s">
        <v>74</v>
      </c>
      <c r="BA857" t="s">
        <v>74</v>
      </c>
      <c r="BB857">
        <v>533</v>
      </c>
      <c r="BC857">
        <v>538</v>
      </c>
      <c r="BD857" t="s">
        <v>74</v>
      </c>
      <c r="BE857" t="s">
        <v>4416</v>
      </c>
      <c r="BF857" t="str">
        <f>HYPERLINK("http://dx.doi.org/10.1016/j.bbrc.2009.08.038","http://dx.doi.org/10.1016/j.bbrc.2009.08.038")</f>
        <v>http://dx.doi.org/10.1016/j.bbrc.2009.08.038</v>
      </c>
      <c r="BG857" t="s">
        <v>74</v>
      </c>
      <c r="BH857" t="s">
        <v>74</v>
      </c>
      <c r="BI857" t="s">
        <v>74</v>
      </c>
      <c r="BJ857" t="s">
        <v>2845</v>
      </c>
      <c r="BK857" t="s">
        <v>117</v>
      </c>
      <c r="BL857" t="s">
        <v>2845</v>
      </c>
      <c r="BM857" t="s">
        <v>74</v>
      </c>
      <c r="BN857">
        <v>19679100</v>
      </c>
      <c r="BO857" t="s">
        <v>74</v>
      </c>
      <c r="BP857" t="s">
        <v>74</v>
      </c>
      <c r="BQ857" t="s">
        <v>74</v>
      </c>
      <c r="BR857" t="s">
        <v>96</v>
      </c>
      <c r="BS857" t="s">
        <v>4417</v>
      </c>
      <c r="BT857" t="str">
        <f>HYPERLINK("https%3A%2F%2Fwww.webofscience.com%2Fwos%2Fwoscc%2Ffull-record%2FWOS:000275061900013","View Full Record in Web of Science")</f>
        <v>View Full Record in Web of Science</v>
      </c>
    </row>
    <row r="858" spans="1:72" x14ac:dyDescent="0.15">
      <c r="A858" t="s">
        <v>98</v>
      </c>
      <c r="B858" t="s">
        <v>4910</v>
      </c>
      <c r="C858" t="s">
        <v>74</v>
      </c>
      <c r="D858" t="s">
        <v>74</v>
      </c>
      <c r="E858" t="s">
        <v>74</v>
      </c>
      <c r="F858" t="s">
        <v>4911</v>
      </c>
      <c r="G858" t="s">
        <v>74</v>
      </c>
      <c r="H858" t="s">
        <v>74</v>
      </c>
      <c r="I858" t="s">
        <v>4912</v>
      </c>
      <c r="J858" t="s">
        <v>4913</v>
      </c>
      <c r="K858" t="s">
        <v>74</v>
      </c>
      <c r="L858" t="s">
        <v>74</v>
      </c>
      <c r="M858" t="s">
        <v>74</v>
      </c>
      <c r="N858" t="s">
        <v>103</v>
      </c>
      <c r="O858" t="s">
        <v>74</v>
      </c>
      <c r="P858" t="s">
        <v>74</v>
      </c>
      <c r="Q858" t="s">
        <v>74</v>
      </c>
      <c r="R858" t="s">
        <v>74</v>
      </c>
      <c r="S858" t="s">
        <v>74</v>
      </c>
      <c r="T858" t="s">
        <v>4914</v>
      </c>
      <c r="U858" t="s">
        <v>4915</v>
      </c>
      <c r="V858" t="s">
        <v>4916</v>
      </c>
      <c r="W858" t="s">
        <v>4917</v>
      </c>
      <c r="X858" t="s">
        <v>4918</v>
      </c>
      <c r="Y858" t="s">
        <v>4919</v>
      </c>
      <c r="Z858" t="s">
        <v>4920</v>
      </c>
      <c r="AA858" t="s">
        <v>4921</v>
      </c>
      <c r="AB858" t="s">
        <v>4922</v>
      </c>
      <c r="AC858" t="s">
        <v>74</v>
      </c>
      <c r="AD858" t="s">
        <v>74</v>
      </c>
      <c r="AE858" t="s">
        <v>74</v>
      </c>
      <c r="AF858" t="s">
        <v>74</v>
      </c>
      <c r="AG858">
        <v>50</v>
      </c>
      <c r="AH858">
        <v>19</v>
      </c>
      <c r="AI858">
        <v>19</v>
      </c>
      <c r="AJ858">
        <v>2</v>
      </c>
      <c r="AK858">
        <v>9</v>
      </c>
      <c r="AL858" t="s">
        <v>74</v>
      </c>
      <c r="AM858" t="s">
        <v>74</v>
      </c>
      <c r="AN858" t="s">
        <v>74</v>
      </c>
      <c r="AO858" t="s">
        <v>4923</v>
      </c>
      <c r="AP858" t="s">
        <v>74</v>
      </c>
      <c r="AQ858" t="s">
        <v>74</v>
      </c>
      <c r="AR858" t="s">
        <v>74</v>
      </c>
      <c r="AS858" t="s">
        <v>74</v>
      </c>
      <c r="AT858" t="s">
        <v>1029</v>
      </c>
      <c r="AU858">
        <v>2020</v>
      </c>
      <c r="AV858">
        <v>55</v>
      </c>
      <c r="AW858" t="s">
        <v>74</v>
      </c>
      <c r="AX858" t="s">
        <v>74</v>
      </c>
      <c r="AY858" t="s">
        <v>74</v>
      </c>
      <c r="AZ858" t="s">
        <v>74</v>
      </c>
      <c r="BA858" t="s">
        <v>74</v>
      </c>
      <c r="BB858" t="s">
        <v>74</v>
      </c>
      <c r="BC858" t="s">
        <v>74</v>
      </c>
      <c r="BD858">
        <v>102736</v>
      </c>
      <c r="BE858" t="s">
        <v>4924</v>
      </c>
      <c r="BF858" t="str">
        <f>HYPERLINK("http://dx.doi.org/10.1016/j.ebiom.2020.102736","http://dx.doi.org/10.1016/j.ebiom.2020.102736")</f>
        <v>http://dx.doi.org/10.1016/j.ebiom.2020.102736</v>
      </c>
      <c r="BG858" t="s">
        <v>74</v>
      </c>
      <c r="BH858" t="s">
        <v>74</v>
      </c>
      <c r="BI858" t="s">
        <v>74</v>
      </c>
      <c r="BJ858" t="s">
        <v>4925</v>
      </c>
      <c r="BK858" t="s">
        <v>117</v>
      </c>
      <c r="BL858" t="s">
        <v>4926</v>
      </c>
      <c r="BM858" t="s">
        <v>74</v>
      </c>
      <c r="BN858">
        <v>32361246</v>
      </c>
      <c r="BO858" t="s">
        <v>74</v>
      </c>
      <c r="BP858" t="s">
        <v>74</v>
      </c>
      <c r="BQ858" t="s">
        <v>74</v>
      </c>
      <c r="BR858" t="s">
        <v>96</v>
      </c>
      <c r="BS858" t="s">
        <v>4927</v>
      </c>
      <c r="BT858" t="str">
        <f>HYPERLINK("https%3A%2F%2Fwww.webofscience.com%2Fwos%2Fwoscc%2Ffull-record%2FWOS:000537461800010","View Full Record in Web of Science")</f>
        <v>View Full Record in Web of Science</v>
      </c>
    </row>
    <row r="859" spans="1:72" x14ac:dyDescent="0.15">
      <c r="A859" t="s">
        <v>98</v>
      </c>
      <c r="B859" t="s">
        <v>5585</v>
      </c>
      <c r="C859" t="s">
        <v>74</v>
      </c>
      <c r="D859" t="s">
        <v>74</v>
      </c>
      <c r="E859" t="s">
        <v>74</v>
      </c>
      <c r="F859" t="s">
        <v>5586</v>
      </c>
      <c r="G859" t="s">
        <v>74</v>
      </c>
      <c r="H859" t="s">
        <v>74</v>
      </c>
      <c r="I859" t="s">
        <v>5587</v>
      </c>
      <c r="J859" t="s">
        <v>1684</v>
      </c>
      <c r="K859" t="s">
        <v>74</v>
      </c>
      <c r="L859" t="s">
        <v>74</v>
      </c>
      <c r="M859" t="s">
        <v>74</v>
      </c>
      <c r="N859" t="s">
        <v>103</v>
      </c>
      <c r="O859" t="s">
        <v>74</v>
      </c>
      <c r="P859" t="s">
        <v>74</v>
      </c>
      <c r="Q859" t="s">
        <v>74</v>
      </c>
      <c r="R859" t="s">
        <v>74</v>
      </c>
      <c r="S859" t="s">
        <v>74</v>
      </c>
      <c r="T859" t="s">
        <v>5588</v>
      </c>
      <c r="U859" t="s">
        <v>5589</v>
      </c>
      <c r="V859" t="s">
        <v>5590</v>
      </c>
      <c r="W859" t="s">
        <v>5591</v>
      </c>
      <c r="X859" t="s">
        <v>5592</v>
      </c>
      <c r="Y859" t="s">
        <v>5593</v>
      </c>
      <c r="Z859" t="s">
        <v>5594</v>
      </c>
      <c r="AA859" t="s">
        <v>5595</v>
      </c>
      <c r="AB859" t="s">
        <v>5596</v>
      </c>
      <c r="AC859" t="s">
        <v>74</v>
      </c>
      <c r="AD859" t="s">
        <v>74</v>
      </c>
      <c r="AE859" t="s">
        <v>74</v>
      </c>
      <c r="AF859" t="s">
        <v>74</v>
      </c>
      <c r="AG859">
        <v>89</v>
      </c>
      <c r="AH859">
        <v>19</v>
      </c>
      <c r="AI859">
        <v>19</v>
      </c>
      <c r="AJ859">
        <v>4</v>
      </c>
      <c r="AK859">
        <v>29</v>
      </c>
      <c r="AL859" t="s">
        <v>74</v>
      </c>
      <c r="AM859" t="s">
        <v>74</v>
      </c>
      <c r="AN859" t="s">
        <v>74</v>
      </c>
      <c r="AO859" t="s">
        <v>1692</v>
      </c>
      <c r="AP859" t="s">
        <v>1693</v>
      </c>
      <c r="AQ859" t="s">
        <v>74</v>
      </c>
      <c r="AR859" t="s">
        <v>74</v>
      </c>
      <c r="AS859" t="s">
        <v>74</v>
      </c>
      <c r="AT859" t="s">
        <v>132</v>
      </c>
      <c r="AU859">
        <v>2019</v>
      </c>
      <c r="AV859">
        <v>19</v>
      </c>
      <c r="AW859">
        <v>8</v>
      </c>
      <c r="AX859" t="s">
        <v>74</v>
      </c>
      <c r="AY859" t="s">
        <v>74</v>
      </c>
      <c r="AZ859" t="s">
        <v>447</v>
      </c>
      <c r="BA859" t="s">
        <v>74</v>
      </c>
      <c r="BB859" t="s">
        <v>74</v>
      </c>
      <c r="BC859" t="s">
        <v>74</v>
      </c>
      <c r="BD859">
        <v>1700453</v>
      </c>
      <c r="BE859" t="s">
        <v>5597</v>
      </c>
      <c r="BF859" t="str">
        <f>HYPERLINK("http://dx.doi.org/10.1002/pmic.201700453","http://dx.doi.org/10.1002/pmic.201700453")</f>
        <v>http://dx.doi.org/10.1002/pmic.201700453</v>
      </c>
      <c r="BG859" t="s">
        <v>74</v>
      </c>
      <c r="BH859" t="s">
        <v>74</v>
      </c>
      <c r="BI859" t="s">
        <v>74</v>
      </c>
      <c r="BJ859" t="s">
        <v>93</v>
      </c>
      <c r="BK859" t="s">
        <v>117</v>
      </c>
      <c r="BL859" t="s">
        <v>95</v>
      </c>
      <c r="BM859" t="s">
        <v>74</v>
      </c>
      <c r="BN859">
        <v>30865381</v>
      </c>
      <c r="BO859" t="s">
        <v>74</v>
      </c>
      <c r="BP859" t="s">
        <v>74</v>
      </c>
      <c r="BQ859" t="s">
        <v>74</v>
      </c>
      <c r="BR859" t="s">
        <v>96</v>
      </c>
      <c r="BS859" t="s">
        <v>5598</v>
      </c>
      <c r="BT859" t="str">
        <f>HYPERLINK("https%3A%2F%2Fwww.webofscience.com%2Fwos%2Fwoscc%2Ffull-record%2FWOS:000465023200003","View Full Record in Web of Science")</f>
        <v>View Full Record in Web of Science</v>
      </c>
    </row>
    <row r="860" spans="1:72" x14ac:dyDescent="0.15">
      <c r="A860" t="s">
        <v>98</v>
      </c>
      <c r="B860" t="s">
        <v>8558</v>
      </c>
      <c r="C860" t="s">
        <v>74</v>
      </c>
      <c r="D860" t="s">
        <v>74</v>
      </c>
      <c r="E860" t="s">
        <v>74</v>
      </c>
      <c r="F860" t="s">
        <v>8559</v>
      </c>
      <c r="G860" t="s">
        <v>74</v>
      </c>
      <c r="H860" t="s">
        <v>74</v>
      </c>
      <c r="I860" t="s">
        <v>8560</v>
      </c>
      <c r="J860" t="s">
        <v>3780</v>
      </c>
      <c r="K860" t="s">
        <v>74</v>
      </c>
      <c r="L860" t="s">
        <v>74</v>
      </c>
      <c r="M860" t="s">
        <v>74</v>
      </c>
      <c r="N860" t="s">
        <v>103</v>
      </c>
      <c r="O860" t="s">
        <v>74</v>
      </c>
      <c r="P860" t="s">
        <v>74</v>
      </c>
      <c r="Q860" t="s">
        <v>74</v>
      </c>
      <c r="R860" t="s">
        <v>74</v>
      </c>
      <c r="S860" t="s">
        <v>74</v>
      </c>
      <c r="T860" t="s">
        <v>74</v>
      </c>
      <c r="U860" t="s">
        <v>74</v>
      </c>
      <c r="V860" t="s">
        <v>8561</v>
      </c>
      <c r="W860" t="s">
        <v>8562</v>
      </c>
      <c r="X860" t="s">
        <v>8563</v>
      </c>
      <c r="Y860" t="s">
        <v>8564</v>
      </c>
      <c r="Z860" t="s">
        <v>8565</v>
      </c>
      <c r="AA860" t="s">
        <v>8566</v>
      </c>
      <c r="AB860" t="s">
        <v>8567</v>
      </c>
      <c r="AC860" t="s">
        <v>74</v>
      </c>
      <c r="AD860" t="s">
        <v>74</v>
      </c>
      <c r="AE860" t="s">
        <v>74</v>
      </c>
      <c r="AF860" t="s">
        <v>74</v>
      </c>
      <c r="AG860">
        <v>34</v>
      </c>
      <c r="AH860">
        <v>19</v>
      </c>
      <c r="AI860">
        <v>19</v>
      </c>
      <c r="AJ860">
        <v>7</v>
      </c>
      <c r="AK860">
        <v>54</v>
      </c>
      <c r="AL860" t="s">
        <v>74</v>
      </c>
      <c r="AM860" t="s">
        <v>74</v>
      </c>
      <c r="AN860" t="s">
        <v>74</v>
      </c>
      <c r="AO860" t="s">
        <v>3787</v>
      </c>
      <c r="AP860" t="s">
        <v>3788</v>
      </c>
      <c r="AQ860" t="s">
        <v>74</v>
      </c>
      <c r="AR860" t="s">
        <v>74</v>
      </c>
      <c r="AS860" t="s">
        <v>74</v>
      </c>
      <c r="AT860" t="s">
        <v>3808</v>
      </c>
      <c r="AU860">
        <v>2019</v>
      </c>
      <c r="AV860">
        <v>19</v>
      </c>
      <c r="AW860">
        <v>14</v>
      </c>
      <c r="AX860" t="s">
        <v>74</v>
      </c>
      <c r="AY860" t="s">
        <v>74</v>
      </c>
      <c r="AZ860" t="s">
        <v>74</v>
      </c>
      <c r="BA860" t="s">
        <v>74</v>
      </c>
      <c r="BB860">
        <v>2346</v>
      </c>
      <c r="BC860">
        <v>2355</v>
      </c>
      <c r="BD860" t="s">
        <v>74</v>
      </c>
      <c r="BE860" t="s">
        <v>8568</v>
      </c>
      <c r="BF860" t="str">
        <f>HYPERLINK("http://dx.doi.org/10.1039/c8lc01359d","http://dx.doi.org/10.1039/c8lc01359d")</f>
        <v>http://dx.doi.org/10.1039/c8lc01359d</v>
      </c>
      <c r="BG860" t="s">
        <v>74</v>
      </c>
      <c r="BH860" t="s">
        <v>74</v>
      </c>
      <c r="BI860" t="s">
        <v>74</v>
      </c>
      <c r="BJ860" t="s">
        <v>3790</v>
      </c>
      <c r="BK860" t="s">
        <v>117</v>
      </c>
      <c r="BL860" t="s">
        <v>3791</v>
      </c>
      <c r="BM860" t="s">
        <v>74</v>
      </c>
      <c r="BN860">
        <v>31232418</v>
      </c>
      <c r="BO860" t="s">
        <v>74</v>
      </c>
      <c r="BP860" t="s">
        <v>74</v>
      </c>
      <c r="BQ860" t="s">
        <v>74</v>
      </c>
      <c r="BR860" t="s">
        <v>96</v>
      </c>
      <c r="BS860" t="s">
        <v>8569</v>
      </c>
      <c r="BT860" t="str">
        <f>HYPERLINK("https%3A%2F%2Fwww.webofscience.com%2Fwos%2Fwoscc%2Ffull-record%2FWOS:000474900400002","View Full Record in Web of Science")</f>
        <v>View Full Record in Web of Science</v>
      </c>
    </row>
    <row r="861" spans="1:72" x14ac:dyDescent="0.15">
      <c r="A861" t="s">
        <v>98</v>
      </c>
      <c r="B861" t="s">
        <v>13612</v>
      </c>
      <c r="C861" t="s">
        <v>74</v>
      </c>
      <c r="D861" t="s">
        <v>74</v>
      </c>
      <c r="E861" t="s">
        <v>74</v>
      </c>
      <c r="F861" t="s">
        <v>13613</v>
      </c>
      <c r="G861" t="s">
        <v>74</v>
      </c>
      <c r="H861" t="s">
        <v>74</v>
      </c>
      <c r="I861" t="s">
        <v>13614</v>
      </c>
      <c r="J861" t="s">
        <v>13615</v>
      </c>
      <c r="K861" t="s">
        <v>74</v>
      </c>
      <c r="L861" t="s">
        <v>74</v>
      </c>
      <c r="M861" t="s">
        <v>74</v>
      </c>
      <c r="N861" t="s">
        <v>103</v>
      </c>
      <c r="O861" t="s">
        <v>74</v>
      </c>
      <c r="P861" t="s">
        <v>74</v>
      </c>
      <c r="Q861" t="s">
        <v>74</v>
      </c>
      <c r="R861" t="s">
        <v>74</v>
      </c>
      <c r="S861" t="s">
        <v>74</v>
      </c>
      <c r="T861" t="s">
        <v>74</v>
      </c>
      <c r="U861" t="s">
        <v>13616</v>
      </c>
      <c r="V861" t="s">
        <v>13617</v>
      </c>
      <c r="W861" t="s">
        <v>13618</v>
      </c>
      <c r="X861" t="s">
        <v>13619</v>
      </c>
      <c r="Y861" t="s">
        <v>13620</v>
      </c>
      <c r="Z861" t="s">
        <v>13621</v>
      </c>
      <c r="AA861" t="s">
        <v>13622</v>
      </c>
      <c r="AB861" t="s">
        <v>13623</v>
      </c>
      <c r="AC861" t="s">
        <v>74</v>
      </c>
      <c r="AD861" t="s">
        <v>74</v>
      </c>
      <c r="AE861" t="s">
        <v>74</v>
      </c>
      <c r="AF861" t="s">
        <v>74</v>
      </c>
      <c r="AG861">
        <v>61</v>
      </c>
      <c r="AH861">
        <v>19</v>
      </c>
      <c r="AI861">
        <v>20</v>
      </c>
      <c r="AJ861">
        <v>1</v>
      </c>
      <c r="AK861">
        <v>8</v>
      </c>
      <c r="AL861" t="s">
        <v>74</v>
      </c>
      <c r="AM861" t="s">
        <v>74</v>
      </c>
      <c r="AN861" t="s">
        <v>74</v>
      </c>
      <c r="AO861" t="s">
        <v>74</v>
      </c>
      <c r="AP861" t="s">
        <v>13624</v>
      </c>
      <c r="AQ861" t="s">
        <v>74</v>
      </c>
      <c r="AR861" t="s">
        <v>74</v>
      </c>
      <c r="AS861" t="s">
        <v>74</v>
      </c>
      <c r="AT861" t="s">
        <v>13625</v>
      </c>
      <c r="AU861">
        <v>2020</v>
      </c>
      <c r="AV861">
        <v>5</v>
      </c>
      <c r="AW861">
        <v>14</v>
      </c>
      <c r="AX861" t="s">
        <v>74</v>
      </c>
      <c r="AY861" t="s">
        <v>74</v>
      </c>
      <c r="AZ861" t="s">
        <v>74</v>
      </c>
      <c r="BA861" t="s">
        <v>74</v>
      </c>
      <c r="BB861" t="s">
        <v>74</v>
      </c>
      <c r="BC861" t="s">
        <v>74</v>
      </c>
      <c r="BD861" t="s">
        <v>13626</v>
      </c>
      <c r="BE861" t="s">
        <v>13627</v>
      </c>
      <c r="BF861" t="str">
        <f>HYPERLINK("http://dx.doi.org/10.1172/jci.insight.136496","http://dx.doi.org/10.1172/jci.insight.136496")</f>
        <v>http://dx.doi.org/10.1172/jci.insight.136496</v>
      </c>
      <c r="BG861" t="s">
        <v>74</v>
      </c>
      <c r="BH861" t="s">
        <v>74</v>
      </c>
      <c r="BI861" t="s">
        <v>74</v>
      </c>
      <c r="BJ861" t="s">
        <v>795</v>
      </c>
      <c r="BK861" t="s">
        <v>117</v>
      </c>
      <c r="BL861" t="s">
        <v>796</v>
      </c>
      <c r="BM861" t="s">
        <v>74</v>
      </c>
      <c r="BN861">
        <v>32544093</v>
      </c>
      <c r="BO861" t="s">
        <v>74</v>
      </c>
      <c r="BP861" t="s">
        <v>74</v>
      </c>
      <c r="BQ861" t="s">
        <v>74</v>
      </c>
      <c r="BR861" t="s">
        <v>96</v>
      </c>
      <c r="BS861" t="s">
        <v>13628</v>
      </c>
      <c r="BT861" t="str">
        <f>HYPERLINK("https%3A%2F%2Fwww.webofscience.com%2Fwos%2Fwoscc%2Ffull-record%2FWOS:000568843900002","View Full Record in Web of Science")</f>
        <v>View Full Record in Web of Science</v>
      </c>
    </row>
    <row r="862" spans="1:72" x14ac:dyDescent="0.15">
      <c r="A862" t="s">
        <v>98</v>
      </c>
      <c r="B862" t="s">
        <v>18634</v>
      </c>
      <c r="C862" t="s">
        <v>74</v>
      </c>
      <c r="D862" t="s">
        <v>74</v>
      </c>
      <c r="E862" t="s">
        <v>74</v>
      </c>
      <c r="F862" t="s">
        <v>18635</v>
      </c>
      <c r="G862" t="s">
        <v>74</v>
      </c>
      <c r="H862" t="s">
        <v>74</v>
      </c>
      <c r="I862" t="s">
        <v>18636</v>
      </c>
      <c r="J862" t="s">
        <v>18637</v>
      </c>
      <c r="K862" t="s">
        <v>74</v>
      </c>
      <c r="L862" t="s">
        <v>74</v>
      </c>
      <c r="M862" t="s">
        <v>74</v>
      </c>
      <c r="N862" t="s">
        <v>103</v>
      </c>
      <c r="O862" t="s">
        <v>74</v>
      </c>
      <c r="P862" t="s">
        <v>74</v>
      </c>
      <c r="Q862" t="s">
        <v>74</v>
      </c>
      <c r="R862" t="s">
        <v>74</v>
      </c>
      <c r="S862" t="s">
        <v>74</v>
      </c>
      <c r="T862" t="s">
        <v>18638</v>
      </c>
      <c r="U862" t="s">
        <v>18639</v>
      </c>
      <c r="V862" t="s">
        <v>18640</v>
      </c>
      <c r="W862" t="s">
        <v>18641</v>
      </c>
      <c r="X862" t="s">
        <v>18642</v>
      </c>
      <c r="Y862" t="s">
        <v>18643</v>
      </c>
      <c r="Z862" t="s">
        <v>926</v>
      </c>
      <c r="AA862" t="s">
        <v>18644</v>
      </c>
      <c r="AB862" t="s">
        <v>18645</v>
      </c>
      <c r="AC862" t="s">
        <v>74</v>
      </c>
      <c r="AD862" t="s">
        <v>74</v>
      </c>
      <c r="AE862" t="s">
        <v>74</v>
      </c>
      <c r="AF862" t="s">
        <v>74</v>
      </c>
      <c r="AG862">
        <v>20</v>
      </c>
      <c r="AH862">
        <v>19</v>
      </c>
      <c r="AI862">
        <v>20</v>
      </c>
      <c r="AJ862">
        <v>0</v>
      </c>
      <c r="AK862">
        <v>10</v>
      </c>
      <c r="AL862" t="s">
        <v>74</v>
      </c>
      <c r="AM862" t="s">
        <v>74</v>
      </c>
      <c r="AN862" t="s">
        <v>74</v>
      </c>
      <c r="AO862" t="s">
        <v>18646</v>
      </c>
      <c r="AP862" t="s">
        <v>18647</v>
      </c>
      <c r="AQ862" t="s">
        <v>74</v>
      </c>
      <c r="AR862" t="s">
        <v>74</v>
      </c>
      <c r="AS862" t="s">
        <v>74</v>
      </c>
      <c r="AT862" t="s">
        <v>967</v>
      </c>
      <c r="AU862">
        <v>2015</v>
      </c>
      <c r="AV862">
        <v>21</v>
      </c>
      <c r="AW862">
        <v>6</v>
      </c>
      <c r="AX862" t="s">
        <v>74</v>
      </c>
      <c r="AY862" t="s">
        <v>74</v>
      </c>
      <c r="AZ862" t="s">
        <v>447</v>
      </c>
      <c r="BA862" t="s">
        <v>74</v>
      </c>
      <c r="BB862">
        <v>666</v>
      </c>
      <c r="BC862">
        <v>670</v>
      </c>
      <c r="BD862" t="s">
        <v>74</v>
      </c>
      <c r="BE862" t="s">
        <v>18648</v>
      </c>
      <c r="BF862" t="str">
        <f>HYPERLINK("http://dx.doi.org/10.1007/s13365-015-0325-3","http://dx.doi.org/10.1007/s13365-015-0325-3")</f>
        <v>http://dx.doi.org/10.1007/s13365-015-0325-3</v>
      </c>
      <c r="BG862" t="s">
        <v>74</v>
      </c>
      <c r="BH862" t="s">
        <v>74</v>
      </c>
      <c r="BI862" t="s">
        <v>74</v>
      </c>
      <c r="BJ862" t="s">
        <v>18649</v>
      </c>
      <c r="BK862" t="s">
        <v>117</v>
      </c>
      <c r="BL862" t="s">
        <v>18650</v>
      </c>
      <c r="BM862" t="s">
        <v>74</v>
      </c>
      <c r="BN862">
        <v>25678142</v>
      </c>
      <c r="BO862" t="s">
        <v>74</v>
      </c>
      <c r="BP862" t="s">
        <v>74</v>
      </c>
      <c r="BQ862" t="s">
        <v>74</v>
      </c>
      <c r="BR862" t="s">
        <v>96</v>
      </c>
      <c r="BS862" t="s">
        <v>18651</v>
      </c>
      <c r="BT862" t="str">
        <f>HYPERLINK("https%3A%2F%2Fwww.webofscience.com%2Fwos%2Fwoscc%2Ffull-record%2FWOS:000364021500009","View Full Record in Web of Science")</f>
        <v>View Full Record in Web of Science</v>
      </c>
    </row>
    <row r="863" spans="1:72" x14ac:dyDescent="0.15">
      <c r="A863" t="s">
        <v>98</v>
      </c>
      <c r="B863" t="s">
        <v>18652</v>
      </c>
      <c r="C863" t="s">
        <v>74</v>
      </c>
      <c r="D863" t="s">
        <v>74</v>
      </c>
      <c r="E863" t="s">
        <v>74</v>
      </c>
      <c r="F863" t="s">
        <v>18653</v>
      </c>
      <c r="G863" t="s">
        <v>74</v>
      </c>
      <c r="H863" t="s">
        <v>74</v>
      </c>
      <c r="I863" t="s">
        <v>18654</v>
      </c>
      <c r="J863" t="s">
        <v>18655</v>
      </c>
      <c r="K863" t="s">
        <v>74</v>
      </c>
      <c r="L863" t="s">
        <v>74</v>
      </c>
      <c r="M863" t="s">
        <v>74</v>
      </c>
      <c r="N863" t="s">
        <v>103</v>
      </c>
      <c r="O863" t="s">
        <v>74</v>
      </c>
      <c r="P863" t="s">
        <v>74</v>
      </c>
      <c r="Q863" t="s">
        <v>74</v>
      </c>
      <c r="R863" t="s">
        <v>74</v>
      </c>
      <c r="S863" t="s">
        <v>74</v>
      </c>
      <c r="T863" t="s">
        <v>18656</v>
      </c>
      <c r="U863" t="s">
        <v>18657</v>
      </c>
      <c r="V863" t="s">
        <v>18658</v>
      </c>
      <c r="W863" t="s">
        <v>18659</v>
      </c>
      <c r="X863" t="s">
        <v>18660</v>
      </c>
      <c r="Y863" t="s">
        <v>18661</v>
      </c>
      <c r="Z863" t="s">
        <v>18662</v>
      </c>
      <c r="AA863" t="s">
        <v>18663</v>
      </c>
      <c r="AB863" t="s">
        <v>18664</v>
      </c>
      <c r="AC863" t="s">
        <v>74</v>
      </c>
      <c r="AD863" t="s">
        <v>74</v>
      </c>
      <c r="AE863" t="s">
        <v>74</v>
      </c>
      <c r="AF863" t="s">
        <v>74</v>
      </c>
      <c r="AG863">
        <v>41</v>
      </c>
      <c r="AH863">
        <v>19</v>
      </c>
      <c r="AI863">
        <v>21</v>
      </c>
      <c r="AJ863">
        <v>0</v>
      </c>
      <c r="AK863">
        <v>8</v>
      </c>
      <c r="AL863" t="s">
        <v>74</v>
      </c>
      <c r="AM863" t="s">
        <v>74</v>
      </c>
      <c r="AN863" t="s">
        <v>74</v>
      </c>
      <c r="AO863" t="s">
        <v>18665</v>
      </c>
      <c r="AP863" t="s">
        <v>18666</v>
      </c>
      <c r="AQ863" t="s">
        <v>74</v>
      </c>
      <c r="AR863" t="s">
        <v>74</v>
      </c>
      <c r="AS863" t="s">
        <v>74</v>
      </c>
      <c r="AT863" t="s">
        <v>189</v>
      </c>
      <c r="AU863">
        <v>2017</v>
      </c>
      <c r="AV863">
        <v>88</v>
      </c>
      <c r="AW863">
        <v>1</v>
      </c>
      <c r="AX863" t="s">
        <v>74</v>
      </c>
      <c r="AY863" t="s">
        <v>74</v>
      </c>
      <c r="AZ863" t="s">
        <v>74</v>
      </c>
      <c r="BA863" t="s">
        <v>74</v>
      </c>
      <c r="BB863">
        <v>110</v>
      </c>
      <c r="BC863">
        <v>116</v>
      </c>
      <c r="BD863" t="s">
        <v>74</v>
      </c>
      <c r="BE863" t="s">
        <v>18667</v>
      </c>
      <c r="BF863" t="str">
        <f>HYPERLINK("http://dx.doi.org/10.1016/j.jdermsci.2017.05.010","http://dx.doi.org/10.1016/j.jdermsci.2017.05.010")</f>
        <v>http://dx.doi.org/10.1016/j.jdermsci.2017.05.010</v>
      </c>
      <c r="BG863" t="s">
        <v>74</v>
      </c>
      <c r="BH863" t="s">
        <v>74</v>
      </c>
      <c r="BI863" t="s">
        <v>74</v>
      </c>
      <c r="BJ863" t="s">
        <v>1855</v>
      </c>
      <c r="BK863" t="s">
        <v>117</v>
      </c>
      <c r="BL863" t="s">
        <v>1855</v>
      </c>
      <c r="BM863" t="s">
        <v>74</v>
      </c>
      <c r="BN863">
        <v>28576417</v>
      </c>
      <c r="BO863" t="s">
        <v>74</v>
      </c>
      <c r="BP863" t="s">
        <v>74</v>
      </c>
      <c r="BQ863" t="s">
        <v>74</v>
      </c>
      <c r="BR863" t="s">
        <v>96</v>
      </c>
      <c r="BS863" t="s">
        <v>18668</v>
      </c>
      <c r="BT863" t="str">
        <f>HYPERLINK("https%3A%2F%2Fwww.webofscience.com%2Fwos%2Fwoscc%2Ffull-record%2FWOS:000414382000013","View Full Record in Web of Science")</f>
        <v>View Full Record in Web of Science</v>
      </c>
    </row>
    <row r="864" spans="1:72" x14ac:dyDescent="0.15">
      <c r="A864" t="s">
        <v>98</v>
      </c>
      <c r="B864" t="s">
        <v>21294</v>
      </c>
      <c r="C864" t="s">
        <v>74</v>
      </c>
      <c r="D864" t="s">
        <v>74</v>
      </c>
      <c r="E864" t="s">
        <v>74</v>
      </c>
      <c r="F864" t="s">
        <v>21295</v>
      </c>
      <c r="G864" t="s">
        <v>74</v>
      </c>
      <c r="H864" t="s">
        <v>74</v>
      </c>
      <c r="I864" t="s">
        <v>21296</v>
      </c>
      <c r="J864" t="s">
        <v>3700</v>
      </c>
      <c r="K864" t="s">
        <v>74</v>
      </c>
      <c r="L864" t="s">
        <v>74</v>
      </c>
      <c r="M864" t="s">
        <v>74</v>
      </c>
      <c r="N864" t="s">
        <v>103</v>
      </c>
      <c r="O864" t="s">
        <v>74</v>
      </c>
      <c r="P864" t="s">
        <v>74</v>
      </c>
      <c r="Q864" t="s">
        <v>74</v>
      </c>
      <c r="R864" t="s">
        <v>74</v>
      </c>
      <c r="S864" t="s">
        <v>74</v>
      </c>
      <c r="T864" t="s">
        <v>74</v>
      </c>
      <c r="U864" t="s">
        <v>21297</v>
      </c>
      <c r="V864" t="s">
        <v>21298</v>
      </c>
      <c r="W864" t="s">
        <v>21299</v>
      </c>
      <c r="X864" t="s">
        <v>21300</v>
      </c>
      <c r="Y864" t="s">
        <v>21301</v>
      </c>
      <c r="Z864" t="s">
        <v>21302</v>
      </c>
      <c r="AA864" t="s">
        <v>21303</v>
      </c>
      <c r="AB864" t="s">
        <v>21304</v>
      </c>
      <c r="AC864" t="s">
        <v>74</v>
      </c>
      <c r="AD864" t="s">
        <v>74</v>
      </c>
      <c r="AE864" t="s">
        <v>74</v>
      </c>
      <c r="AF864" t="s">
        <v>74</v>
      </c>
      <c r="AG864">
        <v>38</v>
      </c>
      <c r="AH864">
        <v>19</v>
      </c>
      <c r="AI864">
        <v>19</v>
      </c>
      <c r="AJ864">
        <v>0</v>
      </c>
      <c r="AK864">
        <v>6</v>
      </c>
      <c r="AL864" t="s">
        <v>74</v>
      </c>
      <c r="AM864" t="s">
        <v>74</v>
      </c>
      <c r="AN864" t="s">
        <v>74</v>
      </c>
      <c r="AO864" t="s">
        <v>74</v>
      </c>
      <c r="AP864" t="s">
        <v>3711</v>
      </c>
      <c r="AQ864" t="s">
        <v>74</v>
      </c>
      <c r="AR864" t="s">
        <v>74</v>
      </c>
      <c r="AS864" t="s">
        <v>74</v>
      </c>
      <c r="AT864" t="s">
        <v>15750</v>
      </c>
      <c r="AU864">
        <v>2010</v>
      </c>
      <c r="AV864">
        <v>285</v>
      </c>
      <c r="AW864">
        <v>33</v>
      </c>
      <c r="AX864" t="s">
        <v>74</v>
      </c>
      <c r="AY864" t="s">
        <v>74</v>
      </c>
      <c r="AZ864" t="s">
        <v>74</v>
      </c>
      <c r="BA864" t="s">
        <v>74</v>
      </c>
      <c r="BB864">
        <v>25613</v>
      </c>
      <c r="BC864">
        <v>25623</v>
      </c>
      <c r="BD864" t="s">
        <v>74</v>
      </c>
      <c r="BE864" t="s">
        <v>21305</v>
      </c>
      <c r="BF864" t="str">
        <f>HYPERLINK("http://dx.doi.org/10.1074/jbc.M110.107904","http://dx.doi.org/10.1074/jbc.M110.107904")</f>
        <v>http://dx.doi.org/10.1074/jbc.M110.107904</v>
      </c>
      <c r="BG864" t="s">
        <v>74</v>
      </c>
      <c r="BH864" t="s">
        <v>74</v>
      </c>
      <c r="BI864" t="s">
        <v>74</v>
      </c>
      <c r="BJ864" t="s">
        <v>95</v>
      </c>
      <c r="BK864" t="s">
        <v>117</v>
      </c>
      <c r="BL864" t="s">
        <v>95</v>
      </c>
      <c r="BM864" t="s">
        <v>74</v>
      </c>
      <c r="BN864">
        <v>20538610</v>
      </c>
      <c r="BO864" t="s">
        <v>74</v>
      </c>
      <c r="BP864" t="s">
        <v>74</v>
      </c>
      <c r="BQ864" t="s">
        <v>74</v>
      </c>
      <c r="BR864" t="s">
        <v>96</v>
      </c>
      <c r="BS864" t="s">
        <v>21306</v>
      </c>
      <c r="BT864" t="str">
        <f>HYPERLINK("https%3A%2F%2Fwww.webofscience.com%2Fwos%2Fwoscc%2Ffull-record%2FWOS:000280682400055","View Full Record in Web of Science")</f>
        <v>View Full Record in Web of Science</v>
      </c>
    </row>
    <row r="865" spans="1:72" x14ac:dyDescent="0.15">
      <c r="A865" t="s">
        <v>98</v>
      </c>
      <c r="B865" t="s">
        <v>21374</v>
      </c>
      <c r="C865" t="s">
        <v>74</v>
      </c>
      <c r="D865" t="s">
        <v>74</v>
      </c>
      <c r="E865" t="s">
        <v>74</v>
      </c>
      <c r="F865" t="s">
        <v>21375</v>
      </c>
      <c r="G865" t="s">
        <v>74</v>
      </c>
      <c r="H865" t="s">
        <v>74</v>
      </c>
      <c r="I865" t="s">
        <v>21376</v>
      </c>
      <c r="J865" t="s">
        <v>19661</v>
      </c>
      <c r="K865" t="s">
        <v>74</v>
      </c>
      <c r="L865" t="s">
        <v>74</v>
      </c>
      <c r="M865" t="s">
        <v>74</v>
      </c>
      <c r="N865" t="s">
        <v>103</v>
      </c>
      <c r="O865" t="s">
        <v>74</v>
      </c>
      <c r="P865" t="s">
        <v>74</v>
      </c>
      <c r="Q865" t="s">
        <v>74</v>
      </c>
      <c r="R865" t="s">
        <v>74</v>
      </c>
      <c r="S865" t="s">
        <v>74</v>
      </c>
      <c r="T865" t="s">
        <v>74</v>
      </c>
      <c r="U865" t="s">
        <v>21377</v>
      </c>
      <c r="V865" t="s">
        <v>21378</v>
      </c>
      <c r="W865" t="s">
        <v>21379</v>
      </c>
      <c r="X865" t="s">
        <v>21380</v>
      </c>
      <c r="Y865" t="s">
        <v>21381</v>
      </c>
      <c r="Z865" t="s">
        <v>21382</v>
      </c>
      <c r="AA865" t="s">
        <v>74</v>
      </c>
      <c r="AB865" t="s">
        <v>21383</v>
      </c>
      <c r="AC865" t="s">
        <v>74</v>
      </c>
      <c r="AD865" t="s">
        <v>74</v>
      </c>
      <c r="AE865" t="s">
        <v>74</v>
      </c>
      <c r="AF865" t="s">
        <v>74</v>
      </c>
      <c r="AG865">
        <v>44</v>
      </c>
      <c r="AH865">
        <v>19</v>
      </c>
      <c r="AI865">
        <v>19</v>
      </c>
      <c r="AJ865">
        <v>0</v>
      </c>
      <c r="AK865">
        <v>8</v>
      </c>
      <c r="AL865" t="s">
        <v>74</v>
      </c>
      <c r="AM865" t="s">
        <v>74</v>
      </c>
      <c r="AN865" t="s">
        <v>74</v>
      </c>
      <c r="AO865" t="s">
        <v>19673</v>
      </c>
      <c r="AP865" t="s">
        <v>19674</v>
      </c>
      <c r="AQ865" t="s">
        <v>74</v>
      </c>
      <c r="AR865" t="s">
        <v>74</v>
      </c>
      <c r="AS865" t="s">
        <v>74</v>
      </c>
      <c r="AT865" t="s">
        <v>967</v>
      </c>
      <c r="AU865">
        <v>2014</v>
      </c>
      <c r="AV865" t="s">
        <v>74</v>
      </c>
      <c r="AW865" t="s">
        <v>74</v>
      </c>
      <c r="AX865" t="s">
        <v>74</v>
      </c>
      <c r="AY865" t="s">
        <v>74</v>
      </c>
      <c r="AZ865" t="s">
        <v>74</v>
      </c>
      <c r="BA865" t="s">
        <v>74</v>
      </c>
      <c r="BB865">
        <v>410</v>
      </c>
      <c r="BC865">
        <v>417</v>
      </c>
      <c r="BD865" t="s">
        <v>74</v>
      </c>
      <c r="BE865" t="s">
        <v>21384</v>
      </c>
      <c r="BF865" t="str">
        <f>HYPERLINK("http://dx.doi.org/10.1182/asheducation-2014.1.410","http://dx.doi.org/10.1182/asheducation-2014.1.410")</f>
        <v>http://dx.doi.org/10.1182/asheducation-2014.1.410</v>
      </c>
      <c r="BG865" t="s">
        <v>74</v>
      </c>
      <c r="BH865" t="s">
        <v>74</v>
      </c>
      <c r="BI865" t="s">
        <v>74</v>
      </c>
      <c r="BJ865" t="s">
        <v>19675</v>
      </c>
      <c r="BK865" t="s">
        <v>117</v>
      </c>
      <c r="BL865" t="s">
        <v>19676</v>
      </c>
      <c r="BM865" t="s">
        <v>74</v>
      </c>
      <c r="BN865">
        <v>25696887</v>
      </c>
      <c r="BO865" t="s">
        <v>74</v>
      </c>
      <c r="BP865" t="s">
        <v>74</v>
      </c>
      <c r="BQ865" t="s">
        <v>74</v>
      </c>
      <c r="BR865" t="s">
        <v>96</v>
      </c>
      <c r="BS865" t="s">
        <v>21385</v>
      </c>
      <c r="BT865" t="str">
        <f>HYPERLINK("https%3A%2F%2Fwww.webofscience.com%2Fwos%2Fwoscc%2Ffull-record%2FWOS:000350724600060","View Full Record in Web of Science")</f>
        <v>View Full Record in Web of Science</v>
      </c>
    </row>
    <row r="866" spans="1:72" x14ac:dyDescent="0.15">
      <c r="A866" t="s">
        <v>4291</v>
      </c>
      <c r="B866" t="s">
        <v>21645</v>
      </c>
      <c r="C866" t="s">
        <v>74</v>
      </c>
      <c r="D866" t="s">
        <v>21646</v>
      </c>
      <c r="E866" t="s">
        <v>74</v>
      </c>
      <c r="F866" t="s">
        <v>21647</v>
      </c>
      <c r="G866" t="s">
        <v>74</v>
      </c>
      <c r="H866" t="s">
        <v>74</v>
      </c>
      <c r="I866" t="s">
        <v>21648</v>
      </c>
      <c r="J866" t="s">
        <v>21649</v>
      </c>
      <c r="K866" t="s">
        <v>74</v>
      </c>
      <c r="L866" t="s">
        <v>74</v>
      </c>
      <c r="M866" t="s">
        <v>74</v>
      </c>
      <c r="N866" t="s">
        <v>80</v>
      </c>
      <c r="O866" t="s">
        <v>74</v>
      </c>
      <c r="P866" t="s">
        <v>74</v>
      </c>
      <c r="Q866" t="s">
        <v>74</v>
      </c>
      <c r="R866" t="s">
        <v>74</v>
      </c>
      <c r="S866" t="s">
        <v>74</v>
      </c>
      <c r="T866" t="s">
        <v>74</v>
      </c>
      <c r="U866" t="s">
        <v>21650</v>
      </c>
      <c r="V866" t="s">
        <v>21651</v>
      </c>
      <c r="W866" t="s">
        <v>21652</v>
      </c>
      <c r="X866" t="s">
        <v>21653</v>
      </c>
      <c r="Y866" t="s">
        <v>21654</v>
      </c>
      <c r="Z866" t="s">
        <v>74</v>
      </c>
      <c r="AA866" t="s">
        <v>21655</v>
      </c>
      <c r="AB866" t="s">
        <v>21656</v>
      </c>
      <c r="AC866" t="s">
        <v>74</v>
      </c>
      <c r="AD866" t="s">
        <v>74</v>
      </c>
      <c r="AE866" t="s">
        <v>74</v>
      </c>
      <c r="AF866" t="s">
        <v>74</v>
      </c>
      <c r="AG866">
        <v>101</v>
      </c>
      <c r="AH866">
        <v>19</v>
      </c>
      <c r="AI866">
        <v>20</v>
      </c>
      <c r="AJ866">
        <v>5</v>
      </c>
      <c r="AK866">
        <v>19</v>
      </c>
      <c r="AL866" t="s">
        <v>74</v>
      </c>
      <c r="AM866" t="s">
        <v>74</v>
      </c>
      <c r="AN866" t="s">
        <v>74</v>
      </c>
      <c r="AO866" t="s">
        <v>74</v>
      </c>
      <c r="AP866" t="s">
        <v>74</v>
      </c>
      <c r="AQ866" t="s">
        <v>21657</v>
      </c>
      <c r="AR866" t="s">
        <v>74</v>
      </c>
      <c r="AS866" t="s">
        <v>74</v>
      </c>
      <c r="AT866" t="s">
        <v>74</v>
      </c>
      <c r="AU866">
        <v>2012</v>
      </c>
      <c r="AV866" t="s">
        <v>74</v>
      </c>
      <c r="AW866" t="s">
        <v>74</v>
      </c>
      <c r="AX866" t="s">
        <v>74</v>
      </c>
      <c r="AY866" t="s">
        <v>74</v>
      </c>
      <c r="AZ866" t="s">
        <v>74</v>
      </c>
      <c r="BA866" t="s">
        <v>74</v>
      </c>
      <c r="BB866">
        <v>181</v>
      </c>
      <c r="BC866">
        <v>192</v>
      </c>
      <c r="BD866" t="s">
        <v>74</v>
      </c>
      <c r="BE866" t="s">
        <v>21658</v>
      </c>
      <c r="BF866" t="str">
        <f>HYPERLINK("http://dx.doi.org/10.1016/B978-0-12-384858-1.00015-1","http://dx.doi.org/10.1016/B978-0-12-384858-1.00015-1")</f>
        <v>http://dx.doi.org/10.1016/B978-0-12-384858-1.00015-1</v>
      </c>
      <c r="BG866" t="s">
        <v>74</v>
      </c>
      <c r="BH866" t="s">
        <v>74</v>
      </c>
      <c r="BI866" t="s">
        <v>74</v>
      </c>
      <c r="BJ866" t="s">
        <v>21659</v>
      </c>
      <c r="BK866" t="s">
        <v>94</v>
      </c>
      <c r="BL866" t="s">
        <v>21659</v>
      </c>
      <c r="BM866" t="s">
        <v>74</v>
      </c>
      <c r="BN866" t="s">
        <v>74</v>
      </c>
      <c r="BO866" t="s">
        <v>74</v>
      </c>
      <c r="BP866" t="s">
        <v>74</v>
      </c>
      <c r="BQ866" t="s">
        <v>74</v>
      </c>
      <c r="BR866" t="s">
        <v>96</v>
      </c>
      <c r="BS866" t="s">
        <v>21660</v>
      </c>
      <c r="BT866" t="str">
        <f>HYPERLINK("https%3A%2F%2Fwww.webofscience.com%2Fwos%2Fwoscc%2Ffull-record%2FWOS:000318069200017","View Full Record in Web of Science")</f>
        <v>View Full Record in Web of Science</v>
      </c>
    </row>
    <row r="867" spans="1:72" x14ac:dyDescent="0.15">
      <c r="A867" t="s">
        <v>98</v>
      </c>
      <c r="B867" t="s">
        <v>22190</v>
      </c>
      <c r="C867" t="s">
        <v>74</v>
      </c>
      <c r="D867" t="s">
        <v>74</v>
      </c>
      <c r="E867" t="s">
        <v>74</v>
      </c>
      <c r="F867" t="s">
        <v>22190</v>
      </c>
      <c r="G867" t="s">
        <v>74</v>
      </c>
      <c r="H867" t="s">
        <v>74</v>
      </c>
      <c r="I867" t="s">
        <v>22191</v>
      </c>
      <c r="J867" t="s">
        <v>22192</v>
      </c>
      <c r="K867" t="s">
        <v>74</v>
      </c>
      <c r="L867" t="s">
        <v>74</v>
      </c>
      <c r="M867" t="s">
        <v>74</v>
      </c>
      <c r="N867" t="s">
        <v>103</v>
      </c>
      <c r="O867" t="s">
        <v>74</v>
      </c>
      <c r="P867" t="s">
        <v>74</v>
      </c>
      <c r="Q867" t="s">
        <v>74</v>
      </c>
      <c r="R867" t="s">
        <v>74</v>
      </c>
      <c r="S867" t="s">
        <v>74</v>
      </c>
      <c r="T867" t="s">
        <v>22193</v>
      </c>
      <c r="U867" t="s">
        <v>22194</v>
      </c>
      <c r="V867" t="s">
        <v>22195</v>
      </c>
      <c r="W867" t="s">
        <v>22196</v>
      </c>
      <c r="X867" t="s">
        <v>22197</v>
      </c>
      <c r="Y867" t="s">
        <v>74</v>
      </c>
      <c r="Z867" t="s">
        <v>74</v>
      </c>
      <c r="AA867" t="s">
        <v>22198</v>
      </c>
      <c r="AB867" t="s">
        <v>22199</v>
      </c>
      <c r="AC867" t="s">
        <v>74</v>
      </c>
      <c r="AD867" t="s">
        <v>74</v>
      </c>
      <c r="AE867" t="s">
        <v>74</v>
      </c>
      <c r="AF867" t="s">
        <v>74</v>
      </c>
      <c r="AG867">
        <v>32</v>
      </c>
      <c r="AH867">
        <v>19</v>
      </c>
      <c r="AI867">
        <v>20</v>
      </c>
      <c r="AJ867">
        <v>0</v>
      </c>
      <c r="AK867">
        <v>1</v>
      </c>
      <c r="AL867" t="s">
        <v>74</v>
      </c>
      <c r="AM867" t="s">
        <v>74</v>
      </c>
      <c r="AN867" t="s">
        <v>74</v>
      </c>
      <c r="AO867" t="s">
        <v>22200</v>
      </c>
      <c r="AP867" t="s">
        <v>74</v>
      </c>
      <c r="AQ867" t="s">
        <v>74</v>
      </c>
      <c r="AR867" t="s">
        <v>74</v>
      </c>
      <c r="AS867" t="s">
        <v>74</v>
      </c>
      <c r="AT867" t="s">
        <v>614</v>
      </c>
      <c r="AU867">
        <v>1994</v>
      </c>
      <c r="AV867">
        <v>267</v>
      </c>
      <c r="AW867">
        <v>1</v>
      </c>
      <c r="AX867">
        <v>1</v>
      </c>
      <c r="AY867" t="s">
        <v>74</v>
      </c>
      <c r="AZ867" t="s">
        <v>74</v>
      </c>
      <c r="BA867" t="s">
        <v>74</v>
      </c>
      <c r="BB867" t="s">
        <v>22201</v>
      </c>
      <c r="BC867" t="s">
        <v>22202</v>
      </c>
      <c r="BD867" t="s">
        <v>74</v>
      </c>
      <c r="BE867" t="s">
        <v>22203</v>
      </c>
      <c r="BF867" t="str">
        <f>HYPERLINK("http://dx.doi.org/10.1152/ajpendo.1994.267.1.E24","http://dx.doi.org/10.1152/ajpendo.1994.267.1.E24")</f>
        <v>http://dx.doi.org/10.1152/ajpendo.1994.267.1.E24</v>
      </c>
      <c r="BG867" t="s">
        <v>74</v>
      </c>
      <c r="BH867" t="s">
        <v>74</v>
      </c>
      <c r="BI867" t="s">
        <v>74</v>
      </c>
      <c r="BJ867" t="s">
        <v>1809</v>
      </c>
      <c r="BK867" t="s">
        <v>117</v>
      </c>
      <c r="BL867" t="s">
        <v>1809</v>
      </c>
      <c r="BM867" t="s">
        <v>74</v>
      </c>
      <c r="BN867">
        <v>8048509</v>
      </c>
      <c r="BO867" t="s">
        <v>74</v>
      </c>
      <c r="BP867" t="s">
        <v>74</v>
      </c>
      <c r="BQ867" t="s">
        <v>74</v>
      </c>
      <c r="BR867" t="s">
        <v>96</v>
      </c>
      <c r="BS867" t="s">
        <v>22204</v>
      </c>
      <c r="BT867" t="str">
        <f>HYPERLINK("https%3A%2F%2Fwww.webofscience.com%2Fwos%2Fwoscc%2Ffull-record%2FWOS:A1994NY98400038","View Full Record in Web of Science")</f>
        <v>View Full Record in Web of Science</v>
      </c>
    </row>
    <row r="868" spans="1:72" x14ac:dyDescent="0.15">
      <c r="A868" t="s">
        <v>98</v>
      </c>
      <c r="B868" t="s">
        <v>22756</v>
      </c>
      <c r="C868" t="s">
        <v>74</v>
      </c>
      <c r="D868" t="s">
        <v>74</v>
      </c>
      <c r="E868" t="s">
        <v>74</v>
      </c>
      <c r="F868" t="s">
        <v>22757</v>
      </c>
      <c r="G868" t="s">
        <v>74</v>
      </c>
      <c r="H868" t="s">
        <v>74</v>
      </c>
      <c r="I868" t="s">
        <v>22758</v>
      </c>
      <c r="J868" t="s">
        <v>22759</v>
      </c>
      <c r="K868" t="s">
        <v>74</v>
      </c>
      <c r="L868" t="s">
        <v>74</v>
      </c>
      <c r="M868" t="s">
        <v>74</v>
      </c>
      <c r="N868" t="s">
        <v>103</v>
      </c>
      <c r="O868" t="s">
        <v>74</v>
      </c>
      <c r="P868" t="s">
        <v>74</v>
      </c>
      <c r="Q868" t="s">
        <v>74</v>
      </c>
      <c r="R868" t="s">
        <v>74</v>
      </c>
      <c r="S868" t="s">
        <v>74</v>
      </c>
      <c r="T868" t="s">
        <v>74</v>
      </c>
      <c r="U868" t="s">
        <v>22760</v>
      </c>
      <c r="V868" t="s">
        <v>22761</v>
      </c>
      <c r="W868" t="s">
        <v>22762</v>
      </c>
      <c r="X868" t="s">
        <v>22763</v>
      </c>
      <c r="Y868" t="s">
        <v>22764</v>
      </c>
      <c r="Z868" t="s">
        <v>22765</v>
      </c>
      <c r="AA868" t="s">
        <v>74</v>
      </c>
      <c r="AB868" t="s">
        <v>22766</v>
      </c>
      <c r="AC868" t="s">
        <v>74</v>
      </c>
      <c r="AD868" t="s">
        <v>74</v>
      </c>
      <c r="AE868" t="s">
        <v>74</v>
      </c>
      <c r="AF868" t="s">
        <v>74</v>
      </c>
      <c r="AG868">
        <v>64</v>
      </c>
      <c r="AH868">
        <v>19</v>
      </c>
      <c r="AI868">
        <v>19</v>
      </c>
      <c r="AJ868">
        <v>0</v>
      </c>
      <c r="AK868">
        <v>19</v>
      </c>
      <c r="AL868" t="s">
        <v>74</v>
      </c>
      <c r="AM868" t="s">
        <v>74</v>
      </c>
      <c r="AN868" t="s">
        <v>74</v>
      </c>
      <c r="AO868" t="s">
        <v>22767</v>
      </c>
      <c r="AP868" t="s">
        <v>22768</v>
      </c>
      <c r="AQ868" t="s">
        <v>74</v>
      </c>
      <c r="AR868" t="s">
        <v>74</v>
      </c>
      <c r="AS868" t="s">
        <v>74</v>
      </c>
      <c r="AT868" t="s">
        <v>6666</v>
      </c>
      <c r="AU868">
        <v>2021</v>
      </c>
      <c r="AV868">
        <v>13</v>
      </c>
      <c r="AW868">
        <v>581</v>
      </c>
      <c r="AX868" t="s">
        <v>74</v>
      </c>
      <c r="AY868" t="s">
        <v>74</v>
      </c>
      <c r="AZ868" t="s">
        <v>74</v>
      </c>
      <c r="BA868" t="s">
        <v>74</v>
      </c>
      <c r="BB868" t="s">
        <v>74</v>
      </c>
      <c r="BC868" t="s">
        <v>74</v>
      </c>
      <c r="BD868" t="s">
        <v>22769</v>
      </c>
      <c r="BE868" t="s">
        <v>22770</v>
      </c>
      <c r="BF868" t="str">
        <f>HYPERLINK("http://dx.doi.org/10.1126/scitranslmed.aav5928","http://dx.doi.org/10.1126/scitranslmed.aav5928")</f>
        <v>http://dx.doi.org/10.1126/scitranslmed.aav5928</v>
      </c>
      <c r="BG868" t="s">
        <v>74</v>
      </c>
      <c r="BH868" t="s">
        <v>74</v>
      </c>
      <c r="BI868" t="s">
        <v>74</v>
      </c>
      <c r="BJ868" t="s">
        <v>8137</v>
      </c>
      <c r="BK868" t="s">
        <v>117</v>
      </c>
      <c r="BL868" t="s">
        <v>3116</v>
      </c>
      <c r="BM868" t="s">
        <v>74</v>
      </c>
      <c r="BN868">
        <v>33597264</v>
      </c>
      <c r="BO868" t="s">
        <v>74</v>
      </c>
      <c r="BP868" t="s">
        <v>74</v>
      </c>
      <c r="BQ868" t="s">
        <v>74</v>
      </c>
      <c r="BR868" t="s">
        <v>96</v>
      </c>
      <c r="BS868" t="s">
        <v>22771</v>
      </c>
      <c r="BT868" t="str">
        <f>HYPERLINK("https%3A%2F%2Fwww.webofscience.com%2Fwos%2Fwoscc%2Ffull-record%2FWOS:000620084900001","View Full Record in Web of Science")</f>
        <v>View Full Record in Web of Science</v>
      </c>
    </row>
    <row r="869" spans="1:72" x14ac:dyDescent="0.15">
      <c r="A869" t="s">
        <v>98</v>
      </c>
      <c r="B869" t="s">
        <v>23347</v>
      </c>
      <c r="C869" t="s">
        <v>74</v>
      </c>
      <c r="D869" t="s">
        <v>74</v>
      </c>
      <c r="E869" t="s">
        <v>74</v>
      </c>
      <c r="F869" t="s">
        <v>23348</v>
      </c>
      <c r="G869" t="s">
        <v>74</v>
      </c>
      <c r="H869" t="s">
        <v>74</v>
      </c>
      <c r="I869" t="s">
        <v>23349</v>
      </c>
      <c r="J869" t="s">
        <v>4391</v>
      </c>
      <c r="K869" t="s">
        <v>74</v>
      </c>
      <c r="L869" t="s">
        <v>74</v>
      </c>
      <c r="M869" t="s">
        <v>74</v>
      </c>
      <c r="N869" t="s">
        <v>103</v>
      </c>
      <c r="O869" t="s">
        <v>74</v>
      </c>
      <c r="P869" t="s">
        <v>74</v>
      </c>
      <c r="Q869" t="s">
        <v>74</v>
      </c>
      <c r="R869" t="s">
        <v>74</v>
      </c>
      <c r="S869" t="s">
        <v>74</v>
      </c>
      <c r="T869" t="s">
        <v>23350</v>
      </c>
      <c r="U869" t="s">
        <v>23351</v>
      </c>
      <c r="V869" t="s">
        <v>23352</v>
      </c>
      <c r="W869" t="s">
        <v>23353</v>
      </c>
      <c r="X869" t="s">
        <v>23354</v>
      </c>
      <c r="Y869" t="s">
        <v>23355</v>
      </c>
      <c r="Z869" t="s">
        <v>23356</v>
      </c>
      <c r="AA869" t="s">
        <v>23357</v>
      </c>
      <c r="AB869" t="s">
        <v>74</v>
      </c>
      <c r="AC869" t="s">
        <v>74</v>
      </c>
      <c r="AD869" t="s">
        <v>74</v>
      </c>
      <c r="AE869" t="s">
        <v>74</v>
      </c>
      <c r="AF869" t="s">
        <v>74</v>
      </c>
      <c r="AG869">
        <v>91</v>
      </c>
      <c r="AH869">
        <v>19</v>
      </c>
      <c r="AI869">
        <v>20</v>
      </c>
      <c r="AJ869">
        <v>0</v>
      </c>
      <c r="AK869">
        <v>11</v>
      </c>
      <c r="AL869" t="s">
        <v>74</v>
      </c>
      <c r="AM869" t="s">
        <v>74</v>
      </c>
      <c r="AN869" t="s">
        <v>74</v>
      </c>
      <c r="AO869" t="s">
        <v>4401</v>
      </c>
      <c r="AP869" t="s">
        <v>74</v>
      </c>
      <c r="AQ869" t="s">
        <v>74</v>
      </c>
      <c r="AR869" t="s">
        <v>74</v>
      </c>
      <c r="AS869" t="s">
        <v>74</v>
      </c>
      <c r="AT869" t="s">
        <v>23358</v>
      </c>
      <c r="AU869">
        <v>2018</v>
      </c>
      <c r="AV869">
        <v>9</v>
      </c>
      <c r="AW869" t="s">
        <v>74</v>
      </c>
      <c r="AX869" t="s">
        <v>74</v>
      </c>
      <c r="AY869" t="s">
        <v>74</v>
      </c>
      <c r="AZ869" t="s">
        <v>74</v>
      </c>
      <c r="BA869" t="s">
        <v>74</v>
      </c>
      <c r="BB869" t="s">
        <v>74</v>
      </c>
      <c r="BC869" t="s">
        <v>74</v>
      </c>
      <c r="BD869">
        <v>167</v>
      </c>
      <c r="BE869" t="s">
        <v>23359</v>
      </c>
      <c r="BF869" t="str">
        <f>HYPERLINK("http://dx.doi.org/10.1186/s13287-018-0910-5","http://dx.doi.org/10.1186/s13287-018-0910-5")</f>
        <v>http://dx.doi.org/10.1186/s13287-018-0910-5</v>
      </c>
      <c r="BG869" t="s">
        <v>74</v>
      </c>
      <c r="BH869" t="s">
        <v>74</v>
      </c>
      <c r="BI869" t="s">
        <v>74</v>
      </c>
      <c r="BJ869" t="s">
        <v>3115</v>
      </c>
      <c r="BK869" t="s">
        <v>117</v>
      </c>
      <c r="BL869" t="s">
        <v>3116</v>
      </c>
      <c r="BM869" t="s">
        <v>74</v>
      </c>
      <c r="BN869">
        <v>29921325</v>
      </c>
      <c r="BO869" t="s">
        <v>74</v>
      </c>
      <c r="BP869" t="s">
        <v>74</v>
      </c>
      <c r="BQ869" t="s">
        <v>74</v>
      </c>
      <c r="BR869" t="s">
        <v>96</v>
      </c>
      <c r="BS869" t="s">
        <v>23360</v>
      </c>
      <c r="BT869" t="str">
        <f>HYPERLINK("https%3A%2F%2Fwww.webofscience.com%2Fwos%2Fwoscc%2Ffull-record%2FWOS:000435601600002","View Full Record in Web of Science")</f>
        <v>View Full Record in Web of Science</v>
      </c>
    </row>
    <row r="870" spans="1:72" x14ac:dyDescent="0.15">
      <c r="A870" t="s">
        <v>98</v>
      </c>
      <c r="B870" t="s">
        <v>24136</v>
      </c>
      <c r="C870" t="s">
        <v>74</v>
      </c>
      <c r="D870" t="s">
        <v>74</v>
      </c>
      <c r="E870" t="s">
        <v>74</v>
      </c>
      <c r="F870" t="s">
        <v>24137</v>
      </c>
      <c r="G870" t="s">
        <v>74</v>
      </c>
      <c r="H870" t="s">
        <v>74</v>
      </c>
      <c r="I870" t="s">
        <v>24138</v>
      </c>
      <c r="J870" t="s">
        <v>24139</v>
      </c>
      <c r="K870" t="s">
        <v>74</v>
      </c>
      <c r="L870" t="s">
        <v>74</v>
      </c>
      <c r="M870" t="s">
        <v>74</v>
      </c>
      <c r="N870" t="s">
        <v>103</v>
      </c>
      <c r="O870" t="s">
        <v>74</v>
      </c>
      <c r="P870" t="s">
        <v>74</v>
      </c>
      <c r="Q870" t="s">
        <v>74</v>
      </c>
      <c r="R870" t="s">
        <v>74</v>
      </c>
      <c r="S870" t="s">
        <v>74</v>
      </c>
      <c r="T870" t="s">
        <v>24140</v>
      </c>
      <c r="U870" t="s">
        <v>24141</v>
      </c>
      <c r="V870" t="s">
        <v>24142</v>
      </c>
      <c r="W870" t="s">
        <v>24143</v>
      </c>
      <c r="X870" t="s">
        <v>24144</v>
      </c>
      <c r="Y870" t="s">
        <v>24145</v>
      </c>
      <c r="Z870" t="s">
        <v>24146</v>
      </c>
      <c r="AA870" t="s">
        <v>74</v>
      </c>
      <c r="AB870" t="s">
        <v>74</v>
      </c>
      <c r="AC870" t="s">
        <v>74</v>
      </c>
      <c r="AD870" t="s">
        <v>74</v>
      </c>
      <c r="AE870" t="s">
        <v>74</v>
      </c>
      <c r="AF870" t="s">
        <v>74</v>
      </c>
      <c r="AG870">
        <v>58</v>
      </c>
      <c r="AH870">
        <v>19</v>
      </c>
      <c r="AI870">
        <v>19</v>
      </c>
      <c r="AJ870">
        <v>0</v>
      </c>
      <c r="AK870">
        <v>5</v>
      </c>
      <c r="AL870" t="s">
        <v>74</v>
      </c>
      <c r="AM870" t="s">
        <v>74</v>
      </c>
      <c r="AN870" t="s">
        <v>74</v>
      </c>
      <c r="AO870" t="s">
        <v>24147</v>
      </c>
      <c r="AP870" t="s">
        <v>24148</v>
      </c>
      <c r="AQ870" t="s">
        <v>74</v>
      </c>
      <c r="AR870" t="s">
        <v>74</v>
      </c>
      <c r="AS870" t="s">
        <v>74</v>
      </c>
      <c r="AT870" t="s">
        <v>230</v>
      </c>
      <c r="AU870">
        <v>2009</v>
      </c>
      <c r="AV870">
        <v>19</v>
      </c>
      <c r="AW870">
        <v>2</v>
      </c>
      <c r="AX870" t="s">
        <v>74</v>
      </c>
      <c r="AY870" t="s">
        <v>74</v>
      </c>
      <c r="AZ870" t="s">
        <v>74</v>
      </c>
      <c r="BA870" t="s">
        <v>74</v>
      </c>
      <c r="BB870">
        <v>181</v>
      </c>
      <c r="BC870">
        <v>190</v>
      </c>
      <c r="BD870" t="s">
        <v>74</v>
      </c>
      <c r="BE870" t="s">
        <v>24149</v>
      </c>
      <c r="BF870" t="str">
        <f>HYPERLINK("http://dx.doi.org/10.1016/S1472-6483(10)60070-3","http://dx.doi.org/10.1016/S1472-6483(10)60070-3")</f>
        <v>http://dx.doi.org/10.1016/S1472-6483(10)60070-3</v>
      </c>
      <c r="BG870" t="s">
        <v>74</v>
      </c>
      <c r="BH870" t="s">
        <v>74</v>
      </c>
      <c r="BI870" t="s">
        <v>74</v>
      </c>
      <c r="BJ870" t="s">
        <v>6268</v>
      </c>
      <c r="BK870" t="s">
        <v>117</v>
      </c>
      <c r="BL870" t="s">
        <v>6268</v>
      </c>
      <c r="BM870" t="s">
        <v>74</v>
      </c>
      <c r="BN870">
        <v>19712552</v>
      </c>
      <c r="BO870" t="s">
        <v>74</v>
      </c>
      <c r="BP870" t="s">
        <v>74</v>
      </c>
      <c r="BQ870" t="s">
        <v>74</v>
      </c>
      <c r="BR870" t="s">
        <v>96</v>
      </c>
      <c r="BS870" t="s">
        <v>24150</v>
      </c>
      <c r="BT870" t="str">
        <f>HYPERLINK("https%3A%2F%2Fwww.webofscience.com%2Fwos%2Fwoscc%2Ffull-record%2FWOS:000268786600007","View Full Record in Web of Science")</f>
        <v>View Full Record in Web of Science</v>
      </c>
    </row>
    <row r="871" spans="1:72" x14ac:dyDescent="0.15">
      <c r="A871" t="s">
        <v>98</v>
      </c>
      <c r="B871" t="s">
        <v>26626</v>
      </c>
      <c r="C871" t="s">
        <v>74</v>
      </c>
      <c r="D871" t="s">
        <v>74</v>
      </c>
      <c r="E871" t="s">
        <v>74</v>
      </c>
      <c r="F871" t="s">
        <v>26627</v>
      </c>
      <c r="G871" t="s">
        <v>74</v>
      </c>
      <c r="H871" t="s">
        <v>74</v>
      </c>
      <c r="I871" t="s">
        <v>26628</v>
      </c>
      <c r="J871" t="s">
        <v>140</v>
      </c>
      <c r="K871" t="s">
        <v>74</v>
      </c>
      <c r="L871" t="s">
        <v>74</v>
      </c>
      <c r="M871" t="s">
        <v>74</v>
      </c>
      <c r="N871" t="s">
        <v>103</v>
      </c>
      <c r="O871" t="s">
        <v>74</v>
      </c>
      <c r="P871" t="s">
        <v>74</v>
      </c>
      <c r="Q871" t="s">
        <v>74</v>
      </c>
      <c r="R871" t="s">
        <v>74</v>
      </c>
      <c r="S871" t="s">
        <v>74</v>
      </c>
      <c r="T871" t="s">
        <v>74</v>
      </c>
      <c r="U871" t="s">
        <v>26629</v>
      </c>
      <c r="V871" t="s">
        <v>26630</v>
      </c>
      <c r="W871" t="s">
        <v>26631</v>
      </c>
      <c r="X871" t="s">
        <v>26632</v>
      </c>
      <c r="Y871" t="s">
        <v>26633</v>
      </c>
      <c r="Z871" t="s">
        <v>26634</v>
      </c>
      <c r="AA871" t="s">
        <v>26635</v>
      </c>
      <c r="AB871" t="s">
        <v>26636</v>
      </c>
      <c r="AC871" t="s">
        <v>74</v>
      </c>
      <c r="AD871" t="s">
        <v>74</v>
      </c>
      <c r="AE871" t="s">
        <v>74</v>
      </c>
      <c r="AF871" t="s">
        <v>74</v>
      </c>
      <c r="AG871">
        <v>74</v>
      </c>
      <c r="AH871">
        <v>19</v>
      </c>
      <c r="AI871">
        <v>20</v>
      </c>
      <c r="AJ871">
        <v>0</v>
      </c>
      <c r="AK871">
        <v>7</v>
      </c>
      <c r="AL871" t="s">
        <v>74</v>
      </c>
      <c r="AM871" t="s">
        <v>74</v>
      </c>
      <c r="AN871" t="s">
        <v>74</v>
      </c>
      <c r="AO871" t="s">
        <v>149</v>
      </c>
      <c r="AP871" t="s">
        <v>74</v>
      </c>
      <c r="AQ871" t="s">
        <v>74</v>
      </c>
      <c r="AR871" t="s">
        <v>74</v>
      </c>
      <c r="AS871" t="s">
        <v>74</v>
      </c>
      <c r="AT871" t="s">
        <v>150</v>
      </c>
      <c r="AU871">
        <v>2017</v>
      </c>
      <c r="AV871">
        <v>7</v>
      </c>
      <c r="AW871" t="s">
        <v>74</v>
      </c>
      <c r="AX871" t="s">
        <v>74</v>
      </c>
      <c r="AY871" t="s">
        <v>74</v>
      </c>
      <c r="AZ871" t="s">
        <v>74</v>
      </c>
      <c r="BA871" t="s">
        <v>74</v>
      </c>
      <c r="BB871" t="s">
        <v>74</v>
      </c>
      <c r="BC871" t="s">
        <v>74</v>
      </c>
      <c r="BD871">
        <v>8277</v>
      </c>
      <c r="BE871" t="s">
        <v>26637</v>
      </c>
      <c r="BF871" t="str">
        <f>HYPERLINK("http://dx.doi.org/10.1038/s41598-017-08883-1","http://dx.doi.org/10.1038/s41598-017-08883-1")</f>
        <v>http://dx.doi.org/10.1038/s41598-017-08883-1</v>
      </c>
      <c r="BG871" t="s">
        <v>74</v>
      </c>
      <c r="BH871" t="s">
        <v>74</v>
      </c>
      <c r="BI871" t="s">
        <v>74</v>
      </c>
      <c r="BJ871" t="s">
        <v>152</v>
      </c>
      <c r="BK871" t="s">
        <v>117</v>
      </c>
      <c r="BL871" t="s">
        <v>153</v>
      </c>
      <c r="BM871" t="s">
        <v>74</v>
      </c>
      <c r="BN871">
        <v>28811647</v>
      </c>
      <c r="BO871" t="s">
        <v>74</v>
      </c>
      <c r="BP871" t="s">
        <v>74</v>
      </c>
      <c r="BQ871" t="s">
        <v>74</v>
      </c>
      <c r="BR871" t="s">
        <v>96</v>
      </c>
      <c r="BS871" t="s">
        <v>26638</v>
      </c>
      <c r="BT871" t="str">
        <f>HYPERLINK("https%3A%2F%2Fwww.webofscience.com%2Fwos%2Fwoscc%2Ffull-record%2FWOS:000407570000154","View Full Record in Web of Science")</f>
        <v>View Full Record in Web of Science</v>
      </c>
    </row>
    <row r="872" spans="1:72" x14ac:dyDescent="0.15">
      <c r="A872" t="s">
        <v>98</v>
      </c>
      <c r="B872" t="s">
        <v>27727</v>
      </c>
      <c r="C872" t="s">
        <v>74</v>
      </c>
      <c r="D872" t="s">
        <v>74</v>
      </c>
      <c r="E872" t="s">
        <v>74</v>
      </c>
      <c r="F872" t="s">
        <v>27728</v>
      </c>
      <c r="G872" t="s">
        <v>74</v>
      </c>
      <c r="H872" t="s">
        <v>74</v>
      </c>
      <c r="I872" t="s">
        <v>27729</v>
      </c>
      <c r="J872" t="s">
        <v>26887</v>
      </c>
      <c r="K872" t="s">
        <v>74</v>
      </c>
      <c r="L872" t="s">
        <v>74</v>
      </c>
      <c r="M872" t="s">
        <v>74</v>
      </c>
      <c r="N872" t="s">
        <v>103</v>
      </c>
      <c r="O872" t="s">
        <v>74</v>
      </c>
      <c r="P872" t="s">
        <v>74</v>
      </c>
      <c r="Q872" t="s">
        <v>74</v>
      </c>
      <c r="R872" t="s">
        <v>74</v>
      </c>
      <c r="S872" t="s">
        <v>74</v>
      </c>
      <c r="T872" t="s">
        <v>74</v>
      </c>
      <c r="U872" t="s">
        <v>27730</v>
      </c>
      <c r="V872" t="s">
        <v>27731</v>
      </c>
      <c r="W872" t="s">
        <v>27732</v>
      </c>
      <c r="X872" t="s">
        <v>27733</v>
      </c>
      <c r="Y872" t="s">
        <v>27734</v>
      </c>
      <c r="Z872" t="s">
        <v>27735</v>
      </c>
      <c r="AA872" t="s">
        <v>74</v>
      </c>
      <c r="AB872" t="s">
        <v>74</v>
      </c>
      <c r="AC872" t="s">
        <v>74</v>
      </c>
      <c r="AD872" t="s">
        <v>74</v>
      </c>
      <c r="AE872" t="s">
        <v>74</v>
      </c>
      <c r="AF872" t="s">
        <v>74</v>
      </c>
      <c r="AG872">
        <v>45</v>
      </c>
      <c r="AH872">
        <v>19</v>
      </c>
      <c r="AI872">
        <v>19</v>
      </c>
      <c r="AJ872">
        <v>0</v>
      </c>
      <c r="AK872">
        <v>3</v>
      </c>
      <c r="AL872" t="s">
        <v>74</v>
      </c>
      <c r="AM872" t="s">
        <v>74</v>
      </c>
      <c r="AN872" t="s">
        <v>74</v>
      </c>
      <c r="AO872" t="s">
        <v>26894</v>
      </c>
      <c r="AP872" t="s">
        <v>27736</v>
      </c>
      <c r="AQ872" t="s">
        <v>74</v>
      </c>
      <c r="AR872" t="s">
        <v>74</v>
      </c>
      <c r="AS872" t="s">
        <v>74</v>
      </c>
      <c r="AT872" t="s">
        <v>549</v>
      </c>
      <c r="AU872">
        <v>2014</v>
      </c>
      <c r="AV872">
        <v>107</v>
      </c>
      <c r="AW872">
        <v>1</v>
      </c>
      <c r="AX872" t="s">
        <v>74</v>
      </c>
      <c r="AY872" t="s">
        <v>74</v>
      </c>
      <c r="AZ872" t="s">
        <v>74</v>
      </c>
      <c r="BA872" t="s">
        <v>74</v>
      </c>
      <c r="BB872">
        <v>26</v>
      </c>
      <c r="BC872">
        <v>33</v>
      </c>
      <c r="BD872" t="s">
        <v>74</v>
      </c>
      <c r="BE872" t="s">
        <v>27737</v>
      </c>
      <c r="BF872" t="str">
        <f>HYPERLINK("http://dx.doi.org/10.1016/j.bpj.2014.04.064","http://dx.doi.org/10.1016/j.bpj.2014.04.064")</f>
        <v>http://dx.doi.org/10.1016/j.bpj.2014.04.064</v>
      </c>
      <c r="BG872" t="s">
        <v>74</v>
      </c>
      <c r="BH872" t="s">
        <v>74</v>
      </c>
      <c r="BI872" t="s">
        <v>74</v>
      </c>
      <c r="BJ872" t="s">
        <v>3913</v>
      </c>
      <c r="BK872" t="s">
        <v>117</v>
      </c>
      <c r="BL872" t="s">
        <v>3913</v>
      </c>
      <c r="BM872" t="s">
        <v>74</v>
      </c>
      <c r="BN872">
        <v>24988338</v>
      </c>
      <c r="BO872" t="s">
        <v>74</v>
      </c>
      <c r="BP872" t="s">
        <v>74</v>
      </c>
      <c r="BQ872" t="s">
        <v>74</v>
      </c>
      <c r="BR872" t="s">
        <v>96</v>
      </c>
      <c r="BS872" t="s">
        <v>27738</v>
      </c>
      <c r="BT872" t="str">
        <f>HYPERLINK("https%3A%2F%2Fwww.webofscience.com%2Fwos%2Fwoscc%2Ffull-record%2FWOS:000338411600007","View Full Record in Web of Science")</f>
        <v>View Full Record in Web of Science</v>
      </c>
    </row>
    <row r="873" spans="1:72" x14ac:dyDescent="0.15">
      <c r="A873" t="s">
        <v>98</v>
      </c>
      <c r="B873" t="s">
        <v>28492</v>
      </c>
      <c r="C873" t="s">
        <v>74</v>
      </c>
      <c r="D873" t="s">
        <v>74</v>
      </c>
      <c r="E873" t="s">
        <v>74</v>
      </c>
      <c r="F873" t="s">
        <v>28493</v>
      </c>
      <c r="G873" t="s">
        <v>74</v>
      </c>
      <c r="H873" t="s">
        <v>74</v>
      </c>
      <c r="I873" t="s">
        <v>28494</v>
      </c>
      <c r="J873" t="s">
        <v>28495</v>
      </c>
      <c r="K873" t="s">
        <v>74</v>
      </c>
      <c r="L873" t="s">
        <v>74</v>
      </c>
      <c r="M873" t="s">
        <v>74</v>
      </c>
      <c r="N873" t="s">
        <v>103</v>
      </c>
      <c r="O873" t="s">
        <v>74</v>
      </c>
      <c r="P873" t="s">
        <v>74</v>
      </c>
      <c r="Q873" t="s">
        <v>74</v>
      </c>
      <c r="R873" t="s">
        <v>74</v>
      </c>
      <c r="S873" t="s">
        <v>74</v>
      </c>
      <c r="T873" t="s">
        <v>74</v>
      </c>
      <c r="U873" t="s">
        <v>28496</v>
      </c>
      <c r="V873" t="s">
        <v>28497</v>
      </c>
      <c r="W873" t="s">
        <v>28498</v>
      </c>
      <c r="X873" t="s">
        <v>28499</v>
      </c>
      <c r="Y873" t="s">
        <v>28500</v>
      </c>
      <c r="Z873" t="s">
        <v>28501</v>
      </c>
      <c r="AA873" t="s">
        <v>74</v>
      </c>
      <c r="AB873" t="s">
        <v>74</v>
      </c>
      <c r="AC873" t="s">
        <v>74</v>
      </c>
      <c r="AD873" t="s">
        <v>74</v>
      </c>
      <c r="AE873" t="s">
        <v>74</v>
      </c>
      <c r="AF873" t="s">
        <v>74</v>
      </c>
      <c r="AG873">
        <v>166</v>
      </c>
      <c r="AH873">
        <v>19</v>
      </c>
      <c r="AI873">
        <v>19</v>
      </c>
      <c r="AJ873">
        <v>1</v>
      </c>
      <c r="AK873">
        <v>18</v>
      </c>
      <c r="AL873" t="s">
        <v>74</v>
      </c>
      <c r="AM873" t="s">
        <v>74</v>
      </c>
      <c r="AN873" t="s">
        <v>74</v>
      </c>
      <c r="AO873" t="s">
        <v>28502</v>
      </c>
      <c r="AP873" t="s">
        <v>74</v>
      </c>
      <c r="AQ873" t="s">
        <v>74</v>
      </c>
      <c r="AR873" t="s">
        <v>74</v>
      </c>
      <c r="AS873" t="s">
        <v>74</v>
      </c>
      <c r="AT873" t="s">
        <v>189</v>
      </c>
      <c r="AU873">
        <v>2019</v>
      </c>
      <c r="AV873">
        <v>11</v>
      </c>
      <c r="AW873">
        <v>10</v>
      </c>
      <c r="AX873" t="s">
        <v>74</v>
      </c>
      <c r="AY873" t="s">
        <v>74</v>
      </c>
      <c r="AZ873" t="s">
        <v>74</v>
      </c>
      <c r="BA873" t="s">
        <v>74</v>
      </c>
      <c r="BB873" t="s">
        <v>74</v>
      </c>
      <c r="BC873" t="s">
        <v>74</v>
      </c>
      <c r="BD873" t="s">
        <v>28503</v>
      </c>
      <c r="BE873" t="s">
        <v>28504</v>
      </c>
      <c r="BF873" t="str">
        <f>HYPERLINK("http://dx.doi.org/10.1101/cshperspect.a035303","http://dx.doi.org/10.1101/cshperspect.a035303")</f>
        <v>http://dx.doi.org/10.1101/cshperspect.a035303</v>
      </c>
      <c r="BG873" t="s">
        <v>74</v>
      </c>
      <c r="BH873" t="s">
        <v>74</v>
      </c>
      <c r="BI873" t="s">
        <v>74</v>
      </c>
      <c r="BJ873" t="s">
        <v>135</v>
      </c>
      <c r="BK873" t="s">
        <v>117</v>
      </c>
      <c r="BL873" t="s">
        <v>135</v>
      </c>
      <c r="BM873" t="s">
        <v>74</v>
      </c>
      <c r="BN873">
        <v>31138543</v>
      </c>
      <c r="BO873" t="s">
        <v>74</v>
      </c>
      <c r="BP873" t="s">
        <v>74</v>
      </c>
      <c r="BQ873" t="s">
        <v>74</v>
      </c>
      <c r="BR873" t="s">
        <v>96</v>
      </c>
      <c r="BS873" t="s">
        <v>28505</v>
      </c>
      <c r="BT873" t="str">
        <f>HYPERLINK("https%3A%2F%2Fwww.webofscience.com%2Fwos%2Fwoscc%2Ffull-record%2FWOS:000488612600005","View Full Record in Web of Science")</f>
        <v>View Full Record in Web of Science</v>
      </c>
    </row>
    <row r="874" spans="1:72" x14ac:dyDescent="0.15">
      <c r="A874" t="s">
        <v>98</v>
      </c>
      <c r="B874" t="s">
        <v>28519</v>
      </c>
      <c r="C874" t="s">
        <v>74</v>
      </c>
      <c r="D874" t="s">
        <v>74</v>
      </c>
      <c r="E874" t="s">
        <v>74</v>
      </c>
      <c r="F874" t="s">
        <v>28520</v>
      </c>
      <c r="G874" t="s">
        <v>74</v>
      </c>
      <c r="H874" t="s">
        <v>74</v>
      </c>
      <c r="I874" t="s">
        <v>28521</v>
      </c>
      <c r="J874" t="s">
        <v>28522</v>
      </c>
      <c r="K874" t="s">
        <v>74</v>
      </c>
      <c r="L874" t="s">
        <v>74</v>
      </c>
      <c r="M874" t="s">
        <v>74</v>
      </c>
      <c r="N874" t="s">
        <v>103</v>
      </c>
      <c r="O874" t="s">
        <v>74</v>
      </c>
      <c r="P874" t="s">
        <v>74</v>
      </c>
      <c r="Q874" t="s">
        <v>74</v>
      </c>
      <c r="R874" t="s">
        <v>74</v>
      </c>
      <c r="S874" t="s">
        <v>74</v>
      </c>
      <c r="T874" t="s">
        <v>28523</v>
      </c>
      <c r="U874" t="s">
        <v>28524</v>
      </c>
      <c r="V874" t="s">
        <v>28525</v>
      </c>
      <c r="W874" t="s">
        <v>28526</v>
      </c>
      <c r="X874" t="s">
        <v>28527</v>
      </c>
      <c r="Y874" t="s">
        <v>28528</v>
      </c>
      <c r="Z874" t="s">
        <v>28529</v>
      </c>
      <c r="AA874" t="s">
        <v>28530</v>
      </c>
      <c r="AB874" t="s">
        <v>28531</v>
      </c>
      <c r="AC874" t="s">
        <v>74</v>
      </c>
      <c r="AD874" t="s">
        <v>74</v>
      </c>
      <c r="AE874" t="s">
        <v>74</v>
      </c>
      <c r="AF874" t="s">
        <v>74</v>
      </c>
      <c r="AG874">
        <v>42</v>
      </c>
      <c r="AH874">
        <v>19</v>
      </c>
      <c r="AI874">
        <v>19</v>
      </c>
      <c r="AJ874">
        <v>0</v>
      </c>
      <c r="AK874">
        <v>9</v>
      </c>
      <c r="AL874" t="s">
        <v>74</v>
      </c>
      <c r="AM874" t="s">
        <v>74</v>
      </c>
      <c r="AN874" t="s">
        <v>74</v>
      </c>
      <c r="AO874" t="s">
        <v>28532</v>
      </c>
      <c r="AP874" t="s">
        <v>28533</v>
      </c>
      <c r="AQ874" t="s">
        <v>74</v>
      </c>
      <c r="AR874" t="s">
        <v>74</v>
      </c>
      <c r="AS874" t="s">
        <v>74</v>
      </c>
      <c r="AT874" t="s">
        <v>1029</v>
      </c>
      <c r="AU874">
        <v>2019</v>
      </c>
      <c r="AV874">
        <v>35</v>
      </c>
      <c r="AW874">
        <v>4</v>
      </c>
      <c r="AX874" t="s">
        <v>74</v>
      </c>
      <c r="AY874" t="s">
        <v>74</v>
      </c>
      <c r="AZ874" t="s">
        <v>74</v>
      </c>
      <c r="BA874" t="s">
        <v>74</v>
      </c>
      <c r="BB874">
        <v>883</v>
      </c>
      <c r="BC874">
        <v>897</v>
      </c>
      <c r="BD874" t="s">
        <v>74</v>
      </c>
      <c r="BE874" t="s">
        <v>28534</v>
      </c>
      <c r="BF874" t="str">
        <f>HYPERLINK("http://dx.doi.org/10.1007/s12640-019-00014-0","http://dx.doi.org/10.1007/s12640-019-00014-0")</f>
        <v>http://dx.doi.org/10.1007/s12640-019-00014-0</v>
      </c>
      <c r="BG874" t="s">
        <v>74</v>
      </c>
      <c r="BH874" t="s">
        <v>74</v>
      </c>
      <c r="BI874" t="s">
        <v>74</v>
      </c>
      <c r="BJ874" t="s">
        <v>652</v>
      </c>
      <c r="BK874" t="s">
        <v>117</v>
      </c>
      <c r="BL874" t="s">
        <v>653</v>
      </c>
      <c r="BM874" t="s">
        <v>74</v>
      </c>
      <c r="BN874">
        <v>30796693</v>
      </c>
      <c r="BO874" t="s">
        <v>74</v>
      </c>
      <c r="BP874" t="s">
        <v>74</v>
      </c>
      <c r="BQ874" t="s">
        <v>74</v>
      </c>
      <c r="BR874" t="s">
        <v>96</v>
      </c>
      <c r="BS874" t="s">
        <v>28535</v>
      </c>
      <c r="BT874" t="str">
        <f>HYPERLINK("https%3A%2F%2Fwww.webofscience.com%2Fwos%2Fwoscc%2Ffull-record%2FWOS:000464857700008","View Full Record in Web of Science")</f>
        <v>View Full Record in Web of Science</v>
      </c>
    </row>
    <row r="875" spans="1:72" x14ac:dyDescent="0.15">
      <c r="A875" t="s">
        <v>98</v>
      </c>
      <c r="B875" t="s">
        <v>28875</v>
      </c>
      <c r="C875" t="s">
        <v>74</v>
      </c>
      <c r="D875" t="s">
        <v>74</v>
      </c>
      <c r="E875" t="s">
        <v>74</v>
      </c>
      <c r="F875" t="s">
        <v>28876</v>
      </c>
      <c r="G875" t="s">
        <v>74</v>
      </c>
      <c r="H875" t="s">
        <v>74</v>
      </c>
      <c r="I875" t="s">
        <v>28877</v>
      </c>
      <c r="J875" t="s">
        <v>4391</v>
      </c>
      <c r="K875" t="s">
        <v>74</v>
      </c>
      <c r="L875" t="s">
        <v>74</v>
      </c>
      <c r="M875" t="s">
        <v>74</v>
      </c>
      <c r="N875" t="s">
        <v>103</v>
      </c>
      <c r="O875" t="s">
        <v>74</v>
      </c>
      <c r="P875" t="s">
        <v>74</v>
      </c>
      <c r="Q875" t="s">
        <v>74</v>
      </c>
      <c r="R875" t="s">
        <v>74</v>
      </c>
      <c r="S875" t="s">
        <v>74</v>
      </c>
      <c r="T875" t="s">
        <v>28878</v>
      </c>
      <c r="U875" t="s">
        <v>28879</v>
      </c>
      <c r="V875" t="s">
        <v>28880</v>
      </c>
      <c r="W875" t="s">
        <v>28881</v>
      </c>
      <c r="X875" t="s">
        <v>28882</v>
      </c>
      <c r="Y875" t="s">
        <v>28883</v>
      </c>
      <c r="Z875" t="s">
        <v>28884</v>
      </c>
      <c r="AA875" t="s">
        <v>28885</v>
      </c>
      <c r="AB875" t="s">
        <v>28886</v>
      </c>
      <c r="AC875" t="s">
        <v>74</v>
      </c>
      <c r="AD875" t="s">
        <v>74</v>
      </c>
      <c r="AE875" t="s">
        <v>74</v>
      </c>
      <c r="AF875" t="s">
        <v>74</v>
      </c>
      <c r="AG875">
        <v>51</v>
      </c>
      <c r="AH875">
        <v>19</v>
      </c>
      <c r="AI875">
        <v>20</v>
      </c>
      <c r="AJ875">
        <v>1</v>
      </c>
      <c r="AK875">
        <v>11</v>
      </c>
      <c r="AL875" t="s">
        <v>74</v>
      </c>
      <c r="AM875" t="s">
        <v>74</v>
      </c>
      <c r="AN875" t="s">
        <v>74</v>
      </c>
      <c r="AO875" t="s">
        <v>4401</v>
      </c>
      <c r="AP875" t="s">
        <v>74</v>
      </c>
      <c r="AQ875" t="s">
        <v>74</v>
      </c>
      <c r="AR875" t="s">
        <v>74</v>
      </c>
      <c r="AS875" t="s">
        <v>74</v>
      </c>
      <c r="AT875" t="s">
        <v>3744</v>
      </c>
      <c r="AU875">
        <v>2019</v>
      </c>
      <c r="AV875">
        <v>10</v>
      </c>
      <c r="AW875" t="s">
        <v>74</v>
      </c>
      <c r="AX875" t="s">
        <v>74</v>
      </c>
      <c r="AY875" t="s">
        <v>74</v>
      </c>
      <c r="AZ875" t="s">
        <v>74</v>
      </c>
      <c r="BA875" t="s">
        <v>74</v>
      </c>
      <c r="BB875" t="s">
        <v>74</v>
      </c>
      <c r="BC875" t="s">
        <v>74</v>
      </c>
      <c r="BD875">
        <v>115</v>
      </c>
      <c r="BE875" t="s">
        <v>28887</v>
      </c>
      <c r="BF875" t="str">
        <f>HYPERLINK("http://dx.doi.org/10.1186/s13287-019-1218-9","http://dx.doi.org/10.1186/s13287-019-1218-9")</f>
        <v>http://dx.doi.org/10.1186/s13287-019-1218-9</v>
      </c>
      <c r="BG875" t="s">
        <v>74</v>
      </c>
      <c r="BH875" t="s">
        <v>74</v>
      </c>
      <c r="BI875" t="s">
        <v>74</v>
      </c>
      <c r="BJ875" t="s">
        <v>3115</v>
      </c>
      <c r="BK875" t="s">
        <v>117</v>
      </c>
      <c r="BL875" t="s">
        <v>3116</v>
      </c>
      <c r="BM875" t="s">
        <v>74</v>
      </c>
      <c r="BN875">
        <v>30944028</v>
      </c>
      <c r="BO875" t="s">
        <v>74</v>
      </c>
      <c r="BP875" t="s">
        <v>74</v>
      </c>
      <c r="BQ875" t="s">
        <v>74</v>
      </c>
      <c r="BR875" t="s">
        <v>96</v>
      </c>
      <c r="BS875" t="s">
        <v>28888</v>
      </c>
      <c r="BT875" t="str">
        <f>HYPERLINK("https%3A%2F%2Fwww.webofscience.com%2Fwos%2Fwoscc%2Ffull-record%2FWOS:000463652900001","View Full Record in Web of Science")</f>
        <v>View Full Record in Web of Science</v>
      </c>
    </row>
    <row r="876" spans="1:72" x14ac:dyDescent="0.15">
      <c r="A876" t="s">
        <v>98</v>
      </c>
      <c r="B876" t="s">
        <v>29466</v>
      </c>
      <c r="C876" t="s">
        <v>74</v>
      </c>
      <c r="D876" t="s">
        <v>74</v>
      </c>
      <c r="E876" t="s">
        <v>74</v>
      </c>
      <c r="F876" t="s">
        <v>29467</v>
      </c>
      <c r="G876" t="s">
        <v>74</v>
      </c>
      <c r="H876" t="s">
        <v>74</v>
      </c>
      <c r="I876" t="s">
        <v>29468</v>
      </c>
      <c r="J876" t="s">
        <v>4391</v>
      </c>
      <c r="K876" t="s">
        <v>74</v>
      </c>
      <c r="L876" t="s">
        <v>74</v>
      </c>
      <c r="M876" t="s">
        <v>74</v>
      </c>
      <c r="N876" t="s">
        <v>103</v>
      </c>
      <c r="O876" t="s">
        <v>74</v>
      </c>
      <c r="P876" t="s">
        <v>74</v>
      </c>
      <c r="Q876" t="s">
        <v>74</v>
      </c>
      <c r="R876" t="s">
        <v>74</v>
      </c>
      <c r="S876" t="s">
        <v>74</v>
      </c>
      <c r="T876" t="s">
        <v>29469</v>
      </c>
      <c r="U876" t="s">
        <v>29470</v>
      </c>
      <c r="V876" t="s">
        <v>29471</v>
      </c>
      <c r="W876" t="s">
        <v>29472</v>
      </c>
      <c r="X876" t="s">
        <v>29473</v>
      </c>
      <c r="Y876" t="s">
        <v>29474</v>
      </c>
      <c r="Z876" t="s">
        <v>29475</v>
      </c>
      <c r="AA876" t="s">
        <v>29476</v>
      </c>
      <c r="AB876" t="s">
        <v>29477</v>
      </c>
      <c r="AC876" t="s">
        <v>74</v>
      </c>
      <c r="AD876" t="s">
        <v>74</v>
      </c>
      <c r="AE876" t="s">
        <v>74</v>
      </c>
      <c r="AF876" t="s">
        <v>74</v>
      </c>
      <c r="AG876">
        <v>32</v>
      </c>
      <c r="AH876">
        <v>19</v>
      </c>
      <c r="AI876">
        <v>19</v>
      </c>
      <c r="AJ876">
        <v>3</v>
      </c>
      <c r="AK876">
        <v>10</v>
      </c>
      <c r="AL876" t="s">
        <v>74</v>
      </c>
      <c r="AM876" t="s">
        <v>74</v>
      </c>
      <c r="AN876" t="s">
        <v>74</v>
      </c>
      <c r="AO876" t="s">
        <v>4401</v>
      </c>
      <c r="AP876" t="s">
        <v>74</v>
      </c>
      <c r="AQ876" t="s">
        <v>74</v>
      </c>
      <c r="AR876" t="s">
        <v>74</v>
      </c>
      <c r="AS876" t="s">
        <v>74</v>
      </c>
      <c r="AT876" t="s">
        <v>8821</v>
      </c>
      <c r="AU876">
        <v>2019</v>
      </c>
      <c r="AV876">
        <v>10</v>
      </c>
      <c r="AW876" t="s">
        <v>74</v>
      </c>
      <c r="AX876" t="s">
        <v>74</v>
      </c>
      <c r="AY876" t="s">
        <v>74</v>
      </c>
      <c r="AZ876" t="s">
        <v>74</v>
      </c>
      <c r="BA876" t="s">
        <v>74</v>
      </c>
      <c r="BB876" t="s">
        <v>74</v>
      </c>
      <c r="BC876" t="s">
        <v>74</v>
      </c>
      <c r="BD876">
        <v>186</v>
      </c>
      <c r="BE876" t="s">
        <v>29478</v>
      </c>
      <c r="BF876" t="str">
        <f>HYPERLINK("http://dx.doi.org/10.1186/s13287-019-1302-1","http://dx.doi.org/10.1186/s13287-019-1302-1")</f>
        <v>http://dx.doi.org/10.1186/s13287-019-1302-1</v>
      </c>
      <c r="BG876" t="s">
        <v>74</v>
      </c>
      <c r="BH876" t="s">
        <v>74</v>
      </c>
      <c r="BI876" t="s">
        <v>74</v>
      </c>
      <c r="BJ876" t="s">
        <v>3115</v>
      </c>
      <c r="BK876" t="s">
        <v>117</v>
      </c>
      <c r="BL876" t="s">
        <v>3116</v>
      </c>
      <c r="BM876" t="s">
        <v>74</v>
      </c>
      <c r="BN876">
        <v>31234947</v>
      </c>
      <c r="BO876" t="s">
        <v>74</v>
      </c>
      <c r="BP876" t="s">
        <v>74</v>
      </c>
      <c r="BQ876" t="s">
        <v>74</v>
      </c>
      <c r="BR876" t="s">
        <v>96</v>
      </c>
      <c r="BS876" t="s">
        <v>29479</v>
      </c>
      <c r="BT876" t="str">
        <f>HYPERLINK("https%3A%2F%2Fwww.webofscience.com%2Fwos%2Fwoscc%2Ffull-record%2FWOS:000472941700004","View Full Record in Web of Science")</f>
        <v>View Full Record in Web of Science</v>
      </c>
    </row>
    <row r="877" spans="1:72" x14ac:dyDescent="0.15">
      <c r="A877" t="s">
        <v>98</v>
      </c>
      <c r="B877" t="s">
        <v>29768</v>
      </c>
      <c r="C877" t="s">
        <v>74</v>
      </c>
      <c r="D877" t="s">
        <v>74</v>
      </c>
      <c r="E877" t="s">
        <v>74</v>
      </c>
      <c r="F877" t="s">
        <v>29769</v>
      </c>
      <c r="G877" t="s">
        <v>74</v>
      </c>
      <c r="H877" t="s">
        <v>74</v>
      </c>
      <c r="I877" t="s">
        <v>29770</v>
      </c>
      <c r="J877" t="s">
        <v>7316</v>
      </c>
      <c r="K877" t="s">
        <v>74</v>
      </c>
      <c r="L877" t="s">
        <v>74</v>
      </c>
      <c r="M877" t="s">
        <v>74</v>
      </c>
      <c r="N877" t="s">
        <v>103</v>
      </c>
      <c r="O877" t="s">
        <v>74</v>
      </c>
      <c r="P877" t="s">
        <v>74</v>
      </c>
      <c r="Q877" t="s">
        <v>74</v>
      </c>
      <c r="R877" t="s">
        <v>74</v>
      </c>
      <c r="S877" t="s">
        <v>74</v>
      </c>
      <c r="T877" t="s">
        <v>74</v>
      </c>
      <c r="U877" t="s">
        <v>29771</v>
      </c>
      <c r="V877" t="s">
        <v>29772</v>
      </c>
      <c r="W877" t="s">
        <v>29773</v>
      </c>
      <c r="X877" t="s">
        <v>5706</v>
      </c>
      <c r="Y877" t="s">
        <v>29774</v>
      </c>
      <c r="Z877" t="s">
        <v>29775</v>
      </c>
      <c r="AA877" t="s">
        <v>29776</v>
      </c>
      <c r="AB877" t="s">
        <v>5710</v>
      </c>
      <c r="AC877" t="s">
        <v>74</v>
      </c>
      <c r="AD877" t="s">
        <v>74</v>
      </c>
      <c r="AE877" t="s">
        <v>74</v>
      </c>
      <c r="AF877" t="s">
        <v>74</v>
      </c>
      <c r="AG877">
        <v>28</v>
      </c>
      <c r="AH877">
        <v>19</v>
      </c>
      <c r="AI877">
        <v>19</v>
      </c>
      <c r="AJ877">
        <v>6</v>
      </c>
      <c r="AK877">
        <v>83</v>
      </c>
      <c r="AL877" t="s">
        <v>74</v>
      </c>
      <c r="AM877" t="s">
        <v>74</v>
      </c>
      <c r="AN877" t="s">
        <v>74</v>
      </c>
      <c r="AO877" t="s">
        <v>7324</v>
      </c>
      <c r="AP877" t="s">
        <v>7325</v>
      </c>
      <c r="AQ877" t="s">
        <v>74</v>
      </c>
      <c r="AR877" t="s">
        <v>74</v>
      </c>
      <c r="AS877" t="s">
        <v>74</v>
      </c>
      <c r="AT877" t="s">
        <v>8279</v>
      </c>
      <c r="AU877">
        <v>2018</v>
      </c>
      <c r="AV877">
        <v>143</v>
      </c>
      <c r="AW877">
        <v>4</v>
      </c>
      <c r="AX877" t="s">
        <v>74</v>
      </c>
      <c r="AY877" t="s">
        <v>74</v>
      </c>
      <c r="AZ877" t="s">
        <v>74</v>
      </c>
      <c r="BA877" t="s">
        <v>74</v>
      </c>
      <c r="BB877">
        <v>813</v>
      </c>
      <c r="BC877">
        <v>816</v>
      </c>
      <c r="BD877" t="s">
        <v>74</v>
      </c>
      <c r="BE877" t="s">
        <v>29777</v>
      </c>
      <c r="BF877" t="str">
        <f>HYPERLINK("http://dx.doi.org/10.1039/c7an01691c","http://dx.doi.org/10.1039/c7an01691c")</f>
        <v>http://dx.doi.org/10.1039/c7an01691c</v>
      </c>
      <c r="BG877" t="s">
        <v>74</v>
      </c>
      <c r="BH877" t="s">
        <v>74</v>
      </c>
      <c r="BI877" t="s">
        <v>74</v>
      </c>
      <c r="BJ877" t="s">
        <v>1118</v>
      </c>
      <c r="BK877" t="s">
        <v>117</v>
      </c>
      <c r="BL877" t="s">
        <v>1048</v>
      </c>
      <c r="BM877" t="s">
        <v>74</v>
      </c>
      <c r="BN877">
        <v>29362731</v>
      </c>
      <c r="BO877" t="s">
        <v>74</v>
      </c>
      <c r="BP877" t="s">
        <v>74</v>
      </c>
      <c r="BQ877" t="s">
        <v>74</v>
      </c>
      <c r="BR877" t="s">
        <v>96</v>
      </c>
      <c r="BS877" t="s">
        <v>29778</v>
      </c>
      <c r="BT877" t="str">
        <f>HYPERLINK("https%3A%2F%2Fwww.webofscience.com%2Fwos%2Fwoscc%2Ffull-record%2FWOS:000424908000003","View Full Record in Web of Science")</f>
        <v>View Full Record in Web of Science</v>
      </c>
    </row>
    <row r="878" spans="1:72" x14ac:dyDescent="0.15">
      <c r="A878" t="s">
        <v>98</v>
      </c>
      <c r="B878" t="s">
        <v>4782</v>
      </c>
      <c r="C878" t="s">
        <v>74</v>
      </c>
      <c r="D878" t="s">
        <v>74</v>
      </c>
      <c r="E878" t="s">
        <v>74</v>
      </c>
      <c r="F878" t="s">
        <v>4783</v>
      </c>
      <c r="G878" t="s">
        <v>74</v>
      </c>
      <c r="H878" t="s">
        <v>74</v>
      </c>
      <c r="I878" t="s">
        <v>4784</v>
      </c>
      <c r="J878" t="s">
        <v>123</v>
      </c>
      <c r="K878" t="s">
        <v>74</v>
      </c>
      <c r="L878" t="s">
        <v>74</v>
      </c>
      <c r="M878" t="s">
        <v>74</v>
      </c>
      <c r="N878" t="s">
        <v>103</v>
      </c>
      <c r="O878" t="s">
        <v>74</v>
      </c>
      <c r="P878" t="s">
        <v>74</v>
      </c>
      <c r="Q878" t="s">
        <v>74</v>
      </c>
      <c r="R878" t="s">
        <v>74</v>
      </c>
      <c r="S878" t="s">
        <v>74</v>
      </c>
      <c r="T878" t="s">
        <v>4785</v>
      </c>
      <c r="U878" t="s">
        <v>4786</v>
      </c>
      <c r="V878" t="s">
        <v>4787</v>
      </c>
      <c r="W878" t="s">
        <v>4788</v>
      </c>
      <c r="X878" t="s">
        <v>4789</v>
      </c>
      <c r="Y878" t="s">
        <v>4790</v>
      </c>
      <c r="Z878" t="s">
        <v>4791</v>
      </c>
      <c r="AA878" t="s">
        <v>4792</v>
      </c>
      <c r="AB878" t="s">
        <v>4793</v>
      </c>
      <c r="AC878" t="s">
        <v>74</v>
      </c>
      <c r="AD878" t="s">
        <v>74</v>
      </c>
      <c r="AE878" t="s">
        <v>74</v>
      </c>
      <c r="AF878" t="s">
        <v>74</v>
      </c>
      <c r="AG878">
        <v>88</v>
      </c>
      <c r="AH878">
        <v>18</v>
      </c>
      <c r="AI878">
        <v>19</v>
      </c>
      <c r="AJ878">
        <v>6</v>
      </c>
      <c r="AK878">
        <v>20</v>
      </c>
      <c r="AL878" t="s">
        <v>74</v>
      </c>
      <c r="AM878" t="s">
        <v>74</v>
      </c>
      <c r="AN878" t="s">
        <v>74</v>
      </c>
      <c r="AO878" t="s">
        <v>74</v>
      </c>
      <c r="AP878" t="s">
        <v>131</v>
      </c>
      <c r="AQ878" t="s">
        <v>74</v>
      </c>
      <c r="AR878" t="s">
        <v>74</v>
      </c>
      <c r="AS878" t="s">
        <v>74</v>
      </c>
      <c r="AT878" t="s">
        <v>132</v>
      </c>
      <c r="AU878">
        <v>2021</v>
      </c>
      <c r="AV878">
        <v>10</v>
      </c>
      <c r="AW878">
        <v>6</v>
      </c>
      <c r="AX878" t="s">
        <v>74</v>
      </c>
      <c r="AY878" t="s">
        <v>74</v>
      </c>
      <c r="AZ878" t="s">
        <v>74</v>
      </c>
      <c r="BA878" t="s">
        <v>74</v>
      </c>
      <c r="BB878" t="s">
        <v>74</v>
      </c>
      <c r="BC878" t="s">
        <v>74</v>
      </c>
      <c r="BD878" t="s">
        <v>4794</v>
      </c>
      <c r="BE878" t="s">
        <v>4795</v>
      </c>
      <c r="BF878" t="str">
        <f>HYPERLINK("http://dx.doi.org/10.1002/jev2.12080","http://dx.doi.org/10.1002/jev2.12080")</f>
        <v>http://dx.doi.org/10.1002/jev2.12080</v>
      </c>
      <c r="BG878" t="s">
        <v>74</v>
      </c>
      <c r="BH878" t="s">
        <v>74</v>
      </c>
      <c r="BI878" t="s">
        <v>74</v>
      </c>
      <c r="BJ878" t="s">
        <v>135</v>
      </c>
      <c r="BK878" t="s">
        <v>117</v>
      </c>
      <c r="BL878" t="s">
        <v>135</v>
      </c>
      <c r="BM878" t="s">
        <v>74</v>
      </c>
      <c r="BN878">
        <v>33815695</v>
      </c>
      <c r="BO878" t="s">
        <v>74</v>
      </c>
      <c r="BP878" t="s">
        <v>74</v>
      </c>
      <c r="BQ878" t="s">
        <v>74</v>
      </c>
      <c r="BR878" t="s">
        <v>96</v>
      </c>
      <c r="BS878" t="s">
        <v>4796</v>
      </c>
      <c r="BT878" t="str">
        <f>HYPERLINK("https%3A%2F%2Fwww.webofscience.com%2Fwos%2Fwoscc%2Ffull-record%2FWOS:000635723100001","View Full Record in Web of Science")</f>
        <v>View Full Record in Web of Science</v>
      </c>
    </row>
    <row r="879" spans="1:72" x14ac:dyDescent="0.15">
      <c r="A879" t="s">
        <v>98</v>
      </c>
      <c r="B879" t="s">
        <v>5010</v>
      </c>
      <c r="C879" t="s">
        <v>74</v>
      </c>
      <c r="D879" t="s">
        <v>74</v>
      </c>
      <c r="E879" t="s">
        <v>74</v>
      </c>
      <c r="F879" t="s">
        <v>5011</v>
      </c>
      <c r="G879" t="s">
        <v>74</v>
      </c>
      <c r="H879" t="s">
        <v>74</v>
      </c>
      <c r="I879" t="s">
        <v>5012</v>
      </c>
      <c r="J879" t="s">
        <v>817</v>
      </c>
      <c r="K879" t="s">
        <v>74</v>
      </c>
      <c r="L879" t="s">
        <v>74</v>
      </c>
      <c r="M879" t="s">
        <v>74</v>
      </c>
      <c r="N879" t="s">
        <v>103</v>
      </c>
      <c r="O879" t="s">
        <v>74</v>
      </c>
      <c r="P879" t="s">
        <v>74</v>
      </c>
      <c r="Q879" t="s">
        <v>74</v>
      </c>
      <c r="R879" t="s">
        <v>74</v>
      </c>
      <c r="S879" t="s">
        <v>74</v>
      </c>
      <c r="T879" t="s">
        <v>5013</v>
      </c>
      <c r="U879" t="s">
        <v>5014</v>
      </c>
      <c r="V879" t="s">
        <v>5015</v>
      </c>
      <c r="W879" t="s">
        <v>5016</v>
      </c>
      <c r="X879" t="s">
        <v>5017</v>
      </c>
      <c r="Y879" t="s">
        <v>5018</v>
      </c>
      <c r="Z879" t="s">
        <v>5019</v>
      </c>
      <c r="AA879" t="s">
        <v>2256</v>
      </c>
      <c r="AB879" t="s">
        <v>2257</v>
      </c>
      <c r="AC879" t="s">
        <v>74</v>
      </c>
      <c r="AD879" t="s">
        <v>74</v>
      </c>
      <c r="AE879" t="s">
        <v>74</v>
      </c>
      <c r="AF879" t="s">
        <v>74</v>
      </c>
      <c r="AG879">
        <v>42</v>
      </c>
      <c r="AH879">
        <v>18</v>
      </c>
      <c r="AI879">
        <v>20</v>
      </c>
      <c r="AJ879">
        <v>4</v>
      </c>
      <c r="AK879">
        <v>18</v>
      </c>
      <c r="AL879" t="s">
        <v>74</v>
      </c>
      <c r="AM879" t="s">
        <v>74</v>
      </c>
      <c r="AN879" t="s">
        <v>74</v>
      </c>
      <c r="AO879" t="s">
        <v>74</v>
      </c>
      <c r="AP879" t="s">
        <v>827</v>
      </c>
      <c r="AQ879" t="s">
        <v>74</v>
      </c>
      <c r="AR879" t="s">
        <v>74</v>
      </c>
      <c r="AS879" t="s">
        <v>74</v>
      </c>
      <c r="AT879" t="s">
        <v>967</v>
      </c>
      <c r="AU879">
        <v>2018</v>
      </c>
      <c r="AV879">
        <v>19</v>
      </c>
      <c r="AW879">
        <v>12</v>
      </c>
      <c r="AX879" t="s">
        <v>74</v>
      </c>
      <c r="AY879" t="s">
        <v>74</v>
      </c>
      <c r="AZ879" t="s">
        <v>74</v>
      </c>
      <c r="BA879" t="s">
        <v>74</v>
      </c>
      <c r="BB879" t="s">
        <v>74</v>
      </c>
      <c r="BC879" t="s">
        <v>74</v>
      </c>
      <c r="BD879">
        <v>3843</v>
      </c>
      <c r="BE879" t="s">
        <v>5020</v>
      </c>
      <c r="BF879" t="str">
        <f>HYPERLINK("http://dx.doi.org/10.3390/ijms19123843","http://dx.doi.org/10.3390/ijms19123843")</f>
        <v>http://dx.doi.org/10.3390/ijms19123843</v>
      </c>
      <c r="BG879" t="s">
        <v>74</v>
      </c>
      <c r="BH879" t="s">
        <v>74</v>
      </c>
      <c r="BI879" t="s">
        <v>74</v>
      </c>
      <c r="BJ879" t="s">
        <v>830</v>
      </c>
      <c r="BK879" t="s">
        <v>117</v>
      </c>
      <c r="BL879" t="s">
        <v>831</v>
      </c>
      <c r="BM879" t="s">
        <v>74</v>
      </c>
      <c r="BN879">
        <v>30513870</v>
      </c>
      <c r="BO879" t="s">
        <v>74</v>
      </c>
      <c r="BP879" t="s">
        <v>74</v>
      </c>
      <c r="BQ879" t="s">
        <v>74</v>
      </c>
      <c r="BR879" t="s">
        <v>96</v>
      </c>
      <c r="BS879" t="s">
        <v>5021</v>
      </c>
      <c r="BT879" t="str">
        <f>HYPERLINK("https%3A%2F%2Fwww.webofscience.com%2Fwos%2Fwoscc%2Ffull-record%2FWOS:000455323500145","View Full Record in Web of Science")</f>
        <v>View Full Record in Web of Science</v>
      </c>
    </row>
    <row r="880" spans="1:72" x14ac:dyDescent="0.15">
      <c r="A880" t="s">
        <v>98</v>
      </c>
      <c r="B880" t="s">
        <v>5201</v>
      </c>
      <c r="C880" t="s">
        <v>74</v>
      </c>
      <c r="D880" t="s">
        <v>74</v>
      </c>
      <c r="E880" t="s">
        <v>74</v>
      </c>
      <c r="F880" t="s">
        <v>5202</v>
      </c>
      <c r="G880" t="s">
        <v>74</v>
      </c>
      <c r="H880" t="s">
        <v>74</v>
      </c>
      <c r="I880" t="s">
        <v>5203</v>
      </c>
      <c r="J880" t="s">
        <v>2833</v>
      </c>
      <c r="K880" t="s">
        <v>74</v>
      </c>
      <c r="L880" t="s">
        <v>74</v>
      </c>
      <c r="M880" t="s">
        <v>74</v>
      </c>
      <c r="N880" t="s">
        <v>103</v>
      </c>
      <c r="O880" t="s">
        <v>74</v>
      </c>
      <c r="P880" t="s">
        <v>74</v>
      </c>
      <c r="Q880" t="s">
        <v>74</v>
      </c>
      <c r="R880" t="s">
        <v>74</v>
      </c>
      <c r="S880" t="s">
        <v>74</v>
      </c>
      <c r="T880" t="s">
        <v>5204</v>
      </c>
      <c r="U880" t="s">
        <v>5205</v>
      </c>
      <c r="V880" t="s">
        <v>5206</v>
      </c>
      <c r="W880" t="s">
        <v>5207</v>
      </c>
      <c r="X880" t="s">
        <v>5208</v>
      </c>
      <c r="Y880" t="s">
        <v>5209</v>
      </c>
      <c r="Z880" t="s">
        <v>5210</v>
      </c>
      <c r="AA880" t="s">
        <v>5211</v>
      </c>
      <c r="AB880" t="s">
        <v>5212</v>
      </c>
      <c r="AC880" t="s">
        <v>74</v>
      </c>
      <c r="AD880" t="s">
        <v>74</v>
      </c>
      <c r="AE880" t="s">
        <v>74</v>
      </c>
      <c r="AF880" t="s">
        <v>74</v>
      </c>
      <c r="AG880">
        <v>52</v>
      </c>
      <c r="AH880">
        <v>18</v>
      </c>
      <c r="AI880">
        <v>19</v>
      </c>
      <c r="AJ880">
        <v>1</v>
      </c>
      <c r="AK880">
        <v>15</v>
      </c>
      <c r="AL880" t="s">
        <v>74</v>
      </c>
      <c r="AM880" t="s">
        <v>74</v>
      </c>
      <c r="AN880" t="s">
        <v>74</v>
      </c>
      <c r="AO880" t="s">
        <v>2841</v>
      </c>
      <c r="AP880" t="s">
        <v>74</v>
      </c>
      <c r="AQ880" t="s">
        <v>74</v>
      </c>
      <c r="AR880" t="s">
        <v>74</v>
      </c>
      <c r="AS880" t="s">
        <v>74</v>
      </c>
      <c r="AT880" t="s">
        <v>5213</v>
      </c>
      <c r="AU880">
        <v>2010</v>
      </c>
      <c r="AV880">
        <v>401</v>
      </c>
      <c r="AW880">
        <v>2</v>
      </c>
      <c r="AX880" t="s">
        <v>74</v>
      </c>
      <c r="AY880" t="s">
        <v>74</v>
      </c>
      <c r="AZ880" t="s">
        <v>74</v>
      </c>
      <c r="BA880" t="s">
        <v>74</v>
      </c>
      <c r="BB880">
        <v>197</v>
      </c>
      <c r="BC880">
        <v>202</v>
      </c>
      <c r="BD880" t="s">
        <v>74</v>
      </c>
      <c r="BE880" t="s">
        <v>5214</v>
      </c>
      <c r="BF880" t="str">
        <f>HYPERLINK("http://dx.doi.org/10.1016/j.bbrc.2010.09.026","http://dx.doi.org/10.1016/j.bbrc.2010.09.026")</f>
        <v>http://dx.doi.org/10.1016/j.bbrc.2010.09.026</v>
      </c>
      <c r="BG880" t="s">
        <v>74</v>
      </c>
      <c r="BH880" t="s">
        <v>74</v>
      </c>
      <c r="BI880" t="s">
        <v>74</v>
      </c>
      <c r="BJ880" t="s">
        <v>2845</v>
      </c>
      <c r="BK880" t="s">
        <v>117</v>
      </c>
      <c r="BL880" t="s">
        <v>2845</v>
      </c>
      <c r="BM880" t="s">
        <v>74</v>
      </c>
      <c r="BN880">
        <v>20833130</v>
      </c>
      <c r="BO880" t="s">
        <v>74</v>
      </c>
      <c r="BP880" t="s">
        <v>74</v>
      </c>
      <c r="BQ880" t="s">
        <v>74</v>
      </c>
      <c r="BR880" t="s">
        <v>96</v>
      </c>
      <c r="BS880" t="s">
        <v>5215</v>
      </c>
      <c r="BT880" t="str">
        <f>HYPERLINK("https%3A%2F%2Fwww.webofscience.com%2Fwos%2Fwoscc%2Ffull-record%2FWOS:000283571700006","View Full Record in Web of Science")</f>
        <v>View Full Record in Web of Science</v>
      </c>
    </row>
    <row r="881" spans="1:72" x14ac:dyDescent="0.15">
      <c r="A881" t="s">
        <v>98</v>
      </c>
      <c r="B881" t="s">
        <v>8717</v>
      </c>
      <c r="C881" t="s">
        <v>74</v>
      </c>
      <c r="D881" t="s">
        <v>74</v>
      </c>
      <c r="E881" t="s">
        <v>74</v>
      </c>
      <c r="F881" t="s">
        <v>8718</v>
      </c>
      <c r="G881" t="s">
        <v>74</v>
      </c>
      <c r="H881" t="s">
        <v>74</v>
      </c>
      <c r="I881" t="s">
        <v>8719</v>
      </c>
      <c r="J881" t="s">
        <v>3032</v>
      </c>
      <c r="K881" t="s">
        <v>74</v>
      </c>
      <c r="L881" t="s">
        <v>74</v>
      </c>
      <c r="M881" t="s">
        <v>74</v>
      </c>
      <c r="N881" t="s">
        <v>103</v>
      </c>
      <c r="O881" t="s">
        <v>74</v>
      </c>
      <c r="P881" t="s">
        <v>74</v>
      </c>
      <c r="Q881" t="s">
        <v>74</v>
      </c>
      <c r="R881" t="s">
        <v>74</v>
      </c>
      <c r="S881" t="s">
        <v>74</v>
      </c>
      <c r="T881" t="s">
        <v>74</v>
      </c>
      <c r="U881" t="s">
        <v>8720</v>
      </c>
      <c r="V881" t="s">
        <v>8721</v>
      </c>
      <c r="W881" t="s">
        <v>8722</v>
      </c>
      <c r="X881" t="s">
        <v>8723</v>
      </c>
      <c r="Y881" t="s">
        <v>8724</v>
      </c>
      <c r="Z881" t="s">
        <v>8725</v>
      </c>
      <c r="AA881" t="s">
        <v>8726</v>
      </c>
      <c r="AB881" t="s">
        <v>8727</v>
      </c>
      <c r="AC881" t="s">
        <v>74</v>
      </c>
      <c r="AD881" t="s">
        <v>74</v>
      </c>
      <c r="AE881" t="s">
        <v>74</v>
      </c>
      <c r="AF881" t="s">
        <v>74</v>
      </c>
      <c r="AG881">
        <v>30</v>
      </c>
      <c r="AH881">
        <v>18</v>
      </c>
      <c r="AI881">
        <v>18</v>
      </c>
      <c r="AJ881">
        <v>2</v>
      </c>
      <c r="AK881">
        <v>15</v>
      </c>
      <c r="AL881" t="s">
        <v>74</v>
      </c>
      <c r="AM881" t="s">
        <v>74</v>
      </c>
      <c r="AN881" t="s">
        <v>74</v>
      </c>
      <c r="AO881" t="s">
        <v>3041</v>
      </c>
      <c r="AP881" t="s">
        <v>3042</v>
      </c>
      <c r="AQ881" t="s">
        <v>74</v>
      </c>
      <c r="AR881" t="s">
        <v>74</v>
      </c>
      <c r="AS881" t="s">
        <v>74</v>
      </c>
      <c r="AT881" t="s">
        <v>614</v>
      </c>
      <c r="AU881">
        <v>2015</v>
      </c>
      <c r="AV881">
        <v>81</v>
      </c>
      <c r="AW881">
        <v>14</v>
      </c>
      <c r="AX881" t="s">
        <v>74</v>
      </c>
      <c r="AY881" t="s">
        <v>74</v>
      </c>
      <c r="AZ881" t="s">
        <v>74</v>
      </c>
      <c r="BA881" t="s">
        <v>74</v>
      </c>
      <c r="BB881">
        <v>4591</v>
      </c>
      <c r="BC881">
        <v>4599</v>
      </c>
      <c r="BD881" t="s">
        <v>74</v>
      </c>
      <c r="BE881" t="s">
        <v>8728</v>
      </c>
      <c r="BF881" t="str">
        <f>HYPERLINK("http://dx.doi.org/10.1128/AEM.00428-15","http://dx.doi.org/10.1128/AEM.00428-15")</f>
        <v>http://dx.doi.org/10.1128/AEM.00428-15</v>
      </c>
      <c r="BG881" t="s">
        <v>74</v>
      </c>
      <c r="BH881" t="s">
        <v>74</v>
      </c>
      <c r="BI881" t="s">
        <v>74</v>
      </c>
      <c r="BJ881" t="s">
        <v>1464</v>
      </c>
      <c r="BK881" t="s">
        <v>117</v>
      </c>
      <c r="BL881" t="s">
        <v>1464</v>
      </c>
      <c r="BM881" t="s">
        <v>74</v>
      </c>
      <c r="BN881">
        <v>25934618</v>
      </c>
      <c r="BO881" t="s">
        <v>74</v>
      </c>
      <c r="BP881" t="s">
        <v>74</v>
      </c>
      <c r="BQ881" t="s">
        <v>74</v>
      </c>
      <c r="BR881" t="s">
        <v>96</v>
      </c>
      <c r="BS881" t="s">
        <v>8729</v>
      </c>
      <c r="BT881" t="str">
        <f>HYPERLINK("https%3A%2F%2Fwww.webofscience.com%2Fwos%2Fwoscc%2Ffull-record%2FWOS:000356528200004","View Full Record in Web of Science")</f>
        <v>View Full Record in Web of Science</v>
      </c>
    </row>
    <row r="882" spans="1:72" x14ac:dyDescent="0.15">
      <c r="A882" t="s">
        <v>98</v>
      </c>
      <c r="B882" t="s">
        <v>9062</v>
      </c>
      <c r="C882" t="s">
        <v>74</v>
      </c>
      <c r="D882" t="s">
        <v>74</v>
      </c>
      <c r="E882" t="s">
        <v>74</v>
      </c>
      <c r="F882" t="s">
        <v>9063</v>
      </c>
      <c r="G882" t="s">
        <v>74</v>
      </c>
      <c r="H882" t="s">
        <v>74</v>
      </c>
      <c r="I882" t="s">
        <v>9064</v>
      </c>
      <c r="J882" t="s">
        <v>2520</v>
      </c>
      <c r="K882" t="s">
        <v>74</v>
      </c>
      <c r="L882" t="s">
        <v>74</v>
      </c>
      <c r="M882" t="s">
        <v>74</v>
      </c>
      <c r="N882" t="s">
        <v>103</v>
      </c>
      <c r="O882" t="s">
        <v>74</v>
      </c>
      <c r="P882" t="s">
        <v>74</v>
      </c>
      <c r="Q882" t="s">
        <v>74</v>
      </c>
      <c r="R882" t="s">
        <v>74</v>
      </c>
      <c r="S882" t="s">
        <v>74</v>
      </c>
      <c r="T882" t="s">
        <v>9065</v>
      </c>
      <c r="U882" t="s">
        <v>9066</v>
      </c>
      <c r="V882" t="s">
        <v>9067</v>
      </c>
      <c r="W882" t="s">
        <v>9068</v>
      </c>
      <c r="X882" t="s">
        <v>9069</v>
      </c>
      <c r="Y882" t="s">
        <v>9070</v>
      </c>
      <c r="Z882" t="s">
        <v>9071</v>
      </c>
      <c r="AA882" t="s">
        <v>74</v>
      </c>
      <c r="AB882" t="s">
        <v>9072</v>
      </c>
      <c r="AC882" t="s">
        <v>74</v>
      </c>
      <c r="AD882" t="s">
        <v>74</v>
      </c>
      <c r="AE882" t="s">
        <v>74</v>
      </c>
      <c r="AF882" t="s">
        <v>74</v>
      </c>
      <c r="AG882">
        <v>75</v>
      </c>
      <c r="AH882">
        <v>18</v>
      </c>
      <c r="AI882">
        <v>19</v>
      </c>
      <c r="AJ882">
        <v>21</v>
      </c>
      <c r="AK882">
        <v>41</v>
      </c>
      <c r="AL882" t="s">
        <v>74</v>
      </c>
      <c r="AM882" t="s">
        <v>74</v>
      </c>
      <c r="AN882" t="s">
        <v>74</v>
      </c>
      <c r="AO882" t="s">
        <v>2529</v>
      </c>
      <c r="AP882" t="s">
        <v>74</v>
      </c>
      <c r="AQ882" t="s">
        <v>74</v>
      </c>
      <c r="AR882" t="s">
        <v>74</v>
      </c>
      <c r="AS882" t="s">
        <v>74</v>
      </c>
      <c r="AT882" t="s">
        <v>5325</v>
      </c>
      <c r="AU882">
        <v>2020</v>
      </c>
      <c r="AV882">
        <v>11</v>
      </c>
      <c r="AW882" t="s">
        <v>74</v>
      </c>
      <c r="AX882" t="s">
        <v>74</v>
      </c>
      <c r="AY882" t="s">
        <v>74</v>
      </c>
      <c r="AZ882" t="s">
        <v>74</v>
      </c>
      <c r="BA882" t="s">
        <v>74</v>
      </c>
      <c r="BB882" t="s">
        <v>74</v>
      </c>
      <c r="BC882" t="s">
        <v>74</v>
      </c>
      <c r="BD882">
        <v>813</v>
      </c>
      <c r="BE882" t="s">
        <v>9073</v>
      </c>
      <c r="BF882" t="str">
        <f>HYPERLINK("http://dx.doi.org/10.3389/fmicb.2020.00813","http://dx.doi.org/10.3389/fmicb.2020.00813")</f>
        <v>http://dx.doi.org/10.3389/fmicb.2020.00813</v>
      </c>
      <c r="BG882" t="s">
        <v>74</v>
      </c>
      <c r="BH882" t="s">
        <v>74</v>
      </c>
      <c r="BI882" t="s">
        <v>74</v>
      </c>
      <c r="BJ882" t="s">
        <v>898</v>
      </c>
      <c r="BK882" t="s">
        <v>117</v>
      </c>
      <c r="BL882" t="s">
        <v>898</v>
      </c>
      <c r="BM882" t="s">
        <v>74</v>
      </c>
      <c r="BN882">
        <v>32508761</v>
      </c>
      <c r="BO882" t="s">
        <v>74</v>
      </c>
      <c r="BP882" t="s">
        <v>74</v>
      </c>
      <c r="BQ882" t="s">
        <v>74</v>
      </c>
      <c r="BR882" t="s">
        <v>96</v>
      </c>
      <c r="BS882" t="s">
        <v>9074</v>
      </c>
      <c r="BT882" t="str">
        <f>HYPERLINK("https%3A%2F%2Fwww.webofscience.com%2Fwos%2Fwoscc%2Ffull-record%2FWOS:000538888300001","View Full Record in Web of Science")</f>
        <v>View Full Record in Web of Science</v>
      </c>
    </row>
    <row r="883" spans="1:72" x14ac:dyDescent="0.15">
      <c r="A883" t="s">
        <v>98</v>
      </c>
      <c r="B883" t="s">
        <v>9789</v>
      </c>
      <c r="C883" t="s">
        <v>74</v>
      </c>
      <c r="D883" t="s">
        <v>74</v>
      </c>
      <c r="E883" t="s">
        <v>74</v>
      </c>
      <c r="F883" t="s">
        <v>9790</v>
      </c>
      <c r="G883" t="s">
        <v>74</v>
      </c>
      <c r="H883" t="s">
        <v>74</v>
      </c>
      <c r="I883" t="s">
        <v>9791</v>
      </c>
      <c r="J883" t="s">
        <v>9792</v>
      </c>
      <c r="K883" t="s">
        <v>74</v>
      </c>
      <c r="L883" t="s">
        <v>74</v>
      </c>
      <c r="M883" t="s">
        <v>74</v>
      </c>
      <c r="N883" t="s">
        <v>103</v>
      </c>
      <c r="O883" t="s">
        <v>74</v>
      </c>
      <c r="P883" t="s">
        <v>74</v>
      </c>
      <c r="Q883" t="s">
        <v>74</v>
      </c>
      <c r="R883" t="s">
        <v>74</v>
      </c>
      <c r="S883" t="s">
        <v>74</v>
      </c>
      <c r="T883" t="s">
        <v>9793</v>
      </c>
      <c r="U883" t="s">
        <v>9794</v>
      </c>
      <c r="V883" t="s">
        <v>9795</v>
      </c>
      <c r="W883" t="s">
        <v>9796</v>
      </c>
      <c r="X883" t="s">
        <v>9797</v>
      </c>
      <c r="Y883" t="s">
        <v>9798</v>
      </c>
      <c r="Z883" t="s">
        <v>9799</v>
      </c>
      <c r="AA883" t="s">
        <v>9800</v>
      </c>
      <c r="AB883" t="s">
        <v>9801</v>
      </c>
      <c r="AC883" t="s">
        <v>74</v>
      </c>
      <c r="AD883" t="s">
        <v>74</v>
      </c>
      <c r="AE883" t="s">
        <v>74</v>
      </c>
      <c r="AF883" t="s">
        <v>74</v>
      </c>
      <c r="AG883">
        <v>66</v>
      </c>
      <c r="AH883">
        <v>18</v>
      </c>
      <c r="AI883">
        <v>19</v>
      </c>
      <c r="AJ883">
        <v>0</v>
      </c>
      <c r="AK883">
        <v>7</v>
      </c>
      <c r="AL883" t="s">
        <v>74</v>
      </c>
      <c r="AM883" t="s">
        <v>74</v>
      </c>
      <c r="AN883" t="s">
        <v>74</v>
      </c>
      <c r="AO883" t="s">
        <v>9802</v>
      </c>
      <c r="AP883" t="s">
        <v>9803</v>
      </c>
      <c r="AQ883" t="s">
        <v>74</v>
      </c>
      <c r="AR883" t="s">
        <v>74</v>
      </c>
      <c r="AS883" t="s">
        <v>74</v>
      </c>
      <c r="AT883" t="s">
        <v>211</v>
      </c>
      <c r="AU883">
        <v>2017</v>
      </c>
      <c r="AV883">
        <v>39</v>
      </c>
      <c r="AW883" t="s">
        <v>74</v>
      </c>
      <c r="AX883" t="s">
        <v>74</v>
      </c>
      <c r="AY883" t="s">
        <v>74</v>
      </c>
      <c r="AZ883" t="s">
        <v>74</v>
      </c>
      <c r="BA883" t="s">
        <v>74</v>
      </c>
      <c r="BB883">
        <v>18</v>
      </c>
      <c r="BC883">
        <v>31</v>
      </c>
      <c r="BD883" t="s">
        <v>74</v>
      </c>
      <c r="BE883" t="s">
        <v>9804</v>
      </c>
      <c r="BF883" t="str">
        <f>HYPERLINK("http://dx.doi.org/10.1016/j.cellsig.2017.07.019","http://dx.doi.org/10.1016/j.cellsig.2017.07.019")</f>
        <v>http://dx.doi.org/10.1016/j.cellsig.2017.07.019</v>
      </c>
      <c r="BG883" t="s">
        <v>74</v>
      </c>
      <c r="BH883" t="s">
        <v>74</v>
      </c>
      <c r="BI883" t="s">
        <v>74</v>
      </c>
      <c r="BJ883" t="s">
        <v>135</v>
      </c>
      <c r="BK883" t="s">
        <v>117</v>
      </c>
      <c r="BL883" t="s">
        <v>135</v>
      </c>
      <c r="BM883" t="s">
        <v>74</v>
      </c>
      <c r="BN883">
        <v>28751279</v>
      </c>
      <c r="BO883" t="s">
        <v>74</v>
      </c>
      <c r="BP883" t="s">
        <v>74</v>
      </c>
      <c r="BQ883" t="s">
        <v>74</v>
      </c>
      <c r="BR883" t="s">
        <v>96</v>
      </c>
      <c r="BS883" t="s">
        <v>9805</v>
      </c>
      <c r="BT883" t="str">
        <f>HYPERLINK("https%3A%2F%2Fwww.webofscience.com%2Fwos%2Fwoscc%2Ffull-record%2FWOS:000412616600003","View Full Record in Web of Science")</f>
        <v>View Full Record in Web of Science</v>
      </c>
    </row>
    <row r="884" spans="1:72" x14ac:dyDescent="0.15">
      <c r="A884" t="s">
        <v>98</v>
      </c>
      <c r="B884" t="s">
        <v>11011</v>
      </c>
      <c r="C884" t="s">
        <v>74</v>
      </c>
      <c r="D884" t="s">
        <v>74</v>
      </c>
      <c r="E884" t="s">
        <v>74</v>
      </c>
      <c r="F884" t="s">
        <v>11012</v>
      </c>
      <c r="G884" t="s">
        <v>74</v>
      </c>
      <c r="H884" t="s">
        <v>74</v>
      </c>
      <c r="I884" t="s">
        <v>11013</v>
      </c>
      <c r="J884" t="s">
        <v>1073</v>
      </c>
      <c r="K884" t="s">
        <v>74</v>
      </c>
      <c r="L884" t="s">
        <v>74</v>
      </c>
      <c r="M884" t="s">
        <v>74</v>
      </c>
      <c r="N884" t="s">
        <v>103</v>
      </c>
      <c r="O884" t="s">
        <v>74</v>
      </c>
      <c r="P884" t="s">
        <v>74</v>
      </c>
      <c r="Q884" t="s">
        <v>74</v>
      </c>
      <c r="R884" t="s">
        <v>74</v>
      </c>
      <c r="S884" t="s">
        <v>74</v>
      </c>
      <c r="T884" t="s">
        <v>74</v>
      </c>
      <c r="U884" t="s">
        <v>11014</v>
      </c>
      <c r="V884" t="s">
        <v>11015</v>
      </c>
      <c r="W884" t="s">
        <v>11016</v>
      </c>
      <c r="X884" t="s">
        <v>11017</v>
      </c>
      <c r="Y884" t="s">
        <v>11018</v>
      </c>
      <c r="Z884" t="s">
        <v>11019</v>
      </c>
      <c r="AA884" t="s">
        <v>74</v>
      </c>
      <c r="AB884" t="s">
        <v>74</v>
      </c>
      <c r="AC884" t="s">
        <v>74</v>
      </c>
      <c r="AD884" t="s">
        <v>74</v>
      </c>
      <c r="AE884" t="s">
        <v>74</v>
      </c>
      <c r="AF884" t="s">
        <v>74</v>
      </c>
      <c r="AG884">
        <v>54</v>
      </c>
      <c r="AH884">
        <v>18</v>
      </c>
      <c r="AI884">
        <v>20</v>
      </c>
      <c r="AJ884">
        <v>2</v>
      </c>
      <c r="AK884">
        <v>6</v>
      </c>
      <c r="AL884" t="s">
        <v>74</v>
      </c>
      <c r="AM884" t="s">
        <v>74</v>
      </c>
      <c r="AN884" t="s">
        <v>74</v>
      </c>
      <c r="AO884" t="s">
        <v>1082</v>
      </c>
      <c r="AP884" t="s">
        <v>74</v>
      </c>
      <c r="AQ884" t="s">
        <v>74</v>
      </c>
      <c r="AR884" t="s">
        <v>74</v>
      </c>
      <c r="AS884" t="s">
        <v>74</v>
      </c>
      <c r="AT884" t="s">
        <v>11020</v>
      </c>
      <c r="AU884">
        <v>2013</v>
      </c>
      <c r="AV884">
        <v>8</v>
      </c>
      <c r="AW884">
        <v>10</v>
      </c>
      <c r="AX884" t="s">
        <v>74</v>
      </c>
      <c r="AY884" t="s">
        <v>74</v>
      </c>
      <c r="AZ884" t="s">
        <v>74</v>
      </c>
      <c r="BA884" t="s">
        <v>74</v>
      </c>
      <c r="BB884" t="s">
        <v>74</v>
      </c>
      <c r="BC884" t="s">
        <v>74</v>
      </c>
      <c r="BD884" t="s">
        <v>11021</v>
      </c>
      <c r="BE884" t="s">
        <v>11022</v>
      </c>
      <c r="BF884" t="str">
        <f>HYPERLINK("http://dx.doi.org/10.1371/journal.pone.0077359","http://dx.doi.org/10.1371/journal.pone.0077359")</f>
        <v>http://dx.doi.org/10.1371/journal.pone.0077359</v>
      </c>
      <c r="BG884" t="s">
        <v>74</v>
      </c>
      <c r="BH884" t="s">
        <v>74</v>
      </c>
      <c r="BI884" t="s">
        <v>74</v>
      </c>
      <c r="BJ884" t="s">
        <v>152</v>
      </c>
      <c r="BK884" t="s">
        <v>117</v>
      </c>
      <c r="BL884" t="s">
        <v>153</v>
      </c>
      <c r="BM884" t="s">
        <v>74</v>
      </c>
      <c r="BN884">
        <v>24146982</v>
      </c>
      <c r="BO884" t="s">
        <v>74</v>
      </c>
      <c r="BP884" t="s">
        <v>74</v>
      </c>
      <c r="BQ884" t="s">
        <v>74</v>
      </c>
      <c r="BR884" t="s">
        <v>96</v>
      </c>
      <c r="BS884" t="s">
        <v>11023</v>
      </c>
      <c r="BT884" t="str">
        <f>HYPERLINK("https%3A%2F%2Fwww.webofscience.com%2Fwos%2Fwoscc%2Ffull-record%2FWOS:000326022200033","View Full Record in Web of Science")</f>
        <v>View Full Record in Web of Science</v>
      </c>
    </row>
    <row r="885" spans="1:72" x14ac:dyDescent="0.15">
      <c r="A885" t="s">
        <v>98</v>
      </c>
      <c r="B885" t="s">
        <v>11102</v>
      </c>
      <c r="C885" t="s">
        <v>74</v>
      </c>
      <c r="D885" t="s">
        <v>74</v>
      </c>
      <c r="E885" t="s">
        <v>74</v>
      </c>
      <c r="F885" t="s">
        <v>11103</v>
      </c>
      <c r="G885" t="s">
        <v>74</v>
      </c>
      <c r="H885" t="s">
        <v>74</v>
      </c>
      <c r="I885" t="s">
        <v>11104</v>
      </c>
      <c r="J885" t="s">
        <v>503</v>
      </c>
      <c r="K885" t="s">
        <v>74</v>
      </c>
      <c r="L885" t="s">
        <v>74</v>
      </c>
      <c r="M885" t="s">
        <v>74</v>
      </c>
      <c r="N885" t="s">
        <v>103</v>
      </c>
      <c r="O885" t="s">
        <v>74</v>
      </c>
      <c r="P885" t="s">
        <v>74</v>
      </c>
      <c r="Q885" t="s">
        <v>74</v>
      </c>
      <c r="R885" t="s">
        <v>74</v>
      </c>
      <c r="S885" t="s">
        <v>74</v>
      </c>
      <c r="T885" t="s">
        <v>11105</v>
      </c>
      <c r="U885" t="s">
        <v>11106</v>
      </c>
      <c r="V885" t="s">
        <v>11107</v>
      </c>
      <c r="W885" t="s">
        <v>11108</v>
      </c>
      <c r="X885" t="s">
        <v>11109</v>
      </c>
      <c r="Y885" t="s">
        <v>11110</v>
      </c>
      <c r="Z885" t="s">
        <v>11111</v>
      </c>
      <c r="AA885" t="s">
        <v>11112</v>
      </c>
      <c r="AB885" t="s">
        <v>11113</v>
      </c>
      <c r="AC885" t="s">
        <v>74</v>
      </c>
      <c r="AD885" t="s">
        <v>74</v>
      </c>
      <c r="AE885" t="s">
        <v>74</v>
      </c>
      <c r="AF885" t="s">
        <v>74</v>
      </c>
      <c r="AG885">
        <v>49</v>
      </c>
      <c r="AH885">
        <v>18</v>
      </c>
      <c r="AI885">
        <v>18</v>
      </c>
      <c r="AJ885">
        <v>0</v>
      </c>
      <c r="AK885">
        <v>30</v>
      </c>
      <c r="AL885" t="s">
        <v>74</v>
      </c>
      <c r="AM885" t="s">
        <v>74</v>
      </c>
      <c r="AN885" t="s">
        <v>74</v>
      </c>
      <c r="AO885" t="s">
        <v>512</v>
      </c>
      <c r="AP885" t="s">
        <v>513</v>
      </c>
      <c r="AQ885" t="s">
        <v>74</v>
      </c>
      <c r="AR885" t="s">
        <v>74</v>
      </c>
      <c r="AS885" t="s">
        <v>74</v>
      </c>
      <c r="AT885" t="s">
        <v>1570</v>
      </c>
      <c r="AU885">
        <v>2016</v>
      </c>
      <c r="AV885">
        <v>76</v>
      </c>
      <c r="AW885">
        <v>4</v>
      </c>
      <c r="AX885" t="s">
        <v>74</v>
      </c>
      <c r="AY885" t="s">
        <v>74</v>
      </c>
      <c r="AZ885" t="s">
        <v>74</v>
      </c>
      <c r="BA885" t="s">
        <v>74</v>
      </c>
      <c r="BB885">
        <v>409</v>
      </c>
      <c r="BC885">
        <v>424</v>
      </c>
      <c r="BD885" t="s">
        <v>74</v>
      </c>
      <c r="BE885" t="s">
        <v>11114</v>
      </c>
      <c r="BF885" t="str">
        <f>HYPERLINK("http://dx.doi.org/10.1002/pros.23132","http://dx.doi.org/10.1002/pros.23132")</f>
        <v>http://dx.doi.org/10.1002/pros.23132</v>
      </c>
      <c r="BG885" t="s">
        <v>74</v>
      </c>
      <c r="BH885" t="s">
        <v>74</v>
      </c>
      <c r="BI885" t="s">
        <v>74</v>
      </c>
      <c r="BJ885" t="s">
        <v>515</v>
      </c>
      <c r="BK885" t="s">
        <v>117</v>
      </c>
      <c r="BL885" t="s">
        <v>515</v>
      </c>
      <c r="BM885" t="s">
        <v>74</v>
      </c>
      <c r="BN885">
        <v>26643154</v>
      </c>
      <c r="BO885" t="s">
        <v>74</v>
      </c>
      <c r="BP885" t="s">
        <v>74</v>
      </c>
      <c r="BQ885" t="s">
        <v>74</v>
      </c>
      <c r="BR885" t="s">
        <v>96</v>
      </c>
      <c r="BS885" t="s">
        <v>11115</v>
      </c>
      <c r="BT885" t="str">
        <f>HYPERLINK("https%3A%2F%2Fwww.webofscience.com%2Fwos%2Fwoscc%2Ffull-record%2FWOS:000368808700009","View Full Record in Web of Science")</f>
        <v>View Full Record in Web of Science</v>
      </c>
    </row>
    <row r="886" spans="1:72" x14ac:dyDescent="0.15">
      <c r="A886" t="s">
        <v>98</v>
      </c>
      <c r="B886" t="s">
        <v>12782</v>
      </c>
      <c r="C886" t="s">
        <v>74</v>
      </c>
      <c r="D886" t="s">
        <v>74</v>
      </c>
      <c r="E886" t="s">
        <v>74</v>
      </c>
      <c r="F886" t="s">
        <v>12783</v>
      </c>
      <c r="G886" t="s">
        <v>74</v>
      </c>
      <c r="H886" t="s">
        <v>74</v>
      </c>
      <c r="I886" t="s">
        <v>12784</v>
      </c>
      <c r="J886" t="s">
        <v>12785</v>
      </c>
      <c r="K886" t="s">
        <v>74</v>
      </c>
      <c r="L886" t="s">
        <v>74</v>
      </c>
      <c r="M886" t="s">
        <v>74</v>
      </c>
      <c r="N886" t="s">
        <v>103</v>
      </c>
      <c r="O886" t="s">
        <v>74</v>
      </c>
      <c r="P886" t="s">
        <v>74</v>
      </c>
      <c r="Q886" t="s">
        <v>74</v>
      </c>
      <c r="R886" t="s">
        <v>74</v>
      </c>
      <c r="S886" t="s">
        <v>74</v>
      </c>
      <c r="T886" t="s">
        <v>12786</v>
      </c>
      <c r="U886" t="s">
        <v>12787</v>
      </c>
      <c r="V886" t="s">
        <v>12788</v>
      </c>
      <c r="W886" t="s">
        <v>12789</v>
      </c>
      <c r="X886" t="s">
        <v>12790</v>
      </c>
      <c r="Y886" t="s">
        <v>12791</v>
      </c>
      <c r="Z886" t="s">
        <v>12792</v>
      </c>
      <c r="AA886" t="s">
        <v>12793</v>
      </c>
      <c r="AB886" t="s">
        <v>12794</v>
      </c>
      <c r="AC886" t="s">
        <v>74</v>
      </c>
      <c r="AD886" t="s">
        <v>74</v>
      </c>
      <c r="AE886" t="s">
        <v>74</v>
      </c>
      <c r="AF886" t="s">
        <v>74</v>
      </c>
      <c r="AG886">
        <v>50</v>
      </c>
      <c r="AH886">
        <v>18</v>
      </c>
      <c r="AI886">
        <v>18</v>
      </c>
      <c r="AJ886">
        <v>1</v>
      </c>
      <c r="AK886">
        <v>2</v>
      </c>
      <c r="AL886" t="s">
        <v>74</v>
      </c>
      <c r="AM886" t="s">
        <v>74</v>
      </c>
      <c r="AN886" t="s">
        <v>74</v>
      </c>
      <c r="AO886" t="s">
        <v>12795</v>
      </c>
      <c r="AP886" t="s">
        <v>74</v>
      </c>
      <c r="AQ886" t="s">
        <v>74</v>
      </c>
      <c r="AR886" t="s">
        <v>74</v>
      </c>
      <c r="AS886" t="s">
        <v>74</v>
      </c>
      <c r="AT886" t="s">
        <v>211</v>
      </c>
      <c r="AU886">
        <v>2019</v>
      </c>
      <c r="AV886">
        <v>9</v>
      </c>
      <c r="AW886">
        <v>11</v>
      </c>
      <c r="AX886" t="s">
        <v>74</v>
      </c>
      <c r="AY886" t="s">
        <v>74</v>
      </c>
      <c r="AZ886" t="s">
        <v>74</v>
      </c>
      <c r="BA886" t="s">
        <v>74</v>
      </c>
      <c r="BB886" t="s">
        <v>74</v>
      </c>
      <c r="BC886" t="s">
        <v>74</v>
      </c>
      <c r="BD886">
        <v>865</v>
      </c>
      <c r="BE886" t="s">
        <v>12796</v>
      </c>
      <c r="BF886" t="str">
        <f>HYPERLINK("http://dx.doi.org/10.3390/ani9110865","http://dx.doi.org/10.3390/ani9110865")</f>
        <v>http://dx.doi.org/10.3390/ani9110865</v>
      </c>
      <c r="BG886" t="s">
        <v>74</v>
      </c>
      <c r="BH886" t="s">
        <v>74</v>
      </c>
      <c r="BI886" t="s">
        <v>74</v>
      </c>
      <c r="BJ886" t="s">
        <v>12797</v>
      </c>
      <c r="BK886" t="s">
        <v>117</v>
      </c>
      <c r="BL886" t="s">
        <v>12798</v>
      </c>
      <c r="BM886" t="s">
        <v>74</v>
      </c>
      <c r="BN886">
        <v>31731505</v>
      </c>
      <c r="BO886" t="s">
        <v>74</v>
      </c>
      <c r="BP886" t="s">
        <v>74</v>
      </c>
      <c r="BQ886" t="s">
        <v>74</v>
      </c>
      <c r="BR886" t="s">
        <v>96</v>
      </c>
      <c r="BS886" t="s">
        <v>12799</v>
      </c>
      <c r="BT886" t="str">
        <f>HYPERLINK("https%3A%2F%2Fwww.webofscience.com%2Fwos%2Fwoscc%2Ffull-record%2FWOS:000502299900011","View Full Record in Web of Science")</f>
        <v>View Full Record in Web of Science</v>
      </c>
    </row>
    <row r="887" spans="1:72" x14ac:dyDescent="0.15">
      <c r="A887" t="s">
        <v>98</v>
      </c>
      <c r="B887" t="s">
        <v>13758</v>
      </c>
      <c r="C887" t="s">
        <v>74</v>
      </c>
      <c r="D887" t="s">
        <v>74</v>
      </c>
      <c r="E887" t="s">
        <v>74</v>
      </c>
      <c r="F887" t="s">
        <v>13759</v>
      </c>
      <c r="G887" t="s">
        <v>74</v>
      </c>
      <c r="H887" t="s">
        <v>74</v>
      </c>
      <c r="I887" t="s">
        <v>13760</v>
      </c>
      <c r="J887" t="s">
        <v>13761</v>
      </c>
      <c r="K887" t="s">
        <v>74</v>
      </c>
      <c r="L887" t="s">
        <v>74</v>
      </c>
      <c r="M887" t="s">
        <v>74</v>
      </c>
      <c r="N887" t="s">
        <v>103</v>
      </c>
      <c r="O887" t="s">
        <v>74</v>
      </c>
      <c r="P887" t="s">
        <v>74</v>
      </c>
      <c r="Q887" t="s">
        <v>74</v>
      </c>
      <c r="R887" t="s">
        <v>74</v>
      </c>
      <c r="S887" t="s">
        <v>74</v>
      </c>
      <c r="T887" t="s">
        <v>13762</v>
      </c>
      <c r="U887" t="s">
        <v>13763</v>
      </c>
      <c r="V887" t="s">
        <v>13764</v>
      </c>
      <c r="W887" t="s">
        <v>13765</v>
      </c>
      <c r="X887" t="s">
        <v>13766</v>
      </c>
      <c r="Y887" t="s">
        <v>6633</v>
      </c>
      <c r="Z887" t="s">
        <v>6634</v>
      </c>
      <c r="AA887" t="s">
        <v>13767</v>
      </c>
      <c r="AB887" t="s">
        <v>13768</v>
      </c>
      <c r="AC887" t="s">
        <v>74</v>
      </c>
      <c r="AD887" t="s">
        <v>74</v>
      </c>
      <c r="AE887" t="s">
        <v>74</v>
      </c>
      <c r="AF887" t="s">
        <v>74</v>
      </c>
      <c r="AG887">
        <v>34</v>
      </c>
      <c r="AH887">
        <v>18</v>
      </c>
      <c r="AI887">
        <v>18</v>
      </c>
      <c r="AJ887">
        <v>1</v>
      </c>
      <c r="AK887">
        <v>23</v>
      </c>
      <c r="AL887" t="s">
        <v>74</v>
      </c>
      <c r="AM887" t="s">
        <v>74</v>
      </c>
      <c r="AN887" t="s">
        <v>74</v>
      </c>
      <c r="AO887" t="s">
        <v>13769</v>
      </c>
      <c r="AP887" t="s">
        <v>13770</v>
      </c>
      <c r="AQ887" t="s">
        <v>74</v>
      </c>
      <c r="AR887" t="s">
        <v>74</v>
      </c>
      <c r="AS887" t="s">
        <v>74</v>
      </c>
      <c r="AT887" t="s">
        <v>283</v>
      </c>
      <c r="AU887">
        <v>2017</v>
      </c>
      <c r="AV887">
        <v>96</v>
      </c>
      <c r="AW887">
        <v>2</v>
      </c>
      <c r="AX887" t="s">
        <v>74</v>
      </c>
      <c r="AY887" t="s">
        <v>74</v>
      </c>
      <c r="AZ887" t="s">
        <v>74</v>
      </c>
      <c r="BA887" t="s">
        <v>74</v>
      </c>
      <c r="BB887">
        <v>208</v>
      </c>
      <c r="BC887">
        <v>216</v>
      </c>
      <c r="BD887" t="s">
        <v>74</v>
      </c>
      <c r="BE887" t="s">
        <v>13771</v>
      </c>
      <c r="BF887" t="str">
        <f>HYPERLINK("http://dx.doi.org/10.1177/0022034516675849","http://dx.doi.org/10.1177/0022034516675849")</f>
        <v>http://dx.doi.org/10.1177/0022034516675849</v>
      </c>
      <c r="BG887" t="s">
        <v>74</v>
      </c>
      <c r="BH887" t="s">
        <v>74</v>
      </c>
      <c r="BI887" t="s">
        <v>74</v>
      </c>
      <c r="BJ887" t="s">
        <v>13772</v>
      </c>
      <c r="BK887" t="s">
        <v>117</v>
      </c>
      <c r="BL887" t="s">
        <v>13772</v>
      </c>
      <c r="BM887" t="s">
        <v>74</v>
      </c>
      <c r="BN887">
        <v>27770039</v>
      </c>
      <c r="BO887" t="s">
        <v>74</v>
      </c>
      <c r="BP887" t="s">
        <v>74</v>
      </c>
      <c r="BQ887" t="s">
        <v>74</v>
      </c>
      <c r="BR887" t="s">
        <v>96</v>
      </c>
      <c r="BS887" t="s">
        <v>13773</v>
      </c>
      <c r="BT887" t="str">
        <f>HYPERLINK("https%3A%2F%2Fwww.webofscience.com%2Fwos%2Fwoscc%2Ffull-record%2FWOS:000393965500012","View Full Record in Web of Science")</f>
        <v>View Full Record in Web of Science</v>
      </c>
    </row>
    <row r="888" spans="1:72" x14ac:dyDescent="0.15">
      <c r="A888" t="s">
        <v>98</v>
      </c>
      <c r="B888" t="s">
        <v>15394</v>
      </c>
      <c r="C888" t="s">
        <v>74</v>
      </c>
      <c r="D888" t="s">
        <v>74</v>
      </c>
      <c r="E888" t="s">
        <v>74</v>
      </c>
      <c r="F888" t="s">
        <v>15395</v>
      </c>
      <c r="G888" t="s">
        <v>74</v>
      </c>
      <c r="H888" t="s">
        <v>74</v>
      </c>
      <c r="I888" t="s">
        <v>15396</v>
      </c>
      <c r="J888" t="s">
        <v>1143</v>
      </c>
      <c r="K888" t="s">
        <v>74</v>
      </c>
      <c r="L888" t="s">
        <v>74</v>
      </c>
      <c r="M888" t="s">
        <v>74</v>
      </c>
      <c r="N888" t="s">
        <v>103</v>
      </c>
      <c r="O888" t="s">
        <v>74</v>
      </c>
      <c r="P888" t="s">
        <v>74</v>
      </c>
      <c r="Q888" t="s">
        <v>74</v>
      </c>
      <c r="R888" t="s">
        <v>74</v>
      </c>
      <c r="S888" t="s">
        <v>74</v>
      </c>
      <c r="T888" t="s">
        <v>15397</v>
      </c>
      <c r="U888" t="s">
        <v>15398</v>
      </c>
      <c r="V888" t="s">
        <v>15399</v>
      </c>
      <c r="W888" t="s">
        <v>15400</v>
      </c>
      <c r="X888" t="s">
        <v>15401</v>
      </c>
      <c r="Y888" t="s">
        <v>15402</v>
      </c>
      <c r="Z888" t="s">
        <v>15403</v>
      </c>
      <c r="AA888" t="s">
        <v>15404</v>
      </c>
      <c r="AB888" t="s">
        <v>15405</v>
      </c>
      <c r="AC888" t="s">
        <v>74</v>
      </c>
      <c r="AD888" t="s">
        <v>74</v>
      </c>
      <c r="AE888" t="s">
        <v>74</v>
      </c>
      <c r="AF888" t="s">
        <v>74</v>
      </c>
      <c r="AG888">
        <v>51</v>
      </c>
      <c r="AH888">
        <v>18</v>
      </c>
      <c r="AI888">
        <v>19</v>
      </c>
      <c r="AJ888">
        <v>9</v>
      </c>
      <c r="AK888">
        <v>36</v>
      </c>
      <c r="AL888" t="s">
        <v>74</v>
      </c>
      <c r="AM888" t="s">
        <v>74</v>
      </c>
      <c r="AN888" t="s">
        <v>74</v>
      </c>
      <c r="AO888" t="s">
        <v>1153</v>
      </c>
      <c r="AP888" t="s">
        <v>74</v>
      </c>
      <c r="AQ888" t="s">
        <v>74</v>
      </c>
      <c r="AR888" t="s">
        <v>74</v>
      </c>
      <c r="AS888" t="s">
        <v>74</v>
      </c>
      <c r="AT888" t="s">
        <v>74</v>
      </c>
      <c r="AU888">
        <v>2020</v>
      </c>
      <c r="AV888">
        <v>10</v>
      </c>
      <c r="AW888">
        <v>23</v>
      </c>
      <c r="AX888" t="s">
        <v>74</v>
      </c>
      <c r="AY888" t="s">
        <v>74</v>
      </c>
      <c r="AZ888" t="s">
        <v>74</v>
      </c>
      <c r="BA888" t="s">
        <v>74</v>
      </c>
      <c r="BB888">
        <v>10712</v>
      </c>
      <c r="BC888">
        <v>10728</v>
      </c>
      <c r="BD888" t="s">
        <v>74</v>
      </c>
      <c r="BE888" t="s">
        <v>15406</v>
      </c>
      <c r="BF888" t="str">
        <f>HYPERLINK("http://dx.doi.org/10.7150/thno.46143","http://dx.doi.org/10.7150/thno.46143")</f>
        <v>http://dx.doi.org/10.7150/thno.46143</v>
      </c>
      <c r="BG888" t="s">
        <v>74</v>
      </c>
      <c r="BH888" t="s">
        <v>74</v>
      </c>
      <c r="BI888" t="s">
        <v>74</v>
      </c>
      <c r="BJ888" t="s">
        <v>795</v>
      </c>
      <c r="BK888" t="s">
        <v>117</v>
      </c>
      <c r="BL888" t="s">
        <v>796</v>
      </c>
      <c r="BM888" t="s">
        <v>74</v>
      </c>
      <c r="BN888">
        <v>32929376</v>
      </c>
      <c r="BO888" t="s">
        <v>74</v>
      </c>
      <c r="BP888" t="s">
        <v>74</v>
      </c>
      <c r="BQ888" t="s">
        <v>74</v>
      </c>
      <c r="BR888" t="s">
        <v>96</v>
      </c>
      <c r="BS888" t="s">
        <v>15407</v>
      </c>
      <c r="BT888" t="str">
        <f>HYPERLINK("https%3A%2F%2Fwww.webofscience.com%2Fwos%2Fwoscc%2Ffull-record%2FWOS:000566786000008","View Full Record in Web of Science")</f>
        <v>View Full Record in Web of Science</v>
      </c>
    </row>
    <row r="889" spans="1:72" x14ac:dyDescent="0.15">
      <c r="A889" t="s">
        <v>98</v>
      </c>
      <c r="B889" t="s">
        <v>16532</v>
      </c>
      <c r="C889" t="s">
        <v>74</v>
      </c>
      <c r="D889" t="s">
        <v>74</v>
      </c>
      <c r="E889" t="s">
        <v>74</v>
      </c>
      <c r="F889" t="s">
        <v>16533</v>
      </c>
      <c r="G889" t="s">
        <v>74</v>
      </c>
      <c r="H889" t="s">
        <v>74</v>
      </c>
      <c r="I889" t="s">
        <v>16534</v>
      </c>
      <c r="J889" t="s">
        <v>236</v>
      </c>
      <c r="K889" t="s">
        <v>74</v>
      </c>
      <c r="L889" t="s">
        <v>74</v>
      </c>
      <c r="M889" t="s">
        <v>74</v>
      </c>
      <c r="N889" t="s">
        <v>103</v>
      </c>
      <c r="O889" t="s">
        <v>74</v>
      </c>
      <c r="P889" t="s">
        <v>74</v>
      </c>
      <c r="Q889" t="s">
        <v>74</v>
      </c>
      <c r="R889" t="s">
        <v>74</v>
      </c>
      <c r="S889" t="s">
        <v>74</v>
      </c>
      <c r="T889" t="s">
        <v>74</v>
      </c>
      <c r="U889" t="s">
        <v>16535</v>
      </c>
      <c r="V889" t="s">
        <v>16536</v>
      </c>
      <c r="W889" t="s">
        <v>16537</v>
      </c>
      <c r="X889" t="s">
        <v>16538</v>
      </c>
      <c r="Y889" t="s">
        <v>16539</v>
      </c>
      <c r="Z889" t="s">
        <v>16540</v>
      </c>
      <c r="AA889" t="s">
        <v>16541</v>
      </c>
      <c r="AB889" t="s">
        <v>16542</v>
      </c>
      <c r="AC889" t="s">
        <v>74</v>
      </c>
      <c r="AD889" t="s">
        <v>74</v>
      </c>
      <c r="AE889" t="s">
        <v>74</v>
      </c>
      <c r="AF889" t="s">
        <v>74</v>
      </c>
      <c r="AG889">
        <v>47</v>
      </c>
      <c r="AH889">
        <v>18</v>
      </c>
      <c r="AI889">
        <v>18</v>
      </c>
      <c r="AJ889">
        <v>7</v>
      </c>
      <c r="AK889">
        <v>68</v>
      </c>
      <c r="AL889" t="s">
        <v>74</v>
      </c>
      <c r="AM889" t="s">
        <v>74</v>
      </c>
      <c r="AN889" t="s">
        <v>74</v>
      </c>
      <c r="AO889" t="s">
        <v>246</v>
      </c>
      <c r="AP889" t="s">
        <v>247</v>
      </c>
      <c r="AQ889" t="s">
        <v>74</v>
      </c>
      <c r="AR889" t="s">
        <v>74</v>
      </c>
      <c r="AS889" t="s">
        <v>74</v>
      </c>
      <c r="AT889" t="s">
        <v>7340</v>
      </c>
      <c r="AU889">
        <v>2016</v>
      </c>
      <c r="AV889">
        <v>12</v>
      </c>
      <c r="AW889">
        <v>45</v>
      </c>
      <c r="AX889" t="s">
        <v>74</v>
      </c>
      <c r="AY889" t="s">
        <v>74</v>
      </c>
      <c r="AZ889" t="s">
        <v>74</v>
      </c>
      <c r="BA889" t="s">
        <v>74</v>
      </c>
      <c r="BB889">
        <v>6289</v>
      </c>
      <c r="BC889">
        <v>6300</v>
      </c>
      <c r="BD889" t="s">
        <v>74</v>
      </c>
      <c r="BE889" t="s">
        <v>16543</v>
      </c>
      <c r="BF889" t="str">
        <f>HYPERLINK("http://dx.doi.org/10.1002/smll.201601815","http://dx.doi.org/10.1002/smll.201601815")</f>
        <v>http://dx.doi.org/10.1002/smll.201601815</v>
      </c>
      <c r="BG889" t="s">
        <v>74</v>
      </c>
      <c r="BH889" t="s">
        <v>74</v>
      </c>
      <c r="BI889" t="s">
        <v>74</v>
      </c>
      <c r="BJ889" t="s">
        <v>250</v>
      </c>
      <c r="BK889" t="s">
        <v>117</v>
      </c>
      <c r="BL889" t="s">
        <v>251</v>
      </c>
      <c r="BM889" t="s">
        <v>74</v>
      </c>
      <c r="BN889">
        <v>27690329</v>
      </c>
      <c r="BO889" t="s">
        <v>74</v>
      </c>
      <c r="BP889" t="s">
        <v>74</v>
      </c>
      <c r="BQ889" t="s">
        <v>74</v>
      </c>
      <c r="BR889" t="s">
        <v>96</v>
      </c>
      <c r="BS889" t="s">
        <v>16544</v>
      </c>
      <c r="BT889" t="str">
        <f>HYPERLINK("https%3A%2F%2Fwww.webofscience.com%2Fwos%2Fwoscc%2Ffull-record%2FWOS:000389408000011","View Full Record in Web of Science")</f>
        <v>View Full Record in Web of Science</v>
      </c>
    </row>
    <row r="890" spans="1:72" x14ac:dyDescent="0.15">
      <c r="A890" t="s">
        <v>98</v>
      </c>
      <c r="B890" t="s">
        <v>16939</v>
      </c>
      <c r="C890" t="s">
        <v>74</v>
      </c>
      <c r="D890" t="s">
        <v>74</v>
      </c>
      <c r="E890" t="s">
        <v>74</v>
      </c>
      <c r="F890" t="s">
        <v>16940</v>
      </c>
      <c r="G890" t="s">
        <v>74</v>
      </c>
      <c r="H890" t="s">
        <v>74</v>
      </c>
      <c r="I890" t="s">
        <v>16941</v>
      </c>
      <c r="J890" t="s">
        <v>7995</v>
      </c>
      <c r="K890" t="s">
        <v>74</v>
      </c>
      <c r="L890" t="s">
        <v>74</v>
      </c>
      <c r="M890" t="s">
        <v>74</v>
      </c>
      <c r="N890" t="s">
        <v>103</v>
      </c>
      <c r="O890" t="s">
        <v>74</v>
      </c>
      <c r="P890" t="s">
        <v>74</v>
      </c>
      <c r="Q890" t="s">
        <v>74</v>
      </c>
      <c r="R890" t="s">
        <v>74</v>
      </c>
      <c r="S890" t="s">
        <v>74</v>
      </c>
      <c r="T890" t="s">
        <v>16942</v>
      </c>
      <c r="U890" t="s">
        <v>16943</v>
      </c>
      <c r="V890" t="s">
        <v>16944</v>
      </c>
      <c r="W890" t="s">
        <v>16945</v>
      </c>
      <c r="X890" t="s">
        <v>16946</v>
      </c>
      <c r="Y890" t="s">
        <v>16947</v>
      </c>
      <c r="Z890" t="s">
        <v>16948</v>
      </c>
      <c r="AA890" t="s">
        <v>16949</v>
      </c>
      <c r="AB890" t="s">
        <v>16950</v>
      </c>
      <c r="AC890" t="s">
        <v>74</v>
      </c>
      <c r="AD890" t="s">
        <v>74</v>
      </c>
      <c r="AE890" t="s">
        <v>74</v>
      </c>
      <c r="AF890" t="s">
        <v>74</v>
      </c>
      <c r="AG890">
        <v>41</v>
      </c>
      <c r="AH890">
        <v>18</v>
      </c>
      <c r="AI890">
        <v>18</v>
      </c>
      <c r="AJ890">
        <v>0</v>
      </c>
      <c r="AK890">
        <v>30</v>
      </c>
      <c r="AL890" t="s">
        <v>74</v>
      </c>
      <c r="AM890" t="s">
        <v>74</v>
      </c>
      <c r="AN890" t="s">
        <v>74</v>
      </c>
      <c r="AO890" t="s">
        <v>8005</v>
      </c>
      <c r="AP890" t="s">
        <v>8006</v>
      </c>
      <c r="AQ890" t="s">
        <v>74</v>
      </c>
      <c r="AR890" t="s">
        <v>74</v>
      </c>
      <c r="AS890" t="s">
        <v>74</v>
      </c>
      <c r="AT890" t="s">
        <v>189</v>
      </c>
      <c r="AU890">
        <v>2014</v>
      </c>
      <c r="AV890">
        <v>31</v>
      </c>
      <c r="AW890">
        <v>10</v>
      </c>
      <c r="AX890" t="s">
        <v>74</v>
      </c>
      <c r="AY890" t="s">
        <v>74</v>
      </c>
      <c r="AZ890" t="s">
        <v>74</v>
      </c>
      <c r="BA890" t="s">
        <v>74</v>
      </c>
      <c r="BB890">
        <v>2904</v>
      </c>
      <c r="BC890">
        <v>2917</v>
      </c>
      <c r="BD890" t="s">
        <v>74</v>
      </c>
      <c r="BE890" t="s">
        <v>16951</v>
      </c>
      <c r="BF890" t="str">
        <f>HYPERLINK("http://dx.doi.org/10.1007/s11095-014-1386-3","http://dx.doi.org/10.1007/s11095-014-1386-3")</f>
        <v>http://dx.doi.org/10.1007/s11095-014-1386-3</v>
      </c>
      <c r="BG890" t="s">
        <v>74</v>
      </c>
      <c r="BH890" t="s">
        <v>74</v>
      </c>
      <c r="BI890" t="s">
        <v>74</v>
      </c>
      <c r="BJ890" t="s">
        <v>396</v>
      </c>
      <c r="BK890" t="s">
        <v>117</v>
      </c>
      <c r="BL890" t="s">
        <v>397</v>
      </c>
      <c r="BM890" t="s">
        <v>74</v>
      </c>
      <c r="BN890">
        <v>24792832</v>
      </c>
      <c r="BO890" t="s">
        <v>74</v>
      </c>
      <c r="BP890" t="s">
        <v>74</v>
      </c>
      <c r="BQ890" t="s">
        <v>74</v>
      </c>
      <c r="BR890" t="s">
        <v>96</v>
      </c>
      <c r="BS890" t="s">
        <v>16952</v>
      </c>
      <c r="BT890" t="str">
        <f>HYPERLINK("https%3A%2F%2Fwww.webofscience.com%2Fwos%2Fwoscc%2Ffull-record%2FWOS:000343889300030","View Full Record in Web of Science")</f>
        <v>View Full Record in Web of Science</v>
      </c>
    </row>
    <row r="891" spans="1:72" x14ac:dyDescent="0.15">
      <c r="A891" t="s">
        <v>98</v>
      </c>
      <c r="B891" t="s">
        <v>17306</v>
      </c>
      <c r="C891" t="s">
        <v>74</v>
      </c>
      <c r="D891" t="s">
        <v>74</v>
      </c>
      <c r="E891" t="s">
        <v>74</v>
      </c>
      <c r="F891" t="s">
        <v>17307</v>
      </c>
      <c r="G891" t="s">
        <v>74</v>
      </c>
      <c r="H891" t="s">
        <v>74</v>
      </c>
      <c r="I891" t="s">
        <v>17308</v>
      </c>
      <c r="J891" t="s">
        <v>140</v>
      </c>
      <c r="K891" t="s">
        <v>74</v>
      </c>
      <c r="L891" t="s">
        <v>74</v>
      </c>
      <c r="M891" t="s">
        <v>74</v>
      </c>
      <c r="N891" t="s">
        <v>103</v>
      </c>
      <c r="O891" t="s">
        <v>74</v>
      </c>
      <c r="P891" t="s">
        <v>74</v>
      </c>
      <c r="Q891" t="s">
        <v>74</v>
      </c>
      <c r="R891" t="s">
        <v>74</v>
      </c>
      <c r="S891" t="s">
        <v>74</v>
      </c>
      <c r="T891" t="s">
        <v>74</v>
      </c>
      <c r="U891" t="s">
        <v>17309</v>
      </c>
      <c r="V891" t="s">
        <v>17310</v>
      </c>
      <c r="W891" t="s">
        <v>17311</v>
      </c>
      <c r="X891" t="s">
        <v>17312</v>
      </c>
      <c r="Y891" t="s">
        <v>17313</v>
      </c>
      <c r="Z891" t="s">
        <v>17314</v>
      </c>
      <c r="AA891" t="s">
        <v>17315</v>
      </c>
      <c r="AB891" t="s">
        <v>17316</v>
      </c>
      <c r="AC891" t="s">
        <v>74</v>
      </c>
      <c r="AD891" t="s">
        <v>74</v>
      </c>
      <c r="AE891" t="s">
        <v>74</v>
      </c>
      <c r="AF891" t="s">
        <v>74</v>
      </c>
      <c r="AG891">
        <v>47</v>
      </c>
      <c r="AH891">
        <v>18</v>
      </c>
      <c r="AI891">
        <v>20</v>
      </c>
      <c r="AJ891">
        <v>1</v>
      </c>
      <c r="AK891">
        <v>3</v>
      </c>
      <c r="AL891" t="s">
        <v>74</v>
      </c>
      <c r="AM891" t="s">
        <v>74</v>
      </c>
      <c r="AN891" t="s">
        <v>74</v>
      </c>
      <c r="AO891" t="s">
        <v>149</v>
      </c>
      <c r="AP891" t="s">
        <v>74</v>
      </c>
      <c r="AQ891" t="s">
        <v>74</v>
      </c>
      <c r="AR891" t="s">
        <v>74</v>
      </c>
      <c r="AS891" t="s">
        <v>74</v>
      </c>
      <c r="AT891" t="s">
        <v>3489</v>
      </c>
      <c r="AU891">
        <v>2018</v>
      </c>
      <c r="AV891">
        <v>8</v>
      </c>
      <c r="AW891" t="s">
        <v>74</v>
      </c>
      <c r="AX891" t="s">
        <v>74</v>
      </c>
      <c r="AY891" t="s">
        <v>74</v>
      </c>
      <c r="AZ891" t="s">
        <v>74</v>
      </c>
      <c r="BA891" t="s">
        <v>74</v>
      </c>
      <c r="BB891" t="s">
        <v>74</v>
      </c>
      <c r="BC891" t="s">
        <v>74</v>
      </c>
      <c r="BD891">
        <v>12641</v>
      </c>
      <c r="BE891" t="s">
        <v>17317</v>
      </c>
      <c r="BF891" t="str">
        <f>HYPERLINK("http://dx.doi.org/10.1038/s41598-018-31013-4","http://dx.doi.org/10.1038/s41598-018-31013-4")</f>
        <v>http://dx.doi.org/10.1038/s41598-018-31013-4</v>
      </c>
      <c r="BG891" t="s">
        <v>74</v>
      </c>
      <c r="BH891" t="s">
        <v>74</v>
      </c>
      <c r="BI891" t="s">
        <v>74</v>
      </c>
      <c r="BJ891" t="s">
        <v>152</v>
      </c>
      <c r="BK891" t="s">
        <v>117</v>
      </c>
      <c r="BL891" t="s">
        <v>153</v>
      </c>
      <c r="BM891" t="s">
        <v>74</v>
      </c>
      <c r="BN891">
        <v>30140006</v>
      </c>
      <c r="BO891" t="s">
        <v>74</v>
      </c>
      <c r="BP891" t="s">
        <v>74</v>
      </c>
      <c r="BQ891" t="s">
        <v>74</v>
      </c>
      <c r="BR891" t="s">
        <v>96</v>
      </c>
      <c r="BS891" t="s">
        <v>17318</v>
      </c>
      <c r="BT891" t="str">
        <f>HYPERLINK("https%3A%2F%2Fwww.webofscience.com%2Fwos%2Fwoscc%2Ffull-record%2FWOS:000442530000005","View Full Record in Web of Science")</f>
        <v>View Full Record in Web of Science</v>
      </c>
    </row>
    <row r="892" spans="1:72" x14ac:dyDescent="0.15">
      <c r="A892" t="s">
        <v>98</v>
      </c>
      <c r="B892" t="s">
        <v>22175</v>
      </c>
      <c r="C892" t="s">
        <v>74</v>
      </c>
      <c r="D892" t="s">
        <v>74</v>
      </c>
      <c r="E892" t="s">
        <v>74</v>
      </c>
      <c r="F892" t="s">
        <v>22176</v>
      </c>
      <c r="G892" t="s">
        <v>74</v>
      </c>
      <c r="H892" t="s">
        <v>74</v>
      </c>
      <c r="I892" t="s">
        <v>22177</v>
      </c>
      <c r="J892" t="s">
        <v>3669</v>
      </c>
      <c r="K892" t="s">
        <v>74</v>
      </c>
      <c r="L892" t="s">
        <v>74</v>
      </c>
      <c r="M892" t="s">
        <v>74</v>
      </c>
      <c r="N892" t="s">
        <v>103</v>
      </c>
      <c r="O892" t="s">
        <v>74</v>
      </c>
      <c r="P892" t="s">
        <v>74</v>
      </c>
      <c r="Q892" t="s">
        <v>74</v>
      </c>
      <c r="R892" t="s">
        <v>74</v>
      </c>
      <c r="S892" t="s">
        <v>74</v>
      </c>
      <c r="T892" t="s">
        <v>22178</v>
      </c>
      <c r="U892" t="s">
        <v>22179</v>
      </c>
      <c r="V892" t="s">
        <v>22180</v>
      </c>
      <c r="W892" t="s">
        <v>22181</v>
      </c>
      <c r="X892" t="s">
        <v>22182</v>
      </c>
      <c r="Y892" t="s">
        <v>22183</v>
      </c>
      <c r="Z892" t="s">
        <v>9670</v>
      </c>
      <c r="AA892" t="s">
        <v>22184</v>
      </c>
      <c r="AB892" t="s">
        <v>22185</v>
      </c>
      <c r="AC892" t="s">
        <v>74</v>
      </c>
      <c r="AD892" t="s">
        <v>74</v>
      </c>
      <c r="AE892" t="s">
        <v>74</v>
      </c>
      <c r="AF892" t="s">
        <v>74</v>
      </c>
      <c r="AG892">
        <v>57</v>
      </c>
      <c r="AH892">
        <v>18</v>
      </c>
      <c r="AI892">
        <v>19</v>
      </c>
      <c r="AJ892">
        <v>0</v>
      </c>
      <c r="AK892">
        <v>7</v>
      </c>
      <c r="AL892" t="s">
        <v>74</v>
      </c>
      <c r="AM892" t="s">
        <v>74</v>
      </c>
      <c r="AN892" t="s">
        <v>74</v>
      </c>
      <c r="AO892" t="s">
        <v>3677</v>
      </c>
      <c r="AP892" t="s">
        <v>3678</v>
      </c>
      <c r="AQ892" t="s">
        <v>74</v>
      </c>
      <c r="AR892" t="s">
        <v>74</v>
      </c>
      <c r="AS892" t="s">
        <v>74</v>
      </c>
      <c r="AT892" t="s">
        <v>211</v>
      </c>
      <c r="AU892">
        <v>2016</v>
      </c>
      <c r="AV892">
        <v>5</v>
      </c>
      <c r="AW892" t="s">
        <v>74</v>
      </c>
      <c r="AX892" t="s">
        <v>74</v>
      </c>
      <c r="AY892">
        <v>6</v>
      </c>
      <c r="AZ892" t="s">
        <v>74</v>
      </c>
      <c r="BA892" t="s">
        <v>74</v>
      </c>
      <c r="BB892" t="s">
        <v>22186</v>
      </c>
      <c r="BC892" t="s">
        <v>22187</v>
      </c>
      <c r="BD892" t="s">
        <v>74</v>
      </c>
      <c r="BE892" t="s">
        <v>22188</v>
      </c>
      <c r="BF892" t="str">
        <f>HYPERLINK("http://dx.doi.org/10.21037/tcr.2016.11.37","http://dx.doi.org/10.21037/tcr.2016.11.37")</f>
        <v>http://dx.doi.org/10.21037/tcr.2016.11.37</v>
      </c>
      <c r="BG892" t="s">
        <v>74</v>
      </c>
      <c r="BH892" t="s">
        <v>74</v>
      </c>
      <c r="BI892" t="s">
        <v>74</v>
      </c>
      <c r="BJ892" t="s">
        <v>267</v>
      </c>
      <c r="BK892" t="s">
        <v>117</v>
      </c>
      <c r="BL892" t="s">
        <v>267</v>
      </c>
      <c r="BM892" t="s">
        <v>74</v>
      </c>
      <c r="BN892" t="s">
        <v>74</v>
      </c>
      <c r="BO892" t="s">
        <v>74</v>
      </c>
      <c r="BP892" t="s">
        <v>74</v>
      </c>
      <c r="BQ892" t="s">
        <v>74</v>
      </c>
      <c r="BR892" t="s">
        <v>96</v>
      </c>
      <c r="BS892" t="s">
        <v>22189</v>
      </c>
      <c r="BT892" t="str">
        <f>HYPERLINK("https%3A%2F%2Fwww.webofscience.com%2Fwos%2Fwoscc%2Ffull-record%2FWOS:000393328100056","View Full Record in Web of Science")</f>
        <v>View Full Record in Web of Science</v>
      </c>
    </row>
    <row r="893" spans="1:72" x14ac:dyDescent="0.15">
      <c r="A893" t="s">
        <v>98</v>
      </c>
      <c r="B893" t="s">
        <v>22483</v>
      </c>
      <c r="C893" t="s">
        <v>74</v>
      </c>
      <c r="D893" t="s">
        <v>74</v>
      </c>
      <c r="E893" t="s">
        <v>74</v>
      </c>
      <c r="F893" t="s">
        <v>22483</v>
      </c>
      <c r="G893" t="s">
        <v>74</v>
      </c>
      <c r="H893" t="s">
        <v>74</v>
      </c>
      <c r="I893" t="s">
        <v>22484</v>
      </c>
      <c r="J893" t="s">
        <v>22485</v>
      </c>
      <c r="K893" t="s">
        <v>74</v>
      </c>
      <c r="L893" t="s">
        <v>74</v>
      </c>
      <c r="M893" t="s">
        <v>74</v>
      </c>
      <c r="N893" t="s">
        <v>103</v>
      </c>
      <c r="O893" t="s">
        <v>74</v>
      </c>
      <c r="P893" t="s">
        <v>74</v>
      </c>
      <c r="Q893" t="s">
        <v>74</v>
      </c>
      <c r="R893" t="s">
        <v>74</v>
      </c>
      <c r="S893" t="s">
        <v>74</v>
      </c>
      <c r="T893" t="s">
        <v>74</v>
      </c>
      <c r="U893" t="s">
        <v>22486</v>
      </c>
      <c r="V893" t="s">
        <v>22487</v>
      </c>
      <c r="W893" t="s">
        <v>22488</v>
      </c>
      <c r="X893" t="s">
        <v>3459</v>
      </c>
      <c r="Y893" t="s">
        <v>22489</v>
      </c>
      <c r="Z893" t="s">
        <v>74</v>
      </c>
      <c r="AA893" t="s">
        <v>22490</v>
      </c>
      <c r="AB893" t="s">
        <v>74</v>
      </c>
      <c r="AC893" t="s">
        <v>74</v>
      </c>
      <c r="AD893" t="s">
        <v>74</v>
      </c>
      <c r="AE893" t="s">
        <v>74</v>
      </c>
      <c r="AF893" t="s">
        <v>74</v>
      </c>
      <c r="AG893">
        <v>54</v>
      </c>
      <c r="AH893">
        <v>18</v>
      </c>
      <c r="AI893">
        <v>20</v>
      </c>
      <c r="AJ893">
        <v>0</v>
      </c>
      <c r="AK893">
        <v>1</v>
      </c>
      <c r="AL893" t="s">
        <v>74</v>
      </c>
      <c r="AM893" t="s">
        <v>74</v>
      </c>
      <c r="AN893" t="s">
        <v>74</v>
      </c>
      <c r="AO893" t="s">
        <v>22491</v>
      </c>
      <c r="AP893" t="s">
        <v>22492</v>
      </c>
      <c r="AQ893" t="s">
        <v>74</v>
      </c>
      <c r="AR893" t="s">
        <v>74</v>
      </c>
      <c r="AS893" t="s">
        <v>74</v>
      </c>
      <c r="AT893" t="s">
        <v>614</v>
      </c>
      <c r="AU893">
        <v>1991</v>
      </c>
      <c r="AV893">
        <v>139</v>
      </c>
      <c r="AW893">
        <v>1</v>
      </c>
      <c r="AX893" t="s">
        <v>74</v>
      </c>
      <c r="AY893" t="s">
        <v>74</v>
      </c>
      <c r="AZ893" t="s">
        <v>74</v>
      </c>
      <c r="BA893" t="s">
        <v>74</v>
      </c>
      <c r="BB893">
        <v>185</v>
      </c>
      <c r="BC893">
        <v>197</v>
      </c>
      <c r="BD893" t="s">
        <v>74</v>
      </c>
      <c r="BE893" t="s">
        <v>74</v>
      </c>
      <c r="BF893" t="s">
        <v>74</v>
      </c>
      <c r="BG893" t="s">
        <v>74</v>
      </c>
      <c r="BH893" t="s">
        <v>74</v>
      </c>
      <c r="BI893" t="s">
        <v>74</v>
      </c>
      <c r="BJ893" t="s">
        <v>20694</v>
      </c>
      <c r="BK893" t="s">
        <v>117</v>
      </c>
      <c r="BL893" t="s">
        <v>20694</v>
      </c>
      <c r="BM893" t="s">
        <v>74</v>
      </c>
      <c r="BN893">
        <v>1649554</v>
      </c>
      <c r="BO893" t="s">
        <v>74</v>
      </c>
      <c r="BP893" t="s">
        <v>74</v>
      </c>
      <c r="BQ893" t="s">
        <v>74</v>
      </c>
      <c r="BR893" t="s">
        <v>96</v>
      </c>
      <c r="BS893" t="s">
        <v>22493</v>
      </c>
      <c r="BT893" t="str">
        <f>HYPERLINK("https%3A%2F%2Fwww.webofscience.com%2Fwos%2Fwoscc%2Ffull-record%2FWOS:A1991FV81600021","View Full Record in Web of Science")</f>
        <v>View Full Record in Web of Science</v>
      </c>
    </row>
    <row r="894" spans="1:72" x14ac:dyDescent="0.15">
      <c r="A894" t="s">
        <v>98</v>
      </c>
      <c r="B894" t="s">
        <v>22845</v>
      </c>
      <c r="C894" t="s">
        <v>74</v>
      </c>
      <c r="D894" t="s">
        <v>74</v>
      </c>
      <c r="E894" t="s">
        <v>74</v>
      </c>
      <c r="F894" t="s">
        <v>22845</v>
      </c>
      <c r="G894" t="s">
        <v>74</v>
      </c>
      <c r="H894" t="s">
        <v>74</v>
      </c>
      <c r="I894" t="s">
        <v>22846</v>
      </c>
      <c r="J894" t="s">
        <v>12289</v>
      </c>
      <c r="K894" t="s">
        <v>74</v>
      </c>
      <c r="L894" t="s">
        <v>74</v>
      </c>
      <c r="M894" t="s">
        <v>74</v>
      </c>
      <c r="N894" t="s">
        <v>103</v>
      </c>
      <c r="O894" t="s">
        <v>74</v>
      </c>
      <c r="P894" t="s">
        <v>74</v>
      </c>
      <c r="Q894" t="s">
        <v>74</v>
      </c>
      <c r="R894" t="s">
        <v>74</v>
      </c>
      <c r="S894" t="s">
        <v>74</v>
      </c>
      <c r="T894" t="s">
        <v>22847</v>
      </c>
      <c r="U894" t="s">
        <v>22848</v>
      </c>
      <c r="V894" t="s">
        <v>22849</v>
      </c>
      <c r="W894" t="s">
        <v>22850</v>
      </c>
      <c r="X894" t="s">
        <v>22851</v>
      </c>
      <c r="Y894" t="s">
        <v>22852</v>
      </c>
      <c r="Z894" t="s">
        <v>22853</v>
      </c>
      <c r="AA894" t="s">
        <v>74</v>
      </c>
      <c r="AB894" t="s">
        <v>74</v>
      </c>
      <c r="AC894" t="s">
        <v>74</v>
      </c>
      <c r="AD894" t="s">
        <v>74</v>
      </c>
      <c r="AE894" t="s">
        <v>74</v>
      </c>
      <c r="AF894" t="s">
        <v>74</v>
      </c>
      <c r="AG894">
        <v>45</v>
      </c>
      <c r="AH894">
        <v>18</v>
      </c>
      <c r="AI894">
        <v>23</v>
      </c>
      <c r="AJ894">
        <v>0</v>
      </c>
      <c r="AK894">
        <v>8</v>
      </c>
      <c r="AL894" t="s">
        <v>74</v>
      </c>
      <c r="AM894" t="s">
        <v>74</v>
      </c>
      <c r="AN894" t="s">
        <v>74</v>
      </c>
      <c r="AO894" t="s">
        <v>12296</v>
      </c>
      <c r="AP894" t="s">
        <v>12297</v>
      </c>
      <c r="AQ894" t="s">
        <v>74</v>
      </c>
      <c r="AR894" t="s">
        <v>74</v>
      </c>
      <c r="AS894" t="s">
        <v>74</v>
      </c>
      <c r="AT894" t="s">
        <v>967</v>
      </c>
      <c r="AU894">
        <v>2001</v>
      </c>
      <c r="AV894">
        <v>147</v>
      </c>
      <c r="AW894" t="s">
        <v>74</v>
      </c>
      <c r="AX894">
        <v>12</v>
      </c>
      <c r="AY894" t="s">
        <v>74</v>
      </c>
      <c r="AZ894" t="s">
        <v>74</v>
      </c>
      <c r="BA894" t="s">
        <v>74</v>
      </c>
      <c r="BB894">
        <v>3345</v>
      </c>
      <c r="BC894">
        <v>3352</v>
      </c>
      <c r="BD894" t="s">
        <v>74</v>
      </c>
      <c r="BE894" t="s">
        <v>22854</v>
      </c>
      <c r="BF894" t="str">
        <f>HYPERLINK("http://dx.doi.org/10.1099/00221287-147-12-3345","http://dx.doi.org/10.1099/00221287-147-12-3345")</f>
        <v>http://dx.doi.org/10.1099/00221287-147-12-3345</v>
      </c>
      <c r="BG894" t="s">
        <v>74</v>
      </c>
      <c r="BH894" t="s">
        <v>74</v>
      </c>
      <c r="BI894" t="s">
        <v>74</v>
      </c>
      <c r="BJ894" t="s">
        <v>898</v>
      </c>
      <c r="BK894" t="s">
        <v>117</v>
      </c>
      <c r="BL894" t="s">
        <v>898</v>
      </c>
      <c r="BM894" t="s">
        <v>74</v>
      </c>
      <c r="BN894">
        <v>11739766</v>
      </c>
      <c r="BO894" t="s">
        <v>74</v>
      </c>
      <c r="BP894" t="s">
        <v>74</v>
      </c>
      <c r="BQ894" t="s">
        <v>74</v>
      </c>
      <c r="BR894" t="s">
        <v>96</v>
      </c>
      <c r="BS894" t="s">
        <v>22855</v>
      </c>
      <c r="BT894" t="str">
        <f>HYPERLINK("https%3A%2F%2Fwww.webofscience.com%2Fwos%2Fwoscc%2Ffull-record%2FWOS:000172735500017","View Full Record in Web of Science")</f>
        <v>View Full Record in Web of Science</v>
      </c>
    </row>
    <row r="895" spans="1:72" x14ac:dyDescent="0.15">
      <c r="A895" t="s">
        <v>98</v>
      </c>
      <c r="B895" t="s">
        <v>23059</v>
      </c>
      <c r="C895" t="s">
        <v>74</v>
      </c>
      <c r="D895" t="s">
        <v>74</v>
      </c>
      <c r="E895" t="s">
        <v>74</v>
      </c>
      <c r="F895" t="s">
        <v>23060</v>
      </c>
      <c r="G895" t="s">
        <v>74</v>
      </c>
      <c r="H895" t="s">
        <v>74</v>
      </c>
      <c r="I895" t="s">
        <v>23061</v>
      </c>
      <c r="J895" t="s">
        <v>13840</v>
      </c>
      <c r="K895" t="s">
        <v>74</v>
      </c>
      <c r="L895" t="s">
        <v>74</v>
      </c>
      <c r="M895" t="s">
        <v>74</v>
      </c>
      <c r="N895" t="s">
        <v>103</v>
      </c>
      <c r="O895" t="s">
        <v>74</v>
      </c>
      <c r="P895" t="s">
        <v>74</v>
      </c>
      <c r="Q895" t="s">
        <v>74</v>
      </c>
      <c r="R895" t="s">
        <v>74</v>
      </c>
      <c r="S895" t="s">
        <v>74</v>
      </c>
      <c r="T895" t="s">
        <v>74</v>
      </c>
      <c r="U895" t="s">
        <v>74</v>
      </c>
      <c r="V895" t="s">
        <v>23062</v>
      </c>
      <c r="W895" t="s">
        <v>23063</v>
      </c>
      <c r="X895" t="s">
        <v>13211</v>
      </c>
      <c r="Y895" t="s">
        <v>23064</v>
      </c>
      <c r="Z895" t="s">
        <v>23065</v>
      </c>
      <c r="AA895" t="s">
        <v>23066</v>
      </c>
      <c r="AB895" t="s">
        <v>23067</v>
      </c>
      <c r="AC895" t="s">
        <v>74</v>
      </c>
      <c r="AD895" t="s">
        <v>74</v>
      </c>
      <c r="AE895" t="s">
        <v>74</v>
      </c>
      <c r="AF895" t="s">
        <v>74</v>
      </c>
      <c r="AG895">
        <v>39</v>
      </c>
      <c r="AH895">
        <v>18</v>
      </c>
      <c r="AI895">
        <v>18</v>
      </c>
      <c r="AJ895">
        <v>23</v>
      </c>
      <c r="AK895">
        <v>134</v>
      </c>
      <c r="AL895" t="s">
        <v>74</v>
      </c>
      <c r="AM895" t="s">
        <v>74</v>
      </c>
      <c r="AN895" t="s">
        <v>74</v>
      </c>
      <c r="AO895" t="s">
        <v>13845</v>
      </c>
      <c r="AP895" t="s">
        <v>13846</v>
      </c>
      <c r="AQ895" t="s">
        <v>74</v>
      </c>
      <c r="AR895" t="s">
        <v>74</v>
      </c>
      <c r="AS895" t="s">
        <v>74</v>
      </c>
      <c r="AT895" t="s">
        <v>23068</v>
      </c>
      <c r="AU895">
        <v>2021</v>
      </c>
      <c r="AV895">
        <v>9</v>
      </c>
      <c r="AW895">
        <v>10</v>
      </c>
      <c r="AX895" t="s">
        <v>74</v>
      </c>
      <c r="AY895" t="s">
        <v>74</v>
      </c>
      <c r="AZ895" t="s">
        <v>74</v>
      </c>
      <c r="BA895" t="s">
        <v>74</v>
      </c>
      <c r="BB895">
        <v>2483</v>
      </c>
      <c r="BC895">
        <v>2493</v>
      </c>
      <c r="BD895" t="s">
        <v>74</v>
      </c>
      <c r="BE895" t="s">
        <v>23069</v>
      </c>
      <c r="BF895" t="str">
        <f>HYPERLINK("http://dx.doi.org/10.1039/d1tb00046b","http://dx.doi.org/10.1039/d1tb00046b")</f>
        <v>http://dx.doi.org/10.1039/d1tb00046b</v>
      </c>
      <c r="BG895" t="s">
        <v>74</v>
      </c>
      <c r="BH895" t="s">
        <v>74</v>
      </c>
      <c r="BI895" t="s">
        <v>74</v>
      </c>
      <c r="BJ895" t="s">
        <v>3945</v>
      </c>
      <c r="BK895" t="s">
        <v>117</v>
      </c>
      <c r="BL895" t="s">
        <v>3946</v>
      </c>
      <c r="BM895" t="s">
        <v>74</v>
      </c>
      <c r="BN895">
        <v>33656037</v>
      </c>
      <c r="BO895" t="s">
        <v>74</v>
      </c>
      <c r="BP895" t="s">
        <v>74</v>
      </c>
      <c r="BQ895" t="s">
        <v>74</v>
      </c>
      <c r="BR895" t="s">
        <v>96</v>
      </c>
      <c r="BS895" t="s">
        <v>23070</v>
      </c>
      <c r="BT895" t="str">
        <f>HYPERLINK("https%3A%2F%2Fwww.webofscience.com%2Fwos%2Fwoscc%2Ffull-record%2FWOS:000629733200013","View Full Record in Web of Science")</f>
        <v>View Full Record in Web of Science</v>
      </c>
    </row>
    <row r="896" spans="1:72" x14ac:dyDescent="0.15">
      <c r="A896" t="s">
        <v>98</v>
      </c>
      <c r="B896" t="s">
        <v>23526</v>
      </c>
      <c r="C896" t="s">
        <v>74</v>
      </c>
      <c r="D896" t="s">
        <v>74</v>
      </c>
      <c r="E896" t="s">
        <v>74</v>
      </c>
      <c r="F896" t="s">
        <v>23527</v>
      </c>
      <c r="G896" t="s">
        <v>74</v>
      </c>
      <c r="H896" t="s">
        <v>74</v>
      </c>
      <c r="I896" t="s">
        <v>23528</v>
      </c>
      <c r="J896" t="s">
        <v>4118</v>
      </c>
      <c r="K896" t="s">
        <v>74</v>
      </c>
      <c r="L896" t="s">
        <v>74</v>
      </c>
      <c r="M896" t="s">
        <v>74</v>
      </c>
      <c r="N896" t="s">
        <v>103</v>
      </c>
      <c r="O896" t="s">
        <v>74</v>
      </c>
      <c r="P896" t="s">
        <v>74</v>
      </c>
      <c r="Q896" t="s">
        <v>74</v>
      </c>
      <c r="R896" t="s">
        <v>74</v>
      </c>
      <c r="S896" t="s">
        <v>74</v>
      </c>
      <c r="T896" t="s">
        <v>23529</v>
      </c>
      <c r="U896" t="s">
        <v>23530</v>
      </c>
      <c r="V896" t="s">
        <v>23531</v>
      </c>
      <c r="W896" t="s">
        <v>23532</v>
      </c>
      <c r="X896" t="s">
        <v>23533</v>
      </c>
      <c r="Y896" t="s">
        <v>23534</v>
      </c>
      <c r="Z896" t="s">
        <v>23535</v>
      </c>
      <c r="AA896" t="s">
        <v>74</v>
      </c>
      <c r="AB896" t="s">
        <v>74</v>
      </c>
      <c r="AC896" t="s">
        <v>74</v>
      </c>
      <c r="AD896" t="s">
        <v>74</v>
      </c>
      <c r="AE896" t="s">
        <v>74</v>
      </c>
      <c r="AF896" t="s">
        <v>74</v>
      </c>
      <c r="AG896">
        <v>32</v>
      </c>
      <c r="AH896">
        <v>18</v>
      </c>
      <c r="AI896">
        <v>18</v>
      </c>
      <c r="AJ896">
        <v>2</v>
      </c>
      <c r="AK896">
        <v>7</v>
      </c>
      <c r="AL896" t="s">
        <v>74</v>
      </c>
      <c r="AM896" t="s">
        <v>74</v>
      </c>
      <c r="AN896" t="s">
        <v>74</v>
      </c>
      <c r="AO896" t="s">
        <v>4126</v>
      </c>
      <c r="AP896" t="s">
        <v>4127</v>
      </c>
      <c r="AQ896" t="s">
        <v>74</v>
      </c>
      <c r="AR896" t="s">
        <v>74</v>
      </c>
      <c r="AS896" t="s">
        <v>74</v>
      </c>
      <c r="AT896" t="s">
        <v>614</v>
      </c>
      <c r="AU896">
        <v>2019</v>
      </c>
      <c r="AV896">
        <v>20</v>
      </c>
      <c r="AW896">
        <v>1</v>
      </c>
      <c r="AX896" t="s">
        <v>74</v>
      </c>
      <c r="AY896" t="s">
        <v>74</v>
      </c>
      <c r="AZ896" t="s">
        <v>74</v>
      </c>
      <c r="BA896" t="s">
        <v>74</v>
      </c>
      <c r="BB896">
        <v>323</v>
      </c>
      <c r="BC896">
        <v>331</v>
      </c>
      <c r="BD896" t="s">
        <v>74</v>
      </c>
      <c r="BE896" t="s">
        <v>23536</v>
      </c>
      <c r="BF896" t="str">
        <f>HYPERLINK("http://dx.doi.org/10.3892/mmr.2019.10237","http://dx.doi.org/10.3892/mmr.2019.10237")</f>
        <v>http://dx.doi.org/10.3892/mmr.2019.10237</v>
      </c>
      <c r="BG896" t="s">
        <v>74</v>
      </c>
      <c r="BH896" t="s">
        <v>74</v>
      </c>
      <c r="BI896" t="s">
        <v>74</v>
      </c>
      <c r="BJ896" t="s">
        <v>4129</v>
      </c>
      <c r="BK896" t="s">
        <v>117</v>
      </c>
      <c r="BL896" t="s">
        <v>4130</v>
      </c>
      <c r="BM896" t="s">
        <v>74</v>
      </c>
      <c r="BN896">
        <v>31115533</v>
      </c>
      <c r="BO896" t="s">
        <v>74</v>
      </c>
      <c r="BP896" t="s">
        <v>74</v>
      </c>
      <c r="BQ896" t="s">
        <v>74</v>
      </c>
      <c r="BR896" t="s">
        <v>96</v>
      </c>
      <c r="BS896" t="s">
        <v>23537</v>
      </c>
      <c r="BT896" t="str">
        <f>HYPERLINK("https%3A%2F%2Fwww.webofscience.com%2Fwos%2Fwoscc%2Ffull-record%2FWOS:000474876100036","View Full Record in Web of Science")</f>
        <v>View Full Record in Web of Science</v>
      </c>
    </row>
    <row r="897" spans="1:72" x14ac:dyDescent="0.15">
      <c r="A897" t="s">
        <v>98</v>
      </c>
      <c r="B897" t="s">
        <v>24348</v>
      </c>
      <c r="C897" t="s">
        <v>74</v>
      </c>
      <c r="D897" t="s">
        <v>74</v>
      </c>
      <c r="E897" t="s">
        <v>74</v>
      </c>
      <c r="F897" t="s">
        <v>24349</v>
      </c>
      <c r="G897" t="s">
        <v>74</v>
      </c>
      <c r="H897" t="s">
        <v>74</v>
      </c>
      <c r="I897" t="s">
        <v>24350</v>
      </c>
      <c r="J897" t="s">
        <v>5154</v>
      </c>
      <c r="K897" t="s">
        <v>74</v>
      </c>
      <c r="L897" t="s">
        <v>74</v>
      </c>
      <c r="M897" t="s">
        <v>74</v>
      </c>
      <c r="N897" t="s">
        <v>103</v>
      </c>
      <c r="O897" t="s">
        <v>74</v>
      </c>
      <c r="P897" t="s">
        <v>74</v>
      </c>
      <c r="Q897" t="s">
        <v>74</v>
      </c>
      <c r="R897" t="s">
        <v>74</v>
      </c>
      <c r="S897" t="s">
        <v>74</v>
      </c>
      <c r="T897" t="s">
        <v>24351</v>
      </c>
      <c r="U897" t="s">
        <v>24352</v>
      </c>
      <c r="V897" t="s">
        <v>24353</v>
      </c>
      <c r="W897" t="s">
        <v>24354</v>
      </c>
      <c r="X897" t="s">
        <v>24355</v>
      </c>
      <c r="Y897" t="s">
        <v>24356</v>
      </c>
      <c r="Z897" t="s">
        <v>24357</v>
      </c>
      <c r="AA897" t="s">
        <v>74</v>
      </c>
      <c r="AB897" t="s">
        <v>24358</v>
      </c>
      <c r="AC897" t="s">
        <v>74</v>
      </c>
      <c r="AD897" t="s">
        <v>74</v>
      </c>
      <c r="AE897" t="s">
        <v>74</v>
      </c>
      <c r="AF897" t="s">
        <v>74</v>
      </c>
      <c r="AG897">
        <v>22</v>
      </c>
      <c r="AH897">
        <v>18</v>
      </c>
      <c r="AI897">
        <v>19</v>
      </c>
      <c r="AJ897">
        <v>4</v>
      </c>
      <c r="AK897">
        <v>7</v>
      </c>
      <c r="AL897" t="s">
        <v>74</v>
      </c>
      <c r="AM897" t="s">
        <v>74</v>
      </c>
      <c r="AN897" t="s">
        <v>74</v>
      </c>
      <c r="AO897" t="s">
        <v>5164</v>
      </c>
      <c r="AP897" t="s">
        <v>5165</v>
      </c>
      <c r="AQ897" t="s">
        <v>74</v>
      </c>
      <c r="AR897" t="s">
        <v>74</v>
      </c>
      <c r="AS897" t="s">
        <v>74</v>
      </c>
      <c r="AT897" t="s">
        <v>189</v>
      </c>
      <c r="AU897">
        <v>2021</v>
      </c>
      <c r="AV897">
        <v>23</v>
      </c>
      <c r="AW897">
        <v>10</v>
      </c>
      <c r="AX897" t="s">
        <v>74</v>
      </c>
      <c r="AY897" t="s">
        <v>74</v>
      </c>
      <c r="AZ897" t="s">
        <v>74</v>
      </c>
      <c r="BA897" t="s">
        <v>74</v>
      </c>
      <c r="BB897">
        <v>1789</v>
      </c>
      <c r="BC897">
        <v>1797</v>
      </c>
      <c r="BD897" t="s">
        <v>74</v>
      </c>
      <c r="BE897" t="s">
        <v>24359</v>
      </c>
      <c r="BF897" t="str">
        <f>HYPERLINK("http://dx.doi.org/10.1093/neuonc/noab057","http://dx.doi.org/10.1093/neuonc/noab057")</f>
        <v>http://dx.doi.org/10.1093/neuonc/noab057</v>
      </c>
      <c r="BG897" t="s">
        <v>74</v>
      </c>
      <c r="BH897" t="s">
        <v>2607</v>
      </c>
      <c r="BI897" t="s">
        <v>74</v>
      </c>
      <c r="BJ897" t="s">
        <v>5167</v>
      </c>
      <c r="BK897" t="s">
        <v>117</v>
      </c>
      <c r="BL897" t="s">
        <v>5168</v>
      </c>
      <c r="BM897" t="s">
        <v>74</v>
      </c>
      <c r="BN897">
        <v>33693781</v>
      </c>
      <c r="BO897" t="s">
        <v>74</v>
      </c>
      <c r="BP897" t="s">
        <v>74</v>
      </c>
      <c r="BQ897" t="s">
        <v>74</v>
      </c>
      <c r="BR897" t="s">
        <v>96</v>
      </c>
      <c r="BS897" t="s">
        <v>24360</v>
      </c>
      <c r="BT897" t="str">
        <f>HYPERLINK("https%3A%2F%2Fwww.webofscience.com%2Fwos%2Fwoscc%2Ffull-record%2FWOS:000708743700019","View Full Record in Web of Science")</f>
        <v>View Full Record in Web of Science</v>
      </c>
    </row>
    <row r="898" spans="1:72" x14ac:dyDescent="0.15">
      <c r="A898" t="s">
        <v>98</v>
      </c>
      <c r="B898" t="s">
        <v>24824</v>
      </c>
      <c r="C898" t="s">
        <v>74</v>
      </c>
      <c r="D898" t="s">
        <v>74</v>
      </c>
      <c r="E898" t="s">
        <v>74</v>
      </c>
      <c r="F898" t="s">
        <v>24825</v>
      </c>
      <c r="G898" t="s">
        <v>74</v>
      </c>
      <c r="H898" t="s">
        <v>74</v>
      </c>
      <c r="I898" t="s">
        <v>24826</v>
      </c>
      <c r="J898" t="s">
        <v>24827</v>
      </c>
      <c r="K898" t="s">
        <v>74</v>
      </c>
      <c r="L898" t="s">
        <v>74</v>
      </c>
      <c r="M898" t="s">
        <v>74</v>
      </c>
      <c r="N898" t="s">
        <v>103</v>
      </c>
      <c r="O898" t="s">
        <v>74</v>
      </c>
      <c r="P898" t="s">
        <v>74</v>
      </c>
      <c r="Q898" t="s">
        <v>74</v>
      </c>
      <c r="R898" t="s">
        <v>74</v>
      </c>
      <c r="S898" t="s">
        <v>74</v>
      </c>
      <c r="T898" t="s">
        <v>74</v>
      </c>
      <c r="U898" t="s">
        <v>24828</v>
      </c>
      <c r="V898" t="s">
        <v>24829</v>
      </c>
      <c r="W898" t="s">
        <v>24830</v>
      </c>
      <c r="X898" t="s">
        <v>24831</v>
      </c>
      <c r="Y898" t="s">
        <v>24832</v>
      </c>
      <c r="Z898" t="s">
        <v>20769</v>
      </c>
      <c r="AA898" t="s">
        <v>18953</v>
      </c>
      <c r="AB898" t="s">
        <v>24833</v>
      </c>
      <c r="AC898" t="s">
        <v>74</v>
      </c>
      <c r="AD898" t="s">
        <v>74</v>
      </c>
      <c r="AE898" t="s">
        <v>74</v>
      </c>
      <c r="AF898" t="s">
        <v>74</v>
      </c>
      <c r="AG898">
        <v>42</v>
      </c>
      <c r="AH898">
        <v>18</v>
      </c>
      <c r="AI898">
        <v>20</v>
      </c>
      <c r="AJ898">
        <v>0</v>
      </c>
      <c r="AK898">
        <v>7</v>
      </c>
      <c r="AL898" t="s">
        <v>74</v>
      </c>
      <c r="AM898" t="s">
        <v>74</v>
      </c>
      <c r="AN898" t="s">
        <v>74</v>
      </c>
      <c r="AO898" t="s">
        <v>24834</v>
      </c>
      <c r="AP898" t="s">
        <v>24835</v>
      </c>
      <c r="AQ898" t="s">
        <v>74</v>
      </c>
      <c r="AR898" t="s">
        <v>74</v>
      </c>
      <c r="AS898" t="s">
        <v>74</v>
      </c>
      <c r="AT898" t="s">
        <v>230</v>
      </c>
      <c r="AU898">
        <v>2014</v>
      </c>
      <c r="AV898">
        <v>80</v>
      </c>
      <c r="AW898">
        <v>2</v>
      </c>
      <c r="AX898" t="s">
        <v>74</v>
      </c>
      <c r="AY898" t="s">
        <v>74</v>
      </c>
      <c r="AZ898" t="s">
        <v>74</v>
      </c>
      <c r="BA898" t="s">
        <v>74</v>
      </c>
      <c r="BB898">
        <v>101</v>
      </c>
      <c r="BC898">
        <v>110</v>
      </c>
      <c r="BD898" t="s">
        <v>74</v>
      </c>
      <c r="BE898" t="s">
        <v>24836</v>
      </c>
      <c r="BF898" t="str">
        <f>HYPERLINK("http://dx.doi.org/10.1111/sji.12191","http://dx.doi.org/10.1111/sji.12191")</f>
        <v>http://dx.doi.org/10.1111/sji.12191</v>
      </c>
      <c r="BG898" t="s">
        <v>74</v>
      </c>
      <c r="BH898" t="s">
        <v>74</v>
      </c>
      <c r="BI898" t="s">
        <v>74</v>
      </c>
      <c r="BJ898" t="s">
        <v>2064</v>
      </c>
      <c r="BK898" t="s">
        <v>117</v>
      </c>
      <c r="BL898" t="s">
        <v>2064</v>
      </c>
      <c r="BM898" t="s">
        <v>74</v>
      </c>
      <c r="BN898">
        <v>24846056</v>
      </c>
      <c r="BO898" t="s">
        <v>74</v>
      </c>
      <c r="BP898" t="s">
        <v>74</v>
      </c>
      <c r="BQ898" t="s">
        <v>74</v>
      </c>
      <c r="BR898" t="s">
        <v>96</v>
      </c>
      <c r="BS898" t="s">
        <v>24837</v>
      </c>
      <c r="BT898" t="str">
        <f>HYPERLINK("https%3A%2F%2Fwww.webofscience.com%2Fwos%2Fwoscc%2Ffull-record%2FWOS:000339431700004","View Full Record in Web of Science")</f>
        <v>View Full Record in Web of Science</v>
      </c>
    </row>
    <row r="899" spans="1:72" x14ac:dyDescent="0.15">
      <c r="A899" t="s">
        <v>98</v>
      </c>
      <c r="B899" t="s">
        <v>26157</v>
      </c>
      <c r="C899" t="s">
        <v>74</v>
      </c>
      <c r="D899" t="s">
        <v>74</v>
      </c>
      <c r="E899" t="s">
        <v>74</v>
      </c>
      <c r="F899" t="s">
        <v>26158</v>
      </c>
      <c r="G899" t="s">
        <v>74</v>
      </c>
      <c r="H899" t="s">
        <v>74</v>
      </c>
      <c r="I899" t="s">
        <v>26159</v>
      </c>
      <c r="J899" t="s">
        <v>26160</v>
      </c>
      <c r="K899" t="s">
        <v>74</v>
      </c>
      <c r="L899" t="s">
        <v>74</v>
      </c>
      <c r="M899" t="s">
        <v>74</v>
      </c>
      <c r="N899" t="s">
        <v>103</v>
      </c>
      <c r="O899" t="s">
        <v>74</v>
      </c>
      <c r="P899" t="s">
        <v>74</v>
      </c>
      <c r="Q899" t="s">
        <v>74</v>
      </c>
      <c r="R899" t="s">
        <v>74</v>
      </c>
      <c r="S899" t="s">
        <v>74</v>
      </c>
      <c r="T899" t="s">
        <v>26161</v>
      </c>
      <c r="U899" t="s">
        <v>26162</v>
      </c>
      <c r="V899" t="s">
        <v>26163</v>
      </c>
      <c r="W899" t="s">
        <v>26164</v>
      </c>
      <c r="X899" t="s">
        <v>26165</v>
      </c>
      <c r="Y899" t="s">
        <v>26166</v>
      </c>
      <c r="Z899" t="s">
        <v>26167</v>
      </c>
      <c r="AA899" t="s">
        <v>74</v>
      </c>
      <c r="AB899" t="s">
        <v>74</v>
      </c>
      <c r="AC899" t="s">
        <v>74</v>
      </c>
      <c r="AD899" t="s">
        <v>74</v>
      </c>
      <c r="AE899" t="s">
        <v>74</v>
      </c>
      <c r="AF899" t="s">
        <v>74</v>
      </c>
      <c r="AG899">
        <v>74</v>
      </c>
      <c r="AH899">
        <v>18</v>
      </c>
      <c r="AI899">
        <v>18</v>
      </c>
      <c r="AJ899">
        <v>1</v>
      </c>
      <c r="AK899">
        <v>4</v>
      </c>
      <c r="AL899" t="s">
        <v>74</v>
      </c>
      <c r="AM899" t="s">
        <v>74</v>
      </c>
      <c r="AN899" t="s">
        <v>74</v>
      </c>
      <c r="AO899" t="s">
        <v>74</v>
      </c>
      <c r="AP899" t="s">
        <v>26168</v>
      </c>
      <c r="AQ899" t="s">
        <v>74</v>
      </c>
      <c r="AR899" t="s">
        <v>74</v>
      </c>
      <c r="AS899" t="s">
        <v>74</v>
      </c>
      <c r="AT899" t="s">
        <v>114</v>
      </c>
      <c r="AU899">
        <v>2020</v>
      </c>
      <c r="AV899">
        <v>8</v>
      </c>
      <c r="AW899">
        <v>1</v>
      </c>
      <c r="AX899" t="s">
        <v>74</v>
      </c>
      <c r="AY899" t="s">
        <v>74</v>
      </c>
      <c r="AZ899" t="s">
        <v>74</v>
      </c>
      <c r="BA899" t="s">
        <v>74</v>
      </c>
      <c r="BB899" t="s">
        <v>74</v>
      </c>
      <c r="BC899" t="s">
        <v>74</v>
      </c>
      <c r="BD899">
        <v>58</v>
      </c>
      <c r="BE899" t="s">
        <v>26169</v>
      </c>
      <c r="BF899" t="str">
        <f>HYPERLINK("http://dx.doi.org/10.3390/pr8010058","http://dx.doi.org/10.3390/pr8010058")</f>
        <v>http://dx.doi.org/10.3390/pr8010058</v>
      </c>
      <c r="BG899" t="s">
        <v>74</v>
      </c>
      <c r="BH899" t="s">
        <v>74</v>
      </c>
      <c r="BI899" t="s">
        <v>74</v>
      </c>
      <c r="BJ899" t="s">
        <v>26170</v>
      </c>
      <c r="BK899" t="s">
        <v>117</v>
      </c>
      <c r="BL899" t="s">
        <v>7748</v>
      </c>
      <c r="BM899" t="s">
        <v>74</v>
      </c>
      <c r="BN899" t="s">
        <v>74</v>
      </c>
      <c r="BO899" t="s">
        <v>74</v>
      </c>
      <c r="BP899" t="s">
        <v>74</v>
      </c>
      <c r="BQ899" t="s">
        <v>74</v>
      </c>
      <c r="BR899" t="s">
        <v>96</v>
      </c>
      <c r="BS899" t="s">
        <v>26171</v>
      </c>
      <c r="BT899" t="str">
        <f>HYPERLINK("https%3A%2F%2Fwww.webofscience.com%2Fwos%2Fwoscc%2Ffull-record%2FWOS:000516825300019","View Full Record in Web of Science")</f>
        <v>View Full Record in Web of Science</v>
      </c>
    </row>
    <row r="900" spans="1:72" x14ac:dyDescent="0.15">
      <c r="A900" t="s">
        <v>98</v>
      </c>
      <c r="B900" t="s">
        <v>26298</v>
      </c>
      <c r="C900" t="s">
        <v>74</v>
      </c>
      <c r="D900" t="s">
        <v>74</v>
      </c>
      <c r="E900" t="s">
        <v>74</v>
      </c>
      <c r="F900" t="s">
        <v>26299</v>
      </c>
      <c r="G900" t="s">
        <v>74</v>
      </c>
      <c r="H900" t="s">
        <v>74</v>
      </c>
      <c r="I900" t="s">
        <v>26300</v>
      </c>
      <c r="J900" t="s">
        <v>6193</v>
      </c>
      <c r="K900" t="s">
        <v>74</v>
      </c>
      <c r="L900" t="s">
        <v>74</v>
      </c>
      <c r="M900" t="s">
        <v>74</v>
      </c>
      <c r="N900" t="s">
        <v>103</v>
      </c>
      <c r="O900" t="s">
        <v>74</v>
      </c>
      <c r="P900" t="s">
        <v>74</v>
      </c>
      <c r="Q900" t="s">
        <v>74</v>
      </c>
      <c r="R900" t="s">
        <v>74</v>
      </c>
      <c r="S900" t="s">
        <v>74</v>
      </c>
      <c r="T900" t="s">
        <v>26301</v>
      </c>
      <c r="U900" t="s">
        <v>26302</v>
      </c>
      <c r="V900" t="s">
        <v>26303</v>
      </c>
      <c r="W900" t="s">
        <v>26304</v>
      </c>
      <c r="X900" t="s">
        <v>74</v>
      </c>
      <c r="Y900" t="s">
        <v>26305</v>
      </c>
      <c r="Z900" t="s">
        <v>26306</v>
      </c>
      <c r="AA900" t="s">
        <v>26307</v>
      </c>
      <c r="AB900" t="s">
        <v>26308</v>
      </c>
      <c r="AC900" t="s">
        <v>74</v>
      </c>
      <c r="AD900" t="s">
        <v>74</v>
      </c>
      <c r="AE900" t="s">
        <v>74</v>
      </c>
      <c r="AF900" t="s">
        <v>74</v>
      </c>
      <c r="AG900">
        <v>66</v>
      </c>
      <c r="AH900">
        <v>18</v>
      </c>
      <c r="AI900">
        <v>19</v>
      </c>
      <c r="AJ900">
        <v>0</v>
      </c>
      <c r="AK900">
        <v>4</v>
      </c>
      <c r="AL900" t="s">
        <v>74</v>
      </c>
      <c r="AM900" t="s">
        <v>74</v>
      </c>
      <c r="AN900" t="s">
        <v>74</v>
      </c>
      <c r="AO900" t="s">
        <v>6203</v>
      </c>
      <c r="AP900" t="s">
        <v>6204</v>
      </c>
      <c r="AQ900" t="s">
        <v>74</v>
      </c>
      <c r="AR900" t="s">
        <v>74</v>
      </c>
      <c r="AS900" t="s">
        <v>74</v>
      </c>
      <c r="AT900" t="s">
        <v>967</v>
      </c>
      <c r="AU900">
        <v>2009</v>
      </c>
      <c r="AV900">
        <v>35</v>
      </c>
      <c r="AW900">
        <v>6</v>
      </c>
      <c r="AX900" t="s">
        <v>74</v>
      </c>
      <c r="AY900" t="s">
        <v>74</v>
      </c>
      <c r="AZ900" t="s">
        <v>74</v>
      </c>
      <c r="BA900" t="s">
        <v>74</v>
      </c>
      <c r="BB900">
        <v>1277</v>
      </c>
      <c r="BC900">
        <v>1288</v>
      </c>
      <c r="BD900" t="s">
        <v>74</v>
      </c>
      <c r="BE900" t="s">
        <v>26309</v>
      </c>
      <c r="BF900" t="str">
        <f>HYPERLINK("http://dx.doi.org/10.3892/ijo_00000445","http://dx.doi.org/10.3892/ijo_00000445")</f>
        <v>http://dx.doi.org/10.3892/ijo_00000445</v>
      </c>
      <c r="BG900" t="s">
        <v>74</v>
      </c>
      <c r="BH900" t="s">
        <v>74</v>
      </c>
      <c r="BI900" t="s">
        <v>74</v>
      </c>
      <c r="BJ900" t="s">
        <v>267</v>
      </c>
      <c r="BK900" t="s">
        <v>117</v>
      </c>
      <c r="BL900" t="s">
        <v>267</v>
      </c>
      <c r="BM900" t="s">
        <v>74</v>
      </c>
      <c r="BN900">
        <v>19885550</v>
      </c>
      <c r="BO900" t="s">
        <v>74</v>
      </c>
      <c r="BP900" t="s">
        <v>74</v>
      </c>
      <c r="BQ900" t="s">
        <v>74</v>
      </c>
      <c r="BR900" t="s">
        <v>96</v>
      </c>
      <c r="BS900" t="s">
        <v>26310</v>
      </c>
      <c r="BT900" t="str">
        <f>HYPERLINK("https%3A%2F%2Fwww.webofscience.com%2Fwos%2Fwoscc%2Ffull-record%2FWOS:000271708600007","View Full Record in Web of Science")</f>
        <v>View Full Record in Web of Science</v>
      </c>
    </row>
    <row r="901" spans="1:72" x14ac:dyDescent="0.15">
      <c r="A901" t="s">
        <v>98</v>
      </c>
      <c r="B901" t="s">
        <v>26897</v>
      </c>
      <c r="C901" t="s">
        <v>74</v>
      </c>
      <c r="D901" t="s">
        <v>74</v>
      </c>
      <c r="E901" t="s">
        <v>74</v>
      </c>
      <c r="F901" t="s">
        <v>26898</v>
      </c>
      <c r="G901" t="s">
        <v>74</v>
      </c>
      <c r="H901" t="s">
        <v>74</v>
      </c>
      <c r="I901" t="s">
        <v>26899</v>
      </c>
      <c r="J901" t="s">
        <v>4486</v>
      </c>
      <c r="K901" t="s">
        <v>74</v>
      </c>
      <c r="L901" t="s">
        <v>74</v>
      </c>
      <c r="M901" t="s">
        <v>74</v>
      </c>
      <c r="N901" t="s">
        <v>103</v>
      </c>
      <c r="O901" t="s">
        <v>74</v>
      </c>
      <c r="P901" t="s">
        <v>74</v>
      </c>
      <c r="Q901" t="s">
        <v>74</v>
      </c>
      <c r="R901" t="s">
        <v>74</v>
      </c>
      <c r="S901" t="s">
        <v>74</v>
      </c>
      <c r="T901" t="s">
        <v>74</v>
      </c>
      <c r="U901" t="s">
        <v>26900</v>
      </c>
      <c r="V901" t="s">
        <v>26901</v>
      </c>
      <c r="W901" t="s">
        <v>26902</v>
      </c>
      <c r="X901" t="s">
        <v>26903</v>
      </c>
      <c r="Y901" t="s">
        <v>26904</v>
      </c>
      <c r="Z901" t="s">
        <v>19328</v>
      </c>
      <c r="AA901" t="s">
        <v>74</v>
      </c>
      <c r="AB901" t="s">
        <v>19329</v>
      </c>
      <c r="AC901" t="s">
        <v>74</v>
      </c>
      <c r="AD901" t="s">
        <v>74</v>
      </c>
      <c r="AE901" t="s">
        <v>74</v>
      </c>
      <c r="AF901" t="s">
        <v>74</v>
      </c>
      <c r="AG901">
        <v>47</v>
      </c>
      <c r="AH901">
        <v>18</v>
      </c>
      <c r="AI901">
        <v>18</v>
      </c>
      <c r="AJ901">
        <v>87</v>
      </c>
      <c r="AK901">
        <v>247</v>
      </c>
      <c r="AL901" t="s">
        <v>74</v>
      </c>
      <c r="AM901" t="s">
        <v>74</v>
      </c>
      <c r="AN901" t="s">
        <v>74</v>
      </c>
      <c r="AO901" t="s">
        <v>4493</v>
      </c>
      <c r="AP901" t="s">
        <v>4494</v>
      </c>
      <c r="AQ901" t="s">
        <v>74</v>
      </c>
      <c r="AR901" t="s">
        <v>74</v>
      </c>
      <c r="AS901" t="s">
        <v>74</v>
      </c>
      <c r="AT901" t="s">
        <v>10874</v>
      </c>
      <c r="AU901">
        <v>2021</v>
      </c>
      <c r="AV901">
        <v>93</v>
      </c>
      <c r="AW901">
        <v>25</v>
      </c>
      <c r="AX901" t="s">
        <v>74</v>
      </c>
      <c r="AY901" t="s">
        <v>74</v>
      </c>
      <c r="AZ901" t="s">
        <v>74</v>
      </c>
      <c r="BA901" t="s">
        <v>74</v>
      </c>
      <c r="BB901">
        <v>9002</v>
      </c>
      <c r="BC901">
        <v>9010</v>
      </c>
      <c r="BD901" t="s">
        <v>74</v>
      </c>
      <c r="BE901" t="s">
        <v>26905</v>
      </c>
      <c r="BF901" t="str">
        <f>HYPERLINK("http://dx.doi.org/10.1021/acs.analchem.1c02010","http://dx.doi.org/10.1021/acs.analchem.1c02010")</f>
        <v>http://dx.doi.org/10.1021/acs.analchem.1c02010</v>
      </c>
      <c r="BG901" t="s">
        <v>74</v>
      </c>
      <c r="BH901" t="s">
        <v>3810</v>
      </c>
      <c r="BI901" t="s">
        <v>74</v>
      </c>
      <c r="BJ901" t="s">
        <v>1118</v>
      </c>
      <c r="BK901" t="s">
        <v>117</v>
      </c>
      <c r="BL901" t="s">
        <v>1048</v>
      </c>
      <c r="BM901" t="s">
        <v>74</v>
      </c>
      <c r="BN901">
        <v>34143614</v>
      </c>
      <c r="BO901" t="s">
        <v>74</v>
      </c>
      <c r="BP901" t="s">
        <v>74</v>
      </c>
      <c r="BQ901" t="s">
        <v>74</v>
      </c>
      <c r="BR901" t="s">
        <v>96</v>
      </c>
      <c r="BS901" t="s">
        <v>26906</v>
      </c>
      <c r="BT901" t="str">
        <f>HYPERLINK("https%3A%2F%2Fwww.webofscience.com%2Fwos%2Fwoscc%2Ffull-record%2FWOS:000669858500039","View Full Record in Web of Science")</f>
        <v>View Full Record in Web of Science</v>
      </c>
    </row>
    <row r="902" spans="1:72" x14ac:dyDescent="0.15">
      <c r="A902" t="s">
        <v>98</v>
      </c>
      <c r="B902" t="s">
        <v>27250</v>
      </c>
      <c r="C902" t="s">
        <v>74</v>
      </c>
      <c r="D902" t="s">
        <v>74</v>
      </c>
      <c r="E902" t="s">
        <v>74</v>
      </c>
      <c r="F902" t="s">
        <v>27251</v>
      </c>
      <c r="G902" t="s">
        <v>74</v>
      </c>
      <c r="H902" t="s">
        <v>74</v>
      </c>
      <c r="I902" t="s">
        <v>27252</v>
      </c>
      <c r="J902" t="s">
        <v>27253</v>
      </c>
      <c r="K902" t="s">
        <v>74</v>
      </c>
      <c r="L902" t="s">
        <v>74</v>
      </c>
      <c r="M902" t="s">
        <v>74</v>
      </c>
      <c r="N902" t="s">
        <v>103</v>
      </c>
      <c r="O902" t="s">
        <v>74</v>
      </c>
      <c r="P902" t="s">
        <v>74</v>
      </c>
      <c r="Q902" t="s">
        <v>74</v>
      </c>
      <c r="R902" t="s">
        <v>74</v>
      </c>
      <c r="S902" t="s">
        <v>74</v>
      </c>
      <c r="T902" t="s">
        <v>27254</v>
      </c>
      <c r="U902" t="s">
        <v>27255</v>
      </c>
      <c r="V902" t="s">
        <v>27256</v>
      </c>
      <c r="W902" t="s">
        <v>27257</v>
      </c>
      <c r="X902" t="s">
        <v>27258</v>
      </c>
      <c r="Y902" t="s">
        <v>27259</v>
      </c>
      <c r="Z902" t="s">
        <v>27260</v>
      </c>
      <c r="AA902" t="s">
        <v>27261</v>
      </c>
      <c r="AB902" t="s">
        <v>27262</v>
      </c>
      <c r="AC902" t="s">
        <v>74</v>
      </c>
      <c r="AD902" t="s">
        <v>74</v>
      </c>
      <c r="AE902" t="s">
        <v>74</v>
      </c>
      <c r="AF902" t="s">
        <v>74</v>
      </c>
      <c r="AG902">
        <v>40</v>
      </c>
      <c r="AH902">
        <v>18</v>
      </c>
      <c r="AI902">
        <v>20</v>
      </c>
      <c r="AJ902">
        <v>0</v>
      </c>
      <c r="AK902">
        <v>8</v>
      </c>
      <c r="AL902" t="s">
        <v>74</v>
      </c>
      <c r="AM902" t="s">
        <v>74</v>
      </c>
      <c r="AN902" t="s">
        <v>74</v>
      </c>
      <c r="AO902" t="s">
        <v>27263</v>
      </c>
      <c r="AP902" t="s">
        <v>27264</v>
      </c>
      <c r="AQ902" t="s">
        <v>74</v>
      </c>
      <c r="AR902" t="s">
        <v>74</v>
      </c>
      <c r="AS902" t="s">
        <v>74</v>
      </c>
      <c r="AT902" t="s">
        <v>565</v>
      </c>
      <c r="AU902">
        <v>2013</v>
      </c>
      <c r="AV902">
        <v>18</v>
      </c>
      <c r="AW902">
        <v>3</v>
      </c>
      <c r="AX902" t="s">
        <v>74</v>
      </c>
      <c r="AY902" t="s">
        <v>74</v>
      </c>
      <c r="AZ902" t="s">
        <v>74</v>
      </c>
      <c r="BA902" t="s">
        <v>74</v>
      </c>
      <c r="BB902">
        <v>358</v>
      </c>
      <c r="BC902">
        <v>368</v>
      </c>
      <c r="BD902" t="s">
        <v>74</v>
      </c>
      <c r="BE902" t="s">
        <v>27265</v>
      </c>
      <c r="BF902" t="str">
        <f>HYPERLINK("http://dx.doi.org/10.1038/mp.2012.70","http://dx.doi.org/10.1038/mp.2012.70")</f>
        <v>http://dx.doi.org/10.1038/mp.2012.70</v>
      </c>
      <c r="BG902" t="s">
        <v>74</v>
      </c>
      <c r="BH902" t="s">
        <v>74</v>
      </c>
      <c r="BI902" t="s">
        <v>74</v>
      </c>
      <c r="BJ902" t="s">
        <v>27266</v>
      </c>
      <c r="BK902" t="s">
        <v>117</v>
      </c>
      <c r="BL902" t="s">
        <v>27267</v>
      </c>
      <c r="BM902" t="s">
        <v>74</v>
      </c>
      <c r="BN902">
        <v>22688190</v>
      </c>
      <c r="BO902" t="s">
        <v>74</v>
      </c>
      <c r="BP902" t="s">
        <v>74</v>
      </c>
      <c r="BQ902" t="s">
        <v>74</v>
      </c>
      <c r="BR902" t="s">
        <v>96</v>
      </c>
      <c r="BS902" t="s">
        <v>27268</v>
      </c>
      <c r="BT902" t="str">
        <f>HYPERLINK("https%3A%2F%2Fwww.webofscience.com%2Fwos%2Fwoscc%2Ffull-record%2FWOS:000316568100013","View Full Record in Web of Science")</f>
        <v>View Full Record in Web of Science</v>
      </c>
    </row>
    <row r="903" spans="1:72" x14ac:dyDescent="0.15">
      <c r="A903" t="s">
        <v>98</v>
      </c>
      <c r="B903" t="s">
        <v>28434</v>
      </c>
      <c r="C903" t="s">
        <v>74</v>
      </c>
      <c r="D903" t="s">
        <v>74</v>
      </c>
      <c r="E903" t="s">
        <v>74</v>
      </c>
      <c r="F903" t="s">
        <v>28435</v>
      </c>
      <c r="G903" t="s">
        <v>74</v>
      </c>
      <c r="H903" t="s">
        <v>74</v>
      </c>
      <c r="I903" t="s">
        <v>28436</v>
      </c>
      <c r="J903" t="s">
        <v>27066</v>
      </c>
      <c r="K903" t="s">
        <v>74</v>
      </c>
      <c r="L903" t="s">
        <v>74</v>
      </c>
      <c r="M903" t="s">
        <v>74</v>
      </c>
      <c r="N903" t="s">
        <v>103</v>
      </c>
      <c r="O903" t="s">
        <v>74</v>
      </c>
      <c r="P903" t="s">
        <v>74</v>
      </c>
      <c r="Q903" t="s">
        <v>74</v>
      </c>
      <c r="R903" t="s">
        <v>74</v>
      </c>
      <c r="S903" t="s">
        <v>74</v>
      </c>
      <c r="T903" t="s">
        <v>28437</v>
      </c>
      <c r="U903" t="s">
        <v>28438</v>
      </c>
      <c r="V903" t="s">
        <v>28439</v>
      </c>
      <c r="W903" t="s">
        <v>28440</v>
      </c>
      <c r="X903" t="s">
        <v>28441</v>
      </c>
      <c r="Y903" t="s">
        <v>28442</v>
      </c>
      <c r="Z903" t="s">
        <v>28443</v>
      </c>
      <c r="AA903" t="s">
        <v>74</v>
      </c>
      <c r="AB903" t="s">
        <v>74</v>
      </c>
      <c r="AC903" t="s">
        <v>74</v>
      </c>
      <c r="AD903" t="s">
        <v>74</v>
      </c>
      <c r="AE903" t="s">
        <v>74</v>
      </c>
      <c r="AF903" t="s">
        <v>74</v>
      </c>
      <c r="AG903">
        <v>46</v>
      </c>
      <c r="AH903">
        <v>18</v>
      </c>
      <c r="AI903">
        <v>18</v>
      </c>
      <c r="AJ903">
        <v>1</v>
      </c>
      <c r="AK903">
        <v>8</v>
      </c>
      <c r="AL903" t="s">
        <v>74</v>
      </c>
      <c r="AM903" t="s">
        <v>74</v>
      </c>
      <c r="AN903" t="s">
        <v>74</v>
      </c>
      <c r="AO903" t="s">
        <v>27075</v>
      </c>
      <c r="AP903" t="s">
        <v>27076</v>
      </c>
      <c r="AQ903" t="s">
        <v>74</v>
      </c>
      <c r="AR903" t="s">
        <v>74</v>
      </c>
      <c r="AS903" t="s">
        <v>74</v>
      </c>
      <c r="AT903" t="s">
        <v>7938</v>
      </c>
      <c r="AU903">
        <v>2012</v>
      </c>
      <c r="AV903">
        <v>30</v>
      </c>
      <c r="AW903">
        <v>24</v>
      </c>
      <c r="AX903" t="s">
        <v>74</v>
      </c>
      <c r="AY903" t="s">
        <v>74</v>
      </c>
      <c r="AZ903" t="s">
        <v>74</v>
      </c>
      <c r="BA903" t="s">
        <v>74</v>
      </c>
      <c r="BB903">
        <v>3519</v>
      </c>
      <c r="BC903">
        <v>3525</v>
      </c>
      <c r="BD903" t="s">
        <v>74</v>
      </c>
      <c r="BE903" t="s">
        <v>28444</v>
      </c>
      <c r="BF903" t="str">
        <f>HYPERLINK("http://dx.doi.org/10.1016/j.vaccine.2012.03.075","http://dx.doi.org/10.1016/j.vaccine.2012.03.075")</f>
        <v>http://dx.doi.org/10.1016/j.vaccine.2012.03.075</v>
      </c>
      <c r="BG903" t="s">
        <v>74</v>
      </c>
      <c r="BH903" t="s">
        <v>74</v>
      </c>
      <c r="BI903" t="s">
        <v>74</v>
      </c>
      <c r="BJ903" t="s">
        <v>1496</v>
      </c>
      <c r="BK903" t="s">
        <v>117</v>
      </c>
      <c r="BL903" t="s">
        <v>1497</v>
      </c>
      <c r="BM903" t="s">
        <v>74</v>
      </c>
      <c r="BN903">
        <v>22484292</v>
      </c>
      <c r="BO903" t="s">
        <v>74</v>
      </c>
      <c r="BP903" t="s">
        <v>74</v>
      </c>
      <c r="BQ903" t="s">
        <v>74</v>
      </c>
      <c r="BR903" t="s">
        <v>96</v>
      </c>
      <c r="BS903" t="s">
        <v>28445</v>
      </c>
      <c r="BT903" t="str">
        <f>HYPERLINK("https%3A%2F%2Fwww.webofscience.com%2Fwos%2Fwoscc%2Ffull-record%2FWOS:000304741500005","View Full Record in Web of Science")</f>
        <v>View Full Record in Web of Science</v>
      </c>
    </row>
    <row r="904" spans="1:72" x14ac:dyDescent="0.15">
      <c r="A904" t="s">
        <v>98</v>
      </c>
      <c r="B904" t="s">
        <v>30037</v>
      </c>
      <c r="C904" t="s">
        <v>74</v>
      </c>
      <c r="D904" t="s">
        <v>74</v>
      </c>
      <c r="E904" t="s">
        <v>74</v>
      </c>
      <c r="F904" t="s">
        <v>30038</v>
      </c>
      <c r="G904" t="s">
        <v>74</v>
      </c>
      <c r="H904" t="s">
        <v>74</v>
      </c>
      <c r="I904" t="s">
        <v>30039</v>
      </c>
      <c r="J904" t="s">
        <v>4332</v>
      </c>
      <c r="K904" t="s">
        <v>74</v>
      </c>
      <c r="L904" t="s">
        <v>74</v>
      </c>
      <c r="M904" t="s">
        <v>74</v>
      </c>
      <c r="N904" t="s">
        <v>103</v>
      </c>
      <c r="O904" t="s">
        <v>74</v>
      </c>
      <c r="P904" t="s">
        <v>74</v>
      </c>
      <c r="Q904" t="s">
        <v>74</v>
      </c>
      <c r="R904" t="s">
        <v>74</v>
      </c>
      <c r="S904" t="s">
        <v>74</v>
      </c>
      <c r="T904" t="s">
        <v>30040</v>
      </c>
      <c r="U904" t="s">
        <v>30041</v>
      </c>
      <c r="V904" t="s">
        <v>30042</v>
      </c>
      <c r="W904" t="s">
        <v>30043</v>
      </c>
      <c r="X904" t="s">
        <v>30044</v>
      </c>
      <c r="Y904" t="s">
        <v>30045</v>
      </c>
      <c r="Z904" t="s">
        <v>4339</v>
      </c>
      <c r="AA904" t="s">
        <v>30046</v>
      </c>
      <c r="AB904" t="s">
        <v>30047</v>
      </c>
      <c r="AC904" t="s">
        <v>74</v>
      </c>
      <c r="AD904" t="s">
        <v>74</v>
      </c>
      <c r="AE904" t="s">
        <v>74</v>
      </c>
      <c r="AF904" t="s">
        <v>74</v>
      </c>
      <c r="AG904">
        <v>41</v>
      </c>
      <c r="AH904">
        <v>18</v>
      </c>
      <c r="AI904">
        <v>18</v>
      </c>
      <c r="AJ904">
        <v>0</v>
      </c>
      <c r="AK904">
        <v>5</v>
      </c>
      <c r="AL904" t="s">
        <v>74</v>
      </c>
      <c r="AM904" t="s">
        <v>74</v>
      </c>
      <c r="AN904" t="s">
        <v>74</v>
      </c>
      <c r="AO904" t="s">
        <v>74</v>
      </c>
      <c r="AP904" t="s">
        <v>4342</v>
      </c>
      <c r="AQ904" t="s">
        <v>74</v>
      </c>
      <c r="AR904" t="s">
        <v>74</v>
      </c>
      <c r="AS904" t="s">
        <v>74</v>
      </c>
      <c r="AT904" t="s">
        <v>9294</v>
      </c>
      <c r="AU904">
        <v>2014</v>
      </c>
      <c r="AV904">
        <v>33</v>
      </c>
      <c r="AW904" t="s">
        <v>74</v>
      </c>
      <c r="AX904" t="s">
        <v>74</v>
      </c>
      <c r="AY904" t="s">
        <v>74</v>
      </c>
      <c r="AZ904" t="s">
        <v>74</v>
      </c>
      <c r="BA904" t="s">
        <v>74</v>
      </c>
      <c r="BB904" t="s">
        <v>74</v>
      </c>
      <c r="BC904" t="s">
        <v>74</v>
      </c>
      <c r="BD904">
        <v>86</v>
      </c>
      <c r="BE904" t="s">
        <v>30048</v>
      </c>
      <c r="BF904" t="str">
        <f>HYPERLINK("http://dx.doi.org/10.1186/s13046-014-0086-5","http://dx.doi.org/10.1186/s13046-014-0086-5")</f>
        <v>http://dx.doi.org/10.1186/s13046-014-0086-5</v>
      </c>
      <c r="BG904" t="s">
        <v>74</v>
      </c>
      <c r="BH904" t="s">
        <v>74</v>
      </c>
      <c r="BI904" t="s">
        <v>74</v>
      </c>
      <c r="BJ904" t="s">
        <v>267</v>
      </c>
      <c r="BK904" t="s">
        <v>117</v>
      </c>
      <c r="BL904" t="s">
        <v>267</v>
      </c>
      <c r="BM904" t="s">
        <v>74</v>
      </c>
      <c r="BN904">
        <v>25266310</v>
      </c>
      <c r="BO904" t="s">
        <v>74</v>
      </c>
      <c r="BP904" t="s">
        <v>74</v>
      </c>
      <c r="BQ904" t="s">
        <v>74</v>
      </c>
      <c r="BR904" t="s">
        <v>96</v>
      </c>
      <c r="BS904" t="s">
        <v>30049</v>
      </c>
      <c r="BT904" t="str">
        <f>HYPERLINK("https%3A%2F%2Fwww.webofscience.com%2Fwos%2Fwoscc%2Ffull-record%2FWOS:000344704300001","View Full Record in Web of Science")</f>
        <v>View Full Record in Web of Science</v>
      </c>
    </row>
    <row r="905" spans="1:72" x14ac:dyDescent="0.15">
      <c r="A905" t="s">
        <v>98</v>
      </c>
      <c r="B905" t="s">
        <v>2102</v>
      </c>
      <c r="C905" t="s">
        <v>74</v>
      </c>
      <c r="D905" t="s">
        <v>74</v>
      </c>
      <c r="E905" t="s">
        <v>74</v>
      </c>
      <c r="F905" t="s">
        <v>2103</v>
      </c>
      <c r="G905" t="s">
        <v>74</v>
      </c>
      <c r="H905" t="s">
        <v>74</v>
      </c>
      <c r="I905" t="s">
        <v>2104</v>
      </c>
      <c r="J905" t="s">
        <v>2105</v>
      </c>
      <c r="K905" t="s">
        <v>74</v>
      </c>
      <c r="L905" t="s">
        <v>74</v>
      </c>
      <c r="M905" t="s">
        <v>74</v>
      </c>
      <c r="N905" t="s">
        <v>103</v>
      </c>
      <c r="O905" t="s">
        <v>74</v>
      </c>
      <c r="P905" t="s">
        <v>74</v>
      </c>
      <c r="Q905" t="s">
        <v>74</v>
      </c>
      <c r="R905" t="s">
        <v>74</v>
      </c>
      <c r="S905" t="s">
        <v>74</v>
      </c>
      <c r="T905" t="s">
        <v>2106</v>
      </c>
      <c r="U905" t="s">
        <v>2107</v>
      </c>
      <c r="V905" t="s">
        <v>2108</v>
      </c>
      <c r="W905" t="s">
        <v>2109</v>
      </c>
      <c r="X905" t="s">
        <v>2110</v>
      </c>
      <c r="Y905" t="s">
        <v>2111</v>
      </c>
      <c r="Z905" t="s">
        <v>2112</v>
      </c>
      <c r="AA905" t="s">
        <v>2113</v>
      </c>
      <c r="AB905" t="s">
        <v>2114</v>
      </c>
      <c r="AC905" t="s">
        <v>74</v>
      </c>
      <c r="AD905" t="s">
        <v>74</v>
      </c>
      <c r="AE905" t="s">
        <v>74</v>
      </c>
      <c r="AF905" t="s">
        <v>74</v>
      </c>
      <c r="AG905">
        <v>47</v>
      </c>
      <c r="AH905">
        <v>17</v>
      </c>
      <c r="AI905">
        <v>17</v>
      </c>
      <c r="AJ905">
        <v>0</v>
      </c>
      <c r="AK905">
        <v>4</v>
      </c>
      <c r="AL905" t="s">
        <v>74</v>
      </c>
      <c r="AM905" t="s">
        <v>74</v>
      </c>
      <c r="AN905" t="s">
        <v>74</v>
      </c>
      <c r="AO905" t="s">
        <v>2115</v>
      </c>
      <c r="AP905" t="s">
        <v>74</v>
      </c>
      <c r="AQ905" t="s">
        <v>74</v>
      </c>
      <c r="AR905" t="s">
        <v>74</v>
      </c>
      <c r="AS905" t="s">
        <v>74</v>
      </c>
      <c r="AT905" t="s">
        <v>2116</v>
      </c>
      <c r="AU905">
        <v>2019</v>
      </c>
      <c r="AV905">
        <v>9</v>
      </c>
      <c r="AW905" t="s">
        <v>74</v>
      </c>
      <c r="AX905" t="s">
        <v>74</v>
      </c>
      <c r="AY905" t="s">
        <v>74</v>
      </c>
      <c r="AZ905" t="s">
        <v>74</v>
      </c>
      <c r="BA905" t="s">
        <v>74</v>
      </c>
      <c r="BB905" t="s">
        <v>74</v>
      </c>
      <c r="BC905" t="s">
        <v>74</v>
      </c>
      <c r="BD905">
        <v>860</v>
      </c>
      <c r="BE905" t="s">
        <v>2117</v>
      </c>
      <c r="BF905" t="str">
        <f>HYPERLINK("http://dx.doi.org/10.3389/fonc.2019.00860","http://dx.doi.org/10.3389/fonc.2019.00860")</f>
        <v>http://dx.doi.org/10.3389/fonc.2019.00860</v>
      </c>
      <c r="BG905" t="s">
        <v>74</v>
      </c>
      <c r="BH905" t="s">
        <v>74</v>
      </c>
      <c r="BI905" t="s">
        <v>74</v>
      </c>
      <c r="BJ905" t="s">
        <v>267</v>
      </c>
      <c r="BK905" t="s">
        <v>117</v>
      </c>
      <c r="BL905" t="s">
        <v>267</v>
      </c>
      <c r="BM905" t="s">
        <v>74</v>
      </c>
      <c r="BN905">
        <v>31608222</v>
      </c>
      <c r="BO905" t="s">
        <v>74</v>
      </c>
      <c r="BP905" t="s">
        <v>74</v>
      </c>
      <c r="BQ905" t="s">
        <v>74</v>
      </c>
      <c r="BR905" t="s">
        <v>96</v>
      </c>
      <c r="BS905" t="s">
        <v>2118</v>
      </c>
      <c r="BT905" t="str">
        <f>HYPERLINK("https%3A%2F%2Fwww.webofscience.com%2Fwos%2Fwoscc%2Ffull-record%2FWOS:000486516900001","View Full Record in Web of Science")</f>
        <v>View Full Record in Web of Science</v>
      </c>
    </row>
    <row r="906" spans="1:72" x14ac:dyDescent="0.15">
      <c r="A906" t="s">
        <v>98</v>
      </c>
      <c r="B906" t="s">
        <v>5022</v>
      </c>
      <c r="C906" t="s">
        <v>74</v>
      </c>
      <c r="D906" t="s">
        <v>74</v>
      </c>
      <c r="E906" t="s">
        <v>74</v>
      </c>
      <c r="F906" t="s">
        <v>5023</v>
      </c>
      <c r="G906" t="s">
        <v>74</v>
      </c>
      <c r="H906" t="s">
        <v>74</v>
      </c>
      <c r="I906" t="s">
        <v>5024</v>
      </c>
      <c r="J906" t="s">
        <v>5025</v>
      </c>
      <c r="K906" t="s">
        <v>74</v>
      </c>
      <c r="L906" t="s">
        <v>74</v>
      </c>
      <c r="M906" t="s">
        <v>74</v>
      </c>
      <c r="N906" t="s">
        <v>103</v>
      </c>
      <c r="O906" t="s">
        <v>74</v>
      </c>
      <c r="P906" t="s">
        <v>74</v>
      </c>
      <c r="Q906" t="s">
        <v>74</v>
      </c>
      <c r="R906" t="s">
        <v>74</v>
      </c>
      <c r="S906" t="s">
        <v>74</v>
      </c>
      <c r="T906" t="s">
        <v>5026</v>
      </c>
      <c r="U906" t="s">
        <v>5027</v>
      </c>
      <c r="V906" t="s">
        <v>5028</v>
      </c>
      <c r="W906" t="s">
        <v>5029</v>
      </c>
      <c r="X906" t="s">
        <v>5030</v>
      </c>
      <c r="Y906" t="s">
        <v>5031</v>
      </c>
      <c r="Z906" t="s">
        <v>5032</v>
      </c>
      <c r="AA906" t="s">
        <v>5033</v>
      </c>
      <c r="AB906" t="s">
        <v>5034</v>
      </c>
      <c r="AC906" t="s">
        <v>74</v>
      </c>
      <c r="AD906" t="s">
        <v>74</v>
      </c>
      <c r="AE906" t="s">
        <v>74</v>
      </c>
      <c r="AF906" t="s">
        <v>74</v>
      </c>
      <c r="AG906">
        <v>51</v>
      </c>
      <c r="AH906">
        <v>17</v>
      </c>
      <c r="AI906">
        <v>18</v>
      </c>
      <c r="AJ906">
        <v>11</v>
      </c>
      <c r="AK906">
        <v>26</v>
      </c>
      <c r="AL906" t="s">
        <v>74</v>
      </c>
      <c r="AM906" t="s">
        <v>74</v>
      </c>
      <c r="AN906" t="s">
        <v>74</v>
      </c>
      <c r="AO906" t="s">
        <v>74</v>
      </c>
      <c r="AP906" t="s">
        <v>5035</v>
      </c>
      <c r="AQ906" t="s">
        <v>74</v>
      </c>
      <c r="AR906" t="s">
        <v>74</v>
      </c>
      <c r="AS906" t="s">
        <v>74</v>
      </c>
      <c r="AT906" t="s">
        <v>283</v>
      </c>
      <c r="AU906">
        <v>2020</v>
      </c>
      <c r="AV906">
        <v>9</v>
      </c>
      <c r="AW906">
        <v>2</v>
      </c>
      <c r="AX906" t="s">
        <v>74</v>
      </c>
      <c r="AY906" t="s">
        <v>74</v>
      </c>
      <c r="AZ906" t="s">
        <v>74</v>
      </c>
      <c r="BA906" t="s">
        <v>74</v>
      </c>
      <c r="BB906" t="s">
        <v>74</v>
      </c>
      <c r="BC906" t="s">
        <v>74</v>
      </c>
      <c r="BD906">
        <v>491</v>
      </c>
      <c r="BE906" t="s">
        <v>5036</v>
      </c>
      <c r="BF906" t="str">
        <f>HYPERLINK("http://dx.doi.org/10.3390/jcm9020491","http://dx.doi.org/10.3390/jcm9020491")</f>
        <v>http://dx.doi.org/10.3390/jcm9020491</v>
      </c>
      <c r="BG906" t="s">
        <v>74</v>
      </c>
      <c r="BH906" t="s">
        <v>74</v>
      </c>
      <c r="BI906" t="s">
        <v>74</v>
      </c>
      <c r="BJ906" t="s">
        <v>2564</v>
      </c>
      <c r="BK906" t="s">
        <v>117</v>
      </c>
      <c r="BL906" t="s">
        <v>2565</v>
      </c>
      <c r="BM906" t="s">
        <v>74</v>
      </c>
      <c r="BN906">
        <v>32054086</v>
      </c>
      <c r="BO906" t="s">
        <v>74</v>
      </c>
      <c r="BP906" t="s">
        <v>74</v>
      </c>
      <c r="BQ906" t="s">
        <v>74</v>
      </c>
      <c r="BR906" t="s">
        <v>96</v>
      </c>
      <c r="BS906" t="s">
        <v>5037</v>
      </c>
      <c r="BT906" t="str">
        <f>HYPERLINK("https%3A%2F%2Fwww.webofscience.com%2Fwos%2Fwoscc%2Ffull-record%2FWOS:000518823000203","View Full Record in Web of Science")</f>
        <v>View Full Record in Web of Science</v>
      </c>
    </row>
    <row r="907" spans="1:72" x14ac:dyDescent="0.15">
      <c r="A907" t="s">
        <v>98</v>
      </c>
      <c r="B907" t="s">
        <v>8794</v>
      </c>
      <c r="C907" t="s">
        <v>74</v>
      </c>
      <c r="D907" t="s">
        <v>74</v>
      </c>
      <c r="E907" t="s">
        <v>74</v>
      </c>
      <c r="F907" t="s">
        <v>8795</v>
      </c>
      <c r="G907" t="s">
        <v>74</v>
      </c>
      <c r="H907" t="s">
        <v>74</v>
      </c>
      <c r="I907" t="s">
        <v>8796</v>
      </c>
      <c r="J907" t="s">
        <v>8797</v>
      </c>
      <c r="K907" t="s">
        <v>74</v>
      </c>
      <c r="L907" t="s">
        <v>74</v>
      </c>
      <c r="M907" t="s">
        <v>74</v>
      </c>
      <c r="N907" t="s">
        <v>103</v>
      </c>
      <c r="O907" t="s">
        <v>74</v>
      </c>
      <c r="P907" t="s">
        <v>74</v>
      </c>
      <c r="Q907" t="s">
        <v>74</v>
      </c>
      <c r="R907" t="s">
        <v>74</v>
      </c>
      <c r="S907" t="s">
        <v>74</v>
      </c>
      <c r="T907" t="s">
        <v>8798</v>
      </c>
      <c r="U907" t="s">
        <v>8799</v>
      </c>
      <c r="V907" t="s">
        <v>8800</v>
      </c>
      <c r="W907" t="s">
        <v>8801</v>
      </c>
      <c r="X907" t="s">
        <v>8802</v>
      </c>
      <c r="Y907" t="s">
        <v>8803</v>
      </c>
      <c r="Z907" t="s">
        <v>8804</v>
      </c>
      <c r="AA907" t="s">
        <v>8805</v>
      </c>
      <c r="AB907" t="s">
        <v>8806</v>
      </c>
      <c r="AC907" t="s">
        <v>74</v>
      </c>
      <c r="AD907" t="s">
        <v>74</v>
      </c>
      <c r="AE907" t="s">
        <v>74</v>
      </c>
      <c r="AF907" t="s">
        <v>74</v>
      </c>
      <c r="AG907">
        <v>26</v>
      </c>
      <c r="AH907">
        <v>17</v>
      </c>
      <c r="AI907">
        <v>17</v>
      </c>
      <c r="AJ907">
        <v>2</v>
      </c>
      <c r="AK907">
        <v>10</v>
      </c>
      <c r="AL907" t="s">
        <v>74</v>
      </c>
      <c r="AM907" t="s">
        <v>74</v>
      </c>
      <c r="AN907" t="s">
        <v>74</v>
      </c>
      <c r="AO907" t="s">
        <v>8807</v>
      </c>
      <c r="AP907" t="s">
        <v>8808</v>
      </c>
      <c r="AQ907" t="s">
        <v>74</v>
      </c>
      <c r="AR907" t="s">
        <v>74</v>
      </c>
      <c r="AS907" t="s">
        <v>74</v>
      </c>
      <c r="AT907" t="s">
        <v>565</v>
      </c>
      <c r="AU907">
        <v>2020</v>
      </c>
      <c r="AV907">
        <v>99</v>
      </c>
      <c r="AW907">
        <v>3</v>
      </c>
      <c r="AX907" t="s">
        <v>74</v>
      </c>
      <c r="AY907" t="s">
        <v>74</v>
      </c>
      <c r="AZ907" t="s">
        <v>74</v>
      </c>
      <c r="BA907" t="s">
        <v>74</v>
      </c>
      <c r="BB907">
        <v>459</v>
      </c>
      <c r="BC907">
        <v>475</v>
      </c>
      <c r="BD907" t="s">
        <v>74</v>
      </c>
      <c r="BE907" t="s">
        <v>8809</v>
      </c>
      <c r="BF907" t="str">
        <f>HYPERLINK("http://dx.doi.org/10.1007/s00277-019-03866-w","http://dx.doi.org/10.1007/s00277-019-03866-w")</f>
        <v>http://dx.doi.org/10.1007/s00277-019-03866-w</v>
      </c>
      <c r="BG907" t="s">
        <v>74</v>
      </c>
      <c r="BH907" t="s">
        <v>74</v>
      </c>
      <c r="BI907" t="s">
        <v>74</v>
      </c>
      <c r="BJ907" t="s">
        <v>2438</v>
      </c>
      <c r="BK907" t="s">
        <v>117</v>
      </c>
      <c r="BL907" t="s">
        <v>2438</v>
      </c>
      <c r="BM907" t="s">
        <v>74</v>
      </c>
      <c r="BN907">
        <v>31932899</v>
      </c>
      <c r="BO907" t="s">
        <v>74</v>
      </c>
      <c r="BP907" t="s">
        <v>74</v>
      </c>
      <c r="BQ907" t="s">
        <v>74</v>
      </c>
      <c r="BR907" t="s">
        <v>96</v>
      </c>
      <c r="BS907" t="s">
        <v>8810</v>
      </c>
      <c r="BT907" t="str">
        <f>HYPERLINK("https%3A%2F%2Fwww.webofscience.com%2Fwos%2Fwoscc%2Ffull-record%2FWOS:000518506700007","View Full Record in Web of Science")</f>
        <v>View Full Record in Web of Science</v>
      </c>
    </row>
    <row r="908" spans="1:72" x14ac:dyDescent="0.15">
      <c r="A908" t="s">
        <v>98</v>
      </c>
      <c r="B908" t="s">
        <v>9023</v>
      </c>
      <c r="C908" t="s">
        <v>74</v>
      </c>
      <c r="D908" t="s">
        <v>74</v>
      </c>
      <c r="E908" t="s">
        <v>74</v>
      </c>
      <c r="F908" t="s">
        <v>9024</v>
      </c>
      <c r="G908" t="s">
        <v>74</v>
      </c>
      <c r="H908" t="s">
        <v>74</v>
      </c>
      <c r="I908" t="s">
        <v>9025</v>
      </c>
      <c r="J908" t="s">
        <v>1827</v>
      </c>
      <c r="K908" t="s">
        <v>74</v>
      </c>
      <c r="L908" t="s">
        <v>74</v>
      </c>
      <c r="M908" t="s">
        <v>74</v>
      </c>
      <c r="N908" t="s">
        <v>103</v>
      </c>
      <c r="O908" t="s">
        <v>74</v>
      </c>
      <c r="P908" t="s">
        <v>74</v>
      </c>
      <c r="Q908" t="s">
        <v>74</v>
      </c>
      <c r="R908" t="s">
        <v>74</v>
      </c>
      <c r="S908" t="s">
        <v>74</v>
      </c>
      <c r="T908" t="s">
        <v>9026</v>
      </c>
      <c r="U908" t="s">
        <v>9027</v>
      </c>
      <c r="V908" t="s">
        <v>9028</v>
      </c>
      <c r="W908" t="s">
        <v>9029</v>
      </c>
      <c r="X908" t="s">
        <v>9030</v>
      </c>
      <c r="Y908" t="s">
        <v>9031</v>
      </c>
      <c r="Z908" t="s">
        <v>9032</v>
      </c>
      <c r="AA908" t="s">
        <v>9033</v>
      </c>
      <c r="AB908" t="s">
        <v>9034</v>
      </c>
      <c r="AC908" t="s">
        <v>74</v>
      </c>
      <c r="AD908" t="s">
        <v>74</v>
      </c>
      <c r="AE908" t="s">
        <v>74</v>
      </c>
      <c r="AF908" t="s">
        <v>74</v>
      </c>
      <c r="AG908">
        <v>54</v>
      </c>
      <c r="AH908">
        <v>17</v>
      </c>
      <c r="AI908">
        <v>17</v>
      </c>
      <c r="AJ908">
        <v>2</v>
      </c>
      <c r="AK908">
        <v>5</v>
      </c>
      <c r="AL908" t="s">
        <v>74</v>
      </c>
      <c r="AM908" t="s">
        <v>74</v>
      </c>
      <c r="AN908" t="s">
        <v>74</v>
      </c>
      <c r="AO908" t="s">
        <v>74</v>
      </c>
      <c r="AP908" t="s">
        <v>1836</v>
      </c>
      <c r="AQ908" t="s">
        <v>74</v>
      </c>
      <c r="AR908" t="s">
        <v>74</v>
      </c>
      <c r="AS908" t="s">
        <v>74</v>
      </c>
      <c r="AT908" t="s">
        <v>132</v>
      </c>
      <c r="AU908">
        <v>2020</v>
      </c>
      <c r="AV908">
        <v>9</v>
      </c>
      <c r="AW908">
        <v>4</v>
      </c>
      <c r="AX908" t="s">
        <v>74</v>
      </c>
      <c r="AY908" t="s">
        <v>74</v>
      </c>
      <c r="AZ908" t="s">
        <v>74</v>
      </c>
      <c r="BA908" t="s">
        <v>74</v>
      </c>
      <c r="BB908" t="s">
        <v>74</v>
      </c>
      <c r="BC908" t="s">
        <v>74</v>
      </c>
      <c r="BD908">
        <v>973</v>
      </c>
      <c r="BE908" t="s">
        <v>9035</v>
      </c>
      <c r="BF908" t="str">
        <f>HYPERLINK("http://dx.doi.org/10.3390/cells9040973","http://dx.doi.org/10.3390/cells9040973")</f>
        <v>http://dx.doi.org/10.3390/cells9040973</v>
      </c>
      <c r="BG908" t="s">
        <v>74</v>
      </c>
      <c r="BH908" t="s">
        <v>74</v>
      </c>
      <c r="BI908" t="s">
        <v>74</v>
      </c>
      <c r="BJ908" t="s">
        <v>135</v>
      </c>
      <c r="BK908" t="s">
        <v>117</v>
      </c>
      <c r="BL908" t="s">
        <v>135</v>
      </c>
      <c r="BM908" t="s">
        <v>74</v>
      </c>
      <c r="BN908">
        <v>32326435</v>
      </c>
      <c r="BO908" t="s">
        <v>74</v>
      </c>
      <c r="BP908" t="s">
        <v>74</v>
      </c>
      <c r="BQ908" t="s">
        <v>74</v>
      </c>
      <c r="BR908" t="s">
        <v>96</v>
      </c>
      <c r="BS908" t="s">
        <v>9036</v>
      </c>
      <c r="BT908" t="str">
        <f>HYPERLINK("https%3A%2F%2Fwww.webofscience.com%2Fwos%2Fwoscc%2Ffull-record%2FWOS:000535559500184","View Full Record in Web of Science")</f>
        <v>View Full Record in Web of Science</v>
      </c>
    </row>
    <row r="909" spans="1:72" x14ac:dyDescent="0.15">
      <c r="A909" t="s">
        <v>98</v>
      </c>
      <c r="B909" t="s">
        <v>9086</v>
      </c>
      <c r="C909" t="s">
        <v>74</v>
      </c>
      <c r="D909" t="s">
        <v>74</v>
      </c>
      <c r="E909" t="s">
        <v>74</v>
      </c>
      <c r="F909" t="s">
        <v>9087</v>
      </c>
      <c r="G909" t="s">
        <v>74</v>
      </c>
      <c r="H909" t="s">
        <v>74</v>
      </c>
      <c r="I909" t="s">
        <v>9088</v>
      </c>
      <c r="J909" t="s">
        <v>9089</v>
      </c>
      <c r="K909" t="s">
        <v>74</v>
      </c>
      <c r="L909" t="s">
        <v>74</v>
      </c>
      <c r="M909" t="s">
        <v>74</v>
      </c>
      <c r="N909" t="s">
        <v>103</v>
      </c>
      <c r="O909" t="s">
        <v>74</v>
      </c>
      <c r="P909" t="s">
        <v>74</v>
      </c>
      <c r="Q909" t="s">
        <v>74</v>
      </c>
      <c r="R909" t="s">
        <v>74</v>
      </c>
      <c r="S909" t="s">
        <v>74</v>
      </c>
      <c r="T909" t="s">
        <v>9090</v>
      </c>
      <c r="U909" t="s">
        <v>9091</v>
      </c>
      <c r="V909" t="s">
        <v>9092</v>
      </c>
      <c r="W909" t="s">
        <v>9093</v>
      </c>
      <c r="X909" t="s">
        <v>9094</v>
      </c>
      <c r="Y909" t="s">
        <v>9095</v>
      </c>
      <c r="Z909" t="s">
        <v>9096</v>
      </c>
      <c r="AA909" t="s">
        <v>9097</v>
      </c>
      <c r="AB909" t="s">
        <v>9098</v>
      </c>
      <c r="AC909" t="s">
        <v>74</v>
      </c>
      <c r="AD909" t="s">
        <v>74</v>
      </c>
      <c r="AE909" t="s">
        <v>74</v>
      </c>
      <c r="AF909" t="s">
        <v>74</v>
      </c>
      <c r="AG909">
        <v>57</v>
      </c>
      <c r="AH909">
        <v>17</v>
      </c>
      <c r="AI909">
        <v>17</v>
      </c>
      <c r="AJ909">
        <v>1</v>
      </c>
      <c r="AK909">
        <v>25</v>
      </c>
      <c r="AL909" t="s">
        <v>74</v>
      </c>
      <c r="AM909" t="s">
        <v>74</v>
      </c>
      <c r="AN909" t="s">
        <v>74</v>
      </c>
      <c r="AO909" t="s">
        <v>9099</v>
      </c>
      <c r="AP909" t="s">
        <v>9100</v>
      </c>
      <c r="AQ909" t="s">
        <v>74</v>
      </c>
      <c r="AR909" t="s">
        <v>74</v>
      </c>
      <c r="AS909" t="s">
        <v>74</v>
      </c>
      <c r="AT909" t="s">
        <v>614</v>
      </c>
      <c r="AU909">
        <v>2019</v>
      </c>
      <c r="AV909">
        <v>317</v>
      </c>
      <c r="AW909">
        <v>1</v>
      </c>
      <c r="AX909" t="s">
        <v>74</v>
      </c>
      <c r="AY909" t="s">
        <v>74</v>
      </c>
      <c r="AZ909" t="s">
        <v>74</v>
      </c>
      <c r="BA909" t="s">
        <v>74</v>
      </c>
      <c r="BB909" t="s">
        <v>9101</v>
      </c>
      <c r="BC909" t="s">
        <v>9102</v>
      </c>
      <c r="BD909" t="s">
        <v>74</v>
      </c>
      <c r="BE909" t="s">
        <v>9103</v>
      </c>
      <c r="BF909" t="str">
        <f>HYPERLINK("http://dx.doi.org/10.1152/ajpcell.00418.2018","http://dx.doi.org/10.1152/ajpcell.00418.2018")</f>
        <v>http://dx.doi.org/10.1152/ajpcell.00418.2018</v>
      </c>
      <c r="BG909" t="s">
        <v>74</v>
      </c>
      <c r="BH909" t="s">
        <v>74</v>
      </c>
      <c r="BI909" t="s">
        <v>74</v>
      </c>
      <c r="BJ909" t="s">
        <v>1359</v>
      </c>
      <c r="BK909" t="s">
        <v>117</v>
      </c>
      <c r="BL909" t="s">
        <v>1359</v>
      </c>
      <c r="BM909" t="s">
        <v>74</v>
      </c>
      <c r="BN909">
        <v>31017799</v>
      </c>
      <c r="BO909" t="s">
        <v>74</v>
      </c>
      <c r="BP909" t="s">
        <v>74</v>
      </c>
      <c r="BQ909" t="s">
        <v>74</v>
      </c>
      <c r="BR909" t="s">
        <v>96</v>
      </c>
      <c r="BS909" t="s">
        <v>9104</v>
      </c>
      <c r="BT909" t="str">
        <f>HYPERLINK("https%3A%2F%2Fwww.webofscience.com%2Fwos%2Fwoscc%2Ffull-record%2FWOS:000472500500009","View Full Record in Web of Science")</f>
        <v>View Full Record in Web of Science</v>
      </c>
    </row>
    <row r="910" spans="1:72" x14ac:dyDescent="0.15">
      <c r="A910" t="s">
        <v>98</v>
      </c>
      <c r="B910" t="s">
        <v>9198</v>
      </c>
      <c r="C910" t="s">
        <v>74</v>
      </c>
      <c r="D910" t="s">
        <v>74</v>
      </c>
      <c r="E910" t="s">
        <v>74</v>
      </c>
      <c r="F910" t="s">
        <v>9199</v>
      </c>
      <c r="G910" t="s">
        <v>74</v>
      </c>
      <c r="H910" t="s">
        <v>74</v>
      </c>
      <c r="I910" t="s">
        <v>9200</v>
      </c>
      <c r="J910" t="s">
        <v>140</v>
      </c>
      <c r="K910" t="s">
        <v>74</v>
      </c>
      <c r="L910" t="s">
        <v>74</v>
      </c>
      <c r="M910" t="s">
        <v>74</v>
      </c>
      <c r="N910" t="s">
        <v>103</v>
      </c>
      <c r="O910" t="s">
        <v>74</v>
      </c>
      <c r="P910" t="s">
        <v>74</v>
      </c>
      <c r="Q910" t="s">
        <v>74</v>
      </c>
      <c r="R910" t="s">
        <v>74</v>
      </c>
      <c r="S910" t="s">
        <v>74</v>
      </c>
      <c r="T910" t="s">
        <v>74</v>
      </c>
      <c r="U910" t="s">
        <v>9201</v>
      </c>
      <c r="V910" t="s">
        <v>9202</v>
      </c>
      <c r="W910" t="s">
        <v>9203</v>
      </c>
      <c r="X910" t="s">
        <v>3249</v>
      </c>
      <c r="Y910" t="s">
        <v>9204</v>
      </c>
      <c r="Z910" t="s">
        <v>9205</v>
      </c>
      <c r="AA910" t="s">
        <v>9206</v>
      </c>
      <c r="AB910" t="s">
        <v>9207</v>
      </c>
      <c r="AC910" t="s">
        <v>74</v>
      </c>
      <c r="AD910" t="s">
        <v>74</v>
      </c>
      <c r="AE910" t="s">
        <v>74</v>
      </c>
      <c r="AF910" t="s">
        <v>74</v>
      </c>
      <c r="AG910">
        <v>57</v>
      </c>
      <c r="AH910">
        <v>17</v>
      </c>
      <c r="AI910">
        <v>17</v>
      </c>
      <c r="AJ910">
        <v>2</v>
      </c>
      <c r="AK910">
        <v>6</v>
      </c>
      <c r="AL910" t="s">
        <v>74</v>
      </c>
      <c r="AM910" t="s">
        <v>74</v>
      </c>
      <c r="AN910" t="s">
        <v>74</v>
      </c>
      <c r="AO910" t="s">
        <v>149</v>
      </c>
      <c r="AP910" t="s">
        <v>74</v>
      </c>
      <c r="AQ910" t="s">
        <v>74</v>
      </c>
      <c r="AR910" t="s">
        <v>74</v>
      </c>
      <c r="AS910" t="s">
        <v>74</v>
      </c>
      <c r="AT910" t="s">
        <v>9208</v>
      </c>
      <c r="AU910">
        <v>2019</v>
      </c>
      <c r="AV910">
        <v>9</v>
      </c>
      <c r="AW910" t="s">
        <v>74</v>
      </c>
      <c r="AX910" t="s">
        <v>74</v>
      </c>
      <c r="AY910" t="s">
        <v>74</v>
      </c>
      <c r="AZ910" t="s">
        <v>74</v>
      </c>
      <c r="BA910" t="s">
        <v>74</v>
      </c>
      <c r="BB910" t="s">
        <v>74</v>
      </c>
      <c r="BC910" t="s">
        <v>74</v>
      </c>
      <c r="BD910">
        <v>14482</v>
      </c>
      <c r="BE910" t="s">
        <v>9209</v>
      </c>
      <c r="BF910" t="str">
        <f>HYPERLINK("http://dx.doi.org/10.1038/s41598-019-50848-z","http://dx.doi.org/10.1038/s41598-019-50848-z")</f>
        <v>http://dx.doi.org/10.1038/s41598-019-50848-z</v>
      </c>
      <c r="BG910" t="s">
        <v>74</v>
      </c>
      <c r="BH910" t="s">
        <v>74</v>
      </c>
      <c r="BI910" t="s">
        <v>74</v>
      </c>
      <c r="BJ910" t="s">
        <v>152</v>
      </c>
      <c r="BK910" t="s">
        <v>117</v>
      </c>
      <c r="BL910" t="s">
        <v>153</v>
      </c>
      <c r="BM910" t="s">
        <v>74</v>
      </c>
      <c r="BN910">
        <v>31597943</v>
      </c>
      <c r="BO910" t="s">
        <v>74</v>
      </c>
      <c r="BP910" t="s">
        <v>74</v>
      </c>
      <c r="BQ910" t="s">
        <v>74</v>
      </c>
      <c r="BR910" t="s">
        <v>96</v>
      </c>
      <c r="BS910" t="s">
        <v>9210</v>
      </c>
      <c r="BT910" t="str">
        <f>HYPERLINK("https%3A%2F%2Fwww.webofscience.com%2Fwos%2Fwoscc%2Ffull-record%2FWOS:000489243200014","View Full Record in Web of Science")</f>
        <v>View Full Record in Web of Science</v>
      </c>
    </row>
    <row r="911" spans="1:72" x14ac:dyDescent="0.15">
      <c r="A911" t="s">
        <v>98</v>
      </c>
      <c r="B911" t="s">
        <v>10428</v>
      </c>
      <c r="C911" t="s">
        <v>74</v>
      </c>
      <c r="D911" t="s">
        <v>74</v>
      </c>
      <c r="E911" t="s">
        <v>74</v>
      </c>
      <c r="F911" t="s">
        <v>10429</v>
      </c>
      <c r="G911" t="s">
        <v>74</v>
      </c>
      <c r="H911" t="s">
        <v>74</v>
      </c>
      <c r="I911" t="s">
        <v>10430</v>
      </c>
      <c r="J911" t="s">
        <v>10431</v>
      </c>
      <c r="K911" t="s">
        <v>74</v>
      </c>
      <c r="L911" t="s">
        <v>74</v>
      </c>
      <c r="M911" t="s">
        <v>74</v>
      </c>
      <c r="N911" t="s">
        <v>103</v>
      </c>
      <c r="O911" t="s">
        <v>74</v>
      </c>
      <c r="P911" t="s">
        <v>74</v>
      </c>
      <c r="Q911" t="s">
        <v>74</v>
      </c>
      <c r="R911" t="s">
        <v>74</v>
      </c>
      <c r="S911" t="s">
        <v>74</v>
      </c>
      <c r="T911" t="s">
        <v>74</v>
      </c>
      <c r="U911" t="s">
        <v>74</v>
      </c>
      <c r="V911" t="s">
        <v>10432</v>
      </c>
      <c r="W911" t="s">
        <v>10433</v>
      </c>
      <c r="X911" t="s">
        <v>10434</v>
      </c>
      <c r="Y911" t="s">
        <v>10435</v>
      </c>
      <c r="Z911" t="s">
        <v>1370</v>
      </c>
      <c r="AA911" t="s">
        <v>5270</v>
      </c>
      <c r="AB911" t="s">
        <v>10436</v>
      </c>
      <c r="AC911" t="s">
        <v>74</v>
      </c>
      <c r="AD911" t="s">
        <v>74</v>
      </c>
      <c r="AE911" t="s">
        <v>74</v>
      </c>
      <c r="AF911" t="s">
        <v>74</v>
      </c>
      <c r="AG911">
        <v>47</v>
      </c>
      <c r="AH911">
        <v>17</v>
      </c>
      <c r="AI911">
        <v>17</v>
      </c>
      <c r="AJ911">
        <v>1</v>
      </c>
      <c r="AK911">
        <v>7</v>
      </c>
      <c r="AL911" t="s">
        <v>74</v>
      </c>
      <c r="AM911" t="s">
        <v>74</v>
      </c>
      <c r="AN911" t="s">
        <v>74</v>
      </c>
      <c r="AO911" t="s">
        <v>10437</v>
      </c>
      <c r="AP911" t="s">
        <v>10438</v>
      </c>
      <c r="AQ911" t="s">
        <v>74</v>
      </c>
      <c r="AR911" t="s">
        <v>74</v>
      </c>
      <c r="AS911" t="s">
        <v>74</v>
      </c>
      <c r="AT911" t="s">
        <v>2605</v>
      </c>
      <c r="AU911">
        <v>2021</v>
      </c>
      <c r="AV911">
        <v>5</v>
      </c>
      <c r="AW911">
        <v>6</v>
      </c>
      <c r="AX911" t="s">
        <v>74</v>
      </c>
      <c r="AY911" t="s">
        <v>74</v>
      </c>
      <c r="AZ911" t="s">
        <v>74</v>
      </c>
      <c r="BA911" t="s">
        <v>74</v>
      </c>
      <c r="BB911">
        <v>1682</v>
      </c>
      <c r="BC911">
        <v>1694</v>
      </c>
      <c r="BD911" t="s">
        <v>74</v>
      </c>
      <c r="BE911" t="s">
        <v>10439</v>
      </c>
      <c r="BF911" t="str">
        <f>HYPERLINK("http://dx.doi.org/10.1182/bloodadvances.2020002998","http://dx.doi.org/10.1182/bloodadvances.2020002998")</f>
        <v>http://dx.doi.org/10.1182/bloodadvances.2020002998</v>
      </c>
      <c r="BG911" t="s">
        <v>74</v>
      </c>
      <c r="BH911" t="s">
        <v>2607</v>
      </c>
      <c r="BI911" t="s">
        <v>74</v>
      </c>
      <c r="BJ911" t="s">
        <v>2438</v>
      </c>
      <c r="BK911" t="s">
        <v>117</v>
      </c>
      <c r="BL911" t="s">
        <v>2438</v>
      </c>
      <c r="BM911" t="s">
        <v>74</v>
      </c>
      <c r="BN911">
        <v>33720339</v>
      </c>
      <c r="BO911" t="s">
        <v>74</v>
      </c>
      <c r="BP911" t="s">
        <v>74</v>
      </c>
      <c r="BQ911" t="s">
        <v>74</v>
      </c>
      <c r="BR911" t="s">
        <v>96</v>
      </c>
      <c r="BS911" t="s">
        <v>10440</v>
      </c>
      <c r="BT911" t="str">
        <f>HYPERLINK("https%3A%2F%2Fwww.webofscience.com%2Fwos%2Fwoscc%2Ffull-record%2FWOS:000632073700010","View Full Record in Web of Science")</f>
        <v>View Full Record in Web of Science</v>
      </c>
    </row>
    <row r="912" spans="1:72" x14ac:dyDescent="0.15">
      <c r="A912" t="s">
        <v>98</v>
      </c>
      <c r="B912" t="s">
        <v>10684</v>
      </c>
      <c r="C912" t="s">
        <v>74</v>
      </c>
      <c r="D912" t="s">
        <v>74</v>
      </c>
      <c r="E912" t="s">
        <v>74</v>
      </c>
      <c r="F912" t="s">
        <v>10685</v>
      </c>
      <c r="G912" t="s">
        <v>74</v>
      </c>
      <c r="H912" t="s">
        <v>74</v>
      </c>
      <c r="I912" t="s">
        <v>10686</v>
      </c>
      <c r="J912" t="s">
        <v>10687</v>
      </c>
      <c r="K912" t="s">
        <v>74</v>
      </c>
      <c r="L912" t="s">
        <v>74</v>
      </c>
      <c r="M912" t="s">
        <v>74</v>
      </c>
      <c r="N912" t="s">
        <v>103</v>
      </c>
      <c r="O912" t="s">
        <v>74</v>
      </c>
      <c r="P912" t="s">
        <v>74</v>
      </c>
      <c r="Q912" t="s">
        <v>74</v>
      </c>
      <c r="R912" t="s">
        <v>74</v>
      </c>
      <c r="S912" t="s">
        <v>74</v>
      </c>
      <c r="T912" t="s">
        <v>10688</v>
      </c>
      <c r="U912" t="s">
        <v>10689</v>
      </c>
      <c r="V912" t="s">
        <v>10690</v>
      </c>
      <c r="W912" t="s">
        <v>10691</v>
      </c>
      <c r="X912" t="s">
        <v>10692</v>
      </c>
      <c r="Y912" t="s">
        <v>10693</v>
      </c>
      <c r="Z912" t="s">
        <v>10694</v>
      </c>
      <c r="AA912" t="s">
        <v>74</v>
      </c>
      <c r="AB912" t="s">
        <v>74</v>
      </c>
      <c r="AC912" t="s">
        <v>74</v>
      </c>
      <c r="AD912" t="s">
        <v>74</v>
      </c>
      <c r="AE912" t="s">
        <v>74</v>
      </c>
      <c r="AF912" t="s">
        <v>74</v>
      </c>
      <c r="AG912">
        <v>60</v>
      </c>
      <c r="AH912">
        <v>17</v>
      </c>
      <c r="AI912">
        <v>20</v>
      </c>
      <c r="AJ912">
        <v>0</v>
      </c>
      <c r="AK912">
        <v>6</v>
      </c>
      <c r="AL912" t="s">
        <v>74</v>
      </c>
      <c r="AM912" t="s">
        <v>74</v>
      </c>
      <c r="AN912" t="s">
        <v>74</v>
      </c>
      <c r="AO912" t="s">
        <v>10695</v>
      </c>
      <c r="AP912" t="s">
        <v>10696</v>
      </c>
      <c r="AQ912" t="s">
        <v>74</v>
      </c>
      <c r="AR912" t="s">
        <v>74</v>
      </c>
      <c r="AS912" t="s">
        <v>74</v>
      </c>
      <c r="AT912" t="s">
        <v>170</v>
      </c>
      <c r="AU912">
        <v>2019</v>
      </c>
      <c r="AV912">
        <v>233</v>
      </c>
      <c r="AW912" t="s">
        <v>74</v>
      </c>
      <c r="AX912" t="s">
        <v>74</v>
      </c>
      <c r="AY912" t="s">
        <v>74</v>
      </c>
      <c r="AZ912" t="s">
        <v>74</v>
      </c>
      <c r="BA912" t="s">
        <v>74</v>
      </c>
      <c r="BB912">
        <v>164</v>
      </c>
      <c r="BC912">
        <v>173</v>
      </c>
      <c r="BD912" t="s">
        <v>74</v>
      </c>
      <c r="BE912" t="s">
        <v>10697</v>
      </c>
      <c r="BF912" t="str">
        <f>HYPERLINK("http://dx.doi.org/10.1016/j.vetmic.2019.04.030","http://dx.doi.org/10.1016/j.vetmic.2019.04.030")</f>
        <v>http://dx.doi.org/10.1016/j.vetmic.2019.04.030</v>
      </c>
      <c r="BG912" t="s">
        <v>74</v>
      </c>
      <c r="BH912" t="s">
        <v>74</v>
      </c>
      <c r="BI912" t="s">
        <v>74</v>
      </c>
      <c r="BJ912" t="s">
        <v>10698</v>
      </c>
      <c r="BK912" t="s">
        <v>117</v>
      </c>
      <c r="BL912" t="s">
        <v>10698</v>
      </c>
      <c r="BM912" t="s">
        <v>74</v>
      </c>
      <c r="BN912">
        <v>31176404</v>
      </c>
      <c r="BO912" t="s">
        <v>74</v>
      </c>
      <c r="BP912" t="s">
        <v>74</v>
      </c>
      <c r="BQ912" t="s">
        <v>74</v>
      </c>
      <c r="BR912" t="s">
        <v>96</v>
      </c>
      <c r="BS912" t="s">
        <v>10699</v>
      </c>
      <c r="BT912" t="str">
        <f>HYPERLINK("https%3A%2F%2Fwww.webofscience.com%2Fwos%2Fwoscc%2Ffull-record%2FWOS:000472124600023","View Full Record in Web of Science")</f>
        <v>View Full Record in Web of Science</v>
      </c>
    </row>
    <row r="913" spans="1:72" x14ac:dyDescent="0.15">
      <c r="A913" t="s">
        <v>98</v>
      </c>
      <c r="B913" t="s">
        <v>11951</v>
      </c>
      <c r="C913" t="s">
        <v>74</v>
      </c>
      <c r="D913" t="s">
        <v>74</v>
      </c>
      <c r="E913" t="s">
        <v>74</v>
      </c>
      <c r="F913" t="s">
        <v>11952</v>
      </c>
      <c r="G913" t="s">
        <v>74</v>
      </c>
      <c r="H913" t="s">
        <v>74</v>
      </c>
      <c r="I913" t="s">
        <v>11953</v>
      </c>
      <c r="J913" t="s">
        <v>11811</v>
      </c>
      <c r="K913" t="s">
        <v>74</v>
      </c>
      <c r="L913" t="s">
        <v>74</v>
      </c>
      <c r="M913" t="s">
        <v>74</v>
      </c>
      <c r="N913" t="s">
        <v>103</v>
      </c>
      <c r="O913" t="s">
        <v>74</v>
      </c>
      <c r="P913" t="s">
        <v>74</v>
      </c>
      <c r="Q913" t="s">
        <v>74</v>
      </c>
      <c r="R913" t="s">
        <v>74</v>
      </c>
      <c r="S913" t="s">
        <v>74</v>
      </c>
      <c r="T913" t="s">
        <v>74</v>
      </c>
      <c r="U913" t="s">
        <v>11954</v>
      </c>
      <c r="V913" t="s">
        <v>11955</v>
      </c>
      <c r="W913" t="s">
        <v>11956</v>
      </c>
      <c r="X913" t="s">
        <v>11957</v>
      </c>
      <c r="Y913" t="s">
        <v>11958</v>
      </c>
      <c r="Z913" t="s">
        <v>11959</v>
      </c>
      <c r="AA913" t="s">
        <v>74</v>
      </c>
      <c r="AB913" t="s">
        <v>11960</v>
      </c>
      <c r="AC913" t="s">
        <v>74</v>
      </c>
      <c r="AD913" t="s">
        <v>74</v>
      </c>
      <c r="AE913" t="s">
        <v>74</v>
      </c>
      <c r="AF913" t="s">
        <v>74</v>
      </c>
      <c r="AG913">
        <v>55</v>
      </c>
      <c r="AH913">
        <v>17</v>
      </c>
      <c r="AI913">
        <v>22</v>
      </c>
      <c r="AJ913">
        <v>1</v>
      </c>
      <c r="AK913">
        <v>3</v>
      </c>
      <c r="AL913" t="s">
        <v>74</v>
      </c>
      <c r="AM913" t="s">
        <v>74</v>
      </c>
      <c r="AN913" t="s">
        <v>74</v>
      </c>
      <c r="AO913" t="s">
        <v>11820</v>
      </c>
      <c r="AP913" t="s">
        <v>74</v>
      </c>
      <c r="AQ913" t="s">
        <v>74</v>
      </c>
      <c r="AR913" t="s">
        <v>74</v>
      </c>
      <c r="AS913" t="s">
        <v>74</v>
      </c>
      <c r="AT913" t="s">
        <v>170</v>
      </c>
      <c r="AU913">
        <v>2016</v>
      </c>
      <c r="AV913">
        <v>7</v>
      </c>
      <c r="AW913" t="s">
        <v>74</v>
      </c>
      <c r="AX913" t="s">
        <v>74</v>
      </c>
      <c r="AY913" t="s">
        <v>74</v>
      </c>
      <c r="AZ913" t="s">
        <v>74</v>
      </c>
      <c r="BA913" t="s">
        <v>74</v>
      </c>
      <c r="BB913" t="s">
        <v>74</v>
      </c>
      <c r="BC913" t="s">
        <v>74</v>
      </c>
      <c r="BD913" t="s">
        <v>11961</v>
      </c>
      <c r="BE913" t="s">
        <v>11962</v>
      </c>
      <c r="BF913" t="str">
        <f>HYPERLINK("http://dx.doi.org/10.1038/cddis.2016.186","http://dx.doi.org/10.1038/cddis.2016.186")</f>
        <v>http://dx.doi.org/10.1038/cddis.2016.186</v>
      </c>
      <c r="BG913" t="s">
        <v>74</v>
      </c>
      <c r="BH913" t="s">
        <v>74</v>
      </c>
      <c r="BI913" t="s">
        <v>74</v>
      </c>
      <c r="BJ913" t="s">
        <v>135</v>
      </c>
      <c r="BK913" t="s">
        <v>117</v>
      </c>
      <c r="BL913" t="s">
        <v>135</v>
      </c>
      <c r="BM913" t="s">
        <v>74</v>
      </c>
      <c r="BN913">
        <v>27362801</v>
      </c>
      <c r="BO913" t="s">
        <v>74</v>
      </c>
      <c r="BP913" t="s">
        <v>74</v>
      </c>
      <c r="BQ913" t="s">
        <v>74</v>
      </c>
      <c r="BR913" t="s">
        <v>96</v>
      </c>
      <c r="BS913" t="s">
        <v>11963</v>
      </c>
      <c r="BT913" t="str">
        <f>HYPERLINK("https%3A%2F%2Fwww.webofscience.com%2Fwos%2Fwoscc%2Ffull-record%2FWOS:000391813800021","View Full Record in Web of Science")</f>
        <v>View Full Record in Web of Science</v>
      </c>
    </row>
    <row r="914" spans="1:72" x14ac:dyDescent="0.15">
      <c r="A914" t="s">
        <v>98</v>
      </c>
      <c r="B914" t="s">
        <v>14241</v>
      </c>
      <c r="C914" t="s">
        <v>74</v>
      </c>
      <c r="D914" t="s">
        <v>74</v>
      </c>
      <c r="E914" t="s">
        <v>74</v>
      </c>
      <c r="F914" t="s">
        <v>14242</v>
      </c>
      <c r="G914" t="s">
        <v>74</v>
      </c>
      <c r="H914" t="s">
        <v>74</v>
      </c>
      <c r="I914" t="s">
        <v>14243</v>
      </c>
      <c r="J914" t="s">
        <v>1860</v>
      </c>
      <c r="K914" t="s">
        <v>74</v>
      </c>
      <c r="L914" t="s">
        <v>74</v>
      </c>
      <c r="M914" t="s">
        <v>74</v>
      </c>
      <c r="N914" t="s">
        <v>103</v>
      </c>
      <c r="O914" t="s">
        <v>74</v>
      </c>
      <c r="P914" t="s">
        <v>74</v>
      </c>
      <c r="Q914" t="s">
        <v>74</v>
      </c>
      <c r="R914" t="s">
        <v>74</v>
      </c>
      <c r="S914" t="s">
        <v>74</v>
      </c>
      <c r="T914" t="s">
        <v>14244</v>
      </c>
      <c r="U914" t="s">
        <v>14245</v>
      </c>
      <c r="V914" t="s">
        <v>14246</v>
      </c>
      <c r="W914" t="s">
        <v>14247</v>
      </c>
      <c r="X914" t="s">
        <v>14248</v>
      </c>
      <c r="Y914" t="s">
        <v>14249</v>
      </c>
      <c r="Z914" t="s">
        <v>14250</v>
      </c>
      <c r="AA914" t="s">
        <v>14251</v>
      </c>
      <c r="AB914" t="s">
        <v>14252</v>
      </c>
      <c r="AC914" t="s">
        <v>74</v>
      </c>
      <c r="AD914" t="s">
        <v>74</v>
      </c>
      <c r="AE914" t="s">
        <v>74</v>
      </c>
      <c r="AF914" t="s">
        <v>74</v>
      </c>
      <c r="AG914">
        <v>33</v>
      </c>
      <c r="AH914">
        <v>17</v>
      </c>
      <c r="AI914">
        <v>17</v>
      </c>
      <c r="AJ914">
        <v>11</v>
      </c>
      <c r="AK914">
        <v>167</v>
      </c>
      <c r="AL914" t="s">
        <v>74</v>
      </c>
      <c r="AM914" t="s">
        <v>74</v>
      </c>
      <c r="AN914" t="s">
        <v>74</v>
      </c>
      <c r="AO914" t="s">
        <v>1870</v>
      </c>
      <c r="AP914" t="s">
        <v>1871</v>
      </c>
      <c r="AQ914" t="s">
        <v>74</v>
      </c>
      <c r="AR914" t="s">
        <v>74</v>
      </c>
      <c r="AS914" t="s">
        <v>74</v>
      </c>
      <c r="AT914" t="s">
        <v>10780</v>
      </c>
      <c r="AU914">
        <v>2018</v>
      </c>
      <c r="AV914">
        <v>1039</v>
      </c>
      <c r="AW914" t="s">
        <v>74</v>
      </c>
      <c r="AX914" t="s">
        <v>74</v>
      </c>
      <c r="AY914" t="s">
        <v>74</v>
      </c>
      <c r="AZ914" t="s">
        <v>74</v>
      </c>
      <c r="BA914" t="s">
        <v>74</v>
      </c>
      <c r="BB914">
        <v>108</v>
      </c>
      <c r="BC914">
        <v>115</v>
      </c>
      <c r="BD914" t="s">
        <v>74</v>
      </c>
      <c r="BE914" t="s">
        <v>14253</v>
      </c>
      <c r="BF914" t="str">
        <f>HYPERLINK("http://dx.doi.org/10.1016/j.aca.2018.07.040","http://dx.doi.org/10.1016/j.aca.2018.07.040")</f>
        <v>http://dx.doi.org/10.1016/j.aca.2018.07.040</v>
      </c>
      <c r="BG914" t="s">
        <v>74</v>
      </c>
      <c r="BH914" t="s">
        <v>74</v>
      </c>
      <c r="BI914" t="s">
        <v>74</v>
      </c>
      <c r="BJ914" t="s">
        <v>1118</v>
      </c>
      <c r="BK914" t="s">
        <v>117</v>
      </c>
      <c r="BL914" t="s">
        <v>1048</v>
      </c>
      <c r="BM914" t="s">
        <v>74</v>
      </c>
      <c r="BN914">
        <v>30322541</v>
      </c>
      <c r="BO914" t="s">
        <v>74</v>
      </c>
      <c r="BP914" t="s">
        <v>74</v>
      </c>
      <c r="BQ914" t="s">
        <v>74</v>
      </c>
      <c r="BR914" t="s">
        <v>96</v>
      </c>
      <c r="BS914" t="s">
        <v>14254</v>
      </c>
      <c r="BT914" t="str">
        <f>HYPERLINK("https%3A%2F%2Fwww.webofscience.com%2Fwos%2Fwoscc%2Ffull-record%2FWOS:000447155200012","View Full Record in Web of Science")</f>
        <v>View Full Record in Web of Science</v>
      </c>
    </row>
    <row r="915" spans="1:72" x14ac:dyDescent="0.15">
      <c r="A915" t="s">
        <v>98</v>
      </c>
      <c r="B915" t="s">
        <v>16007</v>
      </c>
      <c r="C915" t="s">
        <v>74</v>
      </c>
      <c r="D915" t="s">
        <v>74</v>
      </c>
      <c r="E915" t="s">
        <v>74</v>
      </c>
      <c r="F915" t="s">
        <v>16008</v>
      </c>
      <c r="G915" t="s">
        <v>74</v>
      </c>
      <c r="H915" t="s">
        <v>74</v>
      </c>
      <c r="I915" t="s">
        <v>16009</v>
      </c>
      <c r="J915" t="s">
        <v>15659</v>
      </c>
      <c r="K915" t="s">
        <v>74</v>
      </c>
      <c r="L915" t="s">
        <v>74</v>
      </c>
      <c r="M915" t="s">
        <v>74</v>
      </c>
      <c r="N915" t="s">
        <v>103</v>
      </c>
      <c r="O915" t="s">
        <v>74</v>
      </c>
      <c r="P915" t="s">
        <v>74</v>
      </c>
      <c r="Q915" t="s">
        <v>74</v>
      </c>
      <c r="R915" t="s">
        <v>74</v>
      </c>
      <c r="S915" t="s">
        <v>74</v>
      </c>
      <c r="T915" t="s">
        <v>74</v>
      </c>
      <c r="U915" t="s">
        <v>16010</v>
      </c>
      <c r="V915" t="s">
        <v>16011</v>
      </c>
      <c r="W915" t="s">
        <v>16012</v>
      </c>
      <c r="X915" t="s">
        <v>16013</v>
      </c>
      <c r="Y915" t="s">
        <v>16014</v>
      </c>
      <c r="Z915" t="s">
        <v>16015</v>
      </c>
      <c r="AA915" t="s">
        <v>16016</v>
      </c>
      <c r="AB915" t="s">
        <v>16017</v>
      </c>
      <c r="AC915" t="s">
        <v>74</v>
      </c>
      <c r="AD915" t="s">
        <v>74</v>
      </c>
      <c r="AE915" t="s">
        <v>74</v>
      </c>
      <c r="AF915" t="s">
        <v>74</v>
      </c>
      <c r="AG915">
        <v>32</v>
      </c>
      <c r="AH915">
        <v>17</v>
      </c>
      <c r="AI915">
        <v>18</v>
      </c>
      <c r="AJ915">
        <v>22</v>
      </c>
      <c r="AK915">
        <v>44</v>
      </c>
      <c r="AL915" t="s">
        <v>74</v>
      </c>
      <c r="AM915" t="s">
        <v>74</v>
      </c>
      <c r="AN915" t="s">
        <v>74</v>
      </c>
      <c r="AO915" t="s">
        <v>15668</v>
      </c>
      <c r="AP915" t="s">
        <v>15669</v>
      </c>
      <c r="AQ915" t="s">
        <v>74</v>
      </c>
      <c r="AR915" t="s">
        <v>74</v>
      </c>
      <c r="AS915" t="s">
        <v>74</v>
      </c>
      <c r="AT915" t="s">
        <v>7875</v>
      </c>
      <c r="AU915">
        <v>2021</v>
      </c>
      <c r="AV915">
        <v>2021</v>
      </c>
      <c r="AW915" t="s">
        <v>74</v>
      </c>
      <c r="AX915" t="s">
        <v>74</v>
      </c>
      <c r="AY915" t="s">
        <v>74</v>
      </c>
      <c r="AZ915" t="s">
        <v>74</v>
      </c>
      <c r="BA915" t="s">
        <v>74</v>
      </c>
      <c r="BB915" t="s">
        <v>74</v>
      </c>
      <c r="BC915" t="s">
        <v>74</v>
      </c>
      <c r="BD915">
        <v>8460355</v>
      </c>
      <c r="BE915" t="s">
        <v>16018</v>
      </c>
      <c r="BF915" t="str">
        <f>HYPERLINK("http://dx.doi.org/10.1155/2021/8460355","http://dx.doi.org/10.1155/2021/8460355")</f>
        <v>http://dx.doi.org/10.1155/2021/8460355</v>
      </c>
      <c r="BG915" t="s">
        <v>74</v>
      </c>
      <c r="BH915" t="s">
        <v>74</v>
      </c>
      <c r="BI915" t="s">
        <v>74</v>
      </c>
      <c r="BJ915" t="s">
        <v>135</v>
      </c>
      <c r="BK915" t="s">
        <v>117</v>
      </c>
      <c r="BL915" t="s">
        <v>135</v>
      </c>
      <c r="BM915" t="s">
        <v>74</v>
      </c>
      <c r="BN915">
        <v>34367468</v>
      </c>
      <c r="BO915" t="s">
        <v>74</v>
      </c>
      <c r="BP915" t="s">
        <v>74</v>
      </c>
      <c r="BQ915" t="s">
        <v>74</v>
      </c>
      <c r="BR915" t="s">
        <v>96</v>
      </c>
      <c r="BS915" t="s">
        <v>16019</v>
      </c>
      <c r="BT915" t="str">
        <f>HYPERLINK("https%3A%2F%2Fwww.webofscience.com%2Fwos%2Fwoscc%2Ffull-record%2FWOS:000684845900002","View Full Record in Web of Science")</f>
        <v>View Full Record in Web of Science</v>
      </c>
    </row>
    <row r="916" spans="1:72" x14ac:dyDescent="0.15">
      <c r="A916" t="s">
        <v>98</v>
      </c>
      <c r="B916" t="s">
        <v>16196</v>
      </c>
      <c r="C916" t="s">
        <v>74</v>
      </c>
      <c r="D916" t="s">
        <v>74</v>
      </c>
      <c r="E916" t="s">
        <v>74</v>
      </c>
      <c r="F916" t="s">
        <v>16197</v>
      </c>
      <c r="G916" t="s">
        <v>74</v>
      </c>
      <c r="H916" t="s">
        <v>74</v>
      </c>
      <c r="I916" t="s">
        <v>16198</v>
      </c>
      <c r="J916" t="s">
        <v>13190</v>
      </c>
      <c r="K916" t="s">
        <v>74</v>
      </c>
      <c r="L916" t="s">
        <v>74</v>
      </c>
      <c r="M916" t="s">
        <v>74</v>
      </c>
      <c r="N916" t="s">
        <v>103</v>
      </c>
      <c r="O916" t="s">
        <v>74</v>
      </c>
      <c r="P916" t="s">
        <v>74</v>
      </c>
      <c r="Q916" t="s">
        <v>74</v>
      </c>
      <c r="R916" t="s">
        <v>74</v>
      </c>
      <c r="S916" t="s">
        <v>74</v>
      </c>
      <c r="T916" t="s">
        <v>16199</v>
      </c>
      <c r="U916" t="s">
        <v>16200</v>
      </c>
      <c r="V916" t="s">
        <v>16201</v>
      </c>
      <c r="W916" t="s">
        <v>16202</v>
      </c>
      <c r="X916" t="s">
        <v>16203</v>
      </c>
      <c r="Y916" t="s">
        <v>16204</v>
      </c>
      <c r="Z916" t="s">
        <v>16205</v>
      </c>
      <c r="AA916" t="s">
        <v>74</v>
      </c>
      <c r="AB916" t="s">
        <v>74</v>
      </c>
      <c r="AC916" t="s">
        <v>74</v>
      </c>
      <c r="AD916" t="s">
        <v>74</v>
      </c>
      <c r="AE916" t="s">
        <v>74</v>
      </c>
      <c r="AF916" t="s">
        <v>74</v>
      </c>
      <c r="AG916">
        <v>42</v>
      </c>
      <c r="AH916">
        <v>17</v>
      </c>
      <c r="AI916">
        <v>17</v>
      </c>
      <c r="AJ916">
        <v>4</v>
      </c>
      <c r="AK916">
        <v>23</v>
      </c>
      <c r="AL916" t="s">
        <v>74</v>
      </c>
      <c r="AM916" t="s">
        <v>74</v>
      </c>
      <c r="AN916" t="s">
        <v>74</v>
      </c>
      <c r="AO916" t="s">
        <v>13200</v>
      </c>
      <c r="AP916" t="s">
        <v>13201</v>
      </c>
      <c r="AQ916" t="s">
        <v>74</v>
      </c>
      <c r="AR916" t="s">
        <v>74</v>
      </c>
      <c r="AS916" t="s">
        <v>74</v>
      </c>
      <c r="AT916" t="s">
        <v>4146</v>
      </c>
      <c r="AU916">
        <v>2020</v>
      </c>
      <c r="AV916">
        <v>177</v>
      </c>
      <c r="AW916" t="s">
        <v>74</v>
      </c>
      <c r="AX916" t="s">
        <v>74</v>
      </c>
      <c r="AY916" t="s">
        <v>74</v>
      </c>
      <c r="AZ916" t="s">
        <v>74</v>
      </c>
      <c r="BA916" t="s">
        <v>74</v>
      </c>
      <c r="BB916">
        <v>126</v>
      </c>
      <c r="BC916">
        <v>134</v>
      </c>
      <c r="BD916" t="s">
        <v>74</v>
      </c>
      <c r="BE916" t="s">
        <v>16206</v>
      </c>
      <c r="BF916" t="str">
        <f>HYPERLINK("http://dx.doi.org/10.1016/j.ymeth.2019.11.013","http://dx.doi.org/10.1016/j.ymeth.2019.11.013")</f>
        <v>http://dx.doi.org/10.1016/j.ymeth.2019.11.013</v>
      </c>
      <c r="BG916" t="s">
        <v>74</v>
      </c>
      <c r="BH916" t="s">
        <v>74</v>
      </c>
      <c r="BI916" t="s">
        <v>74</v>
      </c>
      <c r="BJ916" t="s">
        <v>93</v>
      </c>
      <c r="BK916" t="s">
        <v>117</v>
      </c>
      <c r="BL916" t="s">
        <v>95</v>
      </c>
      <c r="BM916" t="s">
        <v>74</v>
      </c>
      <c r="BN916">
        <v>31794834</v>
      </c>
      <c r="BO916" t="s">
        <v>74</v>
      </c>
      <c r="BP916" t="s">
        <v>74</v>
      </c>
      <c r="BQ916" t="s">
        <v>74</v>
      </c>
      <c r="BR916" t="s">
        <v>96</v>
      </c>
      <c r="BS916" t="s">
        <v>16207</v>
      </c>
      <c r="BT916" t="str">
        <f>HYPERLINK("https%3A%2F%2Fwww.webofscience.com%2Fwos%2Fwoscc%2Ffull-record%2FWOS:000530080400014","View Full Record in Web of Science")</f>
        <v>View Full Record in Web of Science</v>
      </c>
    </row>
    <row r="917" spans="1:72" x14ac:dyDescent="0.15">
      <c r="A917" t="s">
        <v>98</v>
      </c>
      <c r="B917" t="s">
        <v>16829</v>
      </c>
      <c r="C917" t="s">
        <v>74</v>
      </c>
      <c r="D917" t="s">
        <v>74</v>
      </c>
      <c r="E917" t="s">
        <v>74</v>
      </c>
      <c r="F917" t="s">
        <v>16830</v>
      </c>
      <c r="G917" t="s">
        <v>74</v>
      </c>
      <c r="H917" t="s">
        <v>74</v>
      </c>
      <c r="I917" t="s">
        <v>16831</v>
      </c>
      <c r="J917" t="s">
        <v>16832</v>
      </c>
      <c r="K917" t="s">
        <v>74</v>
      </c>
      <c r="L917" t="s">
        <v>74</v>
      </c>
      <c r="M917" t="s">
        <v>74</v>
      </c>
      <c r="N917" t="s">
        <v>103</v>
      </c>
      <c r="O917" t="s">
        <v>74</v>
      </c>
      <c r="P917" t="s">
        <v>74</v>
      </c>
      <c r="Q917" t="s">
        <v>74</v>
      </c>
      <c r="R917" t="s">
        <v>74</v>
      </c>
      <c r="S917" t="s">
        <v>74</v>
      </c>
      <c r="T917" t="s">
        <v>74</v>
      </c>
      <c r="U917" t="s">
        <v>16833</v>
      </c>
      <c r="V917" t="s">
        <v>16834</v>
      </c>
      <c r="W917" t="s">
        <v>16835</v>
      </c>
      <c r="X917" t="s">
        <v>16836</v>
      </c>
      <c r="Y917" t="s">
        <v>16837</v>
      </c>
      <c r="Z917" t="s">
        <v>16838</v>
      </c>
      <c r="AA917" t="s">
        <v>16839</v>
      </c>
      <c r="AB917" t="s">
        <v>16840</v>
      </c>
      <c r="AC917" t="s">
        <v>74</v>
      </c>
      <c r="AD917" t="s">
        <v>74</v>
      </c>
      <c r="AE917" t="s">
        <v>74</v>
      </c>
      <c r="AF917" t="s">
        <v>74</v>
      </c>
      <c r="AG917">
        <v>153</v>
      </c>
      <c r="AH917">
        <v>17</v>
      </c>
      <c r="AI917">
        <v>19</v>
      </c>
      <c r="AJ917">
        <v>1</v>
      </c>
      <c r="AK917">
        <v>10</v>
      </c>
      <c r="AL917" t="s">
        <v>74</v>
      </c>
      <c r="AM917" t="s">
        <v>74</v>
      </c>
      <c r="AN917" t="s">
        <v>74</v>
      </c>
      <c r="AO917" t="s">
        <v>16841</v>
      </c>
      <c r="AP917" t="s">
        <v>16842</v>
      </c>
      <c r="AQ917" t="s">
        <v>74</v>
      </c>
      <c r="AR917" t="s">
        <v>74</v>
      </c>
      <c r="AS917" t="s">
        <v>74</v>
      </c>
      <c r="AT917" t="s">
        <v>283</v>
      </c>
      <c r="AU917">
        <v>2019</v>
      </c>
      <c r="AV917">
        <v>20</v>
      </c>
      <c r="AW917">
        <v>1</v>
      </c>
      <c r="AX917" t="s">
        <v>74</v>
      </c>
      <c r="AY917" t="s">
        <v>74</v>
      </c>
      <c r="AZ917" t="s">
        <v>74</v>
      </c>
      <c r="BA917" t="s">
        <v>74</v>
      </c>
      <c r="BB917">
        <v>1</v>
      </c>
      <c r="BC917">
        <v>12</v>
      </c>
      <c r="BD917" t="s">
        <v>74</v>
      </c>
      <c r="BE917" t="s">
        <v>16843</v>
      </c>
      <c r="BF917" t="str">
        <f>HYPERLINK("http://dx.doi.org/10.1007/s40257-018-0398-x","http://dx.doi.org/10.1007/s40257-018-0398-x")</f>
        <v>http://dx.doi.org/10.1007/s40257-018-0398-x</v>
      </c>
      <c r="BG917" t="s">
        <v>74</v>
      </c>
      <c r="BH917" t="s">
        <v>74</v>
      </c>
      <c r="BI917" t="s">
        <v>74</v>
      </c>
      <c r="BJ917" t="s">
        <v>1855</v>
      </c>
      <c r="BK917" t="s">
        <v>117</v>
      </c>
      <c r="BL917" t="s">
        <v>1855</v>
      </c>
      <c r="BM917" t="s">
        <v>74</v>
      </c>
      <c r="BN917">
        <v>30374893</v>
      </c>
      <c r="BO917" t="s">
        <v>74</v>
      </c>
      <c r="BP917" t="s">
        <v>74</v>
      </c>
      <c r="BQ917" t="s">
        <v>74</v>
      </c>
      <c r="BR917" t="s">
        <v>96</v>
      </c>
      <c r="BS917" t="s">
        <v>16844</v>
      </c>
      <c r="BT917" t="str">
        <f>HYPERLINK("https%3A%2F%2Fwww.webofscience.com%2Fwos%2Fwoscc%2Ffull-record%2FWOS:000457539000001","View Full Record in Web of Science")</f>
        <v>View Full Record in Web of Science</v>
      </c>
    </row>
    <row r="918" spans="1:72" x14ac:dyDescent="0.15">
      <c r="A918" t="s">
        <v>98</v>
      </c>
      <c r="B918" t="s">
        <v>17159</v>
      </c>
      <c r="C918" t="s">
        <v>74</v>
      </c>
      <c r="D918" t="s">
        <v>74</v>
      </c>
      <c r="E918" t="s">
        <v>74</v>
      </c>
      <c r="F918" t="s">
        <v>17160</v>
      </c>
      <c r="G918" t="s">
        <v>74</v>
      </c>
      <c r="H918" t="s">
        <v>74</v>
      </c>
      <c r="I918" t="s">
        <v>17161</v>
      </c>
      <c r="J918" t="s">
        <v>17162</v>
      </c>
      <c r="K918" t="s">
        <v>74</v>
      </c>
      <c r="L918" t="s">
        <v>74</v>
      </c>
      <c r="M918" t="s">
        <v>74</v>
      </c>
      <c r="N918" t="s">
        <v>103</v>
      </c>
      <c r="O918" t="s">
        <v>74</v>
      </c>
      <c r="P918" t="s">
        <v>74</v>
      </c>
      <c r="Q918" t="s">
        <v>74</v>
      </c>
      <c r="R918" t="s">
        <v>74</v>
      </c>
      <c r="S918" t="s">
        <v>74</v>
      </c>
      <c r="T918" t="s">
        <v>17163</v>
      </c>
      <c r="U918" t="s">
        <v>17164</v>
      </c>
      <c r="V918" t="s">
        <v>17165</v>
      </c>
      <c r="W918" t="s">
        <v>17166</v>
      </c>
      <c r="X918" t="s">
        <v>17167</v>
      </c>
      <c r="Y918" t="s">
        <v>17168</v>
      </c>
      <c r="Z918" t="s">
        <v>17169</v>
      </c>
      <c r="AA918" t="s">
        <v>17170</v>
      </c>
      <c r="AB918" t="s">
        <v>17171</v>
      </c>
      <c r="AC918" t="s">
        <v>74</v>
      </c>
      <c r="AD918" t="s">
        <v>74</v>
      </c>
      <c r="AE918" t="s">
        <v>74</v>
      </c>
      <c r="AF918" t="s">
        <v>74</v>
      </c>
      <c r="AG918">
        <v>40</v>
      </c>
      <c r="AH918">
        <v>17</v>
      </c>
      <c r="AI918">
        <v>20</v>
      </c>
      <c r="AJ918">
        <v>0</v>
      </c>
      <c r="AK918">
        <v>4</v>
      </c>
      <c r="AL918" t="s">
        <v>74</v>
      </c>
      <c r="AM918" t="s">
        <v>74</v>
      </c>
      <c r="AN918" t="s">
        <v>74</v>
      </c>
      <c r="AO918" t="s">
        <v>17172</v>
      </c>
      <c r="AP918" t="s">
        <v>17173</v>
      </c>
      <c r="AQ918" t="s">
        <v>74</v>
      </c>
      <c r="AR918" t="s">
        <v>74</v>
      </c>
      <c r="AS918" t="s">
        <v>74</v>
      </c>
      <c r="AT918" t="s">
        <v>10612</v>
      </c>
      <c r="AU918">
        <v>2016</v>
      </c>
      <c r="AV918">
        <v>18</v>
      </c>
      <c r="AW918" t="s">
        <v>74</v>
      </c>
      <c r="AX918" t="s">
        <v>74</v>
      </c>
      <c r="AY918" t="s">
        <v>74</v>
      </c>
      <c r="AZ918" t="s">
        <v>74</v>
      </c>
      <c r="BA918" t="s">
        <v>74</v>
      </c>
      <c r="BB918" t="s">
        <v>74</v>
      </c>
      <c r="BC918" t="s">
        <v>74</v>
      </c>
      <c r="BD918">
        <v>87</v>
      </c>
      <c r="BE918" t="s">
        <v>17174</v>
      </c>
      <c r="BF918" t="str">
        <f>HYPERLINK("http://dx.doi.org/10.1186/s13075-016-0984-3","http://dx.doi.org/10.1186/s13075-016-0984-3")</f>
        <v>http://dx.doi.org/10.1186/s13075-016-0984-3</v>
      </c>
      <c r="BG918" t="s">
        <v>74</v>
      </c>
      <c r="BH918" t="s">
        <v>74</v>
      </c>
      <c r="BI918" t="s">
        <v>74</v>
      </c>
      <c r="BJ918" t="s">
        <v>16983</v>
      </c>
      <c r="BK918" t="s">
        <v>117</v>
      </c>
      <c r="BL918" t="s">
        <v>16983</v>
      </c>
      <c r="BM918" t="s">
        <v>74</v>
      </c>
      <c r="BN918">
        <v>27071670</v>
      </c>
      <c r="BO918" t="s">
        <v>74</v>
      </c>
      <c r="BP918" t="s">
        <v>74</v>
      </c>
      <c r="BQ918" t="s">
        <v>74</v>
      </c>
      <c r="BR918" t="s">
        <v>96</v>
      </c>
      <c r="BS918" t="s">
        <v>17175</v>
      </c>
      <c r="BT918" t="str">
        <f>HYPERLINK("https%3A%2F%2Fwww.webofscience.com%2Fwos%2Fwoscc%2Ffull-record%2FWOS:000374731800002","View Full Record in Web of Science")</f>
        <v>View Full Record in Web of Science</v>
      </c>
    </row>
    <row r="919" spans="1:72" x14ac:dyDescent="0.15">
      <c r="A919" t="s">
        <v>98</v>
      </c>
      <c r="B919" t="s">
        <v>17507</v>
      </c>
      <c r="C919" t="s">
        <v>74</v>
      </c>
      <c r="D919" t="s">
        <v>74</v>
      </c>
      <c r="E919" t="s">
        <v>74</v>
      </c>
      <c r="F919" t="s">
        <v>17508</v>
      </c>
      <c r="G919" t="s">
        <v>74</v>
      </c>
      <c r="H919" t="s">
        <v>74</v>
      </c>
      <c r="I919" t="s">
        <v>17509</v>
      </c>
      <c r="J919" t="s">
        <v>140</v>
      </c>
      <c r="K919" t="s">
        <v>74</v>
      </c>
      <c r="L919" t="s">
        <v>74</v>
      </c>
      <c r="M919" t="s">
        <v>74</v>
      </c>
      <c r="N919" t="s">
        <v>103</v>
      </c>
      <c r="O919" t="s">
        <v>74</v>
      </c>
      <c r="P919" t="s">
        <v>74</v>
      </c>
      <c r="Q919" t="s">
        <v>74</v>
      </c>
      <c r="R919" t="s">
        <v>74</v>
      </c>
      <c r="S919" t="s">
        <v>74</v>
      </c>
      <c r="T919" t="s">
        <v>74</v>
      </c>
      <c r="U919" t="s">
        <v>74</v>
      </c>
      <c r="V919" t="s">
        <v>17510</v>
      </c>
      <c r="W919" t="s">
        <v>17511</v>
      </c>
      <c r="X919" t="s">
        <v>17512</v>
      </c>
      <c r="Y919" t="s">
        <v>17513</v>
      </c>
      <c r="Z919" t="s">
        <v>17514</v>
      </c>
      <c r="AA919" t="s">
        <v>17515</v>
      </c>
      <c r="AB919" t="s">
        <v>17516</v>
      </c>
      <c r="AC919" t="s">
        <v>74</v>
      </c>
      <c r="AD919" t="s">
        <v>74</v>
      </c>
      <c r="AE919" t="s">
        <v>74</v>
      </c>
      <c r="AF919" t="s">
        <v>74</v>
      </c>
      <c r="AG919">
        <v>47</v>
      </c>
      <c r="AH919">
        <v>17</v>
      </c>
      <c r="AI919">
        <v>18</v>
      </c>
      <c r="AJ919">
        <v>2</v>
      </c>
      <c r="AK919">
        <v>10</v>
      </c>
      <c r="AL919" t="s">
        <v>74</v>
      </c>
      <c r="AM919" t="s">
        <v>74</v>
      </c>
      <c r="AN919" t="s">
        <v>74</v>
      </c>
      <c r="AO919" t="s">
        <v>149</v>
      </c>
      <c r="AP919" t="s">
        <v>74</v>
      </c>
      <c r="AQ919" t="s">
        <v>74</v>
      </c>
      <c r="AR919" t="s">
        <v>74</v>
      </c>
      <c r="AS919" t="s">
        <v>74</v>
      </c>
      <c r="AT919" t="s">
        <v>3875</v>
      </c>
      <c r="AU919">
        <v>2021</v>
      </c>
      <c r="AV919">
        <v>11</v>
      </c>
      <c r="AW919">
        <v>1</v>
      </c>
      <c r="AX919" t="s">
        <v>74</v>
      </c>
      <c r="AY919" t="s">
        <v>74</v>
      </c>
      <c r="AZ919" t="s">
        <v>74</v>
      </c>
      <c r="BA919" t="s">
        <v>74</v>
      </c>
      <c r="BB919" t="s">
        <v>74</v>
      </c>
      <c r="BC919" t="s">
        <v>74</v>
      </c>
      <c r="BD919">
        <v>618</v>
      </c>
      <c r="BE919" t="s">
        <v>17517</v>
      </c>
      <c r="BF919" t="str">
        <f>HYPERLINK("http://dx.doi.org/10.1038/s41598-020-79966-9","http://dx.doi.org/10.1038/s41598-020-79966-9")</f>
        <v>http://dx.doi.org/10.1038/s41598-020-79966-9</v>
      </c>
      <c r="BG919" t="s">
        <v>74</v>
      </c>
      <c r="BH919" t="s">
        <v>74</v>
      </c>
      <c r="BI919" t="s">
        <v>74</v>
      </c>
      <c r="BJ919" t="s">
        <v>152</v>
      </c>
      <c r="BK919" t="s">
        <v>117</v>
      </c>
      <c r="BL919" t="s">
        <v>153</v>
      </c>
      <c r="BM919" t="s">
        <v>74</v>
      </c>
      <c r="BN919">
        <v>33436835</v>
      </c>
      <c r="BO919" t="s">
        <v>74</v>
      </c>
      <c r="BP919" t="s">
        <v>74</v>
      </c>
      <c r="BQ919" t="s">
        <v>74</v>
      </c>
      <c r="BR919" t="s">
        <v>96</v>
      </c>
      <c r="BS919" t="s">
        <v>17518</v>
      </c>
      <c r="BT919" t="str">
        <f>HYPERLINK("https%3A%2F%2Fwww.webofscience.com%2Fwos%2Fwoscc%2Ffull-record%2FWOS:000621919500081","View Full Record in Web of Science")</f>
        <v>View Full Record in Web of Science</v>
      </c>
    </row>
    <row r="920" spans="1:72" x14ac:dyDescent="0.15">
      <c r="A920" t="s">
        <v>98</v>
      </c>
      <c r="B920" t="s">
        <v>17950</v>
      </c>
      <c r="C920" t="s">
        <v>74</v>
      </c>
      <c r="D920" t="s">
        <v>74</v>
      </c>
      <c r="E920" t="s">
        <v>74</v>
      </c>
      <c r="F920" t="s">
        <v>17951</v>
      </c>
      <c r="G920" t="s">
        <v>74</v>
      </c>
      <c r="H920" t="s">
        <v>74</v>
      </c>
      <c r="I920" t="s">
        <v>17952</v>
      </c>
      <c r="J920" t="s">
        <v>6426</v>
      </c>
      <c r="K920" t="s">
        <v>74</v>
      </c>
      <c r="L920" t="s">
        <v>74</v>
      </c>
      <c r="M920" t="s">
        <v>74</v>
      </c>
      <c r="N920" t="s">
        <v>103</v>
      </c>
      <c r="O920" t="s">
        <v>74</v>
      </c>
      <c r="P920" t="s">
        <v>74</v>
      </c>
      <c r="Q920" t="s">
        <v>74</v>
      </c>
      <c r="R920" t="s">
        <v>74</v>
      </c>
      <c r="S920" t="s">
        <v>74</v>
      </c>
      <c r="T920" t="s">
        <v>17953</v>
      </c>
      <c r="U920" t="s">
        <v>17954</v>
      </c>
      <c r="V920" t="s">
        <v>17955</v>
      </c>
      <c r="W920" t="s">
        <v>17956</v>
      </c>
      <c r="X920" t="s">
        <v>17957</v>
      </c>
      <c r="Y920" t="s">
        <v>17958</v>
      </c>
      <c r="Z920" t="s">
        <v>5120</v>
      </c>
      <c r="AA920" t="s">
        <v>74</v>
      </c>
      <c r="AB920" t="s">
        <v>74</v>
      </c>
      <c r="AC920" t="s">
        <v>74</v>
      </c>
      <c r="AD920" t="s">
        <v>74</v>
      </c>
      <c r="AE920" t="s">
        <v>74</v>
      </c>
      <c r="AF920" t="s">
        <v>74</v>
      </c>
      <c r="AG920">
        <v>34</v>
      </c>
      <c r="AH920">
        <v>17</v>
      </c>
      <c r="AI920">
        <v>19</v>
      </c>
      <c r="AJ920">
        <v>0</v>
      </c>
      <c r="AK920">
        <v>23</v>
      </c>
      <c r="AL920" t="s">
        <v>74</v>
      </c>
      <c r="AM920" t="s">
        <v>74</v>
      </c>
      <c r="AN920" t="s">
        <v>74</v>
      </c>
      <c r="AO920" t="s">
        <v>6433</v>
      </c>
      <c r="AP920" t="s">
        <v>6434</v>
      </c>
      <c r="AQ920" t="s">
        <v>74</v>
      </c>
      <c r="AR920" t="s">
        <v>74</v>
      </c>
      <c r="AS920" t="s">
        <v>74</v>
      </c>
      <c r="AT920" t="s">
        <v>132</v>
      </c>
      <c r="AU920">
        <v>2017</v>
      </c>
      <c r="AV920">
        <v>409</v>
      </c>
      <c r="AW920">
        <v>10</v>
      </c>
      <c r="AX920" t="s">
        <v>74</v>
      </c>
      <c r="AY920" t="s">
        <v>74</v>
      </c>
      <c r="AZ920" t="s">
        <v>74</v>
      </c>
      <c r="BA920" t="s">
        <v>74</v>
      </c>
      <c r="BB920">
        <v>2727</v>
      </c>
      <c r="BC920">
        <v>2735</v>
      </c>
      <c r="BD920" t="s">
        <v>74</v>
      </c>
      <c r="BE920" t="s">
        <v>17959</v>
      </c>
      <c r="BF920" t="str">
        <f>HYPERLINK("http://dx.doi.org/10.1007/s00216-017-0217-x","http://dx.doi.org/10.1007/s00216-017-0217-x")</f>
        <v>http://dx.doi.org/10.1007/s00216-017-0217-x</v>
      </c>
      <c r="BG920" t="s">
        <v>74</v>
      </c>
      <c r="BH920" t="s">
        <v>74</v>
      </c>
      <c r="BI920" t="s">
        <v>74</v>
      </c>
      <c r="BJ920" t="s">
        <v>1939</v>
      </c>
      <c r="BK920" t="s">
        <v>117</v>
      </c>
      <c r="BL920" t="s">
        <v>831</v>
      </c>
      <c r="BM920" t="s">
        <v>74</v>
      </c>
      <c r="BN920">
        <v>28154880</v>
      </c>
      <c r="BO920" t="s">
        <v>74</v>
      </c>
      <c r="BP920" t="s">
        <v>74</v>
      </c>
      <c r="BQ920" t="s">
        <v>74</v>
      </c>
      <c r="BR920" t="s">
        <v>96</v>
      </c>
      <c r="BS920" t="s">
        <v>17960</v>
      </c>
      <c r="BT920" t="str">
        <f>HYPERLINK("https%3A%2F%2Fwww.webofscience.com%2Fwos%2Fwoscc%2Ffull-record%2FWOS:000396783000023","View Full Record in Web of Science")</f>
        <v>View Full Record in Web of Science</v>
      </c>
    </row>
    <row r="921" spans="1:72" x14ac:dyDescent="0.15">
      <c r="A921" t="s">
        <v>98</v>
      </c>
      <c r="B921" t="s">
        <v>17997</v>
      </c>
      <c r="C921" t="s">
        <v>74</v>
      </c>
      <c r="D921" t="s">
        <v>74</v>
      </c>
      <c r="E921" t="s">
        <v>74</v>
      </c>
      <c r="F921" t="s">
        <v>17998</v>
      </c>
      <c r="G921" t="s">
        <v>74</v>
      </c>
      <c r="H921" t="s">
        <v>74</v>
      </c>
      <c r="I921" t="s">
        <v>17999</v>
      </c>
      <c r="J921" t="s">
        <v>18000</v>
      </c>
      <c r="K921" t="s">
        <v>74</v>
      </c>
      <c r="L921" t="s">
        <v>74</v>
      </c>
      <c r="M921" t="s">
        <v>74</v>
      </c>
      <c r="N921" t="s">
        <v>103</v>
      </c>
      <c r="O921" t="s">
        <v>74</v>
      </c>
      <c r="P921" t="s">
        <v>74</v>
      </c>
      <c r="Q921" t="s">
        <v>74</v>
      </c>
      <c r="R921" t="s">
        <v>74</v>
      </c>
      <c r="S921" t="s">
        <v>74</v>
      </c>
      <c r="T921" t="s">
        <v>18001</v>
      </c>
      <c r="U921" t="s">
        <v>18002</v>
      </c>
      <c r="V921" t="s">
        <v>18003</v>
      </c>
      <c r="W921" t="s">
        <v>18004</v>
      </c>
      <c r="X921" t="s">
        <v>18005</v>
      </c>
      <c r="Y921" t="s">
        <v>18006</v>
      </c>
      <c r="Z921" t="s">
        <v>18007</v>
      </c>
      <c r="AA921" t="s">
        <v>74</v>
      </c>
      <c r="AB921" t="s">
        <v>18008</v>
      </c>
      <c r="AC921" t="s">
        <v>74</v>
      </c>
      <c r="AD921" t="s">
        <v>74</v>
      </c>
      <c r="AE921" t="s">
        <v>74</v>
      </c>
      <c r="AF921" t="s">
        <v>74</v>
      </c>
      <c r="AG921">
        <v>26</v>
      </c>
      <c r="AH921">
        <v>17</v>
      </c>
      <c r="AI921">
        <v>17</v>
      </c>
      <c r="AJ921">
        <v>2</v>
      </c>
      <c r="AK921">
        <v>16</v>
      </c>
      <c r="AL921" t="s">
        <v>74</v>
      </c>
      <c r="AM921" t="s">
        <v>74</v>
      </c>
      <c r="AN921" t="s">
        <v>74</v>
      </c>
      <c r="AO921" t="s">
        <v>18009</v>
      </c>
      <c r="AP921" t="s">
        <v>18010</v>
      </c>
      <c r="AQ921" t="s">
        <v>74</v>
      </c>
      <c r="AR921" t="s">
        <v>74</v>
      </c>
      <c r="AS921" t="s">
        <v>74</v>
      </c>
      <c r="AT921" t="s">
        <v>614</v>
      </c>
      <c r="AU921">
        <v>2020</v>
      </c>
      <c r="AV921">
        <v>26</v>
      </c>
      <c r="AW921">
        <v>7</v>
      </c>
      <c r="AX921" t="s">
        <v>74</v>
      </c>
      <c r="AY921" t="s">
        <v>74</v>
      </c>
      <c r="AZ921" t="s">
        <v>74</v>
      </c>
      <c r="BA921" t="s">
        <v>74</v>
      </c>
      <c r="BB921" t="s">
        <v>74</v>
      </c>
      <c r="BC921" t="s">
        <v>74</v>
      </c>
      <c r="BD921" t="s">
        <v>18011</v>
      </c>
      <c r="BE921" t="s">
        <v>18012</v>
      </c>
      <c r="BF921" t="str">
        <f>HYPERLINK("http://dx.doi.org/10.1016/j.cmi.2019.11.012","http://dx.doi.org/10.1016/j.cmi.2019.11.012")</f>
        <v>http://dx.doi.org/10.1016/j.cmi.2019.11.012</v>
      </c>
      <c r="BG921" t="s">
        <v>74</v>
      </c>
      <c r="BH921" t="s">
        <v>74</v>
      </c>
      <c r="BI921" t="s">
        <v>74</v>
      </c>
      <c r="BJ921" t="s">
        <v>880</v>
      </c>
      <c r="BK921" t="s">
        <v>117</v>
      </c>
      <c r="BL921" t="s">
        <v>880</v>
      </c>
      <c r="BM921" t="s">
        <v>74</v>
      </c>
      <c r="BN921">
        <v>31760116</v>
      </c>
      <c r="BO921" t="s">
        <v>74</v>
      </c>
      <c r="BP921" t="s">
        <v>74</v>
      </c>
      <c r="BQ921" t="s">
        <v>74</v>
      </c>
      <c r="BR921" t="s">
        <v>96</v>
      </c>
      <c r="BS921" t="s">
        <v>18013</v>
      </c>
      <c r="BT921" t="str">
        <f>HYPERLINK("https%3A%2F%2Fwww.webofscience.com%2Fwos%2Fwoscc%2Ffull-record%2FWOS:000544273300026","View Full Record in Web of Science")</f>
        <v>View Full Record in Web of Science</v>
      </c>
    </row>
    <row r="922" spans="1:72" x14ac:dyDescent="0.15">
      <c r="A922" t="s">
        <v>98</v>
      </c>
      <c r="B922" t="s">
        <v>20068</v>
      </c>
      <c r="C922" t="s">
        <v>74</v>
      </c>
      <c r="D922" t="s">
        <v>74</v>
      </c>
      <c r="E922" t="s">
        <v>74</v>
      </c>
      <c r="F922" t="s">
        <v>20068</v>
      </c>
      <c r="G922" t="s">
        <v>74</v>
      </c>
      <c r="H922" t="s">
        <v>74</v>
      </c>
      <c r="I922" t="s">
        <v>20069</v>
      </c>
      <c r="J922" t="s">
        <v>20070</v>
      </c>
      <c r="K922" t="s">
        <v>74</v>
      </c>
      <c r="L922" t="s">
        <v>74</v>
      </c>
      <c r="M922" t="s">
        <v>74</v>
      </c>
      <c r="N922" t="s">
        <v>103</v>
      </c>
      <c r="O922" t="s">
        <v>74</v>
      </c>
      <c r="P922" t="s">
        <v>74</v>
      </c>
      <c r="Q922" t="s">
        <v>74</v>
      </c>
      <c r="R922" t="s">
        <v>74</v>
      </c>
      <c r="S922" t="s">
        <v>74</v>
      </c>
      <c r="T922" t="s">
        <v>20071</v>
      </c>
      <c r="U922" t="s">
        <v>20072</v>
      </c>
      <c r="V922" t="s">
        <v>20073</v>
      </c>
      <c r="W922" t="s">
        <v>20074</v>
      </c>
      <c r="X922" t="s">
        <v>20075</v>
      </c>
      <c r="Y922" t="s">
        <v>20076</v>
      </c>
      <c r="Z922" t="s">
        <v>74</v>
      </c>
      <c r="AA922" t="s">
        <v>74</v>
      </c>
      <c r="AB922" t="s">
        <v>74</v>
      </c>
      <c r="AC922" t="s">
        <v>74</v>
      </c>
      <c r="AD922" t="s">
        <v>74</v>
      </c>
      <c r="AE922" t="s">
        <v>74</v>
      </c>
      <c r="AF922" t="s">
        <v>74</v>
      </c>
      <c r="AG922">
        <v>39</v>
      </c>
      <c r="AH922">
        <v>17</v>
      </c>
      <c r="AI922">
        <v>20</v>
      </c>
      <c r="AJ922">
        <v>0</v>
      </c>
      <c r="AK922">
        <v>1</v>
      </c>
      <c r="AL922" t="s">
        <v>74</v>
      </c>
      <c r="AM922" t="s">
        <v>74</v>
      </c>
      <c r="AN922" t="s">
        <v>74</v>
      </c>
      <c r="AO922" t="s">
        <v>20077</v>
      </c>
      <c r="AP922" t="s">
        <v>20078</v>
      </c>
      <c r="AQ922" t="s">
        <v>74</v>
      </c>
      <c r="AR922" t="s">
        <v>74</v>
      </c>
      <c r="AS922" t="s">
        <v>74</v>
      </c>
      <c r="AT922" t="s">
        <v>230</v>
      </c>
      <c r="AU922">
        <v>2005</v>
      </c>
      <c r="AV922">
        <v>12</v>
      </c>
      <c r="AW922">
        <v>16</v>
      </c>
      <c r="AX922" t="s">
        <v>74</v>
      </c>
      <c r="AY922" t="s">
        <v>74</v>
      </c>
      <c r="AZ922" t="s">
        <v>74</v>
      </c>
      <c r="BA922" t="s">
        <v>74</v>
      </c>
      <c r="BB922">
        <v>1275</v>
      </c>
      <c r="BC922">
        <v>1282</v>
      </c>
      <c r="BD922" t="s">
        <v>74</v>
      </c>
      <c r="BE922" t="s">
        <v>20079</v>
      </c>
      <c r="BF922" t="str">
        <f>HYPERLINK("http://dx.doi.org/10.1038/sj.gt.3302548","http://dx.doi.org/10.1038/sj.gt.3302548")</f>
        <v>http://dx.doi.org/10.1038/sj.gt.3302548</v>
      </c>
      <c r="BG922" t="s">
        <v>74</v>
      </c>
      <c r="BH922" t="s">
        <v>74</v>
      </c>
      <c r="BI922" t="s">
        <v>74</v>
      </c>
      <c r="BJ922" t="s">
        <v>20080</v>
      </c>
      <c r="BK922" t="s">
        <v>117</v>
      </c>
      <c r="BL922" t="s">
        <v>20081</v>
      </c>
      <c r="BM922" t="s">
        <v>74</v>
      </c>
      <c r="BN922">
        <v>15889135</v>
      </c>
      <c r="BO922" t="s">
        <v>74</v>
      </c>
      <c r="BP922" t="s">
        <v>74</v>
      </c>
      <c r="BQ922" t="s">
        <v>74</v>
      </c>
      <c r="BR922" t="s">
        <v>96</v>
      </c>
      <c r="BS922" t="s">
        <v>20082</v>
      </c>
      <c r="BT922" t="str">
        <f>HYPERLINK("https%3A%2F%2Fwww.webofscience.com%2Fwos%2Fwoscc%2Ffull-record%2FWOS:000231019700006","View Full Record in Web of Science")</f>
        <v>View Full Record in Web of Science</v>
      </c>
    </row>
    <row r="923" spans="1:72" x14ac:dyDescent="0.15">
      <c r="A923" t="s">
        <v>98</v>
      </c>
      <c r="B923" t="s">
        <v>21010</v>
      </c>
      <c r="C923" t="s">
        <v>74</v>
      </c>
      <c r="D923" t="s">
        <v>74</v>
      </c>
      <c r="E923" t="s">
        <v>74</v>
      </c>
      <c r="F923" t="s">
        <v>21011</v>
      </c>
      <c r="G923" t="s">
        <v>74</v>
      </c>
      <c r="H923" t="s">
        <v>74</v>
      </c>
      <c r="I923" t="s">
        <v>21012</v>
      </c>
      <c r="J923" t="s">
        <v>381</v>
      </c>
      <c r="K923" t="s">
        <v>74</v>
      </c>
      <c r="L923" t="s">
        <v>74</v>
      </c>
      <c r="M923" t="s">
        <v>74</v>
      </c>
      <c r="N923" t="s">
        <v>103</v>
      </c>
      <c r="O923" t="s">
        <v>74</v>
      </c>
      <c r="P923" t="s">
        <v>74</v>
      </c>
      <c r="Q923" t="s">
        <v>74</v>
      </c>
      <c r="R923" t="s">
        <v>74</v>
      </c>
      <c r="S923" t="s">
        <v>74</v>
      </c>
      <c r="T923" t="s">
        <v>21013</v>
      </c>
      <c r="U923" t="s">
        <v>21014</v>
      </c>
      <c r="V923" t="s">
        <v>21015</v>
      </c>
      <c r="W923" t="s">
        <v>21016</v>
      </c>
      <c r="X923" t="s">
        <v>21017</v>
      </c>
      <c r="Y923" t="s">
        <v>21018</v>
      </c>
      <c r="Z923" t="s">
        <v>21019</v>
      </c>
      <c r="AA923" t="s">
        <v>21020</v>
      </c>
      <c r="AB923" t="s">
        <v>21021</v>
      </c>
      <c r="AC923" t="s">
        <v>74</v>
      </c>
      <c r="AD923" t="s">
        <v>74</v>
      </c>
      <c r="AE923" t="s">
        <v>74</v>
      </c>
      <c r="AF923" t="s">
        <v>74</v>
      </c>
      <c r="AG923">
        <v>73</v>
      </c>
      <c r="AH923">
        <v>17</v>
      </c>
      <c r="AI923">
        <v>17</v>
      </c>
      <c r="AJ923">
        <v>7</v>
      </c>
      <c r="AK923">
        <v>28</v>
      </c>
      <c r="AL923" t="s">
        <v>74</v>
      </c>
      <c r="AM923" t="s">
        <v>74</v>
      </c>
      <c r="AN923" t="s">
        <v>74</v>
      </c>
      <c r="AO923" t="s">
        <v>391</v>
      </c>
      <c r="AP923" t="s">
        <v>392</v>
      </c>
      <c r="AQ923" t="s">
        <v>74</v>
      </c>
      <c r="AR923" t="s">
        <v>74</v>
      </c>
      <c r="AS923" t="s">
        <v>74</v>
      </c>
      <c r="AT923" t="s">
        <v>21022</v>
      </c>
      <c r="AU923">
        <v>2020</v>
      </c>
      <c r="AV923">
        <v>324</v>
      </c>
      <c r="AW923" t="s">
        <v>74</v>
      </c>
      <c r="AX923" t="s">
        <v>74</v>
      </c>
      <c r="AY923" t="s">
        <v>74</v>
      </c>
      <c r="AZ923" t="s">
        <v>74</v>
      </c>
      <c r="BA923" t="s">
        <v>74</v>
      </c>
      <c r="BB923">
        <v>620</v>
      </c>
      <c r="BC923">
        <v>632</v>
      </c>
      <c r="BD923" t="s">
        <v>74</v>
      </c>
      <c r="BE923" t="s">
        <v>21023</v>
      </c>
      <c r="BF923" t="str">
        <f>HYPERLINK("http://dx.doi.org/10.1016/j.jconrel.2020.06.002","http://dx.doi.org/10.1016/j.jconrel.2020.06.002")</f>
        <v>http://dx.doi.org/10.1016/j.jconrel.2020.06.002</v>
      </c>
      <c r="BG923" t="s">
        <v>74</v>
      </c>
      <c r="BH923" t="s">
        <v>74</v>
      </c>
      <c r="BI923" t="s">
        <v>74</v>
      </c>
      <c r="BJ923" t="s">
        <v>396</v>
      </c>
      <c r="BK923" t="s">
        <v>117</v>
      </c>
      <c r="BL923" t="s">
        <v>397</v>
      </c>
      <c r="BM923" t="s">
        <v>74</v>
      </c>
      <c r="BN923">
        <v>32525012</v>
      </c>
      <c r="BO923" t="s">
        <v>74</v>
      </c>
      <c r="BP923" t="s">
        <v>74</v>
      </c>
      <c r="BQ923" t="s">
        <v>74</v>
      </c>
      <c r="BR923" t="s">
        <v>96</v>
      </c>
      <c r="BS923" t="s">
        <v>21024</v>
      </c>
      <c r="BT923" t="str">
        <f>HYPERLINK("https%3A%2F%2Fwww.webofscience.com%2Fwos%2Fwoscc%2Ffull-record%2FWOS:000558614500003","View Full Record in Web of Science")</f>
        <v>View Full Record in Web of Science</v>
      </c>
    </row>
    <row r="924" spans="1:72" x14ac:dyDescent="0.15">
      <c r="A924" t="s">
        <v>98</v>
      </c>
      <c r="B924" t="s">
        <v>21711</v>
      </c>
      <c r="C924" t="s">
        <v>74</v>
      </c>
      <c r="D924" t="s">
        <v>74</v>
      </c>
      <c r="E924" t="s">
        <v>74</v>
      </c>
      <c r="F924" t="s">
        <v>21712</v>
      </c>
      <c r="G924" t="s">
        <v>74</v>
      </c>
      <c r="H924" t="s">
        <v>74</v>
      </c>
      <c r="I924" t="s">
        <v>21713</v>
      </c>
      <c r="J924" t="s">
        <v>11592</v>
      </c>
      <c r="K924" t="s">
        <v>74</v>
      </c>
      <c r="L924" t="s">
        <v>74</v>
      </c>
      <c r="M924" t="s">
        <v>74</v>
      </c>
      <c r="N924" t="s">
        <v>103</v>
      </c>
      <c r="O924" t="s">
        <v>74</v>
      </c>
      <c r="P924" t="s">
        <v>74</v>
      </c>
      <c r="Q924" t="s">
        <v>74</v>
      </c>
      <c r="R924" t="s">
        <v>74</v>
      </c>
      <c r="S924" t="s">
        <v>74</v>
      </c>
      <c r="T924" t="s">
        <v>74</v>
      </c>
      <c r="U924" t="s">
        <v>21714</v>
      </c>
      <c r="V924" t="s">
        <v>21715</v>
      </c>
      <c r="W924" t="s">
        <v>21716</v>
      </c>
      <c r="X924" t="s">
        <v>21717</v>
      </c>
      <c r="Y924" t="s">
        <v>21718</v>
      </c>
      <c r="Z924" t="s">
        <v>21719</v>
      </c>
      <c r="AA924" t="s">
        <v>74</v>
      </c>
      <c r="AB924" t="s">
        <v>74</v>
      </c>
      <c r="AC924" t="s">
        <v>74</v>
      </c>
      <c r="AD924" t="s">
        <v>74</v>
      </c>
      <c r="AE924" t="s">
        <v>74</v>
      </c>
      <c r="AF924" t="s">
        <v>74</v>
      </c>
      <c r="AG924">
        <v>77</v>
      </c>
      <c r="AH924">
        <v>17</v>
      </c>
      <c r="AI924">
        <v>17</v>
      </c>
      <c r="AJ924">
        <v>0</v>
      </c>
      <c r="AK924">
        <v>15</v>
      </c>
      <c r="AL924" t="s">
        <v>74</v>
      </c>
      <c r="AM924" t="s">
        <v>74</v>
      </c>
      <c r="AN924" t="s">
        <v>74</v>
      </c>
      <c r="AO924" t="s">
        <v>11600</v>
      </c>
      <c r="AP924" t="s">
        <v>74</v>
      </c>
      <c r="AQ924" t="s">
        <v>74</v>
      </c>
      <c r="AR924" t="s">
        <v>74</v>
      </c>
      <c r="AS924" t="s">
        <v>74</v>
      </c>
      <c r="AT924" t="s">
        <v>21720</v>
      </c>
      <c r="AU924">
        <v>2016</v>
      </c>
      <c r="AV924">
        <v>14</v>
      </c>
      <c r="AW924" t="s">
        <v>74</v>
      </c>
      <c r="AX924" t="s">
        <v>74</v>
      </c>
      <c r="AY924" t="s">
        <v>74</v>
      </c>
      <c r="AZ924" t="s">
        <v>74</v>
      </c>
      <c r="BA924" t="s">
        <v>74</v>
      </c>
      <c r="BB924" t="s">
        <v>74</v>
      </c>
      <c r="BC924" t="s">
        <v>74</v>
      </c>
      <c r="BD924" t="s">
        <v>74</v>
      </c>
      <c r="BE924" t="s">
        <v>21721</v>
      </c>
      <c r="BF924" t="str">
        <f>HYPERLINK("http://dx.doi.org/10.1186/s12964-016-0147-9","http://dx.doi.org/10.1186/s12964-016-0147-9")</f>
        <v>http://dx.doi.org/10.1186/s12964-016-0147-9</v>
      </c>
      <c r="BG924" t="s">
        <v>74</v>
      </c>
      <c r="BH924" t="s">
        <v>74</v>
      </c>
      <c r="BI924" t="s">
        <v>74</v>
      </c>
      <c r="BJ924" t="s">
        <v>135</v>
      </c>
      <c r="BK924" t="s">
        <v>117</v>
      </c>
      <c r="BL924" t="s">
        <v>135</v>
      </c>
      <c r="BM924" t="s">
        <v>74</v>
      </c>
      <c r="BN924">
        <v>27677261</v>
      </c>
      <c r="BO924" t="s">
        <v>74</v>
      </c>
      <c r="BP924" t="s">
        <v>74</v>
      </c>
      <c r="BQ924" t="s">
        <v>74</v>
      </c>
      <c r="BR924" t="s">
        <v>96</v>
      </c>
      <c r="BS924" t="s">
        <v>21722</v>
      </c>
      <c r="BT924" t="str">
        <f>HYPERLINK("https%3A%2F%2Fwww.webofscience.com%2Fwos%2Fwoscc%2Ffull-record%2FWOS:000384353200001","View Full Record in Web of Science")</f>
        <v>View Full Record in Web of Science</v>
      </c>
    </row>
    <row r="925" spans="1:72" x14ac:dyDescent="0.15">
      <c r="A925" t="s">
        <v>98</v>
      </c>
      <c r="B925" t="s">
        <v>22087</v>
      </c>
      <c r="C925" t="s">
        <v>74</v>
      </c>
      <c r="D925" t="s">
        <v>74</v>
      </c>
      <c r="E925" t="s">
        <v>74</v>
      </c>
      <c r="F925" t="s">
        <v>22088</v>
      </c>
      <c r="G925" t="s">
        <v>74</v>
      </c>
      <c r="H925" t="s">
        <v>74</v>
      </c>
      <c r="I925" t="s">
        <v>22089</v>
      </c>
      <c r="J925" t="s">
        <v>13615</v>
      </c>
      <c r="K925" t="s">
        <v>74</v>
      </c>
      <c r="L925" t="s">
        <v>74</v>
      </c>
      <c r="M925" t="s">
        <v>74</v>
      </c>
      <c r="N925" t="s">
        <v>103</v>
      </c>
      <c r="O925" t="s">
        <v>74</v>
      </c>
      <c r="P925" t="s">
        <v>74</v>
      </c>
      <c r="Q925" t="s">
        <v>74</v>
      </c>
      <c r="R925" t="s">
        <v>74</v>
      </c>
      <c r="S925" t="s">
        <v>74</v>
      </c>
      <c r="T925" t="s">
        <v>74</v>
      </c>
      <c r="U925" t="s">
        <v>22090</v>
      </c>
      <c r="V925" t="s">
        <v>22091</v>
      </c>
      <c r="W925" t="s">
        <v>22092</v>
      </c>
      <c r="X925" t="s">
        <v>22093</v>
      </c>
      <c r="Y925" t="s">
        <v>22094</v>
      </c>
      <c r="Z925" t="s">
        <v>22095</v>
      </c>
      <c r="AA925" t="s">
        <v>22096</v>
      </c>
      <c r="AB925" t="s">
        <v>22097</v>
      </c>
      <c r="AC925" t="s">
        <v>74</v>
      </c>
      <c r="AD925" t="s">
        <v>74</v>
      </c>
      <c r="AE925" t="s">
        <v>74</v>
      </c>
      <c r="AF925" t="s">
        <v>74</v>
      </c>
      <c r="AG925">
        <v>63</v>
      </c>
      <c r="AH925">
        <v>17</v>
      </c>
      <c r="AI925">
        <v>19</v>
      </c>
      <c r="AJ925">
        <v>0</v>
      </c>
      <c r="AK925">
        <v>1</v>
      </c>
      <c r="AL925" t="s">
        <v>74</v>
      </c>
      <c r="AM925" t="s">
        <v>74</v>
      </c>
      <c r="AN925" t="s">
        <v>74</v>
      </c>
      <c r="AO925" t="s">
        <v>74</v>
      </c>
      <c r="AP925" t="s">
        <v>13624</v>
      </c>
      <c r="AQ925" t="s">
        <v>74</v>
      </c>
      <c r="AR925" t="s">
        <v>74</v>
      </c>
      <c r="AS925" t="s">
        <v>74</v>
      </c>
      <c r="AT925" t="s">
        <v>6218</v>
      </c>
      <c r="AU925">
        <v>2019</v>
      </c>
      <c r="AV925">
        <v>4</v>
      </c>
      <c r="AW925">
        <v>10</v>
      </c>
      <c r="AX925" t="s">
        <v>74</v>
      </c>
      <c r="AY925" t="s">
        <v>74</v>
      </c>
      <c r="AZ925" t="s">
        <v>74</v>
      </c>
      <c r="BA925" t="s">
        <v>74</v>
      </c>
      <c r="BB925" t="s">
        <v>74</v>
      </c>
      <c r="BC925" t="s">
        <v>74</v>
      </c>
      <c r="BD925" t="s">
        <v>22098</v>
      </c>
      <c r="BE925" t="s">
        <v>22099</v>
      </c>
      <c r="BF925" t="str">
        <f>HYPERLINK("http://dx.doi.org/10.1172/jci.insight.126207","http://dx.doi.org/10.1172/jci.insight.126207")</f>
        <v>http://dx.doi.org/10.1172/jci.insight.126207</v>
      </c>
      <c r="BG925" t="s">
        <v>74</v>
      </c>
      <c r="BH925" t="s">
        <v>74</v>
      </c>
      <c r="BI925" t="s">
        <v>74</v>
      </c>
      <c r="BJ925" t="s">
        <v>795</v>
      </c>
      <c r="BK925" t="s">
        <v>117</v>
      </c>
      <c r="BL925" t="s">
        <v>796</v>
      </c>
      <c r="BM925" t="s">
        <v>74</v>
      </c>
      <c r="BN925">
        <v>31092731</v>
      </c>
      <c r="BO925" t="s">
        <v>74</v>
      </c>
      <c r="BP925" t="s">
        <v>74</v>
      </c>
      <c r="BQ925" t="s">
        <v>74</v>
      </c>
      <c r="BR925" t="s">
        <v>96</v>
      </c>
      <c r="BS925" t="s">
        <v>22100</v>
      </c>
      <c r="BT925" t="str">
        <f>HYPERLINK("https%3A%2F%2Fwww.webofscience.com%2Fwos%2Fwoscc%2Ffull-record%2FWOS:000468146300012","View Full Record in Web of Science")</f>
        <v>View Full Record in Web of Science</v>
      </c>
    </row>
    <row r="926" spans="1:72" x14ac:dyDescent="0.15">
      <c r="A926" t="s">
        <v>98</v>
      </c>
      <c r="B926" t="s">
        <v>22205</v>
      </c>
      <c r="C926" t="s">
        <v>74</v>
      </c>
      <c r="D926" t="s">
        <v>74</v>
      </c>
      <c r="E926" t="s">
        <v>74</v>
      </c>
      <c r="F926" t="s">
        <v>22206</v>
      </c>
      <c r="G926" t="s">
        <v>74</v>
      </c>
      <c r="H926" t="s">
        <v>74</v>
      </c>
      <c r="I926" t="s">
        <v>22207</v>
      </c>
      <c r="J926" t="s">
        <v>418</v>
      </c>
      <c r="K926" t="s">
        <v>74</v>
      </c>
      <c r="L926" t="s">
        <v>74</v>
      </c>
      <c r="M926" t="s">
        <v>74</v>
      </c>
      <c r="N926" t="s">
        <v>103</v>
      </c>
      <c r="O926" t="s">
        <v>74</v>
      </c>
      <c r="P926" t="s">
        <v>74</v>
      </c>
      <c r="Q926" t="s">
        <v>74</v>
      </c>
      <c r="R926" t="s">
        <v>74</v>
      </c>
      <c r="S926" t="s">
        <v>74</v>
      </c>
      <c r="T926" t="s">
        <v>22208</v>
      </c>
      <c r="U926" t="s">
        <v>22209</v>
      </c>
      <c r="V926" t="s">
        <v>22210</v>
      </c>
      <c r="W926" t="s">
        <v>22211</v>
      </c>
      <c r="X926" t="s">
        <v>22212</v>
      </c>
      <c r="Y926" t="s">
        <v>22213</v>
      </c>
      <c r="Z926" t="s">
        <v>22214</v>
      </c>
      <c r="AA926" t="s">
        <v>74</v>
      </c>
      <c r="AB926" t="s">
        <v>22215</v>
      </c>
      <c r="AC926" t="s">
        <v>74</v>
      </c>
      <c r="AD926" t="s">
        <v>74</v>
      </c>
      <c r="AE926" t="s">
        <v>74</v>
      </c>
      <c r="AF926" t="s">
        <v>74</v>
      </c>
      <c r="AG926">
        <v>14</v>
      </c>
      <c r="AH926">
        <v>17</v>
      </c>
      <c r="AI926">
        <v>17</v>
      </c>
      <c r="AJ926">
        <v>6</v>
      </c>
      <c r="AK926">
        <v>81</v>
      </c>
      <c r="AL926" t="s">
        <v>74</v>
      </c>
      <c r="AM926" t="s">
        <v>74</v>
      </c>
      <c r="AN926" t="s">
        <v>74</v>
      </c>
      <c r="AO926" t="s">
        <v>428</v>
      </c>
      <c r="AP926" t="s">
        <v>74</v>
      </c>
      <c r="AQ926" t="s">
        <v>74</v>
      </c>
      <c r="AR926" t="s">
        <v>74</v>
      </c>
      <c r="AS926" t="s">
        <v>74</v>
      </c>
      <c r="AT926" t="s">
        <v>114</v>
      </c>
      <c r="AU926">
        <v>2015</v>
      </c>
      <c r="AV926" t="s">
        <v>74</v>
      </c>
      <c r="AW926">
        <v>95</v>
      </c>
      <c r="AX926" t="s">
        <v>74</v>
      </c>
      <c r="AY926" t="s">
        <v>74</v>
      </c>
      <c r="AZ926" t="s">
        <v>74</v>
      </c>
      <c r="BA926" t="s">
        <v>74</v>
      </c>
      <c r="BB926" t="s">
        <v>74</v>
      </c>
      <c r="BC926" t="s">
        <v>74</v>
      </c>
      <c r="BD926" t="s">
        <v>22216</v>
      </c>
      <c r="BE926" t="s">
        <v>22217</v>
      </c>
      <c r="BF926" t="str">
        <f>HYPERLINK("http://dx.doi.org/10.3791/52439","http://dx.doi.org/10.3791/52439")</f>
        <v>http://dx.doi.org/10.3791/52439</v>
      </c>
      <c r="BG926" t="s">
        <v>74</v>
      </c>
      <c r="BH926" t="s">
        <v>74</v>
      </c>
      <c r="BI926" t="s">
        <v>74</v>
      </c>
      <c r="BJ926" t="s">
        <v>152</v>
      </c>
      <c r="BK926" t="s">
        <v>117</v>
      </c>
      <c r="BL926" t="s">
        <v>153</v>
      </c>
      <c r="BM926" t="s">
        <v>74</v>
      </c>
      <c r="BN926">
        <v>25650727</v>
      </c>
      <c r="BO926" t="s">
        <v>74</v>
      </c>
      <c r="BP926" t="s">
        <v>74</v>
      </c>
      <c r="BQ926" t="s">
        <v>74</v>
      </c>
      <c r="BR926" t="s">
        <v>96</v>
      </c>
      <c r="BS926" t="s">
        <v>22218</v>
      </c>
      <c r="BT926" t="str">
        <f>HYPERLINK("https%3A%2F%2Fwww.webofscience.com%2Fwos%2Fwoscc%2Ffull-record%2FWOS:000361532900067","View Full Record in Web of Science")</f>
        <v>View Full Record in Web of Science</v>
      </c>
    </row>
    <row r="927" spans="1:72" x14ac:dyDescent="0.15">
      <c r="A927" t="s">
        <v>98</v>
      </c>
      <c r="B927" t="s">
        <v>22629</v>
      </c>
      <c r="C927" t="s">
        <v>74</v>
      </c>
      <c r="D927" t="s">
        <v>74</v>
      </c>
      <c r="E927" t="s">
        <v>74</v>
      </c>
      <c r="F927" t="s">
        <v>22630</v>
      </c>
      <c r="G927" t="s">
        <v>74</v>
      </c>
      <c r="H927" t="s">
        <v>74</v>
      </c>
      <c r="I927" t="s">
        <v>22631</v>
      </c>
      <c r="J927" t="s">
        <v>14215</v>
      </c>
      <c r="K927" t="s">
        <v>74</v>
      </c>
      <c r="L927" t="s">
        <v>74</v>
      </c>
      <c r="M927" t="s">
        <v>74</v>
      </c>
      <c r="N927" t="s">
        <v>103</v>
      </c>
      <c r="O927" t="s">
        <v>74</v>
      </c>
      <c r="P927" t="s">
        <v>74</v>
      </c>
      <c r="Q927" t="s">
        <v>74</v>
      </c>
      <c r="R927" t="s">
        <v>74</v>
      </c>
      <c r="S927" t="s">
        <v>74</v>
      </c>
      <c r="T927" t="s">
        <v>22632</v>
      </c>
      <c r="U927" t="s">
        <v>22633</v>
      </c>
      <c r="V927" t="s">
        <v>22634</v>
      </c>
      <c r="W927" t="s">
        <v>22635</v>
      </c>
      <c r="X927" t="s">
        <v>22636</v>
      </c>
      <c r="Y927" t="s">
        <v>22637</v>
      </c>
      <c r="Z927" t="s">
        <v>22638</v>
      </c>
      <c r="AA927" t="s">
        <v>74</v>
      </c>
      <c r="AB927" t="s">
        <v>74</v>
      </c>
      <c r="AC927" t="s">
        <v>74</v>
      </c>
      <c r="AD927" t="s">
        <v>74</v>
      </c>
      <c r="AE927" t="s">
        <v>74</v>
      </c>
      <c r="AF927" t="s">
        <v>74</v>
      </c>
      <c r="AG927">
        <v>64</v>
      </c>
      <c r="AH927">
        <v>17</v>
      </c>
      <c r="AI927">
        <v>17</v>
      </c>
      <c r="AJ927">
        <v>7</v>
      </c>
      <c r="AK927">
        <v>16</v>
      </c>
      <c r="AL927" t="s">
        <v>74</v>
      </c>
      <c r="AM927" t="s">
        <v>74</v>
      </c>
      <c r="AN927" t="s">
        <v>74</v>
      </c>
      <c r="AO927" t="s">
        <v>14225</v>
      </c>
      <c r="AP927" t="s">
        <v>74</v>
      </c>
      <c r="AQ927" t="s">
        <v>74</v>
      </c>
      <c r="AR927" t="s">
        <v>74</v>
      </c>
      <c r="AS927" t="s">
        <v>74</v>
      </c>
      <c r="AT927" t="s">
        <v>14226</v>
      </c>
      <c r="AU927">
        <v>2020</v>
      </c>
      <c r="AV927">
        <v>12</v>
      </c>
      <c r="AW927">
        <v>8</v>
      </c>
      <c r="AX927" t="s">
        <v>74</v>
      </c>
      <c r="AY927" t="s">
        <v>74</v>
      </c>
      <c r="AZ927" t="s">
        <v>74</v>
      </c>
      <c r="BA927" t="s">
        <v>74</v>
      </c>
      <c r="BB927">
        <v>6756</v>
      </c>
      <c r="BC927">
        <v>6773</v>
      </c>
      <c r="BD927" t="s">
        <v>74</v>
      </c>
      <c r="BE927" t="s">
        <v>22639</v>
      </c>
      <c r="BF927" t="str">
        <f>HYPERLINK("http://dx.doi.org/10.18632/aging.103036","http://dx.doi.org/10.18632/aging.103036")</f>
        <v>http://dx.doi.org/10.18632/aging.103036</v>
      </c>
      <c r="BG927" t="s">
        <v>74</v>
      </c>
      <c r="BH927" t="s">
        <v>74</v>
      </c>
      <c r="BI927" t="s">
        <v>74</v>
      </c>
      <c r="BJ927" t="s">
        <v>305</v>
      </c>
      <c r="BK927" t="s">
        <v>117</v>
      </c>
      <c r="BL927" t="s">
        <v>305</v>
      </c>
      <c r="BM927" t="s">
        <v>74</v>
      </c>
      <c r="BN927">
        <v>32310826</v>
      </c>
      <c r="BO927" t="s">
        <v>74</v>
      </c>
      <c r="BP927" t="s">
        <v>74</v>
      </c>
      <c r="BQ927" t="s">
        <v>74</v>
      </c>
      <c r="BR927" t="s">
        <v>96</v>
      </c>
      <c r="BS927" t="s">
        <v>22640</v>
      </c>
      <c r="BT927" t="str">
        <f>HYPERLINK("https%3A%2F%2Fwww.webofscience.com%2Fwos%2Fwoscc%2Ffull-record%2FWOS:000530887200018","View Full Record in Web of Science")</f>
        <v>View Full Record in Web of Science</v>
      </c>
    </row>
    <row r="928" spans="1:72" x14ac:dyDescent="0.15">
      <c r="A928" t="s">
        <v>98</v>
      </c>
      <c r="B928" t="s">
        <v>23171</v>
      </c>
      <c r="C928" t="s">
        <v>74</v>
      </c>
      <c r="D928" t="s">
        <v>74</v>
      </c>
      <c r="E928" t="s">
        <v>74</v>
      </c>
      <c r="F928" t="s">
        <v>23172</v>
      </c>
      <c r="G928" t="s">
        <v>74</v>
      </c>
      <c r="H928" t="s">
        <v>74</v>
      </c>
      <c r="I928" t="s">
        <v>23173</v>
      </c>
      <c r="J928" t="s">
        <v>23174</v>
      </c>
      <c r="K928" t="s">
        <v>74</v>
      </c>
      <c r="L928" t="s">
        <v>74</v>
      </c>
      <c r="M928" t="s">
        <v>74</v>
      </c>
      <c r="N928" t="s">
        <v>103</v>
      </c>
      <c r="O928" t="s">
        <v>74</v>
      </c>
      <c r="P928" t="s">
        <v>74</v>
      </c>
      <c r="Q928" t="s">
        <v>74</v>
      </c>
      <c r="R928" t="s">
        <v>74</v>
      </c>
      <c r="S928" t="s">
        <v>74</v>
      </c>
      <c r="T928" t="s">
        <v>23175</v>
      </c>
      <c r="U928" t="s">
        <v>23176</v>
      </c>
      <c r="V928" t="s">
        <v>23177</v>
      </c>
      <c r="W928" t="s">
        <v>23178</v>
      </c>
      <c r="X928" t="s">
        <v>23179</v>
      </c>
      <c r="Y928" t="s">
        <v>23180</v>
      </c>
      <c r="Z928" t="s">
        <v>23181</v>
      </c>
      <c r="AA928" t="s">
        <v>74</v>
      </c>
      <c r="AB928" t="s">
        <v>23182</v>
      </c>
      <c r="AC928" t="s">
        <v>74</v>
      </c>
      <c r="AD928" t="s">
        <v>74</v>
      </c>
      <c r="AE928" t="s">
        <v>74</v>
      </c>
      <c r="AF928" t="s">
        <v>74</v>
      </c>
      <c r="AG928">
        <v>33</v>
      </c>
      <c r="AH928">
        <v>17</v>
      </c>
      <c r="AI928">
        <v>17</v>
      </c>
      <c r="AJ928">
        <v>0</v>
      </c>
      <c r="AK928">
        <v>5</v>
      </c>
      <c r="AL928" t="s">
        <v>74</v>
      </c>
      <c r="AM928" t="s">
        <v>74</v>
      </c>
      <c r="AN928" t="s">
        <v>74</v>
      </c>
      <c r="AO928" t="s">
        <v>23183</v>
      </c>
      <c r="AP928" t="s">
        <v>23184</v>
      </c>
      <c r="AQ928" t="s">
        <v>74</v>
      </c>
      <c r="AR928" t="s">
        <v>74</v>
      </c>
      <c r="AS928" t="s">
        <v>74</v>
      </c>
      <c r="AT928" t="s">
        <v>967</v>
      </c>
      <c r="AU928">
        <v>2017</v>
      </c>
      <c r="AV928">
        <v>32</v>
      </c>
      <c r="AW928">
        <v>12</v>
      </c>
      <c r="AX928" t="s">
        <v>74</v>
      </c>
      <c r="AY928" t="s">
        <v>74</v>
      </c>
      <c r="AZ928" t="s">
        <v>74</v>
      </c>
      <c r="BA928" t="s">
        <v>74</v>
      </c>
      <c r="BB928">
        <v>2010</v>
      </c>
      <c r="BC928">
        <v>2017</v>
      </c>
      <c r="BD928" t="s">
        <v>74</v>
      </c>
      <c r="BE928" t="s">
        <v>23185</v>
      </c>
      <c r="BF928" t="str">
        <f>HYPERLINK("http://dx.doi.org/10.1093/ndt/gfx083","http://dx.doi.org/10.1093/ndt/gfx083")</f>
        <v>http://dx.doi.org/10.1093/ndt/gfx083</v>
      </c>
      <c r="BG928" t="s">
        <v>74</v>
      </c>
      <c r="BH928" t="s">
        <v>74</v>
      </c>
      <c r="BI928" t="s">
        <v>74</v>
      </c>
      <c r="BJ928" t="s">
        <v>23186</v>
      </c>
      <c r="BK928" t="s">
        <v>117</v>
      </c>
      <c r="BL928" t="s">
        <v>23186</v>
      </c>
      <c r="BM928" t="s">
        <v>74</v>
      </c>
      <c r="BN928">
        <v>29156055</v>
      </c>
      <c r="BO928" t="s">
        <v>74</v>
      </c>
      <c r="BP928" t="s">
        <v>74</v>
      </c>
      <c r="BQ928" t="s">
        <v>74</v>
      </c>
      <c r="BR928" t="s">
        <v>96</v>
      </c>
      <c r="BS928" t="s">
        <v>23187</v>
      </c>
      <c r="BT928" t="str">
        <f>HYPERLINK("https%3A%2F%2Fwww.webofscience.com%2Fwos%2Fwoscc%2Ffull-record%2FWOS:000417201400009","View Full Record in Web of Science")</f>
        <v>View Full Record in Web of Science</v>
      </c>
    </row>
    <row r="929" spans="1:72" x14ac:dyDescent="0.15">
      <c r="A929" t="s">
        <v>98</v>
      </c>
      <c r="B929" t="s">
        <v>23940</v>
      </c>
      <c r="C929" t="s">
        <v>74</v>
      </c>
      <c r="D929" t="s">
        <v>74</v>
      </c>
      <c r="E929" t="s">
        <v>74</v>
      </c>
      <c r="F929" t="s">
        <v>23941</v>
      </c>
      <c r="G929" t="s">
        <v>74</v>
      </c>
      <c r="H929" t="s">
        <v>74</v>
      </c>
      <c r="I929" t="s">
        <v>23942</v>
      </c>
      <c r="J929" t="s">
        <v>1018</v>
      </c>
      <c r="K929" t="s">
        <v>74</v>
      </c>
      <c r="L929" t="s">
        <v>74</v>
      </c>
      <c r="M929" t="s">
        <v>74</v>
      </c>
      <c r="N929" t="s">
        <v>103</v>
      </c>
      <c r="O929" t="s">
        <v>74</v>
      </c>
      <c r="P929" t="s">
        <v>74</v>
      </c>
      <c r="Q929" t="s">
        <v>74</v>
      </c>
      <c r="R929" t="s">
        <v>74</v>
      </c>
      <c r="S929" t="s">
        <v>74</v>
      </c>
      <c r="T929" t="s">
        <v>23943</v>
      </c>
      <c r="U929" t="s">
        <v>74</v>
      </c>
      <c r="V929" t="s">
        <v>23944</v>
      </c>
      <c r="W929" t="s">
        <v>23945</v>
      </c>
      <c r="X929" t="s">
        <v>23946</v>
      </c>
      <c r="Y929" t="s">
        <v>23947</v>
      </c>
      <c r="Z929" t="s">
        <v>23948</v>
      </c>
      <c r="AA929" t="s">
        <v>74</v>
      </c>
      <c r="AB929" t="s">
        <v>23949</v>
      </c>
      <c r="AC929" t="s">
        <v>74</v>
      </c>
      <c r="AD929" t="s">
        <v>74</v>
      </c>
      <c r="AE929" t="s">
        <v>74</v>
      </c>
      <c r="AF929" t="s">
        <v>74</v>
      </c>
      <c r="AG929">
        <v>42</v>
      </c>
      <c r="AH929">
        <v>17</v>
      </c>
      <c r="AI929">
        <v>17</v>
      </c>
      <c r="AJ929">
        <v>31</v>
      </c>
      <c r="AK929">
        <v>104</v>
      </c>
      <c r="AL929" t="s">
        <v>74</v>
      </c>
      <c r="AM929" t="s">
        <v>74</v>
      </c>
      <c r="AN929" t="s">
        <v>74</v>
      </c>
      <c r="AO929" t="s">
        <v>74</v>
      </c>
      <c r="AP929" t="s">
        <v>1028</v>
      </c>
      <c r="AQ929" t="s">
        <v>74</v>
      </c>
      <c r="AR929" t="s">
        <v>74</v>
      </c>
      <c r="AS929" t="s">
        <v>74</v>
      </c>
      <c r="AT929" t="s">
        <v>967</v>
      </c>
      <c r="AU929">
        <v>2020</v>
      </c>
      <c r="AV929">
        <v>25</v>
      </c>
      <c r="AW929">
        <v>23</v>
      </c>
      <c r="AX929" t="s">
        <v>74</v>
      </c>
      <c r="AY929" t="s">
        <v>74</v>
      </c>
      <c r="AZ929" t="s">
        <v>74</v>
      </c>
      <c r="BA929" t="s">
        <v>74</v>
      </c>
      <c r="BB929" t="s">
        <v>74</v>
      </c>
      <c r="BC929" t="s">
        <v>74</v>
      </c>
      <c r="BD929">
        <v>5585</v>
      </c>
      <c r="BE929" t="s">
        <v>23950</v>
      </c>
      <c r="BF929" t="str">
        <f>HYPERLINK("http://dx.doi.org/10.3390/molecules25235585","http://dx.doi.org/10.3390/molecules25235585")</f>
        <v>http://dx.doi.org/10.3390/molecules25235585</v>
      </c>
      <c r="BG929" t="s">
        <v>74</v>
      </c>
      <c r="BH929" t="s">
        <v>74</v>
      </c>
      <c r="BI929" t="s">
        <v>74</v>
      </c>
      <c r="BJ929" t="s">
        <v>830</v>
      </c>
      <c r="BK929" t="s">
        <v>117</v>
      </c>
      <c r="BL929" t="s">
        <v>831</v>
      </c>
      <c r="BM929" t="s">
        <v>74</v>
      </c>
      <c r="BN929">
        <v>33261145</v>
      </c>
      <c r="BO929" t="s">
        <v>74</v>
      </c>
      <c r="BP929" t="s">
        <v>74</v>
      </c>
      <c r="BQ929" t="s">
        <v>74</v>
      </c>
      <c r="BR929" t="s">
        <v>96</v>
      </c>
      <c r="BS929" t="s">
        <v>23951</v>
      </c>
      <c r="BT929" t="str">
        <f>HYPERLINK("https%3A%2F%2Fwww.webofscience.com%2Fwos%2Fwoscc%2Ffull-record%2FWOS:000597445200001","View Full Record in Web of Science")</f>
        <v>View Full Record in Web of Science</v>
      </c>
    </row>
    <row r="930" spans="1:72" x14ac:dyDescent="0.15">
      <c r="A930" t="s">
        <v>98</v>
      </c>
      <c r="B930" t="s">
        <v>24413</v>
      </c>
      <c r="C930" t="s">
        <v>74</v>
      </c>
      <c r="D930" t="s">
        <v>74</v>
      </c>
      <c r="E930" t="s">
        <v>74</v>
      </c>
      <c r="F930" t="s">
        <v>24414</v>
      </c>
      <c r="G930" t="s">
        <v>74</v>
      </c>
      <c r="H930" t="s">
        <v>74</v>
      </c>
      <c r="I930" t="s">
        <v>24415</v>
      </c>
      <c r="J930" t="s">
        <v>14163</v>
      </c>
      <c r="K930" t="s">
        <v>74</v>
      </c>
      <c r="L930" t="s">
        <v>74</v>
      </c>
      <c r="M930" t="s">
        <v>74</v>
      </c>
      <c r="N930" t="s">
        <v>103</v>
      </c>
      <c r="O930" t="s">
        <v>74</v>
      </c>
      <c r="P930" t="s">
        <v>74</v>
      </c>
      <c r="Q930" t="s">
        <v>74</v>
      </c>
      <c r="R930" t="s">
        <v>74</v>
      </c>
      <c r="S930" t="s">
        <v>74</v>
      </c>
      <c r="T930" t="s">
        <v>74</v>
      </c>
      <c r="U930" t="s">
        <v>24416</v>
      </c>
      <c r="V930" t="s">
        <v>24417</v>
      </c>
      <c r="W930" t="s">
        <v>24418</v>
      </c>
      <c r="X930" t="s">
        <v>24419</v>
      </c>
      <c r="Y930" t="s">
        <v>24420</v>
      </c>
      <c r="Z930" t="s">
        <v>24421</v>
      </c>
      <c r="AA930" t="s">
        <v>74</v>
      </c>
      <c r="AB930" t="s">
        <v>74</v>
      </c>
      <c r="AC930" t="s">
        <v>74</v>
      </c>
      <c r="AD930" t="s">
        <v>74</v>
      </c>
      <c r="AE930" t="s">
        <v>74</v>
      </c>
      <c r="AF930" t="s">
        <v>74</v>
      </c>
      <c r="AG930">
        <v>49</v>
      </c>
      <c r="AH930">
        <v>17</v>
      </c>
      <c r="AI930">
        <v>17</v>
      </c>
      <c r="AJ930">
        <v>5</v>
      </c>
      <c r="AK930">
        <v>19</v>
      </c>
      <c r="AL930" t="s">
        <v>74</v>
      </c>
      <c r="AM930" t="s">
        <v>74</v>
      </c>
      <c r="AN930" t="s">
        <v>74</v>
      </c>
      <c r="AO930" t="s">
        <v>14170</v>
      </c>
      <c r="AP930" t="s">
        <v>14171</v>
      </c>
      <c r="AQ930" t="s">
        <v>74</v>
      </c>
      <c r="AR930" t="s">
        <v>74</v>
      </c>
      <c r="AS930" t="s">
        <v>74</v>
      </c>
      <c r="AT930" t="s">
        <v>283</v>
      </c>
      <c r="AU930">
        <v>2021</v>
      </c>
      <c r="AV930">
        <v>28</v>
      </c>
      <c r="AW930">
        <v>2</v>
      </c>
      <c r="AX930" t="s">
        <v>74</v>
      </c>
      <c r="AY930" t="s">
        <v>74</v>
      </c>
      <c r="AZ930" t="s">
        <v>74</v>
      </c>
      <c r="BA930" t="s">
        <v>74</v>
      </c>
      <c r="BB930">
        <v>715</v>
      </c>
      <c r="BC930">
        <v>729</v>
      </c>
      <c r="BD930" t="s">
        <v>74</v>
      </c>
      <c r="BE930" t="s">
        <v>24422</v>
      </c>
      <c r="BF930" t="str">
        <f>HYPERLINK("http://dx.doi.org/10.1038/s41418-020-00618-6","http://dx.doi.org/10.1038/s41418-020-00618-6")</f>
        <v>http://dx.doi.org/10.1038/s41418-020-00618-6</v>
      </c>
      <c r="BG930" t="s">
        <v>74</v>
      </c>
      <c r="BH930" t="s">
        <v>1479</v>
      </c>
      <c r="BI930" t="s">
        <v>74</v>
      </c>
      <c r="BJ930" t="s">
        <v>498</v>
      </c>
      <c r="BK930" t="s">
        <v>117</v>
      </c>
      <c r="BL930" t="s">
        <v>498</v>
      </c>
      <c r="BM930" t="s">
        <v>74</v>
      </c>
      <c r="BN930">
        <v>32929219</v>
      </c>
      <c r="BO930" t="s">
        <v>74</v>
      </c>
      <c r="BP930" t="s">
        <v>74</v>
      </c>
      <c r="BQ930" t="s">
        <v>74</v>
      </c>
      <c r="BR930" t="s">
        <v>96</v>
      </c>
      <c r="BS930" t="s">
        <v>24423</v>
      </c>
      <c r="BT930" t="str">
        <f>HYPERLINK("https%3A%2F%2Fwww.webofscience.com%2Fwos%2Fwoscc%2Ffull-record%2FWOS:000569296600002","View Full Record in Web of Science")</f>
        <v>View Full Record in Web of Science</v>
      </c>
    </row>
    <row r="931" spans="1:72" x14ac:dyDescent="0.15">
      <c r="A931" t="s">
        <v>98</v>
      </c>
      <c r="B931" t="s">
        <v>24530</v>
      </c>
      <c r="C931" t="s">
        <v>74</v>
      </c>
      <c r="D931" t="s">
        <v>74</v>
      </c>
      <c r="E931" t="s">
        <v>74</v>
      </c>
      <c r="F931" t="s">
        <v>24530</v>
      </c>
      <c r="G931" t="s">
        <v>74</v>
      </c>
      <c r="H931" t="s">
        <v>74</v>
      </c>
      <c r="I931" t="s">
        <v>24531</v>
      </c>
      <c r="J931" t="s">
        <v>325</v>
      </c>
      <c r="K931" t="s">
        <v>74</v>
      </c>
      <c r="L931" t="s">
        <v>74</v>
      </c>
      <c r="M931" t="s">
        <v>74</v>
      </c>
      <c r="N931" t="s">
        <v>103</v>
      </c>
      <c r="O931" t="s">
        <v>74</v>
      </c>
      <c r="P931" t="s">
        <v>74</v>
      </c>
      <c r="Q931" t="s">
        <v>74</v>
      </c>
      <c r="R931" t="s">
        <v>74</v>
      </c>
      <c r="S931" t="s">
        <v>74</v>
      </c>
      <c r="T931" t="s">
        <v>74</v>
      </c>
      <c r="U931" t="s">
        <v>24532</v>
      </c>
      <c r="V931" t="s">
        <v>24533</v>
      </c>
      <c r="W931" t="s">
        <v>24534</v>
      </c>
      <c r="X931" t="s">
        <v>24535</v>
      </c>
      <c r="Y931" t="s">
        <v>24536</v>
      </c>
      <c r="Z931" t="s">
        <v>74</v>
      </c>
      <c r="AA931" t="s">
        <v>74</v>
      </c>
      <c r="AB931" t="s">
        <v>74</v>
      </c>
      <c r="AC931" t="s">
        <v>74</v>
      </c>
      <c r="AD931" t="s">
        <v>74</v>
      </c>
      <c r="AE931" t="s">
        <v>74</v>
      </c>
      <c r="AF931" t="s">
        <v>74</v>
      </c>
      <c r="AG931">
        <v>19</v>
      </c>
      <c r="AH931">
        <v>17</v>
      </c>
      <c r="AI931">
        <v>17</v>
      </c>
      <c r="AJ931">
        <v>0</v>
      </c>
      <c r="AK931">
        <v>3</v>
      </c>
      <c r="AL931" t="s">
        <v>74</v>
      </c>
      <c r="AM931" t="s">
        <v>74</v>
      </c>
      <c r="AN931" t="s">
        <v>74</v>
      </c>
      <c r="AO931" t="s">
        <v>333</v>
      </c>
      <c r="AP931" t="s">
        <v>74</v>
      </c>
      <c r="AQ931" t="s">
        <v>74</v>
      </c>
      <c r="AR931" t="s">
        <v>74</v>
      </c>
      <c r="AS931" t="s">
        <v>74</v>
      </c>
      <c r="AT931" t="s">
        <v>114</v>
      </c>
      <c r="AU931">
        <v>1999</v>
      </c>
      <c r="AV931">
        <v>18</v>
      </c>
      <c r="AW931">
        <v>1</v>
      </c>
      <c r="AX931" t="s">
        <v>74</v>
      </c>
      <c r="AY931" t="s">
        <v>74</v>
      </c>
      <c r="AZ931" t="s">
        <v>74</v>
      </c>
      <c r="BA931" t="s">
        <v>74</v>
      </c>
      <c r="BB931">
        <v>51</v>
      </c>
      <c r="BC931">
        <v>58</v>
      </c>
      <c r="BD931" t="s">
        <v>74</v>
      </c>
      <c r="BE931" t="s">
        <v>24537</v>
      </c>
      <c r="BF931" t="str">
        <f>HYPERLINK("http://dx.doi.org/10.1089/104454999315619","http://dx.doi.org/10.1089/104454999315619")</f>
        <v>http://dx.doi.org/10.1089/104454999315619</v>
      </c>
      <c r="BG931" t="s">
        <v>74</v>
      </c>
      <c r="BH931" t="s">
        <v>74</v>
      </c>
      <c r="BI931" t="s">
        <v>74</v>
      </c>
      <c r="BJ931" t="s">
        <v>338</v>
      </c>
      <c r="BK931" t="s">
        <v>117</v>
      </c>
      <c r="BL931" t="s">
        <v>338</v>
      </c>
      <c r="BM931" t="s">
        <v>74</v>
      </c>
      <c r="BN931">
        <v>10025508</v>
      </c>
      <c r="BO931" t="s">
        <v>74</v>
      </c>
      <c r="BP931" t="s">
        <v>74</v>
      </c>
      <c r="BQ931" t="s">
        <v>74</v>
      </c>
      <c r="BR931" t="s">
        <v>96</v>
      </c>
      <c r="BS931" t="s">
        <v>24538</v>
      </c>
      <c r="BT931" t="str">
        <f>HYPERLINK("https%3A%2F%2Fwww.webofscience.com%2Fwos%2Fwoscc%2Ffull-record%2FWOS:000078432300005","View Full Record in Web of Science")</f>
        <v>View Full Record in Web of Science</v>
      </c>
    </row>
    <row r="932" spans="1:72" x14ac:dyDescent="0.15">
      <c r="A932" t="s">
        <v>98</v>
      </c>
      <c r="B932" t="s">
        <v>24849</v>
      </c>
      <c r="C932" t="s">
        <v>74</v>
      </c>
      <c r="D932" t="s">
        <v>74</v>
      </c>
      <c r="E932" t="s">
        <v>74</v>
      </c>
      <c r="F932" t="s">
        <v>24850</v>
      </c>
      <c r="G932" t="s">
        <v>74</v>
      </c>
      <c r="H932" t="s">
        <v>74</v>
      </c>
      <c r="I932" t="s">
        <v>24851</v>
      </c>
      <c r="J932" t="s">
        <v>24852</v>
      </c>
      <c r="K932" t="s">
        <v>74</v>
      </c>
      <c r="L932" t="s">
        <v>74</v>
      </c>
      <c r="M932" t="s">
        <v>74</v>
      </c>
      <c r="N932" t="s">
        <v>103</v>
      </c>
      <c r="O932" t="s">
        <v>74</v>
      </c>
      <c r="P932" t="s">
        <v>74</v>
      </c>
      <c r="Q932" t="s">
        <v>74</v>
      </c>
      <c r="R932" t="s">
        <v>74</v>
      </c>
      <c r="S932" t="s">
        <v>74</v>
      </c>
      <c r="T932" t="s">
        <v>24853</v>
      </c>
      <c r="U932" t="s">
        <v>24854</v>
      </c>
      <c r="V932" t="s">
        <v>24855</v>
      </c>
      <c r="W932" t="s">
        <v>24856</v>
      </c>
      <c r="X932" t="s">
        <v>24857</v>
      </c>
      <c r="Y932" t="s">
        <v>24858</v>
      </c>
      <c r="Z932" t="s">
        <v>24859</v>
      </c>
      <c r="AA932" t="s">
        <v>24860</v>
      </c>
      <c r="AB932" t="s">
        <v>24861</v>
      </c>
      <c r="AC932" t="s">
        <v>74</v>
      </c>
      <c r="AD932" t="s">
        <v>74</v>
      </c>
      <c r="AE932" t="s">
        <v>74</v>
      </c>
      <c r="AF932" t="s">
        <v>74</v>
      </c>
      <c r="AG932">
        <v>43</v>
      </c>
      <c r="AH932">
        <v>17</v>
      </c>
      <c r="AI932">
        <v>18</v>
      </c>
      <c r="AJ932">
        <v>0</v>
      </c>
      <c r="AK932">
        <v>3</v>
      </c>
      <c r="AL932" t="s">
        <v>74</v>
      </c>
      <c r="AM932" t="s">
        <v>74</v>
      </c>
      <c r="AN932" t="s">
        <v>74</v>
      </c>
      <c r="AO932" t="s">
        <v>24862</v>
      </c>
      <c r="AP932" t="s">
        <v>24863</v>
      </c>
      <c r="AQ932" t="s">
        <v>74</v>
      </c>
      <c r="AR932" t="s">
        <v>74</v>
      </c>
      <c r="AS932" t="s">
        <v>74</v>
      </c>
      <c r="AT932" t="s">
        <v>565</v>
      </c>
      <c r="AU932">
        <v>2020</v>
      </c>
      <c r="AV932">
        <v>12</v>
      </c>
      <c r="AW932">
        <v>5</v>
      </c>
      <c r="AX932" t="s">
        <v>74</v>
      </c>
      <c r="AY932" t="s">
        <v>74</v>
      </c>
      <c r="AZ932" t="s">
        <v>74</v>
      </c>
      <c r="BA932" t="s">
        <v>74</v>
      </c>
      <c r="BB932">
        <v>397</v>
      </c>
      <c r="BC932">
        <v>408</v>
      </c>
      <c r="BD932" t="s">
        <v>74</v>
      </c>
      <c r="BE932" t="s">
        <v>24864</v>
      </c>
      <c r="BF932" t="str">
        <f>HYPERLINK("http://dx.doi.org/10.2217/epi-2019-0193","http://dx.doi.org/10.2217/epi-2019-0193")</f>
        <v>http://dx.doi.org/10.2217/epi-2019-0193</v>
      </c>
      <c r="BG932" t="s">
        <v>74</v>
      </c>
      <c r="BH932" t="s">
        <v>74</v>
      </c>
      <c r="BI932" t="s">
        <v>74</v>
      </c>
      <c r="BJ932" t="s">
        <v>285</v>
      </c>
      <c r="BK932" t="s">
        <v>117</v>
      </c>
      <c r="BL932" t="s">
        <v>285</v>
      </c>
      <c r="BM932" t="s">
        <v>74</v>
      </c>
      <c r="BN932">
        <v>32267172</v>
      </c>
      <c r="BO932" t="s">
        <v>74</v>
      </c>
      <c r="BP932" t="s">
        <v>74</v>
      </c>
      <c r="BQ932" t="s">
        <v>74</v>
      </c>
      <c r="BR932" t="s">
        <v>96</v>
      </c>
      <c r="BS932" t="s">
        <v>24865</v>
      </c>
      <c r="BT932" t="str">
        <f>HYPERLINK("https%3A%2F%2Fwww.webofscience.com%2Fwos%2Fwoscc%2Ffull-record%2FWOS:000531888300003","View Full Record in Web of Science")</f>
        <v>View Full Record in Web of Science</v>
      </c>
    </row>
    <row r="933" spans="1:72" x14ac:dyDescent="0.15">
      <c r="A933" t="s">
        <v>98</v>
      </c>
      <c r="B933" t="s">
        <v>25810</v>
      </c>
      <c r="C933" t="s">
        <v>74</v>
      </c>
      <c r="D933" t="s">
        <v>74</v>
      </c>
      <c r="E933" t="s">
        <v>74</v>
      </c>
      <c r="F933" t="s">
        <v>25811</v>
      </c>
      <c r="G933" t="s">
        <v>74</v>
      </c>
      <c r="H933" t="s">
        <v>74</v>
      </c>
      <c r="I933" t="s">
        <v>25812</v>
      </c>
      <c r="J933" t="s">
        <v>11811</v>
      </c>
      <c r="K933" t="s">
        <v>74</v>
      </c>
      <c r="L933" t="s">
        <v>74</v>
      </c>
      <c r="M933" t="s">
        <v>74</v>
      </c>
      <c r="N933" t="s">
        <v>103</v>
      </c>
      <c r="O933" t="s">
        <v>74</v>
      </c>
      <c r="P933" t="s">
        <v>74</v>
      </c>
      <c r="Q933" t="s">
        <v>74</v>
      </c>
      <c r="R933" t="s">
        <v>74</v>
      </c>
      <c r="S933" t="s">
        <v>74</v>
      </c>
      <c r="T933" t="s">
        <v>74</v>
      </c>
      <c r="U933" t="s">
        <v>25813</v>
      </c>
      <c r="V933" t="s">
        <v>25814</v>
      </c>
      <c r="W933" t="s">
        <v>25815</v>
      </c>
      <c r="X933" t="s">
        <v>25816</v>
      </c>
      <c r="Y933" t="s">
        <v>25817</v>
      </c>
      <c r="Z933" t="s">
        <v>25818</v>
      </c>
      <c r="AA933" t="s">
        <v>74</v>
      </c>
      <c r="AB933" t="s">
        <v>74</v>
      </c>
      <c r="AC933" t="s">
        <v>74</v>
      </c>
      <c r="AD933" t="s">
        <v>74</v>
      </c>
      <c r="AE933" t="s">
        <v>74</v>
      </c>
      <c r="AF933" t="s">
        <v>74</v>
      </c>
      <c r="AG933">
        <v>50</v>
      </c>
      <c r="AH933">
        <v>17</v>
      </c>
      <c r="AI933">
        <v>17</v>
      </c>
      <c r="AJ933">
        <v>1</v>
      </c>
      <c r="AK933">
        <v>4</v>
      </c>
      <c r="AL933" t="s">
        <v>74</v>
      </c>
      <c r="AM933" t="s">
        <v>74</v>
      </c>
      <c r="AN933" t="s">
        <v>74</v>
      </c>
      <c r="AO933" t="s">
        <v>11820</v>
      </c>
      <c r="AP933" t="s">
        <v>74</v>
      </c>
      <c r="AQ933" t="s">
        <v>74</v>
      </c>
      <c r="AR933" t="s">
        <v>74</v>
      </c>
      <c r="AS933" t="s">
        <v>74</v>
      </c>
      <c r="AT933" t="s">
        <v>7236</v>
      </c>
      <c r="AU933">
        <v>2019</v>
      </c>
      <c r="AV933">
        <v>10</v>
      </c>
      <c r="AW933" t="s">
        <v>74</v>
      </c>
      <c r="AX933" t="s">
        <v>74</v>
      </c>
      <c r="AY933" t="s">
        <v>74</v>
      </c>
      <c r="AZ933" t="s">
        <v>74</v>
      </c>
      <c r="BA933" t="s">
        <v>74</v>
      </c>
      <c r="BB933" t="s">
        <v>74</v>
      </c>
      <c r="BC933" t="s">
        <v>74</v>
      </c>
      <c r="BD933">
        <v>659</v>
      </c>
      <c r="BE933" t="s">
        <v>25819</v>
      </c>
      <c r="BF933" t="str">
        <f>HYPERLINK("http://dx.doi.org/10.1038/s41419-019-1879-4","http://dx.doi.org/10.1038/s41419-019-1879-4")</f>
        <v>http://dx.doi.org/10.1038/s41419-019-1879-4</v>
      </c>
      <c r="BG933" t="s">
        <v>74</v>
      </c>
      <c r="BH933" t="s">
        <v>74</v>
      </c>
      <c r="BI933" t="s">
        <v>74</v>
      </c>
      <c r="BJ933" t="s">
        <v>135</v>
      </c>
      <c r="BK933" t="s">
        <v>117</v>
      </c>
      <c r="BL933" t="s">
        <v>135</v>
      </c>
      <c r="BM933" t="s">
        <v>74</v>
      </c>
      <c r="BN933">
        <v>31506436</v>
      </c>
      <c r="BO933" t="s">
        <v>74</v>
      </c>
      <c r="BP933" t="s">
        <v>74</v>
      </c>
      <c r="BQ933" t="s">
        <v>74</v>
      </c>
      <c r="BR933" t="s">
        <v>96</v>
      </c>
      <c r="BS933" t="s">
        <v>25820</v>
      </c>
      <c r="BT933" t="str">
        <f>HYPERLINK("https%3A%2F%2Fwww.webofscience.com%2Fwos%2Fwoscc%2Ffull-record%2FWOS:000488849400002","View Full Record in Web of Science")</f>
        <v>View Full Record in Web of Science</v>
      </c>
    </row>
    <row r="934" spans="1:72" x14ac:dyDescent="0.15">
      <c r="A934" t="s">
        <v>98</v>
      </c>
      <c r="B934" t="s">
        <v>27184</v>
      </c>
      <c r="C934" t="s">
        <v>74</v>
      </c>
      <c r="D934" t="s">
        <v>74</v>
      </c>
      <c r="E934" t="s">
        <v>74</v>
      </c>
      <c r="F934" t="s">
        <v>27185</v>
      </c>
      <c r="G934" t="s">
        <v>74</v>
      </c>
      <c r="H934" t="s">
        <v>74</v>
      </c>
      <c r="I934" t="s">
        <v>27186</v>
      </c>
      <c r="J934" t="s">
        <v>27187</v>
      </c>
      <c r="K934" t="s">
        <v>74</v>
      </c>
      <c r="L934" t="s">
        <v>74</v>
      </c>
      <c r="M934" t="s">
        <v>74</v>
      </c>
      <c r="N934" t="s">
        <v>103</v>
      </c>
      <c r="O934" t="s">
        <v>74</v>
      </c>
      <c r="P934" t="s">
        <v>74</v>
      </c>
      <c r="Q934" t="s">
        <v>74</v>
      </c>
      <c r="R934" t="s">
        <v>74</v>
      </c>
      <c r="S934" t="s">
        <v>74</v>
      </c>
      <c r="T934" t="s">
        <v>27188</v>
      </c>
      <c r="U934" t="s">
        <v>27189</v>
      </c>
      <c r="V934" t="s">
        <v>27190</v>
      </c>
      <c r="W934" t="s">
        <v>27191</v>
      </c>
      <c r="X934" t="s">
        <v>15202</v>
      </c>
      <c r="Y934" t="s">
        <v>27192</v>
      </c>
      <c r="Z934" t="s">
        <v>27193</v>
      </c>
      <c r="AA934" t="s">
        <v>27194</v>
      </c>
      <c r="AB934" t="s">
        <v>27195</v>
      </c>
      <c r="AC934" t="s">
        <v>74</v>
      </c>
      <c r="AD934" t="s">
        <v>74</v>
      </c>
      <c r="AE934" t="s">
        <v>74</v>
      </c>
      <c r="AF934" t="s">
        <v>74</v>
      </c>
      <c r="AG934">
        <v>83</v>
      </c>
      <c r="AH934">
        <v>17</v>
      </c>
      <c r="AI934">
        <v>17</v>
      </c>
      <c r="AJ934">
        <v>0</v>
      </c>
      <c r="AK934">
        <v>13</v>
      </c>
      <c r="AL934" t="s">
        <v>74</v>
      </c>
      <c r="AM934" t="s">
        <v>74</v>
      </c>
      <c r="AN934" t="s">
        <v>74</v>
      </c>
      <c r="AO934" t="s">
        <v>27196</v>
      </c>
      <c r="AP934" t="s">
        <v>27197</v>
      </c>
      <c r="AQ934" t="s">
        <v>74</v>
      </c>
      <c r="AR934" t="s">
        <v>74</v>
      </c>
      <c r="AS934" t="s">
        <v>74</v>
      </c>
      <c r="AT934" t="s">
        <v>531</v>
      </c>
      <c r="AU934">
        <v>2015</v>
      </c>
      <c r="AV934">
        <v>82</v>
      </c>
      <c r="AW934" t="s">
        <v>74</v>
      </c>
      <c r="AX934" t="s">
        <v>74</v>
      </c>
      <c r="AY934" t="s">
        <v>74</v>
      </c>
      <c r="AZ934" t="s">
        <v>74</v>
      </c>
      <c r="BA934" t="s">
        <v>74</v>
      </c>
      <c r="BB934">
        <v>9</v>
      </c>
      <c r="BC934">
        <v>21</v>
      </c>
      <c r="BD934" t="s">
        <v>74</v>
      </c>
      <c r="BE934" t="s">
        <v>27198</v>
      </c>
      <c r="BF934" t="str">
        <f>HYPERLINK("http://dx.doi.org/10.1016/j.fgb.2015.06.003","http://dx.doi.org/10.1016/j.fgb.2015.06.003")</f>
        <v>http://dx.doi.org/10.1016/j.fgb.2015.06.003</v>
      </c>
      <c r="BG934" t="s">
        <v>74</v>
      </c>
      <c r="BH934" t="s">
        <v>74</v>
      </c>
      <c r="BI934" t="s">
        <v>74</v>
      </c>
      <c r="BJ934" t="s">
        <v>27199</v>
      </c>
      <c r="BK934" t="s">
        <v>117</v>
      </c>
      <c r="BL934" t="s">
        <v>27199</v>
      </c>
      <c r="BM934" t="s">
        <v>74</v>
      </c>
      <c r="BN934">
        <v>26112692</v>
      </c>
      <c r="BO934" t="s">
        <v>74</v>
      </c>
      <c r="BP934" t="s">
        <v>74</v>
      </c>
      <c r="BQ934" t="s">
        <v>74</v>
      </c>
      <c r="BR934" t="s">
        <v>96</v>
      </c>
      <c r="BS934" t="s">
        <v>27200</v>
      </c>
      <c r="BT934" t="str">
        <f>HYPERLINK("https%3A%2F%2Fwww.webofscience.com%2Fwos%2Fwoscc%2Ffull-record%2FWOS:000360779600002","View Full Record in Web of Science")</f>
        <v>View Full Record in Web of Science</v>
      </c>
    </row>
    <row r="935" spans="1:72" x14ac:dyDescent="0.15">
      <c r="A935" t="s">
        <v>98</v>
      </c>
      <c r="B935" t="s">
        <v>28800</v>
      </c>
      <c r="C935" t="s">
        <v>74</v>
      </c>
      <c r="D935" t="s">
        <v>74</v>
      </c>
      <c r="E935" t="s">
        <v>74</v>
      </c>
      <c r="F935" t="s">
        <v>28801</v>
      </c>
      <c r="G935" t="s">
        <v>74</v>
      </c>
      <c r="H935" t="s">
        <v>74</v>
      </c>
      <c r="I935" t="s">
        <v>28802</v>
      </c>
      <c r="J935" t="s">
        <v>903</v>
      </c>
      <c r="K935" t="s">
        <v>74</v>
      </c>
      <c r="L935" t="s">
        <v>74</v>
      </c>
      <c r="M935" t="s">
        <v>74</v>
      </c>
      <c r="N935" t="s">
        <v>103</v>
      </c>
      <c r="O935" t="s">
        <v>74</v>
      </c>
      <c r="P935" t="s">
        <v>74</v>
      </c>
      <c r="Q935" t="s">
        <v>74</v>
      </c>
      <c r="R935" t="s">
        <v>74</v>
      </c>
      <c r="S935" t="s">
        <v>74</v>
      </c>
      <c r="T935" t="s">
        <v>28803</v>
      </c>
      <c r="U935" t="s">
        <v>28804</v>
      </c>
      <c r="V935" t="s">
        <v>28805</v>
      </c>
      <c r="W935" t="s">
        <v>28806</v>
      </c>
      <c r="X935" t="s">
        <v>28807</v>
      </c>
      <c r="Y935" t="s">
        <v>28808</v>
      </c>
      <c r="Z935" t="s">
        <v>28809</v>
      </c>
      <c r="AA935" t="s">
        <v>28810</v>
      </c>
      <c r="AB935" t="s">
        <v>28811</v>
      </c>
      <c r="AC935" t="s">
        <v>74</v>
      </c>
      <c r="AD935" t="s">
        <v>74</v>
      </c>
      <c r="AE935" t="s">
        <v>74</v>
      </c>
      <c r="AF935" t="s">
        <v>74</v>
      </c>
      <c r="AG935">
        <v>72</v>
      </c>
      <c r="AH935">
        <v>17</v>
      </c>
      <c r="AI935">
        <v>17</v>
      </c>
      <c r="AJ935">
        <v>3</v>
      </c>
      <c r="AK935">
        <v>4</v>
      </c>
      <c r="AL935" t="s">
        <v>74</v>
      </c>
      <c r="AM935" t="s">
        <v>74</v>
      </c>
      <c r="AN935" t="s">
        <v>74</v>
      </c>
      <c r="AO935" t="s">
        <v>74</v>
      </c>
      <c r="AP935" t="s">
        <v>913</v>
      </c>
      <c r="AQ935" t="s">
        <v>74</v>
      </c>
      <c r="AR935" t="s">
        <v>74</v>
      </c>
      <c r="AS935" t="s">
        <v>74</v>
      </c>
      <c r="AT935" t="s">
        <v>531</v>
      </c>
      <c r="AU935">
        <v>2020</v>
      </c>
      <c r="AV935">
        <v>12</v>
      </c>
      <c r="AW935">
        <v>9</v>
      </c>
      <c r="AX935" t="s">
        <v>74</v>
      </c>
      <c r="AY935" t="s">
        <v>74</v>
      </c>
      <c r="AZ935" t="s">
        <v>74</v>
      </c>
      <c r="BA935" t="s">
        <v>74</v>
      </c>
      <c r="BB935" t="s">
        <v>74</v>
      </c>
      <c r="BC935" t="s">
        <v>74</v>
      </c>
      <c r="BD935">
        <v>2410</v>
      </c>
      <c r="BE935" t="s">
        <v>28812</v>
      </c>
      <c r="BF935" t="str">
        <f>HYPERLINK("http://dx.doi.org/10.3390/cancers12092410","http://dx.doi.org/10.3390/cancers12092410")</f>
        <v>http://dx.doi.org/10.3390/cancers12092410</v>
      </c>
      <c r="BG935" t="s">
        <v>74</v>
      </c>
      <c r="BH935" t="s">
        <v>74</v>
      </c>
      <c r="BI935" t="s">
        <v>74</v>
      </c>
      <c r="BJ935" t="s">
        <v>267</v>
      </c>
      <c r="BK935" t="s">
        <v>117</v>
      </c>
      <c r="BL935" t="s">
        <v>267</v>
      </c>
      <c r="BM935" t="s">
        <v>74</v>
      </c>
      <c r="BN935">
        <v>32854257</v>
      </c>
      <c r="BO935" t="s">
        <v>74</v>
      </c>
      <c r="BP935" t="s">
        <v>74</v>
      </c>
      <c r="BQ935" t="s">
        <v>74</v>
      </c>
      <c r="BR935" t="s">
        <v>96</v>
      </c>
      <c r="BS935" t="s">
        <v>28813</v>
      </c>
      <c r="BT935" t="str">
        <f>HYPERLINK("https%3A%2F%2Fwww.webofscience.com%2Fwos%2Fwoscc%2Ffull-record%2FWOS:000580779600001","View Full Record in Web of Science")</f>
        <v>View Full Record in Web of Science</v>
      </c>
    </row>
    <row r="936" spans="1:72" x14ac:dyDescent="0.15">
      <c r="A936" t="s">
        <v>98</v>
      </c>
      <c r="B936" t="s">
        <v>29524</v>
      </c>
      <c r="C936" t="s">
        <v>74</v>
      </c>
      <c r="D936" t="s">
        <v>74</v>
      </c>
      <c r="E936" t="s">
        <v>74</v>
      </c>
      <c r="F936" t="s">
        <v>29525</v>
      </c>
      <c r="G936" t="s">
        <v>74</v>
      </c>
      <c r="H936" t="s">
        <v>74</v>
      </c>
      <c r="I936" t="s">
        <v>29526</v>
      </c>
      <c r="J936" t="s">
        <v>29527</v>
      </c>
      <c r="K936" t="s">
        <v>74</v>
      </c>
      <c r="L936" t="s">
        <v>74</v>
      </c>
      <c r="M936" t="s">
        <v>74</v>
      </c>
      <c r="N936" t="s">
        <v>103</v>
      </c>
      <c r="O936" t="s">
        <v>74</v>
      </c>
      <c r="P936" t="s">
        <v>74</v>
      </c>
      <c r="Q936" t="s">
        <v>74</v>
      </c>
      <c r="R936" t="s">
        <v>74</v>
      </c>
      <c r="S936" t="s">
        <v>74</v>
      </c>
      <c r="T936" t="s">
        <v>29528</v>
      </c>
      <c r="U936" t="s">
        <v>29529</v>
      </c>
      <c r="V936" t="s">
        <v>29530</v>
      </c>
      <c r="W936" t="s">
        <v>29531</v>
      </c>
      <c r="X936" t="s">
        <v>16806</v>
      </c>
      <c r="Y936" t="s">
        <v>29532</v>
      </c>
      <c r="Z936" t="s">
        <v>16808</v>
      </c>
      <c r="AA936" t="s">
        <v>16809</v>
      </c>
      <c r="AB936" t="s">
        <v>29533</v>
      </c>
      <c r="AC936" t="s">
        <v>74</v>
      </c>
      <c r="AD936" t="s">
        <v>74</v>
      </c>
      <c r="AE936" t="s">
        <v>74</v>
      </c>
      <c r="AF936" t="s">
        <v>74</v>
      </c>
      <c r="AG936">
        <v>50</v>
      </c>
      <c r="AH936">
        <v>17</v>
      </c>
      <c r="AI936">
        <v>17</v>
      </c>
      <c r="AJ936">
        <v>2</v>
      </c>
      <c r="AK936">
        <v>20</v>
      </c>
      <c r="AL936" t="s">
        <v>74</v>
      </c>
      <c r="AM936" t="s">
        <v>74</v>
      </c>
      <c r="AN936" t="s">
        <v>74</v>
      </c>
      <c r="AO936" t="s">
        <v>29534</v>
      </c>
      <c r="AP936" t="s">
        <v>29535</v>
      </c>
      <c r="AQ936" t="s">
        <v>74</v>
      </c>
      <c r="AR936" t="s">
        <v>74</v>
      </c>
      <c r="AS936" t="s">
        <v>74</v>
      </c>
      <c r="AT936" t="s">
        <v>283</v>
      </c>
      <c r="AU936">
        <v>2017</v>
      </c>
      <c r="AV936">
        <v>40</v>
      </c>
      <c r="AW936">
        <v>4</v>
      </c>
      <c r="AX936" t="s">
        <v>74</v>
      </c>
      <c r="AY936" t="s">
        <v>74</v>
      </c>
      <c r="AZ936" t="s">
        <v>74</v>
      </c>
      <c r="BA936" t="s">
        <v>74</v>
      </c>
      <c r="BB936">
        <v>979</v>
      </c>
      <c r="BC936">
        <v>990</v>
      </c>
      <c r="BD936" t="s">
        <v>74</v>
      </c>
      <c r="BE936" t="s">
        <v>29536</v>
      </c>
      <c r="BF936" t="str">
        <f>HYPERLINK("http://dx.doi.org/10.1002/jssc.201600765","http://dx.doi.org/10.1002/jssc.201600765")</f>
        <v>http://dx.doi.org/10.1002/jssc.201600765</v>
      </c>
      <c r="BG936" t="s">
        <v>74</v>
      </c>
      <c r="BH936" t="s">
        <v>74</v>
      </c>
      <c r="BI936" t="s">
        <v>74</v>
      </c>
      <c r="BJ936" t="s">
        <v>1118</v>
      </c>
      <c r="BK936" t="s">
        <v>117</v>
      </c>
      <c r="BL936" t="s">
        <v>1048</v>
      </c>
      <c r="BM936" t="s">
        <v>74</v>
      </c>
      <c r="BN936">
        <v>27928907</v>
      </c>
      <c r="BO936" t="s">
        <v>74</v>
      </c>
      <c r="BP936" t="s">
        <v>74</v>
      </c>
      <c r="BQ936" t="s">
        <v>74</v>
      </c>
      <c r="BR936" t="s">
        <v>96</v>
      </c>
      <c r="BS936" t="s">
        <v>29537</v>
      </c>
      <c r="BT936" t="str">
        <f>HYPERLINK("https%3A%2F%2Fwww.webofscience.com%2Fwos%2Fwoscc%2Ffull-record%2FWOS:000397828000020","View Full Record in Web of Science")</f>
        <v>View Full Record in Web of Science</v>
      </c>
    </row>
    <row r="937" spans="1:72" x14ac:dyDescent="0.15">
      <c r="A937" t="s">
        <v>98</v>
      </c>
      <c r="B937" t="s">
        <v>26528</v>
      </c>
      <c r="C937" t="s">
        <v>74</v>
      </c>
      <c r="D937" t="s">
        <v>74</v>
      </c>
      <c r="E937" t="s">
        <v>74</v>
      </c>
      <c r="F937" t="s">
        <v>26529</v>
      </c>
      <c r="G937" t="s">
        <v>74</v>
      </c>
      <c r="H937" t="s">
        <v>74</v>
      </c>
      <c r="I937" t="s">
        <v>30152</v>
      </c>
      <c r="J937" t="s">
        <v>26531</v>
      </c>
      <c r="K937" t="s">
        <v>74</v>
      </c>
      <c r="L937" t="s">
        <v>74</v>
      </c>
      <c r="M937" t="s">
        <v>74</v>
      </c>
      <c r="N937" t="s">
        <v>103</v>
      </c>
      <c r="O937" t="s">
        <v>74</v>
      </c>
      <c r="P937" t="s">
        <v>74</v>
      </c>
      <c r="Q937" t="s">
        <v>74</v>
      </c>
      <c r="R937" t="s">
        <v>74</v>
      </c>
      <c r="S937" t="s">
        <v>74</v>
      </c>
      <c r="T937" t="s">
        <v>30153</v>
      </c>
      <c r="U937" t="s">
        <v>30154</v>
      </c>
      <c r="V937" t="s">
        <v>30155</v>
      </c>
      <c r="W937" t="s">
        <v>26535</v>
      </c>
      <c r="X937" t="s">
        <v>26536</v>
      </c>
      <c r="Y937" t="s">
        <v>18329</v>
      </c>
      <c r="Z937" t="s">
        <v>18330</v>
      </c>
      <c r="AA937" t="s">
        <v>74</v>
      </c>
      <c r="AB937" t="s">
        <v>74</v>
      </c>
      <c r="AC937" t="s">
        <v>74</v>
      </c>
      <c r="AD937" t="s">
        <v>74</v>
      </c>
      <c r="AE937" t="s">
        <v>74</v>
      </c>
      <c r="AF937" t="s">
        <v>74</v>
      </c>
      <c r="AG937">
        <v>154</v>
      </c>
      <c r="AH937">
        <v>17</v>
      </c>
      <c r="AI937">
        <v>18</v>
      </c>
      <c r="AJ937">
        <v>3</v>
      </c>
      <c r="AK937">
        <v>14</v>
      </c>
      <c r="AL937" t="s">
        <v>74</v>
      </c>
      <c r="AM937" t="s">
        <v>74</v>
      </c>
      <c r="AN937" t="s">
        <v>74</v>
      </c>
      <c r="AO937" t="s">
        <v>74</v>
      </c>
      <c r="AP937" t="s">
        <v>26537</v>
      </c>
      <c r="AQ937" t="s">
        <v>74</v>
      </c>
      <c r="AR937" t="s">
        <v>74</v>
      </c>
      <c r="AS937" t="s">
        <v>74</v>
      </c>
      <c r="AT937" t="s">
        <v>8179</v>
      </c>
      <c r="AU937">
        <v>2019</v>
      </c>
      <c r="AV937">
        <v>16</v>
      </c>
      <c r="AW937">
        <v>1</v>
      </c>
      <c r="AX937" t="s">
        <v>74</v>
      </c>
      <c r="AY937" t="s">
        <v>74</v>
      </c>
      <c r="AZ937" t="s">
        <v>74</v>
      </c>
      <c r="BA937" t="s">
        <v>74</v>
      </c>
      <c r="BB937" t="s">
        <v>74</v>
      </c>
      <c r="BC937" t="s">
        <v>74</v>
      </c>
      <c r="BD937">
        <v>85</v>
      </c>
      <c r="BE937" t="s">
        <v>30156</v>
      </c>
      <c r="BF937" t="str">
        <f>HYPERLINK("http://dx.doi.org/10.1186/s12986-019-0412-1","http://dx.doi.org/10.1186/s12986-019-0412-1")</f>
        <v>http://dx.doi.org/10.1186/s12986-019-0412-1</v>
      </c>
      <c r="BG937" t="s">
        <v>74</v>
      </c>
      <c r="BH937" t="s">
        <v>74</v>
      </c>
      <c r="BI937" t="s">
        <v>74</v>
      </c>
      <c r="BJ937" t="s">
        <v>8849</v>
      </c>
      <c r="BK937" t="s">
        <v>117</v>
      </c>
      <c r="BL937" t="s">
        <v>8849</v>
      </c>
      <c r="BM937" t="s">
        <v>74</v>
      </c>
      <c r="BN937">
        <v>31827573</v>
      </c>
      <c r="BO937" t="s">
        <v>74</v>
      </c>
      <c r="BP937" t="s">
        <v>74</v>
      </c>
      <c r="BQ937" t="s">
        <v>74</v>
      </c>
      <c r="BR937" t="s">
        <v>96</v>
      </c>
      <c r="BS937" t="s">
        <v>30157</v>
      </c>
      <c r="BT937" t="str">
        <f>HYPERLINK("https%3A%2F%2Fwww.webofscience.com%2Fwos%2Fwoscc%2Ffull-record%2FWOS:000501158300001","View Full Record in Web of Science")</f>
        <v>View Full Record in Web of Science</v>
      </c>
    </row>
    <row r="938" spans="1:72" x14ac:dyDescent="0.15">
      <c r="A938" t="s">
        <v>98</v>
      </c>
      <c r="B938" t="s">
        <v>30295</v>
      </c>
      <c r="C938" t="s">
        <v>74</v>
      </c>
      <c r="D938" t="s">
        <v>74</v>
      </c>
      <c r="E938" t="s">
        <v>74</v>
      </c>
      <c r="F938" t="s">
        <v>30296</v>
      </c>
      <c r="G938" t="s">
        <v>74</v>
      </c>
      <c r="H938" t="s">
        <v>74</v>
      </c>
      <c r="I938" t="s">
        <v>30297</v>
      </c>
      <c r="J938" t="s">
        <v>4486</v>
      </c>
      <c r="K938" t="s">
        <v>74</v>
      </c>
      <c r="L938" t="s">
        <v>74</v>
      </c>
      <c r="M938" t="s">
        <v>74</v>
      </c>
      <c r="N938" t="s">
        <v>103</v>
      </c>
      <c r="O938" t="s">
        <v>74</v>
      </c>
      <c r="P938" t="s">
        <v>74</v>
      </c>
      <c r="Q938" t="s">
        <v>74</v>
      </c>
      <c r="R938" t="s">
        <v>74</v>
      </c>
      <c r="S938" t="s">
        <v>74</v>
      </c>
      <c r="T938" t="s">
        <v>74</v>
      </c>
      <c r="U938" t="s">
        <v>30298</v>
      </c>
      <c r="V938" t="s">
        <v>30299</v>
      </c>
      <c r="W938" t="s">
        <v>30300</v>
      </c>
      <c r="X938" t="s">
        <v>30301</v>
      </c>
      <c r="Y938" t="s">
        <v>30302</v>
      </c>
      <c r="Z938" t="s">
        <v>19130</v>
      </c>
      <c r="AA938" t="s">
        <v>30303</v>
      </c>
      <c r="AB938" t="s">
        <v>30304</v>
      </c>
      <c r="AC938" t="s">
        <v>74</v>
      </c>
      <c r="AD938" t="s">
        <v>74</v>
      </c>
      <c r="AE938" t="s">
        <v>74</v>
      </c>
      <c r="AF938" t="s">
        <v>74</v>
      </c>
      <c r="AG938">
        <v>59</v>
      </c>
      <c r="AH938">
        <v>17</v>
      </c>
      <c r="AI938">
        <v>17</v>
      </c>
      <c r="AJ938">
        <v>5</v>
      </c>
      <c r="AK938">
        <v>47</v>
      </c>
      <c r="AL938" t="s">
        <v>74</v>
      </c>
      <c r="AM938" t="s">
        <v>74</v>
      </c>
      <c r="AN938" t="s">
        <v>74</v>
      </c>
      <c r="AO938" t="s">
        <v>4493</v>
      </c>
      <c r="AP938" t="s">
        <v>4494</v>
      </c>
      <c r="AQ938" t="s">
        <v>74</v>
      </c>
      <c r="AR938" t="s">
        <v>74</v>
      </c>
      <c r="AS938" t="s">
        <v>74</v>
      </c>
      <c r="AT938" t="s">
        <v>30305</v>
      </c>
      <c r="AU938">
        <v>2017</v>
      </c>
      <c r="AV938">
        <v>89</v>
      </c>
      <c r="AW938">
        <v>17</v>
      </c>
      <c r="AX938" t="s">
        <v>74</v>
      </c>
      <c r="AY938" t="s">
        <v>74</v>
      </c>
      <c r="AZ938" t="s">
        <v>74</v>
      </c>
      <c r="BA938" t="s">
        <v>74</v>
      </c>
      <c r="BB938">
        <v>9201</v>
      </c>
      <c r="BC938">
        <v>9208</v>
      </c>
      <c r="BD938" t="s">
        <v>74</v>
      </c>
      <c r="BE938" t="s">
        <v>30306</v>
      </c>
      <c r="BF938" t="str">
        <f>HYPERLINK("http://dx.doi.org/10.1021/acs.analchem.7b01944","http://dx.doi.org/10.1021/acs.analchem.7b01944")</f>
        <v>http://dx.doi.org/10.1021/acs.analchem.7b01944</v>
      </c>
      <c r="BG938" t="s">
        <v>74</v>
      </c>
      <c r="BH938" t="s">
        <v>74</v>
      </c>
      <c r="BI938" t="s">
        <v>74</v>
      </c>
      <c r="BJ938" t="s">
        <v>1118</v>
      </c>
      <c r="BK938" t="s">
        <v>117</v>
      </c>
      <c r="BL938" t="s">
        <v>1048</v>
      </c>
      <c r="BM938" t="s">
        <v>74</v>
      </c>
      <c r="BN938">
        <v>28832110</v>
      </c>
      <c r="BO938" t="s">
        <v>74</v>
      </c>
      <c r="BP938" t="s">
        <v>74</v>
      </c>
      <c r="BQ938" t="s">
        <v>74</v>
      </c>
      <c r="BR938" t="s">
        <v>96</v>
      </c>
      <c r="BS938" t="s">
        <v>30307</v>
      </c>
      <c r="BT938" t="str">
        <f>HYPERLINK("https%3A%2F%2Fwww.webofscience.com%2Fwos%2Fwoscc%2Ffull-record%2FWOS:000410014900086","View Full Record in Web of Science")</f>
        <v>View Full Record in Web of Science</v>
      </c>
    </row>
    <row r="939" spans="1:72" x14ac:dyDescent="0.15">
      <c r="A939" t="s">
        <v>98</v>
      </c>
      <c r="B939" t="s">
        <v>30527</v>
      </c>
      <c r="C939" t="s">
        <v>74</v>
      </c>
      <c r="D939" t="s">
        <v>74</v>
      </c>
      <c r="E939" t="s">
        <v>74</v>
      </c>
      <c r="F939" t="s">
        <v>30528</v>
      </c>
      <c r="G939" t="s">
        <v>74</v>
      </c>
      <c r="H939" t="s">
        <v>74</v>
      </c>
      <c r="I939" t="s">
        <v>30529</v>
      </c>
      <c r="J939" t="s">
        <v>30530</v>
      </c>
      <c r="K939" t="s">
        <v>74</v>
      </c>
      <c r="L939" t="s">
        <v>74</v>
      </c>
      <c r="M939" t="s">
        <v>74</v>
      </c>
      <c r="N939" t="s">
        <v>103</v>
      </c>
      <c r="O939" t="s">
        <v>74</v>
      </c>
      <c r="P939" t="s">
        <v>74</v>
      </c>
      <c r="Q939" t="s">
        <v>74</v>
      </c>
      <c r="R939" t="s">
        <v>74</v>
      </c>
      <c r="S939" t="s">
        <v>74</v>
      </c>
      <c r="T939" t="s">
        <v>74</v>
      </c>
      <c r="U939" t="s">
        <v>30531</v>
      </c>
      <c r="V939" t="s">
        <v>30532</v>
      </c>
      <c r="W939" t="s">
        <v>30533</v>
      </c>
      <c r="X939" t="s">
        <v>30534</v>
      </c>
      <c r="Y939" t="s">
        <v>30535</v>
      </c>
      <c r="Z939" t="s">
        <v>30536</v>
      </c>
      <c r="AA939" t="s">
        <v>30537</v>
      </c>
      <c r="AB939" t="s">
        <v>30538</v>
      </c>
      <c r="AC939" t="s">
        <v>74</v>
      </c>
      <c r="AD939" t="s">
        <v>74</v>
      </c>
      <c r="AE939" t="s">
        <v>74</v>
      </c>
      <c r="AF939" t="s">
        <v>74</v>
      </c>
      <c r="AG939">
        <v>55</v>
      </c>
      <c r="AH939">
        <v>17</v>
      </c>
      <c r="AI939">
        <v>18</v>
      </c>
      <c r="AJ939">
        <v>0</v>
      </c>
      <c r="AK939">
        <v>8</v>
      </c>
      <c r="AL939" t="s">
        <v>74</v>
      </c>
      <c r="AM939" t="s">
        <v>74</v>
      </c>
      <c r="AN939" t="s">
        <v>74</v>
      </c>
      <c r="AO939" t="s">
        <v>30539</v>
      </c>
      <c r="AP939" t="s">
        <v>30540</v>
      </c>
      <c r="AQ939" t="s">
        <v>74</v>
      </c>
      <c r="AR939" t="s">
        <v>74</v>
      </c>
      <c r="AS939" t="s">
        <v>74</v>
      </c>
      <c r="AT939" t="s">
        <v>170</v>
      </c>
      <c r="AU939">
        <v>2009</v>
      </c>
      <c r="AV939">
        <v>22</v>
      </c>
      <c r="AW939">
        <v>3</v>
      </c>
      <c r="AX939" t="s">
        <v>74</v>
      </c>
      <c r="AY939" t="s">
        <v>74</v>
      </c>
      <c r="AZ939" t="s">
        <v>74</v>
      </c>
      <c r="BA939" t="s">
        <v>74</v>
      </c>
      <c r="BB939">
        <v>163</v>
      </c>
      <c r="BC939">
        <v>172</v>
      </c>
      <c r="BD939" t="s">
        <v>74</v>
      </c>
      <c r="BE939" t="s">
        <v>30541</v>
      </c>
      <c r="BF939" t="str">
        <f>HYPERLINK("http://dx.doi.org/10.1089/vim.2008.0110","http://dx.doi.org/10.1089/vim.2008.0110")</f>
        <v>http://dx.doi.org/10.1089/vim.2008.0110</v>
      </c>
      <c r="BG939" t="s">
        <v>74</v>
      </c>
      <c r="BH939" t="s">
        <v>74</v>
      </c>
      <c r="BI939" t="s">
        <v>74</v>
      </c>
      <c r="BJ939" t="s">
        <v>30542</v>
      </c>
      <c r="BK939" t="s">
        <v>117</v>
      </c>
      <c r="BL939" t="s">
        <v>30542</v>
      </c>
      <c r="BM939" t="s">
        <v>74</v>
      </c>
      <c r="BN939">
        <v>19435412</v>
      </c>
      <c r="BO939" t="s">
        <v>74</v>
      </c>
      <c r="BP939" t="s">
        <v>74</v>
      </c>
      <c r="BQ939" t="s">
        <v>74</v>
      </c>
      <c r="BR939" t="s">
        <v>96</v>
      </c>
      <c r="BS939" t="s">
        <v>30543</v>
      </c>
      <c r="BT939" t="str">
        <f>HYPERLINK("https%3A%2F%2Fwww.webofscience.com%2Fwos%2Fwoscc%2Ffull-record%2FWOS:000265984500003","View Full Record in Web of Science")</f>
        <v>View Full Record in Web of Science</v>
      </c>
    </row>
    <row r="940" spans="1:72" x14ac:dyDescent="0.15">
      <c r="A940" t="s">
        <v>98</v>
      </c>
      <c r="B940" t="s">
        <v>635</v>
      </c>
      <c r="C940" t="s">
        <v>74</v>
      </c>
      <c r="D940" t="s">
        <v>74</v>
      </c>
      <c r="E940" t="s">
        <v>74</v>
      </c>
      <c r="F940" t="s">
        <v>636</v>
      </c>
      <c r="G940" t="s">
        <v>74</v>
      </c>
      <c r="H940" t="s">
        <v>74</v>
      </c>
      <c r="I940" t="s">
        <v>637</v>
      </c>
      <c r="J940" t="s">
        <v>638</v>
      </c>
      <c r="K940" t="s">
        <v>74</v>
      </c>
      <c r="L940" t="s">
        <v>74</v>
      </c>
      <c r="M940" t="s">
        <v>74</v>
      </c>
      <c r="N940" t="s">
        <v>103</v>
      </c>
      <c r="O940" t="s">
        <v>74</v>
      </c>
      <c r="P940" t="s">
        <v>74</v>
      </c>
      <c r="Q940" t="s">
        <v>74</v>
      </c>
      <c r="R940" t="s">
        <v>74</v>
      </c>
      <c r="S940" t="s">
        <v>74</v>
      </c>
      <c r="T940" t="s">
        <v>639</v>
      </c>
      <c r="U940" t="s">
        <v>640</v>
      </c>
      <c r="V940" t="s">
        <v>641</v>
      </c>
      <c r="W940" t="s">
        <v>642</v>
      </c>
      <c r="X940" t="s">
        <v>643</v>
      </c>
      <c r="Y940" t="s">
        <v>644</v>
      </c>
      <c r="Z940" t="s">
        <v>645</v>
      </c>
      <c r="AA940" t="s">
        <v>646</v>
      </c>
      <c r="AB940" t="s">
        <v>647</v>
      </c>
      <c r="AC940" t="s">
        <v>74</v>
      </c>
      <c r="AD940" t="s">
        <v>74</v>
      </c>
      <c r="AE940" t="s">
        <v>74</v>
      </c>
      <c r="AF940" t="s">
        <v>74</v>
      </c>
      <c r="AG940">
        <v>66</v>
      </c>
      <c r="AH940">
        <v>16</v>
      </c>
      <c r="AI940">
        <v>16</v>
      </c>
      <c r="AJ940">
        <v>0</v>
      </c>
      <c r="AK940">
        <v>10</v>
      </c>
      <c r="AL940" t="s">
        <v>74</v>
      </c>
      <c r="AM940" t="s">
        <v>74</v>
      </c>
      <c r="AN940" t="s">
        <v>74</v>
      </c>
      <c r="AO940" t="s">
        <v>648</v>
      </c>
      <c r="AP940" t="s">
        <v>649</v>
      </c>
      <c r="AQ940" t="s">
        <v>74</v>
      </c>
      <c r="AR940" t="s">
        <v>74</v>
      </c>
      <c r="AS940" t="s">
        <v>74</v>
      </c>
      <c r="AT940" t="s">
        <v>650</v>
      </c>
      <c r="AU940">
        <v>2019</v>
      </c>
      <c r="AV940">
        <v>39</v>
      </c>
      <c r="AW940">
        <v>47</v>
      </c>
      <c r="AX940" t="s">
        <v>74</v>
      </c>
      <c r="AY940" t="s">
        <v>74</v>
      </c>
      <c r="AZ940" t="s">
        <v>74</v>
      </c>
      <c r="BA940" t="s">
        <v>74</v>
      </c>
      <c r="BB940">
        <v>9262</v>
      </c>
      <c r="BC940">
        <v>9268</v>
      </c>
      <c r="BD940" t="s">
        <v>74</v>
      </c>
      <c r="BE940" t="s">
        <v>651</v>
      </c>
      <c r="BF940" t="str">
        <f>HYPERLINK("http://dx.doi.org/10.1523/JNEUROSCI.0146-18.2019","http://dx.doi.org/10.1523/JNEUROSCI.0146-18.2019")</f>
        <v>http://dx.doi.org/10.1523/JNEUROSCI.0146-18.2019</v>
      </c>
      <c r="BG940" t="s">
        <v>74</v>
      </c>
      <c r="BH940" t="s">
        <v>74</v>
      </c>
      <c r="BI940" t="s">
        <v>74</v>
      </c>
      <c r="BJ940" t="s">
        <v>652</v>
      </c>
      <c r="BK940" t="s">
        <v>117</v>
      </c>
      <c r="BL940" t="s">
        <v>653</v>
      </c>
      <c r="BM940" t="s">
        <v>74</v>
      </c>
      <c r="BN940">
        <v>31748281</v>
      </c>
      <c r="BO940" t="s">
        <v>74</v>
      </c>
      <c r="BP940" t="s">
        <v>74</v>
      </c>
      <c r="BQ940" t="s">
        <v>74</v>
      </c>
      <c r="BR940" t="s">
        <v>96</v>
      </c>
      <c r="BS940" t="s">
        <v>654</v>
      </c>
      <c r="BT940" t="str">
        <f>HYPERLINK("https%3A%2F%2Fwww.webofscience.com%2Fwos%2Fwoscc%2Ffull-record%2FWOS:000497964300001","View Full Record in Web of Science")</f>
        <v>View Full Record in Web of Science</v>
      </c>
    </row>
    <row r="941" spans="1:72" x14ac:dyDescent="0.15">
      <c r="A941" t="s">
        <v>98</v>
      </c>
      <c r="B941" t="s">
        <v>1628</v>
      </c>
      <c r="C941" t="s">
        <v>74</v>
      </c>
      <c r="D941" t="s">
        <v>74</v>
      </c>
      <c r="E941" t="s">
        <v>74</v>
      </c>
      <c r="F941" t="s">
        <v>1629</v>
      </c>
      <c r="G941" t="s">
        <v>74</v>
      </c>
      <c r="H941" t="s">
        <v>74</v>
      </c>
      <c r="I941" t="s">
        <v>1630</v>
      </c>
      <c r="J941" t="s">
        <v>1631</v>
      </c>
      <c r="K941" t="s">
        <v>74</v>
      </c>
      <c r="L941" t="s">
        <v>74</v>
      </c>
      <c r="M941" t="s">
        <v>74</v>
      </c>
      <c r="N941" t="s">
        <v>103</v>
      </c>
      <c r="O941" t="s">
        <v>74</v>
      </c>
      <c r="P941" t="s">
        <v>74</v>
      </c>
      <c r="Q941" t="s">
        <v>74</v>
      </c>
      <c r="R941" t="s">
        <v>74</v>
      </c>
      <c r="S941" t="s">
        <v>74</v>
      </c>
      <c r="T941" t="s">
        <v>1632</v>
      </c>
      <c r="U941" t="s">
        <v>74</v>
      </c>
      <c r="V941" t="s">
        <v>1633</v>
      </c>
      <c r="W941" t="s">
        <v>1634</v>
      </c>
      <c r="X941" t="s">
        <v>1635</v>
      </c>
      <c r="Y941" t="s">
        <v>1636</v>
      </c>
      <c r="Z941" t="s">
        <v>1637</v>
      </c>
      <c r="AA941" t="s">
        <v>74</v>
      </c>
      <c r="AB941" t="s">
        <v>1638</v>
      </c>
      <c r="AC941" t="s">
        <v>74</v>
      </c>
      <c r="AD941" t="s">
        <v>74</v>
      </c>
      <c r="AE941" t="s">
        <v>74</v>
      </c>
      <c r="AF941" t="s">
        <v>74</v>
      </c>
      <c r="AG941">
        <v>20</v>
      </c>
      <c r="AH941">
        <v>16</v>
      </c>
      <c r="AI941">
        <v>16</v>
      </c>
      <c r="AJ941">
        <v>0</v>
      </c>
      <c r="AK941">
        <v>3</v>
      </c>
      <c r="AL941" t="s">
        <v>74</v>
      </c>
      <c r="AM941" t="s">
        <v>74</v>
      </c>
      <c r="AN941" t="s">
        <v>74</v>
      </c>
      <c r="AO941" t="s">
        <v>74</v>
      </c>
      <c r="AP941" t="s">
        <v>1639</v>
      </c>
      <c r="AQ941" t="s">
        <v>74</v>
      </c>
      <c r="AR941" t="s">
        <v>74</v>
      </c>
      <c r="AS941" t="s">
        <v>74</v>
      </c>
      <c r="AT941" t="s">
        <v>1640</v>
      </c>
      <c r="AU941">
        <v>2017</v>
      </c>
      <c r="AV941">
        <v>7</v>
      </c>
      <c r="AW941">
        <v>7</v>
      </c>
      <c r="AX941" t="s">
        <v>74</v>
      </c>
      <c r="AY941" t="s">
        <v>74</v>
      </c>
      <c r="AZ941" t="s">
        <v>74</v>
      </c>
      <c r="BA941" t="s">
        <v>74</v>
      </c>
      <c r="BB941" t="s">
        <v>74</v>
      </c>
      <c r="BC941" t="s">
        <v>74</v>
      </c>
      <c r="BD941" t="s">
        <v>1641</v>
      </c>
      <c r="BE941" t="s">
        <v>1642</v>
      </c>
      <c r="BF941" t="str">
        <f>HYPERLINK("http://dx.doi.org/10.21769/BioProtoc.2216","http://dx.doi.org/10.21769/BioProtoc.2216")</f>
        <v>http://dx.doi.org/10.21769/BioProtoc.2216</v>
      </c>
      <c r="BG941" t="s">
        <v>74</v>
      </c>
      <c r="BH941" t="s">
        <v>74</v>
      </c>
      <c r="BI941" t="s">
        <v>74</v>
      </c>
      <c r="BJ941" t="s">
        <v>1643</v>
      </c>
      <c r="BK941" t="s">
        <v>467</v>
      </c>
      <c r="BL941" t="s">
        <v>1644</v>
      </c>
      <c r="BM941" t="s">
        <v>74</v>
      </c>
      <c r="BN941">
        <v>28660234</v>
      </c>
      <c r="BO941" t="s">
        <v>74</v>
      </c>
      <c r="BP941" t="s">
        <v>74</v>
      </c>
      <c r="BQ941" t="s">
        <v>74</v>
      </c>
      <c r="BR941" t="s">
        <v>96</v>
      </c>
      <c r="BS941" t="s">
        <v>1645</v>
      </c>
      <c r="BT941" t="str">
        <f>HYPERLINK("https%3A%2F%2Fwww.webofscience.com%2Fwos%2Fwoscc%2Ffull-record%2FWOS:000457827500022","View Full Record in Web of Science")</f>
        <v>View Full Record in Web of Science</v>
      </c>
    </row>
    <row r="942" spans="1:72" x14ac:dyDescent="0.15">
      <c r="A942" t="s">
        <v>98</v>
      </c>
      <c r="B942" t="s">
        <v>4768</v>
      </c>
      <c r="C942" t="s">
        <v>74</v>
      </c>
      <c r="D942" t="s">
        <v>74</v>
      </c>
      <c r="E942" t="s">
        <v>74</v>
      </c>
      <c r="F942" t="s">
        <v>4769</v>
      </c>
      <c r="G942" t="s">
        <v>74</v>
      </c>
      <c r="H942" t="s">
        <v>74</v>
      </c>
      <c r="I942" t="s">
        <v>4770</v>
      </c>
      <c r="J942" t="s">
        <v>1528</v>
      </c>
      <c r="K942" t="s">
        <v>74</v>
      </c>
      <c r="L942" t="s">
        <v>74</v>
      </c>
      <c r="M942" t="s">
        <v>74</v>
      </c>
      <c r="N942" t="s">
        <v>103</v>
      </c>
      <c r="O942" t="s">
        <v>74</v>
      </c>
      <c r="P942" t="s">
        <v>74</v>
      </c>
      <c r="Q942" t="s">
        <v>74</v>
      </c>
      <c r="R942" t="s">
        <v>74</v>
      </c>
      <c r="S942" t="s">
        <v>74</v>
      </c>
      <c r="T942" t="s">
        <v>4771</v>
      </c>
      <c r="U942" t="s">
        <v>4772</v>
      </c>
      <c r="V942" t="s">
        <v>4773</v>
      </c>
      <c r="W942" t="s">
        <v>4774</v>
      </c>
      <c r="X942" t="s">
        <v>4775</v>
      </c>
      <c r="Y942" t="s">
        <v>4776</v>
      </c>
      <c r="Z942" t="s">
        <v>4777</v>
      </c>
      <c r="AA942" t="s">
        <v>74</v>
      </c>
      <c r="AB942" t="s">
        <v>4778</v>
      </c>
      <c r="AC942" t="s">
        <v>74</v>
      </c>
      <c r="AD942" t="s">
        <v>74</v>
      </c>
      <c r="AE942" t="s">
        <v>74</v>
      </c>
      <c r="AF942" t="s">
        <v>74</v>
      </c>
      <c r="AG942">
        <v>41</v>
      </c>
      <c r="AH942">
        <v>16</v>
      </c>
      <c r="AI942">
        <v>17</v>
      </c>
      <c r="AJ942">
        <v>0</v>
      </c>
      <c r="AK942">
        <v>4</v>
      </c>
      <c r="AL942" t="s">
        <v>74</v>
      </c>
      <c r="AM942" t="s">
        <v>74</v>
      </c>
      <c r="AN942" t="s">
        <v>74</v>
      </c>
      <c r="AO942" t="s">
        <v>1536</v>
      </c>
      <c r="AP942" t="s">
        <v>1537</v>
      </c>
      <c r="AQ942" t="s">
        <v>74</v>
      </c>
      <c r="AR942" t="s">
        <v>74</v>
      </c>
      <c r="AS942" t="s">
        <v>74</v>
      </c>
      <c r="AT942" t="s">
        <v>565</v>
      </c>
      <c r="AU942">
        <v>2020</v>
      </c>
      <c r="AV942">
        <v>11</v>
      </c>
      <c r="AW942">
        <v>3</v>
      </c>
      <c r="AX942" t="s">
        <v>74</v>
      </c>
      <c r="AY942" t="s">
        <v>74</v>
      </c>
      <c r="AZ942" t="s">
        <v>74</v>
      </c>
      <c r="BA942" t="s">
        <v>74</v>
      </c>
      <c r="BB942">
        <v>570</v>
      </c>
      <c r="BC942">
        <v>580</v>
      </c>
      <c r="BD942" t="s">
        <v>74</v>
      </c>
      <c r="BE942" t="s">
        <v>4779</v>
      </c>
      <c r="BF942" t="str">
        <f>HYPERLINK("http://dx.doi.org/10.1111/1759-7714.13295","http://dx.doi.org/10.1111/1759-7714.13295")</f>
        <v>http://dx.doi.org/10.1111/1759-7714.13295</v>
      </c>
      <c r="BG942" t="s">
        <v>74</v>
      </c>
      <c r="BH942" t="s">
        <v>4780</v>
      </c>
      <c r="BI942" t="s">
        <v>74</v>
      </c>
      <c r="BJ942" t="s">
        <v>1539</v>
      </c>
      <c r="BK942" t="s">
        <v>117</v>
      </c>
      <c r="BL942" t="s">
        <v>1539</v>
      </c>
      <c r="BM942" t="s">
        <v>74</v>
      </c>
      <c r="BN942">
        <v>31922357</v>
      </c>
      <c r="BO942" t="s">
        <v>74</v>
      </c>
      <c r="BP942" t="s">
        <v>74</v>
      </c>
      <c r="BQ942" t="s">
        <v>74</v>
      </c>
      <c r="BR942" t="s">
        <v>96</v>
      </c>
      <c r="BS942" t="s">
        <v>4781</v>
      </c>
      <c r="BT942" t="str">
        <f>HYPERLINK("https%3A%2F%2Fwww.webofscience.com%2Fwos%2Fwoscc%2Ffull-record%2FWOS:000506470900001","View Full Record in Web of Science")</f>
        <v>View Full Record in Web of Science</v>
      </c>
    </row>
    <row r="943" spans="1:72" x14ac:dyDescent="0.15">
      <c r="A943" t="s">
        <v>98</v>
      </c>
      <c r="B943" t="s">
        <v>4981</v>
      </c>
      <c r="C943" t="s">
        <v>74</v>
      </c>
      <c r="D943" t="s">
        <v>74</v>
      </c>
      <c r="E943" t="s">
        <v>74</v>
      </c>
      <c r="F943" t="s">
        <v>4982</v>
      </c>
      <c r="G943" t="s">
        <v>74</v>
      </c>
      <c r="H943" t="s">
        <v>74</v>
      </c>
      <c r="I943" t="s">
        <v>4983</v>
      </c>
      <c r="J943" t="s">
        <v>836</v>
      </c>
      <c r="K943" t="s">
        <v>74</v>
      </c>
      <c r="L943" t="s">
        <v>74</v>
      </c>
      <c r="M943" t="s">
        <v>74</v>
      </c>
      <c r="N943" t="s">
        <v>103</v>
      </c>
      <c r="O943" t="s">
        <v>74</v>
      </c>
      <c r="P943" t="s">
        <v>74</v>
      </c>
      <c r="Q943" t="s">
        <v>74</v>
      </c>
      <c r="R943" t="s">
        <v>74</v>
      </c>
      <c r="S943" t="s">
        <v>74</v>
      </c>
      <c r="T943" t="s">
        <v>4984</v>
      </c>
      <c r="U943" t="s">
        <v>4985</v>
      </c>
      <c r="V943" t="s">
        <v>4986</v>
      </c>
      <c r="W943" t="s">
        <v>4987</v>
      </c>
      <c r="X943" t="s">
        <v>4988</v>
      </c>
      <c r="Y943" t="s">
        <v>4989</v>
      </c>
      <c r="Z943" t="s">
        <v>4990</v>
      </c>
      <c r="AA943" t="s">
        <v>4991</v>
      </c>
      <c r="AB943" t="s">
        <v>4992</v>
      </c>
      <c r="AC943" t="s">
        <v>74</v>
      </c>
      <c r="AD943" t="s">
        <v>74</v>
      </c>
      <c r="AE943" t="s">
        <v>74</v>
      </c>
      <c r="AF943" t="s">
        <v>74</v>
      </c>
      <c r="AG943">
        <v>22</v>
      </c>
      <c r="AH943">
        <v>16</v>
      </c>
      <c r="AI943">
        <v>16</v>
      </c>
      <c r="AJ943">
        <v>2</v>
      </c>
      <c r="AK943">
        <v>14</v>
      </c>
      <c r="AL943" t="s">
        <v>74</v>
      </c>
      <c r="AM943" t="s">
        <v>74</v>
      </c>
      <c r="AN943" t="s">
        <v>74</v>
      </c>
      <c r="AO943" t="s">
        <v>74</v>
      </c>
      <c r="AP943" t="s">
        <v>846</v>
      </c>
      <c r="AQ943" t="s">
        <v>74</v>
      </c>
      <c r="AR943" t="s">
        <v>74</v>
      </c>
      <c r="AS943" t="s">
        <v>74</v>
      </c>
      <c r="AT943" t="s">
        <v>4993</v>
      </c>
      <c r="AU943">
        <v>2017</v>
      </c>
      <c r="AV943">
        <v>8</v>
      </c>
      <c r="AW943">
        <v>9</v>
      </c>
      <c r="AX943" t="s">
        <v>74</v>
      </c>
      <c r="AY943" t="s">
        <v>74</v>
      </c>
      <c r="AZ943" t="s">
        <v>74</v>
      </c>
      <c r="BA943" t="s">
        <v>74</v>
      </c>
      <c r="BB943">
        <v>15553</v>
      </c>
      <c r="BC943">
        <v>15562</v>
      </c>
      <c r="BD943" t="s">
        <v>74</v>
      </c>
      <c r="BE943" t="s">
        <v>4994</v>
      </c>
      <c r="BF943" t="str">
        <f>HYPERLINK("http://dx.doi.org/10.18632/oncotarget.14948","http://dx.doi.org/10.18632/oncotarget.14948")</f>
        <v>http://dx.doi.org/10.18632/oncotarget.14948</v>
      </c>
      <c r="BG943" t="s">
        <v>74</v>
      </c>
      <c r="BH943" t="s">
        <v>74</v>
      </c>
      <c r="BI943" t="s">
        <v>74</v>
      </c>
      <c r="BJ943" t="s">
        <v>848</v>
      </c>
      <c r="BK943" t="s">
        <v>117</v>
      </c>
      <c r="BL943" t="s">
        <v>848</v>
      </c>
      <c r="BM943" t="s">
        <v>74</v>
      </c>
      <c r="BN943">
        <v>28152519</v>
      </c>
      <c r="BO943" t="s">
        <v>74</v>
      </c>
      <c r="BP943" t="s">
        <v>74</v>
      </c>
      <c r="BQ943" t="s">
        <v>74</v>
      </c>
      <c r="BR943" t="s">
        <v>96</v>
      </c>
      <c r="BS943" t="s">
        <v>4995</v>
      </c>
      <c r="BT943" t="str">
        <f>HYPERLINK("https%3A%2F%2Fwww.webofscience.com%2Fwos%2Fwoscc%2Ffull-record%2FWOS:000396013700108","View Full Record in Web of Science")</f>
        <v>View Full Record in Web of Science</v>
      </c>
    </row>
    <row r="944" spans="1:72" x14ac:dyDescent="0.15">
      <c r="A944" t="s">
        <v>98</v>
      </c>
      <c r="B944" t="s">
        <v>5260</v>
      </c>
      <c r="C944" t="s">
        <v>74</v>
      </c>
      <c r="D944" t="s">
        <v>74</v>
      </c>
      <c r="E944" t="s">
        <v>74</v>
      </c>
      <c r="F944" t="s">
        <v>5261</v>
      </c>
      <c r="G944" t="s">
        <v>74</v>
      </c>
      <c r="H944" t="s">
        <v>74</v>
      </c>
      <c r="I944" t="s">
        <v>5262</v>
      </c>
      <c r="J944" t="s">
        <v>4391</v>
      </c>
      <c r="K944" t="s">
        <v>74</v>
      </c>
      <c r="L944" t="s">
        <v>74</v>
      </c>
      <c r="M944" t="s">
        <v>74</v>
      </c>
      <c r="N944" t="s">
        <v>103</v>
      </c>
      <c r="O944" t="s">
        <v>74</v>
      </c>
      <c r="P944" t="s">
        <v>74</v>
      </c>
      <c r="Q944" t="s">
        <v>74</v>
      </c>
      <c r="R944" t="s">
        <v>74</v>
      </c>
      <c r="S944" t="s">
        <v>74</v>
      </c>
      <c r="T944" t="s">
        <v>5263</v>
      </c>
      <c r="U944" t="s">
        <v>5264</v>
      </c>
      <c r="V944" t="s">
        <v>5265</v>
      </c>
      <c r="W944" t="s">
        <v>5266</v>
      </c>
      <c r="X944" t="s">
        <v>5267</v>
      </c>
      <c r="Y944" t="s">
        <v>5268</v>
      </c>
      <c r="Z944" t="s">
        <v>5269</v>
      </c>
      <c r="AA944" t="s">
        <v>5270</v>
      </c>
      <c r="AB944" t="s">
        <v>719</v>
      </c>
      <c r="AC944" t="s">
        <v>74</v>
      </c>
      <c r="AD944" t="s">
        <v>74</v>
      </c>
      <c r="AE944" t="s">
        <v>74</v>
      </c>
      <c r="AF944" t="s">
        <v>74</v>
      </c>
      <c r="AG944">
        <v>81</v>
      </c>
      <c r="AH944">
        <v>16</v>
      </c>
      <c r="AI944">
        <v>16</v>
      </c>
      <c r="AJ944">
        <v>1</v>
      </c>
      <c r="AK944">
        <v>7</v>
      </c>
      <c r="AL944" t="s">
        <v>74</v>
      </c>
      <c r="AM944" t="s">
        <v>74</v>
      </c>
      <c r="AN944" t="s">
        <v>74</v>
      </c>
      <c r="AO944" t="s">
        <v>74</v>
      </c>
      <c r="AP944" t="s">
        <v>4401</v>
      </c>
      <c r="AQ944" t="s">
        <v>74</v>
      </c>
      <c r="AR944" t="s">
        <v>74</v>
      </c>
      <c r="AS944" t="s">
        <v>74</v>
      </c>
      <c r="AT944" t="s">
        <v>5271</v>
      </c>
      <c r="AU944">
        <v>2020</v>
      </c>
      <c r="AV944">
        <v>11</v>
      </c>
      <c r="AW944">
        <v>1</v>
      </c>
      <c r="AX944" t="s">
        <v>74</v>
      </c>
      <c r="AY944" t="s">
        <v>74</v>
      </c>
      <c r="AZ944" t="s">
        <v>74</v>
      </c>
      <c r="BA944" t="s">
        <v>74</v>
      </c>
      <c r="BB944" t="s">
        <v>74</v>
      </c>
      <c r="BC944" t="s">
        <v>74</v>
      </c>
      <c r="BD944">
        <v>539</v>
      </c>
      <c r="BE944" t="s">
        <v>5272</v>
      </c>
      <c r="BF944" t="str">
        <f>HYPERLINK("http://dx.doi.org/10.1186/s13287-020-02050-6","http://dx.doi.org/10.1186/s13287-020-02050-6")</f>
        <v>http://dx.doi.org/10.1186/s13287-020-02050-6</v>
      </c>
      <c r="BG944" t="s">
        <v>74</v>
      </c>
      <c r="BH944" t="s">
        <v>74</v>
      </c>
      <c r="BI944" t="s">
        <v>74</v>
      </c>
      <c r="BJ944" t="s">
        <v>3115</v>
      </c>
      <c r="BK944" t="s">
        <v>117</v>
      </c>
      <c r="BL944" t="s">
        <v>3116</v>
      </c>
      <c r="BM944" t="s">
        <v>74</v>
      </c>
      <c r="BN944">
        <v>33317598</v>
      </c>
      <c r="BO944" t="s">
        <v>74</v>
      </c>
      <c r="BP944" t="s">
        <v>74</v>
      </c>
      <c r="BQ944" t="s">
        <v>74</v>
      </c>
      <c r="BR944" t="s">
        <v>96</v>
      </c>
      <c r="BS944" t="s">
        <v>5273</v>
      </c>
      <c r="BT944" t="str">
        <f>HYPERLINK("https%3A%2F%2Fwww.webofscience.com%2Fwos%2Fwoscc%2Ffull-record%2FWOS:000599808400004","View Full Record in Web of Science")</f>
        <v>View Full Record in Web of Science</v>
      </c>
    </row>
    <row r="945" spans="1:72" x14ac:dyDescent="0.15">
      <c r="A945" t="s">
        <v>98</v>
      </c>
      <c r="B945" t="s">
        <v>5688</v>
      </c>
      <c r="C945" t="s">
        <v>74</v>
      </c>
      <c r="D945" t="s">
        <v>74</v>
      </c>
      <c r="E945" t="s">
        <v>74</v>
      </c>
      <c r="F945" t="s">
        <v>5689</v>
      </c>
      <c r="G945" t="s">
        <v>74</v>
      </c>
      <c r="H945" t="s">
        <v>74</v>
      </c>
      <c r="I945" t="s">
        <v>5690</v>
      </c>
      <c r="J945" t="s">
        <v>381</v>
      </c>
      <c r="K945" t="s">
        <v>74</v>
      </c>
      <c r="L945" t="s">
        <v>74</v>
      </c>
      <c r="M945" t="s">
        <v>74</v>
      </c>
      <c r="N945" t="s">
        <v>103</v>
      </c>
      <c r="O945" t="s">
        <v>74</v>
      </c>
      <c r="P945" t="s">
        <v>74</v>
      </c>
      <c r="Q945" t="s">
        <v>74</v>
      </c>
      <c r="R945" t="s">
        <v>74</v>
      </c>
      <c r="S945" t="s">
        <v>74</v>
      </c>
      <c r="T945" t="s">
        <v>5691</v>
      </c>
      <c r="U945" t="s">
        <v>5692</v>
      </c>
      <c r="V945" t="s">
        <v>5693</v>
      </c>
      <c r="W945" t="s">
        <v>5694</v>
      </c>
      <c r="X945" t="s">
        <v>2838</v>
      </c>
      <c r="Y945" t="s">
        <v>5695</v>
      </c>
      <c r="Z945" t="s">
        <v>5696</v>
      </c>
      <c r="AA945" t="s">
        <v>74</v>
      </c>
      <c r="AB945" t="s">
        <v>5697</v>
      </c>
      <c r="AC945" t="s">
        <v>74</v>
      </c>
      <c r="AD945" t="s">
        <v>74</v>
      </c>
      <c r="AE945" t="s">
        <v>74</v>
      </c>
      <c r="AF945" t="s">
        <v>74</v>
      </c>
      <c r="AG945">
        <v>43</v>
      </c>
      <c r="AH945">
        <v>16</v>
      </c>
      <c r="AI945">
        <v>17</v>
      </c>
      <c r="AJ945">
        <v>7</v>
      </c>
      <c r="AK945">
        <v>45</v>
      </c>
      <c r="AL945" t="s">
        <v>74</v>
      </c>
      <c r="AM945" t="s">
        <v>74</v>
      </c>
      <c r="AN945" t="s">
        <v>74</v>
      </c>
      <c r="AO945" t="s">
        <v>391</v>
      </c>
      <c r="AP945" t="s">
        <v>392</v>
      </c>
      <c r="AQ945" t="s">
        <v>74</v>
      </c>
      <c r="AR945" t="s">
        <v>74</v>
      </c>
      <c r="AS945" t="s">
        <v>74</v>
      </c>
      <c r="AT945" t="s">
        <v>393</v>
      </c>
      <c r="AU945">
        <v>2020</v>
      </c>
      <c r="AV945">
        <v>326</v>
      </c>
      <c r="AW945" t="s">
        <v>74</v>
      </c>
      <c r="AX945" t="s">
        <v>74</v>
      </c>
      <c r="AY945" t="s">
        <v>74</v>
      </c>
      <c r="AZ945" t="s">
        <v>74</v>
      </c>
      <c r="BA945" t="s">
        <v>74</v>
      </c>
      <c r="BB945">
        <v>455</v>
      </c>
      <c r="BC945">
        <v>467</v>
      </c>
      <c r="BD945" t="s">
        <v>74</v>
      </c>
      <c r="BE945" t="s">
        <v>5698</v>
      </c>
      <c r="BF945" t="str">
        <f>HYPERLINK("http://dx.doi.org/10.1016/j.jconrel.2020.07.033","http://dx.doi.org/10.1016/j.jconrel.2020.07.033")</f>
        <v>http://dx.doi.org/10.1016/j.jconrel.2020.07.033</v>
      </c>
      <c r="BG945" t="s">
        <v>74</v>
      </c>
      <c r="BH945" t="s">
        <v>74</v>
      </c>
      <c r="BI945" t="s">
        <v>74</v>
      </c>
      <c r="BJ945" t="s">
        <v>396</v>
      </c>
      <c r="BK945" t="s">
        <v>117</v>
      </c>
      <c r="BL945" t="s">
        <v>397</v>
      </c>
      <c r="BM945" t="s">
        <v>74</v>
      </c>
      <c r="BN945">
        <v>32711027</v>
      </c>
      <c r="BO945" t="s">
        <v>74</v>
      </c>
      <c r="BP945" t="s">
        <v>74</v>
      </c>
      <c r="BQ945" t="s">
        <v>74</v>
      </c>
      <c r="BR945" t="s">
        <v>96</v>
      </c>
      <c r="BS945" t="s">
        <v>5699</v>
      </c>
      <c r="BT945" t="str">
        <f>HYPERLINK("https%3A%2F%2Fwww.webofscience.com%2Fwos%2Fwoscc%2Ffull-record%2FWOS:000572084700001","View Full Record in Web of Science")</f>
        <v>View Full Record in Web of Science</v>
      </c>
    </row>
    <row r="946" spans="1:72" x14ac:dyDescent="0.15">
      <c r="A946" t="s">
        <v>98</v>
      </c>
      <c r="B946" t="s">
        <v>6107</v>
      </c>
      <c r="C946" t="s">
        <v>74</v>
      </c>
      <c r="D946" t="s">
        <v>74</v>
      </c>
      <c r="E946" t="s">
        <v>74</v>
      </c>
      <c r="F946" t="s">
        <v>6108</v>
      </c>
      <c r="G946" t="s">
        <v>74</v>
      </c>
      <c r="H946" t="s">
        <v>74</v>
      </c>
      <c r="I946" t="s">
        <v>6109</v>
      </c>
      <c r="J946" t="s">
        <v>903</v>
      </c>
      <c r="K946" t="s">
        <v>74</v>
      </c>
      <c r="L946" t="s">
        <v>74</v>
      </c>
      <c r="M946" t="s">
        <v>74</v>
      </c>
      <c r="N946" t="s">
        <v>103</v>
      </c>
      <c r="O946" t="s">
        <v>74</v>
      </c>
      <c r="P946" t="s">
        <v>74</v>
      </c>
      <c r="Q946" t="s">
        <v>74</v>
      </c>
      <c r="R946" t="s">
        <v>74</v>
      </c>
      <c r="S946" t="s">
        <v>74</v>
      </c>
      <c r="T946" t="s">
        <v>6110</v>
      </c>
      <c r="U946" t="s">
        <v>6111</v>
      </c>
      <c r="V946" t="s">
        <v>6112</v>
      </c>
      <c r="W946" t="s">
        <v>6113</v>
      </c>
      <c r="X946" t="s">
        <v>6114</v>
      </c>
      <c r="Y946" t="s">
        <v>6115</v>
      </c>
      <c r="Z946" t="s">
        <v>6116</v>
      </c>
      <c r="AA946" t="s">
        <v>6117</v>
      </c>
      <c r="AB946" t="s">
        <v>6118</v>
      </c>
      <c r="AC946" t="s">
        <v>74</v>
      </c>
      <c r="AD946" t="s">
        <v>74</v>
      </c>
      <c r="AE946" t="s">
        <v>74</v>
      </c>
      <c r="AF946" t="s">
        <v>74</v>
      </c>
      <c r="AG946">
        <v>39</v>
      </c>
      <c r="AH946">
        <v>16</v>
      </c>
      <c r="AI946">
        <v>18</v>
      </c>
      <c r="AJ946">
        <v>4</v>
      </c>
      <c r="AK946">
        <v>9</v>
      </c>
      <c r="AL946" t="s">
        <v>74</v>
      </c>
      <c r="AM946" t="s">
        <v>74</v>
      </c>
      <c r="AN946" t="s">
        <v>74</v>
      </c>
      <c r="AO946" t="s">
        <v>913</v>
      </c>
      <c r="AP946" t="s">
        <v>74</v>
      </c>
      <c r="AQ946" t="s">
        <v>74</v>
      </c>
      <c r="AR946" t="s">
        <v>74</v>
      </c>
      <c r="AS946" t="s">
        <v>74</v>
      </c>
      <c r="AT946" t="s">
        <v>211</v>
      </c>
      <c r="AU946">
        <v>2018</v>
      </c>
      <c r="AV946">
        <v>10</v>
      </c>
      <c r="AW946">
        <v>11</v>
      </c>
      <c r="AX946" t="s">
        <v>74</v>
      </c>
      <c r="AY946" t="s">
        <v>74</v>
      </c>
      <c r="AZ946" t="s">
        <v>74</v>
      </c>
      <c r="BA946" t="s">
        <v>74</v>
      </c>
      <c r="BB946" t="s">
        <v>74</v>
      </c>
      <c r="BC946" t="s">
        <v>74</v>
      </c>
      <c r="BD946">
        <v>416</v>
      </c>
      <c r="BE946" t="s">
        <v>6119</v>
      </c>
      <c r="BF946" t="str">
        <f>HYPERLINK("http://dx.doi.org/10.3390/cancers10110416","http://dx.doi.org/10.3390/cancers10110416")</f>
        <v>http://dx.doi.org/10.3390/cancers10110416</v>
      </c>
      <c r="BG946" t="s">
        <v>74</v>
      </c>
      <c r="BH946" t="s">
        <v>74</v>
      </c>
      <c r="BI946" t="s">
        <v>74</v>
      </c>
      <c r="BJ946" t="s">
        <v>267</v>
      </c>
      <c r="BK946" t="s">
        <v>117</v>
      </c>
      <c r="BL946" t="s">
        <v>267</v>
      </c>
      <c r="BM946" t="s">
        <v>74</v>
      </c>
      <c r="BN946">
        <v>30384500</v>
      </c>
      <c r="BO946" t="s">
        <v>74</v>
      </c>
      <c r="BP946" t="s">
        <v>74</v>
      </c>
      <c r="BQ946" t="s">
        <v>74</v>
      </c>
      <c r="BR946" t="s">
        <v>96</v>
      </c>
      <c r="BS946" t="s">
        <v>6120</v>
      </c>
      <c r="BT946" t="str">
        <f>HYPERLINK("https%3A%2F%2Fwww.webofscience.com%2Fwos%2Fwoscc%2Ffull-record%2FWOS:000451307700023","View Full Record in Web of Science")</f>
        <v>View Full Record in Web of Science</v>
      </c>
    </row>
    <row r="947" spans="1:72" x14ac:dyDescent="0.15">
      <c r="A947" t="s">
        <v>98</v>
      </c>
      <c r="B947" t="s">
        <v>6221</v>
      </c>
      <c r="C947" t="s">
        <v>74</v>
      </c>
      <c r="D947" t="s">
        <v>74</v>
      </c>
      <c r="E947" t="s">
        <v>74</v>
      </c>
      <c r="F947" t="s">
        <v>6222</v>
      </c>
      <c r="G947" t="s">
        <v>74</v>
      </c>
      <c r="H947" t="s">
        <v>74</v>
      </c>
      <c r="I947" t="s">
        <v>6223</v>
      </c>
      <c r="J947" t="s">
        <v>6224</v>
      </c>
      <c r="K947" t="s">
        <v>74</v>
      </c>
      <c r="L947" t="s">
        <v>74</v>
      </c>
      <c r="M947" t="s">
        <v>74</v>
      </c>
      <c r="N947" t="s">
        <v>103</v>
      </c>
      <c r="O947" t="s">
        <v>74</v>
      </c>
      <c r="P947" t="s">
        <v>74</v>
      </c>
      <c r="Q947" t="s">
        <v>74</v>
      </c>
      <c r="R947" t="s">
        <v>74</v>
      </c>
      <c r="S947" t="s">
        <v>74</v>
      </c>
      <c r="T947" t="s">
        <v>6225</v>
      </c>
      <c r="U947" t="s">
        <v>6226</v>
      </c>
      <c r="V947" t="s">
        <v>6227</v>
      </c>
      <c r="W947" t="s">
        <v>6228</v>
      </c>
      <c r="X947" t="s">
        <v>6229</v>
      </c>
      <c r="Y947" t="s">
        <v>6230</v>
      </c>
      <c r="Z947" t="s">
        <v>6231</v>
      </c>
      <c r="AA947" t="s">
        <v>6232</v>
      </c>
      <c r="AB947" t="s">
        <v>6233</v>
      </c>
      <c r="AC947" t="s">
        <v>74</v>
      </c>
      <c r="AD947" t="s">
        <v>74</v>
      </c>
      <c r="AE947" t="s">
        <v>74</v>
      </c>
      <c r="AF947" t="s">
        <v>74</v>
      </c>
      <c r="AG947">
        <v>71</v>
      </c>
      <c r="AH947">
        <v>16</v>
      </c>
      <c r="AI947">
        <v>17</v>
      </c>
      <c r="AJ947">
        <v>2</v>
      </c>
      <c r="AK947">
        <v>15</v>
      </c>
      <c r="AL947" t="s">
        <v>74</v>
      </c>
      <c r="AM947" t="s">
        <v>74</v>
      </c>
      <c r="AN947" t="s">
        <v>74</v>
      </c>
      <c r="AO947" t="s">
        <v>6234</v>
      </c>
      <c r="AP947" t="s">
        <v>6235</v>
      </c>
      <c r="AQ947" t="s">
        <v>74</v>
      </c>
      <c r="AR947" t="s">
        <v>74</v>
      </c>
      <c r="AS947" t="s">
        <v>74</v>
      </c>
      <c r="AT947" t="s">
        <v>531</v>
      </c>
      <c r="AU947">
        <v>2018</v>
      </c>
      <c r="AV947">
        <v>13</v>
      </c>
      <c r="AW947">
        <v>17</v>
      </c>
      <c r="AX947" t="s">
        <v>74</v>
      </c>
      <c r="AY947" t="s">
        <v>74</v>
      </c>
      <c r="AZ947" t="s">
        <v>74</v>
      </c>
      <c r="BA947" t="s">
        <v>74</v>
      </c>
      <c r="BB947">
        <v>2127</v>
      </c>
      <c r="BC947">
        <v>2138</v>
      </c>
      <c r="BD947" t="s">
        <v>74</v>
      </c>
      <c r="BE947" t="s">
        <v>6236</v>
      </c>
      <c r="BF947" t="str">
        <f>HYPERLINK("http://dx.doi.org/10.2217/nnm-2018-0143","http://dx.doi.org/10.2217/nnm-2018-0143")</f>
        <v>http://dx.doi.org/10.2217/nnm-2018-0143</v>
      </c>
      <c r="BG947" t="s">
        <v>74</v>
      </c>
      <c r="BH947" t="s">
        <v>74</v>
      </c>
      <c r="BI947" t="s">
        <v>74</v>
      </c>
      <c r="BJ947" t="s">
        <v>3877</v>
      </c>
      <c r="BK947" t="s">
        <v>117</v>
      </c>
      <c r="BL947" t="s">
        <v>3878</v>
      </c>
      <c r="BM947" t="s">
        <v>74</v>
      </c>
      <c r="BN947">
        <v>30265222</v>
      </c>
      <c r="BO947" t="s">
        <v>74</v>
      </c>
      <c r="BP947" t="s">
        <v>74</v>
      </c>
      <c r="BQ947" t="s">
        <v>74</v>
      </c>
      <c r="BR947" t="s">
        <v>96</v>
      </c>
      <c r="BS947" t="s">
        <v>6237</v>
      </c>
      <c r="BT947" t="str">
        <f>HYPERLINK("https%3A%2F%2Fwww.webofscience.com%2Fwos%2Fwoscc%2Ffull-record%2FWOS:000449032700002","View Full Record in Web of Science")</f>
        <v>View Full Record in Web of Science</v>
      </c>
    </row>
    <row r="948" spans="1:72" x14ac:dyDescent="0.15">
      <c r="A948" t="s">
        <v>98</v>
      </c>
      <c r="B948" t="s">
        <v>6653</v>
      </c>
      <c r="C948" t="s">
        <v>74</v>
      </c>
      <c r="D948" t="s">
        <v>74</v>
      </c>
      <c r="E948" t="s">
        <v>74</v>
      </c>
      <c r="F948" t="s">
        <v>6654</v>
      </c>
      <c r="G948" t="s">
        <v>74</v>
      </c>
      <c r="H948" t="s">
        <v>74</v>
      </c>
      <c r="I948" t="s">
        <v>6655</v>
      </c>
      <c r="J948" t="s">
        <v>6656</v>
      </c>
      <c r="K948" t="s">
        <v>74</v>
      </c>
      <c r="L948" t="s">
        <v>74</v>
      </c>
      <c r="M948" t="s">
        <v>74</v>
      </c>
      <c r="N948" t="s">
        <v>103</v>
      </c>
      <c r="O948" t="s">
        <v>74</v>
      </c>
      <c r="P948" t="s">
        <v>74</v>
      </c>
      <c r="Q948" t="s">
        <v>74</v>
      </c>
      <c r="R948" t="s">
        <v>74</v>
      </c>
      <c r="S948" t="s">
        <v>74</v>
      </c>
      <c r="T948" t="s">
        <v>6657</v>
      </c>
      <c r="U948" t="s">
        <v>6658</v>
      </c>
      <c r="V948" t="s">
        <v>6659</v>
      </c>
      <c r="W948" t="s">
        <v>6660</v>
      </c>
      <c r="X948" t="s">
        <v>6661</v>
      </c>
      <c r="Y948" t="s">
        <v>6662</v>
      </c>
      <c r="Z948" t="s">
        <v>6663</v>
      </c>
      <c r="AA948" t="s">
        <v>74</v>
      </c>
      <c r="AB948" t="s">
        <v>74</v>
      </c>
      <c r="AC948" t="s">
        <v>74</v>
      </c>
      <c r="AD948" t="s">
        <v>74</v>
      </c>
      <c r="AE948" t="s">
        <v>74</v>
      </c>
      <c r="AF948" t="s">
        <v>74</v>
      </c>
      <c r="AG948">
        <v>72</v>
      </c>
      <c r="AH948">
        <v>16</v>
      </c>
      <c r="AI948">
        <v>16</v>
      </c>
      <c r="AJ948">
        <v>17</v>
      </c>
      <c r="AK948">
        <v>44</v>
      </c>
      <c r="AL948" t="s">
        <v>74</v>
      </c>
      <c r="AM948" t="s">
        <v>74</v>
      </c>
      <c r="AN948" t="s">
        <v>74</v>
      </c>
      <c r="AO948" t="s">
        <v>6664</v>
      </c>
      <c r="AP948" t="s">
        <v>6665</v>
      </c>
      <c r="AQ948" t="s">
        <v>74</v>
      </c>
      <c r="AR948" t="s">
        <v>74</v>
      </c>
      <c r="AS948" t="s">
        <v>74</v>
      </c>
      <c r="AT948" t="s">
        <v>6666</v>
      </c>
      <c r="AU948">
        <v>2021</v>
      </c>
      <c r="AV948">
        <v>12</v>
      </c>
      <c r="AW948">
        <v>1</v>
      </c>
      <c r="AX948" t="s">
        <v>74</v>
      </c>
      <c r="AY948" t="s">
        <v>74</v>
      </c>
      <c r="AZ948" t="s">
        <v>74</v>
      </c>
      <c r="BA948" t="s">
        <v>74</v>
      </c>
      <c r="BB948" t="s">
        <v>74</v>
      </c>
      <c r="BC948" t="s">
        <v>74</v>
      </c>
      <c r="BD948">
        <v>25</v>
      </c>
      <c r="BE948" t="s">
        <v>6667</v>
      </c>
      <c r="BF948" t="str">
        <f>HYPERLINK("http://dx.doi.org/10.1186/s40104-020-00532-4","http://dx.doi.org/10.1186/s40104-020-00532-4")</f>
        <v>http://dx.doi.org/10.1186/s40104-020-00532-4</v>
      </c>
      <c r="BG948" t="s">
        <v>74</v>
      </c>
      <c r="BH948" t="s">
        <v>74</v>
      </c>
      <c r="BI948" t="s">
        <v>74</v>
      </c>
      <c r="BJ948" t="s">
        <v>6668</v>
      </c>
      <c r="BK948" t="s">
        <v>117</v>
      </c>
      <c r="BL948" t="s">
        <v>6669</v>
      </c>
      <c r="BM948" t="s">
        <v>74</v>
      </c>
      <c r="BN948">
        <v>33593426</v>
      </c>
      <c r="BO948" t="s">
        <v>74</v>
      </c>
      <c r="BP948" t="s">
        <v>74</v>
      </c>
      <c r="BQ948" t="s">
        <v>74</v>
      </c>
      <c r="BR948" t="s">
        <v>96</v>
      </c>
      <c r="BS948" t="s">
        <v>6670</v>
      </c>
      <c r="BT948" t="str">
        <f>HYPERLINK("https%3A%2F%2Fwww.webofscience.com%2Fwos%2Fwoscc%2Ffull-record%2FWOS:000618873100001","View Full Record in Web of Science")</f>
        <v>View Full Record in Web of Science</v>
      </c>
    </row>
    <row r="949" spans="1:72" x14ac:dyDescent="0.15">
      <c r="A949" t="s">
        <v>98</v>
      </c>
      <c r="B949" t="s">
        <v>7062</v>
      </c>
      <c r="C949" t="s">
        <v>74</v>
      </c>
      <c r="D949" t="s">
        <v>74</v>
      </c>
      <c r="E949" t="s">
        <v>74</v>
      </c>
      <c r="F949" t="s">
        <v>7063</v>
      </c>
      <c r="G949" t="s">
        <v>74</v>
      </c>
      <c r="H949" t="s">
        <v>74</v>
      </c>
      <c r="I949" t="s">
        <v>7064</v>
      </c>
      <c r="J949" t="s">
        <v>7065</v>
      </c>
      <c r="K949" t="s">
        <v>74</v>
      </c>
      <c r="L949" t="s">
        <v>74</v>
      </c>
      <c r="M949" t="s">
        <v>74</v>
      </c>
      <c r="N949" t="s">
        <v>103</v>
      </c>
      <c r="O949" t="s">
        <v>74</v>
      </c>
      <c r="P949" t="s">
        <v>74</v>
      </c>
      <c r="Q949" t="s">
        <v>74</v>
      </c>
      <c r="R949" t="s">
        <v>74</v>
      </c>
      <c r="S949" t="s">
        <v>74</v>
      </c>
      <c r="T949" t="s">
        <v>74</v>
      </c>
      <c r="U949" t="s">
        <v>7066</v>
      </c>
      <c r="V949" t="s">
        <v>7067</v>
      </c>
      <c r="W949" t="s">
        <v>7068</v>
      </c>
      <c r="X949" t="s">
        <v>7069</v>
      </c>
      <c r="Y949" t="s">
        <v>7070</v>
      </c>
      <c r="Z949" t="s">
        <v>7071</v>
      </c>
      <c r="AA949" t="s">
        <v>7072</v>
      </c>
      <c r="AB949" t="s">
        <v>7073</v>
      </c>
      <c r="AC949" t="s">
        <v>74</v>
      </c>
      <c r="AD949" t="s">
        <v>74</v>
      </c>
      <c r="AE949" t="s">
        <v>74</v>
      </c>
      <c r="AF949" t="s">
        <v>74</v>
      </c>
      <c r="AG949">
        <v>47</v>
      </c>
      <c r="AH949">
        <v>16</v>
      </c>
      <c r="AI949">
        <v>16</v>
      </c>
      <c r="AJ949">
        <v>0</v>
      </c>
      <c r="AK949">
        <v>5</v>
      </c>
      <c r="AL949" t="s">
        <v>74</v>
      </c>
      <c r="AM949" t="s">
        <v>74</v>
      </c>
      <c r="AN949" t="s">
        <v>74</v>
      </c>
      <c r="AO949" t="s">
        <v>7074</v>
      </c>
      <c r="AP949" t="s">
        <v>7075</v>
      </c>
      <c r="AQ949" t="s">
        <v>74</v>
      </c>
      <c r="AR949" t="s">
        <v>74</v>
      </c>
      <c r="AS949" t="s">
        <v>74</v>
      </c>
      <c r="AT949" t="s">
        <v>1321</v>
      </c>
      <c r="AU949">
        <v>2019</v>
      </c>
      <c r="AV949">
        <v>79</v>
      </c>
      <c r="AW949">
        <v>19</v>
      </c>
      <c r="AX949" t="s">
        <v>74</v>
      </c>
      <c r="AY949" t="s">
        <v>74</v>
      </c>
      <c r="AZ949" t="s">
        <v>74</v>
      </c>
      <c r="BA949" t="s">
        <v>74</v>
      </c>
      <c r="BB949">
        <v>4911</v>
      </c>
      <c r="BC949">
        <v>4922</v>
      </c>
      <c r="BD949" t="s">
        <v>74</v>
      </c>
      <c r="BE949" t="s">
        <v>7076</v>
      </c>
      <c r="BF949" t="str">
        <f>HYPERLINK("http://dx.doi.org/10.1158/0008-5472.CAN-19-0203","http://dx.doi.org/10.1158/0008-5472.CAN-19-0203")</f>
        <v>http://dx.doi.org/10.1158/0008-5472.CAN-19-0203</v>
      </c>
      <c r="BG949" t="s">
        <v>74</v>
      </c>
      <c r="BH949" t="s">
        <v>74</v>
      </c>
      <c r="BI949" t="s">
        <v>74</v>
      </c>
      <c r="BJ949" t="s">
        <v>267</v>
      </c>
      <c r="BK949" t="s">
        <v>117</v>
      </c>
      <c r="BL949" t="s">
        <v>267</v>
      </c>
      <c r="BM949" t="s">
        <v>74</v>
      </c>
      <c r="BN949">
        <v>31387924</v>
      </c>
      <c r="BO949" t="s">
        <v>74</v>
      </c>
      <c r="BP949" t="s">
        <v>74</v>
      </c>
      <c r="BQ949" t="s">
        <v>74</v>
      </c>
      <c r="BR949" t="s">
        <v>96</v>
      </c>
      <c r="BS949" t="s">
        <v>7077</v>
      </c>
      <c r="BT949" t="str">
        <f>HYPERLINK("https%3A%2F%2Fwww.webofscience.com%2Fwos%2Fwoscc%2Ffull-record%2FWOS:000489626000011","View Full Record in Web of Science")</f>
        <v>View Full Record in Web of Science</v>
      </c>
    </row>
    <row r="950" spans="1:72" x14ac:dyDescent="0.15">
      <c r="A950" t="s">
        <v>98</v>
      </c>
      <c r="B950" t="s">
        <v>8152</v>
      </c>
      <c r="C950" t="s">
        <v>74</v>
      </c>
      <c r="D950" t="s">
        <v>74</v>
      </c>
      <c r="E950" t="s">
        <v>74</v>
      </c>
      <c r="F950" t="s">
        <v>8153</v>
      </c>
      <c r="G950" t="s">
        <v>74</v>
      </c>
      <c r="H950" t="s">
        <v>74</v>
      </c>
      <c r="I950" t="s">
        <v>8154</v>
      </c>
      <c r="J950" t="s">
        <v>4486</v>
      </c>
      <c r="K950" t="s">
        <v>74</v>
      </c>
      <c r="L950" t="s">
        <v>74</v>
      </c>
      <c r="M950" t="s">
        <v>74</v>
      </c>
      <c r="N950" t="s">
        <v>103</v>
      </c>
      <c r="O950" t="s">
        <v>74</v>
      </c>
      <c r="P950" t="s">
        <v>74</v>
      </c>
      <c r="Q950" t="s">
        <v>74</v>
      </c>
      <c r="R950" t="s">
        <v>74</v>
      </c>
      <c r="S950" t="s">
        <v>74</v>
      </c>
      <c r="T950" t="s">
        <v>74</v>
      </c>
      <c r="U950" t="s">
        <v>8155</v>
      </c>
      <c r="V950" t="s">
        <v>8156</v>
      </c>
      <c r="W950" t="s">
        <v>8157</v>
      </c>
      <c r="X950" t="s">
        <v>8158</v>
      </c>
      <c r="Y950" t="s">
        <v>8159</v>
      </c>
      <c r="Z950" t="s">
        <v>8160</v>
      </c>
      <c r="AA950" t="s">
        <v>8161</v>
      </c>
      <c r="AB950" t="s">
        <v>8162</v>
      </c>
      <c r="AC950" t="s">
        <v>74</v>
      </c>
      <c r="AD950" t="s">
        <v>74</v>
      </c>
      <c r="AE950" t="s">
        <v>74</v>
      </c>
      <c r="AF950" t="s">
        <v>74</v>
      </c>
      <c r="AG950">
        <v>33</v>
      </c>
      <c r="AH950">
        <v>16</v>
      </c>
      <c r="AI950">
        <v>16</v>
      </c>
      <c r="AJ950">
        <v>6</v>
      </c>
      <c r="AK950">
        <v>55</v>
      </c>
      <c r="AL950" t="s">
        <v>74</v>
      </c>
      <c r="AM950" t="s">
        <v>74</v>
      </c>
      <c r="AN950" t="s">
        <v>74</v>
      </c>
      <c r="AO950" t="s">
        <v>4493</v>
      </c>
      <c r="AP950" t="s">
        <v>4494</v>
      </c>
      <c r="AQ950" t="s">
        <v>74</v>
      </c>
      <c r="AR950" t="s">
        <v>74</v>
      </c>
      <c r="AS950" t="s">
        <v>74</v>
      </c>
      <c r="AT950" t="s">
        <v>7938</v>
      </c>
      <c r="AU950">
        <v>2019</v>
      </c>
      <c r="AV950">
        <v>91</v>
      </c>
      <c r="AW950">
        <v>10</v>
      </c>
      <c r="AX950" t="s">
        <v>74</v>
      </c>
      <c r="AY950" t="s">
        <v>74</v>
      </c>
      <c r="AZ950" t="s">
        <v>74</v>
      </c>
      <c r="BA950" t="s">
        <v>74</v>
      </c>
      <c r="BB950">
        <v>6514</v>
      </c>
      <c r="BC950">
        <v>6521</v>
      </c>
      <c r="BD950" t="s">
        <v>74</v>
      </c>
      <c r="BE950" t="s">
        <v>8163</v>
      </c>
      <c r="BF950" t="str">
        <f>HYPERLINK("http://dx.doi.org/10.1021/acs.analchem.8b05538","http://dx.doi.org/10.1021/acs.analchem.8b05538")</f>
        <v>http://dx.doi.org/10.1021/acs.analchem.8b05538</v>
      </c>
      <c r="BG950" t="s">
        <v>74</v>
      </c>
      <c r="BH950" t="s">
        <v>74</v>
      </c>
      <c r="BI950" t="s">
        <v>74</v>
      </c>
      <c r="BJ950" t="s">
        <v>1118</v>
      </c>
      <c r="BK950" t="s">
        <v>117</v>
      </c>
      <c r="BL950" t="s">
        <v>1048</v>
      </c>
      <c r="BM950" t="s">
        <v>74</v>
      </c>
      <c r="BN950">
        <v>31035752</v>
      </c>
      <c r="BO950" t="s">
        <v>74</v>
      </c>
      <c r="BP950" t="s">
        <v>74</v>
      </c>
      <c r="BQ950" t="s">
        <v>74</v>
      </c>
      <c r="BR950" t="s">
        <v>96</v>
      </c>
      <c r="BS950" t="s">
        <v>8164</v>
      </c>
      <c r="BT950" t="str">
        <f>HYPERLINK("https%3A%2F%2Fwww.webofscience.com%2Fwos%2Fwoscc%2Ffull-record%2FWOS:000469304300017","View Full Record in Web of Science")</f>
        <v>View Full Record in Web of Science</v>
      </c>
    </row>
    <row r="951" spans="1:72" x14ac:dyDescent="0.15">
      <c r="A951" t="s">
        <v>72</v>
      </c>
      <c r="B951" t="s">
        <v>8251</v>
      </c>
      <c r="C951" t="s">
        <v>74</v>
      </c>
      <c r="D951" t="s">
        <v>8252</v>
      </c>
      <c r="E951" t="s">
        <v>74</v>
      </c>
      <c r="F951" t="s">
        <v>8253</v>
      </c>
      <c r="G951" t="s">
        <v>74</v>
      </c>
      <c r="H951" t="s">
        <v>74</v>
      </c>
      <c r="I951" t="s">
        <v>8254</v>
      </c>
      <c r="J951" t="s">
        <v>8255</v>
      </c>
      <c r="K951" t="s">
        <v>79</v>
      </c>
      <c r="L951" t="s">
        <v>74</v>
      </c>
      <c r="M951" t="s">
        <v>74</v>
      </c>
      <c r="N951" t="s">
        <v>80</v>
      </c>
      <c r="O951" t="s">
        <v>74</v>
      </c>
      <c r="P951" t="s">
        <v>74</v>
      </c>
      <c r="Q951" t="s">
        <v>74</v>
      </c>
      <c r="R951" t="s">
        <v>74</v>
      </c>
      <c r="S951" t="s">
        <v>74</v>
      </c>
      <c r="T951" t="s">
        <v>8256</v>
      </c>
      <c r="U951" t="s">
        <v>8257</v>
      </c>
      <c r="V951" t="s">
        <v>8258</v>
      </c>
      <c r="W951" t="s">
        <v>8259</v>
      </c>
      <c r="X951" t="s">
        <v>8260</v>
      </c>
      <c r="Y951" t="s">
        <v>8261</v>
      </c>
      <c r="Z951" t="s">
        <v>74</v>
      </c>
      <c r="AA951" t="s">
        <v>8262</v>
      </c>
      <c r="AB951" t="s">
        <v>8263</v>
      </c>
      <c r="AC951" t="s">
        <v>74</v>
      </c>
      <c r="AD951" t="s">
        <v>74</v>
      </c>
      <c r="AE951" t="s">
        <v>74</v>
      </c>
      <c r="AF951" t="s">
        <v>74</v>
      </c>
      <c r="AG951">
        <v>19</v>
      </c>
      <c r="AH951">
        <v>16</v>
      </c>
      <c r="AI951">
        <v>17</v>
      </c>
      <c r="AJ951">
        <v>1</v>
      </c>
      <c r="AK951">
        <v>13</v>
      </c>
      <c r="AL951" t="s">
        <v>74</v>
      </c>
      <c r="AM951" t="s">
        <v>74</v>
      </c>
      <c r="AN951" t="s">
        <v>74</v>
      </c>
      <c r="AO951" t="s">
        <v>88</v>
      </c>
      <c r="AP951" t="s">
        <v>89</v>
      </c>
      <c r="AQ951" t="s">
        <v>8264</v>
      </c>
      <c r="AR951" t="s">
        <v>74</v>
      </c>
      <c r="AS951" t="s">
        <v>74</v>
      </c>
      <c r="AT951" t="s">
        <v>74</v>
      </c>
      <c r="AU951">
        <v>2018</v>
      </c>
      <c r="AV951">
        <v>1710</v>
      </c>
      <c r="AW951" t="s">
        <v>74</v>
      </c>
      <c r="AX951" t="s">
        <v>74</v>
      </c>
      <c r="AY951" t="s">
        <v>74</v>
      </c>
      <c r="AZ951" t="s">
        <v>74</v>
      </c>
      <c r="BA951" t="s">
        <v>74</v>
      </c>
      <c r="BB951">
        <v>131</v>
      </c>
      <c r="BC951">
        <v>138</v>
      </c>
      <c r="BD951" t="s">
        <v>74</v>
      </c>
      <c r="BE951" t="s">
        <v>8265</v>
      </c>
      <c r="BF951" t="str">
        <f>HYPERLINK("http://dx.doi.org/10.1007/978-1-4939-7498-6_10","http://dx.doi.org/10.1007/978-1-4939-7498-6_10")</f>
        <v>http://dx.doi.org/10.1007/978-1-4939-7498-6_10</v>
      </c>
      <c r="BG951" t="s">
        <v>8266</v>
      </c>
      <c r="BH951" t="s">
        <v>74</v>
      </c>
      <c r="BI951" t="s">
        <v>74</v>
      </c>
      <c r="BJ951" t="s">
        <v>8267</v>
      </c>
      <c r="BK951" t="s">
        <v>94</v>
      </c>
      <c r="BL951" t="s">
        <v>950</v>
      </c>
      <c r="BM951" t="s">
        <v>74</v>
      </c>
      <c r="BN951">
        <v>29196999</v>
      </c>
      <c r="BO951" t="s">
        <v>74</v>
      </c>
      <c r="BP951" t="s">
        <v>74</v>
      </c>
      <c r="BQ951" t="s">
        <v>74</v>
      </c>
      <c r="BR951" t="s">
        <v>96</v>
      </c>
      <c r="BS951" t="s">
        <v>8268</v>
      </c>
      <c r="BT951" t="str">
        <f>HYPERLINK("https%3A%2F%2Fwww.webofscience.com%2Fwos%2Fwoscc%2Ffull-record%2FWOS:000433434600011","View Full Record in Web of Science")</f>
        <v>View Full Record in Web of Science</v>
      </c>
    </row>
    <row r="952" spans="1:72" x14ac:dyDescent="0.15">
      <c r="A952" t="s">
        <v>98</v>
      </c>
      <c r="B952" t="s">
        <v>8293</v>
      </c>
      <c r="C952" t="s">
        <v>74</v>
      </c>
      <c r="D952" t="s">
        <v>74</v>
      </c>
      <c r="E952" t="s">
        <v>74</v>
      </c>
      <c r="F952" t="s">
        <v>8294</v>
      </c>
      <c r="G952" t="s">
        <v>74</v>
      </c>
      <c r="H952" t="s">
        <v>74</v>
      </c>
      <c r="I952" t="s">
        <v>8295</v>
      </c>
      <c r="J952" t="s">
        <v>8296</v>
      </c>
      <c r="K952" t="s">
        <v>74</v>
      </c>
      <c r="L952" t="s">
        <v>74</v>
      </c>
      <c r="M952" t="s">
        <v>74</v>
      </c>
      <c r="N952" t="s">
        <v>103</v>
      </c>
      <c r="O952" t="s">
        <v>74</v>
      </c>
      <c r="P952" t="s">
        <v>74</v>
      </c>
      <c r="Q952" t="s">
        <v>74</v>
      </c>
      <c r="R952" t="s">
        <v>74</v>
      </c>
      <c r="S952" t="s">
        <v>74</v>
      </c>
      <c r="T952" t="s">
        <v>8297</v>
      </c>
      <c r="U952" t="s">
        <v>8298</v>
      </c>
      <c r="V952" t="s">
        <v>8299</v>
      </c>
      <c r="W952" t="s">
        <v>8300</v>
      </c>
      <c r="X952" t="s">
        <v>8301</v>
      </c>
      <c r="Y952" t="s">
        <v>8302</v>
      </c>
      <c r="Z952" t="s">
        <v>8303</v>
      </c>
      <c r="AA952" t="s">
        <v>8304</v>
      </c>
      <c r="AB952" t="s">
        <v>8305</v>
      </c>
      <c r="AC952" t="s">
        <v>74</v>
      </c>
      <c r="AD952" t="s">
        <v>74</v>
      </c>
      <c r="AE952" t="s">
        <v>74</v>
      </c>
      <c r="AF952" t="s">
        <v>74</v>
      </c>
      <c r="AG952">
        <v>66</v>
      </c>
      <c r="AH952">
        <v>16</v>
      </c>
      <c r="AI952">
        <v>16</v>
      </c>
      <c r="AJ952">
        <v>2</v>
      </c>
      <c r="AK952">
        <v>14</v>
      </c>
      <c r="AL952" t="s">
        <v>74</v>
      </c>
      <c r="AM952" t="s">
        <v>74</v>
      </c>
      <c r="AN952" t="s">
        <v>74</v>
      </c>
      <c r="AO952" t="s">
        <v>8306</v>
      </c>
      <c r="AP952" t="s">
        <v>8307</v>
      </c>
      <c r="AQ952" t="s">
        <v>74</v>
      </c>
      <c r="AR952" t="s">
        <v>74</v>
      </c>
      <c r="AS952" t="s">
        <v>74</v>
      </c>
      <c r="AT952" t="s">
        <v>170</v>
      </c>
      <c r="AU952">
        <v>2019</v>
      </c>
      <c r="AV952">
        <v>205</v>
      </c>
      <c r="AW952" t="s">
        <v>74</v>
      </c>
      <c r="AX952" t="s">
        <v>74</v>
      </c>
      <c r="AY952" t="s">
        <v>74</v>
      </c>
      <c r="AZ952" t="s">
        <v>74</v>
      </c>
      <c r="BA952" t="s">
        <v>74</v>
      </c>
      <c r="BB952">
        <v>94</v>
      </c>
      <c r="BC952">
        <v>104</v>
      </c>
      <c r="BD952" t="s">
        <v>74</v>
      </c>
      <c r="BE952" t="s">
        <v>8308</v>
      </c>
      <c r="BF952" t="str">
        <f>HYPERLINK("http://dx.doi.org/10.1016/j.anireprosci.2019.04.008","http://dx.doi.org/10.1016/j.anireprosci.2019.04.008")</f>
        <v>http://dx.doi.org/10.1016/j.anireprosci.2019.04.008</v>
      </c>
      <c r="BG952" t="s">
        <v>74</v>
      </c>
      <c r="BH952" t="s">
        <v>74</v>
      </c>
      <c r="BI952" t="s">
        <v>74</v>
      </c>
      <c r="BJ952" t="s">
        <v>8309</v>
      </c>
      <c r="BK952" t="s">
        <v>117</v>
      </c>
      <c r="BL952" t="s">
        <v>8310</v>
      </c>
      <c r="BM952" t="s">
        <v>74</v>
      </c>
      <c r="BN952">
        <v>31060922</v>
      </c>
      <c r="BO952" t="s">
        <v>74</v>
      </c>
      <c r="BP952" t="s">
        <v>74</v>
      </c>
      <c r="BQ952" t="s">
        <v>74</v>
      </c>
      <c r="BR952" t="s">
        <v>96</v>
      </c>
      <c r="BS952" t="s">
        <v>8311</v>
      </c>
      <c r="BT952" t="str">
        <f>HYPERLINK("https%3A%2F%2Fwww.webofscience.com%2Fwos%2Fwoscc%2Ffull-record%2FWOS:000469907300012","View Full Record in Web of Science")</f>
        <v>View Full Record in Web of Science</v>
      </c>
    </row>
    <row r="953" spans="1:72" x14ac:dyDescent="0.15">
      <c r="A953" t="s">
        <v>72</v>
      </c>
      <c r="B953" t="s">
        <v>8905</v>
      </c>
      <c r="C953" t="s">
        <v>74</v>
      </c>
      <c r="D953" t="s">
        <v>8906</v>
      </c>
      <c r="E953" t="s">
        <v>74</v>
      </c>
      <c r="F953" t="s">
        <v>8907</v>
      </c>
      <c r="G953" t="s">
        <v>74</v>
      </c>
      <c r="H953" t="s">
        <v>74</v>
      </c>
      <c r="I953" t="s">
        <v>8908</v>
      </c>
      <c r="J953" t="s">
        <v>8909</v>
      </c>
      <c r="K953" t="s">
        <v>79</v>
      </c>
      <c r="L953" t="s">
        <v>74</v>
      </c>
      <c r="M953" t="s">
        <v>74</v>
      </c>
      <c r="N953" t="s">
        <v>80</v>
      </c>
      <c r="O953" t="s">
        <v>74</v>
      </c>
      <c r="P953" t="s">
        <v>74</v>
      </c>
      <c r="Q953" t="s">
        <v>74</v>
      </c>
      <c r="R953" t="s">
        <v>74</v>
      </c>
      <c r="S953" t="s">
        <v>74</v>
      </c>
      <c r="T953" t="s">
        <v>8910</v>
      </c>
      <c r="U953" t="s">
        <v>8911</v>
      </c>
      <c r="V953" t="s">
        <v>8912</v>
      </c>
      <c r="W953" t="s">
        <v>8913</v>
      </c>
      <c r="X953" t="s">
        <v>8914</v>
      </c>
      <c r="Y953" t="s">
        <v>8915</v>
      </c>
      <c r="Z953" t="s">
        <v>74</v>
      </c>
      <c r="AA953" t="s">
        <v>74</v>
      </c>
      <c r="AB953" t="s">
        <v>8916</v>
      </c>
      <c r="AC953" t="s">
        <v>74</v>
      </c>
      <c r="AD953" t="s">
        <v>74</v>
      </c>
      <c r="AE953" t="s">
        <v>74</v>
      </c>
      <c r="AF953" t="s">
        <v>74</v>
      </c>
      <c r="AG953">
        <v>39</v>
      </c>
      <c r="AH953">
        <v>16</v>
      </c>
      <c r="AI953">
        <v>16</v>
      </c>
      <c r="AJ953">
        <v>0</v>
      </c>
      <c r="AK953">
        <v>10</v>
      </c>
      <c r="AL953" t="s">
        <v>74</v>
      </c>
      <c r="AM953" t="s">
        <v>74</v>
      </c>
      <c r="AN953" t="s">
        <v>74</v>
      </c>
      <c r="AO953" t="s">
        <v>88</v>
      </c>
      <c r="AP953" t="s">
        <v>89</v>
      </c>
      <c r="AQ953" t="s">
        <v>8917</v>
      </c>
      <c r="AR953" t="s">
        <v>74</v>
      </c>
      <c r="AS953" t="s">
        <v>74</v>
      </c>
      <c r="AT953" t="s">
        <v>74</v>
      </c>
      <c r="AU953">
        <v>2016</v>
      </c>
      <c r="AV953">
        <v>1395</v>
      </c>
      <c r="AW953" t="s">
        <v>74</v>
      </c>
      <c r="AX953" t="s">
        <v>74</v>
      </c>
      <c r="AY953" t="s">
        <v>74</v>
      </c>
      <c r="AZ953" t="s">
        <v>74</v>
      </c>
      <c r="BA953" t="s">
        <v>74</v>
      </c>
      <c r="BB953">
        <v>229</v>
      </c>
      <c r="BC953">
        <v>239</v>
      </c>
      <c r="BD953" t="s">
        <v>74</v>
      </c>
      <c r="BE953" t="s">
        <v>8918</v>
      </c>
      <c r="BF953" t="str">
        <f>HYPERLINK("http://dx.doi.org/10.1007/978-1-4939-3347-1_13","http://dx.doi.org/10.1007/978-1-4939-3347-1_13")</f>
        <v>http://dx.doi.org/10.1007/978-1-4939-3347-1_13</v>
      </c>
      <c r="BG953" t="s">
        <v>8919</v>
      </c>
      <c r="BH953" t="s">
        <v>74</v>
      </c>
      <c r="BI953" t="s">
        <v>74</v>
      </c>
      <c r="BJ953" t="s">
        <v>8920</v>
      </c>
      <c r="BK953" t="s">
        <v>94</v>
      </c>
      <c r="BL953" t="s">
        <v>8921</v>
      </c>
      <c r="BM953" t="s">
        <v>74</v>
      </c>
      <c r="BN953">
        <v>26910077</v>
      </c>
      <c r="BO953" t="s">
        <v>74</v>
      </c>
      <c r="BP953" t="s">
        <v>74</v>
      </c>
      <c r="BQ953" t="s">
        <v>74</v>
      </c>
      <c r="BR953" t="s">
        <v>96</v>
      </c>
      <c r="BS953" t="s">
        <v>8922</v>
      </c>
      <c r="BT953" t="str">
        <f>HYPERLINK("https%3A%2F%2Fwww.webofscience.com%2Fwos%2Fwoscc%2Ffull-record%2FWOS:000383048200014","View Full Record in Web of Science")</f>
        <v>View Full Record in Web of Science</v>
      </c>
    </row>
    <row r="954" spans="1:72" x14ac:dyDescent="0.15">
      <c r="A954" t="s">
        <v>98</v>
      </c>
      <c r="B954" t="s">
        <v>10891</v>
      </c>
      <c r="C954" t="s">
        <v>74</v>
      </c>
      <c r="D954" t="s">
        <v>74</v>
      </c>
      <c r="E954" t="s">
        <v>74</v>
      </c>
      <c r="F954" t="s">
        <v>10892</v>
      </c>
      <c r="G954" t="s">
        <v>74</v>
      </c>
      <c r="H954" t="s">
        <v>74</v>
      </c>
      <c r="I954" t="s">
        <v>10893</v>
      </c>
      <c r="J954" t="s">
        <v>10894</v>
      </c>
      <c r="K954" t="s">
        <v>74</v>
      </c>
      <c r="L954" t="s">
        <v>74</v>
      </c>
      <c r="M954" t="s">
        <v>74</v>
      </c>
      <c r="N954" t="s">
        <v>103</v>
      </c>
      <c r="O954" t="s">
        <v>74</v>
      </c>
      <c r="P954" t="s">
        <v>74</v>
      </c>
      <c r="Q954" t="s">
        <v>74</v>
      </c>
      <c r="R954" t="s">
        <v>74</v>
      </c>
      <c r="S954" t="s">
        <v>74</v>
      </c>
      <c r="T954" t="s">
        <v>74</v>
      </c>
      <c r="U954" t="s">
        <v>10895</v>
      </c>
      <c r="V954" t="s">
        <v>10896</v>
      </c>
      <c r="W954" t="s">
        <v>10897</v>
      </c>
      <c r="X954" t="s">
        <v>10898</v>
      </c>
      <c r="Y954" t="s">
        <v>10899</v>
      </c>
      <c r="Z954" t="s">
        <v>10900</v>
      </c>
      <c r="AA954" t="s">
        <v>74</v>
      </c>
      <c r="AB954" t="s">
        <v>10901</v>
      </c>
      <c r="AC954" t="s">
        <v>74</v>
      </c>
      <c r="AD954" t="s">
        <v>74</v>
      </c>
      <c r="AE954" t="s">
        <v>74</v>
      </c>
      <c r="AF954" t="s">
        <v>74</v>
      </c>
      <c r="AG954">
        <v>90</v>
      </c>
      <c r="AH954">
        <v>16</v>
      </c>
      <c r="AI954">
        <v>16</v>
      </c>
      <c r="AJ954">
        <v>4</v>
      </c>
      <c r="AK954">
        <v>8</v>
      </c>
      <c r="AL954" t="s">
        <v>74</v>
      </c>
      <c r="AM954" t="s">
        <v>74</v>
      </c>
      <c r="AN954" t="s">
        <v>74</v>
      </c>
      <c r="AO954" t="s">
        <v>10902</v>
      </c>
      <c r="AP954" t="s">
        <v>74</v>
      </c>
      <c r="AQ954" t="s">
        <v>74</v>
      </c>
      <c r="AR954" t="s">
        <v>74</v>
      </c>
      <c r="AS954" t="s">
        <v>74</v>
      </c>
      <c r="AT954" t="s">
        <v>614</v>
      </c>
      <c r="AU954">
        <v>2020</v>
      </c>
      <c r="AV954">
        <v>14</v>
      </c>
      <c r="AW954">
        <v>7</v>
      </c>
      <c r="AX954" t="s">
        <v>74</v>
      </c>
      <c r="AY954" t="s">
        <v>74</v>
      </c>
      <c r="AZ954" t="s">
        <v>74</v>
      </c>
      <c r="BA954" t="s">
        <v>74</v>
      </c>
      <c r="BB954" t="s">
        <v>74</v>
      </c>
      <c r="BC954" t="s">
        <v>74</v>
      </c>
      <c r="BD954" t="s">
        <v>10903</v>
      </c>
      <c r="BE954" t="s">
        <v>10904</v>
      </c>
      <c r="BF954" t="str">
        <f>HYPERLINK("http://dx.doi.org/10.1371/journal.pntd.0008439","http://dx.doi.org/10.1371/journal.pntd.0008439")</f>
        <v>http://dx.doi.org/10.1371/journal.pntd.0008439</v>
      </c>
      <c r="BG954" t="s">
        <v>74</v>
      </c>
      <c r="BH954" t="s">
        <v>74</v>
      </c>
      <c r="BI954" t="s">
        <v>74</v>
      </c>
      <c r="BJ954" t="s">
        <v>10905</v>
      </c>
      <c r="BK954" t="s">
        <v>117</v>
      </c>
      <c r="BL954" t="s">
        <v>10905</v>
      </c>
      <c r="BM954" t="s">
        <v>74</v>
      </c>
      <c r="BN954">
        <v>32628683</v>
      </c>
      <c r="BO954" t="s">
        <v>74</v>
      </c>
      <c r="BP954" t="s">
        <v>74</v>
      </c>
      <c r="BQ954" t="s">
        <v>74</v>
      </c>
      <c r="BR954" t="s">
        <v>96</v>
      </c>
      <c r="BS954" t="s">
        <v>10906</v>
      </c>
      <c r="BT954" t="str">
        <f>HYPERLINK("https%3A%2F%2Fwww.webofscience.com%2Fwos%2Fwoscc%2Ffull-record%2FWOS:000550067500004","View Full Record in Web of Science")</f>
        <v>View Full Record in Web of Science</v>
      </c>
    </row>
    <row r="955" spans="1:72" x14ac:dyDescent="0.15">
      <c r="A955" t="s">
        <v>98</v>
      </c>
      <c r="B955" t="s">
        <v>11408</v>
      </c>
      <c r="C955" t="s">
        <v>74</v>
      </c>
      <c r="D955" t="s">
        <v>74</v>
      </c>
      <c r="E955" t="s">
        <v>74</v>
      </c>
      <c r="F955" t="s">
        <v>11409</v>
      </c>
      <c r="G955" t="s">
        <v>74</v>
      </c>
      <c r="H955" t="s">
        <v>74</v>
      </c>
      <c r="I955" t="s">
        <v>11410</v>
      </c>
      <c r="J955" t="s">
        <v>11411</v>
      </c>
      <c r="K955" t="s">
        <v>74</v>
      </c>
      <c r="L955" t="s">
        <v>74</v>
      </c>
      <c r="M955" t="s">
        <v>74</v>
      </c>
      <c r="N955" t="s">
        <v>103</v>
      </c>
      <c r="O955" t="s">
        <v>74</v>
      </c>
      <c r="P955" t="s">
        <v>74</v>
      </c>
      <c r="Q955" t="s">
        <v>74</v>
      </c>
      <c r="R955" t="s">
        <v>74</v>
      </c>
      <c r="S955" t="s">
        <v>74</v>
      </c>
      <c r="T955" t="s">
        <v>74</v>
      </c>
      <c r="U955" t="s">
        <v>11412</v>
      </c>
      <c r="V955" t="s">
        <v>11413</v>
      </c>
      <c r="W955" t="s">
        <v>11414</v>
      </c>
      <c r="X955" t="s">
        <v>11415</v>
      </c>
      <c r="Y955" t="s">
        <v>11416</v>
      </c>
      <c r="Z955" t="s">
        <v>11417</v>
      </c>
      <c r="AA955" t="s">
        <v>74</v>
      </c>
      <c r="AB955" t="s">
        <v>74</v>
      </c>
      <c r="AC955" t="s">
        <v>74</v>
      </c>
      <c r="AD955" t="s">
        <v>74</v>
      </c>
      <c r="AE955" t="s">
        <v>74</v>
      </c>
      <c r="AF955" t="s">
        <v>74</v>
      </c>
      <c r="AG955">
        <v>70</v>
      </c>
      <c r="AH955">
        <v>16</v>
      </c>
      <c r="AI955">
        <v>16</v>
      </c>
      <c r="AJ955">
        <v>1</v>
      </c>
      <c r="AK955">
        <v>5</v>
      </c>
      <c r="AL955" t="s">
        <v>74</v>
      </c>
      <c r="AM955" t="s">
        <v>74</v>
      </c>
      <c r="AN955" t="s">
        <v>74</v>
      </c>
      <c r="AO955" t="s">
        <v>11418</v>
      </c>
      <c r="AP955" t="s">
        <v>11419</v>
      </c>
      <c r="AQ955" t="s">
        <v>74</v>
      </c>
      <c r="AR955" t="s">
        <v>74</v>
      </c>
      <c r="AS955" t="s">
        <v>74</v>
      </c>
      <c r="AT955" t="s">
        <v>74</v>
      </c>
      <c r="AU955">
        <v>2018</v>
      </c>
      <c r="AV955">
        <v>2018</v>
      </c>
      <c r="AW955" t="s">
        <v>74</v>
      </c>
      <c r="AX955" t="s">
        <v>74</v>
      </c>
      <c r="AY955" t="s">
        <v>74</v>
      </c>
      <c r="AZ955" t="s">
        <v>74</v>
      </c>
      <c r="BA955" t="s">
        <v>74</v>
      </c>
      <c r="BB955" t="s">
        <v>74</v>
      </c>
      <c r="BC955" t="s">
        <v>74</v>
      </c>
      <c r="BD955">
        <v>7863412</v>
      </c>
      <c r="BE955" t="s">
        <v>11420</v>
      </c>
      <c r="BF955" t="str">
        <f>HYPERLINK("http://dx.doi.org/10.1155/2018/7863412","http://dx.doi.org/10.1155/2018/7863412")</f>
        <v>http://dx.doi.org/10.1155/2018/7863412</v>
      </c>
      <c r="BG955" t="s">
        <v>74</v>
      </c>
      <c r="BH955" t="s">
        <v>74</v>
      </c>
      <c r="BI955" t="s">
        <v>74</v>
      </c>
      <c r="BJ955" t="s">
        <v>932</v>
      </c>
      <c r="BK955" t="s">
        <v>467</v>
      </c>
      <c r="BL955" t="s">
        <v>932</v>
      </c>
      <c r="BM955" t="s">
        <v>74</v>
      </c>
      <c r="BN955">
        <v>29721020</v>
      </c>
      <c r="BO955" t="s">
        <v>74</v>
      </c>
      <c r="BP955" t="s">
        <v>74</v>
      </c>
      <c r="BQ955" t="s">
        <v>74</v>
      </c>
      <c r="BR955" t="s">
        <v>96</v>
      </c>
      <c r="BS955" t="s">
        <v>11421</v>
      </c>
      <c r="BT955" t="str">
        <f>HYPERLINK("https%3A%2F%2Fwww.webofscience.com%2Fwos%2Fwoscc%2Ffull-record%2FWOS:000428367700001","View Full Record in Web of Science")</f>
        <v>View Full Record in Web of Science</v>
      </c>
    </row>
    <row r="956" spans="1:72" x14ac:dyDescent="0.15">
      <c r="A956" t="s">
        <v>98</v>
      </c>
      <c r="B956" t="s">
        <v>11758</v>
      </c>
      <c r="C956" t="s">
        <v>74</v>
      </c>
      <c r="D956" t="s">
        <v>74</v>
      </c>
      <c r="E956" t="s">
        <v>74</v>
      </c>
      <c r="F956" t="s">
        <v>11759</v>
      </c>
      <c r="G956" t="s">
        <v>74</v>
      </c>
      <c r="H956" t="s">
        <v>74</v>
      </c>
      <c r="I956" t="s">
        <v>11760</v>
      </c>
      <c r="J956" t="s">
        <v>1105</v>
      </c>
      <c r="K956" t="s">
        <v>74</v>
      </c>
      <c r="L956" t="s">
        <v>74</v>
      </c>
      <c r="M956" t="s">
        <v>74</v>
      </c>
      <c r="N956" t="s">
        <v>103</v>
      </c>
      <c r="O956" t="s">
        <v>74</v>
      </c>
      <c r="P956" t="s">
        <v>74</v>
      </c>
      <c r="Q956" t="s">
        <v>74</v>
      </c>
      <c r="R956" t="s">
        <v>74</v>
      </c>
      <c r="S956" t="s">
        <v>74</v>
      </c>
      <c r="T956" t="s">
        <v>11761</v>
      </c>
      <c r="U956" t="s">
        <v>11762</v>
      </c>
      <c r="V956" t="s">
        <v>11763</v>
      </c>
      <c r="W956" t="s">
        <v>11764</v>
      </c>
      <c r="X956" t="s">
        <v>11765</v>
      </c>
      <c r="Y956" t="s">
        <v>11766</v>
      </c>
      <c r="Z956" t="s">
        <v>11767</v>
      </c>
      <c r="AA956" t="s">
        <v>74</v>
      </c>
      <c r="AB956" t="s">
        <v>11768</v>
      </c>
      <c r="AC956" t="s">
        <v>74</v>
      </c>
      <c r="AD956" t="s">
        <v>74</v>
      </c>
      <c r="AE956" t="s">
        <v>74</v>
      </c>
      <c r="AF956" t="s">
        <v>74</v>
      </c>
      <c r="AG956">
        <v>48</v>
      </c>
      <c r="AH956">
        <v>16</v>
      </c>
      <c r="AI956">
        <v>17</v>
      </c>
      <c r="AJ956">
        <v>37</v>
      </c>
      <c r="AK956">
        <v>195</v>
      </c>
      <c r="AL956" t="s">
        <v>74</v>
      </c>
      <c r="AM956" t="s">
        <v>74</v>
      </c>
      <c r="AN956" t="s">
        <v>74</v>
      </c>
      <c r="AO956" t="s">
        <v>1114</v>
      </c>
      <c r="AP956" t="s">
        <v>1115</v>
      </c>
      <c r="AQ956" t="s">
        <v>74</v>
      </c>
      <c r="AR956" t="s">
        <v>74</v>
      </c>
      <c r="AS956" t="s">
        <v>74</v>
      </c>
      <c r="AT956" t="s">
        <v>599</v>
      </c>
      <c r="AU956">
        <v>2021</v>
      </c>
      <c r="AV956">
        <v>221</v>
      </c>
      <c r="AW956" t="s">
        <v>74</v>
      </c>
      <c r="AX956" t="s">
        <v>74</v>
      </c>
      <c r="AY956" t="s">
        <v>74</v>
      </c>
      <c r="AZ956" t="s">
        <v>74</v>
      </c>
      <c r="BA956" t="s">
        <v>74</v>
      </c>
      <c r="BB956" t="s">
        <v>74</v>
      </c>
      <c r="BC956" t="s">
        <v>74</v>
      </c>
      <c r="BD956">
        <v>121571</v>
      </c>
      <c r="BE956" t="s">
        <v>11769</v>
      </c>
      <c r="BF956" t="str">
        <f>HYPERLINK("http://dx.doi.org/10.1016/j.talanta.2020.121571","http://dx.doi.org/10.1016/j.talanta.2020.121571")</f>
        <v>http://dx.doi.org/10.1016/j.talanta.2020.121571</v>
      </c>
      <c r="BG956" t="s">
        <v>74</v>
      </c>
      <c r="BH956" t="s">
        <v>74</v>
      </c>
      <c r="BI956" t="s">
        <v>74</v>
      </c>
      <c r="BJ956" t="s">
        <v>1118</v>
      </c>
      <c r="BK956" t="s">
        <v>117</v>
      </c>
      <c r="BL956" t="s">
        <v>1048</v>
      </c>
      <c r="BM956" t="s">
        <v>74</v>
      </c>
      <c r="BN956">
        <v>33076118</v>
      </c>
      <c r="BO956" t="s">
        <v>74</v>
      </c>
      <c r="BP956" t="s">
        <v>74</v>
      </c>
      <c r="BQ956" t="s">
        <v>74</v>
      </c>
      <c r="BR956" t="s">
        <v>96</v>
      </c>
      <c r="BS956" t="s">
        <v>11770</v>
      </c>
      <c r="BT956" t="str">
        <f>HYPERLINK("https%3A%2F%2Fwww.webofscience.com%2Fwos%2Fwoscc%2Ffull-record%2FWOS:000579910600074","View Full Record in Web of Science")</f>
        <v>View Full Record in Web of Science</v>
      </c>
    </row>
    <row r="957" spans="1:72" x14ac:dyDescent="0.15">
      <c r="A957" t="s">
        <v>98</v>
      </c>
      <c r="B957" t="s">
        <v>12073</v>
      </c>
      <c r="C957" t="s">
        <v>74</v>
      </c>
      <c r="D957" t="s">
        <v>74</v>
      </c>
      <c r="E957" t="s">
        <v>74</v>
      </c>
      <c r="F957" t="s">
        <v>12074</v>
      </c>
      <c r="G957" t="s">
        <v>74</v>
      </c>
      <c r="H957" t="s">
        <v>74</v>
      </c>
      <c r="I957" t="s">
        <v>12075</v>
      </c>
      <c r="J957" t="s">
        <v>3229</v>
      </c>
      <c r="K957" t="s">
        <v>74</v>
      </c>
      <c r="L957" t="s">
        <v>74</v>
      </c>
      <c r="M957" t="s">
        <v>74</v>
      </c>
      <c r="N957" t="s">
        <v>103</v>
      </c>
      <c r="O957" t="s">
        <v>74</v>
      </c>
      <c r="P957" t="s">
        <v>74</v>
      </c>
      <c r="Q957" t="s">
        <v>74</v>
      </c>
      <c r="R957" t="s">
        <v>74</v>
      </c>
      <c r="S957" t="s">
        <v>74</v>
      </c>
      <c r="T957" t="s">
        <v>12076</v>
      </c>
      <c r="U957" t="s">
        <v>12077</v>
      </c>
      <c r="V957" t="s">
        <v>12078</v>
      </c>
      <c r="W957" t="s">
        <v>12079</v>
      </c>
      <c r="X957" t="s">
        <v>12080</v>
      </c>
      <c r="Y957" t="s">
        <v>12081</v>
      </c>
      <c r="Z957" t="s">
        <v>12082</v>
      </c>
      <c r="AA957" t="s">
        <v>12083</v>
      </c>
      <c r="AB957" t="s">
        <v>12084</v>
      </c>
      <c r="AC957" t="s">
        <v>74</v>
      </c>
      <c r="AD957" t="s">
        <v>74</v>
      </c>
      <c r="AE957" t="s">
        <v>74</v>
      </c>
      <c r="AF957" t="s">
        <v>74</v>
      </c>
      <c r="AG957">
        <v>74</v>
      </c>
      <c r="AH957">
        <v>16</v>
      </c>
      <c r="AI957">
        <v>16</v>
      </c>
      <c r="AJ957">
        <v>3</v>
      </c>
      <c r="AK957">
        <v>10</v>
      </c>
      <c r="AL957" t="s">
        <v>74</v>
      </c>
      <c r="AM957" t="s">
        <v>74</v>
      </c>
      <c r="AN957" t="s">
        <v>74</v>
      </c>
      <c r="AO957" t="s">
        <v>74</v>
      </c>
      <c r="AP957" t="s">
        <v>3237</v>
      </c>
      <c r="AQ957" t="s">
        <v>74</v>
      </c>
      <c r="AR957" t="s">
        <v>74</v>
      </c>
      <c r="AS957" t="s">
        <v>74</v>
      </c>
      <c r="AT957" t="s">
        <v>7236</v>
      </c>
      <c r="AU957">
        <v>2020</v>
      </c>
      <c r="AV957">
        <v>13</v>
      </c>
      <c r="AW957">
        <v>1</v>
      </c>
      <c r="AX957" t="s">
        <v>74</v>
      </c>
      <c r="AY957" t="s">
        <v>74</v>
      </c>
      <c r="AZ957" t="s">
        <v>74</v>
      </c>
      <c r="BA957" t="s">
        <v>74</v>
      </c>
      <c r="BB957" t="s">
        <v>74</v>
      </c>
      <c r="BC957" t="s">
        <v>74</v>
      </c>
      <c r="BD957">
        <v>128</v>
      </c>
      <c r="BE957" t="s">
        <v>12085</v>
      </c>
      <c r="BF957" t="str">
        <f>HYPERLINK("http://dx.doi.org/10.1186/s12920-020-00748-3","http://dx.doi.org/10.1186/s12920-020-00748-3")</f>
        <v>http://dx.doi.org/10.1186/s12920-020-00748-3</v>
      </c>
      <c r="BG957" t="s">
        <v>74</v>
      </c>
      <c r="BH957" t="s">
        <v>74</v>
      </c>
      <c r="BI957" t="s">
        <v>74</v>
      </c>
      <c r="BJ957" t="s">
        <v>285</v>
      </c>
      <c r="BK957" t="s">
        <v>117</v>
      </c>
      <c r="BL957" t="s">
        <v>285</v>
      </c>
      <c r="BM957" t="s">
        <v>74</v>
      </c>
      <c r="BN957">
        <v>32912198</v>
      </c>
      <c r="BO957" t="s">
        <v>74</v>
      </c>
      <c r="BP957" t="s">
        <v>74</v>
      </c>
      <c r="BQ957" t="s">
        <v>74</v>
      </c>
      <c r="BR957" t="s">
        <v>96</v>
      </c>
      <c r="BS957" t="s">
        <v>12086</v>
      </c>
      <c r="BT957" t="str">
        <f>HYPERLINK("https%3A%2F%2Fwww.webofscience.com%2Fwos%2Fwoscc%2Ffull-record%2FWOS:000570655600001","View Full Record in Web of Science")</f>
        <v>View Full Record in Web of Science</v>
      </c>
    </row>
    <row r="958" spans="1:72" x14ac:dyDescent="0.15">
      <c r="A958" t="s">
        <v>98</v>
      </c>
      <c r="B958" t="s">
        <v>12191</v>
      </c>
      <c r="C958" t="s">
        <v>74</v>
      </c>
      <c r="D958" t="s">
        <v>74</v>
      </c>
      <c r="E958" t="s">
        <v>74</v>
      </c>
      <c r="F958" t="s">
        <v>12192</v>
      </c>
      <c r="G958" t="s">
        <v>74</v>
      </c>
      <c r="H958" t="s">
        <v>74</v>
      </c>
      <c r="I958" t="s">
        <v>12193</v>
      </c>
      <c r="J958" t="s">
        <v>10744</v>
      </c>
      <c r="K958" t="s">
        <v>74</v>
      </c>
      <c r="L958" t="s">
        <v>74</v>
      </c>
      <c r="M958" t="s">
        <v>74</v>
      </c>
      <c r="N958" t="s">
        <v>103</v>
      </c>
      <c r="O958" t="s">
        <v>74</v>
      </c>
      <c r="P958" t="s">
        <v>74</v>
      </c>
      <c r="Q958" t="s">
        <v>74</v>
      </c>
      <c r="R958" t="s">
        <v>74</v>
      </c>
      <c r="S958" t="s">
        <v>74</v>
      </c>
      <c r="T958" t="s">
        <v>74</v>
      </c>
      <c r="U958" t="s">
        <v>12194</v>
      </c>
      <c r="V958" t="s">
        <v>12195</v>
      </c>
      <c r="W958" t="s">
        <v>12196</v>
      </c>
      <c r="X958" t="s">
        <v>12197</v>
      </c>
      <c r="Y958" t="s">
        <v>12198</v>
      </c>
      <c r="Z958" t="s">
        <v>10239</v>
      </c>
      <c r="AA958" t="s">
        <v>74</v>
      </c>
      <c r="AB958" t="s">
        <v>12199</v>
      </c>
      <c r="AC958" t="s">
        <v>74</v>
      </c>
      <c r="AD958" t="s">
        <v>74</v>
      </c>
      <c r="AE958" t="s">
        <v>74</v>
      </c>
      <c r="AF958" t="s">
        <v>74</v>
      </c>
      <c r="AG958">
        <v>44</v>
      </c>
      <c r="AH958">
        <v>16</v>
      </c>
      <c r="AI958">
        <v>17</v>
      </c>
      <c r="AJ958">
        <v>4</v>
      </c>
      <c r="AK958">
        <v>32</v>
      </c>
      <c r="AL958" t="s">
        <v>74</v>
      </c>
      <c r="AM958" t="s">
        <v>74</v>
      </c>
      <c r="AN958" t="s">
        <v>74</v>
      </c>
      <c r="AO958" t="s">
        <v>10753</v>
      </c>
      <c r="AP958" t="s">
        <v>74</v>
      </c>
      <c r="AQ958" t="s">
        <v>74</v>
      </c>
      <c r="AR958" t="s">
        <v>74</v>
      </c>
      <c r="AS958" t="s">
        <v>74</v>
      </c>
      <c r="AT958" t="s">
        <v>614</v>
      </c>
      <c r="AU958">
        <v>2019</v>
      </c>
      <c r="AV958">
        <v>5</v>
      </c>
      <c r="AW958">
        <v>7</v>
      </c>
      <c r="AX958" t="s">
        <v>74</v>
      </c>
      <c r="AY958" t="s">
        <v>74</v>
      </c>
      <c r="AZ958" t="s">
        <v>74</v>
      </c>
      <c r="BA958" t="s">
        <v>74</v>
      </c>
      <c r="BB958" t="s">
        <v>74</v>
      </c>
      <c r="BC958" t="s">
        <v>74</v>
      </c>
      <c r="BD958" t="s">
        <v>12200</v>
      </c>
      <c r="BE958" t="s">
        <v>12201</v>
      </c>
      <c r="BF958" t="str">
        <f>HYPERLINK("http://dx.doi.org/10.1126/sciadv.aav1564","http://dx.doi.org/10.1126/sciadv.aav1564")</f>
        <v>http://dx.doi.org/10.1126/sciadv.aav1564</v>
      </c>
      <c r="BG958" t="s">
        <v>74</v>
      </c>
      <c r="BH958" t="s">
        <v>74</v>
      </c>
      <c r="BI958" t="s">
        <v>74</v>
      </c>
      <c r="BJ958" t="s">
        <v>152</v>
      </c>
      <c r="BK958" t="s">
        <v>117</v>
      </c>
      <c r="BL958" t="s">
        <v>153</v>
      </c>
      <c r="BM958" t="s">
        <v>74</v>
      </c>
      <c r="BN958">
        <v>31355328</v>
      </c>
      <c r="BO958" t="s">
        <v>74</v>
      </c>
      <c r="BP958" t="s">
        <v>74</v>
      </c>
      <c r="BQ958" t="s">
        <v>74</v>
      </c>
      <c r="BR958" t="s">
        <v>96</v>
      </c>
      <c r="BS958" t="s">
        <v>12202</v>
      </c>
      <c r="BT958" t="str">
        <f>HYPERLINK("https%3A%2F%2Fwww.webofscience.com%2Fwos%2Fwoscc%2Ffull-record%2FWOS:000478770400017","View Full Record in Web of Science")</f>
        <v>View Full Record in Web of Science</v>
      </c>
    </row>
    <row r="959" spans="1:72" x14ac:dyDescent="0.15">
      <c r="A959" t="s">
        <v>98</v>
      </c>
      <c r="B959" t="s">
        <v>12300</v>
      </c>
      <c r="C959" t="s">
        <v>74</v>
      </c>
      <c r="D959" t="s">
        <v>74</v>
      </c>
      <c r="E959" t="s">
        <v>74</v>
      </c>
      <c r="F959" t="s">
        <v>12301</v>
      </c>
      <c r="G959" t="s">
        <v>74</v>
      </c>
      <c r="H959" t="s">
        <v>74</v>
      </c>
      <c r="I959" t="s">
        <v>12302</v>
      </c>
      <c r="J959" t="s">
        <v>140</v>
      </c>
      <c r="K959" t="s">
        <v>74</v>
      </c>
      <c r="L959" t="s">
        <v>74</v>
      </c>
      <c r="M959" t="s">
        <v>74</v>
      </c>
      <c r="N959" t="s">
        <v>103</v>
      </c>
      <c r="O959" t="s">
        <v>74</v>
      </c>
      <c r="P959" t="s">
        <v>74</v>
      </c>
      <c r="Q959" t="s">
        <v>74</v>
      </c>
      <c r="R959" t="s">
        <v>74</v>
      </c>
      <c r="S959" t="s">
        <v>74</v>
      </c>
      <c r="T959" t="s">
        <v>74</v>
      </c>
      <c r="U959" t="s">
        <v>12303</v>
      </c>
      <c r="V959" t="s">
        <v>12304</v>
      </c>
      <c r="W959" t="s">
        <v>12305</v>
      </c>
      <c r="X959" t="s">
        <v>12306</v>
      </c>
      <c r="Y959" t="s">
        <v>12307</v>
      </c>
      <c r="Z959" t="s">
        <v>12308</v>
      </c>
      <c r="AA959" t="s">
        <v>12309</v>
      </c>
      <c r="AB959" t="s">
        <v>12310</v>
      </c>
      <c r="AC959" t="s">
        <v>74</v>
      </c>
      <c r="AD959" t="s">
        <v>74</v>
      </c>
      <c r="AE959" t="s">
        <v>74</v>
      </c>
      <c r="AF959" t="s">
        <v>74</v>
      </c>
      <c r="AG959">
        <v>67</v>
      </c>
      <c r="AH959">
        <v>16</v>
      </c>
      <c r="AI959">
        <v>16</v>
      </c>
      <c r="AJ959">
        <v>6</v>
      </c>
      <c r="AK959">
        <v>16</v>
      </c>
      <c r="AL959" t="s">
        <v>74</v>
      </c>
      <c r="AM959" t="s">
        <v>74</v>
      </c>
      <c r="AN959" t="s">
        <v>74</v>
      </c>
      <c r="AO959" t="s">
        <v>149</v>
      </c>
      <c r="AP959" t="s">
        <v>74</v>
      </c>
      <c r="AQ959" t="s">
        <v>74</v>
      </c>
      <c r="AR959" t="s">
        <v>74</v>
      </c>
      <c r="AS959" t="s">
        <v>74</v>
      </c>
      <c r="AT959" t="s">
        <v>5474</v>
      </c>
      <c r="AU959">
        <v>2019</v>
      </c>
      <c r="AV959">
        <v>9</v>
      </c>
      <c r="AW959" t="s">
        <v>74</v>
      </c>
      <c r="AX959" t="s">
        <v>74</v>
      </c>
      <c r="AY959" t="s">
        <v>74</v>
      </c>
      <c r="AZ959" t="s">
        <v>74</v>
      </c>
      <c r="BA959" t="s">
        <v>74</v>
      </c>
      <c r="BB959" t="s">
        <v>74</v>
      </c>
      <c r="BC959" t="s">
        <v>74</v>
      </c>
      <c r="BD959">
        <v>17109</v>
      </c>
      <c r="BE959" t="s">
        <v>12311</v>
      </c>
      <c r="BF959" t="str">
        <f>HYPERLINK("http://dx.doi.org/10.1038/s41598-019-53576-6","http://dx.doi.org/10.1038/s41598-019-53576-6")</f>
        <v>http://dx.doi.org/10.1038/s41598-019-53576-6</v>
      </c>
      <c r="BG959" t="s">
        <v>74</v>
      </c>
      <c r="BH959" t="s">
        <v>74</v>
      </c>
      <c r="BI959" t="s">
        <v>74</v>
      </c>
      <c r="BJ959" t="s">
        <v>152</v>
      </c>
      <c r="BK959" t="s">
        <v>117</v>
      </c>
      <c r="BL959" t="s">
        <v>153</v>
      </c>
      <c r="BM959" t="s">
        <v>74</v>
      </c>
      <c r="BN959">
        <v>31745234</v>
      </c>
      <c r="BO959" t="s">
        <v>74</v>
      </c>
      <c r="BP959" t="s">
        <v>74</v>
      </c>
      <c r="BQ959" t="s">
        <v>74</v>
      </c>
      <c r="BR959" t="s">
        <v>96</v>
      </c>
      <c r="BS959" t="s">
        <v>12312</v>
      </c>
      <c r="BT959" t="str">
        <f>HYPERLINK("https%3A%2F%2Fwww.webofscience.com%2Fwos%2Fwoscc%2Ffull-record%2FWOS:000497702600002","View Full Record in Web of Science")</f>
        <v>View Full Record in Web of Science</v>
      </c>
    </row>
    <row r="960" spans="1:72" x14ac:dyDescent="0.15">
      <c r="A960" t="s">
        <v>98</v>
      </c>
      <c r="B960" t="s">
        <v>14092</v>
      </c>
      <c r="C960" t="s">
        <v>74</v>
      </c>
      <c r="D960" t="s">
        <v>74</v>
      </c>
      <c r="E960" t="s">
        <v>74</v>
      </c>
      <c r="F960" t="s">
        <v>14093</v>
      </c>
      <c r="G960" t="s">
        <v>74</v>
      </c>
      <c r="H960" t="s">
        <v>74</v>
      </c>
      <c r="I960" t="s">
        <v>14094</v>
      </c>
      <c r="J960" t="s">
        <v>2410</v>
      </c>
      <c r="K960" t="s">
        <v>74</v>
      </c>
      <c r="L960" t="s">
        <v>74</v>
      </c>
      <c r="M960" t="s">
        <v>74</v>
      </c>
      <c r="N960" t="s">
        <v>103</v>
      </c>
      <c r="O960" t="s">
        <v>74</v>
      </c>
      <c r="P960" t="s">
        <v>74</v>
      </c>
      <c r="Q960" t="s">
        <v>74</v>
      </c>
      <c r="R960" t="s">
        <v>74</v>
      </c>
      <c r="S960" t="s">
        <v>74</v>
      </c>
      <c r="T960" t="s">
        <v>14095</v>
      </c>
      <c r="U960" t="s">
        <v>14096</v>
      </c>
      <c r="V960" t="s">
        <v>14097</v>
      </c>
      <c r="W960" t="s">
        <v>14098</v>
      </c>
      <c r="X960" t="s">
        <v>14099</v>
      </c>
      <c r="Y960" t="s">
        <v>14100</v>
      </c>
      <c r="Z960" t="s">
        <v>6326</v>
      </c>
      <c r="AA960" t="s">
        <v>14101</v>
      </c>
      <c r="AB960" t="s">
        <v>14102</v>
      </c>
      <c r="AC960" t="s">
        <v>74</v>
      </c>
      <c r="AD960" t="s">
        <v>74</v>
      </c>
      <c r="AE960" t="s">
        <v>74</v>
      </c>
      <c r="AF960" t="s">
        <v>74</v>
      </c>
      <c r="AG960">
        <v>71</v>
      </c>
      <c r="AH960">
        <v>16</v>
      </c>
      <c r="AI960">
        <v>16</v>
      </c>
      <c r="AJ960">
        <v>13</v>
      </c>
      <c r="AK960">
        <v>57</v>
      </c>
      <c r="AL960" t="s">
        <v>74</v>
      </c>
      <c r="AM960" t="s">
        <v>74</v>
      </c>
      <c r="AN960" t="s">
        <v>74</v>
      </c>
      <c r="AO960" t="s">
        <v>2418</v>
      </c>
      <c r="AP960" t="s">
        <v>2419</v>
      </c>
      <c r="AQ960" t="s">
        <v>74</v>
      </c>
      <c r="AR960" t="s">
        <v>74</v>
      </c>
      <c r="AS960" t="s">
        <v>74</v>
      </c>
      <c r="AT960" t="s">
        <v>4146</v>
      </c>
      <c r="AU960">
        <v>2021</v>
      </c>
      <c r="AV960">
        <v>505</v>
      </c>
      <c r="AW960" t="s">
        <v>74</v>
      </c>
      <c r="AX960" t="s">
        <v>74</v>
      </c>
      <c r="AY960" t="s">
        <v>74</v>
      </c>
      <c r="AZ960" t="s">
        <v>74</v>
      </c>
      <c r="BA960" t="s">
        <v>74</v>
      </c>
      <c r="BB960">
        <v>58</v>
      </c>
      <c r="BC960">
        <v>72</v>
      </c>
      <c r="BD960" t="s">
        <v>74</v>
      </c>
      <c r="BE960" t="s">
        <v>14103</v>
      </c>
      <c r="BF960" t="str">
        <f>HYPERLINK("http://dx.doi.org/10.1016/j.canlet.2021.02.011","http://dx.doi.org/10.1016/j.canlet.2021.02.011")</f>
        <v>http://dx.doi.org/10.1016/j.canlet.2021.02.011</v>
      </c>
      <c r="BG960" t="s">
        <v>74</v>
      </c>
      <c r="BH960" t="s">
        <v>1557</v>
      </c>
      <c r="BI960" t="s">
        <v>74</v>
      </c>
      <c r="BJ960" t="s">
        <v>267</v>
      </c>
      <c r="BK960" t="s">
        <v>117</v>
      </c>
      <c r="BL960" t="s">
        <v>267</v>
      </c>
      <c r="BM960" t="s">
        <v>74</v>
      </c>
      <c r="BN960">
        <v>33610731</v>
      </c>
      <c r="BO960" t="s">
        <v>74</v>
      </c>
      <c r="BP960" t="s">
        <v>74</v>
      </c>
      <c r="BQ960" t="s">
        <v>74</v>
      </c>
      <c r="BR960" t="s">
        <v>96</v>
      </c>
      <c r="BS960" t="s">
        <v>14104</v>
      </c>
      <c r="BT960" t="str">
        <f>HYPERLINK("https%3A%2F%2Fwww.webofscience.com%2Fwos%2Fwoscc%2Ffull-record%2FWOS:000631848300006","View Full Record in Web of Science")</f>
        <v>View Full Record in Web of Science</v>
      </c>
    </row>
    <row r="961" spans="1:72" x14ac:dyDescent="0.15">
      <c r="A961" t="s">
        <v>98</v>
      </c>
      <c r="B961" t="s">
        <v>14201</v>
      </c>
      <c r="C961" t="s">
        <v>74</v>
      </c>
      <c r="D961" t="s">
        <v>74</v>
      </c>
      <c r="E961" t="s">
        <v>74</v>
      </c>
      <c r="F961" t="s">
        <v>14202</v>
      </c>
      <c r="G961" t="s">
        <v>74</v>
      </c>
      <c r="H961" t="s">
        <v>74</v>
      </c>
      <c r="I961" t="s">
        <v>14203</v>
      </c>
      <c r="J961" t="s">
        <v>7678</v>
      </c>
      <c r="K961" t="s">
        <v>74</v>
      </c>
      <c r="L961" t="s">
        <v>74</v>
      </c>
      <c r="M961" t="s">
        <v>74</v>
      </c>
      <c r="N961" t="s">
        <v>103</v>
      </c>
      <c r="O961" t="s">
        <v>74</v>
      </c>
      <c r="P961" t="s">
        <v>74</v>
      </c>
      <c r="Q961" t="s">
        <v>74</v>
      </c>
      <c r="R961" t="s">
        <v>74</v>
      </c>
      <c r="S961" t="s">
        <v>74</v>
      </c>
      <c r="T961" t="s">
        <v>14204</v>
      </c>
      <c r="U961" t="s">
        <v>14205</v>
      </c>
      <c r="V961" t="s">
        <v>14206</v>
      </c>
      <c r="W961" t="s">
        <v>14207</v>
      </c>
      <c r="X961" t="s">
        <v>14208</v>
      </c>
      <c r="Y961" t="s">
        <v>14209</v>
      </c>
      <c r="Z961" t="s">
        <v>8218</v>
      </c>
      <c r="AA961" t="s">
        <v>74</v>
      </c>
      <c r="AB961" t="s">
        <v>74</v>
      </c>
      <c r="AC961" t="s">
        <v>74</v>
      </c>
      <c r="AD961" t="s">
        <v>74</v>
      </c>
      <c r="AE961" t="s">
        <v>74</v>
      </c>
      <c r="AF961" t="s">
        <v>74</v>
      </c>
      <c r="AG961">
        <v>25</v>
      </c>
      <c r="AH961">
        <v>16</v>
      </c>
      <c r="AI961">
        <v>17</v>
      </c>
      <c r="AJ961">
        <v>0</v>
      </c>
      <c r="AK961">
        <v>6</v>
      </c>
      <c r="AL961" t="s">
        <v>74</v>
      </c>
      <c r="AM961" t="s">
        <v>74</v>
      </c>
      <c r="AN961" t="s">
        <v>74</v>
      </c>
      <c r="AO961" t="s">
        <v>7688</v>
      </c>
      <c r="AP961" t="s">
        <v>7689</v>
      </c>
      <c r="AQ961" t="s">
        <v>74</v>
      </c>
      <c r="AR961" t="s">
        <v>74</v>
      </c>
      <c r="AS961" t="s">
        <v>74</v>
      </c>
      <c r="AT961" t="s">
        <v>7938</v>
      </c>
      <c r="AU961">
        <v>2010</v>
      </c>
      <c r="AV961">
        <v>16</v>
      </c>
      <c r="AW961">
        <v>19</v>
      </c>
      <c r="AX961" t="s">
        <v>74</v>
      </c>
      <c r="AY961" t="s">
        <v>74</v>
      </c>
      <c r="AZ961" t="s">
        <v>74</v>
      </c>
      <c r="BA961" t="s">
        <v>74</v>
      </c>
      <c r="BB961">
        <v>2371</v>
      </c>
      <c r="BC961">
        <v>2377</v>
      </c>
      <c r="BD961" t="s">
        <v>74</v>
      </c>
      <c r="BE961" t="s">
        <v>14210</v>
      </c>
      <c r="BF961" t="str">
        <f>HYPERLINK("http://dx.doi.org/10.3748/wjg.v16.i19.2371","http://dx.doi.org/10.3748/wjg.v16.i19.2371")</f>
        <v>http://dx.doi.org/10.3748/wjg.v16.i19.2371</v>
      </c>
      <c r="BG961" t="s">
        <v>74</v>
      </c>
      <c r="BH961" t="s">
        <v>74</v>
      </c>
      <c r="BI961" t="s">
        <v>74</v>
      </c>
      <c r="BJ961" t="s">
        <v>633</v>
      </c>
      <c r="BK961" t="s">
        <v>117</v>
      </c>
      <c r="BL961" t="s">
        <v>633</v>
      </c>
      <c r="BM961" t="s">
        <v>74</v>
      </c>
      <c r="BN961">
        <v>20480522</v>
      </c>
      <c r="BO961" t="s">
        <v>74</v>
      </c>
      <c r="BP961" t="s">
        <v>74</v>
      </c>
      <c r="BQ961" t="s">
        <v>74</v>
      </c>
      <c r="BR961" t="s">
        <v>96</v>
      </c>
      <c r="BS961" t="s">
        <v>14211</v>
      </c>
      <c r="BT961" t="str">
        <f>HYPERLINK("https%3A%2F%2Fwww.webofscience.com%2Fwos%2Fwoscc%2Ffull-record%2FWOS:000277975100007","View Full Record in Web of Science")</f>
        <v>View Full Record in Web of Science</v>
      </c>
    </row>
    <row r="962" spans="1:72" x14ac:dyDescent="0.15">
      <c r="A962" t="s">
        <v>98</v>
      </c>
      <c r="B962" t="s">
        <v>15294</v>
      </c>
      <c r="C962" t="s">
        <v>74</v>
      </c>
      <c r="D962" t="s">
        <v>74</v>
      </c>
      <c r="E962" t="s">
        <v>74</v>
      </c>
      <c r="F962" t="s">
        <v>15295</v>
      </c>
      <c r="G962" t="s">
        <v>74</v>
      </c>
      <c r="H962" t="s">
        <v>74</v>
      </c>
      <c r="I962" t="s">
        <v>15296</v>
      </c>
      <c r="J962" t="s">
        <v>15297</v>
      </c>
      <c r="K962" t="s">
        <v>74</v>
      </c>
      <c r="L962" t="s">
        <v>74</v>
      </c>
      <c r="M962" t="s">
        <v>74</v>
      </c>
      <c r="N962" t="s">
        <v>103</v>
      </c>
      <c r="O962" t="s">
        <v>74</v>
      </c>
      <c r="P962" t="s">
        <v>74</v>
      </c>
      <c r="Q962" t="s">
        <v>74</v>
      </c>
      <c r="R962" t="s">
        <v>74</v>
      </c>
      <c r="S962" t="s">
        <v>74</v>
      </c>
      <c r="T962" t="s">
        <v>15298</v>
      </c>
      <c r="U962" t="s">
        <v>15299</v>
      </c>
      <c r="V962" t="s">
        <v>15300</v>
      </c>
      <c r="W962" t="s">
        <v>15301</v>
      </c>
      <c r="X962" t="s">
        <v>15302</v>
      </c>
      <c r="Y962" t="s">
        <v>15303</v>
      </c>
      <c r="Z962" t="s">
        <v>15304</v>
      </c>
      <c r="AA962" t="s">
        <v>15305</v>
      </c>
      <c r="AB962" t="s">
        <v>15306</v>
      </c>
      <c r="AC962" t="s">
        <v>74</v>
      </c>
      <c r="AD962" t="s">
        <v>74</v>
      </c>
      <c r="AE962" t="s">
        <v>74</v>
      </c>
      <c r="AF962" t="s">
        <v>74</v>
      </c>
      <c r="AG962">
        <v>68</v>
      </c>
      <c r="AH962">
        <v>16</v>
      </c>
      <c r="AI962">
        <v>16</v>
      </c>
      <c r="AJ962">
        <v>4</v>
      </c>
      <c r="AK962">
        <v>15</v>
      </c>
      <c r="AL962" t="s">
        <v>74</v>
      </c>
      <c r="AM962" t="s">
        <v>74</v>
      </c>
      <c r="AN962" t="s">
        <v>74</v>
      </c>
      <c r="AO962" t="s">
        <v>15307</v>
      </c>
      <c r="AP962" t="s">
        <v>15308</v>
      </c>
      <c r="AQ962" t="s">
        <v>74</v>
      </c>
      <c r="AR962" t="s">
        <v>74</v>
      </c>
      <c r="AS962" t="s">
        <v>74</v>
      </c>
      <c r="AT962" t="s">
        <v>4965</v>
      </c>
      <c r="AU962">
        <v>2019</v>
      </c>
      <c r="AV962">
        <v>19</v>
      </c>
      <c r="AW962">
        <v>2</v>
      </c>
      <c r="AX962" t="s">
        <v>74</v>
      </c>
      <c r="AY962" t="s">
        <v>74</v>
      </c>
      <c r="AZ962" t="s">
        <v>74</v>
      </c>
      <c r="BA962" t="s">
        <v>74</v>
      </c>
      <c r="BB962">
        <v>183</v>
      </c>
      <c r="BC962">
        <v>196</v>
      </c>
      <c r="BD962" t="s">
        <v>74</v>
      </c>
      <c r="BE962" t="s">
        <v>15309</v>
      </c>
      <c r="BF962" t="str">
        <f>HYPERLINK("http://dx.doi.org/10.1089/ast.2017.1746","http://dx.doi.org/10.1089/ast.2017.1746")</f>
        <v>http://dx.doi.org/10.1089/ast.2017.1746</v>
      </c>
      <c r="BG962" t="s">
        <v>74</v>
      </c>
      <c r="BH962" t="s">
        <v>10558</v>
      </c>
      <c r="BI962" t="s">
        <v>74</v>
      </c>
      <c r="BJ962" t="s">
        <v>2275</v>
      </c>
      <c r="BK962" t="s">
        <v>117</v>
      </c>
      <c r="BL962" t="s">
        <v>2276</v>
      </c>
      <c r="BM962" t="s">
        <v>74</v>
      </c>
      <c r="BN962">
        <v>30484685</v>
      </c>
      <c r="BO962" t="s">
        <v>74</v>
      </c>
      <c r="BP962" t="s">
        <v>74</v>
      </c>
      <c r="BQ962" t="s">
        <v>74</v>
      </c>
      <c r="BR962" t="s">
        <v>96</v>
      </c>
      <c r="BS962" t="s">
        <v>15310</v>
      </c>
      <c r="BT962" t="str">
        <f>HYPERLINK("https%3A%2F%2Fwww.webofscience.com%2Fwos%2Fwoscc%2Ffull-record%2FWOS:000451392200001","View Full Record in Web of Science")</f>
        <v>View Full Record in Web of Science</v>
      </c>
    </row>
    <row r="963" spans="1:72" x14ac:dyDescent="0.15">
      <c r="A963" t="s">
        <v>98</v>
      </c>
      <c r="B963" t="s">
        <v>16858</v>
      </c>
      <c r="C963" t="s">
        <v>74</v>
      </c>
      <c r="D963" t="s">
        <v>74</v>
      </c>
      <c r="E963" t="s">
        <v>74</v>
      </c>
      <c r="F963" t="s">
        <v>16859</v>
      </c>
      <c r="G963" t="s">
        <v>74</v>
      </c>
      <c r="H963" t="s">
        <v>74</v>
      </c>
      <c r="I963" t="s">
        <v>16860</v>
      </c>
      <c r="J963" t="s">
        <v>7316</v>
      </c>
      <c r="K963" t="s">
        <v>74</v>
      </c>
      <c r="L963" t="s">
        <v>74</v>
      </c>
      <c r="M963" t="s">
        <v>74</v>
      </c>
      <c r="N963" t="s">
        <v>103</v>
      </c>
      <c r="O963" t="s">
        <v>74</v>
      </c>
      <c r="P963" t="s">
        <v>74</v>
      </c>
      <c r="Q963" t="s">
        <v>74</v>
      </c>
      <c r="R963" t="s">
        <v>74</v>
      </c>
      <c r="S963" t="s">
        <v>74</v>
      </c>
      <c r="T963" t="s">
        <v>74</v>
      </c>
      <c r="U963" t="s">
        <v>4874</v>
      </c>
      <c r="V963" t="s">
        <v>16861</v>
      </c>
      <c r="W963" t="s">
        <v>16862</v>
      </c>
      <c r="X963" t="s">
        <v>14892</v>
      </c>
      <c r="Y963" t="s">
        <v>16863</v>
      </c>
      <c r="Z963" t="s">
        <v>10943</v>
      </c>
      <c r="AA963" t="s">
        <v>74</v>
      </c>
      <c r="AB963" t="s">
        <v>10944</v>
      </c>
      <c r="AC963" t="s">
        <v>74</v>
      </c>
      <c r="AD963" t="s">
        <v>74</v>
      </c>
      <c r="AE963" t="s">
        <v>74</v>
      </c>
      <c r="AF963" t="s">
        <v>74</v>
      </c>
      <c r="AG963">
        <v>32</v>
      </c>
      <c r="AH963">
        <v>16</v>
      </c>
      <c r="AI963">
        <v>17</v>
      </c>
      <c r="AJ963">
        <v>17</v>
      </c>
      <c r="AK963">
        <v>136</v>
      </c>
      <c r="AL963" t="s">
        <v>74</v>
      </c>
      <c r="AM963" t="s">
        <v>74</v>
      </c>
      <c r="AN963" t="s">
        <v>74</v>
      </c>
      <c r="AO963" t="s">
        <v>7324</v>
      </c>
      <c r="AP963" t="s">
        <v>7325</v>
      </c>
      <c r="AQ963" t="s">
        <v>74</v>
      </c>
      <c r="AR963" t="s">
        <v>74</v>
      </c>
      <c r="AS963" t="s">
        <v>74</v>
      </c>
      <c r="AT963" t="s">
        <v>10945</v>
      </c>
      <c r="AU963">
        <v>2019</v>
      </c>
      <c r="AV963">
        <v>144</v>
      </c>
      <c r="AW963">
        <v>20</v>
      </c>
      <c r="AX963" t="s">
        <v>74</v>
      </c>
      <c r="AY963" t="s">
        <v>74</v>
      </c>
      <c r="AZ963" t="s">
        <v>74</v>
      </c>
      <c r="BA963" t="s">
        <v>74</v>
      </c>
      <c r="BB963">
        <v>5996</v>
      </c>
      <c r="BC963">
        <v>6003</v>
      </c>
      <c r="BD963" t="s">
        <v>74</v>
      </c>
      <c r="BE963" t="s">
        <v>16864</v>
      </c>
      <c r="BF963" t="str">
        <f>HYPERLINK("http://dx.doi.org/10.1039/c9an01328h","http://dx.doi.org/10.1039/c9an01328h")</f>
        <v>http://dx.doi.org/10.1039/c9an01328h</v>
      </c>
      <c r="BG963" t="s">
        <v>74</v>
      </c>
      <c r="BH963" t="s">
        <v>74</v>
      </c>
      <c r="BI963" t="s">
        <v>74</v>
      </c>
      <c r="BJ963" t="s">
        <v>1118</v>
      </c>
      <c r="BK963" t="s">
        <v>117</v>
      </c>
      <c r="BL963" t="s">
        <v>1048</v>
      </c>
      <c r="BM963" t="s">
        <v>74</v>
      </c>
      <c r="BN963">
        <v>31536072</v>
      </c>
      <c r="BO963" t="s">
        <v>74</v>
      </c>
      <c r="BP963" t="s">
        <v>74</v>
      </c>
      <c r="BQ963" t="s">
        <v>74</v>
      </c>
      <c r="BR963" t="s">
        <v>96</v>
      </c>
      <c r="BS963" t="s">
        <v>16865</v>
      </c>
      <c r="BT963" t="str">
        <f>HYPERLINK("https%3A%2F%2Fwww.webofscience.com%2Fwos%2Fwoscc%2Ffull-record%2FWOS:000489050900008","View Full Record in Web of Science")</f>
        <v>View Full Record in Web of Science</v>
      </c>
    </row>
    <row r="964" spans="1:72" x14ac:dyDescent="0.15">
      <c r="A964" t="s">
        <v>98</v>
      </c>
      <c r="B964" t="s">
        <v>17319</v>
      </c>
      <c r="C964" t="s">
        <v>74</v>
      </c>
      <c r="D964" t="s">
        <v>74</v>
      </c>
      <c r="E964" t="s">
        <v>74</v>
      </c>
      <c r="F964" t="s">
        <v>17320</v>
      </c>
      <c r="G964" t="s">
        <v>74</v>
      </c>
      <c r="H964" t="s">
        <v>74</v>
      </c>
      <c r="I964" t="s">
        <v>17321</v>
      </c>
      <c r="J964" t="s">
        <v>17322</v>
      </c>
      <c r="K964" t="s">
        <v>74</v>
      </c>
      <c r="L964" t="s">
        <v>74</v>
      </c>
      <c r="M964" t="s">
        <v>74</v>
      </c>
      <c r="N964" t="s">
        <v>103</v>
      </c>
      <c r="O964" t="s">
        <v>74</v>
      </c>
      <c r="P964" t="s">
        <v>74</v>
      </c>
      <c r="Q964" t="s">
        <v>74</v>
      </c>
      <c r="R964" t="s">
        <v>74</v>
      </c>
      <c r="S964" t="s">
        <v>74</v>
      </c>
      <c r="T964" t="s">
        <v>17323</v>
      </c>
      <c r="U964" t="s">
        <v>17324</v>
      </c>
      <c r="V964" t="s">
        <v>17325</v>
      </c>
      <c r="W964" t="s">
        <v>17326</v>
      </c>
      <c r="X964" t="s">
        <v>17327</v>
      </c>
      <c r="Y964" t="s">
        <v>17328</v>
      </c>
      <c r="Z964" t="s">
        <v>17329</v>
      </c>
      <c r="AA964" t="s">
        <v>17330</v>
      </c>
      <c r="AB964" t="s">
        <v>17331</v>
      </c>
      <c r="AC964" t="s">
        <v>74</v>
      </c>
      <c r="AD964" t="s">
        <v>74</v>
      </c>
      <c r="AE964" t="s">
        <v>74</v>
      </c>
      <c r="AF964" t="s">
        <v>74</v>
      </c>
      <c r="AG964">
        <v>49</v>
      </c>
      <c r="AH964">
        <v>16</v>
      </c>
      <c r="AI964">
        <v>17</v>
      </c>
      <c r="AJ964">
        <v>2</v>
      </c>
      <c r="AK964">
        <v>9</v>
      </c>
      <c r="AL964" t="s">
        <v>74</v>
      </c>
      <c r="AM964" t="s">
        <v>74</v>
      </c>
      <c r="AN964" t="s">
        <v>74</v>
      </c>
      <c r="AO964" t="s">
        <v>17332</v>
      </c>
      <c r="AP964" t="s">
        <v>74</v>
      </c>
      <c r="AQ964" t="s">
        <v>74</v>
      </c>
      <c r="AR964" t="s">
        <v>74</v>
      </c>
      <c r="AS964" t="s">
        <v>74</v>
      </c>
      <c r="AT964" t="s">
        <v>16965</v>
      </c>
      <c r="AU964">
        <v>2019</v>
      </c>
      <c r="AV964">
        <v>12</v>
      </c>
      <c r="AW964" t="s">
        <v>74</v>
      </c>
      <c r="AX964" t="s">
        <v>74</v>
      </c>
      <c r="AY964" t="s">
        <v>74</v>
      </c>
      <c r="AZ964" t="s">
        <v>74</v>
      </c>
      <c r="BA964" t="s">
        <v>74</v>
      </c>
      <c r="BB964" t="s">
        <v>74</v>
      </c>
      <c r="BC964" t="s">
        <v>74</v>
      </c>
      <c r="BD964">
        <v>56</v>
      </c>
      <c r="BE964" t="s">
        <v>17333</v>
      </c>
      <c r="BF964" t="str">
        <f>HYPERLINK("http://dx.doi.org/10.1186/s13045-019-0740-7","http://dx.doi.org/10.1186/s13045-019-0740-7")</f>
        <v>http://dx.doi.org/10.1186/s13045-019-0740-7</v>
      </c>
      <c r="BG964" t="s">
        <v>74</v>
      </c>
      <c r="BH964" t="s">
        <v>74</v>
      </c>
      <c r="BI964" t="s">
        <v>74</v>
      </c>
      <c r="BJ964" t="s">
        <v>2656</v>
      </c>
      <c r="BK964" t="s">
        <v>117</v>
      </c>
      <c r="BL964" t="s">
        <v>2656</v>
      </c>
      <c r="BM964" t="s">
        <v>74</v>
      </c>
      <c r="BN964">
        <v>31182116</v>
      </c>
      <c r="BO964" t="s">
        <v>74</v>
      </c>
      <c r="BP964" t="s">
        <v>74</v>
      </c>
      <c r="BQ964" t="s">
        <v>74</v>
      </c>
      <c r="BR964" t="s">
        <v>96</v>
      </c>
      <c r="BS964" t="s">
        <v>17334</v>
      </c>
      <c r="BT964" t="str">
        <f>HYPERLINK("https%3A%2F%2Fwww.webofscience.com%2Fwos%2Fwoscc%2Ffull-record%2FWOS:000471276700003","View Full Record in Web of Science")</f>
        <v>View Full Record in Web of Science</v>
      </c>
    </row>
    <row r="965" spans="1:72" x14ac:dyDescent="0.15">
      <c r="A965" t="s">
        <v>98</v>
      </c>
      <c r="B965" t="s">
        <v>17819</v>
      </c>
      <c r="C965" t="s">
        <v>74</v>
      </c>
      <c r="D965" t="s">
        <v>74</v>
      </c>
      <c r="E965" t="s">
        <v>74</v>
      </c>
      <c r="F965" t="s">
        <v>17820</v>
      </c>
      <c r="G965" t="s">
        <v>74</v>
      </c>
      <c r="H965" t="s">
        <v>74</v>
      </c>
      <c r="I965" t="s">
        <v>17821</v>
      </c>
      <c r="J965" t="s">
        <v>14768</v>
      </c>
      <c r="K965" t="s">
        <v>74</v>
      </c>
      <c r="L965" t="s">
        <v>74</v>
      </c>
      <c r="M965" t="s">
        <v>74</v>
      </c>
      <c r="N965" t="s">
        <v>103</v>
      </c>
      <c r="O965" t="s">
        <v>74</v>
      </c>
      <c r="P965" t="s">
        <v>74</v>
      </c>
      <c r="Q965" t="s">
        <v>74</v>
      </c>
      <c r="R965" t="s">
        <v>74</v>
      </c>
      <c r="S965" t="s">
        <v>74</v>
      </c>
      <c r="T965" t="s">
        <v>17822</v>
      </c>
      <c r="U965" t="s">
        <v>17823</v>
      </c>
      <c r="V965" t="s">
        <v>17824</v>
      </c>
      <c r="W965" t="s">
        <v>17825</v>
      </c>
      <c r="X965" t="s">
        <v>17826</v>
      </c>
      <c r="Y965" t="s">
        <v>17827</v>
      </c>
      <c r="Z965" t="s">
        <v>17828</v>
      </c>
      <c r="AA965" t="s">
        <v>74</v>
      </c>
      <c r="AB965" t="s">
        <v>17829</v>
      </c>
      <c r="AC965" t="s">
        <v>74</v>
      </c>
      <c r="AD965" t="s">
        <v>74</v>
      </c>
      <c r="AE965" t="s">
        <v>74</v>
      </c>
      <c r="AF965" t="s">
        <v>74</v>
      </c>
      <c r="AG965">
        <v>36</v>
      </c>
      <c r="AH965">
        <v>16</v>
      </c>
      <c r="AI965">
        <v>17</v>
      </c>
      <c r="AJ965">
        <v>0</v>
      </c>
      <c r="AK965">
        <v>9</v>
      </c>
      <c r="AL965" t="s">
        <v>74</v>
      </c>
      <c r="AM965" t="s">
        <v>74</v>
      </c>
      <c r="AN965" t="s">
        <v>74</v>
      </c>
      <c r="AO965" t="s">
        <v>14778</v>
      </c>
      <c r="AP965" t="s">
        <v>74</v>
      </c>
      <c r="AQ965" t="s">
        <v>74</v>
      </c>
      <c r="AR965" t="s">
        <v>74</v>
      </c>
      <c r="AS965" t="s">
        <v>74</v>
      </c>
      <c r="AT965" t="s">
        <v>74</v>
      </c>
      <c r="AU965">
        <v>2019</v>
      </c>
      <c r="AV965">
        <v>11</v>
      </c>
      <c r="AW965">
        <v>5</v>
      </c>
      <c r="AX965" t="s">
        <v>74</v>
      </c>
      <c r="AY965" t="s">
        <v>74</v>
      </c>
      <c r="AZ965" t="s">
        <v>74</v>
      </c>
      <c r="BA965" t="s">
        <v>74</v>
      </c>
      <c r="BB965">
        <v>2706</v>
      </c>
      <c r="BC965">
        <v>2724</v>
      </c>
      <c r="BD965" t="s">
        <v>74</v>
      </c>
      <c r="BE965" t="s">
        <v>74</v>
      </c>
      <c r="BF965" t="s">
        <v>74</v>
      </c>
      <c r="BG965" t="s">
        <v>74</v>
      </c>
      <c r="BH965" t="s">
        <v>74</v>
      </c>
      <c r="BI965" t="s">
        <v>74</v>
      </c>
      <c r="BJ965" t="s">
        <v>4129</v>
      </c>
      <c r="BK965" t="s">
        <v>117</v>
      </c>
      <c r="BL965" t="s">
        <v>4130</v>
      </c>
      <c r="BM965" t="s">
        <v>74</v>
      </c>
      <c r="BN965">
        <v>31217848</v>
      </c>
      <c r="BO965" t="s">
        <v>74</v>
      </c>
      <c r="BP965" t="s">
        <v>74</v>
      </c>
      <c r="BQ965" t="s">
        <v>74</v>
      </c>
      <c r="BR965" t="s">
        <v>96</v>
      </c>
      <c r="BS965" t="s">
        <v>17830</v>
      </c>
      <c r="BT965" t="str">
        <f>HYPERLINK("https%3A%2F%2Fwww.webofscience.com%2Fwos%2Fwoscc%2Ffull-record%2FWOS:000469965000007","View Full Record in Web of Science")</f>
        <v>View Full Record in Web of Science</v>
      </c>
    </row>
    <row r="966" spans="1:72" x14ac:dyDescent="0.15">
      <c r="A966" t="s">
        <v>98</v>
      </c>
      <c r="B966" t="s">
        <v>18427</v>
      </c>
      <c r="C966" t="s">
        <v>74</v>
      </c>
      <c r="D966" t="s">
        <v>74</v>
      </c>
      <c r="E966" t="s">
        <v>74</v>
      </c>
      <c r="F966" t="s">
        <v>18428</v>
      </c>
      <c r="G966" t="s">
        <v>74</v>
      </c>
      <c r="H966" t="s">
        <v>74</v>
      </c>
      <c r="I966" t="s">
        <v>18429</v>
      </c>
      <c r="J966" t="s">
        <v>2520</v>
      </c>
      <c r="K966" t="s">
        <v>74</v>
      </c>
      <c r="L966" t="s">
        <v>74</v>
      </c>
      <c r="M966" t="s">
        <v>74</v>
      </c>
      <c r="N966" t="s">
        <v>103</v>
      </c>
      <c r="O966" t="s">
        <v>74</v>
      </c>
      <c r="P966" t="s">
        <v>74</v>
      </c>
      <c r="Q966" t="s">
        <v>74</v>
      </c>
      <c r="R966" t="s">
        <v>74</v>
      </c>
      <c r="S966" t="s">
        <v>74</v>
      </c>
      <c r="T966" t="s">
        <v>18430</v>
      </c>
      <c r="U966" t="s">
        <v>18431</v>
      </c>
      <c r="V966" t="s">
        <v>18432</v>
      </c>
      <c r="W966" t="s">
        <v>18433</v>
      </c>
      <c r="X966" t="s">
        <v>18434</v>
      </c>
      <c r="Y966" t="s">
        <v>18435</v>
      </c>
      <c r="Z966" t="s">
        <v>18436</v>
      </c>
      <c r="AA966" t="s">
        <v>74</v>
      </c>
      <c r="AB966" t="s">
        <v>74</v>
      </c>
      <c r="AC966" t="s">
        <v>74</v>
      </c>
      <c r="AD966" t="s">
        <v>74</v>
      </c>
      <c r="AE966" t="s">
        <v>74</v>
      </c>
      <c r="AF966" t="s">
        <v>74</v>
      </c>
      <c r="AG966">
        <v>62</v>
      </c>
      <c r="AH966">
        <v>16</v>
      </c>
      <c r="AI966">
        <v>16</v>
      </c>
      <c r="AJ966">
        <v>0</v>
      </c>
      <c r="AK966">
        <v>10</v>
      </c>
      <c r="AL966" t="s">
        <v>74</v>
      </c>
      <c r="AM966" t="s">
        <v>74</v>
      </c>
      <c r="AN966" t="s">
        <v>74</v>
      </c>
      <c r="AO966" t="s">
        <v>2529</v>
      </c>
      <c r="AP966" t="s">
        <v>74</v>
      </c>
      <c r="AQ966" t="s">
        <v>74</v>
      </c>
      <c r="AR966" t="s">
        <v>74</v>
      </c>
      <c r="AS966" t="s">
        <v>74</v>
      </c>
      <c r="AT966" t="s">
        <v>11146</v>
      </c>
      <c r="AU966">
        <v>2017</v>
      </c>
      <c r="AV966">
        <v>8</v>
      </c>
      <c r="AW966" t="s">
        <v>74</v>
      </c>
      <c r="AX966" t="s">
        <v>74</v>
      </c>
      <c r="AY966" t="s">
        <v>74</v>
      </c>
      <c r="AZ966" t="s">
        <v>74</v>
      </c>
      <c r="BA966" t="s">
        <v>74</v>
      </c>
      <c r="BB966" t="s">
        <v>74</v>
      </c>
      <c r="BC966" t="s">
        <v>74</v>
      </c>
      <c r="BD966">
        <v>2401</v>
      </c>
      <c r="BE966" t="s">
        <v>18437</v>
      </c>
      <c r="BF966" t="str">
        <f>HYPERLINK("http://dx.doi.org/10.3389/fmicb.2017.02401","http://dx.doi.org/10.3389/fmicb.2017.02401")</f>
        <v>http://dx.doi.org/10.3389/fmicb.2017.02401</v>
      </c>
      <c r="BG966" t="s">
        <v>74</v>
      </c>
      <c r="BH966" t="s">
        <v>74</v>
      </c>
      <c r="BI966" t="s">
        <v>74</v>
      </c>
      <c r="BJ966" t="s">
        <v>898</v>
      </c>
      <c r="BK966" t="s">
        <v>117</v>
      </c>
      <c r="BL966" t="s">
        <v>898</v>
      </c>
      <c r="BM966" t="s">
        <v>74</v>
      </c>
      <c r="BN966">
        <v>29255455</v>
      </c>
      <c r="BO966" t="s">
        <v>74</v>
      </c>
      <c r="BP966" t="s">
        <v>74</v>
      </c>
      <c r="BQ966" t="s">
        <v>74</v>
      </c>
      <c r="BR966" t="s">
        <v>96</v>
      </c>
      <c r="BS966" t="s">
        <v>18438</v>
      </c>
      <c r="BT966" t="str">
        <f>HYPERLINK("https%3A%2F%2Fwww.webofscience.com%2Fwos%2Fwoscc%2Ffull-record%2FWOS:000416902600002","View Full Record in Web of Science")</f>
        <v>View Full Record in Web of Science</v>
      </c>
    </row>
    <row r="967" spans="1:72" x14ac:dyDescent="0.15">
      <c r="A967" t="s">
        <v>98</v>
      </c>
      <c r="B967" t="s">
        <v>20192</v>
      </c>
      <c r="C967" t="s">
        <v>74</v>
      </c>
      <c r="D967" t="s">
        <v>74</v>
      </c>
      <c r="E967" t="s">
        <v>74</v>
      </c>
      <c r="F967" t="s">
        <v>20193</v>
      </c>
      <c r="G967" t="s">
        <v>74</v>
      </c>
      <c r="H967" t="s">
        <v>74</v>
      </c>
      <c r="I967" t="s">
        <v>20194</v>
      </c>
      <c r="J967" t="s">
        <v>3196</v>
      </c>
      <c r="K967" t="s">
        <v>74</v>
      </c>
      <c r="L967" t="s">
        <v>74</v>
      </c>
      <c r="M967" t="s">
        <v>74</v>
      </c>
      <c r="N967" t="s">
        <v>103</v>
      </c>
      <c r="O967" t="s">
        <v>74</v>
      </c>
      <c r="P967" t="s">
        <v>74</v>
      </c>
      <c r="Q967" t="s">
        <v>74</v>
      </c>
      <c r="R967" t="s">
        <v>74</v>
      </c>
      <c r="S967" t="s">
        <v>74</v>
      </c>
      <c r="T967" t="s">
        <v>74</v>
      </c>
      <c r="U967" t="s">
        <v>20195</v>
      </c>
      <c r="V967" t="s">
        <v>20196</v>
      </c>
      <c r="W967" t="s">
        <v>20197</v>
      </c>
      <c r="X967" t="s">
        <v>20198</v>
      </c>
      <c r="Y967" t="s">
        <v>20199</v>
      </c>
      <c r="Z967" t="s">
        <v>20200</v>
      </c>
      <c r="AA967" t="s">
        <v>74</v>
      </c>
      <c r="AB967" t="s">
        <v>20201</v>
      </c>
      <c r="AC967" t="s">
        <v>74</v>
      </c>
      <c r="AD967" t="s">
        <v>74</v>
      </c>
      <c r="AE967" t="s">
        <v>74</v>
      </c>
      <c r="AF967" t="s">
        <v>74</v>
      </c>
      <c r="AG967">
        <v>160</v>
      </c>
      <c r="AH967">
        <v>16</v>
      </c>
      <c r="AI967">
        <v>16</v>
      </c>
      <c r="AJ967">
        <v>0</v>
      </c>
      <c r="AK967">
        <v>10</v>
      </c>
      <c r="AL967" t="s">
        <v>74</v>
      </c>
      <c r="AM967" t="s">
        <v>74</v>
      </c>
      <c r="AN967" t="s">
        <v>74</v>
      </c>
      <c r="AO967" t="s">
        <v>3204</v>
      </c>
      <c r="AP967" t="s">
        <v>74</v>
      </c>
      <c r="AQ967" t="s">
        <v>74</v>
      </c>
      <c r="AR967" t="s">
        <v>74</v>
      </c>
      <c r="AS967" t="s">
        <v>74</v>
      </c>
      <c r="AT967" t="s">
        <v>170</v>
      </c>
      <c r="AU967">
        <v>2020</v>
      </c>
      <c r="AV967">
        <v>10</v>
      </c>
      <c r="AW967">
        <v>6</v>
      </c>
      <c r="AX967" t="s">
        <v>74</v>
      </c>
      <c r="AY967" t="s">
        <v>74</v>
      </c>
      <c r="AZ967" t="s">
        <v>74</v>
      </c>
      <c r="BA967" t="s">
        <v>74</v>
      </c>
      <c r="BB967" t="s">
        <v>74</v>
      </c>
      <c r="BC967" t="s">
        <v>74</v>
      </c>
      <c r="BD967" t="s">
        <v>20202</v>
      </c>
      <c r="BE967" t="s">
        <v>20203</v>
      </c>
      <c r="BF967" t="str">
        <f>HYPERLINK("http://dx.doi.org/10.1101/cshperspect.a037333","http://dx.doi.org/10.1101/cshperspect.a037333")</f>
        <v>http://dx.doi.org/10.1101/cshperspect.a037333</v>
      </c>
      <c r="BG967" t="s">
        <v>74</v>
      </c>
      <c r="BH967" t="s">
        <v>74</v>
      </c>
      <c r="BI967" t="s">
        <v>74</v>
      </c>
      <c r="BJ967" t="s">
        <v>795</v>
      </c>
      <c r="BK967" t="s">
        <v>117</v>
      </c>
      <c r="BL967" t="s">
        <v>796</v>
      </c>
      <c r="BM967" t="s">
        <v>74</v>
      </c>
      <c r="BN967">
        <v>31548226</v>
      </c>
      <c r="BO967" t="s">
        <v>74</v>
      </c>
      <c r="BP967" t="s">
        <v>74</v>
      </c>
      <c r="BQ967" t="s">
        <v>74</v>
      </c>
      <c r="BR967" t="s">
        <v>96</v>
      </c>
      <c r="BS967" t="s">
        <v>20204</v>
      </c>
      <c r="BT967" t="str">
        <f>HYPERLINK("https%3A%2F%2Fwww.webofscience.com%2Fwos%2Fwoscc%2Ffull-record%2FWOS:000538167900008","View Full Record in Web of Science")</f>
        <v>View Full Record in Web of Science</v>
      </c>
    </row>
    <row r="968" spans="1:72" x14ac:dyDescent="0.15">
      <c r="A968" t="s">
        <v>98</v>
      </c>
      <c r="B968" t="s">
        <v>20516</v>
      </c>
      <c r="C968" t="s">
        <v>74</v>
      </c>
      <c r="D968" t="s">
        <v>74</v>
      </c>
      <c r="E968" t="s">
        <v>74</v>
      </c>
      <c r="F968" t="s">
        <v>20517</v>
      </c>
      <c r="G968" t="s">
        <v>74</v>
      </c>
      <c r="H968" t="s">
        <v>74</v>
      </c>
      <c r="I968" t="s">
        <v>20518</v>
      </c>
      <c r="J968" t="s">
        <v>1972</v>
      </c>
      <c r="K968" t="s">
        <v>74</v>
      </c>
      <c r="L968" t="s">
        <v>74</v>
      </c>
      <c r="M968" t="s">
        <v>74</v>
      </c>
      <c r="N968" t="s">
        <v>103</v>
      </c>
      <c r="O968" t="s">
        <v>74</v>
      </c>
      <c r="P968" t="s">
        <v>74</v>
      </c>
      <c r="Q968" t="s">
        <v>74</v>
      </c>
      <c r="R968" t="s">
        <v>74</v>
      </c>
      <c r="S968" t="s">
        <v>74</v>
      </c>
      <c r="T968" t="s">
        <v>20519</v>
      </c>
      <c r="U968" t="s">
        <v>20520</v>
      </c>
      <c r="V968" t="s">
        <v>20521</v>
      </c>
      <c r="W968" t="s">
        <v>20522</v>
      </c>
      <c r="X968" t="s">
        <v>20523</v>
      </c>
      <c r="Y968" t="s">
        <v>20524</v>
      </c>
      <c r="Z968" t="s">
        <v>20525</v>
      </c>
      <c r="AA968" t="s">
        <v>20526</v>
      </c>
      <c r="AB968" t="s">
        <v>20527</v>
      </c>
      <c r="AC968" t="s">
        <v>74</v>
      </c>
      <c r="AD968" t="s">
        <v>74</v>
      </c>
      <c r="AE968" t="s">
        <v>74</v>
      </c>
      <c r="AF968" t="s">
        <v>74</v>
      </c>
      <c r="AG968">
        <v>57</v>
      </c>
      <c r="AH968">
        <v>16</v>
      </c>
      <c r="AI968">
        <v>16</v>
      </c>
      <c r="AJ968">
        <v>38</v>
      </c>
      <c r="AK968">
        <v>132</v>
      </c>
      <c r="AL968" t="s">
        <v>74</v>
      </c>
      <c r="AM968" t="s">
        <v>74</v>
      </c>
      <c r="AN968" t="s">
        <v>74</v>
      </c>
      <c r="AO968" t="s">
        <v>1980</v>
      </c>
      <c r="AP968" t="s">
        <v>1981</v>
      </c>
      <c r="AQ968" t="s">
        <v>74</v>
      </c>
      <c r="AR968" t="s">
        <v>74</v>
      </c>
      <c r="AS968" t="s">
        <v>74</v>
      </c>
      <c r="AT968" t="s">
        <v>114</v>
      </c>
      <c r="AU968">
        <v>2021</v>
      </c>
      <c r="AV968">
        <v>268</v>
      </c>
      <c r="AW968" t="s">
        <v>74</v>
      </c>
      <c r="AX968" t="s">
        <v>74</v>
      </c>
      <c r="AY968" t="s">
        <v>74</v>
      </c>
      <c r="AZ968" t="s">
        <v>74</v>
      </c>
      <c r="BA968" t="s">
        <v>74</v>
      </c>
      <c r="BB968" t="s">
        <v>74</v>
      </c>
      <c r="BC968" t="s">
        <v>74</v>
      </c>
      <c r="BD968">
        <v>120542</v>
      </c>
      <c r="BE968" t="s">
        <v>20528</v>
      </c>
      <c r="BF968" t="str">
        <f>HYPERLINK("http://dx.doi.org/10.1016/j.biomaterials.2020.120542","http://dx.doi.org/10.1016/j.biomaterials.2020.120542")</f>
        <v>http://dx.doi.org/10.1016/j.biomaterials.2020.120542</v>
      </c>
      <c r="BG968" t="s">
        <v>74</v>
      </c>
      <c r="BH968" t="s">
        <v>74</v>
      </c>
      <c r="BI968" t="s">
        <v>74</v>
      </c>
      <c r="BJ968" t="s">
        <v>1983</v>
      </c>
      <c r="BK968" t="s">
        <v>117</v>
      </c>
      <c r="BL968" t="s">
        <v>1984</v>
      </c>
      <c r="BM968" t="s">
        <v>74</v>
      </c>
      <c r="BN968">
        <v>33249316</v>
      </c>
      <c r="BO968" t="s">
        <v>74</v>
      </c>
      <c r="BP968" t="s">
        <v>74</v>
      </c>
      <c r="BQ968" t="s">
        <v>74</v>
      </c>
      <c r="BR968" t="s">
        <v>96</v>
      </c>
      <c r="BS968" t="s">
        <v>20529</v>
      </c>
      <c r="BT968" t="str">
        <f>HYPERLINK("https%3A%2F%2Fwww.webofscience.com%2Fwos%2Fwoscc%2Ffull-record%2FWOS:000611884700001","View Full Record in Web of Science")</f>
        <v>View Full Record in Web of Science</v>
      </c>
    </row>
    <row r="969" spans="1:72" x14ac:dyDescent="0.15">
      <c r="A969" t="s">
        <v>98</v>
      </c>
      <c r="B969" t="s">
        <v>21223</v>
      </c>
      <c r="C969" t="s">
        <v>74</v>
      </c>
      <c r="D969" t="s">
        <v>74</v>
      </c>
      <c r="E969" t="s">
        <v>74</v>
      </c>
      <c r="F969" t="s">
        <v>21224</v>
      </c>
      <c r="G969" t="s">
        <v>74</v>
      </c>
      <c r="H969" t="s">
        <v>74</v>
      </c>
      <c r="I969" t="s">
        <v>21225</v>
      </c>
      <c r="J969" t="s">
        <v>12984</v>
      </c>
      <c r="K969" t="s">
        <v>74</v>
      </c>
      <c r="L969" t="s">
        <v>74</v>
      </c>
      <c r="M969" t="s">
        <v>74</v>
      </c>
      <c r="N969" t="s">
        <v>103</v>
      </c>
      <c r="O969" t="s">
        <v>74</v>
      </c>
      <c r="P969" t="s">
        <v>74</v>
      </c>
      <c r="Q969" t="s">
        <v>74</v>
      </c>
      <c r="R969" t="s">
        <v>74</v>
      </c>
      <c r="S969" t="s">
        <v>74</v>
      </c>
      <c r="T969" t="s">
        <v>74</v>
      </c>
      <c r="U969" t="s">
        <v>21226</v>
      </c>
      <c r="V969" t="s">
        <v>21227</v>
      </c>
      <c r="W969" t="s">
        <v>21228</v>
      </c>
      <c r="X969" t="s">
        <v>21229</v>
      </c>
      <c r="Y969" t="s">
        <v>21230</v>
      </c>
      <c r="Z969" t="s">
        <v>21231</v>
      </c>
      <c r="AA969" t="s">
        <v>74</v>
      </c>
      <c r="AB969" t="s">
        <v>74</v>
      </c>
      <c r="AC969" t="s">
        <v>74</v>
      </c>
      <c r="AD969" t="s">
        <v>74</v>
      </c>
      <c r="AE969" t="s">
        <v>74</v>
      </c>
      <c r="AF969" t="s">
        <v>74</v>
      </c>
      <c r="AG969">
        <v>55</v>
      </c>
      <c r="AH969">
        <v>16</v>
      </c>
      <c r="AI969">
        <v>16</v>
      </c>
      <c r="AJ969">
        <v>6</v>
      </c>
      <c r="AK969">
        <v>43</v>
      </c>
      <c r="AL969" t="s">
        <v>74</v>
      </c>
      <c r="AM969" t="s">
        <v>74</v>
      </c>
      <c r="AN969" t="s">
        <v>74</v>
      </c>
      <c r="AO969" t="s">
        <v>12992</v>
      </c>
      <c r="AP969" t="s">
        <v>12993</v>
      </c>
      <c r="AQ969" t="s">
        <v>74</v>
      </c>
      <c r="AR969" t="s">
        <v>74</v>
      </c>
      <c r="AS969" t="s">
        <v>74</v>
      </c>
      <c r="AT969" t="s">
        <v>1029</v>
      </c>
      <c r="AU969">
        <v>2020</v>
      </c>
      <c r="AV969">
        <v>16</v>
      </c>
      <c r="AW969">
        <v>5</v>
      </c>
      <c r="AX969" t="s">
        <v>74</v>
      </c>
      <c r="AY969" t="s">
        <v>74</v>
      </c>
      <c r="AZ969" t="s">
        <v>74</v>
      </c>
      <c r="BA969" t="s">
        <v>74</v>
      </c>
      <c r="BB969" t="s">
        <v>74</v>
      </c>
      <c r="BC969" t="s">
        <v>74</v>
      </c>
      <c r="BD969" t="s">
        <v>21232</v>
      </c>
      <c r="BE969" t="s">
        <v>21233</v>
      </c>
      <c r="BF969" t="str">
        <f>HYPERLINK("http://dx.doi.org/10.1371/journal.ppat.1008366","http://dx.doi.org/10.1371/journal.ppat.1008366")</f>
        <v>http://dx.doi.org/10.1371/journal.ppat.1008366</v>
      </c>
      <c r="BG969" t="s">
        <v>74</v>
      </c>
      <c r="BH969" t="s">
        <v>74</v>
      </c>
      <c r="BI969" t="s">
        <v>74</v>
      </c>
      <c r="BJ969" t="s">
        <v>12996</v>
      </c>
      <c r="BK969" t="s">
        <v>117</v>
      </c>
      <c r="BL969" t="s">
        <v>12996</v>
      </c>
      <c r="BM969" t="s">
        <v>74</v>
      </c>
      <c r="BN969">
        <v>32433716</v>
      </c>
      <c r="BO969" t="s">
        <v>74</v>
      </c>
      <c r="BP969" t="s">
        <v>74</v>
      </c>
      <c r="BQ969" t="s">
        <v>74</v>
      </c>
      <c r="BR969" t="s">
        <v>96</v>
      </c>
      <c r="BS969" t="s">
        <v>21234</v>
      </c>
      <c r="BT969" t="str">
        <f>HYPERLINK("https%3A%2F%2Fwww.webofscience.com%2Fwos%2Fwoscc%2Ffull-record%2FWOS:000538054300048","View Full Record in Web of Science")</f>
        <v>View Full Record in Web of Science</v>
      </c>
    </row>
    <row r="970" spans="1:72" x14ac:dyDescent="0.15">
      <c r="A970" t="s">
        <v>98</v>
      </c>
      <c r="B970" t="s">
        <v>22219</v>
      </c>
      <c r="C970" t="s">
        <v>74</v>
      </c>
      <c r="D970" t="s">
        <v>74</v>
      </c>
      <c r="E970" t="s">
        <v>74</v>
      </c>
      <c r="F970" t="s">
        <v>22220</v>
      </c>
      <c r="G970" t="s">
        <v>74</v>
      </c>
      <c r="H970" t="s">
        <v>74</v>
      </c>
      <c r="I970" t="s">
        <v>22221</v>
      </c>
      <c r="J970" t="s">
        <v>12460</v>
      </c>
      <c r="K970" t="s">
        <v>74</v>
      </c>
      <c r="L970" t="s">
        <v>74</v>
      </c>
      <c r="M970" t="s">
        <v>74</v>
      </c>
      <c r="N970" t="s">
        <v>103</v>
      </c>
      <c r="O970" t="s">
        <v>74</v>
      </c>
      <c r="P970" t="s">
        <v>74</v>
      </c>
      <c r="Q970" t="s">
        <v>74</v>
      </c>
      <c r="R970" t="s">
        <v>74</v>
      </c>
      <c r="S970" t="s">
        <v>74</v>
      </c>
      <c r="T970" t="s">
        <v>74</v>
      </c>
      <c r="U970" t="s">
        <v>22222</v>
      </c>
      <c r="V970" t="s">
        <v>22223</v>
      </c>
      <c r="W970" t="s">
        <v>22224</v>
      </c>
      <c r="X970" t="s">
        <v>22225</v>
      </c>
      <c r="Y970" t="s">
        <v>22226</v>
      </c>
      <c r="Z970" t="s">
        <v>22227</v>
      </c>
      <c r="AA970" t="s">
        <v>74</v>
      </c>
      <c r="AB970" t="s">
        <v>22228</v>
      </c>
      <c r="AC970" t="s">
        <v>74</v>
      </c>
      <c r="AD970" t="s">
        <v>74</v>
      </c>
      <c r="AE970" t="s">
        <v>74</v>
      </c>
      <c r="AF970" t="s">
        <v>74</v>
      </c>
      <c r="AG970">
        <v>29</v>
      </c>
      <c r="AH970">
        <v>16</v>
      </c>
      <c r="AI970">
        <v>17</v>
      </c>
      <c r="AJ970">
        <v>0</v>
      </c>
      <c r="AK970">
        <v>8</v>
      </c>
      <c r="AL970" t="s">
        <v>74</v>
      </c>
      <c r="AM970" t="s">
        <v>74</v>
      </c>
      <c r="AN970" t="s">
        <v>74</v>
      </c>
      <c r="AO970" t="s">
        <v>12469</v>
      </c>
      <c r="AP970" t="s">
        <v>74</v>
      </c>
      <c r="AQ970" t="s">
        <v>74</v>
      </c>
      <c r="AR970" t="s">
        <v>74</v>
      </c>
      <c r="AS970" t="s">
        <v>74</v>
      </c>
      <c r="AT970" t="s">
        <v>211</v>
      </c>
      <c r="AU970">
        <v>2017</v>
      </c>
      <c r="AV970">
        <v>2</v>
      </c>
      <c r="AW970">
        <v>11</v>
      </c>
      <c r="AX970" t="s">
        <v>74</v>
      </c>
      <c r="AY970" t="s">
        <v>74</v>
      </c>
      <c r="AZ970" t="s">
        <v>74</v>
      </c>
      <c r="BA970" t="s">
        <v>74</v>
      </c>
      <c r="BB970">
        <v>8282</v>
      </c>
      <c r="BC970">
        <v>8289</v>
      </c>
      <c r="BD970" t="s">
        <v>74</v>
      </c>
      <c r="BE970" t="s">
        <v>22229</v>
      </c>
      <c r="BF970" t="str">
        <f>HYPERLINK("http://dx.doi.org/10.1021/acsomega.7b01173","http://dx.doi.org/10.1021/acsomega.7b01173")</f>
        <v>http://dx.doi.org/10.1021/acsomega.7b01173</v>
      </c>
      <c r="BG970" t="s">
        <v>74</v>
      </c>
      <c r="BH970" t="s">
        <v>74</v>
      </c>
      <c r="BI970" t="s">
        <v>74</v>
      </c>
      <c r="BJ970" t="s">
        <v>1047</v>
      </c>
      <c r="BK970" t="s">
        <v>117</v>
      </c>
      <c r="BL970" t="s">
        <v>1048</v>
      </c>
      <c r="BM970" t="s">
        <v>74</v>
      </c>
      <c r="BN970">
        <v>30023580</v>
      </c>
      <c r="BO970" t="s">
        <v>74</v>
      </c>
      <c r="BP970" t="s">
        <v>74</v>
      </c>
      <c r="BQ970" t="s">
        <v>74</v>
      </c>
      <c r="BR970" t="s">
        <v>96</v>
      </c>
      <c r="BS970" t="s">
        <v>22230</v>
      </c>
      <c r="BT970" t="str">
        <f>HYPERLINK("https%3A%2F%2Fwww.webofscience.com%2Fwos%2Fwoscc%2Ffull-record%2FWOS:000418744100089","View Full Record in Web of Science")</f>
        <v>View Full Record in Web of Science</v>
      </c>
    </row>
    <row r="971" spans="1:72" x14ac:dyDescent="0.15">
      <c r="A971" t="s">
        <v>98</v>
      </c>
      <c r="B971" t="s">
        <v>23797</v>
      </c>
      <c r="C971" t="s">
        <v>74</v>
      </c>
      <c r="D971" t="s">
        <v>74</v>
      </c>
      <c r="E971" t="s">
        <v>74</v>
      </c>
      <c r="F971" t="s">
        <v>23798</v>
      </c>
      <c r="G971" t="s">
        <v>74</v>
      </c>
      <c r="H971" t="s">
        <v>74</v>
      </c>
      <c r="I971" t="s">
        <v>23799</v>
      </c>
      <c r="J971" t="s">
        <v>10744</v>
      </c>
      <c r="K971" t="s">
        <v>74</v>
      </c>
      <c r="L971" t="s">
        <v>74</v>
      </c>
      <c r="M971" t="s">
        <v>74</v>
      </c>
      <c r="N971" t="s">
        <v>103</v>
      </c>
      <c r="O971" t="s">
        <v>74</v>
      </c>
      <c r="P971" t="s">
        <v>74</v>
      </c>
      <c r="Q971" t="s">
        <v>74</v>
      </c>
      <c r="R971" t="s">
        <v>74</v>
      </c>
      <c r="S971" t="s">
        <v>74</v>
      </c>
      <c r="T971" t="s">
        <v>74</v>
      </c>
      <c r="U971" t="s">
        <v>23800</v>
      </c>
      <c r="V971" t="s">
        <v>23801</v>
      </c>
      <c r="W971" t="s">
        <v>23802</v>
      </c>
      <c r="X971" t="s">
        <v>23803</v>
      </c>
      <c r="Y971" t="s">
        <v>23804</v>
      </c>
      <c r="Z971" t="s">
        <v>23805</v>
      </c>
      <c r="AA971" t="s">
        <v>23806</v>
      </c>
      <c r="AB971" t="s">
        <v>23807</v>
      </c>
      <c r="AC971" t="s">
        <v>74</v>
      </c>
      <c r="AD971" t="s">
        <v>74</v>
      </c>
      <c r="AE971" t="s">
        <v>74</v>
      </c>
      <c r="AF971" t="s">
        <v>74</v>
      </c>
      <c r="AG971">
        <v>48</v>
      </c>
      <c r="AH971">
        <v>16</v>
      </c>
      <c r="AI971">
        <v>16</v>
      </c>
      <c r="AJ971">
        <v>2</v>
      </c>
      <c r="AK971">
        <v>13</v>
      </c>
      <c r="AL971" t="s">
        <v>74</v>
      </c>
      <c r="AM971" t="s">
        <v>74</v>
      </c>
      <c r="AN971" t="s">
        <v>74</v>
      </c>
      <c r="AO971" t="s">
        <v>10753</v>
      </c>
      <c r="AP971" t="s">
        <v>74</v>
      </c>
      <c r="AQ971" t="s">
        <v>74</v>
      </c>
      <c r="AR971" t="s">
        <v>74</v>
      </c>
      <c r="AS971" t="s">
        <v>74</v>
      </c>
      <c r="AT971" t="s">
        <v>211</v>
      </c>
      <c r="AU971">
        <v>2018</v>
      </c>
      <c r="AV971">
        <v>4</v>
      </c>
      <c r="AW971">
        <v>11</v>
      </c>
      <c r="AX971" t="s">
        <v>74</v>
      </c>
      <c r="AY971" t="s">
        <v>74</v>
      </c>
      <c r="AZ971" t="s">
        <v>74</v>
      </c>
      <c r="BA971" t="s">
        <v>74</v>
      </c>
      <c r="BB971" t="s">
        <v>74</v>
      </c>
      <c r="BC971" t="s">
        <v>74</v>
      </c>
      <c r="BD971" t="s">
        <v>23808</v>
      </c>
      <c r="BE971" t="s">
        <v>23809</v>
      </c>
      <c r="BF971" t="str">
        <f>HYPERLINK("http://dx.doi.org/10.1126/sciadv.aau6762","http://dx.doi.org/10.1126/sciadv.aau6762")</f>
        <v>http://dx.doi.org/10.1126/sciadv.aau6762</v>
      </c>
      <c r="BG971" t="s">
        <v>74</v>
      </c>
      <c r="BH971" t="s">
        <v>74</v>
      </c>
      <c r="BI971" t="s">
        <v>74</v>
      </c>
      <c r="BJ971" t="s">
        <v>152</v>
      </c>
      <c r="BK971" t="s">
        <v>117</v>
      </c>
      <c r="BL971" t="s">
        <v>153</v>
      </c>
      <c r="BM971" t="s">
        <v>74</v>
      </c>
      <c r="BN971">
        <v>30417099</v>
      </c>
      <c r="BO971" t="s">
        <v>74</v>
      </c>
      <c r="BP971" t="s">
        <v>74</v>
      </c>
      <c r="BQ971" t="s">
        <v>74</v>
      </c>
      <c r="BR971" t="s">
        <v>96</v>
      </c>
      <c r="BS971" t="s">
        <v>23810</v>
      </c>
      <c r="BT971" t="str">
        <f>HYPERLINK("https%3A%2F%2Fwww.webofscience.com%2Fwos%2Fwoscc%2Ffull-record%2FWOS:000452212000061","View Full Record in Web of Science")</f>
        <v>View Full Record in Web of Science</v>
      </c>
    </row>
    <row r="972" spans="1:72" x14ac:dyDescent="0.15">
      <c r="A972" t="s">
        <v>98</v>
      </c>
      <c r="B972" t="s">
        <v>27063</v>
      </c>
      <c r="C972" t="s">
        <v>74</v>
      </c>
      <c r="D972" t="s">
        <v>74</v>
      </c>
      <c r="E972" t="s">
        <v>74</v>
      </c>
      <c r="F972" t="s">
        <v>27064</v>
      </c>
      <c r="G972" t="s">
        <v>74</v>
      </c>
      <c r="H972" t="s">
        <v>74</v>
      </c>
      <c r="I972" t="s">
        <v>27065</v>
      </c>
      <c r="J972" t="s">
        <v>27066</v>
      </c>
      <c r="K972" t="s">
        <v>74</v>
      </c>
      <c r="L972" t="s">
        <v>74</v>
      </c>
      <c r="M972" t="s">
        <v>74</v>
      </c>
      <c r="N972" t="s">
        <v>103</v>
      </c>
      <c r="O972" t="s">
        <v>74</v>
      </c>
      <c r="P972" t="s">
        <v>74</v>
      </c>
      <c r="Q972" t="s">
        <v>74</v>
      </c>
      <c r="R972" t="s">
        <v>74</v>
      </c>
      <c r="S972" t="s">
        <v>74</v>
      </c>
      <c r="T972" t="s">
        <v>27067</v>
      </c>
      <c r="U972" t="s">
        <v>27068</v>
      </c>
      <c r="V972" t="s">
        <v>27069</v>
      </c>
      <c r="W972" t="s">
        <v>27070</v>
      </c>
      <c r="X972" t="s">
        <v>27071</v>
      </c>
      <c r="Y972" t="s">
        <v>27072</v>
      </c>
      <c r="Z972" t="s">
        <v>27073</v>
      </c>
      <c r="AA972" t="s">
        <v>74</v>
      </c>
      <c r="AB972" t="s">
        <v>27074</v>
      </c>
      <c r="AC972" t="s">
        <v>74</v>
      </c>
      <c r="AD972" t="s">
        <v>74</v>
      </c>
      <c r="AE972" t="s">
        <v>74</v>
      </c>
      <c r="AF972" t="s">
        <v>74</v>
      </c>
      <c r="AG972">
        <v>50</v>
      </c>
      <c r="AH972">
        <v>16</v>
      </c>
      <c r="AI972">
        <v>17</v>
      </c>
      <c r="AJ972">
        <v>2</v>
      </c>
      <c r="AK972">
        <v>22</v>
      </c>
      <c r="AL972" t="s">
        <v>74</v>
      </c>
      <c r="AM972" t="s">
        <v>74</v>
      </c>
      <c r="AN972" t="s">
        <v>74</v>
      </c>
      <c r="AO972" t="s">
        <v>27075</v>
      </c>
      <c r="AP972" t="s">
        <v>27076</v>
      </c>
      <c r="AQ972" t="s">
        <v>74</v>
      </c>
      <c r="AR972" t="s">
        <v>74</v>
      </c>
      <c r="AS972" t="s">
        <v>74</v>
      </c>
      <c r="AT972" t="s">
        <v>14918</v>
      </c>
      <c r="AU972">
        <v>2018</v>
      </c>
      <c r="AV972">
        <v>36</v>
      </c>
      <c r="AW972">
        <v>11</v>
      </c>
      <c r="AX972" t="s">
        <v>74</v>
      </c>
      <c r="AY972" t="s">
        <v>74</v>
      </c>
      <c r="AZ972" t="s">
        <v>74</v>
      </c>
      <c r="BA972" t="s">
        <v>74</v>
      </c>
      <c r="BB972">
        <v>1414</v>
      </c>
      <c r="BC972">
        <v>1422</v>
      </c>
      <c r="BD972" t="s">
        <v>74</v>
      </c>
      <c r="BE972" t="s">
        <v>27077</v>
      </c>
      <c r="BF972" t="str">
        <f>HYPERLINK("http://dx.doi.org/10.1016/j.vaccine.2018.01.078","http://dx.doi.org/10.1016/j.vaccine.2018.01.078")</f>
        <v>http://dx.doi.org/10.1016/j.vaccine.2018.01.078</v>
      </c>
      <c r="BG972" t="s">
        <v>74</v>
      </c>
      <c r="BH972" t="s">
        <v>74</v>
      </c>
      <c r="BI972" t="s">
        <v>74</v>
      </c>
      <c r="BJ972" t="s">
        <v>1496</v>
      </c>
      <c r="BK972" t="s">
        <v>117</v>
      </c>
      <c r="BL972" t="s">
        <v>1497</v>
      </c>
      <c r="BM972" t="s">
        <v>74</v>
      </c>
      <c r="BN972">
        <v>29415817</v>
      </c>
      <c r="BO972" t="s">
        <v>74</v>
      </c>
      <c r="BP972" t="s">
        <v>74</v>
      </c>
      <c r="BQ972" t="s">
        <v>74</v>
      </c>
      <c r="BR972" t="s">
        <v>96</v>
      </c>
      <c r="BS972" t="s">
        <v>27078</v>
      </c>
      <c r="BT972" t="str">
        <f>HYPERLINK("https%3A%2F%2Fwww.webofscience.com%2Fwos%2Fwoscc%2Ffull-record%2FWOS:000427212900013","View Full Record in Web of Science")</f>
        <v>View Full Record in Web of Science</v>
      </c>
    </row>
    <row r="973" spans="1:72" x14ac:dyDescent="0.15">
      <c r="A973" t="s">
        <v>98</v>
      </c>
      <c r="B973" t="s">
        <v>28161</v>
      </c>
      <c r="C973" t="s">
        <v>74</v>
      </c>
      <c r="D973" t="s">
        <v>74</v>
      </c>
      <c r="E973" t="s">
        <v>74</v>
      </c>
      <c r="F973" t="s">
        <v>28162</v>
      </c>
      <c r="G973" t="s">
        <v>74</v>
      </c>
      <c r="H973" t="s">
        <v>74</v>
      </c>
      <c r="I973" t="s">
        <v>28163</v>
      </c>
      <c r="J973" t="s">
        <v>1123</v>
      </c>
      <c r="K973" t="s">
        <v>74</v>
      </c>
      <c r="L973" t="s">
        <v>74</v>
      </c>
      <c r="M973" t="s">
        <v>74</v>
      </c>
      <c r="N973" t="s">
        <v>103</v>
      </c>
      <c r="O973" t="s">
        <v>74</v>
      </c>
      <c r="P973" t="s">
        <v>74</v>
      </c>
      <c r="Q973" t="s">
        <v>74</v>
      </c>
      <c r="R973" t="s">
        <v>74</v>
      </c>
      <c r="S973" t="s">
        <v>74</v>
      </c>
      <c r="T973" t="s">
        <v>28164</v>
      </c>
      <c r="U973" t="s">
        <v>28165</v>
      </c>
      <c r="V973" t="s">
        <v>28166</v>
      </c>
      <c r="W973" t="s">
        <v>28167</v>
      </c>
      <c r="X973" t="s">
        <v>28168</v>
      </c>
      <c r="Y973" t="s">
        <v>28169</v>
      </c>
      <c r="Z973" t="s">
        <v>28170</v>
      </c>
      <c r="AA973" t="s">
        <v>74</v>
      </c>
      <c r="AB973" t="s">
        <v>28171</v>
      </c>
      <c r="AC973" t="s">
        <v>74</v>
      </c>
      <c r="AD973" t="s">
        <v>74</v>
      </c>
      <c r="AE973" t="s">
        <v>74</v>
      </c>
      <c r="AF973" t="s">
        <v>74</v>
      </c>
      <c r="AG973">
        <v>28</v>
      </c>
      <c r="AH973">
        <v>16</v>
      </c>
      <c r="AI973">
        <v>16</v>
      </c>
      <c r="AJ973">
        <v>11</v>
      </c>
      <c r="AK973">
        <v>139</v>
      </c>
      <c r="AL973" t="s">
        <v>74</v>
      </c>
      <c r="AM973" t="s">
        <v>74</v>
      </c>
      <c r="AN973" t="s">
        <v>74</v>
      </c>
      <c r="AO973" t="s">
        <v>1132</v>
      </c>
      <c r="AP973" t="s">
        <v>1133</v>
      </c>
      <c r="AQ973" t="s">
        <v>74</v>
      </c>
      <c r="AR973" t="s">
        <v>74</v>
      </c>
      <c r="AS973" t="s">
        <v>74</v>
      </c>
      <c r="AT973" t="s">
        <v>150</v>
      </c>
      <c r="AU973">
        <v>2018</v>
      </c>
      <c r="AV973">
        <v>113</v>
      </c>
      <c r="AW973" t="s">
        <v>74</v>
      </c>
      <c r="AX973" t="s">
        <v>74</v>
      </c>
      <c r="AY973" t="s">
        <v>74</v>
      </c>
      <c r="AZ973" t="s">
        <v>74</v>
      </c>
      <c r="BA973" t="s">
        <v>74</v>
      </c>
      <c r="BB973">
        <v>74</v>
      </c>
      <c r="BC973">
        <v>81</v>
      </c>
      <c r="BD973" t="s">
        <v>74</v>
      </c>
      <c r="BE973" t="s">
        <v>28172</v>
      </c>
      <c r="BF973" t="str">
        <f>HYPERLINK("http://dx.doi.org/10.1016/j.bios.2018.04.023","http://dx.doi.org/10.1016/j.bios.2018.04.023")</f>
        <v>http://dx.doi.org/10.1016/j.bios.2018.04.023</v>
      </c>
      <c r="BG973" t="s">
        <v>74</v>
      </c>
      <c r="BH973" t="s">
        <v>74</v>
      </c>
      <c r="BI973" t="s">
        <v>74</v>
      </c>
      <c r="BJ973" t="s">
        <v>1137</v>
      </c>
      <c r="BK973" t="s">
        <v>117</v>
      </c>
      <c r="BL973" t="s">
        <v>1138</v>
      </c>
      <c r="BM973" t="s">
        <v>74</v>
      </c>
      <c r="BN973">
        <v>29734033</v>
      </c>
      <c r="BO973" t="s">
        <v>74</v>
      </c>
      <c r="BP973" t="s">
        <v>74</v>
      </c>
      <c r="BQ973" t="s">
        <v>74</v>
      </c>
      <c r="BR973" t="s">
        <v>96</v>
      </c>
      <c r="BS973" t="s">
        <v>28173</v>
      </c>
      <c r="BT973" t="str">
        <f>HYPERLINK("https%3A%2F%2Fwww.webofscience.com%2Fwos%2Fwoscc%2Ffull-record%2FWOS:000434750100010","View Full Record in Web of Science")</f>
        <v>View Full Record in Web of Science</v>
      </c>
    </row>
    <row r="974" spans="1:72" x14ac:dyDescent="0.15">
      <c r="A974" t="s">
        <v>98</v>
      </c>
      <c r="B974" t="s">
        <v>28927</v>
      </c>
      <c r="C974" t="s">
        <v>74</v>
      </c>
      <c r="D974" t="s">
        <v>74</v>
      </c>
      <c r="E974" t="s">
        <v>74</v>
      </c>
      <c r="F974" t="s">
        <v>28928</v>
      </c>
      <c r="G974" t="s">
        <v>74</v>
      </c>
      <c r="H974" t="s">
        <v>74</v>
      </c>
      <c r="I974" t="s">
        <v>28929</v>
      </c>
      <c r="J974" t="s">
        <v>256</v>
      </c>
      <c r="K974" t="s">
        <v>74</v>
      </c>
      <c r="L974" t="s">
        <v>74</v>
      </c>
      <c r="M974" t="s">
        <v>74</v>
      </c>
      <c r="N974" t="s">
        <v>103</v>
      </c>
      <c r="O974" t="s">
        <v>74</v>
      </c>
      <c r="P974" t="s">
        <v>74</v>
      </c>
      <c r="Q974" t="s">
        <v>74</v>
      </c>
      <c r="R974" t="s">
        <v>74</v>
      </c>
      <c r="S974" t="s">
        <v>74</v>
      </c>
      <c r="T974" t="s">
        <v>28930</v>
      </c>
      <c r="U974" t="s">
        <v>28931</v>
      </c>
      <c r="V974" t="s">
        <v>28932</v>
      </c>
      <c r="W974" t="s">
        <v>28933</v>
      </c>
      <c r="X974" t="s">
        <v>28934</v>
      </c>
      <c r="Y974" t="s">
        <v>28935</v>
      </c>
      <c r="Z974" t="s">
        <v>28936</v>
      </c>
      <c r="AA974" t="s">
        <v>28937</v>
      </c>
      <c r="AB974" t="s">
        <v>28938</v>
      </c>
      <c r="AC974" t="s">
        <v>74</v>
      </c>
      <c r="AD974" t="s">
        <v>74</v>
      </c>
      <c r="AE974" t="s">
        <v>74</v>
      </c>
      <c r="AF974" t="s">
        <v>74</v>
      </c>
      <c r="AG974">
        <v>71</v>
      </c>
      <c r="AH974">
        <v>16</v>
      </c>
      <c r="AI974">
        <v>17</v>
      </c>
      <c r="AJ974">
        <v>1</v>
      </c>
      <c r="AK974">
        <v>5</v>
      </c>
      <c r="AL974" t="s">
        <v>74</v>
      </c>
      <c r="AM974" t="s">
        <v>74</v>
      </c>
      <c r="AN974" t="s">
        <v>74</v>
      </c>
      <c r="AO974" t="s">
        <v>264</v>
      </c>
      <c r="AP974" t="s">
        <v>74</v>
      </c>
      <c r="AQ974" t="s">
        <v>74</v>
      </c>
      <c r="AR974" t="s">
        <v>74</v>
      </c>
      <c r="AS974" t="s">
        <v>74</v>
      </c>
      <c r="AT974" t="s">
        <v>24106</v>
      </c>
      <c r="AU974">
        <v>2019</v>
      </c>
      <c r="AV974">
        <v>19</v>
      </c>
      <c r="AW974" t="s">
        <v>74</v>
      </c>
      <c r="AX974" t="s">
        <v>74</v>
      </c>
      <c r="AY974" t="s">
        <v>74</v>
      </c>
      <c r="AZ974" t="s">
        <v>74</v>
      </c>
      <c r="BA974" t="s">
        <v>74</v>
      </c>
      <c r="BB974" t="s">
        <v>74</v>
      </c>
      <c r="BC974" t="s">
        <v>74</v>
      </c>
      <c r="BD974">
        <v>666</v>
      </c>
      <c r="BE974" t="s">
        <v>28939</v>
      </c>
      <c r="BF974" t="str">
        <f>HYPERLINK("http://dx.doi.org/10.1186/s12885-019-5883-y","http://dx.doi.org/10.1186/s12885-019-5883-y")</f>
        <v>http://dx.doi.org/10.1186/s12885-019-5883-y</v>
      </c>
      <c r="BG974" t="s">
        <v>74</v>
      </c>
      <c r="BH974" t="s">
        <v>74</v>
      </c>
      <c r="BI974" t="s">
        <v>74</v>
      </c>
      <c r="BJ974" t="s">
        <v>267</v>
      </c>
      <c r="BK974" t="s">
        <v>117</v>
      </c>
      <c r="BL974" t="s">
        <v>267</v>
      </c>
      <c r="BM974" t="s">
        <v>74</v>
      </c>
      <c r="BN974">
        <v>31277602</v>
      </c>
      <c r="BO974" t="s">
        <v>74</v>
      </c>
      <c r="BP974" t="s">
        <v>74</v>
      </c>
      <c r="BQ974" t="s">
        <v>74</v>
      </c>
      <c r="BR974" t="s">
        <v>96</v>
      </c>
      <c r="BS974" t="s">
        <v>28940</v>
      </c>
      <c r="BT974" t="str">
        <f>HYPERLINK("https%3A%2F%2Fwww.webofscience.com%2Fwos%2Fwoscc%2Ffull-record%2FWOS:000474543800004","View Full Record in Web of Science")</f>
        <v>View Full Record in Web of Science</v>
      </c>
    </row>
    <row r="975" spans="1:72" x14ac:dyDescent="0.15">
      <c r="A975" t="s">
        <v>98</v>
      </c>
      <c r="B975" t="s">
        <v>29742</v>
      </c>
      <c r="C975" t="s">
        <v>74</v>
      </c>
      <c r="D975" t="s">
        <v>74</v>
      </c>
      <c r="E975" t="s">
        <v>74</v>
      </c>
      <c r="F975" t="s">
        <v>29743</v>
      </c>
      <c r="G975" t="s">
        <v>74</v>
      </c>
      <c r="H975" t="s">
        <v>74</v>
      </c>
      <c r="I975" t="s">
        <v>29744</v>
      </c>
      <c r="J975" t="s">
        <v>29745</v>
      </c>
      <c r="K975" t="s">
        <v>74</v>
      </c>
      <c r="L975" t="s">
        <v>74</v>
      </c>
      <c r="M975" t="s">
        <v>74</v>
      </c>
      <c r="N975" t="s">
        <v>103</v>
      </c>
      <c r="O975" t="s">
        <v>74</v>
      </c>
      <c r="P975" t="s">
        <v>74</v>
      </c>
      <c r="Q975" t="s">
        <v>74</v>
      </c>
      <c r="R975" t="s">
        <v>74</v>
      </c>
      <c r="S975" t="s">
        <v>74</v>
      </c>
      <c r="T975" t="s">
        <v>74</v>
      </c>
      <c r="U975" t="s">
        <v>29746</v>
      </c>
      <c r="V975" t="s">
        <v>29747</v>
      </c>
      <c r="W975" t="s">
        <v>29748</v>
      </c>
      <c r="X975" t="s">
        <v>29749</v>
      </c>
      <c r="Y975" t="s">
        <v>29750</v>
      </c>
      <c r="Z975" t="s">
        <v>29751</v>
      </c>
      <c r="AA975" t="s">
        <v>74</v>
      </c>
      <c r="AB975" t="s">
        <v>74</v>
      </c>
      <c r="AC975" t="s">
        <v>74</v>
      </c>
      <c r="AD975" t="s">
        <v>74</v>
      </c>
      <c r="AE975" t="s">
        <v>74</v>
      </c>
      <c r="AF975" t="s">
        <v>74</v>
      </c>
      <c r="AG975">
        <v>41</v>
      </c>
      <c r="AH975">
        <v>16</v>
      </c>
      <c r="AI975">
        <v>19</v>
      </c>
      <c r="AJ975">
        <v>1</v>
      </c>
      <c r="AK975">
        <v>7</v>
      </c>
      <c r="AL975" t="s">
        <v>74</v>
      </c>
      <c r="AM975" t="s">
        <v>74</v>
      </c>
      <c r="AN975" t="s">
        <v>74</v>
      </c>
      <c r="AO975" t="s">
        <v>29752</v>
      </c>
      <c r="AP975" t="s">
        <v>74</v>
      </c>
      <c r="AQ975" t="s">
        <v>74</v>
      </c>
      <c r="AR975" t="s">
        <v>74</v>
      </c>
      <c r="AS975" t="s">
        <v>74</v>
      </c>
      <c r="AT975" t="s">
        <v>132</v>
      </c>
      <c r="AU975">
        <v>2013</v>
      </c>
      <c r="AV975">
        <v>74</v>
      </c>
      <c r="AW975">
        <v>4</v>
      </c>
      <c r="AX975" t="s">
        <v>74</v>
      </c>
      <c r="AY975" t="s">
        <v>74</v>
      </c>
      <c r="AZ975" t="s">
        <v>447</v>
      </c>
      <c r="BA975" t="s">
        <v>74</v>
      </c>
      <c r="BB975">
        <v>417</v>
      </c>
      <c r="BC975">
        <v>424</v>
      </c>
      <c r="BD975" t="s">
        <v>74</v>
      </c>
      <c r="BE975" t="s">
        <v>29753</v>
      </c>
      <c r="BF975" t="str">
        <f>HYPERLINK("http://dx.doi.org/10.1016/j.humimm.2012.11.022","http://dx.doi.org/10.1016/j.humimm.2012.11.022")</f>
        <v>http://dx.doi.org/10.1016/j.humimm.2012.11.022</v>
      </c>
      <c r="BG975" t="s">
        <v>74</v>
      </c>
      <c r="BH975" t="s">
        <v>74</v>
      </c>
      <c r="BI975" t="s">
        <v>74</v>
      </c>
      <c r="BJ975" t="s">
        <v>2064</v>
      </c>
      <c r="BK975" t="s">
        <v>117</v>
      </c>
      <c r="BL975" t="s">
        <v>2064</v>
      </c>
      <c r="BM975" t="s">
        <v>74</v>
      </c>
      <c r="BN975">
        <v>23228393</v>
      </c>
      <c r="BO975" t="s">
        <v>74</v>
      </c>
      <c r="BP975" t="s">
        <v>74</v>
      </c>
      <c r="BQ975" t="s">
        <v>74</v>
      </c>
      <c r="BR975" t="s">
        <v>96</v>
      </c>
      <c r="BS975" t="s">
        <v>29754</v>
      </c>
      <c r="BT975" t="str">
        <f>HYPERLINK("https%3A%2F%2Fwww.webofscience.com%2Fwos%2Fwoscc%2Ffull-record%2FWOS:000317025100006","View Full Record in Web of Science")</f>
        <v>View Full Record in Web of Science</v>
      </c>
    </row>
    <row r="976" spans="1:72" x14ac:dyDescent="0.15">
      <c r="A976" t="s">
        <v>98</v>
      </c>
      <c r="B976" t="s">
        <v>1199</v>
      </c>
      <c r="C976" t="s">
        <v>74</v>
      </c>
      <c r="D976" t="s">
        <v>74</v>
      </c>
      <c r="E976" t="s">
        <v>74</v>
      </c>
      <c r="F976" t="s">
        <v>1199</v>
      </c>
      <c r="G976" t="s">
        <v>74</v>
      </c>
      <c r="H976" t="s">
        <v>74</v>
      </c>
      <c r="I976" t="s">
        <v>1200</v>
      </c>
      <c r="J976" t="s">
        <v>1201</v>
      </c>
      <c r="K976" t="s">
        <v>74</v>
      </c>
      <c r="L976" t="s">
        <v>74</v>
      </c>
      <c r="M976" t="s">
        <v>74</v>
      </c>
      <c r="N976" t="s">
        <v>103</v>
      </c>
      <c r="O976" t="s">
        <v>74</v>
      </c>
      <c r="P976" t="s">
        <v>74</v>
      </c>
      <c r="Q976" t="s">
        <v>74</v>
      </c>
      <c r="R976" t="s">
        <v>74</v>
      </c>
      <c r="S976" t="s">
        <v>74</v>
      </c>
      <c r="T976" t="s">
        <v>1202</v>
      </c>
      <c r="U976" t="s">
        <v>1203</v>
      </c>
      <c r="V976" t="s">
        <v>1204</v>
      </c>
      <c r="W976" t="s">
        <v>1205</v>
      </c>
      <c r="X976" t="s">
        <v>1206</v>
      </c>
      <c r="Y976" t="s">
        <v>1207</v>
      </c>
      <c r="Z976" t="s">
        <v>1208</v>
      </c>
      <c r="AA976" t="s">
        <v>74</v>
      </c>
      <c r="AB976" t="s">
        <v>1209</v>
      </c>
      <c r="AC976" t="s">
        <v>74</v>
      </c>
      <c r="AD976" t="s">
        <v>74</v>
      </c>
      <c r="AE976" t="s">
        <v>74</v>
      </c>
      <c r="AF976" t="s">
        <v>74</v>
      </c>
      <c r="AG976">
        <v>46</v>
      </c>
      <c r="AH976">
        <v>15</v>
      </c>
      <c r="AI976">
        <v>16</v>
      </c>
      <c r="AJ976">
        <v>0</v>
      </c>
      <c r="AK976">
        <v>4</v>
      </c>
      <c r="AL976" t="s">
        <v>74</v>
      </c>
      <c r="AM976" t="s">
        <v>74</v>
      </c>
      <c r="AN976" t="s">
        <v>74</v>
      </c>
      <c r="AO976" t="s">
        <v>1210</v>
      </c>
      <c r="AP976" t="s">
        <v>1211</v>
      </c>
      <c r="AQ976" t="s">
        <v>74</v>
      </c>
      <c r="AR976" t="s">
        <v>74</v>
      </c>
      <c r="AS976" t="s">
        <v>74</v>
      </c>
      <c r="AT976" t="s">
        <v>1029</v>
      </c>
      <c r="AU976">
        <v>1998</v>
      </c>
      <c r="AV976">
        <v>54</v>
      </c>
      <c r="AW976">
        <v>5</v>
      </c>
      <c r="AX976" t="s">
        <v>74</v>
      </c>
      <c r="AY976" t="s">
        <v>74</v>
      </c>
      <c r="AZ976" t="s">
        <v>74</v>
      </c>
      <c r="BA976" t="s">
        <v>74</v>
      </c>
      <c r="BB976">
        <v>476</v>
      </c>
      <c r="BC976">
        <v>487</v>
      </c>
      <c r="BD976" t="s">
        <v>74</v>
      </c>
      <c r="BE976" t="s">
        <v>1212</v>
      </c>
      <c r="BF976" t="str">
        <f>HYPERLINK("http://dx.doi.org/10.1007/s000180050176","http://dx.doi.org/10.1007/s000180050176")</f>
        <v>http://dx.doi.org/10.1007/s000180050176</v>
      </c>
      <c r="BG976" t="s">
        <v>74</v>
      </c>
      <c r="BH976" t="s">
        <v>74</v>
      </c>
      <c r="BI976" t="s">
        <v>74</v>
      </c>
      <c r="BJ976" t="s">
        <v>498</v>
      </c>
      <c r="BK976" t="s">
        <v>117</v>
      </c>
      <c r="BL976" t="s">
        <v>498</v>
      </c>
      <c r="BM976" t="s">
        <v>74</v>
      </c>
      <c r="BN976">
        <v>9645228</v>
      </c>
      <c r="BO976" t="s">
        <v>74</v>
      </c>
      <c r="BP976" t="s">
        <v>74</v>
      </c>
      <c r="BQ976" t="s">
        <v>74</v>
      </c>
      <c r="BR976" t="s">
        <v>96</v>
      </c>
      <c r="BS976" t="s">
        <v>1213</v>
      </c>
      <c r="BT976" t="str">
        <f>HYPERLINK("https%3A%2F%2Fwww.webofscience.com%2Fwos%2Fwoscc%2Ffull-record%2FWOS:000074179000009","View Full Record in Web of Science")</f>
        <v>View Full Record in Web of Science</v>
      </c>
    </row>
    <row r="977" spans="1:72" x14ac:dyDescent="0.15">
      <c r="A977" t="s">
        <v>98</v>
      </c>
      <c r="B977" t="s">
        <v>1541</v>
      </c>
      <c r="C977" t="s">
        <v>74</v>
      </c>
      <c r="D977" t="s">
        <v>74</v>
      </c>
      <c r="E977" t="s">
        <v>74</v>
      </c>
      <c r="F977" t="s">
        <v>1542</v>
      </c>
      <c r="G977" t="s">
        <v>74</v>
      </c>
      <c r="H977" t="s">
        <v>74</v>
      </c>
      <c r="I977" t="s">
        <v>1543</v>
      </c>
      <c r="J977" t="s">
        <v>1544</v>
      </c>
      <c r="K977" t="s">
        <v>74</v>
      </c>
      <c r="L977" t="s">
        <v>74</v>
      </c>
      <c r="M977" t="s">
        <v>74</v>
      </c>
      <c r="N977" t="s">
        <v>103</v>
      </c>
      <c r="O977" t="s">
        <v>74</v>
      </c>
      <c r="P977" t="s">
        <v>74</v>
      </c>
      <c r="Q977" t="s">
        <v>74</v>
      </c>
      <c r="R977" t="s">
        <v>74</v>
      </c>
      <c r="S977" t="s">
        <v>74</v>
      </c>
      <c r="T977" t="s">
        <v>1545</v>
      </c>
      <c r="U977" t="s">
        <v>1546</v>
      </c>
      <c r="V977" t="s">
        <v>1547</v>
      </c>
      <c r="W977" t="s">
        <v>1548</v>
      </c>
      <c r="X977" t="s">
        <v>1549</v>
      </c>
      <c r="Y977" t="s">
        <v>1550</v>
      </c>
      <c r="Z977" t="s">
        <v>1551</v>
      </c>
      <c r="AA977" t="s">
        <v>1552</v>
      </c>
      <c r="AB977" t="s">
        <v>1553</v>
      </c>
      <c r="AC977" t="s">
        <v>74</v>
      </c>
      <c r="AD977" t="s">
        <v>74</v>
      </c>
      <c r="AE977" t="s">
        <v>74</v>
      </c>
      <c r="AF977" t="s">
        <v>74</v>
      </c>
      <c r="AG977">
        <v>52</v>
      </c>
      <c r="AH977">
        <v>15</v>
      </c>
      <c r="AI977">
        <v>15</v>
      </c>
      <c r="AJ977">
        <v>3</v>
      </c>
      <c r="AK977">
        <v>17</v>
      </c>
      <c r="AL977" t="s">
        <v>74</v>
      </c>
      <c r="AM977" t="s">
        <v>74</v>
      </c>
      <c r="AN977" t="s">
        <v>74</v>
      </c>
      <c r="AO977" t="s">
        <v>1554</v>
      </c>
      <c r="AP977" t="s">
        <v>1555</v>
      </c>
      <c r="AQ977" t="s">
        <v>74</v>
      </c>
      <c r="AR977" t="s">
        <v>74</v>
      </c>
      <c r="AS977" t="s">
        <v>74</v>
      </c>
      <c r="AT977" t="s">
        <v>283</v>
      </c>
      <c r="AU977">
        <v>2021</v>
      </c>
      <c r="AV977">
        <v>160</v>
      </c>
      <c r="AW977">
        <v>3</v>
      </c>
      <c r="AX977" t="s">
        <v>74</v>
      </c>
      <c r="AY977" t="s">
        <v>74</v>
      </c>
      <c r="AZ977" t="s">
        <v>74</v>
      </c>
      <c r="BA977" t="s">
        <v>74</v>
      </c>
      <c r="BB977">
        <v>863</v>
      </c>
      <c r="BC977">
        <v>874</v>
      </c>
      <c r="BD977" t="s">
        <v>74</v>
      </c>
      <c r="BE977" t="s">
        <v>1556</v>
      </c>
      <c r="BF977" t="str">
        <f>HYPERLINK("http://dx.doi.org/10.1053/j.gastro.2020.10.042","http://dx.doi.org/10.1053/j.gastro.2020.10.042")</f>
        <v>http://dx.doi.org/10.1053/j.gastro.2020.10.042</v>
      </c>
      <c r="BG977" t="s">
        <v>74</v>
      </c>
      <c r="BH977" t="s">
        <v>1557</v>
      </c>
      <c r="BI977" t="s">
        <v>74</v>
      </c>
      <c r="BJ977" t="s">
        <v>633</v>
      </c>
      <c r="BK977" t="s">
        <v>117</v>
      </c>
      <c r="BL977" t="s">
        <v>633</v>
      </c>
      <c r="BM977" t="s">
        <v>74</v>
      </c>
      <c r="BN977">
        <v>33152356</v>
      </c>
      <c r="BO977" t="s">
        <v>74</v>
      </c>
      <c r="BP977" t="s">
        <v>74</v>
      </c>
      <c r="BQ977" t="s">
        <v>74</v>
      </c>
      <c r="BR977" t="s">
        <v>96</v>
      </c>
      <c r="BS977" t="s">
        <v>1558</v>
      </c>
      <c r="BT977" t="str">
        <f>HYPERLINK("https%3A%2F%2Fwww.webofscience.com%2Fwos%2Fwoscc%2Ffull-record%2FWOS:000627420700040","View Full Record in Web of Science")</f>
        <v>View Full Record in Web of Science</v>
      </c>
    </row>
    <row r="978" spans="1:72" x14ac:dyDescent="0.15">
      <c r="A978" t="s">
        <v>98</v>
      </c>
      <c r="B978" t="s">
        <v>1744</v>
      </c>
      <c r="C978" t="s">
        <v>74</v>
      </c>
      <c r="D978" t="s">
        <v>74</v>
      </c>
      <c r="E978" t="s">
        <v>74</v>
      </c>
      <c r="F978" t="s">
        <v>1745</v>
      </c>
      <c r="G978" t="s">
        <v>74</v>
      </c>
      <c r="H978" t="s">
        <v>74</v>
      </c>
      <c r="I978" t="s">
        <v>1746</v>
      </c>
      <c r="J978" t="s">
        <v>1747</v>
      </c>
      <c r="K978" t="s">
        <v>74</v>
      </c>
      <c r="L978" t="s">
        <v>74</v>
      </c>
      <c r="M978" t="s">
        <v>74</v>
      </c>
      <c r="N978" t="s">
        <v>103</v>
      </c>
      <c r="O978" t="s">
        <v>74</v>
      </c>
      <c r="P978" t="s">
        <v>74</v>
      </c>
      <c r="Q978" t="s">
        <v>74</v>
      </c>
      <c r="R978" t="s">
        <v>74</v>
      </c>
      <c r="S978" t="s">
        <v>74</v>
      </c>
      <c r="T978" t="s">
        <v>1748</v>
      </c>
      <c r="U978" t="s">
        <v>1749</v>
      </c>
      <c r="V978" t="s">
        <v>1750</v>
      </c>
      <c r="W978" t="s">
        <v>1751</v>
      </c>
      <c r="X978" t="s">
        <v>1752</v>
      </c>
      <c r="Y978" t="s">
        <v>1753</v>
      </c>
      <c r="Z978" t="s">
        <v>1754</v>
      </c>
      <c r="AA978" t="s">
        <v>1755</v>
      </c>
      <c r="AB978" t="s">
        <v>1756</v>
      </c>
      <c r="AC978" t="s">
        <v>74</v>
      </c>
      <c r="AD978" t="s">
        <v>74</v>
      </c>
      <c r="AE978" t="s">
        <v>74</v>
      </c>
      <c r="AF978" t="s">
        <v>74</v>
      </c>
      <c r="AG978">
        <v>36</v>
      </c>
      <c r="AH978">
        <v>15</v>
      </c>
      <c r="AI978">
        <v>16</v>
      </c>
      <c r="AJ978">
        <v>0</v>
      </c>
      <c r="AK978">
        <v>5</v>
      </c>
      <c r="AL978" t="s">
        <v>74</v>
      </c>
      <c r="AM978" t="s">
        <v>74</v>
      </c>
      <c r="AN978" t="s">
        <v>74</v>
      </c>
      <c r="AO978" t="s">
        <v>1757</v>
      </c>
      <c r="AP978" t="s">
        <v>1758</v>
      </c>
      <c r="AQ978" t="s">
        <v>74</v>
      </c>
      <c r="AR978" t="s">
        <v>74</v>
      </c>
      <c r="AS978" t="s">
        <v>74</v>
      </c>
      <c r="AT978" t="s">
        <v>132</v>
      </c>
      <c r="AU978">
        <v>2018</v>
      </c>
      <c r="AV978">
        <v>14</v>
      </c>
      <c r="AW978">
        <v>3</v>
      </c>
      <c r="AX978" t="s">
        <v>74</v>
      </c>
      <c r="AY978" t="s">
        <v>74</v>
      </c>
      <c r="AZ978" t="s">
        <v>74</v>
      </c>
      <c r="BA978" t="s">
        <v>74</v>
      </c>
      <c r="BB978">
        <v>875</v>
      </c>
      <c r="BC978">
        <v>882</v>
      </c>
      <c r="BD978" t="s">
        <v>74</v>
      </c>
      <c r="BE978" t="s">
        <v>1759</v>
      </c>
      <c r="BF978" t="str">
        <f>HYPERLINK("http://dx.doi.org/10.1016/j.nano.2017.12.009","http://dx.doi.org/10.1016/j.nano.2017.12.009")</f>
        <v>http://dx.doi.org/10.1016/j.nano.2017.12.009</v>
      </c>
      <c r="BG978" t="s">
        <v>74</v>
      </c>
      <c r="BH978" t="s">
        <v>74</v>
      </c>
      <c r="BI978" t="s">
        <v>74</v>
      </c>
      <c r="BJ978" t="s">
        <v>1760</v>
      </c>
      <c r="BK978" t="s">
        <v>117</v>
      </c>
      <c r="BL978" t="s">
        <v>1761</v>
      </c>
      <c r="BM978" t="s">
        <v>74</v>
      </c>
      <c r="BN978">
        <v>29288729</v>
      </c>
      <c r="BO978" t="s">
        <v>74</v>
      </c>
      <c r="BP978" t="s">
        <v>74</v>
      </c>
      <c r="BQ978" t="s">
        <v>74</v>
      </c>
      <c r="BR978" t="s">
        <v>96</v>
      </c>
      <c r="BS978" t="s">
        <v>1762</v>
      </c>
      <c r="BT978" t="str">
        <f>HYPERLINK("https%3A%2F%2Fwww.webofscience.com%2Fwos%2Fwoscc%2Ffull-record%2FWOS:000429528900022","View Full Record in Web of Science")</f>
        <v>View Full Record in Web of Science</v>
      </c>
    </row>
    <row r="979" spans="1:72" x14ac:dyDescent="0.15">
      <c r="A979" t="s">
        <v>98</v>
      </c>
      <c r="B979" t="s">
        <v>2295</v>
      </c>
      <c r="C979" t="s">
        <v>74</v>
      </c>
      <c r="D979" t="s">
        <v>74</v>
      </c>
      <c r="E979" t="s">
        <v>74</v>
      </c>
      <c r="F979" t="s">
        <v>2296</v>
      </c>
      <c r="G979" t="s">
        <v>74</v>
      </c>
      <c r="H979" t="s">
        <v>74</v>
      </c>
      <c r="I979" t="s">
        <v>2297</v>
      </c>
      <c r="J979" t="s">
        <v>2298</v>
      </c>
      <c r="K979" t="s">
        <v>74</v>
      </c>
      <c r="L979" t="s">
        <v>74</v>
      </c>
      <c r="M979" t="s">
        <v>74</v>
      </c>
      <c r="N979" t="s">
        <v>103</v>
      </c>
      <c r="O979" t="s">
        <v>74</v>
      </c>
      <c r="P979" t="s">
        <v>74</v>
      </c>
      <c r="Q979" t="s">
        <v>74</v>
      </c>
      <c r="R979" t="s">
        <v>74</v>
      </c>
      <c r="S979" t="s">
        <v>74</v>
      </c>
      <c r="T979" t="s">
        <v>2299</v>
      </c>
      <c r="U979" t="s">
        <v>2300</v>
      </c>
      <c r="V979" t="s">
        <v>2301</v>
      </c>
      <c r="W979" t="s">
        <v>2302</v>
      </c>
      <c r="X979" t="s">
        <v>2303</v>
      </c>
      <c r="Y979" t="s">
        <v>2304</v>
      </c>
      <c r="Z979" t="s">
        <v>2305</v>
      </c>
      <c r="AA979" t="s">
        <v>74</v>
      </c>
      <c r="AB979" t="s">
        <v>74</v>
      </c>
      <c r="AC979" t="s">
        <v>74</v>
      </c>
      <c r="AD979" t="s">
        <v>74</v>
      </c>
      <c r="AE979" t="s">
        <v>74</v>
      </c>
      <c r="AF979" t="s">
        <v>74</v>
      </c>
      <c r="AG979">
        <v>105</v>
      </c>
      <c r="AH979">
        <v>15</v>
      </c>
      <c r="AI979">
        <v>16</v>
      </c>
      <c r="AJ979">
        <v>3</v>
      </c>
      <c r="AK979">
        <v>11</v>
      </c>
      <c r="AL979" t="s">
        <v>74</v>
      </c>
      <c r="AM979" t="s">
        <v>74</v>
      </c>
      <c r="AN979" t="s">
        <v>74</v>
      </c>
      <c r="AO979" t="s">
        <v>2306</v>
      </c>
      <c r="AP979" t="s">
        <v>2307</v>
      </c>
      <c r="AQ979" t="s">
        <v>74</v>
      </c>
      <c r="AR979" t="s">
        <v>74</v>
      </c>
      <c r="AS979" t="s">
        <v>74</v>
      </c>
      <c r="AT979" t="s">
        <v>2081</v>
      </c>
      <c r="AU979">
        <v>2021</v>
      </c>
      <c r="AV979">
        <v>277</v>
      </c>
      <c r="AW979" t="s">
        <v>74</v>
      </c>
      <c r="AX979" t="s">
        <v>74</v>
      </c>
      <c r="AY979" t="s">
        <v>74</v>
      </c>
      <c r="AZ979" t="s">
        <v>74</v>
      </c>
      <c r="BA979" t="s">
        <v>74</v>
      </c>
      <c r="BB979" t="s">
        <v>74</v>
      </c>
      <c r="BC979" t="s">
        <v>74</v>
      </c>
      <c r="BD979">
        <v>119458</v>
      </c>
      <c r="BE979" t="s">
        <v>2308</v>
      </c>
      <c r="BF979" t="str">
        <f>HYPERLINK("http://dx.doi.org/10.1016/j.lfs.2021.119458","http://dx.doi.org/10.1016/j.lfs.2021.119458")</f>
        <v>http://dx.doi.org/10.1016/j.lfs.2021.119458</v>
      </c>
      <c r="BG979" t="s">
        <v>74</v>
      </c>
      <c r="BH979" t="s">
        <v>1273</v>
      </c>
      <c r="BI979" t="s">
        <v>74</v>
      </c>
      <c r="BJ979" t="s">
        <v>191</v>
      </c>
      <c r="BK979" t="s">
        <v>117</v>
      </c>
      <c r="BL979" t="s">
        <v>192</v>
      </c>
      <c r="BM979" t="s">
        <v>74</v>
      </c>
      <c r="BN979">
        <v>33831424</v>
      </c>
      <c r="BO979" t="s">
        <v>74</v>
      </c>
      <c r="BP979" t="s">
        <v>74</v>
      </c>
      <c r="BQ979" t="s">
        <v>74</v>
      </c>
      <c r="BR979" t="s">
        <v>96</v>
      </c>
      <c r="BS979" t="s">
        <v>2309</v>
      </c>
      <c r="BT979" t="str">
        <f>HYPERLINK("https%3A%2F%2Fwww.webofscience.com%2Fwos%2Fwoscc%2Ffull-record%2FWOS:000663407300001","View Full Record in Web of Science")</f>
        <v>View Full Record in Web of Science</v>
      </c>
    </row>
    <row r="980" spans="1:72" x14ac:dyDescent="0.15">
      <c r="A980" t="s">
        <v>98</v>
      </c>
      <c r="B980" t="s">
        <v>2595</v>
      </c>
      <c r="C980" t="s">
        <v>74</v>
      </c>
      <c r="D980" t="s">
        <v>74</v>
      </c>
      <c r="E980" t="s">
        <v>74</v>
      </c>
      <c r="F980" t="s">
        <v>2596</v>
      </c>
      <c r="G980" t="s">
        <v>74</v>
      </c>
      <c r="H980" t="s">
        <v>74</v>
      </c>
      <c r="I980" t="s">
        <v>2597</v>
      </c>
      <c r="J980" t="s">
        <v>1712</v>
      </c>
      <c r="K980" t="s">
        <v>74</v>
      </c>
      <c r="L980" t="s">
        <v>74</v>
      </c>
      <c r="M980" t="s">
        <v>74</v>
      </c>
      <c r="N980" t="s">
        <v>103</v>
      </c>
      <c r="O980" t="s">
        <v>74</v>
      </c>
      <c r="P980" t="s">
        <v>74</v>
      </c>
      <c r="Q980" t="s">
        <v>74</v>
      </c>
      <c r="R980" t="s">
        <v>74</v>
      </c>
      <c r="S980" t="s">
        <v>74</v>
      </c>
      <c r="T980" t="s">
        <v>2598</v>
      </c>
      <c r="U980" t="s">
        <v>74</v>
      </c>
      <c r="V980" t="s">
        <v>2599</v>
      </c>
      <c r="W980" t="s">
        <v>2600</v>
      </c>
      <c r="X980" t="s">
        <v>2601</v>
      </c>
      <c r="Y980" t="s">
        <v>2602</v>
      </c>
      <c r="Z980" t="s">
        <v>2603</v>
      </c>
      <c r="AA980" t="s">
        <v>74</v>
      </c>
      <c r="AB980" t="s">
        <v>2604</v>
      </c>
      <c r="AC980" t="s">
        <v>74</v>
      </c>
      <c r="AD980" t="s">
        <v>74</v>
      </c>
      <c r="AE980" t="s">
        <v>74</v>
      </c>
      <c r="AF980" t="s">
        <v>74</v>
      </c>
      <c r="AG980">
        <v>27</v>
      </c>
      <c r="AH980">
        <v>15</v>
      </c>
      <c r="AI980">
        <v>15</v>
      </c>
      <c r="AJ980">
        <v>18</v>
      </c>
      <c r="AK980">
        <v>54</v>
      </c>
      <c r="AL980" t="s">
        <v>74</v>
      </c>
      <c r="AM980" t="s">
        <v>74</v>
      </c>
      <c r="AN980" t="s">
        <v>74</v>
      </c>
      <c r="AO980" t="s">
        <v>1722</v>
      </c>
      <c r="AP980" t="s">
        <v>1723</v>
      </c>
      <c r="AQ980" t="s">
        <v>74</v>
      </c>
      <c r="AR980" t="s">
        <v>74</v>
      </c>
      <c r="AS980" t="s">
        <v>74</v>
      </c>
      <c r="AT980" t="s">
        <v>2605</v>
      </c>
      <c r="AU980">
        <v>2021</v>
      </c>
      <c r="AV980">
        <v>15</v>
      </c>
      <c r="AW980">
        <v>3</v>
      </c>
      <c r="AX980" t="s">
        <v>74</v>
      </c>
      <c r="AY980" t="s">
        <v>74</v>
      </c>
      <c r="AZ980" t="s">
        <v>74</v>
      </c>
      <c r="BA980" t="s">
        <v>74</v>
      </c>
      <c r="BB980">
        <v>5631</v>
      </c>
      <c r="BC980">
        <v>5638</v>
      </c>
      <c r="BD980" t="s">
        <v>74</v>
      </c>
      <c r="BE980" t="s">
        <v>2606</v>
      </c>
      <c r="BF980" t="str">
        <f>HYPERLINK("http://dx.doi.org/10.1021/acsnano.1c00782","http://dx.doi.org/10.1021/acsnano.1c00782")</f>
        <v>http://dx.doi.org/10.1021/acsnano.1c00782</v>
      </c>
      <c r="BG980" t="s">
        <v>74</v>
      </c>
      <c r="BH980" t="s">
        <v>2607</v>
      </c>
      <c r="BI980" t="s">
        <v>74</v>
      </c>
      <c r="BJ980" t="s">
        <v>1725</v>
      </c>
      <c r="BK980" t="s">
        <v>117</v>
      </c>
      <c r="BL980" t="s">
        <v>1275</v>
      </c>
      <c r="BM980" t="s">
        <v>74</v>
      </c>
      <c r="BN980">
        <v>33687214</v>
      </c>
      <c r="BO980" t="s">
        <v>74</v>
      </c>
      <c r="BP980" t="s">
        <v>74</v>
      </c>
      <c r="BQ980" t="s">
        <v>74</v>
      </c>
      <c r="BR980" t="s">
        <v>96</v>
      </c>
      <c r="BS980" t="s">
        <v>2608</v>
      </c>
      <c r="BT980" t="str">
        <f>HYPERLINK("https%3A%2F%2Fwww.webofscience.com%2Fwos%2Fwoscc%2Ffull-record%2FWOS:000634569100170","View Full Record in Web of Science")</f>
        <v>View Full Record in Web of Science</v>
      </c>
    </row>
    <row r="981" spans="1:72" x14ac:dyDescent="0.15">
      <c r="A981" t="s">
        <v>98</v>
      </c>
      <c r="B981" t="s">
        <v>3046</v>
      </c>
      <c r="C981" t="s">
        <v>74</v>
      </c>
      <c r="D981" t="s">
        <v>74</v>
      </c>
      <c r="E981" t="s">
        <v>74</v>
      </c>
      <c r="F981" t="s">
        <v>3047</v>
      </c>
      <c r="G981" t="s">
        <v>74</v>
      </c>
      <c r="H981" t="s">
        <v>74</v>
      </c>
      <c r="I981" t="s">
        <v>3048</v>
      </c>
      <c r="J981" t="s">
        <v>123</v>
      </c>
      <c r="K981" t="s">
        <v>74</v>
      </c>
      <c r="L981" t="s">
        <v>74</v>
      </c>
      <c r="M981" t="s">
        <v>74</v>
      </c>
      <c r="N981" t="s">
        <v>103</v>
      </c>
      <c r="O981" t="s">
        <v>74</v>
      </c>
      <c r="P981" t="s">
        <v>74</v>
      </c>
      <c r="Q981" t="s">
        <v>74</v>
      </c>
      <c r="R981" t="s">
        <v>74</v>
      </c>
      <c r="S981" t="s">
        <v>74</v>
      </c>
      <c r="T981" t="s">
        <v>3049</v>
      </c>
      <c r="U981" t="s">
        <v>3050</v>
      </c>
      <c r="V981" t="s">
        <v>3051</v>
      </c>
      <c r="W981" t="s">
        <v>3052</v>
      </c>
      <c r="X981" t="s">
        <v>3053</v>
      </c>
      <c r="Y981" t="s">
        <v>3054</v>
      </c>
      <c r="Z981" t="s">
        <v>3055</v>
      </c>
      <c r="AA981" t="s">
        <v>2160</v>
      </c>
      <c r="AB981" t="s">
        <v>3056</v>
      </c>
      <c r="AC981" t="s">
        <v>74</v>
      </c>
      <c r="AD981" t="s">
        <v>74</v>
      </c>
      <c r="AE981" t="s">
        <v>74</v>
      </c>
      <c r="AF981" t="s">
        <v>74</v>
      </c>
      <c r="AG981">
        <v>27</v>
      </c>
      <c r="AH981">
        <v>15</v>
      </c>
      <c r="AI981">
        <v>15</v>
      </c>
      <c r="AJ981">
        <v>1</v>
      </c>
      <c r="AK981">
        <v>15</v>
      </c>
      <c r="AL981" t="s">
        <v>74</v>
      </c>
      <c r="AM981" t="s">
        <v>74</v>
      </c>
      <c r="AN981" t="s">
        <v>74</v>
      </c>
      <c r="AO981" t="s">
        <v>131</v>
      </c>
      <c r="AP981" t="s">
        <v>74</v>
      </c>
      <c r="AQ981" t="s">
        <v>74</v>
      </c>
      <c r="AR981" t="s">
        <v>74</v>
      </c>
      <c r="AS981" t="s">
        <v>74</v>
      </c>
      <c r="AT981" t="s">
        <v>3057</v>
      </c>
      <c r="AU981">
        <v>2018</v>
      </c>
      <c r="AV981">
        <v>7</v>
      </c>
      <c r="AW981">
        <v>1</v>
      </c>
      <c r="AX981" t="s">
        <v>74</v>
      </c>
      <c r="AY981" t="s">
        <v>74</v>
      </c>
      <c r="AZ981" t="s">
        <v>74</v>
      </c>
      <c r="BA981" t="s">
        <v>74</v>
      </c>
      <c r="BB981" t="s">
        <v>74</v>
      </c>
      <c r="BC981" t="s">
        <v>74</v>
      </c>
      <c r="BD981">
        <v>1438727</v>
      </c>
      <c r="BE981" t="s">
        <v>3058</v>
      </c>
      <c r="BF981" t="str">
        <f>HYPERLINK("http://dx.doi.org/10.1080/20013078.2018.1438727","http://dx.doi.org/10.1080/20013078.2018.1438727")</f>
        <v>http://dx.doi.org/10.1080/20013078.2018.1438727</v>
      </c>
      <c r="BG981" t="s">
        <v>74</v>
      </c>
      <c r="BH981" t="s">
        <v>74</v>
      </c>
      <c r="BI981" t="s">
        <v>74</v>
      </c>
      <c r="BJ981" t="s">
        <v>135</v>
      </c>
      <c r="BK981" t="s">
        <v>117</v>
      </c>
      <c r="BL981" t="s">
        <v>135</v>
      </c>
      <c r="BM981" t="s">
        <v>74</v>
      </c>
      <c r="BN981">
        <v>29511462</v>
      </c>
      <c r="BO981" t="s">
        <v>74</v>
      </c>
      <c r="BP981" t="s">
        <v>74</v>
      </c>
      <c r="BQ981" t="s">
        <v>74</v>
      </c>
      <c r="BR981" t="s">
        <v>96</v>
      </c>
      <c r="BS981" t="s">
        <v>3059</v>
      </c>
      <c r="BT981" t="str">
        <f>HYPERLINK("https%3A%2F%2Fwww.webofscience.com%2Fwos%2Fwoscc%2Ffull-record%2FWOS:000427782000001","View Full Record in Web of Science")</f>
        <v>View Full Record in Web of Science</v>
      </c>
    </row>
    <row r="982" spans="1:72" x14ac:dyDescent="0.15">
      <c r="A982" t="s">
        <v>98</v>
      </c>
      <c r="B982" t="s">
        <v>3422</v>
      </c>
      <c r="C982" t="s">
        <v>74</v>
      </c>
      <c r="D982" t="s">
        <v>74</v>
      </c>
      <c r="E982" t="s">
        <v>74</v>
      </c>
      <c r="F982" t="s">
        <v>3423</v>
      </c>
      <c r="G982" t="s">
        <v>74</v>
      </c>
      <c r="H982" t="s">
        <v>74</v>
      </c>
      <c r="I982" t="s">
        <v>3424</v>
      </c>
      <c r="J982" t="s">
        <v>3425</v>
      </c>
      <c r="K982" t="s">
        <v>74</v>
      </c>
      <c r="L982" t="s">
        <v>74</v>
      </c>
      <c r="M982" t="s">
        <v>74</v>
      </c>
      <c r="N982" t="s">
        <v>103</v>
      </c>
      <c r="O982" t="s">
        <v>74</v>
      </c>
      <c r="P982" t="s">
        <v>74</v>
      </c>
      <c r="Q982" t="s">
        <v>74</v>
      </c>
      <c r="R982" t="s">
        <v>74</v>
      </c>
      <c r="S982" t="s">
        <v>74</v>
      </c>
      <c r="T982" t="s">
        <v>3426</v>
      </c>
      <c r="U982" t="s">
        <v>3427</v>
      </c>
      <c r="V982" t="s">
        <v>3428</v>
      </c>
      <c r="W982" t="s">
        <v>3429</v>
      </c>
      <c r="X982" t="s">
        <v>3430</v>
      </c>
      <c r="Y982" t="s">
        <v>3431</v>
      </c>
      <c r="Z982" t="s">
        <v>3432</v>
      </c>
      <c r="AA982" t="s">
        <v>3433</v>
      </c>
      <c r="AB982" t="s">
        <v>3434</v>
      </c>
      <c r="AC982" t="s">
        <v>74</v>
      </c>
      <c r="AD982" t="s">
        <v>74</v>
      </c>
      <c r="AE982" t="s">
        <v>74</v>
      </c>
      <c r="AF982" t="s">
        <v>74</v>
      </c>
      <c r="AG982">
        <v>248</v>
      </c>
      <c r="AH982">
        <v>15</v>
      </c>
      <c r="AI982">
        <v>16</v>
      </c>
      <c r="AJ982">
        <v>10</v>
      </c>
      <c r="AK982">
        <v>42</v>
      </c>
      <c r="AL982" t="s">
        <v>74</v>
      </c>
      <c r="AM982" t="s">
        <v>74</v>
      </c>
      <c r="AN982" t="s">
        <v>74</v>
      </c>
      <c r="AO982" t="s">
        <v>3435</v>
      </c>
      <c r="AP982" t="s">
        <v>3436</v>
      </c>
      <c r="AQ982" t="s">
        <v>74</v>
      </c>
      <c r="AR982" t="s">
        <v>74</v>
      </c>
      <c r="AS982" t="s">
        <v>74</v>
      </c>
      <c r="AT982" t="s">
        <v>614</v>
      </c>
      <c r="AU982">
        <v>2021</v>
      </c>
      <c r="AV982">
        <v>68</v>
      </c>
      <c r="AW982" t="s">
        <v>74</v>
      </c>
      <c r="AX982" t="s">
        <v>74</v>
      </c>
      <c r="AY982" t="s">
        <v>74</v>
      </c>
      <c r="AZ982" t="s">
        <v>74</v>
      </c>
      <c r="BA982" t="s">
        <v>74</v>
      </c>
      <c r="BB982" t="s">
        <v>74</v>
      </c>
      <c r="BC982" t="s">
        <v>74</v>
      </c>
      <c r="BD982">
        <v>101321</v>
      </c>
      <c r="BE982" t="s">
        <v>3437</v>
      </c>
      <c r="BF982" t="str">
        <f>HYPERLINK("http://dx.doi.org/10.1016/j.arr.2021.101321","http://dx.doi.org/10.1016/j.arr.2021.101321")</f>
        <v>http://dx.doi.org/10.1016/j.arr.2021.101321</v>
      </c>
      <c r="BG982" t="s">
        <v>74</v>
      </c>
      <c r="BH982" t="s">
        <v>2607</v>
      </c>
      <c r="BI982" t="s">
        <v>74</v>
      </c>
      <c r="BJ982" t="s">
        <v>305</v>
      </c>
      <c r="BK982" t="s">
        <v>117</v>
      </c>
      <c r="BL982" t="s">
        <v>305</v>
      </c>
      <c r="BM982" t="s">
        <v>74</v>
      </c>
      <c r="BN982">
        <v>33727157</v>
      </c>
      <c r="BO982" t="s">
        <v>74</v>
      </c>
      <c r="BP982" t="s">
        <v>74</v>
      </c>
      <c r="BQ982" t="s">
        <v>74</v>
      </c>
      <c r="BR982" t="s">
        <v>96</v>
      </c>
      <c r="BS982" t="s">
        <v>3438</v>
      </c>
      <c r="BT982" t="str">
        <f>HYPERLINK("https%3A%2F%2Fwww.webofscience.com%2Fwos%2Fwoscc%2Ffull-record%2FWOS:000663077400012","View Full Record in Web of Science")</f>
        <v>View Full Record in Web of Science</v>
      </c>
    </row>
    <row r="983" spans="1:72" x14ac:dyDescent="0.15">
      <c r="A983" t="s">
        <v>98</v>
      </c>
      <c r="B983" t="s">
        <v>3492</v>
      </c>
      <c r="C983" t="s">
        <v>74</v>
      </c>
      <c r="D983" t="s">
        <v>74</v>
      </c>
      <c r="E983" t="s">
        <v>74</v>
      </c>
      <c r="F983" t="s">
        <v>3493</v>
      </c>
      <c r="G983" t="s">
        <v>74</v>
      </c>
      <c r="H983" t="s">
        <v>74</v>
      </c>
      <c r="I983" t="s">
        <v>3494</v>
      </c>
      <c r="J983" t="s">
        <v>123</v>
      </c>
      <c r="K983" t="s">
        <v>74</v>
      </c>
      <c r="L983" t="s">
        <v>74</v>
      </c>
      <c r="M983" t="s">
        <v>74</v>
      </c>
      <c r="N983" t="s">
        <v>103</v>
      </c>
      <c r="O983" t="s">
        <v>74</v>
      </c>
      <c r="P983" t="s">
        <v>74</v>
      </c>
      <c r="Q983" t="s">
        <v>74</v>
      </c>
      <c r="R983" t="s">
        <v>74</v>
      </c>
      <c r="S983" t="s">
        <v>74</v>
      </c>
      <c r="T983" t="s">
        <v>3495</v>
      </c>
      <c r="U983" t="s">
        <v>3496</v>
      </c>
      <c r="V983" t="s">
        <v>3497</v>
      </c>
      <c r="W983" t="s">
        <v>3498</v>
      </c>
      <c r="X983" t="s">
        <v>3499</v>
      </c>
      <c r="Y983" t="s">
        <v>3500</v>
      </c>
      <c r="Z983" t="s">
        <v>3501</v>
      </c>
      <c r="AA983" t="s">
        <v>1225</v>
      </c>
      <c r="AB983" t="s">
        <v>1226</v>
      </c>
      <c r="AC983" t="s">
        <v>74</v>
      </c>
      <c r="AD983" t="s">
        <v>74</v>
      </c>
      <c r="AE983" t="s">
        <v>74</v>
      </c>
      <c r="AF983" t="s">
        <v>74</v>
      </c>
      <c r="AG983">
        <v>54</v>
      </c>
      <c r="AH983">
        <v>15</v>
      </c>
      <c r="AI983">
        <v>15</v>
      </c>
      <c r="AJ983">
        <v>20</v>
      </c>
      <c r="AK983">
        <v>100</v>
      </c>
      <c r="AL983" t="s">
        <v>74</v>
      </c>
      <c r="AM983" t="s">
        <v>74</v>
      </c>
      <c r="AN983" t="s">
        <v>74</v>
      </c>
      <c r="AO983" t="s">
        <v>74</v>
      </c>
      <c r="AP983" t="s">
        <v>131</v>
      </c>
      <c r="AQ983" t="s">
        <v>74</v>
      </c>
      <c r="AR983" t="s">
        <v>74</v>
      </c>
      <c r="AS983" t="s">
        <v>74</v>
      </c>
      <c r="AT983" t="s">
        <v>189</v>
      </c>
      <c r="AU983">
        <v>2020</v>
      </c>
      <c r="AV983">
        <v>10</v>
      </c>
      <c r="AW983">
        <v>1</v>
      </c>
      <c r="AX983" t="s">
        <v>74</v>
      </c>
      <c r="AY983" t="s">
        <v>74</v>
      </c>
      <c r="AZ983" t="s">
        <v>74</v>
      </c>
      <c r="BA983" t="s">
        <v>74</v>
      </c>
      <c r="BB983" t="s">
        <v>74</v>
      </c>
      <c r="BC983" t="s">
        <v>74</v>
      </c>
      <c r="BD983" t="s">
        <v>3502</v>
      </c>
      <c r="BE983" t="s">
        <v>3503</v>
      </c>
      <c r="BF983" t="str">
        <f>HYPERLINK("http://dx.doi.org/10.1002/jev2.12025","http://dx.doi.org/10.1002/jev2.12025")</f>
        <v>http://dx.doi.org/10.1002/jev2.12025</v>
      </c>
      <c r="BG983" t="s">
        <v>74</v>
      </c>
      <c r="BH983" t="s">
        <v>74</v>
      </c>
      <c r="BI983" t="s">
        <v>74</v>
      </c>
      <c r="BJ983" t="s">
        <v>135</v>
      </c>
      <c r="BK983" t="s">
        <v>117</v>
      </c>
      <c r="BL983" t="s">
        <v>135</v>
      </c>
      <c r="BM983" t="s">
        <v>74</v>
      </c>
      <c r="BN983">
        <v>33304477</v>
      </c>
      <c r="BO983" t="s">
        <v>74</v>
      </c>
      <c r="BP983" t="s">
        <v>74</v>
      </c>
      <c r="BQ983" t="s">
        <v>74</v>
      </c>
      <c r="BR983" t="s">
        <v>96</v>
      </c>
      <c r="BS983" t="s">
        <v>3504</v>
      </c>
      <c r="BT983" t="str">
        <f>HYPERLINK("https%3A%2F%2Fwww.webofscience.com%2Fwos%2Fwoscc%2Ffull-record%2FWOS:000610415200005","View Full Record in Web of Science")</f>
        <v>View Full Record in Web of Science</v>
      </c>
    </row>
    <row r="984" spans="1:72" x14ac:dyDescent="0.15">
      <c r="A984" t="s">
        <v>98</v>
      </c>
      <c r="B984" t="s">
        <v>5151</v>
      </c>
      <c r="C984" t="s">
        <v>74</v>
      </c>
      <c r="D984" t="s">
        <v>74</v>
      </c>
      <c r="E984" t="s">
        <v>74</v>
      </c>
      <c r="F984" t="s">
        <v>5152</v>
      </c>
      <c r="G984" t="s">
        <v>74</v>
      </c>
      <c r="H984" t="s">
        <v>74</v>
      </c>
      <c r="I984" t="s">
        <v>5153</v>
      </c>
      <c r="J984" t="s">
        <v>5154</v>
      </c>
      <c r="K984" t="s">
        <v>74</v>
      </c>
      <c r="L984" t="s">
        <v>74</v>
      </c>
      <c r="M984" t="s">
        <v>74</v>
      </c>
      <c r="N984" t="s">
        <v>103</v>
      </c>
      <c r="O984" t="s">
        <v>74</v>
      </c>
      <c r="P984" t="s">
        <v>74</v>
      </c>
      <c r="Q984" t="s">
        <v>74</v>
      </c>
      <c r="R984" t="s">
        <v>74</v>
      </c>
      <c r="S984" t="s">
        <v>74</v>
      </c>
      <c r="T984" t="s">
        <v>5155</v>
      </c>
      <c r="U984" t="s">
        <v>5156</v>
      </c>
      <c r="V984" t="s">
        <v>5157</v>
      </c>
      <c r="W984" t="s">
        <v>5158</v>
      </c>
      <c r="X984" t="s">
        <v>5159</v>
      </c>
      <c r="Y984" t="s">
        <v>5160</v>
      </c>
      <c r="Z984" t="s">
        <v>5161</v>
      </c>
      <c r="AA984" t="s">
        <v>5162</v>
      </c>
      <c r="AB984" t="s">
        <v>5163</v>
      </c>
      <c r="AC984" t="s">
        <v>74</v>
      </c>
      <c r="AD984" t="s">
        <v>74</v>
      </c>
      <c r="AE984" t="s">
        <v>74</v>
      </c>
      <c r="AF984" t="s">
        <v>74</v>
      </c>
      <c r="AG984">
        <v>41</v>
      </c>
      <c r="AH984">
        <v>15</v>
      </c>
      <c r="AI984">
        <v>15</v>
      </c>
      <c r="AJ984">
        <v>9</v>
      </c>
      <c r="AK984">
        <v>15</v>
      </c>
      <c r="AL984" t="s">
        <v>74</v>
      </c>
      <c r="AM984" t="s">
        <v>74</v>
      </c>
      <c r="AN984" t="s">
        <v>74</v>
      </c>
      <c r="AO984" t="s">
        <v>5164</v>
      </c>
      <c r="AP984" t="s">
        <v>5165</v>
      </c>
      <c r="AQ984" t="s">
        <v>74</v>
      </c>
      <c r="AR984" t="s">
        <v>74</v>
      </c>
      <c r="AS984" t="s">
        <v>74</v>
      </c>
      <c r="AT984" t="s">
        <v>614</v>
      </c>
      <c r="AU984">
        <v>2021</v>
      </c>
      <c r="AV984">
        <v>23</v>
      </c>
      <c r="AW984">
        <v>7</v>
      </c>
      <c r="AX984" t="s">
        <v>74</v>
      </c>
      <c r="AY984" t="s">
        <v>74</v>
      </c>
      <c r="AZ984" t="s">
        <v>74</v>
      </c>
      <c r="BA984" t="s">
        <v>74</v>
      </c>
      <c r="BB984">
        <v>1087</v>
      </c>
      <c r="BC984">
        <v>1099</v>
      </c>
      <c r="BD984" t="s">
        <v>74</v>
      </c>
      <c r="BE984" t="s">
        <v>5166</v>
      </c>
      <c r="BF984" t="str">
        <f>HYPERLINK("http://dx.doi.org/10.1093/neuonc/noab012","http://dx.doi.org/10.1093/neuonc/noab012")</f>
        <v>http://dx.doi.org/10.1093/neuonc/noab012</v>
      </c>
      <c r="BG984" t="s">
        <v>74</v>
      </c>
      <c r="BH984" t="s">
        <v>3662</v>
      </c>
      <c r="BI984" t="s">
        <v>74</v>
      </c>
      <c r="BJ984" t="s">
        <v>5167</v>
      </c>
      <c r="BK984" t="s">
        <v>117</v>
      </c>
      <c r="BL984" t="s">
        <v>5168</v>
      </c>
      <c r="BM984" t="s">
        <v>74</v>
      </c>
      <c r="BN984">
        <v>33508126</v>
      </c>
      <c r="BO984" t="s">
        <v>74</v>
      </c>
      <c r="BP984" t="s">
        <v>74</v>
      </c>
      <c r="BQ984" t="s">
        <v>74</v>
      </c>
      <c r="BR984" t="s">
        <v>96</v>
      </c>
      <c r="BS984" t="s">
        <v>5169</v>
      </c>
      <c r="BT984" t="str">
        <f>HYPERLINK("https%3A%2F%2Fwww.webofscience.com%2Fwos%2Fwoscc%2Ffull-record%2FWOS:000715361700009","View Full Record in Web of Science")</f>
        <v>View Full Record in Web of Science</v>
      </c>
    </row>
    <row r="985" spans="1:72" x14ac:dyDescent="0.15">
      <c r="A985" t="s">
        <v>98</v>
      </c>
      <c r="B985" t="s">
        <v>5359</v>
      </c>
      <c r="C985" t="s">
        <v>74</v>
      </c>
      <c r="D985" t="s">
        <v>74</v>
      </c>
      <c r="E985" t="s">
        <v>74</v>
      </c>
      <c r="F985" t="s">
        <v>5360</v>
      </c>
      <c r="G985" t="s">
        <v>74</v>
      </c>
      <c r="H985" t="s">
        <v>74</v>
      </c>
      <c r="I985" t="s">
        <v>5361</v>
      </c>
      <c r="J985" t="s">
        <v>817</v>
      </c>
      <c r="K985" t="s">
        <v>74</v>
      </c>
      <c r="L985" t="s">
        <v>74</v>
      </c>
      <c r="M985" t="s">
        <v>74</v>
      </c>
      <c r="N985" t="s">
        <v>103</v>
      </c>
      <c r="O985" t="s">
        <v>74</v>
      </c>
      <c r="P985" t="s">
        <v>74</v>
      </c>
      <c r="Q985" t="s">
        <v>74</v>
      </c>
      <c r="R985" t="s">
        <v>74</v>
      </c>
      <c r="S985" t="s">
        <v>74</v>
      </c>
      <c r="T985" t="s">
        <v>5362</v>
      </c>
      <c r="U985" t="s">
        <v>5363</v>
      </c>
      <c r="V985" t="s">
        <v>5364</v>
      </c>
      <c r="W985" t="s">
        <v>5365</v>
      </c>
      <c r="X985" t="s">
        <v>5366</v>
      </c>
      <c r="Y985" t="s">
        <v>5367</v>
      </c>
      <c r="Z985" t="s">
        <v>5368</v>
      </c>
      <c r="AA985" t="s">
        <v>5369</v>
      </c>
      <c r="AB985" t="s">
        <v>5370</v>
      </c>
      <c r="AC985" t="s">
        <v>74</v>
      </c>
      <c r="AD985" t="s">
        <v>74</v>
      </c>
      <c r="AE985" t="s">
        <v>74</v>
      </c>
      <c r="AF985" t="s">
        <v>74</v>
      </c>
      <c r="AG985">
        <v>48</v>
      </c>
      <c r="AH985">
        <v>15</v>
      </c>
      <c r="AI985">
        <v>15</v>
      </c>
      <c r="AJ985">
        <v>1</v>
      </c>
      <c r="AK985">
        <v>13</v>
      </c>
      <c r="AL985" t="s">
        <v>74</v>
      </c>
      <c r="AM985" t="s">
        <v>74</v>
      </c>
      <c r="AN985" t="s">
        <v>74</v>
      </c>
      <c r="AO985" t="s">
        <v>74</v>
      </c>
      <c r="AP985" t="s">
        <v>827</v>
      </c>
      <c r="AQ985" t="s">
        <v>74</v>
      </c>
      <c r="AR985" t="s">
        <v>74</v>
      </c>
      <c r="AS985" t="s">
        <v>74</v>
      </c>
      <c r="AT985" t="s">
        <v>211</v>
      </c>
      <c r="AU985">
        <v>2019</v>
      </c>
      <c r="AV985">
        <v>20</v>
      </c>
      <c r="AW985">
        <v>21</v>
      </c>
      <c r="AX985" t="s">
        <v>74</v>
      </c>
      <c r="AY985" t="s">
        <v>74</v>
      </c>
      <c r="AZ985" t="s">
        <v>74</v>
      </c>
      <c r="BA985" t="s">
        <v>74</v>
      </c>
      <c r="BB985" t="s">
        <v>74</v>
      </c>
      <c r="BC985" t="s">
        <v>74</v>
      </c>
      <c r="BD985">
        <v>5307</v>
      </c>
      <c r="BE985" t="s">
        <v>5371</v>
      </c>
      <c r="BF985" t="str">
        <f>HYPERLINK("http://dx.doi.org/10.3390/ijms20215307","http://dx.doi.org/10.3390/ijms20215307")</f>
        <v>http://dx.doi.org/10.3390/ijms20215307</v>
      </c>
      <c r="BG985" t="s">
        <v>74</v>
      </c>
      <c r="BH985" t="s">
        <v>74</v>
      </c>
      <c r="BI985" t="s">
        <v>74</v>
      </c>
      <c r="BJ985" t="s">
        <v>830</v>
      </c>
      <c r="BK985" t="s">
        <v>117</v>
      </c>
      <c r="BL985" t="s">
        <v>831</v>
      </c>
      <c r="BM985" t="s">
        <v>74</v>
      </c>
      <c r="BN985">
        <v>31731390</v>
      </c>
      <c r="BO985" t="s">
        <v>74</v>
      </c>
      <c r="BP985" t="s">
        <v>74</v>
      </c>
      <c r="BQ985" t="s">
        <v>74</v>
      </c>
      <c r="BR985" t="s">
        <v>96</v>
      </c>
      <c r="BS985" t="s">
        <v>5372</v>
      </c>
      <c r="BT985" t="str">
        <f>HYPERLINK("https%3A%2F%2Fwww.webofscience.com%2Fwos%2Fwoscc%2Ffull-record%2FWOS:000498946100065","View Full Record in Web of Science")</f>
        <v>View Full Record in Web of Science</v>
      </c>
    </row>
    <row r="986" spans="1:72" x14ac:dyDescent="0.15">
      <c r="A986" t="s">
        <v>98</v>
      </c>
      <c r="B986" t="s">
        <v>5843</v>
      </c>
      <c r="C986" t="s">
        <v>74</v>
      </c>
      <c r="D986" t="s">
        <v>74</v>
      </c>
      <c r="E986" t="s">
        <v>74</v>
      </c>
      <c r="F986" t="s">
        <v>5844</v>
      </c>
      <c r="G986" t="s">
        <v>74</v>
      </c>
      <c r="H986" t="s">
        <v>74</v>
      </c>
      <c r="I986" t="s">
        <v>5845</v>
      </c>
      <c r="J986" t="s">
        <v>836</v>
      </c>
      <c r="K986" t="s">
        <v>74</v>
      </c>
      <c r="L986" t="s">
        <v>74</v>
      </c>
      <c r="M986" t="s">
        <v>74</v>
      </c>
      <c r="N986" t="s">
        <v>103</v>
      </c>
      <c r="O986" t="s">
        <v>74</v>
      </c>
      <c r="P986" t="s">
        <v>74</v>
      </c>
      <c r="Q986" t="s">
        <v>74</v>
      </c>
      <c r="R986" t="s">
        <v>74</v>
      </c>
      <c r="S986" t="s">
        <v>74</v>
      </c>
      <c r="T986" t="s">
        <v>5846</v>
      </c>
      <c r="U986" t="s">
        <v>5847</v>
      </c>
      <c r="V986" t="s">
        <v>5848</v>
      </c>
      <c r="W986" t="s">
        <v>5849</v>
      </c>
      <c r="X986" t="s">
        <v>5850</v>
      </c>
      <c r="Y986" t="s">
        <v>5851</v>
      </c>
      <c r="Z986" t="s">
        <v>5852</v>
      </c>
      <c r="AA986" t="s">
        <v>5853</v>
      </c>
      <c r="AB986" t="s">
        <v>5854</v>
      </c>
      <c r="AC986" t="s">
        <v>74</v>
      </c>
      <c r="AD986" t="s">
        <v>74</v>
      </c>
      <c r="AE986" t="s">
        <v>74</v>
      </c>
      <c r="AF986" t="s">
        <v>74</v>
      </c>
      <c r="AG986">
        <v>42</v>
      </c>
      <c r="AH986">
        <v>15</v>
      </c>
      <c r="AI986">
        <v>15</v>
      </c>
      <c r="AJ986">
        <v>0</v>
      </c>
      <c r="AK986">
        <v>3</v>
      </c>
      <c r="AL986" t="s">
        <v>74</v>
      </c>
      <c r="AM986" t="s">
        <v>74</v>
      </c>
      <c r="AN986" t="s">
        <v>74</v>
      </c>
      <c r="AO986" t="s">
        <v>74</v>
      </c>
      <c r="AP986" t="s">
        <v>846</v>
      </c>
      <c r="AQ986" t="s">
        <v>74</v>
      </c>
      <c r="AR986" t="s">
        <v>74</v>
      </c>
      <c r="AS986" t="s">
        <v>74</v>
      </c>
      <c r="AT986" t="s">
        <v>4866</v>
      </c>
      <c r="AU986">
        <v>2017</v>
      </c>
      <c r="AV986">
        <v>8</v>
      </c>
      <c r="AW986">
        <v>51</v>
      </c>
      <c r="AX986" t="s">
        <v>74</v>
      </c>
      <c r="AY986" t="s">
        <v>74</v>
      </c>
      <c r="AZ986" t="s">
        <v>74</v>
      </c>
      <c r="BA986" t="s">
        <v>74</v>
      </c>
      <c r="BB986">
        <v>88845</v>
      </c>
      <c r="BC986">
        <v>88856</v>
      </c>
      <c r="BD986" t="s">
        <v>74</v>
      </c>
      <c r="BE986" t="s">
        <v>5855</v>
      </c>
      <c r="BF986" t="str">
        <f>HYPERLINK("http://dx.doi.org/10.18632/oncotarget.21483","http://dx.doi.org/10.18632/oncotarget.21483")</f>
        <v>http://dx.doi.org/10.18632/oncotarget.21483</v>
      </c>
      <c r="BG986" t="s">
        <v>74</v>
      </c>
      <c r="BH986" t="s">
        <v>74</v>
      </c>
      <c r="BI986" t="s">
        <v>74</v>
      </c>
      <c r="BJ986" t="s">
        <v>848</v>
      </c>
      <c r="BK986" t="s">
        <v>117</v>
      </c>
      <c r="BL986" t="s">
        <v>848</v>
      </c>
      <c r="BM986" t="s">
        <v>74</v>
      </c>
      <c r="BN986">
        <v>29179481</v>
      </c>
      <c r="BO986" t="s">
        <v>74</v>
      </c>
      <c r="BP986" t="s">
        <v>74</v>
      </c>
      <c r="BQ986" t="s">
        <v>74</v>
      </c>
      <c r="BR986" t="s">
        <v>96</v>
      </c>
      <c r="BS986" t="s">
        <v>5856</v>
      </c>
      <c r="BT986" t="str">
        <f>HYPERLINK("https%3A%2F%2Fwww.webofscience.com%2Fwos%2Fwoscc%2Ffull-record%2FWOS:000413585600053","View Full Record in Web of Science")</f>
        <v>View Full Record in Web of Science</v>
      </c>
    </row>
    <row r="987" spans="1:72" x14ac:dyDescent="0.15">
      <c r="A987" t="s">
        <v>98</v>
      </c>
      <c r="B987" t="s">
        <v>7078</v>
      </c>
      <c r="C987" t="s">
        <v>74</v>
      </c>
      <c r="D987" t="s">
        <v>74</v>
      </c>
      <c r="E987" t="s">
        <v>74</v>
      </c>
      <c r="F987" t="s">
        <v>7079</v>
      </c>
      <c r="G987" t="s">
        <v>74</v>
      </c>
      <c r="H987" t="s">
        <v>74</v>
      </c>
      <c r="I987" t="s">
        <v>7080</v>
      </c>
      <c r="J987" t="s">
        <v>7081</v>
      </c>
      <c r="K987" t="s">
        <v>74</v>
      </c>
      <c r="L987" t="s">
        <v>74</v>
      </c>
      <c r="M987" t="s">
        <v>74</v>
      </c>
      <c r="N987" t="s">
        <v>103</v>
      </c>
      <c r="O987" t="s">
        <v>74</v>
      </c>
      <c r="P987" t="s">
        <v>74</v>
      </c>
      <c r="Q987" t="s">
        <v>74</v>
      </c>
      <c r="R987" t="s">
        <v>74</v>
      </c>
      <c r="S987" t="s">
        <v>74</v>
      </c>
      <c r="T987" t="s">
        <v>7082</v>
      </c>
      <c r="U987" t="s">
        <v>7083</v>
      </c>
      <c r="V987" t="s">
        <v>7084</v>
      </c>
      <c r="W987" t="s">
        <v>7085</v>
      </c>
      <c r="X987" t="s">
        <v>7086</v>
      </c>
      <c r="Y987" t="s">
        <v>7087</v>
      </c>
      <c r="Z987" t="s">
        <v>7088</v>
      </c>
      <c r="AA987" t="s">
        <v>7089</v>
      </c>
      <c r="AB987" t="s">
        <v>7090</v>
      </c>
      <c r="AC987" t="s">
        <v>74</v>
      </c>
      <c r="AD987" t="s">
        <v>74</v>
      </c>
      <c r="AE987" t="s">
        <v>74</v>
      </c>
      <c r="AF987" t="s">
        <v>74</v>
      </c>
      <c r="AG987">
        <v>59</v>
      </c>
      <c r="AH987">
        <v>15</v>
      </c>
      <c r="AI987">
        <v>15</v>
      </c>
      <c r="AJ987">
        <v>0</v>
      </c>
      <c r="AK987">
        <v>6</v>
      </c>
      <c r="AL987" t="s">
        <v>74</v>
      </c>
      <c r="AM987" t="s">
        <v>74</v>
      </c>
      <c r="AN987" t="s">
        <v>74</v>
      </c>
      <c r="AO987" t="s">
        <v>7091</v>
      </c>
      <c r="AP987" t="s">
        <v>7092</v>
      </c>
      <c r="AQ987" t="s">
        <v>74</v>
      </c>
      <c r="AR987" t="s">
        <v>74</v>
      </c>
      <c r="AS987" t="s">
        <v>74</v>
      </c>
      <c r="AT987" t="s">
        <v>531</v>
      </c>
      <c r="AU987">
        <v>2020</v>
      </c>
      <c r="AV987">
        <v>319</v>
      </c>
      <c r="AW987">
        <v>3</v>
      </c>
      <c r="AX987" t="s">
        <v>74</v>
      </c>
      <c r="AY987" t="s">
        <v>74</v>
      </c>
      <c r="AZ987" t="s">
        <v>74</v>
      </c>
      <c r="BA987" t="s">
        <v>74</v>
      </c>
      <c r="BB987" t="s">
        <v>7093</v>
      </c>
      <c r="BC987" t="s">
        <v>7094</v>
      </c>
      <c r="BD987" t="s">
        <v>74</v>
      </c>
      <c r="BE987" t="s">
        <v>7095</v>
      </c>
      <c r="BF987" t="str">
        <f>HYPERLINK("http://dx.doi.org/10.1152/ajpendo.00172.2020","http://dx.doi.org/10.1152/ajpendo.00172.2020")</f>
        <v>http://dx.doi.org/10.1152/ajpendo.00172.2020</v>
      </c>
      <c r="BG987" t="s">
        <v>74</v>
      </c>
      <c r="BH987" t="s">
        <v>74</v>
      </c>
      <c r="BI987" t="s">
        <v>74</v>
      </c>
      <c r="BJ987" t="s">
        <v>7096</v>
      </c>
      <c r="BK987" t="s">
        <v>117</v>
      </c>
      <c r="BL987" t="s">
        <v>7096</v>
      </c>
      <c r="BM987" t="s">
        <v>74</v>
      </c>
      <c r="BN987">
        <v>32744099</v>
      </c>
      <c r="BO987" t="s">
        <v>74</v>
      </c>
      <c r="BP987" t="s">
        <v>74</v>
      </c>
      <c r="BQ987" t="s">
        <v>74</v>
      </c>
      <c r="BR987" t="s">
        <v>96</v>
      </c>
      <c r="BS987" t="s">
        <v>7097</v>
      </c>
      <c r="BT987" t="str">
        <f>HYPERLINK("https%3A%2F%2Fwww.webofscience.com%2Fwos%2Fwoscc%2Ffull-record%2FWOS:000572368900013","View Full Record in Web of Science")</f>
        <v>View Full Record in Web of Science</v>
      </c>
    </row>
    <row r="988" spans="1:72" x14ac:dyDescent="0.15">
      <c r="A988" t="s">
        <v>98</v>
      </c>
      <c r="B988" t="s">
        <v>8624</v>
      </c>
      <c r="C988" t="s">
        <v>74</v>
      </c>
      <c r="D988" t="s">
        <v>74</v>
      </c>
      <c r="E988" t="s">
        <v>74</v>
      </c>
      <c r="F988" t="s">
        <v>8625</v>
      </c>
      <c r="G988" t="s">
        <v>74</v>
      </c>
      <c r="H988" t="s">
        <v>74</v>
      </c>
      <c r="I988" t="s">
        <v>8626</v>
      </c>
      <c r="J988" t="s">
        <v>1747</v>
      </c>
      <c r="K988" t="s">
        <v>74</v>
      </c>
      <c r="L988" t="s">
        <v>74</v>
      </c>
      <c r="M988" t="s">
        <v>74</v>
      </c>
      <c r="N988" t="s">
        <v>103</v>
      </c>
      <c r="O988" t="s">
        <v>74</v>
      </c>
      <c r="P988" t="s">
        <v>74</v>
      </c>
      <c r="Q988" t="s">
        <v>74</v>
      </c>
      <c r="R988" t="s">
        <v>74</v>
      </c>
      <c r="S988" t="s">
        <v>74</v>
      </c>
      <c r="T988" t="s">
        <v>8627</v>
      </c>
      <c r="U988" t="s">
        <v>8628</v>
      </c>
      <c r="V988" t="s">
        <v>8629</v>
      </c>
      <c r="W988" t="s">
        <v>8630</v>
      </c>
      <c r="X988" t="s">
        <v>8631</v>
      </c>
      <c r="Y988" t="s">
        <v>8632</v>
      </c>
      <c r="Z988" t="s">
        <v>8633</v>
      </c>
      <c r="AA988" t="s">
        <v>74</v>
      </c>
      <c r="AB988" t="s">
        <v>74</v>
      </c>
      <c r="AC988" t="s">
        <v>74</v>
      </c>
      <c r="AD988" t="s">
        <v>74</v>
      </c>
      <c r="AE988" t="s">
        <v>74</v>
      </c>
      <c r="AF988" t="s">
        <v>74</v>
      </c>
      <c r="AG988">
        <v>64</v>
      </c>
      <c r="AH988">
        <v>15</v>
      </c>
      <c r="AI988">
        <v>15</v>
      </c>
      <c r="AJ988">
        <v>3</v>
      </c>
      <c r="AK988">
        <v>9</v>
      </c>
      <c r="AL988" t="s">
        <v>74</v>
      </c>
      <c r="AM988" t="s">
        <v>74</v>
      </c>
      <c r="AN988" t="s">
        <v>74</v>
      </c>
      <c r="AO988" t="s">
        <v>1757</v>
      </c>
      <c r="AP988" t="s">
        <v>1758</v>
      </c>
      <c r="AQ988" t="s">
        <v>74</v>
      </c>
      <c r="AR988" t="s">
        <v>74</v>
      </c>
      <c r="AS988" t="s">
        <v>74</v>
      </c>
      <c r="AT988" t="s">
        <v>211</v>
      </c>
      <c r="AU988">
        <v>2020</v>
      </c>
      <c r="AV988">
        <v>30</v>
      </c>
      <c r="AW988" t="s">
        <v>74</v>
      </c>
      <c r="AX988" t="s">
        <v>74</v>
      </c>
      <c r="AY988" t="s">
        <v>74</v>
      </c>
      <c r="AZ988" t="s">
        <v>74</v>
      </c>
      <c r="BA988" t="s">
        <v>74</v>
      </c>
      <c r="BB988" t="s">
        <v>74</v>
      </c>
      <c r="BC988" t="s">
        <v>74</v>
      </c>
      <c r="BD988">
        <v>102285</v>
      </c>
      <c r="BE988" t="s">
        <v>8634</v>
      </c>
      <c r="BF988" t="str">
        <f>HYPERLINK("http://dx.doi.org/10.1016/j.nano.2020.102285","http://dx.doi.org/10.1016/j.nano.2020.102285")</f>
        <v>http://dx.doi.org/10.1016/j.nano.2020.102285</v>
      </c>
      <c r="BG988" t="s">
        <v>74</v>
      </c>
      <c r="BH988" t="s">
        <v>74</v>
      </c>
      <c r="BI988" t="s">
        <v>74</v>
      </c>
      <c r="BJ988" t="s">
        <v>1760</v>
      </c>
      <c r="BK988" t="s">
        <v>117</v>
      </c>
      <c r="BL988" t="s">
        <v>1761</v>
      </c>
      <c r="BM988" t="s">
        <v>74</v>
      </c>
      <c r="BN988">
        <v>32781137</v>
      </c>
      <c r="BO988" t="s">
        <v>74</v>
      </c>
      <c r="BP988" t="s">
        <v>74</v>
      </c>
      <c r="BQ988" t="s">
        <v>74</v>
      </c>
      <c r="BR988" t="s">
        <v>96</v>
      </c>
      <c r="BS988" t="s">
        <v>8635</v>
      </c>
      <c r="BT988" t="str">
        <f>HYPERLINK("https%3A%2F%2Fwww.webofscience.com%2Fwos%2Fwoscc%2Ffull-record%2FWOS:000593924100014","View Full Record in Web of Science")</f>
        <v>View Full Record in Web of Science</v>
      </c>
    </row>
    <row r="989" spans="1:72" x14ac:dyDescent="0.15">
      <c r="A989" t="s">
        <v>98</v>
      </c>
      <c r="B989" t="s">
        <v>12422</v>
      </c>
      <c r="C989" t="s">
        <v>74</v>
      </c>
      <c r="D989" t="s">
        <v>74</v>
      </c>
      <c r="E989" t="s">
        <v>74</v>
      </c>
      <c r="F989" t="s">
        <v>12423</v>
      </c>
      <c r="G989" t="s">
        <v>74</v>
      </c>
      <c r="H989" t="s">
        <v>74</v>
      </c>
      <c r="I989" t="s">
        <v>12424</v>
      </c>
      <c r="J989" t="s">
        <v>12425</v>
      </c>
      <c r="K989" t="s">
        <v>74</v>
      </c>
      <c r="L989" t="s">
        <v>74</v>
      </c>
      <c r="M989" t="s">
        <v>74</v>
      </c>
      <c r="N989" t="s">
        <v>103</v>
      </c>
      <c r="O989" t="s">
        <v>74</v>
      </c>
      <c r="P989" t="s">
        <v>74</v>
      </c>
      <c r="Q989" t="s">
        <v>74</v>
      </c>
      <c r="R989" t="s">
        <v>74</v>
      </c>
      <c r="S989" t="s">
        <v>74</v>
      </c>
      <c r="T989" t="s">
        <v>12426</v>
      </c>
      <c r="U989" t="s">
        <v>12427</v>
      </c>
      <c r="V989" t="s">
        <v>12428</v>
      </c>
      <c r="W989" t="s">
        <v>12429</v>
      </c>
      <c r="X989" t="s">
        <v>12331</v>
      </c>
      <c r="Y989" t="s">
        <v>12430</v>
      </c>
      <c r="Z989" t="s">
        <v>12431</v>
      </c>
      <c r="AA989" t="s">
        <v>12432</v>
      </c>
      <c r="AB989" t="s">
        <v>12433</v>
      </c>
      <c r="AC989" t="s">
        <v>74</v>
      </c>
      <c r="AD989" t="s">
        <v>74</v>
      </c>
      <c r="AE989" t="s">
        <v>74</v>
      </c>
      <c r="AF989" t="s">
        <v>74</v>
      </c>
      <c r="AG989">
        <v>34</v>
      </c>
      <c r="AH989">
        <v>15</v>
      </c>
      <c r="AI989">
        <v>16</v>
      </c>
      <c r="AJ989">
        <v>2</v>
      </c>
      <c r="AK989">
        <v>4</v>
      </c>
      <c r="AL989" t="s">
        <v>74</v>
      </c>
      <c r="AM989" t="s">
        <v>74</v>
      </c>
      <c r="AN989" t="s">
        <v>74</v>
      </c>
      <c r="AO989" t="s">
        <v>12434</v>
      </c>
      <c r="AP989" t="s">
        <v>12435</v>
      </c>
      <c r="AQ989" t="s">
        <v>74</v>
      </c>
      <c r="AR989" t="s">
        <v>74</v>
      </c>
      <c r="AS989" t="s">
        <v>74</v>
      </c>
      <c r="AT989" t="s">
        <v>10261</v>
      </c>
      <c r="AU989">
        <v>2019</v>
      </c>
      <c r="AV989">
        <v>16</v>
      </c>
      <c r="AW989">
        <v>3</v>
      </c>
      <c r="AX989" t="s">
        <v>74</v>
      </c>
      <c r="AY989" t="s">
        <v>74</v>
      </c>
      <c r="AZ989" t="s">
        <v>74</v>
      </c>
      <c r="BA989" t="s">
        <v>74</v>
      </c>
      <c r="BB989">
        <v>163</v>
      </c>
      <c r="BC989">
        <v>173</v>
      </c>
      <c r="BD989" t="s">
        <v>74</v>
      </c>
      <c r="BE989" t="s">
        <v>12436</v>
      </c>
      <c r="BF989" t="str">
        <f>HYPERLINK("http://dx.doi.org/10.21873/cgp.20122","http://dx.doi.org/10.21873/cgp.20122")</f>
        <v>http://dx.doi.org/10.21873/cgp.20122</v>
      </c>
      <c r="BG989" t="s">
        <v>74</v>
      </c>
      <c r="BH989" t="s">
        <v>74</v>
      </c>
      <c r="BI989" t="s">
        <v>74</v>
      </c>
      <c r="BJ989" t="s">
        <v>12437</v>
      </c>
      <c r="BK989" t="s">
        <v>117</v>
      </c>
      <c r="BL989" t="s">
        <v>12437</v>
      </c>
      <c r="BM989" t="s">
        <v>74</v>
      </c>
      <c r="BN989">
        <v>31018947</v>
      </c>
      <c r="BO989" t="s">
        <v>74</v>
      </c>
      <c r="BP989" t="s">
        <v>74</v>
      </c>
      <c r="BQ989" t="s">
        <v>74</v>
      </c>
      <c r="BR989" t="s">
        <v>96</v>
      </c>
      <c r="BS989" t="s">
        <v>12438</v>
      </c>
      <c r="BT989" t="str">
        <f>HYPERLINK("https%3A%2F%2Fwww.webofscience.com%2Fwos%2Fwoscc%2Ffull-record%2FWOS:000465506400003","View Full Record in Web of Science")</f>
        <v>View Full Record in Web of Science</v>
      </c>
    </row>
    <row r="990" spans="1:72" x14ac:dyDescent="0.15">
      <c r="A990" t="s">
        <v>98</v>
      </c>
      <c r="B990" t="s">
        <v>12648</v>
      </c>
      <c r="C990" t="s">
        <v>74</v>
      </c>
      <c r="D990" t="s">
        <v>74</v>
      </c>
      <c r="E990" t="s">
        <v>74</v>
      </c>
      <c r="F990" t="s">
        <v>12649</v>
      </c>
      <c r="G990" t="s">
        <v>74</v>
      </c>
      <c r="H990" t="s">
        <v>74</v>
      </c>
      <c r="I990" t="s">
        <v>12650</v>
      </c>
      <c r="J990" t="s">
        <v>2520</v>
      </c>
      <c r="K990" t="s">
        <v>74</v>
      </c>
      <c r="L990" t="s">
        <v>74</v>
      </c>
      <c r="M990" t="s">
        <v>74</v>
      </c>
      <c r="N990" t="s">
        <v>103</v>
      </c>
      <c r="O990" t="s">
        <v>74</v>
      </c>
      <c r="P990" t="s">
        <v>74</v>
      </c>
      <c r="Q990" t="s">
        <v>74</v>
      </c>
      <c r="R990" t="s">
        <v>74</v>
      </c>
      <c r="S990" t="s">
        <v>74</v>
      </c>
      <c r="T990" t="s">
        <v>12651</v>
      </c>
      <c r="U990" t="s">
        <v>12652</v>
      </c>
      <c r="V990" t="s">
        <v>12653</v>
      </c>
      <c r="W990" t="s">
        <v>12654</v>
      </c>
      <c r="X990" t="s">
        <v>12655</v>
      </c>
      <c r="Y990" t="s">
        <v>12656</v>
      </c>
      <c r="Z990" t="s">
        <v>12657</v>
      </c>
      <c r="AA990" t="s">
        <v>74</v>
      </c>
      <c r="AB990" t="s">
        <v>74</v>
      </c>
      <c r="AC990" t="s">
        <v>74</v>
      </c>
      <c r="AD990" t="s">
        <v>74</v>
      </c>
      <c r="AE990" t="s">
        <v>74</v>
      </c>
      <c r="AF990" t="s">
        <v>74</v>
      </c>
      <c r="AG990">
        <v>72</v>
      </c>
      <c r="AH990">
        <v>15</v>
      </c>
      <c r="AI990">
        <v>15</v>
      </c>
      <c r="AJ990">
        <v>4</v>
      </c>
      <c r="AK990">
        <v>27</v>
      </c>
      <c r="AL990" t="s">
        <v>74</v>
      </c>
      <c r="AM990" t="s">
        <v>74</v>
      </c>
      <c r="AN990" t="s">
        <v>74</v>
      </c>
      <c r="AO990" t="s">
        <v>2529</v>
      </c>
      <c r="AP990" t="s">
        <v>74</v>
      </c>
      <c r="AQ990" t="s">
        <v>74</v>
      </c>
      <c r="AR990" t="s">
        <v>74</v>
      </c>
      <c r="AS990" t="s">
        <v>74</v>
      </c>
      <c r="AT990" t="s">
        <v>10344</v>
      </c>
      <c r="AU990">
        <v>2017</v>
      </c>
      <c r="AV990">
        <v>8</v>
      </c>
      <c r="AW990" t="s">
        <v>74</v>
      </c>
      <c r="AX990" t="s">
        <v>74</v>
      </c>
      <c r="AY990" t="s">
        <v>74</v>
      </c>
      <c r="AZ990" t="s">
        <v>74</v>
      </c>
      <c r="BA990" t="s">
        <v>74</v>
      </c>
      <c r="BB990" t="s">
        <v>74</v>
      </c>
      <c r="BC990" t="s">
        <v>74</v>
      </c>
      <c r="BD990">
        <v>134</v>
      </c>
      <c r="BE990" t="s">
        <v>12658</v>
      </c>
      <c r="BF990" t="str">
        <f>HYPERLINK("http://dx.doi.org/10.3389/fmicb.2017.00134","http://dx.doi.org/10.3389/fmicb.2017.00134")</f>
        <v>http://dx.doi.org/10.3389/fmicb.2017.00134</v>
      </c>
      <c r="BG990" t="s">
        <v>74</v>
      </c>
      <c r="BH990" t="s">
        <v>74</v>
      </c>
      <c r="BI990" t="s">
        <v>74</v>
      </c>
      <c r="BJ990" t="s">
        <v>898</v>
      </c>
      <c r="BK990" t="s">
        <v>117</v>
      </c>
      <c r="BL990" t="s">
        <v>898</v>
      </c>
      <c r="BM990" t="s">
        <v>74</v>
      </c>
      <c r="BN990">
        <v>28232819</v>
      </c>
      <c r="BO990" t="s">
        <v>74</v>
      </c>
      <c r="BP990" t="s">
        <v>74</v>
      </c>
      <c r="BQ990" t="s">
        <v>74</v>
      </c>
      <c r="BR990" t="s">
        <v>96</v>
      </c>
      <c r="BS990" t="s">
        <v>12659</v>
      </c>
      <c r="BT990" t="str">
        <f>HYPERLINK("https%3A%2F%2Fwww.webofscience.com%2Fwos%2Fwoscc%2Ffull-record%2FWOS:000393564500001","View Full Record in Web of Science")</f>
        <v>View Full Record in Web of Science</v>
      </c>
    </row>
    <row r="991" spans="1:72" x14ac:dyDescent="0.15">
      <c r="A991" t="s">
        <v>98</v>
      </c>
      <c r="B991" t="s">
        <v>13380</v>
      </c>
      <c r="C991" t="s">
        <v>74</v>
      </c>
      <c r="D991" t="s">
        <v>74</v>
      </c>
      <c r="E991" t="s">
        <v>74</v>
      </c>
      <c r="F991" t="s">
        <v>13381</v>
      </c>
      <c r="G991" t="s">
        <v>74</v>
      </c>
      <c r="H991" t="s">
        <v>74</v>
      </c>
      <c r="I991" t="s">
        <v>13382</v>
      </c>
      <c r="J991" t="s">
        <v>2051</v>
      </c>
      <c r="K991" t="s">
        <v>74</v>
      </c>
      <c r="L991" t="s">
        <v>74</v>
      </c>
      <c r="M991" t="s">
        <v>74</v>
      </c>
      <c r="N991" t="s">
        <v>103</v>
      </c>
      <c r="O991" t="s">
        <v>74</v>
      </c>
      <c r="P991" t="s">
        <v>74</v>
      </c>
      <c r="Q991" t="s">
        <v>74</v>
      </c>
      <c r="R991" t="s">
        <v>74</v>
      </c>
      <c r="S991" t="s">
        <v>74</v>
      </c>
      <c r="T991" t="s">
        <v>13383</v>
      </c>
      <c r="U991" t="s">
        <v>13384</v>
      </c>
      <c r="V991" t="s">
        <v>13385</v>
      </c>
      <c r="W991" t="s">
        <v>13386</v>
      </c>
      <c r="X991" t="s">
        <v>13387</v>
      </c>
      <c r="Y991" t="s">
        <v>13388</v>
      </c>
      <c r="Z991" t="s">
        <v>13389</v>
      </c>
      <c r="AA991" t="s">
        <v>13390</v>
      </c>
      <c r="AB991" t="s">
        <v>13391</v>
      </c>
      <c r="AC991" t="s">
        <v>74</v>
      </c>
      <c r="AD991" t="s">
        <v>74</v>
      </c>
      <c r="AE991" t="s">
        <v>74</v>
      </c>
      <c r="AF991" t="s">
        <v>74</v>
      </c>
      <c r="AG991">
        <v>53</v>
      </c>
      <c r="AH991">
        <v>15</v>
      </c>
      <c r="AI991">
        <v>15</v>
      </c>
      <c r="AJ991">
        <v>0</v>
      </c>
      <c r="AK991">
        <v>5</v>
      </c>
      <c r="AL991" t="s">
        <v>74</v>
      </c>
      <c r="AM991" t="s">
        <v>74</v>
      </c>
      <c r="AN991" t="s">
        <v>74</v>
      </c>
      <c r="AO991" t="s">
        <v>2061</v>
      </c>
      <c r="AP991" t="s">
        <v>74</v>
      </c>
      <c r="AQ991" t="s">
        <v>74</v>
      </c>
      <c r="AR991" t="s">
        <v>74</v>
      </c>
      <c r="AS991" t="s">
        <v>74</v>
      </c>
      <c r="AT991" t="s">
        <v>3299</v>
      </c>
      <c r="AU991">
        <v>2017</v>
      </c>
      <c r="AV991">
        <v>8</v>
      </c>
      <c r="AW991" t="s">
        <v>74</v>
      </c>
      <c r="AX991" t="s">
        <v>74</v>
      </c>
      <c r="AY991" t="s">
        <v>74</v>
      </c>
      <c r="AZ991" t="s">
        <v>74</v>
      </c>
      <c r="BA991" t="s">
        <v>74</v>
      </c>
      <c r="BB991" t="s">
        <v>74</v>
      </c>
      <c r="BC991" t="s">
        <v>74</v>
      </c>
      <c r="BD991">
        <v>1229</v>
      </c>
      <c r="BE991" t="s">
        <v>13392</v>
      </c>
      <c r="BF991" t="str">
        <f>HYPERLINK("http://dx.doi.org/10.3389/fimmu.2017.01229","http://dx.doi.org/10.3389/fimmu.2017.01229")</f>
        <v>http://dx.doi.org/10.3389/fimmu.2017.01229</v>
      </c>
      <c r="BG991" t="s">
        <v>74</v>
      </c>
      <c r="BH991" t="s">
        <v>74</v>
      </c>
      <c r="BI991" t="s">
        <v>74</v>
      </c>
      <c r="BJ991" t="s">
        <v>2064</v>
      </c>
      <c r="BK991" t="s">
        <v>117</v>
      </c>
      <c r="BL991" t="s">
        <v>2064</v>
      </c>
      <c r="BM991" t="s">
        <v>74</v>
      </c>
      <c r="BN991">
        <v>29033944</v>
      </c>
      <c r="BO991" t="s">
        <v>74</v>
      </c>
      <c r="BP991" t="s">
        <v>74</v>
      </c>
      <c r="BQ991" t="s">
        <v>74</v>
      </c>
      <c r="BR991" t="s">
        <v>96</v>
      </c>
      <c r="BS991" t="s">
        <v>13393</v>
      </c>
      <c r="BT991" t="str">
        <f>HYPERLINK("https%3A%2F%2Fwww.webofscience.com%2Fwos%2Fwoscc%2Ffull-record%2FWOS:000411961400001","View Full Record in Web of Science")</f>
        <v>View Full Record in Web of Science</v>
      </c>
    </row>
    <row r="992" spans="1:72" x14ac:dyDescent="0.15">
      <c r="A992" t="s">
        <v>98</v>
      </c>
      <c r="B992" t="s">
        <v>15209</v>
      </c>
      <c r="C992" t="s">
        <v>74</v>
      </c>
      <c r="D992" t="s">
        <v>74</v>
      </c>
      <c r="E992" t="s">
        <v>74</v>
      </c>
      <c r="F992" t="s">
        <v>15210</v>
      </c>
      <c r="G992" t="s">
        <v>74</v>
      </c>
      <c r="H992" t="s">
        <v>74</v>
      </c>
      <c r="I992" t="s">
        <v>15211</v>
      </c>
      <c r="J992" t="s">
        <v>1860</v>
      </c>
      <c r="K992" t="s">
        <v>74</v>
      </c>
      <c r="L992" t="s">
        <v>74</v>
      </c>
      <c r="M992" t="s">
        <v>74</v>
      </c>
      <c r="N992" t="s">
        <v>103</v>
      </c>
      <c r="O992" t="s">
        <v>74</v>
      </c>
      <c r="P992" t="s">
        <v>74</v>
      </c>
      <c r="Q992" t="s">
        <v>74</v>
      </c>
      <c r="R992" t="s">
        <v>74</v>
      </c>
      <c r="S992" t="s">
        <v>74</v>
      </c>
      <c r="T992" t="s">
        <v>15212</v>
      </c>
      <c r="U992" t="s">
        <v>15213</v>
      </c>
      <c r="V992" t="s">
        <v>15214</v>
      </c>
      <c r="W992" t="s">
        <v>15215</v>
      </c>
      <c r="X992" t="s">
        <v>10068</v>
      </c>
      <c r="Y992" t="s">
        <v>15216</v>
      </c>
      <c r="Z992" t="s">
        <v>10070</v>
      </c>
      <c r="AA992" t="s">
        <v>74</v>
      </c>
      <c r="AB992" t="s">
        <v>15217</v>
      </c>
      <c r="AC992" t="s">
        <v>74</v>
      </c>
      <c r="AD992" t="s">
        <v>74</v>
      </c>
      <c r="AE992" t="s">
        <v>74</v>
      </c>
      <c r="AF992" t="s">
        <v>74</v>
      </c>
      <c r="AG992">
        <v>60</v>
      </c>
      <c r="AH992">
        <v>15</v>
      </c>
      <c r="AI992">
        <v>15</v>
      </c>
      <c r="AJ992">
        <v>25</v>
      </c>
      <c r="AK992">
        <v>121</v>
      </c>
      <c r="AL992" t="s">
        <v>74</v>
      </c>
      <c r="AM992" t="s">
        <v>74</v>
      </c>
      <c r="AN992" t="s">
        <v>74</v>
      </c>
      <c r="AO992" t="s">
        <v>1870</v>
      </c>
      <c r="AP992" t="s">
        <v>1871</v>
      </c>
      <c r="AQ992" t="s">
        <v>74</v>
      </c>
      <c r="AR992" t="s">
        <v>74</v>
      </c>
      <c r="AS992" t="s">
        <v>74</v>
      </c>
      <c r="AT992" t="s">
        <v>11850</v>
      </c>
      <c r="AU992">
        <v>2020</v>
      </c>
      <c r="AV992">
        <v>1130</v>
      </c>
      <c r="AW992" t="s">
        <v>74</v>
      </c>
      <c r="AX992" t="s">
        <v>74</v>
      </c>
      <c r="AY992" t="s">
        <v>74</v>
      </c>
      <c r="AZ992" t="s">
        <v>74</v>
      </c>
      <c r="BA992" t="s">
        <v>74</v>
      </c>
      <c r="BB992">
        <v>1</v>
      </c>
      <c r="BC992">
        <v>9</v>
      </c>
      <c r="BD992" t="s">
        <v>74</v>
      </c>
      <c r="BE992" t="s">
        <v>15218</v>
      </c>
      <c r="BF992" t="str">
        <f>HYPERLINK("http://dx.doi.org/10.1016/j.aca.2020.07.012","http://dx.doi.org/10.1016/j.aca.2020.07.012")</f>
        <v>http://dx.doi.org/10.1016/j.aca.2020.07.012</v>
      </c>
      <c r="BG992" t="s">
        <v>74</v>
      </c>
      <c r="BH992" t="s">
        <v>74</v>
      </c>
      <c r="BI992" t="s">
        <v>74</v>
      </c>
      <c r="BJ992" t="s">
        <v>1118</v>
      </c>
      <c r="BK992" t="s">
        <v>117</v>
      </c>
      <c r="BL992" t="s">
        <v>1048</v>
      </c>
      <c r="BM992" t="s">
        <v>74</v>
      </c>
      <c r="BN992">
        <v>32892927</v>
      </c>
      <c r="BO992" t="s">
        <v>74</v>
      </c>
      <c r="BP992" t="s">
        <v>74</v>
      </c>
      <c r="BQ992" t="s">
        <v>74</v>
      </c>
      <c r="BR992" t="s">
        <v>96</v>
      </c>
      <c r="BS992" t="s">
        <v>15219</v>
      </c>
      <c r="BT992" t="str">
        <f>HYPERLINK("https%3A%2F%2Fwww.webofscience.com%2Fwos%2Fwoscc%2Ffull-record%2FWOS:000569059300001","View Full Record in Web of Science")</f>
        <v>View Full Record in Web of Science</v>
      </c>
    </row>
    <row r="993" spans="1:72" x14ac:dyDescent="0.15">
      <c r="A993" t="s">
        <v>98</v>
      </c>
      <c r="B993" t="s">
        <v>15607</v>
      </c>
      <c r="C993" t="s">
        <v>74</v>
      </c>
      <c r="D993" t="s">
        <v>74</v>
      </c>
      <c r="E993" t="s">
        <v>74</v>
      </c>
      <c r="F993" t="s">
        <v>15608</v>
      </c>
      <c r="G993" t="s">
        <v>74</v>
      </c>
      <c r="H993" t="s">
        <v>74</v>
      </c>
      <c r="I993" t="s">
        <v>15609</v>
      </c>
      <c r="J993" t="s">
        <v>9651</v>
      </c>
      <c r="K993" t="s">
        <v>74</v>
      </c>
      <c r="L993" t="s">
        <v>74</v>
      </c>
      <c r="M993" t="s">
        <v>74</v>
      </c>
      <c r="N993" t="s">
        <v>103</v>
      </c>
      <c r="O993" t="s">
        <v>74</v>
      </c>
      <c r="P993" t="s">
        <v>74</v>
      </c>
      <c r="Q993" t="s">
        <v>74</v>
      </c>
      <c r="R993" t="s">
        <v>74</v>
      </c>
      <c r="S993" t="s">
        <v>74</v>
      </c>
      <c r="T993" t="s">
        <v>74</v>
      </c>
      <c r="U993" t="s">
        <v>74</v>
      </c>
      <c r="V993" t="s">
        <v>15610</v>
      </c>
      <c r="W993" t="s">
        <v>15611</v>
      </c>
      <c r="X993" t="s">
        <v>7728</v>
      </c>
      <c r="Y993" t="s">
        <v>15612</v>
      </c>
      <c r="Z993" t="s">
        <v>15613</v>
      </c>
      <c r="AA993" t="s">
        <v>74</v>
      </c>
      <c r="AB993" t="s">
        <v>74</v>
      </c>
      <c r="AC993" t="s">
        <v>74</v>
      </c>
      <c r="AD993" t="s">
        <v>74</v>
      </c>
      <c r="AE993" t="s">
        <v>74</v>
      </c>
      <c r="AF993" t="s">
        <v>74</v>
      </c>
      <c r="AG993">
        <v>21</v>
      </c>
      <c r="AH993">
        <v>15</v>
      </c>
      <c r="AI993">
        <v>16</v>
      </c>
      <c r="AJ993">
        <v>22</v>
      </c>
      <c r="AK993">
        <v>95</v>
      </c>
      <c r="AL993" t="s">
        <v>74</v>
      </c>
      <c r="AM993" t="s">
        <v>74</v>
      </c>
      <c r="AN993" t="s">
        <v>74</v>
      </c>
      <c r="AO993" t="s">
        <v>9658</v>
      </c>
      <c r="AP993" t="s">
        <v>9659</v>
      </c>
      <c r="AQ993" t="s">
        <v>74</v>
      </c>
      <c r="AR993" t="s">
        <v>74</v>
      </c>
      <c r="AS993" t="s">
        <v>74</v>
      </c>
      <c r="AT993" t="s">
        <v>3238</v>
      </c>
      <c r="AU993">
        <v>2020</v>
      </c>
      <c r="AV993">
        <v>56</v>
      </c>
      <c r="AW993">
        <v>85</v>
      </c>
      <c r="AX993" t="s">
        <v>74</v>
      </c>
      <c r="AY993" t="s">
        <v>74</v>
      </c>
      <c r="AZ993" t="s">
        <v>74</v>
      </c>
      <c r="BA993" t="s">
        <v>74</v>
      </c>
      <c r="BB993">
        <v>12949</v>
      </c>
      <c r="BC993">
        <v>12952</v>
      </c>
      <c r="BD993" t="s">
        <v>74</v>
      </c>
      <c r="BE993" t="s">
        <v>15614</v>
      </c>
      <c r="BF993" t="str">
        <f>HYPERLINK("http://dx.doi.org/10.1039/d0cc04360e","http://dx.doi.org/10.1039/d0cc04360e")</f>
        <v>http://dx.doi.org/10.1039/d0cc04360e</v>
      </c>
      <c r="BG993" t="s">
        <v>74</v>
      </c>
      <c r="BH993" t="s">
        <v>74</v>
      </c>
      <c r="BI993" t="s">
        <v>74</v>
      </c>
      <c r="BJ993" t="s">
        <v>1047</v>
      </c>
      <c r="BK993" t="s">
        <v>117</v>
      </c>
      <c r="BL993" t="s">
        <v>1048</v>
      </c>
      <c r="BM993" t="s">
        <v>74</v>
      </c>
      <c r="BN993">
        <v>32985646</v>
      </c>
      <c r="BO993" t="s">
        <v>74</v>
      </c>
      <c r="BP993" t="s">
        <v>74</v>
      </c>
      <c r="BQ993" t="s">
        <v>74</v>
      </c>
      <c r="BR993" t="s">
        <v>96</v>
      </c>
      <c r="BS993" t="s">
        <v>15615</v>
      </c>
      <c r="BT993" t="str">
        <f>HYPERLINK("https%3A%2F%2Fwww.webofscience.com%2Fwos%2Fwoscc%2Ffull-record%2FWOS:000582936100012","View Full Record in Web of Science")</f>
        <v>View Full Record in Web of Science</v>
      </c>
    </row>
    <row r="994" spans="1:72" x14ac:dyDescent="0.15">
      <c r="A994" t="s">
        <v>72</v>
      </c>
      <c r="B994" t="s">
        <v>15828</v>
      </c>
      <c r="C994" t="s">
        <v>74</v>
      </c>
      <c r="D994" t="s">
        <v>15829</v>
      </c>
      <c r="E994" t="s">
        <v>74</v>
      </c>
      <c r="F994" t="s">
        <v>15830</v>
      </c>
      <c r="G994" t="s">
        <v>74</v>
      </c>
      <c r="H994" t="s">
        <v>74</v>
      </c>
      <c r="I994" t="s">
        <v>15831</v>
      </c>
      <c r="J994" t="s">
        <v>15832</v>
      </c>
      <c r="K994" t="s">
        <v>15833</v>
      </c>
      <c r="L994" t="s">
        <v>74</v>
      </c>
      <c r="M994" t="s">
        <v>74</v>
      </c>
      <c r="N994" t="s">
        <v>80</v>
      </c>
      <c r="O994" t="s">
        <v>74</v>
      </c>
      <c r="P994" t="s">
        <v>74</v>
      </c>
      <c r="Q994" t="s">
        <v>74</v>
      </c>
      <c r="R994" t="s">
        <v>74</v>
      </c>
      <c r="S994" t="s">
        <v>74</v>
      </c>
      <c r="T994" t="s">
        <v>74</v>
      </c>
      <c r="U994" t="s">
        <v>15834</v>
      </c>
      <c r="V994" t="s">
        <v>74</v>
      </c>
      <c r="W994" t="s">
        <v>15835</v>
      </c>
      <c r="X994" t="s">
        <v>2128</v>
      </c>
      <c r="Y994" t="s">
        <v>15836</v>
      </c>
      <c r="Z994" t="s">
        <v>1754</v>
      </c>
      <c r="AA994" t="s">
        <v>2130</v>
      </c>
      <c r="AB994" t="s">
        <v>2131</v>
      </c>
      <c r="AC994" t="s">
        <v>74</v>
      </c>
      <c r="AD994" t="s">
        <v>74</v>
      </c>
      <c r="AE994" t="s">
        <v>74</v>
      </c>
      <c r="AF994" t="s">
        <v>74</v>
      </c>
      <c r="AG994">
        <v>175</v>
      </c>
      <c r="AH994">
        <v>15</v>
      </c>
      <c r="AI994">
        <v>16</v>
      </c>
      <c r="AJ994">
        <v>2</v>
      </c>
      <c r="AK994">
        <v>29</v>
      </c>
      <c r="AL994" t="s">
        <v>74</v>
      </c>
      <c r="AM994" t="s">
        <v>74</v>
      </c>
      <c r="AN994" t="s">
        <v>74</v>
      </c>
      <c r="AO994" t="s">
        <v>15837</v>
      </c>
      <c r="AP994" t="s">
        <v>15838</v>
      </c>
      <c r="AQ994" t="s">
        <v>15839</v>
      </c>
      <c r="AR994" t="s">
        <v>74</v>
      </c>
      <c r="AS994" t="s">
        <v>74</v>
      </c>
      <c r="AT994" t="s">
        <v>74</v>
      </c>
      <c r="AU994">
        <v>2020</v>
      </c>
      <c r="AV994">
        <v>215</v>
      </c>
      <c r="AW994" t="s">
        <v>74</v>
      </c>
      <c r="AX994" t="s">
        <v>74</v>
      </c>
      <c r="AY994" t="s">
        <v>74</v>
      </c>
      <c r="AZ994" t="s">
        <v>74</v>
      </c>
      <c r="BA994" t="s">
        <v>74</v>
      </c>
      <c r="BB994">
        <v>319</v>
      </c>
      <c r="BC994">
        <v>344</v>
      </c>
      <c r="BD994" t="s">
        <v>74</v>
      </c>
      <c r="BE994" t="s">
        <v>15840</v>
      </c>
      <c r="BF994" t="str">
        <f>HYPERLINK("http://dx.doi.org/10.1007/978-3-030-26439-0_17","http://dx.doi.org/10.1007/978-3-030-26439-0_17")</f>
        <v>http://dx.doi.org/10.1007/978-3-030-26439-0_17</v>
      </c>
      <c r="BG994" t="s">
        <v>15841</v>
      </c>
      <c r="BH994" t="s">
        <v>74</v>
      </c>
      <c r="BI994" t="s">
        <v>74</v>
      </c>
      <c r="BJ994" t="s">
        <v>14079</v>
      </c>
      <c r="BK994" t="s">
        <v>94</v>
      </c>
      <c r="BL994" t="s">
        <v>14079</v>
      </c>
      <c r="BM994" t="s">
        <v>74</v>
      </c>
      <c r="BN994">
        <v>31605237</v>
      </c>
      <c r="BO994" t="s">
        <v>74</v>
      </c>
      <c r="BP994" t="s">
        <v>74</v>
      </c>
      <c r="BQ994" t="s">
        <v>74</v>
      </c>
      <c r="BR994" t="s">
        <v>96</v>
      </c>
      <c r="BS994" t="s">
        <v>15842</v>
      </c>
      <c r="BT994" t="str">
        <f>HYPERLINK("https%3A%2F%2Fwww.webofscience.com%2Fwos%2Fwoscc%2Ffull-record%2FWOS:000562810500017","View Full Record in Web of Science")</f>
        <v>View Full Record in Web of Science</v>
      </c>
    </row>
    <row r="995" spans="1:72" x14ac:dyDescent="0.15">
      <c r="A995" t="s">
        <v>98</v>
      </c>
      <c r="B995" t="s">
        <v>18595</v>
      </c>
      <c r="C995" t="s">
        <v>74</v>
      </c>
      <c r="D995" t="s">
        <v>74</v>
      </c>
      <c r="E995" t="s">
        <v>74</v>
      </c>
      <c r="F995" t="s">
        <v>18596</v>
      </c>
      <c r="G995" t="s">
        <v>74</v>
      </c>
      <c r="H995" t="s">
        <v>74</v>
      </c>
      <c r="I995" t="s">
        <v>18597</v>
      </c>
      <c r="J995" t="s">
        <v>4486</v>
      </c>
      <c r="K995" t="s">
        <v>74</v>
      </c>
      <c r="L995" t="s">
        <v>74</v>
      </c>
      <c r="M995" t="s">
        <v>74</v>
      </c>
      <c r="N995" t="s">
        <v>103</v>
      </c>
      <c r="O995" t="s">
        <v>74</v>
      </c>
      <c r="P995" t="s">
        <v>74</v>
      </c>
      <c r="Q995" t="s">
        <v>74</v>
      </c>
      <c r="R995" t="s">
        <v>74</v>
      </c>
      <c r="S995" t="s">
        <v>74</v>
      </c>
      <c r="T995" t="s">
        <v>74</v>
      </c>
      <c r="U995" t="s">
        <v>18598</v>
      </c>
      <c r="V995" t="s">
        <v>18599</v>
      </c>
      <c r="W995" t="s">
        <v>18600</v>
      </c>
      <c r="X995" t="s">
        <v>18601</v>
      </c>
      <c r="Y995" t="s">
        <v>18602</v>
      </c>
      <c r="Z995" t="s">
        <v>18603</v>
      </c>
      <c r="AA995" t="s">
        <v>18604</v>
      </c>
      <c r="AB995" t="s">
        <v>18605</v>
      </c>
      <c r="AC995" t="s">
        <v>74</v>
      </c>
      <c r="AD995" t="s">
        <v>74</v>
      </c>
      <c r="AE995" t="s">
        <v>74</v>
      </c>
      <c r="AF995" t="s">
        <v>74</v>
      </c>
      <c r="AG995">
        <v>41</v>
      </c>
      <c r="AH995">
        <v>15</v>
      </c>
      <c r="AI995">
        <v>15</v>
      </c>
      <c r="AJ995">
        <v>30</v>
      </c>
      <c r="AK995">
        <v>93</v>
      </c>
      <c r="AL995" t="s">
        <v>74</v>
      </c>
      <c r="AM995" t="s">
        <v>74</v>
      </c>
      <c r="AN995" t="s">
        <v>74</v>
      </c>
      <c r="AO995" t="s">
        <v>4493</v>
      </c>
      <c r="AP995" t="s">
        <v>4494</v>
      </c>
      <c r="AQ995" t="s">
        <v>74</v>
      </c>
      <c r="AR995" t="s">
        <v>74</v>
      </c>
      <c r="AS995" t="s">
        <v>74</v>
      </c>
      <c r="AT995" t="s">
        <v>10156</v>
      </c>
      <c r="AU995">
        <v>2021</v>
      </c>
      <c r="AV995">
        <v>93</v>
      </c>
      <c r="AW995">
        <v>24</v>
      </c>
      <c r="AX995" t="s">
        <v>74</v>
      </c>
      <c r="AY995" t="s">
        <v>74</v>
      </c>
      <c r="AZ995" t="s">
        <v>74</v>
      </c>
      <c r="BA995" t="s">
        <v>74</v>
      </c>
      <c r="BB995">
        <v>8493</v>
      </c>
      <c r="BC995">
        <v>8500</v>
      </c>
      <c r="BD995" t="s">
        <v>74</v>
      </c>
      <c r="BE995" t="s">
        <v>18606</v>
      </c>
      <c r="BF995" t="str">
        <f>HYPERLINK("http://dx.doi.org/10.1021/acs.analchem.1c00796","http://dx.doi.org/10.1021/acs.analchem.1c00796")</f>
        <v>http://dx.doi.org/10.1021/acs.analchem.1c00796</v>
      </c>
      <c r="BG995" t="s">
        <v>74</v>
      </c>
      <c r="BH995" t="s">
        <v>3810</v>
      </c>
      <c r="BI995" t="s">
        <v>74</v>
      </c>
      <c r="BJ995" t="s">
        <v>1118</v>
      </c>
      <c r="BK995" t="s">
        <v>117</v>
      </c>
      <c r="BL995" t="s">
        <v>1048</v>
      </c>
      <c r="BM995" t="s">
        <v>74</v>
      </c>
      <c r="BN995">
        <v>34111932</v>
      </c>
      <c r="BO995" t="s">
        <v>74</v>
      </c>
      <c r="BP995" t="s">
        <v>74</v>
      </c>
      <c r="BQ995" t="s">
        <v>74</v>
      </c>
      <c r="BR995" t="s">
        <v>96</v>
      </c>
      <c r="BS995" t="s">
        <v>18607</v>
      </c>
      <c r="BT995" t="str">
        <f>HYPERLINK("https%3A%2F%2Fwww.webofscience.com%2Fwos%2Fwoscc%2Ffull-record%2FWOS:000665642500016","View Full Record in Web of Science")</f>
        <v>View Full Record in Web of Science</v>
      </c>
    </row>
    <row r="996" spans="1:72" x14ac:dyDescent="0.15">
      <c r="A996" t="s">
        <v>98</v>
      </c>
      <c r="B996" t="s">
        <v>19320</v>
      </c>
      <c r="C996" t="s">
        <v>74</v>
      </c>
      <c r="D996" t="s">
        <v>74</v>
      </c>
      <c r="E996" t="s">
        <v>74</v>
      </c>
      <c r="F996" t="s">
        <v>19321</v>
      </c>
      <c r="G996" t="s">
        <v>74</v>
      </c>
      <c r="H996" t="s">
        <v>74</v>
      </c>
      <c r="I996" t="s">
        <v>19322</v>
      </c>
      <c r="J996" t="s">
        <v>4486</v>
      </c>
      <c r="K996" t="s">
        <v>74</v>
      </c>
      <c r="L996" t="s">
        <v>74</v>
      </c>
      <c r="M996" t="s">
        <v>74</v>
      </c>
      <c r="N996" t="s">
        <v>103</v>
      </c>
      <c r="O996" t="s">
        <v>74</v>
      </c>
      <c r="P996" t="s">
        <v>74</v>
      </c>
      <c r="Q996" t="s">
        <v>74</v>
      </c>
      <c r="R996" t="s">
        <v>74</v>
      </c>
      <c r="S996" t="s">
        <v>74</v>
      </c>
      <c r="T996" t="s">
        <v>74</v>
      </c>
      <c r="U996" t="s">
        <v>19323</v>
      </c>
      <c r="V996" t="s">
        <v>19324</v>
      </c>
      <c r="W996" t="s">
        <v>19325</v>
      </c>
      <c r="X996" t="s">
        <v>19326</v>
      </c>
      <c r="Y996" t="s">
        <v>19327</v>
      </c>
      <c r="Z996" t="s">
        <v>19328</v>
      </c>
      <c r="AA996" t="s">
        <v>74</v>
      </c>
      <c r="AB996" t="s">
        <v>19329</v>
      </c>
      <c r="AC996" t="s">
        <v>74</v>
      </c>
      <c r="AD996" t="s">
        <v>74</v>
      </c>
      <c r="AE996" t="s">
        <v>74</v>
      </c>
      <c r="AF996" t="s">
        <v>74</v>
      </c>
      <c r="AG996">
        <v>33</v>
      </c>
      <c r="AH996">
        <v>15</v>
      </c>
      <c r="AI996">
        <v>15</v>
      </c>
      <c r="AJ996">
        <v>43</v>
      </c>
      <c r="AK996">
        <v>119</v>
      </c>
      <c r="AL996" t="s">
        <v>74</v>
      </c>
      <c r="AM996" t="s">
        <v>74</v>
      </c>
      <c r="AN996" t="s">
        <v>74</v>
      </c>
      <c r="AO996" t="s">
        <v>4493</v>
      </c>
      <c r="AP996" t="s">
        <v>4494</v>
      </c>
      <c r="AQ996" t="s">
        <v>74</v>
      </c>
      <c r="AR996" t="s">
        <v>74</v>
      </c>
      <c r="AS996" t="s">
        <v>74</v>
      </c>
      <c r="AT996" t="s">
        <v>19330</v>
      </c>
      <c r="AU996">
        <v>2021</v>
      </c>
      <c r="AV996">
        <v>93</v>
      </c>
      <c r="AW996">
        <v>16</v>
      </c>
      <c r="AX996" t="s">
        <v>74</v>
      </c>
      <c r="AY996" t="s">
        <v>74</v>
      </c>
      <c r="AZ996" t="s">
        <v>74</v>
      </c>
      <c r="BA996" t="s">
        <v>74</v>
      </c>
      <c r="BB996">
        <v>6437</v>
      </c>
      <c r="BC996">
        <v>6445</v>
      </c>
      <c r="BD996" t="s">
        <v>74</v>
      </c>
      <c r="BE996" t="s">
        <v>19331</v>
      </c>
      <c r="BF996" t="str">
        <f>HYPERLINK("http://dx.doi.org/10.1021/acs.analchem.1c00152","http://dx.doi.org/10.1021/acs.analchem.1c00152")</f>
        <v>http://dx.doi.org/10.1021/acs.analchem.1c00152</v>
      </c>
      <c r="BG996" t="s">
        <v>74</v>
      </c>
      <c r="BH996" t="s">
        <v>3345</v>
      </c>
      <c r="BI996" t="s">
        <v>74</v>
      </c>
      <c r="BJ996" t="s">
        <v>1118</v>
      </c>
      <c r="BK996" t="s">
        <v>117</v>
      </c>
      <c r="BL996" t="s">
        <v>1048</v>
      </c>
      <c r="BM996" t="s">
        <v>74</v>
      </c>
      <c r="BN996">
        <v>33844518</v>
      </c>
      <c r="BO996" t="s">
        <v>74</v>
      </c>
      <c r="BP996" t="s">
        <v>74</v>
      </c>
      <c r="BQ996" t="s">
        <v>74</v>
      </c>
      <c r="BR996" t="s">
        <v>96</v>
      </c>
      <c r="BS996" t="s">
        <v>19332</v>
      </c>
      <c r="BT996" t="str">
        <f>HYPERLINK("https%3A%2F%2Fwww.webofscience.com%2Fwos%2Fwoscc%2Ffull-record%2FWOS:000645428400019","View Full Record in Web of Science")</f>
        <v>View Full Record in Web of Science</v>
      </c>
    </row>
    <row r="997" spans="1:72" x14ac:dyDescent="0.15">
      <c r="A997" t="s">
        <v>98</v>
      </c>
      <c r="B997" t="s">
        <v>19333</v>
      </c>
      <c r="C997" t="s">
        <v>74</v>
      </c>
      <c r="D997" t="s">
        <v>74</v>
      </c>
      <c r="E997" t="s">
        <v>74</v>
      </c>
      <c r="F997" t="s">
        <v>19334</v>
      </c>
      <c r="G997" t="s">
        <v>74</v>
      </c>
      <c r="H997" t="s">
        <v>74</v>
      </c>
      <c r="I997" t="s">
        <v>19335</v>
      </c>
      <c r="J997" t="s">
        <v>19336</v>
      </c>
      <c r="K997" t="s">
        <v>74</v>
      </c>
      <c r="L997" t="s">
        <v>74</v>
      </c>
      <c r="M997" t="s">
        <v>74</v>
      </c>
      <c r="N997" t="s">
        <v>103</v>
      </c>
      <c r="O997" t="s">
        <v>74</v>
      </c>
      <c r="P997" t="s">
        <v>74</v>
      </c>
      <c r="Q997" t="s">
        <v>74</v>
      </c>
      <c r="R997" t="s">
        <v>74</v>
      </c>
      <c r="S997" t="s">
        <v>74</v>
      </c>
      <c r="T997" t="s">
        <v>74</v>
      </c>
      <c r="U997" t="s">
        <v>19337</v>
      </c>
      <c r="V997" t="s">
        <v>19338</v>
      </c>
      <c r="W997" t="s">
        <v>19339</v>
      </c>
      <c r="X997" t="s">
        <v>19340</v>
      </c>
      <c r="Y997" t="s">
        <v>19341</v>
      </c>
      <c r="Z997" t="s">
        <v>19342</v>
      </c>
      <c r="AA997" t="s">
        <v>19343</v>
      </c>
      <c r="AB997" t="s">
        <v>19344</v>
      </c>
      <c r="AC997" t="s">
        <v>74</v>
      </c>
      <c r="AD997" t="s">
        <v>74</v>
      </c>
      <c r="AE997" t="s">
        <v>74</v>
      </c>
      <c r="AF997" t="s">
        <v>74</v>
      </c>
      <c r="AG997">
        <v>36</v>
      </c>
      <c r="AH997">
        <v>15</v>
      </c>
      <c r="AI997">
        <v>15</v>
      </c>
      <c r="AJ997">
        <v>1</v>
      </c>
      <c r="AK997">
        <v>6</v>
      </c>
      <c r="AL997" t="s">
        <v>74</v>
      </c>
      <c r="AM997" t="s">
        <v>74</v>
      </c>
      <c r="AN997" t="s">
        <v>74</v>
      </c>
      <c r="AO997" t="s">
        <v>19345</v>
      </c>
      <c r="AP997" t="s">
        <v>19346</v>
      </c>
      <c r="AQ997" t="s">
        <v>74</v>
      </c>
      <c r="AR997" t="s">
        <v>74</v>
      </c>
      <c r="AS997" t="s">
        <v>74</v>
      </c>
      <c r="AT997" t="s">
        <v>170</v>
      </c>
      <c r="AU997">
        <v>2021</v>
      </c>
      <c r="AV997">
        <v>24</v>
      </c>
      <c r="AW997">
        <v>2</v>
      </c>
      <c r="AX997" t="s">
        <v>74</v>
      </c>
      <c r="AY997" t="s">
        <v>74</v>
      </c>
      <c r="AZ997" t="s">
        <v>74</v>
      </c>
      <c r="BA997" t="s">
        <v>74</v>
      </c>
      <c r="BB997">
        <v>524</v>
      </c>
      <c r="BC997">
        <v>531</v>
      </c>
      <c r="BD997" t="s">
        <v>74</v>
      </c>
      <c r="BE997" t="s">
        <v>19347</v>
      </c>
      <c r="BF997" t="str">
        <f>HYPERLINK("http://dx.doi.org/10.1038/s41391-020-00309-w","http://dx.doi.org/10.1038/s41391-020-00309-w")</f>
        <v>http://dx.doi.org/10.1038/s41391-020-00309-w</v>
      </c>
      <c r="BG997" t="s">
        <v>74</v>
      </c>
      <c r="BH997" t="s">
        <v>3662</v>
      </c>
      <c r="BI997" t="s">
        <v>74</v>
      </c>
      <c r="BJ997" t="s">
        <v>19348</v>
      </c>
      <c r="BK997" t="s">
        <v>117</v>
      </c>
      <c r="BL997" t="s">
        <v>19348</v>
      </c>
      <c r="BM997" t="s">
        <v>74</v>
      </c>
      <c r="BN997">
        <v>33500577</v>
      </c>
      <c r="BO997" t="s">
        <v>74</v>
      </c>
      <c r="BP997" t="s">
        <v>74</v>
      </c>
      <c r="BQ997" t="s">
        <v>74</v>
      </c>
      <c r="BR997" t="s">
        <v>96</v>
      </c>
      <c r="BS997" t="s">
        <v>19349</v>
      </c>
      <c r="BT997" t="str">
        <f>HYPERLINK("https%3A%2F%2Fwww.webofscience.com%2Fwos%2Fwoscc%2Ffull-record%2FWOS:000611930300001","View Full Record in Web of Science")</f>
        <v>View Full Record in Web of Science</v>
      </c>
    </row>
    <row r="998" spans="1:72" x14ac:dyDescent="0.15">
      <c r="A998" t="s">
        <v>98</v>
      </c>
      <c r="B998" t="s">
        <v>19472</v>
      </c>
      <c r="C998" t="s">
        <v>74</v>
      </c>
      <c r="D998" t="s">
        <v>74</v>
      </c>
      <c r="E998" t="s">
        <v>74</v>
      </c>
      <c r="F998" t="s">
        <v>19473</v>
      </c>
      <c r="G998" t="s">
        <v>74</v>
      </c>
      <c r="H998" t="s">
        <v>74</v>
      </c>
      <c r="I998" t="s">
        <v>19474</v>
      </c>
      <c r="J998" t="s">
        <v>5572</v>
      </c>
      <c r="K998" t="s">
        <v>74</v>
      </c>
      <c r="L998" t="s">
        <v>74</v>
      </c>
      <c r="M998" t="s">
        <v>74</v>
      </c>
      <c r="N998" t="s">
        <v>103</v>
      </c>
      <c r="O998" t="s">
        <v>74</v>
      </c>
      <c r="P998" t="s">
        <v>74</v>
      </c>
      <c r="Q998" t="s">
        <v>74</v>
      </c>
      <c r="R998" t="s">
        <v>74</v>
      </c>
      <c r="S998" t="s">
        <v>74</v>
      </c>
      <c r="T998" t="s">
        <v>74</v>
      </c>
      <c r="U998" t="s">
        <v>19475</v>
      </c>
      <c r="V998" t="s">
        <v>19476</v>
      </c>
      <c r="W998" t="s">
        <v>19477</v>
      </c>
      <c r="X998" t="s">
        <v>19478</v>
      </c>
      <c r="Y998" t="s">
        <v>19479</v>
      </c>
      <c r="Z998" t="s">
        <v>19480</v>
      </c>
      <c r="AA998" t="s">
        <v>19481</v>
      </c>
      <c r="AB998" t="s">
        <v>19482</v>
      </c>
      <c r="AC998" t="s">
        <v>74</v>
      </c>
      <c r="AD998" t="s">
        <v>74</v>
      </c>
      <c r="AE998" t="s">
        <v>74</v>
      </c>
      <c r="AF998" t="s">
        <v>74</v>
      </c>
      <c r="AG998">
        <v>56</v>
      </c>
      <c r="AH998">
        <v>15</v>
      </c>
      <c r="AI998">
        <v>15</v>
      </c>
      <c r="AJ998">
        <v>1</v>
      </c>
      <c r="AK998">
        <v>11</v>
      </c>
      <c r="AL998" t="s">
        <v>74</v>
      </c>
      <c r="AM998" t="s">
        <v>74</v>
      </c>
      <c r="AN998" t="s">
        <v>74</v>
      </c>
      <c r="AO998" t="s">
        <v>5581</v>
      </c>
      <c r="AP998" t="s">
        <v>5582</v>
      </c>
      <c r="AQ998" t="s">
        <v>74</v>
      </c>
      <c r="AR998" t="s">
        <v>74</v>
      </c>
      <c r="AS998" t="s">
        <v>74</v>
      </c>
      <c r="AT998" t="s">
        <v>1570</v>
      </c>
      <c r="AU998">
        <v>2021</v>
      </c>
      <c r="AV998">
        <v>218</v>
      </c>
      <c r="AW998">
        <v>3</v>
      </c>
      <c r="AX998" t="s">
        <v>74</v>
      </c>
      <c r="AY998" t="s">
        <v>74</v>
      </c>
      <c r="AZ998" t="s">
        <v>74</v>
      </c>
      <c r="BA998" t="s">
        <v>74</v>
      </c>
      <c r="BB998" t="s">
        <v>74</v>
      </c>
      <c r="BC998" t="s">
        <v>74</v>
      </c>
      <c r="BD998" t="s">
        <v>19483</v>
      </c>
      <c r="BE998" t="s">
        <v>19484</v>
      </c>
      <c r="BF998" t="str">
        <f>HYPERLINK("http://dx.doi.org/10.1084/jem.20200551","http://dx.doi.org/10.1084/jem.20200551")</f>
        <v>http://dx.doi.org/10.1084/jem.20200551</v>
      </c>
      <c r="BG998" t="s">
        <v>74</v>
      </c>
      <c r="BH998" t="s">
        <v>74</v>
      </c>
      <c r="BI998" t="s">
        <v>74</v>
      </c>
      <c r="BJ998" t="s">
        <v>1496</v>
      </c>
      <c r="BK998" t="s">
        <v>117</v>
      </c>
      <c r="BL998" t="s">
        <v>1497</v>
      </c>
      <c r="BM998" t="s">
        <v>74</v>
      </c>
      <c r="BN998">
        <v>33275138</v>
      </c>
      <c r="BO998" t="s">
        <v>74</v>
      </c>
      <c r="BP998" t="s">
        <v>74</v>
      </c>
      <c r="BQ998" t="s">
        <v>74</v>
      </c>
      <c r="BR998" t="s">
        <v>96</v>
      </c>
      <c r="BS998" t="s">
        <v>19485</v>
      </c>
      <c r="BT998" t="str">
        <f>HYPERLINK("https%3A%2F%2Fwww.webofscience.com%2Fwos%2Fwoscc%2Ffull-record%2FWOS:000625357900001","View Full Record in Web of Science")</f>
        <v>View Full Record in Web of Science</v>
      </c>
    </row>
    <row r="999" spans="1:72" x14ac:dyDescent="0.15">
      <c r="A999" t="s">
        <v>98</v>
      </c>
      <c r="B999" t="s">
        <v>19598</v>
      </c>
      <c r="C999" t="s">
        <v>74</v>
      </c>
      <c r="D999" t="s">
        <v>74</v>
      </c>
      <c r="E999" t="s">
        <v>74</v>
      </c>
      <c r="F999" t="s">
        <v>19599</v>
      </c>
      <c r="G999" t="s">
        <v>74</v>
      </c>
      <c r="H999" t="s">
        <v>74</v>
      </c>
      <c r="I999" t="s">
        <v>19600</v>
      </c>
      <c r="J999" t="s">
        <v>2215</v>
      </c>
      <c r="K999" t="s">
        <v>74</v>
      </c>
      <c r="L999" t="s">
        <v>74</v>
      </c>
      <c r="M999" t="s">
        <v>74</v>
      </c>
      <c r="N999" t="s">
        <v>103</v>
      </c>
      <c r="O999" t="s">
        <v>74</v>
      </c>
      <c r="P999" t="s">
        <v>74</v>
      </c>
      <c r="Q999" t="s">
        <v>74</v>
      </c>
      <c r="R999" t="s">
        <v>74</v>
      </c>
      <c r="S999" t="s">
        <v>74</v>
      </c>
      <c r="T999" t="s">
        <v>19601</v>
      </c>
      <c r="U999" t="s">
        <v>19602</v>
      </c>
      <c r="V999" t="s">
        <v>19603</v>
      </c>
      <c r="W999" t="s">
        <v>19604</v>
      </c>
      <c r="X999" t="s">
        <v>19605</v>
      </c>
      <c r="Y999" t="s">
        <v>19606</v>
      </c>
      <c r="Z999" t="s">
        <v>19607</v>
      </c>
      <c r="AA999" t="s">
        <v>19608</v>
      </c>
      <c r="AB999" t="s">
        <v>19609</v>
      </c>
      <c r="AC999" t="s">
        <v>74</v>
      </c>
      <c r="AD999" t="s">
        <v>74</v>
      </c>
      <c r="AE999" t="s">
        <v>74</v>
      </c>
      <c r="AF999" t="s">
        <v>74</v>
      </c>
      <c r="AG999">
        <v>52</v>
      </c>
      <c r="AH999">
        <v>15</v>
      </c>
      <c r="AI999">
        <v>17</v>
      </c>
      <c r="AJ999">
        <v>1</v>
      </c>
      <c r="AK999">
        <v>8</v>
      </c>
      <c r="AL999" t="s">
        <v>74</v>
      </c>
      <c r="AM999" t="s">
        <v>74</v>
      </c>
      <c r="AN999" t="s">
        <v>74</v>
      </c>
      <c r="AO999" t="s">
        <v>2224</v>
      </c>
      <c r="AP999" t="s">
        <v>2225</v>
      </c>
      <c r="AQ999" t="s">
        <v>74</v>
      </c>
      <c r="AR999" t="s">
        <v>74</v>
      </c>
      <c r="AS999" t="s">
        <v>74</v>
      </c>
      <c r="AT999" t="s">
        <v>565</v>
      </c>
      <c r="AU999">
        <v>2019</v>
      </c>
      <c r="AV999">
        <v>28</v>
      </c>
      <c r="AW999">
        <v>5</v>
      </c>
      <c r="AX999" t="s">
        <v>74</v>
      </c>
      <c r="AY999" t="s">
        <v>74</v>
      </c>
      <c r="AZ999" t="s">
        <v>74</v>
      </c>
      <c r="BA999" t="s">
        <v>74</v>
      </c>
      <c r="BB999">
        <v>341</v>
      </c>
      <c r="BC999">
        <v>352</v>
      </c>
      <c r="BD999" t="s">
        <v>74</v>
      </c>
      <c r="BE999" t="s">
        <v>19610</v>
      </c>
      <c r="BF999" t="str">
        <f>HYPERLINK("http://dx.doi.org/10.1089/scd.2018.0110","http://dx.doi.org/10.1089/scd.2018.0110")</f>
        <v>http://dx.doi.org/10.1089/scd.2018.0110</v>
      </c>
      <c r="BG999" t="s">
        <v>74</v>
      </c>
      <c r="BH999" t="s">
        <v>74</v>
      </c>
      <c r="BI999" t="s">
        <v>74</v>
      </c>
      <c r="BJ999" t="s">
        <v>2227</v>
      </c>
      <c r="BK999" t="s">
        <v>117</v>
      </c>
      <c r="BL999" t="s">
        <v>2228</v>
      </c>
      <c r="BM999" t="s">
        <v>74</v>
      </c>
      <c r="BN999">
        <v>30572805</v>
      </c>
      <c r="BO999" t="s">
        <v>74</v>
      </c>
      <c r="BP999" t="s">
        <v>74</v>
      </c>
      <c r="BQ999" t="s">
        <v>74</v>
      </c>
      <c r="BR999" t="s">
        <v>96</v>
      </c>
      <c r="BS999" t="s">
        <v>19611</v>
      </c>
      <c r="BT999" t="str">
        <f>HYPERLINK("https%3A%2F%2Fwww.webofscience.com%2Fwos%2Fwoscc%2Ffull-record%2FWOS:000463918100005","View Full Record in Web of Science")</f>
        <v>View Full Record in Web of Science</v>
      </c>
    </row>
    <row r="1000" spans="1:72" x14ac:dyDescent="0.15">
      <c r="A1000" t="s">
        <v>98</v>
      </c>
      <c r="B1000" t="s">
        <v>20696</v>
      </c>
      <c r="C1000" t="s">
        <v>74</v>
      </c>
      <c r="D1000" t="s">
        <v>74</v>
      </c>
      <c r="E1000" t="s">
        <v>74</v>
      </c>
      <c r="F1000" t="s">
        <v>20697</v>
      </c>
      <c r="G1000" t="s">
        <v>74</v>
      </c>
      <c r="H1000" t="s">
        <v>74</v>
      </c>
      <c r="I1000" t="s">
        <v>20698</v>
      </c>
      <c r="J1000" t="s">
        <v>5154</v>
      </c>
      <c r="K1000" t="s">
        <v>74</v>
      </c>
      <c r="L1000" t="s">
        <v>74</v>
      </c>
      <c r="M1000" t="s">
        <v>74</v>
      </c>
      <c r="N1000" t="s">
        <v>103</v>
      </c>
      <c r="O1000" t="s">
        <v>74</v>
      </c>
      <c r="P1000" t="s">
        <v>74</v>
      </c>
      <c r="Q1000" t="s">
        <v>74</v>
      </c>
      <c r="R1000" t="s">
        <v>74</v>
      </c>
      <c r="S1000" t="s">
        <v>74</v>
      </c>
      <c r="T1000" t="s">
        <v>20699</v>
      </c>
      <c r="U1000" t="s">
        <v>20700</v>
      </c>
      <c r="V1000" t="s">
        <v>20701</v>
      </c>
      <c r="W1000" t="s">
        <v>20702</v>
      </c>
      <c r="X1000" t="s">
        <v>20703</v>
      </c>
      <c r="Y1000" t="s">
        <v>20704</v>
      </c>
      <c r="Z1000" t="s">
        <v>20705</v>
      </c>
      <c r="AA1000" t="s">
        <v>3611</v>
      </c>
      <c r="AB1000" t="s">
        <v>20706</v>
      </c>
      <c r="AC1000" t="s">
        <v>74</v>
      </c>
      <c r="AD1000" t="s">
        <v>74</v>
      </c>
      <c r="AE1000" t="s">
        <v>74</v>
      </c>
      <c r="AF1000" t="s">
        <v>74</v>
      </c>
      <c r="AG1000">
        <v>46</v>
      </c>
      <c r="AH1000">
        <v>15</v>
      </c>
      <c r="AI1000">
        <v>17</v>
      </c>
      <c r="AJ1000">
        <v>6</v>
      </c>
      <c r="AK1000">
        <v>18</v>
      </c>
      <c r="AL1000" t="s">
        <v>74</v>
      </c>
      <c r="AM1000" t="s">
        <v>74</v>
      </c>
      <c r="AN1000" t="s">
        <v>74</v>
      </c>
      <c r="AO1000" t="s">
        <v>5164</v>
      </c>
      <c r="AP1000" t="s">
        <v>5165</v>
      </c>
      <c r="AQ1000" t="s">
        <v>74</v>
      </c>
      <c r="AR1000" t="s">
        <v>74</v>
      </c>
      <c r="AS1000" t="s">
        <v>74</v>
      </c>
      <c r="AT1000" t="s">
        <v>189</v>
      </c>
      <c r="AU1000">
        <v>2018</v>
      </c>
      <c r="AV1000">
        <v>20</v>
      </c>
      <c r="AW1000">
        <v>10</v>
      </c>
      <c r="AX1000" t="s">
        <v>74</v>
      </c>
      <c r="AY1000" t="s">
        <v>74</v>
      </c>
      <c r="AZ1000" t="s">
        <v>74</v>
      </c>
      <c r="BA1000" t="s">
        <v>74</v>
      </c>
      <c r="BB1000">
        <v>1310</v>
      </c>
      <c r="BC1000">
        <v>1320</v>
      </c>
      <c r="BD1000" t="s">
        <v>74</v>
      </c>
      <c r="BE1000" t="s">
        <v>20707</v>
      </c>
      <c r="BF1000" t="str">
        <f>HYPERLINK("http://dx.doi.org/10.1093/neuonc/noy058","http://dx.doi.org/10.1093/neuonc/noy058")</f>
        <v>http://dx.doi.org/10.1093/neuonc/noy058</v>
      </c>
      <c r="BG1000" t="s">
        <v>74</v>
      </c>
      <c r="BH1000" t="s">
        <v>74</v>
      </c>
      <c r="BI1000" t="s">
        <v>74</v>
      </c>
      <c r="BJ1000" t="s">
        <v>5167</v>
      </c>
      <c r="BK1000" t="s">
        <v>117</v>
      </c>
      <c r="BL1000" t="s">
        <v>5168</v>
      </c>
      <c r="BM1000" t="s">
        <v>74</v>
      </c>
      <c r="BN1000">
        <v>29660021</v>
      </c>
      <c r="BO1000" t="s">
        <v>74</v>
      </c>
      <c r="BP1000" t="s">
        <v>74</v>
      </c>
      <c r="BQ1000" t="s">
        <v>74</v>
      </c>
      <c r="BR1000" t="s">
        <v>96</v>
      </c>
      <c r="BS1000" t="s">
        <v>20708</v>
      </c>
      <c r="BT1000" t="str">
        <f>HYPERLINK("https%3A%2F%2Fwww.webofscience.com%2Fwos%2Fwoscc%2Ffull-record%2FWOS:000443563000006","View Full Record in Web of Science")</f>
        <v>View Full Record in Web of Science</v>
      </c>
    </row>
    <row r="1001" spans="1:72" x14ac:dyDescent="0.15">
      <c r="A1001" t="s">
        <v>98</v>
      </c>
      <c r="B1001" t="s">
        <v>21861</v>
      </c>
      <c r="C1001" t="s">
        <v>74</v>
      </c>
      <c r="D1001" t="s">
        <v>74</v>
      </c>
      <c r="E1001" t="s">
        <v>74</v>
      </c>
      <c r="F1001" t="s">
        <v>21862</v>
      </c>
      <c r="G1001" t="s">
        <v>74</v>
      </c>
      <c r="H1001" t="s">
        <v>74</v>
      </c>
      <c r="I1001" t="s">
        <v>21863</v>
      </c>
      <c r="J1001" t="s">
        <v>12460</v>
      </c>
      <c r="K1001" t="s">
        <v>74</v>
      </c>
      <c r="L1001" t="s">
        <v>74</v>
      </c>
      <c r="M1001" t="s">
        <v>74</v>
      </c>
      <c r="N1001" t="s">
        <v>103</v>
      </c>
      <c r="O1001" t="s">
        <v>74</v>
      </c>
      <c r="P1001" t="s">
        <v>74</v>
      </c>
      <c r="Q1001" t="s">
        <v>74</v>
      </c>
      <c r="R1001" t="s">
        <v>74</v>
      </c>
      <c r="S1001" t="s">
        <v>74</v>
      </c>
      <c r="T1001" t="s">
        <v>74</v>
      </c>
      <c r="U1001" t="s">
        <v>21864</v>
      </c>
      <c r="V1001" t="s">
        <v>21865</v>
      </c>
      <c r="W1001" t="s">
        <v>21866</v>
      </c>
      <c r="X1001" t="s">
        <v>21867</v>
      </c>
      <c r="Y1001" t="s">
        <v>21868</v>
      </c>
      <c r="Z1001" t="s">
        <v>21869</v>
      </c>
      <c r="AA1001" t="s">
        <v>21870</v>
      </c>
      <c r="AB1001" t="s">
        <v>21871</v>
      </c>
      <c r="AC1001" t="s">
        <v>74</v>
      </c>
      <c r="AD1001" t="s">
        <v>74</v>
      </c>
      <c r="AE1001" t="s">
        <v>74</v>
      </c>
      <c r="AF1001" t="s">
        <v>74</v>
      </c>
      <c r="AG1001">
        <v>45</v>
      </c>
      <c r="AH1001">
        <v>15</v>
      </c>
      <c r="AI1001">
        <v>15</v>
      </c>
      <c r="AJ1001">
        <v>0</v>
      </c>
      <c r="AK1001">
        <v>11</v>
      </c>
      <c r="AL1001" t="s">
        <v>74</v>
      </c>
      <c r="AM1001" t="s">
        <v>74</v>
      </c>
      <c r="AN1001" t="s">
        <v>74</v>
      </c>
      <c r="AO1001" t="s">
        <v>12469</v>
      </c>
      <c r="AP1001" t="s">
        <v>74</v>
      </c>
      <c r="AQ1001" t="s">
        <v>74</v>
      </c>
      <c r="AR1001" t="s">
        <v>74</v>
      </c>
      <c r="AS1001" t="s">
        <v>74</v>
      </c>
      <c r="AT1001" t="s">
        <v>170</v>
      </c>
      <c r="AU1001">
        <v>2017</v>
      </c>
      <c r="AV1001">
        <v>2</v>
      </c>
      <c r="AW1001">
        <v>6</v>
      </c>
      <c r="AX1001" t="s">
        <v>74</v>
      </c>
      <c r="AY1001" t="s">
        <v>74</v>
      </c>
      <c r="AZ1001" t="s">
        <v>74</v>
      </c>
      <c r="BA1001" t="s">
        <v>74</v>
      </c>
      <c r="BB1001">
        <v>2618</v>
      </c>
      <c r="BC1001">
        <v>2629</v>
      </c>
      <c r="BD1001" t="s">
        <v>74</v>
      </c>
      <c r="BE1001" t="s">
        <v>21872</v>
      </c>
      <c r="BF1001" t="str">
        <f>HYPERLINK("http://dx.doi.org/10.1021/acsomega.7b00284","http://dx.doi.org/10.1021/acsomega.7b00284")</f>
        <v>http://dx.doi.org/10.1021/acsomega.7b00284</v>
      </c>
      <c r="BG1001" t="s">
        <v>74</v>
      </c>
      <c r="BH1001" t="s">
        <v>74</v>
      </c>
      <c r="BI1001" t="s">
        <v>74</v>
      </c>
      <c r="BJ1001" t="s">
        <v>1047</v>
      </c>
      <c r="BK1001" t="s">
        <v>117</v>
      </c>
      <c r="BL1001" t="s">
        <v>1048</v>
      </c>
      <c r="BM1001" t="s">
        <v>74</v>
      </c>
      <c r="BN1001">
        <v>30023671</v>
      </c>
      <c r="BO1001" t="s">
        <v>74</v>
      </c>
      <c r="BP1001" t="s">
        <v>74</v>
      </c>
      <c r="BQ1001" t="s">
        <v>74</v>
      </c>
      <c r="BR1001" t="s">
        <v>96</v>
      </c>
      <c r="BS1001" t="s">
        <v>21873</v>
      </c>
      <c r="BT1001" t="str">
        <f>HYPERLINK("https%3A%2F%2Fwww.webofscience.com%2Fwos%2Fwoscc%2Ffull-record%2FWOS:000406385100029","View Full Record in Web of Science")</f>
        <v>View Full Record in Web of Science</v>
      </c>
    </row>
    <row r="1002" spans="1:72" x14ac:dyDescent="0.15">
      <c r="A1002" t="s">
        <v>98</v>
      </c>
      <c r="B1002" t="s">
        <v>22957</v>
      </c>
      <c r="C1002" t="s">
        <v>74</v>
      </c>
      <c r="D1002" t="s">
        <v>74</v>
      </c>
      <c r="E1002" t="s">
        <v>74</v>
      </c>
      <c r="F1002" t="s">
        <v>22958</v>
      </c>
      <c r="G1002" t="s">
        <v>74</v>
      </c>
      <c r="H1002" t="s">
        <v>74</v>
      </c>
      <c r="I1002" t="s">
        <v>22959</v>
      </c>
      <c r="J1002" t="s">
        <v>2833</v>
      </c>
      <c r="K1002" t="s">
        <v>74</v>
      </c>
      <c r="L1002" t="s">
        <v>74</v>
      </c>
      <c r="M1002" t="s">
        <v>74</v>
      </c>
      <c r="N1002" t="s">
        <v>103</v>
      </c>
      <c r="O1002" t="s">
        <v>74</v>
      </c>
      <c r="P1002" t="s">
        <v>74</v>
      </c>
      <c r="Q1002" t="s">
        <v>74</v>
      </c>
      <c r="R1002" t="s">
        <v>74</v>
      </c>
      <c r="S1002" t="s">
        <v>74</v>
      </c>
      <c r="T1002" t="s">
        <v>22960</v>
      </c>
      <c r="U1002" t="s">
        <v>22961</v>
      </c>
      <c r="V1002" t="s">
        <v>22962</v>
      </c>
      <c r="W1002" t="s">
        <v>22963</v>
      </c>
      <c r="X1002" t="s">
        <v>22964</v>
      </c>
      <c r="Y1002" t="s">
        <v>22965</v>
      </c>
      <c r="Z1002" t="s">
        <v>22966</v>
      </c>
      <c r="AA1002" t="s">
        <v>22967</v>
      </c>
      <c r="AB1002" t="s">
        <v>22968</v>
      </c>
      <c r="AC1002" t="s">
        <v>74</v>
      </c>
      <c r="AD1002" t="s">
        <v>74</v>
      </c>
      <c r="AE1002" t="s">
        <v>74</v>
      </c>
      <c r="AF1002" t="s">
        <v>74</v>
      </c>
      <c r="AG1002">
        <v>33</v>
      </c>
      <c r="AH1002">
        <v>15</v>
      </c>
      <c r="AI1002">
        <v>15</v>
      </c>
      <c r="AJ1002">
        <v>2</v>
      </c>
      <c r="AK1002">
        <v>13</v>
      </c>
      <c r="AL1002" t="s">
        <v>74</v>
      </c>
      <c r="AM1002" t="s">
        <v>74</v>
      </c>
      <c r="AN1002" t="s">
        <v>74</v>
      </c>
      <c r="AO1002" t="s">
        <v>2841</v>
      </c>
      <c r="AP1002" t="s">
        <v>2842</v>
      </c>
      <c r="AQ1002" t="s">
        <v>74</v>
      </c>
      <c r="AR1002" t="s">
        <v>74</v>
      </c>
      <c r="AS1002" t="s">
        <v>74</v>
      </c>
      <c r="AT1002" t="s">
        <v>4838</v>
      </c>
      <c r="AU1002">
        <v>2020</v>
      </c>
      <c r="AV1002">
        <v>533</v>
      </c>
      <c r="AW1002">
        <v>1</v>
      </c>
      <c r="AX1002" t="s">
        <v>74</v>
      </c>
      <c r="AY1002" t="s">
        <v>74</v>
      </c>
      <c r="AZ1002" t="s">
        <v>74</v>
      </c>
      <c r="BA1002" t="s">
        <v>74</v>
      </c>
      <c r="BB1002">
        <v>139</v>
      </c>
      <c r="BC1002">
        <v>147</v>
      </c>
      <c r="BD1002" t="s">
        <v>74</v>
      </c>
      <c r="BE1002" t="s">
        <v>22969</v>
      </c>
      <c r="BF1002" t="str">
        <f>HYPERLINK("http://dx.doi.org/10.1016/j.bbrc.2020.08.101","http://dx.doi.org/10.1016/j.bbrc.2020.08.101")</f>
        <v>http://dx.doi.org/10.1016/j.bbrc.2020.08.101</v>
      </c>
      <c r="BG1002" t="s">
        <v>74</v>
      </c>
      <c r="BH1002" t="s">
        <v>74</v>
      </c>
      <c r="BI1002" t="s">
        <v>74</v>
      </c>
      <c r="BJ1002" t="s">
        <v>2845</v>
      </c>
      <c r="BK1002" t="s">
        <v>117</v>
      </c>
      <c r="BL1002" t="s">
        <v>2845</v>
      </c>
      <c r="BM1002" t="s">
        <v>74</v>
      </c>
      <c r="BN1002">
        <v>32943183</v>
      </c>
      <c r="BO1002" t="s">
        <v>74</v>
      </c>
      <c r="BP1002" t="s">
        <v>74</v>
      </c>
      <c r="BQ1002" t="s">
        <v>74</v>
      </c>
      <c r="BR1002" t="s">
        <v>96</v>
      </c>
      <c r="BS1002" t="s">
        <v>22970</v>
      </c>
      <c r="BT1002" t="str">
        <f>HYPERLINK("https%3A%2F%2Fwww.webofscience.com%2Fwos%2Fwoscc%2Ffull-record%2FWOS:000579432200020","View Full Record in Web of Science")</f>
        <v>View Full Record in Web of Science</v>
      </c>
    </row>
    <row r="1003" spans="1:72" x14ac:dyDescent="0.15">
      <c r="A1003" t="s">
        <v>72</v>
      </c>
      <c r="B1003" t="s">
        <v>23361</v>
      </c>
      <c r="C1003" t="s">
        <v>74</v>
      </c>
      <c r="D1003" t="s">
        <v>23362</v>
      </c>
      <c r="E1003" t="s">
        <v>74</v>
      </c>
      <c r="F1003" t="s">
        <v>23363</v>
      </c>
      <c r="G1003" t="s">
        <v>74</v>
      </c>
      <c r="H1003" t="s">
        <v>74</v>
      </c>
      <c r="I1003" t="s">
        <v>23364</v>
      </c>
      <c r="J1003" t="s">
        <v>23365</v>
      </c>
      <c r="K1003" t="s">
        <v>2947</v>
      </c>
      <c r="L1003" t="s">
        <v>74</v>
      </c>
      <c r="M1003" t="s">
        <v>74</v>
      </c>
      <c r="N1003" t="s">
        <v>80</v>
      </c>
      <c r="O1003" t="s">
        <v>74</v>
      </c>
      <c r="P1003" t="s">
        <v>74</v>
      </c>
      <c r="Q1003" t="s">
        <v>74</v>
      </c>
      <c r="R1003" t="s">
        <v>74</v>
      </c>
      <c r="S1003" t="s">
        <v>74</v>
      </c>
      <c r="T1003" t="s">
        <v>23366</v>
      </c>
      <c r="U1003" t="s">
        <v>23367</v>
      </c>
      <c r="V1003" t="s">
        <v>23368</v>
      </c>
      <c r="W1003" t="s">
        <v>23369</v>
      </c>
      <c r="X1003" t="s">
        <v>23370</v>
      </c>
      <c r="Y1003" t="s">
        <v>23371</v>
      </c>
      <c r="Z1003" t="s">
        <v>23372</v>
      </c>
      <c r="AA1003" t="s">
        <v>74</v>
      </c>
      <c r="AB1003" t="s">
        <v>74</v>
      </c>
      <c r="AC1003" t="s">
        <v>74</v>
      </c>
      <c r="AD1003" t="s">
        <v>74</v>
      </c>
      <c r="AE1003" t="s">
        <v>74</v>
      </c>
      <c r="AF1003" t="s">
        <v>74</v>
      </c>
      <c r="AG1003">
        <v>86</v>
      </c>
      <c r="AH1003">
        <v>15</v>
      </c>
      <c r="AI1003">
        <v>17</v>
      </c>
      <c r="AJ1003">
        <v>1</v>
      </c>
      <c r="AK1003">
        <v>8</v>
      </c>
      <c r="AL1003" t="s">
        <v>74</v>
      </c>
      <c r="AM1003" t="s">
        <v>74</v>
      </c>
      <c r="AN1003" t="s">
        <v>74</v>
      </c>
      <c r="AO1003" t="s">
        <v>2954</v>
      </c>
      <c r="AP1003" t="s">
        <v>2955</v>
      </c>
      <c r="AQ1003" t="s">
        <v>23373</v>
      </c>
      <c r="AR1003" t="s">
        <v>74</v>
      </c>
      <c r="AS1003" t="s">
        <v>74</v>
      </c>
      <c r="AT1003" t="s">
        <v>74</v>
      </c>
      <c r="AU1003">
        <v>2018</v>
      </c>
      <c r="AV1003">
        <v>1045</v>
      </c>
      <c r="AW1003" t="s">
        <v>74</v>
      </c>
      <c r="AX1003" t="s">
        <v>74</v>
      </c>
      <c r="AY1003" t="s">
        <v>74</v>
      </c>
      <c r="AZ1003" t="s">
        <v>74</v>
      </c>
      <c r="BA1003" t="s">
        <v>74</v>
      </c>
      <c r="BB1003">
        <v>437</v>
      </c>
      <c r="BC1003">
        <v>457</v>
      </c>
      <c r="BD1003" t="s">
        <v>74</v>
      </c>
      <c r="BE1003" t="s">
        <v>23374</v>
      </c>
      <c r="BF1003" t="str">
        <f>HYPERLINK("http://dx.doi.org/10.1007/978-981-10-7230-7_20","http://dx.doi.org/10.1007/978-981-10-7230-7_20")</f>
        <v>http://dx.doi.org/10.1007/978-981-10-7230-7_20</v>
      </c>
      <c r="BG1003" t="s">
        <v>23375</v>
      </c>
      <c r="BH1003" t="s">
        <v>74</v>
      </c>
      <c r="BI1003" t="s">
        <v>74</v>
      </c>
      <c r="BJ1003" t="s">
        <v>23376</v>
      </c>
      <c r="BK1003" t="s">
        <v>2960</v>
      </c>
      <c r="BL1003" t="s">
        <v>23377</v>
      </c>
      <c r="BM1003" t="s">
        <v>74</v>
      </c>
      <c r="BN1003">
        <v>29896679</v>
      </c>
      <c r="BO1003" t="s">
        <v>74</v>
      </c>
      <c r="BP1003" t="s">
        <v>74</v>
      </c>
      <c r="BQ1003" t="s">
        <v>74</v>
      </c>
      <c r="BR1003" t="s">
        <v>96</v>
      </c>
      <c r="BS1003" t="s">
        <v>23378</v>
      </c>
      <c r="BT1003" t="str">
        <f>HYPERLINK("https%3A%2F%2Fwww.webofscience.com%2Fwos%2Fwoscc%2Ffull-record%2FWOS:000443332000021","View Full Record in Web of Science")</f>
        <v>View Full Record in Web of Science</v>
      </c>
    </row>
    <row r="1004" spans="1:72" x14ac:dyDescent="0.15">
      <c r="A1004" t="s">
        <v>98</v>
      </c>
      <c r="B1004" t="s">
        <v>23512</v>
      </c>
      <c r="C1004" t="s">
        <v>74</v>
      </c>
      <c r="D1004" t="s">
        <v>74</v>
      </c>
      <c r="E1004" t="s">
        <v>74</v>
      </c>
      <c r="F1004" t="s">
        <v>23513</v>
      </c>
      <c r="G1004" t="s">
        <v>74</v>
      </c>
      <c r="H1004" t="s">
        <v>74</v>
      </c>
      <c r="I1004" t="s">
        <v>23514</v>
      </c>
      <c r="J1004" t="s">
        <v>23515</v>
      </c>
      <c r="K1004" t="s">
        <v>74</v>
      </c>
      <c r="L1004" t="s">
        <v>74</v>
      </c>
      <c r="M1004" t="s">
        <v>74</v>
      </c>
      <c r="N1004" t="s">
        <v>103</v>
      </c>
      <c r="O1004" t="s">
        <v>74</v>
      </c>
      <c r="P1004" t="s">
        <v>74</v>
      </c>
      <c r="Q1004" t="s">
        <v>74</v>
      </c>
      <c r="R1004" t="s">
        <v>74</v>
      </c>
      <c r="S1004" t="s">
        <v>74</v>
      </c>
      <c r="T1004" t="s">
        <v>74</v>
      </c>
      <c r="U1004" t="s">
        <v>23516</v>
      </c>
      <c r="V1004" t="s">
        <v>23517</v>
      </c>
      <c r="W1004" t="s">
        <v>23518</v>
      </c>
      <c r="X1004" t="s">
        <v>23519</v>
      </c>
      <c r="Y1004" t="s">
        <v>23520</v>
      </c>
      <c r="Z1004" t="s">
        <v>23521</v>
      </c>
      <c r="AA1004" t="s">
        <v>23522</v>
      </c>
      <c r="AB1004" t="s">
        <v>74</v>
      </c>
      <c r="AC1004" t="s">
        <v>74</v>
      </c>
      <c r="AD1004" t="s">
        <v>74</v>
      </c>
      <c r="AE1004" t="s">
        <v>74</v>
      </c>
      <c r="AF1004" t="s">
        <v>74</v>
      </c>
      <c r="AG1004">
        <v>44</v>
      </c>
      <c r="AH1004">
        <v>15</v>
      </c>
      <c r="AI1004">
        <v>15</v>
      </c>
      <c r="AJ1004">
        <v>2</v>
      </c>
      <c r="AK1004">
        <v>8</v>
      </c>
      <c r="AL1004" t="s">
        <v>74</v>
      </c>
      <c r="AM1004" t="s">
        <v>74</v>
      </c>
      <c r="AN1004" t="s">
        <v>74</v>
      </c>
      <c r="AO1004" t="s">
        <v>23523</v>
      </c>
      <c r="AP1004" t="s">
        <v>74</v>
      </c>
      <c r="AQ1004" t="s">
        <v>74</v>
      </c>
      <c r="AR1004" t="s">
        <v>74</v>
      </c>
      <c r="AS1004" t="s">
        <v>74</v>
      </c>
      <c r="AT1004" t="s">
        <v>599</v>
      </c>
      <c r="AU1004">
        <v>2020</v>
      </c>
      <c r="AV1004">
        <v>105</v>
      </c>
      <c r="AW1004">
        <v>1</v>
      </c>
      <c r="AX1004" t="s">
        <v>74</v>
      </c>
      <c r="AY1004" t="s">
        <v>74</v>
      </c>
      <c r="AZ1004" t="s">
        <v>74</v>
      </c>
      <c r="BA1004" t="s">
        <v>74</v>
      </c>
      <c r="BB1004">
        <v>209</v>
      </c>
      <c r="BC1004">
        <v>217</v>
      </c>
      <c r="BD1004" t="s">
        <v>74</v>
      </c>
      <c r="BE1004" t="s">
        <v>23524</v>
      </c>
      <c r="BF1004" t="str">
        <f>HYPERLINK("http://dx.doi.org/10.3324/haematol.2018.214932","http://dx.doi.org/10.3324/haematol.2018.214932")</f>
        <v>http://dx.doi.org/10.3324/haematol.2018.214932</v>
      </c>
      <c r="BG1004" t="s">
        <v>74</v>
      </c>
      <c r="BH1004" t="s">
        <v>74</v>
      </c>
      <c r="BI1004" t="s">
        <v>74</v>
      </c>
      <c r="BJ1004" t="s">
        <v>2438</v>
      </c>
      <c r="BK1004" t="s">
        <v>117</v>
      </c>
      <c r="BL1004" t="s">
        <v>2438</v>
      </c>
      <c r="BM1004" t="s">
        <v>74</v>
      </c>
      <c r="BN1004">
        <v>30975909</v>
      </c>
      <c r="BO1004" t="s">
        <v>74</v>
      </c>
      <c r="BP1004" t="s">
        <v>74</v>
      </c>
      <c r="BQ1004" t="s">
        <v>74</v>
      </c>
      <c r="BR1004" t="s">
        <v>96</v>
      </c>
      <c r="BS1004" t="s">
        <v>23525</v>
      </c>
      <c r="BT1004" t="str">
        <f>HYPERLINK("https%3A%2F%2Fwww.webofscience.com%2Fwos%2Fwoscc%2Ffull-record%2FWOS:000505041200036","View Full Record in Web of Science")</f>
        <v>View Full Record in Web of Science</v>
      </c>
    </row>
    <row r="1005" spans="1:72" x14ac:dyDescent="0.15">
      <c r="A1005" t="s">
        <v>98</v>
      </c>
      <c r="B1005" t="s">
        <v>24752</v>
      </c>
      <c r="C1005" t="s">
        <v>74</v>
      </c>
      <c r="D1005" t="s">
        <v>74</v>
      </c>
      <c r="E1005" t="s">
        <v>74</v>
      </c>
      <c r="F1005" t="s">
        <v>24752</v>
      </c>
      <c r="G1005" t="s">
        <v>74</v>
      </c>
      <c r="H1005" t="s">
        <v>74</v>
      </c>
      <c r="I1005" t="s">
        <v>24753</v>
      </c>
      <c r="J1005" t="s">
        <v>24754</v>
      </c>
      <c r="K1005" t="s">
        <v>74</v>
      </c>
      <c r="L1005" t="s">
        <v>74</v>
      </c>
      <c r="M1005" t="s">
        <v>74</v>
      </c>
      <c r="N1005" t="s">
        <v>103</v>
      </c>
      <c r="O1005" t="s">
        <v>74</v>
      </c>
      <c r="P1005" t="s">
        <v>74</v>
      </c>
      <c r="Q1005" t="s">
        <v>74</v>
      </c>
      <c r="R1005" t="s">
        <v>74</v>
      </c>
      <c r="S1005" t="s">
        <v>74</v>
      </c>
      <c r="T1005" t="s">
        <v>74</v>
      </c>
      <c r="U1005" t="s">
        <v>24755</v>
      </c>
      <c r="V1005" t="s">
        <v>24756</v>
      </c>
      <c r="W1005" t="s">
        <v>74</v>
      </c>
      <c r="X1005" t="s">
        <v>74</v>
      </c>
      <c r="Y1005" t="s">
        <v>24757</v>
      </c>
      <c r="Z1005" t="s">
        <v>74</v>
      </c>
      <c r="AA1005" t="s">
        <v>74</v>
      </c>
      <c r="AB1005" t="s">
        <v>74</v>
      </c>
      <c r="AC1005" t="s">
        <v>74</v>
      </c>
      <c r="AD1005" t="s">
        <v>74</v>
      </c>
      <c r="AE1005" t="s">
        <v>74</v>
      </c>
      <c r="AF1005" t="s">
        <v>74</v>
      </c>
      <c r="AG1005">
        <v>26</v>
      </c>
      <c r="AH1005">
        <v>15</v>
      </c>
      <c r="AI1005">
        <v>15</v>
      </c>
      <c r="AJ1005">
        <v>0</v>
      </c>
      <c r="AK1005">
        <v>2</v>
      </c>
      <c r="AL1005" t="s">
        <v>74</v>
      </c>
      <c r="AM1005" t="s">
        <v>74</v>
      </c>
      <c r="AN1005" t="s">
        <v>74</v>
      </c>
      <c r="AO1005" t="s">
        <v>24758</v>
      </c>
      <c r="AP1005" t="s">
        <v>24759</v>
      </c>
      <c r="AQ1005" t="s">
        <v>74</v>
      </c>
      <c r="AR1005" t="s">
        <v>74</v>
      </c>
      <c r="AS1005" t="s">
        <v>74</v>
      </c>
      <c r="AT1005" t="s">
        <v>6360</v>
      </c>
      <c r="AU1005">
        <v>1995</v>
      </c>
      <c r="AV1005">
        <v>13</v>
      </c>
      <c r="AW1005">
        <v>5</v>
      </c>
      <c r="AX1005" t="s">
        <v>74</v>
      </c>
      <c r="AY1005" t="s">
        <v>74</v>
      </c>
      <c r="AZ1005" t="s">
        <v>74</v>
      </c>
      <c r="BA1005" t="s">
        <v>74</v>
      </c>
      <c r="BB1005">
        <v>2613</v>
      </c>
      <c r="BC1005">
        <v>2618</v>
      </c>
      <c r="BD1005" t="s">
        <v>74</v>
      </c>
      <c r="BE1005" t="s">
        <v>24760</v>
      </c>
      <c r="BF1005" t="str">
        <f>HYPERLINK("http://dx.doi.org/10.1116/1.579459","http://dx.doi.org/10.1116/1.579459")</f>
        <v>http://dx.doi.org/10.1116/1.579459</v>
      </c>
      <c r="BG1005" t="s">
        <v>74</v>
      </c>
      <c r="BH1005" t="s">
        <v>74</v>
      </c>
      <c r="BI1005" t="s">
        <v>74</v>
      </c>
      <c r="BJ1005" t="s">
        <v>24761</v>
      </c>
      <c r="BK1005" t="s">
        <v>117</v>
      </c>
      <c r="BL1005" t="s">
        <v>24762</v>
      </c>
      <c r="BM1005" t="s">
        <v>74</v>
      </c>
      <c r="BN1005" t="s">
        <v>74</v>
      </c>
      <c r="BO1005" t="s">
        <v>74</v>
      </c>
      <c r="BP1005" t="s">
        <v>74</v>
      </c>
      <c r="BQ1005" t="s">
        <v>74</v>
      </c>
      <c r="BR1005" t="s">
        <v>96</v>
      </c>
      <c r="BS1005" t="s">
        <v>24763</v>
      </c>
      <c r="BT1005" t="str">
        <f>HYPERLINK("https%3A%2F%2Fwww.webofscience.com%2Fwos%2Fwoscc%2Ffull-record%2FWOS:A1995RV82800049","View Full Record in Web of Science")</f>
        <v>View Full Record in Web of Science</v>
      </c>
    </row>
    <row r="1006" spans="1:72" x14ac:dyDescent="0.15">
      <c r="A1006" t="s">
        <v>98</v>
      </c>
      <c r="B1006" t="s">
        <v>24879</v>
      </c>
      <c r="C1006" t="s">
        <v>74</v>
      </c>
      <c r="D1006" t="s">
        <v>74</v>
      </c>
      <c r="E1006" t="s">
        <v>74</v>
      </c>
      <c r="F1006" t="s">
        <v>24879</v>
      </c>
      <c r="G1006" t="s">
        <v>74</v>
      </c>
      <c r="H1006" t="s">
        <v>74</v>
      </c>
      <c r="I1006" t="s">
        <v>24880</v>
      </c>
      <c r="J1006" t="s">
        <v>2505</v>
      </c>
      <c r="K1006" t="s">
        <v>74</v>
      </c>
      <c r="L1006" t="s">
        <v>74</v>
      </c>
      <c r="M1006" t="s">
        <v>74</v>
      </c>
      <c r="N1006" t="s">
        <v>103</v>
      </c>
      <c r="O1006" t="s">
        <v>74</v>
      </c>
      <c r="P1006" t="s">
        <v>74</v>
      </c>
      <c r="Q1006" t="s">
        <v>74</v>
      </c>
      <c r="R1006" t="s">
        <v>74</v>
      </c>
      <c r="S1006" t="s">
        <v>74</v>
      </c>
      <c r="T1006" t="s">
        <v>24881</v>
      </c>
      <c r="U1006" t="s">
        <v>24882</v>
      </c>
      <c r="V1006" t="s">
        <v>24883</v>
      </c>
      <c r="W1006" t="s">
        <v>24884</v>
      </c>
      <c r="X1006" t="s">
        <v>74</v>
      </c>
      <c r="Y1006" t="s">
        <v>24885</v>
      </c>
      <c r="Z1006" t="s">
        <v>24886</v>
      </c>
      <c r="AA1006" t="s">
        <v>74</v>
      </c>
      <c r="AB1006" t="s">
        <v>74</v>
      </c>
      <c r="AC1006" t="s">
        <v>74</v>
      </c>
      <c r="AD1006" t="s">
        <v>74</v>
      </c>
      <c r="AE1006" t="s">
        <v>74</v>
      </c>
      <c r="AF1006" t="s">
        <v>74</v>
      </c>
      <c r="AG1006">
        <v>48</v>
      </c>
      <c r="AH1006">
        <v>15</v>
      </c>
      <c r="AI1006">
        <v>15</v>
      </c>
      <c r="AJ1006">
        <v>0</v>
      </c>
      <c r="AK1006">
        <v>1</v>
      </c>
      <c r="AL1006" t="s">
        <v>74</v>
      </c>
      <c r="AM1006" t="s">
        <v>74</v>
      </c>
      <c r="AN1006" t="s">
        <v>74</v>
      </c>
      <c r="AO1006" t="s">
        <v>2513</v>
      </c>
      <c r="AP1006" t="s">
        <v>2514</v>
      </c>
      <c r="AQ1006" t="s">
        <v>74</v>
      </c>
      <c r="AR1006" t="s">
        <v>74</v>
      </c>
      <c r="AS1006" t="s">
        <v>74</v>
      </c>
      <c r="AT1006" t="s">
        <v>74</v>
      </c>
      <c r="AU1006">
        <v>2000</v>
      </c>
      <c r="AV1006">
        <v>79</v>
      </c>
      <c r="AW1006">
        <v>1</v>
      </c>
      <c r="AX1006" t="s">
        <v>74</v>
      </c>
      <c r="AY1006" t="s">
        <v>74</v>
      </c>
      <c r="AZ1006" t="s">
        <v>74</v>
      </c>
      <c r="BA1006" t="s">
        <v>74</v>
      </c>
      <c r="BB1006">
        <v>89</v>
      </c>
      <c r="BC1006">
        <v>102</v>
      </c>
      <c r="BD1006" t="s">
        <v>74</v>
      </c>
      <c r="BE1006" t="s">
        <v>24887</v>
      </c>
      <c r="BF1006" t="str">
        <f>HYPERLINK("http://dx.doi.org/10.1002/1097-4644(2000)79:1&lt;89::AID-JCB90&gt;3.0.CO;2-A","http://dx.doi.org/10.1002/1097-4644(2000)79:1&lt;89::AID-JCB90&gt;3.0.CO;2-A")</f>
        <v>http://dx.doi.org/10.1002/1097-4644(2000)79:1&lt;89::AID-JCB90&gt;3.0.CO;2-A</v>
      </c>
      <c r="BG1006" t="s">
        <v>74</v>
      </c>
      <c r="BH1006" t="s">
        <v>74</v>
      </c>
      <c r="BI1006" t="s">
        <v>74</v>
      </c>
      <c r="BJ1006" t="s">
        <v>498</v>
      </c>
      <c r="BK1006" t="s">
        <v>117</v>
      </c>
      <c r="BL1006" t="s">
        <v>498</v>
      </c>
      <c r="BM1006" t="s">
        <v>74</v>
      </c>
      <c r="BN1006">
        <v>10906758</v>
      </c>
      <c r="BO1006" t="s">
        <v>74</v>
      </c>
      <c r="BP1006" t="s">
        <v>74</v>
      </c>
      <c r="BQ1006" t="s">
        <v>74</v>
      </c>
      <c r="BR1006" t="s">
        <v>96</v>
      </c>
      <c r="BS1006" t="s">
        <v>24888</v>
      </c>
      <c r="BT1006" t="str">
        <f>HYPERLINK("https%3A%2F%2Fwww.webofscience.com%2Fwos%2Fwoscc%2Ffull-record%2FWOS:000088791700008","View Full Record in Web of Science")</f>
        <v>View Full Record in Web of Science</v>
      </c>
    </row>
    <row r="1007" spans="1:72" x14ac:dyDescent="0.15">
      <c r="A1007" t="s">
        <v>98</v>
      </c>
      <c r="B1007" t="s">
        <v>26094</v>
      </c>
      <c r="C1007" t="s">
        <v>74</v>
      </c>
      <c r="D1007" t="s">
        <v>74</v>
      </c>
      <c r="E1007" t="s">
        <v>74</v>
      </c>
      <c r="F1007" t="s">
        <v>26095</v>
      </c>
      <c r="G1007" t="s">
        <v>74</v>
      </c>
      <c r="H1007" t="s">
        <v>74</v>
      </c>
      <c r="I1007" t="s">
        <v>26096</v>
      </c>
      <c r="J1007" t="s">
        <v>140</v>
      </c>
      <c r="K1007" t="s">
        <v>74</v>
      </c>
      <c r="L1007" t="s">
        <v>74</v>
      </c>
      <c r="M1007" t="s">
        <v>74</v>
      </c>
      <c r="N1007" t="s">
        <v>103</v>
      </c>
      <c r="O1007" t="s">
        <v>74</v>
      </c>
      <c r="P1007" t="s">
        <v>74</v>
      </c>
      <c r="Q1007" t="s">
        <v>74</v>
      </c>
      <c r="R1007" t="s">
        <v>74</v>
      </c>
      <c r="S1007" t="s">
        <v>74</v>
      </c>
      <c r="T1007" t="s">
        <v>74</v>
      </c>
      <c r="U1007" t="s">
        <v>26097</v>
      </c>
      <c r="V1007" t="s">
        <v>26098</v>
      </c>
      <c r="W1007" t="s">
        <v>26099</v>
      </c>
      <c r="X1007" t="s">
        <v>4817</v>
      </c>
      <c r="Y1007" t="s">
        <v>26100</v>
      </c>
      <c r="Z1007" t="s">
        <v>26101</v>
      </c>
      <c r="AA1007" t="s">
        <v>74</v>
      </c>
      <c r="AB1007" t="s">
        <v>74</v>
      </c>
      <c r="AC1007" t="s">
        <v>74</v>
      </c>
      <c r="AD1007" t="s">
        <v>74</v>
      </c>
      <c r="AE1007" t="s">
        <v>74</v>
      </c>
      <c r="AF1007" t="s">
        <v>74</v>
      </c>
      <c r="AG1007">
        <v>64</v>
      </c>
      <c r="AH1007">
        <v>15</v>
      </c>
      <c r="AI1007">
        <v>16</v>
      </c>
      <c r="AJ1007">
        <v>4</v>
      </c>
      <c r="AK1007">
        <v>14</v>
      </c>
      <c r="AL1007" t="s">
        <v>74</v>
      </c>
      <c r="AM1007" t="s">
        <v>74</v>
      </c>
      <c r="AN1007" t="s">
        <v>74</v>
      </c>
      <c r="AO1007" t="s">
        <v>149</v>
      </c>
      <c r="AP1007" t="s">
        <v>74</v>
      </c>
      <c r="AQ1007" t="s">
        <v>74</v>
      </c>
      <c r="AR1007" t="s">
        <v>74</v>
      </c>
      <c r="AS1007" t="s">
        <v>74</v>
      </c>
      <c r="AT1007" t="s">
        <v>10396</v>
      </c>
      <c r="AU1007">
        <v>2018</v>
      </c>
      <c r="AV1007">
        <v>8</v>
      </c>
      <c r="AW1007" t="s">
        <v>74</v>
      </c>
      <c r="AX1007" t="s">
        <v>74</v>
      </c>
      <c r="AY1007" t="s">
        <v>74</v>
      </c>
      <c r="AZ1007" t="s">
        <v>74</v>
      </c>
      <c r="BA1007" t="s">
        <v>74</v>
      </c>
      <c r="BB1007" t="s">
        <v>74</v>
      </c>
      <c r="BC1007" t="s">
        <v>74</v>
      </c>
      <c r="BD1007">
        <v>2832</v>
      </c>
      <c r="BE1007" t="s">
        <v>26102</v>
      </c>
      <c r="BF1007" t="str">
        <f>HYPERLINK("http://dx.doi.org/10.1038/s41598-018-21113-6","http://dx.doi.org/10.1038/s41598-018-21113-6")</f>
        <v>http://dx.doi.org/10.1038/s41598-018-21113-6</v>
      </c>
      <c r="BG1007" t="s">
        <v>74</v>
      </c>
      <c r="BH1007" t="s">
        <v>74</v>
      </c>
      <c r="BI1007" t="s">
        <v>74</v>
      </c>
      <c r="BJ1007" t="s">
        <v>152</v>
      </c>
      <c r="BK1007" t="s">
        <v>117</v>
      </c>
      <c r="BL1007" t="s">
        <v>153</v>
      </c>
      <c r="BM1007" t="s">
        <v>74</v>
      </c>
      <c r="BN1007">
        <v>29434260</v>
      </c>
      <c r="BO1007" t="s">
        <v>74</v>
      </c>
      <c r="BP1007" t="s">
        <v>74</v>
      </c>
      <c r="BQ1007" t="s">
        <v>74</v>
      </c>
      <c r="BR1007" t="s">
        <v>96</v>
      </c>
      <c r="BS1007" t="s">
        <v>26103</v>
      </c>
      <c r="BT1007" t="str">
        <f>HYPERLINK("https%3A%2F%2Fwww.webofscience.com%2Fwos%2Fwoscc%2Ffull-record%2FWOS:000424743500048","View Full Record in Web of Science")</f>
        <v>View Full Record in Web of Science</v>
      </c>
    </row>
    <row r="1008" spans="1:72" x14ac:dyDescent="0.15">
      <c r="A1008" t="s">
        <v>98</v>
      </c>
      <c r="B1008" t="s">
        <v>27039</v>
      </c>
      <c r="C1008" t="s">
        <v>74</v>
      </c>
      <c r="D1008" t="s">
        <v>74</v>
      </c>
      <c r="E1008" t="s">
        <v>74</v>
      </c>
      <c r="F1008" t="s">
        <v>27040</v>
      </c>
      <c r="G1008" t="s">
        <v>74</v>
      </c>
      <c r="H1008" t="s">
        <v>74</v>
      </c>
      <c r="I1008" t="s">
        <v>27041</v>
      </c>
      <c r="J1008" t="s">
        <v>11795</v>
      </c>
      <c r="K1008" t="s">
        <v>74</v>
      </c>
      <c r="L1008" t="s">
        <v>74</v>
      </c>
      <c r="M1008" t="s">
        <v>74</v>
      </c>
      <c r="N1008" t="s">
        <v>103</v>
      </c>
      <c r="O1008" t="s">
        <v>74</v>
      </c>
      <c r="P1008" t="s">
        <v>74</v>
      </c>
      <c r="Q1008" t="s">
        <v>74</v>
      </c>
      <c r="R1008" t="s">
        <v>74</v>
      </c>
      <c r="S1008" t="s">
        <v>74</v>
      </c>
      <c r="T1008" t="s">
        <v>74</v>
      </c>
      <c r="U1008" t="s">
        <v>27042</v>
      </c>
      <c r="V1008" t="s">
        <v>27043</v>
      </c>
      <c r="W1008" t="s">
        <v>27044</v>
      </c>
      <c r="X1008" t="s">
        <v>27045</v>
      </c>
      <c r="Y1008" t="s">
        <v>27046</v>
      </c>
      <c r="Z1008" t="s">
        <v>27047</v>
      </c>
      <c r="AA1008" t="s">
        <v>74</v>
      </c>
      <c r="AB1008" t="s">
        <v>27048</v>
      </c>
      <c r="AC1008" t="s">
        <v>74</v>
      </c>
      <c r="AD1008" t="s">
        <v>74</v>
      </c>
      <c r="AE1008" t="s">
        <v>74</v>
      </c>
      <c r="AF1008" t="s">
        <v>74</v>
      </c>
      <c r="AG1008">
        <v>46</v>
      </c>
      <c r="AH1008">
        <v>15</v>
      </c>
      <c r="AI1008">
        <v>15</v>
      </c>
      <c r="AJ1008">
        <v>0</v>
      </c>
      <c r="AK1008">
        <v>4</v>
      </c>
      <c r="AL1008" t="s">
        <v>74</v>
      </c>
      <c r="AM1008" t="s">
        <v>74</v>
      </c>
      <c r="AN1008" t="s">
        <v>74</v>
      </c>
      <c r="AO1008" t="s">
        <v>11804</v>
      </c>
      <c r="AP1008" t="s">
        <v>11805</v>
      </c>
      <c r="AQ1008" t="s">
        <v>74</v>
      </c>
      <c r="AR1008" t="s">
        <v>74</v>
      </c>
      <c r="AS1008" t="s">
        <v>74</v>
      </c>
      <c r="AT1008" t="s">
        <v>1029</v>
      </c>
      <c r="AU1008">
        <v>2017</v>
      </c>
      <c r="AV1008">
        <v>57</v>
      </c>
      <c r="AW1008">
        <v>5</v>
      </c>
      <c r="AX1008" t="s">
        <v>74</v>
      </c>
      <c r="AY1008" t="s">
        <v>74</v>
      </c>
      <c r="AZ1008" t="s">
        <v>74</v>
      </c>
      <c r="BA1008" t="s">
        <v>74</v>
      </c>
      <c r="BB1008">
        <v>1199</v>
      </c>
      <c r="BC1008">
        <v>1207</v>
      </c>
      <c r="BD1008" t="s">
        <v>74</v>
      </c>
      <c r="BE1008" t="s">
        <v>27049</v>
      </c>
      <c r="BF1008" t="str">
        <f>HYPERLINK("http://dx.doi.org/10.1111/trf.14035","http://dx.doi.org/10.1111/trf.14035")</f>
        <v>http://dx.doi.org/10.1111/trf.14035</v>
      </c>
      <c r="BG1008" t="s">
        <v>74</v>
      </c>
      <c r="BH1008" t="s">
        <v>74</v>
      </c>
      <c r="BI1008" t="s">
        <v>74</v>
      </c>
      <c r="BJ1008" t="s">
        <v>2438</v>
      </c>
      <c r="BK1008" t="s">
        <v>117</v>
      </c>
      <c r="BL1008" t="s">
        <v>2438</v>
      </c>
      <c r="BM1008" t="s">
        <v>74</v>
      </c>
      <c r="BN1008">
        <v>28236306</v>
      </c>
      <c r="BO1008" t="s">
        <v>74</v>
      </c>
      <c r="BP1008" t="s">
        <v>74</v>
      </c>
      <c r="BQ1008" t="s">
        <v>74</v>
      </c>
      <c r="BR1008" t="s">
        <v>96</v>
      </c>
      <c r="BS1008" t="s">
        <v>27050</v>
      </c>
      <c r="BT1008" t="str">
        <f>HYPERLINK("https%3A%2F%2Fwww.webofscience.com%2Fwos%2Fwoscc%2Ffull-record%2FWOS:000402875300016","View Full Record in Web of Science")</f>
        <v>View Full Record in Web of Science</v>
      </c>
    </row>
    <row r="1009" spans="1:72" x14ac:dyDescent="0.15">
      <c r="A1009" t="s">
        <v>98</v>
      </c>
      <c r="B1009" t="s">
        <v>27225</v>
      </c>
      <c r="C1009" t="s">
        <v>74</v>
      </c>
      <c r="D1009" t="s">
        <v>74</v>
      </c>
      <c r="E1009" t="s">
        <v>74</v>
      </c>
      <c r="F1009" t="s">
        <v>27226</v>
      </c>
      <c r="G1009" t="s">
        <v>74</v>
      </c>
      <c r="H1009" t="s">
        <v>74</v>
      </c>
      <c r="I1009" t="s">
        <v>27227</v>
      </c>
      <c r="J1009" t="s">
        <v>16745</v>
      </c>
      <c r="K1009" t="s">
        <v>74</v>
      </c>
      <c r="L1009" t="s">
        <v>74</v>
      </c>
      <c r="M1009" t="s">
        <v>74</v>
      </c>
      <c r="N1009" t="s">
        <v>103</v>
      </c>
      <c r="O1009" t="s">
        <v>74</v>
      </c>
      <c r="P1009" t="s">
        <v>74</v>
      </c>
      <c r="Q1009" t="s">
        <v>74</v>
      </c>
      <c r="R1009" t="s">
        <v>74</v>
      </c>
      <c r="S1009" t="s">
        <v>74</v>
      </c>
      <c r="T1009" t="s">
        <v>74</v>
      </c>
      <c r="U1009" t="s">
        <v>27228</v>
      </c>
      <c r="V1009" t="s">
        <v>27229</v>
      </c>
      <c r="W1009" t="s">
        <v>27230</v>
      </c>
      <c r="X1009" t="s">
        <v>27231</v>
      </c>
      <c r="Y1009" t="s">
        <v>27232</v>
      </c>
      <c r="Z1009" t="s">
        <v>27233</v>
      </c>
      <c r="AA1009" t="s">
        <v>74</v>
      </c>
      <c r="AB1009" t="s">
        <v>27234</v>
      </c>
      <c r="AC1009" t="s">
        <v>74</v>
      </c>
      <c r="AD1009" t="s">
        <v>74</v>
      </c>
      <c r="AE1009" t="s">
        <v>74</v>
      </c>
      <c r="AF1009" t="s">
        <v>74</v>
      </c>
      <c r="AG1009">
        <v>81</v>
      </c>
      <c r="AH1009">
        <v>15</v>
      </c>
      <c r="AI1009">
        <v>15</v>
      </c>
      <c r="AJ1009">
        <v>0</v>
      </c>
      <c r="AK1009">
        <v>11</v>
      </c>
      <c r="AL1009" t="s">
        <v>74</v>
      </c>
      <c r="AM1009" t="s">
        <v>74</v>
      </c>
      <c r="AN1009" t="s">
        <v>74</v>
      </c>
      <c r="AO1009" t="s">
        <v>16754</v>
      </c>
      <c r="AP1009" t="s">
        <v>16755</v>
      </c>
      <c r="AQ1009" t="s">
        <v>74</v>
      </c>
      <c r="AR1009" t="s">
        <v>74</v>
      </c>
      <c r="AS1009" t="s">
        <v>74</v>
      </c>
      <c r="AT1009" t="s">
        <v>170</v>
      </c>
      <c r="AU1009">
        <v>2014</v>
      </c>
      <c r="AV1009">
        <v>82</v>
      </c>
      <c r="AW1009">
        <v>6</v>
      </c>
      <c r="AX1009" t="s">
        <v>74</v>
      </c>
      <c r="AY1009" t="s">
        <v>74</v>
      </c>
      <c r="AZ1009" t="s">
        <v>74</v>
      </c>
      <c r="BA1009" t="s">
        <v>74</v>
      </c>
      <c r="BB1009">
        <v>2434</v>
      </c>
      <c r="BC1009">
        <v>2447</v>
      </c>
      <c r="BD1009" t="s">
        <v>74</v>
      </c>
      <c r="BE1009" t="s">
        <v>27235</v>
      </c>
      <c r="BF1009" t="str">
        <f>HYPERLINK("http://dx.doi.org/10.1128/IAI.00054-14","http://dx.doi.org/10.1128/IAI.00054-14")</f>
        <v>http://dx.doi.org/10.1128/IAI.00054-14</v>
      </c>
      <c r="BG1009" t="s">
        <v>74</v>
      </c>
      <c r="BH1009" t="s">
        <v>74</v>
      </c>
      <c r="BI1009" t="s">
        <v>74</v>
      </c>
      <c r="BJ1009" t="s">
        <v>16757</v>
      </c>
      <c r="BK1009" t="s">
        <v>117</v>
      </c>
      <c r="BL1009" t="s">
        <v>16757</v>
      </c>
      <c r="BM1009" t="s">
        <v>74</v>
      </c>
      <c r="BN1009">
        <v>24686062</v>
      </c>
      <c r="BO1009" t="s">
        <v>74</v>
      </c>
      <c r="BP1009" t="s">
        <v>74</v>
      </c>
      <c r="BQ1009" t="s">
        <v>74</v>
      </c>
      <c r="BR1009" t="s">
        <v>96</v>
      </c>
      <c r="BS1009" t="s">
        <v>27236</v>
      </c>
      <c r="BT1009" t="str">
        <f>HYPERLINK("https%3A%2F%2Fwww.webofscience.com%2Fwos%2Fwoscc%2Ffull-record%2FWOS:000336378100030","View Full Record in Web of Science")</f>
        <v>View Full Record in Web of Science</v>
      </c>
    </row>
    <row r="1010" spans="1:72" x14ac:dyDescent="0.15">
      <c r="A1010" t="s">
        <v>98</v>
      </c>
      <c r="B1010" t="s">
        <v>27827</v>
      </c>
      <c r="C1010" t="s">
        <v>74</v>
      </c>
      <c r="D1010" t="s">
        <v>74</v>
      </c>
      <c r="E1010" t="s">
        <v>74</v>
      </c>
      <c r="F1010" t="s">
        <v>27828</v>
      </c>
      <c r="G1010" t="s">
        <v>74</v>
      </c>
      <c r="H1010" t="s">
        <v>74</v>
      </c>
      <c r="I1010" t="s">
        <v>27829</v>
      </c>
      <c r="J1010" t="s">
        <v>13367</v>
      </c>
      <c r="K1010" t="s">
        <v>74</v>
      </c>
      <c r="L1010" t="s">
        <v>74</v>
      </c>
      <c r="M1010" t="s">
        <v>74</v>
      </c>
      <c r="N1010" t="s">
        <v>103</v>
      </c>
      <c r="O1010" t="s">
        <v>74</v>
      </c>
      <c r="P1010" t="s">
        <v>74</v>
      </c>
      <c r="Q1010" t="s">
        <v>74</v>
      </c>
      <c r="R1010" t="s">
        <v>74</v>
      </c>
      <c r="S1010" t="s">
        <v>74</v>
      </c>
      <c r="T1010" t="s">
        <v>74</v>
      </c>
      <c r="U1010" t="s">
        <v>27830</v>
      </c>
      <c r="V1010" t="s">
        <v>27831</v>
      </c>
      <c r="W1010" t="s">
        <v>27832</v>
      </c>
      <c r="X1010" t="s">
        <v>27833</v>
      </c>
      <c r="Y1010" t="s">
        <v>27834</v>
      </c>
      <c r="Z1010" t="s">
        <v>27835</v>
      </c>
      <c r="AA1010" t="s">
        <v>74</v>
      </c>
      <c r="AB1010" t="s">
        <v>27836</v>
      </c>
      <c r="AC1010" t="s">
        <v>74</v>
      </c>
      <c r="AD1010" t="s">
        <v>74</v>
      </c>
      <c r="AE1010" t="s">
        <v>74</v>
      </c>
      <c r="AF1010" t="s">
        <v>74</v>
      </c>
      <c r="AG1010">
        <v>55</v>
      </c>
      <c r="AH1010">
        <v>15</v>
      </c>
      <c r="AI1010">
        <v>15</v>
      </c>
      <c r="AJ1010">
        <v>4</v>
      </c>
      <c r="AK1010">
        <v>16</v>
      </c>
      <c r="AL1010" t="s">
        <v>74</v>
      </c>
      <c r="AM1010" t="s">
        <v>74</v>
      </c>
      <c r="AN1010" t="s">
        <v>74</v>
      </c>
      <c r="AO1010" t="s">
        <v>13375</v>
      </c>
      <c r="AP1010" t="s">
        <v>13376</v>
      </c>
      <c r="AQ1010" t="s">
        <v>74</v>
      </c>
      <c r="AR1010" t="s">
        <v>74</v>
      </c>
      <c r="AS1010" t="s">
        <v>74</v>
      </c>
      <c r="AT1010" t="s">
        <v>132</v>
      </c>
      <c r="AU1010">
        <v>2020</v>
      </c>
      <c r="AV1010">
        <v>24</v>
      </c>
      <c r="AW1010">
        <v>2</v>
      </c>
      <c r="AX1010" t="s">
        <v>74</v>
      </c>
      <c r="AY1010" t="s">
        <v>74</v>
      </c>
      <c r="AZ1010" t="s">
        <v>74</v>
      </c>
      <c r="BA1010" t="s">
        <v>74</v>
      </c>
      <c r="BB1010">
        <v>125</v>
      </c>
      <c r="BC1010">
        <v>132</v>
      </c>
      <c r="BD1010" t="s">
        <v>74</v>
      </c>
      <c r="BE1010" t="s">
        <v>27837</v>
      </c>
      <c r="BF1010" t="str">
        <f>HYPERLINK("http://dx.doi.org/10.1007/s40291-019-00444-8","http://dx.doi.org/10.1007/s40291-019-00444-8")</f>
        <v>http://dx.doi.org/10.1007/s40291-019-00444-8</v>
      </c>
      <c r="BG1010" t="s">
        <v>74</v>
      </c>
      <c r="BH1010" t="s">
        <v>4780</v>
      </c>
      <c r="BI1010" t="s">
        <v>74</v>
      </c>
      <c r="BJ1010" t="s">
        <v>13378</v>
      </c>
      <c r="BK1010" t="s">
        <v>117</v>
      </c>
      <c r="BL1010" t="s">
        <v>13378</v>
      </c>
      <c r="BM1010" t="s">
        <v>74</v>
      </c>
      <c r="BN1010">
        <v>31919754</v>
      </c>
      <c r="BO1010" t="s">
        <v>74</v>
      </c>
      <c r="BP1010" t="s">
        <v>74</v>
      </c>
      <c r="BQ1010" t="s">
        <v>74</v>
      </c>
      <c r="BR1010" t="s">
        <v>96</v>
      </c>
      <c r="BS1010" t="s">
        <v>27838</v>
      </c>
      <c r="BT1010" t="str">
        <f>HYPERLINK("https%3A%2F%2Fwww.webofscience.com%2Fwos%2Fwoscc%2Ffull-record%2FWOS:000516282900001","View Full Record in Web of Science")</f>
        <v>View Full Record in Web of Science</v>
      </c>
    </row>
    <row r="1011" spans="1:72" x14ac:dyDescent="0.15">
      <c r="A1011" t="s">
        <v>98</v>
      </c>
      <c r="B1011" t="s">
        <v>28601</v>
      </c>
      <c r="C1011" t="s">
        <v>74</v>
      </c>
      <c r="D1011" t="s">
        <v>74</v>
      </c>
      <c r="E1011" t="s">
        <v>74</v>
      </c>
      <c r="F1011" t="s">
        <v>28602</v>
      </c>
      <c r="G1011" t="s">
        <v>74</v>
      </c>
      <c r="H1011" t="s">
        <v>74</v>
      </c>
      <c r="I1011" t="s">
        <v>28603</v>
      </c>
      <c r="J1011" t="s">
        <v>2051</v>
      </c>
      <c r="K1011" t="s">
        <v>74</v>
      </c>
      <c r="L1011" t="s">
        <v>74</v>
      </c>
      <c r="M1011" t="s">
        <v>74</v>
      </c>
      <c r="N1011" t="s">
        <v>103</v>
      </c>
      <c r="O1011" t="s">
        <v>74</v>
      </c>
      <c r="P1011" t="s">
        <v>74</v>
      </c>
      <c r="Q1011" t="s">
        <v>74</v>
      </c>
      <c r="R1011" t="s">
        <v>74</v>
      </c>
      <c r="S1011" t="s">
        <v>74</v>
      </c>
      <c r="T1011" t="s">
        <v>28604</v>
      </c>
      <c r="U1011" t="s">
        <v>28605</v>
      </c>
      <c r="V1011" t="s">
        <v>28606</v>
      </c>
      <c r="W1011" t="s">
        <v>28607</v>
      </c>
      <c r="X1011" t="s">
        <v>28608</v>
      </c>
      <c r="Y1011" t="s">
        <v>28609</v>
      </c>
      <c r="Z1011" t="s">
        <v>28610</v>
      </c>
      <c r="AA1011" t="s">
        <v>74</v>
      </c>
      <c r="AB1011" t="s">
        <v>28611</v>
      </c>
      <c r="AC1011" t="s">
        <v>74</v>
      </c>
      <c r="AD1011" t="s">
        <v>74</v>
      </c>
      <c r="AE1011" t="s">
        <v>74</v>
      </c>
      <c r="AF1011" t="s">
        <v>74</v>
      </c>
      <c r="AG1011">
        <v>39</v>
      </c>
      <c r="AH1011">
        <v>15</v>
      </c>
      <c r="AI1011">
        <v>15</v>
      </c>
      <c r="AJ1011">
        <v>2</v>
      </c>
      <c r="AK1011">
        <v>5</v>
      </c>
      <c r="AL1011" t="s">
        <v>74</v>
      </c>
      <c r="AM1011" t="s">
        <v>74</v>
      </c>
      <c r="AN1011" t="s">
        <v>74</v>
      </c>
      <c r="AO1011" t="s">
        <v>2061</v>
      </c>
      <c r="AP1011" t="s">
        <v>74</v>
      </c>
      <c r="AQ1011" t="s">
        <v>74</v>
      </c>
      <c r="AR1011" t="s">
        <v>74</v>
      </c>
      <c r="AS1011" t="s">
        <v>74</v>
      </c>
      <c r="AT1011" t="s">
        <v>8279</v>
      </c>
      <c r="AU1011">
        <v>2020</v>
      </c>
      <c r="AV1011">
        <v>11</v>
      </c>
      <c r="AW1011" t="s">
        <v>74</v>
      </c>
      <c r="AX1011" t="s">
        <v>74</v>
      </c>
      <c r="AY1011" t="s">
        <v>74</v>
      </c>
      <c r="AZ1011" t="s">
        <v>74</v>
      </c>
      <c r="BA1011" t="s">
        <v>74</v>
      </c>
      <c r="BB1011" t="s">
        <v>74</v>
      </c>
      <c r="BC1011" t="s">
        <v>74</v>
      </c>
      <c r="BD1011">
        <v>151</v>
      </c>
      <c r="BE1011" t="s">
        <v>28612</v>
      </c>
      <c r="BF1011" t="str">
        <f>HYPERLINK("http://dx.doi.org/10.3389/fimmu.2020.00151","http://dx.doi.org/10.3389/fimmu.2020.00151")</f>
        <v>http://dx.doi.org/10.3389/fimmu.2020.00151</v>
      </c>
      <c r="BG1011" t="s">
        <v>74</v>
      </c>
      <c r="BH1011" t="s">
        <v>74</v>
      </c>
      <c r="BI1011" t="s">
        <v>74</v>
      </c>
      <c r="BJ1011" t="s">
        <v>2064</v>
      </c>
      <c r="BK1011" t="s">
        <v>117</v>
      </c>
      <c r="BL1011" t="s">
        <v>2064</v>
      </c>
      <c r="BM1011" t="s">
        <v>74</v>
      </c>
      <c r="BN1011">
        <v>32153563</v>
      </c>
      <c r="BO1011" t="s">
        <v>74</v>
      </c>
      <c r="BP1011" t="s">
        <v>74</v>
      </c>
      <c r="BQ1011" t="s">
        <v>74</v>
      </c>
      <c r="BR1011" t="s">
        <v>96</v>
      </c>
      <c r="BS1011" t="s">
        <v>28613</v>
      </c>
      <c r="BT1011" t="str">
        <f>HYPERLINK("https%3A%2F%2Fwww.webofscience.com%2Fwos%2Fwoscc%2Ffull-record%2FWOS:000523699300001","View Full Record in Web of Science")</f>
        <v>View Full Record in Web of Science</v>
      </c>
    </row>
    <row r="1012" spans="1:72" x14ac:dyDescent="0.15">
      <c r="A1012" t="s">
        <v>98</v>
      </c>
      <c r="B1012" t="s">
        <v>28861</v>
      </c>
      <c r="C1012" t="s">
        <v>74</v>
      </c>
      <c r="D1012" t="s">
        <v>74</v>
      </c>
      <c r="E1012" t="s">
        <v>74</v>
      </c>
      <c r="F1012" t="s">
        <v>28861</v>
      </c>
      <c r="G1012" t="s">
        <v>74</v>
      </c>
      <c r="H1012" t="s">
        <v>74</v>
      </c>
      <c r="I1012" t="s">
        <v>28862</v>
      </c>
      <c r="J1012" t="s">
        <v>28863</v>
      </c>
      <c r="K1012" t="s">
        <v>74</v>
      </c>
      <c r="L1012" t="s">
        <v>74</v>
      </c>
      <c r="M1012" t="s">
        <v>74</v>
      </c>
      <c r="N1012" t="s">
        <v>103</v>
      </c>
      <c r="O1012" t="s">
        <v>74</v>
      </c>
      <c r="P1012" t="s">
        <v>74</v>
      </c>
      <c r="Q1012" t="s">
        <v>74</v>
      </c>
      <c r="R1012" t="s">
        <v>74</v>
      </c>
      <c r="S1012" t="s">
        <v>74</v>
      </c>
      <c r="T1012" t="s">
        <v>74</v>
      </c>
      <c r="U1012" t="s">
        <v>28864</v>
      </c>
      <c r="V1012" t="s">
        <v>28865</v>
      </c>
      <c r="W1012" t="s">
        <v>28866</v>
      </c>
      <c r="X1012" t="s">
        <v>28867</v>
      </c>
      <c r="Y1012" t="s">
        <v>28868</v>
      </c>
      <c r="Z1012" t="s">
        <v>28869</v>
      </c>
      <c r="AA1012" t="s">
        <v>28870</v>
      </c>
      <c r="AB1012" t="s">
        <v>28871</v>
      </c>
      <c r="AC1012" t="s">
        <v>74</v>
      </c>
      <c r="AD1012" t="s">
        <v>74</v>
      </c>
      <c r="AE1012" t="s">
        <v>74</v>
      </c>
      <c r="AF1012" t="s">
        <v>74</v>
      </c>
      <c r="AG1012">
        <v>28</v>
      </c>
      <c r="AH1012">
        <v>15</v>
      </c>
      <c r="AI1012">
        <v>15</v>
      </c>
      <c r="AJ1012">
        <v>0</v>
      </c>
      <c r="AK1012">
        <v>4</v>
      </c>
      <c r="AL1012" t="s">
        <v>74</v>
      </c>
      <c r="AM1012" t="s">
        <v>74</v>
      </c>
      <c r="AN1012" t="s">
        <v>74</v>
      </c>
      <c r="AO1012" t="s">
        <v>28872</v>
      </c>
      <c r="AP1012" t="s">
        <v>74</v>
      </c>
      <c r="AQ1012" t="s">
        <v>74</v>
      </c>
      <c r="AR1012" t="s">
        <v>74</v>
      </c>
      <c r="AS1012" t="s">
        <v>74</v>
      </c>
      <c r="AT1012" t="s">
        <v>614</v>
      </c>
      <c r="AU1012">
        <v>2005</v>
      </c>
      <c r="AV1012">
        <v>12</v>
      </c>
      <c r="AW1012">
        <v>7</v>
      </c>
      <c r="AX1012" t="s">
        <v>74</v>
      </c>
      <c r="AY1012" t="s">
        <v>74</v>
      </c>
      <c r="AZ1012" t="s">
        <v>74</v>
      </c>
      <c r="BA1012" t="s">
        <v>74</v>
      </c>
      <c r="BB1012">
        <v>814</v>
      </c>
      <c r="BC1012">
        <v>820</v>
      </c>
      <c r="BD1012" t="s">
        <v>74</v>
      </c>
      <c r="BE1012" t="s">
        <v>28873</v>
      </c>
      <c r="BF1012" t="str">
        <f>HYPERLINK("http://dx.doi.org/10.1128/CDLI.12.7.814-820.2005","http://dx.doi.org/10.1128/CDLI.12.7.814-820.2005")</f>
        <v>http://dx.doi.org/10.1128/CDLI.12.7.814-820.2005</v>
      </c>
      <c r="BG1012" t="s">
        <v>74</v>
      </c>
      <c r="BH1012" t="s">
        <v>74</v>
      </c>
      <c r="BI1012" t="s">
        <v>74</v>
      </c>
      <c r="BJ1012" t="s">
        <v>1410</v>
      </c>
      <c r="BK1012" t="s">
        <v>117</v>
      </c>
      <c r="BL1012" t="s">
        <v>1410</v>
      </c>
      <c r="BM1012" t="s">
        <v>74</v>
      </c>
      <c r="BN1012">
        <v>16002628</v>
      </c>
      <c r="BO1012" t="s">
        <v>74</v>
      </c>
      <c r="BP1012" t="s">
        <v>74</v>
      </c>
      <c r="BQ1012" t="s">
        <v>74</v>
      </c>
      <c r="BR1012" t="s">
        <v>96</v>
      </c>
      <c r="BS1012" t="s">
        <v>28874</v>
      </c>
      <c r="BT1012" t="str">
        <f>HYPERLINK("https%3A%2F%2Fwww.webofscience.com%2Fwos%2Fwoscc%2Ffull-record%2FWOS:000231407600003","View Full Record in Web of Science")</f>
        <v>View Full Record in Web of Science</v>
      </c>
    </row>
    <row r="1013" spans="1:72" x14ac:dyDescent="0.15">
      <c r="A1013" t="s">
        <v>98</v>
      </c>
      <c r="B1013" t="s">
        <v>30174</v>
      </c>
      <c r="C1013" t="s">
        <v>74</v>
      </c>
      <c r="D1013" t="s">
        <v>74</v>
      </c>
      <c r="E1013" t="s">
        <v>74</v>
      </c>
      <c r="F1013" t="s">
        <v>30175</v>
      </c>
      <c r="G1013" t="s">
        <v>74</v>
      </c>
      <c r="H1013" t="s">
        <v>74</v>
      </c>
      <c r="I1013" t="s">
        <v>30176</v>
      </c>
      <c r="J1013" t="s">
        <v>30177</v>
      </c>
      <c r="K1013" t="s">
        <v>74</v>
      </c>
      <c r="L1013" t="s">
        <v>74</v>
      </c>
      <c r="M1013" t="s">
        <v>74</v>
      </c>
      <c r="N1013" t="s">
        <v>103</v>
      </c>
      <c r="O1013" t="s">
        <v>74</v>
      </c>
      <c r="P1013" t="s">
        <v>74</v>
      </c>
      <c r="Q1013" t="s">
        <v>74</v>
      </c>
      <c r="R1013" t="s">
        <v>74</v>
      </c>
      <c r="S1013" t="s">
        <v>74</v>
      </c>
      <c r="T1013" t="s">
        <v>30178</v>
      </c>
      <c r="U1013" t="s">
        <v>30179</v>
      </c>
      <c r="V1013" t="s">
        <v>30180</v>
      </c>
      <c r="W1013" t="s">
        <v>30181</v>
      </c>
      <c r="X1013" t="s">
        <v>30182</v>
      </c>
      <c r="Y1013" t="s">
        <v>30183</v>
      </c>
      <c r="Z1013" t="s">
        <v>30184</v>
      </c>
      <c r="AA1013" t="s">
        <v>30185</v>
      </c>
      <c r="AB1013" t="s">
        <v>30186</v>
      </c>
      <c r="AC1013" t="s">
        <v>74</v>
      </c>
      <c r="AD1013" t="s">
        <v>74</v>
      </c>
      <c r="AE1013" t="s">
        <v>74</v>
      </c>
      <c r="AF1013" t="s">
        <v>74</v>
      </c>
      <c r="AG1013">
        <v>43</v>
      </c>
      <c r="AH1013">
        <v>15</v>
      </c>
      <c r="AI1013">
        <v>14</v>
      </c>
      <c r="AJ1013">
        <v>1</v>
      </c>
      <c r="AK1013">
        <v>5</v>
      </c>
      <c r="AL1013" t="s">
        <v>74</v>
      </c>
      <c r="AM1013" t="s">
        <v>74</v>
      </c>
      <c r="AN1013" t="s">
        <v>74</v>
      </c>
      <c r="AO1013" t="s">
        <v>30187</v>
      </c>
      <c r="AP1013" t="s">
        <v>30188</v>
      </c>
      <c r="AQ1013" t="s">
        <v>74</v>
      </c>
      <c r="AR1013" t="s">
        <v>74</v>
      </c>
      <c r="AS1013" t="s">
        <v>74</v>
      </c>
      <c r="AT1013" t="s">
        <v>967</v>
      </c>
      <c r="AU1013">
        <v>2019</v>
      </c>
      <c r="AV1013">
        <v>137</v>
      </c>
      <c r="AW1013" t="s">
        <v>74</v>
      </c>
      <c r="AX1013" t="s">
        <v>74</v>
      </c>
      <c r="AY1013" t="s">
        <v>74</v>
      </c>
      <c r="AZ1013" t="s">
        <v>74</v>
      </c>
      <c r="BA1013" t="s">
        <v>74</v>
      </c>
      <c r="BB1013">
        <v>25</v>
      </c>
      <c r="BC1013">
        <v>33</v>
      </c>
      <c r="BD1013" t="s">
        <v>74</v>
      </c>
      <c r="BE1013" t="s">
        <v>30189</v>
      </c>
      <c r="BF1013" t="str">
        <f>HYPERLINK("http://dx.doi.org/10.1016/j.yjmcc.2019.09.011","http://dx.doi.org/10.1016/j.yjmcc.2019.09.011")</f>
        <v>http://dx.doi.org/10.1016/j.yjmcc.2019.09.011</v>
      </c>
      <c r="BG1013" t="s">
        <v>74</v>
      </c>
      <c r="BH1013" t="s">
        <v>74</v>
      </c>
      <c r="BI1013" t="s">
        <v>74</v>
      </c>
      <c r="BJ1013" t="s">
        <v>30190</v>
      </c>
      <c r="BK1013" t="s">
        <v>117</v>
      </c>
      <c r="BL1013" t="s">
        <v>30191</v>
      </c>
      <c r="BM1013" t="s">
        <v>74</v>
      </c>
      <c r="BN1013">
        <v>31629738</v>
      </c>
      <c r="BO1013" t="s">
        <v>74</v>
      </c>
      <c r="BP1013" t="s">
        <v>74</v>
      </c>
      <c r="BQ1013" t="s">
        <v>74</v>
      </c>
      <c r="BR1013" t="s">
        <v>96</v>
      </c>
      <c r="BS1013" t="s">
        <v>30192</v>
      </c>
      <c r="BT1013" t="str">
        <f>HYPERLINK("https%3A%2F%2Fwww.webofscience.com%2Fwos%2Fwoscc%2Ffull-record%2FWOS:000502686600003","View Full Record in Web of Science")</f>
        <v>View Full Record in Web of Science</v>
      </c>
    </row>
    <row r="1014" spans="1:72" x14ac:dyDescent="0.15">
      <c r="A1014" t="s">
        <v>72</v>
      </c>
      <c r="B1014" t="s">
        <v>340</v>
      </c>
      <c r="C1014" t="s">
        <v>74</v>
      </c>
      <c r="D1014" t="s">
        <v>341</v>
      </c>
      <c r="E1014" t="s">
        <v>74</v>
      </c>
      <c r="F1014" t="s">
        <v>342</v>
      </c>
      <c r="G1014" t="s">
        <v>74</v>
      </c>
      <c r="H1014" t="s">
        <v>74</v>
      </c>
      <c r="I1014" t="s">
        <v>343</v>
      </c>
      <c r="J1014" t="s">
        <v>344</v>
      </c>
      <c r="K1014" t="s">
        <v>79</v>
      </c>
      <c r="L1014" t="s">
        <v>74</v>
      </c>
      <c r="M1014" t="s">
        <v>74</v>
      </c>
      <c r="N1014" t="s">
        <v>80</v>
      </c>
      <c r="O1014" t="s">
        <v>74</v>
      </c>
      <c r="P1014" t="s">
        <v>74</v>
      </c>
      <c r="Q1014" t="s">
        <v>74</v>
      </c>
      <c r="R1014" t="s">
        <v>74</v>
      </c>
      <c r="S1014" t="s">
        <v>74</v>
      </c>
      <c r="T1014" t="s">
        <v>345</v>
      </c>
      <c r="U1014" t="s">
        <v>346</v>
      </c>
      <c r="V1014" t="s">
        <v>347</v>
      </c>
      <c r="W1014" t="s">
        <v>348</v>
      </c>
      <c r="X1014" t="s">
        <v>349</v>
      </c>
      <c r="Y1014" t="s">
        <v>350</v>
      </c>
      <c r="Z1014" t="s">
        <v>74</v>
      </c>
      <c r="AA1014" t="s">
        <v>351</v>
      </c>
      <c r="AB1014" t="s">
        <v>352</v>
      </c>
      <c r="AC1014" t="s">
        <v>74</v>
      </c>
      <c r="AD1014" t="s">
        <v>74</v>
      </c>
      <c r="AE1014" t="s">
        <v>74</v>
      </c>
      <c r="AF1014" t="s">
        <v>74</v>
      </c>
      <c r="AG1014">
        <v>111</v>
      </c>
      <c r="AH1014">
        <v>14</v>
      </c>
      <c r="AI1014">
        <v>15</v>
      </c>
      <c r="AJ1014">
        <v>1</v>
      </c>
      <c r="AK1014">
        <v>30</v>
      </c>
      <c r="AL1014" t="s">
        <v>74</v>
      </c>
      <c r="AM1014" t="s">
        <v>74</v>
      </c>
      <c r="AN1014" t="s">
        <v>74</v>
      </c>
      <c r="AO1014" t="s">
        <v>88</v>
      </c>
      <c r="AP1014" t="s">
        <v>89</v>
      </c>
      <c r="AQ1014" t="s">
        <v>353</v>
      </c>
      <c r="AR1014" t="s">
        <v>74</v>
      </c>
      <c r="AS1014" t="s">
        <v>74</v>
      </c>
      <c r="AT1014" t="s">
        <v>74</v>
      </c>
      <c r="AU1014">
        <v>2021</v>
      </c>
      <c r="AV1014">
        <v>2174</v>
      </c>
      <c r="AW1014" t="s">
        <v>74</v>
      </c>
      <c r="AX1014" t="s">
        <v>74</v>
      </c>
      <c r="AY1014" t="s">
        <v>74</v>
      </c>
      <c r="AZ1014" t="s">
        <v>74</v>
      </c>
      <c r="BA1014" t="s">
        <v>74</v>
      </c>
      <c r="BB1014">
        <v>143</v>
      </c>
      <c r="BC1014">
        <v>170</v>
      </c>
      <c r="BD1014" t="s">
        <v>74</v>
      </c>
      <c r="BE1014" t="s">
        <v>354</v>
      </c>
      <c r="BF1014" t="str">
        <f>HYPERLINK("http://dx.doi.org/10.1007/978-1-0716-0759-6_10","http://dx.doi.org/10.1007/978-1-0716-0759-6_10")</f>
        <v>http://dx.doi.org/10.1007/978-1-0716-0759-6_10</v>
      </c>
      <c r="BG1014" t="s">
        <v>355</v>
      </c>
      <c r="BH1014" t="s">
        <v>74</v>
      </c>
      <c r="BI1014" t="s">
        <v>74</v>
      </c>
      <c r="BJ1014" t="s">
        <v>356</v>
      </c>
      <c r="BK1014" t="s">
        <v>94</v>
      </c>
      <c r="BL1014" t="s">
        <v>357</v>
      </c>
      <c r="BM1014" t="s">
        <v>74</v>
      </c>
      <c r="BN1014">
        <v>32813249</v>
      </c>
      <c r="BO1014" t="s">
        <v>74</v>
      </c>
      <c r="BP1014" t="s">
        <v>74</v>
      </c>
      <c r="BQ1014" t="s">
        <v>74</v>
      </c>
      <c r="BR1014" t="s">
        <v>96</v>
      </c>
      <c r="BS1014" t="s">
        <v>358</v>
      </c>
      <c r="BT1014" t="str">
        <f>HYPERLINK("https%3A%2F%2Fwww.webofscience.com%2Fwos%2Fwoscc%2Ffull-record%2FWOS:000684295200011","View Full Record in Web of Science")</f>
        <v>View Full Record in Web of Science</v>
      </c>
    </row>
    <row r="1015" spans="1:72" x14ac:dyDescent="0.15">
      <c r="A1015" t="s">
        <v>72</v>
      </c>
      <c r="B1015" t="s">
        <v>707</v>
      </c>
      <c r="C1015" t="s">
        <v>74</v>
      </c>
      <c r="D1015" t="s">
        <v>708</v>
      </c>
      <c r="E1015" t="s">
        <v>74</v>
      </c>
      <c r="F1015" t="s">
        <v>709</v>
      </c>
      <c r="G1015" t="s">
        <v>74</v>
      </c>
      <c r="H1015" t="s">
        <v>74</v>
      </c>
      <c r="I1015" t="s">
        <v>710</v>
      </c>
      <c r="J1015" t="s">
        <v>711</v>
      </c>
      <c r="K1015" t="s">
        <v>79</v>
      </c>
      <c r="L1015" t="s">
        <v>74</v>
      </c>
      <c r="M1015" t="s">
        <v>74</v>
      </c>
      <c r="N1015" t="s">
        <v>80</v>
      </c>
      <c r="O1015" t="s">
        <v>74</v>
      </c>
      <c r="P1015" t="s">
        <v>74</v>
      </c>
      <c r="Q1015" t="s">
        <v>74</v>
      </c>
      <c r="R1015" t="s">
        <v>74</v>
      </c>
      <c r="S1015" t="s">
        <v>74</v>
      </c>
      <c r="T1015" t="s">
        <v>712</v>
      </c>
      <c r="U1015" t="s">
        <v>713</v>
      </c>
      <c r="V1015" t="s">
        <v>714</v>
      </c>
      <c r="W1015" t="s">
        <v>715</v>
      </c>
      <c r="X1015" t="s">
        <v>716</v>
      </c>
      <c r="Y1015" t="s">
        <v>717</v>
      </c>
      <c r="Z1015" t="s">
        <v>74</v>
      </c>
      <c r="AA1015" t="s">
        <v>718</v>
      </c>
      <c r="AB1015" t="s">
        <v>719</v>
      </c>
      <c r="AC1015" t="s">
        <v>74</v>
      </c>
      <c r="AD1015" t="s">
        <v>74</v>
      </c>
      <c r="AE1015" t="s">
        <v>74</v>
      </c>
      <c r="AF1015" t="s">
        <v>74</v>
      </c>
      <c r="AG1015">
        <v>13</v>
      </c>
      <c r="AH1015">
        <v>14</v>
      </c>
      <c r="AI1015">
        <v>14</v>
      </c>
      <c r="AJ1015">
        <v>3</v>
      </c>
      <c r="AK1015">
        <v>12</v>
      </c>
      <c r="AL1015" t="s">
        <v>74</v>
      </c>
      <c r="AM1015" t="s">
        <v>74</v>
      </c>
      <c r="AN1015" t="s">
        <v>74</v>
      </c>
      <c r="AO1015" t="s">
        <v>88</v>
      </c>
      <c r="AP1015" t="s">
        <v>89</v>
      </c>
      <c r="AQ1015" t="s">
        <v>720</v>
      </c>
      <c r="AR1015" t="s">
        <v>74</v>
      </c>
      <c r="AS1015" t="s">
        <v>74</v>
      </c>
      <c r="AT1015" t="s">
        <v>74</v>
      </c>
      <c r="AU1015">
        <v>2015</v>
      </c>
      <c r="AV1015">
        <v>1295</v>
      </c>
      <c r="AW1015" t="s">
        <v>74</v>
      </c>
      <c r="AX1015" t="s">
        <v>74</v>
      </c>
      <c r="AY1015" t="s">
        <v>74</v>
      </c>
      <c r="AZ1015" t="s">
        <v>74</v>
      </c>
      <c r="BA1015" t="s">
        <v>74</v>
      </c>
      <c r="BB1015">
        <v>167</v>
      </c>
      <c r="BC1015">
        <v>177</v>
      </c>
      <c r="BD1015" t="s">
        <v>74</v>
      </c>
      <c r="BE1015" t="s">
        <v>721</v>
      </c>
      <c r="BF1015" t="str">
        <f>HYPERLINK("http://dx.doi.org/10.1007/978-1-4939-2550-6_14","http://dx.doi.org/10.1007/978-1-4939-2550-6_14")</f>
        <v>http://dx.doi.org/10.1007/978-1-4939-2550-6_14</v>
      </c>
      <c r="BG1015" t="s">
        <v>722</v>
      </c>
      <c r="BH1015" t="s">
        <v>74</v>
      </c>
      <c r="BI1015" t="s">
        <v>74</v>
      </c>
      <c r="BJ1015" t="s">
        <v>93</v>
      </c>
      <c r="BK1015" t="s">
        <v>94</v>
      </c>
      <c r="BL1015" t="s">
        <v>95</v>
      </c>
      <c r="BM1015" t="s">
        <v>74</v>
      </c>
      <c r="BN1015">
        <v>25820722</v>
      </c>
      <c r="BO1015" t="s">
        <v>74</v>
      </c>
      <c r="BP1015" t="s">
        <v>74</v>
      </c>
      <c r="BQ1015" t="s">
        <v>74</v>
      </c>
      <c r="BR1015" t="s">
        <v>96</v>
      </c>
      <c r="BS1015" t="s">
        <v>723</v>
      </c>
      <c r="BT1015" t="str">
        <f>HYPERLINK("https%3A%2F%2Fwww.webofscience.com%2Fwos%2Fwoscc%2Ffull-record%2FWOS:000372953500015","View Full Record in Web of Science")</f>
        <v>View Full Record in Web of Science</v>
      </c>
    </row>
    <row r="1016" spans="1:72" x14ac:dyDescent="0.15">
      <c r="A1016" t="s">
        <v>98</v>
      </c>
      <c r="B1016" t="s">
        <v>3303</v>
      </c>
      <c r="C1016" t="s">
        <v>74</v>
      </c>
      <c r="D1016" t="s">
        <v>74</v>
      </c>
      <c r="E1016" t="s">
        <v>74</v>
      </c>
      <c r="F1016" t="s">
        <v>3304</v>
      </c>
      <c r="G1016" t="s">
        <v>74</v>
      </c>
      <c r="H1016" t="s">
        <v>74</v>
      </c>
      <c r="I1016" t="s">
        <v>3305</v>
      </c>
      <c r="J1016" t="s">
        <v>817</v>
      </c>
      <c r="K1016" t="s">
        <v>74</v>
      </c>
      <c r="L1016" t="s">
        <v>74</v>
      </c>
      <c r="M1016" t="s">
        <v>74</v>
      </c>
      <c r="N1016" t="s">
        <v>103</v>
      </c>
      <c r="O1016" t="s">
        <v>74</v>
      </c>
      <c r="P1016" t="s">
        <v>74</v>
      </c>
      <c r="Q1016" t="s">
        <v>74</v>
      </c>
      <c r="R1016" t="s">
        <v>74</v>
      </c>
      <c r="S1016" t="s">
        <v>74</v>
      </c>
      <c r="T1016" t="s">
        <v>3306</v>
      </c>
      <c r="U1016" t="s">
        <v>3307</v>
      </c>
      <c r="V1016" t="s">
        <v>3308</v>
      </c>
      <c r="W1016" t="s">
        <v>3309</v>
      </c>
      <c r="X1016" t="s">
        <v>3310</v>
      </c>
      <c r="Y1016" t="s">
        <v>3311</v>
      </c>
      <c r="Z1016" t="s">
        <v>3312</v>
      </c>
      <c r="AA1016" t="s">
        <v>3313</v>
      </c>
      <c r="AB1016" t="s">
        <v>3314</v>
      </c>
      <c r="AC1016" t="s">
        <v>74</v>
      </c>
      <c r="AD1016" t="s">
        <v>74</v>
      </c>
      <c r="AE1016" t="s">
        <v>74</v>
      </c>
      <c r="AF1016" t="s">
        <v>74</v>
      </c>
      <c r="AG1016">
        <v>48</v>
      </c>
      <c r="AH1016">
        <v>14</v>
      </c>
      <c r="AI1016">
        <v>14</v>
      </c>
      <c r="AJ1016">
        <v>1</v>
      </c>
      <c r="AK1016">
        <v>5</v>
      </c>
      <c r="AL1016" t="s">
        <v>74</v>
      </c>
      <c r="AM1016" t="s">
        <v>74</v>
      </c>
      <c r="AN1016" t="s">
        <v>74</v>
      </c>
      <c r="AO1016" t="s">
        <v>74</v>
      </c>
      <c r="AP1016" t="s">
        <v>827</v>
      </c>
      <c r="AQ1016" t="s">
        <v>74</v>
      </c>
      <c r="AR1016" t="s">
        <v>74</v>
      </c>
      <c r="AS1016" t="s">
        <v>74</v>
      </c>
      <c r="AT1016" t="s">
        <v>230</v>
      </c>
      <c r="AU1016">
        <v>2020</v>
      </c>
      <c r="AV1016">
        <v>21</v>
      </c>
      <c r="AW1016">
        <v>15</v>
      </c>
      <c r="AX1016" t="s">
        <v>74</v>
      </c>
      <c r="AY1016" t="s">
        <v>74</v>
      </c>
      <c r="AZ1016" t="s">
        <v>74</v>
      </c>
      <c r="BA1016" t="s">
        <v>74</v>
      </c>
      <c r="BB1016" t="s">
        <v>74</v>
      </c>
      <c r="BC1016" t="s">
        <v>74</v>
      </c>
      <c r="BD1016">
        <v>5273</v>
      </c>
      <c r="BE1016" t="s">
        <v>3315</v>
      </c>
      <c r="BF1016" t="str">
        <f>HYPERLINK("http://dx.doi.org/10.3390/ijms21155273","http://dx.doi.org/10.3390/ijms21155273")</f>
        <v>http://dx.doi.org/10.3390/ijms21155273</v>
      </c>
      <c r="BG1016" t="s">
        <v>74</v>
      </c>
      <c r="BH1016" t="s">
        <v>74</v>
      </c>
      <c r="BI1016" t="s">
        <v>74</v>
      </c>
      <c r="BJ1016" t="s">
        <v>830</v>
      </c>
      <c r="BK1016" t="s">
        <v>117</v>
      </c>
      <c r="BL1016" t="s">
        <v>831</v>
      </c>
      <c r="BM1016" t="s">
        <v>74</v>
      </c>
      <c r="BN1016">
        <v>32722322</v>
      </c>
      <c r="BO1016" t="s">
        <v>74</v>
      </c>
      <c r="BP1016" t="s">
        <v>74</v>
      </c>
      <c r="BQ1016" t="s">
        <v>74</v>
      </c>
      <c r="BR1016" t="s">
        <v>96</v>
      </c>
      <c r="BS1016" t="s">
        <v>3316</v>
      </c>
      <c r="BT1016" t="str">
        <f>HYPERLINK("https%3A%2F%2Fwww.webofscience.com%2Fwos%2Fwoscc%2Ffull-record%2FWOS:000568099100001","View Full Record in Web of Science")</f>
        <v>View Full Record in Web of Science</v>
      </c>
    </row>
    <row r="1017" spans="1:72" x14ac:dyDescent="0.15">
      <c r="A1017" t="s">
        <v>98</v>
      </c>
      <c r="B1017" t="s">
        <v>4115</v>
      </c>
      <c r="C1017" t="s">
        <v>74</v>
      </c>
      <c r="D1017" t="s">
        <v>74</v>
      </c>
      <c r="E1017" t="s">
        <v>74</v>
      </c>
      <c r="F1017" t="s">
        <v>4116</v>
      </c>
      <c r="G1017" t="s">
        <v>74</v>
      </c>
      <c r="H1017" t="s">
        <v>74</v>
      </c>
      <c r="I1017" t="s">
        <v>4117</v>
      </c>
      <c r="J1017" t="s">
        <v>4118</v>
      </c>
      <c r="K1017" t="s">
        <v>74</v>
      </c>
      <c r="L1017" t="s">
        <v>74</v>
      </c>
      <c r="M1017" t="s">
        <v>74</v>
      </c>
      <c r="N1017" t="s">
        <v>103</v>
      </c>
      <c r="O1017" t="s">
        <v>74</v>
      </c>
      <c r="P1017" t="s">
        <v>74</v>
      </c>
      <c r="Q1017" t="s">
        <v>74</v>
      </c>
      <c r="R1017" t="s">
        <v>74</v>
      </c>
      <c r="S1017" t="s">
        <v>74</v>
      </c>
      <c r="T1017" t="s">
        <v>4119</v>
      </c>
      <c r="U1017" t="s">
        <v>4120</v>
      </c>
      <c r="V1017" t="s">
        <v>4121</v>
      </c>
      <c r="W1017" t="s">
        <v>4122</v>
      </c>
      <c r="X1017" t="s">
        <v>4123</v>
      </c>
      <c r="Y1017" t="s">
        <v>4124</v>
      </c>
      <c r="Z1017" t="s">
        <v>4125</v>
      </c>
      <c r="AA1017" t="s">
        <v>74</v>
      </c>
      <c r="AB1017" t="s">
        <v>74</v>
      </c>
      <c r="AC1017" t="s">
        <v>74</v>
      </c>
      <c r="AD1017" t="s">
        <v>74</v>
      </c>
      <c r="AE1017" t="s">
        <v>74</v>
      </c>
      <c r="AF1017" t="s">
        <v>74</v>
      </c>
      <c r="AG1017">
        <v>43</v>
      </c>
      <c r="AH1017">
        <v>14</v>
      </c>
      <c r="AI1017">
        <v>16</v>
      </c>
      <c r="AJ1017">
        <v>0</v>
      </c>
      <c r="AK1017">
        <v>20</v>
      </c>
      <c r="AL1017" t="s">
        <v>74</v>
      </c>
      <c r="AM1017" t="s">
        <v>74</v>
      </c>
      <c r="AN1017" t="s">
        <v>74</v>
      </c>
      <c r="AO1017" t="s">
        <v>4126</v>
      </c>
      <c r="AP1017" t="s">
        <v>4127</v>
      </c>
      <c r="AQ1017" t="s">
        <v>74</v>
      </c>
      <c r="AR1017" t="s">
        <v>74</v>
      </c>
      <c r="AS1017" t="s">
        <v>74</v>
      </c>
      <c r="AT1017" t="s">
        <v>211</v>
      </c>
      <c r="AU1017">
        <v>2017</v>
      </c>
      <c r="AV1017">
        <v>16</v>
      </c>
      <c r="AW1017">
        <v>5</v>
      </c>
      <c r="AX1017" t="s">
        <v>74</v>
      </c>
      <c r="AY1017" t="s">
        <v>74</v>
      </c>
      <c r="AZ1017" t="s">
        <v>74</v>
      </c>
      <c r="BA1017" t="s">
        <v>74</v>
      </c>
      <c r="BB1017">
        <v>7018</v>
      </c>
      <c r="BC1017">
        <v>7024</v>
      </c>
      <c r="BD1017" t="s">
        <v>74</v>
      </c>
      <c r="BE1017" t="s">
        <v>4128</v>
      </c>
      <c r="BF1017" t="str">
        <f>HYPERLINK("http://dx.doi.org/10.3892/mmr.2017.7403","http://dx.doi.org/10.3892/mmr.2017.7403")</f>
        <v>http://dx.doi.org/10.3892/mmr.2017.7403</v>
      </c>
      <c r="BG1017" t="s">
        <v>74</v>
      </c>
      <c r="BH1017" t="s">
        <v>74</v>
      </c>
      <c r="BI1017" t="s">
        <v>74</v>
      </c>
      <c r="BJ1017" t="s">
        <v>4129</v>
      </c>
      <c r="BK1017" t="s">
        <v>117</v>
      </c>
      <c r="BL1017" t="s">
        <v>4130</v>
      </c>
      <c r="BM1017" t="s">
        <v>74</v>
      </c>
      <c r="BN1017">
        <v>28901383</v>
      </c>
      <c r="BO1017" t="s">
        <v>74</v>
      </c>
      <c r="BP1017" t="s">
        <v>74</v>
      </c>
      <c r="BQ1017" t="s">
        <v>74</v>
      </c>
      <c r="BR1017" t="s">
        <v>96</v>
      </c>
      <c r="BS1017" t="s">
        <v>4131</v>
      </c>
      <c r="BT1017" t="str">
        <f>HYPERLINK("https%3A%2F%2Fwww.webofscience.com%2Fwos%2Fwoscc%2Ffull-record%2FWOS:000414698900167","View Full Record in Web of Science")</f>
        <v>View Full Record in Web of Science</v>
      </c>
    </row>
    <row r="1018" spans="1:72" x14ac:dyDescent="0.15">
      <c r="A1018" t="s">
        <v>98</v>
      </c>
      <c r="B1018" t="s">
        <v>4132</v>
      </c>
      <c r="C1018" t="s">
        <v>74</v>
      </c>
      <c r="D1018" t="s">
        <v>74</v>
      </c>
      <c r="E1018" t="s">
        <v>74</v>
      </c>
      <c r="F1018" t="s">
        <v>4133</v>
      </c>
      <c r="G1018" t="s">
        <v>74</v>
      </c>
      <c r="H1018" t="s">
        <v>74</v>
      </c>
      <c r="I1018" t="s">
        <v>4134</v>
      </c>
      <c r="J1018" t="s">
        <v>4135</v>
      </c>
      <c r="K1018" t="s">
        <v>74</v>
      </c>
      <c r="L1018" t="s">
        <v>74</v>
      </c>
      <c r="M1018" t="s">
        <v>74</v>
      </c>
      <c r="N1018" t="s">
        <v>103</v>
      </c>
      <c r="O1018" t="s">
        <v>74</v>
      </c>
      <c r="P1018" t="s">
        <v>74</v>
      </c>
      <c r="Q1018" t="s">
        <v>74</v>
      </c>
      <c r="R1018" t="s">
        <v>74</v>
      </c>
      <c r="S1018" t="s">
        <v>74</v>
      </c>
      <c r="T1018" t="s">
        <v>4136</v>
      </c>
      <c r="U1018" t="s">
        <v>4137</v>
      </c>
      <c r="V1018" t="s">
        <v>4138</v>
      </c>
      <c r="W1018" t="s">
        <v>4139</v>
      </c>
      <c r="X1018" t="s">
        <v>4140</v>
      </c>
      <c r="Y1018" t="s">
        <v>4141</v>
      </c>
      <c r="Z1018" t="s">
        <v>4142</v>
      </c>
      <c r="AA1018" t="s">
        <v>4143</v>
      </c>
      <c r="AB1018" t="s">
        <v>4144</v>
      </c>
      <c r="AC1018" t="s">
        <v>74</v>
      </c>
      <c r="AD1018" t="s">
        <v>74</v>
      </c>
      <c r="AE1018" t="s">
        <v>74</v>
      </c>
      <c r="AF1018" t="s">
        <v>74</v>
      </c>
      <c r="AG1018">
        <v>59</v>
      </c>
      <c r="AH1018">
        <v>14</v>
      </c>
      <c r="AI1018">
        <v>14</v>
      </c>
      <c r="AJ1018">
        <v>0</v>
      </c>
      <c r="AK1018">
        <v>1</v>
      </c>
      <c r="AL1018" t="s">
        <v>74</v>
      </c>
      <c r="AM1018" t="s">
        <v>74</v>
      </c>
      <c r="AN1018" t="s">
        <v>74</v>
      </c>
      <c r="AO1018" t="s">
        <v>74</v>
      </c>
      <c r="AP1018" t="s">
        <v>4145</v>
      </c>
      <c r="AQ1018" t="s">
        <v>74</v>
      </c>
      <c r="AR1018" t="s">
        <v>74</v>
      </c>
      <c r="AS1018" t="s">
        <v>74</v>
      </c>
      <c r="AT1018" t="s">
        <v>4146</v>
      </c>
      <c r="AU1018">
        <v>2020</v>
      </c>
      <c r="AV1018">
        <v>21</v>
      </c>
      <c r="AW1018">
        <v>1</v>
      </c>
      <c r="AX1018" t="s">
        <v>74</v>
      </c>
      <c r="AY1018" t="s">
        <v>74</v>
      </c>
      <c r="AZ1018" t="s">
        <v>74</v>
      </c>
      <c r="BA1018" t="s">
        <v>74</v>
      </c>
      <c r="BB1018" t="s">
        <v>74</v>
      </c>
      <c r="BC1018" t="s">
        <v>74</v>
      </c>
      <c r="BD1018" t="s">
        <v>74</v>
      </c>
      <c r="BE1018" t="s">
        <v>4147</v>
      </c>
      <c r="BF1018" t="str">
        <f>HYPERLINK("http://dx.doi.org/10.1186/s12931-020-01346-8","http://dx.doi.org/10.1186/s12931-020-01346-8")</f>
        <v>http://dx.doi.org/10.1186/s12931-020-01346-8</v>
      </c>
      <c r="BG1018" t="s">
        <v>74</v>
      </c>
      <c r="BH1018" t="s">
        <v>74</v>
      </c>
      <c r="BI1018" t="s">
        <v>74</v>
      </c>
      <c r="BJ1018" t="s">
        <v>4148</v>
      </c>
      <c r="BK1018" t="s">
        <v>117</v>
      </c>
      <c r="BL1018" t="s">
        <v>4148</v>
      </c>
      <c r="BM1018" t="s">
        <v>74</v>
      </c>
      <c r="BN1018">
        <v>32357878</v>
      </c>
      <c r="BO1018" t="s">
        <v>74</v>
      </c>
      <c r="BP1018" t="s">
        <v>74</v>
      </c>
      <c r="BQ1018" t="s">
        <v>74</v>
      </c>
      <c r="BR1018" t="s">
        <v>96</v>
      </c>
      <c r="BS1018" t="s">
        <v>4149</v>
      </c>
      <c r="BT1018" t="str">
        <f>HYPERLINK("https%3A%2F%2Fwww.webofscience.com%2Fwos%2Fwoscc%2Ffull-record%2FWOS:000531288400001","View Full Record in Web of Science")</f>
        <v>View Full Record in Web of Science</v>
      </c>
    </row>
    <row r="1019" spans="1:72" x14ac:dyDescent="0.15">
      <c r="A1019" t="s">
        <v>98</v>
      </c>
      <c r="B1019" t="s">
        <v>6610</v>
      </c>
      <c r="C1019" t="s">
        <v>74</v>
      </c>
      <c r="D1019" t="s">
        <v>74</v>
      </c>
      <c r="E1019" t="s">
        <v>74</v>
      </c>
      <c r="F1019" t="s">
        <v>6611</v>
      </c>
      <c r="G1019" t="s">
        <v>74</v>
      </c>
      <c r="H1019" t="s">
        <v>74</v>
      </c>
      <c r="I1019" t="s">
        <v>6612</v>
      </c>
      <c r="J1019" t="s">
        <v>903</v>
      </c>
      <c r="K1019" t="s">
        <v>74</v>
      </c>
      <c r="L1019" t="s">
        <v>74</v>
      </c>
      <c r="M1019" t="s">
        <v>74</v>
      </c>
      <c r="N1019" t="s">
        <v>103</v>
      </c>
      <c r="O1019" t="s">
        <v>74</v>
      </c>
      <c r="P1019" t="s">
        <v>74</v>
      </c>
      <c r="Q1019" t="s">
        <v>74</v>
      </c>
      <c r="R1019" t="s">
        <v>74</v>
      </c>
      <c r="S1019" t="s">
        <v>74</v>
      </c>
      <c r="T1019" t="s">
        <v>6613</v>
      </c>
      <c r="U1019" t="s">
        <v>6614</v>
      </c>
      <c r="V1019" t="s">
        <v>6615</v>
      </c>
      <c r="W1019" t="s">
        <v>6616</v>
      </c>
      <c r="X1019" t="s">
        <v>6617</v>
      </c>
      <c r="Y1019" t="s">
        <v>6618</v>
      </c>
      <c r="Z1019" t="s">
        <v>6619</v>
      </c>
      <c r="AA1019" t="s">
        <v>6620</v>
      </c>
      <c r="AB1019" t="s">
        <v>6621</v>
      </c>
      <c r="AC1019" t="s">
        <v>74</v>
      </c>
      <c r="AD1019" t="s">
        <v>74</v>
      </c>
      <c r="AE1019" t="s">
        <v>74</v>
      </c>
      <c r="AF1019" t="s">
        <v>74</v>
      </c>
      <c r="AG1019">
        <v>43</v>
      </c>
      <c r="AH1019">
        <v>14</v>
      </c>
      <c r="AI1019">
        <v>15</v>
      </c>
      <c r="AJ1019">
        <v>1</v>
      </c>
      <c r="AK1019">
        <v>5</v>
      </c>
      <c r="AL1019" t="s">
        <v>74</v>
      </c>
      <c r="AM1019" t="s">
        <v>74</v>
      </c>
      <c r="AN1019" t="s">
        <v>74</v>
      </c>
      <c r="AO1019" t="s">
        <v>913</v>
      </c>
      <c r="AP1019" t="s">
        <v>74</v>
      </c>
      <c r="AQ1019" t="s">
        <v>74</v>
      </c>
      <c r="AR1019" t="s">
        <v>74</v>
      </c>
      <c r="AS1019" t="s">
        <v>74</v>
      </c>
      <c r="AT1019" t="s">
        <v>114</v>
      </c>
      <c r="AU1019">
        <v>2019</v>
      </c>
      <c r="AV1019">
        <v>11</v>
      </c>
      <c r="AW1019">
        <v>1</v>
      </c>
      <c r="AX1019" t="s">
        <v>74</v>
      </c>
      <c r="AY1019" t="s">
        <v>74</v>
      </c>
      <c r="AZ1019" t="s">
        <v>74</v>
      </c>
      <c r="BA1019" t="s">
        <v>74</v>
      </c>
      <c r="BB1019" t="s">
        <v>74</v>
      </c>
      <c r="BC1019" t="s">
        <v>74</v>
      </c>
      <c r="BD1019">
        <v>104</v>
      </c>
      <c r="BE1019" t="s">
        <v>6622</v>
      </c>
      <c r="BF1019" t="str">
        <f>HYPERLINK("http://dx.doi.org/10.3390/cancers11010104","http://dx.doi.org/10.3390/cancers11010104")</f>
        <v>http://dx.doi.org/10.3390/cancers11010104</v>
      </c>
      <c r="BG1019" t="s">
        <v>74</v>
      </c>
      <c r="BH1019" t="s">
        <v>74</v>
      </c>
      <c r="BI1019" t="s">
        <v>74</v>
      </c>
      <c r="BJ1019" t="s">
        <v>267</v>
      </c>
      <c r="BK1019" t="s">
        <v>117</v>
      </c>
      <c r="BL1019" t="s">
        <v>267</v>
      </c>
      <c r="BM1019" t="s">
        <v>74</v>
      </c>
      <c r="BN1019">
        <v>30658414</v>
      </c>
      <c r="BO1019" t="s">
        <v>74</v>
      </c>
      <c r="BP1019" t="s">
        <v>74</v>
      </c>
      <c r="BQ1019" t="s">
        <v>74</v>
      </c>
      <c r="BR1019" t="s">
        <v>96</v>
      </c>
      <c r="BS1019" t="s">
        <v>6623</v>
      </c>
      <c r="BT1019" t="str">
        <f>HYPERLINK("https%3A%2F%2Fwww.webofscience.com%2Fwos%2Fwoscc%2Ffull-record%2FWOS:000457233300042","View Full Record in Web of Science")</f>
        <v>View Full Record in Web of Science</v>
      </c>
    </row>
    <row r="1020" spans="1:72" x14ac:dyDescent="0.15">
      <c r="A1020" t="s">
        <v>98</v>
      </c>
      <c r="B1020" t="s">
        <v>7825</v>
      </c>
      <c r="C1020" t="s">
        <v>74</v>
      </c>
      <c r="D1020" t="s">
        <v>74</v>
      </c>
      <c r="E1020" t="s">
        <v>74</v>
      </c>
      <c r="F1020" t="s">
        <v>7826</v>
      </c>
      <c r="G1020" t="s">
        <v>74</v>
      </c>
      <c r="H1020" t="s">
        <v>74</v>
      </c>
      <c r="I1020" t="s">
        <v>7827</v>
      </c>
      <c r="J1020" t="s">
        <v>7065</v>
      </c>
      <c r="K1020" t="s">
        <v>74</v>
      </c>
      <c r="L1020" t="s">
        <v>74</v>
      </c>
      <c r="M1020" t="s">
        <v>74</v>
      </c>
      <c r="N1020" t="s">
        <v>103</v>
      </c>
      <c r="O1020" t="s">
        <v>74</v>
      </c>
      <c r="P1020" t="s">
        <v>74</v>
      </c>
      <c r="Q1020" t="s">
        <v>74</v>
      </c>
      <c r="R1020" t="s">
        <v>74</v>
      </c>
      <c r="S1020" t="s">
        <v>74</v>
      </c>
      <c r="T1020" t="s">
        <v>74</v>
      </c>
      <c r="U1020" t="s">
        <v>7828</v>
      </c>
      <c r="V1020" t="s">
        <v>7829</v>
      </c>
      <c r="W1020" t="s">
        <v>7830</v>
      </c>
      <c r="X1020" t="s">
        <v>7831</v>
      </c>
      <c r="Y1020" t="s">
        <v>7832</v>
      </c>
      <c r="Z1020" t="s">
        <v>7833</v>
      </c>
      <c r="AA1020" t="s">
        <v>7834</v>
      </c>
      <c r="AB1020" t="s">
        <v>7835</v>
      </c>
      <c r="AC1020" t="s">
        <v>74</v>
      </c>
      <c r="AD1020" t="s">
        <v>74</v>
      </c>
      <c r="AE1020" t="s">
        <v>74</v>
      </c>
      <c r="AF1020" t="s">
        <v>74</v>
      </c>
      <c r="AG1020">
        <v>39</v>
      </c>
      <c r="AH1020">
        <v>14</v>
      </c>
      <c r="AI1020">
        <v>15</v>
      </c>
      <c r="AJ1020">
        <v>1</v>
      </c>
      <c r="AK1020">
        <v>22</v>
      </c>
      <c r="AL1020" t="s">
        <v>74</v>
      </c>
      <c r="AM1020" t="s">
        <v>74</v>
      </c>
      <c r="AN1020" t="s">
        <v>74</v>
      </c>
      <c r="AO1020" t="s">
        <v>7074</v>
      </c>
      <c r="AP1020" t="s">
        <v>7075</v>
      </c>
      <c r="AQ1020" t="s">
        <v>74</v>
      </c>
      <c r="AR1020" t="s">
        <v>74</v>
      </c>
      <c r="AS1020" t="s">
        <v>74</v>
      </c>
      <c r="AT1020" t="s">
        <v>599</v>
      </c>
      <c r="AU1020">
        <v>2017</v>
      </c>
      <c r="AV1020">
        <v>77</v>
      </c>
      <c r="AW1020">
        <v>1</v>
      </c>
      <c r="AX1020" t="s">
        <v>74</v>
      </c>
      <c r="AY1020" t="s">
        <v>74</v>
      </c>
      <c r="AZ1020" t="s">
        <v>74</v>
      </c>
      <c r="BA1020" t="s">
        <v>74</v>
      </c>
      <c r="BB1020">
        <v>3</v>
      </c>
      <c r="BC1020">
        <v>13</v>
      </c>
      <c r="BD1020" t="s">
        <v>74</v>
      </c>
      <c r="BE1020" t="s">
        <v>7836</v>
      </c>
      <c r="BF1020" t="str">
        <f>HYPERLINK("http://dx.doi.org/10.1158/0008-5472.CAN-15-3231","http://dx.doi.org/10.1158/0008-5472.CAN-15-3231")</f>
        <v>http://dx.doi.org/10.1158/0008-5472.CAN-15-3231</v>
      </c>
      <c r="BG1020" t="s">
        <v>74</v>
      </c>
      <c r="BH1020" t="s">
        <v>74</v>
      </c>
      <c r="BI1020" t="s">
        <v>74</v>
      </c>
      <c r="BJ1020" t="s">
        <v>267</v>
      </c>
      <c r="BK1020" t="s">
        <v>117</v>
      </c>
      <c r="BL1020" t="s">
        <v>267</v>
      </c>
      <c r="BM1020" t="s">
        <v>74</v>
      </c>
      <c r="BN1020">
        <v>27793845</v>
      </c>
      <c r="BO1020" t="s">
        <v>74</v>
      </c>
      <c r="BP1020" t="s">
        <v>74</v>
      </c>
      <c r="BQ1020" t="s">
        <v>74</v>
      </c>
      <c r="BR1020" t="s">
        <v>96</v>
      </c>
      <c r="BS1020" t="s">
        <v>7837</v>
      </c>
      <c r="BT1020" t="str">
        <f>HYPERLINK("https%3A%2F%2Fwww.webofscience.com%2Fwos%2Fwoscc%2Ffull-record%2FWOS:000393187900001","View Full Record in Web of Science")</f>
        <v>View Full Record in Web of Science</v>
      </c>
    </row>
    <row r="1021" spans="1:72" x14ac:dyDescent="0.15">
      <c r="A1021" t="s">
        <v>98</v>
      </c>
      <c r="B1021" t="s">
        <v>8923</v>
      </c>
      <c r="C1021" t="s">
        <v>74</v>
      </c>
      <c r="D1021" t="s">
        <v>74</v>
      </c>
      <c r="E1021" t="s">
        <v>74</v>
      </c>
      <c r="F1021" t="s">
        <v>8924</v>
      </c>
      <c r="G1021" t="s">
        <v>74</v>
      </c>
      <c r="H1021" t="s">
        <v>74</v>
      </c>
      <c r="I1021" t="s">
        <v>8925</v>
      </c>
      <c r="J1021" t="s">
        <v>8926</v>
      </c>
      <c r="K1021" t="s">
        <v>74</v>
      </c>
      <c r="L1021" t="s">
        <v>74</v>
      </c>
      <c r="M1021" t="s">
        <v>74</v>
      </c>
      <c r="N1021" t="s">
        <v>103</v>
      </c>
      <c r="O1021" t="s">
        <v>74</v>
      </c>
      <c r="P1021" t="s">
        <v>74</v>
      </c>
      <c r="Q1021" t="s">
        <v>74</v>
      </c>
      <c r="R1021" t="s">
        <v>74</v>
      </c>
      <c r="S1021" t="s">
        <v>74</v>
      </c>
      <c r="T1021" t="s">
        <v>8927</v>
      </c>
      <c r="U1021" t="s">
        <v>8928</v>
      </c>
      <c r="V1021" t="s">
        <v>8929</v>
      </c>
      <c r="W1021" t="s">
        <v>8930</v>
      </c>
      <c r="X1021" t="s">
        <v>8377</v>
      </c>
      <c r="Y1021" t="s">
        <v>8931</v>
      </c>
      <c r="Z1021" t="s">
        <v>8932</v>
      </c>
      <c r="AA1021" t="s">
        <v>74</v>
      </c>
      <c r="AB1021" t="s">
        <v>8933</v>
      </c>
      <c r="AC1021" t="s">
        <v>74</v>
      </c>
      <c r="AD1021" t="s">
        <v>74</v>
      </c>
      <c r="AE1021" t="s">
        <v>74</v>
      </c>
      <c r="AF1021" t="s">
        <v>74</v>
      </c>
      <c r="AG1021">
        <v>32</v>
      </c>
      <c r="AH1021">
        <v>14</v>
      </c>
      <c r="AI1021">
        <v>14</v>
      </c>
      <c r="AJ1021">
        <v>25</v>
      </c>
      <c r="AK1021">
        <v>111</v>
      </c>
      <c r="AL1021" t="s">
        <v>74</v>
      </c>
      <c r="AM1021" t="s">
        <v>74</v>
      </c>
      <c r="AN1021" t="s">
        <v>74</v>
      </c>
      <c r="AO1021" t="s">
        <v>8934</v>
      </c>
      <c r="AP1021" t="s">
        <v>8935</v>
      </c>
      <c r="AQ1021" t="s">
        <v>74</v>
      </c>
      <c r="AR1021" t="s">
        <v>74</v>
      </c>
      <c r="AS1021" t="s">
        <v>74</v>
      </c>
      <c r="AT1021" t="s">
        <v>8936</v>
      </c>
      <c r="AU1021">
        <v>2020</v>
      </c>
      <c r="AV1021">
        <v>187</v>
      </c>
      <c r="AW1021">
        <v>4</v>
      </c>
      <c r="AX1021" t="s">
        <v>74</v>
      </c>
      <c r="AY1021" t="s">
        <v>74</v>
      </c>
      <c r="AZ1021" t="s">
        <v>74</v>
      </c>
      <c r="BA1021" t="s">
        <v>74</v>
      </c>
      <c r="BB1021" t="s">
        <v>74</v>
      </c>
      <c r="BC1021" t="s">
        <v>74</v>
      </c>
      <c r="BD1021">
        <v>251</v>
      </c>
      <c r="BE1021" t="s">
        <v>8937</v>
      </c>
      <c r="BF1021" t="str">
        <f>HYPERLINK("http://dx.doi.org/10.1007/s00604-020-4183-1","http://dx.doi.org/10.1007/s00604-020-4183-1")</f>
        <v>http://dx.doi.org/10.1007/s00604-020-4183-1</v>
      </c>
      <c r="BG1021" t="s">
        <v>74</v>
      </c>
      <c r="BH1021" t="s">
        <v>74</v>
      </c>
      <c r="BI1021" t="s">
        <v>74</v>
      </c>
      <c r="BJ1021" t="s">
        <v>1118</v>
      </c>
      <c r="BK1021" t="s">
        <v>117</v>
      </c>
      <c r="BL1021" t="s">
        <v>1048</v>
      </c>
      <c r="BM1021" t="s">
        <v>74</v>
      </c>
      <c r="BN1021">
        <v>32232575</v>
      </c>
      <c r="BO1021" t="s">
        <v>74</v>
      </c>
      <c r="BP1021" t="s">
        <v>74</v>
      </c>
      <c r="BQ1021" t="s">
        <v>74</v>
      </c>
      <c r="BR1021" t="s">
        <v>96</v>
      </c>
      <c r="BS1021" t="s">
        <v>8938</v>
      </c>
      <c r="BT1021" t="str">
        <f>HYPERLINK("https%3A%2F%2Fwww.webofscience.com%2Fwos%2Fwoscc%2Ffull-record%2FWOS:000522936400001","View Full Record in Web of Science")</f>
        <v>View Full Record in Web of Science</v>
      </c>
    </row>
    <row r="1022" spans="1:72" x14ac:dyDescent="0.15">
      <c r="A1022" t="s">
        <v>98</v>
      </c>
      <c r="B1022" t="s">
        <v>9161</v>
      </c>
      <c r="C1022" t="s">
        <v>74</v>
      </c>
      <c r="D1022" t="s">
        <v>74</v>
      </c>
      <c r="E1022" t="s">
        <v>74</v>
      </c>
      <c r="F1022" t="s">
        <v>9162</v>
      </c>
      <c r="G1022" t="s">
        <v>74</v>
      </c>
      <c r="H1022" t="s">
        <v>74</v>
      </c>
      <c r="I1022" t="s">
        <v>9163</v>
      </c>
      <c r="J1022" t="s">
        <v>4486</v>
      </c>
      <c r="K1022" t="s">
        <v>74</v>
      </c>
      <c r="L1022" t="s">
        <v>74</v>
      </c>
      <c r="M1022" t="s">
        <v>74</v>
      </c>
      <c r="N1022" t="s">
        <v>103</v>
      </c>
      <c r="O1022" t="s">
        <v>74</v>
      </c>
      <c r="P1022" t="s">
        <v>74</v>
      </c>
      <c r="Q1022" t="s">
        <v>74</v>
      </c>
      <c r="R1022" t="s">
        <v>74</v>
      </c>
      <c r="S1022" t="s">
        <v>74</v>
      </c>
      <c r="T1022" t="s">
        <v>74</v>
      </c>
      <c r="U1022" t="s">
        <v>9164</v>
      </c>
      <c r="V1022" t="s">
        <v>9165</v>
      </c>
      <c r="W1022" t="s">
        <v>9166</v>
      </c>
      <c r="X1022" t="s">
        <v>9167</v>
      </c>
      <c r="Y1022" t="s">
        <v>9168</v>
      </c>
      <c r="Z1022" t="s">
        <v>9169</v>
      </c>
      <c r="AA1022" t="s">
        <v>74</v>
      </c>
      <c r="AB1022" t="s">
        <v>7323</v>
      </c>
      <c r="AC1022" t="s">
        <v>74</v>
      </c>
      <c r="AD1022" t="s">
        <v>74</v>
      </c>
      <c r="AE1022" t="s">
        <v>74</v>
      </c>
      <c r="AF1022" t="s">
        <v>74</v>
      </c>
      <c r="AG1022">
        <v>50</v>
      </c>
      <c r="AH1022">
        <v>14</v>
      </c>
      <c r="AI1022">
        <v>14</v>
      </c>
      <c r="AJ1022">
        <v>2</v>
      </c>
      <c r="AK1022">
        <v>35</v>
      </c>
      <c r="AL1022" t="s">
        <v>74</v>
      </c>
      <c r="AM1022" t="s">
        <v>74</v>
      </c>
      <c r="AN1022" t="s">
        <v>74</v>
      </c>
      <c r="AO1022" t="s">
        <v>4493</v>
      </c>
      <c r="AP1022" t="s">
        <v>4494</v>
      </c>
      <c r="AQ1022" t="s">
        <v>74</v>
      </c>
      <c r="AR1022" t="s">
        <v>74</v>
      </c>
      <c r="AS1022" t="s">
        <v>74</v>
      </c>
      <c r="AT1022" t="s">
        <v>9170</v>
      </c>
      <c r="AU1022">
        <v>2019</v>
      </c>
      <c r="AV1022">
        <v>91</v>
      </c>
      <c r="AW1022">
        <v>21</v>
      </c>
      <c r="AX1022" t="s">
        <v>74</v>
      </c>
      <c r="AY1022" t="s">
        <v>74</v>
      </c>
      <c r="AZ1022" t="s">
        <v>74</v>
      </c>
      <c r="BA1022" t="s">
        <v>74</v>
      </c>
      <c r="BB1022">
        <v>13729</v>
      </c>
      <c r="BC1022">
        <v>13736</v>
      </c>
      <c r="BD1022" t="s">
        <v>74</v>
      </c>
      <c r="BE1022" t="s">
        <v>9171</v>
      </c>
      <c r="BF1022" t="str">
        <f>HYPERLINK("http://dx.doi.org/10.1021/acs.analchem.9b03064","http://dx.doi.org/10.1021/acs.analchem.9b03064")</f>
        <v>http://dx.doi.org/10.1021/acs.analchem.9b03064</v>
      </c>
      <c r="BG1022" t="s">
        <v>74</v>
      </c>
      <c r="BH1022" t="s">
        <v>74</v>
      </c>
      <c r="BI1022" t="s">
        <v>74</v>
      </c>
      <c r="BJ1022" t="s">
        <v>1118</v>
      </c>
      <c r="BK1022" t="s">
        <v>117</v>
      </c>
      <c r="BL1022" t="s">
        <v>1048</v>
      </c>
      <c r="BM1022" t="s">
        <v>74</v>
      </c>
      <c r="BN1022">
        <v>31596073</v>
      </c>
      <c r="BO1022" t="s">
        <v>74</v>
      </c>
      <c r="BP1022" t="s">
        <v>74</v>
      </c>
      <c r="BQ1022" t="s">
        <v>74</v>
      </c>
      <c r="BR1022" t="s">
        <v>96</v>
      </c>
      <c r="BS1022" t="s">
        <v>9172</v>
      </c>
      <c r="BT1022" t="str">
        <f>HYPERLINK("https%3A%2F%2Fwww.webofscience.com%2Fwos%2Fwoscc%2Ffull-record%2FWOS:000495469100055","View Full Record in Web of Science")</f>
        <v>View Full Record in Web of Science</v>
      </c>
    </row>
    <row r="1023" spans="1:72" x14ac:dyDescent="0.15">
      <c r="A1023" t="s">
        <v>98</v>
      </c>
      <c r="B1023" t="s">
        <v>10714</v>
      </c>
      <c r="C1023" t="s">
        <v>74</v>
      </c>
      <c r="D1023" t="s">
        <v>74</v>
      </c>
      <c r="E1023" t="s">
        <v>74</v>
      </c>
      <c r="F1023" t="s">
        <v>10715</v>
      </c>
      <c r="G1023" t="s">
        <v>74</v>
      </c>
      <c r="H1023" t="s">
        <v>74</v>
      </c>
      <c r="I1023" t="s">
        <v>10716</v>
      </c>
      <c r="J1023" t="s">
        <v>10717</v>
      </c>
      <c r="K1023" t="s">
        <v>74</v>
      </c>
      <c r="L1023" t="s">
        <v>74</v>
      </c>
      <c r="M1023" t="s">
        <v>74</v>
      </c>
      <c r="N1023" t="s">
        <v>103</v>
      </c>
      <c r="O1023" t="s">
        <v>74</v>
      </c>
      <c r="P1023" t="s">
        <v>74</v>
      </c>
      <c r="Q1023" t="s">
        <v>74</v>
      </c>
      <c r="R1023" t="s">
        <v>74</v>
      </c>
      <c r="S1023" t="s">
        <v>74</v>
      </c>
      <c r="T1023" t="s">
        <v>74</v>
      </c>
      <c r="U1023" t="s">
        <v>10718</v>
      </c>
      <c r="V1023" t="s">
        <v>10719</v>
      </c>
      <c r="W1023" t="s">
        <v>10720</v>
      </c>
      <c r="X1023" t="s">
        <v>10721</v>
      </c>
      <c r="Y1023" t="s">
        <v>10722</v>
      </c>
      <c r="Z1023" t="s">
        <v>10723</v>
      </c>
      <c r="AA1023" t="s">
        <v>10724</v>
      </c>
      <c r="AB1023" t="s">
        <v>10725</v>
      </c>
      <c r="AC1023" t="s">
        <v>74</v>
      </c>
      <c r="AD1023" t="s">
        <v>74</v>
      </c>
      <c r="AE1023" t="s">
        <v>74</v>
      </c>
      <c r="AF1023" t="s">
        <v>74</v>
      </c>
      <c r="AG1023">
        <v>42</v>
      </c>
      <c r="AH1023">
        <v>14</v>
      </c>
      <c r="AI1023">
        <v>14</v>
      </c>
      <c r="AJ1023">
        <v>3</v>
      </c>
      <c r="AK1023">
        <v>12</v>
      </c>
      <c r="AL1023" t="s">
        <v>74</v>
      </c>
      <c r="AM1023" t="s">
        <v>74</v>
      </c>
      <c r="AN1023" t="s">
        <v>74</v>
      </c>
      <c r="AO1023" t="s">
        <v>10726</v>
      </c>
      <c r="AP1023" t="s">
        <v>10727</v>
      </c>
      <c r="AQ1023" t="s">
        <v>74</v>
      </c>
      <c r="AR1023" t="s">
        <v>74</v>
      </c>
      <c r="AS1023" t="s">
        <v>74</v>
      </c>
      <c r="AT1023" t="s">
        <v>230</v>
      </c>
      <c r="AU1023">
        <v>2020</v>
      </c>
      <c r="AV1023">
        <v>52</v>
      </c>
      <c r="AW1023">
        <v>8</v>
      </c>
      <c r="AX1023" t="s">
        <v>74</v>
      </c>
      <c r="AY1023" t="s">
        <v>74</v>
      </c>
      <c r="AZ1023" t="s">
        <v>74</v>
      </c>
      <c r="BA1023" t="s">
        <v>74</v>
      </c>
      <c r="BB1023">
        <v>1288</v>
      </c>
      <c r="BC1023">
        <v>1297</v>
      </c>
      <c r="BD1023" t="s">
        <v>74</v>
      </c>
      <c r="BE1023" t="s">
        <v>10728</v>
      </c>
      <c r="BF1023" t="str">
        <f>HYPERLINK("http://dx.doi.org/10.1038/s12276-020-0470-5","http://dx.doi.org/10.1038/s12276-020-0470-5")</f>
        <v>http://dx.doi.org/10.1038/s12276-020-0470-5</v>
      </c>
      <c r="BG1023" t="s">
        <v>74</v>
      </c>
      <c r="BH1023" t="s">
        <v>1323</v>
      </c>
      <c r="BI1023" t="s">
        <v>74</v>
      </c>
      <c r="BJ1023" t="s">
        <v>2959</v>
      </c>
      <c r="BK1023" t="s">
        <v>117</v>
      </c>
      <c r="BL1023" t="s">
        <v>2961</v>
      </c>
      <c r="BM1023" t="s">
        <v>74</v>
      </c>
      <c r="BN1023">
        <v>32747701</v>
      </c>
      <c r="BO1023" t="s">
        <v>74</v>
      </c>
      <c r="BP1023" t="s">
        <v>74</v>
      </c>
      <c r="BQ1023" t="s">
        <v>74</v>
      </c>
      <c r="BR1023" t="s">
        <v>96</v>
      </c>
      <c r="BS1023" t="s">
        <v>10729</v>
      </c>
      <c r="BT1023" t="str">
        <f>HYPERLINK("https%3A%2F%2Fwww.webofscience.com%2Fwos%2Fwoscc%2Ffull-record%2FWOS:000555345300001","View Full Record in Web of Science")</f>
        <v>View Full Record in Web of Science</v>
      </c>
    </row>
    <row r="1024" spans="1:72" x14ac:dyDescent="0.15">
      <c r="A1024" t="s">
        <v>98</v>
      </c>
      <c r="B1024" t="s">
        <v>11994</v>
      </c>
      <c r="C1024" t="s">
        <v>74</v>
      </c>
      <c r="D1024" t="s">
        <v>74</v>
      </c>
      <c r="E1024" t="s">
        <v>74</v>
      </c>
      <c r="F1024" t="s">
        <v>11995</v>
      </c>
      <c r="G1024" t="s">
        <v>74</v>
      </c>
      <c r="H1024" t="s">
        <v>74</v>
      </c>
      <c r="I1024" t="s">
        <v>11996</v>
      </c>
      <c r="J1024" t="s">
        <v>817</v>
      </c>
      <c r="K1024" t="s">
        <v>74</v>
      </c>
      <c r="L1024" t="s">
        <v>74</v>
      </c>
      <c r="M1024" t="s">
        <v>74</v>
      </c>
      <c r="N1024" t="s">
        <v>103</v>
      </c>
      <c r="O1024" t="s">
        <v>74</v>
      </c>
      <c r="P1024" t="s">
        <v>74</v>
      </c>
      <c r="Q1024" t="s">
        <v>74</v>
      </c>
      <c r="R1024" t="s">
        <v>74</v>
      </c>
      <c r="S1024" t="s">
        <v>74</v>
      </c>
      <c r="T1024" t="s">
        <v>11997</v>
      </c>
      <c r="U1024" t="s">
        <v>11998</v>
      </c>
      <c r="V1024" t="s">
        <v>11999</v>
      </c>
      <c r="W1024" t="s">
        <v>12000</v>
      </c>
      <c r="X1024" t="s">
        <v>12001</v>
      </c>
      <c r="Y1024" t="s">
        <v>10930</v>
      </c>
      <c r="Z1024" t="s">
        <v>12002</v>
      </c>
      <c r="AA1024" t="s">
        <v>12003</v>
      </c>
      <c r="AB1024" t="s">
        <v>12004</v>
      </c>
      <c r="AC1024" t="s">
        <v>74</v>
      </c>
      <c r="AD1024" t="s">
        <v>74</v>
      </c>
      <c r="AE1024" t="s">
        <v>74</v>
      </c>
      <c r="AF1024" t="s">
        <v>74</v>
      </c>
      <c r="AG1024">
        <v>73</v>
      </c>
      <c r="AH1024">
        <v>14</v>
      </c>
      <c r="AI1024">
        <v>14</v>
      </c>
      <c r="AJ1024">
        <v>1</v>
      </c>
      <c r="AK1024">
        <v>4</v>
      </c>
      <c r="AL1024" t="s">
        <v>74</v>
      </c>
      <c r="AM1024" t="s">
        <v>74</v>
      </c>
      <c r="AN1024" t="s">
        <v>74</v>
      </c>
      <c r="AO1024" t="s">
        <v>74</v>
      </c>
      <c r="AP1024" t="s">
        <v>827</v>
      </c>
      <c r="AQ1024" t="s">
        <v>74</v>
      </c>
      <c r="AR1024" t="s">
        <v>74</v>
      </c>
      <c r="AS1024" t="s">
        <v>74</v>
      </c>
      <c r="AT1024" t="s">
        <v>211</v>
      </c>
      <c r="AU1024">
        <v>2020</v>
      </c>
      <c r="AV1024">
        <v>21</v>
      </c>
      <c r="AW1024">
        <v>21</v>
      </c>
      <c r="AX1024" t="s">
        <v>74</v>
      </c>
      <c r="AY1024" t="s">
        <v>74</v>
      </c>
      <c r="AZ1024" t="s">
        <v>74</v>
      </c>
      <c r="BA1024" t="s">
        <v>74</v>
      </c>
      <c r="BB1024" t="s">
        <v>74</v>
      </c>
      <c r="BC1024" t="s">
        <v>74</v>
      </c>
      <c r="BD1024">
        <v>8389</v>
      </c>
      <c r="BE1024" t="s">
        <v>12005</v>
      </c>
      <c r="BF1024" t="str">
        <f>HYPERLINK("http://dx.doi.org/10.3390/ijms21218389","http://dx.doi.org/10.3390/ijms21218389")</f>
        <v>http://dx.doi.org/10.3390/ijms21218389</v>
      </c>
      <c r="BG1024" t="s">
        <v>74</v>
      </c>
      <c r="BH1024" t="s">
        <v>74</v>
      </c>
      <c r="BI1024" t="s">
        <v>74</v>
      </c>
      <c r="BJ1024" t="s">
        <v>830</v>
      </c>
      <c r="BK1024" t="s">
        <v>117</v>
      </c>
      <c r="BL1024" t="s">
        <v>831</v>
      </c>
      <c r="BM1024" t="s">
        <v>74</v>
      </c>
      <c r="BN1024">
        <v>33182277</v>
      </c>
      <c r="BO1024" t="s">
        <v>74</v>
      </c>
      <c r="BP1024" t="s">
        <v>74</v>
      </c>
      <c r="BQ1024" t="s">
        <v>74</v>
      </c>
      <c r="BR1024" t="s">
        <v>96</v>
      </c>
      <c r="BS1024" t="s">
        <v>12006</v>
      </c>
      <c r="BT1024" t="str">
        <f>HYPERLINK("https%3A%2F%2Fwww.webofscience.com%2Fwos%2Fwoscc%2Ffull-record%2FWOS:000589003300001","View Full Record in Web of Science")</f>
        <v>View Full Record in Web of Science</v>
      </c>
    </row>
    <row r="1025" spans="1:72" x14ac:dyDescent="0.15">
      <c r="A1025" t="s">
        <v>98</v>
      </c>
      <c r="B1025" t="s">
        <v>12439</v>
      </c>
      <c r="C1025" t="s">
        <v>74</v>
      </c>
      <c r="D1025" t="s">
        <v>74</v>
      </c>
      <c r="E1025" t="s">
        <v>74</v>
      </c>
      <c r="F1025" t="s">
        <v>12440</v>
      </c>
      <c r="G1025" t="s">
        <v>74</v>
      </c>
      <c r="H1025" t="s">
        <v>74</v>
      </c>
      <c r="I1025" t="s">
        <v>12441</v>
      </c>
      <c r="J1025" t="s">
        <v>12442</v>
      </c>
      <c r="K1025" t="s">
        <v>74</v>
      </c>
      <c r="L1025" t="s">
        <v>74</v>
      </c>
      <c r="M1025" t="s">
        <v>74</v>
      </c>
      <c r="N1025" t="s">
        <v>103</v>
      </c>
      <c r="O1025" t="s">
        <v>74</v>
      </c>
      <c r="P1025" t="s">
        <v>74</v>
      </c>
      <c r="Q1025" t="s">
        <v>74</v>
      </c>
      <c r="R1025" t="s">
        <v>74</v>
      </c>
      <c r="S1025" t="s">
        <v>74</v>
      </c>
      <c r="T1025" t="s">
        <v>74</v>
      </c>
      <c r="U1025" t="s">
        <v>12443</v>
      </c>
      <c r="V1025" t="s">
        <v>12444</v>
      </c>
      <c r="W1025" t="s">
        <v>12445</v>
      </c>
      <c r="X1025" t="s">
        <v>12446</v>
      </c>
      <c r="Y1025" t="s">
        <v>12447</v>
      </c>
      <c r="Z1025" t="s">
        <v>12448</v>
      </c>
      <c r="AA1025" t="s">
        <v>12449</v>
      </c>
      <c r="AB1025" t="s">
        <v>12450</v>
      </c>
      <c r="AC1025" t="s">
        <v>74</v>
      </c>
      <c r="AD1025" t="s">
        <v>74</v>
      </c>
      <c r="AE1025" t="s">
        <v>74</v>
      </c>
      <c r="AF1025" t="s">
        <v>74</v>
      </c>
      <c r="AG1025">
        <v>57</v>
      </c>
      <c r="AH1025">
        <v>14</v>
      </c>
      <c r="AI1025">
        <v>15</v>
      </c>
      <c r="AJ1025">
        <v>1</v>
      </c>
      <c r="AK1025">
        <v>12</v>
      </c>
      <c r="AL1025" t="s">
        <v>74</v>
      </c>
      <c r="AM1025" t="s">
        <v>74</v>
      </c>
      <c r="AN1025" t="s">
        <v>74</v>
      </c>
      <c r="AO1025" t="s">
        <v>12451</v>
      </c>
      <c r="AP1025" t="s">
        <v>12452</v>
      </c>
      <c r="AQ1025" t="s">
        <v>74</v>
      </c>
      <c r="AR1025" t="s">
        <v>74</v>
      </c>
      <c r="AS1025" t="s">
        <v>74</v>
      </c>
      <c r="AT1025" t="s">
        <v>230</v>
      </c>
      <c r="AU1025">
        <v>2020</v>
      </c>
      <c r="AV1025">
        <v>194</v>
      </c>
      <c r="AW1025">
        <v>2</v>
      </c>
      <c r="AX1025" t="s">
        <v>74</v>
      </c>
      <c r="AY1025" t="s">
        <v>74</v>
      </c>
      <c r="AZ1025" t="s">
        <v>74</v>
      </c>
      <c r="BA1025" t="s">
        <v>74</v>
      </c>
      <c r="BB1025">
        <v>133</v>
      </c>
      <c r="BC1025">
        <v>142</v>
      </c>
      <c r="BD1025" t="s">
        <v>74</v>
      </c>
      <c r="BE1025" t="s">
        <v>12453</v>
      </c>
      <c r="BF1025" t="str">
        <f>HYPERLINK("http://dx.doi.org/10.1667/RADE-20-00007","http://dx.doi.org/10.1667/RADE-20-00007")</f>
        <v>http://dx.doi.org/10.1667/RADE-20-00007</v>
      </c>
      <c r="BG1025" t="s">
        <v>74</v>
      </c>
      <c r="BH1025" t="s">
        <v>74</v>
      </c>
      <c r="BI1025" t="s">
        <v>74</v>
      </c>
      <c r="BJ1025" t="s">
        <v>12454</v>
      </c>
      <c r="BK1025" t="s">
        <v>117</v>
      </c>
      <c r="BL1025" t="s">
        <v>12455</v>
      </c>
      <c r="BM1025" t="s">
        <v>74</v>
      </c>
      <c r="BN1025">
        <v>32383628</v>
      </c>
      <c r="BO1025" t="s">
        <v>74</v>
      </c>
      <c r="BP1025" t="s">
        <v>74</v>
      </c>
      <c r="BQ1025" t="s">
        <v>74</v>
      </c>
      <c r="BR1025" t="s">
        <v>96</v>
      </c>
      <c r="BS1025" t="s">
        <v>12456</v>
      </c>
      <c r="BT1025" t="str">
        <f>HYPERLINK("https%3A%2F%2Fwww.webofscience.com%2Fwos%2Fwoscc%2Ffull-record%2FWOS:000558671800004","View Full Record in Web of Science")</f>
        <v>View Full Record in Web of Science</v>
      </c>
    </row>
    <row r="1026" spans="1:72" x14ac:dyDescent="0.15">
      <c r="A1026" t="s">
        <v>98</v>
      </c>
      <c r="B1026" t="s">
        <v>14672</v>
      </c>
      <c r="C1026" t="s">
        <v>74</v>
      </c>
      <c r="D1026" t="s">
        <v>74</v>
      </c>
      <c r="E1026" t="s">
        <v>74</v>
      </c>
      <c r="F1026" t="s">
        <v>14672</v>
      </c>
      <c r="G1026" t="s">
        <v>74</v>
      </c>
      <c r="H1026" t="s">
        <v>74</v>
      </c>
      <c r="I1026" t="s">
        <v>14673</v>
      </c>
      <c r="J1026" t="s">
        <v>14674</v>
      </c>
      <c r="K1026" t="s">
        <v>74</v>
      </c>
      <c r="L1026" t="s">
        <v>74</v>
      </c>
      <c r="M1026" t="s">
        <v>74</v>
      </c>
      <c r="N1026" t="s">
        <v>103</v>
      </c>
      <c r="O1026" t="s">
        <v>74</v>
      </c>
      <c r="P1026" t="s">
        <v>74</v>
      </c>
      <c r="Q1026" t="s">
        <v>74</v>
      </c>
      <c r="R1026" t="s">
        <v>74</v>
      </c>
      <c r="S1026" t="s">
        <v>74</v>
      </c>
      <c r="T1026" t="s">
        <v>14675</v>
      </c>
      <c r="U1026" t="s">
        <v>14676</v>
      </c>
      <c r="V1026" t="s">
        <v>14677</v>
      </c>
      <c r="W1026" t="s">
        <v>74</v>
      </c>
      <c r="X1026" t="s">
        <v>74</v>
      </c>
      <c r="Y1026" t="s">
        <v>14678</v>
      </c>
      <c r="Z1026" t="s">
        <v>74</v>
      </c>
      <c r="AA1026" t="s">
        <v>74</v>
      </c>
      <c r="AB1026" t="s">
        <v>74</v>
      </c>
      <c r="AC1026" t="s">
        <v>74</v>
      </c>
      <c r="AD1026" t="s">
        <v>74</v>
      </c>
      <c r="AE1026" t="s">
        <v>74</v>
      </c>
      <c r="AF1026" t="s">
        <v>74</v>
      </c>
      <c r="AG1026">
        <v>44</v>
      </c>
      <c r="AH1026">
        <v>14</v>
      </c>
      <c r="AI1026">
        <v>15</v>
      </c>
      <c r="AJ1026">
        <v>0</v>
      </c>
      <c r="AK1026">
        <v>1</v>
      </c>
      <c r="AL1026" t="s">
        <v>74</v>
      </c>
      <c r="AM1026" t="s">
        <v>74</v>
      </c>
      <c r="AN1026" t="s">
        <v>74</v>
      </c>
      <c r="AO1026" t="s">
        <v>14679</v>
      </c>
      <c r="AP1026" t="s">
        <v>14680</v>
      </c>
      <c r="AQ1026" t="s">
        <v>74</v>
      </c>
      <c r="AR1026" t="s">
        <v>74</v>
      </c>
      <c r="AS1026" t="s">
        <v>74</v>
      </c>
      <c r="AT1026" t="s">
        <v>189</v>
      </c>
      <c r="AU1026">
        <v>1995</v>
      </c>
      <c r="AV1026">
        <v>37</v>
      </c>
      <c r="AW1026">
        <v>5</v>
      </c>
      <c r="AX1026" t="s">
        <v>74</v>
      </c>
      <c r="AY1026" t="s">
        <v>74</v>
      </c>
      <c r="AZ1026" t="s">
        <v>74</v>
      </c>
      <c r="BA1026" t="s">
        <v>74</v>
      </c>
      <c r="BB1026">
        <v>517</v>
      </c>
      <c r="BC1026">
        <v>527</v>
      </c>
      <c r="BD1026" t="s">
        <v>74</v>
      </c>
      <c r="BE1026" t="s">
        <v>74</v>
      </c>
      <c r="BF1026" t="s">
        <v>74</v>
      </c>
      <c r="BG1026" t="s">
        <v>74</v>
      </c>
      <c r="BH1026" t="s">
        <v>74</v>
      </c>
      <c r="BI1026" t="s">
        <v>74</v>
      </c>
      <c r="BJ1026" t="s">
        <v>1100</v>
      </c>
      <c r="BK1026" t="s">
        <v>117</v>
      </c>
      <c r="BL1026" t="s">
        <v>1100</v>
      </c>
      <c r="BM1026" t="s">
        <v>74</v>
      </c>
      <c r="BN1026" t="s">
        <v>74</v>
      </c>
      <c r="BO1026" t="s">
        <v>74</v>
      </c>
      <c r="BP1026" t="s">
        <v>74</v>
      </c>
      <c r="BQ1026" t="s">
        <v>74</v>
      </c>
      <c r="BR1026" t="s">
        <v>96</v>
      </c>
      <c r="BS1026" t="s">
        <v>14681</v>
      </c>
      <c r="BT1026" t="str">
        <f>HYPERLINK("https%3A%2F%2Fwww.webofscience.com%2Fwos%2Fwoscc%2Ffull-record%2FWOS:A1995TE11100006","View Full Record in Web of Science")</f>
        <v>View Full Record in Web of Science</v>
      </c>
    </row>
    <row r="1027" spans="1:72" x14ac:dyDescent="0.15">
      <c r="A1027" t="s">
        <v>98</v>
      </c>
      <c r="B1027" t="s">
        <v>14780</v>
      </c>
      <c r="C1027" t="s">
        <v>74</v>
      </c>
      <c r="D1027" t="s">
        <v>74</v>
      </c>
      <c r="E1027" t="s">
        <v>74</v>
      </c>
      <c r="F1027" t="s">
        <v>14781</v>
      </c>
      <c r="G1027" t="s">
        <v>74</v>
      </c>
      <c r="H1027" t="s">
        <v>74</v>
      </c>
      <c r="I1027" t="s">
        <v>14782</v>
      </c>
      <c r="J1027" t="s">
        <v>14783</v>
      </c>
      <c r="K1027" t="s">
        <v>74</v>
      </c>
      <c r="L1027" t="s">
        <v>74</v>
      </c>
      <c r="M1027" t="s">
        <v>74</v>
      </c>
      <c r="N1027" t="s">
        <v>103</v>
      </c>
      <c r="O1027" t="s">
        <v>74</v>
      </c>
      <c r="P1027" t="s">
        <v>74</v>
      </c>
      <c r="Q1027" t="s">
        <v>74</v>
      </c>
      <c r="R1027" t="s">
        <v>74</v>
      </c>
      <c r="S1027" t="s">
        <v>74</v>
      </c>
      <c r="T1027" t="s">
        <v>14784</v>
      </c>
      <c r="U1027" t="s">
        <v>14785</v>
      </c>
      <c r="V1027" t="s">
        <v>14786</v>
      </c>
      <c r="W1027" t="s">
        <v>14787</v>
      </c>
      <c r="X1027" t="s">
        <v>14788</v>
      </c>
      <c r="Y1027" t="s">
        <v>14789</v>
      </c>
      <c r="Z1027" t="s">
        <v>14790</v>
      </c>
      <c r="AA1027" t="s">
        <v>14791</v>
      </c>
      <c r="AB1027" t="s">
        <v>74</v>
      </c>
      <c r="AC1027" t="s">
        <v>74</v>
      </c>
      <c r="AD1027" t="s">
        <v>74</v>
      </c>
      <c r="AE1027" t="s">
        <v>74</v>
      </c>
      <c r="AF1027" t="s">
        <v>74</v>
      </c>
      <c r="AG1027">
        <v>155</v>
      </c>
      <c r="AH1027">
        <v>14</v>
      </c>
      <c r="AI1027">
        <v>14</v>
      </c>
      <c r="AJ1027">
        <v>2</v>
      </c>
      <c r="AK1027">
        <v>11</v>
      </c>
      <c r="AL1027" t="s">
        <v>74</v>
      </c>
      <c r="AM1027" t="s">
        <v>74</v>
      </c>
      <c r="AN1027" t="s">
        <v>74</v>
      </c>
      <c r="AO1027" t="s">
        <v>14792</v>
      </c>
      <c r="AP1027" t="s">
        <v>74</v>
      </c>
      <c r="AQ1027" t="s">
        <v>74</v>
      </c>
      <c r="AR1027" t="s">
        <v>74</v>
      </c>
      <c r="AS1027" t="s">
        <v>74</v>
      </c>
      <c r="AT1027" t="s">
        <v>283</v>
      </c>
      <c r="AU1027">
        <v>2020</v>
      </c>
      <c r="AV1027">
        <v>13</v>
      </c>
      <c r="AW1027" t="s">
        <v>74</v>
      </c>
      <c r="AX1027" t="s">
        <v>74</v>
      </c>
      <c r="AY1027" t="s">
        <v>74</v>
      </c>
      <c r="AZ1027" t="s">
        <v>74</v>
      </c>
      <c r="BA1027" t="s">
        <v>74</v>
      </c>
      <c r="BB1027" t="s">
        <v>74</v>
      </c>
      <c r="BC1027" t="s">
        <v>74</v>
      </c>
      <c r="BD1027">
        <v>2516865720904052</v>
      </c>
      <c r="BE1027" t="s">
        <v>14793</v>
      </c>
      <c r="BF1027" t="str">
        <f>HYPERLINK("http://dx.doi.org/10.1177/2516865720904052","http://dx.doi.org/10.1177/2516865720904052")</f>
        <v>http://dx.doi.org/10.1177/2516865720904052</v>
      </c>
      <c r="BG1027" t="s">
        <v>74</v>
      </c>
      <c r="BH1027" t="s">
        <v>74</v>
      </c>
      <c r="BI1027" t="s">
        <v>74</v>
      </c>
      <c r="BJ1027" t="s">
        <v>285</v>
      </c>
      <c r="BK1027" t="s">
        <v>467</v>
      </c>
      <c r="BL1027" t="s">
        <v>285</v>
      </c>
      <c r="BM1027" t="s">
        <v>74</v>
      </c>
      <c r="BN1027">
        <v>32166219</v>
      </c>
      <c r="BO1027" t="s">
        <v>74</v>
      </c>
      <c r="BP1027" t="s">
        <v>74</v>
      </c>
      <c r="BQ1027" t="s">
        <v>74</v>
      </c>
      <c r="BR1027" t="s">
        <v>96</v>
      </c>
      <c r="BS1027" t="s">
        <v>14794</v>
      </c>
      <c r="BT1027" t="str">
        <f>HYPERLINK("https%3A%2F%2Fwww.webofscience.com%2Fwos%2Fwoscc%2Ffull-record%2FWOS:000517516000001","View Full Record in Web of Science")</f>
        <v>View Full Record in Web of Science</v>
      </c>
    </row>
    <row r="1028" spans="1:72" x14ac:dyDescent="0.15">
      <c r="A1028" t="s">
        <v>98</v>
      </c>
      <c r="B1028" t="s">
        <v>15234</v>
      </c>
      <c r="C1028" t="s">
        <v>74</v>
      </c>
      <c r="D1028" t="s">
        <v>74</v>
      </c>
      <c r="E1028" t="s">
        <v>74</v>
      </c>
      <c r="F1028" t="s">
        <v>15235</v>
      </c>
      <c r="G1028" t="s">
        <v>74</v>
      </c>
      <c r="H1028" t="s">
        <v>74</v>
      </c>
      <c r="I1028" t="s">
        <v>15236</v>
      </c>
      <c r="J1028" t="s">
        <v>15237</v>
      </c>
      <c r="K1028" t="s">
        <v>74</v>
      </c>
      <c r="L1028" t="s">
        <v>74</v>
      </c>
      <c r="M1028" t="s">
        <v>74</v>
      </c>
      <c r="N1028" t="s">
        <v>103</v>
      </c>
      <c r="O1028" t="s">
        <v>74</v>
      </c>
      <c r="P1028" t="s">
        <v>74</v>
      </c>
      <c r="Q1028" t="s">
        <v>74</v>
      </c>
      <c r="R1028" t="s">
        <v>74</v>
      </c>
      <c r="S1028" t="s">
        <v>74</v>
      </c>
      <c r="T1028" t="s">
        <v>15238</v>
      </c>
      <c r="U1028" t="s">
        <v>15239</v>
      </c>
      <c r="V1028" t="s">
        <v>15240</v>
      </c>
      <c r="W1028" t="s">
        <v>15241</v>
      </c>
      <c r="X1028" t="s">
        <v>15242</v>
      </c>
      <c r="Y1028" t="s">
        <v>15243</v>
      </c>
      <c r="Z1028" t="s">
        <v>15244</v>
      </c>
      <c r="AA1028" t="s">
        <v>74</v>
      </c>
      <c r="AB1028" t="s">
        <v>74</v>
      </c>
      <c r="AC1028" t="s">
        <v>74</v>
      </c>
      <c r="AD1028" t="s">
        <v>74</v>
      </c>
      <c r="AE1028" t="s">
        <v>74</v>
      </c>
      <c r="AF1028" t="s">
        <v>74</v>
      </c>
      <c r="AG1028">
        <v>30</v>
      </c>
      <c r="AH1028">
        <v>14</v>
      </c>
      <c r="AI1028">
        <v>15</v>
      </c>
      <c r="AJ1028">
        <v>4</v>
      </c>
      <c r="AK1028">
        <v>52</v>
      </c>
      <c r="AL1028" t="s">
        <v>74</v>
      </c>
      <c r="AM1028" t="s">
        <v>74</v>
      </c>
      <c r="AN1028" t="s">
        <v>74</v>
      </c>
      <c r="AO1028" t="s">
        <v>15245</v>
      </c>
      <c r="AP1028" t="s">
        <v>15246</v>
      </c>
      <c r="AQ1028" t="s">
        <v>74</v>
      </c>
      <c r="AR1028" t="s">
        <v>74</v>
      </c>
      <c r="AS1028" t="s">
        <v>74</v>
      </c>
      <c r="AT1028" t="s">
        <v>967</v>
      </c>
      <c r="AU1028">
        <v>2018</v>
      </c>
      <c r="AV1028">
        <v>61</v>
      </c>
      <c r="AW1028">
        <v>6</v>
      </c>
      <c r="AX1028" t="s">
        <v>74</v>
      </c>
      <c r="AY1028" t="s">
        <v>74</v>
      </c>
      <c r="AZ1028" t="s">
        <v>74</v>
      </c>
      <c r="BA1028" t="s">
        <v>74</v>
      </c>
      <c r="BB1028">
        <v>599</v>
      </c>
      <c r="BC1028">
        <v>606</v>
      </c>
      <c r="BD1028" t="s">
        <v>74</v>
      </c>
      <c r="BE1028" t="s">
        <v>15247</v>
      </c>
      <c r="BF1028" t="str">
        <f>HYPERLINK("http://dx.doi.org/10.1007/s13765-018-0394-0","http://dx.doi.org/10.1007/s13765-018-0394-0")</f>
        <v>http://dx.doi.org/10.1007/s13765-018-0394-0</v>
      </c>
      <c r="BG1028" t="s">
        <v>74</v>
      </c>
      <c r="BH1028" t="s">
        <v>74</v>
      </c>
      <c r="BI1028" t="s">
        <v>74</v>
      </c>
      <c r="BJ1028" t="s">
        <v>15248</v>
      </c>
      <c r="BK1028" t="s">
        <v>117</v>
      </c>
      <c r="BL1028" t="s">
        <v>15248</v>
      </c>
      <c r="BM1028" t="s">
        <v>74</v>
      </c>
      <c r="BN1028" t="s">
        <v>74</v>
      </c>
      <c r="BO1028" t="s">
        <v>74</v>
      </c>
      <c r="BP1028" t="s">
        <v>74</v>
      </c>
      <c r="BQ1028" t="s">
        <v>74</v>
      </c>
      <c r="BR1028" t="s">
        <v>96</v>
      </c>
      <c r="BS1028" t="s">
        <v>15249</v>
      </c>
      <c r="BT1028" t="str">
        <f>HYPERLINK("https%3A%2F%2Fwww.webofscience.com%2Fwos%2Fwoscc%2Ffull-record%2FWOS:000451960200001","View Full Record in Web of Science")</f>
        <v>View Full Record in Web of Science</v>
      </c>
    </row>
    <row r="1029" spans="1:72" x14ac:dyDescent="0.15">
      <c r="A1029" t="s">
        <v>98</v>
      </c>
      <c r="B1029" t="s">
        <v>15324</v>
      </c>
      <c r="C1029" t="s">
        <v>74</v>
      </c>
      <c r="D1029" t="s">
        <v>74</v>
      </c>
      <c r="E1029" t="s">
        <v>74</v>
      </c>
      <c r="F1029" t="s">
        <v>15325</v>
      </c>
      <c r="G1029" t="s">
        <v>74</v>
      </c>
      <c r="H1029" t="s">
        <v>74</v>
      </c>
      <c r="I1029" t="s">
        <v>15326</v>
      </c>
      <c r="J1029" t="s">
        <v>13840</v>
      </c>
      <c r="K1029" t="s">
        <v>74</v>
      </c>
      <c r="L1029" t="s">
        <v>74</v>
      </c>
      <c r="M1029" t="s">
        <v>74</v>
      </c>
      <c r="N1029" t="s">
        <v>103</v>
      </c>
      <c r="O1029" t="s">
        <v>74</v>
      </c>
      <c r="P1029" t="s">
        <v>74</v>
      </c>
      <c r="Q1029" t="s">
        <v>74</v>
      </c>
      <c r="R1029" t="s">
        <v>74</v>
      </c>
      <c r="S1029" t="s">
        <v>74</v>
      </c>
      <c r="T1029" t="s">
        <v>74</v>
      </c>
      <c r="U1029" t="s">
        <v>15327</v>
      </c>
      <c r="V1029" t="s">
        <v>15328</v>
      </c>
      <c r="W1029" t="s">
        <v>15329</v>
      </c>
      <c r="X1029" t="s">
        <v>15330</v>
      </c>
      <c r="Y1029" t="s">
        <v>15331</v>
      </c>
      <c r="Z1029" t="s">
        <v>15332</v>
      </c>
      <c r="AA1029" t="s">
        <v>74</v>
      </c>
      <c r="AB1029" t="s">
        <v>74</v>
      </c>
      <c r="AC1029" t="s">
        <v>74</v>
      </c>
      <c r="AD1029" t="s">
        <v>74</v>
      </c>
      <c r="AE1029" t="s">
        <v>74</v>
      </c>
      <c r="AF1029" t="s">
        <v>74</v>
      </c>
      <c r="AG1029">
        <v>46</v>
      </c>
      <c r="AH1029">
        <v>14</v>
      </c>
      <c r="AI1029">
        <v>14</v>
      </c>
      <c r="AJ1029">
        <v>4</v>
      </c>
      <c r="AK1029">
        <v>29</v>
      </c>
      <c r="AL1029" t="s">
        <v>74</v>
      </c>
      <c r="AM1029" t="s">
        <v>74</v>
      </c>
      <c r="AN1029" t="s">
        <v>74</v>
      </c>
      <c r="AO1029" t="s">
        <v>13845</v>
      </c>
      <c r="AP1029" t="s">
        <v>13846</v>
      </c>
      <c r="AQ1029" t="s">
        <v>74</v>
      </c>
      <c r="AR1029" t="s">
        <v>74</v>
      </c>
      <c r="AS1029" t="s">
        <v>74</v>
      </c>
      <c r="AT1029" t="s">
        <v>9831</v>
      </c>
      <c r="AU1029">
        <v>2020</v>
      </c>
      <c r="AV1029">
        <v>8</v>
      </c>
      <c r="AW1029">
        <v>30</v>
      </c>
      <c r="AX1029" t="s">
        <v>74</v>
      </c>
      <c r="AY1029" t="s">
        <v>74</v>
      </c>
      <c r="AZ1029" t="s">
        <v>74</v>
      </c>
      <c r="BA1029" t="s">
        <v>74</v>
      </c>
      <c r="BB1029">
        <v>6378</v>
      </c>
      <c r="BC1029">
        <v>6389</v>
      </c>
      <c r="BD1029" t="s">
        <v>74</v>
      </c>
      <c r="BE1029" t="s">
        <v>15333</v>
      </c>
      <c r="BF1029" t="str">
        <f>HYPERLINK("http://dx.doi.org/10.1039/d0tb00422g","http://dx.doi.org/10.1039/d0tb00422g")</f>
        <v>http://dx.doi.org/10.1039/d0tb00422g</v>
      </c>
      <c r="BG1029" t="s">
        <v>74</v>
      </c>
      <c r="BH1029" t="s">
        <v>74</v>
      </c>
      <c r="BI1029" t="s">
        <v>74</v>
      </c>
      <c r="BJ1029" t="s">
        <v>3945</v>
      </c>
      <c r="BK1029" t="s">
        <v>117</v>
      </c>
      <c r="BL1029" t="s">
        <v>3946</v>
      </c>
      <c r="BM1029" t="s">
        <v>74</v>
      </c>
      <c r="BN1029">
        <v>32633309</v>
      </c>
      <c r="BO1029" t="s">
        <v>74</v>
      </c>
      <c r="BP1029" t="s">
        <v>74</v>
      </c>
      <c r="BQ1029" t="s">
        <v>74</v>
      </c>
      <c r="BR1029" t="s">
        <v>96</v>
      </c>
      <c r="BS1029" t="s">
        <v>15334</v>
      </c>
      <c r="BT1029" t="str">
        <f>HYPERLINK("https%3A%2F%2Fwww.webofscience.com%2Fwos%2Fwoscc%2Ffull-record%2FWOS:000555679300015","View Full Record in Web of Science")</f>
        <v>View Full Record in Web of Science</v>
      </c>
    </row>
    <row r="1030" spans="1:72" x14ac:dyDescent="0.15">
      <c r="A1030" t="s">
        <v>98</v>
      </c>
      <c r="B1030" t="s">
        <v>16443</v>
      </c>
      <c r="C1030" t="s">
        <v>74</v>
      </c>
      <c r="D1030" t="s">
        <v>74</v>
      </c>
      <c r="E1030" t="s">
        <v>74</v>
      </c>
      <c r="F1030" t="s">
        <v>16444</v>
      </c>
      <c r="G1030" t="s">
        <v>74</v>
      </c>
      <c r="H1030" t="s">
        <v>74</v>
      </c>
      <c r="I1030" t="s">
        <v>16445</v>
      </c>
      <c r="J1030" t="s">
        <v>1073</v>
      </c>
      <c r="K1030" t="s">
        <v>74</v>
      </c>
      <c r="L1030" t="s">
        <v>74</v>
      </c>
      <c r="M1030" t="s">
        <v>74</v>
      </c>
      <c r="N1030" t="s">
        <v>103</v>
      </c>
      <c r="O1030" t="s">
        <v>74</v>
      </c>
      <c r="P1030" t="s">
        <v>74</v>
      </c>
      <c r="Q1030" t="s">
        <v>74</v>
      </c>
      <c r="R1030" t="s">
        <v>74</v>
      </c>
      <c r="S1030" t="s">
        <v>74</v>
      </c>
      <c r="T1030" t="s">
        <v>74</v>
      </c>
      <c r="U1030" t="s">
        <v>16446</v>
      </c>
      <c r="V1030" t="s">
        <v>16447</v>
      </c>
      <c r="W1030" t="s">
        <v>16448</v>
      </c>
      <c r="X1030" t="s">
        <v>14386</v>
      </c>
      <c r="Y1030" t="s">
        <v>16449</v>
      </c>
      <c r="Z1030" t="s">
        <v>16450</v>
      </c>
      <c r="AA1030" t="s">
        <v>74</v>
      </c>
      <c r="AB1030" t="s">
        <v>74</v>
      </c>
      <c r="AC1030" t="s">
        <v>74</v>
      </c>
      <c r="AD1030" t="s">
        <v>74</v>
      </c>
      <c r="AE1030" t="s">
        <v>74</v>
      </c>
      <c r="AF1030" t="s">
        <v>74</v>
      </c>
      <c r="AG1030">
        <v>22</v>
      </c>
      <c r="AH1030">
        <v>14</v>
      </c>
      <c r="AI1030">
        <v>14</v>
      </c>
      <c r="AJ1030">
        <v>0</v>
      </c>
      <c r="AK1030">
        <v>6</v>
      </c>
      <c r="AL1030" t="s">
        <v>74</v>
      </c>
      <c r="AM1030" t="s">
        <v>74</v>
      </c>
      <c r="AN1030" t="s">
        <v>74</v>
      </c>
      <c r="AO1030" t="s">
        <v>1082</v>
      </c>
      <c r="AP1030" t="s">
        <v>74</v>
      </c>
      <c r="AQ1030" t="s">
        <v>74</v>
      </c>
      <c r="AR1030" t="s">
        <v>74</v>
      </c>
      <c r="AS1030" t="s">
        <v>74</v>
      </c>
      <c r="AT1030" t="s">
        <v>9816</v>
      </c>
      <c r="AU1030">
        <v>2018</v>
      </c>
      <c r="AV1030">
        <v>13</v>
      </c>
      <c r="AW1030">
        <v>5</v>
      </c>
      <c r="AX1030" t="s">
        <v>74</v>
      </c>
      <c r="AY1030" t="s">
        <v>74</v>
      </c>
      <c r="AZ1030" t="s">
        <v>74</v>
      </c>
      <c r="BA1030" t="s">
        <v>74</v>
      </c>
      <c r="BB1030" t="s">
        <v>74</v>
      </c>
      <c r="BC1030" t="s">
        <v>74</v>
      </c>
      <c r="BD1030" t="s">
        <v>16451</v>
      </c>
      <c r="BE1030" t="s">
        <v>16452</v>
      </c>
      <c r="BF1030" t="str">
        <f>HYPERLINK("http://dx.doi.org/10.1371/journal.pone.0197782","http://dx.doi.org/10.1371/journal.pone.0197782")</f>
        <v>http://dx.doi.org/10.1371/journal.pone.0197782</v>
      </c>
      <c r="BG1030" t="s">
        <v>74</v>
      </c>
      <c r="BH1030" t="s">
        <v>74</v>
      </c>
      <c r="BI1030" t="s">
        <v>74</v>
      </c>
      <c r="BJ1030" t="s">
        <v>152</v>
      </c>
      <c r="BK1030" t="s">
        <v>117</v>
      </c>
      <c r="BL1030" t="s">
        <v>153</v>
      </c>
      <c r="BM1030" t="s">
        <v>74</v>
      </c>
      <c r="BN1030">
        <v>29787607</v>
      </c>
      <c r="BO1030" t="s">
        <v>74</v>
      </c>
      <c r="BP1030" t="s">
        <v>74</v>
      </c>
      <c r="BQ1030" t="s">
        <v>74</v>
      </c>
      <c r="BR1030" t="s">
        <v>96</v>
      </c>
      <c r="BS1030" t="s">
        <v>16453</v>
      </c>
      <c r="BT1030" t="str">
        <f>HYPERLINK("https%3A%2F%2Fwww.webofscience.com%2Fwos%2Fwoscc%2Ffull-record%2FWOS:000432785700046","View Full Record in Web of Science")</f>
        <v>View Full Record in Web of Science</v>
      </c>
    </row>
    <row r="1031" spans="1:72" x14ac:dyDescent="0.15">
      <c r="A1031" t="s">
        <v>98</v>
      </c>
      <c r="B1031" t="s">
        <v>17052</v>
      </c>
      <c r="C1031" t="s">
        <v>74</v>
      </c>
      <c r="D1031" t="s">
        <v>74</v>
      </c>
      <c r="E1031" t="s">
        <v>74</v>
      </c>
      <c r="F1031" t="s">
        <v>17053</v>
      </c>
      <c r="G1031" t="s">
        <v>74</v>
      </c>
      <c r="H1031" t="s">
        <v>74</v>
      </c>
      <c r="I1031" t="s">
        <v>17054</v>
      </c>
      <c r="J1031" t="s">
        <v>1035</v>
      </c>
      <c r="K1031" t="s">
        <v>74</v>
      </c>
      <c r="L1031" t="s">
        <v>74</v>
      </c>
      <c r="M1031" t="s">
        <v>74</v>
      </c>
      <c r="N1031" t="s">
        <v>103</v>
      </c>
      <c r="O1031" t="s">
        <v>74</v>
      </c>
      <c r="P1031" t="s">
        <v>74</v>
      </c>
      <c r="Q1031" t="s">
        <v>74</v>
      </c>
      <c r="R1031" t="s">
        <v>74</v>
      </c>
      <c r="S1031" t="s">
        <v>74</v>
      </c>
      <c r="T1031" t="s">
        <v>74</v>
      </c>
      <c r="U1031" t="s">
        <v>17055</v>
      </c>
      <c r="V1031" t="s">
        <v>17056</v>
      </c>
      <c r="W1031" t="s">
        <v>17057</v>
      </c>
      <c r="X1031" t="s">
        <v>17058</v>
      </c>
      <c r="Y1031" t="s">
        <v>17059</v>
      </c>
      <c r="Z1031" t="s">
        <v>17060</v>
      </c>
      <c r="AA1031" t="s">
        <v>14251</v>
      </c>
      <c r="AB1031" t="s">
        <v>17061</v>
      </c>
      <c r="AC1031" t="s">
        <v>74</v>
      </c>
      <c r="AD1031" t="s">
        <v>74</v>
      </c>
      <c r="AE1031" t="s">
        <v>74</v>
      </c>
      <c r="AF1031" t="s">
        <v>74</v>
      </c>
      <c r="AG1031">
        <v>48</v>
      </c>
      <c r="AH1031">
        <v>14</v>
      </c>
      <c r="AI1031">
        <v>14</v>
      </c>
      <c r="AJ1031">
        <v>27</v>
      </c>
      <c r="AK1031">
        <v>167</v>
      </c>
      <c r="AL1031" t="s">
        <v>74</v>
      </c>
      <c r="AM1031" t="s">
        <v>74</v>
      </c>
      <c r="AN1031" t="s">
        <v>74</v>
      </c>
      <c r="AO1031" t="s">
        <v>1044</v>
      </c>
      <c r="AP1031" t="s">
        <v>6566</v>
      </c>
      <c r="AQ1031" t="s">
        <v>74</v>
      </c>
      <c r="AR1031" t="s">
        <v>74</v>
      </c>
      <c r="AS1031" t="s">
        <v>74</v>
      </c>
      <c r="AT1031" t="s">
        <v>4085</v>
      </c>
      <c r="AU1031">
        <v>2020</v>
      </c>
      <c r="AV1031">
        <v>142</v>
      </c>
      <c r="AW1031">
        <v>16</v>
      </c>
      <c r="AX1031" t="s">
        <v>74</v>
      </c>
      <c r="AY1031" t="s">
        <v>74</v>
      </c>
      <c r="AZ1031" t="s">
        <v>74</v>
      </c>
      <c r="BA1031" t="s">
        <v>74</v>
      </c>
      <c r="BB1031">
        <v>7404</v>
      </c>
      <c r="BC1031">
        <v>7412</v>
      </c>
      <c r="BD1031" t="s">
        <v>74</v>
      </c>
      <c r="BE1031" t="s">
        <v>17062</v>
      </c>
      <c r="BF1031" t="str">
        <f>HYPERLINK("http://dx.doi.org/10.1021/jacs.9b12182","http://dx.doi.org/10.1021/jacs.9b12182")</f>
        <v>http://dx.doi.org/10.1021/jacs.9b12182</v>
      </c>
      <c r="BG1031" t="s">
        <v>74</v>
      </c>
      <c r="BH1031" t="s">
        <v>74</v>
      </c>
      <c r="BI1031" t="s">
        <v>74</v>
      </c>
      <c r="BJ1031" t="s">
        <v>1047</v>
      </c>
      <c r="BK1031" t="s">
        <v>117</v>
      </c>
      <c r="BL1031" t="s">
        <v>1048</v>
      </c>
      <c r="BM1031" t="s">
        <v>74</v>
      </c>
      <c r="BN1031">
        <v>32239931</v>
      </c>
      <c r="BO1031" t="s">
        <v>74</v>
      </c>
      <c r="BP1031" t="s">
        <v>74</v>
      </c>
      <c r="BQ1031" t="s">
        <v>74</v>
      </c>
      <c r="BR1031" t="s">
        <v>96</v>
      </c>
      <c r="BS1031" t="s">
        <v>17063</v>
      </c>
      <c r="BT1031" t="str">
        <f>HYPERLINK("https%3A%2F%2Fwww.webofscience.com%2Fwos%2Fwoscc%2Ffull-record%2FWOS:000529156100028","View Full Record in Web of Science")</f>
        <v>View Full Record in Web of Science</v>
      </c>
    </row>
    <row r="1032" spans="1:72" x14ac:dyDescent="0.15">
      <c r="A1032" t="s">
        <v>98</v>
      </c>
      <c r="B1032" t="s">
        <v>18874</v>
      </c>
      <c r="C1032" t="s">
        <v>74</v>
      </c>
      <c r="D1032" t="s">
        <v>74</v>
      </c>
      <c r="E1032" t="s">
        <v>74</v>
      </c>
      <c r="F1032" t="s">
        <v>18875</v>
      </c>
      <c r="G1032" t="s">
        <v>74</v>
      </c>
      <c r="H1032" t="s">
        <v>74</v>
      </c>
      <c r="I1032" t="s">
        <v>18876</v>
      </c>
      <c r="J1032" t="s">
        <v>18877</v>
      </c>
      <c r="K1032" t="s">
        <v>74</v>
      </c>
      <c r="L1032" t="s">
        <v>74</v>
      </c>
      <c r="M1032" t="s">
        <v>74</v>
      </c>
      <c r="N1032" t="s">
        <v>103</v>
      </c>
      <c r="O1032" t="s">
        <v>74</v>
      </c>
      <c r="P1032" t="s">
        <v>74</v>
      </c>
      <c r="Q1032" t="s">
        <v>74</v>
      </c>
      <c r="R1032" t="s">
        <v>74</v>
      </c>
      <c r="S1032" t="s">
        <v>74</v>
      </c>
      <c r="T1032" t="s">
        <v>18878</v>
      </c>
      <c r="U1032" t="s">
        <v>18879</v>
      </c>
      <c r="V1032" t="s">
        <v>18880</v>
      </c>
      <c r="W1032" t="s">
        <v>18881</v>
      </c>
      <c r="X1032" t="s">
        <v>18882</v>
      </c>
      <c r="Y1032" t="s">
        <v>18883</v>
      </c>
      <c r="Z1032" t="s">
        <v>18884</v>
      </c>
      <c r="AA1032" t="s">
        <v>74</v>
      </c>
      <c r="AB1032" t="s">
        <v>74</v>
      </c>
      <c r="AC1032" t="s">
        <v>74</v>
      </c>
      <c r="AD1032" t="s">
        <v>74</v>
      </c>
      <c r="AE1032" t="s">
        <v>74</v>
      </c>
      <c r="AF1032" t="s">
        <v>74</v>
      </c>
      <c r="AG1032">
        <v>32</v>
      </c>
      <c r="AH1032">
        <v>14</v>
      </c>
      <c r="AI1032">
        <v>14</v>
      </c>
      <c r="AJ1032">
        <v>0</v>
      </c>
      <c r="AK1032">
        <v>3</v>
      </c>
      <c r="AL1032" t="s">
        <v>74</v>
      </c>
      <c r="AM1032" t="s">
        <v>74</v>
      </c>
      <c r="AN1032" t="s">
        <v>74</v>
      </c>
      <c r="AO1032" t="s">
        <v>18885</v>
      </c>
      <c r="AP1032" t="s">
        <v>18886</v>
      </c>
      <c r="AQ1032" t="s">
        <v>74</v>
      </c>
      <c r="AR1032" t="s">
        <v>74</v>
      </c>
      <c r="AS1032" t="s">
        <v>74</v>
      </c>
      <c r="AT1032" t="s">
        <v>283</v>
      </c>
      <c r="AU1032">
        <v>2009</v>
      </c>
      <c r="AV1032">
        <v>126</v>
      </c>
      <c r="AW1032">
        <v>2</v>
      </c>
      <c r="AX1032" t="s">
        <v>74</v>
      </c>
      <c r="AY1032" t="s">
        <v>74</v>
      </c>
      <c r="AZ1032" t="s">
        <v>74</v>
      </c>
      <c r="BA1032" t="s">
        <v>74</v>
      </c>
      <c r="BB1032">
        <v>290</v>
      </c>
      <c r="BC1032">
        <v>298</v>
      </c>
      <c r="BD1032" t="s">
        <v>74</v>
      </c>
      <c r="BE1032" t="s">
        <v>18887</v>
      </c>
      <c r="BF1032" t="str">
        <f>HYPERLINK("http://dx.doi.org/10.1111/j.1365-2567.2008.02897.x","http://dx.doi.org/10.1111/j.1365-2567.2008.02897.x")</f>
        <v>http://dx.doi.org/10.1111/j.1365-2567.2008.02897.x</v>
      </c>
      <c r="BG1032" t="s">
        <v>74</v>
      </c>
      <c r="BH1032" t="s">
        <v>74</v>
      </c>
      <c r="BI1032" t="s">
        <v>74</v>
      </c>
      <c r="BJ1032" t="s">
        <v>2064</v>
      </c>
      <c r="BK1032" t="s">
        <v>117</v>
      </c>
      <c r="BL1032" t="s">
        <v>2064</v>
      </c>
      <c r="BM1032" t="s">
        <v>74</v>
      </c>
      <c r="BN1032">
        <v>19019086</v>
      </c>
      <c r="BO1032" t="s">
        <v>74</v>
      </c>
      <c r="BP1032" t="s">
        <v>74</v>
      </c>
      <c r="BQ1032" t="s">
        <v>74</v>
      </c>
      <c r="BR1032" t="s">
        <v>96</v>
      </c>
      <c r="BS1032" t="s">
        <v>18888</v>
      </c>
      <c r="BT1032" t="str">
        <f>HYPERLINK("https%3A%2F%2Fwww.webofscience.com%2Fwos%2Fwoscc%2Ffull-record%2FWOS:000262227200012","View Full Record in Web of Science")</f>
        <v>View Full Record in Web of Science</v>
      </c>
    </row>
    <row r="1033" spans="1:72" x14ac:dyDescent="0.15">
      <c r="A1033" t="s">
        <v>98</v>
      </c>
      <c r="B1033" t="s">
        <v>19364</v>
      </c>
      <c r="C1033" t="s">
        <v>74</v>
      </c>
      <c r="D1033" t="s">
        <v>74</v>
      </c>
      <c r="E1033" t="s">
        <v>74</v>
      </c>
      <c r="F1033" t="s">
        <v>19365</v>
      </c>
      <c r="G1033" t="s">
        <v>74</v>
      </c>
      <c r="H1033" t="s">
        <v>74</v>
      </c>
      <c r="I1033" t="s">
        <v>19366</v>
      </c>
      <c r="J1033" t="s">
        <v>19367</v>
      </c>
      <c r="K1033" t="s">
        <v>74</v>
      </c>
      <c r="L1033" t="s">
        <v>74</v>
      </c>
      <c r="M1033" t="s">
        <v>74</v>
      </c>
      <c r="N1033" t="s">
        <v>103</v>
      </c>
      <c r="O1033" t="s">
        <v>74</v>
      </c>
      <c r="P1033" t="s">
        <v>74</v>
      </c>
      <c r="Q1033" t="s">
        <v>74</v>
      </c>
      <c r="R1033" t="s">
        <v>74</v>
      </c>
      <c r="S1033" t="s">
        <v>74</v>
      </c>
      <c r="T1033" t="s">
        <v>19368</v>
      </c>
      <c r="U1033" t="s">
        <v>19369</v>
      </c>
      <c r="V1033" t="s">
        <v>19370</v>
      </c>
      <c r="W1033" t="s">
        <v>19371</v>
      </c>
      <c r="X1033" t="s">
        <v>19372</v>
      </c>
      <c r="Y1033" t="s">
        <v>19373</v>
      </c>
      <c r="Z1033" t="s">
        <v>19374</v>
      </c>
      <c r="AA1033" t="s">
        <v>19375</v>
      </c>
      <c r="AB1033" t="s">
        <v>19376</v>
      </c>
      <c r="AC1033" t="s">
        <v>74</v>
      </c>
      <c r="AD1033" t="s">
        <v>74</v>
      </c>
      <c r="AE1033" t="s">
        <v>74</v>
      </c>
      <c r="AF1033" t="s">
        <v>74</v>
      </c>
      <c r="AG1033">
        <v>25</v>
      </c>
      <c r="AH1033">
        <v>14</v>
      </c>
      <c r="AI1033">
        <v>14</v>
      </c>
      <c r="AJ1033">
        <v>1</v>
      </c>
      <c r="AK1033">
        <v>18</v>
      </c>
      <c r="AL1033" t="s">
        <v>74</v>
      </c>
      <c r="AM1033" t="s">
        <v>74</v>
      </c>
      <c r="AN1033" t="s">
        <v>74</v>
      </c>
      <c r="AO1033" t="s">
        <v>19377</v>
      </c>
      <c r="AP1033" t="s">
        <v>74</v>
      </c>
      <c r="AQ1033" t="s">
        <v>74</v>
      </c>
      <c r="AR1033" t="s">
        <v>74</v>
      </c>
      <c r="AS1033" t="s">
        <v>74</v>
      </c>
      <c r="AT1033" t="s">
        <v>9418</v>
      </c>
      <c r="AU1033">
        <v>2007</v>
      </c>
      <c r="AV1033">
        <v>363</v>
      </c>
      <c r="AW1033">
        <v>1</v>
      </c>
      <c r="AX1033" t="s">
        <v>74</v>
      </c>
      <c r="AY1033" t="s">
        <v>74</v>
      </c>
      <c r="AZ1033" t="s">
        <v>74</v>
      </c>
      <c r="BA1033" t="s">
        <v>74</v>
      </c>
      <c r="BB1033">
        <v>135</v>
      </c>
      <c r="BC1033">
        <v>142</v>
      </c>
      <c r="BD1033" t="s">
        <v>74</v>
      </c>
      <c r="BE1033" t="s">
        <v>19378</v>
      </c>
      <c r="BF1033" t="str">
        <f>HYPERLINK("http://dx.doi.org/10.1016/j.ab.2007.01.006","http://dx.doi.org/10.1016/j.ab.2007.01.006")</f>
        <v>http://dx.doi.org/10.1016/j.ab.2007.01.006</v>
      </c>
      <c r="BG1033" t="s">
        <v>74</v>
      </c>
      <c r="BH1033" t="s">
        <v>74</v>
      </c>
      <c r="BI1033" t="s">
        <v>74</v>
      </c>
      <c r="BJ1033" t="s">
        <v>19379</v>
      </c>
      <c r="BK1033" t="s">
        <v>117</v>
      </c>
      <c r="BL1033" t="s">
        <v>831</v>
      </c>
      <c r="BM1033" t="s">
        <v>74</v>
      </c>
      <c r="BN1033">
        <v>17286953</v>
      </c>
      <c r="BO1033" t="s">
        <v>74</v>
      </c>
      <c r="BP1033" t="s">
        <v>74</v>
      </c>
      <c r="BQ1033" t="s">
        <v>74</v>
      </c>
      <c r="BR1033" t="s">
        <v>96</v>
      </c>
      <c r="BS1033" t="s">
        <v>19380</v>
      </c>
      <c r="BT1033" t="str">
        <f>HYPERLINK("https%3A%2F%2Fwww.webofscience.com%2Fwos%2Fwoscc%2Ffull-record%2FWOS:000245155500015","View Full Record in Web of Science")</f>
        <v>View Full Record in Web of Science</v>
      </c>
    </row>
    <row r="1034" spans="1:72" x14ac:dyDescent="0.15">
      <c r="A1034" t="s">
        <v>98</v>
      </c>
      <c r="B1034" t="s">
        <v>21025</v>
      </c>
      <c r="C1034" t="s">
        <v>74</v>
      </c>
      <c r="D1034" t="s">
        <v>74</v>
      </c>
      <c r="E1034" t="s">
        <v>74</v>
      </c>
      <c r="F1034" t="s">
        <v>21026</v>
      </c>
      <c r="G1034" t="s">
        <v>74</v>
      </c>
      <c r="H1034" t="s">
        <v>74</v>
      </c>
      <c r="I1034" t="s">
        <v>21027</v>
      </c>
      <c r="J1034" t="s">
        <v>8124</v>
      </c>
      <c r="K1034" t="s">
        <v>74</v>
      </c>
      <c r="L1034" t="s">
        <v>74</v>
      </c>
      <c r="M1034" t="s">
        <v>74</v>
      </c>
      <c r="N1034" t="s">
        <v>103</v>
      </c>
      <c r="O1034" t="s">
        <v>74</v>
      </c>
      <c r="P1034" t="s">
        <v>74</v>
      </c>
      <c r="Q1034" t="s">
        <v>74</v>
      </c>
      <c r="R1034" t="s">
        <v>74</v>
      </c>
      <c r="S1034" t="s">
        <v>74</v>
      </c>
      <c r="T1034" t="s">
        <v>21028</v>
      </c>
      <c r="U1034" t="s">
        <v>21029</v>
      </c>
      <c r="V1034" t="s">
        <v>21030</v>
      </c>
      <c r="W1034" t="s">
        <v>21031</v>
      </c>
      <c r="X1034" t="s">
        <v>21032</v>
      </c>
      <c r="Y1034" t="s">
        <v>21033</v>
      </c>
      <c r="Z1034" t="s">
        <v>21034</v>
      </c>
      <c r="AA1034" t="s">
        <v>74</v>
      </c>
      <c r="AB1034" t="s">
        <v>21035</v>
      </c>
      <c r="AC1034" t="s">
        <v>74</v>
      </c>
      <c r="AD1034" t="s">
        <v>74</v>
      </c>
      <c r="AE1034" t="s">
        <v>74</v>
      </c>
      <c r="AF1034" t="s">
        <v>74</v>
      </c>
      <c r="AG1034">
        <v>42</v>
      </c>
      <c r="AH1034">
        <v>14</v>
      </c>
      <c r="AI1034">
        <v>14</v>
      </c>
      <c r="AJ1034">
        <v>2</v>
      </c>
      <c r="AK1034">
        <v>4</v>
      </c>
      <c r="AL1034" t="s">
        <v>74</v>
      </c>
      <c r="AM1034" t="s">
        <v>74</v>
      </c>
      <c r="AN1034" t="s">
        <v>74</v>
      </c>
      <c r="AO1034" t="s">
        <v>8134</v>
      </c>
      <c r="AP1034" t="s">
        <v>8135</v>
      </c>
      <c r="AQ1034" t="s">
        <v>74</v>
      </c>
      <c r="AR1034" t="s">
        <v>74</v>
      </c>
      <c r="AS1034" t="s">
        <v>74</v>
      </c>
      <c r="AT1034" t="s">
        <v>614</v>
      </c>
      <c r="AU1034">
        <v>2020</v>
      </c>
      <c r="AV1034">
        <v>24</v>
      </c>
      <c r="AW1034">
        <v>14</v>
      </c>
      <c r="AX1034" t="s">
        <v>74</v>
      </c>
      <c r="AY1034" t="s">
        <v>74</v>
      </c>
      <c r="AZ1034" t="s">
        <v>74</v>
      </c>
      <c r="BA1034" t="s">
        <v>74</v>
      </c>
      <c r="BB1034">
        <v>7730</v>
      </c>
      <c r="BC1034">
        <v>7742</v>
      </c>
      <c r="BD1034" t="s">
        <v>74</v>
      </c>
      <c r="BE1034" t="s">
        <v>21036</v>
      </c>
      <c r="BF1034" t="str">
        <f>HYPERLINK("http://dx.doi.org/10.1111/jcmm.15402","http://dx.doi.org/10.1111/jcmm.15402")</f>
        <v>http://dx.doi.org/10.1111/jcmm.15402</v>
      </c>
      <c r="BG1034" t="s">
        <v>74</v>
      </c>
      <c r="BH1034" t="s">
        <v>1066</v>
      </c>
      <c r="BI1034" t="s">
        <v>74</v>
      </c>
      <c r="BJ1034" t="s">
        <v>8137</v>
      </c>
      <c r="BK1034" t="s">
        <v>117</v>
      </c>
      <c r="BL1034" t="s">
        <v>3116</v>
      </c>
      <c r="BM1034" t="s">
        <v>74</v>
      </c>
      <c r="BN1034">
        <v>32476275</v>
      </c>
      <c r="BO1034" t="s">
        <v>74</v>
      </c>
      <c r="BP1034" t="s">
        <v>74</v>
      </c>
      <c r="BQ1034" t="s">
        <v>74</v>
      </c>
      <c r="BR1034" t="s">
        <v>96</v>
      </c>
      <c r="BS1034" t="s">
        <v>21037</v>
      </c>
      <c r="BT1034" t="str">
        <f>HYPERLINK("https%3A%2F%2Fwww.webofscience.com%2Fwos%2Fwoscc%2Ffull-record%2FWOS:000536466200001","View Full Record in Web of Science")</f>
        <v>View Full Record in Web of Science</v>
      </c>
    </row>
    <row r="1035" spans="1:72" x14ac:dyDescent="0.15">
      <c r="A1035" t="s">
        <v>98</v>
      </c>
      <c r="B1035" t="s">
        <v>22546</v>
      </c>
      <c r="C1035" t="s">
        <v>74</v>
      </c>
      <c r="D1035" t="s">
        <v>74</v>
      </c>
      <c r="E1035" t="s">
        <v>74</v>
      </c>
      <c r="F1035" t="s">
        <v>22547</v>
      </c>
      <c r="G1035" t="s">
        <v>74</v>
      </c>
      <c r="H1035" t="s">
        <v>74</v>
      </c>
      <c r="I1035" t="s">
        <v>22548</v>
      </c>
      <c r="J1035" t="s">
        <v>6885</v>
      </c>
      <c r="K1035" t="s">
        <v>74</v>
      </c>
      <c r="L1035" t="s">
        <v>74</v>
      </c>
      <c r="M1035" t="s">
        <v>74</v>
      </c>
      <c r="N1035" t="s">
        <v>103</v>
      </c>
      <c r="O1035" t="s">
        <v>74</v>
      </c>
      <c r="P1035" t="s">
        <v>74</v>
      </c>
      <c r="Q1035" t="s">
        <v>74</v>
      </c>
      <c r="R1035" t="s">
        <v>74</v>
      </c>
      <c r="S1035" t="s">
        <v>74</v>
      </c>
      <c r="T1035" t="s">
        <v>74</v>
      </c>
      <c r="U1035" t="s">
        <v>22549</v>
      </c>
      <c r="V1035" t="s">
        <v>22550</v>
      </c>
      <c r="W1035" t="s">
        <v>22551</v>
      </c>
      <c r="X1035" t="s">
        <v>22552</v>
      </c>
      <c r="Y1035" t="s">
        <v>22553</v>
      </c>
      <c r="Z1035" t="s">
        <v>22554</v>
      </c>
      <c r="AA1035" t="s">
        <v>22555</v>
      </c>
      <c r="AB1035" t="s">
        <v>22556</v>
      </c>
      <c r="AC1035" t="s">
        <v>74</v>
      </c>
      <c r="AD1035" t="s">
        <v>74</v>
      </c>
      <c r="AE1035" t="s">
        <v>74</v>
      </c>
      <c r="AF1035" t="s">
        <v>74</v>
      </c>
      <c r="AG1035">
        <v>51</v>
      </c>
      <c r="AH1035">
        <v>14</v>
      </c>
      <c r="AI1035">
        <v>16</v>
      </c>
      <c r="AJ1035">
        <v>3</v>
      </c>
      <c r="AK1035">
        <v>20</v>
      </c>
      <c r="AL1035" t="s">
        <v>74</v>
      </c>
      <c r="AM1035" t="s">
        <v>74</v>
      </c>
      <c r="AN1035" t="s">
        <v>74</v>
      </c>
      <c r="AO1035" t="s">
        <v>6894</v>
      </c>
      <c r="AP1035" t="s">
        <v>74</v>
      </c>
      <c r="AQ1035" t="s">
        <v>74</v>
      </c>
      <c r="AR1035" t="s">
        <v>74</v>
      </c>
      <c r="AS1035" t="s">
        <v>74</v>
      </c>
      <c r="AT1035" t="s">
        <v>8092</v>
      </c>
      <c r="AU1035">
        <v>2020</v>
      </c>
      <c r="AV1035">
        <v>20</v>
      </c>
      <c r="AW1035" t="s">
        <v>74</v>
      </c>
      <c r="AX1035" t="s">
        <v>74</v>
      </c>
      <c r="AY1035" t="s">
        <v>74</v>
      </c>
      <c r="AZ1035" t="s">
        <v>74</v>
      </c>
      <c r="BA1035" t="s">
        <v>74</v>
      </c>
      <c r="BB1035">
        <v>649</v>
      </c>
      <c r="BC1035">
        <v>660</v>
      </c>
      <c r="BD1035" t="s">
        <v>74</v>
      </c>
      <c r="BE1035" t="s">
        <v>22557</v>
      </c>
      <c r="BF1035" t="str">
        <f>HYPERLINK("http://dx.doi.org/10.1016/j.omtn.2020.04.008","http://dx.doi.org/10.1016/j.omtn.2020.04.008")</f>
        <v>http://dx.doi.org/10.1016/j.omtn.2020.04.008</v>
      </c>
      <c r="BG1035" t="s">
        <v>74</v>
      </c>
      <c r="BH1035" t="s">
        <v>74</v>
      </c>
      <c r="BI1035" t="s">
        <v>74</v>
      </c>
      <c r="BJ1035" t="s">
        <v>795</v>
      </c>
      <c r="BK1035" t="s">
        <v>117</v>
      </c>
      <c r="BL1035" t="s">
        <v>796</v>
      </c>
      <c r="BM1035" t="s">
        <v>74</v>
      </c>
      <c r="BN1035">
        <v>32380415</v>
      </c>
      <c r="BO1035" t="s">
        <v>74</v>
      </c>
      <c r="BP1035" t="s">
        <v>74</v>
      </c>
      <c r="BQ1035" t="s">
        <v>74</v>
      </c>
      <c r="BR1035" t="s">
        <v>96</v>
      </c>
      <c r="BS1035" t="s">
        <v>22558</v>
      </c>
      <c r="BT1035" t="str">
        <f>HYPERLINK("https%3A%2F%2Fwww.webofscience.com%2Fwos%2Fwoscc%2Ffull-record%2FWOS:000538968000054","View Full Record in Web of Science")</f>
        <v>View Full Record in Web of Science</v>
      </c>
    </row>
    <row r="1036" spans="1:72" x14ac:dyDescent="0.15">
      <c r="A1036" t="s">
        <v>98</v>
      </c>
      <c r="B1036" t="s">
        <v>22666</v>
      </c>
      <c r="C1036" t="s">
        <v>74</v>
      </c>
      <c r="D1036" t="s">
        <v>74</v>
      </c>
      <c r="E1036" t="s">
        <v>74</v>
      </c>
      <c r="F1036" t="s">
        <v>22667</v>
      </c>
      <c r="G1036" t="s">
        <v>74</v>
      </c>
      <c r="H1036" t="s">
        <v>74</v>
      </c>
      <c r="I1036" t="s">
        <v>22668</v>
      </c>
      <c r="J1036" t="s">
        <v>903</v>
      </c>
      <c r="K1036" t="s">
        <v>74</v>
      </c>
      <c r="L1036" t="s">
        <v>74</v>
      </c>
      <c r="M1036" t="s">
        <v>74</v>
      </c>
      <c r="N1036" t="s">
        <v>103</v>
      </c>
      <c r="O1036" t="s">
        <v>74</v>
      </c>
      <c r="P1036" t="s">
        <v>74</v>
      </c>
      <c r="Q1036" t="s">
        <v>74</v>
      </c>
      <c r="R1036" t="s">
        <v>74</v>
      </c>
      <c r="S1036" t="s">
        <v>74</v>
      </c>
      <c r="T1036" t="s">
        <v>22669</v>
      </c>
      <c r="U1036" t="s">
        <v>22670</v>
      </c>
      <c r="V1036" t="s">
        <v>22671</v>
      </c>
      <c r="W1036" t="s">
        <v>22672</v>
      </c>
      <c r="X1036" t="s">
        <v>22673</v>
      </c>
      <c r="Y1036" t="s">
        <v>22674</v>
      </c>
      <c r="Z1036" t="s">
        <v>22675</v>
      </c>
      <c r="AA1036" t="s">
        <v>22676</v>
      </c>
      <c r="AB1036" t="s">
        <v>22677</v>
      </c>
      <c r="AC1036" t="s">
        <v>74</v>
      </c>
      <c r="AD1036" t="s">
        <v>74</v>
      </c>
      <c r="AE1036" t="s">
        <v>74</v>
      </c>
      <c r="AF1036" t="s">
        <v>74</v>
      </c>
      <c r="AG1036">
        <v>53</v>
      </c>
      <c r="AH1036">
        <v>14</v>
      </c>
      <c r="AI1036">
        <v>14</v>
      </c>
      <c r="AJ1036">
        <v>2</v>
      </c>
      <c r="AK1036">
        <v>3</v>
      </c>
      <c r="AL1036" t="s">
        <v>74</v>
      </c>
      <c r="AM1036" t="s">
        <v>74</v>
      </c>
      <c r="AN1036" t="s">
        <v>74</v>
      </c>
      <c r="AO1036" t="s">
        <v>74</v>
      </c>
      <c r="AP1036" t="s">
        <v>913</v>
      </c>
      <c r="AQ1036" t="s">
        <v>74</v>
      </c>
      <c r="AR1036" t="s">
        <v>74</v>
      </c>
      <c r="AS1036" t="s">
        <v>74</v>
      </c>
      <c r="AT1036" t="s">
        <v>230</v>
      </c>
      <c r="AU1036">
        <v>2020</v>
      </c>
      <c r="AV1036">
        <v>12</v>
      </c>
      <c r="AW1036">
        <v>8</v>
      </c>
      <c r="AX1036" t="s">
        <v>74</v>
      </c>
      <c r="AY1036" t="s">
        <v>74</v>
      </c>
      <c r="AZ1036" t="s">
        <v>74</v>
      </c>
      <c r="BA1036" t="s">
        <v>74</v>
      </c>
      <c r="BB1036" t="s">
        <v>74</v>
      </c>
      <c r="BC1036" t="s">
        <v>74</v>
      </c>
      <c r="BD1036">
        <v>2041</v>
      </c>
      <c r="BE1036" t="s">
        <v>22678</v>
      </c>
      <c r="BF1036" t="str">
        <f>HYPERLINK("http://dx.doi.org/10.3390/cancers12082041","http://dx.doi.org/10.3390/cancers12082041")</f>
        <v>http://dx.doi.org/10.3390/cancers12082041</v>
      </c>
      <c r="BG1036" t="s">
        <v>74</v>
      </c>
      <c r="BH1036" t="s">
        <v>74</v>
      </c>
      <c r="BI1036" t="s">
        <v>74</v>
      </c>
      <c r="BJ1036" t="s">
        <v>267</v>
      </c>
      <c r="BK1036" t="s">
        <v>117</v>
      </c>
      <c r="BL1036" t="s">
        <v>267</v>
      </c>
      <c r="BM1036" t="s">
        <v>74</v>
      </c>
      <c r="BN1036">
        <v>32722209</v>
      </c>
      <c r="BO1036" t="s">
        <v>74</v>
      </c>
      <c r="BP1036" t="s">
        <v>74</v>
      </c>
      <c r="BQ1036" t="s">
        <v>74</v>
      </c>
      <c r="BR1036" t="s">
        <v>96</v>
      </c>
      <c r="BS1036" t="s">
        <v>22679</v>
      </c>
      <c r="BT1036" t="str">
        <f>HYPERLINK("https%3A%2F%2Fwww.webofscience.com%2Fwos%2Fwoscc%2Ffull-record%2FWOS:000579050500001","View Full Record in Web of Science")</f>
        <v>View Full Record in Web of Science</v>
      </c>
    </row>
    <row r="1037" spans="1:72" x14ac:dyDescent="0.15">
      <c r="A1037" t="s">
        <v>98</v>
      </c>
      <c r="B1037" t="s">
        <v>22971</v>
      </c>
      <c r="C1037" t="s">
        <v>74</v>
      </c>
      <c r="D1037" t="s">
        <v>74</v>
      </c>
      <c r="E1037" t="s">
        <v>74</v>
      </c>
      <c r="F1037" t="s">
        <v>22972</v>
      </c>
      <c r="G1037" t="s">
        <v>74</v>
      </c>
      <c r="H1037" t="s">
        <v>74</v>
      </c>
      <c r="I1037" t="s">
        <v>22973</v>
      </c>
      <c r="J1037" t="s">
        <v>9267</v>
      </c>
      <c r="K1037" t="s">
        <v>74</v>
      </c>
      <c r="L1037" t="s">
        <v>74</v>
      </c>
      <c r="M1037" t="s">
        <v>74</v>
      </c>
      <c r="N1037" t="s">
        <v>103</v>
      </c>
      <c r="O1037" t="s">
        <v>74</v>
      </c>
      <c r="P1037" t="s">
        <v>74</v>
      </c>
      <c r="Q1037" t="s">
        <v>74</v>
      </c>
      <c r="R1037" t="s">
        <v>74</v>
      </c>
      <c r="S1037" t="s">
        <v>74</v>
      </c>
      <c r="T1037" t="s">
        <v>22974</v>
      </c>
      <c r="U1037" t="s">
        <v>22975</v>
      </c>
      <c r="V1037" t="s">
        <v>22976</v>
      </c>
      <c r="W1037" t="s">
        <v>22977</v>
      </c>
      <c r="X1037" t="s">
        <v>22978</v>
      </c>
      <c r="Y1037" t="s">
        <v>22979</v>
      </c>
      <c r="Z1037" t="s">
        <v>22980</v>
      </c>
      <c r="AA1037" t="s">
        <v>22981</v>
      </c>
      <c r="AB1037" t="s">
        <v>22982</v>
      </c>
      <c r="AC1037" t="s">
        <v>74</v>
      </c>
      <c r="AD1037" t="s">
        <v>74</v>
      </c>
      <c r="AE1037" t="s">
        <v>74</v>
      </c>
      <c r="AF1037" t="s">
        <v>74</v>
      </c>
      <c r="AG1037">
        <v>81</v>
      </c>
      <c r="AH1037">
        <v>14</v>
      </c>
      <c r="AI1037">
        <v>14</v>
      </c>
      <c r="AJ1037">
        <v>0</v>
      </c>
      <c r="AK1037">
        <v>7</v>
      </c>
      <c r="AL1037" t="s">
        <v>74</v>
      </c>
      <c r="AM1037" t="s">
        <v>74</v>
      </c>
      <c r="AN1037" t="s">
        <v>74</v>
      </c>
      <c r="AO1037" t="s">
        <v>9275</v>
      </c>
      <c r="AP1037" t="s">
        <v>9276</v>
      </c>
      <c r="AQ1037" t="s">
        <v>74</v>
      </c>
      <c r="AR1037" t="s">
        <v>74</v>
      </c>
      <c r="AS1037" t="s">
        <v>74</v>
      </c>
      <c r="AT1037" t="s">
        <v>565</v>
      </c>
      <c r="AU1037">
        <v>2016</v>
      </c>
      <c r="AV1037">
        <v>183</v>
      </c>
      <c r="AW1037">
        <v>3</v>
      </c>
      <c r="AX1037" t="s">
        <v>74</v>
      </c>
      <c r="AY1037" t="s">
        <v>74</v>
      </c>
      <c r="AZ1037" t="s">
        <v>74</v>
      </c>
      <c r="BA1037" t="s">
        <v>74</v>
      </c>
      <c r="BB1037">
        <v>469</v>
      </c>
      <c r="BC1037">
        <v>479</v>
      </c>
      <c r="BD1037" t="s">
        <v>74</v>
      </c>
      <c r="BE1037" t="s">
        <v>22983</v>
      </c>
      <c r="BF1037" t="str">
        <f>HYPERLINK("http://dx.doi.org/10.1111/cei.12730","http://dx.doi.org/10.1111/cei.12730")</f>
        <v>http://dx.doi.org/10.1111/cei.12730</v>
      </c>
      <c r="BG1037" t="s">
        <v>74</v>
      </c>
      <c r="BH1037" t="s">
        <v>74</v>
      </c>
      <c r="BI1037" t="s">
        <v>74</v>
      </c>
      <c r="BJ1037" t="s">
        <v>2064</v>
      </c>
      <c r="BK1037" t="s">
        <v>117</v>
      </c>
      <c r="BL1037" t="s">
        <v>2064</v>
      </c>
      <c r="BM1037" t="s">
        <v>74</v>
      </c>
      <c r="BN1037">
        <v>26462606</v>
      </c>
      <c r="BO1037" t="s">
        <v>74</v>
      </c>
      <c r="BP1037" t="s">
        <v>74</v>
      </c>
      <c r="BQ1037" t="s">
        <v>74</v>
      </c>
      <c r="BR1037" t="s">
        <v>96</v>
      </c>
      <c r="BS1037" t="s">
        <v>22984</v>
      </c>
      <c r="BT1037" t="str">
        <f>HYPERLINK("https%3A%2F%2Fwww.webofscience.com%2Fwos%2Fwoscc%2Ffull-record%2FWOS:000370184600015","View Full Record in Web of Science")</f>
        <v>View Full Record in Web of Science</v>
      </c>
    </row>
    <row r="1038" spans="1:72" x14ac:dyDescent="0.15">
      <c r="A1038" t="s">
        <v>98</v>
      </c>
      <c r="B1038" t="s">
        <v>23431</v>
      </c>
      <c r="C1038" t="s">
        <v>74</v>
      </c>
      <c r="D1038" t="s">
        <v>74</v>
      </c>
      <c r="E1038" t="s">
        <v>74</v>
      </c>
      <c r="F1038" t="s">
        <v>23432</v>
      </c>
      <c r="G1038" t="s">
        <v>74</v>
      </c>
      <c r="H1038" t="s">
        <v>74</v>
      </c>
      <c r="I1038" t="s">
        <v>23433</v>
      </c>
      <c r="J1038" t="s">
        <v>23434</v>
      </c>
      <c r="K1038" t="s">
        <v>74</v>
      </c>
      <c r="L1038" t="s">
        <v>74</v>
      </c>
      <c r="M1038" t="s">
        <v>74</v>
      </c>
      <c r="N1038" t="s">
        <v>103</v>
      </c>
      <c r="O1038" t="s">
        <v>74</v>
      </c>
      <c r="P1038" t="s">
        <v>74</v>
      </c>
      <c r="Q1038" t="s">
        <v>74</v>
      </c>
      <c r="R1038" t="s">
        <v>74</v>
      </c>
      <c r="S1038" t="s">
        <v>74</v>
      </c>
      <c r="T1038" t="s">
        <v>74</v>
      </c>
      <c r="U1038" t="s">
        <v>23435</v>
      </c>
      <c r="V1038" t="s">
        <v>23436</v>
      </c>
      <c r="W1038" t="s">
        <v>23437</v>
      </c>
      <c r="X1038" t="s">
        <v>23438</v>
      </c>
      <c r="Y1038" t="s">
        <v>23439</v>
      </c>
      <c r="Z1038" t="s">
        <v>23440</v>
      </c>
      <c r="AA1038" t="s">
        <v>23441</v>
      </c>
      <c r="AB1038" t="s">
        <v>23442</v>
      </c>
      <c r="AC1038" t="s">
        <v>74</v>
      </c>
      <c r="AD1038" t="s">
        <v>74</v>
      </c>
      <c r="AE1038" t="s">
        <v>74</v>
      </c>
      <c r="AF1038" t="s">
        <v>74</v>
      </c>
      <c r="AG1038">
        <v>39</v>
      </c>
      <c r="AH1038">
        <v>14</v>
      </c>
      <c r="AI1038">
        <v>14</v>
      </c>
      <c r="AJ1038">
        <v>10</v>
      </c>
      <c r="AK1038">
        <v>38</v>
      </c>
      <c r="AL1038" t="s">
        <v>74</v>
      </c>
      <c r="AM1038" t="s">
        <v>74</v>
      </c>
      <c r="AN1038" t="s">
        <v>74</v>
      </c>
      <c r="AO1038" t="s">
        <v>23443</v>
      </c>
      <c r="AP1038" t="s">
        <v>74</v>
      </c>
      <c r="AQ1038" t="s">
        <v>74</v>
      </c>
      <c r="AR1038" t="s">
        <v>74</v>
      </c>
      <c r="AS1038" t="s">
        <v>74</v>
      </c>
      <c r="AT1038" t="s">
        <v>8524</v>
      </c>
      <c r="AU1038">
        <v>2019</v>
      </c>
      <c r="AV1038">
        <v>1</v>
      </c>
      <c r="AW1038">
        <v>8</v>
      </c>
      <c r="AX1038" t="s">
        <v>74</v>
      </c>
      <c r="AY1038" t="s">
        <v>74</v>
      </c>
      <c r="AZ1038" t="s">
        <v>74</v>
      </c>
      <c r="BA1038" t="s">
        <v>74</v>
      </c>
      <c r="BB1038">
        <v>2866</v>
      </c>
      <c r="BC1038">
        <v>2872</v>
      </c>
      <c r="BD1038" t="s">
        <v>74</v>
      </c>
      <c r="BE1038" t="s">
        <v>23444</v>
      </c>
      <c r="BF1038" t="str">
        <f>HYPERLINK("http://dx.doi.org/10.1039/c9na00248k","http://dx.doi.org/10.1039/c9na00248k")</f>
        <v>http://dx.doi.org/10.1039/c9na00248k</v>
      </c>
      <c r="BG1038" t="s">
        <v>74</v>
      </c>
      <c r="BH1038" t="s">
        <v>74</v>
      </c>
      <c r="BI1038" t="s">
        <v>74</v>
      </c>
      <c r="BJ1038" t="s">
        <v>1274</v>
      </c>
      <c r="BK1038" t="s">
        <v>117</v>
      </c>
      <c r="BL1038" t="s">
        <v>1275</v>
      </c>
      <c r="BM1038" t="s">
        <v>74</v>
      </c>
      <c r="BN1038" t="s">
        <v>74</v>
      </c>
      <c r="BO1038" t="s">
        <v>74</v>
      </c>
      <c r="BP1038" t="s">
        <v>74</v>
      </c>
      <c r="BQ1038" t="s">
        <v>74</v>
      </c>
      <c r="BR1038" t="s">
        <v>96</v>
      </c>
      <c r="BS1038" t="s">
        <v>23445</v>
      </c>
      <c r="BT1038" t="str">
        <f>HYPERLINK("https%3A%2F%2Fwww.webofscience.com%2Fwos%2Fwoscc%2Ffull-record%2FWOS:000479061800048","View Full Record in Web of Science")</f>
        <v>View Full Record in Web of Science</v>
      </c>
    </row>
    <row r="1039" spans="1:72" x14ac:dyDescent="0.15">
      <c r="A1039" t="s">
        <v>98</v>
      </c>
      <c r="B1039" t="s">
        <v>23860</v>
      </c>
      <c r="C1039" t="s">
        <v>74</v>
      </c>
      <c r="D1039" t="s">
        <v>74</v>
      </c>
      <c r="E1039" t="s">
        <v>74</v>
      </c>
      <c r="F1039" t="s">
        <v>23861</v>
      </c>
      <c r="G1039" t="s">
        <v>74</v>
      </c>
      <c r="H1039" t="s">
        <v>74</v>
      </c>
      <c r="I1039" t="s">
        <v>23862</v>
      </c>
      <c r="J1039" t="s">
        <v>23863</v>
      </c>
      <c r="K1039" t="s">
        <v>74</v>
      </c>
      <c r="L1039" t="s">
        <v>74</v>
      </c>
      <c r="M1039" t="s">
        <v>74</v>
      </c>
      <c r="N1039" t="s">
        <v>103</v>
      </c>
      <c r="O1039" t="s">
        <v>74</v>
      </c>
      <c r="P1039" t="s">
        <v>74</v>
      </c>
      <c r="Q1039" t="s">
        <v>74</v>
      </c>
      <c r="R1039" t="s">
        <v>74</v>
      </c>
      <c r="S1039" t="s">
        <v>74</v>
      </c>
      <c r="T1039" t="s">
        <v>74</v>
      </c>
      <c r="U1039" t="s">
        <v>23864</v>
      </c>
      <c r="V1039" t="s">
        <v>23865</v>
      </c>
      <c r="W1039" t="s">
        <v>23866</v>
      </c>
      <c r="X1039" t="s">
        <v>23867</v>
      </c>
      <c r="Y1039" t="s">
        <v>23868</v>
      </c>
      <c r="Z1039" t="s">
        <v>23869</v>
      </c>
      <c r="AA1039" t="s">
        <v>74</v>
      </c>
      <c r="AB1039" t="s">
        <v>23870</v>
      </c>
      <c r="AC1039" t="s">
        <v>74</v>
      </c>
      <c r="AD1039" t="s">
        <v>74</v>
      </c>
      <c r="AE1039" t="s">
        <v>74</v>
      </c>
      <c r="AF1039" t="s">
        <v>74</v>
      </c>
      <c r="AG1039">
        <v>58</v>
      </c>
      <c r="AH1039">
        <v>14</v>
      </c>
      <c r="AI1039">
        <v>14</v>
      </c>
      <c r="AJ1039">
        <v>1</v>
      </c>
      <c r="AK1039">
        <v>12</v>
      </c>
      <c r="AL1039" t="s">
        <v>74</v>
      </c>
      <c r="AM1039" t="s">
        <v>74</v>
      </c>
      <c r="AN1039" t="s">
        <v>74</v>
      </c>
      <c r="AO1039" t="s">
        <v>23871</v>
      </c>
      <c r="AP1039" t="s">
        <v>23872</v>
      </c>
      <c r="AQ1039" t="s">
        <v>74</v>
      </c>
      <c r="AR1039" t="s">
        <v>74</v>
      </c>
      <c r="AS1039" t="s">
        <v>74</v>
      </c>
      <c r="AT1039" t="s">
        <v>114</v>
      </c>
      <c r="AU1039">
        <v>2020</v>
      </c>
      <c r="AV1039">
        <v>215</v>
      </c>
      <c r="AW1039" t="s">
        <v>74</v>
      </c>
      <c r="AX1039" t="s">
        <v>74</v>
      </c>
      <c r="AY1039" t="s">
        <v>74</v>
      </c>
      <c r="AZ1039" t="s">
        <v>74</v>
      </c>
      <c r="BA1039" t="s">
        <v>74</v>
      </c>
      <c r="BB1039">
        <v>1</v>
      </c>
      <c r="BC1039">
        <v>16</v>
      </c>
      <c r="BD1039" t="s">
        <v>74</v>
      </c>
      <c r="BE1039" t="s">
        <v>23873</v>
      </c>
      <c r="BF1039" t="str">
        <f>HYPERLINK("http://dx.doi.org/10.1016/j.trsl.2019.07.013","http://dx.doi.org/10.1016/j.trsl.2019.07.013")</f>
        <v>http://dx.doi.org/10.1016/j.trsl.2019.07.013</v>
      </c>
      <c r="BG1039" t="s">
        <v>74</v>
      </c>
      <c r="BH1039" t="s">
        <v>74</v>
      </c>
      <c r="BI1039" t="s">
        <v>74</v>
      </c>
      <c r="BJ1039" t="s">
        <v>23874</v>
      </c>
      <c r="BK1039" t="s">
        <v>117</v>
      </c>
      <c r="BL1039" t="s">
        <v>23875</v>
      </c>
      <c r="BM1039" t="s">
        <v>74</v>
      </c>
      <c r="BN1039">
        <v>31469974</v>
      </c>
      <c r="BO1039" t="s">
        <v>74</v>
      </c>
      <c r="BP1039" t="s">
        <v>74</v>
      </c>
      <c r="BQ1039" t="s">
        <v>74</v>
      </c>
      <c r="BR1039" t="s">
        <v>96</v>
      </c>
      <c r="BS1039" t="s">
        <v>23876</v>
      </c>
      <c r="BT1039" t="str">
        <f>HYPERLINK("https%3A%2F%2Fwww.webofscience.com%2Fwos%2Fwoscc%2Ffull-record%2FWOS:000504529400001","View Full Record in Web of Science")</f>
        <v>View Full Record in Web of Science</v>
      </c>
    </row>
    <row r="1040" spans="1:72" x14ac:dyDescent="0.15">
      <c r="A1040" t="s">
        <v>98</v>
      </c>
      <c r="B1040" t="s">
        <v>27404</v>
      </c>
      <c r="C1040" t="s">
        <v>74</v>
      </c>
      <c r="D1040" t="s">
        <v>74</v>
      </c>
      <c r="E1040" t="s">
        <v>74</v>
      </c>
      <c r="F1040" t="s">
        <v>27405</v>
      </c>
      <c r="G1040" t="s">
        <v>74</v>
      </c>
      <c r="H1040" t="s">
        <v>74</v>
      </c>
      <c r="I1040" t="s">
        <v>27406</v>
      </c>
      <c r="J1040" t="s">
        <v>27407</v>
      </c>
      <c r="K1040" t="s">
        <v>74</v>
      </c>
      <c r="L1040" t="s">
        <v>74</v>
      </c>
      <c r="M1040" t="s">
        <v>74</v>
      </c>
      <c r="N1040" t="s">
        <v>103</v>
      </c>
      <c r="O1040" t="s">
        <v>74</v>
      </c>
      <c r="P1040" t="s">
        <v>74</v>
      </c>
      <c r="Q1040" t="s">
        <v>74</v>
      </c>
      <c r="R1040" t="s">
        <v>74</v>
      </c>
      <c r="S1040" t="s">
        <v>74</v>
      </c>
      <c r="T1040" t="s">
        <v>27408</v>
      </c>
      <c r="U1040" t="s">
        <v>27409</v>
      </c>
      <c r="V1040" t="s">
        <v>27410</v>
      </c>
      <c r="W1040" t="s">
        <v>27411</v>
      </c>
      <c r="X1040" t="s">
        <v>27412</v>
      </c>
      <c r="Y1040" t="s">
        <v>27413</v>
      </c>
      <c r="Z1040" t="s">
        <v>27414</v>
      </c>
      <c r="AA1040" t="s">
        <v>74</v>
      </c>
      <c r="AB1040" t="s">
        <v>74</v>
      </c>
      <c r="AC1040" t="s">
        <v>74</v>
      </c>
      <c r="AD1040" t="s">
        <v>74</v>
      </c>
      <c r="AE1040" t="s">
        <v>74</v>
      </c>
      <c r="AF1040" t="s">
        <v>74</v>
      </c>
      <c r="AG1040">
        <v>47</v>
      </c>
      <c r="AH1040">
        <v>14</v>
      </c>
      <c r="AI1040">
        <v>15</v>
      </c>
      <c r="AJ1040">
        <v>1</v>
      </c>
      <c r="AK1040">
        <v>11</v>
      </c>
      <c r="AL1040" t="s">
        <v>74</v>
      </c>
      <c r="AM1040" t="s">
        <v>74</v>
      </c>
      <c r="AN1040" t="s">
        <v>74</v>
      </c>
      <c r="AO1040" t="s">
        <v>27415</v>
      </c>
      <c r="AP1040" t="s">
        <v>27416</v>
      </c>
      <c r="AQ1040" t="s">
        <v>74</v>
      </c>
      <c r="AR1040" t="s">
        <v>74</v>
      </c>
      <c r="AS1040" t="s">
        <v>74</v>
      </c>
      <c r="AT1040" t="s">
        <v>211</v>
      </c>
      <c r="AU1040">
        <v>2013</v>
      </c>
      <c r="AV1040">
        <v>71</v>
      </c>
      <c r="AW1040" t="s">
        <v>74</v>
      </c>
      <c r="AX1040" t="s">
        <v>74</v>
      </c>
      <c r="AY1040">
        <v>1</v>
      </c>
      <c r="AZ1040" t="s">
        <v>74</v>
      </c>
      <c r="BA1040" t="s">
        <v>74</v>
      </c>
      <c r="BB1040">
        <v>79</v>
      </c>
      <c r="BC1040">
        <v>87</v>
      </c>
      <c r="BD1040" t="s">
        <v>74</v>
      </c>
      <c r="BE1040" t="s">
        <v>27417</v>
      </c>
      <c r="BF1040" t="str">
        <f>HYPERLINK("http://dx.doi.org/10.1684/abc.2013.0903","http://dx.doi.org/10.1684/abc.2013.0903")</f>
        <v>http://dx.doi.org/10.1684/abc.2013.0903</v>
      </c>
      <c r="BG1040" t="s">
        <v>74</v>
      </c>
      <c r="BH1040" t="s">
        <v>74</v>
      </c>
      <c r="BI1040" t="s">
        <v>74</v>
      </c>
      <c r="BJ1040" t="s">
        <v>27418</v>
      </c>
      <c r="BK1040" t="s">
        <v>117</v>
      </c>
      <c r="BL1040" t="s">
        <v>27419</v>
      </c>
      <c r="BM1040" t="s">
        <v>74</v>
      </c>
      <c r="BN1040">
        <v>24235331</v>
      </c>
      <c r="BO1040" t="s">
        <v>74</v>
      </c>
      <c r="BP1040" t="s">
        <v>74</v>
      </c>
      <c r="BQ1040" t="s">
        <v>74</v>
      </c>
      <c r="BR1040" t="s">
        <v>96</v>
      </c>
      <c r="BS1040" t="s">
        <v>27420</v>
      </c>
      <c r="BT1040" t="str">
        <f>HYPERLINK("https%3A%2F%2Fwww.webofscience.com%2Fwos%2Fwoscc%2Ffull-record%2FWOS:000209472300010","View Full Record in Web of Science")</f>
        <v>View Full Record in Web of Science</v>
      </c>
    </row>
    <row r="1041" spans="1:72" x14ac:dyDescent="0.15">
      <c r="A1041" t="s">
        <v>98</v>
      </c>
      <c r="B1041" t="s">
        <v>28980</v>
      </c>
      <c r="C1041" t="s">
        <v>74</v>
      </c>
      <c r="D1041" t="s">
        <v>74</v>
      </c>
      <c r="E1041" t="s">
        <v>74</v>
      </c>
      <c r="F1041" t="s">
        <v>28980</v>
      </c>
      <c r="G1041" t="s">
        <v>74</v>
      </c>
      <c r="H1041" t="s">
        <v>74</v>
      </c>
      <c r="I1041" t="s">
        <v>28981</v>
      </c>
      <c r="J1041" t="s">
        <v>1346</v>
      </c>
      <c r="K1041" t="s">
        <v>74</v>
      </c>
      <c r="L1041" t="s">
        <v>74</v>
      </c>
      <c r="M1041" t="s">
        <v>74</v>
      </c>
      <c r="N1041" t="s">
        <v>103</v>
      </c>
      <c r="O1041" t="s">
        <v>74</v>
      </c>
      <c r="P1041" t="s">
        <v>74</v>
      </c>
      <c r="Q1041" t="s">
        <v>74</v>
      </c>
      <c r="R1041" t="s">
        <v>74</v>
      </c>
      <c r="S1041" t="s">
        <v>74</v>
      </c>
      <c r="T1041" t="s">
        <v>74</v>
      </c>
      <c r="U1041" t="s">
        <v>28982</v>
      </c>
      <c r="V1041" t="s">
        <v>28983</v>
      </c>
      <c r="W1041" t="s">
        <v>28984</v>
      </c>
      <c r="X1041" t="s">
        <v>28985</v>
      </c>
      <c r="Y1041" t="s">
        <v>28986</v>
      </c>
      <c r="Z1041" t="s">
        <v>28987</v>
      </c>
      <c r="AA1041" t="s">
        <v>74</v>
      </c>
      <c r="AB1041" t="s">
        <v>74</v>
      </c>
      <c r="AC1041" t="s">
        <v>74</v>
      </c>
      <c r="AD1041" t="s">
        <v>74</v>
      </c>
      <c r="AE1041" t="s">
        <v>74</v>
      </c>
      <c r="AF1041" t="s">
        <v>74</v>
      </c>
      <c r="AG1041">
        <v>28</v>
      </c>
      <c r="AH1041">
        <v>14</v>
      </c>
      <c r="AI1041">
        <v>17</v>
      </c>
      <c r="AJ1041">
        <v>0</v>
      </c>
      <c r="AK1041">
        <v>1</v>
      </c>
      <c r="AL1041" t="s">
        <v>74</v>
      </c>
      <c r="AM1041" t="s">
        <v>74</v>
      </c>
      <c r="AN1041" t="s">
        <v>74</v>
      </c>
      <c r="AO1041" t="s">
        <v>1355</v>
      </c>
      <c r="AP1041" t="s">
        <v>1356</v>
      </c>
      <c r="AQ1041" t="s">
        <v>74</v>
      </c>
      <c r="AR1041" t="s">
        <v>74</v>
      </c>
      <c r="AS1041" t="s">
        <v>74</v>
      </c>
      <c r="AT1041" t="s">
        <v>283</v>
      </c>
      <c r="AU1041">
        <v>2005</v>
      </c>
      <c r="AV1041">
        <v>202</v>
      </c>
      <c r="AW1041">
        <v>2</v>
      </c>
      <c r="AX1041" t="s">
        <v>74</v>
      </c>
      <c r="AY1041" t="s">
        <v>74</v>
      </c>
      <c r="AZ1041" t="s">
        <v>74</v>
      </c>
      <c r="BA1041" t="s">
        <v>74</v>
      </c>
      <c r="BB1041">
        <v>336</v>
      </c>
      <c r="BC1041">
        <v>343</v>
      </c>
      <c r="BD1041" t="s">
        <v>74</v>
      </c>
      <c r="BE1041" t="s">
        <v>28988</v>
      </c>
      <c r="BF1041" t="str">
        <f>HYPERLINK("http://dx.doi.org/10.1002/jcp.20145","http://dx.doi.org/10.1002/jcp.20145")</f>
        <v>http://dx.doi.org/10.1002/jcp.20145</v>
      </c>
      <c r="BG1041" t="s">
        <v>74</v>
      </c>
      <c r="BH1041" t="s">
        <v>74</v>
      </c>
      <c r="BI1041" t="s">
        <v>74</v>
      </c>
      <c r="BJ1041" t="s">
        <v>1359</v>
      </c>
      <c r="BK1041" t="s">
        <v>117</v>
      </c>
      <c r="BL1041" t="s">
        <v>1359</v>
      </c>
      <c r="BM1041" t="s">
        <v>74</v>
      </c>
      <c r="BN1041">
        <v>15534863</v>
      </c>
      <c r="BO1041" t="s">
        <v>74</v>
      </c>
      <c r="BP1041" t="s">
        <v>74</v>
      </c>
      <c r="BQ1041" t="s">
        <v>74</v>
      </c>
      <c r="BR1041" t="s">
        <v>96</v>
      </c>
      <c r="BS1041" t="s">
        <v>28989</v>
      </c>
      <c r="BT1041" t="str">
        <f>HYPERLINK("https%3A%2F%2Fwww.webofscience.com%2Fwos%2Fwoscc%2Ffull-record%2FWOS:000226089400003","View Full Record in Web of Science")</f>
        <v>View Full Record in Web of Science</v>
      </c>
    </row>
    <row r="1042" spans="1:72" x14ac:dyDescent="0.15">
      <c r="A1042" t="s">
        <v>98</v>
      </c>
      <c r="B1042" t="s">
        <v>29086</v>
      </c>
      <c r="C1042" t="s">
        <v>74</v>
      </c>
      <c r="D1042" t="s">
        <v>74</v>
      </c>
      <c r="E1042" t="s">
        <v>74</v>
      </c>
      <c r="F1042" t="s">
        <v>29087</v>
      </c>
      <c r="G1042" t="s">
        <v>74</v>
      </c>
      <c r="H1042" t="s">
        <v>74</v>
      </c>
      <c r="I1042" t="s">
        <v>29088</v>
      </c>
      <c r="J1042" t="s">
        <v>7811</v>
      </c>
      <c r="K1042" t="s">
        <v>74</v>
      </c>
      <c r="L1042" t="s">
        <v>74</v>
      </c>
      <c r="M1042" t="s">
        <v>74</v>
      </c>
      <c r="N1042" t="s">
        <v>103</v>
      </c>
      <c r="O1042" t="s">
        <v>74</v>
      </c>
      <c r="P1042" t="s">
        <v>74</v>
      </c>
      <c r="Q1042" t="s">
        <v>74</v>
      </c>
      <c r="R1042" t="s">
        <v>74</v>
      </c>
      <c r="S1042" t="s">
        <v>74</v>
      </c>
      <c r="T1042" t="s">
        <v>29089</v>
      </c>
      <c r="U1042" t="s">
        <v>29090</v>
      </c>
      <c r="V1042" t="s">
        <v>29091</v>
      </c>
      <c r="W1042" t="s">
        <v>29092</v>
      </c>
      <c r="X1042" t="s">
        <v>29093</v>
      </c>
      <c r="Y1042" t="s">
        <v>29094</v>
      </c>
      <c r="Z1042" t="s">
        <v>29095</v>
      </c>
      <c r="AA1042" t="s">
        <v>29096</v>
      </c>
      <c r="AB1042" t="s">
        <v>29097</v>
      </c>
      <c r="AC1042" t="s">
        <v>74</v>
      </c>
      <c r="AD1042" t="s">
        <v>74</v>
      </c>
      <c r="AE1042" t="s">
        <v>74</v>
      </c>
      <c r="AF1042" t="s">
        <v>74</v>
      </c>
      <c r="AG1042">
        <v>35</v>
      </c>
      <c r="AH1042">
        <v>14</v>
      </c>
      <c r="AI1042">
        <v>14</v>
      </c>
      <c r="AJ1042">
        <v>0</v>
      </c>
      <c r="AK1042">
        <v>6</v>
      </c>
      <c r="AL1042" t="s">
        <v>74</v>
      </c>
      <c r="AM1042" t="s">
        <v>74</v>
      </c>
      <c r="AN1042" t="s">
        <v>74</v>
      </c>
      <c r="AO1042" t="s">
        <v>7821</v>
      </c>
      <c r="AP1042" t="s">
        <v>7822</v>
      </c>
      <c r="AQ1042" t="s">
        <v>74</v>
      </c>
      <c r="AR1042" t="s">
        <v>74</v>
      </c>
      <c r="AS1042" t="s">
        <v>74</v>
      </c>
      <c r="AT1042" t="s">
        <v>170</v>
      </c>
      <c r="AU1042">
        <v>2015</v>
      </c>
      <c r="AV1042">
        <v>35</v>
      </c>
      <c r="AW1042">
        <v>6</v>
      </c>
      <c r="AX1042" t="s">
        <v>74</v>
      </c>
      <c r="AY1042" t="s">
        <v>74</v>
      </c>
      <c r="AZ1042" t="s">
        <v>74</v>
      </c>
      <c r="BA1042" t="s">
        <v>74</v>
      </c>
      <c r="BB1042">
        <v>1511</v>
      </c>
      <c r="BC1042">
        <v>1524</v>
      </c>
      <c r="BD1042" t="s">
        <v>74</v>
      </c>
      <c r="BE1042" t="s">
        <v>29098</v>
      </c>
      <c r="BF1042" t="str">
        <f>HYPERLINK("http://dx.doi.org/10.3892/ijmm.2015.2157","http://dx.doi.org/10.3892/ijmm.2015.2157")</f>
        <v>http://dx.doi.org/10.3892/ijmm.2015.2157</v>
      </c>
      <c r="BG1042" t="s">
        <v>74</v>
      </c>
      <c r="BH1042" t="s">
        <v>74</v>
      </c>
      <c r="BI1042" t="s">
        <v>74</v>
      </c>
      <c r="BJ1042" t="s">
        <v>795</v>
      </c>
      <c r="BK1042" t="s">
        <v>117</v>
      </c>
      <c r="BL1042" t="s">
        <v>796</v>
      </c>
      <c r="BM1042" t="s">
        <v>74</v>
      </c>
      <c r="BN1042">
        <v>25824636</v>
      </c>
      <c r="BO1042" t="s">
        <v>74</v>
      </c>
      <c r="BP1042" t="s">
        <v>74</v>
      </c>
      <c r="BQ1042" t="s">
        <v>74</v>
      </c>
      <c r="BR1042" t="s">
        <v>96</v>
      </c>
      <c r="BS1042" t="s">
        <v>29099</v>
      </c>
      <c r="BT1042" t="str">
        <f>HYPERLINK("https%3A%2F%2Fwww.webofscience.com%2Fwos%2Fwoscc%2Ffull-record%2FWOS:000354081100004","View Full Record in Web of Science")</f>
        <v>View Full Record in Web of Science</v>
      </c>
    </row>
    <row r="1043" spans="1:72" x14ac:dyDescent="0.15">
      <c r="A1043" t="s">
        <v>98</v>
      </c>
      <c r="B1043" t="s">
        <v>29953</v>
      </c>
      <c r="C1043" t="s">
        <v>74</v>
      </c>
      <c r="D1043" t="s">
        <v>74</v>
      </c>
      <c r="E1043" t="s">
        <v>74</v>
      </c>
      <c r="F1043" t="s">
        <v>29954</v>
      </c>
      <c r="G1043" t="s">
        <v>74</v>
      </c>
      <c r="H1043" t="s">
        <v>74</v>
      </c>
      <c r="I1043" t="s">
        <v>29955</v>
      </c>
      <c r="J1043" t="s">
        <v>2520</v>
      </c>
      <c r="K1043" t="s">
        <v>74</v>
      </c>
      <c r="L1043" t="s">
        <v>74</v>
      </c>
      <c r="M1043" t="s">
        <v>74</v>
      </c>
      <c r="N1043" t="s">
        <v>103</v>
      </c>
      <c r="O1043" t="s">
        <v>74</v>
      </c>
      <c r="P1043" t="s">
        <v>74</v>
      </c>
      <c r="Q1043" t="s">
        <v>74</v>
      </c>
      <c r="R1043" t="s">
        <v>74</v>
      </c>
      <c r="S1043" t="s">
        <v>74</v>
      </c>
      <c r="T1043" t="s">
        <v>29956</v>
      </c>
      <c r="U1043" t="s">
        <v>29957</v>
      </c>
      <c r="V1043" t="s">
        <v>29958</v>
      </c>
      <c r="W1043" t="s">
        <v>29959</v>
      </c>
      <c r="X1043" t="s">
        <v>29960</v>
      </c>
      <c r="Y1043" t="s">
        <v>29961</v>
      </c>
      <c r="Z1043" t="s">
        <v>29962</v>
      </c>
      <c r="AA1043" t="s">
        <v>29963</v>
      </c>
      <c r="AB1043" t="s">
        <v>29964</v>
      </c>
      <c r="AC1043" t="s">
        <v>74</v>
      </c>
      <c r="AD1043" t="s">
        <v>74</v>
      </c>
      <c r="AE1043" t="s">
        <v>74</v>
      </c>
      <c r="AF1043" t="s">
        <v>74</v>
      </c>
      <c r="AG1043">
        <v>54</v>
      </c>
      <c r="AH1043">
        <v>14</v>
      </c>
      <c r="AI1043">
        <v>14</v>
      </c>
      <c r="AJ1043">
        <v>2</v>
      </c>
      <c r="AK1043">
        <v>13</v>
      </c>
      <c r="AL1043" t="s">
        <v>74</v>
      </c>
      <c r="AM1043" t="s">
        <v>74</v>
      </c>
      <c r="AN1043" t="s">
        <v>74</v>
      </c>
      <c r="AO1043" t="s">
        <v>2529</v>
      </c>
      <c r="AP1043" t="s">
        <v>74</v>
      </c>
      <c r="AQ1043" t="s">
        <v>74</v>
      </c>
      <c r="AR1043" t="s">
        <v>74</v>
      </c>
      <c r="AS1043" t="s">
        <v>74</v>
      </c>
      <c r="AT1043" t="s">
        <v>5271</v>
      </c>
      <c r="AU1043">
        <v>2017</v>
      </c>
      <c r="AV1043">
        <v>8</v>
      </c>
      <c r="AW1043" t="s">
        <v>74</v>
      </c>
      <c r="AX1043" t="s">
        <v>74</v>
      </c>
      <c r="AY1043" t="s">
        <v>74</v>
      </c>
      <c r="AZ1043" t="s">
        <v>74</v>
      </c>
      <c r="BA1043" t="s">
        <v>74</v>
      </c>
      <c r="BB1043" t="s">
        <v>74</v>
      </c>
      <c r="BC1043" t="s">
        <v>74</v>
      </c>
      <c r="BD1043">
        <v>2429</v>
      </c>
      <c r="BE1043" t="s">
        <v>29965</v>
      </c>
      <c r="BF1043" t="str">
        <f>HYPERLINK("http://dx.doi.org/10.3389/fmicb.2017.02429","http://dx.doi.org/10.3389/fmicb.2017.02429")</f>
        <v>http://dx.doi.org/10.3389/fmicb.2017.02429</v>
      </c>
      <c r="BG1043" t="s">
        <v>74</v>
      </c>
      <c r="BH1043" t="s">
        <v>74</v>
      </c>
      <c r="BI1043" t="s">
        <v>74</v>
      </c>
      <c r="BJ1043" t="s">
        <v>898</v>
      </c>
      <c r="BK1043" t="s">
        <v>117</v>
      </c>
      <c r="BL1043" t="s">
        <v>898</v>
      </c>
      <c r="BM1043" t="s">
        <v>74</v>
      </c>
      <c r="BN1043">
        <v>29312161</v>
      </c>
      <c r="BO1043" t="s">
        <v>74</v>
      </c>
      <c r="BP1043" t="s">
        <v>74</v>
      </c>
      <c r="BQ1043" t="s">
        <v>74</v>
      </c>
      <c r="BR1043" t="s">
        <v>96</v>
      </c>
      <c r="BS1043" t="s">
        <v>29966</v>
      </c>
      <c r="BT1043" t="str">
        <f>HYPERLINK("https%3A%2F%2Fwww.webofscience.com%2Fwos%2Fwoscc%2Ffull-record%2FWOS:000417918400001","View Full Record in Web of Science")</f>
        <v>View Full Record in Web of Science</v>
      </c>
    </row>
    <row r="1044" spans="1:72" x14ac:dyDescent="0.15">
      <c r="A1044" t="s">
        <v>98</v>
      </c>
      <c r="B1044" t="s">
        <v>378</v>
      </c>
      <c r="C1044" t="s">
        <v>74</v>
      </c>
      <c r="D1044" t="s">
        <v>74</v>
      </c>
      <c r="E1044" t="s">
        <v>74</v>
      </c>
      <c r="F1044" t="s">
        <v>379</v>
      </c>
      <c r="G1044" t="s">
        <v>74</v>
      </c>
      <c r="H1044" t="s">
        <v>74</v>
      </c>
      <c r="I1044" t="s">
        <v>380</v>
      </c>
      <c r="J1044" t="s">
        <v>381</v>
      </c>
      <c r="K1044" t="s">
        <v>74</v>
      </c>
      <c r="L1044" t="s">
        <v>74</v>
      </c>
      <c r="M1044" t="s">
        <v>74</v>
      </c>
      <c r="N1044" t="s">
        <v>103</v>
      </c>
      <c r="O1044" t="s">
        <v>74</v>
      </c>
      <c r="P1044" t="s">
        <v>74</v>
      </c>
      <c r="Q1044" t="s">
        <v>74</v>
      </c>
      <c r="R1044" t="s">
        <v>74</v>
      </c>
      <c r="S1044" t="s">
        <v>74</v>
      </c>
      <c r="T1044" t="s">
        <v>382</v>
      </c>
      <c r="U1044" t="s">
        <v>383</v>
      </c>
      <c r="V1044" t="s">
        <v>384</v>
      </c>
      <c r="W1044" t="s">
        <v>385</v>
      </c>
      <c r="X1044" t="s">
        <v>386</v>
      </c>
      <c r="Y1044" t="s">
        <v>387</v>
      </c>
      <c r="Z1044" t="s">
        <v>388</v>
      </c>
      <c r="AA1044" t="s">
        <v>389</v>
      </c>
      <c r="AB1044" t="s">
        <v>390</v>
      </c>
      <c r="AC1044" t="s">
        <v>74</v>
      </c>
      <c r="AD1044" t="s">
        <v>74</v>
      </c>
      <c r="AE1044" t="s">
        <v>74</v>
      </c>
      <c r="AF1044" t="s">
        <v>74</v>
      </c>
      <c r="AG1044">
        <v>137</v>
      </c>
      <c r="AH1044">
        <v>13</v>
      </c>
      <c r="AI1044">
        <v>14</v>
      </c>
      <c r="AJ1044">
        <v>11</v>
      </c>
      <c r="AK1044">
        <v>18</v>
      </c>
      <c r="AL1044" t="s">
        <v>74</v>
      </c>
      <c r="AM1044" t="s">
        <v>74</v>
      </c>
      <c r="AN1044" t="s">
        <v>74</v>
      </c>
      <c r="AO1044" t="s">
        <v>391</v>
      </c>
      <c r="AP1044" t="s">
        <v>392</v>
      </c>
      <c r="AQ1044" t="s">
        <v>74</v>
      </c>
      <c r="AR1044" t="s">
        <v>74</v>
      </c>
      <c r="AS1044" t="s">
        <v>74</v>
      </c>
      <c r="AT1044" t="s">
        <v>393</v>
      </c>
      <c r="AU1044">
        <v>2021</v>
      </c>
      <c r="AV1044">
        <v>338</v>
      </c>
      <c r="AW1044" t="s">
        <v>74</v>
      </c>
      <c r="AX1044" t="s">
        <v>74</v>
      </c>
      <c r="AY1044" t="s">
        <v>74</v>
      </c>
      <c r="AZ1044" t="s">
        <v>74</v>
      </c>
      <c r="BA1044" t="s">
        <v>74</v>
      </c>
      <c r="BB1044">
        <v>505</v>
      </c>
      <c r="BC1044">
        <v>526</v>
      </c>
      <c r="BD1044" t="s">
        <v>74</v>
      </c>
      <c r="BE1044" t="s">
        <v>394</v>
      </c>
      <c r="BF1044" t="str">
        <f>HYPERLINK("http://dx.doi.org/10.1016/j.jconrel.2021.08.038","http://dx.doi.org/10.1016/j.jconrel.2021.08.038")</f>
        <v>http://dx.doi.org/10.1016/j.jconrel.2021.08.038</v>
      </c>
      <c r="BG1044" t="s">
        <v>74</v>
      </c>
      <c r="BH1044" t="s">
        <v>395</v>
      </c>
      <c r="BI1044" t="s">
        <v>74</v>
      </c>
      <c r="BJ1044" t="s">
        <v>396</v>
      </c>
      <c r="BK1044" t="s">
        <v>117</v>
      </c>
      <c r="BL1044" t="s">
        <v>397</v>
      </c>
      <c r="BM1044" t="s">
        <v>74</v>
      </c>
      <c r="BN1044">
        <v>34450196</v>
      </c>
      <c r="BO1044" t="s">
        <v>74</v>
      </c>
      <c r="BP1044" t="s">
        <v>74</v>
      </c>
      <c r="BQ1044" t="s">
        <v>74</v>
      </c>
      <c r="BR1044" t="s">
        <v>96</v>
      </c>
      <c r="BS1044" t="s">
        <v>398</v>
      </c>
      <c r="BT1044" t="str">
        <f>HYPERLINK("https%3A%2F%2Fwww.webofscience.com%2Fwos%2Fwoscc%2Ffull-record%2FWOS:000702763000008","View Full Record in Web of Science")</f>
        <v>View Full Record in Web of Science</v>
      </c>
    </row>
    <row r="1045" spans="1:72" x14ac:dyDescent="0.15">
      <c r="A1045" t="s">
        <v>98</v>
      </c>
      <c r="B1045" t="s">
        <v>587</v>
      </c>
      <c r="C1045" t="s">
        <v>74</v>
      </c>
      <c r="D1045" t="s">
        <v>74</v>
      </c>
      <c r="E1045" t="s">
        <v>74</v>
      </c>
      <c r="F1045" t="s">
        <v>588</v>
      </c>
      <c r="G1045" t="s">
        <v>74</v>
      </c>
      <c r="H1045" t="s">
        <v>74</v>
      </c>
      <c r="I1045" t="s">
        <v>589</v>
      </c>
      <c r="J1045" t="s">
        <v>123</v>
      </c>
      <c r="K1045" t="s">
        <v>74</v>
      </c>
      <c r="L1045" t="s">
        <v>74</v>
      </c>
      <c r="M1045" t="s">
        <v>74</v>
      </c>
      <c r="N1045" t="s">
        <v>103</v>
      </c>
      <c r="O1045" t="s">
        <v>74</v>
      </c>
      <c r="P1045" t="s">
        <v>74</v>
      </c>
      <c r="Q1045" t="s">
        <v>74</v>
      </c>
      <c r="R1045" t="s">
        <v>74</v>
      </c>
      <c r="S1045" t="s">
        <v>74</v>
      </c>
      <c r="T1045" t="s">
        <v>590</v>
      </c>
      <c r="U1045" t="s">
        <v>591</v>
      </c>
      <c r="V1045" t="s">
        <v>592</v>
      </c>
      <c r="W1045" t="s">
        <v>593</v>
      </c>
      <c r="X1045" t="s">
        <v>594</v>
      </c>
      <c r="Y1045" t="s">
        <v>595</v>
      </c>
      <c r="Z1045" t="s">
        <v>596</v>
      </c>
      <c r="AA1045" t="s">
        <v>597</v>
      </c>
      <c r="AB1045" t="s">
        <v>598</v>
      </c>
      <c r="AC1045" t="s">
        <v>74</v>
      </c>
      <c r="AD1045" t="s">
        <v>74</v>
      </c>
      <c r="AE1045" t="s">
        <v>74</v>
      </c>
      <c r="AF1045" t="s">
        <v>74</v>
      </c>
      <c r="AG1045">
        <v>74</v>
      </c>
      <c r="AH1045">
        <v>13</v>
      </c>
      <c r="AI1045">
        <v>13</v>
      </c>
      <c r="AJ1045">
        <v>3</v>
      </c>
      <c r="AK1045">
        <v>13</v>
      </c>
      <c r="AL1045" t="s">
        <v>74</v>
      </c>
      <c r="AM1045" t="s">
        <v>74</v>
      </c>
      <c r="AN1045" t="s">
        <v>74</v>
      </c>
      <c r="AO1045" t="s">
        <v>74</v>
      </c>
      <c r="AP1045" t="s">
        <v>131</v>
      </c>
      <c r="AQ1045" t="s">
        <v>74</v>
      </c>
      <c r="AR1045" t="s">
        <v>74</v>
      </c>
      <c r="AS1045" t="s">
        <v>74</v>
      </c>
      <c r="AT1045" t="s">
        <v>599</v>
      </c>
      <c r="AU1045">
        <v>2020</v>
      </c>
      <c r="AV1045">
        <v>9</v>
      </c>
      <c r="AW1045">
        <v>1</v>
      </c>
      <c r="AX1045" t="s">
        <v>74</v>
      </c>
      <c r="AY1045" t="s">
        <v>74</v>
      </c>
      <c r="AZ1045" t="s">
        <v>74</v>
      </c>
      <c r="BA1045" t="s">
        <v>74</v>
      </c>
      <c r="BB1045" t="s">
        <v>74</v>
      </c>
      <c r="BC1045" t="s">
        <v>74</v>
      </c>
      <c r="BD1045">
        <v>1747206</v>
      </c>
      <c r="BE1045" t="s">
        <v>600</v>
      </c>
      <c r="BF1045" t="str">
        <f>HYPERLINK("http://dx.doi.org/10.1080/20013078.2020.1747206","http://dx.doi.org/10.1080/20013078.2020.1747206")</f>
        <v>http://dx.doi.org/10.1080/20013078.2020.1747206</v>
      </c>
      <c r="BG1045" t="s">
        <v>74</v>
      </c>
      <c r="BH1045" t="s">
        <v>74</v>
      </c>
      <c r="BI1045" t="s">
        <v>74</v>
      </c>
      <c r="BJ1045" t="s">
        <v>135</v>
      </c>
      <c r="BK1045" t="s">
        <v>117</v>
      </c>
      <c r="BL1045" t="s">
        <v>135</v>
      </c>
      <c r="BM1045" t="s">
        <v>74</v>
      </c>
      <c r="BN1045">
        <v>32363012</v>
      </c>
      <c r="BO1045" t="s">
        <v>74</v>
      </c>
      <c r="BP1045" t="s">
        <v>74</v>
      </c>
      <c r="BQ1045" t="s">
        <v>74</v>
      </c>
      <c r="BR1045" t="s">
        <v>96</v>
      </c>
      <c r="BS1045" t="s">
        <v>601</v>
      </c>
      <c r="BT1045" t="str">
        <f>HYPERLINK("https%3A%2F%2Fwww.webofscience.com%2Fwos%2Fwoscc%2Ffull-record%2FWOS:000526440300001","View Full Record in Web of Science")</f>
        <v>View Full Record in Web of Science</v>
      </c>
    </row>
    <row r="1046" spans="1:72" x14ac:dyDescent="0.15">
      <c r="A1046" t="s">
        <v>98</v>
      </c>
      <c r="B1046" t="s">
        <v>3630</v>
      </c>
      <c r="C1046" t="s">
        <v>74</v>
      </c>
      <c r="D1046" t="s">
        <v>74</v>
      </c>
      <c r="E1046" t="s">
        <v>74</v>
      </c>
      <c r="F1046" t="s">
        <v>3631</v>
      </c>
      <c r="G1046" t="s">
        <v>74</v>
      </c>
      <c r="H1046" t="s">
        <v>74</v>
      </c>
      <c r="I1046" t="s">
        <v>3632</v>
      </c>
      <c r="J1046" t="s">
        <v>3633</v>
      </c>
      <c r="K1046" t="s">
        <v>74</v>
      </c>
      <c r="L1046" t="s">
        <v>74</v>
      </c>
      <c r="M1046" t="s">
        <v>74</v>
      </c>
      <c r="N1046" t="s">
        <v>103</v>
      </c>
      <c r="O1046" t="s">
        <v>74</v>
      </c>
      <c r="P1046" t="s">
        <v>74</v>
      </c>
      <c r="Q1046" t="s">
        <v>74</v>
      </c>
      <c r="R1046" t="s">
        <v>74</v>
      </c>
      <c r="S1046" t="s">
        <v>74</v>
      </c>
      <c r="T1046" t="s">
        <v>3634</v>
      </c>
      <c r="U1046" t="s">
        <v>3635</v>
      </c>
      <c r="V1046" t="s">
        <v>3636</v>
      </c>
      <c r="W1046" t="s">
        <v>3637</v>
      </c>
      <c r="X1046" t="s">
        <v>3638</v>
      </c>
      <c r="Y1046" t="s">
        <v>3639</v>
      </c>
      <c r="Z1046" t="s">
        <v>3640</v>
      </c>
      <c r="AA1046" t="s">
        <v>3641</v>
      </c>
      <c r="AB1046" t="s">
        <v>3642</v>
      </c>
      <c r="AC1046" t="s">
        <v>74</v>
      </c>
      <c r="AD1046" t="s">
        <v>74</v>
      </c>
      <c r="AE1046" t="s">
        <v>74</v>
      </c>
      <c r="AF1046" t="s">
        <v>74</v>
      </c>
      <c r="AG1046">
        <v>31</v>
      </c>
      <c r="AH1046">
        <v>13</v>
      </c>
      <c r="AI1046">
        <v>14</v>
      </c>
      <c r="AJ1046">
        <v>4</v>
      </c>
      <c r="AK1046">
        <v>24</v>
      </c>
      <c r="AL1046" t="s">
        <v>74</v>
      </c>
      <c r="AM1046" t="s">
        <v>74</v>
      </c>
      <c r="AN1046" t="s">
        <v>74</v>
      </c>
      <c r="AO1046" t="s">
        <v>3643</v>
      </c>
      <c r="AP1046" t="s">
        <v>3644</v>
      </c>
      <c r="AQ1046" t="s">
        <v>74</v>
      </c>
      <c r="AR1046" t="s">
        <v>74</v>
      </c>
      <c r="AS1046" t="s">
        <v>74</v>
      </c>
      <c r="AT1046" t="s">
        <v>967</v>
      </c>
      <c r="AU1046">
        <v>2019</v>
      </c>
      <c r="AV1046">
        <v>1</v>
      </c>
      <c r="AW1046">
        <v>12</v>
      </c>
      <c r="AX1046" t="s">
        <v>74</v>
      </c>
      <c r="AY1046" t="s">
        <v>74</v>
      </c>
      <c r="AZ1046" t="s">
        <v>74</v>
      </c>
      <c r="BA1046" t="s">
        <v>74</v>
      </c>
      <c r="BB1046" t="s">
        <v>74</v>
      </c>
      <c r="BC1046" t="s">
        <v>74</v>
      </c>
      <c r="BD1046">
        <v>1600</v>
      </c>
      <c r="BE1046" t="s">
        <v>3645</v>
      </c>
      <c r="BF1046" t="str">
        <f>HYPERLINK("http://dx.doi.org/10.1007/s42452-019-1646-2","http://dx.doi.org/10.1007/s42452-019-1646-2")</f>
        <v>http://dx.doi.org/10.1007/s42452-019-1646-2</v>
      </c>
      <c r="BG1046" t="s">
        <v>74</v>
      </c>
      <c r="BH1046" t="s">
        <v>74</v>
      </c>
      <c r="BI1046" t="s">
        <v>74</v>
      </c>
      <c r="BJ1046" t="s">
        <v>152</v>
      </c>
      <c r="BK1046" t="s">
        <v>467</v>
      </c>
      <c r="BL1046" t="s">
        <v>153</v>
      </c>
      <c r="BM1046" t="s">
        <v>74</v>
      </c>
      <c r="BN1046" t="s">
        <v>74</v>
      </c>
      <c r="BO1046" t="s">
        <v>74</v>
      </c>
      <c r="BP1046" t="s">
        <v>74</v>
      </c>
      <c r="BQ1046" t="s">
        <v>74</v>
      </c>
      <c r="BR1046" t="s">
        <v>96</v>
      </c>
      <c r="BS1046" t="s">
        <v>3646</v>
      </c>
      <c r="BT1046" t="str">
        <f>HYPERLINK("https%3A%2F%2Fwww.webofscience.com%2Fwos%2Fwoscc%2Ffull-record%2FWOS:000502036600007","View Full Record in Web of Science")</f>
        <v>View Full Record in Web of Science</v>
      </c>
    </row>
    <row r="1047" spans="1:72" x14ac:dyDescent="0.15">
      <c r="A1047" t="s">
        <v>98</v>
      </c>
      <c r="B1047" t="s">
        <v>4638</v>
      </c>
      <c r="C1047" t="s">
        <v>74</v>
      </c>
      <c r="D1047" t="s">
        <v>74</v>
      </c>
      <c r="E1047" t="s">
        <v>74</v>
      </c>
      <c r="F1047" t="s">
        <v>4639</v>
      </c>
      <c r="G1047" t="s">
        <v>74</v>
      </c>
      <c r="H1047" t="s">
        <v>74</v>
      </c>
      <c r="I1047" t="s">
        <v>4640</v>
      </c>
      <c r="J1047" t="s">
        <v>4641</v>
      </c>
      <c r="K1047" t="s">
        <v>74</v>
      </c>
      <c r="L1047" t="s">
        <v>74</v>
      </c>
      <c r="M1047" t="s">
        <v>74</v>
      </c>
      <c r="N1047" t="s">
        <v>103</v>
      </c>
      <c r="O1047" t="s">
        <v>74</v>
      </c>
      <c r="P1047" t="s">
        <v>74</v>
      </c>
      <c r="Q1047" t="s">
        <v>74</v>
      </c>
      <c r="R1047" t="s">
        <v>74</v>
      </c>
      <c r="S1047" t="s">
        <v>74</v>
      </c>
      <c r="T1047" t="s">
        <v>4642</v>
      </c>
      <c r="U1047" t="s">
        <v>4643</v>
      </c>
      <c r="V1047" t="s">
        <v>4644</v>
      </c>
      <c r="W1047" t="s">
        <v>4645</v>
      </c>
      <c r="X1047" t="s">
        <v>4646</v>
      </c>
      <c r="Y1047" t="s">
        <v>4647</v>
      </c>
      <c r="Z1047" t="s">
        <v>4648</v>
      </c>
      <c r="AA1047" t="s">
        <v>4649</v>
      </c>
      <c r="AB1047" t="s">
        <v>4650</v>
      </c>
      <c r="AC1047" t="s">
        <v>74</v>
      </c>
      <c r="AD1047" t="s">
        <v>74</v>
      </c>
      <c r="AE1047" t="s">
        <v>74</v>
      </c>
      <c r="AF1047" t="s">
        <v>74</v>
      </c>
      <c r="AG1047">
        <v>33</v>
      </c>
      <c r="AH1047">
        <v>13</v>
      </c>
      <c r="AI1047">
        <v>13</v>
      </c>
      <c r="AJ1047">
        <v>3</v>
      </c>
      <c r="AK1047">
        <v>6</v>
      </c>
      <c r="AL1047" t="s">
        <v>74</v>
      </c>
      <c r="AM1047" t="s">
        <v>74</v>
      </c>
      <c r="AN1047" t="s">
        <v>74</v>
      </c>
      <c r="AO1047" t="s">
        <v>4651</v>
      </c>
      <c r="AP1047" t="s">
        <v>4652</v>
      </c>
      <c r="AQ1047" t="s">
        <v>74</v>
      </c>
      <c r="AR1047" t="s">
        <v>74</v>
      </c>
      <c r="AS1047" t="s">
        <v>74</v>
      </c>
      <c r="AT1047" t="s">
        <v>211</v>
      </c>
      <c r="AU1047">
        <v>2020</v>
      </c>
      <c r="AV1047">
        <v>27</v>
      </c>
      <c r="AW1047">
        <v>11</v>
      </c>
      <c r="AX1047" t="s">
        <v>74</v>
      </c>
      <c r="AY1047" t="s">
        <v>74</v>
      </c>
      <c r="AZ1047" t="s">
        <v>74</v>
      </c>
      <c r="BA1047" t="s">
        <v>74</v>
      </c>
      <c r="BB1047">
        <v>1039</v>
      </c>
      <c r="BC1047">
        <v>1049</v>
      </c>
      <c r="BD1047" t="s">
        <v>74</v>
      </c>
      <c r="BE1047" t="s">
        <v>4653</v>
      </c>
      <c r="BF1047" t="str">
        <f>HYPERLINK("http://dx.doi.org/10.1111/iju.14345","http://dx.doi.org/10.1111/iju.14345")</f>
        <v>http://dx.doi.org/10.1111/iju.14345</v>
      </c>
      <c r="BG1047" t="s">
        <v>74</v>
      </c>
      <c r="BH1047" t="s">
        <v>1323</v>
      </c>
      <c r="BI1047" t="s">
        <v>74</v>
      </c>
      <c r="BJ1047" t="s">
        <v>2193</v>
      </c>
      <c r="BK1047" t="s">
        <v>117</v>
      </c>
      <c r="BL1047" t="s">
        <v>2193</v>
      </c>
      <c r="BM1047" t="s">
        <v>74</v>
      </c>
      <c r="BN1047">
        <v>32794300</v>
      </c>
      <c r="BO1047" t="s">
        <v>74</v>
      </c>
      <c r="BP1047" t="s">
        <v>74</v>
      </c>
      <c r="BQ1047" t="s">
        <v>74</v>
      </c>
      <c r="BR1047" t="s">
        <v>96</v>
      </c>
      <c r="BS1047" t="s">
        <v>4654</v>
      </c>
      <c r="BT1047" t="str">
        <f>HYPERLINK("https%3A%2F%2Fwww.webofscience.com%2Fwos%2Fwoscc%2Ffull-record%2FWOS:000559460000001","View Full Record in Web of Science")</f>
        <v>View Full Record in Web of Science</v>
      </c>
    </row>
    <row r="1048" spans="1:72" x14ac:dyDescent="0.15">
      <c r="A1048" t="s">
        <v>98</v>
      </c>
      <c r="B1048" t="s">
        <v>5125</v>
      </c>
      <c r="C1048" t="s">
        <v>74</v>
      </c>
      <c r="D1048" t="s">
        <v>74</v>
      </c>
      <c r="E1048" t="s">
        <v>74</v>
      </c>
      <c r="F1048" t="s">
        <v>5126</v>
      </c>
      <c r="G1048" t="s">
        <v>74</v>
      </c>
      <c r="H1048" t="s">
        <v>74</v>
      </c>
      <c r="I1048" t="s">
        <v>5127</v>
      </c>
      <c r="J1048" t="s">
        <v>817</v>
      </c>
      <c r="K1048" t="s">
        <v>74</v>
      </c>
      <c r="L1048" t="s">
        <v>74</v>
      </c>
      <c r="M1048" t="s">
        <v>74</v>
      </c>
      <c r="N1048" t="s">
        <v>103</v>
      </c>
      <c r="O1048" t="s">
        <v>74</v>
      </c>
      <c r="P1048" t="s">
        <v>74</v>
      </c>
      <c r="Q1048" t="s">
        <v>74</v>
      </c>
      <c r="R1048" t="s">
        <v>74</v>
      </c>
      <c r="S1048" t="s">
        <v>74</v>
      </c>
      <c r="T1048" t="s">
        <v>5128</v>
      </c>
      <c r="U1048" t="s">
        <v>5129</v>
      </c>
      <c r="V1048" t="s">
        <v>5130</v>
      </c>
      <c r="W1048" t="s">
        <v>5131</v>
      </c>
      <c r="X1048" t="s">
        <v>74</v>
      </c>
      <c r="Y1048" t="s">
        <v>5132</v>
      </c>
      <c r="Z1048" t="s">
        <v>5133</v>
      </c>
      <c r="AA1048" t="s">
        <v>74</v>
      </c>
      <c r="AB1048" t="s">
        <v>74</v>
      </c>
      <c r="AC1048" t="s">
        <v>74</v>
      </c>
      <c r="AD1048" t="s">
        <v>74</v>
      </c>
      <c r="AE1048" t="s">
        <v>74</v>
      </c>
      <c r="AF1048" t="s">
        <v>74</v>
      </c>
      <c r="AG1048">
        <v>54</v>
      </c>
      <c r="AH1048">
        <v>13</v>
      </c>
      <c r="AI1048">
        <v>13</v>
      </c>
      <c r="AJ1048">
        <v>3</v>
      </c>
      <c r="AK1048">
        <v>10</v>
      </c>
      <c r="AL1048" t="s">
        <v>74</v>
      </c>
      <c r="AM1048" t="s">
        <v>74</v>
      </c>
      <c r="AN1048" t="s">
        <v>74</v>
      </c>
      <c r="AO1048" t="s">
        <v>74</v>
      </c>
      <c r="AP1048" t="s">
        <v>827</v>
      </c>
      <c r="AQ1048" t="s">
        <v>74</v>
      </c>
      <c r="AR1048" t="s">
        <v>74</v>
      </c>
      <c r="AS1048" t="s">
        <v>74</v>
      </c>
      <c r="AT1048" t="s">
        <v>283</v>
      </c>
      <c r="AU1048">
        <v>2020</v>
      </c>
      <c r="AV1048">
        <v>21</v>
      </c>
      <c r="AW1048">
        <v>3</v>
      </c>
      <c r="AX1048" t="s">
        <v>74</v>
      </c>
      <c r="AY1048" t="s">
        <v>74</v>
      </c>
      <c r="AZ1048" t="s">
        <v>74</v>
      </c>
      <c r="BA1048" t="s">
        <v>74</v>
      </c>
      <c r="BB1048" t="s">
        <v>74</v>
      </c>
      <c r="BC1048" t="s">
        <v>74</v>
      </c>
      <c r="BD1048">
        <v>1022</v>
      </c>
      <c r="BE1048" t="s">
        <v>5134</v>
      </c>
      <c r="BF1048" t="str">
        <f>HYPERLINK("http://dx.doi.org/10.3390/ijms21031022","http://dx.doi.org/10.3390/ijms21031022")</f>
        <v>http://dx.doi.org/10.3390/ijms21031022</v>
      </c>
      <c r="BG1048" t="s">
        <v>74</v>
      </c>
      <c r="BH1048" t="s">
        <v>74</v>
      </c>
      <c r="BI1048" t="s">
        <v>74</v>
      </c>
      <c r="BJ1048" t="s">
        <v>830</v>
      </c>
      <c r="BK1048" t="s">
        <v>117</v>
      </c>
      <c r="BL1048" t="s">
        <v>831</v>
      </c>
      <c r="BM1048" t="s">
        <v>74</v>
      </c>
      <c r="BN1048">
        <v>32033114</v>
      </c>
      <c r="BO1048" t="s">
        <v>74</v>
      </c>
      <c r="BP1048" t="s">
        <v>74</v>
      </c>
      <c r="BQ1048" t="s">
        <v>74</v>
      </c>
      <c r="BR1048" t="s">
        <v>96</v>
      </c>
      <c r="BS1048" t="s">
        <v>5135</v>
      </c>
      <c r="BT1048" t="str">
        <f>HYPERLINK("https%3A%2F%2Fwww.webofscience.com%2Fwos%2Fwoscc%2Ffull-record%2FWOS:000522551606008","View Full Record in Web of Science")</f>
        <v>View Full Record in Web of Science</v>
      </c>
    </row>
    <row r="1049" spans="1:72" x14ac:dyDescent="0.15">
      <c r="A1049" t="s">
        <v>98</v>
      </c>
      <c r="B1049" t="s">
        <v>6160</v>
      </c>
      <c r="C1049" t="s">
        <v>74</v>
      </c>
      <c r="D1049" t="s">
        <v>74</v>
      </c>
      <c r="E1049" t="s">
        <v>74</v>
      </c>
      <c r="F1049" t="s">
        <v>6161</v>
      </c>
      <c r="G1049" t="s">
        <v>74</v>
      </c>
      <c r="H1049" t="s">
        <v>74</v>
      </c>
      <c r="I1049" t="s">
        <v>6162</v>
      </c>
      <c r="J1049" t="s">
        <v>572</v>
      </c>
      <c r="K1049" t="s">
        <v>74</v>
      </c>
      <c r="L1049" t="s">
        <v>74</v>
      </c>
      <c r="M1049" t="s">
        <v>74</v>
      </c>
      <c r="N1049" t="s">
        <v>103</v>
      </c>
      <c r="O1049" t="s">
        <v>74</v>
      </c>
      <c r="P1049" t="s">
        <v>74</v>
      </c>
      <c r="Q1049" t="s">
        <v>74</v>
      </c>
      <c r="R1049" t="s">
        <v>74</v>
      </c>
      <c r="S1049" t="s">
        <v>74</v>
      </c>
      <c r="T1049" t="s">
        <v>6163</v>
      </c>
      <c r="U1049" t="s">
        <v>6164</v>
      </c>
      <c r="V1049" t="s">
        <v>6165</v>
      </c>
      <c r="W1049" t="s">
        <v>6166</v>
      </c>
      <c r="X1049" t="s">
        <v>6167</v>
      </c>
      <c r="Y1049" t="s">
        <v>6168</v>
      </c>
      <c r="Z1049" t="s">
        <v>6169</v>
      </c>
      <c r="AA1049" t="s">
        <v>6170</v>
      </c>
      <c r="AB1049" t="s">
        <v>6171</v>
      </c>
      <c r="AC1049" t="s">
        <v>74</v>
      </c>
      <c r="AD1049" t="s">
        <v>74</v>
      </c>
      <c r="AE1049" t="s">
        <v>74</v>
      </c>
      <c r="AF1049" t="s">
        <v>74</v>
      </c>
      <c r="AG1049">
        <v>48</v>
      </c>
      <c r="AH1049">
        <v>13</v>
      </c>
      <c r="AI1049">
        <v>14</v>
      </c>
      <c r="AJ1049">
        <v>0</v>
      </c>
      <c r="AK1049">
        <v>8</v>
      </c>
      <c r="AL1049" t="s">
        <v>74</v>
      </c>
      <c r="AM1049" t="s">
        <v>74</v>
      </c>
      <c r="AN1049" t="s">
        <v>74</v>
      </c>
      <c r="AO1049" t="s">
        <v>580</v>
      </c>
      <c r="AP1049" t="s">
        <v>74</v>
      </c>
      <c r="AQ1049" t="s">
        <v>74</v>
      </c>
      <c r="AR1049" t="s">
        <v>74</v>
      </c>
      <c r="AS1049" t="s">
        <v>74</v>
      </c>
      <c r="AT1049" t="s">
        <v>114</v>
      </c>
      <c r="AU1049">
        <v>2019</v>
      </c>
      <c r="AV1049">
        <v>173</v>
      </c>
      <c r="AW1049" t="s">
        <v>74</v>
      </c>
      <c r="AX1049" t="s">
        <v>74</v>
      </c>
      <c r="AY1049" t="s">
        <v>74</v>
      </c>
      <c r="AZ1049" t="s">
        <v>74</v>
      </c>
      <c r="BA1049" t="s">
        <v>74</v>
      </c>
      <c r="BB1049">
        <v>141</v>
      </c>
      <c r="BC1049">
        <v>150</v>
      </c>
      <c r="BD1049" t="s">
        <v>74</v>
      </c>
      <c r="BE1049" t="s">
        <v>6172</v>
      </c>
      <c r="BF1049" t="str">
        <f>HYPERLINK("http://dx.doi.org/10.1016/j.thromres.2018.11.026","http://dx.doi.org/10.1016/j.thromres.2018.11.026")</f>
        <v>http://dx.doi.org/10.1016/j.thromres.2018.11.026</v>
      </c>
      <c r="BG1049" t="s">
        <v>74</v>
      </c>
      <c r="BH1049" t="s">
        <v>74</v>
      </c>
      <c r="BI1049" t="s">
        <v>74</v>
      </c>
      <c r="BJ1049" t="s">
        <v>584</v>
      </c>
      <c r="BK1049" t="s">
        <v>117</v>
      </c>
      <c r="BL1049" t="s">
        <v>585</v>
      </c>
      <c r="BM1049" t="s">
        <v>74</v>
      </c>
      <c r="BN1049">
        <v>30530119</v>
      </c>
      <c r="BO1049" t="s">
        <v>74</v>
      </c>
      <c r="BP1049" t="s">
        <v>74</v>
      </c>
      <c r="BQ1049" t="s">
        <v>74</v>
      </c>
      <c r="BR1049" t="s">
        <v>96</v>
      </c>
      <c r="BS1049" t="s">
        <v>6173</v>
      </c>
      <c r="BT1049" t="str">
        <f>HYPERLINK("https%3A%2F%2Fwww.webofscience.com%2Fwos%2Fwoscc%2Ffull-record%2FWOS:000454370700022","View Full Record in Web of Science")</f>
        <v>View Full Record in Web of Science</v>
      </c>
    </row>
    <row r="1050" spans="1:72" x14ac:dyDescent="0.15">
      <c r="A1050" t="s">
        <v>98</v>
      </c>
      <c r="B1050" t="s">
        <v>6270</v>
      </c>
      <c r="C1050" t="s">
        <v>74</v>
      </c>
      <c r="D1050" t="s">
        <v>74</v>
      </c>
      <c r="E1050" t="s">
        <v>74</v>
      </c>
      <c r="F1050" t="s">
        <v>6271</v>
      </c>
      <c r="G1050" t="s">
        <v>74</v>
      </c>
      <c r="H1050" t="s">
        <v>74</v>
      </c>
      <c r="I1050" t="s">
        <v>6272</v>
      </c>
      <c r="J1050" t="s">
        <v>6273</v>
      </c>
      <c r="K1050" t="s">
        <v>74</v>
      </c>
      <c r="L1050" t="s">
        <v>74</v>
      </c>
      <c r="M1050" t="s">
        <v>74</v>
      </c>
      <c r="N1050" t="s">
        <v>103</v>
      </c>
      <c r="O1050" t="s">
        <v>74</v>
      </c>
      <c r="P1050" t="s">
        <v>74</v>
      </c>
      <c r="Q1050" t="s">
        <v>74</v>
      </c>
      <c r="R1050" t="s">
        <v>74</v>
      </c>
      <c r="S1050" t="s">
        <v>74</v>
      </c>
      <c r="T1050" t="s">
        <v>6274</v>
      </c>
      <c r="U1050" t="s">
        <v>6275</v>
      </c>
      <c r="V1050" t="s">
        <v>6276</v>
      </c>
      <c r="W1050" t="s">
        <v>6277</v>
      </c>
      <c r="X1050" t="s">
        <v>6278</v>
      </c>
      <c r="Y1050" t="s">
        <v>6279</v>
      </c>
      <c r="Z1050" t="s">
        <v>6280</v>
      </c>
      <c r="AA1050" t="s">
        <v>74</v>
      </c>
      <c r="AB1050" t="s">
        <v>74</v>
      </c>
      <c r="AC1050" t="s">
        <v>74</v>
      </c>
      <c r="AD1050" t="s">
        <v>74</v>
      </c>
      <c r="AE1050" t="s">
        <v>74</v>
      </c>
      <c r="AF1050" t="s">
        <v>74</v>
      </c>
      <c r="AG1050">
        <v>53</v>
      </c>
      <c r="AH1050">
        <v>13</v>
      </c>
      <c r="AI1050">
        <v>13</v>
      </c>
      <c r="AJ1050">
        <v>4</v>
      </c>
      <c r="AK1050">
        <v>19</v>
      </c>
      <c r="AL1050" t="s">
        <v>74</v>
      </c>
      <c r="AM1050" t="s">
        <v>74</v>
      </c>
      <c r="AN1050" t="s">
        <v>74</v>
      </c>
      <c r="AO1050" t="s">
        <v>6281</v>
      </c>
      <c r="AP1050" t="s">
        <v>6282</v>
      </c>
      <c r="AQ1050" t="s">
        <v>74</v>
      </c>
      <c r="AR1050" t="s">
        <v>74</v>
      </c>
      <c r="AS1050" t="s">
        <v>74</v>
      </c>
      <c r="AT1050" t="s">
        <v>132</v>
      </c>
      <c r="AU1050">
        <v>2019</v>
      </c>
      <c r="AV1050">
        <v>201</v>
      </c>
      <c r="AW1050">
        <v>7</v>
      </c>
      <c r="AX1050" t="s">
        <v>74</v>
      </c>
      <c r="AY1050" t="s">
        <v>74</v>
      </c>
      <c r="AZ1050" t="s">
        <v>74</v>
      </c>
      <c r="BA1050" t="s">
        <v>74</v>
      </c>
      <c r="BB1050" t="s">
        <v>74</v>
      </c>
      <c r="BC1050" t="s">
        <v>74</v>
      </c>
      <c r="BD1050" t="s">
        <v>6283</v>
      </c>
      <c r="BE1050" t="s">
        <v>6284</v>
      </c>
      <c r="BF1050" t="str">
        <f>HYPERLINK("http://dx.doi.org/10.1128/JB.00430-18","http://dx.doi.org/10.1128/JB.00430-18")</f>
        <v>http://dx.doi.org/10.1128/JB.00430-18</v>
      </c>
      <c r="BG1050" t="s">
        <v>74</v>
      </c>
      <c r="BH1050" t="s">
        <v>74</v>
      </c>
      <c r="BI1050" t="s">
        <v>74</v>
      </c>
      <c r="BJ1050" t="s">
        <v>898</v>
      </c>
      <c r="BK1050" t="s">
        <v>117</v>
      </c>
      <c r="BL1050" t="s">
        <v>898</v>
      </c>
      <c r="BM1050" t="s">
        <v>74</v>
      </c>
      <c r="BN1050">
        <v>30670543</v>
      </c>
      <c r="BO1050" t="s">
        <v>74</v>
      </c>
      <c r="BP1050" t="s">
        <v>74</v>
      </c>
      <c r="BQ1050" t="s">
        <v>74</v>
      </c>
      <c r="BR1050" t="s">
        <v>96</v>
      </c>
      <c r="BS1050" t="s">
        <v>6285</v>
      </c>
      <c r="BT1050" t="str">
        <f>HYPERLINK("https%3A%2F%2Fwww.webofscience.com%2Fwos%2Fwoscc%2Ffull-record%2FWOS:000461019100001","View Full Record in Web of Science")</f>
        <v>View Full Record in Web of Science</v>
      </c>
    </row>
    <row r="1051" spans="1:72" x14ac:dyDescent="0.15">
      <c r="A1051" t="s">
        <v>98</v>
      </c>
      <c r="B1051" t="s">
        <v>6481</v>
      </c>
      <c r="C1051" t="s">
        <v>74</v>
      </c>
      <c r="D1051" t="s">
        <v>74</v>
      </c>
      <c r="E1051" t="s">
        <v>74</v>
      </c>
      <c r="F1051" t="s">
        <v>6482</v>
      </c>
      <c r="G1051" t="s">
        <v>74</v>
      </c>
      <c r="H1051" t="s">
        <v>74</v>
      </c>
      <c r="I1051" t="s">
        <v>6483</v>
      </c>
      <c r="J1051" t="s">
        <v>6484</v>
      </c>
      <c r="K1051" t="s">
        <v>74</v>
      </c>
      <c r="L1051" t="s">
        <v>74</v>
      </c>
      <c r="M1051" t="s">
        <v>74</v>
      </c>
      <c r="N1051" t="s">
        <v>103</v>
      </c>
      <c r="O1051" t="s">
        <v>74</v>
      </c>
      <c r="P1051" t="s">
        <v>74</v>
      </c>
      <c r="Q1051" t="s">
        <v>74</v>
      </c>
      <c r="R1051" t="s">
        <v>74</v>
      </c>
      <c r="S1051" t="s">
        <v>74</v>
      </c>
      <c r="T1051" t="s">
        <v>74</v>
      </c>
      <c r="U1051" t="s">
        <v>74</v>
      </c>
      <c r="V1051" t="s">
        <v>6485</v>
      </c>
      <c r="W1051" t="s">
        <v>6486</v>
      </c>
      <c r="X1051" t="s">
        <v>2317</v>
      </c>
      <c r="Y1051" t="s">
        <v>6487</v>
      </c>
      <c r="Z1051" t="s">
        <v>6488</v>
      </c>
      <c r="AA1051" t="s">
        <v>6489</v>
      </c>
      <c r="AB1051" t="s">
        <v>6490</v>
      </c>
      <c r="AC1051" t="s">
        <v>74</v>
      </c>
      <c r="AD1051" t="s">
        <v>74</v>
      </c>
      <c r="AE1051" t="s">
        <v>74</v>
      </c>
      <c r="AF1051" t="s">
        <v>74</v>
      </c>
      <c r="AG1051">
        <v>44</v>
      </c>
      <c r="AH1051">
        <v>13</v>
      </c>
      <c r="AI1051">
        <v>13</v>
      </c>
      <c r="AJ1051">
        <v>3</v>
      </c>
      <c r="AK1051">
        <v>17</v>
      </c>
      <c r="AL1051" t="s">
        <v>74</v>
      </c>
      <c r="AM1051" t="s">
        <v>74</v>
      </c>
      <c r="AN1051" t="s">
        <v>74</v>
      </c>
      <c r="AO1051" t="s">
        <v>74</v>
      </c>
      <c r="AP1051" t="s">
        <v>6491</v>
      </c>
      <c r="AQ1051" t="s">
        <v>74</v>
      </c>
      <c r="AR1051" t="s">
        <v>74</v>
      </c>
      <c r="AS1051" t="s">
        <v>74</v>
      </c>
      <c r="AT1051" t="s">
        <v>74</v>
      </c>
      <c r="AU1051">
        <v>2018</v>
      </c>
      <c r="AV1051">
        <v>2018</v>
      </c>
      <c r="AW1051" t="s">
        <v>74</v>
      </c>
      <c r="AX1051" t="s">
        <v>74</v>
      </c>
      <c r="AY1051" t="s">
        <v>74</v>
      </c>
      <c r="AZ1051" t="s">
        <v>74</v>
      </c>
      <c r="BA1051" t="s">
        <v>74</v>
      </c>
      <c r="BB1051" t="s">
        <v>74</v>
      </c>
      <c r="BC1051" t="s">
        <v>74</v>
      </c>
      <c r="BD1051" t="s">
        <v>6492</v>
      </c>
      <c r="BE1051" t="s">
        <v>6493</v>
      </c>
      <c r="BF1051" t="str">
        <f>HYPERLINK("http://dx.doi.org/10.1155/2018/3917986","http://dx.doi.org/10.1155/2018/3917986")</f>
        <v>http://dx.doi.org/10.1155/2018/3917986</v>
      </c>
      <c r="BG1051" t="s">
        <v>74</v>
      </c>
      <c r="BH1051" t="s">
        <v>74</v>
      </c>
      <c r="BI1051" t="s">
        <v>74</v>
      </c>
      <c r="BJ1051" t="s">
        <v>152</v>
      </c>
      <c r="BK1051" t="s">
        <v>467</v>
      </c>
      <c r="BL1051" t="s">
        <v>153</v>
      </c>
      <c r="BM1051" t="s">
        <v>74</v>
      </c>
      <c r="BN1051">
        <v>31549028</v>
      </c>
      <c r="BO1051" t="s">
        <v>74</v>
      </c>
      <c r="BP1051" t="s">
        <v>74</v>
      </c>
      <c r="BQ1051" t="s">
        <v>74</v>
      </c>
      <c r="BR1051" t="s">
        <v>96</v>
      </c>
      <c r="BS1051" t="s">
        <v>6494</v>
      </c>
      <c r="BT1051" t="str">
        <f>HYPERLINK("https%3A%2F%2Fwww.webofscience.com%2Fwos%2Fwoscc%2Ffull-record%2FWOS:000524979500008","View Full Record in Web of Science")</f>
        <v>View Full Record in Web of Science</v>
      </c>
    </row>
    <row r="1052" spans="1:72" x14ac:dyDescent="0.15">
      <c r="A1052" t="s">
        <v>98</v>
      </c>
      <c r="B1052" t="s">
        <v>7047</v>
      </c>
      <c r="C1052" t="s">
        <v>74</v>
      </c>
      <c r="D1052" t="s">
        <v>74</v>
      </c>
      <c r="E1052" t="s">
        <v>74</v>
      </c>
      <c r="F1052" t="s">
        <v>7048</v>
      </c>
      <c r="G1052" t="s">
        <v>74</v>
      </c>
      <c r="H1052" t="s">
        <v>74</v>
      </c>
      <c r="I1052" t="s">
        <v>7049</v>
      </c>
      <c r="J1052" t="s">
        <v>7050</v>
      </c>
      <c r="K1052" t="s">
        <v>74</v>
      </c>
      <c r="L1052" t="s">
        <v>74</v>
      </c>
      <c r="M1052" t="s">
        <v>74</v>
      </c>
      <c r="N1052" t="s">
        <v>103</v>
      </c>
      <c r="O1052" t="s">
        <v>74</v>
      </c>
      <c r="P1052" t="s">
        <v>74</v>
      </c>
      <c r="Q1052" t="s">
        <v>74</v>
      </c>
      <c r="R1052" t="s">
        <v>74</v>
      </c>
      <c r="S1052" t="s">
        <v>74</v>
      </c>
      <c r="T1052" t="s">
        <v>7051</v>
      </c>
      <c r="U1052" t="s">
        <v>7052</v>
      </c>
      <c r="V1052" t="s">
        <v>7053</v>
      </c>
      <c r="W1052" t="s">
        <v>7054</v>
      </c>
      <c r="X1052" t="s">
        <v>74</v>
      </c>
      <c r="Y1052" t="s">
        <v>7055</v>
      </c>
      <c r="Z1052" t="s">
        <v>6605</v>
      </c>
      <c r="AA1052" t="s">
        <v>7056</v>
      </c>
      <c r="AB1052" t="s">
        <v>7057</v>
      </c>
      <c r="AC1052" t="s">
        <v>74</v>
      </c>
      <c r="AD1052" t="s">
        <v>74</v>
      </c>
      <c r="AE1052" t="s">
        <v>74</v>
      </c>
      <c r="AF1052" t="s">
        <v>74</v>
      </c>
      <c r="AG1052">
        <v>53</v>
      </c>
      <c r="AH1052">
        <v>13</v>
      </c>
      <c r="AI1052">
        <v>13</v>
      </c>
      <c r="AJ1052">
        <v>1</v>
      </c>
      <c r="AK1052">
        <v>17</v>
      </c>
      <c r="AL1052" t="s">
        <v>74</v>
      </c>
      <c r="AM1052" t="s">
        <v>74</v>
      </c>
      <c r="AN1052" t="s">
        <v>74</v>
      </c>
      <c r="AO1052" t="s">
        <v>7058</v>
      </c>
      <c r="AP1052" t="s">
        <v>7059</v>
      </c>
      <c r="AQ1052" t="s">
        <v>74</v>
      </c>
      <c r="AR1052" t="s">
        <v>74</v>
      </c>
      <c r="AS1052" t="s">
        <v>74</v>
      </c>
      <c r="AT1052" t="s">
        <v>211</v>
      </c>
      <c r="AU1052">
        <v>2018</v>
      </c>
      <c r="AV1052">
        <v>60</v>
      </c>
      <c r="AW1052">
        <v>11</v>
      </c>
      <c r="AX1052" t="s">
        <v>74</v>
      </c>
      <c r="AY1052" t="s">
        <v>74</v>
      </c>
      <c r="AZ1052" t="s">
        <v>74</v>
      </c>
      <c r="BA1052" t="s">
        <v>74</v>
      </c>
      <c r="BB1052">
        <v>773</v>
      </c>
      <c r="BC1052">
        <v>782</v>
      </c>
      <c r="BD1052" t="s">
        <v>74</v>
      </c>
      <c r="BE1052" t="s">
        <v>7060</v>
      </c>
      <c r="BF1052" t="str">
        <f>HYPERLINK("http://dx.doi.org/10.1007/s12033-018-0114-3","http://dx.doi.org/10.1007/s12033-018-0114-3")</f>
        <v>http://dx.doi.org/10.1007/s12033-018-0114-3</v>
      </c>
      <c r="BG1052" t="s">
        <v>74</v>
      </c>
      <c r="BH1052" t="s">
        <v>74</v>
      </c>
      <c r="BI1052" t="s">
        <v>74</v>
      </c>
      <c r="BJ1052" t="s">
        <v>3175</v>
      </c>
      <c r="BK1052" t="s">
        <v>117</v>
      </c>
      <c r="BL1052" t="s">
        <v>3175</v>
      </c>
      <c r="BM1052" t="s">
        <v>74</v>
      </c>
      <c r="BN1052">
        <v>30167966</v>
      </c>
      <c r="BO1052" t="s">
        <v>74</v>
      </c>
      <c r="BP1052" t="s">
        <v>74</v>
      </c>
      <c r="BQ1052" t="s">
        <v>74</v>
      </c>
      <c r="BR1052" t="s">
        <v>96</v>
      </c>
      <c r="BS1052" t="s">
        <v>7061</v>
      </c>
      <c r="BT1052" t="str">
        <f>HYPERLINK("https%3A%2F%2Fwww.webofscience.com%2Fwos%2Fwoscc%2Ffull-record%2FWOS:000446754800001","View Full Record in Web of Science")</f>
        <v>View Full Record in Web of Science</v>
      </c>
    </row>
    <row r="1053" spans="1:72" x14ac:dyDescent="0.15">
      <c r="A1053" t="s">
        <v>98</v>
      </c>
      <c r="B1053" t="s">
        <v>7499</v>
      </c>
      <c r="C1053" t="s">
        <v>74</v>
      </c>
      <c r="D1053" t="s">
        <v>74</v>
      </c>
      <c r="E1053" t="s">
        <v>74</v>
      </c>
      <c r="F1053" t="s">
        <v>7500</v>
      </c>
      <c r="G1053" t="s">
        <v>74</v>
      </c>
      <c r="H1053" t="s">
        <v>74</v>
      </c>
      <c r="I1053" t="s">
        <v>7501</v>
      </c>
      <c r="J1053" t="s">
        <v>6530</v>
      </c>
      <c r="K1053" t="s">
        <v>74</v>
      </c>
      <c r="L1053" t="s">
        <v>74</v>
      </c>
      <c r="M1053" t="s">
        <v>74</v>
      </c>
      <c r="N1053" t="s">
        <v>103</v>
      </c>
      <c r="O1053" t="s">
        <v>74</v>
      </c>
      <c r="P1053" t="s">
        <v>74</v>
      </c>
      <c r="Q1053" t="s">
        <v>74</v>
      </c>
      <c r="R1053" t="s">
        <v>74</v>
      </c>
      <c r="S1053" t="s">
        <v>74</v>
      </c>
      <c r="T1053" t="s">
        <v>7502</v>
      </c>
      <c r="U1053" t="s">
        <v>7503</v>
      </c>
      <c r="V1053" t="s">
        <v>7504</v>
      </c>
      <c r="W1053" t="s">
        <v>7505</v>
      </c>
      <c r="X1053" t="s">
        <v>7506</v>
      </c>
      <c r="Y1053" t="s">
        <v>7507</v>
      </c>
      <c r="Z1053" t="s">
        <v>7508</v>
      </c>
      <c r="AA1053" t="s">
        <v>7509</v>
      </c>
      <c r="AB1053" t="s">
        <v>7510</v>
      </c>
      <c r="AC1053" t="s">
        <v>74</v>
      </c>
      <c r="AD1053" t="s">
        <v>74</v>
      </c>
      <c r="AE1053" t="s">
        <v>74</v>
      </c>
      <c r="AF1053" t="s">
        <v>74</v>
      </c>
      <c r="AG1053">
        <v>33</v>
      </c>
      <c r="AH1053">
        <v>13</v>
      </c>
      <c r="AI1053">
        <v>15</v>
      </c>
      <c r="AJ1053">
        <v>2</v>
      </c>
      <c r="AK1053">
        <v>4</v>
      </c>
      <c r="AL1053" t="s">
        <v>74</v>
      </c>
      <c r="AM1053" t="s">
        <v>74</v>
      </c>
      <c r="AN1053" t="s">
        <v>74</v>
      </c>
      <c r="AO1053" t="s">
        <v>6540</v>
      </c>
      <c r="AP1053" t="s">
        <v>74</v>
      </c>
      <c r="AQ1053" t="s">
        <v>74</v>
      </c>
      <c r="AR1053" t="s">
        <v>74</v>
      </c>
      <c r="AS1053" t="s">
        <v>74</v>
      </c>
      <c r="AT1053" t="s">
        <v>74</v>
      </c>
      <c r="AU1053">
        <v>2019</v>
      </c>
      <c r="AV1053">
        <v>14</v>
      </c>
      <c r="AW1053" t="s">
        <v>74</v>
      </c>
      <c r="AX1053" t="s">
        <v>74</v>
      </c>
      <c r="AY1053" t="s">
        <v>74</v>
      </c>
      <c r="AZ1053" t="s">
        <v>74</v>
      </c>
      <c r="BA1053" t="s">
        <v>74</v>
      </c>
      <c r="BB1053">
        <v>1779</v>
      </c>
      <c r="BC1053">
        <v>1787</v>
      </c>
      <c r="BD1053" t="s">
        <v>74</v>
      </c>
      <c r="BE1053" t="s">
        <v>7511</v>
      </c>
      <c r="BF1053" t="str">
        <f>HYPERLINK("http://dx.doi.org/10.2147/IJN.S189738","http://dx.doi.org/10.2147/IJN.S189738")</f>
        <v>http://dx.doi.org/10.2147/IJN.S189738</v>
      </c>
      <c r="BG1053" t="s">
        <v>74</v>
      </c>
      <c r="BH1053" t="s">
        <v>74</v>
      </c>
      <c r="BI1053" t="s">
        <v>74</v>
      </c>
      <c r="BJ1053" t="s">
        <v>6542</v>
      </c>
      <c r="BK1053" t="s">
        <v>117</v>
      </c>
      <c r="BL1053" t="s">
        <v>6543</v>
      </c>
      <c r="BM1053" t="s">
        <v>74</v>
      </c>
      <c r="BN1053">
        <v>30880979</v>
      </c>
      <c r="BO1053" t="s">
        <v>74</v>
      </c>
      <c r="BP1053" t="s">
        <v>74</v>
      </c>
      <c r="BQ1053" t="s">
        <v>74</v>
      </c>
      <c r="BR1053" t="s">
        <v>96</v>
      </c>
      <c r="BS1053" t="s">
        <v>7512</v>
      </c>
      <c r="BT1053" t="str">
        <f>HYPERLINK("https%3A%2F%2Fwww.webofscience.com%2Fwos%2Fwoscc%2Ffull-record%2FWOS:000461294500003","View Full Record in Web of Science")</f>
        <v>View Full Record in Web of Science</v>
      </c>
    </row>
    <row r="1054" spans="1:72" x14ac:dyDescent="0.15">
      <c r="A1054" t="s">
        <v>98</v>
      </c>
      <c r="B1054" t="s">
        <v>7675</v>
      </c>
      <c r="C1054" t="s">
        <v>74</v>
      </c>
      <c r="D1054" t="s">
        <v>74</v>
      </c>
      <c r="E1054" t="s">
        <v>74</v>
      </c>
      <c r="F1054" t="s">
        <v>7676</v>
      </c>
      <c r="G1054" t="s">
        <v>74</v>
      </c>
      <c r="H1054" t="s">
        <v>74</v>
      </c>
      <c r="I1054" t="s">
        <v>7677</v>
      </c>
      <c r="J1054" t="s">
        <v>7678</v>
      </c>
      <c r="K1054" t="s">
        <v>74</v>
      </c>
      <c r="L1054" t="s">
        <v>74</v>
      </c>
      <c r="M1054" t="s">
        <v>74</v>
      </c>
      <c r="N1054" t="s">
        <v>103</v>
      </c>
      <c r="O1054" t="s">
        <v>74</v>
      </c>
      <c r="P1054" t="s">
        <v>74</v>
      </c>
      <c r="Q1054" t="s">
        <v>74</v>
      </c>
      <c r="R1054" t="s">
        <v>74</v>
      </c>
      <c r="S1054" t="s">
        <v>74</v>
      </c>
      <c r="T1054" t="s">
        <v>7679</v>
      </c>
      <c r="U1054" t="s">
        <v>7680</v>
      </c>
      <c r="V1054" t="s">
        <v>7681</v>
      </c>
      <c r="W1054" t="s">
        <v>7682</v>
      </c>
      <c r="X1054" t="s">
        <v>7683</v>
      </c>
      <c r="Y1054" t="s">
        <v>7684</v>
      </c>
      <c r="Z1054" t="s">
        <v>7685</v>
      </c>
      <c r="AA1054" t="s">
        <v>7686</v>
      </c>
      <c r="AB1054" t="s">
        <v>7687</v>
      </c>
      <c r="AC1054" t="s">
        <v>74</v>
      </c>
      <c r="AD1054" t="s">
        <v>74</v>
      </c>
      <c r="AE1054" t="s">
        <v>74</v>
      </c>
      <c r="AF1054" t="s">
        <v>74</v>
      </c>
      <c r="AG1054">
        <v>31</v>
      </c>
      <c r="AH1054">
        <v>13</v>
      </c>
      <c r="AI1054">
        <v>15</v>
      </c>
      <c r="AJ1054">
        <v>5</v>
      </c>
      <c r="AK1054">
        <v>26</v>
      </c>
      <c r="AL1054" t="s">
        <v>74</v>
      </c>
      <c r="AM1054" t="s">
        <v>74</v>
      </c>
      <c r="AN1054" t="s">
        <v>74</v>
      </c>
      <c r="AO1054" t="s">
        <v>7688</v>
      </c>
      <c r="AP1054" t="s">
        <v>7689</v>
      </c>
      <c r="AQ1054" t="s">
        <v>74</v>
      </c>
      <c r="AR1054" t="s">
        <v>74</v>
      </c>
      <c r="AS1054" t="s">
        <v>74</v>
      </c>
      <c r="AT1054" t="s">
        <v>7690</v>
      </c>
      <c r="AU1054">
        <v>2017</v>
      </c>
      <c r="AV1054">
        <v>23</v>
      </c>
      <c r="AW1054">
        <v>44</v>
      </c>
      <c r="AX1054" t="s">
        <v>74</v>
      </c>
      <c r="AY1054" t="s">
        <v>74</v>
      </c>
      <c r="AZ1054" t="s">
        <v>74</v>
      </c>
      <c r="BA1054" t="s">
        <v>74</v>
      </c>
      <c r="BB1054">
        <v>7830</v>
      </c>
      <c r="BC1054">
        <v>7839</v>
      </c>
      <c r="BD1054" t="s">
        <v>74</v>
      </c>
      <c r="BE1054" t="s">
        <v>7691</v>
      </c>
      <c r="BF1054" t="str">
        <f>HYPERLINK("http://dx.doi.org/10.3748/wjg.v23.i44.7830","http://dx.doi.org/10.3748/wjg.v23.i44.7830")</f>
        <v>http://dx.doi.org/10.3748/wjg.v23.i44.7830</v>
      </c>
      <c r="BG1054" t="s">
        <v>74</v>
      </c>
      <c r="BH1054" t="s">
        <v>74</v>
      </c>
      <c r="BI1054" t="s">
        <v>74</v>
      </c>
      <c r="BJ1054" t="s">
        <v>633</v>
      </c>
      <c r="BK1054" t="s">
        <v>117</v>
      </c>
      <c r="BL1054" t="s">
        <v>633</v>
      </c>
      <c r="BM1054" t="s">
        <v>74</v>
      </c>
      <c r="BN1054">
        <v>29209124</v>
      </c>
      <c r="BO1054" t="s">
        <v>74</v>
      </c>
      <c r="BP1054" t="s">
        <v>74</v>
      </c>
      <c r="BQ1054" t="s">
        <v>74</v>
      </c>
      <c r="BR1054" t="s">
        <v>96</v>
      </c>
      <c r="BS1054" t="s">
        <v>7692</v>
      </c>
      <c r="BT1054" t="str">
        <f>HYPERLINK("https%3A%2F%2Fwww.webofscience.com%2Fwos%2Fwoscc%2Ffull-record%2FWOS:000416214700003","View Full Record in Web of Science")</f>
        <v>View Full Record in Web of Science</v>
      </c>
    </row>
    <row r="1055" spans="1:72" x14ac:dyDescent="0.15">
      <c r="A1055" t="s">
        <v>98</v>
      </c>
      <c r="B1055" t="s">
        <v>8121</v>
      </c>
      <c r="C1055" t="s">
        <v>74</v>
      </c>
      <c r="D1055" t="s">
        <v>74</v>
      </c>
      <c r="E1055" t="s">
        <v>74</v>
      </c>
      <c r="F1055" t="s">
        <v>8122</v>
      </c>
      <c r="G1055" t="s">
        <v>74</v>
      </c>
      <c r="H1055" t="s">
        <v>74</v>
      </c>
      <c r="I1055" t="s">
        <v>8123</v>
      </c>
      <c r="J1055" t="s">
        <v>8124</v>
      </c>
      <c r="K1055" t="s">
        <v>74</v>
      </c>
      <c r="L1055" t="s">
        <v>74</v>
      </c>
      <c r="M1055" t="s">
        <v>74</v>
      </c>
      <c r="N1055" t="s">
        <v>103</v>
      </c>
      <c r="O1055" t="s">
        <v>74</v>
      </c>
      <c r="P1055" t="s">
        <v>74</v>
      </c>
      <c r="Q1055" t="s">
        <v>74</v>
      </c>
      <c r="R1055" t="s">
        <v>74</v>
      </c>
      <c r="S1055" t="s">
        <v>74</v>
      </c>
      <c r="T1055" t="s">
        <v>8125</v>
      </c>
      <c r="U1055" t="s">
        <v>8126</v>
      </c>
      <c r="V1055" t="s">
        <v>8127</v>
      </c>
      <c r="W1055" t="s">
        <v>8128</v>
      </c>
      <c r="X1055" t="s">
        <v>8129</v>
      </c>
      <c r="Y1055" t="s">
        <v>8130</v>
      </c>
      <c r="Z1055" t="s">
        <v>8131</v>
      </c>
      <c r="AA1055" t="s">
        <v>8132</v>
      </c>
      <c r="AB1055" t="s">
        <v>8133</v>
      </c>
      <c r="AC1055" t="s">
        <v>74</v>
      </c>
      <c r="AD1055" t="s">
        <v>74</v>
      </c>
      <c r="AE1055" t="s">
        <v>74</v>
      </c>
      <c r="AF1055" t="s">
        <v>74</v>
      </c>
      <c r="AG1055">
        <v>66</v>
      </c>
      <c r="AH1055">
        <v>13</v>
      </c>
      <c r="AI1055">
        <v>13</v>
      </c>
      <c r="AJ1055">
        <v>2</v>
      </c>
      <c r="AK1055">
        <v>4</v>
      </c>
      <c r="AL1055" t="s">
        <v>74</v>
      </c>
      <c r="AM1055" t="s">
        <v>74</v>
      </c>
      <c r="AN1055" t="s">
        <v>74</v>
      </c>
      <c r="AO1055" t="s">
        <v>8134</v>
      </c>
      <c r="AP1055" t="s">
        <v>8135</v>
      </c>
      <c r="AQ1055" t="s">
        <v>74</v>
      </c>
      <c r="AR1055" t="s">
        <v>74</v>
      </c>
      <c r="AS1055" t="s">
        <v>74</v>
      </c>
      <c r="AT1055" t="s">
        <v>170</v>
      </c>
      <c r="AU1055">
        <v>2019</v>
      </c>
      <c r="AV1055">
        <v>23</v>
      </c>
      <c r="AW1055">
        <v>6</v>
      </c>
      <c r="AX1055" t="s">
        <v>74</v>
      </c>
      <c r="AY1055" t="s">
        <v>74</v>
      </c>
      <c r="AZ1055" t="s">
        <v>74</v>
      </c>
      <c r="BA1055" t="s">
        <v>74</v>
      </c>
      <c r="BB1055">
        <v>4408</v>
      </c>
      <c r="BC1055">
        <v>4421</v>
      </c>
      <c r="BD1055" t="s">
        <v>74</v>
      </c>
      <c r="BE1055" t="s">
        <v>8136</v>
      </c>
      <c r="BF1055" t="str">
        <f>HYPERLINK("http://dx.doi.org/10.1111/jcmm.14334","http://dx.doi.org/10.1111/jcmm.14334")</f>
        <v>http://dx.doi.org/10.1111/jcmm.14334</v>
      </c>
      <c r="BG1055" t="s">
        <v>74</v>
      </c>
      <c r="BH1055" t="s">
        <v>74</v>
      </c>
      <c r="BI1055" t="s">
        <v>74</v>
      </c>
      <c r="BJ1055" t="s">
        <v>8137</v>
      </c>
      <c r="BK1055" t="s">
        <v>117</v>
      </c>
      <c r="BL1055" t="s">
        <v>3116</v>
      </c>
      <c r="BM1055" t="s">
        <v>74</v>
      </c>
      <c r="BN1055">
        <v>30982221</v>
      </c>
      <c r="BO1055" t="s">
        <v>74</v>
      </c>
      <c r="BP1055" t="s">
        <v>74</v>
      </c>
      <c r="BQ1055" t="s">
        <v>74</v>
      </c>
      <c r="BR1055" t="s">
        <v>96</v>
      </c>
      <c r="BS1055" t="s">
        <v>8138</v>
      </c>
      <c r="BT1055" t="str">
        <f>HYPERLINK("https%3A%2F%2Fwww.webofscience.com%2Fwos%2Fwoscc%2Ffull-record%2FWOS:000470659500055","View Full Record in Web of Science")</f>
        <v>View Full Record in Web of Science</v>
      </c>
    </row>
    <row r="1056" spans="1:72" x14ac:dyDescent="0.15">
      <c r="A1056" t="s">
        <v>98</v>
      </c>
      <c r="B1056" t="s">
        <v>9695</v>
      </c>
      <c r="C1056" t="s">
        <v>74</v>
      </c>
      <c r="D1056" t="s">
        <v>74</v>
      </c>
      <c r="E1056" t="s">
        <v>74</v>
      </c>
      <c r="F1056" t="s">
        <v>9696</v>
      </c>
      <c r="G1056" t="s">
        <v>74</v>
      </c>
      <c r="H1056" t="s">
        <v>74</v>
      </c>
      <c r="I1056" t="s">
        <v>9697</v>
      </c>
      <c r="J1056" t="s">
        <v>9698</v>
      </c>
      <c r="K1056" t="s">
        <v>74</v>
      </c>
      <c r="L1056" t="s">
        <v>74</v>
      </c>
      <c r="M1056" t="s">
        <v>74</v>
      </c>
      <c r="N1056" t="s">
        <v>103</v>
      </c>
      <c r="O1056" t="s">
        <v>74</v>
      </c>
      <c r="P1056" t="s">
        <v>74</v>
      </c>
      <c r="Q1056" t="s">
        <v>74</v>
      </c>
      <c r="R1056" t="s">
        <v>74</v>
      </c>
      <c r="S1056" t="s">
        <v>74</v>
      </c>
      <c r="T1056" t="s">
        <v>9699</v>
      </c>
      <c r="U1056" t="s">
        <v>9700</v>
      </c>
      <c r="V1056" t="s">
        <v>9701</v>
      </c>
      <c r="W1056" t="s">
        <v>9702</v>
      </c>
      <c r="X1056" t="s">
        <v>2303</v>
      </c>
      <c r="Y1056" t="s">
        <v>9703</v>
      </c>
      <c r="Z1056" t="s">
        <v>9704</v>
      </c>
      <c r="AA1056" t="s">
        <v>74</v>
      </c>
      <c r="AB1056" t="s">
        <v>74</v>
      </c>
      <c r="AC1056" t="s">
        <v>74</v>
      </c>
      <c r="AD1056" t="s">
        <v>74</v>
      </c>
      <c r="AE1056" t="s">
        <v>74</v>
      </c>
      <c r="AF1056" t="s">
        <v>74</v>
      </c>
      <c r="AG1056">
        <v>29</v>
      </c>
      <c r="AH1056">
        <v>13</v>
      </c>
      <c r="AI1056">
        <v>14</v>
      </c>
      <c r="AJ1056">
        <v>1</v>
      </c>
      <c r="AK1056">
        <v>33</v>
      </c>
      <c r="AL1056" t="s">
        <v>74</v>
      </c>
      <c r="AM1056" t="s">
        <v>74</v>
      </c>
      <c r="AN1056" t="s">
        <v>74</v>
      </c>
      <c r="AO1056" t="s">
        <v>9705</v>
      </c>
      <c r="AP1056" t="s">
        <v>9706</v>
      </c>
      <c r="AQ1056" t="s">
        <v>74</v>
      </c>
      <c r="AR1056" t="s">
        <v>74</v>
      </c>
      <c r="AS1056" t="s">
        <v>74</v>
      </c>
      <c r="AT1056" t="s">
        <v>967</v>
      </c>
      <c r="AU1056">
        <v>2012</v>
      </c>
      <c r="AV1056">
        <v>22</v>
      </c>
      <c r="AW1056">
        <v>4</v>
      </c>
      <c r="AX1056" t="s">
        <v>74</v>
      </c>
      <c r="AY1056" t="s">
        <v>74</v>
      </c>
      <c r="AZ1056" t="s">
        <v>74</v>
      </c>
      <c r="BA1056" t="s">
        <v>74</v>
      </c>
      <c r="BB1056">
        <v>346</v>
      </c>
      <c r="BC1056">
        <v>352</v>
      </c>
      <c r="BD1056" t="s">
        <v>74</v>
      </c>
      <c r="BE1056" t="s">
        <v>9707</v>
      </c>
      <c r="BF1056" t="str">
        <f>HYPERLINK("http://dx.doi.org/10.3109/08982104.2012.710911","http://dx.doi.org/10.3109/08982104.2012.710911")</f>
        <v>http://dx.doi.org/10.3109/08982104.2012.710911</v>
      </c>
      <c r="BG1056" t="s">
        <v>74</v>
      </c>
      <c r="BH1056" t="s">
        <v>74</v>
      </c>
      <c r="BI1056" t="s">
        <v>74</v>
      </c>
      <c r="BJ1056" t="s">
        <v>9708</v>
      </c>
      <c r="BK1056" t="s">
        <v>117</v>
      </c>
      <c r="BL1056" t="s">
        <v>9708</v>
      </c>
      <c r="BM1056" t="s">
        <v>74</v>
      </c>
      <c r="BN1056">
        <v>22984881</v>
      </c>
      <c r="BO1056" t="s">
        <v>74</v>
      </c>
      <c r="BP1056" t="s">
        <v>74</v>
      </c>
      <c r="BQ1056" t="s">
        <v>74</v>
      </c>
      <c r="BR1056" t="s">
        <v>96</v>
      </c>
      <c r="BS1056" t="s">
        <v>9709</v>
      </c>
      <c r="BT1056" t="str">
        <f>HYPERLINK("https%3A%2F%2Fwww.webofscience.com%2Fwos%2Fwoscc%2Ffull-record%2FWOS:000311552700010","View Full Record in Web of Science")</f>
        <v>View Full Record in Web of Science</v>
      </c>
    </row>
    <row r="1057" spans="1:72" x14ac:dyDescent="0.15">
      <c r="A1057" t="s">
        <v>98</v>
      </c>
      <c r="B1057" t="s">
        <v>11433</v>
      </c>
      <c r="C1057" t="s">
        <v>74</v>
      </c>
      <c r="D1057" t="s">
        <v>74</v>
      </c>
      <c r="E1057" t="s">
        <v>74</v>
      </c>
      <c r="F1057" t="s">
        <v>11434</v>
      </c>
      <c r="G1057" t="s">
        <v>74</v>
      </c>
      <c r="H1057" t="s">
        <v>74</v>
      </c>
      <c r="I1057" t="s">
        <v>11435</v>
      </c>
      <c r="J1057" t="s">
        <v>11436</v>
      </c>
      <c r="K1057" t="s">
        <v>74</v>
      </c>
      <c r="L1057" t="s">
        <v>74</v>
      </c>
      <c r="M1057" t="s">
        <v>74</v>
      </c>
      <c r="N1057" t="s">
        <v>103</v>
      </c>
      <c r="O1057" t="s">
        <v>74</v>
      </c>
      <c r="P1057" t="s">
        <v>74</v>
      </c>
      <c r="Q1057" t="s">
        <v>74</v>
      </c>
      <c r="R1057" t="s">
        <v>74</v>
      </c>
      <c r="S1057" t="s">
        <v>74</v>
      </c>
      <c r="T1057" t="s">
        <v>74</v>
      </c>
      <c r="U1057" t="s">
        <v>11437</v>
      </c>
      <c r="V1057" t="s">
        <v>11438</v>
      </c>
      <c r="W1057" t="s">
        <v>11439</v>
      </c>
      <c r="X1057" t="s">
        <v>11440</v>
      </c>
      <c r="Y1057" t="s">
        <v>11441</v>
      </c>
      <c r="Z1057" t="s">
        <v>11442</v>
      </c>
      <c r="AA1057" t="s">
        <v>74</v>
      </c>
      <c r="AB1057" t="s">
        <v>74</v>
      </c>
      <c r="AC1057" t="s">
        <v>74</v>
      </c>
      <c r="AD1057" t="s">
        <v>74</v>
      </c>
      <c r="AE1057" t="s">
        <v>74</v>
      </c>
      <c r="AF1057" t="s">
        <v>74</v>
      </c>
      <c r="AG1057">
        <v>29</v>
      </c>
      <c r="AH1057">
        <v>13</v>
      </c>
      <c r="AI1057">
        <v>16</v>
      </c>
      <c r="AJ1057">
        <v>0</v>
      </c>
      <c r="AK1057">
        <v>5</v>
      </c>
      <c r="AL1057" t="s">
        <v>74</v>
      </c>
      <c r="AM1057" t="s">
        <v>74</v>
      </c>
      <c r="AN1057" t="s">
        <v>74</v>
      </c>
      <c r="AO1057" t="s">
        <v>11443</v>
      </c>
      <c r="AP1057" t="s">
        <v>11444</v>
      </c>
      <c r="AQ1057" t="s">
        <v>74</v>
      </c>
      <c r="AR1057" t="s">
        <v>74</v>
      </c>
      <c r="AS1057" t="s">
        <v>74</v>
      </c>
      <c r="AT1057" t="s">
        <v>335</v>
      </c>
      <c r="AU1057">
        <v>2018</v>
      </c>
      <c r="AV1057">
        <v>29</v>
      </c>
      <c r="AW1057">
        <v>18</v>
      </c>
      <c r="AX1057" t="s">
        <v>74</v>
      </c>
      <c r="AY1057" t="s">
        <v>74</v>
      </c>
      <c r="AZ1057" t="s">
        <v>74</v>
      </c>
      <c r="BA1057" t="s">
        <v>74</v>
      </c>
      <c r="BB1057">
        <v>2228</v>
      </c>
      <c r="BC1057">
        <v>2242</v>
      </c>
      <c r="BD1057" t="s">
        <v>74</v>
      </c>
      <c r="BE1057" t="s">
        <v>11445</v>
      </c>
      <c r="BF1057" t="str">
        <f>HYPERLINK("http://dx.doi.org/10.1091/mbc.E18-02-0130","http://dx.doi.org/10.1091/mbc.E18-02-0130")</f>
        <v>http://dx.doi.org/10.1091/mbc.E18-02-0130</v>
      </c>
      <c r="BG1057" t="s">
        <v>74</v>
      </c>
      <c r="BH1057" t="s">
        <v>74</v>
      </c>
      <c r="BI1057" t="s">
        <v>74</v>
      </c>
      <c r="BJ1057" t="s">
        <v>135</v>
      </c>
      <c r="BK1057" t="s">
        <v>117</v>
      </c>
      <c r="BL1057" t="s">
        <v>135</v>
      </c>
      <c r="BM1057" t="s">
        <v>74</v>
      </c>
      <c r="BN1057">
        <v>29975106</v>
      </c>
      <c r="BO1057" t="s">
        <v>74</v>
      </c>
      <c r="BP1057" t="s">
        <v>74</v>
      </c>
      <c r="BQ1057" t="s">
        <v>74</v>
      </c>
      <c r="BR1057" t="s">
        <v>96</v>
      </c>
      <c r="BS1057" t="s">
        <v>11446</v>
      </c>
      <c r="BT1057" t="str">
        <f>HYPERLINK("https%3A%2F%2Fwww.webofscience.com%2Fwos%2Fwoscc%2Ffull-record%2FWOS:000451908100009","View Full Record in Web of Science")</f>
        <v>View Full Record in Web of Science</v>
      </c>
    </row>
    <row r="1058" spans="1:72" x14ac:dyDescent="0.15">
      <c r="A1058" t="s">
        <v>98</v>
      </c>
      <c r="B1058" t="s">
        <v>12245</v>
      </c>
      <c r="C1058" t="s">
        <v>74</v>
      </c>
      <c r="D1058" t="s">
        <v>74</v>
      </c>
      <c r="E1058" t="s">
        <v>74</v>
      </c>
      <c r="F1058" t="s">
        <v>12246</v>
      </c>
      <c r="G1058" t="s">
        <v>74</v>
      </c>
      <c r="H1058" t="s">
        <v>74</v>
      </c>
      <c r="I1058" t="s">
        <v>12247</v>
      </c>
      <c r="J1058" t="s">
        <v>325</v>
      </c>
      <c r="K1058" t="s">
        <v>74</v>
      </c>
      <c r="L1058" t="s">
        <v>74</v>
      </c>
      <c r="M1058" t="s">
        <v>74</v>
      </c>
      <c r="N1058" t="s">
        <v>103</v>
      </c>
      <c r="O1058" t="s">
        <v>74</v>
      </c>
      <c r="P1058" t="s">
        <v>74</v>
      </c>
      <c r="Q1058" t="s">
        <v>74</v>
      </c>
      <c r="R1058" t="s">
        <v>74</v>
      </c>
      <c r="S1058" t="s">
        <v>74</v>
      </c>
      <c r="T1058" t="s">
        <v>12248</v>
      </c>
      <c r="U1058" t="s">
        <v>12249</v>
      </c>
      <c r="V1058" t="s">
        <v>12250</v>
      </c>
      <c r="W1058" t="s">
        <v>12251</v>
      </c>
      <c r="X1058" t="s">
        <v>12252</v>
      </c>
      <c r="Y1058" t="s">
        <v>12253</v>
      </c>
      <c r="Z1058" t="s">
        <v>12254</v>
      </c>
      <c r="AA1058" t="s">
        <v>74</v>
      </c>
      <c r="AB1058" t="s">
        <v>12255</v>
      </c>
      <c r="AC1058" t="s">
        <v>74</v>
      </c>
      <c r="AD1058" t="s">
        <v>74</v>
      </c>
      <c r="AE1058" t="s">
        <v>74</v>
      </c>
      <c r="AF1058" t="s">
        <v>74</v>
      </c>
      <c r="AG1058">
        <v>27</v>
      </c>
      <c r="AH1058">
        <v>13</v>
      </c>
      <c r="AI1058">
        <v>13</v>
      </c>
      <c r="AJ1058">
        <v>0</v>
      </c>
      <c r="AK1058">
        <v>8</v>
      </c>
      <c r="AL1058" t="s">
        <v>74</v>
      </c>
      <c r="AM1058" t="s">
        <v>74</v>
      </c>
      <c r="AN1058" t="s">
        <v>74</v>
      </c>
      <c r="AO1058" t="s">
        <v>333</v>
      </c>
      <c r="AP1058" t="s">
        <v>334</v>
      </c>
      <c r="AQ1058" t="s">
        <v>74</v>
      </c>
      <c r="AR1058" t="s">
        <v>74</v>
      </c>
      <c r="AS1058" t="s">
        <v>74</v>
      </c>
      <c r="AT1058" t="s">
        <v>7400</v>
      </c>
      <c r="AU1058">
        <v>2020</v>
      </c>
      <c r="AV1058">
        <v>39</v>
      </c>
      <c r="AW1058">
        <v>11</v>
      </c>
      <c r="AX1058" t="s">
        <v>74</v>
      </c>
      <c r="AY1058" t="s">
        <v>74</v>
      </c>
      <c r="AZ1058" t="s">
        <v>74</v>
      </c>
      <c r="BA1058" t="s">
        <v>74</v>
      </c>
      <c r="BB1058">
        <v>2005</v>
      </c>
      <c r="BC1058">
        <v>2016</v>
      </c>
      <c r="BD1058" t="s">
        <v>74</v>
      </c>
      <c r="BE1058" t="s">
        <v>12256</v>
      </c>
      <c r="BF1058" t="str">
        <f>HYPERLINK("http://dx.doi.org/10.1089/dna.2020.5783","http://dx.doi.org/10.1089/dna.2020.5783")</f>
        <v>http://dx.doi.org/10.1089/dna.2020.5783</v>
      </c>
      <c r="BG1058" t="s">
        <v>74</v>
      </c>
      <c r="BH1058" t="s">
        <v>1479</v>
      </c>
      <c r="BI1058" t="s">
        <v>74</v>
      </c>
      <c r="BJ1058" t="s">
        <v>338</v>
      </c>
      <c r="BK1058" t="s">
        <v>117</v>
      </c>
      <c r="BL1058" t="s">
        <v>338</v>
      </c>
      <c r="BM1058" t="s">
        <v>74</v>
      </c>
      <c r="BN1058">
        <v>32986505</v>
      </c>
      <c r="BO1058" t="s">
        <v>74</v>
      </c>
      <c r="BP1058" t="s">
        <v>74</v>
      </c>
      <c r="BQ1058" t="s">
        <v>74</v>
      </c>
      <c r="BR1058" t="s">
        <v>96</v>
      </c>
      <c r="BS1058" t="s">
        <v>12257</v>
      </c>
      <c r="BT1058" t="str">
        <f>HYPERLINK("https%3A%2F%2Fwww.webofscience.com%2Fwos%2Fwoscc%2Ffull-record%2FWOS:000574508300001","View Full Record in Web of Science")</f>
        <v>View Full Record in Web of Science</v>
      </c>
    </row>
    <row r="1059" spans="1:72" x14ac:dyDescent="0.15">
      <c r="A1059" t="s">
        <v>98</v>
      </c>
      <c r="B1059" t="s">
        <v>12338</v>
      </c>
      <c r="C1059" t="s">
        <v>74</v>
      </c>
      <c r="D1059" t="s">
        <v>74</v>
      </c>
      <c r="E1059" t="s">
        <v>74</v>
      </c>
      <c r="F1059" t="s">
        <v>12339</v>
      </c>
      <c r="G1059" t="s">
        <v>74</v>
      </c>
      <c r="H1059" t="s">
        <v>74</v>
      </c>
      <c r="I1059" t="s">
        <v>12340</v>
      </c>
      <c r="J1059" t="s">
        <v>12341</v>
      </c>
      <c r="K1059" t="s">
        <v>74</v>
      </c>
      <c r="L1059" t="s">
        <v>74</v>
      </c>
      <c r="M1059" t="s">
        <v>74</v>
      </c>
      <c r="N1059" t="s">
        <v>103</v>
      </c>
      <c r="O1059" t="s">
        <v>74</v>
      </c>
      <c r="P1059" t="s">
        <v>74</v>
      </c>
      <c r="Q1059" t="s">
        <v>74</v>
      </c>
      <c r="R1059" t="s">
        <v>74</v>
      </c>
      <c r="S1059" t="s">
        <v>74</v>
      </c>
      <c r="T1059" t="s">
        <v>12342</v>
      </c>
      <c r="U1059" t="s">
        <v>12343</v>
      </c>
      <c r="V1059" t="s">
        <v>12344</v>
      </c>
      <c r="W1059" t="s">
        <v>12345</v>
      </c>
      <c r="X1059" t="s">
        <v>12346</v>
      </c>
      <c r="Y1059" t="s">
        <v>12347</v>
      </c>
      <c r="Z1059" t="s">
        <v>12348</v>
      </c>
      <c r="AA1059" t="s">
        <v>74</v>
      </c>
      <c r="AB1059" t="s">
        <v>12349</v>
      </c>
      <c r="AC1059" t="s">
        <v>74</v>
      </c>
      <c r="AD1059" t="s">
        <v>74</v>
      </c>
      <c r="AE1059" t="s">
        <v>74</v>
      </c>
      <c r="AF1059" t="s">
        <v>74</v>
      </c>
      <c r="AG1059">
        <v>38</v>
      </c>
      <c r="AH1059">
        <v>13</v>
      </c>
      <c r="AI1059">
        <v>13</v>
      </c>
      <c r="AJ1059">
        <v>1</v>
      </c>
      <c r="AK1059">
        <v>6</v>
      </c>
      <c r="AL1059" t="s">
        <v>74</v>
      </c>
      <c r="AM1059" t="s">
        <v>74</v>
      </c>
      <c r="AN1059" t="s">
        <v>74</v>
      </c>
      <c r="AO1059" t="s">
        <v>74</v>
      </c>
      <c r="AP1059" t="s">
        <v>12350</v>
      </c>
      <c r="AQ1059" t="s">
        <v>74</v>
      </c>
      <c r="AR1059" t="s">
        <v>74</v>
      </c>
      <c r="AS1059" t="s">
        <v>74</v>
      </c>
      <c r="AT1059" t="s">
        <v>1321</v>
      </c>
      <c r="AU1059">
        <v>2019</v>
      </c>
      <c r="AV1059">
        <v>19</v>
      </c>
      <c r="AW1059">
        <v>1</v>
      </c>
      <c r="AX1059" t="s">
        <v>74</v>
      </c>
      <c r="AY1059" t="s">
        <v>74</v>
      </c>
      <c r="AZ1059" t="s">
        <v>74</v>
      </c>
      <c r="BA1059" t="s">
        <v>74</v>
      </c>
      <c r="BB1059" t="s">
        <v>74</v>
      </c>
      <c r="BC1059" t="s">
        <v>74</v>
      </c>
      <c r="BD1059">
        <v>251</v>
      </c>
      <c r="BE1059" t="s">
        <v>12351</v>
      </c>
      <c r="BF1059" t="str">
        <f>HYPERLINK("http://dx.doi.org/10.1186/s12935-019-0978-8","http://dx.doi.org/10.1186/s12935-019-0978-8")</f>
        <v>http://dx.doi.org/10.1186/s12935-019-0978-8</v>
      </c>
      <c r="BG1059" t="s">
        <v>74</v>
      </c>
      <c r="BH1059" t="s">
        <v>74</v>
      </c>
      <c r="BI1059" t="s">
        <v>74</v>
      </c>
      <c r="BJ1059" t="s">
        <v>267</v>
      </c>
      <c r="BK1059" t="s">
        <v>117</v>
      </c>
      <c r="BL1059" t="s">
        <v>267</v>
      </c>
      <c r="BM1059" t="s">
        <v>74</v>
      </c>
      <c r="BN1059">
        <v>31582907</v>
      </c>
      <c r="BO1059" t="s">
        <v>74</v>
      </c>
      <c r="BP1059" t="s">
        <v>74</v>
      </c>
      <c r="BQ1059" t="s">
        <v>74</v>
      </c>
      <c r="BR1059" t="s">
        <v>96</v>
      </c>
      <c r="BS1059" t="s">
        <v>12352</v>
      </c>
      <c r="BT1059" t="str">
        <f>HYPERLINK("https%3A%2F%2Fwww.webofscience.com%2Fwos%2Fwoscc%2Ffull-record%2FWOS:000488473300001","View Full Record in Web of Science")</f>
        <v>View Full Record in Web of Science</v>
      </c>
    </row>
    <row r="1060" spans="1:72" x14ac:dyDescent="0.15">
      <c r="A1060" t="s">
        <v>98</v>
      </c>
      <c r="B1060" t="s">
        <v>13837</v>
      </c>
      <c r="C1060" t="s">
        <v>74</v>
      </c>
      <c r="D1060" t="s">
        <v>74</v>
      </c>
      <c r="E1060" t="s">
        <v>74</v>
      </c>
      <c r="F1060" t="s">
        <v>13838</v>
      </c>
      <c r="G1060" t="s">
        <v>74</v>
      </c>
      <c r="H1060" t="s">
        <v>74</v>
      </c>
      <c r="I1060" t="s">
        <v>13839</v>
      </c>
      <c r="J1060" t="s">
        <v>13840</v>
      </c>
      <c r="K1060" t="s">
        <v>74</v>
      </c>
      <c r="L1060" t="s">
        <v>74</v>
      </c>
      <c r="M1060" t="s">
        <v>74</v>
      </c>
      <c r="N1060" t="s">
        <v>103</v>
      </c>
      <c r="O1060" t="s">
        <v>74</v>
      </c>
      <c r="P1060" t="s">
        <v>74</v>
      </c>
      <c r="Q1060" t="s">
        <v>74</v>
      </c>
      <c r="R1060" t="s">
        <v>74</v>
      </c>
      <c r="S1060" t="s">
        <v>74</v>
      </c>
      <c r="T1060" t="s">
        <v>74</v>
      </c>
      <c r="U1060" t="s">
        <v>13841</v>
      </c>
      <c r="V1060" t="s">
        <v>13842</v>
      </c>
      <c r="W1060" t="s">
        <v>13843</v>
      </c>
      <c r="X1060" t="s">
        <v>7628</v>
      </c>
      <c r="Y1060" t="s">
        <v>13844</v>
      </c>
      <c r="Z1060" t="s">
        <v>7630</v>
      </c>
      <c r="AA1060" t="s">
        <v>74</v>
      </c>
      <c r="AB1060" t="s">
        <v>12110</v>
      </c>
      <c r="AC1060" t="s">
        <v>74</v>
      </c>
      <c r="AD1060" t="s">
        <v>74</v>
      </c>
      <c r="AE1060" t="s">
        <v>74</v>
      </c>
      <c r="AF1060" t="s">
        <v>74</v>
      </c>
      <c r="AG1060">
        <v>59</v>
      </c>
      <c r="AH1060">
        <v>13</v>
      </c>
      <c r="AI1060">
        <v>13</v>
      </c>
      <c r="AJ1060">
        <v>9</v>
      </c>
      <c r="AK1060">
        <v>85</v>
      </c>
      <c r="AL1060" t="s">
        <v>74</v>
      </c>
      <c r="AM1060" t="s">
        <v>74</v>
      </c>
      <c r="AN1060" t="s">
        <v>74</v>
      </c>
      <c r="AO1060" t="s">
        <v>13845</v>
      </c>
      <c r="AP1060" t="s">
        <v>13846</v>
      </c>
      <c r="AQ1060" t="s">
        <v>74</v>
      </c>
      <c r="AR1060" t="s">
        <v>74</v>
      </c>
      <c r="AS1060" t="s">
        <v>74</v>
      </c>
      <c r="AT1060" t="s">
        <v>10304</v>
      </c>
      <c r="AU1060">
        <v>2020</v>
      </c>
      <c r="AV1060">
        <v>8</v>
      </c>
      <c r="AW1060">
        <v>14</v>
      </c>
      <c r="AX1060" t="s">
        <v>74</v>
      </c>
      <c r="AY1060" t="s">
        <v>74</v>
      </c>
      <c r="AZ1060" t="s">
        <v>74</v>
      </c>
      <c r="BA1060" t="s">
        <v>74</v>
      </c>
      <c r="BB1060">
        <v>2845</v>
      </c>
      <c r="BC1060">
        <v>2855</v>
      </c>
      <c r="BD1060" t="s">
        <v>74</v>
      </c>
      <c r="BE1060" t="s">
        <v>13847</v>
      </c>
      <c r="BF1060" t="str">
        <f>HYPERLINK("http://dx.doi.org/10.1039/c9tb02610j","http://dx.doi.org/10.1039/c9tb02610j")</f>
        <v>http://dx.doi.org/10.1039/c9tb02610j</v>
      </c>
      <c r="BG1060" t="s">
        <v>74</v>
      </c>
      <c r="BH1060" t="s">
        <v>74</v>
      </c>
      <c r="BI1060" t="s">
        <v>74</v>
      </c>
      <c r="BJ1060" t="s">
        <v>3945</v>
      </c>
      <c r="BK1060" t="s">
        <v>117</v>
      </c>
      <c r="BL1060" t="s">
        <v>3946</v>
      </c>
      <c r="BM1060" t="s">
        <v>74</v>
      </c>
      <c r="BN1060">
        <v>32175535</v>
      </c>
      <c r="BO1060" t="s">
        <v>74</v>
      </c>
      <c r="BP1060" t="s">
        <v>74</v>
      </c>
      <c r="BQ1060" t="s">
        <v>74</v>
      </c>
      <c r="BR1060" t="s">
        <v>96</v>
      </c>
      <c r="BS1060" t="s">
        <v>13848</v>
      </c>
      <c r="BT1060" t="str">
        <f>HYPERLINK("https%3A%2F%2Fwww.webofscience.com%2Fwos%2Fwoscc%2Ffull-record%2FWOS:000525489500008","View Full Record in Web of Science")</f>
        <v>View Full Record in Web of Science</v>
      </c>
    </row>
    <row r="1061" spans="1:72" x14ac:dyDescent="0.15">
      <c r="A1061" t="s">
        <v>98</v>
      </c>
      <c r="B1061" t="s">
        <v>14313</v>
      </c>
      <c r="C1061" t="s">
        <v>74</v>
      </c>
      <c r="D1061" t="s">
        <v>74</v>
      </c>
      <c r="E1061" t="s">
        <v>74</v>
      </c>
      <c r="F1061" t="s">
        <v>14314</v>
      </c>
      <c r="G1061" t="s">
        <v>74</v>
      </c>
      <c r="H1061" t="s">
        <v>74</v>
      </c>
      <c r="I1061" t="s">
        <v>14315</v>
      </c>
      <c r="J1061" t="s">
        <v>7488</v>
      </c>
      <c r="K1061" t="s">
        <v>74</v>
      </c>
      <c r="L1061" t="s">
        <v>74</v>
      </c>
      <c r="M1061" t="s">
        <v>74</v>
      </c>
      <c r="N1061" t="s">
        <v>103</v>
      </c>
      <c r="O1061" t="s">
        <v>74</v>
      </c>
      <c r="P1061" t="s">
        <v>74</v>
      </c>
      <c r="Q1061" t="s">
        <v>74</v>
      </c>
      <c r="R1061" t="s">
        <v>74</v>
      </c>
      <c r="S1061" t="s">
        <v>74</v>
      </c>
      <c r="T1061" t="s">
        <v>14316</v>
      </c>
      <c r="U1061" t="s">
        <v>14317</v>
      </c>
      <c r="V1061" t="s">
        <v>14318</v>
      </c>
      <c r="W1061" t="s">
        <v>14319</v>
      </c>
      <c r="X1061" t="s">
        <v>14320</v>
      </c>
      <c r="Y1061" t="s">
        <v>14321</v>
      </c>
      <c r="Z1061" t="s">
        <v>14322</v>
      </c>
      <c r="AA1061" t="s">
        <v>74</v>
      </c>
      <c r="AB1061" t="s">
        <v>14323</v>
      </c>
      <c r="AC1061" t="s">
        <v>74</v>
      </c>
      <c r="AD1061" t="s">
        <v>74</v>
      </c>
      <c r="AE1061" t="s">
        <v>74</v>
      </c>
      <c r="AF1061" t="s">
        <v>74</v>
      </c>
      <c r="AG1061">
        <v>42</v>
      </c>
      <c r="AH1061">
        <v>13</v>
      </c>
      <c r="AI1061">
        <v>13</v>
      </c>
      <c r="AJ1061">
        <v>0</v>
      </c>
      <c r="AK1061">
        <v>12</v>
      </c>
      <c r="AL1061" t="s">
        <v>74</v>
      </c>
      <c r="AM1061" t="s">
        <v>74</v>
      </c>
      <c r="AN1061" t="s">
        <v>74</v>
      </c>
      <c r="AO1061" t="s">
        <v>7496</v>
      </c>
      <c r="AP1061" t="s">
        <v>14324</v>
      </c>
      <c r="AQ1061" t="s">
        <v>74</v>
      </c>
      <c r="AR1061" t="s">
        <v>74</v>
      </c>
      <c r="AS1061" t="s">
        <v>74</v>
      </c>
      <c r="AT1061" t="s">
        <v>170</v>
      </c>
      <c r="AU1061">
        <v>2017</v>
      </c>
      <c r="AV1061">
        <v>107</v>
      </c>
      <c r="AW1061" t="s">
        <v>74</v>
      </c>
      <c r="AX1061" t="s">
        <v>74</v>
      </c>
      <c r="AY1061" t="s">
        <v>74</v>
      </c>
      <c r="AZ1061" t="s">
        <v>74</v>
      </c>
      <c r="BA1061" t="s">
        <v>74</v>
      </c>
      <c r="BB1061">
        <v>6</v>
      </c>
      <c r="BC1061">
        <v>11</v>
      </c>
      <c r="BD1061" t="s">
        <v>74</v>
      </c>
      <c r="BE1061" t="s">
        <v>14325</v>
      </c>
      <c r="BF1061" t="str">
        <f>HYPERLINK("http://dx.doi.org/10.1016/j.micpath.2017.03.006","http://dx.doi.org/10.1016/j.micpath.2017.03.006")</f>
        <v>http://dx.doi.org/10.1016/j.micpath.2017.03.006</v>
      </c>
      <c r="BG1061" t="s">
        <v>74</v>
      </c>
      <c r="BH1061" t="s">
        <v>74</v>
      </c>
      <c r="BI1061" t="s">
        <v>74</v>
      </c>
      <c r="BJ1061" t="s">
        <v>3257</v>
      </c>
      <c r="BK1061" t="s">
        <v>117</v>
      </c>
      <c r="BL1061" t="s">
        <v>3257</v>
      </c>
      <c r="BM1061" t="s">
        <v>74</v>
      </c>
      <c r="BN1061">
        <v>28284851</v>
      </c>
      <c r="BO1061" t="s">
        <v>74</v>
      </c>
      <c r="BP1061" t="s">
        <v>74</v>
      </c>
      <c r="BQ1061" t="s">
        <v>74</v>
      </c>
      <c r="BR1061" t="s">
        <v>96</v>
      </c>
      <c r="BS1061" t="s">
        <v>14326</v>
      </c>
      <c r="BT1061" t="str">
        <f>HYPERLINK("https%3A%2F%2Fwww.webofscience.com%2Fwos%2Fwoscc%2Ffull-record%2FWOS:000402496000002","View Full Record in Web of Science")</f>
        <v>View Full Record in Web of Science</v>
      </c>
    </row>
    <row r="1062" spans="1:72" x14ac:dyDescent="0.15">
      <c r="A1062" t="s">
        <v>98</v>
      </c>
      <c r="B1062" t="s">
        <v>15551</v>
      </c>
      <c r="C1062" t="s">
        <v>74</v>
      </c>
      <c r="D1062" t="s">
        <v>74</v>
      </c>
      <c r="E1062" t="s">
        <v>74</v>
      </c>
      <c r="F1062" t="s">
        <v>15552</v>
      </c>
      <c r="G1062" t="s">
        <v>74</v>
      </c>
      <c r="H1062" t="s">
        <v>74</v>
      </c>
      <c r="I1062" t="s">
        <v>15553</v>
      </c>
      <c r="J1062" t="s">
        <v>13730</v>
      </c>
      <c r="K1062" t="s">
        <v>74</v>
      </c>
      <c r="L1062" t="s">
        <v>74</v>
      </c>
      <c r="M1062" t="s">
        <v>74</v>
      </c>
      <c r="N1062" t="s">
        <v>103</v>
      </c>
      <c r="O1062" t="s">
        <v>74</v>
      </c>
      <c r="P1062" t="s">
        <v>74</v>
      </c>
      <c r="Q1062" t="s">
        <v>74</v>
      </c>
      <c r="R1062" t="s">
        <v>74</v>
      </c>
      <c r="S1062" t="s">
        <v>74</v>
      </c>
      <c r="T1062" t="s">
        <v>15554</v>
      </c>
      <c r="U1062" t="s">
        <v>15555</v>
      </c>
      <c r="V1062" t="s">
        <v>15556</v>
      </c>
      <c r="W1062" t="s">
        <v>15557</v>
      </c>
      <c r="X1062" t="s">
        <v>15558</v>
      </c>
      <c r="Y1062" t="s">
        <v>15559</v>
      </c>
      <c r="Z1062" t="s">
        <v>15560</v>
      </c>
      <c r="AA1062" t="s">
        <v>15561</v>
      </c>
      <c r="AB1062" t="s">
        <v>15562</v>
      </c>
      <c r="AC1062" t="s">
        <v>74</v>
      </c>
      <c r="AD1062" t="s">
        <v>74</v>
      </c>
      <c r="AE1062" t="s">
        <v>74</v>
      </c>
      <c r="AF1062" t="s">
        <v>74</v>
      </c>
      <c r="AG1062">
        <v>38</v>
      </c>
      <c r="AH1062">
        <v>13</v>
      </c>
      <c r="AI1062">
        <v>13</v>
      </c>
      <c r="AJ1062">
        <v>0</v>
      </c>
      <c r="AK1062">
        <v>11</v>
      </c>
      <c r="AL1062" t="s">
        <v>74</v>
      </c>
      <c r="AM1062" t="s">
        <v>74</v>
      </c>
      <c r="AN1062" t="s">
        <v>74</v>
      </c>
      <c r="AO1062" t="s">
        <v>13740</v>
      </c>
      <c r="AP1062" t="s">
        <v>13741</v>
      </c>
      <c r="AQ1062" t="s">
        <v>74</v>
      </c>
      <c r="AR1062" t="s">
        <v>74</v>
      </c>
      <c r="AS1062" t="s">
        <v>74</v>
      </c>
      <c r="AT1062" t="s">
        <v>13457</v>
      </c>
      <c r="AU1062">
        <v>2019</v>
      </c>
      <c r="AV1062">
        <v>299</v>
      </c>
      <c r="AW1062" t="s">
        <v>74</v>
      </c>
      <c r="AX1062" t="s">
        <v>74</v>
      </c>
      <c r="AY1062" t="s">
        <v>74</v>
      </c>
      <c r="AZ1062" t="s">
        <v>74</v>
      </c>
      <c r="BA1062" t="s">
        <v>74</v>
      </c>
      <c r="BB1062">
        <v>66</v>
      </c>
      <c r="BC1062">
        <v>71</v>
      </c>
      <c r="BD1062" t="s">
        <v>74</v>
      </c>
      <c r="BE1062" t="s">
        <v>15563</v>
      </c>
      <c r="BF1062" t="str">
        <f>HYPERLINK("http://dx.doi.org/10.1016/j.jbiotec.2019.04.018","http://dx.doi.org/10.1016/j.jbiotec.2019.04.018")</f>
        <v>http://dx.doi.org/10.1016/j.jbiotec.2019.04.018</v>
      </c>
      <c r="BG1062" t="s">
        <v>74</v>
      </c>
      <c r="BH1062" t="s">
        <v>74</v>
      </c>
      <c r="BI1062" t="s">
        <v>74</v>
      </c>
      <c r="BJ1062" t="s">
        <v>13743</v>
      </c>
      <c r="BK1062" t="s">
        <v>117</v>
      </c>
      <c r="BL1062" t="s">
        <v>13743</v>
      </c>
      <c r="BM1062" t="s">
        <v>74</v>
      </c>
      <c r="BN1062">
        <v>31063814</v>
      </c>
      <c r="BO1062" t="s">
        <v>74</v>
      </c>
      <c r="BP1062" t="s">
        <v>74</v>
      </c>
      <c r="BQ1062" t="s">
        <v>74</v>
      </c>
      <c r="BR1062" t="s">
        <v>96</v>
      </c>
      <c r="BS1062" t="s">
        <v>15564</v>
      </c>
      <c r="BT1062" t="str">
        <f>HYPERLINK("https%3A%2F%2Fwww.webofscience.com%2Fwos%2Fwoscc%2Ffull-record%2FWOS:000468162100010","View Full Record in Web of Science")</f>
        <v>View Full Record in Web of Science</v>
      </c>
    </row>
    <row r="1063" spans="1:72" x14ac:dyDescent="0.15">
      <c r="A1063" t="s">
        <v>98</v>
      </c>
      <c r="B1063" t="s">
        <v>15843</v>
      </c>
      <c r="C1063" t="s">
        <v>74</v>
      </c>
      <c r="D1063" t="s">
        <v>74</v>
      </c>
      <c r="E1063" t="s">
        <v>74</v>
      </c>
      <c r="F1063" t="s">
        <v>15844</v>
      </c>
      <c r="G1063" t="s">
        <v>74</v>
      </c>
      <c r="H1063" t="s">
        <v>74</v>
      </c>
      <c r="I1063" t="s">
        <v>15845</v>
      </c>
      <c r="J1063" t="s">
        <v>15846</v>
      </c>
      <c r="K1063" t="s">
        <v>74</v>
      </c>
      <c r="L1063" t="s">
        <v>74</v>
      </c>
      <c r="M1063" t="s">
        <v>74</v>
      </c>
      <c r="N1063" t="s">
        <v>103</v>
      </c>
      <c r="O1063" t="s">
        <v>74</v>
      </c>
      <c r="P1063" t="s">
        <v>74</v>
      </c>
      <c r="Q1063" t="s">
        <v>74</v>
      </c>
      <c r="R1063" t="s">
        <v>74</v>
      </c>
      <c r="S1063" t="s">
        <v>74</v>
      </c>
      <c r="T1063" t="s">
        <v>15847</v>
      </c>
      <c r="U1063" t="s">
        <v>15848</v>
      </c>
      <c r="V1063" t="s">
        <v>15849</v>
      </c>
      <c r="W1063" t="s">
        <v>15850</v>
      </c>
      <c r="X1063" t="s">
        <v>74</v>
      </c>
      <c r="Y1063" t="s">
        <v>15851</v>
      </c>
      <c r="Z1063" t="s">
        <v>15852</v>
      </c>
      <c r="AA1063" t="s">
        <v>74</v>
      </c>
      <c r="AB1063" t="s">
        <v>74</v>
      </c>
      <c r="AC1063" t="s">
        <v>74</v>
      </c>
      <c r="AD1063" t="s">
        <v>74</v>
      </c>
      <c r="AE1063" t="s">
        <v>74</v>
      </c>
      <c r="AF1063" t="s">
        <v>74</v>
      </c>
      <c r="AG1063">
        <v>21</v>
      </c>
      <c r="AH1063">
        <v>13</v>
      </c>
      <c r="AI1063">
        <v>13</v>
      </c>
      <c r="AJ1063">
        <v>2</v>
      </c>
      <c r="AK1063">
        <v>7</v>
      </c>
      <c r="AL1063" t="s">
        <v>74</v>
      </c>
      <c r="AM1063" t="s">
        <v>74</v>
      </c>
      <c r="AN1063" t="s">
        <v>74</v>
      </c>
      <c r="AO1063" t="s">
        <v>15853</v>
      </c>
      <c r="AP1063" t="s">
        <v>15854</v>
      </c>
      <c r="AQ1063" t="s">
        <v>74</v>
      </c>
      <c r="AR1063" t="s">
        <v>74</v>
      </c>
      <c r="AS1063" t="s">
        <v>74</v>
      </c>
      <c r="AT1063" t="s">
        <v>15855</v>
      </c>
      <c r="AU1063">
        <v>2019</v>
      </c>
      <c r="AV1063">
        <v>65</v>
      </c>
      <c r="AW1063">
        <v>3</v>
      </c>
      <c r="AX1063" t="s">
        <v>74</v>
      </c>
      <c r="AY1063" t="s">
        <v>74</v>
      </c>
      <c r="AZ1063" t="s">
        <v>74</v>
      </c>
      <c r="BA1063" t="s">
        <v>74</v>
      </c>
      <c r="BB1063">
        <v>285</v>
      </c>
      <c r="BC1063">
        <v>292</v>
      </c>
      <c r="BD1063" t="s">
        <v>74</v>
      </c>
      <c r="BE1063" t="s">
        <v>15856</v>
      </c>
      <c r="BF1063" t="str">
        <f>HYPERLINK("http://dx.doi.org/10.1097/MAT.0000000000000810","http://dx.doi.org/10.1097/MAT.0000000000000810")</f>
        <v>http://dx.doi.org/10.1097/MAT.0000000000000810</v>
      </c>
      <c r="BG1063" t="s">
        <v>74</v>
      </c>
      <c r="BH1063" t="s">
        <v>74</v>
      </c>
      <c r="BI1063" t="s">
        <v>74</v>
      </c>
      <c r="BJ1063" t="s">
        <v>15857</v>
      </c>
      <c r="BK1063" t="s">
        <v>117</v>
      </c>
      <c r="BL1063" t="s">
        <v>15858</v>
      </c>
      <c r="BM1063" t="s">
        <v>74</v>
      </c>
      <c r="BN1063">
        <v>29762232</v>
      </c>
      <c r="BO1063" t="s">
        <v>74</v>
      </c>
      <c r="BP1063" t="s">
        <v>74</v>
      </c>
      <c r="BQ1063" t="s">
        <v>74</v>
      </c>
      <c r="BR1063" t="s">
        <v>96</v>
      </c>
      <c r="BS1063" t="s">
        <v>15859</v>
      </c>
      <c r="BT1063" t="str">
        <f>HYPERLINK("https%3A%2F%2Fwww.webofscience.com%2Fwos%2Fwoscc%2Ffull-record%2FWOS:000460295000015","View Full Record in Web of Science")</f>
        <v>View Full Record in Web of Science</v>
      </c>
    </row>
    <row r="1064" spans="1:72" x14ac:dyDescent="0.15">
      <c r="A1064" t="s">
        <v>98</v>
      </c>
      <c r="B1064" t="s">
        <v>16236</v>
      </c>
      <c r="C1064" t="s">
        <v>74</v>
      </c>
      <c r="D1064" t="s">
        <v>74</v>
      </c>
      <c r="E1064" t="s">
        <v>74</v>
      </c>
      <c r="F1064" t="s">
        <v>16237</v>
      </c>
      <c r="G1064" t="s">
        <v>74</v>
      </c>
      <c r="H1064" t="s">
        <v>74</v>
      </c>
      <c r="I1064" t="s">
        <v>16238</v>
      </c>
      <c r="J1064" t="s">
        <v>9992</v>
      </c>
      <c r="K1064" t="s">
        <v>74</v>
      </c>
      <c r="L1064" t="s">
        <v>74</v>
      </c>
      <c r="M1064" t="s">
        <v>74</v>
      </c>
      <c r="N1064" t="s">
        <v>103</v>
      </c>
      <c r="O1064" t="s">
        <v>74</v>
      </c>
      <c r="P1064" t="s">
        <v>74</v>
      </c>
      <c r="Q1064" t="s">
        <v>74</v>
      </c>
      <c r="R1064" t="s">
        <v>74</v>
      </c>
      <c r="S1064" t="s">
        <v>74</v>
      </c>
      <c r="T1064" t="s">
        <v>16239</v>
      </c>
      <c r="U1064" t="s">
        <v>16240</v>
      </c>
      <c r="V1064" t="s">
        <v>16241</v>
      </c>
      <c r="W1064" t="s">
        <v>16242</v>
      </c>
      <c r="X1064" t="s">
        <v>16243</v>
      </c>
      <c r="Y1064" t="s">
        <v>16244</v>
      </c>
      <c r="Z1064" t="s">
        <v>16245</v>
      </c>
      <c r="AA1064" t="s">
        <v>74</v>
      </c>
      <c r="AB1064" t="s">
        <v>74</v>
      </c>
      <c r="AC1064" t="s">
        <v>74</v>
      </c>
      <c r="AD1064" t="s">
        <v>74</v>
      </c>
      <c r="AE1064" t="s">
        <v>74</v>
      </c>
      <c r="AF1064" t="s">
        <v>74</v>
      </c>
      <c r="AG1064">
        <v>40</v>
      </c>
      <c r="AH1064">
        <v>13</v>
      </c>
      <c r="AI1064">
        <v>14</v>
      </c>
      <c r="AJ1064">
        <v>1</v>
      </c>
      <c r="AK1064">
        <v>9</v>
      </c>
      <c r="AL1064" t="s">
        <v>74</v>
      </c>
      <c r="AM1064" t="s">
        <v>74</v>
      </c>
      <c r="AN1064" t="s">
        <v>74</v>
      </c>
      <c r="AO1064" t="s">
        <v>10000</v>
      </c>
      <c r="AP1064" t="s">
        <v>10001</v>
      </c>
      <c r="AQ1064" t="s">
        <v>74</v>
      </c>
      <c r="AR1064" t="s">
        <v>74</v>
      </c>
      <c r="AS1064" t="s">
        <v>74</v>
      </c>
      <c r="AT1064" t="s">
        <v>614</v>
      </c>
      <c r="AU1064">
        <v>2020</v>
      </c>
      <c r="AV1064">
        <v>98</v>
      </c>
      <c r="AW1064">
        <v>7</v>
      </c>
      <c r="AX1064" t="s">
        <v>74</v>
      </c>
      <c r="AY1064" t="s">
        <v>74</v>
      </c>
      <c r="AZ1064" t="s">
        <v>74</v>
      </c>
      <c r="BA1064" t="s">
        <v>74</v>
      </c>
      <c r="BB1064">
        <v>1021</v>
      </c>
      <c r="BC1064">
        <v>1034</v>
      </c>
      <c r="BD1064" t="s">
        <v>74</v>
      </c>
      <c r="BE1064" t="s">
        <v>16246</v>
      </c>
      <c r="BF1064" t="str">
        <f>HYPERLINK("http://dx.doi.org/10.1007/s00109-020-01926-7","http://dx.doi.org/10.1007/s00109-020-01926-7")</f>
        <v>http://dx.doi.org/10.1007/s00109-020-01926-7</v>
      </c>
      <c r="BG1064" t="s">
        <v>74</v>
      </c>
      <c r="BH1064" t="s">
        <v>337</v>
      </c>
      <c r="BI1064" t="s">
        <v>74</v>
      </c>
      <c r="BJ1064" t="s">
        <v>10003</v>
      </c>
      <c r="BK1064" t="s">
        <v>117</v>
      </c>
      <c r="BL1064" t="s">
        <v>10004</v>
      </c>
      <c r="BM1064" t="s">
        <v>74</v>
      </c>
      <c r="BN1064">
        <v>32556367</v>
      </c>
      <c r="BO1064" t="s">
        <v>74</v>
      </c>
      <c r="BP1064" t="s">
        <v>74</v>
      </c>
      <c r="BQ1064" t="s">
        <v>74</v>
      </c>
      <c r="BR1064" t="s">
        <v>96</v>
      </c>
      <c r="BS1064" t="s">
        <v>16247</v>
      </c>
      <c r="BT1064" t="str">
        <f>HYPERLINK("https%3A%2F%2Fwww.webofscience.com%2Fwos%2Fwoscc%2Ffull-record%2FWOS:000541215300001","View Full Record in Web of Science")</f>
        <v>View Full Record in Web of Science</v>
      </c>
    </row>
    <row r="1065" spans="1:72" x14ac:dyDescent="0.15">
      <c r="A1065" t="s">
        <v>98</v>
      </c>
      <c r="B1065" t="s">
        <v>16771</v>
      </c>
      <c r="C1065" t="s">
        <v>74</v>
      </c>
      <c r="D1065" t="s">
        <v>74</v>
      </c>
      <c r="E1065" t="s">
        <v>74</v>
      </c>
      <c r="F1065" t="s">
        <v>16772</v>
      </c>
      <c r="G1065" t="s">
        <v>74</v>
      </c>
      <c r="H1065" t="s">
        <v>74</v>
      </c>
      <c r="I1065" t="s">
        <v>16773</v>
      </c>
      <c r="J1065" t="s">
        <v>2818</v>
      </c>
      <c r="K1065" t="s">
        <v>74</v>
      </c>
      <c r="L1065" t="s">
        <v>74</v>
      </c>
      <c r="M1065" t="s">
        <v>74</v>
      </c>
      <c r="N1065" t="s">
        <v>103</v>
      </c>
      <c r="O1065" t="s">
        <v>74</v>
      </c>
      <c r="P1065" t="s">
        <v>74</v>
      </c>
      <c r="Q1065" t="s">
        <v>74</v>
      </c>
      <c r="R1065" t="s">
        <v>74</v>
      </c>
      <c r="S1065" t="s">
        <v>74</v>
      </c>
      <c r="T1065" t="s">
        <v>16774</v>
      </c>
      <c r="U1065" t="s">
        <v>16775</v>
      </c>
      <c r="V1065" t="s">
        <v>16776</v>
      </c>
      <c r="W1065" t="s">
        <v>16777</v>
      </c>
      <c r="X1065" t="s">
        <v>16778</v>
      </c>
      <c r="Y1065" t="s">
        <v>16779</v>
      </c>
      <c r="Z1065" t="s">
        <v>16780</v>
      </c>
      <c r="AA1065" t="s">
        <v>16781</v>
      </c>
      <c r="AB1065" t="s">
        <v>16782</v>
      </c>
      <c r="AC1065" t="s">
        <v>74</v>
      </c>
      <c r="AD1065" t="s">
        <v>74</v>
      </c>
      <c r="AE1065" t="s">
        <v>74</v>
      </c>
      <c r="AF1065" t="s">
        <v>74</v>
      </c>
      <c r="AG1065">
        <v>44</v>
      </c>
      <c r="AH1065">
        <v>13</v>
      </c>
      <c r="AI1065">
        <v>13</v>
      </c>
      <c r="AJ1065">
        <v>1</v>
      </c>
      <c r="AK1065">
        <v>2</v>
      </c>
      <c r="AL1065" t="s">
        <v>74</v>
      </c>
      <c r="AM1065" t="s">
        <v>74</v>
      </c>
      <c r="AN1065" t="s">
        <v>74</v>
      </c>
      <c r="AO1065" t="s">
        <v>74</v>
      </c>
      <c r="AP1065" t="s">
        <v>2827</v>
      </c>
      <c r="AQ1065" t="s">
        <v>74</v>
      </c>
      <c r="AR1065" t="s">
        <v>74</v>
      </c>
      <c r="AS1065" t="s">
        <v>74</v>
      </c>
      <c r="AT1065" t="s">
        <v>531</v>
      </c>
      <c r="AU1065">
        <v>2020</v>
      </c>
      <c r="AV1065">
        <v>13</v>
      </c>
      <c r="AW1065">
        <v>9</v>
      </c>
      <c r="AX1065" t="s">
        <v>74</v>
      </c>
      <c r="AY1065" t="s">
        <v>74</v>
      </c>
      <c r="AZ1065" t="s">
        <v>74</v>
      </c>
      <c r="BA1065" t="s">
        <v>74</v>
      </c>
      <c r="BB1065" t="s">
        <v>74</v>
      </c>
      <c r="BC1065" t="s">
        <v>74</v>
      </c>
      <c r="BD1065">
        <v>241</v>
      </c>
      <c r="BE1065" t="s">
        <v>16783</v>
      </c>
      <c r="BF1065" t="str">
        <f>HYPERLINK("http://dx.doi.org/10.3390/ph13090241","http://dx.doi.org/10.3390/ph13090241")</f>
        <v>http://dx.doi.org/10.3390/ph13090241</v>
      </c>
      <c r="BG1065" t="s">
        <v>74</v>
      </c>
      <c r="BH1065" t="s">
        <v>74</v>
      </c>
      <c r="BI1065" t="s">
        <v>74</v>
      </c>
      <c r="BJ1065" t="s">
        <v>2719</v>
      </c>
      <c r="BK1065" t="s">
        <v>117</v>
      </c>
      <c r="BL1065" t="s">
        <v>533</v>
      </c>
      <c r="BM1065" t="s">
        <v>74</v>
      </c>
      <c r="BN1065">
        <v>32932883</v>
      </c>
      <c r="BO1065" t="s">
        <v>74</v>
      </c>
      <c r="BP1065" t="s">
        <v>74</v>
      </c>
      <c r="BQ1065" t="s">
        <v>74</v>
      </c>
      <c r="BR1065" t="s">
        <v>96</v>
      </c>
      <c r="BS1065" t="s">
        <v>16784</v>
      </c>
      <c r="BT1065" t="str">
        <f>HYPERLINK("https%3A%2F%2Fwww.webofscience.com%2Fwos%2Fwoscc%2Ffull-record%2FWOS:000581678400001","View Full Record in Web of Science")</f>
        <v>View Full Record in Web of Science</v>
      </c>
    </row>
    <row r="1066" spans="1:72" x14ac:dyDescent="0.15">
      <c r="A1066" t="s">
        <v>98</v>
      </c>
      <c r="B1066" t="s">
        <v>17755</v>
      </c>
      <c r="C1066" t="s">
        <v>74</v>
      </c>
      <c r="D1066" t="s">
        <v>74</v>
      </c>
      <c r="E1066" t="s">
        <v>74</v>
      </c>
      <c r="F1066" t="s">
        <v>17756</v>
      </c>
      <c r="G1066" t="s">
        <v>74</v>
      </c>
      <c r="H1066" t="s">
        <v>74</v>
      </c>
      <c r="I1066" t="s">
        <v>17757</v>
      </c>
      <c r="J1066" t="s">
        <v>1123</v>
      </c>
      <c r="K1066" t="s">
        <v>74</v>
      </c>
      <c r="L1066" t="s">
        <v>74</v>
      </c>
      <c r="M1066" t="s">
        <v>74</v>
      </c>
      <c r="N1066" t="s">
        <v>103</v>
      </c>
      <c r="O1066" t="s">
        <v>74</v>
      </c>
      <c r="P1066" t="s">
        <v>74</v>
      </c>
      <c r="Q1066" t="s">
        <v>74</v>
      </c>
      <c r="R1066" t="s">
        <v>74</v>
      </c>
      <c r="S1066" t="s">
        <v>74</v>
      </c>
      <c r="T1066" t="s">
        <v>17758</v>
      </c>
      <c r="U1066" t="s">
        <v>17759</v>
      </c>
      <c r="V1066" t="s">
        <v>17760</v>
      </c>
      <c r="W1066" t="s">
        <v>17761</v>
      </c>
      <c r="X1066" t="s">
        <v>17762</v>
      </c>
      <c r="Y1066" t="s">
        <v>17763</v>
      </c>
      <c r="Z1066" t="s">
        <v>17764</v>
      </c>
      <c r="AA1066" t="s">
        <v>74</v>
      </c>
      <c r="AB1066" t="s">
        <v>74</v>
      </c>
      <c r="AC1066" t="s">
        <v>74</v>
      </c>
      <c r="AD1066" t="s">
        <v>74</v>
      </c>
      <c r="AE1066" t="s">
        <v>74</v>
      </c>
      <c r="AF1066" t="s">
        <v>74</v>
      </c>
      <c r="AG1066">
        <v>52</v>
      </c>
      <c r="AH1066">
        <v>13</v>
      </c>
      <c r="AI1066">
        <v>13</v>
      </c>
      <c r="AJ1066">
        <v>40</v>
      </c>
      <c r="AK1066">
        <v>188</v>
      </c>
      <c r="AL1066" t="s">
        <v>74</v>
      </c>
      <c r="AM1066" t="s">
        <v>74</v>
      </c>
      <c r="AN1066" t="s">
        <v>74</v>
      </c>
      <c r="AO1066" t="s">
        <v>1132</v>
      </c>
      <c r="AP1066" t="s">
        <v>1133</v>
      </c>
      <c r="AQ1066" t="s">
        <v>74</v>
      </c>
      <c r="AR1066" t="s">
        <v>74</v>
      </c>
      <c r="AS1066" t="s">
        <v>74</v>
      </c>
      <c r="AT1066" t="s">
        <v>3660</v>
      </c>
      <c r="AU1066">
        <v>2021</v>
      </c>
      <c r="AV1066">
        <v>174</v>
      </c>
      <c r="AW1066" t="s">
        <v>74</v>
      </c>
      <c r="AX1066" t="s">
        <v>74</v>
      </c>
      <c r="AY1066" t="s">
        <v>74</v>
      </c>
      <c r="AZ1066" t="s">
        <v>74</v>
      </c>
      <c r="BA1066" t="s">
        <v>74</v>
      </c>
      <c r="BB1066" t="s">
        <v>74</v>
      </c>
      <c r="BC1066" t="s">
        <v>74</v>
      </c>
      <c r="BD1066">
        <v>112827</v>
      </c>
      <c r="BE1066" t="s">
        <v>17765</v>
      </c>
      <c r="BF1066" t="str">
        <f>HYPERLINK("http://dx.doi.org/10.1016/j.bios.2020.112827","http://dx.doi.org/10.1016/j.bios.2020.112827")</f>
        <v>http://dx.doi.org/10.1016/j.bios.2020.112827</v>
      </c>
      <c r="BG1066" t="s">
        <v>74</v>
      </c>
      <c r="BH1066" t="s">
        <v>74</v>
      </c>
      <c r="BI1066" t="s">
        <v>74</v>
      </c>
      <c r="BJ1066" t="s">
        <v>1137</v>
      </c>
      <c r="BK1066" t="s">
        <v>117</v>
      </c>
      <c r="BL1066" t="s">
        <v>1138</v>
      </c>
      <c r="BM1066" t="s">
        <v>74</v>
      </c>
      <c r="BN1066">
        <v>33257182</v>
      </c>
      <c r="BO1066" t="s">
        <v>74</v>
      </c>
      <c r="BP1066" t="s">
        <v>74</v>
      </c>
      <c r="BQ1066" t="s">
        <v>74</v>
      </c>
      <c r="BR1066" t="s">
        <v>96</v>
      </c>
      <c r="BS1066" t="s">
        <v>17766</v>
      </c>
      <c r="BT1066" t="str">
        <f>HYPERLINK("https%3A%2F%2Fwww.webofscience.com%2Fwos%2Fwoscc%2Ffull-record%2FWOS:000605490200005","View Full Record in Web of Science")</f>
        <v>View Full Record in Web of Science</v>
      </c>
    </row>
    <row r="1067" spans="1:72" x14ac:dyDescent="0.15">
      <c r="A1067" t="s">
        <v>98</v>
      </c>
      <c r="B1067" t="s">
        <v>17793</v>
      </c>
      <c r="C1067" t="s">
        <v>74</v>
      </c>
      <c r="D1067" t="s">
        <v>74</v>
      </c>
      <c r="E1067" t="s">
        <v>74</v>
      </c>
      <c r="F1067" t="s">
        <v>17794</v>
      </c>
      <c r="G1067" t="s">
        <v>74</v>
      </c>
      <c r="H1067" t="s">
        <v>74</v>
      </c>
      <c r="I1067" t="s">
        <v>17795</v>
      </c>
      <c r="J1067" t="s">
        <v>4486</v>
      </c>
      <c r="K1067" t="s">
        <v>74</v>
      </c>
      <c r="L1067" t="s">
        <v>74</v>
      </c>
      <c r="M1067" t="s">
        <v>74</v>
      </c>
      <c r="N1067" t="s">
        <v>103</v>
      </c>
      <c r="O1067" t="s">
        <v>74</v>
      </c>
      <c r="P1067" t="s">
        <v>74</v>
      </c>
      <c r="Q1067" t="s">
        <v>74</v>
      </c>
      <c r="R1067" t="s">
        <v>74</v>
      </c>
      <c r="S1067" t="s">
        <v>74</v>
      </c>
      <c r="T1067" t="s">
        <v>74</v>
      </c>
      <c r="U1067" t="s">
        <v>17796</v>
      </c>
      <c r="V1067" t="s">
        <v>17797</v>
      </c>
      <c r="W1067" t="s">
        <v>17798</v>
      </c>
      <c r="X1067" t="s">
        <v>17799</v>
      </c>
      <c r="Y1067" t="s">
        <v>17800</v>
      </c>
      <c r="Z1067" t="s">
        <v>17801</v>
      </c>
      <c r="AA1067" t="s">
        <v>17802</v>
      </c>
      <c r="AB1067" t="s">
        <v>74</v>
      </c>
      <c r="AC1067" t="s">
        <v>74</v>
      </c>
      <c r="AD1067" t="s">
        <v>74</v>
      </c>
      <c r="AE1067" t="s">
        <v>74</v>
      </c>
      <c r="AF1067" t="s">
        <v>74</v>
      </c>
      <c r="AG1067">
        <v>49</v>
      </c>
      <c r="AH1067">
        <v>13</v>
      </c>
      <c r="AI1067">
        <v>13</v>
      </c>
      <c r="AJ1067">
        <v>26</v>
      </c>
      <c r="AK1067">
        <v>115</v>
      </c>
      <c r="AL1067" t="s">
        <v>74</v>
      </c>
      <c r="AM1067" t="s">
        <v>74</v>
      </c>
      <c r="AN1067" t="s">
        <v>74</v>
      </c>
      <c r="AO1067" t="s">
        <v>4493</v>
      </c>
      <c r="AP1067" t="s">
        <v>4494</v>
      </c>
      <c r="AQ1067" t="s">
        <v>74</v>
      </c>
      <c r="AR1067" t="s">
        <v>74</v>
      </c>
      <c r="AS1067" t="s">
        <v>74</v>
      </c>
      <c r="AT1067" t="s">
        <v>3808</v>
      </c>
      <c r="AU1067">
        <v>2020</v>
      </c>
      <c r="AV1067">
        <v>92</v>
      </c>
      <c r="AW1067">
        <v>14</v>
      </c>
      <c r="AX1067" t="s">
        <v>74</v>
      </c>
      <c r="AY1067" t="s">
        <v>74</v>
      </c>
      <c r="AZ1067" t="s">
        <v>74</v>
      </c>
      <c r="BA1067" t="s">
        <v>74</v>
      </c>
      <c r="BB1067">
        <v>9877</v>
      </c>
      <c r="BC1067">
        <v>9886</v>
      </c>
      <c r="BD1067" t="s">
        <v>74</v>
      </c>
      <c r="BE1067" t="s">
        <v>17803</v>
      </c>
      <c r="BF1067" t="str">
        <f>HYPERLINK("http://dx.doi.org/10.1021/acs.analchem.0c01387","http://dx.doi.org/10.1021/acs.analchem.0c01387")</f>
        <v>http://dx.doi.org/10.1021/acs.analchem.0c01387</v>
      </c>
      <c r="BG1067" t="s">
        <v>74</v>
      </c>
      <c r="BH1067" t="s">
        <v>74</v>
      </c>
      <c r="BI1067" t="s">
        <v>74</v>
      </c>
      <c r="BJ1067" t="s">
        <v>1118</v>
      </c>
      <c r="BK1067" t="s">
        <v>117</v>
      </c>
      <c r="BL1067" t="s">
        <v>1048</v>
      </c>
      <c r="BM1067" t="s">
        <v>74</v>
      </c>
      <c r="BN1067">
        <v>32551501</v>
      </c>
      <c r="BO1067" t="s">
        <v>74</v>
      </c>
      <c r="BP1067" t="s">
        <v>74</v>
      </c>
      <c r="BQ1067" t="s">
        <v>74</v>
      </c>
      <c r="BR1067" t="s">
        <v>96</v>
      </c>
      <c r="BS1067" t="s">
        <v>17804</v>
      </c>
      <c r="BT1067" t="str">
        <f>HYPERLINK("https%3A%2F%2Fwww.webofscience.com%2Fwos%2Fwoscc%2Ffull-record%2FWOS:000554986200055","View Full Record in Web of Science")</f>
        <v>View Full Record in Web of Science</v>
      </c>
    </row>
    <row r="1068" spans="1:72" x14ac:dyDescent="0.15">
      <c r="A1068" t="s">
        <v>98</v>
      </c>
      <c r="B1068" t="s">
        <v>18081</v>
      </c>
      <c r="C1068" t="s">
        <v>74</v>
      </c>
      <c r="D1068" t="s">
        <v>74</v>
      </c>
      <c r="E1068" t="s">
        <v>74</v>
      </c>
      <c r="F1068" t="s">
        <v>18082</v>
      </c>
      <c r="G1068" t="s">
        <v>74</v>
      </c>
      <c r="H1068" t="s">
        <v>74</v>
      </c>
      <c r="I1068" t="s">
        <v>18083</v>
      </c>
      <c r="J1068" t="s">
        <v>12341</v>
      </c>
      <c r="K1068" t="s">
        <v>74</v>
      </c>
      <c r="L1068" t="s">
        <v>74</v>
      </c>
      <c r="M1068" t="s">
        <v>74</v>
      </c>
      <c r="N1068" t="s">
        <v>103</v>
      </c>
      <c r="O1068" t="s">
        <v>74</v>
      </c>
      <c r="P1068" t="s">
        <v>74</v>
      </c>
      <c r="Q1068" t="s">
        <v>74</v>
      </c>
      <c r="R1068" t="s">
        <v>74</v>
      </c>
      <c r="S1068" t="s">
        <v>74</v>
      </c>
      <c r="T1068" t="s">
        <v>18084</v>
      </c>
      <c r="U1068" t="s">
        <v>18085</v>
      </c>
      <c r="V1068" t="s">
        <v>18086</v>
      </c>
      <c r="W1068" t="s">
        <v>18087</v>
      </c>
      <c r="X1068" t="s">
        <v>18088</v>
      </c>
      <c r="Y1068" t="s">
        <v>18089</v>
      </c>
      <c r="Z1068" t="s">
        <v>18090</v>
      </c>
      <c r="AA1068" t="s">
        <v>18091</v>
      </c>
      <c r="AB1068" t="s">
        <v>18092</v>
      </c>
      <c r="AC1068" t="s">
        <v>74</v>
      </c>
      <c r="AD1068" t="s">
        <v>74</v>
      </c>
      <c r="AE1068" t="s">
        <v>74</v>
      </c>
      <c r="AF1068" t="s">
        <v>74</v>
      </c>
      <c r="AG1068">
        <v>71</v>
      </c>
      <c r="AH1068">
        <v>13</v>
      </c>
      <c r="AI1068">
        <v>17</v>
      </c>
      <c r="AJ1068">
        <v>0</v>
      </c>
      <c r="AK1068">
        <v>7</v>
      </c>
      <c r="AL1068" t="s">
        <v>74</v>
      </c>
      <c r="AM1068" t="s">
        <v>74</v>
      </c>
      <c r="AN1068" t="s">
        <v>74</v>
      </c>
      <c r="AO1068" t="s">
        <v>12350</v>
      </c>
      <c r="AP1068" t="s">
        <v>74</v>
      </c>
      <c r="AQ1068" t="s">
        <v>74</v>
      </c>
      <c r="AR1068" t="s">
        <v>74</v>
      </c>
      <c r="AS1068" t="s">
        <v>74</v>
      </c>
      <c r="AT1068" t="s">
        <v>18093</v>
      </c>
      <c r="AU1068">
        <v>2015</v>
      </c>
      <c r="AV1068">
        <v>15</v>
      </c>
      <c r="AW1068" t="s">
        <v>74</v>
      </c>
      <c r="AX1068" t="s">
        <v>74</v>
      </c>
      <c r="AY1068" t="s">
        <v>74</v>
      </c>
      <c r="AZ1068" t="s">
        <v>74</v>
      </c>
      <c r="BA1068" t="s">
        <v>74</v>
      </c>
      <c r="BB1068" t="s">
        <v>74</v>
      </c>
      <c r="BC1068" t="s">
        <v>74</v>
      </c>
      <c r="BD1068">
        <v>32</v>
      </c>
      <c r="BE1068" t="s">
        <v>18094</v>
      </c>
      <c r="BF1068" t="str">
        <f>HYPERLINK("http://dx.doi.org/10.1186/s12935-015-0180-6","http://dx.doi.org/10.1186/s12935-015-0180-6")</f>
        <v>http://dx.doi.org/10.1186/s12935-015-0180-6</v>
      </c>
      <c r="BG1068" t="s">
        <v>74</v>
      </c>
      <c r="BH1068" t="s">
        <v>74</v>
      </c>
      <c r="BI1068" t="s">
        <v>74</v>
      </c>
      <c r="BJ1068" t="s">
        <v>267</v>
      </c>
      <c r="BK1068" t="s">
        <v>117</v>
      </c>
      <c r="BL1068" t="s">
        <v>267</v>
      </c>
      <c r="BM1068" t="s">
        <v>74</v>
      </c>
      <c r="BN1068">
        <v>25798073</v>
      </c>
      <c r="BO1068" t="s">
        <v>74</v>
      </c>
      <c r="BP1068" t="s">
        <v>74</v>
      </c>
      <c r="BQ1068" t="s">
        <v>74</v>
      </c>
      <c r="BR1068" t="s">
        <v>96</v>
      </c>
      <c r="BS1068" t="s">
        <v>18095</v>
      </c>
      <c r="BT1068" t="str">
        <f>HYPERLINK("https%3A%2F%2Fwww.webofscience.com%2Fwos%2Fwoscc%2Ffull-record%2FWOS:000351267600001","View Full Record in Web of Science")</f>
        <v>View Full Record in Web of Science</v>
      </c>
    </row>
    <row r="1069" spans="1:72" x14ac:dyDescent="0.15">
      <c r="A1069" t="s">
        <v>98</v>
      </c>
      <c r="B1069" t="s">
        <v>18814</v>
      </c>
      <c r="C1069" t="s">
        <v>74</v>
      </c>
      <c r="D1069" t="s">
        <v>74</v>
      </c>
      <c r="E1069" t="s">
        <v>74</v>
      </c>
      <c r="F1069" t="s">
        <v>18815</v>
      </c>
      <c r="G1069" t="s">
        <v>74</v>
      </c>
      <c r="H1069" t="s">
        <v>74</v>
      </c>
      <c r="I1069" t="s">
        <v>18816</v>
      </c>
      <c r="J1069" t="s">
        <v>18817</v>
      </c>
      <c r="K1069" t="s">
        <v>74</v>
      </c>
      <c r="L1069" t="s">
        <v>74</v>
      </c>
      <c r="M1069" t="s">
        <v>74</v>
      </c>
      <c r="N1069" t="s">
        <v>103</v>
      </c>
      <c r="O1069" t="s">
        <v>74</v>
      </c>
      <c r="P1069" t="s">
        <v>74</v>
      </c>
      <c r="Q1069" t="s">
        <v>74</v>
      </c>
      <c r="R1069" t="s">
        <v>74</v>
      </c>
      <c r="S1069" t="s">
        <v>74</v>
      </c>
      <c r="T1069" t="s">
        <v>18818</v>
      </c>
      <c r="U1069" t="s">
        <v>18819</v>
      </c>
      <c r="V1069" t="s">
        <v>18820</v>
      </c>
      <c r="W1069" t="s">
        <v>18821</v>
      </c>
      <c r="X1069" t="s">
        <v>18822</v>
      </c>
      <c r="Y1069" t="s">
        <v>18823</v>
      </c>
      <c r="Z1069" t="s">
        <v>18824</v>
      </c>
      <c r="AA1069" t="s">
        <v>18825</v>
      </c>
      <c r="AB1069" t="s">
        <v>18826</v>
      </c>
      <c r="AC1069" t="s">
        <v>74</v>
      </c>
      <c r="AD1069" t="s">
        <v>74</v>
      </c>
      <c r="AE1069" t="s">
        <v>74</v>
      </c>
      <c r="AF1069" t="s">
        <v>74</v>
      </c>
      <c r="AG1069">
        <v>63</v>
      </c>
      <c r="AH1069">
        <v>13</v>
      </c>
      <c r="AI1069">
        <v>15</v>
      </c>
      <c r="AJ1069">
        <v>1</v>
      </c>
      <c r="AK1069">
        <v>55</v>
      </c>
      <c r="AL1069" t="s">
        <v>74</v>
      </c>
      <c r="AM1069" t="s">
        <v>74</v>
      </c>
      <c r="AN1069" t="s">
        <v>74</v>
      </c>
      <c r="AO1069" t="s">
        <v>18827</v>
      </c>
      <c r="AP1069" t="s">
        <v>18828</v>
      </c>
      <c r="AQ1069" t="s">
        <v>74</v>
      </c>
      <c r="AR1069" t="s">
        <v>74</v>
      </c>
      <c r="AS1069" t="s">
        <v>74</v>
      </c>
      <c r="AT1069" t="s">
        <v>967</v>
      </c>
      <c r="AU1069">
        <v>2014</v>
      </c>
      <c r="AV1069">
        <v>90</v>
      </c>
      <c r="AW1069">
        <v>3</v>
      </c>
      <c r="AX1069" t="s">
        <v>74</v>
      </c>
      <c r="AY1069" t="s">
        <v>74</v>
      </c>
      <c r="AZ1069" t="s">
        <v>74</v>
      </c>
      <c r="BA1069" t="s">
        <v>74</v>
      </c>
      <c r="BB1069">
        <v>869</v>
      </c>
      <c r="BC1069">
        <v>882</v>
      </c>
      <c r="BD1069" t="s">
        <v>74</v>
      </c>
      <c r="BE1069" t="s">
        <v>18829</v>
      </c>
      <c r="BF1069" t="str">
        <f>HYPERLINK("http://dx.doi.org/10.1111/1574-6941.12443","http://dx.doi.org/10.1111/1574-6941.12443")</f>
        <v>http://dx.doi.org/10.1111/1574-6941.12443</v>
      </c>
      <c r="BG1069" t="s">
        <v>74</v>
      </c>
      <c r="BH1069" t="s">
        <v>74</v>
      </c>
      <c r="BI1069" t="s">
        <v>74</v>
      </c>
      <c r="BJ1069" t="s">
        <v>898</v>
      </c>
      <c r="BK1069" t="s">
        <v>117</v>
      </c>
      <c r="BL1069" t="s">
        <v>898</v>
      </c>
      <c r="BM1069" t="s">
        <v>74</v>
      </c>
      <c r="BN1069">
        <v>25319134</v>
      </c>
      <c r="BO1069" t="s">
        <v>74</v>
      </c>
      <c r="BP1069" t="s">
        <v>74</v>
      </c>
      <c r="BQ1069" t="s">
        <v>74</v>
      </c>
      <c r="BR1069" t="s">
        <v>96</v>
      </c>
      <c r="BS1069" t="s">
        <v>18830</v>
      </c>
      <c r="BT1069" t="str">
        <f>HYPERLINK("https%3A%2F%2Fwww.webofscience.com%2Fwos%2Fwoscc%2Ffull-record%2FWOS:000346057900028","View Full Record in Web of Science")</f>
        <v>View Full Record in Web of Science</v>
      </c>
    </row>
    <row r="1070" spans="1:72" x14ac:dyDescent="0.15">
      <c r="A1070" t="s">
        <v>98</v>
      </c>
      <c r="B1070" t="s">
        <v>19189</v>
      </c>
      <c r="C1070" t="s">
        <v>74</v>
      </c>
      <c r="D1070" t="s">
        <v>74</v>
      </c>
      <c r="E1070" t="s">
        <v>74</v>
      </c>
      <c r="F1070" t="s">
        <v>19190</v>
      </c>
      <c r="G1070" t="s">
        <v>74</v>
      </c>
      <c r="H1070" t="s">
        <v>74</v>
      </c>
      <c r="I1070" t="s">
        <v>19191</v>
      </c>
      <c r="J1070" t="s">
        <v>7913</v>
      </c>
      <c r="K1070" t="s">
        <v>74</v>
      </c>
      <c r="L1070" t="s">
        <v>74</v>
      </c>
      <c r="M1070" t="s">
        <v>74</v>
      </c>
      <c r="N1070" t="s">
        <v>103</v>
      </c>
      <c r="O1070" t="s">
        <v>74</v>
      </c>
      <c r="P1070" t="s">
        <v>74</v>
      </c>
      <c r="Q1070" t="s">
        <v>74</v>
      </c>
      <c r="R1070" t="s">
        <v>74</v>
      </c>
      <c r="S1070" t="s">
        <v>74</v>
      </c>
      <c r="T1070" t="s">
        <v>19192</v>
      </c>
      <c r="U1070" t="s">
        <v>19193</v>
      </c>
      <c r="V1070" t="s">
        <v>19194</v>
      </c>
      <c r="W1070" t="s">
        <v>19195</v>
      </c>
      <c r="X1070" t="s">
        <v>9112</v>
      </c>
      <c r="Y1070" t="s">
        <v>19196</v>
      </c>
      <c r="Z1070" t="s">
        <v>3610</v>
      </c>
      <c r="AA1070" t="s">
        <v>74</v>
      </c>
      <c r="AB1070" t="s">
        <v>19197</v>
      </c>
      <c r="AC1070" t="s">
        <v>74</v>
      </c>
      <c r="AD1070" t="s">
        <v>74</v>
      </c>
      <c r="AE1070" t="s">
        <v>74</v>
      </c>
      <c r="AF1070" t="s">
        <v>74</v>
      </c>
      <c r="AG1070">
        <v>26</v>
      </c>
      <c r="AH1070">
        <v>13</v>
      </c>
      <c r="AI1070">
        <v>14</v>
      </c>
      <c r="AJ1070">
        <v>5</v>
      </c>
      <c r="AK1070">
        <v>56</v>
      </c>
      <c r="AL1070" t="s">
        <v>74</v>
      </c>
      <c r="AM1070" t="s">
        <v>74</v>
      </c>
      <c r="AN1070" t="s">
        <v>74</v>
      </c>
      <c r="AO1070" t="s">
        <v>7923</v>
      </c>
      <c r="AP1070" t="s">
        <v>7924</v>
      </c>
      <c r="AQ1070" t="s">
        <v>74</v>
      </c>
      <c r="AR1070" t="s">
        <v>74</v>
      </c>
      <c r="AS1070" t="s">
        <v>74</v>
      </c>
      <c r="AT1070" t="s">
        <v>170</v>
      </c>
      <c r="AU1070">
        <v>2017</v>
      </c>
      <c r="AV1070">
        <v>38</v>
      </c>
      <c r="AW1070">
        <v>11</v>
      </c>
      <c r="AX1070" t="s">
        <v>74</v>
      </c>
      <c r="AY1070" t="s">
        <v>74</v>
      </c>
      <c r="AZ1070" t="s">
        <v>447</v>
      </c>
      <c r="BA1070" t="s">
        <v>74</v>
      </c>
      <c r="BB1070">
        <v>1475</v>
      </c>
      <c r="BC1070">
        <v>1482</v>
      </c>
      <c r="BD1070" t="s">
        <v>74</v>
      </c>
      <c r="BE1070" t="s">
        <v>19198</v>
      </c>
      <c r="BF1070" t="str">
        <f>HYPERLINK("http://dx.doi.org/10.1002/elps.201600563","http://dx.doi.org/10.1002/elps.201600563")</f>
        <v>http://dx.doi.org/10.1002/elps.201600563</v>
      </c>
      <c r="BG1070" t="s">
        <v>74</v>
      </c>
      <c r="BH1070" t="s">
        <v>74</v>
      </c>
      <c r="BI1070" t="s">
        <v>74</v>
      </c>
      <c r="BJ1070" t="s">
        <v>1939</v>
      </c>
      <c r="BK1070" t="s">
        <v>117</v>
      </c>
      <c r="BL1070" t="s">
        <v>831</v>
      </c>
      <c r="BM1070" t="s">
        <v>74</v>
      </c>
      <c r="BN1070">
        <v>28401635</v>
      </c>
      <c r="BO1070" t="s">
        <v>74</v>
      </c>
      <c r="BP1070" t="s">
        <v>74</v>
      </c>
      <c r="BQ1070" t="s">
        <v>74</v>
      </c>
      <c r="BR1070" t="s">
        <v>96</v>
      </c>
      <c r="BS1070" t="s">
        <v>19199</v>
      </c>
      <c r="BT1070" t="str">
        <f>HYPERLINK("https%3A%2F%2Fwww.webofscience.com%2Fwos%2Fwoscc%2Ffull-record%2FWOS:000402622400010","View Full Record in Web of Science")</f>
        <v>View Full Record in Web of Science</v>
      </c>
    </row>
    <row r="1071" spans="1:72" x14ac:dyDescent="0.15">
      <c r="A1071" t="s">
        <v>98</v>
      </c>
      <c r="B1071" t="s">
        <v>19726</v>
      </c>
      <c r="C1071" t="s">
        <v>74</v>
      </c>
      <c r="D1071" t="s">
        <v>74</v>
      </c>
      <c r="E1071" t="s">
        <v>74</v>
      </c>
      <c r="F1071" t="s">
        <v>19727</v>
      </c>
      <c r="G1071" t="s">
        <v>74</v>
      </c>
      <c r="H1071" t="s">
        <v>74</v>
      </c>
      <c r="I1071" t="s">
        <v>19728</v>
      </c>
      <c r="J1071" t="s">
        <v>6530</v>
      </c>
      <c r="K1071" t="s">
        <v>74</v>
      </c>
      <c r="L1071" t="s">
        <v>74</v>
      </c>
      <c r="M1071" t="s">
        <v>74</v>
      </c>
      <c r="N1071" t="s">
        <v>103</v>
      </c>
      <c r="O1071" t="s">
        <v>74</v>
      </c>
      <c r="P1071" t="s">
        <v>74</v>
      </c>
      <c r="Q1071" t="s">
        <v>74</v>
      </c>
      <c r="R1071" t="s">
        <v>74</v>
      </c>
      <c r="S1071" t="s">
        <v>74</v>
      </c>
      <c r="T1071" t="s">
        <v>19729</v>
      </c>
      <c r="U1071" t="s">
        <v>19730</v>
      </c>
      <c r="V1071" t="s">
        <v>19731</v>
      </c>
      <c r="W1071" t="s">
        <v>19732</v>
      </c>
      <c r="X1071" t="s">
        <v>19733</v>
      </c>
      <c r="Y1071" t="s">
        <v>19734</v>
      </c>
      <c r="Z1071" t="s">
        <v>19735</v>
      </c>
      <c r="AA1071" t="s">
        <v>74</v>
      </c>
      <c r="AB1071" t="s">
        <v>74</v>
      </c>
      <c r="AC1071" t="s">
        <v>74</v>
      </c>
      <c r="AD1071" t="s">
        <v>74</v>
      </c>
      <c r="AE1071" t="s">
        <v>74</v>
      </c>
      <c r="AF1071" t="s">
        <v>74</v>
      </c>
      <c r="AG1071">
        <v>75</v>
      </c>
      <c r="AH1071">
        <v>13</v>
      </c>
      <c r="AI1071">
        <v>13</v>
      </c>
      <c r="AJ1071">
        <v>2</v>
      </c>
      <c r="AK1071">
        <v>37</v>
      </c>
      <c r="AL1071" t="s">
        <v>74</v>
      </c>
      <c r="AM1071" t="s">
        <v>74</v>
      </c>
      <c r="AN1071" t="s">
        <v>74</v>
      </c>
      <c r="AO1071" t="s">
        <v>6540</v>
      </c>
      <c r="AP1071" t="s">
        <v>74</v>
      </c>
      <c r="AQ1071" t="s">
        <v>74</v>
      </c>
      <c r="AR1071" t="s">
        <v>74</v>
      </c>
      <c r="AS1071" t="s">
        <v>74</v>
      </c>
      <c r="AT1071" t="s">
        <v>74</v>
      </c>
      <c r="AU1071">
        <v>2015</v>
      </c>
      <c r="AV1071">
        <v>10</v>
      </c>
      <c r="AW1071" t="s">
        <v>74</v>
      </c>
      <c r="AX1071" t="s">
        <v>74</v>
      </c>
      <c r="AY1071" t="s">
        <v>74</v>
      </c>
      <c r="AZ1071" t="s">
        <v>74</v>
      </c>
      <c r="BA1071" t="s">
        <v>74</v>
      </c>
      <c r="BB1071">
        <v>5513</v>
      </c>
      <c r="BC1071">
        <v>5528</v>
      </c>
      <c r="BD1071" t="s">
        <v>74</v>
      </c>
      <c r="BE1071" t="s">
        <v>19736</v>
      </c>
      <c r="BF1071" t="str">
        <f>HYPERLINK("http://dx.doi.org/10.2147/IJN.S89593","http://dx.doi.org/10.2147/IJN.S89593")</f>
        <v>http://dx.doi.org/10.2147/IJN.S89593</v>
      </c>
      <c r="BG1071" t="s">
        <v>74</v>
      </c>
      <c r="BH1071" t="s">
        <v>74</v>
      </c>
      <c r="BI1071" t="s">
        <v>74</v>
      </c>
      <c r="BJ1071" t="s">
        <v>6542</v>
      </c>
      <c r="BK1071" t="s">
        <v>117</v>
      </c>
      <c r="BL1071" t="s">
        <v>6543</v>
      </c>
      <c r="BM1071" t="s">
        <v>74</v>
      </c>
      <c r="BN1071">
        <v>26355701</v>
      </c>
      <c r="BO1071" t="s">
        <v>74</v>
      </c>
      <c r="BP1071" t="s">
        <v>74</v>
      </c>
      <c r="BQ1071" t="s">
        <v>74</v>
      </c>
      <c r="BR1071" t="s">
        <v>96</v>
      </c>
      <c r="BS1071" t="s">
        <v>19737</v>
      </c>
      <c r="BT1071" t="str">
        <f>HYPERLINK("https%3A%2F%2Fwww.webofscience.com%2Fwos%2Fwoscc%2Ffull-record%2FWOS:000360396700002","View Full Record in Web of Science")</f>
        <v>View Full Record in Web of Science</v>
      </c>
    </row>
    <row r="1072" spans="1:72" x14ac:dyDescent="0.15">
      <c r="A1072" t="s">
        <v>98</v>
      </c>
      <c r="B1072" t="s">
        <v>19906</v>
      </c>
      <c r="C1072" t="s">
        <v>74</v>
      </c>
      <c r="D1072" t="s">
        <v>74</v>
      </c>
      <c r="E1072" t="s">
        <v>74</v>
      </c>
      <c r="F1072" t="s">
        <v>19907</v>
      </c>
      <c r="G1072" t="s">
        <v>74</v>
      </c>
      <c r="H1072" t="s">
        <v>74</v>
      </c>
      <c r="I1072" t="s">
        <v>19908</v>
      </c>
      <c r="J1072" t="s">
        <v>10402</v>
      </c>
      <c r="K1072" t="s">
        <v>74</v>
      </c>
      <c r="L1072" t="s">
        <v>74</v>
      </c>
      <c r="M1072" t="s">
        <v>74</v>
      </c>
      <c r="N1072" t="s">
        <v>103</v>
      </c>
      <c r="O1072" t="s">
        <v>74</v>
      </c>
      <c r="P1072" t="s">
        <v>74</v>
      </c>
      <c r="Q1072" t="s">
        <v>74</v>
      </c>
      <c r="R1072" t="s">
        <v>74</v>
      </c>
      <c r="S1072" t="s">
        <v>74</v>
      </c>
      <c r="T1072" t="s">
        <v>19909</v>
      </c>
      <c r="U1072" t="s">
        <v>19910</v>
      </c>
      <c r="V1072" t="s">
        <v>19911</v>
      </c>
      <c r="W1072" t="s">
        <v>19912</v>
      </c>
      <c r="X1072" t="s">
        <v>19913</v>
      </c>
      <c r="Y1072" t="s">
        <v>19914</v>
      </c>
      <c r="Z1072" t="s">
        <v>19915</v>
      </c>
      <c r="AA1072" t="s">
        <v>74</v>
      </c>
      <c r="AB1072" t="s">
        <v>19916</v>
      </c>
      <c r="AC1072" t="s">
        <v>74</v>
      </c>
      <c r="AD1072" t="s">
        <v>74</v>
      </c>
      <c r="AE1072" t="s">
        <v>74</v>
      </c>
      <c r="AF1072" t="s">
        <v>74</v>
      </c>
      <c r="AG1072">
        <v>23</v>
      </c>
      <c r="AH1072">
        <v>13</v>
      </c>
      <c r="AI1072">
        <v>14</v>
      </c>
      <c r="AJ1072">
        <v>10</v>
      </c>
      <c r="AK1072">
        <v>16</v>
      </c>
      <c r="AL1072" t="s">
        <v>74</v>
      </c>
      <c r="AM1072" t="s">
        <v>74</v>
      </c>
      <c r="AN1072" t="s">
        <v>74</v>
      </c>
      <c r="AO1072" t="s">
        <v>10412</v>
      </c>
      <c r="AP1072" t="s">
        <v>74</v>
      </c>
      <c r="AQ1072" t="s">
        <v>74</v>
      </c>
      <c r="AR1072" t="s">
        <v>74</v>
      </c>
      <c r="AS1072" t="s">
        <v>74</v>
      </c>
      <c r="AT1072" t="s">
        <v>132</v>
      </c>
      <c r="AU1072">
        <v>2019</v>
      </c>
      <c r="AV1072">
        <v>132</v>
      </c>
      <c r="AW1072" t="s">
        <v>74</v>
      </c>
      <c r="AX1072" t="s">
        <v>74</v>
      </c>
      <c r="AY1072" t="s">
        <v>74</v>
      </c>
      <c r="AZ1072" t="s">
        <v>74</v>
      </c>
      <c r="BA1072" t="s">
        <v>74</v>
      </c>
      <c r="BB1072">
        <v>21</v>
      </c>
      <c r="BC1072">
        <v>28</v>
      </c>
      <c r="BD1072" t="s">
        <v>74</v>
      </c>
      <c r="BE1072" t="s">
        <v>19917</v>
      </c>
      <c r="BF1072" t="str">
        <f>HYPERLINK("http://dx.doi.org/10.1016/j.jri.2019.02.003","http://dx.doi.org/10.1016/j.jri.2019.02.003")</f>
        <v>http://dx.doi.org/10.1016/j.jri.2019.02.003</v>
      </c>
      <c r="BG1072" t="s">
        <v>74</v>
      </c>
      <c r="BH1072" t="s">
        <v>74</v>
      </c>
      <c r="BI1072" t="s">
        <v>74</v>
      </c>
      <c r="BJ1072" t="s">
        <v>10414</v>
      </c>
      <c r="BK1072" t="s">
        <v>117</v>
      </c>
      <c r="BL1072" t="s">
        <v>10414</v>
      </c>
      <c r="BM1072" t="s">
        <v>74</v>
      </c>
      <c r="BN1072">
        <v>30852462</v>
      </c>
      <c r="BO1072" t="s">
        <v>74</v>
      </c>
      <c r="BP1072" t="s">
        <v>74</v>
      </c>
      <c r="BQ1072" t="s">
        <v>74</v>
      </c>
      <c r="BR1072" t="s">
        <v>96</v>
      </c>
      <c r="BS1072" t="s">
        <v>19918</v>
      </c>
      <c r="BT1072" t="str">
        <f>HYPERLINK("https%3A%2F%2Fwww.webofscience.com%2Fwos%2Fwoscc%2Ffull-record%2FWOS:000466622600004","View Full Record in Web of Science")</f>
        <v>View Full Record in Web of Science</v>
      </c>
    </row>
    <row r="1073" spans="1:72" x14ac:dyDescent="0.15">
      <c r="A1073" t="s">
        <v>98</v>
      </c>
      <c r="B1073" t="s">
        <v>20283</v>
      </c>
      <c r="C1073" t="s">
        <v>74</v>
      </c>
      <c r="D1073" t="s">
        <v>74</v>
      </c>
      <c r="E1073" t="s">
        <v>74</v>
      </c>
      <c r="F1073" t="s">
        <v>20284</v>
      </c>
      <c r="G1073" t="s">
        <v>74</v>
      </c>
      <c r="H1073" t="s">
        <v>74</v>
      </c>
      <c r="I1073" t="s">
        <v>20285</v>
      </c>
      <c r="J1073" t="s">
        <v>20286</v>
      </c>
      <c r="K1073" t="s">
        <v>74</v>
      </c>
      <c r="L1073" t="s">
        <v>74</v>
      </c>
      <c r="M1073" t="s">
        <v>74</v>
      </c>
      <c r="N1073" t="s">
        <v>103</v>
      </c>
      <c r="O1073" t="s">
        <v>74</v>
      </c>
      <c r="P1073" t="s">
        <v>74</v>
      </c>
      <c r="Q1073" t="s">
        <v>74</v>
      </c>
      <c r="R1073" t="s">
        <v>74</v>
      </c>
      <c r="S1073" t="s">
        <v>74</v>
      </c>
      <c r="T1073" t="s">
        <v>20287</v>
      </c>
      <c r="U1073" t="s">
        <v>20288</v>
      </c>
      <c r="V1073" t="s">
        <v>20289</v>
      </c>
      <c r="W1073" t="s">
        <v>20290</v>
      </c>
      <c r="X1073" t="s">
        <v>20291</v>
      </c>
      <c r="Y1073" t="s">
        <v>20292</v>
      </c>
      <c r="Z1073" t="s">
        <v>20293</v>
      </c>
      <c r="AA1073" t="s">
        <v>74</v>
      </c>
      <c r="AB1073" t="s">
        <v>20294</v>
      </c>
      <c r="AC1073" t="s">
        <v>74</v>
      </c>
      <c r="AD1073" t="s">
        <v>74</v>
      </c>
      <c r="AE1073" t="s">
        <v>74</v>
      </c>
      <c r="AF1073" t="s">
        <v>74</v>
      </c>
      <c r="AG1073">
        <v>25</v>
      </c>
      <c r="AH1073">
        <v>13</v>
      </c>
      <c r="AI1073">
        <v>13</v>
      </c>
      <c r="AJ1073">
        <v>0</v>
      </c>
      <c r="AK1073">
        <v>1</v>
      </c>
      <c r="AL1073" t="s">
        <v>74</v>
      </c>
      <c r="AM1073" t="s">
        <v>74</v>
      </c>
      <c r="AN1073" t="s">
        <v>74</v>
      </c>
      <c r="AO1073" t="s">
        <v>20295</v>
      </c>
      <c r="AP1073" t="s">
        <v>20296</v>
      </c>
      <c r="AQ1073" t="s">
        <v>74</v>
      </c>
      <c r="AR1073" t="s">
        <v>74</v>
      </c>
      <c r="AS1073" t="s">
        <v>74</v>
      </c>
      <c r="AT1073" t="s">
        <v>74</v>
      </c>
      <c r="AU1073">
        <v>2018</v>
      </c>
      <c r="AV1073">
        <v>14</v>
      </c>
      <c r="AW1073">
        <v>2</v>
      </c>
      <c r="AX1073" t="s">
        <v>74</v>
      </c>
      <c r="AY1073" t="s">
        <v>74</v>
      </c>
      <c r="AZ1073" t="s">
        <v>74</v>
      </c>
      <c r="BA1073" t="s">
        <v>74</v>
      </c>
      <c r="BB1073">
        <v>94</v>
      </c>
      <c r="BC1073">
        <v>106</v>
      </c>
      <c r="BD1073" t="s">
        <v>74</v>
      </c>
      <c r="BE1073" t="s">
        <v>20297</v>
      </c>
      <c r="BF1073" t="str">
        <f>HYPERLINK("http://dx.doi.org/10.1080/15476278.2018.1462432","http://dx.doi.org/10.1080/15476278.2018.1462432")</f>
        <v>http://dx.doi.org/10.1080/15476278.2018.1462432</v>
      </c>
      <c r="BG1073" t="s">
        <v>74</v>
      </c>
      <c r="BH1073" t="s">
        <v>74</v>
      </c>
      <c r="BI1073" t="s">
        <v>74</v>
      </c>
      <c r="BJ1073" t="s">
        <v>20298</v>
      </c>
      <c r="BK1073" t="s">
        <v>117</v>
      </c>
      <c r="BL1073" t="s">
        <v>20299</v>
      </c>
      <c r="BM1073" t="s">
        <v>74</v>
      </c>
      <c r="BN1073">
        <v>29889592</v>
      </c>
      <c r="BO1073" t="s">
        <v>74</v>
      </c>
      <c r="BP1073" t="s">
        <v>74</v>
      </c>
      <c r="BQ1073" t="s">
        <v>74</v>
      </c>
      <c r="BR1073" t="s">
        <v>96</v>
      </c>
      <c r="BS1073" t="s">
        <v>20300</v>
      </c>
      <c r="BT1073" t="str">
        <f>HYPERLINK("https%3A%2F%2Fwww.webofscience.com%2Fwos%2Fwoscc%2Ffull-record%2FWOS:000443993300003","View Full Record in Web of Science")</f>
        <v>View Full Record in Web of Science</v>
      </c>
    </row>
    <row r="1074" spans="1:72" x14ac:dyDescent="0.15">
      <c r="A1074" t="s">
        <v>98</v>
      </c>
      <c r="B1074" t="s">
        <v>20876</v>
      </c>
      <c r="C1074" t="s">
        <v>74</v>
      </c>
      <c r="D1074" t="s">
        <v>74</v>
      </c>
      <c r="E1074" t="s">
        <v>74</v>
      </c>
      <c r="F1074" t="s">
        <v>20877</v>
      </c>
      <c r="G1074" t="s">
        <v>74</v>
      </c>
      <c r="H1074" t="s">
        <v>74</v>
      </c>
      <c r="I1074" t="s">
        <v>20878</v>
      </c>
      <c r="J1074" t="s">
        <v>8238</v>
      </c>
      <c r="K1074" t="s">
        <v>74</v>
      </c>
      <c r="L1074" t="s">
        <v>74</v>
      </c>
      <c r="M1074" t="s">
        <v>74</v>
      </c>
      <c r="N1074" t="s">
        <v>103</v>
      </c>
      <c r="O1074" t="s">
        <v>74</v>
      </c>
      <c r="P1074" t="s">
        <v>74</v>
      </c>
      <c r="Q1074" t="s">
        <v>74</v>
      </c>
      <c r="R1074" t="s">
        <v>74</v>
      </c>
      <c r="S1074" t="s">
        <v>74</v>
      </c>
      <c r="T1074" t="s">
        <v>74</v>
      </c>
      <c r="U1074" t="s">
        <v>20879</v>
      </c>
      <c r="V1074" t="s">
        <v>20880</v>
      </c>
      <c r="W1074" t="s">
        <v>20881</v>
      </c>
      <c r="X1074" t="s">
        <v>20882</v>
      </c>
      <c r="Y1074" t="s">
        <v>20883</v>
      </c>
      <c r="Z1074" t="s">
        <v>20884</v>
      </c>
      <c r="AA1074" t="s">
        <v>20885</v>
      </c>
      <c r="AB1074" t="s">
        <v>20886</v>
      </c>
      <c r="AC1074" t="s">
        <v>74</v>
      </c>
      <c r="AD1074" t="s">
        <v>74</v>
      </c>
      <c r="AE1074" t="s">
        <v>74</v>
      </c>
      <c r="AF1074" t="s">
        <v>74</v>
      </c>
      <c r="AG1074">
        <v>153</v>
      </c>
      <c r="AH1074">
        <v>13</v>
      </c>
      <c r="AI1074">
        <v>13</v>
      </c>
      <c r="AJ1074">
        <v>3</v>
      </c>
      <c r="AK1074">
        <v>8</v>
      </c>
      <c r="AL1074" t="s">
        <v>74</v>
      </c>
      <c r="AM1074" t="s">
        <v>74</v>
      </c>
      <c r="AN1074" t="s">
        <v>74</v>
      </c>
      <c r="AO1074" t="s">
        <v>8247</v>
      </c>
      <c r="AP1074" t="s">
        <v>74</v>
      </c>
      <c r="AQ1074" t="s">
        <v>74</v>
      </c>
      <c r="AR1074" t="s">
        <v>74</v>
      </c>
      <c r="AS1074" t="s">
        <v>74</v>
      </c>
      <c r="AT1074" t="s">
        <v>967</v>
      </c>
      <c r="AU1074">
        <v>2014</v>
      </c>
      <c r="AV1074">
        <v>2</v>
      </c>
      <c r="AW1074">
        <v>6</v>
      </c>
      <c r="AX1074" t="s">
        <v>74</v>
      </c>
      <c r="AY1074" t="s">
        <v>74</v>
      </c>
      <c r="AZ1074" t="s">
        <v>74</v>
      </c>
      <c r="BA1074" t="s">
        <v>74</v>
      </c>
      <c r="BB1074" t="s">
        <v>74</v>
      </c>
      <c r="BC1074" t="s">
        <v>74</v>
      </c>
      <c r="BD1074" t="s">
        <v>20887</v>
      </c>
      <c r="BE1074" t="s">
        <v>20888</v>
      </c>
      <c r="BF1074" t="str">
        <f>HYPERLINK("http://dx.doi.org/10.1128/microbiolspec.PLAS-0027-2014","http://dx.doi.org/10.1128/microbiolspec.PLAS-0027-2014")</f>
        <v>http://dx.doi.org/10.1128/microbiolspec.PLAS-0027-2014</v>
      </c>
      <c r="BG1074" t="s">
        <v>74</v>
      </c>
      <c r="BH1074" t="s">
        <v>74</v>
      </c>
      <c r="BI1074" t="s">
        <v>74</v>
      </c>
      <c r="BJ1074" t="s">
        <v>898</v>
      </c>
      <c r="BK1074" t="s">
        <v>467</v>
      </c>
      <c r="BL1074" t="s">
        <v>898</v>
      </c>
      <c r="BM1074" t="s">
        <v>74</v>
      </c>
      <c r="BN1074">
        <v>26104461</v>
      </c>
      <c r="BO1074" t="s">
        <v>74</v>
      </c>
      <c r="BP1074" t="s">
        <v>74</v>
      </c>
      <c r="BQ1074" t="s">
        <v>74</v>
      </c>
      <c r="BR1074" t="s">
        <v>96</v>
      </c>
      <c r="BS1074" t="s">
        <v>20889</v>
      </c>
      <c r="BT1074" t="str">
        <f>HYPERLINK("https%3A%2F%2Fwww.webofscience.com%2Fwos%2Fwoscc%2Ffull-record%2FWOS:000422205500015","View Full Record in Web of Science")</f>
        <v>View Full Record in Web of Science</v>
      </c>
    </row>
    <row r="1075" spans="1:72" x14ac:dyDescent="0.15">
      <c r="A1075" t="s">
        <v>98</v>
      </c>
      <c r="B1075" t="s">
        <v>21470</v>
      </c>
      <c r="C1075" t="s">
        <v>74</v>
      </c>
      <c r="D1075" t="s">
        <v>74</v>
      </c>
      <c r="E1075" t="s">
        <v>74</v>
      </c>
      <c r="F1075" t="s">
        <v>21471</v>
      </c>
      <c r="G1075" t="s">
        <v>74</v>
      </c>
      <c r="H1075" t="s">
        <v>74</v>
      </c>
      <c r="I1075" t="s">
        <v>21472</v>
      </c>
      <c r="J1075" t="s">
        <v>21473</v>
      </c>
      <c r="K1075" t="s">
        <v>74</v>
      </c>
      <c r="L1075" t="s">
        <v>74</v>
      </c>
      <c r="M1075" t="s">
        <v>74</v>
      </c>
      <c r="N1075" t="s">
        <v>103</v>
      </c>
      <c r="O1075" t="s">
        <v>74</v>
      </c>
      <c r="P1075" t="s">
        <v>74</v>
      </c>
      <c r="Q1075" t="s">
        <v>74</v>
      </c>
      <c r="R1075" t="s">
        <v>74</v>
      </c>
      <c r="S1075" t="s">
        <v>74</v>
      </c>
      <c r="T1075" t="s">
        <v>21474</v>
      </c>
      <c r="U1075" t="s">
        <v>21475</v>
      </c>
      <c r="V1075" t="s">
        <v>21476</v>
      </c>
      <c r="W1075" t="s">
        <v>21477</v>
      </c>
      <c r="X1075" t="s">
        <v>21478</v>
      </c>
      <c r="Y1075" t="s">
        <v>21479</v>
      </c>
      <c r="Z1075" t="s">
        <v>21480</v>
      </c>
      <c r="AA1075" t="s">
        <v>74</v>
      </c>
      <c r="AB1075" t="s">
        <v>74</v>
      </c>
      <c r="AC1075" t="s">
        <v>74</v>
      </c>
      <c r="AD1075" t="s">
        <v>74</v>
      </c>
      <c r="AE1075" t="s">
        <v>74</v>
      </c>
      <c r="AF1075" t="s">
        <v>74</v>
      </c>
      <c r="AG1075">
        <v>32</v>
      </c>
      <c r="AH1075">
        <v>13</v>
      </c>
      <c r="AI1075">
        <v>13</v>
      </c>
      <c r="AJ1075">
        <v>3</v>
      </c>
      <c r="AK1075">
        <v>7</v>
      </c>
      <c r="AL1075" t="s">
        <v>74</v>
      </c>
      <c r="AM1075" t="s">
        <v>74</v>
      </c>
      <c r="AN1075" t="s">
        <v>74</v>
      </c>
      <c r="AO1075" t="s">
        <v>21481</v>
      </c>
      <c r="AP1075" t="s">
        <v>21482</v>
      </c>
      <c r="AQ1075" t="s">
        <v>74</v>
      </c>
      <c r="AR1075" t="s">
        <v>74</v>
      </c>
      <c r="AS1075" t="s">
        <v>74</v>
      </c>
      <c r="AT1075" t="s">
        <v>1134</v>
      </c>
      <c r="AU1075">
        <v>2020</v>
      </c>
      <c r="AV1075">
        <v>418</v>
      </c>
      <c r="AW1075" t="s">
        <v>74</v>
      </c>
      <c r="AX1075" t="s">
        <v>74</v>
      </c>
      <c r="AY1075" t="s">
        <v>74</v>
      </c>
      <c r="AZ1075" t="s">
        <v>74</v>
      </c>
      <c r="BA1075" t="s">
        <v>74</v>
      </c>
      <c r="BB1075" t="s">
        <v>74</v>
      </c>
      <c r="BC1075" t="s">
        <v>74</v>
      </c>
      <c r="BD1075">
        <v>117070</v>
      </c>
      <c r="BE1075" t="s">
        <v>21483</v>
      </c>
      <c r="BF1075" t="str">
        <f>HYPERLINK("http://dx.doi.org/10.1016/j.jns.2020.117070","http://dx.doi.org/10.1016/j.jns.2020.117070")</f>
        <v>http://dx.doi.org/10.1016/j.jns.2020.117070</v>
      </c>
      <c r="BG1075" t="s">
        <v>74</v>
      </c>
      <c r="BH1075" t="s">
        <v>74</v>
      </c>
      <c r="BI1075" t="s">
        <v>74</v>
      </c>
      <c r="BJ1075" t="s">
        <v>2639</v>
      </c>
      <c r="BK1075" t="s">
        <v>117</v>
      </c>
      <c r="BL1075" t="s">
        <v>653</v>
      </c>
      <c r="BM1075" t="s">
        <v>74</v>
      </c>
      <c r="BN1075">
        <v>32836016</v>
      </c>
      <c r="BO1075" t="s">
        <v>74</v>
      </c>
      <c r="BP1075" t="s">
        <v>74</v>
      </c>
      <c r="BQ1075" t="s">
        <v>74</v>
      </c>
      <c r="BR1075" t="s">
        <v>96</v>
      </c>
      <c r="BS1075" t="s">
        <v>21484</v>
      </c>
      <c r="BT1075" t="str">
        <f>HYPERLINK("https%3A%2F%2Fwww.webofscience.com%2Fwos%2Fwoscc%2Ffull-record%2FWOS:000582930900005","View Full Record in Web of Science")</f>
        <v>View Full Record in Web of Science</v>
      </c>
    </row>
    <row r="1076" spans="1:72" x14ac:dyDescent="0.15">
      <c r="A1076" t="s">
        <v>98</v>
      </c>
      <c r="B1076" t="s">
        <v>21634</v>
      </c>
      <c r="C1076" t="s">
        <v>74</v>
      </c>
      <c r="D1076" t="s">
        <v>74</v>
      </c>
      <c r="E1076" t="s">
        <v>74</v>
      </c>
      <c r="F1076" t="s">
        <v>21635</v>
      </c>
      <c r="G1076" t="s">
        <v>74</v>
      </c>
      <c r="H1076" t="s">
        <v>74</v>
      </c>
      <c r="I1076" t="s">
        <v>21636</v>
      </c>
      <c r="J1076" t="s">
        <v>5139</v>
      </c>
      <c r="K1076" t="s">
        <v>74</v>
      </c>
      <c r="L1076" t="s">
        <v>74</v>
      </c>
      <c r="M1076" t="s">
        <v>74</v>
      </c>
      <c r="N1076" t="s">
        <v>103</v>
      </c>
      <c r="O1076" t="s">
        <v>74</v>
      </c>
      <c r="P1076" t="s">
        <v>74</v>
      </c>
      <c r="Q1076" t="s">
        <v>74</v>
      </c>
      <c r="R1076" t="s">
        <v>74</v>
      </c>
      <c r="S1076" t="s">
        <v>74</v>
      </c>
      <c r="T1076" t="s">
        <v>74</v>
      </c>
      <c r="U1076" t="s">
        <v>21637</v>
      </c>
      <c r="V1076" t="s">
        <v>21638</v>
      </c>
      <c r="W1076" t="s">
        <v>21639</v>
      </c>
      <c r="X1076" t="s">
        <v>16469</v>
      </c>
      <c r="Y1076" t="s">
        <v>21640</v>
      </c>
      <c r="Z1076" t="s">
        <v>21641</v>
      </c>
      <c r="AA1076" t="s">
        <v>13283</v>
      </c>
      <c r="AB1076" t="s">
        <v>13284</v>
      </c>
      <c r="AC1076" t="s">
        <v>74</v>
      </c>
      <c r="AD1076" t="s">
        <v>74</v>
      </c>
      <c r="AE1076" t="s">
        <v>74</v>
      </c>
      <c r="AF1076" t="s">
        <v>74</v>
      </c>
      <c r="AG1076">
        <v>52</v>
      </c>
      <c r="AH1076">
        <v>13</v>
      </c>
      <c r="AI1076">
        <v>12</v>
      </c>
      <c r="AJ1076">
        <v>23</v>
      </c>
      <c r="AK1076">
        <v>62</v>
      </c>
      <c r="AL1076" t="s">
        <v>74</v>
      </c>
      <c r="AM1076" t="s">
        <v>74</v>
      </c>
      <c r="AN1076" t="s">
        <v>74</v>
      </c>
      <c r="AO1076" t="s">
        <v>5148</v>
      </c>
      <c r="AP1076" t="s">
        <v>74</v>
      </c>
      <c r="AQ1076" t="s">
        <v>74</v>
      </c>
      <c r="AR1076" t="s">
        <v>74</v>
      </c>
      <c r="AS1076" t="s">
        <v>74</v>
      </c>
      <c r="AT1076" t="s">
        <v>21642</v>
      </c>
      <c r="AU1076">
        <v>2021</v>
      </c>
      <c r="AV1076">
        <v>12</v>
      </c>
      <c r="AW1076">
        <v>1</v>
      </c>
      <c r="AX1076" t="s">
        <v>74</v>
      </c>
      <c r="AY1076" t="s">
        <v>74</v>
      </c>
      <c r="AZ1076" t="s">
        <v>74</v>
      </c>
      <c r="BA1076" t="s">
        <v>74</v>
      </c>
      <c r="BB1076" t="s">
        <v>74</v>
      </c>
      <c r="BC1076" t="s">
        <v>74</v>
      </c>
      <c r="BD1076">
        <v>3953</v>
      </c>
      <c r="BE1076" t="s">
        <v>21643</v>
      </c>
      <c r="BF1076" t="str">
        <f>HYPERLINK("http://dx.doi.org/10.1038/s41467-021-24191-9","http://dx.doi.org/10.1038/s41467-021-24191-9")</f>
        <v>http://dx.doi.org/10.1038/s41467-021-24191-9</v>
      </c>
      <c r="BG1076" t="s">
        <v>74</v>
      </c>
      <c r="BH1076" t="s">
        <v>74</v>
      </c>
      <c r="BI1076" t="s">
        <v>74</v>
      </c>
      <c r="BJ1076" t="s">
        <v>152</v>
      </c>
      <c r="BK1076" t="s">
        <v>117</v>
      </c>
      <c r="BL1076" t="s">
        <v>153</v>
      </c>
      <c r="BM1076" t="s">
        <v>74</v>
      </c>
      <c r="BN1076">
        <v>34172725</v>
      </c>
      <c r="BO1076" t="s">
        <v>74</v>
      </c>
      <c r="BP1076" t="s">
        <v>74</v>
      </c>
      <c r="BQ1076" t="s">
        <v>74</v>
      </c>
      <c r="BR1076" t="s">
        <v>96</v>
      </c>
      <c r="BS1076" t="s">
        <v>21644</v>
      </c>
      <c r="BT1076" t="str">
        <f>HYPERLINK("https%3A%2F%2Fwww.webofscience.com%2Fwos%2Fwoscc%2Ffull-record%2FWOS:000687320200001","View Full Record in Web of Science")</f>
        <v>View Full Record in Web of Science</v>
      </c>
    </row>
    <row r="1077" spans="1:72" x14ac:dyDescent="0.15">
      <c r="A1077" t="s">
        <v>98</v>
      </c>
      <c r="B1077" t="s">
        <v>22884</v>
      </c>
      <c r="C1077" t="s">
        <v>74</v>
      </c>
      <c r="D1077" t="s">
        <v>74</v>
      </c>
      <c r="E1077" t="s">
        <v>74</v>
      </c>
      <c r="F1077" t="s">
        <v>22885</v>
      </c>
      <c r="G1077" t="s">
        <v>74</v>
      </c>
      <c r="H1077" t="s">
        <v>74</v>
      </c>
      <c r="I1077" t="s">
        <v>22886</v>
      </c>
      <c r="J1077" t="s">
        <v>22887</v>
      </c>
      <c r="K1077" t="s">
        <v>74</v>
      </c>
      <c r="L1077" t="s">
        <v>74</v>
      </c>
      <c r="M1077" t="s">
        <v>74</v>
      </c>
      <c r="N1077" t="s">
        <v>103</v>
      </c>
      <c r="O1077" t="s">
        <v>74</v>
      </c>
      <c r="P1077" t="s">
        <v>74</v>
      </c>
      <c r="Q1077" t="s">
        <v>74</v>
      </c>
      <c r="R1077" t="s">
        <v>74</v>
      </c>
      <c r="S1077" t="s">
        <v>74</v>
      </c>
      <c r="T1077" t="s">
        <v>22888</v>
      </c>
      <c r="U1077" t="s">
        <v>22889</v>
      </c>
      <c r="V1077" t="s">
        <v>22890</v>
      </c>
      <c r="W1077" t="s">
        <v>22891</v>
      </c>
      <c r="X1077" t="s">
        <v>22892</v>
      </c>
      <c r="Y1077" t="s">
        <v>22893</v>
      </c>
      <c r="Z1077" t="s">
        <v>22894</v>
      </c>
      <c r="AA1077" t="s">
        <v>22895</v>
      </c>
      <c r="AB1077" t="s">
        <v>22896</v>
      </c>
      <c r="AC1077" t="s">
        <v>74</v>
      </c>
      <c r="AD1077" t="s">
        <v>74</v>
      </c>
      <c r="AE1077" t="s">
        <v>74</v>
      </c>
      <c r="AF1077" t="s">
        <v>74</v>
      </c>
      <c r="AG1077">
        <v>17</v>
      </c>
      <c r="AH1077">
        <v>13</v>
      </c>
      <c r="AI1077">
        <v>13</v>
      </c>
      <c r="AJ1077">
        <v>0</v>
      </c>
      <c r="AK1077">
        <v>17</v>
      </c>
      <c r="AL1077" t="s">
        <v>74</v>
      </c>
      <c r="AM1077" t="s">
        <v>74</v>
      </c>
      <c r="AN1077" t="s">
        <v>74</v>
      </c>
      <c r="AO1077" t="s">
        <v>22897</v>
      </c>
      <c r="AP1077" t="s">
        <v>22898</v>
      </c>
      <c r="AQ1077" t="s">
        <v>74</v>
      </c>
      <c r="AR1077" t="s">
        <v>74</v>
      </c>
      <c r="AS1077" t="s">
        <v>74</v>
      </c>
      <c r="AT1077" t="s">
        <v>22899</v>
      </c>
      <c r="AU1077">
        <v>2015</v>
      </c>
      <c r="AV1077">
        <v>116</v>
      </c>
      <c r="AW1077">
        <v>2</v>
      </c>
      <c r="AX1077" t="s">
        <v>74</v>
      </c>
      <c r="AY1077" t="s">
        <v>74</v>
      </c>
      <c r="AZ1077" t="s">
        <v>74</v>
      </c>
      <c r="BA1077" t="s">
        <v>74</v>
      </c>
      <c r="BB1077">
        <v>157</v>
      </c>
      <c r="BC1077" t="s">
        <v>3390</v>
      </c>
      <c r="BD1077" t="s">
        <v>74</v>
      </c>
      <c r="BE1077" t="s">
        <v>22900</v>
      </c>
      <c r="BF1077" t="str">
        <f>HYPERLINK("http://dx.doi.org/10.3354/dao02918","http://dx.doi.org/10.3354/dao02918")</f>
        <v>http://dx.doi.org/10.3354/dao02918</v>
      </c>
      <c r="BG1077" t="s">
        <v>74</v>
      </c>
      <c r="BH1077" t="s">
        <v>74</v>
      </c>
      <c r="BI1077" t="s">
        <v>74</v>
      </c>
      <c r="BJ1077" t="s">
        <v>22901</v>
      </c>
      <c r="BK1077" t="s">
        <v>117</v>
      </c>
      <c r="BL1077" t="s">
        <v>22901</v>
      </c>
      <c r="BM1077" t="s">
        <v>74</v>
      </c>
      <c r="BN1077">
        <v>26480919</v>
      </c>
      <c r="BO1077" t="s">
        <v>74</v>
      </c>
      <c r="BP1077" t="s">
        <v>74</v>
      </c>
      <c r="BQ1077" t="s">
        <v>74</v>
      </c>
      <c r="BR1077" t="s">
        <v>96</v>
      </c>
      <c r="BS1077" t="s">
        <v>22902</v>
      </c>
      <c r="BT1077" t="str">
        <f>HYPERLINK("https%3A%2F%2Fwww.webofscience.com%2Fwos%2Fwoscc%2Ffull-record%2FWOS:000363343700009","View Full Record in Web of Science")</f>
        <v>View Full Record in Web of Science</v>
      </c>
    </row>
    <row r="1078" spans="1:72" x14ac:dyDescent="0.15">
      <c r="A1078" t="s">
        <v>98</v>
      </c>
      <c r="B1078" t="s">
        <v>23565</v>
      </c>
      <c r="C1078" t="s">
        <v>74</v>
      </c>
      <c r="D1078" t="s">
        <v>74</v>
      </c>
      <c r="E1078" t="s">
        <v>74</v>
      </c>
      <c r="F1078" t="s">
        <v>23566</v>
      </c>
      <c r="G1078" t="s">
        <v>74</v>
      </c>
      <c r="H1078" t="s">
        <v>74</v>
      </c>
      <c r="I1078" t="s">
        <v>23567</v>
      </c>
      <c r="J1078" t="s">
        <v>23568</v>
      </c>
      <c r="K1078" t="s">
        <v>74</v>
      </c>
      <c r="L1078" t="s">
        <v>74</v>
      </c>
      <c r="M1078" t="s">
        <v>74</v>
      </c>
      <c r="N1078" t="s">
        <v>103</v>
      </c>
      <c r="O1078" t="s">
        <v>74</v>
      </c>
      <c r="P1078" t="s">
        <v>74</v>
      </c>
      <c r="Q1078" t="s">
        <v>74</v>
      </c>
      <c r="R1078" t="s">
        <v>74</v>
      </c>
      <c r="S1078" t="s">
        <v>74</v>
      </c>
      <c r="T1078" t="s">
        <v>74</v>
      </c>
      <c r="U1078" t="s">
        <v>23569</v>
      </c>
      <c r="V1078" t="s">
        <v>23570</v>
      </c>
      <c r="W1078" t="s">
        <v>23571</v>
      </c>
      <c r="X1078" t="s">
        <v>11765</v>
      </c>
      <c r="Y1078" t="s">
        <v>23572</v>
      </c>
      <c r="Z1078" t="s">
        <v>23573</v>
      </c>
      <c r="AA1078" t="s">
        <v>23574</v>
      </c>
      <c r="AB1078" t="s">
        <v>23575</v>
      </c>
      <c r="AC1078" t="s">
        <v>74</v>
      </c>
      <c r="AD1078" t="s">
        <v>74</v>
      </c>
      <c r="AE1078" t="s">
        <v>74</v>
      </c>
      <c r="AF1078" t="s">
        <v>74</v>
      </c>
      <c r="AG1078">
        <v>37</v>
      </c>
      <c r="AH1078">
        <v>13</v>
      </c>
      <c r="AI1078">
        <v>13</v>
      </c>
      <c r="AJ1078">
        <v>1</v>
      </c>
      <c r="AK1078">
        <v>9</v>
      </c>
      <c r="AL1078" t="s">
        <v>74</v>
      </c>
      <c r="AM1078" t="s">
        <v>74</v>
      </c>
      <c r="AN1078" t="s">
        <v>74</v>
      </c>
      <c r="AO1078" t="s">
        <v>23576</v>
      </c>
      <c r="AP1078" t="s">
        <v>23577</v>
      </c>
      <c r="AQ1078" t="s">
        <v>74</v>
      </c>
      <c r="AR1078" t="s">
        <v>74</v>
      </c>
      <c r="AS1078" t="s">
        <v>74</v>
      </c>
      <c r="AT1078" t="s">
        <v>114</v>
      </c>
      <c r="AU1078">
        <v>2020</v>
      </c>
      <c r="AV1078">
        <v>71</v>
      </c>
      <c r="AW1078">
        <v>1</v>
      </c>
      <c r="AX1078" t="s">
        <v>74</v>
      </c>
      <c r="AY1078" t="s">
        <v>74</v>
      </c>
      <c r="AZ1078" t="s">
        <v>74</v>
      </c>
      <c r="BA1078" t="s">
        <v>74</v>
      </c>
      <c r="BB1078">
        <v>259</v>
      </c>
      <c r="BC1078">
        <v>274</v>
      </c>
      <c r="BD1078" t="s">
        <v>74</v>
      </c>
      <c r="BE1078" t="s">
        <v>23578</v>
      </c>
      <c r="BF1078" t="str">
        <f>HYPERLINK("http://dx.doi.org/10.1002/hep.30805","http://dx.doi.org/10.1002/hep.30805")</f>
        <v>http://dx.doi.org/10.1002/hep.30805</v>
      </c>
      <c r="BG1078" t="s">
        <v>74</v>
      </c>
      <c r="BH1078" t="s">
        <v>6448</v>
      </c>
      <c r="BI1078" t="s">
        <v>74</v>
      </c>
      <c r="BJ1078" t="s">
        <v>633</v>
      </c>
      <c r="BK1078" t="s">
        <v>117</v>
      </c>
      <c r="BL1078" t="s">
        <v>633</v>
      </c>
      <c r="BM1078" t="s">
        <v>74</v>
      </c>
      <c r="BN1078">
        <v>31173389</v>
      </c>
      <c r="BO1078" t="s">
        <v>74</v>
      </c>
      <c r="BP1078" t="s">
        <v>74</v>
      </c>
      <c r="BQ1078" t="s">
        <v>74</v>
      </c>
      <c r="BR1078" t="s">
        <v>96</v>
      </c>
      <c r="BS1078" t="s">
        <v>23579</v>
      </c>
      <c r="BT1078" t="str">
        <f>HYPERLINK("https%3A%2F%2Fwww.webofscience.com%2Fwos%2Fwoscc%2Ffull-record%2FWOS:000480461300001","View Full Record in Web of Science")</f>
        <v>View Full Record in Web of Science</v>
      </c>
    </row>
    <row r="1079" spans="1:72" x14ac:dyDescent="0.15">
      <c r="A1079" t="s">
        <v>98</v>
      </c>
      <c r="B1079" t="s">
        <v>18427</v>
      </c>
      <c r="C1079" t="s">
        <v>74</v>
      </c>
      <c r="D1079" t="s">
        <v>74</v>
      </c>
      <c r="E1079" t="s">
        <v>74</v>
      </c>
      <c r="F1079" t="s">
        <v>18428</v>
      </c>
      <c r="G1079" t="s">
        <v>74</v>
      </c>
      <c r="H1079" t="s">
        <v>74</v>
      </c>
      <c r="I1079" t="s">
        <v>24218</v>
      </c>
      <c r="J1079" t="s">
        <v>24219</v>
      </c>
      <c r="K1079" t="s">
        <v>74</v>
      </c>
      <c r="L1079" t="s">
        <v>74</v>
      </c>
      <c r="M1079" t="s">
        <v>74</v>
      </c>
      <c r="N1079" t="s">
        <v>103</v>
      </c>
      <c r="O1079" t="s">
        <v>74</v>
      </c>
      <c r="P1079" t="s">
        <v>74</v>
      </c>
      <c r="Q1079" t="s">
        <v>74</v>
      </c>
      <c r="R1079" t="s">
        <v>74</v>
      </c>
      <c r="S1079" t="s">
        <v>74</v>
      </c>
      <c r="T1079" t="s">
        <v>24220</v>
      </c>
      <c r="U1079" t="s">
        <v>24221</v>
      </c>
      <c r="V1079" t="s">
        <v>24222</v>
      </c>
      <c r="W1079" t="s">
        <v>24223</v>
      </c>
      <c r="X1079" t="s">
        <v>18434</v>
      </c>
      <c r="Y1079" t="s">
        <v>24224</v>
      </c>
      <c r="Z1079" t="s">
        <v>15921</v>
      </c>
      <c r="AA1079" t="s">
        <v>74</v>
      </c>
      <c r="AB1079" t="s">
        <v>74</v>
      </c>
      <c r="AC1079" t="s">
        <v>74</v>
      </c>
      <c r="AD1079" t="s">
        <v>74</v>
      </c>
      <c r="AE1079" t="s">
        <v>74</v>
      </c>
      <c r="AF1079" t="s">
        <v>74</v>
      </c>
      <c r="AG1079">
        <v>99</v>
      </c>
      <c r="AH1079">
        <v>13</v>
      </c>
      <c r="AI1079">
        <v>13</v>
      </c>
      <c r="AJ1079">
        <v>1</v>
      </c>
      <c r="AK1079">
        <v>18</v>
      </c>
      <c r="AL1079" t="s">
        <v>74</v>
      </c>
      <c r="AM1079" t="s">
        <v>74</v>
      </c>
      <c r="AN1079" t="s">
        <v>74</v>
      </c>
      <c r="AO1079" t="s">
        <v>24225</v>
      </c>
      <c r="AP1079" t="s">
        <v>24226</v>
      </c>
      <c r="AQ1079" t="s">
        <v>74</v>
      </c>
      <c r="AR1079" t="s">
        <v>74</v>
      </c>
      <c r="AS1079" t="s">
        <v>74</v>
      </c>
      <c r="AT1079" t="s">
        <v>230</v>
      </c>
      <c r="AU1079">
        <v>2016</v>
      </c>
      <c r="AV1079">
        <v>38</v>
      </c>
      <c r="AW1079">
        <v>8</v>
      </c>
      <c r="AX1079" t="s">
        <v>74</v>
      </c>
      <c r="AY1079" t="s">
        <v>74</v>
      </c>
      <c r="AZ1079" t="s">
        <v>74</v>
      </c>
      <c r="BA1079" t="s">
        <v>74</v>
      </c>
      <c r="BB1079">
        <v>726</v>
      </c>
      <c r="BC1079">
        <v>733</v>
      </c>
      <c r="BD1079" t="s">
        <v>74</v>
      </c>
      <c r="BE1079" t="s">
        <v>24227</v>
      </c>
      <c r="BF1079" t="str">
        <f>HYPERLINK("http://dx.doi.org/10.1002/bies.201500197","http://dx.doi.org/10.1002/bies.201500197")</f>
        <v>http://dx.doi.org/10.1002/bies.201500197</v>
      </c>
      <c r="BG1079" t="s">
        <v>74</v>
      </c>
      <c r="BH1079" t="s">
        <v>74</v>
      </c>
      <c r="BI1079" t="s">
        <v>74</v>
      </c>
      <c r="BJ1079" t="s">
        <v>22787</v>
      </c>
      <c r="BK1079" t="s">
        <v>117</v>
      </c>
      <c r="BL1079" t="s">
        <v>22788</v>
      </c>
      <c r="BM1079" t="s">
        <v>74</v>
      </c>
      <c r="BN1079">
        <v>27315018</v>
      </c>
      <c r="BO1079" t="s">
        <v>74</v>
      </c>
      <c r="BP1079" t="s">
        <v>74</v>
      </c>
      <c r="BQ1079" t="s">
        <v>74</v>
      </c>
      <c r="BR1079" t="s">
        <v>96</v>
      </c>
      <c r="BS1079" t="s">
        <v>24228</v>
      </c>
      <c r="BT1079" t="str">
        <f>HYPERLINK("https%3A%2F%2Fwww.webofscience.com%2Fwos%2Fwoscc%2Ffull-record%2FWOS:000380047400004","View Full Record in Web of Science")</f>
        <v>View Full Record in Web of Science</v>
      </c>
    </row>
    <row r="1080" spans="1:72" x14ac:dyDescent="0.15">
      <c r="A1080" t="s">
        <v>98</v>
      </c>
      <c r="B1080" t="s">
        <v>24813</v>
      </c>
      <c r="C1080" t="s">
        <v>74</v>
      </c>
      <c r="D1080" t="s">
        <v>74</v>
      </c>
      <c r="E1080" t="s">
        <v>74</v>
      </c>
      <c r="F1080" t="s">
        <v>24814</v>
      </c>
      <c r="G1080" t="s">
        <v>74</v>
      </c>
      <c r="H1080" t="s">
        <v>74</v>
      </c>
      <c r="I1080" t="s">
        <v>24815</v>
      </c>
      <c r="J1080" t="s">
        <v>7841</v>
      </c>
      <c r="K1080" t="s">
        <v>74</v>
      </c>
      <c r="L1080" t="s">
        <v>74</v>
      </c>
      <c r="M1080" t="s">
        <v>74</v>
      </c>
      <c r="N1080" t="s">
        <v>103</v>
      </c>
      <c r="O1080" t="s">
        <v>74</v>
      </c>
      <c r="P1080" t="s">
        <v>74</v>
      </c>
      <c r="Q1080" t="s">
        <v>74</v>
      </c>
      <c r="R1080" t="s">
        <v>74</v>
      </c>
      <c r="S1080" t="s">
        <v>74</v>
      </c>
      <c r="T1080" t="s">
        <v>74</v>
      </c>
      <c r="U1080" t="s">
        <v>24816</v>
      </c>
      <c r="V1080" t="s">
        <v>24817</v>
      </c>
      <c r="W1080" t="s">
        <v>24818</v>
      </c>
      <c r="X1080" t="s">
        <v>24819</v>
      </c>
      <c r="Y1080" t="s">
        <v>24820</v>
      </c>
      <c r="Z1080" t="s">
        <v>24821</v>
      </c>
      <c r="AA1080" t="s">
        <v>74</v>
      </c>
      <c r="AB1080" t="s">
        <v>74</v>
      </c>
      <c r="AC1080" t="s">
        <v>74</v>
      </c>
      <c r="AD1080" t="s">
        <v>74</v>
      </c>
      <c r="AE1080" t="s">
        <v>74</v>
      </c>
      <c r="AF1080" t="s">
        <v>74</v>
      </c>
      <c r="AG1080">
        <v>41</v>
      </c>
      <c r="AH1080">
        <v>13</v>
      </c>
      <c r="AI1080">
        <v>13</v>
      </c>
      <c r="AJ1080">
        <v>0</v>
      </c>
      <c r="AK1080">
        <v>10</v>
      </c>
      <c r="AL1080" t="s">
        <v>74</v>
      </c>
      <c r="AM1080" t="s">
        <v>74</v>
      </c>
      <c r="AN1080" t="s">
        <v>74</v>
      </c>
      <c r="AO1080" t="s">
        <v>7850</v>
      </c>
      <c r="AP1080" t="s">
        <v>7851</v>
      </c>
      <c r="AQ1080" t="s">
        <v>74</v>
      </c>
      <c r="AR1080" t="s">
        <v>74</v>
      </c>
      <c r="AS1080" t="s">
        <v>74</v>
      </c>
      <c r="AT1080" t="s">
        <v>150</v>
      </c>
      <c r="AU1080">
        <v>2015</v>
      </c>
      <c r="AV1080">
        <v>195</v>
      </c>
      <c r="AW1080">
        <v>4</v>
      </c>
      <c r="AX1080" t="s">
        <v>74</v>
      </c>
      <c r="AY1080" t="s">
        <v>74</v>
      </c>
      <c r="AZ1080" t="s">
        <v>74</v>
      </c>
      <c r="BA1080" t="s">
        <v>74</v>
      </c>
      <c r="BB1080">
        <v>1647</v>
      </c>
      <c r="BC1080">
        <v>1656</v>
      </c>
      <c r="BD1080" t="s">
        <v>74</v>
      </c>
      <c r="BE1080" t="s">
        <v>24822</v>
      </c>
      <c r="BF1080" t="str">
        <f>HYPERLINK("http://dx.doi.org/10.4049/jimmunol.1500212","http://dx.doi.org/10.4049/jimmunol.1500212")</f>
        <v>http://dx.doi.org/10.4049/jimmunol.1500212</v>
      </c>
      <c r="BG1080" t="s">
        <v>74</v>
      </c>
      <c r="BH1080" t="s">
        <v>74</v>
      </c>
      <c r="BI1080" t="s">
        <v>74</v>
      </c>
      <c r="BJ1080" t="s">
        <v>2064</v>
      </c>
      <c r="BK1080" t="s">
        <v>117</v>
      </c>
      <c r="BL1080" t="s">
        <v>2064</v>
      </c>
      <c r="BM1080" t="s">
        <v>74</v>
      </c>
      <c r="BN1080">
        <v>26170381</v>
      </c>
      <c r="BO1080" t="s">
        <v>74</v>
      </c>
      <c r="BP1080" t="s">
        <v>74</v>
      </c>
      <c r="BQ1080" t="s">
        <v>74</v>
      </c>
      <c r="BR1080" t="s">
        <v>96</v>
      </c>
      <c r="BS1080" t="s">
        <v>24823</v>
      </c>
      <c r="BT1080" t="str">
        <f>HYPERLINK("https%3A%2F%2Fwww.webofscience.com%2Fwos%2Fwoscc%2Ffull-record%2FWOS:000360013200034","View Full Record in Web of Science")</f>
        <v>View Full Record in Web of Science</v>
      </c>
    </row>
    <row r="1081" spans="1:72" x14ac:dyDescent="0.15">
      <c r="A1081" t="s">
        <v>98</v>
      </c>
      <c r="B1081" t="s">
        <v>25929</v>
      </c>
      <c r="C1081" t="s">
        <v>74</v>
      </c>
      <c r="D1081" t="s">
        <v>74</v>
      </c>
      <c r="E1081" t="s">
        <v>74</v>
      </c>
      <c r="F1081" t="s">
        <v>25930</v>
      </c>
      <c r="G1081" t="s">
        <v>74</v>
      </c>
      <c r="H1081" t="s">
        <v>74</v>
      </c>
      <c r="I1081" t="s">
        <v>25931</v>
      </c>
      <c r="J1081" t="s">
        <v>25932</v>
      </c>
      <c r="K1081" t="s">
        <v>74</v>
      </c>
      <c r="L1081" t="s">
        <v>74</v>
      </c>
      <c r="M1081" t="s">
        <v>74</v>
      </c>
      <c r="N1081" t="s">
        <v>103</v>
      </c>
      <c r="O1081" t="s">
        <v>74</v>
      </c>
      <c r="P1081" t="s">
        <v>74</v>
      </c>
      <c r="Q1081" t="s">
        <v>74</v>
      </c>
      <c r="R1081" t="s">
        <v>74</v>
      </c>
      <c r="S1081" t="s">
        <v>74</v>
      </c>
      <c r="T1081" t="s">
        <v>25933</v>
      </c>
      <c r="U1081" t="s">
        <v>25934</v>
      </c>
      <c r="V1081" t="s">
        <v>25935</v>
      </c>
      <c r="W1081" t="s">
        <v>25936</v>
      </c>
      <c r="X1081" t="s">
        <v>25937</v>
      </c>
      <c r="Y1081" t="s">
        <v>25938</v>
      </c>
      <c r="Z1081" t="s">
        <v>25939</v>
      </c>
      <c r="AA1081" t="s">
        <v>74</v>
      </c>
      <c r="AB1081" t="s">
        <v>74</v>
      </c>
      <c r="AC1081" t="s">
        <v>74</v>
      </c>
      <c r="AD1081" t="s">
        <v>74</v>
      </c>
      <c r="AE1081" t="s">
        <v>74</v>
      </c>
      <c r="AF1081" t="s">
        <v>74</v>
      </c>
      <c r="AG1081">
        <v>118</v>
      </c>
      <c r="AH1081">
        <v>13</v>
      </c>
      <c r="AI1081">
        <v>14</v>
      </c>
      <c r="AJ1081">
        <v>0</v>
      </c>
      <c r="AK1081">
        <v>2</v>
      </c>
      <c r="AL1081" t="s">
        <v>74</v>
      </c>
      <c r="AM1081" t="s">
        <v>74</v>
      </c>
      <c r="AN1081" t="s">
        <v>74</v>
      </c>
      <c r="AO1081" t="s">
        <v>25940</v>
      </c>
      <c r="AP1081" t="s">
        <v>25941</v>
      </c>
      <c r="AQ1081" t="s">
        <v>74</v>
      </c>
      <c r="AR1081" t="s">
        <v>74</v>
      </c>
      <c r="AS1081" t="s">
        <v>74</v>
      </c>
      <c r="AT1081" t="s">
        <v>1116</v>
      </c>
      <c r="AU1081">
        <v>2016</v>
      </c>
      <c r="AV1081">
        <v>129</v>
      </c>
      <c r="AW1081">
        <v>2</v>
      </c>
      <c r="AX1081" t="s">
        <v>74</v>
      </c>
      <c r="AY1081" t="s">
        <v>74</v>
      </c>
      <c r="AZ1081" t="s">
        <v>74</v>
      </c>
      <c r="BA1081" t="s">
        <v>74</v>
      </c>
      <c r="BB1081">
        <v>314</v>
      </c>
      <c r="BC1081">
        <v>328</v>
      </c>
      <c r="BD1081" t="s">
        <v>74</v>
      </c>
      <c r="BE1081" t="s">
        <v>25942</v>
      </c>
      <c r="BF1081" t="str">
        <f>HYPERLINK("http://dx.doi.org/10.1242/jcs.173195","http://dx.doi.org/10.1242/jcs.173195")</f>
        <v>http://dx.doi.org/10.1242/jcs.173195</v>
      </c>
      <c r="BG1081" t="s">
        <v>74</v>
      </c>
      <c r="BH1081" t="s">
        <v>74</v>
      </c>
      <c r="BI1081" t="s">
        <v>74</v>
      </c>
      <c r="BJ1081" t="s">
        <v>135</v>
      </c>
      <c r="BK1081" t="s">
        <v>117</v>
      </c>
      <c r="BL1081" t="s">
        <v>135</v>
      </c>
      <c r="BM1081" t="s">
        <v>74</v>
      </c>
      <c r="BN1081">
        <v>26644180</v>
      </c>
      <c r="BO1081" t="s">
        <v>74</v>
      </c>
      <c r="BP1081" t="s">
        <v>74</v>
      </c>
      <c r="BQ1081" t="s">
        <v>74</v>
      </c>
      <c r="BR1081" t="s">
        <v>96</v>
      </c>
      <c r="BS1081" t="s">
        <v>25943</v>
      </c>
      <c r="BT1081" t="str">
        <f>HYPERLINK("https%3A%2F%2Fwww.webofscience.com%2Fwos%2Fwoscc%2Ffull-record%2FWOS:000369504000008","View Full Record in Web of Science")</f>
        <v>View Full Record in Web of Science</v>
      </c>
    </row>
    <row r="1082" spans="1:72" x14ac:dyDescent="0.15">
      <c r="A1082" t="s">
        <v>98</v>
      </c>
      <c r="B1082" t="s">
        <v>26356</v>
      </c>
      <c r="C1082" t="s">
        <v>74</v>
      </c>
      <c r="D1082" t="s">
        <v>74</v>
      </c>
      <c r="E1082" t="s">
        <v>74</v>
      </c>
      <c r="F1082" t="s">
        <v>26357</v>
      </c>
      <c r="G1082" t="s">
        <v>74</v>
      </c>
      <c r="H1082" t="s">
        <v>74</v>
      </c>
      <c r="I1082" t="s">
        <v>26358</v>
      </c>
      <c r="J1082" t="s">
        <v>6273</v>
      </c>
      <c r="K1082" t="s">
        <v>74</v>
      </c>
      <c r="L1082" t="s">
        <v>74</v>
      </c>
      <c r="M1082" t="s">
        <v>74</v>
      </c>
      <c r="N1082" t="s">
        <v>103</v>
      </c>
      <c r="O1082" t="s">
        <v>74</v>
      </c>
      <c r="P1082" t="s">
        <v>74</v>
      </c>
      <c r="Q1082" t="s">
        <v>74</v>
      </c>
      <c r="R1082" t="s">
        <v>74</v>
      </c>
      <c r="S1082" t="s">
        <v>74</v>
      </c>
      <c r="T1082" t="s">
        <v>74</v>
      </c>
      <c r="U1082" t="s">
        <v>26359</v>
      </c>
      <c r="V1082" t="s">
        <v>26360</v>
      </c>
      <c r="W1082" t="s">
        <v>26361</v>
      </c>
      <c r="X1082" t="s">
        <v>26362</v>
      </c>
      <c r="Y1082" t="s">
        <v>26363</v>
      </c>
      <c r="Z1082" t="s">
        <v>26364</v>
      </c>
      <c r="AA1082" t="s">
        <v>74</v>
      </c>
      <c r="AB1082" t="s">
        <v>26365</v>
      </c>
      <c r="AC1082" t="s">
        <v>74</v>
      </c>
      <c r="AD1082" t="s">
        <v>74</v>
      </c>
      <c r="AE1082" t="s">
        <v>74</v>
      </c>
      <c r="AF1082" t="s">
        <v>74</v>
      </c>
      <c r="AG1082">
        <v>51</v>
      </c>
      <c r="AH1082">
        <v>13</v>
      </c>
      <c r="AI1082">
        <v>13</v>
      </c>
      <c r="AJ1082">
        <v>0</v>
      </c>
      <c r="AK1082">
        <v>22</v>
      </c>
      <c r="AL1082" t="s">
        <v>74</v>
      </c>
      <c r="AM1082" t="s">
        <v>74</v>
      </c>
      <c r="AN1082" t="s">
        <v>74</v>
      </c>
      <c r="AO1082" t="s">
        <v>6281</v>
      </c>
      <c r="AP1082" t="s">
        <v>6282</v>
      </c>
      <c r="AQ1082" t="s">
        <v>74</v>
      </c>
      <c r="AR1082" t="s">
        <v>74</v>
      </c>
      <c r="AS1082" t="s">
        <v>74</v>
      </c>
      <c r="AT1082" t="s">
        <v>283</v>
      </c>
      <c r="AU1082">
        <v>2015</v>
      </c>
      <c r="AV1082">
        <v>197</v>
      </c>
      <c r="AW1082">
        <v>3</v>
      </c>
      <c r="AX1082" t="s">
        <v>74</v>
      </c>
      <c r="AY1082" t="s">
        <v>74</v>
      </c>
      <c r="AZ1082" t="s">
        <v>74</v>
      </c>
      <c r="BA1082" t="s">
        <v>74</v>
      </c>
      <c r="BB1082">
        <v>518</v>
      </c>
      <c r="BC1082">
        <v>528</v>
      </c>
      <c r="BD1082" t="s">
        <v>74</v>
      </c>
      <c r="BE1082" t="s">
        <v>26366</v>
      </c>
      <c r="BF1082" t="str">
        <f>HYPERLINK("http://dx.doi.org/10.1128/JB.02292-14","http://dx.doi.org/10.1128/JB.02292-14")</f>
        <v>http://dx.doi.org/10.1128/JB.02292-14</v>
      </c>
      <c r="BG1082" t="s">
        <v>74</v>
      </c>
      <c r="BH1082" t="s">
        <v>74</v>
      </c>
      <c r="BI1082" t="s">
        <v>74</v>
      </c>
      <c r="BJ1082" t="s">
        <v>898</v>
      </c>
      <c r="BK1082" t="s">
        <v>117</v>
      </c>
      <c r="BL1082" t="s">
        <v>898</v>
      </c>
      <c r="BM1082" t="s">
        <v>74</v>
      </c>
      <c r="BN1082">
        <v>25404700</v>
      </c>
      <c r="BO1082" t="s">
        <v>74</v>
      </c>
      <c r="BP1082" t="s">
        <v>74</v>
      </c>
      <c r="BQ1082" t="s">
        <v>74</v>
      </c>
      <c r="BR1082" t="s">
        <v>96</v>
      </c>
      <c r="BS1082" t="s">
        <v>26367</v>
      </c>
      <c r="BT1082" t="str">
        <f>HYPERLINK("https%3A%2F%2Fwww.webofscience.com%2Fwos%2Fwoscc%2Ffull-record%2FWOS:000347676800012","View Full Record in Web of Science")</f>
        <v>View Full Record in Web of Science</v>
      </c>
    </row>
    <row r="1083" spans="1:72" x14ac:dyDescent="0.15">
      <c r="A1083" t="s">
        <v>98</v>
      </c>
      <c r="B1083" t="s">
        <v>27688</v>
      </c>
      <c r="C1083" t="s">
        <v>74</v>
      </c>
      <c r="D1083" t="s">
        <v>74</v>
      </c>
      <c r="E1083" t="s">
        <v>74</v>
      </c>
      <c r="F1083" t="s">
        <v>27689</v>
      </c>
      <c r="G1083" t="s">
        <v>74</v>
      </c>
      <c r="H1083" t="s">
        <v>74</v>
      </c>
      <c r="I1083" t="s">
        <v>27690</v>
      </c>
      <c r="J1083" t="s">
        <v>5025</v>
      </c>
      <c r="K1083" t="s">
        <v>74</v>
      </c>
      <c r="L1083" t="s">
        <v>74</v>
      </c>
      <c r="M1083" t="s">
        <v>74</v>
      </c>
      <c r="N1083" t="s">
        <v>103</v>
      </c>
      <c r="O1083" t="s">
        <v>74</v>
      </c>
      <c r="P1083" t="s">
        <v>74</v>
      </c>
      <c r="Q1083" t="s">
        <v>74</v>
      </c>
      <c r="R1083" t="s">
        <v>74</v>
      </c>
      <c r="S1083" t="s">
        <v>74</v>
      </c>
      <c r="T1083" t="s">
        <v>27691</v>
      </c>
      <c r="U1083" t="s">
        <v>27692</v>
      </c>
      <c r="V1083" t="s">
        <v>27693</v>
      </c>
      <c r="W1083" t="s">
        <v>27694</v>
      </c>
      <c r="X1083" t="s">
        <v>27695</v>
      </c>
      <c r="Y1083" t="s">
        <v>27696</v>
      </c>
      <c r="Z1083" t="s">
        <v>27697</v>
      </c>
      <c r="AA1083" t="s">
        <v>27698</v>
      </c>
      <c r="AB1083" t="s">
        <v>27699</v>
      </c>
      <c r="AC1083" t="s">
        <v>74</v>
      </c>
      <c r="AD1083" t="s">
        <v>74</v>
      </c>
      <c r="AE1083" t="s">
        <v>74</v>
      </c>
      <c r="AF1083" t="s">
        <v>74</v>
      </c>
      <c r="AG1083">
        <v>43</v>
      </c>
      <c r="AH1083">
        <v>13</v>
      </c>
      <c r="AI1083">
        <v>13</v>
      </c>
      <c r="AJ1083">
        <v>0</v>
      </c>
      <c r="AK1083">
        <v>3</v>
      </c>
      <c r="AL1083" t="s">
        <v>74</v>
      </c>
      <c r="AM1083" t="s">
        <v>74</v>
      </c>
      <c r="AN1083" t="s">
        <v>74</v>
      </c>
      <c r="AO1083" t="s">
        <v>74</v>
      </c>
      <c r="AP1083" t="s">
        <v>5035</v>
      </c>
      <c r="AQ1083" t="s">
        <v>74</v>
      </c>
      <c r="AR1083" t="s">
        <v>74</v>
      </c>
      <c r="AS1083" t="s">
        <v>74</v>
      </c>
      <c r="AT1083" t="s">
        <v>189</v>
      </c>
      <c r="AU1083">
        <v>2019</v>
      </c>
      <c r="AV1083">
        <v>8</v>
      </c>
      <c r="AW1083">
        <v>10</v>
      </c>
      <c r="AX1083" t="s">
        <v>74</v>
      </c>
      <c r="AY1083" t="s">
        <v>74</v>
      </c>
      <c r="AZ1083" t="s">
        <v>74</v>
      </c>
      <c r="BA1083" t="s">
        <v>74</v>
      </c>
      <c r="BB1083" t="s">
        <v>74</v>
      </c>
      <c r="BC1083" t="s">
        <v>74</v>
      </c>
      <c r="BD1083">
        <v>1726</v>
      </c>
      <c r="BE1083" t="s">
        <v>27700</v>
      </c>
      <c r="BF1083" t="str">
        <f>HYPERLINK("http://dx.doi.org/10.3390/jcm8101726","http://dx.doi.org/10.3390/jcm8101726")</f>
        <v>http://dx.doi.org/10.3390/jcm8101726</v>
      </c>
      <c r="BG1083" t="s">
        <v>74</v>
      </c>
      <c r="BH1083" t="s">
        <v>74</v>
      </c>
      <c r="BI1083" t="s">
        <v>74</v>
      </c>
      <c r="BJ1083" t="s">
        <v>2564</v>
      </c>
      <c r="BK1083" t="s">
        <v>117</v>
      </c>
      <c r="BL1083" t="s">
        <v>2565</v>
      </c>
      <c r="BM1083" t="s">
        <v>74</v>
      </c>
      <c r="BN1083">
        <v>31635338</v>
      </c>
      <c r="BO1083" t="s">
        <v>74</v>
      </c>
      <c r="BP1083" t="s">
        <v>74</v>
      </c>
      <c r="BQ1083" t="s">
        <v>74</v>
      </c>
      <c r="BR1083" t="s">
        <v>96</v>
      </c>
      <c r="BS1083" t="s">
        <v>27701</v>
      </c>
      <c r="BT1083" t="str">
        <f>HYPERLINK("https%3A%2F%2Fwww.webofscience.com%2Fwos%2Fwoscc%2Ffull-record%2FWOS:000498398500224","View Full Record in Web of Science")</f>
        <v>View Full Record in Web of Science</v>
      </c>
    </row>
    <row r="1084" spans="1:72" x14ac:dyDescent="0.15">
      <c r="A1084" t="s">
        <v>98</v>
      </c>
      <c r="B1084" t="s">
        <v>28215</v>
      </c>
      <c r="C1084" t="s">
        <v>74</v>
      </c>
      <c r="D1084" t="s">
        <v>74</v>
      </c>
      <c r="E1084" t="s">
        <v>74</v>
      </c>
      <c r="F1084" t="s">
        <v>28216</v>
      </c>
      <c r="G1084" t="s">
        <v>74</v>
      </c>
      <c r="H1084" t="s">
        <v>74</v>
      </c>
      <c r="I1084" t="s">
        <v>28217</v>
      </c>
      <c r="J1084" t="s">
        <v>13840</v>
      </c>
      <c r="K1084" t="s">
        <v>74</v>
      </c>
      <c r="L1084" t="s">
        <v>74</v>
      </c>
      <c r="M1084" t="s">
        <v>74</v>
      </c>
      <c r="N1084" t="s">
        <v>103</v>
      </c>
      <c r="O1084" t="s">
        <v>74</v>
      </c>
      <c r="P1084" t="s">
        <v>74</v>
      </c>
      <c r="Q1084" t="s">
        <v>74</v>
      </c>
      <c r="R1084" t="s">
        <v>74</v>
      </c>
      <c r="S1084" t="s">
        <v>74</v>
      </c>
      <c r="T1084" t="s">
        <v>74</v>
      </c>
      <c r="U1084" t="s">
        <v>28218</v>
      </c>
      <c r="V1084" t="s">
        <v>28219</v>
      </c>
      <c r="W1084" t="s">
        <v>28220</v>
      </c>
      <c r="X1084" t="s">
        <v>28221</v>
      </c>
      <c r="Y1084" t="s">
        <v>28222</v>
      </c>
      <c r="Z1084" t="s">
        <v>28223</v>
      </c>
      <c r="AA1084" t="s">
        <v>28224</v>
      </c>
      <c r="AB1084" t="s">
        <v>28225</v>
      </c>
      <c r="AC1084" t="s">
        <v>74</v>
      </c>
      <c r="AD1084" t="s">
        <v>74</v>
      </c>
      <c r="AE1084" t="s">
        <v>74</v>
      </c>
      <c r="AF1084" t="s">
        <v>74</v>
      </c>
      <c r="AG1084">
        <v>83</v>
      </c>
      <c r="AH1084">
        <v>13</v>
      </c>
      <c r="AI1084">
        <v>14</v>
      </c>
      <c r="AJ1084">
        <v>4</v>
      </c>
      <c r="AK1084">
        <v>35</v>
      </c>
      <c r="AL1084" t="s">
        <v>74</v>
      </c>
      <c r="AM1084" t="s">
        <v>74</v>
      </c>
      <c r="AN1084" t="s">
        <v>74</v>
      </c>
      <c r="AO1084" t="s">
        <v>13845</v>
      </c>
      <c r="AP1084" t="s">
        <v>13846</v>
      </c>
      <c r="AQ1084" t="s">
        <v>74</v>
      </c>
      <c r="AR1084" t="s">
        <v>74</v>
      </c>
      <c r="AS1084" t="s">
        <v>74</v>
      </c>
      <c r="AT1084" t="s">
        <v>13641</v>
      </c>
      <c r="AU1084">
        <v>2020</v>
      </c>
      <c r="AV1084">
        <v>8</v>
      </c>
      <c r="AW1084">
        <v>41</v>
      </c>
      <c r="AX1084" t="s">
        <v>74</v>
      </c>
      <c r="AY1084" t="s">
        <v>74</v>
      </c>
      <c r="AZ1084" t="s">
        <v>74</v>
      </c>
      <c r="BA1084" t="s">
        <v>74</v>
      </c>
      <c r="BB1084">
        <v>9576</v>
      </c>
      <c r="BC1084">
        <v>9588</v>
      </c>
      <c r="BD1084" t="s">
        <v>74</v>
      </c>
      <c r="BE1084" t="s">
        <v>28226</v>
      </c>
      <c r="BF1084" t="str">
        <f>HYPERLINK("http://dx.doi.org/10.1039/d0tb01359e","http://dx.doi.org/10.1039/d0tb01359e")</f>
        <v>http://dx.doi.org/10.1039/d0tb01359e</v>
      </c>
      <c r="BG1084" t="s">
        <v>74</v>
      </c>
      <c r="BH1084" t="s">
        <v>74</v>
      </c>
      <c r="BI1084" t="s">
        <v>74</v>
      </c>
      <c r="BJ1084" t="s">
        <v>3945</v>
      </c>
      <c r="BK1084" t="s">
        <v>117</v>
      </c>
      <c r="BL1084" t="s">
        <v>3946</v>
      </c>
      <c r="BM1084" t="s">
        <v>74</v>
      </c>
      <c r="BN1084">
        <v>33005912</v>
      </c>
      <c r="BO1084" t="s">
        <v>74</v>
      </c>
      <c r="BP1084" t="s">
        <v>74</v>
      </c>
      <c r="BQ1084" t="s">
        <v>74</v>
      </c>
      <c r="BR1084" t="s">
        <v>96</v>
      </c>
      <c r="BS1084" t="s">
        <v>28227</v>
      </c>
      <c r="BT1084" t="str">
        <f>HYPERLINK("https%3A%2F%2Fwww.webofscience.com%2Fwos%2Fwoscc%2Ffull-record%2FWOS:000582937800013","View Full Record in Web of Science")</f>
        <v>View Full Record in Web of Science</v>
      </c>
    </row>
    <row r="1085" spans="1:72" x14ac:dyDescent="0.15">
      <c r="A1085" t="s">
        <v>98</v>
      </c>
      <c r="B1085" t="s">
        <v>28420</v>
      </c>
      <c r="C1085" t="s">
        <v>74</v>
      </c>
      <c r="D1085" t="s">
        <v>74</v>
      </c>
      <c r="E1085" t="s">
        <v>74</v>
      </c>
      <c r="F1085" t="s">
        <v>28421</v>
      </c>
      <c r="G1085" t="s">
        <v>74</v>
      </c>
      <c r="H1085" t="s">
        <v>74</v>
      </c>
      <c r="I1085" t="s">
        <v>28422</v>
      </c>
      <c r="J1085" t="s">
        <v>18945</v>
      </c>
      <c r="K1085" t="s">
        <v>74</v>
      </c>
      <c r="L1085" t="s">
        <v>74</v>
      </c>
      <c r="M1085" t="s">
        <v>74</v>
      </c>
      <c r="N1085" t="s">
        <v>103</v>
      </c>
      <c r="O1085" t="s">
        <v>74</v>
      </c>
      <c r="P1085" t="s">
        <v>74</v>
      </c>
      <c r="Q1085" t="s">
        <v>74</v>
      </c>
      <c r="R1085" t="s">
        <v>74</v>
      </c>
      <c r="S1085" t="s">
        <v>74</v>
      </c>
      <c r="T1085" t="s">
        <v>28423</v>
      </c>
      <c r="U1085" t="s">
        <v>28424</v>
      </c>
      <c r="V1085" t="s">
        <v>28425</v>
      </c>
      <c r="W1085" t="s">
        <v>28426</v>
      </c>
      <c r="X1085" t="s">
        <v>28427</v>
      </c>
      <c r="Y1085" t="s">
        <v>28428</v>
      </c>
      <c r="Z1085" t="s">
        <v>28429</v>
      </c>
      <c r="AA1085" t="s">
        <v>28430</v>
      </c>
      <c r="AB1085" t="s">
        <v>28431</v>
      </c>
      <c r="AC1085" t="s">
        <v>74</v>
      </c>
      <c r="AD1085" t="s">
        <v>74</v>
      </c>
      <c r="AE1085" t="s">
        <v>74</v>
      </c>
      <c r="AF1085" t="s">
        <v>74</v>
      </c>
      <c r="AG1085">
        <v>55</v>
      </c>
      <c r="AH1085">
        <v>13</v>
      </c>
      <c r="AI1085">
        <v>13</v>
      </c>
      <c r="AJ1085">
        <v>0</v>
      </c>
      <c r="AK1085">
        <v>8</v>
      </c>
      <c r="AL1085" t="s">
        <v>74</v>
      </c>
      <c r="AM1085" t="s">
        <v>74</v>
      </c>
      <c r="AN1085" t="s">
        <v>74</v>
      </c>
      <c r="AO1085" t="s">
        <v>18955</v>
      </c>
      <c r="AP1085" t="s">
        <v>18956</v>
      </c>
      <c r="AQ1085" t="s">
        <v>74</v>
      </c>
      <c r="AR1085" t="s">
        <v>74</v>
      </c>
      <c r="AS1085" t="s">
        <v>74</v>
      </c>
      <c r="AT1085" t="s">
        <v>283</v>
      </c>
      <c r="AU1085">
        <v>2020</v>
      </c>
      <c r="AV1085">
        <v>107</v>
      </c>
      <c r="AW1085" t="s">
        <v>74</v>
      </c>
      <c r="AX1085" t="s">
        <v>74</v>
      </c>
      <c r="AY1085" t="s">
        <v>74</v>
      </c>
      <c r="AZ1085" t="s">
        <v>74</v>
      </c>
      <c r="BA1085" t="s">
        <v>74</v>
      </c>
      <c r="BB1085" t="s">
        <v>74</v>
      </c>
      <c r="BC1085" t="s">
        <v>74</v>
      </c>
      <c r="BD1085">
        <v>102355</v>
      </c>
      <c r="BE1085" t="s">
        <v>28432</v>
      </c>
      <c r="BF1085" t="str">
        <f>HYPERLINK("http://dx.doi.org/10.1016/j.jaut.2019.102355","http://dx.doi.org/10.1016/j.jaut.2019.102355")</f>
        <v>http://dx.doi.org/10.1016/j.jaut.2019.102355</v>
      </c>
      <c r="BG1085" t="s">
        <v>74</v>
      </c>
      <c r="BH1085" t="s">
        <v>74</v>
      </c>
      <c r="BI1085" t="s">
        <v>74</v>
      </c>
      <c r="BJ1085" t="s">
        <v>2064</v>
      </c>
      <c r="BK1085" t="s">
        <v>117</v>
      </c>
      <c r="BL1085" t="s">
        <v>2064</v>
      </c>
      <c r="BM1085" t="s">
        <v>74</v>
      </c>
      <c r="BN1085">
        <v>31732191</v>
      </c>
      <c r="BO1085" t="s">
        <v>74</v>
      </c>
      <c r="BP1085" t="s">
        <v>74</v>
      </c>
      <c r="BQ1085" t="s">
        <v>74</v>
      </c>
      <c r="BR1085" t="s">
        <v>96</v>
      </c>
      <c r="BS1085" t="s">
        <v>28433</v>
      </c>
      <c r="BT1085" t="str">
        <f>HYPERLINK("https%3A%2F%2Fwww.webofscience.com%2Fwos%2Fwoscc%2Ffull-record%2FWOS:000514246200003","View Full Record in Web of Science")</f>
        <v>View Full Record in Web of Science</v>
      </c>
    </row>
    <row r="1086" spans="1:72" x14ac:dyDescent="0.15">
      <c r="A1086" t="s">
        <v>98</v>
      </c>
      <c r="B1086" t="s">
        <v>29792</v>
      </c>
      <c r="C1086" t="s">
        <v>74</v>
      </c>
      <c r="D1086" t="s">
        <v>74</v>
      </c>
      <c r="E1086" t="s">
        <v>74</v>
      </c>
      <c r="F1086" t="s">
        <v>29793</v>
      </c>
      <c r="G1086" t="s">
        <v>74</v>
      </c>
      <c r="H1086" t="s">
        <v>74</v>
      </c>
      <c r="I1086" t="s">
        <v>29794</v>
      </c>
      <c r="J1086" t="s">
        <v>4486</v>
      </c>
      <c r="K1086" t="s">
        <v>74</v>
      </c>
      <c r="L1086" t="s">
        <v>74</v>
      </c>
      <c r="M1086" t="s">
        <v>74</v>
      </c>
      <c r="N1086" t="s">
        <v>103</v>
      </c>
      <c r="O1086" t="s">
        <v>74</v>
      </c>
      <c r="P1086" t="s">
        <v>74</v>
      </c>
      <c r="Q1086" t="s">
        <v>74</v>
      </c>
      <c r="R1086" t="s">
        <v>74</v>
      </c>
      <c r="S1086" t="s">
        <v>74</v>
      </c>
      <c r="T1086" t="s">
        <v>74</v>
      </c>
      <c r="U1086" t="s">
        <v>29795</v>
      </c>
      <c r="V1086" t="s">
        <v>29796</v>
      </c>
      <c r="W1086" t="s">
        <v>29797</v>
      </c>
      <c r="X1086" t="s">
        <v>29798</v>
      </c>
      <c r="Y1086" t="s">
        <v>29799</v>
      </c>
      <c r="Z1086" t="s">
        <v>29800</v>
      </c>
      <c r="AA1086" t="s">
        <v>29801</v>
      </c>
      <c r="AB1086" t="s">
        <v>29802</v>
      </c>
      <c r="AC1086" t="s">
        <v>74</v>
      </c>
      <c r="AD1086" t="s">
        <v>74</v>
      </c>
      <c r="AE1086" t="s">
        <v>74</v>
      </c>
      <c r="AF1086" t="s">
        <v>74</v>
      </c>
      <c r="AG1086">
        <v>48</v>
      </c>
      <c r="AH1086">
        <v>13</v>
      </c>
      <c r="AI1086">
        <v>13</v>
      </c>
      <c r="AJ1086">
        <v>5</v>
      </c>
      <c r="AK1086">
        <v>49</v>
      </c>
      <c r="AL1086" t="s">
        <v>74</v>
      </c>
      <c r="AM1086" t="s">
        <v>74</v>
      </c>
      <c r="AN1086" t="s">
        <v>74</v>
      </c>
      <c r="AO1086" t="s">
        <v>4493</v>
      </c>
      <c r="AP1086" t="s">
        <v>4494</v>
      </c>
      <c r="AQ1086" t="s">
        <v>74</v>
      </c>
      <c r="AR1086" t="s">
        <v>74</v>
      </c>
      <c r="AS1086" t="s">
        <v>74</v>
      </c>
      <c r="AT1086" t="s">
        <v>5213</v>
      </c>
      <c r="AU1086">
        <v>2019</v>
      </c>
      <c r="AV1086">
        <v>91</v>
      </c>
      <c r="AW1086">
        <v>20</v>
      </c>
      <c r="AX1086" t="s">
        <v>74</v>
      </c>
      <c r="AY1086" t="s">
        <v>74</v>
      </c>
      <c r="AZ1086" t="s">
        <v>74</v>
      </c>
      <c r="BA1086" t="s">
        <v>74</v>
      </c>
      <c r="BB1086">
        <v>12900</v>
      </c>
      <c r="BC1086">
        <v>12908</v>
      </c>
      <c r="BD1086" t="s">
        <v>74</v>
      </c>
      <c r="BE1086" t="s">
        <v>29803</v>
      </c>
      <c r="BF1086" t="str">
        <f>HYPERLINK("http://dx.doi.org/10.1021/acs.analchem.9b02819","http://dx.doi.org/10.1021/acs.analchem.9b02819")</f>
        <v>http://dx.doi.org/10.1021/acs.analchem.9b02819</v>
      </c>
      <c r="BG1086" t="s">
        <v>74</v>
      </c>
      <c r="BH1086" t="s">
        <v>74</v>
      </c>
      <c r="BI1086" t="s">
        <v>74</v>
      </c>
      <c r="BJ1086" t="s">
        <v>1118</v>
      </c>
      <c r="BK1086" t="s">
        <v>117</v>
      </c>
      <c r="BL1086" t="s">
        <v>1048</v>
      </c>
      <c r="BM1086" t="s">
        <v>74</v>
      </c>
      <c r="BN1086">
        <v>31529964</v>
      </c>
      <c r="BO1086" t="s">
        <v>74</v>
      </c>
      <c r="BP1086" t="s">
        <v>74</v>
      </c>
      <c r="BQ1086" t="s">
        <v>74</v>
      </c>
      <c r="BR1086" t="s">
        <v>96</v>
      </c>
      <c r="BS1086" t="s">
        <v>29804</v>
      </c>
      <c r="BT1086" t="str">
        <f>HYPERLINK("https%3A%2F%2Fwww.webofscience.com%2Fwos%2Fwoscc%2Ffull-record%2FWOS:000491219900039","View Full Record in Web of Science")</f>
        <v>View Full Record in Web of Science</v>
      </c>
    </row>
    <row r="1087" spans="1:72" x14ac:dyDescent="0.15">
      <c r="A1087" t="s">
        <v>98</v>
      </c>
      <c r="B1087" t="s">
        <v>30139</v>
      </c>
      <c r="C1087" t="s">
        <v>74</v>
      </c>
      <c r="D1087" t="s">
        <v>74</v>
      </c>
      <c r="E1087" t="s">
        <v>74</v>
      </c>
      <c r="F1087" t="s">
        <v>30140</v>
      </c>
      <c r="G1087" t="s">
        <v>74</v>
      </c>
      <c r="H1087" t="s">
        <v>74</v>
      </c>
      <c r="I1087" t="s">
        <v>30141</v>
      </c>
      <c r="J1087" t="s">
        <v>26818</v>
      </c>
      <c r="K1087" t="s">
        <v>74</v>
      </c>
      <c r="L1087" t="s">
        <v>74</v>
      </c>
      <c r="M1087" t="s">
        <v>74</v>
      </c>
      <c r="N1087" t="s">
        <v>103</v>
      </c>
      <c r="O1087" t="s">
        <v>74</v>
      </c>
      <c r="P1087" t="s">
        <v>74</v>
      </c>
      <c r="Q1087" t="s">
        <v>74</v>
      </c>
      <c r="R1087" t="s">
        <v>74</v>
      </c>
      <c r="S1087" t="s">
        <v>74</v>
      </c>
      <c r="T1087" t="s">
        <v>74</v>
      </c>
      <c r="U1087" t="s">
        <v>30142</v>
      </c>
      <c r="V1087" t="s">
        <v>30143</v>
      </c>
      <c r="W1087" t="s">
        <v>30144</v>
      </c>
      <c r="X1087" t="s">
        <v>30145</v>
      </c>
      <c r="Y1087" t="s">
        <v>30146</v>
      </c>
      <c r="Z1087" t="s">
        <v>30147</v>
      </c>
      <c r="AA1087" t="s">
        <v>30148</v>
      </c>
      <c r="AB1087" t="s">
        <v>30149</v>
      </c>
      <c r="AC1087" t="s">
        <v>74</v>
      </c>
      <c r="AD1087" t="s">
        <v>74</v>
      </c>
      <c r="AE1087" t="s">
        <v>74</v>
      </c>
      <c r="AF1087" t="s">
        <v>74</v>
      </c>
      <c r="AG1087">
        <v>72</v>
      </c>
      <c r="AH1087">
        <v>13</v>
      </c>
      <c r="AI1087">
        <v>14</v>
      </c>
      <c r="AJ1087">
        <v>0</v>
      </c>
      <c r="AK1087">
        <v>3</v>
      </c>
      <c r="AL1087" t="s">
        <v>74</v>
      </c>
      <c r="AM1087" t="s">
        <v>74</v>
      </c>
      <c r="AN1087" t="s">
        <v>74</v>
      </c>
      <c r="AO1087" t="s">
        <v>26826</v>
      </c>
      <c r="AP1087" t="s">
        <v>26827</v>
      </c>
      <c r="AQ1087" t="s">
        <v>74</v>
      </c>
      <c r="AR1087" t="s">
        <v>74</v>
      </c>
      <c r="AS1087" t="s">
        <v>74</v>
      </c>
      <c r="AT1087" t="s">
        <v>14226</v>
      </c>
      <c r="AU1087">
        <v>2018</v>
      </c>
      <c r="AV1087">
        <v>475</v>
      </c>
      <c r="AW1087" t="s">
        <v>74</v>
      </c>
      <c r="AX1087">
        <v>8</v>
      </c>
      <c r="AY1087" t="s">
        <v>74</v>
      </c>
      <c r="AZ1087" t="s">
        <v>74</v>
      </c>
      <c r="BA1087" t="s">
        <v>74</v>
      </c>
      <c r="BB1087">
        <v>1455</v>
      </c>
      <c r="BC1087">
        <v>1472</v>
      </c>
      <c r="BD1087" t="s">
        <v>74</v>
      </c>
      <c r="BE1087" t="s">
        <v>30150</v>
      </c>
      <c r="BF1087" t="str">
        <f>HYPERLINK("http://dx.doi.org/10.1042/BCJ20170897","http://dx.doi.org/10.1042/BCJ20170897")</f>
        <v>http://dx.doi.org/10.1042/BCJ20170897</v>
      </c>
      <c r="BG1087" t="s">
        <v>74</v>
      </c>
      <c r="BH1087" t="s">
        <v>74</v>
      </c>
      <c r="BI1087" t="s">
        <v>74</v>
      </c>
      <c r="BJ1087" t="s">
        <v>95</v>
      </c>
      <c r="BK1087" t="s">
        <v>117</v>
      </c>
      <c r="BL1087" t="s">
        <v>95</v>
      </c>
      <c r="BM1087" t="s">
        <v>74</v>
      </c>
      <c r="BN1087">
        <v>29599122</v>
      </c>
      <c r="BO1087" t="s">
        <v>74</v>
      </c>
      <c r="BP1087" t="s">
        <v>74</v>
      </c>
      <c r="BQ1087" t="s">
        <v>74</v>
      </c>
      <c r="BR1087" t="s">
        <v>96</v>
      </c>
      <c r="BS1087" t="s">
        <v>30151</v>
      </c>
      <c r="BT1087" t="str">
        <f>HYPERLINK("https%3A%2F%2Fwww.webofscience.com%2Fwos%2Fwoscc%2Ffull-record%2FWOS:000432444200005","View Full Record in Web of Science")</f>
        <v>View Full Record in Web of Science</v>
      </c>
    </row>
    <row r="1088" spans="1:72" x14ac:dyDescent="0.15">
      <c r="A1088" t="s">
        <v>98</v>
      </c>
      <c r="B1088" t="s">
        <v>30443</v>
      </c>
      <c r="C1088" t="s">
        <v>74</v>
      </c>
      <c r="D1088" t="s">
        <v>74</v>
      </c>
      <c r="E1088" t="s">
        <v>74</v>
      </c>
      <c r="F1088" t="s">
        <v>30444</v>
      </c>
      <c r="G1088" t="s">
        <v>74</v>
      </c>
      <c r="H1088" t="s">
        <v>74</v>
      </c>
      <c r="I1088" t="s">
        <v>30445</v>
      </c>
      <c r="J1088" t="s">
        <v>30446</v>
      </c>
      <c r="K1088" t="s">
        <v>74</v>
      </c>
      <c r="L1088" t="s">
        <v>74</v>
      </c>
      <c r="M1088" t="s">
        <v>74</v>
      </c>
      <c r="N1088" t="s">
        <v>103</v>
      </c>
      <c r="O1088" t="s">
        <v>74</v>
      </c>
      <c r="P1088" t="s">
        <v>74</v>
      </c>
      <c r="Q1088" t="s">
        <v>74</v>
      </c>
      <c r="R1088" t="s">
        <v>74</v>
      </c>
      <c r="S1088" t="s">
        <v>74</v>
      </c>
      <c r="T1088" t="s">
        <v>30447</v>
      </c>
      <c r="U1088" t="s">
        <v>30448</v>
      </c>
      <c r="V1088" t="s">
        <v>30449</v>
      </c>
      <c r="W1088" t="s">
        <v>30450</v>
      </c>
      <c r="X1088" t="s">
        <v>30451</v>
      </c>
      <c r="Y1088" t="s">
        <v>30452</v>
      </c>
      <c r="Z1088" t="s">
        <v>30453</v>
      </c>
      <c r="AA1088" t="s">
        <v>30454</v>
      </c>
      <c r="AB1088" t="s">
        <v>30455</v>
      </c>
      <c r="AC1088" t="s">
        <v>74</v>
      </c>
      <c r="AD1088" t="s">
        <v>74</v>
      </c>
      <c r="AE1088" t="s">
        <v>74</v>
      </c>
      <c r="AF1088" t="s">
        <v>74</v>
      </c>
      <c r="AG1088">
        <v>44</v>
      </c>
      <c r="AH1088">
        <v>13</v>
      </c>
      <c r="AI1088">
        <v>13</v>
      </c>
      <c r="AJ1088">
        <v>3</v>
      </c>
      <c r="AK1088">
        <v>8</v>
      </c>
      <c r="AL1088" t="s">
        <v>74</v>
      </c>
      <c r="AM1088" t="s">
        <v>74</v>
      </c>
      <c r="AN1088" t="s">
        <v>74</v>
      </c>
      <c r="AO1088" t="s">
        <v>30456</v>
      </c>
      <c r="AP1088" t="s">
        <v>30457</v>
      </c>
      <c r="AQ1088" t="s">
        <v>74</v>
      </c>
      <c r="AR1088" t="s">
        <v>74</v>
      </c>
      <c r="AS1088" t="s">
        <v>74</v>
      </c>
      <c r="AT1088" t="s">
        <v>531</v>
      </c>
      <c r="AU1088">
        <v>2020</v>
      </c>
      <c r="AV1088">
        <v>149</v>
      </c>
      <c r="AW1088">
        <v>3</v>
      </c>
      <c r="AX1088" t="s">
        <v>74</v>
      </c>
      <c r="AY1088" t="s">
        <v>74</v>
      </c>
      <c r="AZ1088" t="s">
        <v>74</v>
      </c>
      <c r="BA1088" t="s">
        <v>74</v>
      </c>
      <c r="BB1088">
        <v>391</v>
      </c>
      <c r="BC1088">
        <v>400</v>
      </c>
      <c r="BD1088" t="s">
        <v>74</v>
      </c>
      <c r="BE1088" t="s">
        <v>30458</v>
      </c>
      <c r="BF1088" t="str">
        <f>HYPERLINK("http://dx.doi.org/10.1007/s11060-020-03566-w","http://dx.doi.org/10.1007/s11060-020-03566-w")</f>
        <v>http://dx.doi.org/10.1007/s11060-020-03566-w</v>
      </c>
      <c r="BG1088" t="s">
        <v>74</v>
      </c>
      <c r="BH1088" t="s">
        <v>1479</v>
      </c>
      <c r="BI1088" t="s">
        <v>74</v>
      </c>
      <c r="BJ1088" t="s">
        <v>5167</v>
      </c>
      <c r="BK1088" t="s">
        <v>117</v>
      </c>
      <c r="BL1088" t="s">
        <v>5168</v>
      </c>
      <c r="BM1088" t="s">
        <v>74</v>
      </c>
      <c r="BN1088">
        <v>32915353</v>
      </c>
      <c r="BO1088" t="s">
        <v>74</v>
      </c>
      <c r="BP1088" t="s">
        <v>74</v>
      </c>
      <c r="BQ1088" t="s">
        <v>74</v>
      </c>
      <c r="BR1088" t="s">
        <v>96</v>
      </c>
      <c r="BS1088" t="s">
        <v>30459</v>
      </c>
      <c r="BT1088" t="str">
        <f>HYPERLINK("https%3A%2F%2Fwww.webofscience.com%2Fwos%2Fwoscc%2Ffull-record%2FWOS:000568795600001","View Full Record in Web of Science")</f>
        <v>View Full Record in Web of Science</v>
      </c>
    </row>
    <row r="1089" spans="1:72" x14ac:dyDescent="0.15">
      <c r="A1089" t="s">
        <v>98</v>
      </c>
      <c r="B1089" t="s">
        <v>269</v>
      </c>
      <c r="C1089" t="s">
        <v>74</v>
      </c>
      <c r="D1089" t="s">
        <v>74</v>
      </c>
      <c r="E1089" t="s">
        <v>74</v>
      </c>
      <c r="F1089" t="s">
        <v>270</v>
      </c>
      <c r="G1089" t="s">
        <v>74</v>
      </c>
      <c r="H1089" t="s">
        <v>74</v>
      </c>
      <c r="I1089" t="s">
        <v>271</v>
      </c>
      <c r="J1089" t="s">
        <v>272</v>
      </c>
      <c r="K1089" t="s">
        <v>74</v>
      </c>
      <c r="L1089" t="s">
        <v>74</v>
      </c>
      <c r="M1089" t="s">
        <v>74</v>
      </c>
      <c r="N1089" t="s">
        <v>103</v>
      </c>
      <c r="O1089" t="s">
        <v>74</v>
      </c>
      <c r="P1089" t="s">
        <v>74</v>
      </c>
      <c r="Q1089" t="s">
        <v>74</v>
      </c>
      <c r="R1089" t="s">
        <v>74</v>
      </c>
      <c r="S1089" t="s">
        <v>74</v>
      </c>
      <c r="T1089" t="s">
        <v>273</v>
      </c>
      <c r="U1089" t="s">
        <v>274</v>
      </c>
      <c r="V1089" t="s">
        <v>275</v>
      </c>
      <c r="W1089" t="s">
        <v>276</v>
      </c>
      <c r="X1089" t="s">
        <v>277</v>
      </c>
      <c r="Y1089" t="s">
        <v>278</v>
      </c>
      <c r="Z1089" t="s">
        <v>279</v>
      </c>
      <c r="AA1089" t="s">
        <v>280</v>
      </c>
      <c r="AB1089" t="s">
        <v>281</v>
      </c>
      <c r="AC1089" t="s">
        <v>74</v>
      </c>
      <c r="AD1089" t="s">
        <v>74</v>
      </c>
      <c r="AE1089" t="s">
        <v>74</v>
      </c>
      <c r="AF1089" t="s">
        <v>74</v>
      </c>
      <c r="AG1089">
        <v>57</v>
      </c>
      <c r="AH1089">
        <v>12</v>
      </c>
      <c r="AI1089">
        <v>12</v>
      </c>
      <c r="AJ1089">
        <v>1</v>
      </c>
      <c r="AK1089">
        <v>5</v>
      </c>
      <c r="AL1089" t="s">
        <v>74</v>
      </c>
      <c r="AM1089" t="s">
        <v>74</v>
      </c>
      <c r="AN1089" t="s">
        <v>74</v>
      </c>
      <c r="AO1089" t="s">
        <v>74</v>
      </c>
      <c r="AP1089" t="s">
        <v>282</v>
      </c>
      <c r="AQ1089" t="s">
        <v>74</v>
      </c>
      <c r="AR1089" t="s">
        <v>74</v>
      </c>
      <c r="AS1089" t="s">
        <v>74</v>
      </c>
      <c r="AT1089" t="s">
        <v>283</v>
      </c>
      <c r="AU1089">
        <v>2020</v>
      </c>
      <c r="AV1089">
        <v>11</v>
      </c>
      <c r="AW1089">
        <v>2</v>
      </c>
      <c r="AX1089" t="s">
        <v>74</v>
      </c>
      <c r="AY1089" t="s">
        <v>74</v>
      </c>
      <c r="AZ1089" t="s">
        <v>74</v>
      </c>
      <c r="BA1089" t="s">
        <v>74</v>
      </c>
      <c r="BB1089" t="s">
        <v>74</v>
      </c>
      <c r="BC1089" t="s">
        <v>74</v>
      </c>
      <c r="BD1089">
        <v>203</v>
      </c>
      <c r="BE1089" t="s">
        <v>284</v>
      </c>
      <c r="BF1089" t="str">
        <f>HYPERLINK("http://dx.doi.org/10.3390/genes11020203","http://dx.doi.org/10.3390/genes11020203")</f>
        <v>http://dx.doi.org/10.3390/genes11020203</v>
      </c>
      <c r="BG1089" t="s">
        <v>74</v>
      </c>
      <c r="BH1089" t="s">
        <v>74</v>
      </c>
      <c r="BI1089" t="s">
        <v>74</v>
      </c>
      <c r="BJ1089" t="s">
        <v>285</v>
      </c>
      <c r="BK1089" t="s">
        <v>117</v>
      </c>
      <c r="BL1089" t="s">
        <v>285</v>
      </c>
      <c r="BM1089" t="s">
        <v>74</v>
      </c>
      <c r="BN1089">
        <v>32079252</v>
      </c>
      <c r="BO1089" t="s">
        <v>74</v>
      </c>
      <c r="BP1089" t="s">
        <v>74</v>
      </c>
      <c r="BQ1089" t="s">
        <v>74</v>
      </c>
      <c r="BR1089" t="s">
        <v>96</v>
      </c>
      <c r="BS1089" t="s">
        <v>286</v>
      </c>
      <c r="BT1089" t="str">
        <f>HYPERLINK("https%3A%2F%2Fwww.webofscience.com%2Fwos%2Fwoscc%2Ffull-record%2FWOS:000519271500072","View Full Record in Web of Science")</f>
        <v>View Full Record in Web of Science</v>
      </c>
    </row>
    <row r="1090" spans="1:72" x14ac:dyDescent="0.15">
      <c r="A1090" t="s">
        <v>98</v>
      </c>
      <c r="B1090" t="s">
        <v>432</v>
      </c>
      <c r="C1090" t="s">
        <v>74</v>
      </c>
      <c r="D1090" t="s">
        <v>74</v>
      </c>
      <c r="E1090" t="s">
        <v>74</v>
      </c>
      <c r="F1090" t="s">
        <v>433</v>
      </c>
      <c r="G1090" t="s">
        <v>74</v>
      </c>
      <c r="H1090" t="s">
        <v>74</v>
      </c>
      <c r="I1090" t="s">
        <v>434</v>
      </c>
      <c r="J1090" t="s">
        <v>435</v>
      </c>
      <c r="K1090" t="s">
        <v>74</v>
      </c>
      <c r="L1090" t="s">
        <v>74</v>
      </c>
      <c r="M1090" t="s">
        <v>74</v>
      </c>
      <c r="N1090" t="s">
        <v>103</v>
      </c>
      <c r="O1090" t="s">
        <v>74</v>
      </c>
      <c r="P1090" t="s">
        <v>74</v>
      </c>
      <c r="Q1090" t="s">
        <v>74</v>
      </c>
      <c r="R1090" t="s">
        <v>74</v>
      </c>
      <c r="S1090" t="s">
        <v>74</v>
      </c>
      <c r="T1090" t="s">
        <v>436</v>
      </c>
      <c r="U1090" t="s">
        <v>437</v>
      </c>
      <c r="V1090" t="s">
        <v>438</v>
      </c>
      <c r="W1090" t="s">
        <v>439</v>
      </c>
      <c r="X1090" t="s">
        <v>440</v>
      </c>
      <c r="Y1090" t="s">
        <v>441</v>
      </c>
      <c r="Z1090" t="s">
        <v>442</v>
      </c>
      <c r="AA1090" t="s">
        <v>443</v>
      </c>
      <c r="AB1090" t="s">
        <v>444</v>
      </c>
      <c r="AC1090" t="s">
        <v>74</v>
      </c>
      <c r="AD1090" t="s">
        <v>74</v>
      </c>
      <c r="AE1090" t="s">
        <v>74</v>
      </c>
      <c r="AF1090" t="s">
        <v>74</v>
      </c>
      <c r="AG1090">
        <v>71</v>
      </c>
      <c r="AH1090">
        <v>12</v>
      </c>
      <c r="AI1090">
        <v>12</v>
      </c>
      <c r="AJ1090">
        <v>4</v>
      </c>
      <c r="AK1090">
        <v>14</v>
      </c>
      <c r="AL1090" t="s">
        <v>74</v>
      </c>
      <c r="AM1090" t="s">
        <v>74</v>
      </c>
      <c r="AN1090" t="s">
        <v>74</v>
      </c>
      <c r="AO1090" t="s">
        <v>445</v>
      </c>
      <c r="AP1090" t="s">
        <v>446</v>
      </c>
      <c r="AQ1090" t="s">
        <v>74</v>
      </c>
      <c r="AR1090" t="s">
        <v>74</v>
      </c>
      <c r="AS1090" t="s">
        <v>74</v>
      </c>
      <c r="AT1090" t="s">
        <v>170</v>
      </c>
      <c r="AU1090">
        <v>2020</v>
      </c>
      <c r="AV1090">
        <v>303</v>
      </c>
      <c r="AW1090">
        <v>6</v>
      </c>
      <c r="AX1090" t="s">
        <v>74</v>
      </c>
      <c r="AY1090" t="s">
        <v>74</v>
      </c>
      <c r="AZ1090" t="s">
        <v>447</v>
      </c>
      <c r="BA1090" t="s">
        <v>74</v>
      </c>
      <c r="BB1090">
        <v>1735</v>
      </c>
      <c r="BC1090">
        <v>1742</v>
      </c>
      <c r="BD1090" t="s">
        <v>74</v>
      </c>
      <c r="BE1090" t="s">
        <v>448</v>
      </c>
      <c r="BF1090" t="str">
        <f>HYPERLINK("http://dx.doi.org/10.1002/ar.24186","http://dx.doi.org/10.1002/ar.24186")</f>
        <v>http://dx.doi.org/10.1002/ar.24186</v>
      </c>
      <c r="BG1090" t="s">
        <v>74</v>
      </c>
      <c r="BH1090" t="s">
        <v>74</v>
      </c>
      <c r="BI1090" t="s">
        <v>74</v>
      </c>
      <c r="BJ1090" t="s">
        <v>449</v>
      </c>
      <c r="BK1090" t="s">
        <v>117</v>
      </c>
      <c r="BL1090" t="s">
        <v>449</v>
      </c>
      <c r="BM1090" t="s">
        <v>74</v>
      </c>
      <c r="BN1090">
        <v>31168963</v>
      </c>
      <c r="BO1090" t="s">
        <v>74</v>
      </c>
      <c r="BP1090" t="s">
        <v>74</v>
      </c>
      <c r="BQ1090" t="s">
        <v>74</v>
      </c>
      <c r="BR1090" t="s">
        <v>96</v>
      </c>
      <c r="BS1090" t="s">
        <v>450</v>
      </c>
      <c r="BT1090" t="str">
        <f>HYPERLINK("https%3A%2F%2Fwww.webofscience.com%2Fwos%2Fwoscc%2Ffull-record%2FWOS:000535037500023","View Full Record in Web of Science")</f>
        <v>View Full Record in Web of Science</v>
      </c>
    </row>
    <row r="1091" spans="1:72" x14ac:dyDescent="0.15">
      <c r="A1091" t="s">
        <v>98</v>
      </c>
      <c r="B1091" t="s">
        <v>569</v>
      </c>
      <c r="C1091" t="s">
        <v>74</v>
      </c>
      <c r="D1091" t="s">
        <v>74</v>
      </c>
      <c r="E1091" t="s">
        <v>74</v>
      </c>
      <c r="F1091" t="s">
        <v>570</v>
      </c>
      <c r="G1091" t="s">
        <v>74</v>
      </c>
      <c r="H1091" t="s">
        <v>74</v>
      </c>
      <c r="I1091" t="s">
        <v>571</v>
      </c>
      <c r="J1091" t="s">
        <v>572</v>
      </c>
      <c r="K1091" t="s">
        <v>74</v>
      </c>
      <c r="L1091" t="s">
        <v>74</v>
      </c>
      <c r="M1091" t="s">
        <v>74</v>
      </c>
      <c r="N1091" t="s">
        <v>103</v>
      </c>
      <c r="O1091" t="s">
        <v>74</v>
      </c>
      <c r="P1091" t="s">
        <v>74</v>
      </c>
      <c r="Q1091" t="s">
        <v>74</v>
      </c>
      <c r="R1091" t="s">
        <v>74</v>
      </c>
      <c r="S1091" t="s">
        <v>74</v>
      </c>
      <c r="T1091" t="s">
        <v>573</v>
      </c>
      <c r="U1091" t="s">
        <v>574</v>
      </c>
      <c r="V1091" t="s">
        <v>575</v>
      </c>
      <c r="W1091" t="s">
        <v>576</v>
      </c>
      <c r="X1091" t="s">
        <v>577</v>
      </c>
      <c r="Y1091" t="s">
        <v>578</v>
      </c>
      <c r="Z1091" t="s">
        <v>579</v>
      </c>
      <c r="AA1091" t="s">
        <v>74</v>
      </c>
      <c r="AB1091" t="s">
        <v>74</v>
      </c>
      <c r="AC1091" t="s">
        <v>74</v>
      </c>
      <c r="AD1091" t="s">
        <v>74</v>
      </c>
      <c r="AE1091" t="s">
        <v>74</v>
      </c>
      <c r="AF1091" t="s">
        <v>74</v>
      </c>
      <c r="AG1091">
        <v>47</v>
      </c>
      <c r="AH1091">
        <v>12</v>
      </c>
      <c r="AI1091">
        <v>12</v>
      </c>
      <c r="AJ1091">
        <v>0</v>
      </c>
      <c r="AK1091">
        <v>14</v>
      </c>
      <c r="AL1091" t="s">
        <v>74</v>
      </c>
      <c r="AM1091" t="s">
        <v>74</v>
      </c>
      <c r="AN1091" t="s">
        <v>74</v>
      </c>
      <c r="AO1091" t="s">
        <v>580</v>
      </c>
      <c r="AP1091" t="s">
        <v>74</v>
      </c>
      <c r="AQ1091" t="s">
        <v>74</v>
      </c>
      <c r="AR1091" t="s">
        <v>74</v>
      </c>
      <c r="AS1091" t="s">
        <v>74</v>
      </c>
      <c r="AT1091" t="s">
        <v>283</v>
      </c>
      <c r="AU1091">
        <v>2015</v>
      </c>
      <c r="AV1091">
        <v>135</v>
      </c>
      <c r="AW1091" t="s">
        <v>74</v>
      </c>
      <c r="AX1091" t="s">
        <v>74</v>
      </c>
      <c r="AY1091">
        <v>1</v>
      </c>
      <c r="AZ1091" t="s">
        <v>74</v>
      </c>
      <c r="BA1091" t="s">
        <v>74</v>
      </c>
      <c r="BB1091" t="s">
        <v>581</v>
      </c>
      <c r="BC1091" t="s">
        <v>582</v>
      </c>
      <c r="BD1091" t="s">
        <v>74</v>
      </c>
      <c r="BE1091" t="s">
        <v>583</v>
      </c>
      <c r="BF1091" t="str">
        <f>HYPERLINK("http://dx.doi.org/10.1016/S0049-3848(15)50435-0","http://dx.doi.org/10.1016/S0049-3848(15)50435-0")</f>
        <v>http://dx.doi.org/10.1016/S0049-3848(15)50435-0</v>
      </c>
      <c r="BG1091" t="s">
        <v>74</v>
      </c>
      <c r="BH1091" t="s">
        <v>74</v>
      </c>
      <c r="BI1091" t="s">
        <v>74</v>
      </c>
      <c r="BJ1091" t="s">
        <v>584</v>
      </c>
      <c r="BK1091" t="s">
        <v>117</v>
      </c>
      <c r="BL1091" t="s">
        <v>585</v>
      </c>
      <c r="BM1091" t="s">
        <v>74</v>
      </c>
      <c r="BN1091">
        <v>25903528</v>
      </c>
      <c r="BO1091" t="s">
        <v>74</v>
      </c>
      <c r="BP1091" t="s">
        <v>74</v>
      </c>
      <c r="BQ1091" t="s">
        <v>74</v>
      </c>
      <c r="BR1091" t="s">
        <v>96</v>
      </c>
      <c r="BS1091" t="s">
        <v>586</v>
      </c>
      <c r="BT1091" t="str">
        <f>HYPERLINK("https%3A%2F%2Fwww.webofscience.com%2Fwos%2Fwoscc%2Ffull-record%2FWOS:000349632300006","View Full Record in Web of Science")</f>
        <v>View Full Record in Web of Science</v>
      </c>
    </row>
    <row r="1092" spans="1:72" x14ac:dyDescent="0.15">
      <c r="A1092" t="s">
        <v>98</v>
      </c>
      <c r="B1092" t="s">
        <v>864</v>
      </c>
      <c r="C1092" t="s">
        <v>74</v>
      </c>
      <c r="D1092" t="s">
        <v>74</v>
      </c>
      <c r="E1092" t="s">
        <v>74</v>
      </c>
      <c r="F1092" t="s">
        <v>865</v>
      </c>
      <c r="G1092" t="s">
        <v>74</v>
      </c>
      <c r="H1092" t="s">
        <v>74</v>
      </c>
      <c r="I1092" t="s">
        <v>866</v>
      </c>
      <c r="J1092" t="s">
        <v>867</v>
      </c>
      <c r="K1092" t="s">
        <v>74</v>
      </c>
      <c r="L1092" t="s">
        <v>74</v>
      </c>
      <c r="M1092" t="s">
        <v>74</v>
      </c>
      <c r="N1092" t="s">
        <v>103</v>
      </c>
      <c r="O1092" t="s">
        <v>74</v>
      </c>
      <c r="P1092" t="s">
        <v>74</v>
      </c>
      <c r="Q1092" t="s">
        <v>74</v>
      </c>
      <c r="R1092" t="s">
        <v>74</v>
      </c>
      <c r="S1092" t="s">
        <v>74</v>
      </c>
      <c r="T1092" t="s">
        <v>868</v>
      </c>
      <c r="U1092" t="s">
        <v>869</v>
      </c>
      <c r="V1092" t="s">
        <v>870</v>
      </c>
      <c r="W1092" t="s">
        <v>871</v>
      </c>
      <c r="X1092" t="s">
        <v>872</v>
      </c>
      <c r="Y1092" t="s">
        <v>873</v>
      </c>
      <c r="Z1092" t="s">
        <v>874</v>
      </c>
      <c r="AA1092" t="s">
        <v>875</v>
      </c>
      <c r="AB1092" t="s">
        <v>876</v>
      </c>
      <c r="AC1092" t="s">
        <v>74</v>
      </c>
      <c r="AD1092" t="s">
        <v>74</v>
      </c>
      <c r="AE1092" t="s">
        <v>74</v>
      </c>
      <c r="AF1092" t="s">
        <v>74</v>
      </c>
      <c r="AG1092">
        <v>25</v>
      </c>
      <c r="AH1092">
        <v>12</v>
      </c>
      <c r="AI1092">
        <v>12</v>
      </c>
      <c r="AJ1092">
        <v>0</v>
      </c>
      <c r="AK1092">
        <v>6</v>
      </c>
      <c r="AL1092" t="s">
        <v>74</v>
      </c>
      <c r="AM1092" t="s">
        <v>74</v>
      </c>
      <c r="AN1092" t="s">
        <v>74</v>
      </c>
      <c r="AO1092" t="s">
        <v>877</v>
      </c>
      <c r="AP1092" t="s">
        <v>878</v>
      </c>
      <c r="AQ1092" t="s">
        <v>74</v>
      </c>
      <c r="AR1092" t="s">
        <v>74</v>
      </c>
      <c r="AS1092" t="s">
        <v>74</v>
      </c>
      <c r="AT1092" t="s">
        <v>132</v>
      </c>
      <c r="AU1092">
        <v>2020</v>
      </c>
      <c r="AV1092">
        <v>38</v>
      </c>
      <c r="AW1092">
        <v>4</v>
      </c>
      <c r="AX1092" t="s">
        <v>74</v>
      </c>
      <c r="AY1092" t="s">
        <v>74</v>
      </c>
      <c r="AZ1092" t="s">
        <v>74</v>
      </c>
      <c r="BA1092" t="s">
        <v>74</v>
      </c>
      <c r="BB1092">
        <v>159</v>
      </c>
      <c r="BC1092">
        <v>165</v>
      </c>
      <c r="BD1092" t="s">
        <v>74</v>
      </c>
      <c r="BE1092" t="s">
        <v>879</v>
      </c>
      <c r="BF1092" t="str">
        <f>HYPERLINK("http://dx.doi.org/10.1016/j.eime.2019.06.011","http://dx.doi.org/10.1016/j.eime.2019.06.011")</f>
        <v>http://dx.doi.org/10.1016/j.eime.2019.06.011</v>
      </c>
      <c r="BG1092" t="s">
        <v>74</v>
      </c>
      <c r="BH1092" t="s">
        <v>74</v>
      </c>
      <c r="BI1092" t="s">
        <v>74</v>
      </c>
      <c r="BJ1092" t="s">
        <v>880</v>
      </c>
      <c r="BK1092" t="s">
        <v>117</v>
      </c>
      <c r="BL1092" t="s">
        <v>880</v>
      </c>
      <c r="BM1092" t="s">
        <v>74</v>
      </c>
      <c r="BN1092">
        <v>31395428</v>
      </c>
      <c r="BO1092" t="s">
        <v>74</v>
      </c>
      <c r="BP1092" t="s">
        <v>74</v>
      </c>
      <c r="BQ1092" t="s">
        <v>74</v>
      </c>
      <c r="BR1092" t="s">
        <v>96</v>
      </c>
      <c r="BS1092" t="s">
        <v>881</v>
      </c>
      <c r="BT1092" t="str">
        <f>HYPERLINK("https%3A%2F%2Fwww.webofscience.com%2Fwos%2Fwoscc%2Ffull-record%2FWOS:000530699600004","View Full Record in Web of Science")</f>
        <v>View Full Record in Web of Science</v>
      </c>
    </row>
    <row r="1093" spans="1:72" x14ac:dyDescent="0.15">
      <c r="A1093" t="s">
        <v>98</v>
      </c>
      <c r="B1093" t="s">
        <v>1245</v>
      </c>
      <c r="C1093" t="s">
        <v>74</v>
      </c>
      <c r="D1093" t="s">
        <v>74</v>
      </c>
      <c r="E1093" t="s">
        <v>74</v>
      </c>
      <c r="F1093" t="s">
        <v>1246</v>
      </c>
      <c r="G1093" t="s">
        <v>74</v>
      </c>
      <c r="H1093" t="s">
        <v>74</v>
      </c>
      <c r="I1093" t="s">
        <v>1247</v>
      </c>
      <c r="J1093" t="s">
        <v>817</v>
      </c>
      <c r="K1093" t="s">
        <v>74</v>
      </c>
      <c r="L1093" t="s">
        <v>74</v>
      </c>
      <c r="M1093" t="s">
        <v>74</v>
      </c>
      <c r="N1093" t="s">
        <v>103</v>
      </c>
      <c r="O1093" t="s">
        <v>74</v>
      </c>
      <c r="P1093" t="s">
        <v>74</v>
      </c>
      <c r="Q1093" t="s">
        <v>74</v>
      </c>
      <c r="R1093" t="s">
        <v>74</v>
      </c>
      <c r="S1093" t="s">
        <v>74</v>
      </c>
      <c r="T1093" t="s">
        <v>1248</v>
      </c>
      <c r="U1093" t="s">
        <v>1249</v>
      </c>
      <c r="V1093" t="s">
        <v>1250</v>
      </c>
      <c r="W1093" t="s">
        <v>1251</v>
      </c>
      <c r="X1093" t="s">
        <v>1252</v>
      </c>
      <c r="Y1093" t="s">
        <v>1253</v>
      </c>
      <c r="Z1093" t="s">
        <v>1254</v>
      </c>
      <c r="AA1093" t="s">
        <v>1255</v>
      </c>
      <c r="AB1093" t="s">
        <v>1256</v>
      </c>
      <c r="AC1093" t="s">
        <v>74</v>
      </c>
      <c r="AD1093" t="s">
        <v>74</v>
      </c>
      <c r="AE1093" t="s">
        <v>74</v>
      </c>
      <c r="AF1093" t="s">
        <v>74</v>
      </c>
      <c r="AG1093">
        <v>43</v>
      </c>
      <c r="AH1093">
        <v>12</v>
      </c>
      <c r="AI1093">
        <v>12</v>
      </c>
      <c r="AJ1093">
        <v>5</v>
      </c>
      <c r="AK1093">
        <v>7</v>
      </c>
      <c r="AL1093" t="s">
        <v>74</v>
      </c>
      <c r="AM1093" t="s">
        <v>74</v>
      </c>
      <c r="AN1093" t="s">
        <v>74</v>
      </c>
      <c r="AO1093" t="s">
        <v>74</v>
      </c>
      <c r="AP1093" t="s">
        <v>827</v>
      </c>
      <c r="AQ1093" t="s">
        <v>74</v>
      </c>
      <c r="AR1093" t="s">
        <v>74</v>
      </c>
      <c r="AS1093" t="s">
        <v>74</v>
      </c>
      <c r="AT1093" t="s">
        <v>565</v>
      </c>
      <c r="AU1093">
        <v>2021</v>
      </c>
      <c r="AV1093">
        <v>22</v>
      </c>
      <c r="AW1093">
        <v>5</v>
      </c>
      <c r="AX1093" t="s">
        <v>74</v>
      </c>
      <c r="AY1093" t="s">
        <v>74</v>
      </c>
      <c r="AZ1093" t="s">
        <v>74</v>
      </c>
      <c r="BA1093" t="s">
        <v>74</v>
      </c>
      <c r="BB1093" t="s">
        <v>74</v>
      </c>
      <c r="BC1093" t="s">
        <v>74</v>
      </c>
      <c r="BD1093">
        <v>2423</v>
      </c>
      <c r="BE1093" t="s">
        <v>1257</v>
      </c>
      <c r="BF1093" t="str">
        <f>HYPERLINK("http://dx.doi.org/10.3390/ijms22052423","http://dx.doi.org/10.3390/ijms22052423")</f>
        <v>http://dx.doi.org/10.3390/ijms22052423</v>
      </c>
      <c r="BG1093" t="s">
        <v>74</v>
      </c>
      <c r="BH1093" t="s">
        <v>74</v>
      </c>
      <c r="BI1093" t="s">
        <v>74</v>
      </c>
      <c r="BJ1093" t="s">
        <v>830</v>
      </c>
      <c r="BK1093" t="s">
        <v>117</v>
      </c>
      <c r="BL1093" t="s">
        <v>831</v>
      </c>
      <c r="BM1093" t="s">
        <v>74</v>
      </c>
      <c r="BN1093">
        <v>33670900</v>
      </c>
      <c r="BO1093" t="s">
        <v>74</v>
      </c>
      <c r="BP1093" t="s">
        <v>74</v>
      </c>
      <c r="BQ1093" t="s">
        <v>74</v>
      </c>
      <c r="BR1093" t="s">
        <v>96</v>
      </c>
      <c r="BS1093" t="s">
        <v>1258</v>
      </c>
      <c r="BT1093" t="str">
        <f>HYPERLINK("https%3A%2F%2Fwww.webofscience.com%2Fwos%2Fwoscc%2Ffull-record%2FWOS:000628261300001","View Full Record in Web of Science")</f>
        <v>View Full Record in Web of Science</v>
      </c>
    </row>
    <row r="1094" spans="1:72" x14ac:dyDescent="0.15">
      <c r="A1094" t="s">
        <v>98</v>
      </c>
      <c r="B1094" t="s">
        <v>1969</v>
      </c>
      <c r="C1094" t="s">
        <v>74</v>
      </c>
      <c r="D1094" t="s">
        <v>74</v>
      </c>
      <c r="E1094" t="s">
        <v>74</v>
      </c>
      <c r="F1094" t="s">
        <v>1970</v>
      </c>
      <c r="G1094" t="s">
        <v>74</v>
      </c>
      <c r="H1094" t="s">
        <v>74</v>
      </c>
      <c r="I1094" t="s">
        <v>1971</v>
      </c>
      <c r="J1094" t="s">
        <v>1972</v>
      </c>
      <c r="K1094" t="s">
        <v>74</v>
      </c>
      <c r="L1094" t="s">
        <v>74</v>
      </c>
      <c r="M1094" t="s">
        <v>74</v>
      </c>
      <c r="N1094" t="s">
        <v>103</v>
      </c>
      <c r="O1094" t="s">
        <v>74</v>
      </c>
      <c r="P1094" t="s">
        <v>74</v>
      </c>
      <c r="Q1094" t="s">
        <v>74</v>
      </c>
      <c r="R1094" t="s">
        <v>74</v>
      </c>
      <c r="S1094" t="s">
        <v>74</v>
      </c>
      <c r="T1094" t="s">
        <v>1973</v>
      </c>
      <c r="U1094" t="s">
        <v>1974</v>
      </c>
      <c r="V1094" t="s">
        <v>1975</v>
      </c>
      <c r="W1094" t="s">
        <v>1976</v>
      </c>
      <c r="X1094" t="s">
        <v>1977</v>
      </c>
      <c r="Y1094" t="s">
        <v>1978</v>
      </c>
      <c r="Z1094" t="s">
        <v>1706</v>
      </c>
      <c r="AA1094" t="s">
        <v>74</v>
      </c>
      <c r="AB1094" t="s">
        <v>1979</v>
      </c>
      <c r="AC1094" t="s">
        <v>74</v>
      </c>
      <c r="AD1094" t="s">
        <v>74</v>
      </c>
      <c r="AE1094" t="s">
        <v>74</v>
      </c>
      <c r="AF1094" t="s">
        <v>74</v>
      </c>
      <c r="AG1094">
        <v>35</v>
      </c>
      <c r="AH1094">
        <v>12</v>
      </c>
      <c r="AI1094">
        <v>12</v>
      </c>
      <c r="AJ1094">
        <v>4</v>
      </c>
      <c r="AK1094">
        <v>53</v>
      </c>
      <c r="AL1094" t="s">
        <v>74</v>
      </c>
      <c r="AM1094" t="s">
        <v>74</v>
      </c>
      <c r="AN1094" t="s">
        <v>74</v>
      </c>
      <c r="AO1094" t="s">
        <v>1980</v>
      </c>
      <c r="AP1094" t="s">
        <v>1981</v>
      </c>
      <c r="AQ1094" t="s">
        <v>74</v>
      </c>
      <c r="AR1094" t="s">
        <v>74</v>
      </c>
      <c r="AS1094" t="s">
        <v>74</v>
      </c>
      <c r="AT1094" t="s">
        <v>967</v>
      </c>
      <c r="AU1094">
        <v>2019</v>
      </c>
      <c r="AV1094">
        <v>225</v>
      </c>
      <c r="AW1094" t="s">
        <v>74</v>
      </c>
      <c r="AX1094" t="s">
        <v>74</v>
      </c>
      <c r="AY1094" t="s">
        <v>74</v>
      </c>
      <c r="AZ1094" t="s">
        <v>74</v>
      </c>
      <c r="BA1094" t="s">
        <v>74</v>
      </c>
      <c r="BB1094" t="s">
        <v>74</v>
      </c>
      <c r="BC1094" t="s">
        <v>74</v>
      </c>
      <c r="BD1094">
        <v>119518</v>
      </c>
      <c r="BE1094" t="s">
        <v>1982</v>
      </c>
      <c r="BF1094" t="str">
        <f>HYPERLINK("http://dx.doi.org/10.1016/j.biomaterials.2019.119518","http://dx.doi.org/10.1016/j.biomaterials.2019.119518")</f>
        <v>http://dx.doi.org/10.1016/j.biomaterials.2019.119518</v>
      </c>
      <c r="BG1094" t="s">
        <v>74</v>
      </c>
      <c r="BH1094" t="s">
        <v>74</v>
      </c>
      <c r="BI1094" t="s">
        <v>74</v>
      </c>
      <c r="BJ1094" t="s">
        <v>1983</v>
      </c>
      <c r="BK1094" t="s">
        <v>117</v>
      </c>
      <c r="BL1094" t="s">
        <v>1984</v>
      </c>
      <c r="BM1094" t="s">
        <v>74</v>
      </c>
      <c r="BN1094">
        <v>31586864</v>
      </c>
      <c r="BO1094" t="s">
        <v>74</v>
      </c>
      <c r="BP1094" t="s">
        <v>74</v>
      </c>
      <c r="BQ1094" t="s">
        <v>74</v>
      </c>
      <c r="BR1094" t="s">
        <v>96</v>
      </c>
      <c r="BS1094" t="s">
        <v>1985</v>
      </c>
      <c r="BT1094" t="str">
        <f>HYPERLINK("https%3A%2F%2Fwww.webofscience.com%2Fwos%2Fwoscc%2Ffull-record%2FWOS:000495519700019","View Full Record in Web of Science")</f>
        <v>View Full Record in Web of Science</v>
      </c>
    </row>
    <row r="1095" spans="1:72" x14ac:dyDescent="0.15">
      <c r="A1095" t="s">
        <v>98</v>
      </c>
      <c r="B1095" t="s">
        <v>3452</v>
      </c>
      <c r="C1095" t="s">
        <v>74</v>
      </c>
      <c r="D1095" t="s">
        <v>74</v>
      </c>
      <c r="E1095" t="s">
        <v>74</v>
      </c>
      <c r="F1095" t="s">
        <v>3453</v>
      </c>
      <c r="G1095" t="s">
        <v>74</v>
      </c>
      <c r="H1095" t="s">
        <v>74</v>
      </c>
      <c r="I1095" t="s">
        <v>3454</v>
      </c>
      <c r="J1095" t="s">
        <v>123</v>
      </c>
      <c r="K1095" t="s">
        <v>74</v>
      </c>
      <c r="L1095" t="s">
        <v>74</v>
      </c>
      <c r="M1095" t="s">
        <v>74</v>
      </c>
      <c r="N1095" t="s">
        <v>103</v>
      </c>
      <c r="O1095" t="s">
        <v>74</v>
      </c>
      <c r="P1095" t="s">
        <v>74</v>
      </c>
      <c r="Q1095" t="s">
        <v>74</v>
      </c>
      <c r="R1095" t="s">
        <v>74</v>
      </c>
      <c r="S1095" t="s">
        <v>74</v>
      </c>
      <c r="T1095" t="s">
        <v>3455</v>
      </c>
      <c r="U1095" t="s">
        <v>3456</v>
      </c>
      <c r="V1095" t="s">
        <v>3457</v>
      </c>
      <c r="W1095" t="s">
        <v>3458</v>
      </c>
      <c r="X1095" t="s">
        <v>3459</v>
      </c>
      <c r="Y1095" t="s">
        <v>3460</v>
      </c>
      <c r="Z1095" t="s">
        <v>3461</v>
      </c>
      <c r="AA1095" t="s">
        <v>74</v>
      </c>
      <c r="AB1095" t="s">
        <v>3462</v>
      </c>
      <c r="AC1095" t="s">
        <v>74</v>
      </c>
      <c r="AD1095" t="s">
        <v>74</v>
      </c>
      <c r="AE1095" t="s">
        <v>74</v>
      </c>
      <c r="AF1095" t="s">
        <v>74</v>
      </c>
      <c r="AG1095">
        <v>28</v>
      </c>
      <c r="AH1095">
        <v>12</v>
      </c>
      <c r="AI1095">
        <v>13</v>
      </c>
      <c r="AJ1095">
        <v>2</v>
      </c>
      <c r="AK1095">
        <v>7</v>
      </c>
      <c r="AL1095" t="s">
        <v>74</v>
      </c>
      <c r="AM1095" t="s">
        <v>74</v>
      </c>
      <c r="AN1095" t="s">
        <v>74</v>
      </c>
      <c r="AO1095" t="s">
        <v>74</v>
      </c>
      <c r="AP1095" t="s">
        <v>131</v>
      </c>
      <c r="AQ1095" t="s">
        <v>74</v>
      </c>
      <c r="AR1095" t="s">
        <v>74</v>
      </c>
      <c r="AS1095" t="s">
        <v>74</v>
      </c>
      <c r="AT1095" t="s">
        <v>599</v>
      </c>
      <c r="AU1095">
        <v>2020</v>
      </c>
      <c r="AV1095">
        <v>9</v>
      </c>
      <c r="AW1095">
        <v>1</v>
      </c>
      <c r="AX1095" t="s">
        <v>74</v>
      </c>
      <c r="AY1095" t="s">
        <v>74</v>
      </c>
      <c r="AZ1095" t="s">
        <v>74</v>
      </c>
      <c r="BA1095" t="s">
        <v>74</v>
      </c>
      <c r="BB1095" t="s">
        <v>74</v>
      </c>
      <c r="BC1095" t="s">
        <v>74</v>
      </c>
      <c r="BD1095">
        <v>1741176</v>
      </c>
      <c r="BE1095" t="s">
        <v>3463</v>
      </c>
      <c r="BF1095" t="str">
        <f>HYPERLINK("http://dx.doi.org/10.1080/20013078.2020.1741176","http://dx.doi.org/10.1080/20013078.2020.1741176")</f>
        <v>http://dx.doi.org/10.1080/20013078.2020.1741176</v>
      </c>
      <c r="BG1095" t="s">
        <v>74</v>
      </c>
      <c r="BH1095" t="s">
        <v>74</v>
      </c>
      <c r="BI1095" t="s">
        <v>74</v>
      </c>
      <c r="BJ1095" t="s">
        <v>135</v>
      </c>
      <c r="BK1095" t="s">
        <v>117</v>
      </c>
      <c r="BL1095" t="s">
        <v>135</v>
      </c>
      <c r="BM1095" t="s">
        <v>74</v>
      </c>
      <c r="BN1095">
        <v>32341768</v>
      </c>
      <c r="BO1095" t="s">
        <v>74</v>
      </c>
      <c r="BP1095" t="s">
        <v>74</v>
      </c>
      <c r="BQ1095" t="s">
        <v>74</v>
      </c>
      <c r="BR1095" t="s">
        <v>96</v>
      </c>
      <c r="BS1095" t="s">
        <v>3464</v>
      </c>
      <c r="BT1095" t="str">
        <f>HYPERLINK("https%3A%2F%2Fwww.webofscience.com%2Fwos%2Fwoscc%2Ffull-record%2FWOS:000521276200001","View Full Record in Web of Science")</f>
        <v>View Full Record in Web of Science</v>
      </c>
    </row>
    <row r="1096" spans="1:72" x14ac:dyDescent="0.15">
      <c r="A1096" t="s">
        <v>98</v>
      </c>
      <c r="B1096" t="s">
        <v>6512</v>
      </c>
      <c r="C1096" t="s">
        <v>74</v>
      </c>
      <c r="D1096" t="s">
        <v>74</v>
      </c>
      <c r="E1096" t="s">
        <v>74</v>
      </c>
      <c r="F1096" t="s">
        <v>6513</v>
      </c>
      <c r="G1096" t="s">
        <v>74</v>
      </c>
      <c r="H1096" t="s">
        <v>74</v>
      </c>
      <c r="I1096" t="s">
        <v>6514</v>
      </c>
      <c r="J1096" t="s">
        <v>6515</v>
      </c>
      <c r="K1096" t="s">
        <v>74</v>
      </c>
      <c r="L1096" t="s">
        <v>74</v>
      </c>
      <c r="M1096" t="s">
        <v>74</v>
      </c>
      <c r="N1096" t="s">
        <v>103</v>
      </c>
      <c r="O1096" t="s">
        <v>74</v>
      </c>
      <c r="P1096" t="s">
        <v>74</v>
      </c>
      <c r="Q1096" t="s">
        <v>74</v>
      </c>
      <c r="R1096" t="s">
        <v>74</v>
      </c>
      <c r="S1096" t="s">
        <v>74</v>
      </c>
      <c r="T1096" t="s">
        <v>74</v>
      </c>
      <c r="U1096" t="s">
        <v>6516</v>
      </c>
      <c r="V1096" t="s">
        <v>6517</v>
      </c>
      <c r="W1096" t="s">
        <v>6518</v>
      </c>
      <c r="X1096" t="s">
        <v>6519</v>
      </c>
      <c r="Y1096" t="s">
        <v>6520</v>
      </c>
      <c r="Z1096" t="s">
        <v>6521</v>
      </c>
      <c r="AA1096" t="s">
        <v>74</v>
      </c>
      <c r="AB1096" t="s">
        <v>6522</v>
      </c>
      <c r="AC1096" t="s">
        <v>74</v>
      </c>
      <c r="AD1096" t="s">
        <v>74</v>
      </c>
      <c r="AE1096" t="s">
        <v>74</v>
      </c>
      <c r="AF1096" t="s">
        <v>74</v>
      </c>
      <c r="AG1096">
        <v>34</v>
      </c>
      <c r="AH1096">
        <v>12</v>
      </c>
      <c r="AI1096">
        <v>12</v>
      </c>
      <c r="AJ1096">
        <v>1</v>
      </c>
      <c r="AK1096">
        <v>23</v>
      </c>
      <c r="AL1096" t="s">
        <v>74</v>
      </c>
      <c r="AM1096" t="s">
        <v>74</v>
      </c>
      <c r="AN1096" t="s">
        <v>74</v>
      </c>
      <c r="AO1096" t="s">
        <v>6523</v>
      </c>
      <c r="AP1096" t="s">
        <v>6524</v>
      </c>
      <c r="AQ1096" t="s">
        <v>74</v>
      </c>
      <c r="AR1096" t="s">
        <v>74</v>
      </c>
      <c r="AS1096" t="s">
        <v>74</v>
      </c>
      <c r="AT1096" t="s">
        <v>967</v>
      </c>
      <c r="AU1096">
        <v>2019</v>
      </c>
      <c r="AV1096">
        <v>16</v>
      </c>
      <c r="AW1096">
        <v>12</v>
      </c>
      <c r="AX1096" t="s">
        <v>74</v>
      </c>
      <c r="AY1096" t="s">
        <v>74</v>
      </c>
      <c r="AZ1096" t="s">
        <v>74</v>
      </c>
      <c r="BA1096" t="s">
        <v>74</v>
      </c>
      <c r="BB1096">
        <v>1269</v>
      </c>
      <c r="BC1096" t="s">
        <v>3390</v>
      </c>
      <c r="BD1096" t="s">
        <v>74</v>
      </c>
      <c r="BE1096" t="s">
        <v>6525</v>
      </c>
      <c r="BF1096" t="str">
        <f>HYPERLINK("http://dx.doi.org/10.1038/s41592-019-0623-4","http://dx.doi.org/10.1038/s41592-019-0623-4")</f>
        <v>http://dx.doi.org/10.1038/s41592-019-0623-4</v>
      </c>
      <c r="BG1096" t="s">
        <v>74</v>
      </c>
      <c r="BH1096" t="s">
        <v>74</v>
      </c>
      <c r="BI1096" t="s">
        <v>74</v>
      </c>
      <c r="BJ1096" t="s">
        <v>812</v>
      </c>
      <c r="BK1096" t="s">
        <v>117</v>
      </c>
      <c r="BL1096" t="s">
        <v>95</v>
      </c>
      <c r="BM1096" t="s">
        <v>74</v>
      </c>
      <c r="BN1096">
        <v>31712780</v>
      </c>
      <c r="BO1096" t="s">
        <v>74</v>
      </c>
      <c r="BP1096" t="s">
        <v>74</v>
      </c>
      <c r="BQ1096" t="s">
        <v>74</v>
      </c>
      <c r="BR1096" t="s">
        <v>96</v>
      </c>
      <c r="BS1096" t="s">
        <v>6526</v>
      </c>
      <c r="BT1096" t="str">
        <f>HYPERLINK("https%3A%2F%2Fwww.webofscience.com%2Fwos%2Fwoscc%2Ffull-record%2FWOS:000499653100027","View Full Record in Web of Science")</f>
        <v>View Full Record in Web of Science</v>
      </c>
    </row>
    <row r="1097" spans="1:72" x14ac:dyDescent="0.15">
      <c r="A1097" t="s">
        <v>98</v>
      </c>
      <c r="B1097" t="s">
        <v>12258</v>
      </c>
      <c r="C1097" t="s">
        <v>74</v>
      </c>
      <c r="D1097" t="s">
        <v>74</v>
      </c>
      <c r="E1097" t="s">
        <v>74</v>
      </c>
      <c r="F1097" t="s">
        <v>12259</v>
      </c>
      <c r="G1097" t="s">
        <v>74</v>
      </c>
      <c r="H1097" t="s">
        <v>74</v>
      </c>
      <c r="I1097" t="s">
        <v>12260</v>
      </c>
      <c r="J1097" t="s">
        <v>12261</v>
      </c>
      <c r="K1097" t="s">
        <v>74</v>
      </c>
      <c r="L1097" t="s">
        <v>74</v>
      </c>
      <c r="M1097" t="s">
        <v>74</v>
      </c>
      <c r="N1097" t="s">
        <v>103</v>
      </c>
      <c r="O1097" t="s">
        <v>74</v>
      </c>
      <c r="P1097" t="s">
        <v>74</v>
      </c>
      <c r="Q1097" t="s">
        <v>74</v>
      </c>
      <c r="R1097" t="s">
        <v>74</v>
      </c>
      <c r="S1097" t="s">
        <v>74</v>
      </c>
      <c r="T1097" t="s">
        <v>74</v>
      </c>
      <c r="U1097" t="s">
        <v>12262</v>
      </c>
      <c r="V1097" t="s">
        <v>12263</v>
      </c>
      <c r="W1097" t="s">
        <v>12264</v>
      </c>
      <c r="X1097" t="s">
        <v>12265</v>
      </c>
      <c r="Y1097" t="s">
        <v>12266</v>
      </c>
      <c r="Z1097" t="s">
        <v>12267</v>
      </c>
      <c r="AA1097" t="s">
        <v>74</v>
      </c>
      <c r="AB1097" t="s">
        <v>74</v>
      </c>
      <c r="AC1097" t="s">
        <v>74</v>
      </c>
      <c r="AD1097" t="s">
        <v>74</v>
      </c>
      <c r="AE1097" t="s">
        <v>74</v>
      </c>
      <c r="AF1097" t="s">
        <v>74</v>
      </c>
      <c r="AG1097">
        <v>36</v>
      </c>
      <c r="AH1097">
        <v>12</v>
      </c>
      <c r="AI1097">
        <v>12</v>
      </c>
      <c r="AJ1097">
        <v>0</v>
      </c>
      <c r="AK1097">
        <v>8</v>
      </c>
      <c r="AL1097" t="s">
        <v>74</v>
      </c>
      <c r="AM1097" t="s">
        <v>74</v>
      </c>
      <c r="AN1097" t="s">
        <v>74</v>
      </c>
      <c r="AO1097" t="s">
        <v>12268</v>
      </c>
      <c r="AP1097" t="s">
        <v>12269</v>
      </c>
      <c r="AQ1097" t="s">
        <v>74</v>
      </c>
      <c r="AR1097" t="s">
        <v>74</v>
      </c>
      <c r="AS1097" t="s">
        <v>74</v>
      </c>
      <c r="AT1097" t="s">
        <v>6391</v>
      </c>
      <c r="AU1097">
        <v>2021</v>
      </c>
      <c r="AV1097">
        <v>27</v>
      </c>
      <c r="AW1097">
        <v>11</v>
      </c>
      <c r="AX1097" t="s">
        <v>74</v>
      </c>
      <c r="AY1097" t="s">
        <v>74</v>
      </c>
      <c r="AZ1097" t="s">
        <v>74</v>
      </c>
      <c r="BA1097" t="s">
        <v>74</v>
      </c>
      <c r="BB1097">
        <v>3253</v>
      </c>
      <c r="BC1097">
        <v>3264</v>
      </c>
      <c r="BD1097" t="s">
        <v>74</v>
      </c>
      <c r="BE1097" t="s">
        <v>12270</v>
      </c>
      <c r="BF1097" t="str">
        <f>HYPERLINK("http://dx.doi.org/10.1158/1078-0432.CCR-20-4790","http://dx.doi.org/10.1158/1078-0432.CCR-20-4790")</f>
        <v>http://dx.doi.org/10.1158/1078-0432.CCR-20-4790</v>
      </c>
      <c r="BG1097" t="s">
        <v>74</v>
      </c>
      <c r="BH1097" t="s">
        <v>74</v>
      </c>
      <c r="BI1097" t="s">
        <v>74</v>
      </c>
      <c r="BJ1097" t="s">
        <v>267</v>
      </c>
      <c r="BK1097" t="s">
        <v>117</v>
      </c>
      <c r="BL1097" t="s">
        <v>267</v>
      </c>
      <c r="BM1097" t="s">
        <v>74</v>
      </c>
      <c r="BN1097">
        <v>33753455</v>
      </c>
      <c r="BO1097" t="s">
        <v>74</v>
      </c>
      <c r="BP1097" t="s">
        <v>74</v>
      </c>
      <c r="BQ1097" t="s">
        <v>74</v>
      </c>
      <c r="BR1097" t="s">
        <v>96</v>
      </c>
      <c r="BS1097" t="s">
        <v>12271</v>
      </c>
      <c r="BT1097" t="str">
        <f>HYPERLINK("https%3A%2F%2Fwww.webofscience.com%2Fwos%2Fwoscc%2Ffull-record%2FWOS:000657419800030","View Full Record in Web of Science")</f>
        <v>View Full Record in Web of Science</v>
      </c>
    </row>
    <row r="1098" spans="1:72" x14ac:dyDescent="0.15">
      <c r="A1098" t="s">
        <v>98</v>
      </c>
      <c r="B1098" t="s">
        <v>13629</v>
      </c>
      <c r="C1098" t="s">
        <v>74</v>
      </c>
      <c r="D1098" t="s">
        <v>74</v>
      </c>
      <c r="E1098" t="s">
        <v>74</v>
      </c>
      <c r="F1098" t="s">
        <v>13630</v>
      </c>
      <c r="G1098" t="s">
        <v>74</v>
      </c>
      <c r="H1098" t="s">
        <v>74</v>
      </c>
      <c r="I1098" t="s">
        <v>13631</v>
      </c>
      <c r="J1098" t="s">
        <v>2520</v>
      </c>
      <c r="K1098" t="s">
        <v>74</v>
      </c>
      <c r="L1098" t="s">
        <v>74</v>
      </c>
      <c r="M1098" t="s">
        <v>74</v>
      </c>
      <c r="N1098" t="s">
        <v>103</v>
      </c>
      <c r="O1098" t="s">
        <v>74</v>
      </c>
      <c r="P1098" t="s">
        <v>74</v>
      </c>
      <c r="Q1098" t="s">
        <v>74</v>
      </c>
      <c r="R1098" t="s">
        <v>74</v>
      </c>
      <c r="S1098" t="s">
        <v>74</v>
      </c>
      <c r="T1098" t="s">
        <v>13632</v>
      </c>
      <c r="U1098" t="s">
        <v>13633</v>
      </c>
      <c r="V1098" t="s">
        <v>13634</v>
      </c>
      <c r="W1098" t="s">
        <v>13635</v>
      </c>
      <c r="X1098" t="s">
        <v>13636</v>
      </c>
      <c r="Y1098" t="s">
        <v>13637</v>
      </c>
      <c r="Z1098" t="s">
        <v>13638</v>
      </c>
      <c r="AA1098" t="s">
        <v>13639</v>
      </c>
      <c r="AB1098" t="s">
        <v>13640</v>
      </c>
      <c r="AC1098" t="s">
        <v>74</v>
      </c>
      <c r="AD1098" t="s">
        <v>74</v>
      </c>
      <c r="AE1098" t="s">
        <v>74</v>
      </c>
      <c r="AF1098" t="s">
        <v>74</v>
      </c>
      <c r="AG1098">
        <v>70</v>
      </c>
      <c r="AH1098">
        <v>12</v>
      </c>
      <c r="AI1098">
        <v>12</v>
      </c>
      <c r="AJ1098">
        <v>6</v>
      </c>
      <c r="AK1098">
        <v>19</v>
      </c>
      <c r="AL1098" t="s">
        <v>74</v>
      </c>
      <c r="AM1098" t="s">
        <v>74</v>
      </c>
      <c r="AN1098" t="s">
        <v>74</v>
      </c>
      <c r="AO1098" t="s">
        <v>2529</v>
      </c>
      <c r="AP1098" t="s">
        <v>74</v>
      </c>
      <c r="AQ1098" t="s">
        <v>74</v>
      </c>
      <c r="AR1098" t="s">
        <v>74</v>
      </c>
      <c r="AS1098" t="s">
        <v>74</v>
      </c>
      <c r="AT1098" t="s">
        <v>13641</v>
      </c>
      <c r="AU1098">
        <v>2018</v>
      </c>
      <c r="AV1098">
        <v>9</v>
      </c>
      <c r="AW1098" t="s">
        <v>74</v>
      </c>
      <c r="AX1098" t="s">
        <v>74</v>
      </c>
      <c r="AY1098" t="s">
        <v>74</v>
      </c>
      <c r="AZ1098" t="s">
        <v>74</v>
      </c>
      <c r="BA1098" t="s">
        <v>74</v>
      </c>
      <c r="BB1098" t="s">
        <v>74</v>
      </c>
      <c r="BC1098" t="s">
        <v>74</v>
      </c>
      <c r="BD1098">
        <v>2605</v>
      </c>
      <c r="BE1098" t="s">
        <v>13642</v>
      </c>
      <c r="BF1098" t="str">
        <f>HYPERLINK("http://dx.doi.org/10.3389/fmicb.2018.02605","http://dx.doi.org/10.3389/fmicb.2018.02605")</f>
        <v>http://dx.doi.org/10.3389/fmicb.2018.02605</v>
      </c>
      <c r="BG1098" t="s">
        <v>74</v>
      </c>
      <c r="BH1098" t="s">
        <v>74</v>
      </c>
      <c r="BI1098" t="s">
        <v>74</v>
      </c>
      <c r="BJ1098" t="s">
        <v>898</v>
      </c>
      <c r="BK1098" t="s">
        <v>117</v>
      </c>
      <c r="BL1098" t="s">
        <v>898</v>
      </c>
      <c r="BM1098" t="s">
        <v>74</v>
      </c>
      <c r="BN1098">
        <v>30464758</v>
      </c>
      <c r="BO1098" t="s">
        <v>74</v>
      </c>
      <c r="BP1098" t="s">
        <v>74</v>
      </c>
      <c r="BQ1098" t="s">
        <v>74</v>
      </c>
      <c r="BR1098" t="s">
        <v>96</v>
      </c>
      <c r="BS1098" t="s">
        <v>13643</v>
      </c>
      <c r="BT1098" t="str">
        <f>HYPERLINK("https%3A%2F%2Fwww.webofscience.com%2Fwos%2Fwoscc%2Ffull-record%2FWOS:000449415700001","View Full Record in Web of Science")</f>
        <v>View Full Record in Web of Science</v>
      </c>
    </row>
    <row r="1099" spans="1:72" x14ac:dyDescent="0.15">
      <c r="A1099" t="s">
        <v>98</v>
      </c>
      <c r="B1099" t="s">
        <v>16178</v>
      </c>
      <c r="C1099" t="s">
        <v>74</v>
      </c>
      <c r="D1099" t="s">
        <v>74</v>
      </c>
      <c r="E1099" t="s">
        <v>74</v>
      </c>
      <c r="F1099" t="s">
        <v>16179</v>
      </c>
      <c r="G1099" t="s">
        <v>74</v>
      </c>
      <c r="H1099" t="s">
        <v>16180</v>
      </c>
      <c r="I1099" t="s">
        <v>16181</v>
      </c>
      <c r="J1099" t="s">
        <v>16182</v>
      </c>
      <c r="K1099" t="s">
        <v>74</v>
      </c>
      <c r="L1099" t="s">
        <v>74</v>
      </c>
      <c r="M1099" t="s">
        <v>74</v>
      </c>
      <c r="N1099" t="s">
        <v>103</v>
      </c>
      <c r="O1099" t="s">
        <v>74</v>
      </c>
      <c r="P1099" t="s">
        <v>74</v>
      </c>
      <c r="Q1099" t="s">
        <v>74</v>
      </c>
      <c r="R1099" t="s">
        <v>74</v>
      </c>
      <c r="S1099" t="s">
        <v>74</v>
      </c>
      <c r="T1099" t="s">
        <v>16183</v>
      </c>
      <c r="U1099" t="s">
        <v>16184</v>
      </c>
      <c r="V1099" t="s">
        <v>16185</v>
      </c>
      <c r="W1099" t="s">
        <v>16186</v>
      </c>
      <c r="X1099" t="s">
        <v>16187</v>
      </c>
      <c r="Y1099" t="s">
        <v>16188</v>
      </c>
      <c r="Z1099" t="s">
        <v>16189</v>
      </c>
      <c r="AA1099" t="s">
        <v>16190</v>
      </c>
      <c r="AB1099" t="s">
        <v>16191</v>
      </c>
      <c r="AC1099" t="s">
        <v>74</v>
      </c>
      <c r="AD1099" t="s">
        <v>74</v>
      </c>
      <c r="AE1099" t="s">
        <v>74</v>
      </c>
      <c r="AF1099" t="s">
        <v>74</v>
      </c>
      <c r="AG1099">
        <v>21</v>
      </c>
      <c r="AH1099">
        <v>12</v>
      </c>
      <c r="AI1099">
        <v>13</v>
      </c>
      <c r="AJ1099">
        <v>0</v>
      </c>
      <c r="AK1099">
        <v>7</v>
      </c>
      <c r="AL1099" t="s">
        <v>74</v>
      </c>
      <c r="AM1099" t="s">
        <v>74</v>
      </c>
      <c r="AN1099" t="s">
        <v>74</v>
      </c>
      <c r="AO1099" t="s">
        <v>16192</v>
      </c>
      <c r="AP1099" t="s">
        <v>74</v>
      </c>
      <c r="AQ1099" t="s">
        <v>74</v>
      </c>
      <c r="AR1099" t="s">
        <v>74</v>
      </c>
      <c r="AS1099" t="s">
        <v>74</v>
      </c>
      <c r="AT1099" t="s">
        <v>16193</v>
      </c>
      <c r="AU1099">
        <v>2015</v>
      </c>
      <c r="AV1099">
        <v>10</v>
      </c>
      <c r="AW1099" t="s">
        <v>74</v>
      </c>
      <c r="AX1099" t="s">
        <v>74</v>
      </c>
      <c r="AY1099" t="s">
        <v>74</v>
      </c>
      <c r="AZ1099" t="s">
        <v>74</v>
      </c>
      <c r="BA1099" t="s">
        <v>74</v>
      </c>
      <c r="BB1099" t="s">
        <v>74</v>
      </c>
      <c r="BC1099" t="s">
        <v>74</v>
      </c>
      <c r="BD1099">
        <v>18</v>
      </c>
      <c r="BE1099" t="s">
        <v>16194</v>
      </c>
      <c r="BF1099" t="str">
        <f>HYPERLINK("http://dx.doi.org/10.1186/s13024-015-0015-x","http://dx.doi.org/10.1186/s13024-015-0015-x")</f>
        <v>http://dx.doi.org/10.1186/s13024-015-0015-x</v>
      </c>
      <c r="BG1099" t="s">
        <v>74</v>
      </c>
      <c r="BH1099" t="s">
        <v>74</v>
      </c>
      <c r="BI1099" t="s">
        <v>74</v>
      </c>
      <c r="BJ1099" t="s">
        <v>652</v>
      </c>
      <c r="BK1099" t="s">
        <v>117</v>
      </c>
      <c r="BL1099" t="s">
        <v>653</v>
      </c>
      <c r="BM1099" t="s">
        <v>74</v>
      </c>
      <c r="BN1099">
        <v>25881291</v>
      </c>
      <c r="BO1099" t="s">
        <v>74</v>
      </c>
      <c r="BP1099" t="s">
        <v>74</v>
      </c>
      <c r="BQ1099" t="s">
        <v>74</v>
      </c>
      <c r="BR1099" t="s">
        <v>96</v>
      </c>
      <c r="BS1099" t="s">
        <v>16195</v>
      </c>
      <c r="BT1099" t="str">
        <f>HYPERLINK("https%3A%2F%2Fwww.webofscience.com%2Fwos%2Fwoscc%2Ffull-record%2FWOS:000354358900001","View Full Record in Web of Science")</f>
        <v>View Full Record in Web of Science</v>
      </c>
    </row>
    <row r="1100" spans="1:72" x14ac:dyDescent="0.15">
      <c r="A1100" t="s">
        <v>98</v>
      </c>
      <c r="B1100" t="s">
        <v>17860</v>
      </c>
      <c r="C1100" t="s">
        <v>74</v>
      </c>
      <c r="D1100" t="s">
        <v>74</v>
      </c>
      <c r="E1100" t="s">
        <v>74</v>
      </c>
      <c r="F1100" t="s">
        <v>17861</v>
      </c>
      <c r="G1100" t="s">
        <v>74</v>
      </c>
      <c r="H1100" t="s">
        <v>74</v>
      </c>
      <c r="I1100" t="s">
        <v>17862</v>
      </c>
      <c r="J1100" t="s">
        <v>17863</v>
      </c>
      <c r="K1100" t="s">
        <v>74</v>
      </c>
      <c r="L1100" t="s">
        <v>74</v>
      </c>
      <c r="M1100" t="s">
        <v>74</v>
      </c>
      <c r="N1100" t="s">
        <v>103</v>
      </c>
      <c r="O1100" t="s">
        <v>74</v>
      </c>
      <c r="P1100" t="s">
        <v>74</v>
      </c>
      <c r="Q1100" t="s">
        <v>74</v>
      </c>
      <c r="R1100" t="s">
        <v>74</v>
      </c>
      <c r="S1100" t="s">
        <v>74</v>
      </c>
      <c r="T1100" t="s">
        <v>17864</v>
      </c>
      <c r="U1100" t="s">
        <v>17865</v>
      </c>
      <c r="V1100" t="s">
        <v>17866</v>
      </c>
      <c r="W1100" t="s">
        <v>17867</v>
      </c>
      <c r="X1100" t="s">
        <v>17868</v>
      </c>
      <c r="Y1100" t="s">
        <v>17869</v>
      </c>
      <c r="Z1100" t="s">
        <v>17870</v>
      </c>
      <c r="AA1100" t="s">
        <v>74</v>
      </c>
      <c r="AB1100" t="s">
        <v>74</v>
      </c>
      <c r="AC1100" t="s">
        <v>74</v>
      </c>
      <c r="AD1100" t="s">
        <v>74</v>
      </c>
      <c r="AE1100" t="s">
        <v>74</v>
      </c>
      <c r="AF1100" t="s">
        <v>74</v>
      </c>
      <c r="AG1100">
        <v>24</v>
      </c>
      <c r="AH1100">
        <v>12</v>
      </c>
      <c r="AI1100">
        <v>12</v>
      </c>
      <c r="AJ1100">
        <v>8</v>
      </c>
      <c r="AK1100">
        <v>32</v>
      </c>
      <c r="AL1100" t="s">
        <v>74</v>
      </c>
      <c r="AM1100" t="s">
        <v>74</v>
      </c>
      <c r="AN1100" t="s">
        <v>74</v>
      </c>
      <c r="AO1100" t="s">
        <v>17871</v>
      </c>
      <c r="AP1100" t="s">
        <v>74</v>
      </c>
      <c r="AQ1100" t="s">
        <v>74</v>
      </c>
      <c r="AR1100" t="s">
        <v>74</v>
      </c>
      <c r="AS1100" t="s">
        <v>74</v>
      </c>
      <c r="AT1100" t="s">
        <v>1116</v>
      </c>
      <c r="AU1100">
        <v>2019</v>
      </c>
      <c r="AV1100">
        <v>6</v>
      </c>
      <c r="AW1100" t="s">
        <v>74</v>
      </c>
      <c r="AX1100" t="s">
        <v>74</v>
      </c>
      <c r="AY1100" t="s">
        <v>74</v>
      </c>
      <c r="AZ1100" t="s">
        <v>74</v>
      </c>
      <c r="BA1100" t="s">
        <v>74</v>
      </c>
      <c r="BB1100" t="s">
        <v>74</v>
      </c>
      <c r="BC1100" t="s">
        <v>74</v>
      </c>
      <c r="BD1100">
        <v>664</v>
      </c>
      <c r="BE1100" t="s">
        <v>17872</v>
      </c>
      <c r="BF1100" t="str">
        <f>HYPERLINK("http://dx.doi.org/10.3389/fchem.2018.00664","http://dx.doi.org/10.3389/fchem.2018.00664")</f>
        <v>http://dx.doi.org/10.3389/fchem.2018.00664</v>
      </c>
      <c r="BG1100" t="s">
        <v>74</v>
      </c>
      <c r="BH1100" t="s">
        <v>74</v>
      </c>
      <c r="BI1100" t="s">
        <v>74</v>
      </c>
      <c r="BJ1100" t="s">
        <v>1047</v>
      </c>
      <c r="BK1100" t="s">
        <v>117</v>
      </c>
      <c r="BL1100" t="s">
        <v>1048</v>
      </c>
      <c r="BM1100" t="s">
        <v>74</v>
      </c>
      <c r="BN1100">
        <v>30697539</v>
      </c>
      <c r="BO1100" t="s">
        <v>74</v>
      </c>
      <c r="BP1100" t="s">
        <v>74</v>
      </c>
      <c r="BQ1100" t="s">
        <v>74</v>
      </c>
      <c r="BR1100" t="s">
        <v>96</v>
      </c>
      <c r="BS1100" t="s">
        <v>17873</v>
      </c>
      <c r="BT1100" t="str">
        <f>HYPERLINK("https%3A%2F%2Fwww.webofscience.com%2Fwos%2Fwoscc%2Ffull-record%2FWOS:000455702400001","View Full Record in Web of Science")</f>
        <v>View Full Record in Web of Science</v>
      </c>
    </row>
    <row r="1101" spans="1:72" x14ac:dyDescent="0.15">
      <c r="A1101" t="s">
        <v>98</v>
      </c>
      <c r="B1101" t="s">
        <v>17924</v>
      </c>
      <c r="C1101" t="s">
        <v>74</v>
      </c>
      <c r="D1101" t="s">
        <v>74</v>
      </c>
      <c r="E1101" t="s">
        <v>74</v>
      </c>
      <c r="F1101" t="s">
        <v>17925</v>
      </c>
      <c r="G1101" t="s">
        <v>74</v>
      </c>
      <c r="H1101" t="s">
        <v>74</v>
      </c>
      <c r="I1101" t="s">
        <v>17926</v>
      </c>
      <c r="J1101" t="s">
        <v>17927</v>
      </c>
      <c r="K1101" t="s">
        <v>74</v>
      </c>
      <c r="L1101" t="s">
        <v>74</v>
      </c>
      <c r="M1101" t="s">
        <v>74</v>
      </c>
      <c r="N1101" t="s">
        <v>103</v>
      </c>
      <c r="O1101" t="s">
        <v>74</v>
      </c>
      <c r="P1101" t="s">
        <v>74</v>
      </c>
      <c r="Q1101" t="s">
        <v>74</v>
      </c>
      <c r="R1101" t="s">
        <v>74</v>
      </c>
      <c r="S1101" t="s">
        <v>74</v>
      </c>
      <c r="T1101" t="s">
        <v>17928</v>
      </c>
      <c r="U1101" t="s">
        <v>17929</v>
      </c>
      <c r="V1101" t="s">
        <v>17930</v>
      </c>
      <c r="W1101" t="s">
        <v>17931</v>
      </c>
      <c r="X1101" t="s">
        <v>17932</v>
      </c>
      <c r="Y1101" t="s">
        <v>17933</v>
      </c>
      <c r="Z1101" t="s">
        <v>74</v>
      </c>
      <c r="AA1101" t="s">
        <v>74</v>
      </c>
      <c r="AB1101" t="s">
        <v>74</v>
      </c>
      <c r="AC1101" t="s">
        <v>74</v>
      </c>
      <c r="AD1101" t="s">
        <v>74</v>
      </c>
      <c r="AE1101" t="s">
        <v>74</v>
      </c>
      <c r="AF1101" t="s">
        <v>74</v>
      </c>
      <c r="AG1101">
        <v>101</v>
      </c>
      <c r="AH1101">
        <v>12</v>
      </c>
      <c r="AI1101">
        <v>12</v>
      </c>
      <c r="AJ1101">
        <v>1</v>
      </c>
      <c r="AK1101">
        <v>22</v>
      </c>
      <c r="AL1101" t="s">
        <v>74</v>
      </c>
      <c r="AM1101" t="s">
        <v>74</v>
      </c>
      <c r="AN1101" t="s">
        <v>74</v>
      </c>
      <c r="AO1101" t="s">
        <v>17934</v>
      </c>
      <c r="AP1101" t="s">
        <v>74</v>
      </c>
      <c r="AQ1101" t="s">
        <v>74</v>
      </c>
      <c r="AR1101" t="s">
        <v>74</v>
      </c>
      <c r="AS1101" t="s">
        <v>74</v>
      </c>
      <c r="AT1101" t="s">
        <v>531</v>
      </c>
      <c r="AU1101">
        <v>2017</v>
      </c>
      <c r="AV1101">
        <v>7</v>
      </c>
      <c r="AW1101">
        <v>9</v>
      </c>
      <c r="AX1101" t="s">
        <v>74</v>
      </c>
      <c r="AY1101" t="s">
        <v>74</v>
      </c>
      <c r="AZ1101" t="s">
        <v>74</v>
      </c>
      <c r="BA1101" t="s">
        <v>74</v>
      </c>
      <c r="BB1101">
        <v>671</v>
      </c>
      <c r="BC1101">
        <v>687</v>
      </c>
      <c r="BD1101" t="s">
        <v>74</v>
      </c>
      <c r="BE1101" t="s">
        <v>17935</v>
      </c>
      <c r="BF1101" t="str">
        <f>HYPERLINK("http://dx.doi.org/10.31989/ffhd.v7i9.379","http://dx.doi.org/10.31989/ffhd.v7i9.379")</f>
        <v>http://dx.doi.org/10.31989/ffhd.v7i9.379</v>
      </c>
      <c r="BG1101" t="s">
        <v>74</v>
      </c>
      <c r="BH1101" t="s">
        <v>74</v>
      </c>
      <c r="BI1101" t="s">
        <v>74</v>
      </c>
      <c r="BJ1101" t="s">
        <v>15248</v>
      </c>
      <c r="BK1101" t="s">
        <v>467</v>
      </c>
      <c r="BL1101" t="s">
        <v>15248</v>
      </c>
      <c r="BM1101" t="s">
        <v>74</v>
      </c>
      <c r="BN1101" t="s">
        <v>74</v>
      </c>
      <c r="BO1101" t="s">
        <v>74</v>
      </c>
      <c r="BP1101" t="s">
        <v>74</v>
      </c>
      <c r="BQ1101" t="s">
        <v>74</v>
      </c>
      <c r="BR1101" t="s">
        <v>96</v>
      </c>
      <c r="BS1101" t="s">
        <v>17936</v>
      </c>
      <c r="BT1101" t="str">
        <f>HYPERLINK("https%3A%2F%2Fwww.webofscience.com%2Fwos%2Fwoscc%2Ffull-record%2FWOS:000412430900001","View Full Record in Web of Science")</f>
        <v>View Full Record in Web of Science</v>
      </c>
    </row>
    <row r="1102" spans="1:72" x14ac:dyDescent="0.15">
      <c r="A1102" t="s">
        <v>98</v>
      </c>
      <c r="B1102" t="s">
        <v>18064</v>
      </c>
      <c r="C1102" t="s">
        <v>74</v>
      </c>
      <c r="D1102" t="s">
        <v>74</v>
      </c>
      <c r="E1102" t="s">
        <v>74</v>
      </c>
      <c r="F1102" t="s">
        <v>18065</v>
      </c>
      <c r="G1102" t="s">
        <v>74</v>
      </c>
      <c r="H1102" t="s">
        <v>74</v>
      </c>
      <c r="I1102" t="s">
        <v>18066</v>
      </c>
      <c r="J1102" t="s">
        <v>18067</v>
      </c>
      <c r="K1102" t="s">
        <v>74</v>
      </c>
      <c r="L1102" t="s">
        <v>74</v>
      </c>
      <c r="M1102" t="s">
        <v>74</v>
      </c>
      <c r="N1102" t="s">
        <v>103</v>
      </c>
      <c r="O1102" t="s">
        <v>74</v>
      </c>
      <c r="P1102" t="s">
        <v>74</v>
      </c>
      <c r="Q1102" t="s">
        <v>74</v>
      </c>
      <c r="R1102" t="s">
        <v>74</v>
      </c>
      <c r="S1102" t="s">
        <v>74</v>
      </c>
      <c r="T1102" t="s">
        <v>18068</v>
      </c>
      <c r="U1102" t="s">
        <v>18069</v>
      </c>
      <c r="V1102" t="s">
        <v>18070</v>
      </c>
      <c r="W1102" t="s">
        <v>18071</v>
      </c>
      <c r="X1102" t="s">
        <v>18072</v>
      </c>
      <c r="Y1102" t="s">
        <v>18073</v>
      </c>
      <c r="Z1102" t="s">
        <v>18074</v>
      </c>
      <c r="AA1102" t="s">
        <v>74</v>
      </c>
      <c r="AB1102" t="s">
        <v>18075</v>
      </c>
      <c r="AC1102" t="s">
        <v>74</v>
      </c>
      <c r="AD1102" t="s">
        <v>74</v>
      </c>
      <c r="AE1102" t="s">
        <v>74</v>
      </c>
      <c r="AF1102" t="s">
        <v>74</v>
      </c>
      <c r="AG1102">
        <v>37</v>
      </c>
      <c r="AH1102">
        <v>12</v>
      </c>
      <c r="AI1102">
        <v>13</v>
      </c>
      <c r="AJ1102">
        <v>0</v>
      </c>
      <c r="AK1102">
        <v>5</v>
      </c>
      <c r="AL1102" t="s">
        <v>74</v>
      </c>
      <c r="AM1102" t="s">
        <v>74</v>
      </c>
      <c r="AN1102" t="s">
        <v>74</v>
      </c>
      <c r="AO1102" t="s">
        <v>18076</v>
      </c>
      <c r="AP1102" t="s">
        <v>18077</v>
      </c>
      <c r="AQ1102" t="s">
        <v>74</v>
      </c>
      <c r="AR1102" t="s">
        <v>74</v>
      </c>
      <c r="AS1102" t="s">
        <v>74</v>
      </c>
      <c r="AT1102" t="s">
        <v>565</v>
      </c>
      <c r="AU1102">
        <v>2011</v>
      </c>
      <c r="AV1102">
        <v>17</v>
      </c>
      <c r="AW1102">
        <v>3</v>
      </c>
      <c r="AX1102" t="s">
        <v>74</v>
      </c>
      <c r="AY1102" t="s">
        <v>74</v>
      </c>
      <c r="AZ1102" t="s">
        <v>74</v>
      </c>
      <c r="BA1102" t="s">
        <v>74</v>
      </c>
      <c r="BB1102">
        <v>319</v>
      </c>
      <c r="BC1102">
        <v>329</v>
      </c>
      <c r="BD1102" t="s">
        <v>74</v>
      </c>
      <c r="BE1102" t="s">
        <v>18078</v>
      </c>
      <c r="BF1102" t="str">
        <f>HYPERLINK("http://dx.doi.org/10.1016/j.bbmt.2010.09.001","http://dx.doi.org/10.1016/j.bbmt.2010.09.001")</f>
        <v>http://dx.doi.org/10.1016/j.bbmt.2010.09.001</v>
      </c>
      <c r="BG1102" t="s">
        <v>74</v>
      </c>
      <c r="BH1102" t="s">
        <v>74</v>
      </c>
      <c r="BI1102" t="s">
        <v>74</v>
      </c>
      <c r="BJ1102" t="s">
        <v>18079</v>
      </c>
      <c r="BK1102" t="s">
        <v>117</v>
      </c>
      <c r="BL1102" t="s">
        <v>18079</v>
      </c>
      <c r="BM1102" t="s">
        <v>74</v>
      </c>
      <c r="BN1102">
        <v>20837151</v>
      </c>
      <c r="BO1102" t="s">
        <v>74</v>
      </c>
      <c r="BP1102" t="s">
        <v>74</v>
      </c>
      <c r="BQ1102" t="s">
        <v>74</v>
      </c>
      <c r="BR1102" t="s">
        <v>96</v>
      </c>
      <c r="BS1102" t="s">
        <v>18080</v>
      </c>
      <c r="BT1102" t="str">
        <f>HYPERLINK("https%3A%2F%2Fwww.webofscience.com%2Fwos%2Fwoscc%2Ffull-record%2FWOS:000287633200005","View Full Record in Web of Science")</f>
        <v>View Full Record in Web of Science</v>
      </c>
    </row>
    <row r="1103" spans="1:72" x14ac:dyDescent="0.15">
      <c r="A1103" t="s">
        <v>98</v>
      </c>
      <c r="B1103" t="s">
        <v>18976</v>
      </c>
      <c r="C1103" t="s">
        <v>74</v>
      </c>
      <c r="D1103" t="s">
        <v>74</v>
      </c>
      <c r="E1103" t="s">
        <v>74</v>
      </c>
      <c r="F1103" t="s">
        <v>18977</v>
      </c>
      <c r="G1103" t="s">
        <v>74</v>
      </c>
      <c r="H1103" t="s">
        <v>74</v>
      </c>
      <c r="I1103" t="s">
        <v>18978</v>
      </c>
      <c r="J1103" t="s">
        <v>18979</v>
      </c>
      <c r="K1103" t="s">
        <v>74</v>
      </c>
      <c r="L1103" t="s">
        <v>74</v>
      </c>
      <c r="M1103" t="s">
        <v>74</v>
      </c>
      <c r="N1103" t="s">
        <v>103</v>
      </c>
      <c r="O1103" t="s">
        <v>74</v>
      </c>
      <c r="P1103" t="s">
        <v>74</v>
      </c>
      <c r="Q1103" t="s">
        <v>74</v>
      </c>
      <c r="R1103" t="s">
        <v>74</v>
      </c>
      <c r="S1103" t="s">
        <v>74</v>
      </c>
      <c r="T1103" t="s">
        <v>18980</v>
      </c>
      <c r="U1103" t="s">
        <v>18981</v>
      </c>
      <c r="V1103" t="s">
        <v>18982</v>
      </c>
      <c r="W1103" t="s">
        <v>18983</v>
      </c>
      <c r="X1103" t="s">
        <v>18984</v>
      </c>
      <c r="Y1103" t="s">
        <v>18985</v>
      </c>
      <c r="Z1103" t="s">
        <v>18986</v>
      </c>
      <c r="AA1103" t="s">
        <v>18987</v>
      </c>
      <c r="AB1103" t="s">
        <v>18988</v>
      </c>
      <c r="AC1103" t="s">
        <v>74</v>
      </c>
      <c r="AD1103" t="s">
        <v>74</v>
      </c>
      <c r="AE1103" t="s">
        <v>74</v>
      </c>
      <c r="AF1103" t="s">
        <v>74</v>
      </c>
      <c r="AG1103">
        <v>91</v>
      </c>
      <c r="AH1103">
        <v>12</v>
      </c>
      <c r="AI1103">
        <v>12</v>
      </c>
      <c r="AJ1103">
        <v>1</v>
      </c>
      <c r="AK1103">
        <v>2</v>
      </c>
      <c r="AL1103" t="s">
        <v>74</v>
      </c>
      <c r="AM1103" t="s">
        <v>74</v>
      </c>
      <c r="AN1103" t="s">
        <v>74</v>
      </c>
      <c r="AO1103" t="s">
        <v>18989</v>
      </c>
      <c r="AP1103" t="s">
        <v>18990</v>
      </c>
      <c r="AQ1103" t="s">
        <v>74</v>
      </c>
      <c r="AR1103" t="s">
        <v>74</v>
      </c>
      <c r="AS1103" t="s">
        <v>74</v>
      </c>
      <c r="AT1103" t="s">
        <v>74</v>
      </c>
      <c r="AU1103">
        <v>2020</v>
      </c>
      <c r="AV1103">
        <v>53</v>
      </c>
      <c r="AW1103">
        <v>10</v>
      </c>
      <c r="AX1103" t="s">
        <v>74</v>
      </c>
      <c r="AY1103" t="s">
        <v>74</v>
      </c>
      <c r="AZ1103" t="s">
        <v>74</v>
      </c>
      <c r="BA1103" t="s">
        <v>74</v>
      </c>
      <c r="BB1103" t="s">
        <v>74</v>
      </c>
      <c r="BC1103" t="s">
        <v>74</v>
      </c>
      <c r="BD1103" t="s">
        <v>18991</v>
      </c>
      <c r="BE1103" t="s">
        <v>18992</v>
      </c>
      <c r="BF1103" t="str">
        <f>HYPERLINK("http://dx.doi.org/10.1590/1414-431X20209881","http://dx.doi.org/10.1590/1414-431X20209881")</f>
        <v>http://dx.doi.org/10.1590/1414-431X20209881</v>
      </c>
      <c r="BG1103" t="s">
        <v>74</v>
      </c>
      <c r="BH1103" t="s">
        <v>74</v>
      </c>
      <c r="BI1103" t="s">
        <v>74</v>
      </c>
      <c r="BJ1103" t="s">
        <v>4055</v>
      </c>
      <c r="BK1103" t="s">
        <v>117</v>
      </c>
      <c r="BL1103" t="s">
        <v>4056</v>
      </c>
      <c r="BM1103" t="s">
        <v>74</v>
      </c>
      <c r="BN1103">
        <v>32813850</v>
      </c>
      <c r="BO1103" t="s">
        <v>74</v>
      </c>
      <c r="BP1103" t="s">
        <v>74</v>
      </c>
      <c r="BQ1103" t="s">
        <v>74</v>
      </c>
      <c r="BR1103" t="s">
        <v>96</v>
      </c>
      <c r="BS1103" t="s">
        <v>18993</v>
      </c>
      <c r="BT1103" t="str">
        <f>HYPERLINK("https%3A%2F%2Fwww.webofscience.com%2Fwos%2Fwoscc%2Ffull-record%2FWOS:000563049700001","View Full Record in Web of Science")</f>
        <v>View Full Record in Web of Science</v>
      </c>
    </row>
    <row r="1104" spans="1:72" x14ac:dyDescent="0.15">
      <c r="A1104" t="s">
        <v>98</v>
      </c>
      <c r="B1104" t="s">
        <v>21359</v>
      </c>
      <c r="C1104" t="s">
        <v>74</v>
      </c>
      <c r="D1104" t="s">
        <v>74</v>
      </c>
      <c r="E1104" t="s">
        <v>74</v>
      </c>
      <c r="F1104" t="s">
        <v>21360</v>
      </c>
      <c r="G1104" t="s">
        <v>74</v>
      </c>
      <c r="H1104" t="s">
        <v>74</v>
      </c>
      <c r="I1104" t="s">
        <v>21361</v>
      </c>
      <c r="J1104" t="s">
        <v>21362</v>
      </c>
      <c r="K1104" t="s">
        <v>74</v>
      </c>
      <c r="L1104" t="s">
        <v>74</v>
      </c>
      <c r="M1104" t="s">
        <v>74</v>
      </c>
      <c r="N1104" t="s">
        <v>103</v>
      </c>
      <c r="O1104" t="s">
        <v>74</v>
      </c>
      <c r="P1104" t="s">
        <v>74</v>
      </c>
      <c r="Q1104" t="s">
        <v>74</v>
      </c>
      <c r="R1104" t="s">
        <v>74</v>
      </c>
      <c r="S1104" t="s">
        <v>74</v>
      </c>
      <c r="T1104" t="s">
        <v>74</v>
      </c>
      <c r="U1104" t="s">
        <v>21363</v>
      </c>
      <c r="V1104" t="s">
        <v>21364</v>
      </c>
      <c r="W1104" t="s">
        <v>21365</v>
      </c>
      <c r="X1104" t="s">
        <v>21366</v>
      </c>
      <c r="Y1104" t="s">
        <v>21367</v>
      </c>
      <c r="Z1104" t="s">
        <v>8537</v>
      </c>
      <c r="AA1104" t="s">
        <v>21368</v>
      </c>
      <c r="AB1104" t="s">
        <v>21369</v>
      </c>
      <c r="AC1104" t="s">
        <v>74</v>
      </c>
      <c r="AD1104" t="s">
        <v>74</v>
      </c>
      <c r="AE1104" t="s">
        <v>74</v>
      </c>
      <c r="AF1104" t="s">
        <v>74</v>
      </c>
      <c r="AG1104">
        <v>31</v>
      </c>
      <c r="AH1104">
        <v>12</v>
      </c>
      <c r="AI1104">
        <v>12</v>
      </c>
      <c r="AJ1104">
        <v>23</v>
      </c>
      <c r="AK1104">
        <v>42</v>
      </c>
      <c r="AL1104" t="s">
        <v>74</v>
      </c>
      <c r="AM1104" t="s">
        <v>74</v>
      </c>
      <c r="AN1104" t="s">
        <v>74</v>
      </c>
      <c r="AO1104" t="s">
        <v>74</v>
      </c>
      <c r="AP1104" t="s">
        <v>21370</v>
      </c>
      <c r="AQ1104" t="s">
        <v>74</v>
      </c>
      <c r="AR1104" t="s">
        <v>74</v>
      </c>
      <c r="AS1104" t="s">
        <v>74</v>
      </c>
      <c r="AT1104" t="s">
        <v>531</v>
      </c>
      <c r="AU1104">
        <v>2021</v>
      </c>
      <c r="AV1104">
        <v>4</v>
      </c>
      <c r="AW1104">
        <v>9</v>
      </c>
      <c r="AX1104" t="s">
        <v>74</v>
      </c>
      <c r="AY1104" t="s">
        <v>74</v>
      </c>
      <c r="AZ1104" t="s">
        <v>74</v>
      </c>
      <c r="BA1104" t="s">
        <v>74</v>
      </c>
      <c r="BB1104" t="s">
        <v>74</v>
      </c>
      <c r="BC1104" t="s">
        <v>74</v>
      </c>
      <c r="BD1104" t="s">
        <v>21371</v>
      </c>
      <c r="BE1104" t="s">
        <v>21372</v>
      </c>
      <c r="BF1104" t="str">
        <f>HYPERLINK("http://dx.doi.org/10.26508/lsa.202000875","http://dx.doi.org/10.26508/lsa.202000875")</f>
        <v>http://dx.doi.org/10.26508/lsa.202000875</v>
      </c>
      <c r="BG1104" t="s">
        <v>74</v>
      </c>
      <c r="BH1104" t="s">
        <v>74</v>
      </c>
      <c r="BI1104" t="s">
        <v>74</v>
      </c>
      <c r="BJ1104" t="s">
        <v>1643</v>
      </c>
      <c r="BK1104" t="s">
        <v>117</v>
      </c>
      <c r="BL1104" t="s">
        <v>1644</v>
      </c>
      <c r="BM1104" t="s">
        <v>74</v>
      </c>
      <c r="BN1104">
        <v>34282051</v>
      </c>
      <c r="BO1104" t="s">
        <v>74</v>
      </c>
      <c r="BP1104" t="s">
        <v>74</v>
      </c>
      <c r="BQ1104" t="s">
        <v>74</v>
      </c>
      <c r="BR1104" t="s">
        <v>96</v>
      </c>
      <c r="BS1104" t="s">
        <v>21373</v>
      </c>
      <c r="BT1104" t="str">
        <f>HYPERLINK("https%3A%2F%2Fwww.webofscience.com%2Fwos%2Fwoscc%2Ffull-record%2FWOS:000696994800006","View Full Record in Web of Science")</f>
        <v>View Full Record in Web of Science</v>
      </c>
    </row>
    <row r="1105" spans="1:72" x14ac:dyDescent="0.15">
      <c r="A1105" t="s">
        <v>98</v>
      </c>
      <c r="B1105" t="s">
        <v>23643</v>
      </c>
      <c r="C1105" t="s">
        <v>74</v>
      </c>
      <c r="D1105" t="s">
        <v>74</v>
      </c>
      <c r="E1105" t="s">
        <v>74</v>
      </c>
      <c r="F1105" t="s">
        <v>23643</v>
      </c>
      <c r="G1105" t="s">
        <v>74</v>
      </c>
      <c r="H1105" t="s">
        <v>74</v>
      </c>
      <c r="I1105" t="s">
        <v>23644</v>
      </c>
      <c r="J1105" t="s">
        <v>13510</v>
      </c>
      <c r="K1105" t="s">
        <v>74</v>
      </c>
      <c r="L1105" t="s">
        <v>74</v>
      </c>
      <c r="M1105" t="s">
        <v>74</v>
      </c>
      <c r="N1105" t="s">
        <v>980</v>
      </c>
      <c r="O1105" t="s">
        <v>23645</v>
      </c>
      <c r="P1105" t="s">
        <v>23646</v>
      </c>
      <c r="Q1105" t="s">
        <v>23647</v>
      </c>
      <c r="R1105" t="s">
        <v>74</v>
      </c>
      <c r="S1105" t="s">
        <v>74</v>
      </c>
      <c r="T1105" t="s">
        <v>23648</v>
      </c>
      <c r="U1105" t="s">
        <v>23649</v>
      </c>
      <c r="V1105" t="s">
        <v>23650</v>
      </c>
      <c r="W1105" t="s">
        <v>74</v>
      </c>
      <c r="X1105" t="s">
        <v>74</v>
      </c>
      <c r="Y1105" t="s">
        <v>23651</v>
      </c>
      <c r="Z1105" t="s">
        <v>74</v>
      </c>
      <c r="AA1105" t="s">
        <v>74</v>
      </c>
      <c r="AB1105" t="s">
        <v>74</v>
      </c>
      <c r="AC1105" t="s">
        <v>74</v>
      </c>
      <c r="AD1105" t="s">
        <v>74</v>
      </c>
      <c r="AE1105" t="s">
        <v>74</v>
      </c>
      <c r="AF1105" t="s">
        <v>74</v>
      </c>
      <c r="AG1105">
        <v>21</v>
      </c>
      <c r="AH1105">
        <v>12</v>
      </c>
      <c r="AI1105">
        <v>12</v>
      </c>
      <c r="AJ1105">
        <v>0</v>
      </c>
      <c r="AK1105">
        <v>0</v>
      </c>
      <c r="AL1105" t="s">
        <v>74</v>
      </c>
      <c r="AM1105" t="s">
        <v>74</v>
      </c>
      <c r="AN1105" t="s">
        <v>74</v>
      </c>
      <c r="AO1105" t="s">
        <v>13517</v>
      </c>
      <c r="AP1105" t="s">
        <v>74</v>
      </c>
      <c r="AQ1105" t="s">
        <v>74</v>
      </c>
      <c r="AR1105" t="s">
        <v>74</v>
      </c>
      <c r="AS1105" t="s">
        <v>74</v>
      </c>
      <c r="AT1105" t="s">
        <v>565</v>
      </c>
      <c r="AU1105">
        <v>1992</v>
      </c>
      <c r="AV1105">
        <v>122</v>
      </c>
      <c r="AW1105">
        <v>3</v>
      </c>
      <c r="AX1105" t="s">
        <v>74</v>
      </c>
      <c r="AY1105" t="s">
        <v>72</v>
      </c>
      <c r="AZ1105" t="s">
        <v>74</v>
      </c>
      <c r="BA1105" t="s">
        <v>74</v>
      </c>
      <c r="BB1105">
        <v>802</v>
      </c>
      <c r="BC1105">
        <v>805</v>
      </c>
      <c r="BD1105" t="s">
        <v>74</v>
      </c>
      <c r="BE1105" t="s">
        <v>23652</v>
      </c>
      <c r="BF1105" t="str">
        <f>HYPERLINK("http://dx.doi.org/10.1093/jn/122.suppl_3.802","http://dx.doi.org/10.1093/jn/122.suppl_3.802")</f>
        <v>http://dx.doi.org/10.1093/jn/122.suppl_3.802</v>
      </c>
      <c r="BG1105" t="s">
        <v>74</v>
      </c>
      <c r="BH1105" t="s">
        <v>74</v>
      </c>
      <c r="BI1105" t="s">
        <v>74</v>
      </c>
      <c r="BJ1105" t="s">
        <v>8849</v>
      </c>
      <c r="BK1105" t="s">
        <v>16883</v>
      </c>
      <c r="BL1105" t="s">
        <v>8849</v>
      </c>
      <c r="BM1105" t="s">
        <v>74</v>
      </c>
      <c r="BN1105">
        <v>1542051</v>
      </c>
      <c r="BO1105" t="s">
        <v>74</v>
      </c>
      <c r="BP1105" t="s">
        <v>74</v>
      </c>
      <c r="BQ1105" t="s">
        <v>74</v>
      </c>
      <c r="BR1105" t="s">
        <v>96</v>
      </c>
      <c r="BS1105" t="s">
        <v>23653</v>
      </c>
      <c r="BT1105" t="str">
        <f>HYPERLINK("https%3A%2F%2Fwww.webofscience.com%2Fwos%2Fwoscc%2Ffull-record%2FWOS:A1992HG41100042","View Full Record in Web of Science")</f>
        <v>View Full Record in Web of Science</v>
      </c>
    </row>
    <row r="1106" spans="1:72" x14ac:dyDescent="0.15">
      <c r="A1106" t="s">
        <v>98</v>
      </c>
      <c r="B1106" t="s">
        <v>24244</v>
      </c>
      <c r="C1106" t="s">
        <v>74</v>
      </c>
      <c r="D1106" t="s">
        <v>74</v>
      </c>
      <c r="E1106" t="s">
        <v>74</v>
      </c>
      <c r="F1106" t="s">
        <v>24245</v>
      </c>
      <c r="G1106" t="s">
        <v>74</v>
      </c>
      <c r="H1106" t="s">
        <v>74</v>
      </c>
      <c r="I1106" t="s">
        <v>24246</v>
      </c>
      <c r="J1106" t="s">
        <v>24247</v>
      </c>
      <c r="K1106" t="s">
        <v>74</v>
      </c>
      <c r="L1106" t="s">
        <v>74</v>
      </c>
      <c r="M1106" t="s">
        <v>74</v>
      </c>
      <c r="N1106" t="s">
        <v>103</v>
      </c>
      <c r="O1106" t="s">
        <v>74</v>
      </c>
      <c r="P1106" t="s">
        <v>74</v>
      </c>
      <c r="Q1106" t="s">
        <v>74</v>
      </c>
      <c r="R1106" t="s">
        <v>74</v>
      </c>
      <c r="S1106" t="s">
        <v>74</v>
      </c>
      <c r="T1106" t="s">
        <v>24248</v>
      </c>
      <c r="U1106" t="s">
        <v>24249</v>
      </c>
      <c r="V1106" t="s">
        <v>24250</v>
      </c>
      <c r="W1106" t="s">
        <v>24251</v>
      </c>
      <c r="X1106" t="s">
        <v>24252</v>
      </c>
      <c r="Y1106" t="s">
        <v>24253</v>
      </c>
      <c r="Z1106" t="s">
        <v>24254</v>
      </c>
      <c r="AA1106" t="s">
        <v>74</v>
      </c>
      <c r="AB1106" t="s">
        <v>74</v>
      </c>
      <c r="AC1106" t="s">
        <v>74</v>
      </c>
      <c r="AD1106" t="s">
        <v>74</v>
      </c>
      <c r="AE1106" t="s">
        <v>74</v>
      </c>
      <c r="AF1106" t="s">
        <v>74</v>
      </c>
      <c r="AG1106">
        <v>37</v>
      </c>
      <c r="AH1106">
        <v>12</v>
      </c>
      <c r="AI1106">
        <v>13</v>
      </c>
      <c r="AJ1106">
        <v>26</v>
      </c>
      <c r="AK1106">
        <v>109</v>
      </c>
      <c r="AL1106" t="s">
        <v>74</v>
      </c>
      <c r="AM1106" t="s">
        <v>74</v>
      </c>
      <c r="AN1106" t="s">
        <v>74</v>
      </c>
      <c r="AO1106" t="s">
        <v>74</v>
      </c>
      <c r="AP1106" t="s">
        <v>24255</v>
      </c>
      <c r="AQ1106" t="s">
        <v>74</v>
      </c>
      <c r="AR1106" t="s">
        <v>74</v>
      </c>
      <c r="AS1106" t="s">
        <v>74</v>
      </c>
      <c r="AT1106" t="s">
        <v>189</v>
      </c>
      <c r="AU1106">
        <v>2020</v>
      </c>
      <c r="AV1106">
        <v>3</v>
      </c>
      <c r="AW1106">
        <v>10</v>
      </c>
      <c r="AX1106" t="s">
        <v>74</v>
      </c>
      <c r="AY1106" t="s">
        <v>74</v>
      </c>
      <c r="AZ1106" t="s">
        <v>74</v>
      </c>
      <c r="BA1106" t="s">
        <v>74</v>
      </c>
      <c r="BB1106" t="s">
        <v>74</v>
      </c>
      <c r="BC1106" t="s">
        <v>74</v>
      </c>
      <c r="BD1106">
        <v>2000093</v>
      </c>
      <c r="BE1106" t="s">
        <v>24256</v>
      </c>
      <c r="BF1106" t="str">
        <f>HYPERLINK("http://dx.doi.org/10.1002/adtp.202000093","http://dx.doi.org/10.1002/adtp.202000093")</f>
        <v>http://dx.doi.org/10.1002/adtp.202000093</v>
      </c>
      <c r="BG1106" t="s">
        <v>74</v>
      </c>
      <c r="BH1106" t="s">
        <v>7893</v>
      </c>
      <c r="BI1106" t="s">
        <v>74</v>
      </c>
      <c r="BJ1106" t="s">
        <v>533</v>
      </c>
      <c r="BK1106" t="s">
        <v>117</v>
      </c>
      <c r="BL1106" t="s">
        <v>533</v>
      </c>
      <c r="BM1106" t="s">
        <v>74</v>
      </c>
      <c r="BN1106" t="s">
        <v>74</v>
      </c>
      <c r="BO1106" t="s">
        <v>74</v>
      </c>
      <c r="BP1106" t="s">
        <v>74</v>
      </c>
      <c r="BQ1106" t="s">
        <v>74</v>
      </c>
      <c r="BR1106" t="s">
        <v>96</v>
      </c>
      <c r="BS1106" t="s">
        <v>24257</v>
      </c>
      <c r="BT1106" t="str">
        <f>HYPERLINK("https%3A%2F%2Fwww.webofscience.com%2Fwos%2Fwoscc%2Ffull-record%2FWOS:000554618100001","View Full Record in Web of Science")</f>
        <v>View Full Record in Web of Science</v>
      </c>
    </row>
    <row r="1107" spans="1:72" x14ac:dyDescent="0.15">
      <c r="A1107" t="s">
        <v>98</v>
      </c>
      <c r="B1107" t="s">
        <v>24678</v>
      </c>
      <c r="C1107" t="s">
        <v>74</v>
      </c>
      <c r="D1107" t="s">
        <v>74</v>
      </c>
      <c r="E1107" t="s">
        <v>74</v>
      </c>
      <c r="F1107" t="s">
        <v>24679</v>
      </c>
      <c r="G1107" t="s">
        <v>74</v>
      </c>
      <c r="H1107" t="s">
        <v>74</v>
      </c>
      <c r="I1107" t="s">
        <v>24680</v>
      </c>
      <c r="J1107" t="s">
        <v>24681</v>
      </c>
      <c r="K1107" t="s">
        <v>74</v>
      </c>
      <c r="L1107" t="s">
        <v>74</v>
      </c>
      <c r="M1107" t="s">
        <v>74</v>
      </c>
      <c r="N1107" t="s">
        <v>103</v>
      </c>
      <c r="O1107" t="s">
        <v>74</v>
      </c>
      <c r="P1107" t="s">
        <v>74</v>
      </c>
      <c r="Q1107" t="s">
        <v>74</v>
      </c>
      <c r="R1107" t="s">
        <v>74</v>
      </c>
      <c r="S1107" t="s">
        <v>74</v>
      </c>
      <c r="T1107" t="s">
        <v>24682</v>
      </c>
      <c r="U1107" t="s">
        <v>24683</v>
      </c>
      <c r="V1107" t="s">
        <v>24684</v>
      </c>
      <c r="W1107" t="s">
        <v>24685</v>
      </c>
      <c r="X1107" t="s">
        <v>24686</v>
      </c>
      <c r="Y1107" t="s">
        <v>24687</v>
      </c>
      <c r="Z1107" t="s">
        <v>24688</v>
      </c>
      <c r="AA1107" t="s">
        <v>74</v>
      </c>
      <c r="AB1107" t="s">
        <v>24689</v>
      </c>
      <c r="AC1107" t="s">
        <v>74</v>
      </c>
      <c r="AD1107" t="s">
        <v>74</v>
      </c>
      <c r="AE1107" t="s">
        <v>74</v>
      </c>
      <c r="AF1107" t="s">
        <v>74</v>
      </c>
      <c r="AG1107">
        <v>63</v>
      </c>
      <c r="AH1107">
        <v>12</v>
      </c>
      <c r="AI1107">
        <v>12</v>
      </c>
      <c r="AJ1107">
        <v>0</v>
      </c>
      <c r="AK1107">
        <v>6</v>
      </c>
      <c r="AL1107" t="s">
        <v>74</v>
      </c>
      <c r="AM1107" t="s">
        <v>74</v>
      </c>
      <c r="AN1107" t="s">
        <v>74</v>
      </c>
      <c r="AO1107" t="s">
        <v>24690</v>
      </c>
      <c r="AP1107" t="s">
        <v>24691</v>
      </c>
      <c r="AQ1107" t="s">
        <v>74</v>
      </c>
      <c r="AR1107" t="s">
        <v>74</v>
      </c>
      <c r="AS1107" t="s">
        <v>74</v>
      </c>
      <c r="AT1107" t="s">
        <v>1029</v>
      </c>
      <c r="AU1107">
        <v>2018</v>
      </c>
      <c r="AV1107">
        <v>209</v>
      </c>
      <c r="AW1107">
        <v>1</v>
      </c>
      <c r="AX1107" t="s">
        <v>74</v>
      </c>
      <c r="AY1107" t="s">
        <v>74</v>
      </c>
      <c r="AZ1107" t="s">
        <v>74</v>
      </c>
      <c r="BA1107" t="s">
        <v>74</v>
      </c>
      <c r="BB1107">
        <v>195</v>
      </c>
      <c r="BC1107">
        <v>208</v>
      </c>
      <c r="BD1107" t="s">
        <v>74</v>
      </c>
      <c r="BE1107" t="s">
        <v>24692</v>
      </c>
      <c r="BF1107" t="str">
        <f>HYPERLINK("http://dx.doi.org/10.1534/genetics.118.300837","http://dx.doi.org/10.1534/genetics.118.300837")</f>
        <v>http://dx.doi.org/10.1534/genetics.118.300837</v>
      </c>
      <c r="BG1107" t="s">
        <v>74</v>
      </c>
      <c r="BH1107" t="s">
        <v>74</v>
      </c>
      <c r="BI1107" t="s">
        <v>74</v>
      </c>
      <c r="BJ1107" t="s">
        <v>285</v>
      </c>
      <c r="BK1107" t="s">
        <v>117</v>
      </c>
      <c r="BL1107" t="s">
        <v>285</v>
      </c>
      <c r="BM1107" t="s">
        <v>74</v>
      </c>
      <c r="BN1107">
        <v>29559501</v>
      </c>
      <c r="BO1107" t="s">
        <v>74</v>
      </c>
      <c r="BP1107" t="s">
        <v>74</v>
      </c>
      <c r="BQ1107" t="s">
        <v>74</v>
      </c>
      <c r="BR1107" t="s">
        <v>96</v>
      </c>
      <c r="BS1107" t="s">
        <v>24693</v>
      </c>
      <c r="BT1107" t="str">
        <f>HYPERLINK("https%3A%2F%2Fwww.webofscience.com%2Fwos%2Fwoscc%2Ffull-record%2FWOS:000432188600015","View Full Record in Web of Science")</f>
        <v>View Full Record in Web of Science</v>
      </c>
    </row>
    <row r="1108" spans="1:72" x14ac:dyDescent="0.15">
      <c r="A1108" t="s">
        <v>98</v>
      </c>
      <c r="B1108" t="s">
        <v>24866</v>
      </c>
      <c r="C1108" t="s">
        <v>74</v>
      </c>
      <c r="D1108" t="s">
        <v>74</v>
      </c>
      <c r="E1108" t="s">
        <v>74</v>
      </c>
      <c r="F1108" t="s">
        <v>24867</v>
      </c>
      <c r="G1108" t="s">
        <v>74</v>
      </c>
      <c r="H1108" t="s">
        <v>74</v>
      </c>
      <c r="I1108" t="s">
        <v>24868</v>
      </c>
      <c r="J1108" t="s">
        <v>9367</v>
      </c>
      <c r="K1108" t="s">
        <v>74</v>
      </c>
      <c r="L1108" t="s">
        <v>74</v>
      </c>
      <c r="M1108" t="s">
        <v>74</v>
      </c>
      <c r="N1108" t="s">
        <v>103</v>
      </c>
      <c r="O1108" t="s">
        <v>74</v>
      </c>
      <c r="P1108" t="s">
        <v>74</v>
      </c>
      <c r="Q1108" t="s">
        <v>74</v>
      </c>
      <c r="R1108" t="s">
        <v>74</v>
      </c>
      <c r="S1108" t="s">
        <v>74</v>
      </c>
      <c r="T1108" t="s">
        <v>24869</v>
      </c>
      <c r="U1108" t="s">
        <v>24870</v>
      </c>
      <c r="V1108" t="s">
        <v>24871</v>
      </c>
      <c r="W1108" t="s">
        <v>24872</v>
      </c>
      <c r="X1108" t="s">
        <v>24873</v>
      </c>
      <c r="Y1108" t="s">
        <v>24874</v>
      </c>
      <c r="Z1108" t="s">
        <v>24875</v>
      </c>
      <c r="AA1108" t="s">
        <v>24876</v>
      </c>
      <c r="AB1108" t="s">
        <v>24877</v>
      </c>
      <c r="AC1108" t="s">
        <v>74</v>
      </c>
      <c r="AD1108" t="s">
        <v>74</v>
      </c>
      <c r="AE1108" t="s">
        <v>74</v>
      </c>
      <c r="AF1108" t="s">
        <v>74</v>
      </c>
      <c r="AG1108">
        <v>46</v>
      </c>
      <c r="AH1108">
        <v>12</v>
      </c>
      <c r="AI1108">
        <v>15</v>
      </c>
      <c r="AJ1108">
        <v>1</v>
      </c>
      <c r="AK1108">
        <v>6</v>
      </c>
      <c r="AL1108" t="s">
        <v>74</v>
      </c>
      <c r="AM1108" t="s">
        <v>74</v>
      </c>
      <c r="AN1108" t="s">
        <v>74</v>
      </c>
      <c r="AO1108" t="s">
        <v>9375</v>
      </c>
      <c r="AP1108" t="s">
        <v>74</v>
      </c>
      <c r="AQ1108" t="s">
        <v>74</v>
      </c>
      <c r="AR1108" t="s">
        <v>74</v>
      </c>
      <c r="AS1108" t="s">
        <v>74</v>
      </c>
      <c r="AT1108" t="s">
        <v>74</v>
      </c>
      <c r="AU1108">
        <v>2019</v>
      </c>
      <c r="AV1108">
        <v>9</v>
      </c>
      <c r="AW1108">
        <v>10</v>
      </c>
      <c r="AX1108" t="s">
        <v>74</v>
      </c>
      <c r="AY1108" t="s">
        <v>74</v>
      </c>
      <c r="AZ1108" t="s">
        <v>74</v>
      </c>
      <c r="BA1108" t="s">
        <v>74</v>
      </c>
      <c r="BB1108">
        <v>2194</v>
      </c>
      <c r="BC1108">
        <v>2208</v>
      </c>
      <c r="BD1108" t="s">
        <v>74</v>
      </c>
      <c r="BE1108" t="s">
        <v>74</v>
      </c>
      <c r="BF1108" t="s">
        <v>74</v>
      </c>
      <c r="BG1108" t="s">
        <v>74</v>
      </c>
      <c r="BH1108" t="s">
        <v>74</v>
      </c>
      <c r="BI1108" t="s">
        <v>74</v>
      </c>
      <c r="BJ1108" t="s">
        <v>267</v>
      </c>
      <c r="BK1108" t="s">
        <v>117</v>
      </c>
      <c r="BL1108" t="s">
        <v>267</v>
      </c>
      <c r="BM1108" t="s">
        <v>74</v>
      </c>
      <c r="BN1108">
        <v>31720082</v>
      </c>
      <c r="BO1108" t="s">
        <v>74</v>
      </c>
      <c r="BP1108" t="s">
        <v>74</v>
      </c>
      <c r="BQ1108" t="s">
        <v>74</v>
      </c>
      <c r="BR1108" t="s">
        <v>96</v>
      </c>
      <c r="BS1108" t="s">
        <v>24878</v>
      </c>
      <c r="BT1108" t="str">
        <f>HYPERLINK("https%3A%2F%2Fwww.webofscience.com%2Fwos%2Fwoscc%2Ffull-record%2FWOS:000493820800008","View Full Record in Web of Science")</f>
        <v>View Full Record in Web of Science</v>
      </c>
    </row>
    <row r="1109" spans="1:72" x14ac:dyDescent="0.15">
      <c r="A1109" t="s">
        <v>98</v>
      </c>
      <c r="B1109" t="s">
        <v>26025</v>
      </c>
      <c r="C1109" t="s">
        <v>74</v>
      </c>
      <c r="D1109" t="s">
        <v>74</v>
      </c>
      <c r="E1109" t="s">
        <v>74</v>
      </c>
      <c r="F1109" t="s">
        <v>26026</v>
      </c>
      <c r="G1109" t="s">
        <v>74</v>
      </c>
      <c r="H1109" t="s">
        <v>74</v>
      </c>
      <c r="I1109" t="s">
        <v>26027</v>
      </c>
      <c r="J1109" t="s">
        <v>836</v>
      </c>
      <c r="K1109" t="s">
        <v>74</v>
      </c>
      <c r="L1109" t="s">
        <v>74</v>
      </c>
      <c r="M1109" t="s">
        <v>74</v>
      </c>
      <c r="N1109" t="s">
        <v>103</v>
      </c>
      <c r="O1109" t="s">
        <v>74</v>
      </c>
      <c r="P1109" t="s">
        <v>74</v>
      </c>
      <c r="Q1109" t="s">
        <v>74</v>
      </c>
      <c r="R1109" t="s">
        <v>74</v>
      </c>
      <c r="S1109" t="s">
        <v>74</v>
      </c>
      <c r="T1109" t="s">
        <v>26028</v>
      </c>
      <c r="U1109" t="s">
        <v>26029</v>
      </c>
      <c r="V1109" t="s">
        <v>26030</v>
      </c>
      <c r="W1109" t="s">
        <v>26031</v>
      </c>
      <c r="X1109" t="s">
        <v>26032</v>
      </c>
      <c r="Y1109" t="s">
        <v>26033</v>
      </c>
      <c r="Z1109" t="s">
        <v>26034</v>
      </c>
      <c r="AA1109" t="s">
        <v>26035</v>
      </c>
      <c r="AB1109" t="s">
        <v>26036</v>
      </c>
      <c r="AC1109" t="s">
        <v>74</v>
      </c>
      <c r="AD1109" t="s">
        <v>74</v>
      </c>
      <c r="AE1109" t="s">
        <v>74</v>
      </c>
      <c r="AF1109" t="s">
        <v>74</v>
      </c>
      <c r="AG1109">
        <v>45</v>
      </c>
      <c r="AH1109">
        <v>12</v>
      </c>
      <c r="AI1109">
        <v>12</v>
      </c>
      <c r="AJ1109">
        <v>0</v>
      </c>
      <c r="AK1109">
        <v>8</v>
      </c>
      <c r="AL1109" t="s">
        <v>74</v>
      </c>
      <c r="AM1109" t="s">
        <v>74</v>
      </c>
      <c r="AN1109" t="s">
        <v>74</v>
      </c>
      <c r="AO1109" t="s">
        <v>74</v>
      </c>
      <c r="AP1109" t="s">
        <v>846</v>
      </c>
      <c r="AQ1109" t="s">
        <v>74</v>
      </c>
      <c r="AR1109" t="s">
        <v>74</v>
      </c>
      <c r="AS1109" t="s">
        <v>74</v>
      </c>
      <c r="AT1109" t="s">
        <v>21720</v>
      </c>
      <c r="AU1109">
        <v>2016</v>
      </c>
      <c r="AV1109">
        <v>7</v>
      </c>
      <c r="AW1109">
        <v>39</v>
      </c>
      <c r="AX1109" t="s">
        <v>74</v>
      </c>
      <c r="AY1109" t="s">
        <v>74</v>
      </c>
      <c r="AZ1109" t="s">
        <v>74</v>
      </c>
      <c r="BA1109" t="s">
        <v>74</v>
      </c>
      <c r="BB1109">
        <v>63537</v>
      </c>
      <c r="BC1109">
        <v>63548</v>
      </c>
      <c r="BD1109" t="s">
        <v>74</v>
      </c>
      <c r="BE1109" t="s">
        <v>26037</v>
      </c>
      <c r="BF1109" t="str">
        <f>HYPERLINK("http://dx.doi.org/10.18632/oncotarget.11535","http://dx.doi.org/10.18632/oncotarget.11535")</f>
        <v>http://dx.doi.org/10.18632/oncotarget.11535</v>
      </c>
      <c r="BG1109" t="s">
        <v>74</v>
      </c>
      <c r="BH1109" t="s">
        <v>74</v>
      </c>
      <c r="BI1109" t="s">
        <v>74</v>
      </c>
      <c r="BJ1109" t="s">
        <v>848</v>
      </c>
      <c r="BK1109" t="s">
        <v>117</v>
      </c>
      <c r="BL1109" t="s">
        <v>848</v>
      </c>
      <c r="BM1109" t="s">
        <v>74</v>
      </c>
      <c r="BN1109">
        <v>27566577</v>
      </c>
      <c r="BO1109" t="s">
        <v>74</v>
      </c>
      <c r="BP1109" t="s">
        <v>74</v>
      </c>
      <c r="BQ1109" t="s">
        <v>74</v>
      </c>
      <c r="BR1109" t="s">
        <v>96</v>
      </c>
      <c r="BS1109" t="s">
        <v>26038</v>
      </c>
      <c r="BT1109" t="str">
        <f>HYPERLINK("https%3A%2F%2Fwww.webofscience.com%2Fwos%2Fwoscc%2Ffull-record%2FWOS:000387167800056","View Full Record in Web of Science")</f>
        <v>View Full Record in Web of Science</v>
      </c>
    </row>
    <row r="1110" spans="1:72" x14ac:dyDescent="0.15">
      <c r="A1110" t="s">
        <v>98</v>
      </c>
      <c r="B1110" t="s">
        <v>26446</v>
      </c>
      <c r="C1110" t="s">
        <v>74</v>
      </c>
      <c r="D1110" t="s">
        <v>74</v>
      </c>
      <c r="E1110" t="s">
        <v>74</v>
      </c>
      <c r="F1110" t="s">
        <v>26447</v>
      </c>
      <c r="G1110" t="s">
        <v>74</v>
      </c>
      <c r="H1110" t="s">
        <v>74</v>
      </c>
      <c r="I1110" t="s">
        <v>26448</v>
      </c>
      <c r="J1110" t="s">
        <v>26449</v>
      </c>
      <c r="K1110" t="s">
        <v>74</v>
      </c>
      <c r="L1110" t="s">
        <v>74</v>
      </c>
      <c r="M1110" t="s">
        <v>74</v>
      </c>
      <c r="N1110" t="s">
        <v>103</v>
      </c>
      <c r="O1110" t="s">
        <v>74</v>
      </c>
      <c r="P1110" t="s">
        <v>74</v>
      </c>
      <c r="Q1110" t="s">
        <v>74</v>
      </c>
      <c r="R1110" t="s">
        <v>74</v>
      </c>
      <c r="S1110" t="s">
        <v>74</v>
      </c>
      <c r="T1110" t="s">
        <v>26450</v>
      </c>
      <c r="U1110" t="s">
        <v>26451</v>
      </c>
      <c r="V1110" t="s">
        <v>26452</v>
      </c>
      <c r="W1110" t="s">
        <v>26453</v>
      </c>
      <c r="X1110" t="s">
        <v>26454</v>
      </c>
      <c r="Y1110" t="s">
        <v>26455</v>
      </c>
      <c r="Z1110" t="s">
        <v>26456</v>
      </c>
      <c r="AA1110" t="s">
        <v>74</v>
      </c>
      <c r="AB1110" t="s">
        <v>26457</v>
      </c>
      <c r="AC1110" t="s">
        <v>74</v>
      </c>
      <c r="AD1110" t="s">
        <v>74</v>
      </c>
      <c r="AE1110" t="s">
        <v>74</v>
      </c>
      <c r="AF1110" t="s">
        <v>74</v>
      </c>
      <c r="AG1110">
        <v>27</v>
      </c>
      <c r="AH1110">
        <v>12</v>
      </c>
      <c r="AI1110">
        <v>14</v>
      </c>
      <c r="AJ1110">
        <v>1</v>
      </c>
      <c r="AK1110">
        <v>30</v>
      </c>
      <c r="AL1110" t="s">
        <v>74</v>
      </c>
      <c r="AM1110" t="s">
        <v>74</v>
      </c>
      <c r="AN1110" t="s">
        <v>74</v>
      </c>
      <c r="AO1110" t="s">
        <v>26458</v>
      </c>
      <c r="AP1110" t="s">
        <v>26459</v>
      </c>
      <c r="AQ1110" t="s">
        <v>74</v>
      </c>
      <c r="AR1110" t="s">
        <v>74</v>
      </c>
      <c r="AS1110" t="s">
        <v>74</v>
      </c>
      <c r="AT1110" t="s">
        <v>211</v>
      </c>
      <c r="AU1110">
        <v>2014</v>
      </c>
      <c r="AV1110">
        <v>70</v>
      </c>
      <c r="AW1110">
        <v>2</v>
      </c>
      <c r="AX1110" t="s">
        <v>74</v>
      </c>
      <c r="AY1110" t="s">
        <v>74</v>
      </c>
      <c r="AZ1110" t="s">
        <v>74</v>
      </c>
      <c r="BA1110" t="s">
        <v>74</v>
      </c>
      <c r="BB1110">
        <v>1011</v>
      </c>
      <c r="BC1110">
        <v>1016</v>
      </c>
      <c r="BD1110" t="s">
        <v>74</v>
      </c>
      <c r="BE1110" t="s">
        <v>26460</v>
      </c>
      <c r="BF1110" t="str">
        <f>HYPERLINK("http://dx.doi.org/10.1007/s12013-014-0011-8","http://dx.doi.org/10.1007/s12013-014-0011-8")</f>
        <v>http://dx.doi.org/10.1007/s12013-014-0011-8</v>
      </c>
      <c r="BG1110" t="s">
        <v>74</v>
      </c>
      <c r="BH1110" t="s">
        <v>74</v>
      </c>
      <c r="BI1110" t="s">
        <v>74</v>
      </c>
      <c r="BJ1110" t="s">
        <v>4275</v>
      </c>
      <c r="BK1110" t="s">
        <v>117</v>
      </c>
      <c r="BL1110" t="s">
        <v>4275</v>
      </c>
      <c r="BM1110" t="s">
        <v>74</v>
      </c>
      <c r="BN1110">
        <v>24825433</v>
      </c>
      <c r="BO1110" t="s">
        <v>74</v>
      </c>
      <c r="BP1110" t="s">
        <v>74</v>
      </c>
      <c r="BQ1110" t="s">
        <v>74</v>
      </c>
      <c r="BR1110" t="s">
        <v>96</v>
      </c>
      <c r="BS1110" t="s">
        <v>26461</v>
      </c>
      <c r="BT1110" t="str">
        <f>HYPERLINK("https%3A%2F%2Fwww.webofscience.com%2Fwos%2Fwoscc%2Ffull-record%2FWOS:000343143500035","View Full Record in Web of Science")</f>
        <v>View Full Record in Web of Science</v>
      </c>
    </row>
    <row r="1111" spans="1:72" x14ac:dyDescent="0.15">
      <c r="A1111" t="s">
        <v>98</v>
      </c>
      <c r="B1111" t="s">
        <v>26885</v>
      </c>
      <c r="C1111" t="s">
        <v>74</v>
      </c>
      <c r="D1111" t="s">
        <v>74</v>
      </c>
      <c r="E1111" t="s">
        <v>74</v>
      </c>
      <c r="F1111" t="s">
        <v>26885</v>
      </c>
      <c r="G1111" t="s">
        <v>74</v>
      </c>
      <c r="H1111" t="s">
        <v>74</v>
      </c>
      <c r="I1111" t="s">
        <v>26886</v>
      </c>
      <c r="J1111" t="s">
        <v>26887</v>
      </c>
      <c r="K1111" t="s">
        <v>74</v>
      </c>
      <c r="L1111" t="s">
        <v>74</v>
      </c>
      <c r="M1111" t="s">
        <v>74</v>
      </c>
      <c r="N1111" t="s">
        <v>103</v>
      </c>
      <c r="O1111" t="s">
        <v>74</v>
      </c>
      <c r="P1111" t="s">
        <v>74</v>
      </c>
      <c r="Q1111" t="s">
        <v>74</v>
      </c>
      <c r="R1111" t="s">
        <v>74</v>
      </c>
      <c r="S1111" t="s">
        <v>74</v>
      </c>
      <c r="T1111" t="s">
        <v>74</v>
      </c>
      <c r="U1111" t="s">
        <v>26888</v>
      </c>
      <c r="V1111" t="s">
        <v>26889</v>
      </c>
      <c r="W1111" t="s">
        <v>26890</v>
      </c>
      <c r="X1111" t="s">
        <v>26891</v>
      </c>
      <c r="Y1111" t="s">
        <v>74</v>
      </c>
      <c r="Z1111" t="s">
        <v>74</v>
      </c>
      <c r="AA1111" t="s">
        <v>26892</v>
      </c>
      <c r="AB1111" t="s">
        <v>26893</v>
      </c>
      <c r="AC1111" t="s">
        <v>74</v>
      </c>
      <c r="AD1111" t="s">
        <v>74</v>
      </c>
      <c r="AE1111" t="s">
        <v>74</v>
      </c>
      <c r="AF1111" t="s">
        <v>74</v>
      </c>
      <c r="AG1111">
        <v>30</v>
      </c>
      <c r="AH1111">
        <v>12</v>
      </c>
      <c r="AI1111">
        <v>12</v>
      </c>
      <c r="AJ1111">
        <v>0</v>
      </c>
      <c r="AK1111">
        <v>0</v>
      </c>
      <c r="AL1111" t="s">
        <v>74</v>
      </c>
      <c r="AM1111" t="s">
        <v>74</v>
      </c>
      <c r="AN1111" t="s">
        <v>74</v>
      </c>
      <c r="AO1111" t="s">
        <v>26894</v>
      </c>
      <c r="AP1111" t="s">
        <v>74</v>
      </c>
      <c r="AQ1111" t="s">
        <v>74</v>
      </c>
      <c r="AR1111" t="s">
        <v>74</v>
      </c>
      <c r="AS1111" t="s">
        <v>74</v>
      </c>
      <c r="AT1111" t="s">
        <v>614</v>
      </c>
      <c r="AU1111">
        <v>1997</v>
      </c>
      <c r="AV1111">
        <v>73</v>
      </c>
      <c r="AW1111">
        <v>1</v>
      </c>
      <c r="AX1111" t="s">
        <v>74</v>
      </c>
      <c r="AY1111" t="s">
        <v>74</v>
      </c>
      <c r="AZ1111" t="s">
        <v>74</v>
      </c>
      <c r="BA1111" t="s">
        <v>74</v>
      </c>
      <c r="BB1111">
        <v>45</v>
      </c>
      <c r="BC1111">
        <v>51</v>
      </c>
      <c r="BD1111" t="s">
        <v>74</v>
      </c>
      <c r="BE1111" t="s">
        <v>26895</v>
      </c>
      <c r="BF1111" t="str">
        <f>HYPERLINK("http://dx.doi.org/10.1016/S0006-3495(97)78046-9","http://dx.doi.org/10.1016/S0006-3495(97)78046-9")</f>
        <v>http://dx.doi.org/10.1016/S0006-3495(97)78046-9</v>
      </c>
      <c r="BG1111" t="s">
        <v>74</v>
      </c>
      <c r="BH1111" t="s">
        <v>74</v>
      </c>
      <c r="BI1111" t="s">
        <v>74</v>
      </c>
      <c r="BJ1111" t="s">
        <v>3913</v>
      </c>
      <c r="BK1111" t="s">
        <v>117</v>
      </c>
      <c r="BL1111" t="s">
        <v>3913</v>
      </c>
      <c r="BM1111" t="s">
        <v>74</v>
      </c>
      <c r="BN1111">
        <v>9199770</v>
      </c>
      <c r="BO1111" t="s">
        <v>74</v>
      </c>
      <c r="BP1111" t="s">
        <v>74</v>
      </c>
      <c r="BQ1111" t="s">
        <v>74</v>
      </c>
      <c r="BR1111" t="s">
        <v>96</v>
      </c>
      <c r="BS1111" t="s">
        <v>26896</v>
      </c>
      <c r="BT1111" t="str">
        <f>HYPERLINK("https%3A%2F%2Fwww.webofscience.com%2Fwos%2Fwoscc%2Ffull-record%2FWOS:A1997XF77600005","View Full Record in Web of Science")</f>
        <v>View Full Record in Web of Science</v>
      </c>
    </row>
    <row r="1112" spans="1:72" x14ac:dyDescent="0.15">
      <c r="A1112" t="s">
        <v>98</v>
      </c>
      <c r="B1112" t="s">
        <v>28627</v>
      </c>
      <c r="C1112" t="s">
        <v>74</v>
      </c>
      <c r="D1112" t="s">
        <v>74</v>
      </c>
      <c r="E1112" t="s">
        <v>74</v>
      </c>
      <c r="F1112" t="s">
        <v>28628</v>
      </c>
      <c r="G1112" t="s">
        <v>74</v>
      </c>
      <c r="H1112" t="s">
        <v>74</v>
      </c>
      <c r="I1112" t="s">
        <v>28629</v>
      </c>
      <c r="J1112" t="s">
        <v>11592</v>
      </c>
      <c r="K1112" t="s">
        <v>74</v>
      </c>
      <c r="L1112" t="s">
        <v>74</v>
      </c>
      <c r="M1112" t="s">
        <v>74</v>
      </c>
      <c r="N1112" t="s">
        <v>103</v>
      </c>
      <c r="O1112" t="s">
        <v>74</v>
      </c>
      <c r="P1112" t="s">
        <v>74</v>
      </c>
      <c r="Q1112" t="s">
        <v>74</v>
      </c>
      <c r="R1112" t="s">
        <v>74</v>
      </c>
      <c r="S1112" t="s">
        <v>74</v>
      </c>
      <c r="T1112" t="s">
        <v>28630</v>
      </c>
      <c r="U1112" t="s">
        <v>28631</v>
      </c>
      <c r="V1112" t="s">
        <v>28632</v>
      </c>
      <c r="W1112" t="s">
        <v>28633</v>
      </c>
      <c r="X1112" t="s">
        <v>28634</v>
      </c>
      <c r="Y1112" t="s">
        <v>28635</v>
      </c>
      <c r="Z1112" t="s">
        <v>28636</v>
      </c>
      <c r="AA1112" t="s">
        <v>28637</v>
      </c>
      <c r="AB1112" t="s">
        <v>28638</v>
      </c>
      <c r="AC1112" t="s">
        <v>74</v>
      </c>
      <c r="AD1112" t="s">
        <v>74</v>
      </c>
      <c r="AE1112" t="s">
        <v>74</v>
      </c>
      <c r="AF1112" t="s">
        <v>74</v>
      </c>
      <c r="AG1112">
        <v>65</v>
      </c>
      <c r="AH1112">
        <v>12</v>
      </c>
      <c r="AI1112">
        <v>13</v>
      </c>
      <c r="AJ1112">
        <v>2</v>
      </c>
      <c r="AK1112">
        <v>13</v>
      </c>
      <c r="AL1112" t="s">
        <v>74</v>
      </c>
      <c r="AM1112" t="s">
        <v>74</v>
      </c>
      <c r="AN1112" t="s">
        <v>74</v>
      </c>
      <c r="AO1112" t="s">
        <v>74</v>
      </c>
      <c r="AP1112" t="s">
        <v>11600</v>
      </c>
      <c r="AQ1112" t="s">
        <v>74</v>
      </c>
      <c r="AR1112" t="s">
        <v>74</v>
      </c>
      <c r="AS1112" t="s">
        <v>74</v>
      </c>
      <c r="AT1112" t="s">
        <v>22727</v>
      </c>
      <c r="AU1112">
        <v>2020</v>
      </c>
      <c r="AV1112">
        <v>18</v>
      </c>
      <c r="AW1112">
        <v>1</v>
      </c>
      <c r="AX1112" t="s">
        <v>74</v>
      </c>
      <c r="AY1112" t="s">
        <v>74</v>
      </c>
      <c r="AZ1112" t="s">
        <v>74</v>
      </c>
      <c r="BA1112" t="s">
        <v>74</v>
      </c>
      <c r="BB1112" t="s">
        <v>74</v>
      </c>
      <c r="BC1112" t="s">
        <v>74</v>
      </c>
      <c r="BD1112">
        <v>105</v>
      </c>
      <c r="BE1112" t="s">
        <v>28639</v>
      </c>
      <c r="BF1112" t="str">
        <f>HYPERLINK("http://dx.doi.org/10.1186/s12964-020-00605-x","http://dx.doi.org/10.1186/s12964-020-00605-x")</f>
        <v>http://dx.doi.org/10.1186/s12964-020-00605-x</v>
      </c>
      <c r="BG1112" t="s">
        <v>74</v>
      </c>
      <c r="BH1112" t="s">
        <v>74</v>
      </c>
      <c r="BI1112" t="s">
        <v>74</v>
      </c>
      <c r="BJ1112" t="s">
        <v>135</v>
      </c>
      <c r="BK1112" t="s">
        <v>117</v>
      </c>
      <c r="BL1112" t="s">
        <v>135</v>
      </c>
      <c r="BM1112" t="s">
        <v>74</v>
      </c>
      <c r="BN1112">
        <v>32641054</v>
      </c>
      <c r="BO1112" t="s">
        <v>74</v>
      </c>
      <c r="BP1112" t="s">
        <v>74</v>
      </c>
      <c r="BQ1112" t="s">
        <v>74</v>
      </c>
      <c r="BR1112" t="s">
        <v>96</v>
      </c>
      <c r="BS1112" t="s">
        <v>28640</v>
      </c>
      <c r="BT1112" t="str">
        <f>HYPERLINK("https%3A%2F%2Fwww.webofscience.com%2Fwos%2Fwoscc%2Ffull-record%2FWOS:000552058600002","View Full Record in Web of Science")</f>
        <v>View Full Record in Web of Science</v>
      </c>
    </row>
    <row r="1113" spans="1:72" x14ac:dyDescent="0.15">
      <c r="A1113" t="s">
        <v>98</v>
      </c>
      <c r="B1113" t="s">
        <v>29911</v>
      </c>
      <c r="C1113" t="s">
        <v>74</v>
      </c>
      <c r="D1113" t="s">
        <v>74</v>
      </c>
      <c r="E1113" t="s">
        <v>74</v>
      </c>
      <c r="F1113" t="s">
        <v>29912</v>
      </c>
      <c r="G1113" t="s">
        <v>74</v>
      </c>
      <c r="H1113" t="s">
        <v>74</v>
      </c>
      <c r="I1113" t="s">
        <v>29913</v>
      </c>
      <c r="J1113" t="s">
        <v>5811</v>
      </c>
      <c r="K1113" t="s">
        <v>74</v>
      </c>
      <c r="L1113" t="s">
        <v>74</v>
      </c>
      <c r="M1113" t="s">
        <v>74</v>
      </c>
      <c r="N1113" t="s">
        <v>103</v>
      </c>
      <c r="O1113" t="s">
        <v>74</v>
      </c>
      <c r="P1113" t="s">
        <v>74</v>
      </c>
      <c r="Q1113" t="s">
        <v>74</v>
      </c>
      <c r="R1113" t="s">
        <v>74</v>
      </c>
      <c r="S1113" t="s">
        <v>74</v>
      </c>
      <c r="T1113" t="s">
        <v>29914</v>
      </c>
      <c r="U1113" t="s">
        <v>29915</v>
      </c>
      <c r="V1113" t="s">
        <v>29916</v>
      </c>
      <c r="W1113" t="s">
        <v>29917</v>
      </c>
      <c r="X1113" t="s">
        <v>8060</v>
      </c>
      <c r="Y1113" t="s">
        <v>29918</v>
      </c>
      <c r="Z1113" t="s">
        <v>29919</v>
      </c>
      <c r="AA1113" t="s">
        <v>74</v>
      </c>
      <c r="AB1113" t="s">
        <v>74</v>
      </c>
      <c r="AC1113" t="s">
        <v>74</v>
      </c>
      <c r="AD1113" t="s">
        <v>74</v>
      </c>
      <c r="AE1113" t="s">
        <v>74</v>
      </c>
      <c r="AF1113" t="s">
        <v>74</v>
      </c>
      <c r="AG1113">
        <v>57</v>
      </c>
      <c r="AH1113">
        <v>12</v>
      </c>
      <c r="AI1113">
        <v>12</v>
      </c>
      <c r="AJ1113">
        <v>0</v>
      </c>
      <c r="AK1113">
        <v>4</v>
      </c>
      <c r="AL1113" t="s">
        <v>74</v>
      </c>
      <c r="AM1113" t="s">
        <v>74</v>
      </c>
      <c r="AN1113" t="s">
        <v>74</v>
      </c>
      <c r="AO1113" t="s">
        <v>5821</v>
      </c>
      <c r="AP1113" t="s">
        <v>5822</v>
      </c>
      <c r="AQ1113" t="s">
        <v>74</v>
      </c>
      <c r="AR1113" t="s">
        <v>74</v>
      </c>
      <c r="AS1113" t="s">
        <v>74</v>
      </c>
      <c r="AT1113" t="s">
        <v>8950</v>
      </c>
      <c r="AU1113">
        <v>2019</v>
      </c>
      <c r="AV1113">
        <v>136</v>
      </c>
      <c r="AW1113" t="s">
        <v>74</v>
      </c>
      <c r="AX1113" t="s">
        <v>74</v>
      </c>
      <c r="AY1113" t="s">
        <v>74</v>
      </c>
      <c r="AZ1113" t="s">
        <v>74</v>
      </c>
      <c r="BA1113" t="s">
        <v>74</v>
      </c>
      <c r="BB1113">
        <v>60</v>
      </c>
      <c r="BC1113">
        <v>75</v>
      </c>
      <c r="BD1113" t="s">
        <v>74</v>
      </c>
      <c r="BE1113" t="s">
        <v>29920</v>
      </c>
      <c r="BF1113" t="str">
        <f>HYPERLINK("http://dx.doi.org/10.1016/j.freeradbiomed.2019.03.023","http://dx.doi.org/10.1016/j.freeradbiomed.2019.03.023")</f>
        <v>http://dx.doi.org/10.1016/j.freeradbiomed.2019.03.023</v>
      </c>
      <c r="BG1113" t="s">
        <v>74</v>
      </c>
      <c r="BH1113" t="s">
        <v>74</v>
      </c>
      <c r="BI1113" t="s">
        <v>74</v>
      </c>
      <c r="BJ1113" t="s">
        <v>5825</v>
      </c>
      <c r="BK1113" t="s">
        <v>117</v>
      </c>
      <c r="BL1113" t="s">
        <v>5825</v>
      </c>
      <c r="BM1113" t="s">
        <v>74</v>
      </c>
      <c r="BN1113">
        <v>30926566</v>
      </c>
      <c r="BO1113" t="s">
        <v>74</v>
      </c>
      <c r="BP1113" t="s">
        <v>74</v>
      </c>
      <c r="BQ1113" t="s">
        <v>74</v>
      </c>
      <c r="BR1113" t="s">
        <v>96</v>
      </c>
      <c r="BS1113" t="s">
        <v>29921</v>
      </c>
      <c r="BT1113" t="str">
        <f>HYPERLINK("https%3A%2F%2Fwww.webofscience.com%2Fwos%2Fwoscc%2Ffull-record%2FWOS:000465562600007","View Full Record in Web of Science")</f>
        <v>View Full Record in Web of Science</v>
      </c>
    </row>
    <row r="1114" spans="1:72" x14ac:dyDescent="0.15">
      <c r="A1114" t="s">
        <v>98</v>
      </c>
      <c r="B1114" t="s">
        <v>30018</v>
      </c>
      <c r="C1114" t="s">
        <v>74</v>
      </c>
      <c r="D1114" t="s">
        <v>74</v>
      </c>
      <c r="E1114" t="s">
        <v>74</v>
      </c>
      <c r="F1114" t="s">
        <v>30019</v>
      </c>
      <c r="G1114" t="s">
        <v>74</v>
      </c>
      <c r="H1114" t="s">
        <v>74</v>
      </c>
      <c r="I1114" t="s">
        <v>30020</v>
      </c>
      <c r="J1114" t="s">
        <v>30021</v>
      </c>
      <c r="K1114" t="s">
        <v>74</v>
      </c>
      <c r="L1114" t="s">
        <v>74</v>
      </c>
      <c r="M1114" t="s">
        <v>74</v>
      </c>
      <c r="N1114" t="s">
        <v>103</v>
      </c>
      <c r="O1114" t="s">
        <v>74</v>
      </c>
      <c r="P1114" t="s">
        <v>74</v>
      </c>
      <c r="Q1114" t="s">
        <v>74</v>
      </c>
      <c r="R1114" t="s">
        <v>74</v>
      </c>
      <c r="S1114" t="s">
        <v>74</v>
      </c>
      <c r="T1114" t="s">
        <v>30022</v>
      </c>
      <c r="U1114" t="s">
        <v>30023</v>
      </c>
      <c r="V1114" t="s">
        <v>30024</v>
      </c>
      <c r="W1114" t="s">
        <v>30025</v>
      </c>
      <c r="X1114" t="s">
        <v>30026</v>
      </c>
      <c r="Y1114" t="s">
        <v>30027</v>
      </c>
      <c r="Z1114" t="s">
        <v>30028</v>
      </c>
      <c r="AA1114" t="s">
        <v>30029</v>
      </c>
      <c r="AB1114" t="s">
        <v>30030</v>
      </c>
      <c r="AC1114" t="s">
        <v>74</v>
      </c>
      <c r="AD1114" t="s">
        <v>74</v>
      </c>
      <c r="AE1114" t="s">
        <v>74</v>
      </c>
      <c r="AF1114" t="s">
        <v>74</v>
      </c>
      <c r="AG1114">
        <v>44</v>
      </c>
      <c r="AH1114">
        <v>12</v>
      </c>
      <c r="AI1114">
        <v>13</v>
      </c>
      <c r="AJ1114">
        <v>1</v>
      </c>
      <c r="AK1114">
        <v>17</v>
      </c>
      <c r="AL1114" t="s">
        <v>74</v>
      </c>
      <c r="AM1114" t="s">
        <v>74</v>
      </c>
      <c r="AN1114" t="s">
        <v>74</v>
      </c>
      <c r="AO1114" t="s">
        <v>30031</v>
      </c>
      <c r="AP1114" t="s">
        <v>30032</v>
      </c>
      <c r="AQ1114" t="s">
        <v>74</v>
      </c>
      <c r="AR1114" t="s">
        <v>74</v>
      </c>
      <c r="AS1114" t="s">
        <v>74</v>
      </c>
      <c r="AT1114" t="s">
        <v>211</v>
      </c>
      <c r="AU1114">
        <v>2019</v>
      </c>
      <c r="AV1114">
        <v>64</v>
      </c>
      <c r="AW1114">
        <v>6</v>
      </c>
      <c r="AX1114" t="s">
        <v>74</v>
      </c>
      <c r="AY1114" t="s">
        <v>74</v>
      </c>
      <c r="AZ1114" t="s">
        <v>74</v>
      </c>
      <c r="BA1114" t="s">
        <v>74</v>
      </c>
      <c r="BB1114">
        <v>1831</v>
      </c>
      <c r="BC1114">
        <v>1837</v>
      </c>
      <c r="BD1114" t="s">
        <v>74</v>
      </c>
      <c r="BE1114" t="s">
        <v>30033</v>
      </c>
      <c r="BF1114" t="str">
        <f>HYPERLINK("http://dx.doi.org/10.1111/1556-4029.14113","http://dx.doi.org/10.1111/1556-4029.14113")</f>
        <v>http://dx.doi.org/10.1111/1556-4029.14113</v>
      </c>
      <c r="BG1114" t="s">
        <v>74</v>
      </c>
      <c r="BH1114" t="s">
        <v>74</v>
      </c>
      <c r="BI1114" t="s">
        <v>74</v>
      </c>
      <c r="BJ1114" t="s">
        <v>30034</v>
      </c>
      <c r="BK1114" t="s">
        <v>117</v>
      </c>
      <c r="BL1114" t="s">
        <v>30035</v>
      </c>
      <c r="BM1114" t="s">
        <v>74</v>
      </c>
      <c r="BN1114">
        <v>31184791</v>
      </c>
      <c r="BO1114" t="s">
        <v>74</v>
      </c>
      <c r="BP1114" t="s">
        <v>74</v>
      </c>
      <c r="BQ1114" t="s">
        <v>74</v>
      </c>
      <c r="BR1114" t="s">
        <v>96</v>
      </c>
      <c r="BS1114" t="s">
        <v>30036</v>
      </c>
      <c r="BT1114" t="str">
        <f>HYPERLINK("https%3A%2F%2Fwww.webofscience.com%2Fwos%2Fwoscc%2Ffull-record%2FWOS:000501482700029","View Full Record in Web of Science")</f>
        <v>View Full Record in Web of Science</v>
      </c>
    </row>
    <row r="1115" spans="1:72" x14ac:dyDescent="0.15">
      <c r="A1115" t="s">
        <v>98</v>
      </c>
      <c r="B1115" t="s">
        <v>30218</v>
      </c>
      <c r="C1115" t="s">
        <v>74</v>
      </c>
      <c r="D1115" t="s">
        <v>74</v>
      </c>
      <c r="E1115" t="s">
        <v>74</v>
      </c>
      <c r="F1115" t="s">
        <v>30219</v>
      </c>
      <c r="G1115" t="s">
        <v>74</v>
      </c>
      <c r="H1115" t="s">
        <v>74</v>
      </c>
      <c r="I1115" t="s">
        <v>30220</v>
      </c>
      <c r="J1115" t="s">
        <v>20908</v>
      </c>
      <c r="K1115" t="s">
        <v>74</v>
      </c>
      <c r="L1115" t="s">
        <v>74</v>
      </c>
      <c r="M1115" t="s">
        <v>74</v>
      </c>
      <c r="N1115" t="s">
        <v>103</v>
      </c>
      <c r="O1115" t="s">
        <v>74</v>
      </c>
      <c r="P1115" t="s">
        <v>74</v>
      </c>
      <c r="Q1115" t="s">
        <v>74</v>
      </c>
      <c r="R1115" t="s">
        <v>74</v>
      </c>
      <c r="S1115" t="s">
        <v>74</v>
      </c>
      <c r="T1115" t="s">
        <v>74</v>
      </c>
      <c r="U1115" t="s">
        <v>30221</v>
      </c>
      <c r="V1115" t="s">
        <v>30222</v>
      </c>
      <c r="W1115" t="s">
        <v>30223</v>
      </c>
      <c r="X1115" t="s">
        <v>30224</v>
      </c>
      <c r="Y1115" t="s">
        <v>30225</v>
      </c>
      <c r="Z1115" t="s">
        <v>30226</v>
      </c>
      <c r="AA1115" t="s">
        <v>30227</v>
      </c>
      <c r="AB1115" t="s">
        <v>30228</v>
      </c>
      <c r="AC1115" t="s">
        <v>74</v>
      </c>
      <c r="AD1115" t="s">
        <v>74</v>
      </c>
      <c r="AE1115" t="s">
        <v>74</v>
      </c>
      <c r="AF1115" t="s">
        <v>74</v>
      </c>
      <c r="AG1115">
        <v>26</v>
      </c>
      <c r="AH1115">
        <v>12</v>
      </c>
      <c r="AI1115">
        <v>12</v>
      </c>
      <c r="AJ1115">
        <v>0</v>
      </c>
      <c r="AK1115">
        <v>3</v>
      </c>
      <c r="AL1115" t="s">
        <v>74</v>
      </c>
      <c r="AM1115" t="s">
        <v>74</v>
      </c>
      <c r="AN1115" t="s">
        <v>74</v>
      </c>
      <c r="AO1115" t="s">
        <v>20916</v>
      </c>
      <c r="AP1115" t="s">
        <v>20917</v>
      </c>
      <c r="AQ1115" t="s">
        <v>74</v>
      </c>
      <c r="AR1115" t="s">
        <v>74</v>
      </c>
      <c r="AS1115" t="s">
        <v>74</v>
      </c>
      <c r="AT1115" t="s">
        <v>74</v>
      </c>
      <c r="AU1115">
        <v>2016</v>
      </c>
      <c r="AV1115">
        <v>2016</v>
      </c>
      <c r="AW1115" t="s">
        <v>74</v>
      </c>
      <c r="AX1115" t="s">
        <v>74</v>
      </c>
      <c r="AY1115" t="s">
        <v>74</v>
      </c>
      <c r="AZ1115" t="s">
        <v>74</v>
      </c>
      <c r="BA1115" t="s">
        <v>74</v>
      </c>
      <c r="BB1115" t="s">
        <v>74</v>
      </c>
      <c r="BC1115" t="s">
        <v>74</v>
      </c>
      <c r="BD1115">
        <v>5312674</v>
      </c>
      <c r="BE1115" t="s">
        <v>30229</v>
      </c>
      <c r="BF1115" t="str">
        <f>HYPERLINK("http://dx.doi.org/10.1155/2016/5312674","http://dx.doi.org/10.1155/2016/5312674")</f>
        <v>http://dx.doi.org/10.1155/2016/5312674</v>
      </c>
      <c r="BG1115" t="s">
        <v>74</v>
      </c>
      <c r="BH1115" t="s">
        <v>74</v>
      </c>
      <c r="BI1115" t="s">
        <v>74</v>
      </c>
      <c r="BJ1115" t="s">
        <v>20919</v>
      </c>
      <c r="BK1115" t="s">
        <v>117</v>
      </c>
      <c r="BL1115" t="s">
        <v>20920</v>
      </c>
      <c r="BM1115" t="s">
        <v>74</v>
      </c>
      <c r="BN1115">
        <v>27110565</v>
      </c>
      <c r="BO1115" t="s">
        <v>74</v>
      </c>
      <c r="BP1115" t="s">
        <v>74</v>
      </c>
      <c r="BQ1115" t="s">
        <v>74</v>
      </c>
      <c r="BR1115" t="s">
        <v>96</v>
      </c>
      <c r="BS1115" t="s">
        <v>30230</v>
      </c>
      <c r="BT1115" t="str">
        <f>HYPERLINK("https%3A%2F%2Fwww.webofscience.com%2Fwos%2Fwoscc%2Ffull-record%2FWOS:000373461800001","View Full Record in Web of Science")</f>
        <v>View Full Record in Web of Science</v>
      </c>
    </row>
    <row r="1116" spans="1:72" x14ac:dyDescent="0.15">
      <c r="A1116" t="s">
        <v>98</v>
      </c>
      <c r="B1116" t="s">
        <v>30279</v>
      </c>
      <c r="C1116" t="s">
        <v>74</v>
      </c>
      <c r="D1116" t="s">
        <v>74</v>
      </c>
      <c r="E1116" t="s">
        <v>74</v>
      </c>
      <c r="F1116" t="s">
        <v>30280</v>
      </c>
      <c r="G1116" t="s">
        <v>74</v>
      </c>
      <c r="H1116" t="s">
        <v>74</v>
      </c>
      <c r="I1116" t="s">
        <v>30281</v>
      </c>
      <c r="J1116" t="s">
        <v>3104</v>
      </c>
      <c r="K1116" t="s">
        <v>74</v>
      </c>
      <c r="L1116" t="s">
        <v>74</v>
      </c>
      <c r="M1116" t="s">
        <v>74</v>
      </c>
      <c r="N1116" t="s">
        <v>103</v>
      </c>
      <c r="O1116" t="s">
        <v>74</v>
      </c>
      <c r="P1116" t="s">
        <v>74</v>
      </c>
      <c r="Q1116" t="s">
        <v>74</v>
      </c>
      <c r="R1116" t="s">
        <v>74</v>
      </c>
      <c r="S1116" t="s">
        <v>74</v>
      </c>
      <c r="T1116" t="s">
        <v>30282</v>
      </c>
      <c r="U1116" t="s">
        <v>30283</v>
      </c>
      <c r="V1116" t="s">
        <v>30284</v>
      </c>
      <c r="W1116" t="s">
        <v>30285</v>
      </c>
      <c r="X1116" t="s">
        <v>30286</v>
      </c>
      <c r="Y1116" t="s">
        <v>30287</v>
      </c>
      <c r="Z1116" t="s">
        <v>30288</v>
      </c>
      <c r="AA1116" t="s">
        <v>30289</v>
      </c>
      <c r="AB1116" t="s">
        <v>30290</v>
      </c>
      <c r="AC1116" t="s">
        <v>74</v>
      </c>
      <c r="AD1116" t="s">
        <v>74</v>
      </c>
      <c r="AE1116" t="s">
        <v>74</v>
      </c>
      <c r="AF1116" t="s">
        <v>74</v>
      </c>
      <c r="AG1116">
        <v>180</v>
      </c>
      <c r="AH1116">
        <v>12</v>
      </c>
      <c r="AI1116">
        <v>12</v>
      </c>
      <c r="AJ1116">
        <v>1</v>
      </c>
      <c r="AK1116">
        <v>12</v>
      </c>
      <c r="AL1116" t="s">
        <v>74</v>
      </c>
      <c r="AM1116" t="s">
        <v>74</v>
      </c>
      <c r="AN1116" t="s">
        <v>74</v>
      </c>
      <c r="AO1116" t="s">
        <v>30291</v>
      </c>
      <c r="AP1116" t="s">
        <v>30292</v>
      </c>
      <c r="AQ1116" t="s">
        <v>74</v>
      </c>
      <c r="AR1116" t="s">
        <v>74</v>
      </c>
      <c r="AS1116" t="s">
        <v>74</v>
      </c>
      <c r="AT1116" t="s">
        <v>230</v>
      </c>
      <c r="AU1116">
        <v>2017</v>
      </c>
      <c r="AV1116">
        <v>13</v>
      </c>
      <c r="AW1116">
        <v>4</v>
      </c>
      <c r="AX1116" t="s">
        <v>74</v>
      </c>
      <c r="AY1116" t="s">
        <v>74</v>
      </c>
      <c r="AZ1116" t="s">
        <v>74</v>
      </c>
      <c r="BA1116" t="s">
        <v>74</v>
      </c>
      <c r="BB1116">
        <v>465</v>
      </c>
      <c r="BC1116">
        <v>481</v>
      </c>
      <c r="BD1116" t="s">
        <v>74</v>
      </c>
      <c r="BE1116" t="s">
        <v>30293</v>
      </c>
      <c r="BF1116" t="str">
        <f>HYPERLINK("http://dx.doi.org/10.1007/s12015-017-9733-5","http://dx.doi.org/10.1007/s12015-017-9733-5")</f>
        <v>http://dx.doi.org/10.1007/s12015-017-9733-5</v>
      </c>
      <c r="BG1116" t="s">
        <v>74</v>
      </c>
      <c r="BH1116" t="s">
        <v>74</v>
      </c>
      <c r="BI1116" t="s">
        <v>74</v>
      </c>
      <c r="BJ1116" t="s">
        <v>3115</v>
      </c>
      <c r="BK1116" t="s">
        <v>117</v>
      </c>
      <c r="BL1116" t="s">
        <v>3116</v>
      </c>
      <c r="BM1116" t="s">
        <v>74</v>
      </c>
      <c r="BN1116">
        <v>28364326</v>
      </c>
      <c r="BO1116" t="s">
        <v>74</v>
      </c>
      <c r="BP1116" t="s">
        <v>74</v>
      </c>
      <c r="BQ1116" t="s">
        <v>74</v>
      </c>
      <c r="BR1116" t="s">
        <v>96</v>
      </c>
      <c r="BS1116" t="s">
        <v>30294</v>
      </c>
      <c r="BT1116" t="str">
        <f>HYPERLINK("https%3A%2F%2Fwww.webofscience.com%2Fwos%2Fwoscc%2Ffull-record%2FWOS:000404668600003","View Full Record in Web of Science")</f>
        <v>View Full Record in Web of Science</v>
      </c>
    </row>
    <row r="1117" spans="1:72" x14ac:dyDescent="0.15">
      <c r="A1117" t="s">
        <v>98</v>
      </c>
      <c r="B1117" t="s">
        <v>916</v>
      </c>
      <c r="C1117" t="s">
        <v>74</v>
      </c>
      <c r="D1117" t="s">
        <v>74</v>
      </c>
      <c r="E1117" t="s">
        <v>74</v>
      </c>
      <c r="F1117" t="s">
        <v>917</v>
      </c>
      <c r="G1117" t="s">
        <v>74</v>
      </c>
      <c r="H1117" t="s">
        <v>74</v>
      </c>
      <c r="I1117" t="s">
        <v>918</v>
      </c>
      <c r="J1117" t="s">
        <v>919</v>
      </c>
      <c r="K1117" t="s">
        <v>74</v>
      </c>
      <c r="L1117" t="s">
        <v>74</v>
      </c>
      <c r="M1117" t="s">
        <v>74</v>
      </c>
      <c r="N1117" t="s">
        <v>103</v>
      </c>
      <c r="O1117" t="s">
        <v>74</v>
      </c>
      <c r="P1117" t="s">
        <v>74</v>
      </c>
      <c r="Q1117" t="s">
        <v>74</v>
      </c>
      <c r="R1117" t="s">
        <v>74</v>
      </c>
      <c r="S1117" t="s">
        <v>74</v>
      </c>
      <c r="T1117" t="s">
        <v>920</v>
      </c>
      <c r="U1117" t="s">
        <v>921</v>
      </c>
      <c r="V1117" t="s">
        <v>922</v>
      </c>
      <c r="W1117" t="s">
        <v>923</v>
      </c>
      <c r="X1117" t="s">
        <v>924</v>
      </c>
      <c r="Y1117" t="s">
        <v>925</v>
      </c>
      <c r="Z1117" t="s">
        <v>926</v>
      </c>
      <c r="AA1117" t="s">
        <v>927</v>
      </c>
      <c r="AB1117" t="s">
        <v>928</v>
      </c>
      <c r="AC1117" t="s">
        <v>74</v>
      </c>
      <c r="AD1117" t="s">
        <v>74</v>
      </c>
      <c r="AE1117" t="s">
        <v>74</v>
      </c>
      <c r="AF1117" t="s">
        <v>74</v>
      </c>
      <c r="AG1117">
        <v>45</v>
      </c>
      <c r="AH1117">
        <v>11</v>
      </c>
      <c r="AI1117">
        <v>11</v>
      </c>
      <c r="AJ1117">
        <v>1</v>
      </c>
      <c r="AK1117">
        <v>5</v>
      </c>
      <c r="AL1117" t="s">
        <v>74</v>
      </c>
      <c r="AM1117" t="s">
        <v>74</v>
      </c>
      <c r="AN1117" t="s">
        <v>74</v>
      </c>
      <c r="AO1117" t="s">
        <v>929</v>
      </c>
      <c r="AP1117" t="s">
        <v>74</v>
      </c>
      <c r="AQ1117" t="s">
        <v>74</v>
      </c>
      <c r="AR1117" t="s">
        <v>74</v>
      </c>
      <c r="AS1117" t="s">
        <v>74</v>
      </c>
      <c r="AT1117" t="s">
        <v>930</v>
      </c>
      <c r="AU1117">
        <v>2018</v>
      </c>
      <c r="AV1117">
        <v>15</v>
      </c>
      <c r="AW1117" t="s">
        <v>74</v>
      </c>
      <c r="AX1117" t="s">
        <v>74</v>
      </c>
      <c r="AY1117" t="s">
        <v>74</v>
      </c>
      <c r="AZ1117" t="s">
        <v>74</v>
      </c>
      <c r="BA1117" t="s">
        <v>74</v>
      </c>
      <c r="BB1117" t="s">
        <v>74</v>
      </c>
      <c r="BC1117" t="s">
        <v>74</v>
      </c>
      <c r="BD1117">
        <v>145</v>
      </c>
      <c r="BE1117" t="s">
        <v>931</v>
      </c>
      <c r="BF1117" t="str">
        <f>HYPERLINK("http://dx.doi.org/10.1186/s12985-018-1055-y","http://dx.doi.org/10.1186/s12985-018-1055-y")</f>
        <v>http://dx.doi.org/10.1186/s12985-018-1055-y</v>
      </c>
      <c r="BG1117" t="s">
        <v>74</v>
      </c>
      <c r="BH1117" t="s">
        <v>74</v>
      </c>
      <c r="BI1117" t="s">
        <v>74</v>
      </c>
      <c r="BJ1117" t="s">
        <v>932</v>
      </c>
      <c r="BK1117" t="s">
        <v>117</v>
      </c>
      <c r="BL1117" t="s">
        <v>932</v>
      </c>
      <c r="BM1117" t="s">
        <v>74</v>
      </c>
      <c r="BN1117">
        <v>30236130</v>
      </c>
      <c r="BO1117" t="s">
        <v>74</v>
      </c>
      <c r="BP1117" t="s">
        <v>74</v>
      </c>
      <c r="BQ1117" t="s">
        <v>74</v>
      </c>
      <c r="BR1117" t="s">
        <v>96</v>
      </c>
      <c r="BS1117" t="s">
        <v>933</v>
      </c>
      <c r="BT1117" t="str">
        <f>HYPERLINK("https%3A%2F%2Fwww.webofscience.com%2Fwos%2Fwoscc%2Ffull-record%2FWOS:000445244400001","View Full Record in Web of Science")</f>
        <v>View Full Record in Web of Science</v>
      </c>
    </row>
    <row r="1118" spans="1:72" x14ac:dyDescent="0.15">
      <c r="A1118" t="s">
        <v>98</v>
      </c>
      <c r="B1118" t="s">
        <v>1102</v>
      </c>
      <c r="C1118" t="s">
        <v>74</v>
      </c>
      <c r="D1118" t="s">
        <v>74</v>
      </c>
      <c r="E1118" t="s">
        <v>74</v>
      </c>
      <c r="F1118" t="s">
        <v>1103</v>
      </c>
      <c r="G1118" t="s">
        <v>74</v>
      </c>
      <c r="H1118" t="s">
        <v>74</v>
      </c>
      <c r="I1118" t="s">
        <v>1104</v>
      </c>
      <c r="J1118" t="s">
        <v>1105</v>
      </c>
      <c r="K1118" t="s">
        <v>74</v>
      </c>
      <c r="L1118" t="s">
        <v>74</v>
      </c>
      <c r="M1118" t="s">
        <v>74</v>
      </c>
      <c r="N1118" t="s">
        <v>103</v>
      </c>
      <c r="O1118" t="s">
        <v>74</v>
      </c>
      <c r="P1118" t="s">
        <v>74</v>
      </c>
      <c r="Q1118" t="s">
        <v>74</v>
      </c>
      <c r="R1118" t="s">
        <v>74</v>
      </c>
      <c r="S1118" t="s">
        <v>74</v>
      </c>
      <c r="T1118" t="s">
        <v>1106</v>
      </c>
      <c r="U1118" t="s">
        <v>1107</v>
      </c>
      <c r="V1118" t="s">
        <v>1108</v>
      </c>
      <c r="W1118" t="s">
        <v>1109</v>
      </c>
      <c r="X1118" t="s">
        <v>1110</v>
      </c>
      <c r="Y1118" t="s">
        <v>1111</v>
      </c>
      <c r="Z1118" t="s">
        <v>1112</v>
      </c>
      <c r="AA1118" t="s">
        <v>74</v>
      </c>
      <c r="AB1118" t="s">
        <v>1113</v>
      </c>
      <c r="AC1118" t="s">
        <v>74</v>
      </c>
      <c r="AD1118" t="s">
        <v>74</v>
      </c>
      <c r="AE1118" t="s">
        <v>74</v>
      </c>
      <c r="AF1118" t="s">
        <v>74</v>
      </c>
      <c r="AG1118">
        <v>25</v>
      </c>
      <c r="AH1118">
        <v>11</v>
      </c>
      <c r="AI1118">
        <v>11</v>
      </c>
      <c r="AJ1118">
        <v>2</v>
      </c>
      <c r="AK1118">
        <v>30</v>
      </c>
      <c r="AL1118" t="s">
        <v>74</v>
      </c>
      <c r="AM1118" t="s">
        <v>74</v>
      </c>
      <c r="AN1118" t="s">
        <v>74</v>
      </c>
      <c r="AO1118" t="s">
        <v>1114</v>
      </c>
      <c r="AP1118" t="s">
        <v>1115</v>
      </c>
      <c r="AQ1118" t="s">
        <v>74</v>
      </c>
      <c r="AR1118" t="s">
        <v>74</v>
      </c>
      <c r="AS1118" t="s">
        <v>74</v>
      </c>
      <c r="AT1118" t="s">
        <v>1116</v>
      </c>
      <c r="AU1118">
        <v>2021</v>
      </c>
      <c r="AV1118">
        <v>222</v>
      </c>
      <c r="AW1118" t="s">
        <v>74</v>
      </c>
      <c r="AX1118" t="s">
        <v>74</v>
      </c>
      <c r="AY1118" t="s">
        <v>74</v>
      </c>
      <c r="AZ1118" t="s">
        <v>74</v>
      </c>
      <c r="BA1118" t="s">
        <v>74</v>
      </c>
      <c r="BB1118" t="s">
        <v>74</v>
      </c>
      <c r="BC1118" t="s">
        <v>74</v>
      </c>
      <c r="BD1118">
        <v>121542</v>
      </c>
      <c r="BE1118" t="s">
        <v>1117</v>
      </c>
      <c r="BF1118" t="str">
        <f>HYPERLINK("http://dx.doi.org/10.1016/j.talanta.2020.121542","http://dx.doi.org/10.1016/j.talanta.2020.121542")</f>
        <v>http://dx.doi.org/10.1016/j.talanta.2020.121542</v>
      </c>
      <c r="BG1118" t="s">
        <v>74</v>
      </c>
      <c r="BH1118" t="s">
        <v>74</v>
      </c>
      <c r="BI1118" t="s">
        <v>74</v>
      </c>
      <c r="BJ1118" t="s">
        <v>1118</v>
      </c>
      <c r="BK1118" t="s">
        <v>117</v>
      </c>
      <c r="BL1118" t="s">
        <v>1048</v>
      </c>
      <c r="BM1118" t="s">
        <v>74</v>
      </c>
      <c r="BN1118">
        <v>33167250</v>
      </c>
      <c r="BO1118" t="s">
        <v>74</v>
      </c>
      <c r="BP1118" t="s">
        <v>74</v>
      </c>
      <c r="BQ1118" t="s">
        <v>74</v>
      </c>
      <c r="BR1118" t="s">
        <v>96</v>
      </c>
      <c r="BS1118" t="s">
        <v>1119</v>
      </c>
      <c r="BT1118" t="str">
        <f>HYPERLINK("https%3A%2F%2Fwww.webofscience.com%2Fwos%2Fwoscc%2Ffull-record%2FWOS:000589942800001","View Full Record in Web of Science")</f>
        <v>View Full Record in Web of Science</v>
      </c>
    </row>
    <row r="1119" spans="1:72" x14ac:dyDescent="0.15">
      <c r="A1119" t="s">
        <v>98</v>
      </c>
      <c r="B1119" t="s">
        <v>1259</v>
      </c>
      <c r="C1119" t="s">
        <v>74</v>
      </c>
      <c r="D1119" t="s">
        <v>74</v>
      </c>
      <c r="E1119" t="s">
        <v>74</v>
      </c>
      <c r="F1119" t="s">
        <v>1260</v>
      </c>
      <c r="G1119" t="s">
        <v>74</v>
      </c>
      <c r="H1119" t="s">
        <v>74</v>
      </c>
      <c r="I1119" t="s">
        <v>1261</v>
      </c>
      <c r="J1119" t="s">
        <v>1262</v>
      </c>
      <c r="K1119" t="s">
        <v>74</v>
      </c>
      <c r="L1119" t="s">
        <v>74</v>
      </c>
      <c r="M1119" t="s">
        <v>74</v>
      </c>
      <c r="N1119" t="s">
        <v>103</v>
      </c>
      <c r="O1119" t="s">
        <v>74</v>
      </c>
      <c r="P1119" t="s">
        <v>74</v>
      </c>
      <c r="Q1119" t="s">
        <v>74</v>
      </c>
      <c r="R1119" t="s">
        <v>74</v>
      </c>
      <c r="S1119" t="s">
        <v>74</v>
      </c>
      <c r="T1119" t="s">
        <v>1263</v>
      </c>
      <c r="U1119" t="s">
        <v>1264</v>
      </c>
      <c r="V1119" t="s">
        <v>1265</v>
      </c>
      <c r="W1119" t="s">
        <v>1266</v>
      </c>
      <c r="X1119" t="s">
        <v>1267</v>
      </c>
      <c r="Y1119" t="s">
        <v>1268</v>
      </c>
      <c r="Z1119" t="s">
        <v>1269</v>
      </c>
      <c r="AA1119" t="s">
        <v>1042</v>
      </c>
      <c r="AB1119" t="s">
        <v>1043</v>
      </c>
      <c r="AC1119" t="s">
        <v>74</v>
      </c>
      <c r="AD1119" t="s">
        <v>74</v>
      </c>
      <c r="AE1119" t="s">
        <v>74</v>
      </c>
      <c r="AF1119" t="s">
        <v>74</v>
      </c>
      <c r="AG1119">
        <v>45</v>
      </c>
      <c r="AH1119">
        <v>11</v>
      </c>
      <c r="AI1119">
        <v>11</v>
      </c>
      <c r="AJ1119">
        <v>73</v>
      </c>
      <c r="AK1119">
        <v>132</v>
      </c>
      <c r="AL1119" t="s">
        <v>74</v>
      </c>
      <c r="AM1119" t="s">
        <v>74</v>
      </c>
      <c r="AN1119" t="s">
        <v>74</v>
      </c>
      <c r="AO1119" t="s">
        <v>1270</v>
      </c>
      <c r="AP1119" t="s">
        <v>1271</v>
      </c>
      <c r="AQ1119" t="s">
        <v>74</v>
      </c>
      <c r="AR1119" t="s">
        <v>74</v>
      </c>
      <c r="AS1119" t="s">
        <v>74</v>
      </c>
      <c r="AT1119" t="s">
        <v>170</v>
      </c>
      <c r="AU1119">
        <v>2021</v>
      </c>
      <c r="AV1119">
        <v>38</v>
      </c>
      <c r="AW1119" t="s">
        <v>74</v>
      </c>
      <c r="AX1119" t="s">
        <v>74</v>
      </c>
      <c r="AY1119" t="s">
        <v>74</v>
      </c>
      <c r="AZ1119" t="s">
        <v>74</v>
      </c>
      <c r="BA1119" t="s">
        <v>74</v>
      </c>
      <c r="BB1119" t="s">
        <v>74</v>
      </c>
      <c r="BC1119" t="s">
        <v>74</v>
      </c>
      <c r="BD1119">
        <v>101203</v>
      </c>
      <c r="BE1119" t="s">
        <v>1272</v>
      </c>
      <c r="BF1119" t="str">
        <f>HYPERLINK("http://dx.doi.org/10.1016/j.nantod.2021.101203","http://dx.doi.org/10.1016/j.nantod.2021.101203")</f>
        <v>http://dx.doi.org/10.1016/j.nantod.2021.101203</v>
      </c>
      <c r="BG1119" t="s">
        <v>74</v>
      </c>
      <c r="BH1119" t="s">
        <v>1273</v>
      </c>
      <c r="BI1119" t="s">
        <v>74</v>
      </c>
      <c r="BJ1119" t="s">
        <v>1274</v>
      </c>
      <c r="BK1119" t="s">
        <v>117</v>
      </c>
      <c r="BL1119" t="s">
        <v>1275</v>
      </c>
      <c r="BM1119" t="s">
        <v>74</v>
      </c>
      <c r="BN1119" t="s">
        <v>74</v>
      </c>
      <c r="BO1119" t="s">
        <v>74</v>
      </c>
      <c r="BP1119" t="s">
        <v>74</v>
      </c>
      <c r="BQ1119" t="s">
        <v>74</v>
      </c>
      <c r="BR1119" t="s">
        <v>96</v>
      </c>
      <c r="BS1119" t="s">
        <v>1276</v>
      </c>
      <c r="BT1119" t="str">
        <f>HYPERLINK("https%3A%2F%2Fwww.webofscience.com%2Fwos%2Fwoscc%2Ffull-record%2FWOS:000670252700003","View Full Record in Web of Science")</f>
        <v>View Full Record in Web of Science</v>
      </c>
    </row>
    <row r="1120" spans="1:72" x14ac:dyDescent="0.15">
      <c r="A1120" t="s">
        <v>72</v>
      </c>
      <c r="B1120" t="s">
        <v>1986</v>
      </c>
      <c r="C1120" t="s">
        <v>74</v>
      </c>
      <c r="D1120" t="s">
        <v>1987</v>
      </c>
      <c r="E1120" t="s">
        <v>74</v>
      </c>
      <c r="F1120" t="s">
        <v>1988</v>
      </c>
      <c r="G1120" t="s">
        <v>74</v>
      </c>
      <c r="H1120" t="s">
        <v>74</v>
      </c>
      <c r="I1120" t="s">
        <v>1989</v>
      </c>
      <c r="J1120" t="s">
        <v>1990</v>
      </c>
      <c r="K1120" t="s">
        <v>79</v>
      </c>
      <c r="L1120" t="s">
        <v>74</v>
      </c>
      <c r="M1120" t="s">
        <v>74</v>
      </c>
      <c r="N1120" t="s">
        <v>80</v>
      </c>
      <c r="O1120" t="s">
        <v>74</v>
      </c>
      <c r="P1120" t="s">
        <v>74</v>
      </c>
      <c r="Q1120" t="s">
        <v>74</v>
      </c>
      <c r="R1120" t="s">
        <v>74</v>
      </c>
      <c r="S1120" t="s">
        <v>74</v>
      </c>
      <c r="T1120" t="s">
        <v>1991</v>
      </c>
      <c r="U1120" t="s">
        <v>1992</v>
      </c>
      <c r="V1120" t="s">
        <v>1993</v>
      </c>
      <c r="W1120" t="s">
        <v>1994</v>
      </c>
      <c r="X1120" t="s">
        <v>1995</v>
      </c>
      <c r="Y1120" t="s">
        <v>1996</v>
      </c>
      <c r="Z1120" t="s">
        <v>74</v>
      </c>
      <c r="AA1120" t="s">
        <v>74</v>
      </c>
      <c r="AB1120" t="s">
        <v>1997</v>
      </c>
      <c r="AC1120" t="s">
        <v>74</v>
      </c>
      <c r="AD1120" t="s">
        <v>74</v>
      </c>
      <c r="AE1120" t="s">
        <v>74</v>
      </c>
      <c r="AF1120" t="s">
        <v>74</v>
      </c>
      <c r="AG1120">
        <v>23</v>
      </c>
      <c r="AH1120">
        <v>11</v>
      </c>
      <c r="AI1120">
        <v>11</v>
      </c>
      <c r="AJ1120">
        <v>0</v>
      </c>
      <c r="AK1120">
        <v>10</v>
      </c>
      <c r="AL1120" t="s">
        <v>74</v>
      </c>
      <c r="AM1120" t="s">
        <v>74</v>
      </c>
      <c r="AN1120" t="s">
        <v>74</v>
      </c>
      <c r="AO1120" t="s">
        <v>88</v>
      </c>
      <c r="AP1120" t="s">
        <v>89</v>
      </c>
      <c r="AQ1120" t="s">
        <v>1998</v>
      </c>
      <c r="AR1120" t="s">
        <v>74</v>
      </c>
      <c r="AS1120" t="s">
        <v>74</v>
      </c>
      <c r="AT1120" t="s">
        <v>74</v>
      </c>
      <c r="AU1120">
        <v>2020</v>
      </c>
      <c r="AV1120">
        <v>2067</v>
      </c>
      <c r="AW1120" t="s">
        <v>74</v>
      </c>
      <c r="AX1120" t="s">
        <v>74</v>
      </c>
      <c r="AY1120" t="s">
        <v>74</v>
      </c>
      <c r="AZ1120" t="s">
        <v>74</v>
      </c>
      <c r="BA1120" t="s">
        <v>74</v>
      </c>
      <c r="BB1120">
        <v>175</v>
      </c>
      <c r="BC1120">
        <v>188</v>
      </c>
      <c r="BD1120" t="s">
        <v>74</v>
      </c>
      <c r="BE1120" t="s">
        <v>1999</v>
      </c>
      <c r="BF1120" t="str">
        <f>HYPERLINK("http://dx.doi.org/10.1007/978-1-4939-9841-8_13","http://dx.doi.org/10.1007/978-1-4939-9841-8_13")</f>
        <v>http://dx.doi.org/10.1007/978-1-4939-9841-8_13</v>
      </c>
      <c r="BG1120" t="s">
        <v>2000</v>
      </c>
      <c r="BH1120" t="s">
        <v>74</v>
      </c>
      <c r="BI1120" t="s">
        <v>74</v>
      </c>
      <c r="BJ1120" t="s">
        <v>2001</v>
      </c>
      <c r="BK1120" t="s">
        <v>94</v>
      </c>
      <c r="BL1120" t="s">
        <v>2002</v>
      </c>
      <c r="BM1120" t="s">
        <v>74</v>
      </c>
      <c r="BN1120">
        <v>31701453</v>
      </c>
      <c r="BO1120" t="s">
        <v>74</v>
      </c>
      <c r="BP1120" t="s">
        <v>74</v>
      </c>
      <c r="BQ1120" t="s">
        <v>74</v>
      </c>
      <c r="BR1120" t="s">
        <v>96</v>
      </c>
      <c r="BS1120" t="s">
        <v>2003</v>
      </c>
      <c r="BT1120" t="str">
        <f>HYPERLINK("https%3A%2F%2Fwww.webofscience.com%2Fwos%2Fwoscc%2Ffull-record%2FWOS:000563322500014","View Full Record in Web of Science")</f>
        <v>View Full Record in Web of Science</v>
      </c>
    </row>
    <row r="1121" spans="1:72" x14ac:dyDescent="0.15">
      <c r="A1121" t="s">
        <v>98</v>
      </c>
      <c r="B1121" t="s">
        <v>3259</v>
      </c>
      <c r="C1121" t="s">
        <v>74</v>
      </c>
      <c r="D1121" t="s">
        <v>74</v>
      </c>
      <c r="E1121" t="s">
        <v>74</v>
      </c>
      <c r="F1121" t="s">
        <v>3260</v>
      </c>
      <c r="G1121" t="s">
        <v>74</v>
      </c>
      <c r="H1121" t="s">
        <v>74</v>
      </c>
      <c r="I1121" t="s">
        <v>3261</v>
      </c>
      <c r="J1121" t="s">
        <v>123</v>
      </c>
      <c r="K1121" t="s">
        <v>74</v>
      </c>
      <c r="L1121" t="s">
        <v>74</v>
      </c>
      <c r="M1121" t="s">
        <v>74</v>
      </c>
      <c r="N1121" t="s">
        <v>103</v>
      </c>
      <c r="O1121" t="s">
        <v>74</v>
      </c>
      <c r="P1121" t="s">
        <v>74</v>
      </c>
      <c r="Q1121" t="s">
        <v>74</v>
      </c>
      <c r="R1121" t="s">
        <v>74</v>
      </c>
      <c r="S1121" t="s">
        <v>74</v>
      </c>
      <c r="T1121" t="s">
        <v>3262</v>
      </c>
      <c r="U1121" t="s">
        <v>3263</v>
      </c>
      <c r="V1121" t="s">
        <v>3264</v>
      </c>
      <c r="W1121" t="s">
        <v>3265</v>
      </c>
      <c r="X1121" t="s">
        <v>3266</v>
      </c>
      <c r="Y1121" t="s">
        <v>3267</v>
      </c>
      <c r="Z1121" t="s">
        <v>3268</v>
      </c>
      <c r="AA1121" t="s">
        <v>3269</v>
      </c>
      <c r="AB1121" t="s">
        <v>3270</v>
      </c>
      <c r="AC1121" t="s">
        <v>74</v>
      </c>
      <c r="AD1121" t="s">
        <v>74</v>
      </c>
      <c r="AE1121" t="s">
        <v>74</v>
      </c>
      <c r="AF1121" t="s">
        <v>74</v>
      </c>
      <c r="AG1121">
        <v>60</v>
      </c>
      <c r="AH1121">
        <v>11</v>
      </c>
      <c r="AI1121">
        <v>12</v>
      </c>
      <c r="AJ1121">
        <v>2</v>
      </c>
      <c r="AK1121">
        <v>12</v>
      </c>
      <c r="AL1121" t="s">
        <v>74</v>
      </c>
      <c r="AM1121" t="s">
        <v>74</v>
      </c>
      <c r="AN1121" t="s">
        <v>74</v>
      </c>
      <c r="AO1121" t="s">
        <v>131</v>
      </c>
      <c r="AP1121" t="s">
        <v>74</v>
      </c>
      <c r="AQ1121" t="s">
        <v>74</v>
      </c>
      <c r="AR1121" t="s">
        <v>74</v>
      </c>
      <c r="AS1121" t="s">
        <v>74</v>
      </c>
      <c r="AT1121" t="s">
        <v>599</v>
      </c>
      <c r="AU1121">
        <v>2019</v>
      </c>
      <c r="AV1121">
        <v>8</v>
      </c>
      <c r="AW1121">
        <v>1</v>
      </c>
      <c r="AX1121" t="s">
        <v>74</v>
      </c>
      <c r="AY1121" t="s">
        <v>74</v>
      </c>
      <c r="AZ1121" t="s">
        <v>74</v>
      </c>
      <c r="BA1121" t="s">
        <v>74</v>
      </c>
      <c r="BB1121" t="s">
        <v>74</v>
      </c>
      <c r="BC1121" t="s">
        <v>74</v>
      </c>
      <c r="BD1121">
        <v>1590116</v>
      </c>
      <c r="BE1121" t="s">
        <v>3271</v>
      </c>
      <c r="BF1121" t="str">
        <f>HYPERLINK("http://dx.doi.org/10.1080/20013078.2019.1590116","http://dx.doi.org/10.1080/20013078.2019.1590116")</f>
        <v>http://dx.doi.org/10.1080/20013078.2019.1590116</v>
      </c>
      <c r="BG1121" t="s">
        <v>74</v>
      </c>
      <c r="BH1121" t="s">
        <v>74</v>
      </c>
      <c r="BI1121" t="s">
        <v>74</v>
      </c>
      <c r="BJ1121" t="s">
        <v>135</v>
      </c>
      <c r="BK1121" t="s">
        <v>117</v>
      </c>
      <c r="BL1121" t="s">
        <v>135</v>
      </c>
      <c r="BM1121" t="s">
        <v>74</v>
      </c>
      <c r="BN1121">
        <v>30911363</v>
      </c>
      <c r="BO1121" t="s">
        <v>74</v>
      </c>
      <c r="BP1121" t="s">
        <v>74</v>
      </c>
      <c r="BQ1121" t="s">
        <v>74</v>
      </c>
      <c r="BR1121" t="s">
        <v>96</v>
      </c>
      <c r="BS1121" t="s">
        <v>3272</v>
      </c>
      <c r="BT1121" t="str">
        <f>HYPERLINK("https%3A%2F%2Fwww.webofscience.com%2Fwos%2Fwoscc%2Ffull-record%2FWOS:000461630700001","View Full Record in Web of Science")</f>
        <v>View Full Record in Web of Science</v>
      </c>
    </row>
    <row r="1122" spans="1:72" x14ac:dyDescent="0.15">
      <c r="A1122" t="s">
        <v>98</v>
      </c>
      <c r="B1122" t="s">
        <v>3683</v>
      </c>
      <c r="C1122" t="s">
        <v>74</v>
      </c>
      <c r="D1122" t="s">
        <v>74</v>
      </c>
      <c r="E1122" t="s">
        <v>74</v>
      </c>
      <c r="F1122" t="s">
        <v>3684</v>
      </c>
      <c r="G1122" t="s">
        <v>74</v>
      </c>
      <c r="H1122" t="s">
        <v>74</v>
      </c>
      <c r="I1122" t="s">
        <v>3685</v>
      </c>
      <c r="J1122" t="s">
        <v>2233</v>
      </c>
      <c r="K1122" t="s">
        <v>74</v>
      </c>
      <c r="L1122" t="s">
        <v>74</v>
      </c>
      <c r="M1122" t="s">
        <v>74</v>
      </c>
      <c r="N1122" t="s">
        <v>103</v>
      </c>
      <c r="O1122" t="s">
        <v>74</v>
      </c>
      <c r="P1122" t="s">
        <v>74</v>
      </c>
      <c r="Q1122" t="s">
        <v>74</v>
      </c>
      <c r="R1122" t="s">
        <v>74</v>
      </c>
      <c r="S1122" t="s">
        <v>74</v>
      </c>
      <c r="T1122" t="s">
        <v>3686</v>
      </c>
      <c r="U1122" t="s">
        <v>3687</v>
      </c>
      <c r="V1122" t="s">
        <v>3688</v>
      </c>
      <c r="W1122" t="s">
        <v>3689</v>
      </c>
      <c r="X1122" t="s">
        <v>3690</v>
      </c>
      <c r="Y1122" t="s">
        <v>3691</v>
      </c>
      <c r="Z1122" t="s">
        <v>3692</v>
      </c>
      <c r="AA1122" t="s">
        <v>3693</v>
      </c>
      <c r="AB1122" t="s">
        <v>3694</v>
      </c>
      <c r="AC1122" t="s">
        <v>74</v>
      </c>
      <c r="AD1122" t="s">
        <v>74</v>
      </c>
      <c r="AE1122" t="s">
        <v>74</v>
      </c>
      <c r="AF1122" t="s">
        <v>74</v>
      </c>
      <c r="AG1122">
        <v>64</v>
      </c>
      <c r="AH1122">
        <v>11</v>
      </c>
      <c r="AI1122">
        <v>11</v>
      </c>
      <c r="AJ1122">
        <v>3</v>
      </c>
      <c r="AK1122">
        <v>11</v>
      </c>
      <c r="AL1122" t="s">
        <v>74</v>
      </c>
      <c r="AM1122" t="s">
        <v>74</v>
      </c>
      <c r="AN1122" t="s">
        <v>74</v>
      </c>
      <c r="AO1122" t="s">
        <v>74</v>
      </c>
      <c r="AP1122" t="s">
        <v>2241</v>
      </c>
      <c r="AQ1122" t="s">
        <v>74</v>
      </c>
      <c r="AR1122" t="s">
        <v>74</v>
      </c>
      <c r="AS1122" t="s">
        <v>74</v>
      </c>
      <c r="AT1122" t="s">
        <v>211</v>
      </c>
      <c r="AU1122">
        <v>2019</v>
      </c>
      <c r="AV1122">
        <v>10</v>
      </c>
      <c r="AW1122">
        <v>11</v>
      </c>
      <c r="AX1122" t="s">
        <v>74</v>
      </c>
      <c r="AY1122" t="s">
        <v>74</v>
      </c>
      <c r="AZ1122" t="s">
        <v>74</v>
      </c>
      <c r="BA1122" t="s">
        <v>74</v>
      </c>
      <c r="BB1122" t="s">
        <v>74</v>
      </c>
      <c r="BC1122" t="s">
        <v>74</v>
      </c>
      <c r="BD1122">
        <v>750</v>
      </c>
      <c r="BE1122" t="s">
        <v>3695</v>
      </c>
      <c r="BF1122" t="str">
        <f>HYPERLINK("http://dx.doi.org/10.3390/mi10110750","http://dx.doi.org/10.3390/mi10110750")</f>
        <v>http://dx.doi.org/10.3390/mi10110750</v>
      </c>
      <c r="BG1122" t="s">
        <v>74</v>
      </c>
      <c r="BH1122" t="s">
        <v>74</v>
      </c>
      <c r="BI1122" t="s">
        <v>74</v>
      </c>
      <c r="BJ1122" t="s">
        <v>2243</v>
      </c>
      <c r="BK1122" t="s">
        <v>117</v>
      </c>
      <c r="BL1122" t="s">
        <v>2244</v>
      </c>
      <c r="BM1122" t="s">
        <v>74</v>
      </c>
      <c r="BN1122">
        <v>31683842</v>
      </c>
      <c r="BO1122" t="s">
        <v>74</v>
      </c>
      <c r="BP1122" t="s">
        <v>74</v>
      </c>
      <c r="BQ1122" t="s">
        <v>74</v>
      </c>
      <c r="BR1122" t="s">
        <v>96</v>
      </c>
      <c r="BS1122" t="s">
        <v>3696</v>
      </c>
      <c r="BT1122" t="str">
        <f>HYPERLINK("https%3A%2F%2Fwww.webofscience.com%2Fwos%2Fwoscc%2Ffull-record%2FWOS:000502255300036","View Full Record in Web of Science")</f>
        <v>View Full Record in Web of Science</v>
      </c>
    </row>
    <row r="1123" spans="1:72" x14ac:dyDescent="0.15">
      <c r="A1123" t="s">
        <v>98</v>
      </c>
      <c r="B1123" t="s">
        <v>4180</v>
      </c>
      <c r="C1123" t="s">
        <v>74</v>
      </c>
      <c r="D1123" t="s">
        <v>74</v>
      </c>
      <c r="E1123" t="s">
        <v>74</v>
      </c>
      <c r="F1123" t="s">
        <v>4181</v>
      </c>
      <c r="G1123" t="s">
        <v>74</v>
      </c>
      <c r="H1123" t="s">
        <v>74</v>
      </c>
      <c r="I1123" t="s">
        <v>4182</v>
      </c>
      <c r="J1123" t="s">
        <v>4183</v>
      </c>
      <c r="K1123" t="s">
        <v>74</v>
      </c>
      <c r="L1123" t="s">
        <v>74</v>
      </c>
      <c r="M1123" t="s">
        <v>74</v>
      </c>
      <c r="N1123" t="s">
        <v>103</v>
      </c>
      <c r="O1123" t="s">
        <v>74</v>
      </c>
      <c r="P1123" t="s">
        <v>74</v>
      </c>
      <c r="Q1123" t="s">
        <v>74</v>
      </c>
      <c r="R1123" t="s">
        <v>74</v>
      </c>
      <c r="S1123" t="s">
        <v>74</v>
      </c>
      <c r="T1123" t="s">
        <v>4184</v>
      </c>
      <c r="U1123" t="s">
        <v>4185</v>
      </c>
      <c r="V1123" t="s">
        <v>4186</v>
      </c>
      <c r="W1123" t="s">
        <v>4187</v>
      </c>
      <c r="X1123" t="s">
        <v>4188</v>
      </c>
      <c r="Y1123" t="s">
        <v>4189</v>
      </c>
      <c r="Z1123" t="s">
        <v>4190</v>
      </c>
      <c r="AA1123" t="s">
        <v>74</v>
      </c>
      <c r="AB1123" t="s">
        <v>4191</v>
      </c>
      <c r="AC1123" t="s">
        <v>74</v>
      </c>
      <c r="AD1123" t="s">
        <v>74</v>
      </c>
      <c r="AE1123" t="s">
        <v>74</v>
      </c>
      <c r="AF1123" t="s">
        <v>74</v>
      </c>
      <c r="AG1123">
        <v>38</v>
      </c>
      <c r="AH1123">
        <v>11</v>
      </c>
      <c r="AI1123">
        <v>13</v>
      </c>
      <c r="AJ1123">
        <v>1</v>
      </c>
      <c r="AK1123">
        <v>8</v>
      </c>
      <c r="AL1123" t="s">
        <v>74</v>
      </c>
      <c r="AM1123" t="s">
        <v>74</v>
      </c>
      <c r="AN1123" t="s">
        <v>74</v>
      </c>
      <c r="AO1123" t="s">
        <v>4192</v>
      </c>
      <c r="AP1123" t="s">
        <v>4193</v>
      </c>
      <c r="AQ1123" t="s">
        <v>74</v>
      </c>
      <c r="AR1123" t="s">
        <v>74</v>
      </c>
      <c r="AS1123" t="s">
        <v>74</v>
      </c>
      <c r="AT1123" t="s">
        <v>74</v>
      </c>
      <c r="AU1123">
        <v>2019</v>
      </c>
      <c r="AV1123">
        <v>178</v>
      </c>
      <c r="AW1123">
        <v>2</v>
      </c>
      <c r="AX1123" t="s">
        <v>74</v>
      </c>
      <c r="AY1123" t="s">
        <v>74</v>
      </c>
      <c r="AZ1123" t="s">
        <v>74</v>
      </c>
      <c r="BA1123" t="s">
        <v>74</v>
      </c>
      <c r="BB1123">
        <v>150</v>
      </c>
      <c r="BC1123">
        <v>158</v>
      </c>
      <c r="BD1123" t="s">
        <v>74</v>
      </c>
      <c r="BE1123" t="s">
        <v>4194</v>
      </c>
      <c r="BF1123" t="str">
        <f>HYPERLINK("http://dx.doi.org/10.1159/000492677","http://dx.doi.org/10.1159/000492677")</f>
        <v>http://dx.doi.org/10.1159/000492677</v>
      </c>
      <c r="BG1123" t="s">
        <v>74</v>
      </c>
      <c r="BH1123" t="s">
        <v>74</v>
      </c>
      <c r="BI1123" t="s">
        <v>74</v>
      </c>
      <c r="BJ1123" t="s">
        <v>4195</v>
      </c>
      <c r="BK1123" t="s">
        <v>117</v>
      </c>
      <c r="BL1123" t="s">
        <v>4195</v>
      </c>
      <c r="BM1123" t="s">
        <v>74</v>
      </c>
      <c r="BN1123">
        <v>30415264</v>
      </c>
      <c r="BO1123" t="s">
        <v>74</v>
      </c>
      <c r="BP1123" t="s">
        <v>74</v>
      </c>
      <c r="BQ1123" t="s">
        <v>74</v>
      </c>
      <c r="BR1123" t="s">
        <v>96</v>
      </c>
      <c r="BS1123" t="s">
        <v>4196</v>
      </c>
      <c r="BT1123" t="str">
        <f>HYPERLINK("https%3A%2F%2Fwww.webofscience.com%2Fwos%2Fwoscc%2Ffull-record%2FWOS:000459512200006","View Full Record in Web of Science")</f>
        <v>View Full Record in Web of Science</v>
      </c>
    </row>
    <row r="1124" spans="1:72" x14ac:dyDescent="0.15">
      <c r="A1124" t="s">
        <v>72</v>
      </c>
      <c r="B1124" t="s">
        <v>4756</v>
      </c>
      <c r="C1124" t="s">
        <v>74</v>
      </c>
      <c r="D1124" t="s">
        <v>3546</v>
      </c>
      <c r="E1124" t="s">
        <v>74</v>
      </c>
      <c r="F1124" t="s">
        <v>4757</v>
      </c>
      <c r="G1124" t="s">
        <v>74</v>
      </c>
      <c r="H1124" t="s">
        <v>74</v>
      </c>
      <c r="I1124" t="s">
        <v>4758</v>
      </c>
      <c r="J1124" t="s">
        <v>3549</v>
      </c>
      <c r="K1124" t="s">
        <v>2947</v>
      </c>
      <c r="L1124" t="s">
        <v>74</v>
      </c>
      <c r="M1124" t="s">
        <v>74</v>
      </c>
      <c r="N1124" t="s">
        <v>980</v>
      </c>
      <c r="O1124" t="s">
        <v>3550</v>
      </c>
      <c r="P1124" t="s">
        <v>3551</v>
      </c>
      <c r="Q1124" t="s">
        <v>3552</v>
      </c>
      <c r="R1124" t="s">
        <v>74</v>
      </c>
      <c r="S1124" t="s">
        <v>74</v>
      </c>
      <c r="T1124" t="s">
        <v>4759</v>
      </c>
      <c r="U1124" t="s">
        <v>4760</v>
      </c>
      <c r="V1124" t="s">
        <v>4761</v>
      </c>
      <c r="W1124" t="s">
        <v>4762</v>
      </c>
      <c r="X1124" t="s">
        <v>4763</v>
      </c>
      <c r="Y1124" t="s">
        <v>4764</v>
      </c>
      <c r="Z1124" t="s">
        <v>4765</v>
      </c>
      <c r="AA1124" t="s">
        <v>74</v>
      </c>
      <c r="AB1124" t="s">
        <v>74</v>
      </c>
      <c r="AC1124" t="s">
        <v>74</v>
      </c>
      <c r="AD1124" t="s">
        <v>74</v>
      </c>
      <c r="AE1124" t="s">
        <v>74</v>
      </c>
      <c r="AF1124" t="s">
        <v>74</v>
      </c>
      <c r="AG1124">
        <v>34</v>
      </c>
      <c r="AH1124">
        <v>11</v>
      </c>
      <c r="AI1124">
        <v>11</v>
      </c>
      <c r="AJ1124">
        <v>1</v>
      </c>
      <c r="AK1124">
        <v>1</v>
      </c>
      <c r="AL1124" t="s">
        <v>74</v>
      </c>
      <c r="AM1124" t="s">
        <v>74</v>
      </c>
      <c r="AN1124" t="s">
        <v>74</v>
      </c>
      <c r="AO1124" t="s">
        <v>2954</v>
      </c>
      <c r="AP1124" t="s">
        <v>2955</v>
      </c>
      <c r="AQ1124" t="s">
        <v>3562</v>
      </c>
      <c r="AR1124" t="s">
        <v>74</v>
      </c>
      <c r="AS1124" t="s">
        <v>74</v>
      </c>
      <c r="AT1124" t="s">
        <v>74</v>
      </c>
      <c r="AU1124">
        <v>2016</v>
      </c>
      <c r="AV1124">
        <v>924</v>
      </c>
      <c r="AW1124" t="s">
        <v>74</v>
      </c>
      <c r="AX1124" t="s">
        <v>74</v>
      </c>
      <c r="AY1124" t="s">
        <v>74</v>
      </c>
      <c r="AZ1124" t="s">
        <v>74</v>
      </c>
      <c r="BA1124" t="s">
        <v>74</v>
      </c>
      <c r="BB1124">
        <v>91</v>
      </c>
      <c r="BC1124">
        <v>95</v>
      </c>
      <c r="BD1124" t="s">
        <v>74</v>
      </c>
      <c r="BE1124" t="s">
        <v>4766</v>
      </c>
      <c r="BF1124" t="str">
        <f>HYPERLINK("http://dx.doi.org/10.1007/978-3-319-42044-8_17","http://dx.doi.org/10.1007/978-3-319-42044-8_17")</f>
        <v>http://dx.doi.org/10.1007/978-3-319-42044-8_17</v>
      </c>
      <c r="BG1124" t="s">
        <v>3564</v>
      </c>
      <c r="BH1124" t="s">
        <v>74</v>
      </c>
      <c r="BI1124" t="s">
        <v>74</v>
      </c>
      <c r="BJ1124" t="s">
        <v>2959</v>
      </c>
      <c r="BK1124" t="s">
        <v>3565</v>
      </c>
      <c r="BL1124" t="s">
        <v>2961</v>
      </c>
      <c r="BM1124" t="s">
        <v>74</v>
      </c>
      <c r="BN1124">
        <v>27753025</v>
      </c>
      <c r="BO1124" t="s">
        <v>74</v>
      </c>
      <c r="BP1124" t="s">
        <v>74</v>
      </c>
      <c r="BQ1124" t="s">
        <v>74</v>
      </c>
      <c r="BR1124" t="s">
        <v>96</v>
      </c>
      <c r="BS1124" t="s">
        <v>4767</v>
      </c>
      <c r="BT1124" t="str">
        <f>HYPERLINK("https%3A%2F%2Fwww.webofscience.com%2Fwos%2Fwoscc%2Ffull-record%2FWOS:000401116800018","View Full Record in Web of Science")</f>
        <v>View Full Record in Web of Science</v>
      </c>
    </row>
    <row r="1125" spans="1:72" x14ac:dyDescent="0.15">
      <c r="A1125" t="s">
        <v>98</v>
      </c>
      <c r="B1125" t="s">
        <v>5400</v>
      </c>
      <c r="C1125" t="s">
        <v>74</v>
      </c>
      <c r="D1125" t="s">
        <v>74</v>
      </c>
      <c r="E1125" t="s">
        <v>74</v>
      </c>
      <c r="F1125" t="s">
        <v>5401</v>
      </c>
      <c r="G1125" t="s">
        <v>74</v>
      </c>
      <c r="H1125" t="s">
        <v>74</v>
      </c>
      <c r="I1125" t="s">
        <v>5402</v>
      </c>
      <c r="J1125" t="s">
        <v>3918</v>
      </c>
      <c r="K1125" t="s">
        <v>74</v>
      </c>
      <c r="L1125" t="s">
        <v>74</v>
      </c>
      <c r="M1125" t="s">
        <v>74</v>
      </c>
      <c r="N1125" t="s">
        <v>103</v>
      </c>
      <c r="O1125" t="s">
        <v>74</v>
      </c>
      <c r="P1125" t="s">
        <v>74</v>
      </c>
      <c r="Q1125" t="s">
        <v>74</v>
      </c>
      <c r="R1125" t="s">
        <v>74</v>
      </c>
      <c r="S1125" t="s">
        <v>74</v>
      </c>
      <c r="T1125" t="s">
        <v>5403</v>
      </c>
      <c r="U1125" t="s">
        <v>5404</v>
      </c>
      <c r="V1125" t="s">
        <v>5405</v>
      </c>
      <c r="W1125" t="s">
        <v>5406</v>
      </c>
      <c r="X1125" t="s">
        <v>5407</v>
      </c>
      <c r="Y1125" t="s">
        <v>5408</v>
      </c>
      <c r="Z1125" t="s">
        <v>5409</v>
      </c>
      <c r="AA1125" t="s">
        <v>74</v>
      </c>
      <c r="AB1125" t="s">
        <v>5410</v>
      </c>
      <c r="AC1125" t="s">
        <v>74</v>
      </c>
      <c r="AD1125" t="s">
        <v>74</v>
      </c>
      <c r="AE1125" t="s">
        <v>74</v>
      </c>
      <c r="AF1125" t="s">
        <v>74</v>
      </c>
      <c r="AG1125">
        <v>141</v>
      </c>
      <c r="AH1125">
        <v>11</v>
      </c>
      <c r="AI1125">
        <v>11</v>
      </c>
      <c r="AJ1125">
        <v>4</v>
      </c>
      <c r="AK1125">
        <v>10</v>
      </c>
      <c r="AL1125" t="s">
        <v>74</v>
      </c>
      <c r="AM1125" t="s">
        <v>74</v>
      </c>
      <c r="AN1125" t="s">
        <v>74</v>
      </c>
      <c r="AO1125" t="s">
        <v>74</v>
      </c>
      <c r="AP1125" t="s">
        <v>3926</v>
      </c>
      <c r="AQ1125" t="s">
        <v>74</v>
      </c>
      <c r="AR1125" t="s">
        <v>74</v>
      </c>
      <c r="AS1125" t="s">
        <v>74</v>
      </c>
      <c r="AT1125" t="s">
        <v>5411</v>
      </c>
      <c r="AU1125">
        <v>2021</v>
      </c>
      <c r="AV1125">
        <v>7</v>
      </c>
      <c r="AW1125" t="s">
        <v>74</v>
      </c>
      <c r="AX1125" t="s">
        <v>74</v>
      </c>
      <c r="AY1125" t="s">
        <v>74</v>
      </c>
      <c r="AZ1125" t="s">
        <v>74</v>
      </c>
      <c r="BA1125" t="s">
        <v>74</v>
      </c>
      <c r="BB1125" t="s">
        <v>74</v>
      </c>
      <c r="BC1125" t="s">
        <v>74</v>
      </c>
      <c r="BD1125">
        <v>566207</v>
      </c>
      <c r="BE1125" t="s">
        <v>5412</v>
      </c>
      <c r="BF1125" t="str">
        <f>HYPERLINK("http://dx.doi.org/10.3389/fmolb.2020.566207","http://dx.doi.org/10.3389/fmolb.2020.566207")</f>
        <v>http://dx.doi.org/10.3389/fmolb.2020.566207</v>
      </c>
      <c r="BG1125" t="s">
        <v>74</v>
      </c>
      <c r="BH1125" t="s">
        <v>74</v>
      </c>
      <c r="BI1125" t="s">
        <v>74</v>
      </c>
      <c r="BJ1125" t="s">
        <v>95</v>
      </c>
      <c r="BK1125" t="s">
        <v>117</v>
      </c>
      <c r="BL1125" t="s">
        <v>95</v>
      </c>
      <c r="BM1125" t="s">
        <v>74</v>
      </c>
      <c r="BN1125">
        <v>33521050</v>
      </c>
      <c r="BO1125" t="s">
        <v>74</v>
      </c>
      <c r="BP1125" t="s">
        <v>74</v>
      </c>
      <c r="BQ1125" t="s">
        <v>74</v>
      </c>
      <c r="BR1125" t="s">
        <v>96</v>
      </c>
      <c r="BS1125" t="s">
        <v>5413</v>
      </c>
      <c r="BT1125" t="str">
        <f>HYPERLINK("https%3A%2F%2Fwww.webofscience.com%2Fwos%2Fwoscc%2Ffull-record%2FWOS:000612001500001","View Full Record in Web of Science")</f>
        <v>View Full Record in Web of Science</v>
      </c>
    </row>
    <row r="1126" spans="1:72" x14ac:dyDescent="0.15">
      <c r="A1126" t="s">
        <v>98</v>
      </c>
      <c r="B1126" t="s">
        <v>7016</v>
      </c>
      <c r="C1126" t="s">
        <v>74</v>
      </c>
      <c r="D1126" t="s">
        <v>74</v>
      </c>
      <c r="E1126" t="s">
        <v>74</v>
      </c>
      <c r="F1126" t="s">
        <v>7017</v>
      </c>
      <c r="G1126" t="s">
        <v>74</v>
      </c>
      <c r="H1126" t="s">
        <v>74</v>
      </c>
      <c r="I1126" t="s">
        <v>7018</v>
      </c>
      <c r="J1126" t="s">
        <v>7019</v>
      </c>
      <c r="K1126" t="s">
        <v>74</v>
      </c>
      <c r="L1126" t="s">
        <v>74</v>
      </c>
      <c r="M1126" t="s">
        <v>74</v>
      </c>
      <c r="N1126" t="s">
        <v>103</v>
      </c>
      <c r="O1126" t="s">
        <v>74</v>
      </c>
      <c r="P1126" t="s">
        <v>74</v>
      </c>
      <c r="Q1126" t="s">
        <v>74</v>
      </c>
      <c r="R1126" t="s">
        <v>74</v>
      </c>
      <c r="S1126" t="s">
        <v>74</v>
      </c>
      <c r="T1126" t="s">
        <v>7020</v>
      </c>
      <c r="U1126" t="s">
        <v>7021</v>
      </c>
      <c r="V1126" t="s">
        <v>7022</v>
      </c>
      <c r="W1126" t="s">
        <v>7023</v>
      </c>
      <c r="X1126" t="s">
        <v>7024</v>
      </c>
      <c r="Y1126" t="s">
        <v>7025</v>
      </c>
      <c r="Z1126" t="s">
        <v>7026</v>
      </c>
      <c r="AA1126" t="s">
        <v>7027</v>
      </c>
      <c r="AB1126" t="s">
        <v>7028</v>
      </c>
      <c r="AC1126" t="s">
        <v>74</v>
      </c>
      <c r="AD1126" t="s">
        <v>74</v>
      </c>
      <c r="AE1126" t="s">
        <v>74</v>
      </c>
      <c r="AF1126" t="s">
        <v>74</v>
      </c>
      <c r="AG1126">
        <v>29</v>
      </c>
      <c r="AH1126">
        <v>11</v>
      </c>
      <c r="AI1126">
        <v>11</v>
      </c>
      <c r="AJ1126">
        <v>6</v>
      </c>
      <c r="AK1126">
        <v>21</v>
      </c>
      <c r="AL1126" t="s">
        <v>74</v>
      </c>
      <c r="AM1126" t="s">
        <v>74</v>
      </c>
      <c r="AN1126" t="s">
        <v>74</v>
      </c>
      <c r="AO1126" t="s">
        <v>7029</v>
      </c>
      <c r="AP1126" t="s">
        <v>7030</v>
      </c>
      <c r="AQ1126" t="s">
        <v>74</v>
      </c>
      <c r="AR1126" t="s">
        <v>74</v>
      </c>
      <c r="AS1126" t="s">
        <v>74</v>
      </c>
      <c r="AT1126" t="s">
        <v>189</v>
      </c>
      <c r="AU1126">
        <v>2020</v>
      </c>
      <c r="AV1126">
        <v>43</v>
      </c>
      <c r="AW1126">
        <v>5</v>
      </c>
      <c r="AX1126" t="s">
        <v>74</v>
      </c>
      <c r="AY1126" t="s">
        <v>74</v>
      </c>
      <c r="AZ1126" t="s">
        <v>74</v>
      </c>
      <c r="BA1126" t="s">
        <v>74</v>
      </c>
      <c r="BB1126">
        <v>1611</v>
      </c>
      <c r="BC1126">
        <v>1619</v>
      </c>
      <c r="BD1126" t="s">
        <v>74</v>
      </c>
      <c r="BE1126" t="s">
        <v>7031</v>
      </c>
      <c r="BF1126" t="str">
        <f>HYPERLINK("http://dx.doi.org/10.1007/s10753-020-01236-7","http://dx.doi.org/10.1007/s10753-020-01236-7")</f>
        <v>http://dx.doi.org/10.1007/s10753-020-01236-7</v>
      </c>
      <c r="BG1126" t="s">
        <v>74</v>
      </c>
      <c r="BH1126" t="s">
        <v>7032</v>
      </c>
      <c r="BI1126" t="s">
        <v>74</v>
      </c>
      <c r="BJ1126" t="s">
        <v>7033</v>
      </c>
      <c r="BK1126" t="s">
        <v>117</v>
      </c>
      <c r="BL1126" t="s">
        <v>7033</v>
      </c>
      <c r="BM1126" t="s">
        <v>74</v>
      </c>
      <c r="BN1126">
        <v>32323096</v>
      </c>
      <c r="BO1126" t="s">
        <v>74</v>
      </c>
      <c r="BP1126" t="s">
        <v>74</v>
      </c>
      <c r="BQ1126" t="s">
        <v>74</v>
      </c>
      <c r="BR1126" t="s">
        <v>96</v>
      </c>
      <c r="BS1126" t="s">
        <v>7034</v>
      </c>
      <c r="BT1126" t="str">
        <f>HYPERLINK("https%3A%2F%2Fwww.webofscience.com%2Fwos%2Fwoscc%2Ffull-record%2FWOS:000528103600001","View Full Record in Web of Science")</f>
        <v>View Full Record in Web of Science</v>
      </c>
    </row>
    <row r="1127" spans="1:72" x14ac:dyDescent="0.15">
      <c r="A1127" t="s">
        <v>98</v>
      </c>
      <c r="B1127" t="s">
        <v>7213</v>
      </c>
      <c r="C1127" t="s">
        <v>74</v>
      </c>
      <c r="D1127" t="s">
        <v>74</v>
      </c>
      <c r="E1127" t="s">
        <v>74</v>
      </c>
      <c r="F1127" t="s">
        <v>7214</v>
      </c>
      <c r="G1127" t="s">
        <v>74</v>
      </c>
      <c r="H1127" t="s">
        <v>74</v>
      </c>
      <c r="I1127" t="s">
        <v>7215</v>
      </c>
      <c r="J1127" t="s">
        <v>7216</v>
      </c>
      <c r="K1127" t="s">
        <v>74</v>
      </c>
      <c r="L1127" t="s">
        <v>74</v>
      </c>
      <c r="M1127" t="s">
        <v>74</v>
      </c>
      <c r="N1127" t="s">
        <v>103</v>
      </c>
      <c r="O1127" t="s">
        <v>74</v>
      </c>
      <c r="P1127" t="s">
        <v>74</v>
      </c>
      <c r="Q1127" t="s">
        <v>74</v>
      </c>
      <c r="R1127" t="s">
        <v>74</v>
      </c>
      <c r="S1127" t="s">
        <v>74</v>
      </c>
      <c r="T1127" t="s">
        <v>7217</v>
      </c>
      <c r="U1127" t="s">
        <v>74</v>
      </c>
      <c r="V1127" t="s">
        <v>7218</v>
      </c>
      <c r="W1127" t="s">
        <v>7219</v>
      </c>
      <c r="X1127" t="s">
        <v>7220</v>
      </c>
      <c r="Y1127" t="s">
        <v>7221</v>
      </c>
      <c r="Z1127" t="s">
        <v>7222</v>
      </c>
      <c r="AA1127" t="s">
        <v>74</v>
      </c>
      <c r="AB1127" t="s">
        <v>74</v>
      </c>
      <c r="AC1127" t="s">
        <v>74</v>
      </c>
      <c r="AD1127" t="s">
        <v>74</v>
      </c>
      <c r="AE1127" t="s">
        <v>74</v>
      </c>
      <c r="AF1127" t="s">
        <v>74</v>
      </c>
      <c r="AG1127">
        <v>67</v>
      </c>
      <c r="AH1127">
        <v>11</v>
      </c>
      <c r="AI1127">
        <v>11</v>
      </c>
      <c r="AJ1127">
        <v>2</v>
      </c>
      <c r="AK1127">
        <v>12</v>
      </c>
      <c r="AL1127" t="s">
        <v>74</v>
      </c>
      <c r="AM1127" t="s">
        <v>74</v>
      </c>
      <c r="AN1127" t="s">
        <v>74</v>
      </c>
      <c r="AO1127" t="s">
        <v>7223</v>
      </c>
      <c r="AP1127" t="s">
        <v>7224</v>
      </c>
      <c r="AQ1127" t="s">
        <v>74</v>
      </c>
      <c r="AR1127" t="s">
        <v>74</v>
      </c>
      <c r="AS1127" t="s">
        <v>74</v>
      </c>
      <c r="AT1127" t="s">
        <v>132</v>
      </c>
      <c r="AU1127">
        <v>2021</v>
      </c>
      <c r="AV1127">
        <v>45</v>
      </c>
      <c r="AW1127">
        <v>4</v>
      </c>
      <c r="AX1127" t="s">
        <v>74</v>
      </c>
      <c r="AY1127" t="s">
        <v>74</v>
      </c>
      <c r="AZ1127" t="s">
        <v>74</v>
      </c>
      <c r="BA1127" t="s">
        <v>74</v>
      </c>
      <c r="BB1127" t="s">
        <v>74</v>
      </c>
      <c r="BC1127" t="s">
        <v>74</v>
      </c>
      <c r="BD1127">
        <v>13</v>
      </c>
      <c r="BE1127" t="s">
        <v>7225</v>
      </c>
      <c r="BF1127" t="str">
        <f>HYPERLINK("http://dx.doi.org/10.3892/or.2021.7964","http://dx.doi.org/10.3892/or.2021.7964")</f>
        <v>http://dx.doi.org/10.3892/or.2021.7964</v>
      </c>
      <c r="BG1127" t="s">
        <v>74</v>
      </c>
      <c r="BH1127" t="s">
        <v>74</v>
      </c>
      <c r="BI1127" t="s">
        <v>74</v>
      </c>
      <c r="BJ1127" t="s">
        <v>267</v>
      </c>
      <c r="BK1127" t="s">
        <v>117</v>
      </c>
      <c r="BL1127" t="s">
        <v>267</v>
      </c>
      <c r="BM1127" t="s">
        <v>74</v>
      </c>
      <c r="BN1127">
        <v>33649776</v>
      </c>
      <c r="BO1127" t="s">
        <v>74</v>
      </c>
      <c r="BP1127" t="s">
        <v>74</v>
      </c>
      <c r="BQ1127" t="s">
        <v>74</v>
      </c>
      <c r="BR1127" t="s">
        <v>96</v>
      </c>
      <c r="BS1127" t="s">
        <v>7226</v>
      </c>
      <c r="BT1127" t="str">
        <f>HYPERLINK("https%3A%2F%2Fwww.webofscience.com%2Fwos%2Fwoscc%2Ffull-record%2FWOS:000617248400001","View Full Record in Web of Science")</f>
        <v>View Full Record in Web of Science</v>
      </c>
    </row>
    <row r="1128" spans="1:72" x14ac:dyDescent="0.15">
      <c r="A1128" t="s">
        <v>98</v>
      </c>
      <c r="B1128" t="s">
        <v>8139</v>
      </c>
      <c r="C1128" t="s">
        <v>74</v>
      </c>
      <c r="D1128" t="s">
        <v>74</v>
      </c>
      <c r="E1128" t="s">
        <v>74</v>
      </c>
      <c r="F1128" t="s">
        <v>8140</v>
      </c>
      <c r="G1128" t="s">
        <v>74</v>
      </c>
      <c r="H1128" t="s">
        <v>74</v>
      </c>
      <c r="I1128" t="s">
        <v>8141</v>
      </c>
      <c r="J1128" t="s">
        <v>140</v>
      </c>
      <c r="K1128" t="s">
        <v>74</v>
      </c>
      <c r="L1128" t="s">
        <v>74</v>
      </c>
      <c r="M1128" t="s">
        <v>74</v>
      </c>
      <c r="N1128" t="s">
        <v>103</v>
      </c>
      <c r="O1128" t="s">
        <v>74</v>
      </c>
      <c r="P1128" t="s">
        <v>74</v>
      </c>
      <c r="Q1128" t="s">
        <v>74</v>
      </c>
      <c r="R1128" t="s">
        <v>74</v>
      </c>
      <c r="S1128" t="s">
        <v>74</v>
      </c>
      <c r="T1128" t="s">
        <v>74</v>
      </c>
      <c r="U1128" t="s">
        <v>8142</v>
      </c>
      <c r="V1128" t="s">
        <v>8143</v>
      </c>
      <c r="W1128" t="s">
        <v>8144</v>
      </c>
      <c r="X1128" t="s">
        <v>8145</v>
      </c>
      <c r="Y1128" t="s">
        <v>8146</v>
      </c>
      <c r="Z1128" t="s">
        <v>7803</v>
      </c>
      <c r="AA1128" t="s">
        <v>8147</v>
      </c>
      <c r="AB1128" t="s">
        <v>8148</v>
      </c>
      <c r="AC1128" t="s">
        <v>74</v>
      </c>
      <c r="AD1128" t="s">
        <v>74</v>
      </c>
      <c r="AE1128" t="s">
        <v>74</v>
      </c>
      <c r="AF1128" t="s">
        <v>74</v>
      </c>
      <c r="AG1128">
        <v>34</v>
      </c>
      <c r="AH1128">
        <v>11</v>
      </c>
      <c r="AI1128">
        <v>11</v>
      </c>
      <c r="AJ1128">
        <v>0</v>
      </c>
      <c r="AK1128">
        <v>2</v>
      </c>
      <c r="AL1128" t="s">
        <v>74</v>
      </c>
      <c r="AM1128" t="s">
        <v>74</v>
      </c>
      <c r="AN1128" t="s">
        <v>74</v>
      </c>
      <c r="AO1128" t="s">
        <v>149</v>
      </c>
      <c r="AP1128" t="s">
        <v>74</v>
      </c>
      <c r="AQ1128" t="s">
        <v>74</v>
      </c>
      <c r="AR1128" t="s">
        <v>74</v>
      </c>
      <c r="AS1128" t="s">
        <v>74</v>
      </c>
      <c r="AT1128" t="s">
        <v>8149</v>
      </c>
      <c r="AU1128">
        <v>2020</v>
      </c>
      <c r="AV1128">
        <v>10</v>
      </c>
      <c r="AW1128">
        <v>1</v>
      </c>
      <c r="AX1128" t="s">
        <v>74</v>
      </c>
      <c r="AY1128" t="s">
        <v>74</v>
      </c>
      <c r="AZ1128" t="s">
        <v>74</v>
      </c>
      <c r="BA1128" t="s">
        <v>74</v>
      </c>
      <c r="BB1128" t="s">
        <v>74</v>
      </c>
      <c r="BC1128" t="s">
        <v>74</v>
      </c>
      <c r="BD1128">
        <v>6083</v>
      </c>
      <c r="BE1128" t="s">
        <v>8150</v>
      </c>
      <c r="BF1128" t="str">
        <f>HYPERLINK("http://dx.doi.org/10.1038/s41598-020-63180-8","http://dx.doi.org/10.1038/s41598-020-63180-8")</f>
        <v>http://dx.doi.org/10.1038/s41598-020-63180-8</v>
      </c>
      <c r="BG1128" t="s">
        <v>74</v>
      </c>
      <c r="BH1128" t="s">
        <v>74</v>
      </c>
      <c r="BI1128" t="s">
        <v>74</v>
      </c>
      <c r="BJ1128" t="s">
        <v>152</v>
      </c>
      <c r="BK1128" t="s">
        <v>117</v>
      </c>
      <c r="BL1128" t="s">
        <v>153</v>
      </c>
      <c r="BM1128" t="s">
        <v>74</v>
      </c>
      <c r="BN1128">
        <v>32269293</v>
      </c>
      <c r="BO1128" t="s">
        <v>74</v>
      </c>
      <c r="BP1128" t="s">
        <v>74</v>
      </c>
      <c r="BQ1128" t="s">
        <v>74</v>
      </c>
      <c r="BR1128" t="s">
        <v>96</v>
      </c>
      <c r="BS1128" t="s">
        <v>8151</v>
      </c>
      <c r="BT1128" t="str">
        <f>HYPERLINK("https%3A%2F%2Fwww.webofscience.com%2Fwos%2Fwoscc%2Ffull-record%2FWOS:000559751400007","View Full Record in Web of Science")</f>
        <v>View Full Record in Web of Science</v>
      </c>
    </row>
    <row r="1129" spans="1:72" x14ac:dyDescent="0.15">
      <c r="A1129" t="s">
        <v>98</v>
      </c>
      <c r="B1129" t="s">
        <v>8165</v>
      </c>
      <c r="C1129" t="s">
        <v>74</v>
      </c>
      <c r="D1129" t="s">
        <v>74</v>
      </c>
      <c r="E1129" t="s">
        <v>74</v>
      </c>
      <c r="F1129" t="s">
        <v>8166</v>
      </c>
      <c r="G1129" t="s">
        <v>74</v>
      </c>
      <c r="H1129" t="s">
        <v>74</v>
      </c>
      <c r="I1129" t="s">
        <v>8167</v>
      </c>
      <c r="J1129" t="s">
        <v>8168</v>
      </c>
      <c r="K1129" t="s">
        <v>74</v>
      </c>
      <c r="L1129" t="s">
        <v>74</v>
      </c>
      <c r="M1129" t="s">
        <v>74</v>
      </c>
      <c r="N1129" t="s">
        <v>103</v>
      </c>
      <c r="O1129" t="s">
        <v>74</v>
      </c>
      <c r="P1129" t="s">
        <v>74</v>
      </c>
      <c r="Q1129" t="s">
        <v>74</v>
      </c>
      <c r="R1129" t="s">
        <v>74</v>
      </c>
      <c r="S1129" t="s">
        <v>74</v>
      </c>
      <c r="T1129" t="s">
        <v>74</v>
      </c>
      <c r="U1129" t="s">
        <v>8169</v>
      </c>
      <c r="V1129" t="s">
        <v>8170</v>
      </c>
      <c r="W1129" t="s">
        <v>8171</v>
      </c>
      <c r="X1129" t="s">
        <v>8172</v>
      </c>
      <c r="Y1129" t="s">
        <v>8173</v>
      </c>
      <c r="Z1129" t="s">
        <v>8174</v>
      </c>
      <c r="AA1129" t="s">
        <v>8175</v>
      </c>
      <c r="AB1129" t="s">
        <v>8176</v>
      </c>
      <c r="AC1129" t="s">
        <v>74</v>
      </c>
      <c r="AD1129" t="s">
        <v>74</v>
      </c>
      <c r="AE1129" t="s">
        <v>74</v>
      </c>
      <c r="AF1129" t="s">
        <v>74</v>
      </c>
      <c r="AG1129">
        <v>57</v>
      </c>
      <c r="AH1129">
        <v>11</v>
      </c>
      <c r="AI1129">
        <v>11</v>
      </c>
      <c r="AJ1129">
        <v>1</v>
      </c>
      <c r="AK1129">
        <v>7</v>
      </c>
      <c r="AL1129" t="s">
        <v>74</v>
      </c>
      <c r="AM1129" t="s">
        <v>74</v>
      </c>
      <c r="AN1129" t="s">
        <v>74</v>
      </c>
      <c r="AO1129" t="s">
        <v>8177</v>
      </c>
      <c r="AP1129" t="s">
        <v>8178</v>
      </c>
      <c r="AQ1129" t="s">
        <v>74</v>
      </c>
      <c r="AR1129" t="s">
        <v>74</v>
      </c>
      <c r="AS1129" t="s">
        <v>74</v>
      </c>
      <c r="AT1129" t="s">
        <v>8179</v>
      </c>
      <c r="AU1129">
        <v>2021</v>
      </c>
      <c r="AV1129">
        <v>220</v>
      </c>
      <c r="AW1129">
        <v>12</v>
      </c>
      <c r="AX1129" t="s">
        <v>74</v>
      </c>
      <c r="AY1129" t="s">
        <v>74</v>
      </c>
      <c r="AZ1129" t="s">
        <v>74</v>
      </c>
      <c r="BA1129" t="s">
        <v>74</v>
      </c>
      <c r="BB1129" t="s">
        <v>74</v>
      </c>
      <c r="BC1129" t="s">
        <v>74</v>
      </c>
      <c r="BD1129" t="s">
        <v>8180</v>
      </c>
      <c r="BE1129" t="s">
        <v>8181</v>
      </c>
      <c r="BF1129" t="str">
        <f>HYPERLINK("http://dx.doi.org/10.1083/jcb.202006049","http://dx.doi.org/10.1083/jcb.202006049")</f>
        <v>http://dx.doi.org/10.1083/jcb.202006049</v>
      </c>
      <c r="BG1129" t="s">
        <v>74</v>
      </c>
      <c r="BH1129" t="s">
        <v>74</v>
      </c>
      <c r="BI1129" t="s">
        <v>74</v>
      </c>
      <c r="BJ1129" t="s">
        <v>135</v>
      </c>
      <c r="BK1129" t="s">
        <v>117</v>
      </c>
      <c r="BL1129" t="s">
        <v>135</v>
      </c>
      <c r="BM1129" t="s">
        <v>74</v>
      </c>
      <c r="BN1129">
        <v>34623384</v>
      </c>
      <c r="BO1129" t="s">
        <v>74</v>
      </c>
      <c r="BP1129" t="s">
        <v>74</v>
      </c>
      <c r="BQ1129" t="s">
        <v>74</v>
      </c>
      <c r="BR1129" t="s">
        <v>96</v>
      </c>
      <c r="BS1129" t="s">
        <v>8182</v>
      </c>
      <c r="BT1129" t="str">
        <f>HYPERLINK("https%3A%2F%2Fwww.webofscience.com%2Fwos%2Fwoscc%2Ffull-record%2FWOS:000707568000001","View Full Record in Web of Science")</f>
        <v>View Full Record in Web of Science</v>
      </c>
    </row>
    <row r="1130" spans="1:72" x14ac:dyDescent="0.15">
      <c r="A1130" t="s">
        <v>98</v>
      </c>
      <c r="B1130" t="s">
        <v>9408</v>
      </c>
      <c r="C1130" t="s">
        <v>74</v>
      </c>
      <c r="D1130" t="s">
        <v>74</v>
      </c>
      <c r="E1130" t="s">
        <v>74</v>
      </c>
      <c r="F1130" t="s">
        <v>9409</v>
      </c>
      <c r="G1130" t="s">
        <v>74</v>
      </c>
      <c r="H1130" t="s">
        <v>74</v>
      </c>
      <c r="I1130" t="s">
        <v>9410</v>
      </c>
      <c r="J1130" t="s">
        <v>3650</v>
      </c>
      <c r="K1130" t="s">
        <v>74</v>
      </c>
      <c r="L1130" t="s">
        <v>74</v>
      </c>
      <c r="M1130" t="s">
        <v>74</v>
      </c>
      <c r="N1130" t="s">
        <v>103</v>
      </c>
      <c r="O1130" t="s">
        <v>74</v>
      </c>
      <c r="P1130" t="s">
        <v>74</v>
      </c>
      <c r="Q1130" t="s">
        <v>74</v>
      </c>
      <c r="R1130" t="s">
        <v>74</v>
      </c>
      <c r="S1130" t="s">
        <v>74</v>
      </c>
      <c r="T1130" t="s">
        <v>9411</v>
      </c>
      <c r="U1130" t="s">
        <v>9412</v>
      </c>
      <c r="V1130" t="s">
        <v>9413</v>
      </c>
      <c r="W1130" t="s">
        <v>9414</v>
      </c>
      <c r="X1130" t="s">
        <v>9415</v>
      </c>
      <c r="Y1130" t="s">
        <v>9416</v>
      </c>
      <c r="Z1130" t="s">
        <v>9417</v>
      </c>
      <c r="AA1130" t="s">
        <v>74</v>
      </c>
      <c r="AB1130" t="s">
        <v>74</v>
      </c>
      <c r="AC1130" t="s">
        <v>74</v>
      </c>
      <c r="AD1130" t="s">
        <v>74</v>
      </c>
      <c r="AE1130" t="s">
        <v>74</v>
      </c>
      <c r="AF1130" t="s">
        <v>74</v>
      </c>
      <c r="AG1130">
        <v>76</v>
      </c>
      <c r="AH1130">
        <v>11</v>
      </c>
      <c r="AI1130">
        <v>11</v>
      </c>
      <c r="AJ1130">
        <v>34</v>
      </c>
      <c r="AK1130">
        <v>131</v>
      </c>
      <c r="AL1130" t="s">
        <v>74</v>
      </c>
      <c r="AM1130" t="s">
        <v>74</v>
      </c>
      <c r="AN1130" t="s">
        <v>74</v>
      </c>
      <c r="AO1130" t="s">
        <v>74</v>
      </c>
      <c r="AP1130" t="s">
        <v>3659</v>
      </c>
      <c r="AQ1130" t="s">
        <v>74</v>
      </c>
      <c r="AR1130" t="s">
        <v>74</v>
      </c>
      <c r="AS1130" t="s">
        <v>74</v>
      </c>
      <c r="AT1130" t="s">
        <v>9418</v>
      </c>
      <c r="AU1130">
        <v>2021</v>
      </c>
      <c r="AV1130">
        <v>332</v>
      </c>
      <c r="AW1130" t="s">
        <v>74</v>
      </c>
      <c r="AX1130" t="s">
        <v>74</v>
      </c>
      <c r="AY1130" t="s">
        <v>74</v>
      </c>
      <c r="AZ1130" t="s">
        <v>74</v>
      </c>
      <c r="BA1130" t="s">
        <v>74</v>
      </c>
      <c r="BB1130" t="s">
        <v>74</v>
      </c>
      <c r="BC1130" t="s">
        <v>74</v>
      </c>
      <c r="BD1130">
        <v>129471</v>
      </c>
      <c r="BE1130" t="s">
        <v>9419</v>
      </c>
      <c r="BF1130" t="str">
        <f>HYPERLINK("http://dx.doi.org/10.1016/j.snb.2021.129471","http://dx.doi.org/10.1016/j.snb.2021.129471")</f>
        <v>http://dx.doi.org/10.1016/j.snb.2021.129471</v>
      </c>
      <c r="BG1130" t="s">
        <v>74</v>
      </c>
      <c r="BH1130" t="s">
        <v>3662</v>
      </c>
      <c r="BI1130" t="s">
        <v>74</v>
      </c>
      <c r="BJ1130" t="s">
        <v>3663</v>
      </c>
      <c r="BK1130" t="s">
        <v>117</v>
      </c>
      <c r="BL1130" t="s">
        <v>3664</v>
      </c>
      <c r="BM1130" t="s">
        <v>74</v>
      </c>
      <c r="BN1130" t="s">
        <v>74</v>
      </c>
      <c r="BO1130" t="s">
        <v>74</v>
      </c>
      <c r="BP1130" t="s">
        <v>74</v>
      </c>
      <c r="BQ1130" t="s">
        <v>74</v>
      </c>
      <c r="BR1130" t="s">
        <v>96</v>
      </c>
      <c r="BS1130" t="s">
        <v>9420</v>
      </c>
      <c r="BT1130" t="str">
        <f>HYPERLINK("https%3A%2F%2Fwww.webofscience.com%2Fwos%2Fwoscc%2Ffull-record%2FWOS:000618773500010","View Full Record in Web of Science")</f>
        <v>View Full Record in Web of Science</v>
      </c>
    </row>
    <row r="1131" spans="1:72" x14ac:dyDescent="0.15">
      <c r="A1131" t="s">
        <v>98</v>
      </c>
      <c r="B1131" t="s">
        <v>9962</v>
      </c>
      <c r="C1131" t="s">
        <v>74</v>
      </c>
      <c r="D1131" t="s">
        <v>74</v>
      </c>
      <c r="E1131" t="s">
        <v>74</v>
      </c>
      <c r="F1131" t="s">
        <v>9963</v>
      </c>
      <c r="G1131" t="s">
        <v>74</v>
      </c>
      <c r="H1131" t="s">
        <v>74</v>
      </c>
      <c r="I1131" t="s">
        <v>9964</v>
      </c>
      <c r="J1131" t="s">
        <v>3700</v>
      </c>
      <c r="K1131" t="s">
        <v>74</v>
      </c>
      <c r="L1131" t="s">
        <v>74</v>
      </c>
      <c r="M1131" t="s">
        <v>74</v>
      </c>
      <c r="N1131" t="s">
        <v>103</v>
      </c>
      <c r="O1131" t="s">
        <v>74</v>
      </c>
      <c r="P1131" t="s">
        <v>74</v>
      </c>
      <c r="Q1131" t="s">
        <v>74</v>
      </c>
      <c r="R1131" t="s">
        <v>74</v>
      </c>
      <c r="S1131" t="s">
        <v>74</v>
      </c>
      <c r="T1131" t="s">
        <v>74</v>
      </c>
      <c r="U1131" t="s">
        <v>9965</v>
      </c>
      <c r="V1131" t="s">
        <v>9966</v>
      </c>
      <c r="W1131" t="s">
        <v>9967</v>
      </c>
      <c r="X1131" t="s">
        <v>9968</v>
      </c>
      <c r="Y1131" t="s">
        <v>9969</v>
      </c>
      <c r="Z1131" t="s">
        <v>8537</v>
      </c>
      <c r="AA1131" t="s">
        <v>9970</v>
      </c>
      <c r="AB1131" t="s">
        <v>9971</v>
      </c>
      <c r="AC1131" t="s">
        <v>74</v>
      </c>
      <c r="AD1131" t="s">
        <v>74</v>
      </c>
      <c r="AE1131" t="s">
        <v>74</v>
      </c>
      <c r="AF1131" t="s">
        <v>74</v>
      </c>
      <c r="AG1131">
        <v>38</v>
      </c>
      <c r="AH1131">
        <v>11</v>
      </c>
      <c r="AI1131">
        <v>11</v>
      </c>
      <c r="AJ1131">
        <v>7</v>
      </c>
      <c r="AK1131">
        <v>13</v>
      </c>
      <c r="AL1131" t="s">
        <v>74</v>
      </c>
      <c r="AM1131" t="s">
        <v>74</v>
      </c>
      <c r="AN1131" t="s">
        <v>74</v>
      </c>
      <c r="AO1131" t="s">
        <v>74</v>
      </c>
      <c r="AP1131" t="s">
        <v>3711</v>
      </c>
      <c r="AQ1131" t="s">
        <v>74</v>
      </c>
      <c r="AR1131" t="s">
        <v>74</v>
      </c>
      <c r="AS1131" t="s">
        <v>74</v>
      </c>
      <c r="AT1131" t="s">
        <v>9754</v>
      </c>
      <c r="AU1131">
        <v>2021</v>
      </c>
      <c r="AV1131">
        <v>296</v>
      </c>
      <c r="AW1131" t="s">
        <v>74</v>
      </c>
      <c r="AX1131" t="s">
        <v>74</v>
      </c>
      <c r="AY1131" t="s">
        <v>74</v>
      </c>
      <c r="AZ1131" t="s">
        <v>74</v>
      </c>
      <c r="BA1131" t="s">
        <v>74</v>
      </c>
      <c r="BB1131" t="s">
        <v>74</v>
      </c>
      <c r="BC1131" t="s">
        <v>74</v>
      </c>
      <c r="BD1131">
        <v>100523</v>
      </c>
      <c r="BE1131" t="s">
        <v>9972</v>
      </c>
      <c r="BF1131" t="str">
        <f>HYPERLINK("http://dx.doi.org/10.1016/j.jbc.2021.100523","http://dx.doi.org/10.1016/j.jbc.2021.100523")</f>
        <v>http://dx.doi.org/10.1016/j.jbc.2021.100523</v>
      </c>
      <c r="BG1131" t="s">
        <v>74</v>
      </c>
      <c r="BH1131" t="s">
        <v>74</v>
      </c>
      <c r="BI1131" t="s">
        <v>74</v>
      </c>
      <c r="BJ1131" t="s">
        <v>95</v>
      </c>
      <c r="BK1131" t="s">
        <v>117</v>
      </c>
      <c r="BL1131" t="s">
        <v>95</v>
      </c>
      <c r="BM1131" t="s">
        <v>74</v>
      </c>
      <c r="BN1131">
        <v>33711340</v>
      </c>
      <c r="BO1131" t="s">
        <v>74</v>
      </c>
      <c r="BP1131" t="s">
        <v>74</v>
      </c>
      <c r="BQ1131" t="s">
        <v>74</v>
      </c>
      <c r="BR1131" t="s">
        <v>96</v>
      </c>
      <c r="BS1131" t="s">
        <v>9973</v>
      </c>
      <c r="BT1131" t="str">
        <f>HYPERLINK("https%3A%2F%2Fwww.webofscience.com%2Fwos%2Fwoscc%2Ffull-record%2FWOS:000672866400497","View Full Record in Web of Science")</f>
        <v>View Full Record in Web of Science</v>
      </c>
    </row>
    <row r="1132" spans="1:72" x14ac:dyDescent="0.15">
      <c r="A1132" t="s">
        <v>98</v>
      </c>
      <c r="B1132" t="s">
        <v>10062</v>
      </c>
      <c r="C1132" t="s">
        <v>74</v>
      </c>
      <c r="D1132" t="s">
        <v>74</v>
      </c>
      <c r="E1132" t="s">
        <v>74</v>
      </c>
      <c r="F1132" t="s">
        <v>10063</v>
      </c>
      <c r="G1132" t="s">
        <v>74</v>
      </c>
      <c r="H1132" t="s">
        <v>74</v>
      </c>
      <c r="I1132" t="s">
        <v>10064</v>
      </c>
      <c r="J1132" t="s">
        <v>4486</v>
      </c>
      <c r="K1132" t="s">
        <v>74</v>
      </c>
      <c r="L1132" t="s">
        <v>74</v>
      </c>
      <c r="M1132" t="s">
        <v>74</v>
      </c>
      <c r="N1132" t="s">
        <v>103</v>
      </c>
      <c r="O1132" t="s">
        <v>74</v>
      </c>
      <c r="P1132" t="s">
        <v>74</v>
      </c>
      <c r="Q1132" t="s">
        <v>74</v>
      </c>
      <c r="R1132" t="s">
        <v>74</v>
      </c>
      <c r="S1132" t="s">
        <v>74</v>
      </c>
      <c r="T1132" t="s">
        <v>74</v>
      </c>
      <c r="U1132" t="s">
        <v>10065</v>
      </c>
      <c r="V1132" t="s">
        <v>10066</v>
      </c>
      <c r="W1132" t="s">
        <v>10067</v>
      </c>
      <c r="X1132" t="s">
        <v>10068</v>
      </c>
      <c r="Y1132" t="s">
        <v>10069</v>
      </c>
      <c r="Z1132" t="s">
        <v>10070</v>
      </c>
      <c r="AA1132" t="s">
        <v>74</v>
      </c>
      <c r="AB1132" t="s">
        <v>10071</v>
      </c>
      <c r="AC1132" t="s">
        <v>74</v>
      </c>
      <c r="AD1132" t="s">
        <v>74</v>
      </c>
      <c r="AE1132" t="s">
        <v>74</v>
      </c>
      <c r="AF1132" t="s">
        <v>74</v>
      </c>
      <c r="AG1132">
        <v>55</v>
      </c>
      <c r="AH1132">
        <v>11</v>
      </c>
      <c r="AI1132">
        <v>11</v>
      </c>
      <c r="AJ1132">
        <v>52</v>
      </c>
      <c r="AK1132">
        <v>122</v>
      </c>
      <c r="AL1132" t="s">
        <v>74</v>
      </c>
      <c r="AM1132" t="s">
        <v>74</v>
      </c>
      <c r="AN1132" t="s">
        <v>74</v>
      </c>
      <c r="AO1132" t="s">
        <v>4493</v>
      </c>
      <c r="AP1132" t="s">
        <v>4494</v>
      </c>
      <c r="AQ1132" t="s">
        <v>74</v>
      </c>
      <c r="AR1132" t="s">
        <v>74</v>
      </c>
      <c r="AS1132" t="s">
        <v>74</v>
      </c>
      <c r="AT1132" t="s">
        <v>10046</v>
      </c>
      <c r="AU1132">
        <v>2021</v>
      </c>
      <c r="AV1132">
        <v>93</v>
      </c>
      <c r="AW1132">
        <v>32</v>
      </c>
      <c r="AX1132" t="s">
        <v>74</v>
      </c>
      <c r="AY1132" t="s">
        <v>74</v>
      </c>
      <c r="AZ1132" t="s">
        <v>74</v>
      </c>
      <c r="BA1132" t="s">
        <v>74</v>
      </c>
      <c r="BB1132">
        <v>11298</v>
      </c>
      <c r="BC1132">
        <v>11304</v>
      </c>
      <c r="BD1132" t="s">
        <v>74</v>
      </c>
      <c r="BE1132" t="s">
        <v>10072</v>
      </c>
      <c r="BF1132" t="str">
        <f>HYPERLINK("http://dx.doi.org/10.1021/acs.analchem.1c02489","http://dx.doi.org/10.1021/acs.analchem.1c02489")</f>
        <v>http://dx.doi.org/10.1021/acs.analchem.1c02489</v>
      </c>
      <c r="BG1132" t="s">
        <v>74</v>
      </c>
      <c r="BH1132" t="s">
        <v>1663</v>
      </c>
      <c r="BI1132" t="s">
        <v>74</v>
      </c>
      <c r="BJ1132" t="s">
        <v>1118</v>
      </c>
      <c r="BK1132" t="s">
        <v>117</v>
      </c>
      <c r="BL1132" t="s">
        <v>1048</v>
      </c>
      <c r="BM1132" t="s">
        <v>74</v>
      </c>
      <c r="BN1132">
        <v>34369142</v>
      </c>
      <c r="BO1132" t="s">
        <v>74</v>
      </c>
      <c r="BP1132" t="s">
        <v>74</v>
      </c>
      <c r="BQ1132" t="s">
        <v>74</v>
      </c>
      <c r="BR1132" t="s">
        <v>96</v>
      </c>
      <c r="BS1132" t="s">
        <v>10073</v>
      </c>
      <c r="BT1132" t="str">
        <f>HYPERLINK("https%3A%2F%2Fwww.webofscience.com%2Fwos%2Fwoscc%2Ffull-record%2FWOS:000687058400030","View Full Record in Web of Science")</f>
        <v>View Full Record in Web of Science</v>
      </c>
    </row>
    <row r="1133" spans="1:72" x14ac:dyDescent="0.15">
      <c r="A1133" t="s">
        <v>98</v>
      </c>
      <c r="B1133" t="s">
        <v>10230</v>
      </c>
      <c r="C1133" t="s">
        <v>74</v>
      </c>
      <c r="D1133" t="s">
        <v>74</v>
      </c>
      <c r="E1133" t="s">
        <v>74</v>
      </c>
      <c r="F1133" t="s">
        <v>10231</v>
      </c>
      <c r="G1133" t="s">
        <v>74</v>
      </c>
      <c r="H1133" t="s">
        <v>74</v>
      </c>
      <c r="I1133" t="s">
        <v>10232</v>
      </c>
      <c r="J1133" t="s">
        <v>10233</v>
      </c>
      <c r="K1133" t="s">
        <v>74</v>
      </c>
      <c r="L1133" t="s">
        <v>74</v>
      </c>
      <c r="M1133" t="s">
        <v>74</v>
      </c>
      <c r="N1133" t="s">
        <v>103</v>
      </c>
      <c r="O1133" t="s">
        <v>74</v>
      </c>
      <c r="P1133" t="s">
        <v>74</v>
      </c>
      <c r="Q1133" t="s">
        <v>74</v>
      </c>
      <c r="R1133" t="s">
        <v>74</v>
      </c>
      <c r="S1133" t="s">
        <v>74</v>
      </c>
      <c r="T1133" t="s">
        <v>74</v>
      </c>
      <c r="U1133" t="s">
        <v>10234</v>
      </c>
      <c r="V1133" t="s">
        <v>10235</v>
      </c>
      <c r="W1133" t="s">
        <v>10236</v>
      </c>
      <c r="X1133" t="s">
        <v>10237</v>
      </c>
      <c r="Y1133" t="s">
        <v>10238</v>
      </c>
      <c r="Z1133" t="s">
        <v>10239</v>
      </c>
      <c r="AA1133" t="s">
        <v>10240</v>
      </c>
      <c r="AB1133" t="s">
        <v>10241</v>
      </c>
      <c r="AC1133" t="s">
        <v>74</v>
      </c>
      <c r="AD1133" t="s">
        <v>74</v>
      </c>
      <c r="AE1133" t="s">
        <v>74</v>
      </c>
      <c r="AF1133" t="s">
        <v>74</v>
      </c>
      <c r="AG1133">
        <v>68</v>
      </c>
      <c r="AH1133">
        <v>11</v>
      </c>
      <c r="AI1133">
        <v>11</v>
      </c>
      <c r="AJ1133">
        <v>7</v>
      </c>
      <c r="AK1133">
        <v>44</v>
      </c>
      <c r="AL1133" t="s">
        <v>74</v>
      </c>
      <c r="AM1133" t="s">
        <v>74</v>
      </c>
      <c r="AN1133" t="s">
        <v>74</v>
      </c>
      <c r="AO1133" t="s">
        <v>10242</v>
      </c>
      <c r="AP1133" t="s">
        <v>10243</v>
      </c>
      <c r="AQ1133" t="s">
        <v>74</v>
      </c>
      <c r="AR1133" t="s">
        <v>74</v>
      </c>
      <c r="AS1133" t="s">
        <v>74</v>
      </c>
      <c r="AT1133" t="s">
        <v>4993</v>
      </c>
      <c r="AU1133">
        <v>2019</v>
      </c>
      <c r="AV1133">
        <v>62</v>
      </c>
      <c r="AW1133">
        <v>4</v>
      </c>
      <c r="AX1133" t="s">
        <v>74</v>
      </c>
      <c r="AY1133" t="s">
        <v>74</v>
      </c>
      <c r="AZ1133" t="s">
        <v>74</v>
      </c>
      <c r="BA1133" t="s">
        <v>74</v>
      </c>
      <c r="BB1133">
        <v>1959</v>
      </c>
      <c r="BC1133">
        <v>1970</v>
      </c>
      <c r="BD1133" t="s">
        <v>74</v>
      </c>
      <c r="BE1133" t="s">
        <v>10244</v>
      </c>
      <c r="BF1133" t="str">
        <f>HYPERLINK("http://dx.doi.org/10.1021/acs.jmedchem.8b01508","http://dx.doi.org/10.1021/acs.jmedchem.8b01508")</f>
        <v>http://dx.doi.org/10.1021/acs.jmedchem.8b01508</v>
      </c>
      <c r="BG1133" t="s">
        <v>74</v>
      </c>
      <c r="BH1133" t="s">
        <v>74</v>
      </c>
      <c r="BI1133" t="s">
        <v>74</v>
      </c>
      <c r="BJ1133" t="s">
        <v>10245</v>
      </c>
      <c r="BK1133" t="s">
        <v>10246</v>
      </c>
      <c r="BL1133" t="s">
        <v>533</v>
      </c>
      <c r="BM1133" t="s">
        <v>74</v>
      </c>
      <c r="BN1133">
        <v>30703330</v>
      </c>
      <c r="BO1133" t="s">
        <v>74</v>
      </c>
      <c r="BP1133" t="s">
        <v>74</v>
      </c>
      <c r="BQ1133" t="s">
        <v>74</v>
      </c>
      <c r="BR1133" t="s">
        <v>96</v>
      </c>
      <c r="BS1133" t="s">
        <v>10247</v>
      </c>
      <c r="BT1133" t="str">
        <f>HYPERLINK("https%3A%2F%2Fwww.webofscience.com%2Fwos%2Fwoscc%2Ffull-record%2FWOS:000460365600016","View Full Record in Web of Science")</f>
        <v>View Full Record in Web of Science</v>
      </c>
    </row>
    <row r="1134" spans="1:72" x14ac:dyDescent="0.15">
      <c r="A1134" t="s">
        <v>98</v>
      </c>
      <c r="B1134" t="s">
        <v>11134</v>
      </c>
      <c r="C1134" t="s">
        <v>74</v>
      </c>
      <c r="D1134" t="s">
        <v>74</v>
      </c>
      <c r="E1134" t="s">
        <v>74</v>
      </c>
      <c r="F1134" t="s">
        <v>11135</v>
      </c>
      <c r="G1134" t="s">
        <v>74</v>
      </c>
      <c r="H1134" t="s">
        <v>74</v>
      </c>
      <c r="I1134" t="s">
        <v>11136</v>
      </c>
      <c r="J1134" t="s">
        <v>11137</v>
      </c>
      <c r="K1134" t="s">
        <v>74</v>
      </c>
      <c r="L1134" t="s">
        <v>74</v>
      </c>
      <c r="M1134" t="s">
        <v>74</v>
      </c>
      <c r="N1134" t="s">
        <v>103</v>
      </c>
      <c r="O1134" t="s">
        <v>74</v>
      </c>
      <c r="P1134" t="s">
        <v>74</v>
      </c>
      <c r="Q1134" t="s">
        <v>74</v>
      </c>
      <c r="R1134" t="s">
        <v>74</v>
      </c>
      <c r="S1134" t="s">
        <v>74</v>
      </c>
      <c r="T1134" t="s">
        <v>11138</v>
      </c>
      <c r="U1134" t="s">
        <v>11139</v>
      </c>
      <c r="V1134" t="s">
        <v>11140</v>
      </c>
      <c r="W1134" t="s">
        <v>11141</v>
      </c>
      <c r="X1134" t="s">
        <v>11142</v>
      </c>
      <c r="Y1134" t="s">
        <v>11143</v>
      </c>
      <c r="Z1134" t="s">
        <v>11144</v>
      </c>
      <c r="AA1134" t="s">
        <v>74</v>
      </c>
      <c r="AB1134" t="s">
        <v>74</v>
      </c>
      <c r="AC1134" t="s">
        <v>74</v>
      </c>
      <c r="AD1134" t="s">
        <v>74</v>
      </c>
      <c r="AE1134" t="s">
        <v>74</v>
      </c>
      <c r="AF1134" t="s">
        <v>74</v>
      </c>
      <c r="AG1134">
        <v>79</v>
      </c>
      <c r="AH1134">
        <v>11</v>
      </c>
      <c r="AI1134">
        <v>11</v>
      </c>
      <c r="AJ1134">
        <v>0</v>
      </c>
      <c r="AK1134">
        <v>29</v>
      </c>
      <c r="AL1134" t="s">
        <v>74</v>
      </c>
      <c r="AM1134" t="s">
        <v>74</v>
      </c>
      <c r="AN1134" t="s">
        <v>74</v>
      </c>
      <c r="AO1134" t="s">
        <v>74</v>
      </c>
      <c r="AP1134" t="s">
        <v>11145</v>
      </c>
      <c r="AQ1134" t="s">
        <v>74</v>
      </c>
      <c r="AR1134" t="s">
        <v>74</v>
      </c>
      <c r="AS1134" t="s">
        <v>74</v>
      </c>
      <c r="AT1134" t="s">
        <v>11146</v>
      </c>
      <c r="AU1134">
        <v>2014</v>
      </c>
      <c r="AV1134">
        <v>9</v>
      </c>
      <c r="AW1134" t="s">
        <v>74</v>
      </c>
      <c r="AX1134" t="s">
        <v>74</v>
      </c>
      <c r="AY1134" t="s">
        <v>74</v>
      </c>
      <c r="AZ1134" t="s">
        <v>74</v>
      </c>
      <c r="BA1134" t="s">
        <v>74</v>
      </c>
      <c r="BB1134" t="s">
        <v>74</v>
      </c>
      <c r="BC1134" t="s">
        <v>74</v>
      </c>
      <c r="BD1134">
        <v>27</v>
      </c>
      <c r="BE1134" t="s">
        <v>11147</v>
      </c>
      <c r="BF1134" t="str">
        <f>HYPERLINK("http://dx.doi.org/10.1186/s13062-014-0027-4","http://dx.doi.org/10.1186/s13062-014-0027-4")</f>
        <v>http://dx.doi.org/10.1186/s13062-014-0027-4</v>
      </c>
      <c r="BG1134" t="s">
        <v>74</v>
      </c>
      <c r="BH1134" t="s">
        <v>74</v>
      </c>
      <c r="BI1134" t="s">
        <v>74</v>
      </c>
      <c r="BJ1134" t="s">
        <v>1643</v>
      </c>
      <c r="BK1134" t="s">
        <v>117</v>
      </c>
      <c r="BL1134" t="s">
        <v>1644</v>
      </c>
      <c r="BM1134" t="s">
        <v>74</v>
      </c>
      <c r="BN1134">
        <v>25472905</v>
      </c>
      <c r="BO1134" t="s">
        <v>74</v>
      </c>
      <c r="BP1134" t="s">
        <v>74</v>
      </c>
      <c r="BQ1134" t="s">
        <v>74</v>
      </c>
      <c r="BR1134" t="s">
        <v>96</v>
      </c>
      <c r="BS1134" t="s">
        <v>11148</v>
      </c>
      <c r="BT1134" t="str">
        <f>HYPERLINK("https%3A%2F%2Fwww.webofscience.com%2Fwos%2Fwoscc%2Ffull-record%2FWOS:000346385400001","View Full Record in Web of Science")</f>
        <v>View Full Record in Web of Science</v>
      </c>
    </row>
    <row r="1135" spans="1:72" x14ac:dyDescent="0.15">
      <c r="A1135" t="s">
        <v>98</v>
      </c>
      <c r="B1135" t="s">
        <v>11422</v>
      </c>
      <c r="C1135" t="s">
        <v>74</v>
      </c>
      <c r="D1135" t="s">
        <v>74</v>
      </c>
      <c r="E1135" t="s">
        <v>74</v>
      </c>
      <c r="F1135" t="s">
        <v>11423</v>
      </c>
      <c r="G1135" t="s">
        <v>74</v>
      </c>
      <c r="H1135" t="s">
        <v>74</v>
      </c>
      <c r="I1135" t="s">
        <v>11424</v>
      </c>
      <c r="J1135" t="s">
        <v>1877</v>
      </c>
      <c r="K1135" t="s">
        <v>74</v>
      </c>
      <c r="L1135" t="s">
        <v>74</v>
      </c>
      <c r="M1135" t="s">
        <v>74</v>
      </c>
      <c r="N1135" t="s">
        <v>103</v>
      </c>
      <c r="O1135" t="s">
        <v>74</v>
      </c>
      <c r="P1135" t="s">
        <v>74</v>
      </c>
      <c r="Q1135" t="s">
        <v>74</v>
      </c>
      <c r="R1135" t="s">
        <v>74</v>
      </c>
      <c r="S1135" t="s">
        <v>74</v>
      </c>
      <c r="T1135" t="s">
        <v>11425</v>
      </c>
      <c r="U1135" t="s">
        <v>11426</v>
      </c>
      <c r="V1135" t="s">
        <v>11427</v>
      </c>
      <c r="W1135" t="s">
        <v>11428</v>
      </c>
      <c r="X1135" t="s">
        <v>9372</v>
      </c>
      <c r="Y1135" t="s">
        <v>11429</v>
      </c>
      <c r="Z1135" t="s">
        <v>11430</v>
      </c>
      <c r="AA1135" t="s">
        <v>74</v>
      </c>
      <c r="AB1135" t="s">
        <v>74</v>
      </c>
      <c r="AC1135" t="s">
        <v>74</v>
      </c>
      <c r="AD1135" t="s">
        <v>74</v>
      </c>
      <c r="AE1135" t="s">
        <v>74</v>
      </c>
      <c r="AF1135" t="s">
        <v>74</v>
      </c>
      <c r="AG1135">
        <v>39</v>
      </c>
      <c r="AH1135">
        <v>11</v>
      </c>
      <c r="AI1135">
        <v>11</v>
      </c>
      <c r="AJ1135">
        <v>3</v>
      </c>
      <c r="AK1135">
        <v>8</v>
      </c>
      <c r="AL1135" t="s">
        <v>74</v>
      </c>
      <c r="AM1135" t="s">
        <v>74</v>
      </c>
      <c r="AN1135" t="s">
        <v>74</v>
      </c>
      <c r="AO1135" t="s">
        <v>1885</v>
      </c>
      <c r="AP1135" t="s">
        <v>1886</v>
      </c>
      <c r="AQ1135" t="s">
        <v>74</v>
      </c>
      <c r="AR1135" t="s">
        <v>74</v>
      </c>
      <c r="AS1135" t="s">
        <v>74</v>
      </c>
      <c r="AT1135" t="s">
        <v>531</v>
      </c>
      <c r="AU1135">
        <v>2020</v>
      </c>
      <c r="AV1135">
        <v>20</v>
      </c>
      <c r="AW1135">
        <v>3</v>
      </c>
      <c r="AX1135" t="s">
        <v>74</v>
      </c>
      <c r="AY1135" t="s">
        <v>74</v>
      </c>
      <c r="AZ1135" t="s">
        <v>74</v>
      </c>
      <c r="BA1135" t="s">
        <v>74</v>
      </c>
      <c r="BB1135">
        <v>2199</v>
      </c>
      <c r="BC1135">
        <v>2208</v>
      </c>
      <c r="BD1135" t="s">
        <v>74</v>
      </c>
      <c r="BE1135" t="s">
        <v>11431</v>
      </c>
      <c r="BF1135" t="str">
        <f>HYPERLINK("http://dx.doi.org/10.3892/ol.2020.11800","http://dx.doi.org/10.3892/ol.2020.11800")</f>
        <v>http://dx.doi.org/10.3892/ol.2020.11800</v>
      </c>
      <c r="BG1135" t="s">
        <v>74</v>
      </c>
      <c r="BH1135" t="s">
        <v>74</v>
      </c>
      <c r="BI1135" t="s">
        <v>74</v>
      </c>
      <c r="BJ1135" t="s">
        <v>267</v>
      </c>
      <c r="BK1135" t="s">
        <v>117</v>
      </c>
      <c r="BL1135" t="s">
        <v>267</v>
      </c>
      <c r="BM1135" t="s">
        <v>74</v>
      </c>
      <c r="BN1135">
        <v>32765789</v>
      </c>
      <c r="BO1135" t="s">
        <v>74</v>
      </c>
      <c r="BP1135" t="s">
        <v>74</v>
      </c>
      <c r="BQ1135" t="s">
        <v>74</v>
      </c>
      <c r="BR1135" t="s">
        <v>96</v>
      </c>
      <c r="BS1135" t="s">
        <v>11432</v>
      </c>
      <c r="BT1135" t="str">
        <f>HYPERLINK("https%3A%2F%2Fwww.webofscience.com%2Fwos%2Fwoscc%2Ffull-record%2FWOS:000563938300015","View Full Record in Web of Science")</f>
        <v>View Full Record in Web of Science</v>
      </c>
    </row>
    <row r="1136" spans="1:72" x14ac:dyDescent="0.15">
      <c r="A1136" t="s">
        <v>98</v>
      </c>
      <c r="B1136" t="s">
        <v>11486</v>
      </c>
      <c r="C1136" t="s">
        <v>74</v>
      </c>
      <c r="D1136" t="s">
        <v>74</v>
      </c>
      <c r="E1136" t="s">
        <v>74</v>
      </c>
      <c r="F1136" t="s">
        <v>11487</v>
      </c>
      <c r="G1136" t="s">
        <v>74</v>
      </c>
      <c r="H1136" t="s">
        <v>74</v>
      </c>
      <c r="I1136" t="s">
        <v>11488</v>
      </c>
      <c r="J1136" t="s">
        <v>1073</v>
      </c>
      <c r="K1136" t="s">
        <v>74</v>
      </c>
      <c r="L1136" t="s">
        <v>74</v>
      </c>
      <c r="M1136" t="s">
        <v>74</v>
      </c>
      <c r="N1136" t="s">
        <v>103</v>
      </c>
      <c r="O1136" t="s">
        <v>74</v>
      </c>
      <c r="P1136" t="s">
        <v>74</v>
      </c>
      <c r="Q1136" t="s">
        <v>74</v>
      </c>
      <c r="R1136" t="s">
        <v>74</v>
      </c>
      <c r="S1136" t="s">
        <v>74</v>
      </c>
      <c r="T1136" t="s">
        <v>74</v>
      </c>
      <c r="U1136" t="s">
        <v>11489</v>
      </c>
      <c r="V1136" t="s">
        <v>11490</v>
      </c>
      <c r="W1136" t="s">
        <v>11491</v>
      </c>
      <c r="X1136" t="s">
        <v>11492</v>
      </c>
      <c r="Y1136" t="s">
        <v>11493</v>
      </c>
      <c r="Z1136" t="s">
        <v>11494</v>
      </c>
      <c r="AA1136" t="s">
        <v>11495</v>
      </c>
      <c r="AB1136" t="s">
        <v>11496</v>
      </c>
      <c r="AC1136" t="s">
        <v>74</v>
      </c>
      <c r="AD1136" t="s">
        <v>74</v>
      </c>
      <c r="AE1136" t="s">
        <v>74</v>
      </c>
      <c r="AF1136" t="s">
        <v>74</v>
      </c>
      <c r="AG1136">
        <v>48</v>
      </c>
      <c r="AH1136">
        <v>11</v>
      </c>
      <c r="AI1136">
        <v>11</v>
      </c>
      <c r="AJ1136">
        <v>1</v>
      </c>
      <c r="AK1136">
        <v>12</v>
      </c>
      <c r="AL1136" t="s">
        <v>74</v>
      </c>
      <c r="AM1136" t="s">
        <v>74</v>
      </c>
      <c r="AN1136" t="s">
        <v>74</v>
      </c>
      <c r="AO1136" t="s">
        <v>1082</v>
      </c>
      <c r="AP1136" t="s">
        <v>74</v>
      </c>
      <c r="AQ1136" t="s">
        <v>74</v>
      </c>
      <c r="AR1136" t="s">
        <v>74</v>
      </c>
      <c r="AS1136" t="s">
        <v>74</v>
      </c>
      <c r="AT1136" t="s">
        <v>10344</v>
      </c>
      <c r="AU1136">
        <v>2016</v>
      </c>
      <c r="AV1136">
        <v>11</v>
      </c>
      <c r="AW1136">
        <v>2</v>
      </c>
      <c r="AX1136" t="s">
        <v>74</v>
      </c>
      <c r="AY1136" t="s">
        <v>74</v>
      </c>
      <c r="AZ1136" t="s">
        <v>74</v>
      </c>
      <c r="BA1136" t="s">
        <v>74</v>
      </c>
      <c r="BB1136" t="s">
        <v>74</v>
      </c>
      <c r="BC1136" t="s">
        <v>74</v>
      </c>
      <c r="BD1136" t="s">
        <v>11497</v>
      </c>
      <c r="BE1136" t="s">
        <v>11498</v>
      </c>
      <c r="BF1136" t="str">
        <f>HYPERLINK("http://dx.doi.org/10.1371/journal.pone.0148887","http://dx.doi.org/10.1371/journal.pone.0148887")</f>
        <v>http://dx.doi.org/10.1371/journal.pone.0148887</v>
      </c>
      <c r="BG1136" t="s">
        <v>74</v>
      </c>
      <c r="BH1136" t="s">
        <v>74</v>
      </c>
      <c r="BI1136" t="s">
        <v>74</v>
      </c>
      <c r="BJ1136" t="s">
        <v>152</v>
      </c>
      <c r="BK1136" t="s">
        <v>117</v>
      </c>
      <c r="BL1136" t="s">
        <v>153</v>
      </c>
      <c r="BM1136" t="s">
        <v>74</v>
      </c>
      <c r="BN1136">
        <v>26859882</v>
      </c>
      <c r="BO1136" t="s">
        <v>74</v>
      </c>
      <c r="BP1136" t="s">
        <v>74</v>
      </c>
      <c r="BQ1136" t="s">
        <v>74</v>
      </c>
      <c r="BR1136" t="s">
        <v>96</v>
      </c>
      <c r="BS1136" t="s">
        <v>11499</v>
      </c>
      <c r="BT1136" t="str">
        <f>HYPERLINK("https%3A%2F%2Fwww.webofscience.com%2Fwos%2Fwoscc%2Ffull-record%2FWOS:000370038400100","View Full Record in Web of Science")</f>
        <v>View Full Record in Web of Science</v>
      </c>
    </row>
    <row r="1137" spans="1:72" x14ac:dyDescent="0.15">
      <c r="A1137" t="s">
        <v>98</v>
      </c>
      <c r="B1137" t="s">
        <v>12087</v>
      </c>
      <c r="C1137" t="s">
        <v>74</v>
      </c>
      <c r="D1137" t="s">
        <v>74</v>
      </c>
      <c r="E1137" t="s">
        <v>74</v>
      </c>
      <c r="F1137" t="s">
        <v>12088</v>
      </c>
      <c r="G1137" t="s">
        <v>74</v>
      </c>
      <c r="H1137" t="s">
        <v>74</v>
      </c>
      <c r="I1137" t="s">
        <v>12089</v>
      </c>
      <c r="J1137" t="s">
        <v>381</v>
      </c>
      <c r="K1137" t="s">
        <v>74</v>
      </c>
      <c r="L1137" t="s">
        <v>74</v>
      </c>
      <c r="M1137" t="s">
        <v>74</v>
      </c>
      <c r="N1137" t="s">
        <v>103</v>
      </c>
      <c r="O1137" t="s">
        <v>74</v>
      </c>
      <c r="P1137" t="s">
        <v>74</v>
      </c>
      <c r="Q1137" t="s">
        <v>74</v>
      </c>
      <c r="R1137" t="s">
        <v>74</v>
      </c>
      <c r="S1137" t="s">
        <v>74</v>
      </c>
      <c r="T1137" t="s">
        <v>12090</v>
      </c>
      <c r="U1137" t="s">
        <v>12091</v>
      </c>
      <c r="V1137" t="s">
        <v>12092</v>
      </c>
      <c r="W1137" t="s">
        <v>12093</v>
      </c>
      <c r="X1137" t="s">
        <v>12094</v>
      </c>
      <c r="Y1137" t="s">
        <v>12095</v>
      </c>
      <c r="Z1137" t="s">
        <v>12096</v>
      </c>
      <c r="AA1137" t="s">
        <v>74</v>
      </c>
      <c r="AB1137" t="s">
        <v>74</v>
      </c>
      <c r="AC1137" t="s">
        <v>74</v>
      </c>
      <c r="AD1137" t="s">
        <v>74</v>
      </c>
      <c r="AE1137" t="s">
        <v>74</v>
      </c>
      <c r="AF1137" t="s">
        <v>74</v>
      </c>
      <c r="AG1137">
        <v>53</v>
      </c>
      <c r="AH1137">
        <v>11</v>
      </c>
      <c r="AI1137">
        <v>11</v>
      </c>
      <c r="AJ1137">
        <v>36</v>
      </c>
      <c r="AK1137">
        <v>40</v>
      </c>
      <c r="AL1137" t="s">
        <v>74</v>
      </c>
      <c r="AM1137" t="s">
        <v>74</v>
      </c>
      <c r="AN1137" t="s">
        <v>74</v>
      </c>
      <c r="AO1137" t="s">
        <v>391</v>
      </c>
      <c r="AP1137" t="s">
        <v>392</v>
      </c>
      <c r="AQ1137" t="s">
        <v>74</v>
      </c>
      <c r="AR1137" t="s">
        <v>74</v>
      </c>
      <c r="AS1137" t="s">
        <v>74</v>
      </c>
      <c r="AT1137" t="s">
        <v>114</v>
      </c>
      <c r="AU1137">
        <v>2022</v>
      </c>
      <c r="AV1137">
        <v>341</v>
      </c>
      <c r="AW1137" t="s">
        <v>74</v>
      </c>
      <c r="AX1137" t="s">
        <v>74</v>
      </c>
      <c r="AY1137" t="s">
        <v>74</v>
      </c>
      <c r="AZ1137" t="s">
        <v>74</v>
      </c>
      <c r="BA1137" t="s">
        <v>74</v>
      </c>
      <c r="BB1137">
        <v>16</v>
      </c>
      <c r="BC1137">
        <v>30</v>
      </c>
      <c r="BD1137" t="s">
        <v>74</v>
      </c>
      <c r="BE1137" t="s">
        <v>12097</v>
      </c>
      <c r="BF1137" t="str">
        <f>HYPERLINK("http://dx.doi.org/10.1016/j.jconrel.2021.11.019","http://dx.doi.org/10.1016/j.jconrel.2021.11.019")</f>
        <v>http://dx.doi.org/10.1016/j.jconrel.2021.11.019</v>
      </c>
      <c r="BG1137" t="s">
        <v>74</v>
      </c>
      <c r="BH1137" t="s">
        <v>3026</v>
      </c>
      <c r="BI1137" t="s">
        <v>74</v>
      </c>
      <c r="BJ1137" t="s">
        <v>396</v>
      </c>
      <c r="BK1137" t="s">
        <v>117</v>
      </c>
      <c r="BL1137" t="s">
        <v>397</v>
      </c>
      <c r="BM1137" t="s">
        <v>74</v>
      </c>
      <c r="BN1137">
        <v>34793917</v>
      </c>
      <c r="BO1137" t="s">
        <v>74</v>
      </c>
      <c r="BP1137" t="s">
        <v>74</v>
      </c>
      <c r="BQ1137" t="s">
        <v>74</v>
      </c>
      <c r="BR1137" t="s">
        <v>96</v>
      </c>
      <c r="BS1137" t="s">
        <v>12098</v>
      </c>
      <c r="BT1137" t="str">
        <f>HYPERLINK("https%3A%2F%2Fwww.webofscience.com%2Fwos%2Fwoscc%2Ffull-record%2FWOS:000744266500002","View Full Record in Web of Science")</f>
        <v>View Full Record in Web of Science</v>
      </c>
    </row>
    <row r="1138" spans="1:72" x14ac:dyDescent="0.15">
      <c r="A1138" t="s">
        <v>98</v>
      </c>
      <c r="B1138" t="s">
        <v>12203</v>
      </c>
      <c r="C1138" t="s">
        <v>74</v>
      </c>
      <c r="D1138" t="s">
        <v>74</v>
      </c>
      <c r="E1138" t="s">
        <v>74</v>
      </c>
      <c r="F1138" t="s">
        <v>12204</v>
      </c>
      <c r="G1138" t="s">
        <v>74</v>
      </c>
      <c r="H1138" t="s">
        <v>74</v>
      </c>
      <c r="I1138" t="s">
        <v>12205</v>
      </c>
      <c r="J1138" t="s">
        <v>1827</v>
      </c>
      <c r="K1138" t="s">
        <v>74</v>
      </c>
      <c r="L1138" t="s">
        <v>74</v>
      </c>
      <c r="M1138" t="s">
        <v>74</v>
      </c>
      <c r="N1138" t="s">
        <v>103</v>
      </c>
      <c r="O1138" t="s">
        <v>74</v>
      </c>
      <c r="P1138" t="s">
        <v>74</v>
      </c>
      <c r="Q1138" t="s">
        <v>74</v>
      </c>
      <c r="R1138" t="s">
        <v>74</v>
      </c>
      <c r="S1138" t="s">
        <v>74</v>
      </c>
      <c r="T1138" t="s">
        <v>12206</v>
      </c>
      <c r="U1138" t="s">
        <v>12207</v>
      </c>
      <c r="V1138" t="s">
        <v>12208</v>
      </c>
      <c r="W1138" t="s">
        <v>12209</v>
      </c>
      <c r="X1138" t="s">
        <v>12210</v>
      </c>
      <c r="Y1138" t="s">
        <v>12211</v>
      </c>
      <c r="Z1138" t="s">
        <v>12212</v>
      </c>
      <c r="AA1138" t="s">
        <v>12213</v>
      </c>
      <c r="AB1138" t="s">
        <v>12214</v>
      </c>
      <c r="AC1138" t="s">
        <v>74</v>
      </c>
      <c r="AD1138" t="s">
        <v>74</v>
      </c>
      <c r="AE1138" t="s">
        <v>74</v>
      </c>
      <c r="AF1138" t="s">
        <v>74</v>
      </c>
      <c r="AG1138">
        <v>47</v>
      </c>
      <c r="AH1138">
        <v>11</v>
      </c>
      <c r="AI1138">
        <v>11</v>
      </c>
      <c r="AJ1138">
        <v>0</v>
      </c>
      <c r="AK1138">
        <v>7</v>
      </c>
      <c r="AL1138" t="s">
        <v>74</v>
      </c>
      <c r="AM1138" t="s">
        <v>74</v>
      </c>
      <c r="AN1138" t="s">
        <v>74</v>
      </c>
      <c r="AO1138" t="s">
        <v>74</v>
      </c>
      <c r="AP1138" t="s">
        <v>1836</v>
      </c>
      <c r="AQ1138" t="s">
        <v>74</v>
      </c>
      <c r="AR1138" t="s">
        <v>74</v>
      </c>
      <c r="AS1138" t="s">
        <v>74</v>
      </c>
      <c r="AT1138" t="s">
        <v>283</v>
      </c>
      <c r="AU1138">
        <v>2021</v>
      </c>
      <c r="AV1138">
        <v>10</v>
      </c>
      <c r="AW1138">
        <v>2</v>
      </c>
      <c r="AX1138" t="s">
        <v>74</v>
      </c>
      <c r="AY1138" t="s">
        <v>74</v>
      </c>
      <c r="AZ1138" t="s">
        <v>74</v>
      </c>
      <c r="BA1138" t="s">
        <v>74</v>
      </c>
      <c r="BB1138" t="s">
        <v>74</v>
      </c>
      <c r="BC1138" t="s">
        <v>74</v>
      </c>
      <c r="BD1138">
        <v>212</v>
      </c>
      <c r="BE1138" t="s">
        <v>12215</v>
      </c>
      <c r="BF1138" t="str">
        <f>HYPERLINK("http://dx.doi.org/10.3390/cells10020212","http://dx.doi.org/10.3390/cells10020212")</f>
        <v>http://dx.doi.org/10.3390/cells10020212</v>
      </c>
      <c r="BG1138" t="s">
        <v>74</v>
      </c>
      <c r="BH1138" t="s">
        <v>74</v>
      </c>
      <c r="BI1138" t="s">
        <v>74</v>
      </c>
      <c r="BJ1138" t="s">
        <v>135</v>
      </c>
      <c r="BK1138" t="s">
        <v>117</v>
      </c>
      <c r="BL1138" t="s">
        <v>135</v>
      </c>
      <c r="BM1138" t="s">
        <v>74</v>
      </c>
      <c r="BN1138">
        <v>33494385</v>
      </c>
      <c r="BO1138" t="s">
        <v>74</v>
      </c>
      <c r="BP1138" t="s">
        <v>74</v>
      </c>
      <c r="BQ1138" t="s">
        <v>74</v>
      </c>
      <c r="BR1138" t="s">
        <v>96</v>
      </c>
      <c r="BS1138" t="s">
        <v>12216</v>
      </c>
      <c r="BT1138" t="str">
        <f>HYPERLINK("https%3A%2F%2Fwww.webofscience.com%2Fwos%2Fwoscc%2Ffull-record%2FWOS:000622397500001","View Full Record in Web of Science")</f>
        <v>View Full Record in Web of Science</v>
      </c>
    </row>
    <row r="1139" spans="1:72" x14ac:dyDescent="0.15">
      <c r="A1139" t="s">
        <v>98</v>
      </c>
      <c r="B1139" t="s">
        <v>12353</v>
      </c>
      <c r="C1139" t="s">
        <v>74</v>
      </c>
      <c r="D1139" t="s">
        <v>74</v>
      </c>
      <c r="E1139" t="s">
        <v>74</v>
      </c>
      <c r="F1139" t="s">
        <v>12354</v>
      </c>
      <c r="G1139" t="s">
        <v>74</v>
      </c>
      <c r="H1139" t="s">
        <v>74</v>
      </c>
      <c r="I1139" t="s">
        <v>12355</v>
      </c>
      <c r="J1139" t="s">
        <v>10894</v>
      </c>
      <c r="K1139" t="s">
        <v>74</v>
      </c>
      <c r="L1139" t="s">
        <v>74</v>
      </c>
      <c r="M1139" t="s">
        <v>74</v>
      </c>
      <c r="N1139" t="s">
        <v>103</v>
      </c>
      <c r="O1139" t="s">
        <v>74</v>
      </c>
      <c r="P1139" t="s">
        <v>74</v>
      </c>
      <c r="Q1139" t="s">
        <v>74</v>
      </c>
      <c r="R1139" t="s">
        <v>74</v>
      </c>
      <c r="S1139" t="s">
        <v>74</v>
      </c>
      <c r="T1139" t="s">
        <v>74</v>
      </c>
      <c r="U1139" t="s">
        <v>12356</v>
      </c>
      <c r="V1139" t="s">
        <v>12357</v>
      </c>
      <c r="W1139" t="s">
        <v>12358</v>
      </c>
      <c r="X1139" t="s">
        <v>12359</v>
      </c>
      <c r="Y1139" t="s">
        <v>12360</v>
      </c>
      <c r="Z1139" t="s">
        <v>12361</v>
      </c>
      <c r="AA1139" t="s">
        <v>12362</v>
      </c>
      <c r="AB1139" t="s">
        <v>12363</v>
      </c>
      <c r="AC1139" t="s">
        <v>74</v>
      </c>
      <c r="AD1139" t="s">
        <v>74</v>
      </c>
      <c r="AE1139" t="s">
        <v>74</v>
      </c>
      <c r="AF1139" t="s">
        <v>74</v>
      </c>
      <c r="AG1139">
        <v>62</v>
      </c>
      <c r="AH1139">
        <v>11</v>
      </c>
      <c r="AI1139">
        <v>11</v>
      </c>
      <c r="AJ1139">
        <v>0</v>
      </c>
      <c r="AK1139">
        <v>3</v>
      </c>
      <c r="AL1139" t="s">
        <v>74</v>
      </c>
      <c r="AM1139" t="s">
        <v>74</v>
      </c>
      <c r="AN1139" t="s">
        <v>74</v>
      </c>
      <c r="AO1139" t="s">
        <v>10902</v>
      </c>
      <c r="AP1139" t="s">
        <v>74</v>
      </c>
      <c r="AQ1139" t="s">
        <v>74</v>
      </c>
      <c r="AR1139" t="s">
        <v>74</v>
      </c>
      <c r="AS1139" t="s">
        <v>74</v>
      </c>
      <c r="AT1139" t="s">
        <v>1029</v>
      </c>
      <c r="AU1139">
        <v>2018</v>
      </c>
      <c r="AV1139">
        <v>12</v>
      </c>
      <c r="AW1139">
        <v>5</v>
      </c>
      <c r="AX1139" t="s">
        <v>74</v>
      </c>
      <c r="AY1139" t="s">
        <v>74</v>
      </c>
      <c r="AZ1139" t="s">
        <v>74</v>
      </c>
      <c r="BA1139" t="s">
        <v>74</v>
      </c>
      <c r="BB1139" t="s">
        <v>74</v>
      </c>
      <c r="BC1139" t="s">
        <v>74</v>
      </c>
      <c r="BD1139" t="s">
        <v>12364</v>
      </c>
      <c r="BE1139" t="s">
        <v>12365</v>
      </c>
      <c r="BF1139" t="str">
        <f>HYPERLINK("http://dx.doi.org/10.1371/journal.pntd.0006475","http://dx.doi.org/10.1371/journal.pntd.0006475")</f>
        <v>http://dx.doi.org/10.1371/journal.pntd.0006475</v>
      </c>
      <c r="BG1139" t="s">
        <v>74</v>
      </c>
      <c r="BH1139" t="s">
        <v>74</v>
      </c>
      <c r="BI1139" t="s">
        <v>74</v>
      </c>
      <c r="BJ1139" t="s">
        <v>10905</v>
      </c>
      <c r="BK1139" t="s">
        <v>117</v>
      </c>
      <c r="BL1139" t="s">
        <v>10905</v>
      </c>
      <c r="BM1139" t="s">
        <v>74</v>
      </c>
      <c r="BN1139">
        <v>29727453</v>
      </c>
      <c r="BO1139" t="s">
        <v>74</v>
      </c>
      <c r="BP1139" t="s">
        <v>74</v>
      </c>
      <c r="BQ1139" t="s">
        <v>74</v>
      </c>
      <c r="BR1139" t="s">
        <v>96</v>
      </c>
      <c r="BS1139" t="s">
        <v>12366</v>
      </c>
      <c r="BT1139" t="str">
        <f>HYPERLINK("https%3A%2F%2Fwww.webofscience.com%2Fwos%2Fwoscc%2Ffull-record%2FWOS:000434021900033","View Full Record in Web of Science")</f>
        <v>View Full Record in Web of Science</v>
      </c>
    </row>
    <row r="1140" spans="1:72" x14ac:dyDescent="0.15">
      <c r="A1140" t="s">
        <v>98</v>
      </c>
      <c r="B1140" t="s">
        <v>13011</v>
      </c>
      <c r="C1140" t="s">
        <v>74</v>
      </c>
      <c r="D1140" t="s">
        <v>74</v>
      </c>
      <c r="E1140" t="s">
        <v>74</v>
      </c>
      <c r="F1140" t="s">
        <v>13011</v>
      </c>
      <c r="G1140" t="s">
        <v>74</v>
      </c>
      <c r="H1140" t="s">
        <v>74</v>
      </c>
      <c r="I1140" t="s">
        <v>13012</v>
      </c>
      <c r="J1140" t="s">
        <v>13013</v>
      </c>
      <c r="K1140" t="s">
        <v>74</v>
      </c>
      <c r="L1140" t="s">
        <v>74</v>
      </c>
      <c r="M1140" t="s">
        <v>74</v>
      </c>
      <c r="N1140" t="s">
        <v>103</v>
      </c>
      <c r="O1140" t="s">
        <v>74</v>
      </c>
      <c r="P1140" t="s">
        <v>74</v>
      </c>
      <c r="Q1140" t="s">
        <v>74</v>
      </c>
      <c r="R1140" t="s">
        <v>74</v>
      </c>
      <c r="S1140" t="s">
        <v>74</v>
      </c>
      <c r="T1140" t="s">
        <v>13014</v>
      </c>
      <c r="U1140" t="s">
        <v>13015</v>
      </c>
      <c r="V1140" t="s">
        <v>13016</v>
      </c>
      <c r="W1140" t="s">
        <v>13017</v>
      </c>
      <c r="X1140" t="s">
        <v>11799</v>
      </c>
      <c r="Y1140" t="s">
        <v>74</v>
      </c>
      <c r="Z1140" t="s">
        <v>74</v>
      </c>
      <c r="AA1140" t="s">
        <v>13018</v>
      </c>
      <c r="AB1140" t="s">
        <v>13019</v>
      </c>
      <c r="AC1140" t="s">
        <v>74</v>
      </c>
      <c r="AD1140" t="s">
        <v>74</v>
      </c>
      <c r="AE1140" t="s">
        <v>74</v>
      </c>
      <c r="AF1140" t="s">
        <v>74</v>
      </c>
      <c r="AG1140">
        <v>25</v>
      </c>
      <c r="AH1140">
        <v>11</v>
      </c>
      <c r="AI1140">
        <v>11</v>
      </c>
      <c r="AJ1140">
        <v>0</v>
      </c>
      <c r="AK1140">
        <v>1</v>
      </c>
      <c r="AL1140" t="s">
        <v>74</v>
      </c>
      <c r="AM1140" t="s">
        <v>74</v>
      </c>
      <c r="AN1140" t="s">
        <v>74</v>
      </c>
      <c r="AO1140" t="s">
        <v>13020</v>
      </c>
      <c r="AP1140" t="s">
        <v>74</v>
      </c>
      <c r="AQ1140" t="s">
        <v>74</v>
      </c>
      <c r="AR1140" t="s">
        <v>74</v>
      </c>
      <c r="AS1140" t="s">
        <v>74</v>
      </c>
      <c r="AT1140" t="s">
        <v>132</v>
      </c>
      <c r="AU1140">
        <v>1995</v>
      </c>
      <c r="AV1140">
        <v>1</v>
      </c>
      <c r="AW1140">
        <v>2</v>
      </c>
      <c r="AX1140" t="s">
        <v>74</v>
      </c>
      <c r="AY1140" t="s">
        <v>74</v>
      </c>
      <c r="AZ1140" t="s">
        <v>74</v>
      </c>
      <c r="BA1140" t="s">
        <v>74</v>
      </c>
      <c r="BB1140">
        <v>129</v>
      </c>
      <c r="BC1140">
        <v>134</v>
      </c>
      <c r="BD1140" t="s">
        <v>74</v>
      </c>
      <c r="BE1140" t="s">
        <v>13021</v>
      </c>
      <c r="BF1140" t="str">
        <f>HYPERLINK("http://dx.doi.org/10.1006/anae.1995.1008","http://dx.doi.org/10.1006/anae.1995.1008")</f>
        <v>http://dx.doi.org/10.1006/anae.1995.1008</v>
      </c>
      <c r="BG1140" t="s">
        <v>74</v>
      </c>
      <c r="BH1140" t="s">
        <v>74</v>
      </c>
      <c r="BI1140" t="s">
        <v>74</v>
      </c>
      <c r="BJ1140" t="s">
        <v>898</v>
      </c>
      <c r="BK1140" t="s">
        <v>117</v>
      </c>
      <c r="BL1140" t="s">
        <v>898</v>
      </c>
      <c r="BM1140" t="s">
        <v>74</v>
      </c>
      <c r="BN1140">
        <v>16887517</v>
      </c>
      <c r="BO1140" t="s">
        <v>74</v>
      </c>
      <c r="BP1140" t="s">
        <v>74</v>
      </c>
      <c r="BQ1140" t="s">
        <v>74</v>
      </c>
      <c r="BR1140" t="s">
        <v>96</v>
      </c>
      <c r="BS1140" t="s">
        <v>13022</v>
      </c>
      <c r="BT1140" t="str">
        <f>HYPERLINK("https%3A%2F%2Fwww.webofscience.com%2Fwos%2Fwoscc%2Ffull-record%2FWOS:A1995RV86500008","View Full Record in Web of Science")</f>
        <v>View Full Record in Web of Science</v>
      </c>
    </row>
    <row r="1141" spans="1:72" x14ac:dyDescent="0.15">
      <c r="A1141" t="s">
        <v>98</v>
      </c>
      <c r="B1141" t="s">
        <v>13176</v>
      </c>
      <c r="C1141" t="s">
        <v>74</v>
      </c>
      <c r="D1141" t="s">
        <v>74</v>
      </c>
      <c r="E1141" t="s">
        <v>74</v>
      </c>
      <c r="F1141" t="s">
        <v>13177</v>
      </c>
      <c r="G1141" t="s">
        <v>74</v>
      </c>
      <c r="H1141" t="s">
        <v>74</v>
      </c>
      <c r="I1141" t="s">
        <v>13178</v>
      </c>
      <c r="J1141" t="s">
        <v>7316</v>
      </c>
      <c r="K1141" t="s">
        <v>74</v>
      </c>
      <c r="L1141" t="s">
        <v>74</v>
      </c>
      <c r="M1141" t="s">
        <v>74</v>
      </c>
      <c r="N1141" t="s">
        <v>103</v>
      </c>
      <c r="O1141" t="s">
        <v>74</v>
      </c>
      <c r="P1141" t="s">
        <v>74</v>
      </c>
      <c r="Q1141" t="s">
        <v>74</v>
      </c>
      <c r="R1141" t="s">
        <v>74</v>
      </c>
      <c r="S1141" t="s">
        <v>74</v>
      </c>
      <c r="T1141" t="s">
        <v>74</v>
      </c>
      <c r="U1141" t="s">
        <v>13179</v>
      </c>
      <c r="V1141" t="s">
        <v>13180</v>
      </c>
      <c r="W1141" t="s">
        <v>13181</v>
      </c>
      <c r="X1141" t="s">
        <v>10068</v>
      </c>
      <c r="Y1141" t="s">
        <v>13182</v>
      </c>
      <c r="Z1141" t="s">
        <v>10070</v>
      </c>
      <c r="AA1141" t="s">
        <v>13183</v>
      </c>
      <c r="AB1141" t="s">
        <v>13184</v>
      </c>
      <c r="AC1141" t="s">
        <v>74</v>
      </c>
      <c r="AD1141" t="s">
        <v>74</v>
      </c>
      <c r="AE1141" t="s">
        <v>74</v>
      </c>
      <c r="AF1141" t="s">
        <v>74</v>
      </c>
      <c r="AG1141">
        <v>51</v>
      </c>
      <c r="AH1141">
        <v>11</v>
      </c>
      <c r="AI1141">
        <v>12</v>
      </c>
      <c r="AJ1141">
        <v>9</v>
      </c>
      <c r="AK1141">
        <v>106</v>
      </c>
      <c r="AL1141" t="s">
        <v>74</v>
      </c>
      <c r="AM1141" t="s">
        <v>74</v>
      </c>
      <c r="AN1141" t="s">
        <v>74</v>
      </c>
      <c r="AO1141" t="s">
        <v>7324</v>
      </c>
      <c r="AP1141" t="s">
        <v>7325</v>
      </c>
      <c r="AQ1141" t="s">
        <v>74</v>
      </c>
      <c r="AR1141" t="s">
        <v>74</v>
      </c>
      <c r="AS1141" t="s">
        <v>74</v>
      </c>
      <c r="AT1141" t="s">
        <v>7938</v>
      </c>
      <c r="AU1141">
        <v>2020</v>
      </c>
      <c r="AV1141">
        <v>145</v>
      </c>
      <c r="AW1141">
        <v>10</v>
      </c>
      <c r="AX1141" t="s">
        <v>74</v>
      </c>
      <c r="AY1141" t="s">
        <v>74</v>
      </c>
      <c r="AZ1141" t="s">
        <v>74</v>
      </c>
      <c r="BA1141" t="s">
        <v>74</v>
      </c>
      <c r="BB1141">
        <v>3557</v>
      </c>
      <c r="BC1141">
        <v>3563</v>
      </c>
      <c r="BD1141" t="s">
        <v>74</v>
      </c>
      <c r="BE1141" t="s">
        <v>13185</v>
      </c>
      <c r="BF1141" t="str">
        <f>HYPERLINK("http://dx.doi.org/10.1039/d0an00066c","http://dx.doi.org/10.1039/d0an00066c")</f>
        <v>http://dx.doi.org/10.1039/d0an00066c</v>
      </c>
      <c r="BG1141" t="s">
        <v>74</v>
      </c>
      <c r="BH1141" t="s">
        <v>74</v>
      </c>
      <c r="BI1141" t="s">
        <v>74</v>
      </c>
      <c r="BJ1141" t="s">
        <v>1118</v>
      </c>
      <c r="BK1141" t="s">
        <v>117</v>
      </c>
      <c r="BL1141" t="s">
        <v>1048</v>
      </c>
      <c r="BM1141" t="s">
        <v>74</v>
      </c>
      <c r="BN1141">
        <v>32309839</v>
      </c>
      <c r="BO1141" t="s">
        <v>74</v>
      </c>
      <c r="BP1141" t="s">
        <v>74</v>
      </c>
      <c r="BQ1141" t="s">
        <v>74</v>
      </c>
      <c r="BR1141" t="s">
        <v>96</v>
      </c>
      <c r="BS1141" t="s">
        <v>13186</v>
      </c>
      <c r="BT1141" t="str">
        <f>HYPERLINK("https%3A%2F%2Fwww.webofscience.com%2Fwos%2Fwoscc%2Ffull-record%2FWOS:000536789000007","View Full Record in Web of Science")</f>
        <v>View Full Record in Web of Science</v>
      </c>
    </row>
    <row r="1142" spans="1:72" x14ac:dyDescent="0.15">
      <c r="A1142" t="s">
        <v>98</v>
      </c>
      <c r="B1142" t="s">
        <v>13460</v>
      </c>
      <c r="C1142" t="s">
        <v>74</v>
      </c>
      <c r="D1142" t="s">
        <v>74</v>
      </c>
      <c r="E1142" t="s">
        <v>74</v>
      </c>
      <c r="F1142" t="s">
        <v>13461</v>
      </c>
      <c r="G1142" t="s">
        <v>74</v>
      </c>
      <c r="H1142" t="s">
        <v>74</v>
      </c>
      <c r="I1142" t="s">
        <v>13462</v>
      </c>
      <c r="J1142" t="s">
        <v>13463</v>
      </c>
      <c r="K1142" t="s">
        <v>74</v>
      </c>
      <c r="L1142" t="s">
        <v>74</v>
      </c>
      <c r="M1142" t="s">
        <v>74</v>
      </c>
      <c r="N1142" t="s">
        <v>103</v>
      </c>
      <c r="O1142" t="s">
        <v>74</v>
      </c>
      <c r="P1142" t="s">
        <v>74</v>
      </c>
      <c r="Q1142" t="s">
        <v>74</v>
      </c>
      <c r="R1142" t="s">
        <v>74</v>
      </c>
      <c r="S1142" t="s">
        <v>74</v>
      </c>
      <c r="T1142" t="s">
        <v>13464</v>
      </c>
      <c r="U1142" t="s">
        <v>13465</v>
      </c>
      <c r="V1142" t="s">
        <v>13466</v>
      </c>
      <c r="W1142" t="s">
        <v>13467</v>
      </c>
      <c r="X1142" t="s">
        <v>13468</v>
      </c>
      <c r="Y1142" t="s">
        <v>13469</v>
      </c>
      <c r="Z1142" t="s">
        <v>13470</v>
      </c>
      <c r="AA1142" t="s">
        <v>13471</v>
      </c>
      <c r="AB1142" t="s">
        <v>13472</v>
      </c>
      <c r="AC1142" t="s">
        <v>74</v>
      </c>
      <c r="AD1142" t="s">
        <v>74</v>
      </c>
      <c r="AE1142" t="s">
        <v>74</v>
      </c>
      <c r="AF1142" t="s">
        <v>74</v>
      </c>
      <c r="AG1142">
        <v>39</v>
      </c>
      <c r="AH1142">
        <v>11</v>
      </c>
      <c r="AI1142">
        <v>11</v>
      </c>
      <c r="AJ1142">
        <v>3</v>
      </c>
      <c r="AK1142">
        <v>9</v>
      </c>
      <c r="AL1142" t="s">
        <v>74</v>
      </c>
      <c r="AM1142" t="s">
        <v>74</v>
      </c>
      <c r="AN1142" t="s">
        <v>74</v>
      </c>
      <c r="AO1142" t="s">
        <v>13473</v>
      </c>
      <c r="AP1142" t="s">
        <v>74</v>
      </c>
      <c r="AQ1142" t="s">
        <v>74</v>
      </c>
      <c r="AR1142" t="s">
        <v>74</v>
      </c>
      <c r="AS1142" t="s">
        <v>74</v>
      </c>
      <c r="AT1142" t="s">
        <v>967</v>
      </c>
      <c r="AU1142">
        <v>2019</v>
      </c>
      <c r="AV1142">
        <v>6</v>
      </c>
      <c r="AW1142">
        <v>1</v>
      </c>
      <c r="AX1142" t="s">
        <v>74</v>
      </c>
      <c r="AY1142" t="s">
        <v>74</v>
      </c>
      <c r="AZ1142" t="s">
        <v>74</v>
      </c>
      <c r="BA1142" t="s">
        <v>74</v>
      </c>
      <c r="BB1142" t="s">
        <v>74</v>
      </c>
      <c r="BC1142" t="s">
        <v>74</v>
      </c>
      <c r="BD1142">
        <v>39</v>
      </c>
      <c r="BE1142" t="s">
        <v>13474</v>
      </c>
      <c r="BF1142" t="str">
        <f>HYPERLINK("http://dx.doi.org/10.1186/s40580-019-0204-3","http://dx.doi.org/10.1186/s40580-019-0204-3")</f>
        <v>http://dx.doi.org/10.1186/s40580-019-0204-3</v>
      </c>
      <c r="BG1142" t="s">
        <v>74</v>
      </c>
      <c r="BH1142" t="s">
        <v>74</v>
      </c>
      <c r="BI1142" t="s">
        <v>74</v>
      </c>
      <c r="BJ1142" t="s">
        <v>13475</v>
      </c>
      <c r="BK1142" t="s">
        <v>117</v>
      </c>
      <c r="BL1142" t="s">
        <v>13476</v>
      </c>
      <c r="BM1142" t="s">
        <v>74</v>
      </c>
      <c r="BN1142">
        <v>31728677</v>
      </c>
      <c r="BO1142" t="s">
        <v>74</v>
      </c>
      <c r="BP1142" t="s">
        <v>74</v>
      </c>
      <c r="BQ1142" t="s">
        <v>74</v>
      </c>
      <c r="BR1142" t="s">
        <v>96</v>
      </c>
      <c r="BS1142" t="s">
        <v>13477</v>
      </c>
      <c r="BT1142" t="str">
        <f>HYPERLINK("https%3A%2F%2Fwww.webofscience.com%2Fwos%2Fwoscc%2Ffull-record%2FWOS:000496570000001","View Full Record in Web of Science")</f>
        <v>View Full Record in Web of Science</v>
      </c>
    </row>
    <row r="1143" spans="1:72" x14ac:dyDescent="0.15">
      <c r="A1143" t="s">
        <v>98</v>
      </c>
      <c r="B1143" t="s">
        <v>14655</v>
      </c>
      <c r="C1143" t="s">
        <v>74</v>
      </c>
      <c r="D1143" t="s">
        <v>74</v>
      </c>
      <c r="E1143" t="s">
        <v>74</v>
      </c>
      <c r="F1143" t="s">
        <v>14656</v>
      </c>
      <c r="G1143" t="s">
        <v>74</v>
      </c>
      <c r="H1143" t="s">
        <v>74</v>
      </c>
      <c r="I1143" t="s">
        <v>14657</v>
      </c>
      <c r="J1143" t="s">
        <v>14658</v>
      </c>
      <c r="K1143" t="s">
        <v>74</v>
      </c>
      <c r="L1143" t="s">
        <v>74</v>
      </c>
      <c r="M1143" t="s">
        <v>74</v>
      </c>
      <c r="N1143" t="s">
        <v>103</v>
      </c>
      <c r="O1143" t="s">
        <v>74</v>
      </c>
      <c r="P1143" t="s">
        <v>74</v>
      </c>
      <c r="Q1143" t="s">
        <v>74</v>
      </c>
      <c r="R1143" t="s">
        <v>74</v>
      </c>
      <c r="S1143" t="s">
        <v>74</v>
      </c>
      <c r="T1143" t="s">
        <v>14659</v>
      </c>
      <c r="U1143" t="s">
        <v>14660</v>
      </c>
      <c r="V1143" t="s">
        <v>14661</v>
      </c>
      <c r="W1143" t="s">
        <v>14662</v>
      </c>
      <c r="X1143" t="s">
        <v>14663</v>
      </c>
      <c r="Y1143" t="s">
        <v>14664</v>
      </c>
      <c r="Z1143" t="s">
        <v>14665</v>
      </c>
      <c r="AA1143" t="s">
        <v>14666</v>
      </c>
      <c r="AB1143" t="s">
        <v>14667</v>
      </c>
      <c r="AC1143" t="s">
        <v>74</v>
      </c>
      <c r="AD1143" t="s">
        <v>74</v>
      </c>
      <c r="AE1143" t="s">
        <v>74</v>
      </c>
      <c r="AF1143" t="s">
        <v>74</v>
      </c>
      <c r="AG1143">
        <v>104</v>
      </c>
      <c r="AH1143">
        <v>11</v>
      </c>
      <c r="AI1143">
        <v>11</v>
      </c>
      <c r="AJ1143">
        <v>4</v>
      </c>
      <c r="AK1143">
        <v>17</v>
      </c>
      <c r="AL1143" t="s">
        <v>74</v>
      </c>
      <c r="AM1143" t="s">
        <v>74</v>
      </c>
      <c r="AN1143" t="s">
        <v>74</v>
      </c>
      <c r="AO1143" t="s">
        <v>74</v>
      </c>
      <c r="AP1143" t="s">
        <v>14668</v>
      </c>
      <c r="AQ1143" t="s">
        <v>74</v>
      </c>
      <c r="AR1143" t="s">
        <v>74</v>
      </c>
      <c r="AS1143" t="s">
        <v>74</v>
      </c>
      <c r="AT1143" t="s">
        <v>13926</v>
      </c>
      <c r="AU1143">
        <v>2020</v>
      </c>
      <c r="AV1143">
        <v>5</v>
      </c>
      <c r="AW1143">
        <v>6</v>
      </c>
      <c r="AX1143" t="s">
        <v>74</v>
      </c>
      <c r="AY1143" t="s">
        <v>74</v>
      </c>
      <c r="AZ1143" t="s">
        <v>74</v>
      </c>
      <c r="BA1143" t="s">
        <v>74</v>
      </c>
      <c r="BB1143" t="s">
        <v>74</v>
      </c>
      <c r="BC1143" t="s">
        <v>74</v>
      </c>
      <c r="BD1143" t="s">
        <v>14669</v>
      </c>
      <c r="BE1143" t="s">
        <v>14670</v>
      </c>
      <c r="BF1143" t="str">
        <f>HYPERLINK("http://dx.doi.org/10.1128/mSphere.01109-20","http://dx.doi.org/10.1128/mSphere.01109-20")</f>
        <v>http://dx.doi.org/10.1128/mSphere.01109-20</v>
      </c>
      <c r="BG1143" t="s">
        <v>74</v>
      </c>
      <c r="BH1143" t="s">
        <v>74</v>
      </c>
      <c r="BI1143" t="s">
        <v>74</v>
      </c>
      <c r="BJ1143" t="s">
        <v>898</v>
      </c>
      <c r="BK1143" t="s">
        <v>117</v>
      </c>
      <c r="BL1143" t="s">
        <v>898</v>
      </c>
      <c r="BM1143" t="s">
        <v>74</v>
      </c>
      <c r="BN1143">
        <v>33239369</v>
      </c>
      <c r="BO1143" t="s">
        <v>74</v>
      </c>
      <c r="BP1143" t="s">
        <v>74</v>
      </c>
      <c r="BQ1143" t="s">
        <v>74</v>
      </c>
      <c r="BR1143" t="s">
        <v>96</v>
      </c>
      <c r="BS1143" t="s">
        <v>14671</v>
      </c>
      <c r="BT1143" t="str">
        <f>HYPERLINK("https%3A%2F%2Fwww.webofscience.com%2Fwos%2Fwoscc%2Ffull-record%2FWOS:000644695100009","View Full Record in Web of Science")</f>
        <v>View Full Record in Web of Science</v>
      </c>
    </row>
    <row r="1144" spans="1:72" x14ac:dyDescent="0.15">
      <c r="A1144" t="s">
        <v>98</v>
      </c>
      <c r="B1144" t="s">
        <v>14701</v>
      </c>
      <c r="C1144" t="s">
        <v>74</v>
      </c>
      <c r="D1144" t="s">
        <v>74</v>
      </c>
      <c r="E1144" t="s">
        <v>74</v>
      </c>
      <c r="F1144" t="s">
        <v>14702</v>
      </c>
      <c r="G1144" t="s">
        <v>74</v>
      </c>
      <c r="H1144" t="s">
        <v>74</v>
      </c>
      <c r="I1144" t="s">
        <v>14703</v>
      </c>
      <c r="J1144" t="s">
        <v>14704</v>
      </c>
      <c r="K1144" t="s">
        <v>74</v>
      </c>
      <c r="L1144" t="s">
        <v>74</v>
      </c>
      <c r="M1144" t="s">
        <v>74</v>
      </c>
      <c r="N1144" t="s">
        <v>103</v>
      </c>
      <c r="O1144" t="s">
        <v>74</v>
      </c>
      <c r="P1144" t="s">
        <v>74</v>
      </c>
      <c r="Q1144" t="s">
        <v>74</v>
      </c>
      <c r="R1144" t="s">
        <v>74</v>
      </c>
      <c r="S1144" t="s">
        <v>74</v>
      </c>
      <c r="T1144" t="s">
        <v>14705</v>
      </c>
      <c r="U1144" t="s">
        <v>420</v>
      </c>
      <c r="V1144" t="s">
        <v>14706</v>
      </c>
      <c r="W1144" t="s">
        <v>14707</v>
      </c>
      <c r="X1144" t="s">
        <v>14708</v>
      </c>
      <c r="Y1144" t="s">
        <v>14709</v>
      </c>
      <c r="Z1144" t="s">
        <v>14710</v>
      </c>
      <c r="AA1144" t="s">
        <v>74</v>
      </c>
      <c r="AB1144" t="s">
        <v>14711</v>
      </c>
      <c r="AC1144" t="s">
        <v>74</v>
      </c>
      <c r="AD1144" t="s">
        <v>74</v>
      </c>
      <c r="AE1144" t="s">
        <v>74</v>
      </c>
      <c r="AF1144" t="s">
        <v>74</v>
      </c>
      <c r="AG1144">
        <v>42</v>
      </c>
      <c r="AH1144">
        <v>11</v>
      </c>
      <c r="AI1144">
        <v>12</v>
      </c>
      <c r="AJ1144">
        <v>17</v>
      </c>
      <c r="AK1144">
        <v>53</v>
      </c>
      <c r="AL1144" t="s">
        <v>74</v>
      </c>
      <c r="AM1144" t="s">
        <v>74</v>
      </c>
      <c r="AN1144" t="s">
        <v>74</v>
      </c>
      <c r="AO1144" t="s">
        <v>14712</v>
      </c>
      <c r="AP1144" t="s">
        <v>74</v>
      </c>
      <c r="AQ1144" t="s">
        <v>74</v>
      </c>
      <c r="AR1144" t="s">
        <v>74</v>
      </c>
      <c r="AS1144" t="s">
        <v>74</v>
      </c>
      <c r="AT1144" t="s">
        <v>14713</v>
      </c>
      <c r="AU1144">
        <v>2020</v>
      </c>
      <c r="AV1144">
        <v>3</v>
      </c>
      <c r="AW1144">
        <v>5</v>
      </c>
      <c r="AX1144" t="s">
        <v>74</v>
      </c>
      <c r="AY1144" t="s">
        <v>74</v>
      </c>
      <c r="AZ1144" t="s">
        <v>74</v>
      </c>
      <c r="BA1144" t="s">
        <v>74</v>
      </c>
      <c r="BB1144">
        <v>2560</v>
      </c>
      <c r="BC1144">
        <v>2567</v>
      </c>
      <c r="BD1144" t="s">
        <v>74</v>
      </c>
      <c r="BE1144" t="s">
        <v>14714</v>
      </c>
      <c r="BF1144" t="str">
        <f>HYPERLINK("http://dx.doi.org/10.1021/acsabm.9b00825","http://dx.doi.org/10.1021/acsabm.9b00825")</f>
        <v>http://dx.doi.org/10.1021/acsabm.9b00825</v>
      </c>
      <c r="BG1144" t="s">
        <v>74</v>
      </c>
      <c r="BH1144" t="s">
        <v>74</v>
      </c>
      <c r="BI1144" t="s">
        <v>74</v>
      </c>
      <c r="BJ1144" t="s">
        <v>14715</v>
      </c>
      <c r="BK1144" t="s">
        <v>467</v>
      </c>
      <c r="BL1144" t="s">
        <v>5535</v>
      </c>
      <c r="BM1144" t="s">
        <v>74</v>
      </c>
      <c r="BN1144">
        <v>35025388</v>
      </c>
      <c r="BO1144" t="s">
        <v>74</v>
      </c>
      <c r="BP1144" t="s">
        <v>74</v>
      </c>
      <c r="BQ1144" t="s">
        <v>74</v>
      </c>
      <c r="BR1144" t="s">
        <v>96</v>
      </c>
      <c r="BS1144" t="s">
        <v>14716</v>
      </c>
      <c r="BT1144" t="str">
        <f>HYPERLINK("https%3A%2F%2Fwww.webofscience.com%2Fwos%2Fwoscc%2Ffull-record%2FWOS:000604588000004","View Full Record in Web of Science")</f>
        <v>View Full Record in Web of Science</v>
      </c>
    </row>
    <row r="1145" spans="1:72" x14ac:dyDescent="0.15">
      <c r="A1145" t="s">
        <v>98</v>
      </c>
      <c r="B1145" t="s">
        <v>15594</v>
      </c>
      <c r="C1145" t="s">
        <v>74</v>
      </c>
      <c r="D1145" t="s">
        <v>74</v>
      </c>
      <c r="E1145" t="s">
        <v>74</v>
      </c>
      <c r="F1145" t="s">
        <v>15595</v>
      </c>
      <c r="G1145" t="s">
        <v>74</v>
      </c>
      <c r="H1145" t="s">
        <v>74</v>
      </c>
      <c r="I1145" t="s">
        <v>15596</v>
      </c>
      <c r="J1145" t="s">
        <v>4452</v>
      </c>
      <c r="K1145" t="s">
        <v>74</v>
      </c>
      <c r="L1145" t="s">
        <v>74</v>
      </c>
      <c r="M1145" t="s">
        <v>74</v>
      </c>
      <c r="N1145" t="s">
        <v>103</v>
      </c>
      <c r="O1145" t="s">
        <v>74</v>
      </c>
      <c r="P1145" t="s">
        <v>74</v>
      </c>
      <c r="Q1145" t="s">
        <v>74</v>
      </c>
      <c r="R1145" t="s">
        <v>74</v>
      </c>
      <c r="S1145" t="s">
        <v>74</v>
      </c>
      <c r="T1145" t="s">
        <v>15597</v>
      </c>
      <c r="U1145" t="s">
        <v>15598</v>
      </c>
      <c r="V1145" t="s">
        <v>15599</v>
      </c>
      <c r="W1145" t="s">
        <v>15600</v>
      </c>
      <c r="X1145" t="s">
        <v>15601</v>
      </c>
      <c r="Y1145" t="s">
        <v>15602</v>
      </c>
      <c r="Z1145" t="s">
        <v>15603</v>
      </c>
      <c r="AA1145" t="s">
        <v>74</v>
      </c>
      <c r="AB1145" t="s">
        <v>15604</v>
      </c>
      <c r="AC1145" t="s">
        <v>74</v>
      </c>
      <c r="AD1145" t="s">
        <v>74</v>
      </c>
      <c r="AE1145" t="s">
        <v>74</v>
      </c>
      <c r="AF1145" t="s">
        <v>74</v>
      </c>
      <c r="AG1145">
        <v>55</v>
      </c>
      <c r="AH1145">
        <v>11</v>
      </c>
      <c r="AI1145">
        <v>11</v>
      </c>
      <c r="AJ1145">
        <v>5</v>
      </c>
      <c r="AK1145">
        <v>10</v>
      </c>
      <c r="AL1145" t="s">
        <v>74</v>
      </c>
      <c r="AM1145" t="s">
        <v>74</v>
      </c>
      <c r="AN1145" t="s">
        <v>74</v>
      </c>
      <c r="AO1145" t="s">
        <v>4462</v>
      </c>
      <c r="AP1145" t="s">
        <v>74</v>
      </c>
      <c r="AQ1145" t="s">
        <v>74</v>
      </c>
      <c r="AR1145" t="s">
        <v>74</v>
      </c>
      <c r="AS1145" t="s">
        <v>74</v>
      </c>
      <c r="AT1145" t="s">
        <v>4822</v>
      </c>
      <c r="AU1145">
        <v>2020</v>
      </c>
      <c r="AV1145">
        <v>21</v>
      </c>
      <c r="AW1145">
        <v>1</v>
      </c>
      <c r="AX1145" t="s">
        <v>74</v>
      </c>
      <c r="AY1145" t="s">
        <v>74</v>
      </c>
      <c r="AZ1145" t="s">
        <v>74</v>
      </c>
      <c r="BA1145" t="s">
        <v>74</v>
      </c>
      <c r="BB1145" t="s">
        <v>74</v>
      </c>
      <c r="BC1145" t="s">
        <v>74</v>
      </c>
      <c r="BD1145" t="s">
        <v>74</v>
      </c>
      <c r="BE1145" t="s">
        <v>15605</v>
      </c>
      <c r="BF1145" t="str">
        <f>HYPERLINK("http://dx.doi.org/10.1186/s12864-020-6660-7","http://dx.doi.org/10.1186/s12864-020-6660-7")</f>
        <v>http://dx.doi.org/10.1186/s12864-020-6660-7</v>
      </c>
      <c r="BG1145" t="s">
        <v>74</v>
      </c>
      <c r="BH1145" t="s">
        <v>74</v>
      </c>
      <c r="BI1145" t="s">
        <v>74</v>
      </c>
      <c r="BJ1145" t="s">
        <v>4464</v>
      </c>
      <c r="BK1145" t="s">
        <v>117</v>
      </c>
      <c r="BL1145" t="s">
        <v>4464</v>
      </c>
      <c r="BM1145" t="s">
        <v>74</v>
      </c>
      <c r="BN1145">
        <v>32293248</v>
      </c>
      <c r="BO1145" t="s">
        <v>74</v>
      </c>
      <c r="BP1145" t="s">
        <v>74</v>
      </c>
      <c r="BQ1145" t="s">
        <v>74</v>
      </c>
      <c r="BR1145" t="s">
        <v>96</v>
      </c>
      <c r="BS1145" t="s">
        <v>15606</v>
      </c>
      <c r="BT1145" t="str">
        <f>HYPERLINK("https%3A%2F%2Fwww.webofscience.com%2Fwos%2Fwoscc%2Ffull-record%2FWOS:000529208400006","View Full Record in Web of Science")</f>
        <v>View Full Record in Web of Science</v>
      </c>
    </row>
    <row r="1146" spans="1:72" x14ac:dyDescent="0.15">
      <c r="A1146" t="s">
        <v>98</v>
      </c>
      <c r="B1146" t="s">
        <v>15766</v>
      </c>
      <c r="C1146" t="s">
        <v>74</v>
      </c>
      <c r="D1146" t="s">
        <v>74</v>
      </c>
      <c r="E1146" t="s">
        <v>74</v>
      </c>
      <c r="F1146" t="s">
        <v>15767</v>
      </c>
      <c r="G1146" t="s">
        <v>74</v>
      </c>
      <c r="H1146" t="s">
        <v>74</v>
      </c>
      <c r="I1146" t="s">
        <v>15768</v>
      </c>
      <c r="J1146" t="s">
        <v>10077</v>
      </c>
      <c r="K1146" t="s">
        <v>74</v>
      </c>
      <c r="L1146" t="s">
        <v>74</v>
      </c>
      <c r="M1146" t="s">
        <v>74</v>
      </c>
      <c r="N1146" t="s">
        <v>103</v>
      </c>
      <c r="O1146" t="s">
        <v>74</v>
      </c>
      <c r="P1146" t="s">
        <v>74</v>
      </c>
      <c r="Q1146" t="s">
        <v>74</v>
      </c>
      <c r="R1146" t="s">
        <v>74</v>
      </c>
      <c r="S1146" t="s">
        <v>74</v>
      </c>
      <c r="T1146" t="s">
        <v>74</v>
      </c>
      <c r="U1146" t="s">
        <v>15769</v>
      </c>
      <c r="V1146" t="s">
        <v>15770</v>
      </c>
      <c r="W1146" t="s">
        <v>15771</v>
      </c>
      <c r="X1146" t="s">
        <v>15772</v>
      </c>
      <c r="Y1146" t="s">
        <v>15773</v>
      </c>
      <c r="Z1146" t="s">
        <v>15774</v>
      </c>
      <c r="AA1146" t="s">
        <v>15775</v>
      </c>
      <c r="AB1146" t="s">
        <v>15776</v>
      </c>
      <c r="AC1146" t="s">
        <v>74</v>
      </c>
      <c r="AD1146" t="s">
        <v>74</v>
      </c>
      <c r="AE1146" t="s">
        <v>74</v>
      </c>
      <c r="AF1146" t="s">
        <v>74</v>
      </c>
      <c r="AG1146">
        <v>74</v>
      </c>
      <c r="AH1146">
        <v>11</v>
      </c>
      <c r="AI1146">
        <v>11</v>
      </c>
      <c r="AJ1146">
        <v>2</v>
      </c>
      <c r="AK1146">
        <v>14</v>
      </c>
      <c r="AL1146" t="s">
        <v>74</v>
      </c>
      <c r="AM1146" t="s">
        <v>74</v>
      </c>
      <c r="AN1146" t="s">
        <v>74</v>
      </c>
      <c r="AO1146" t="s">
        <v>74</v>
      </c>
      <c r="AP1146" t="s">
        <v>10085</v>
      </c>
      <c r="AQ1146" t="s">
        <v>74</v>
      </c>
      <c r="AR1146" t="s">
        <v>74</v>
      </c>
      <c r="AS1146" t="s">
        <v>74</v>
      </c>
      <c r="AT1146" t="s">
        <v>10780</v>
      </c>
      <c r="AU1146">
        <v>2020</v>
      </c>
      <c r="AV1146">
        <v>23</v>
      </c>
      <c r="AW1146">
        <v>12</v>
      </c>
      <c r="AX1146" t="s">
        <v>74</v>
      </c>
      <c r="AY1146" t="s">
        <v>74</v>
      </c>
      <c r="AZ1146" t="s">
        <v>74</v>
      </c>
      <c r="BA1146" t="s">
        <v>74</v>
      </c>
      <c r="BB1146" t="s">
        <v>74</v>
      </c>
      <c r="BC1146" t="s">
        <v>74</v>
      </c>
      <c r="BD1146">
        <v>101844</v>
      </c>
      <c r="BE1146" t="s">
        <v>15777</v>
      </c>
      <c r="BF1146" t="str">
        <f>HYPERLINK("http://dx.doi.org/10.1016/j.isci.2020.101844","http://dx.doi.org/10.1016/j.isci.2020.101844")</f>
        <v>http://dx.doi.org/10.1016/j.isci.2020.101844</v>
      </c>
      <c r="BG1146" t="s">
        <v>74</v>
      </c>
      <c r="BH1146" t="s">
        <v>74</v>
      </c>
      <c r="BI1146" t="s">
        <v>74</v>
      </c>
      <c r="BJ1146" t="s">
        <v>152</v>
      </c>
      <c r="BK1146" t="s">
        <v>117</v>
      </c>
      <c r="BL1146" t="s">
        <v>153</v>
      </c>
      <c r="BM1146" t="s">
        <v>74</v>
      </c>
      <c r="BN1146">
        <v>33376973</v>
      </c>
      <c r="BO1146" t="s">
        <v>74</v>
      </c>
      <c r="BP1146" t="s">
        <v>74</v>
      </c>
      <c r="BQ1146" t="s">
        <v>74</v>
      </c>
      <c r="BR1146" t="s">
        <v>96</v>
      </c>
      <c r="BS1146" t="s">
        <v>15778</v>
      </c>
      <c r="BT1146" t="str">
        <f>HYPERLINK("https%3A%2F%2Fwww.webofscience.com%2Fwos%2Fwoscc%2Ffull-record%2FWOS:000600670000087","View Full Record in Web of Science")</f>
        <v>View Full Record in Web of Science</v>
      </c>
    </row>
    <row r="1147" spans="1:72" x14ac:dyDescent="0.15">
      <c r="A1147" t="s">
        <v>98</v>
      </c>
      <c r="B1147" t="s">
        <v>17577</v>
      </c>
      <c r="C1147" t="s">
        <v>74</v>
      </c>
      <c r="D1147" t="s">
        <v>74</v>
      </c>
      <c r="E1147" t="s">
        <v>74</v>
      </c>
      <c r="F1147" t="s">
        <v>17578</v>
      </c>
      <c r="G1147" t="s">
        <v>74</v>
      </c>
      <c r="H1147" t="s">
        <v>74</v>
      </c>
      <c r="I1147" t="s">
        <v>17579</v>
      </c>
      <c r="J1147" t="s">
        <v>17580</v>
      </c>
      <c r="K1147" t="s">
        <v>74</v>
      </c>
      <c r="L1147" t="s">
        <v>74</v>
      </c>
      <c r="M1147" t="s">
        <v>74</v>
      </c>
      <c r="N1147" t="s">
        <v>103</v>
      </c>
      <c r="O1147" t="s">
        <v>74</v>
      </c>
      <c r="P1147" t="s">
        <v>74</v>
      </c>
      <c r="Q1147" t="s">
        <v>74</v>
      </c>
      <c r="R1147" t="s">
        <v>74</v>
      </c>
      <c r="S1147" t="s">
        <v>74</v>
      </c>
      <c r="T1147" t="s">
        <v>17581</v>
      </c>
      <c r="U1147" t="s">
        <v>17582</v>
      </c>
      <c r="V1147" t="s">
        <v>17583</v>
      </c>
      <c r="W1147" t="s">
        <v>17584</v>
      </c>
      <c r="X1147" t="s">
        <v>17585</v>
      </c>
      <c r="Y1147" t="s">
        <v>17586</v>
      </c>
      <c r="Z1147" t="s">
        <v>17587</v>
      </c>
      <c r="AA1147" t="s">
        <v>17588</v>
      </c>
      <c r="AB1147" t="s">
        <v>17589</v>
      </c>
      <c r="AC1147" t="s">
        <v>74</v>
      </c>
      <c r="AD1147" t="s">
        <v>74</v>
      </c>
      <c r="AE1147" t="s">
        <v>74</v>
      </c>
      <c r="AF1147" t="s">
        <v>74</v>
      </c>
      <c r="AG1147">
        <v>54</v>
      </c>
      <c r="AH1147">
        <v>11</v>
      </c>
      <c r="AI1147">
        <v>11</v>
      </c>
      <c r="AJ1147">
        <v>0</v>
      </c>
      <c r="AK1147">
        <v>6</v>
      </c>
      <c r="AL1147" t="s">
        <v>74</v>
      </c>
      <c r="AM1147" t="s">
        <v>74</v>
      </c>
      <c r="AN1147" t="s">
        <v>74</v>
      </c>
      <c r="AO1147" t="s">
        <v>17590</v>
      </c>
      <c r="AP1147" t="s">
        <v>17591</v>
      </c>
      <c r="AQ1147" t="s">
        <v>74</v>
      </c>
      <c r="AR1147" t="s">
        <v>74</v>
      </c>
      <c r="AS1147" t="s">
        <v>74</v>
      </c>
      <c r="AT1147" t="s">
        <v>6391</v>
      </c>
      <c r="AU1147">
        <v>2020</v>
      </c>
      <c r="AV1147">
        <v>1866</v>
      </c>
      <c r="AW1147">
        <v>6</v>
      </c>
      <c r="AX1147" t="s">
        <v>74</v>
      </c>
      <c r="AY1147" t="s">
        <v>74</v>
      </c>
      <c r="AZ1147" t="s">
        <v>74</v>
      </c>
      <c r="BA1147" t="s">
        <v>74</v>
      </c>
      <c r="BB1147" t="s">
        <v>74</v>
      </c>
      <c r="BC1147" t="s">
        <v>74</v>
      </c>
      <c r="BD1147">
        <v>165745</v>
      </c>
      <c r="BE1147" t="s">
        <v>17592</v>
      </c>
      <c r="BF1147" t="str">
        <f>HYPERLINK("http://dx.doi.org/10.1016/j.bbadis.2020.165745","http://dx.doi.org/10.1016/j.bbadis.2020.165745")</f>
        <v>http://dx.doi.org/10.1016/j.bbadis.2020.165745</v>
      </c>
      <c r="BG1147" t="s">
        <v>74</v>
      </c>
      <c r="BH1147" t="s">
        <v>74</v>
      </c>
      <c r="BI1147" t="s">
        <v>74</v>
      </c>
      <c r="BJ1147" t="s">
        <v>4275</v>
      </c>
      <c r="BK1147" t="s">
        <v>117</v>
      </c>
      <c r="BL1147" t="s">
        <v>4275</v>
      </c>
      <c r="BM1147" t="s">
        <v>74</v>
      </c>
      <c r="BN1147">
        <v>32105824</v>
      </c>
      <c r="BO1147" t="s">
        <v>74</v>
      </c>
      <c r="BP1147" t="s">
        <v>74</v>
      </c>
      <c r="BQ1147" t="s">
        <v>74</v>
      </c>
      <c r="BR1147" t="s">
        <v>96</v>
      </c>
      <c r="BS1147" t="s">
        <v>17593</v>
      </c>
      <c r="BT1147" t="str">
        <f>HYPERLINK("https%3A%2F%2Fwww.webofscience.com%2Fwos%2Fwoscc%2Ffull-record%2FWOS:000527950000009","View Full Record in Web of Science")</f>
        <v>View Full Record in Web of Science</v>
      </c>
    </row>
    <row r="1148" spans="1:72" x14ac:dyDescent="0.15">
      <c r="A1148" t="s">
        <v>98</v>
      </c>
      <c r="B1148" t="s">
        <v>4871</v>
      </c>
      <c r="C1148" t="s">
        <v>74</v>
      </c>
      <c r="D1148" t="s">
        <v>74</v>
      </c>
      <c r="E1148" t="s">
        <v>74</v>
      </c>
      <c r="F1148" t="s">
        <v>4872</v>
      </c>
      <c r="G1148" t="s">
        <v>74</v>
      </c>
      <c r="H1148" t="s">
        <v>74</v>
      </c>
      <c r="I1148" t="s">
        <v>17961</v>
      </c>
      <c r="J1148" t="s">
        <v>10654</v>
      </c>
      <c r="K1148" t="s">
        <v>74</v>
      </c>
      <c r="L1148" t="s">
        <v>74</v>
      </c>
      <c r="M1148" t="s">
        <v>74</v>
      </c>
      <c r="N1148" t="s">
        <v>103</v>
      </c>
      <c r="O1148" t="s">
        <v>74</v>
      </c>
      <c r="P1148" t="s">
        <v>74</v>
      </c>
      <c r="Q1148" t="s">
        <v>74</v>
      </c>
      <c r="R1148" t="s">
        <v>74</v>
      </c>
      <c r="S1148" t="s">
        <v>74</v>
      </c>
      <c r="T1148" t="s">
        <v>17962</v>
      </c>
      <c r="U1148" t="s">
        <v>17963</v>
      </c>
      <c r="V1148" t="s">
        <v>17964</v>
      </c>
      <c r="W1148" t="s">
        <v>17965</v>
      </c>
      <c r="X1148" t="s">
        <v>4877</v>
      </c>
      <c r="Y1148" t="s">
        <v>17966</v>
      </c>
      <c r="Z1148" t="s">
        <v>4879</v>
      </c>
      <c r="AA1148" t="s">
        <v>74</v>
      </c>
      <c r="AB1148" t="s">
        <v>74</v>
      </c>
      <c r="AC1148" t="s">
        <v>74</v>
      </c>
      <c r="AD1148" t="s">
        <v>74</v>
      </c>
      <c r="AE1148" t="s">
        <v>74</v>
      </c>
      <c r="AF1148" t="s">
        <v>74</v>
      </c>
      <c r="AG1148">
        <v>26</v>
      </c>
      <c r="AH1148">
        <v>11</v>
      </c>
      <c r="AI1148">
        <v>11</v>
      </c>
      <c r="AJ1148">
        <v>1</v>
      </c>
      <c r="AK1148">
        <v>23</v>
      </c>
      <c r="AL1148" t="s">
        <v>74</v>
      </c>
      <c r="AM1148" t="s">
        <v>74</v>
      </c>
      <c r="AN1148" t="s">
        <v>74</v>
      </c>
      <c r="AO1148" t="s">
        <v>10663</v>
      </c>
      <c r="AP1148" t="s">
        <v>10664</v>
      </c>
      <c r="AQ1148" t="s">
        <v>74</v>
      </c>
      <c r="AR1148" t="s">
        <v>74</v>
      </c>
      <c r="AS1148" t="s">
        <v>74</v>
      </c>
      <c r="AT1148" t="s">
        <v>230</v>
      </c>
      <c r="AU1148">
        <v>2018</v>
      </c>
      <c r="AV1148">
        <v>483</v>
      </c>
      <c r="AW1148" t="s">
        <v>74</v>
      </c>
      <c r="AX1148" t="s">
        <v>74</v>
      </c>
      <c r="AY1148" t="s">
        <v>74</v>
      </c>
      <c r="AZ1148" t="s">
        <v>74</v>
      </c>
      <c r="BA1148" t="s">
        <v>74</v>
      </c>
      <c r="BB1148">
        <v>39</v>
      </c>
      <c r="BC1148">
        <v>47</v>
      </c>
      <c r="BD1148" t="s">
        <v>74</v>
      </c>
      <c r="BE1148" t="s">
        <v>17967</v>
      </c>
      <c r="BF1148" t="str">
        <f>HYPERLINK("http://dx.doi.org/10.1016/j.cca.2018.04.017","http://dx.doi.org/10.1016/j.cca.2018.04.017")</f>
        <v>http://dx.doi.org/10.1016/j.cca.2018.04.017</v>
      </c>
      <c r="BG1148" t="s">
        <v>74</v>
      </c>
      <c r="BH1148" t="s">
        <v>74</v>
      </c>
      <c r="BI1148" t="s">
        <v>74</v>
      </c>
      <c r="BJ1148" t="s">
        <v>2773</v>
      </c>
      <c r="BK1148" t="s">
        <v>117</v>
      </c>
      <c r="BL1148" t="s">
        <v>2773</v>
      </c>
      <c r="BM1148" t="s">
        <v>74</v>
      </c>
      <c r="BN1148">
        <v>29655637</v>
      </c>
      <c r="BO1148" t="s">
        <v>74</v>
      </c>
      <c r="BP1148" t="s">
        <v>74</v>
      </c>
      <c r="BQ1148" t="s">
        <v>74</v>
      </c>
      <c r="BR1148" t="s">
        <v>96</v>
      </c>
      <c r="BS1148" t="s">
        <v>17968</v>
      </c>
      <c r="BT1148" t="str">
        <f>HYPERLINK("https%3A%2F%2Fwww.webofscience.com%2Fwos%2Fwoscc%2Ffull-record%2FWOS:000438180600007","View Full Record in Web of Science")</f>
        <v>View Full Record in Web of Science</v>
      </c>
    </row>
    <row r="1149" spans="1:72" x14ac:dyDescent="0.15">
      <c r="A1149" t="s">
        <v>98</v>
      </c>
      <c r="B1149" t="s">
        <v>18152</v>
      </c>
      <c r="C1149" t="s">
        <v>74</v>
      </c>
      <c r="D1149" t="s">
        <v>74</v>
      </c>
      <c r="E1149" t="s">
        <v>74</v>
      </c>
      <c r="F1149" t="s">
        <v>18153</v>
      </c>
      <c r="G1149" t="s">
        <v>74</v>
      </c>
      <c r="H1149" t="s">
        <v>74</v>
      </c>
      <c r="I1149" t="s">
        <v>18154</v>
      </c>
      <c r="J1149" t="s">
        <v>17730</v>
      </c>
      <c r="K1149" t="s">
        <v>74</v>
      </c>
      <c r="L1149" t="s">
        <v>74</v>
      </c>
      <c r="M1149" t="s">
        <v>74</v>
      </c>
      <c r="N1149" t="s">
        <v>103</v>
      </c>
      <c r="O1149" t="s">
        <v>74</v>
      </c>
      <c r="P1149" t="s">
        <v>74</v>
      </c>
      <c r="Q1149" t="s">
        <v>74</v>
      </c>
      <c r="R1149" t="s">
        <v>74</v>
      </c>
      <c r="S1149" t="s">
        <v>74</v>
      </c>
      <c r="T1149" t="s">
        <v>18155</v>
      </c>
      <c r="U1149" t="s">
        <v>18156</v>
      </c>
      <c r="V1149" t="s">
        <v>18157</v>
      </c>
      <c r="W1149" t="s">
        <v>18158</v>
      </c>
      <c r="X1149" t="s">
        <v>18159</v>
      </c>
      <c r="Y1149" t="s">
        <v>12332</v>
      </c>
      <c r="Z1149" t="s">
        <v>926</v>
      </c>
      <c r="AA1149" t="s">
        <v>18160</v>
      </c>
      <c r="AB1149" t="s">
        <v>18161</v>
      </c>
      <c r="AC1149" t="s">
        <v>74</v>
      </c>
      <c r="AD1149" t="s">
        <v>74</v>
      </c>
      <c r="AE1149" t="s">
        <v>74</v>
      </c>
      <c r="AF1149" t="s">
        <v>74</v>
      </c>
      <c r="AG1149">
        <v>21</v>
      </c>
      <c r="AH1149">
        <v>11</v>
      </c>
      <c r="AI1149">
        <v>12</v>
      </c>
      <c r="AJ1149">
        <v>0</v>
      </c>
      <c r="AK1149">
        <v>9</v>
      </c>
      <c r="AL1149" t="s">
        <v>74</v>
      </c>
      <c r="AM1149" t="s">
        <v>74</v>
      </c>
      <c r="AN1149" t="s">
        <v>74</v>
      </c>
      <c r="AO1149" t="s">
        <v>17738</v>
      </c>
      <c r="AP1149" t="s">
        <v>17739</v>
      </c>
      <c r="AQ1149" t="s">
        <v>74</v>
      </c>
      <c r="AR1149" t="s">
        <v>74</v>
      </c>
      <c r="AS1149" t="s">
        <v>74</v>
      </c>
      <c r="AT1149" t="s">
        <v>17631</v>
      </c>
      <c r="AU1149">
        <v>2016</v>
      </c>
      <c r="AV1149">
        <v>217</v>
      </c>
      <c r="AW1149" t="s">
        <v>74</v>
      </c>
      <c r="AX1149" t="s">
        <v>74</v>
      </c>
      <c r="AY1149" t="s">
        <v>74</v>
      </c>
      <c r="AZ1149" t="s">
        <v>74</v>
      </c>
      <c r="BA1149" t="s">
        <v>74</v>
      </c>
      <c r="BB1149">
        <v>18</v>
      </c>
      <c r="BC1149">
        <v>22</v>
      </c>
      <c r="BD1149" t="s">
        <v>74</v>
      </c>
      <c r="BE1149" t="s">
        <v>18162</v>
      </c>
      <c r="BF1149" t="str">
        <f>HYPERLINK("http://dx.doi.org/10.1016/j.virusres.2016.03.003","http://dx.doi.org/10.1016/j.virusres.2016.03.003")</f>
        <v>http://dx.doi.org/10.1016/j.virusres.2016.03.003</v>
      </c>
      <c r="BG1149" t="s">
        <v>74</v>
      </c>
      <c r="BH1149" t="s">
        <v>74</v>
      </c>
      <c r="BI1149" t="s">
        <v>74</v>
      </c>
      <c r="BJ1149" t="s">
        <v>932</v>
      </c>
      <c r="BK1149" t="s">
        <v>117</v>
      </c>
      <c r="BL1149" t="s">
        <v>932</v>
      </c>
      <c r="BM1149" t="s">
        <v>74</v>
      </c>
      <c r="BN1149">
        <v>26959653</v>
      </c>
      <c r="BO1149" t="s">
        <v>74</v>
      </c>
      <c r="BP1149" t="s">
        <v>74</v>
      </c>
      <c r="BQ1149" t="s">
        <v>74</v>
      </c>
      <c r="BR1149" t="s">
        <v>96</v>
      </c>
      <c r="BS1149" t="s">
        <v>18163</v>
      </c>
      <c r="BT1149" t="str">
        <f>HYPERLINK("https%3A%2F%2Fwww.webofscience.com%2Fwos%2Fwoscc%2Ffull-record%2FWOS:000375498900003","View Full Record in Web of Science")</f>
        <v>View Full Record in Web of Science</v>
      </c>
    </row>
    <row r="1150" spans="1:72" x14ac:dyDescent="0.15">
      <c r="A1150" t="s">
        <v>98</v>
      </c>
      <c r="B1150" t="s">
        <v>18566</v>
      </c>
      <c r="C1150" t="s">
        <v>74</v>
      </c>
      <c r="D1150" t="s">
        <v>74</v>
      </c>
      <c r="E1150" t="s">
        <v>74</v>
      </c>
      <c r="F1150" t="s">
        <v>18567</v>
      </c>
      <c r="G1150" t="s">
        <v>74</v>
      </c>
      <c r="H1150" t="s">
        <v>74</v>
      </c>
      <c r="I1150" t="s">
        <v>18568</v>
      </c>
      <c r="J1150" t="s">
        <v>18569</v>
      </c>
      <c r="K1150" t="s">
        <v>74</v>
      </c>
      <c r="L1150" t="s">
        <v>74</v>
      </c>
      <c r="M1150" t="s">
        <v>74</v>
      </c>
      <c r="N1150" t="s">
        <v>103</v>
      </c>
      <c r="O1150" t="s">
        <v>74</v>
      </c>
      <c r="P1150" t="s">
        <v>74</v>
      </c>
      <c r="Q1150" t="s">
        <v>74</v>
      </c>
      <c r="R1150" t="s">
        <v>74</v>
      </c>
      <c r="S1150" t="s">
        <v>74</v>
      </c>
      <c r="T1150" t="s">
        <v>18570</v>
      </c>
      <c r="U1150" t="s">
        <v>18571</v>
      </c>
      <c r="V1150" t="s">
        <v>18572</v>
      </c>
      <c r="W1150" t="s">
        <v>18573</v>
      </c>
      <c r="X1150" t="s">
        <v>18574</v>
      </c>
      <c r="Y1150" t="s">
        <v>18575</v>
      </c>
      <c r="Z1150" t="s">
        <v>18576</v>
      </c>
      <c r="AA1150" t="s">
        <v>18577</v>
      </c>
      <c r="AB1150" t="s">
        <v>18578</v>
      </c>
      <c r="AC1150" t="s">
        <v>74</v>
      </c>
      <c r="AD1150" t="s">
        <v>74</v>
      </c>
      <c r="AE1150" t="s">
        <v>74</v>
      </c>
      <c r="AF1150" t="s">
        <v>74</v>
      </c>
      <c r="AG1150">
        <v>36</v>
      </c>
      <c r="AH1150">
        <v>11</v>
      </c>
      <c r="AI1150">
        <v>11</v>
      </c>
      <c r="AJ1150">
        <v>7</v>
      </c>
      <c r="AK1150">
        <v>47</v>
      </c>
      <c r="AL1150" t="s">
        <v>74</v>
      </c>
      <c r="AM1150" t="s">
        <v>74</v>
      </c>
      <c r="AN1150" t="s">
        <v>74</v>
      </c>
      <c r="AO1150" t="s">
        <v>18579</v>
      </c>
      <c r="AP1150" t="s">
        <v>18580</v>
      </c>
      <c r="AQ1150" t="s">
        <v>74</v>
      </c>
      <c r="AR1150" t="s">
        <v>74</v>
      </c>
      <c r="AS1150" t="s">
        <v>74</v>
      </c>
      <c r="AT1150" t="s">
        <v>283</v>
      </c>
      <c r="AU1150">
        <v>2020</v>
      </c>
      <c r="AV1150">
        <v>173</v>
      </c>
      <c r="AW1150" t="s">
        <v>74</v>
      </c>
      <c r="AX1150" t="s">
        <v>74</v>
      </c>
      <c r="AY1150" t="s">
        <v>74</v>
      </c>
      <c r="AZ1150" t="s">
        <v>74</v>
      </c>
      <c r="BA1150" t="s">
        <v>74</v>
      </c>
      <c r="BB1150" t="s">
        <v>74</v>
      </c>
      <c r="BC1150" t="s">
        <v>74</v>
      </c>
      <c r="BD1150">
        <v>107894</v>
      </c>
      <c r="BE1150" t="s">
        <v>18581</v>
      </c>
      <c r="BF1150" t="str">
        <f>HYPERLINK("http://dx.doi.org/10.1016/j.dyepig.2019.107894","http://dx.doi.org/10.1016/j.dyepig.2019.107894")</f>
        <v>http://dx.doi.org/10.1016/j.dyepig.2019.107894</v>
      </c>
      <c r="BG1150" t="s">
        <v>74</v>
      </c>
      <c r="BH1150" t="s">
        <v>74</v>
      </c>
      <c r="BI1150" t="s">
        <v>74</v>
      </c>
      <c r="BJ1150" t="s">
        <v>18582</v>
      </c>
      <c r="BK1150" t="s">
        <v>117</v>
      </c>
      <c r="BL1150" t="s">
        <v>18583</v>
      </c>
      <c r="BM1150" t="s">
        <v>74</v>
      </c>
      <c r="BN1150" t="s">
        <v>74</v>
      </c>
      <c r="BO1150" t="s">
        <v>74</v>
      </c>
      <c r="BP1150" t="s">
        <v>74</v>
      </c>
      <c r="BQ1150" t="s">
        <v>74</v>
      </c>
      <c r="BR1150" t="s">
        <v>96</v>
      </c>
      <c r="BS1150" t="s">
        <v>18584</v>
      </c>
      <c r="BT1150" t="str">
        <f>HYPERLINK("https%3A%2F%2Fwww.webofscience.com%2Fwos%2Fwoscc%2Ffull-record%2FWOS:000503312700030","View Full Record in Web of Science")</f>
        <v>View Full Record in Web of Science</v>
      </c>
    </row>
    <row r="1151" spans="1:72" x14ac:dyDescent="0.15">
      <c r="A1151" t="s">
        <v>98</v>
      </c>
      <c r="B1151" t="s">
        <v>21038</v>
      </c>
      <c r="C1151" t="s">
        <v>74</v>
      </c>
      <c r="D1151" t="s">
        <v>74</v>
      </c>
      <c r="E1151" t="s">
        <v>74</v>
      </c>
      <c r="F1151" t="s">
        <v>21039</v>
      </c>
      <c r="G1151" t="s">
        <v>74</v>
      </c>
      <c r="H1151" t="s">
        <v>74</v>
      </c>
      <c r="I1151" t="s">
        <v>21040</v>
      </c>
      <c r="J1151" t="s">
        <v>21041</v>
      </c>
      <c r="K1151" t="s">
        <v>74</v>
      </c>
      <c r="L1151" t="s">
        <v>74</v>
      </c>
      <c r="M1151" t="s">
        <v>74</v>
      </c>
      <c r="N1151" t="s">
        <v>980</v>
      </c>
      <c r="O1151" t="s">
        <v>21042</v>
      </c>
      <c r="P1151" t="s">
        <v>21043</v>
      </c>
      <c r="Q1151" t="s">
        <v>21044</v>
      </c>
      <c r="R1151" t="s">
        <v>74</v>
      </c>
      <c r="S1151" t="s">
        <v>74</v>
      </c>
      <c r="T1151" t="s">
        <v>21045</v>
      </c>
      <c r="U1151" t="s">
        <v>10644</v>
      </c>
      <c r="V1151" t="s">
        <v>21046</v>
      </c>
      <c r="W1151" t="s">
        <v>21047</v>
      </c>
      <c r="X1151" t="s">
        <v>21048</v>
      </c>
      <c r="Y1151" t="s">
        <v>21049</v>
      </c>
      <c r="Z1151" t="s">
        <v>21050</v>
      </c>
      <c r="AA1151" t="s">
        <v>21051</v>
      </c>
      <c r="AB1151" t="s">
        <v>21052</v>
      </c>
      <c r="AC1151" t="s">
        <v>74</v>
      </c>
      <c r="AD1151" t="s">
        <v>74</v>
      </c>
      <c r="AE1151" t="s">
        <v>74</v>
      </c>
      <c r="AF1151" t="s">
        <v>74</v>
      </c>
      <c r="AG1151">
        <v>17</v>
      </c>
      <c r="AH1151">
        <v>11</v>
      </c>
      <c r="AI1151">
        <v>11</v>
      </c>
      <c r="AJ1151">
        <v>0</v>
      </c>
      <c r="AK1151">
        <v>5</v>
      </c>
      <c r="AL1151" t="s">
        <v>74</v>
      </c>
      <c r="AM1151" t="s">
        <v>74</v>
      </c>
      <c r="AN1151" t="s">
        <v>74</v>
      </c>
      <c r="AO1151" t="s">
        <v>21053</v>
      </c>
      <c r="AP1151" t="s">
        <v>21054</v>
      </c>
      <c r="AQ1151" t="s">
        <v>74</v>
      </c>
      <c r="AR1151" t="s">
        <v>74</v>
      </c>
      <c r="AS1151" t="s">
        <v>74</v>
      </c>
      <c r="AT1151" t="s">
        <v>114</v>
      </c>
      <c r="AU1151">
        <v>2021</v>
      </c>
      <c r="AV1151">
        <v>90</v>
      </c>
      <c r="AW1151">
        <v>1</v>
      </c>
      <c r="AX1151" t="s">
        <v>74</v>
      </c>
      <c r="AY1151" t="s">
        <v>74</v>
      </c>
      <c r="AZ1151" t="s">
        <v>74</v>
      </c>
      <c r="BA1151" t="s">
        <v>74</v>
      </c>
      <c r="BB1151">
        <v>46</v>
      </c>
      <c r="BC1151">
        <v>53</v>
      </c>
      <c r="BD1151" t="s">
        <v>74</v>
      </c>
      <c r="BE1151" t="s">
        <v>21055</v>
      </c>
      <c r="BF1151" t="str">
        <f>HYPERLINK("http://dx.doi.org/10.1097/TA.0000000000002973","http://dx.doi.org/10.1097/TA.0000000000002973")</f>
        <v>http://dx.doi.org/10.1097/TA.0000000000002973</v>
      </c>
      <c r="BG1151" t="s">
        <v>74</v>
      </c>
      <c r="BH1151" t="s">
        <v>74</v>
      </c>
      <c r="BI1151" t="s">
        <v>74</v>
      </c>
      <c r="BJ1151" t="s">
        <v>21056</v>
      </c>
      <c r="BK1151" t="s">
        <v>997</v>
      </c>
      <c r="BL1151" t="s">
        <v>21057</v>
      </c>
      <c r="BM1151" t="s">
        <v>74</v>
      </c>
      <c r="BN1151">
        <v>33021603</v>
      </c>
      <c r="BO1151" t="s">
        <v>74</v>
      </c>
      <c r="BP1151" t="s">
        <v>74</v>
      </c>
      <c r="BQ1151" t="s">
        <v>74</v>
      </c>
      <c r="BR1151" t="s">
        <v>96</v>
      </c>
      <c r="BS1151" t="s">
        <v>21058</v>
      </c>
      <c r="BT1151" t="str">
        <f>HYPERLINK("https%3A%2F%2Fwww.webofscience.com%2Fwos%2Fwoscc%2Ffull-record%2FWOS:000616078100010","View Full Record in Web of Science")</f>
        <v>View Full Record in Web of Science</v>
      </c>
    </row>
    <row r="1152" spans="1:72" x14ac:dyDescent="0.15">
      <c r="A1152" t="s">
        <v>98</v>
      </c>
      <c r="B1152" t="s">
        <v>21661</v>
      </c>
      <c r="C1152" t="s">
        <v>74</v>
      </c>
      <c r="D1152" t="s">
        <v>74</v>
      </c>
      <c r="E1152" t="s">
        <v>74</v>
      </c>
      <c r="F1152" t="s">
        <v>21662</v>
      </c>
      <c r="G1152" t="s">
        <v>74</v>
      </c>
      <c r="H1152" t="s">
        <v>74</v>
      </c>
      <c r="I1152" t="s">
        <v>21663</v>
      </c>
      <c r="J1152" t="s">
        <v>21664</v>
      </c>
      <c r="K1152" t="s">
        <v>74</v>
      </c>
      <c r="L1152" t="s">
        <v>74</v>
      </c>
      <c r="M1152" t="s">
        <v>74</v>
      </c>
      <c r="N1152" t="s">
        <v>980</v>
      </c>
      <c r="O1152" t="s">
        <v>21665</v>
      </c>
      <c r="P1152" t="s">
        <v>21666</v>
      </c>
      <c r="Q1152" t="s">
        <v>21667</v>
      </c>
      <c r="R1152" t="s">
        <v>74</v>
      </c>
      <c r="S1152" t="s">
        <v>74</v>
      </c>
      <c r="T1152" t="s">
        <v>74</v>
      </c>
      <c r="U1152" t="s">
        <v>21668</v>
      </c>
      <c r="V1152" t="s">
        <v>21669</v>
      </c>
      <c r="W1152" t="s">
        <v>21670</v>
      </c>
      <c r="X1152" t="s">
        <v>21671</v>
      </c>
      <c r="Y1152" t="s">
        <v>21672</v>
      </c>
      <c r="Z1152" t="s">
        <v>21673</v>
      </c>
      <c r="AA1152" t="s">
        <v>21674</v>
      </c>
      <c r="AB1152" t="s">
        <v>21675</v>
      </c>
      <c r="AC1152" t="s">
        <v>74</v>
      </c>
      <c r="AD1152" t="s">
        <v>74</v>
      </c>
      <c r="AE1152" t="s">
        <v>74</v>
      </c>
      <c r="AF1152" t="s">
        <v>74</v>
      </c>
      <c r="AG1152">
        <v>64</v>
      </c>
      <c r="AH1152">
        <v>11</v>
      </c>
      <c r="AI1152">
        <v>11</v>
      </c>
      <c r="AJ1152">
        <v>1</v>
      </c>
      <c r="AK1152">
        <v>25</v>
      </c>
      <c r="AL1152" t="s">
        <v>74</v>
      </c>
      <c r="AM1152" t="s">
        <v>74</v>
      </c>
      <c r="AN1152" t="s">
        <v>74</v>
      </c>
      <c r="AO1152" t="s">
        <v>21676</v>
      </c>
      <c r="AP1152" t="s">
        <v>21677</v>
      </c>
      <c r="AQ1152" t="s">
        <v>74</v>
      </c>
      <c r="AR1152" t="s">
        <v>74</v>
      </c>
      <c r="AS1152" t="s">
        <v>74</v>
      </c>
      <c r="AT1152" t="s">
        <v>11850</v>
      </c>
      <c r="AU1152">
        <v>2009</v>
      </c>
      <c r="AV1152" t="s">
        <v>21678</v>
      </c>
      <c r="AW1152">
        <v>6</v>
      </c>
      <c r="AX1152" t="s">
        <v>74</v>
      </c>
      <c r="AY1152" t="s">
        <v>74</v>
      </c>
      <c r="AZ1152" t="s">
        <v>447</v>
      </c>
      <c r="BA1152" t="s">
        <v>74</v>
      </c>
      <c r="BB1152">
        <v>625</v>
      </c>
      <c r="BC1152">
        <v>638</v>
      </c>
      <c r="BD1152" t="s">
        <v>74</v>
      </c>
      <c r="BE1152" t="s">
        <v>21679</v>
      </c>
      <c r="BF1152" t="str">
        <f>HYPERLINK("http://dx.doi.org/10.1002/jez.b.21235","http://dx.doi.org/10.1002/jez.b.21235")</f>
        <v>http://dx.doi.org/10.1002/jez.b.21235</v>
      </c>
      <c r="BG1152" t="s">
        <v>74</v>
      </c>
      <c r="BH1152" t="s">
        <v>74</v>
      </c>
      <c r="BI1152" t="s">
        <v>74</v>
      </c>
      <c r="BJ1152" t="s">
        <v>21680</v>
      </c>
      <c r="BK1152" t="s">
        <v>997</v>
      </c>
      <c r="BL1152" t="s">
        <v>21680</v>
      </c>
      <c r="BM1152" t="s">
        <v>74</v>
      </c>
      <c r="BN1152">
        <v>18800367</v>
      </c>
      <c r="BO1152" t="s">
        <v>74</v>
      </c>
      <c r="BP1152" t="s">
        <v>74</v>
      </c>
      <c r="BQ1152" t="s">
        <v>74</v>
      </c>
      <c r="BR1152" t="s">
        <v>96</v>
      </c>
      <c r="BS1152" t="s">
        <v>21681</v>
      </c>
      <c r="BT1152" t="str">
        <f>HYPERLINK("https%3A%2F%2Fwww.webofscience.com%2Fwos%2Fwoscc%2Ffull-record%2FWOS:000269227200010","View Full Record in Web of Science")</f>
        <v>View Full Record in Web of Science</v>
      </c>
    </row>
    <row r="1153" spans="1:72" x14ac:dyDescent="0.15">
      <c r="A1153" t="s">
        <v>98</v>
      </c>
      <c r="B1153" t="s">
        <v>22430</v>
      </c>
      <c r="C1153" t="s">
        <v>74</v>
      </c>
      <c r="D1153" t="s">
        <v>74</v>
      </c>
      <c r="E1153" t="s">
        <v>74</v>
      </c>
      <c r="F1153" t="s">
        <v>22431</v>
      </c>
      <c r="G1153" t="s">
        <v>74</v>
      </c>
      <c r="H1153" t="s">
        <v>74</v>
      </c>
      <c r="I1153" t="s">
        <v>22432</v>
      </c>
      <c r="J1153" t="s">
        <v>503</v>
      </c>
      <c r="K1153" t="s">
        <v>74</v>
      </c>
      <c r="L1153" t="s">
        <v>74</v>
      </c>
      <c r="M1153" t="s">
        <v>74</v>
      </c>
      <c r="N1153" t="s">
        <v>103</v>
      </c>
      <c r="O1153" t="s">
        <v>74</v>
      </c>
      <c r="P1153" t="s">
        <v>74</v>
      </c>
      <c r="Q1153" t="s">
        <v>74</v>
      </c>
      <c r="R1153" t="s">
        <v>74</v>
      </c>
      <c r="S1153" t="s">
        <v>74</v>
      </c>
      <c r="T1153" t="s">
        <v>22433</v>
      </c>
      <c r="U1153" t="s">
        <v>22434</v>
      </c>
      <c r="V1153" t="s">
        <v>22435</v>
      </c>
      <c r="W1153" t="s">
        <v>22436</v>
      </c>
      <c r="X1153" t="s">
        <v>22437</v>
      </c>
      <c r="Y1153" t="s">
        <v>22438</v>
      </c>
      <c r="Z1153" t="s">
        <v>22439</v>
      </c>
      <c r="AA1153" t="s">
        <v>22440</v>
      </c>
      <c r="AB1153" t="s">
        <v>22441</v>
      </c>
      <c r="AC1153" t="s">
        <v>74</v>
      </c>
      <c r="AD1153" t="s">
        <v>74</v>
      </c>
      <c r="AE1153" t="s">
        <v>74</v>
      </c>
      <c r="AF1153" t="s">
        <v>74</v>
      </c>
      <c r="AG1153">
        <v>68</v>
      </c>
      <c r="AH1153">
        <v>11</v>
      </c>
      <c r="AI1153">
        <v>11</v>
      </c>
      <c r="AJ1153">
        <v>0</v>
      </c>
      <c r="AK1153">
        <v>9</v>
      </c>
      <c r="AL1153" t="s">
        <v>74</v>
      </c>
      <c r="AM1153" t="s">
        <v>74</v>
      </c>
      <c r="AN1153" t="s">
        <v>74</v>
      </c>
      <c r="AO1153" t="s">
        <v>512</v>
      </c>
      <c r="AP1153" t="s">
        <v>513</v>
      </c>
      <c r="AQ1153" t="s">
        <v>74</v>
      </c>
      <c r="AR1153" t="s">
        <v>74</v>
      </c>
      <c r="AS1153" t="s">
        <v>74</v>
      </c>
      <c r="AT1153" t="s">
        <v>2906</v>
      </c>
      <c r="AU1153">
        <v>2011</v>
      </c>
      <c r="AV1153">
        <v>71</v>
      </c>
      <c r="AW1153">
        <v>9</v>
      </c>
      <c r="AX1153" t="s">
        <v>74</v>
      </c>
      <c r="AY1153" t="s">
        <v>74</v>
      </c>
      <c r="AZ1153" t="s">
        <v>74</v>
      </c>
      <c r="BA1153" t="s">
        <v>74</v>
      </c>
      <c r="BB1153">
        <v>915</v>
      </c>
      <c r="BC1153">
        <v>928</v>
      </c>
      <c r="BD1153" t="s">
        <v>74</v>
      </c>
      <c r="BE1153" t="s">
        <v>22442</v>
      </c>
      <c r="BF1153" t="str">
        <f>HYPERLINK("http://dx.doi.org/10.1002/pros.21308","http://dx.doi.org/10.1002/pros.21308")</f>
        <v>http://dx.doi.org/10.1002/pros.21308</v>
      </c>
      <c r="BG1153" t="s">
        <v>74</v>
      </c>
      <c r="BH1153" t="s">
        <v>74</v>
      </c>
      <c r="BI1153" t="s">
        <v>74</v>
      </c>
      <c r="BJ1153" t="s">
        <v>515</v>
      </c>
      <c r="BK1153" t="s">
        <v>117</v>
      </c>
      <c r="BL1153" t="s">
        <v>515</v>
      </c>
      <c r="BM1153" t="s">
        <v>74</v>
      </c>
      <c r="BN1153">
        <v>21541969</v>
      </c>
      <c r="BO1153" t="s">
        <v>74</v>
      </c>
      <c r="BP1153" t="s">
        <v>74</v>
      </c>
      <c r="BQ1153" t="s">
        <v>74</v>
      </c>
      <c r="BR1153" t="s">
        <v>96</v>
      </c>
      <c r="BS1153" t="s">
        <v>22443</v>
      </c>
      <c r="BT1153" t="str">
        <f>HYPERLINK("https%3A%2F%2Fwww.webofscience.com%2Fwos%2Fwoscc%2Ffull-record%2FWOS:000290264400002","View Full Record in Web of Science")</f>
        <v>View Full Record in Web of Science</v>
      </c>
    </row>
    <row r="1154" spans="1:72" x14ac:dyDescent="0.15">
      <c r="A1154" t="s">
        <v>98</v>
      </c>
      <c r="B1154" t="s">
        <v>22520</v>
      </c>
      <c r="C1154" t="s">
        <v>74</v>
      </c>
      <c r="D1154" t="s">
        <v>74</v>
      </c>
      <c r="E1154" t="s">
        <v>74</v>
      </c>
      <c r="F1154" t="s">
        <v>22521</v>
      </c>
      <c r="G1154" t="s">
        <v>74</v>
      </c>
      <c r="H1154" t="s">
        <v>74</v>
      </c>
      <c r="I1154" t="s">
        <v>22522</v>
      </c>
      <c r="J1154" t="s">
        <v>22523</v>
      </c>
      <c r="K1154" t="s">
        <v>74</v>
      </c>
      <c r="L1154" t="s">
        <v>74</v>
      </c>
      <c r="M1154" t="s">
        <v>74</v>
      </c>
      <c r="N1154" t="s">
        <v>103</v>
      </c>
      <c r="O1154" t="s">
        <v>74</v>
      </c>
      <c r="P1154" t="s">
        <v>74</v>
      </c>
      <c r="Q1154" t="s">
        <v>74</v>
      </c>
      <c r="R1154" t="s">
        <v>74</v>
      </c>
      <c r="S1154" t="s">
        <v>74</v>
      </c>
      <c r="T1154" t="s">
        <v>74</v>
      </c>
      <c r="U1154" t="s">
        <v>22524</v>
      </c>
      <c r="V1154" t="s">
        <v>22525</v>
      </c>
      <c r="W1154" t="s">
        <v>22526</v>
      </c>
      <c r="X1154" t="s">
        <v>22527</v>
      </c>
      <c r="Y1154" t="s">
        <v>22528</v>
      </c>
      <c r="Z1154" t="s">
        <v>9855</v>
      </c>
      <c r="AA1154" t="s">
        <v>74</v>
      </c>
      <c r="AB1154" t="s">
        <v>22529</v>
      </c>
      <c r="AC1154" t="s">
        <v>74</v>
      </c>
      <c r="AD1154" t="s">
        <v>74</v>
      </c>
      <c r="AE1154" t="s">
        <v>74</v>
      </c>
      <c r="AF1154" t="s">
        <v>74</v>
      </c>
      <c r="AG1154">
        <v>36</v>
      </c>
      <c r="AH1154">
        <v>11</v>
      </c>
      <c r="AI1154">
        <v>11</v>
      </c>
      <c r="AJ1154">
        <v>7</v>
      </c>
      <c r="AK1154">
        <v>41</v>
      </c>
      <c r="AL1154" t="s">
        <v>74</v>
      </c>
      <c r="AM1154" t="s">
        <v>74</v>
      </c>
      <c r="AN1154" t="s">
        <v>74</v>
      </c>
      <c r="AO1154" t="s">
        <v>22530</v>
      </c>
      <c r="AP1154" t="s">
        <v>22531</v>
      </c>
      <c r="AQ1154" t="s">
        <v>74</v>
      </c>
      <c r="AR1154" t="s">
        <v>74</v>
      </c>
      <c r="AS1154" t="s">
        <v>74</v>
      </c>
      <c r="AT1154" t="s">
        <v>335</v>
      </c>
      <c r="AU1154">
        <v>2018</v>
      </c>
      <c r="AV1154">
        <v>6</v>
      </c>
      <c r="AW1154">
        <v>9</v>
      </c>
      <c r="AX1154" t="s">
        <v>74</v>
      </c>
      <c r="AY1154" t="s">
        <v>74</v>
      </c>
      <c r="AZ1154" t="s">
        <v>74</v>
      </c>
      <c r="BA1154" t="s">
        <v>74</v>
      </c>
      <c r="BB1154" t="s">
        <v>74</v>
      </c>
      <c r="BC1154" t="s">
        <v>74</v>
      </c>
      <c r="BD1154" t="s">
        <v>74</v>
      </c>
      <c r="BE1154" t="s">
        <v>22532</v>
      </c>
      <c r="BF1154" t="str">
        <f>HYPERLINK("http://dx.doi.org/10.1039/c8bm00629f","http://dx.doi.org/10.1039/c8bm00629f")</f>
        <v>http://dx.doi.org/10.1039/c8bm00629f</v>
      </c>
      <c r="BG1154" t="s">
        <v>74</v>
      </c>
      <c r="BH1154" t="s">
        <v>74</v>
      </c>
      <c r="BI1154" t="s">
        <v>74</v>
      </c>
      <c r="BJ1154" t="s">
        <v>3945</v>
      </c>
      <c r="BK1154" t="s">
        <v>117</v>
      </c>
      <c r="BL1154" t="s">
        <v>3946</v>
      </c>
      <c r="BM1154" t="s">
        <v>74</v>
      </c>
      <c r="BN1154">
        <v>30022183</v>
      </c>
      <c r="BO1154" t="s">
        <v>74</v>
      </c>
      <c r="BP1154" t="s">
        <v>74</v>
      </c>
      <c r="BQ1154" t="s">
        <v>74</v>
      </c>
      <c r="BR1154" t="s">
        <v>96</v>
      </c>
      <c r="BS1154" t="s">
        <v>22533</v>
      </c>
      <c r="BT1154" t="str">
        <f>HYPERLINK("https%3A%2F%2Fwww.webofscience.com%2Fwos%2Fwoscc%2Ffull-record%2FWOS:000443267300007","View Full Record in Web of Science")</f>
        <v>View Full Record in Web of Science</v>
      </c>
    </row>
    <row r="1155" spans="1:72" x14ac:dyDescent="0.15">
      <c r="A1155" t="s">
        <v>98</v>
      </c>
      <c r="B1155" t="s">
        <v>22985</v>
      </c>
      <c r="C1155" t="s">
        <v>74</v>
      </c>
      <c r="D1155" t="s">
        <v>74</v>
      </c>
      <c r="E1155" t="s">
        <v>74</v>
      </c>
      <c r="F1155" t="s">
        <v>22986</v>
      </c>
      <c r="G1155" t="s">
        <v>74</v>
      </c>
      <c r="H1155" t="s">
        <v>74</v>
      </c>
      <c r="I1155" t="s">
        <v>22987</v>
      </c>
      <c r="J1155" t="s">
        <v>140</v>
      </c>
      <c r="K1155" t="s">
        <v>74</v>
      </c>
      <c r="L1155" t="s">
        <v>74</v>
      </c>
      <c r="M1155" t="s">
        <v>74</v>
      </c>
      <c r="N1155" t="s">
        <v>103</v>
      </c>
      <c r="O1155" t="s">
        <v>74</v>
      </c>
      <c r="P1155" t="s">
        <v>74</v>
      </c>
      <c r="Q1155" t="s">
        <v>74</v>
      </c>
      <c r="R1155" t="s">
        <v>74</v>
      </c>
      <c r="S1155" t="s">
        <v>74</v>
      </c>
      <c r="T1155" t="s">
        <v>74</v>
      </c>
      <c r="U1155" t="s">
        <v>22988</v>
      </c>
      <c r="V1155" t="s">
        <v>22989</v>
      </c>
      <c r="W1155" t="s">
        <v>22990</v>
      </c>
      <c r="X1155" t="s">
        <v>22991</v>
      </c>
      <c r="Y1155" t="s">
        <v>14168</v>
      </c>
      <c r="Z1155" t="s">
        <v>14169</v>
      </c>
      <c r="AA1155" t="s">
        <v>22992</v>
      </c>
      <c r="AB1155" t="s">
        <v>22993</v>
      </c>
      <c r="AC1155" t="s">
        <v>74</v>
      </c>
      <c r="AD1155" t="s">
        <v>74</v>
      </c>
      <c r="AE1155" t="s">
        <v>74</v>
      </c>
      <c r="AF1155" t="s">
        <v>74</v>
      </c>
      <c r="AG1155">
        <v>89</v>
      </c>
      <c r="AH1155">
        <v>11</v>
      </c>
      <c r="AI1155">
        <v>11</v>
      </c>
      <c r="AJ1155">
        <v>0</v>
      </c>
      <c r="AK1155">
        <v>3</v>
      </c>
      <c r="AL1155" t="s">
        <v>74</v>
      </c>
      <c r="AM1155" t="s">
        <v>74</v>
      </c>
      <c r="AN1155" t="s">
        <v>74</v>
      </c>
      <c r="AO1155" t="s">
        <v>149</v>
      </c>
      <c r="AP1155" t="s">
        <v>74</v>
      </c>
      <c r="AQ1155" t="s">
        <v>74</v>
      </c>
      <c r="AR1155" t="s">
        <v>74</v>
      </c>
      <c r="AS1155" t="s">
        <v>74</v>
      </c>
      <c r="AT1155" t="s">
        <v>6935</v>
      </c>
      <c r="AU1155">
        <v>2016</v>
      </c>
      <c r="AV1155">
        <v>6</v>
      </c>
      <c r="AW1155" t="s">
        <v>74</v>
      </c>
      <c r="AX1155" t="s">
        <v>74</v>
      </c>
      <c r="AY1155" t="s">
        <v>74</v>
      </c>
      <c r="AZ1155" t="s">
        <v>74</v>
      </c>
      <c r="BA1155" t="s">
        <v>74</v>
      </c>
      <c r="BB1155" t="s">
        <v>74</v>
      </c>
      <c r="BC1155" t="s">
        <v>74</v>
      </c>
      <c r="BD1155">
        <v>31863</v>
      </c>
      <c r="BE1155" t="s">
        <v>22994</v>
      </c>
      <c r="BF1155" t="str">
        <f>HYPERLINK("http://dx.doi.org/10.1038/srep31863","http://dx.doi.org/10.1038/srep31863")</f>
        <v>http://dx.doi.org/10.1038/srep31863</v>
      </c>
      <c r="BG1155" t="s">
        <v>74</v>
      </c>
      <c r="BH1155" t="s">
        <v>74</v>
      </c>
      <c r="BI1155" t="s">
        <v>74</v>
      </c>
      <c r="BJ1155" t="s">
        <v>152</v>
      </c>
      <c r="BK1155" t="s">
        <v>117</v>
      </c>
      <c r="BL1155" t="s">
        <v>153</v>
      </c>
      <c r="BM1155" t="s">
        <v>74</v>
      </c>
      <c r="BN1155">
        <v>27535473</v>
      </c>
      <c r="BO1155" t="s">
        <v>74</v>
      </c>
      <c r="BP1155" t="s">
        <v>74</v>
      </c>
      <c r="BQ1155" t="s">
        <v>74</v>
      </c>
      <c r="BR1155" t="s">
        <v>96</v>
      </c>
      <c r="BS1155" t="s">
        <v>22995</v>
      </c>
      <c r="BT1155" t="str">
        <f>HYPERLINK("https%3A%2F%2Fwww.webofscience.com%2Fwos%2Fwoscc%2Ffull-record%2FWOS:000381560600001","View Full Record in Web of Science")</f>
        <v>View Full Record in Web of Science</v>
      </c>
    </row>
    <row r="1156" spans="1:72" x14ac:dyDescent="0.15">
      <c r="A1156" t="s">
        <v>98</v>
      </c>
      <c r="B1156" t="s">
        <v>24612</v>
      </c>
      <c r="C1156" t="s">
        <v>74</v>
      </c>
      <c r="D1156" t="s">
        <v>74</v>
      </c>
      <c r="E1156" t="s">
        <v>74</v>
      </c>
      <c r="F1156" t="s">
        <v>24613</v>
      </c>
      <c r="G1156" t="s">
        <v>74</v>
      </c>
      <c r="H1156" t="s">
        <v>74</v>
      </c>
      <c r="I1156" t="s">
        <v>24614</v>
      </c>
      <c r="J1156" t="s">
        <v>24615</v>
      </c>
      <c r="K1156" t="s">
        <v>74</v>
      </c>
      <c r="L1156" t="s">
        <v>74</v>
      </c>
      <c r="M1156" t="s">
        <v>74</v>
      </c>
      <c r="N1156" t="s">
        <v>103</v>
      </c>
      <c r="O1156" t="s">
        <v>74</v>
      </c>
      <c r="P1156" t="s">
        <v>74</v>
      </c>
      <c r="Q1156" t="s">
        <v>74</v>
      </c>
      <c r="R1156" t="s">
        <v>74</v>
      </c>
      <c r="S1156" t="s">
        <v>74</v>
      </c>
      <c r="T1156" t="s">
        <v>24616</v>
      </c>
      <c r="U1156" t="s">
        <v>24617</v>
      </c>
      <c r="V1156" t="s">
        <v>24618</v>
      </c>
      <c r="W1156" t="s">
        <v>24619</v>
      </c>
      <c r="X1156" t="s">
        <v>24620</v>
      </c>
      <c r="Y1156" t="s">
        <v>24621</v>
      </c>
      <c r="Z1156" t="s">
        <v>24622</v>
      </c>
      <c r="AA1156" t="s">
        <v>24623</v>
      </c>
      <c r="AB1156" t="s">
        <v>24624</v>
      </c>
      <c r="AC1156" t="s">
        <v>74</v>
      </c>
      <c r="AD1156" t="s">
        <v>74</v>
      </c>
      <c r="AE1156" t="s">
        <v>74</v>
      </c>
      <c r="AF1156" t="s">
        <v>74</v>
      </c>
      <c r="AG1156">
        <v>47</v>
      </c>
      <c r="AH1156">
        <v>11</v>
      </c>
      <c r="AI1156">
        <v>11</v>
      </c>
      <c r="AJ1156">
        <v>1</v>
      </c>
      <c r="AK1156">
        <v>12</v>
      </c>
      <c r="AL1156" t="s">
        <v>74</v>
      </c>
      <c r="AM1156" t="s">
        <v>74</v>
      </c>
      <c r="AN1156" t="s">
        <v>74</v>
      </c>
      <c r="AO1156" t="s">
        <v>24625</v>
      </c>
      <c r="AP1156" t="s">
        <v>74</v>
      </c>
      <c r="AQ1156" t="s">
        <v>74</v>
      </c>
      <c r="AR1156" t="s">
        <v>74</v>
      </c>
      <c r="AS1156" t="s">
        <v>74</v>
      </c>
      <c r="AT1156" t="s">
        <v>170</v>
      </c>
      <c r="AU1156">
        <v>2020</v>
      </c>
      <c r="AV1156">
        <v>6</v>
      </c>
      <c r="AW1156">
        <v>6</v>
      </c>
      <c r="AX1156" t="s">
        <v>74</v>
      </c>
      <c r="AY1156" t="s">
        <v>74</v>
      </c>
      <c r="AZ1156" t="s">
        <v>74</v>
      </c>
      <c r="BA1156" t="s">
        <v>74</v>
      </c>
      <c r="BB1156">
        <v>3411</v>
      </c>
      <c r="BC1156">
        <v>3421</v>
      </c>
      <c r="BD1156" t="s">
        <v>74</v>
      </c>
      <c r="BE1156" t="s">
        <v>24626</v>
      </c>
      <c r="BF1156" t="str">
        <f>HYPERLINK("http://dx.doi.org/10.1021/acsbiomaterials.0c00271","http://dx.doi.org/10.1021/acsbiomaterials.0c00271")</f>
        <v>http://dx.doi.org/10.1021/acsbiomaterials.0c00271</v>
      </c>
      <c r="BG1156" t="s">
        <v>74</v>
      </c>
      <c r="BH1156" t="s">
        <v>74</v>
      </c>
      <c r="BI1156" t="s">
        <v>74</v>
      </c>
      <c r="BJ1156" t="s">
        <v>3945</v>
      </c>
      <c r="BK1156" t="s">
        <v>117</v>
      </c>
      <c r="BL1156" t="s">
        <v>3946</v>
      </c>
      <c r="BM1156" t="s">
        <v>74</v>
      </c>
      <c r="BN1156">
        <v>33463158</v>
      </c>
      <c r="BO1156" t="s">
        <v>74</v>
      </c>
      <c r="BP1156" t="s">
        <v>74</v>
      </c>
      <c r="BQ1156" t="s">
        <v>74</v>
      </c>
      <c r="BR1156" t="s">
        <v>96</v>
      </c>
      <c r="BS1156" t="s">
        <v>24627</v>
      </c>
      <c r="BT1156" t="str">
        <f>HYPERLINK("https%3A%2F%2Fwww.webofscience.com%2Fwos%2Fwoscc%2Ffull-record%2FWOS:000541442600015","View Full Record in Web of Science")</f>
        <v>View Full Record in Web of Science</v>
      </c>
    </row>
    <row r="1157" spans="1:72" x14ac:dyDescent="0.15">
      <c r="A1157" t="s">
        <v>98</v>
      </c>
      <c r="B1157" t="s">
        <v>25066</v>
      </c>
      <c r="C1157" t="s">
        <v>74</v>
      </c>
      <c r="D1157" t="s">
        <v>74</v>
      </c>
      <c r="E1157" t="s">
        <v>74</v>
      </c>
      <c r="F1157" t="s">
        <v>25067</v>
      </c>
      <c r="G1157" t="s">
        <v>74</v>
      </c>
      <c r="H1157" t="s">
        <v>74</v>
      </c>
      <c r="I1157" t="s">
        <v>25068</v>
      </c>
      <c r="J1157" t="s">
        <v>25069</v>
      </c>
      <c r="K1157" t="s">
        <v>74</v>
      </c>
      <c r="L1157" t="s">
        <v>74</v>
      </c>
      <c r="M1157" t="s">
        <v>74</v>
      </c>
      <c r="N1157" t="s">
        <v>103</v>
      </c>
      <c r="O1157" t="s">
        <v>74</v>
      </c>
      <c r="P1157" t="s">
        <v>74</v>
      </c>
      <c r="Q1157" t="s">
        <v>74</v>
      </c>
      <c r="R1157" t="s">
        <v>74</v>
      </c>
      <c r="S1157" t="s">
        <v>74</v>
      </c>
      <c r="T1157" t="s">
        <v>25070</v>
      </c>
      <c r="U1157" t="s">
        <v>25071</v>
      </c>
      <c r="V1157" t="s">
        <v>25072</v>
      </c>
      <c r="W1157" t="s">
        <v>25073</v>
      </c>
      <c r="X1157" t="s">
        <v>25074</v>
      </c>
      <c r="Y1157" t="s">
        <v>25075</v>
      </c>
      <c r="Z1157" t="s">
        <v>25076</v>
      </c>
      <c r="AA1157" t="s">
        <v>25077</v>
      </c>
      <c r="AB1157" t="s">
        <v>25078</v>
      </c>
      <c r="AC1157" t="s">
        <v>74</v>
      </c>
      <c r="AD1157" t="s">
        <v>74</v>
      </c>
      <c r="AE1157" t="s">
        <v>74</v>
      </c>
      <c r="AF1157" t="s">
        <v>74</v>
      </c>
      <c r="AG1157">
        <v>55</v>
      </c>
      <c r="AH1157">
        <v>11</v>
      </c>
      <c r="AI1157">
        <v>11</v>
      </c>
      <c r="AJ1157">
        <v>8</v>
      </c>
      <c r="AK1157">
        <v>18</v>
      </c>
      <c r="AL1157" t="s">
        <v>74</v>
      </c>
      <c r="AM1157" t="s">
        <v>74</v>
      </c>
      <c r="AN1157" t="s">
        <v>74</v>
      </c>
      <c r="AO1157" t="s">
        <v>25079</v>
      </c>
      <c r="AP1157" t="s">
        <v>25080</v>
      </c>
      <c r="AQ1157" t="s">
        <v>74</v>
      </c>
      <c r="AR1157" t="s">
        <v>74</v>
      </c>
      <c r="AS1157" t="s">
        <v>74</v>
      </c>
      <c r="AT1157" t="s">
        <v>132</v>
      </c>
      <c r="AU1157">
        <v>2020</v>
      </c>
      <c r="AV1157">
        <v>123</v>
      </c>
      <c r="AW1157" t="s">
        <v>74</v>
      </c>
      <c r="AX1157" t="s">
        <v>74</v>
      </c>
      <c r="AY1157" t="s">
        <v>74</v>
      </c>
      <c r="AZ1157" t="s">
        <v>74</v>
      </c>
      <c r="BA1157" t="s">
        <v>74</v>
      </c>
      <c r="BB1157">
        <v>31</v>
      </c>
      <c r="BC1157">
        <v>38</v>
      </c>
      <c r="BD1157" t="s">
        <v>74</v>
      </c>
      <c r="BE1157" t="s">
        <v>25081</v>
      </c>
      <c r="BF1157" t="str">
        <f>HYPERLINK("http://dx.doi.org/10.1016/j.jpsychires.2020.01.004","http://dx.doi.org/10.1016/j.jpsychires.2020.01.004")</f>
        <v>http://dx.doi.org/10.1016/j.jpsychires.2020.01.004</v>
      </c>
      <c r="BG1157" t="s">
        <v>74</v>
      </c>
      <c r="BH1157" t="s">
        <v>74</v>
      </c>
      <c r="BI1157" t="s">
        <v>74</v>
      </c>
      <c r="BJ1157" t="s">
        <v>25082</v>
      </c>
      <c r="BK1157" t="s">
        <v>3223</v>
      </c>
      <c r="BL1157" t="s">
        <v>25082</v>
      </c>
      <c r="BM1157" t="s">
        <v>74</v>
      </c>
      <c r="BN1157">
        <v>32028208</v>
      </c>
      <c r="BO1157" t="s">
        <v>74</v>
      </c>
      <c r="BP1157" t="s">
        <v>74</v>
      </c>
      <c r="BQ1157" t="s">
        <v>74</v>
      </c>
      <c r="BR1157" t="s">
        <v>96</v>
      </c>
      <c r="BS1157" t="s">
        <v>25083</v>
      </c>
      <c r="BT1157" t="str">
        <f>HYPERLINK("https%3A%2F%2Fwww.webofscience.com%2Fwos%2Fwoscc%2Ffull-record%2FWOS:000518875600004","View Full Record in Web of Science")</f>
        <v>View Full Record in Web of Science</v>
      </c>
    </row>
    <row r="1158" spans="1:72" x14ac:dyDescent="0.15">
      <c r="A1158" t="s">
        <v>98</v>
      </c>
      <c r="B1158" t="s">
        <v>25100</v>
      </c>
      <c r="C1158" t="s">
        <v>74</v>
      </c>
      <c r="D1158" t="s">
        <v>74</v>
      </c>
      <c r="E1158" t="s">
        <v>74</v>
      </c>
      <c r="F1158" t="s">
        <v>25101</v>
      </c>
      <c r="G1158" t="s">
        <v>74</v>
      </c>
      <c r="H1158" t="s">
        <v>74</v>
      </c>
      <c r="I1158" t="s">
        <v>25102</v>
      </c>
      <c r="J1158" t="s">
        <v>12442</v>
      </c>
      <c r="K1158" t="s">
        <v>74</v>
      </c>
      <c r="L1158" t="s">
        <v>74</v>
      </c>
      <c r="M1158" t="s">
        <v>74</v>
      </c>
      <c r="N1158" t="s">
        <v>103</v>
      </c>
      <c r="O1158" t="s">
        <v>74</v>
      </c>
      <c r="P1158" t="s">
        <v>74</v>
      </c>
      <c r="Q1158" t="s">
        <v>74</v>
      </c>
      <c r="R1158" t="s">
        <v>74</v>
      </c>
      <c r="S1158" t="s">
        <v>74</v>
      </c>
      <c r="T1158" t="s">
        <v>74</v>
      </c>
      <c r="U1158" t="s">
        <v>25103</v>
      </c>
      <c r="V1158" t="s">
        <v>25104</v>
      </c>
      <c r="W1158" t="s">
        <v>25105</v>
      </c>
      <c r="X1158" t="s">
        <v>25106</v>
      </c>
      <c r="Y1158" t="s">
        <v>25107</v>
      </c>
      <c r="Z1158" t="s">
        <v>25108</v>
      </c>
      <c r="AA1158" t="s">
        <v>74</v>
      </c>
      <c r="AB1158" t="s">
        <v>25109</v>
      </c>
      <c r="AC1158" t="s">
        <v>74</v>
      </c>
      <c r="AD1158" t="s">
        <v>74</v>
      </c>
      <c r="AE1158" t="s">
        <v>74</v>
      </c>
      <c r="AF1158" t="s">
        <v>74</v>
      </c>
      <c r="AG1158">
        <v>35</v>
      </c>
      <c r="AH1158">
        <v>11</v>
      </c>
      <c r="AI1158">
        <v>11</v>
      </c>
      <c r="AJ1158">
        <v>0</v>
      </c>
      <c r="AK1158">
        <v>4</v>
      </c>
      <c r="AL1158" t="s">
        <v>74</v>
      </c>
      <c r="AM1158" t="s">
        <v>74</v>
      </c>
      <c r="AN1158" t="s">
        <v>74</v>
      </c>
      <c r="AO1158" t="s">
        <v>12451</v>
      </c>
      <c r="AP1158" t="s">
        <v>12452</v>
      </c>
      <c r="AQ1158" t="s">
        <v>74</v>
      </c>
      <c r="AR1158" t="s">
        <v>74</v>
      </c>
      <c r="AS1158" t="s">
        <v>74</v>
      </c>
      <c r="AT1158" t="s">
        <v>531</v>
      </c>
      <c r="AU1158">
        <v>2015</v>
      </c>
      <c r="AV1158">
        <v>184</v>
      </c>
      <c r="AW1158">
        <v>3</v>
      </c>
      <c r="AX1158" t="s">
        <v>74</v>
      </c>
      <c r="AY1158" t="s">
        <v>74</v>
      </c>
      <c r="AZ1158" t="s">
        <v>74</v>
      </c>
      <c r="BA1158" t="s">
        <v>74</v>
      </c>
      <c r="BB1158">
        <v>249</v>
      </c>
      <c r="BC1158">
        <v>258</v>
      </c>
      <c r="BD1158" t="s">
        <v>74</v>
      </c>
      <c r="BE1158" t="s">
        <v>25110</v>
      </c>
      <c r="BF1158" t="str">
        <f>HYPERLINK("http://dx.doi.org/10.1667/RR14092.1","http://dx.doi.org/10.1667/RR14092.1")</f>
        <v>http://dx.doi.org/10.1667/RR14092.1</v>
      </c>
      <c r="BG1158" t="s">
        <v>74</v>
      </c>
      <c r="BH1158" t="s">
        <v>74</v>
      </c>
      <c r="BI1158" t="s">
        <v>74</v>
      </c>
      <c r="BJ1158" t="s">
        <v>12454</v>
      </c>
      <c r="BK1158" t="s">
        <v>117</v>
      </c>
      <c r="BL1158" t="s">
        <v>12455</v>
      </c>
      <c r="BM1158" t="s">
        <v>74</v>
      </c>
      <c r="BN1158">
        <v>26284422</v>
      </c>
      <c r="BO1158" t="s">
        <v>74</v>
      </c>
      <c r="BP1158" t="s">
        <v>74</v>
      </c>
      <c r="BQ1158" t="s">
        <v>74</v>
      </c>
      <c r="BR1158" t="s">
        <v>96</v>
      </c>
      <c r="BS1158" t="s">
        <v>25111</v>
      </c>
      <c r="BT1158" t="str">
        <f>HYPERLINK("https%3A%2F%2Fwww.webofscience.com%2Fwos%2Fwoscc%2Ffull-record%2FWOS:000361238600002","View Full Record in Web of Science")</f>
        <v>View Full Record in Web of Science</v>
      </c>
    </row>
    <row r="1159" spans="1:72" x14ac:dyDescent="0.15">
      <c r="A1159" t="s">
        <v>98</v>
      </c>
      <c r="B1159" t="s">
        <v>25377</v>
      </c>
      <c r="C1159" t="s">
        <v>74</v>
      </c>
      <c r="D1159" t="s">
        <v>74</v>
      </c>
      <c r="E1159" t="s">
        <v>74</v>
      </c>
      <c r="F1159" t="s">
        <v>25378</v>
      </c>
      <c r="G1159" t="s">
        <v>74</v>
      </c>
      <c r="H1159" t="s">
        <v>74</v>
      </c>
      <c r="I1159" t="s">
        <v>25379</v>
      </c>
      <c r="J1159" t="s">
        <v>25380</v>
      </c>
      <c r="K1159" t="s">
        <v>74</v>
      </c>
      <c r="L1159" t="s">
        <v>74</v>
      </c>
      <c r="M1159" t="s">
        <v>74</v>
      </c>
      <c r="N1159" t="s">
        <v>103</v>
      </c>
      <c r="O1159" t="s">
        <v>74</v>
      </c>
      <c r="P1159" t="s">
        <v>74</v>
      </c>
      <c r="Q1159" t="s">
        <v>74</v>
      </c>
      <c r="R1159" t="s">
        <v>74</v>
      </c>
      <c r="S1159" t="s">
        <v>74</v>
      </c>
      <c r="T1159" t="s">
        <v>25381</v>
      </c>
      <c r="U1159" t="s">
        <v>25382</v>
      </c>
      <c r="V1159" t="s">
        <v>25383</v>
      </c>
      <c r="W1159" t="s">
        <v>25384</v>
      </c>
      <c r="X1159" t="s">
        <v>25385</v>
      </c>
      <c r="Y1159" t="s">
        <v>25386</v>
      </c>
      <c r="Z1159" t="s">
        <v>25387</v>
      </c>
      <c r="AA1159" t="s">
        <v>74</v>
      </c>
      <c r="AB1159" t="s">
        <v>25388</v>
      </c>
      <c r="AC1159" t="s">
        <v>74</v>
      </c>
      <c r="AD1159" t="s">
        <v>74</v>
      </c>
      <c r="AE1159" t="s">
        <v>74</v>
      </c>
      <c r="AF1159" t="s">
        <v>74</v>
      </c>
      <c r="AG1159">
        <v>38</v>
      </c>
      <c r="AH1159">
        <v>11</v>
      </c>
      <c r="AI1159">
        <v>11</v>
      </c>
      <c r="AJ1159">
        <v>0</v>
      </c>
      <c r="AK1159">
        <v>5</v>
      </c>
      <c r="AL1159" t="s">
        <v>74</v>
      </c>
      <c r="AM1159" t="s">
        <v>74</v>
      </c>
      <c r="AN1159" t="s">
        <v>74</v>
      </c>
      <c r="AO1159" t="s">
        <v>25389</v>
      </c>
      <c r="AP1159" t="s">
        <v>25390</v>
      </c>
      <c r="AQ1159" t="s">
        <v>74</v>
      </c>
      <c r="AR1159" t="s">
        <v>74</v>
      </c>
      <c r="AS1159" t="s">
        <v>74</v>
      </c>
      <c r="AT1159" t="s">
        <v>565</v>
      </c>
      <c r="AU1159">
        <v>2011</v>
      </c>
      <c r="AV1159">
        <v>17</v>
      </c>
      <c r="AW1159">
        <v>3</v>
      </c>
      <c r="AX1159" t="s">
        <v>74</v>
      </c>
      <c r="AY1159" t="s">
        <v>74</v>
      </c>
      <c r="AZ1159" t="s">
        <v>74</v>
      </c>
      <c r="BA1159" t="s">
        <v>74</v>
      </c>
      <c r="BB1159">
        <v>732</v>
      </c>
      <c r="BC1159">
        <v>741</v>
      </c>
      <c r="BD1159" t="s">
        <v>74</v>
      </c>
      <c r="BE1159" t="s">
        <v>25391</v>
      </c>
      <c r="BF1159" t="str">
        <f>HYPERLINK("http://dx.doi.org/10.1002/ibd.21411","http://dx.doi.org/10.1002/ibd.21411")</f>
        <v>http://dx.doi.org/10.1002/ibd.21411</v>
      </c>
      <c r="BG1159" t="s">
        <v>74</v>
      </c>
      <c r="BH1159" t="s">
        <v>74</v>
      </c>
      <c r="BI1159" t="s">
        <v>74</v>
      </c>
      <c r="BJ1159" t="s">
        <v>633</v>
      </c>
      <c r="BK1159" t="s">
        <v>117</v>
      </c>
      <c r="BL1159" t="s">
        <v>633</v>
      </c>
      <c r="BM1159" t="s">
        <v>74</v>
      </c>
      <c r="BN1159">
        <v>20684017</v>
      </c>
      <c r="BO1159" t="s">
        <v>74</v>
      </c>
      <c r="BP1159" t="s">
        <v>74</v>
      </c>
      <c r="BQ1159" t="s">
        <v>74</v>
      </c>
      <c r="BR1159" t="s">
        <v>96</v>
      </c>
      <c r="BS1159" t="s">
        <v>25392</v>
      </c>
      <c r="BT1159" t="str">
        <f>HYPERLINK("https%3A%2F%2Fwww.webofscience.com%2Fwos%2Fwoscc%2Ffull-record%2FWOS:000287893500005","View Full Record in Web of Science")</f>
        <v>View Full Record in Web of Science</v>
      </c>
    </row>
    <row r="1160" spans="1:72" x14ac:dyDescent="0.15">
      <c r="A1160" t="s">
        <v>98</v>
      </c>
      <c r="B1160" t="s">
        <v>25401</v>
      </c>
      <c r="C1160" t="s">
        <v>74</v>
      </c>
      <c r="D1160" t="s">
        <v>74</v>
      </c>
      <c r="E1160" t="s">
        <v>74</v>
      </c>
      <c r="F1160" t="s">
        <v>25402</v>
      </c>
      <c r="G1160" t="s">
        <v>74</v>
      </c>
      <c r="H1160" t="s">
        <v>74</v>
      </c>
      <c r="I1160" t="s">
        <v>25403</v>
      </c>
      <c r="J1160" t="s">
        <v>25404</v>
      </c>
      <c r="K1160" t="s">
        <v>74</v>
      </c>
      <c r="L1160" t="s">
        <v>74</v>
      </c>
      <c r="M1160" t="s">
        <v>74</v>
      </c>
      <c r="N1160" t="s">
        <v>980</v>
      </c>
      <c r="O1160" t="s">
        <v>25405</v>
      </c>
      <c r="P1160" t="s">
        <v>25406</v>
      </c>
      <c r="Q1160" t="s">
        <v>25407</v>
      </c>
      <c r="R1160" t="s">
        <v>74</v>
      </c>
      <c r="S1160" t="s">
        <v>74</v>
      </c>
      <c r="T1160" t="s">
        <v>25408</v>
      </c>
      <c r="U1160" t="s">
        <v>25409</v>
      </c>
      <c r="V1160" t="s">
        <v>25410</v>
      </c>
      <c r="W1160" t="s">
        <v>25411</v>
      </c>
      <c r="X1160" t="s">
        <v>25412</v>
      </c>
      <c r="Y1160" t="s">
        <v>25413</v>
      </c>
      <c r="Z1160" t="s">
        <v>25414</v>
      </c>
      <c r="AA1160" t="s">
        <v>74</v>
      </c>
      <c r="AB1160" t="s">
        <v>74</v>
      </c>
      <c r="AC1160" t="s">
        <v>74</v>
      </c>
      <c r="AD1160" t="s">
        <v>74</v>
      </c>
      <c r="AE1160" t="s">
        <v>74</v>
      </c>
      <c r="AF1160" t="s">
        <v>74</v>
      </c>
      <c r="AG1160">
        <v>21</v>
      </c>
      <c r="AH1160">
        <v>11</v>
      </c>
      <c r="AI1160">
        <v>11</v>
      </c>
      <c r="AJ1160">
        <v>0</v>
      </c>
      <c r="AK1160">
        <v>1</v>
      </c>
      <c r="AL1160" t="s">
        <v>74</v>
      </c>
      <c r="AM1160" t="s">
        <v>74</v>
      </c>
      <c r="AN1160" t="s">
        <v>74</v>
      </c>
      <c r="AO1160" t="s">
        <v>25415</v>
      </c>
      <c r="AP1160" t="s">
        <v>25416</v>
      </c>
      <c r="AQ1160" t="s">
        <v>74</v>
      </c>
      <c r="AR1160" t="s">
        <v>74</v>
      </c>
      <c r="AS1160" t="s">
        <v>74</v>
      </c>
      <c r="AT1160" t="s">
        <v>9418</v>
      </c>
      <c r="AU1160">
        <v>2007</v>
      </c>
      <c r="AV1160">
        <v>390</v>
      </c>
      <c r="AW1160" t="s">
        <v>1694</v>
      </c>
      <c r="AX1160" t="s">
        <v>74</v>
      </c>
      <c r="AY1160" t="s">
        <v>74</v>
      </c>
      <c r="AZ1160" t="s">
        <v>447</v>
      </c>
      <c r="BA1160" t="s">
        <v>74</v>
      </c>
      <c r="BB1160">
        <v>175</v>
      </c>
      <c r="BC1160">
        <v>179</v>
      </c>
      <c r="BD1160" t="s">
        <v>74</v>
      </c>
      <c r="BE1160" t="s">
        <v>25417</v>
      </c>
      <c r="BF1160" t="str">
        <f>HYPERLINK("http://dx.doi.org/10.1016/j.gene.2006.08.019","http://dx.doi.org/10.1016/j.gene.2006.08.019")</f>
        <v>http://dx.doi.org/10.1016/j.gene.2006.08.019</v>
      </c>
      <c r="BG1160" t="s">
        <v>74</v>
      </c>
      <c r="BH1160" t="s">
        <v>74</v>
      </c>
      <c r="BI1160" t="s">
        <v>74</v>
      </c>
      <c r="BJ1160" t="s">
        <v>285</v>
      </c>
      <c r="BK1160" t="s">
        <v>997</v>
      </c>
      <c r="BL1160" t="s">
        <v>285</v>
      </c>
      <c r="BM1160" t="s">
        <v>74</v>
      </c>
      <c r="BN1160">
        <v>17045761</v>
      </c>
      <c r="BO1160" t="s">
        <v>74</v>
      </c>
      <c r="BP1160" t="s">
        <v>74</v>
      </c>
      <c r="BQ1160" t="s">
        <v>74</v>
      </c>
      <c r="BR1160" t="s">
        <v>96</v>
      </c>
      <c r="BS1160" t="s">
        <v>25418</v>
      </c>
      <c r="BT1160" t="str">
        <f>HYPERLINK("https%3A%2F%2Fwww.webofscience.com%2Fwos%2Fwoscc%2Ffull-record%2FWOS:000244940700020","View Full Record in Web of Science")</f>
        <v>View Full Record in Web of Science</v>
      </c>
    </row>
    <row r="1161" spans="1:72" x14ac:dyDescent="0.15">
      <c r="A1161" t="s">
        <v>98</v>
      </c>
      <c r="B1161" t="s">
        <v>26394</v>
      </c>
      <c r="C1161" t="s">
        <v>74</v>
      </c>
      <c r="D1161" t="s">
        <v>74</v>
      </c>
      <c r="E1161" t="s">
        <v>74</v>
      </c>
      <c r="F1161" t="s">
        <v>26395</v>
      </c>
      <c r="G1161" t="s">
        <v>74</v>
      </c>
      <c r="H1161" t="s">
        <v>74</v>
      </c>
      <c r="I1161" t="s">
        <v>26396</v>
      </c>
      <c r="J1161" t="s">
        <v>4486</v>
      </c>
      <c r="K1161" t="s">
        <v>74</v>
      </c>
      <c r="L1161" t="s">
        <v>74</v>
      </c>
      <c r="M1161" t="s">
        <v>74</v>
      </c>
      <c r="N1161" t="s">
        <v>103</v>
      </c>
      <c r="O1161" t="s">
        <v>74</v>
      </c>
      <c r="P1161" t="s">
        <v>74</v>
      </c>
      <c r="Q1161" t="s">
        <v>74</v>
      </c>
      <c r="R1161" t="s">
        <v>74</v>
      </c>
      <c r="S1161" t="s">
        <v>74</v>
      </c>
      <c r="T1161" t="s">
        <v>74</v>
      </c>
      <c r="U1161" t="s">
        <v>26397</v>
      </c>
      <c r="V1161" t="s">
        <v>26398</v>
      </c>
      <c r="W1161" t="s">
        <v>26399</v>
      </c>
      <c r="X1161" t="s">
        <v>26400</v>
      </c>
      <c r="Y1161" t="s">
        <v>26401</v>
      </c>
      <c r="Z1161" t="s">
        <v>26402</v>
      </c>
      <c r="AA1161" t="s">
        <v>74</v>
      </c>
      <c r="AB1161" t="s">
        <v>26403</v>
      </c>
      <c r="AC1161" t="s">
        <v>74</v>
      </c>
      <c r="AD1161" t="s">
        <v>74</v>
      </c>
      <c r="AE1161" t="s">
        <v>74</v>
      </c>
      <c r="AF1161" t="s">
        <v>74</v>
      </c>
      <c r="AG1161">
        <v>52</v>
      </c>
      <c r="AH1161">
        <v>11</v>
      </c>
      <c r="AI1161">
        <v>13</v>
      </c>
      <c r="AJ1161">
        <v>8</v>
      </c>
      <c r="AK1161">
        <v>117</v>
      </c>
      <c r="AL1161" t="s">
        <v>74</v>
      </c>
      <c r="AM1161" t="s">
        <v>74</v>
      </c>
      <c r="AN1161" t="s">
        <v>74</v>
      </c>
      <c r="AO1161" t="s">
        <v>4493</v>
      </c>
      <c r="AP1161" t="s">
        <v>4494</v>
      </c>
      <c r="AQ1161" t="s">
        <v>74</v>
      </c>
      <c r="AR1161" t="s">
        <v>74</v>
      </c>
      <c r="AS1161" t="s">
        <v>74</v>
      </c>
      <c r="AT1161" t="s">
        <v>650</v>
      </c>
      <c r="AU1161">
        <v>2018</v>
      </c>
      <c r="AV1161">
        <v>90</v>
      </c>
      <c r="AW1161">
        <v>22</v>
      </c>
      <c r="AX1161" t="s">
        <v>74</v>
      </c>
      <c r="AY1161" t="s">
        <v>74</v>
      </c>
      <c r="AZ1161" t="s">
        <v>74</v>
      </c>
      <c r="BA1161" t="s">
        <v>74</v>
      </c>
      <c r="BB1161">
        <v>13663</v>
      </c>
      <c r="BC1161">
        <v>13669</v>
      </c>
      <c r="BD1161" t="s">
        <v>74</v>
      </c>
      <c r="BE1161" t="s">
        <v>26404</v>
      </c>
      <c r="BF1161" t="str">
        <f>HYPERLINK("http://dx.doi.org/10.1021/acs.analchem.8b04008","http://dx.doi.org/10.1021/acs.analchem.8b04008")</f>
        <v>http://dx.doi.org/10.1021/acs.analchem.8b04008</v>
      </c>
      <c r="BG1161" t="s">
        <v>74</v>
      </c>
      <c r="BH1161" t="s">
        <v>74</v>
      </c>
      <c r="BI1161" t="s">
        <v>74</v>
      </c>
      <c r="BJ1161" t="s">
        <v>1118</v>
      </c>
      <c r="BK1161" t="s">
        <v>117</v>
      </c>
      <c r="BL1161" t="s">
        <v>1048</v>
      </c>
      <c r="BM1161" t="s">
        <v>74</v>
      </c>
      <c r="BN1161">
        <v>30359531</v>
      </c>
      <c r="BO1161" t="s">
        <v>74</v>
      </c>
      <c r="BP1161" t="s">
        <v>74</v>
      </c>
      <c r="BQ1161" t="s">
        <v>74</v>
      </c>
      <c r="BR1161" t="s">
        <v>96</v>
      </c>
      <c r="BS1161" t="s">
        <v>26405</v>
      </c>
      <c r="BT1161" t="str">
        <f>HYPERLINK("https%3A%2F%2Fwww.webofscience.com%2Fwos%2Fwoscc%2Ffull-record%2FWOS:000451246100070","View Full Record in Web of Science")</f>
        <v>View Full Record in Web of Science</v>
      </c>
    </row>
    <row r="1162" spans="1:72" x14ac:dyDescent="0.15">
      <c r="A1162" t="s">
        <v>98</v>
      </c>
      <c r="B1162" t="s">
        <v>27335</v>
      </c>
      <c r="C1162" t="s">
        <v>74</v>
      </c>
      <c r="D1162" t="s">
        <v>74</v>
      </c>
      <c r="E1162" t="s">
        <v>74</v>
      </c>
      <c r="F1162" t="s">
        <v>27336</v>
      </c>
      <c r="G1162" t="s">
        <v>74</v>
      </c>
      <c r="H1162" t="s">
        <v>74</v>
      </c>
      <c r="I1162" t="s">
        <v>27337</v>
      </c>
      <c r="J1162" t="s">
        <v>3780</v>
      </c>
      <c r="K1162" t="s">
        <v>74</v>
      </c>
      <c r="L1162" t="s">
        <v>74</v>
      </c>
      <c r="M1162" t="s">
        <v>74</v>
      </c>
      <c r="N1162" t="s">
        <v>103</v>
      </c>
      <c r="O1162" t="s">
        <v>74</v>
      </c>
      <c r="P1162" t="s">
        <v>74</v>
      </c>
      <c r="Q1162" t="s">
        <v>74</v>
      </c>
      <c r="R1162" t="s">
        <v>74</v>
      </c>
      <c r="S1162" t="s">
        <v>74</v>
      </c>
      <c r="T1162" t="s">
        <v>74</v>
      </c>
      <c r="U1162" t="s">
        <v>27338</v>
      </c>
      <c r="V1162" t="s">
        <v>27339</v>
      </c>
      <c r="W1162" t="s">
        <v>27340</v>
      </c>
      <c r="X1162" t="s">
        <v>27341</v>
      </c>
      <c r="Y1162" t="s">
        <v>27342</v>
      </c>
      <c r="Z1162" t="s">
        <v>27343</v>
      </c>
      <c r="AA1162" t="s">
        <v>27344</v>
      </c>
      <c r="AB1162" t="s">
        <v>27345</v>
      </c>
      <c r="AC1162" t="s">
        <v>74</v>
      </c>
      <c r="AD1162" t="s">
        <v>74</v>
      </c>
      <c r="AE1162" t="s">
        <v>74</v>
      </c>
      <c r="AF1162" t="s">
        <v>74</v>
      </c>
      <c r="AG1162">
        <v>52</v>
      </c>
      <c r="AH1162">
        <v>11</v>
      </c>
      <c r="AI1162">
        <v>12</v>
      </c>
      <c r="AJ1162">
        <v>4</v>
      </c>
      <c r="AK1162">
        <v>82</v>
      </c>
      <c r="AL1162" t="s">
        <v>74</v>
      </c>
      <c r="AM1162" t="s">
        <v>74</v>
      </c>
      <c r="AN1162" t="s">
        <v>74</v>
      </c>
      <c r="AO1162" t="s">
        <v>3787</v>
      </c>
      <c r="AP1162" t="s">
        <v>3788</v>
      </c>
      <c r="AQ1162" t="s">
        <v>74</v>
      </c>
      <c r="AR1162" t="s">
        <v>74</v>
      </c>
      <c r="AS1162" t="s">
        <v>74</v>
      </c>
      <c r="AT1162" t="s">
        <v>12509</v>
      </c>
      <c r="AU1162">
        <v>2019</v>
      </c>
      <c r="AV1162">
        <v>19</v>
      </c>
      <c r="AW1162">
        <v>24</v>
      </c>
      <c r="AX1162" t="s">
        <v>74</v>
      </c>
      <c r="AY1162" t="s">
        <v>74</v>
      </c>
      <c r="AZ1162" t="s">
        <v>74</v>
      </c>
      <c r="BA1162" t="s">
        <v>74</v>
      </c>
      <c r="BB1162">
        <v>4104</v>
      </c>
      <c r="BC1162">
        <v>4116</v>
      </c>
      <c r="BD1162" t="s">
        <v>74</v>
      </c>
      <c r="BE1162" t="s">
        <v>27346</v>
      </c>
      <c r="BF1162" t="str">
        <f>HYPERLINK("http://dx.doi.org/10.1039/c9lc00932a","http://dx.doi.org/10.1039/c9lc00932a")</f>
        <v>http://dx.doi.org/10.1039/c9lc00932a</v>
      </c>
      <c r="BG1162" t="s">
        <v>74</v>
      </c>
      <c r="BH1162" t="s">
        <v>74</v>
      </c>
      <c r="BI1162" t="s">
        <v>74</v>
      </c>
      <c r="BJ1162" t="s">
        <v>3790</v>
      </c>
      <c r="BK1162" t="s">
        <v>117</v>
      </c>
      <c r="BL1162" t="s">
        <v>3791</v>
      </c>
      <c r="BM1162" t="s">
        <v>74</v>
      </c>
      <c r="BN1162">
        <v>31720646</v>
      </c>
      <c r="BO1162" t="s">
        <v>74</v>
      </c>
      <c r="BP1162" t="s">
        <v>74</v>
      </c>
      <c r="BQ1162" t="s">
        <v>74</v>
      </c>
      <c r="BR1162" t="s">
        <v>96</v>
      </c>
      <c r="BS1162" t="s">
        <v>27347</v>
      </c>
      <c r="BT1162" t="str">
        <f>HYPERLINK("https%3A%2F%2Fwww.webofscience.com%2Fwos%2Fwoscc%2Ffull-record%2FWOS:000501343700007","View Full Record in Web of Science")</f>
        <v>View Full Record in Web of Science</v>
      </c>
    </row>
    <row r="1163" spans="1:72" x14ac:dyDescent="0.15">
      <c r="A1163" t="s">
        <v>98</v>
      </c>
      <c r="B1163" t="s">
        <v>27552</v>
      </c>
      <c r="C1163" t="s">
        <v>74</v>
      </c>
      <c r="D1163" t="s">
        <v>74</v>
      </c>
      <c r="E1163" t="s">
        <v>74</v>
      </c>
      <c r="F1163" t="s">
        <v>27553</v>
      </c>
      <c r="G1163" t="s">
        <v>74</v>
      </c>
      <c r="H1163" t="s">
        <v>74</v>
      </c>
      <c r="I1163" t="s">
        <v>27554</v>
      </c>
      <c r="J1163" t="s">
        <v>15659</v>
      </c>
      <c r="K1163" t="s">
        <v>74</v>
      </c>
      <c r="L1163" t="s">
        <v>74</v>
      </c>
      <c r="M1163" t="s">
        <v>74</v>
      </c>
      <c r="N1163" t="s">
        <v>103</v>
      </c>
      <c r="O1163" t="s">
        <v>74</v>
      </c>
      <c r="P1163" t="s">
        <v>74</v>
      </c>
      <c r="Q1163" t="s">
        <v>74</v>
      </c>
      <c r="R1163" t="s">
        <v>74</v>
      </c>
      <c r="S1163" t="s">
        <v>74</v>
      </c>
      <c r="T1163" t="s">
        <v>74</v>
      </c>
      <c r="U1163" t="s">
        <v>74</v>
      </c>
      <c r="V1163" t="s">
        <v>27555</v>
      </c>
      <c r="W1163" t="s">
        <v>27556</v>
      </c>
      <c r="X1163" t="s">
        <v>27557</v>
      </c>
      <c r="Y1163" t="s">
        <v>27558</v>
      </c>
      <c r="Z1163" t="s">
        <v>27559</v>
      </c>
      <c r="AA1163" t="s">
        <v>74</v>
      </c>
      <c r="AB1163" t="s">
        <v>27560</v>
      </c>
      <c r="AC1163" t="s">
        <v>74</v>
      </c>
      <c r="AD1163" t="s">
        <v>74</v>
      </c>
      <c r="AE1163" t="s">
        <v>74</v>
      </c>
      <c r="AF1163" t="s">
        <v>74</v>
      </c>
      <c r="AG1163">
        <v>40</v>
      </c>
      <c r="AH1163">
        <v>11</v>
      </c>
      <c r="AI1163">
        <v>11</v>
      </c>
      <c r="AJ1163">
        <v>0</v>
      </c>
      <c r="AK1163">
        <v>7</v>
      </c>
      <c r="AL1163" t="s">
        <v>74</v>
      </c>
      <c r="AM1163" t="s">
        <v>74</v>
      </c>
      <c r="AN1163" t="s">
        <v>74</v>
      </c>
      <c r="AO1163" t="s">
        <v>15668</v>
      </c>
      <c r="AP1163" t="s">
        <v>15669</v>
      </c>
      <c r="AQ1163" t="s">
        <v>74</v>
      </c>
      <c r="AR1163" t="s">
        <v>74</v>
      </c>
      <c r="AS1163" t="s">
        <v>74</v>
      </c>
      <c r="AT1163" t="s">
        <v>27561</v>
      </c>
      <c r="AU1163">
        <v>2021</v>
      </c>
      <c r="AV1163">
        <v>2021</v>
      </c>
      <c r="AW1163" t="s">
        <v>74</v>
      </c>
      <c r="AX1163" t="s">
        <v>74</v>
      </c>
      <c r="AY1163" t="s">
        <v>74</v>
      </c>
      <c r="AZ1163" t="s">
        <v>74</v>
      </c>
      <c r="BA1163" t="s">
        <v>74</v>
      </c>
      <c r="BB1163" t="s">
        <v>74</v>
      </c>
      <c r="BC1163" t="s">
        <v>74</v>
      </c>
      <c r="BD1163">
        <v>8833098</v>
      </c>
      <c r="BE1163" t="s">
        <v>27562</v>
      </c>
      <c r="BF1163" t="str">
        <f>HYPERLINK("http://dx.doi.org/10.1155/2021/8833098","http://dx.doi.org/10.1155/2021/8833098")</f>
        <v>http://dx.doi.org/10.1155/2021/8833098</v>
      </c>
      <c r="BG1163" t="s">
        <v>74</v>
      </c>
      <c r="BH1163" t="s">
        <v>74</v>
      </c>
      <c r="BI1163" t="s">
        <v>74</v>
      </c>
      <c r="BJ1163" t="s">
        <v>135</v>
      </c>
      <c r="BK1163" t="s">
        <v>117</v>
      </c>
      <c r="BL1163" t="s">
        <v>135</v>
      </c>
      <c r="BM1163" t="s">
        <v>74</v>
      </c>
      <c r="BN1163">
        <v>33815662</v>
      </c>
      <c r="BO1163" t="s">
        <v>74</v>
      </c>
      <c r="BP1163" t="s">
        <v>74</v>
      </c>
      <c r="BQ1163" t="s">
        <v>74</v>
      </c>
      <c r="BR1163" t="s">
        <v>96</v>
      </c>
      <c r="BS1163" t="s">
        <v>27563</v>
      </c>
      <c r="BT1163" t="str">
        <f>HYPERLINK("https%3A%2F%2Fwww.webofscience.com%2Fwos%2Fwoscc%2Ffull-record%2FWOS:000636293600001","View Full Record in Web of Science")</f>
        <v>View Full Record in Web of Science</v>
      </c>
    </row>
    <row r="1164" spans="1:72" x14ac:dyDescent="0.15">
      <c r="A1164" t="s">
        <v>98</v>
      </c>
      <c r="B1164" t="s">
        <v>28132</v>
      </c>
      <c r="C1164" t="s">
        <v>74</v>
      </c>
      <c r="D1164" t="s">
        <v>74</v>
      </c>
      <c r="E1164" t="s">
        <v>74</v>
      </c>
      <c r="F1164" t="s">
        <v>28132</v>
      </c>
      <c r="G1164" t="s">
        <v>74</v>
      </c>
      <c r="H1164" t="s">
        <v>74</v>
      </c>
      <c r="I1164" t="s">
        <v>28133</v>
      </c>
      <c r="J1164" t="s">
        <v>28134</v>
      </c>
      <c r="K1164" t="s">
        <v>74</v>
      </c>
      <c r="L1164" t="s">
        <v>74</v>
      </c>
      <c r="M1164" t="s">
        <v>74</v>
      </c>
      <c r="N1164" t="s">
        <v>103</v>
      </c>
      <c r="O1164" t="s">
        <v>74</v>
      </c>
      <c r="P1164" t="s">
        <v>74</v>
      </c>
      <c r="Q1164" t="s">
        <v>74</v>
      </c>
      <c r="R1164" t="s">
        <v>74</v>
      </c>
      <c r="S1164" t="s">
        <v>74</v>
      </c>
      <c r="T1164" t="s">
        <v>28135</v>
      </c>
      <c r="U1164" t="s">
        <v>28136</v>
      </c>
      <c r="V1164" t="s">
        <v>28137</v>
      </c>
      <c r="W1164" t="s">
        <v>28138</v>
      </c>
      <c r="X1164" t="s">
        <v>28139</v>
      </c>
      <c r="Y1164" t="s">
        <v>74</v>
      </c>
      <c r="Z1164" t="s">
        <v>74</v>
      </c>
      <c r="AA1164" t="s">
        <v>28140</v>
      </c>
      <c r="AB1164" t="s">
        <v>28141</v>
      </c>
      <c r="AC1164" t="s">
        <v>74</v>
      </c>
      <c r="AD1164" t="s">
        <v>74</v>
      </c>
      <c r="AE1164" t="s">
        <v>74</v>
      </c>
      <c r="AF1164" t="s">
        <v>74</v>
      </c>
      <c r="AG1164">
        <v>34</v>
      </c>
      <c r="AH1164">
        <v>11</v>
      </c>
      <c r="AI1164">
        <v>11</v>
      </c>
      <c r="AJ1164">
        <v>0</v>
      </c>
      <c r="AK1164">
        <v>0</v>
      </c>
      <c r="AL1164" t="s">
        <v>74</v>
      </c>
      <c r="AM1164" t="s">
        <v>74</v>
      </c>
      <c r="AN1164" t="s">
        <v>74</v>
      </c>
      <c r="AO1164" t="s">
        <v>28142</v>
      </c>
      <c r="AP1164" t="s">
        <v>74</v>
      </c>
      <c r="AQ1164" t="s">
        <v>74</v>
      </c>
      <c r="AR1164" t="s">
        <v>74</v>
      </c>
      <c r="AS1164" t="s">
        <v>74</v>
      </c>
      <c r="AT1164" t="s">
        <v>565</v>
      </c>
      <c r="AU1164">
        <v>1996</v>
      </c>
      <c r="AV1164">
        <v>270</v>
      </c>
      <c r="AW1164">
        <v>3</v>
      </c>
      <c r="AX1164" t="s">
        <v>74</v>
      </c>
      <c r="AY1164" t="s">
        <v>74</v>
      </c>
      <c r="AZ1164" t="s">
        <v>74</v>
      </c>
      <c r="BA1164" t="s">
        <v>74</v>
      </c>
      <c r="BB1164" t="s">
        <v>28143</v>
      </c>
      <c r="BC1164" t="s">
        <v>28144</v>
      </c>
      <c r="BD1164" t="s">
        <v>74</v>
      </c>
      <c r="BE1164" t="s">
        <v>28145</v>
      </c>
      <c r="BF1164" t="str">
        <f>HYPERLINK("http://dx.doi.org/10.1152/ajprenal.1996.270.3.F411","http://dx.doi.org/10.1152/ajprenal.1996.270.3.F411")</f>
        <v>http://dx.doi.org/10.1152/ajprenal.1996.270.3.F411</v>
      </c>
      <c r="BG1164" t="s">
        <v>74</v>
      </c>
      <c r="BH1164" t="s">
        <v>74</v>
      </c>
      <c r="BI1164" t="s">
        <v>74</v>
      </c>
      <c r="BJ1164" t="s">
        <v>12979</v>
      </c>
      <c r="BK1164" t="s">
        <v>117</v>
      </c>
      <c r="BL1164" t="s">
        <v>12979</v>
      </c>
      <c r="BM1164" t="s">
        <v>74</v>
      </c>
      <c r="BN1164">
        <v>8780242</v>
      </c>
      <c r="BO1164" t="s">
        <v>74</v>
      </c>
      <c r="BP1164" t="s">
        <v>74</v>
      </c>
      <c r="BQ1164" t="s">
        <v>74</v>
      </c>
      <c r="BR1164" t="s">
        <v>96</v>
      </c>
      <c r="BS1164" t="s">
        <v>28146</v>
      </c>
      <c r="BT1164" t="str">
        <f>HYPERLINK("https%3A%2F%2Fwww.webofscience.com%2Fwos%2Fwoscc%2Ffull-record%2FWOS:A1996UA04800005","View Full Record in Web of Science")</f>
        <v>View Full Record in Web of Science</v>
      </c>
    </row>
    <row r="1165" spans="1:72" x14ac:dyDescent="0.15">
      <c r="A1165" t="s">
        <v>98</v>
      </c>
      <c r="B1165" t="s">
        <v>28641</v>
      </c>
      <c r="C1165" t="s">
        <v>74</v>
      </c>
      <c r="D1165" t="s">
        <v>74</v>
      </c>
      <c r="E1165" t="s">
        <v>74</v>
      </c>
      <c r="F1165" t="s">
        <v>28642</v>
      </c>
      <c r="G1165" t="s">
        <v>74</v>
      </c>
      <c r="H1165" t="s">
        <v>74</v>
      </c>
      <c r="I1165" t="s">
        <v>28643</v>
      </c>
      <c r="J1165" t="s">
        <v>903</v>
      </c>
      <c r="K1165" t="s">
        <v>74</v>
      </c>
      <c r="L1165" t="s">
        <v>74</v>
      </c>
      <c r="M1165" t="s">
        <v>74</v>
      </c>
      <c r="N1165" t="s">
        <v>103</v>
      </c>
      <c r="O1165" t="s">
        <v>74</v>
      </c>
      <c r="P1165" t="s">
        <v>74</v>
      </c>
      <c r="Q1165" t="s">
        <v>74</v>
      </c>
      <c r="R1165" t="s">
        <v>74</v>
      </c>
      <c r="S1165" t="s">
        <v>74</v>
      </c>
      <c r="T1165" t="s">
        <v>28644</v>
      </c>
      <c r="U1165" t="s">
        <v>28645</v>
      </c>
      <c r="V1165" t="s">
        <v>28646</v>
      </c>
      <c r="W1165" t="s">
        <v>28647</v>
      </c>
      <c r="X1165" t="s">
        <v>11440</v>
      </c>
      <c r="Y1165" t="s">
        <v>28648</v>
      </c>
      <c r="Z1165" t="s">
        <v>28649</v>
      </c>
      <c r="AA1165" t="s">
        <v>74</v>
      </c>
      <c r="AB1165" t="s">
        <v>28650</v>
      </c>
      <c r="AC1165" t="s">
        <v>74</v>
      </c>
      <c r="AD1165" t="s">
        <v>74</v>
      </c>
      <c r="AE1165" t="s">
        <v>74</v>
      </c>
      <c r="AF1165" t="s">
        <v>74</v>
      </c>
      <c r="AG1165">
        <v>61</v>
      </c>
      <c r="AH1165">
        <v>11</v>
      </c>
      <c r="AI1165">
        <v>11</v>
      </c>
      <c r="AJ1165">
        <v>2</v>
      </c>
      <c r="AK1165">
        <v>7</v>
      </c>
      <c r="AL1165" t="s">
        <v>74</v>
      </c>
      <c r="AM1165" t="s">
        <v>74</v>
      </c>
      <c r="AN1165" t="s">
        <v>74</v>
      </c>
      <c r="AO1165" t="s">
        <v>74</v>
      </c>
      <c r="AP1165" t="s">
        <v>913</v>
      </c>
      <c r="AQ1165" t="s">
        <v>74</v>
      </c>
      <c r="AR1165" t="s">
        <v>74</v>
      </c>
      <c r="AS1165" t="s">
        <v>74</v>
      </c>
      <c r="AT1165" t="s">
        <v>531</v>
      </c>
      <c r="AU1165">
        <v>2020</v>
      </c>
      <c r="AV1165">
        <v>12</v>
      </c>
      <c r="AW1165">
        <v>9</v>
      </c>
      <c r="AX1165" t="s">
        <v>74</v>
      </c>
      <c r="AY1165" t="s">
        <v>74</v>
      </c>
      <c r="AZ1165" t="s">
        <v>74</v>
      </c>
      <c r="BA1165" t="s">
        <v>74</v>
      </c>
      <c r="BB1165" t="s">
        <v>74</v>
      </c>
      <c r="BC1165" t="s">
        <v>74</v>
      </c>
      <c r="BD1165">
        <v>2361</v>
      </c>
      <c r="BE1165" t="s">
        <v>28651</v>
      </c>
      <c r="BF1165" t="str">
        <f>HYPERLINK("http://dx.doi.org/10.3390/cancers12092361","http://dx.doi.org/10.3390/cancers12092361")</f>
        <v>http://dx.doi.org/10.3390/cancers12092361</v>
      </c>
      <c r="BG1165" t="s">
        <v>74</v>
      </c>
      <c r="BH1165" t="s">
        <v>74</v>
      </c>
      <c r="BI1165" t="s">
        <v>74</v>
      </c>
      <c r="BJ1165" t="s">
        <v>267</v>
      </c>
      <c r="BK1165" t="s">
        <v>117</v>
      </c>
      <c r="BL1165" t="s">
        <v>267</v>
      </c>
      <c r="BM1165" t="s">
        <v>74</v>
      </c>
      <c r="BN1165">
        <v>32825548</v>
      </c>
      <c r="BO1165" t="s">
        <v>74</v>
      </c>
      <c r="BP1165" t="s">
        <v>74</v>
      </c>
      <c r="BQ1165" t="s">
        <v>74</v>
      </c>
      <c r="BR1165" t="s">
        <v>96</v>
      </c>
      <c r="BS1165" t="s">
        <v>28652</v>
      </c>
      <c r="BT1165" t="str">
        <f>HYPERLINK("https%3A%2F%2Fwww.webofscience.com%2Fwos%2Fwoscc%2Ffull-record%2FWOS:000580268900001","View Full Record in Web of Science")</f>
        <v>View Full Record in Web of Science</v>
      </c>
    </row>
    <row r="1166" spans="1:72" x14ac:dyDescent="0.15">
      <c r="A1166" t="s">
        <v>98</v>
      </c>
      <c r="B1166" t="s">
        <v>29074</v>
      </c>
      <c r="C1166" t="s">
        <v>74</v>
      </c>
      <c r="D1166" t="s">
        <v>74</v>
      </c>
      <c r="E1166" t="s">
        <v>74</v>
      </c>
      <c r="F1166" t="s">
        <v>29075</v>
      </c>
      <c r="G1166" t="s">
        <v>74</v>
      </c>
      <c r="H1166" t="s">
        <v>74</v>
      </c>
      <c r="I1166" t="s">
        <v>29076</v>
      </c>
      <c r="J1166" t="s">
        <v>2105</v>
      </c>
      <c r="K1166" t="s">
        <v>74</v>
      </c>
      <c r="L1166" t="s">
        <v>74</v>
      </c>
      <c r="M1166" t="s">
        <v>74</v>
      </c>
      <c r="N1166" t="s">
        <v>103</v>
      </c>
      <c r="O1166" t="s">
        <v>74</v>
      </c>
      <c r="P1166" t="s">
        <v>74</v>
      </c>
      <c r="Q1166" t="s">
        <v>74</v>
      </c>
      <c r="R1166" t="s">
        <v>74</v>
      </c>
      <c r="S1166" t="s">
        <v>74</v>
      </c>
      <c r="T1166" t="s">
        <v>29077</v>
      </c>
      <c r="U1166" t="s">
        <v>29078</v>
      </c>
      <c r="V1166" t="s">
        <v>29079</v>
      </c>
      <c r="W1166" t="s">
        <v>29080</v>
      </c>
      <c r="X1166" t="s">
        <v>29081</v>
      </c>
      <c r="Y1166" t="s">
        <v>29082</v>
      </c>
      <c r="Z1166" t="s">
        <v>29083</v>
      </c>
      <c r="AA1166" t="s">
        <v>74</v>
      </c>
      <c r="AB1166" t="s">
        <v>74</v>
      </c>
      <c r="AC1166" t="s">
        <v>74</v>
      </c>
      <c r="AD1166" t="s">
        <v>74</v>
      </c>
      <c r="AE1166" t="s">
        <v>74</v>
      </c>
      <c r="AF1166" t="s">
        <v>74</v>
      </c>
      <c r="AG1166">
        <v>43</v>
      </c>
      <c r="AH1166">
        <v>11</v>
      </c>
      <c r="AI1166">
        <v>12</v>
      </c>
      <c r="AJ1166">
        <v>0</v>
      </c>
      <c r="AK1166">
        <v>6</v>
      </c>
      <c r="AL1166" t="s">
        <v>74</v>
      </c>
      <c r="AM1166" t="s">
        <v>74</v>
      </c>
      <c r="AN1166" t="s">
        <v>74</v>
      </c>
      <c r="AO1166" t="s">
        <v>2115</v>
      </c>
      <c r="AP1166" t="s">
        <v>74</v>
      </c>
      <c r="AQ1166" t="s">
        <v>74</v>
      </c>
      <c r="AR1166" t="s">
        <v>74</v>
      </c>
      <c r="AS1166" t="s">
        <v>74</v>
      </c>
      <c r="AT1166" t="s">
        <v>6935</v>
      </c>
      <c r="AU1166">
        <v>2020</v>
      </c>
      <c r="AV1166">
        <v>10</v>
      </c>
      <c r="AW1166" t="s">
        <v>74</v>
      </c>
      <c r="AX1166" t="s">
        <v>74</v>
      </c>
      <c r="AY1166" t="s">
        <v>74</v>
      </c>
      <c r="AZ1166" t="s">
        <v>74</v>
      </c>
      <c r="BA1166" t="s">
        <v>74</v>
      </c>
      <c r="BB1166" t="s">
        <v>74</v>
      </c>
      <c r="BC1166" t="s">
        <v>74</v>
      </c>
      <c r="BD1166">
        <v>1546</v>
      </c>
      <c r="BE1166" t="s">
        <v>29084</v>
      </c>
      <c r="BF1166" t="str">
        <f>HYPERLINK("http://dx.doi.org/10.3389/fonc.2020.01546","http://dx.doi.org/10.3389/fonc.2020.01546")</f>
        <v>http://dx.doi.org/10.3389/fonc.2020.01546</v>
      </c>
      <c r="BG1166" t="s">
        <v>74</v>
      </c>
      <c r="BH1166" t="s">
        <v>74</v>
      </c>
      <c r="BI1166" t="s">
        <v>74</v>
      </c>
      <c r="BJ1166" t="s">
        <v>267</v>
      </c>
      <c r="BK1166" t="s">
        <v>117</v>
      </c>
      <c r="BL1166" t="s">
        <v>267</v>
      </c>
      <c r="BM1166" t="s">
        <v>74</v>
      </c>
      <c r="BN1166">
        <v>33014799</v>
      </c>
      <c r="BO1166" t="s">
        <v>74</v>
      </c>
      <c r="BP1166" t="s">
        <v>74</v>
      </c>
      <c r="BQ1166" t="s">
        <v>74</v>
      </c>
      <c r="BR1166" t="s">
        <v>96</v>
      </c>
      <c r="BS1166" t="s">
        <v>29085</v>
      </c>
      <c r="BT1166" t="str">
        <f>HYPERLINK("https%3A%2F%2Fwww.webofscience.com%2Fwos%2Fwoscc%2Ffull-record%2FWOS:000567867200001","View Full Record in Web of Science")</f>
        <v>View Full Record in Web of Science</v>
      </c>
    </row>
    <row r="1167" spans="1:72" x14ac:dyDescent="0.15">
      <c r="A1167" t="s">
        <v>98</v>
      </c>
      <c r="B1167" t="s">
        <v>29623</v>
      </c>
      <c r="C1167" t="s">
        <v>74</v>
      </c>
      <c r="D1167" t="s">
        <v>74</v>
      </c>
      <c r="E1167" t="s">
        <v>74</v>
      </c>
      <c r="F1167" t="s">
        <v>29623</v>
      </c>
      <c r="G1167" t="s">
        <v>74</v>
      </c>
      <c r="H1167" t="s">
        <v>74</v>
      </c>
      <c r="I1167" t="s">
        <v>29624</v>
      </c>
      <c r="J1167" t="s">
        <v>7216</v>
      </c>
      <c r="K1167" t="s">
        <v>74</v>
      </c>
      <c r="L1167" t="s">
        <v>74</v>
      </c>
      <c r="M1167" t="s">
        <v>74</v>
      </c>
      <c r="N1167" t="s">
        <v>103</v>
      </c>
      <c r="O1167" t="s">
        <v>74</v>
      </c>
      <c r="P1167" t="s">
        <v>74</v>
      </c>
      <c r="Q1167" t="s">
        <v>74</v>
      </c>
      <c r="R1167" t="s">
        <v>74</v>
      </c>
      <c r="S1167" t="s">
        <v>74</v>
      </c>
      <c r="T1167" t="s">
        <v>29625</v>
      </c>
      <c r="U1167" t="s">
        <v>29626</v>
      </c>
      <c r="V1167" t="s">
        <v>29627</v>
      </c>
      <c r="W1167" t="s">
        <v>29628</v>
      </c>
      <c r="X1167" t="s">
        <v>29629</v>
      </c>
      <c r="Y1167" t="s">
        <v>29630</v>
      </c>
      <c r="Z1167" t="s">
        <v>29631</v>
      </c>
      <c r="AA1167" t="s">
        <v>74</v>
      </c>
      <c r="AB1167" t="s">
        <v>74</v>
      </c>
      <c r="AC1167" t="s">
        <v>74</v>
      </c>
      <c r="AD1167" t="s">
        <v>74</v>
      </c>
      <c r="AE1167" t="s">
        <v>74</v>
      </c>
      <c r="AF1167" t="s">
        <v>74</v>
      </c>
      <c r="AG1167">
        <v>28</v>
      </c>
      <c r="AH1167">
        <v>11</v>
      </c>
      <c r="AI1167">
        <v>12</v>
      </c>
      <c r="AJ1167">
        <v>0</v>
      </c>
      <c r="AK1167">
        <v>1</v>
      </c>
      <c r="AL1167" t="s">
        <v>74</v>
      </c>
      <c r="AM1167" t="s">
        <v>74</v>
      </c>
      <c r="AN1167" t="s">
        <v>74</v>
      </c>
      <c r="AO1167" t="s">
        <v>7223</v>
      </c>
      <c r="AP1167" t="s">
        <v>7224</v>
      </c>
      <c r="AQ1167" t="s">
        <v>74</v>
      </c>
      <c r="AR1167" t="s">
        <v>74</v>
      </c>
      <c r="AS1167" t="s">
        <v>74</v>
      </c>
      <c r="AT1167" t="s">
        <v>1029</v>
      </c>
      <c r="AU1167">
        <v>2004</v>
      </c>
      <c r="AV1167">
        <v>11</v>
      </c>
      <c r="AW1167">
        <v>5</v>
      </c>
      <c r="AX1167" t="s">
        <v>74</v>
      </c>
      <c r="AY1167" t="s">
        <v>74</v>
      </c>
      <c r="AZ1167" t="s">
        <v>74</v>
      </c>
      <c r="BA1167" t="s">
        <v>74</v>
      </c>
      <c r="BB1167">
        <v>1017</v>
      </c>
      <c r="BC1167">
        <v>1023</v>
      </c>
      <c r="BD1167" t="s">
        <v>74</v>
      </c>
      <c r="BE1167" t="s">
        <v>74</v>
      </c>
      <c r="BF1167" t="s">
        <v>74</v>
      </c>
      <c r="BG1167" t="s">
        <v>74</v>
      </c>
      <c r="BH1167" t="s">
        <v>74</v>
      </c>
      <c r="BI1167" t="s">
        <v>74</v>
      </c>
      <c r="BJ1167" t="s">
        <v>267</v>
      </c>
      <c r="BK1167" t="s">
        <v>117</v>
      </c>
      <c r="BL1167" t="s">
        <v>267</v>
      </c>
      <c r="BM1167" t="s">
        <v>74</v>
      </c>
      <c r="BN1167">
        <v>15069541</v>
      </c>
      <c r="BO1167" t="s">
        <v>74</v>
      </c>
      <c r="BP1167" t="s">
        <v>74</v>
      </c>
      <c r="BQ1167" t="s">
        <v>74</v>
      </c>
      <c r="BR1167" t="s">
        <v>96</v>
      </c>
      <c r="BS1167" t="s">
        <v>29632</v>
      </c>
      <c r="BT1167" t="str">
        <f>HYPERLINK("https%3A%2F%2Fwww.webofscience.com%2Fwos%2Fwoscc%2Ffull-record%2FWOS:000220768500012","View Full Record in Web of Science")</f>
        <v>View Full Record in Web of Science</v>
      </c>
    </row>
    <row r="1168" spans="1:72" x14ac:dyDescent="0.15">
      <c r="A1168" t="s">
        <v>98</v>
      </c>
      <c r="B1168" t="s">
        <v>535</v>
      </c>
      <c r="C1168" t="s">
        <v>74</v>
      </c>
      <c r="D1168" t="s">
        <v>74</v>
      </c>
      <c r="E1168" t="s">
        <v>74</v>
      </c>
      <c r="F1168" t="s">
        <v>536</v>
      </c>
      <c r="G1168" t="s">
        <v>74</v>
      </c>
      <c r="H1168" t="s">
        <v>74</v>
      </c>
      <c r="I1168" t="s">
        <v>537</v>
      </c>
      <c r="J1168" t="s">
        <v>538</v>
      </c>
      <c r="K1168" t="s">
        <v>74</v>
      </c>
      <c r="L1168" t="s">
        <v>74</v>
      </c>
      <c r="M1168" t="s">
        <v>74</v>
      </c>
      <c r="N1168" t="s">
        <v>103</v>
      </c>
      <c r="O1168" t="s">
        <v>74</v>
      </c>
      <c r="P1168" t="s">
        <v>74</v>
      </c>
      <c r="Q1168" t="s">
        <v>74</v>
      </c>
      <c r="R1168" t="s">
        <v>74</v>
      </c>
      <c r="S1168" t="s">
        <v>74</v>
      </c>
      <c r="T1168" t="s">
        <v>539</v>
      </c>
      <c r="U1168" t="s">
        <v>540</v>
      </c>
      <c r="V1168" t="s">
        <v>541</v>
      </c>
      <c r="W1168" t="s">
        <v>542</v>
      </c>
      <c r="X1168" t="s">
        <v>543</v>
      </c>
      <c r="Y1168" t="s">
        <v>544</v>
      </c>
      <c r="Z1168" t="s">
        <v>545</v>
      </c>
      <c r="AA1168" t="s">
        <v>74</v>
      </c>
      <c r="AB1168" t="s">
        <v>546</v>
      </c>
      <c r="AC1168" t="s">
        <v>74</v>
      </c>
      <c r="AD1168" t="s">
        <v>74</v>
      </c>
      <c r="AE1168" t="s">
        <v>74</v>
      </c>
      <c r="AF1168" t="s">
        <v>74</v>
      </c>
      <c r="AG1168">
        <v>98</v>
      </c>
      <c r="AH1168">
        <v>10</v>
      </c>
      <c r="AI1168">
        <v>10</v>
      </c>
      <c r="AJ1168">
        <v>0</v>
      </c>
      <c r="AK1168">
        <v>12</v>
      </c>
      <c r="AL1168" t="s">
        <v>74</v>
      </c>
      <c r="AM1168" t="s">
        <v>74</v>
      </c>
      <c r="AN1168" t="s">
        <v>74</v>
      </c>
      <c r="AO1168" t="s">
        <v>547</v>
      </c>
      <c r="AP1168" t="s">
        <v>548</v>
      </c>
      <c r="AQ1168" t="s">
        <v>74</v>
      </c>
      <c r="AR1168" t="s">
        <v>74</v>
      </c>
      <c r="AS1168" t="s">
        <v>74</v>
      </c>
      <c r="AT1168" t="s">
        <v>549</v>
      </c>
      <c r="AU1168">
        <v>2020</v>
      </c>
      <c r="AV1168">
        <v>150</v>
      </c>
      <c r="AW1168" t="s">
        <v>74</v>
      </c>
      <c r="AX1168" t="s">
        <v>74</v>
      </c>
      <c r="AY1168" t="s">
        <v>74</v>
      </c>
      <c r="AZ1168" t="s">
        <v>74</v>
      </c>
      <c r="BA1168" t="s">
        <v>74</v>
      </c>
      <c r="BB1168">
        <v>106</v>
      </c>
      <c r="BC1168">
        <v>112</v>
      </c>
      <c r="BD1168" t="s">
        <v>74</v>
      </c>
      <c r="BE1168" t="s">
        <v>550</v>
      </c>
      <c r="BF1168" t="str">
        <f>HYPERLINK("http://dx.doi.org/10.1016/j.theriogenology.2020.01.083","http://dx.doi.org/10.1016/j.theriogenology.2020.01.083")</f>
        <v>http://dx.doi.org/10.1016/j.theriogenology.2020.01.083</v>
      </c>
      <c r="BG1168" t="s">
        <v>74</v>
      </c>
      <c r="BH1168" t="s">
        <v>74</v>
      </c>
      <c r="BI1168" t="s">
        <v>74</v>
      </c>
      <c r="BJ1168" t="s">
        <v>551</v>
      </c>
      <c r="BK1168" t="s">
        <v>117</v>
      </c>
      <c r="BL1168" t="s">
        <v>551</v>
      </c>
      <c r="BM1168" t="s">
        <v>74</v>
      </c>
      <c r="BN1168">
        <v>32164992</v>
      </c>
      <c r="BO1168" t="s">
        <v>74</v>
      </c>
      <c r="BP1168" t="s">
        <v>74</v>
      </c>
      <c r="BQ1168" t="s">
        <v>74</v>
      </c>
      <c r="BR1168" t="s">
        <v>96</v>
      </c>
      <c r="BS1168" t="s">
        <v>552</v>
      </c>
      <c r="BT1168" t="str">
        <f>HYPERLINK("https%3A%2F%2Fwww.webofscience.com%2Fwos%2Fwoscc%2Ffull-record%2FWOS:000533539400016","View Full Record in Web of Science")</f>
        <v>View Full Record in Web of Science</v>
      </c>
    </row>
    <row r="1169" spans="1:72" x14ac:dyDescent="0.15">
      <c r="A1169" t="s">
        <v>98</v>
      </c>
      <c r="B1169" t="s">
        <v>1466</v>
      </c>
      <c r="C1169" t="s">
        <v>74</v>
      </c>
      <c r="D1169" t="s">
        <v>74</v>
      </c>
      <c r="E1169" t="s">
        <v>74</v>
      </c>
      <c r="F1169" t="s">
        <v>1467</v>
      </c>
      <c r="G1169" t="s">
        <v>74</v>
      </c>
      <c r="H1169" t="s">
        <v>74</v>
      </c>
      <c r="I1169" t="s">
        <v>1468</v>
      </c>
      <c r="J1169" t="s">
        <v>236</v>
      </c>
      <c r="K1169" t="s">
        <v>74</v>
      </c>
      <c r="L1169" t="s">
        <v>74</v>
      </c>
      <c r="M1169" t="s">
        <v>74</v>
      </c>
      <c r="N1169" t="s">
        <v>103</v>
      </c>
      <c r="O1169" t="s">
        <v>74</v>
      </c>
      <c r="P1169" t="s">
        <v>74</v>
      </c>
      <c r="Q1169" t="s">
        <v>74</v>
      </c>
      <c r="R1169" t="s">
        <v>74</v>
      </c>
      <c r="S1169" t="s">
        <v>74</v>
      </c>
      <c r="T1169" t="s">
        <v>1469</v>
      </c>
      <c r="U1169" t="s">
        <v>1470</v>
      </c>
      <c r="V1169" t="s">
        <v>1471</v>
      </c>
      <c r="W1169" t="s">
        <v>1472</v>
      </c>
      <c r="X1169" t="s">
        <v>1473</v>
      </c>
      <c r="Y1169" t="s">
        <v>1474</v>
      </c>
      <c r="Z1169" t="s">
        <v>1475</v>
      </c>
      <c r="AA1169" t="s">
        <v>1476</v>
      </c>
      <c r="AB1169" t="s">
        <v>1477</v>
      </c>
      <c r="AC1169" t="s">
        <v>74</v>
      </c>
      <c r="AD1169" t="s">
        <v>74</v>
      </c>
      <c r="AE1169" t="s">
        <v>74</v>
      </c>
      <c r="AF1169" t="s">
        <v>74</v>
      </c>
      <c r="AG1169">
        <v>52</v>
      </c>
      <c r="AH1169">
        <v>10</v>
      </c>
      <c r="AI1169">
        <v>10</v>
      </c>
      <c r="AJ1169">
        <v>38</v>
      </c>
      <c r="AK1169">
        <v>143</v>
      </c>
      <c r="AL1169" t="s">
        <v>74</v>
      </c>
      <c r="AM1169" t="s">
        <v>74</v>
      </c>
      <c r="AN1169" t="s">
        <v>74</v>
      </c>
      <c r="AO1169" t="s">
        <v>246</v>
      </c>
      <c r="AP1169" t="s">
        <v>247</v>
      </c>
      <c r="AQ1169" t="s">
        <v>74</v>
      </c>
      <c r="AR1169" t="s">
        <v>74</v>
      </c>
      <c r="AS1169" t="s">
        <v>74</v>
      </c>
      <c r="AT1169" t="s">
        <v>189</v>
      </c>
      <c r="AU1169">
        <v>2020</v>
      </c>
      <c r="AV1169">
        <v>16</v>
      </c>
      <c r="AW1169">
        <v>40</v>
      </c>
      <c r="AX1169" t="s">
        <v>74</v>
      </c>
      <c r="AY1169" t="s">
        <v>74</v>
      </c>
      <c r="AZ1169" t="s">
        <v>74</v>
      </c>
      <c r="BA1169" t="s">
        <v>74</v>
      </c>
      <c r="BB1169" t="s">
        <v>74</v>
      </c>
      <c r="BC1169" t="s">
        <v>74</v>
      </c>
      <c r="BD1169">
        <v>2002800</v>
      </c>
      <c r="BE1169" t="s">
        <v>1478</v>
      </c>
      <c r="BF1169" t="str">
        <f>HYPERLINK("http://dx.doi.org/10.1002/smll.202002800","http://dx.doi.org/10.1002/smll.202002800")</f>
        <v>http://dx.doi.org/10.1002/smll.202002800</v>
      </c>
      <c r="BG1169" t="s">
        <v>74</v>
      </c>
      <c r="BH1169" t="s">
        <v>1479</v>
      </c>
      <c r="BI1169" t="s">
        <v>74</v>
      </c>
      <c r="BJ1169" t="s">
        <v>250</v>
      </c>
      <c r="BK1169" t="s">
        <v>117</v>
      </c>
      <c r="BL1169" t="s">
        <v>251</v>
      </c>
      <c r="BM1169" t="s">
        <v>74</v>
      </c>
      <c r="BN1169">
        <v>32877016</v>
      </c>
      <c r="BO1169" t="s">
        <v>74</v>
      </c>
      <c r="BP1169" t="s">
        <v>74</v>
      </c>
      <c r="BQ1169" t="s">
        <v>74</v>
      </c>
      <c r="BR1169" t="s">
        <v>96</v>
      </c>
      <c r="BS1169" t="s">
        <v>1480</v>
      </c>
      <c r="BT1169" t="str">
        <f>HYPERLINK("https%3A%2F%2Fwww.webofscience.com%2Fwos%2Fwoscc%2Ffull-record%2FWOS:000565042200001","View Full Record in Web of Science")</f>
        <v>View Full Record in Web of Science</v>
      </c>
    </row>
    <row r="1170" spans="1:72" x14ac:dyDescent="0.15">
      <c r="A1170" t="s">
        <v>72</v>
      </c>
      <c r="B1170" t="s">
        <v>1598</v>
      </c>
      <c r="C1170" t="s">
        <v>74</v>
      </c>
      <c r="D1170" t="s">
        <v>482</v>
      </c>
      <c r="E1170" t="s">
        <v>74</v>
      </c>
      <c r="F1170" t="s">
        <v>1599</v>
      </c>
      <c r="G1170" t="s">
        <v>74</v>
      </c>
      <c r="H1170" t="s">
        <v>74</v>
      </c>
      <c r="I1170" t="s">
        <v>1600</v>
      </c>
      <c r="J1170" t="s">
        <v>485</v>
      </c>
      <c r="K1170" t="s">
        <v>79</v>
      </c>
      <c r="L1170" t="s">
        <v>74</v>
      </c>
      <c r="M1170" t="s">
        <v>74</v>
      </c>
      <c r="N1170" t="s">
        <v>80</v>
      </c>
      <c r="O1170" t="s">
        <v>74</v>
      </c>
      <c r="P1170" t="s">
        <v>74</v>
      </c>
      <c r="Q1170" t="s">
        <v>74</v>
      </c>
      <c r="R1170" t="s">
        <v>74</v>
      </c>
      <c r="S1170" t="s">
        <v>74</v>
      </c>
      <c r="T1170" t="s">
        <v>1601</v>
      </c>
      <c r="U1170" t="s">
        <v>1602</v>
      </c>
      <c r="V1170" t="s">
        <v>1603</v>
      </c>
      <c r="W1170" t="s">
        <v>1604</v>
      </c>
      <c r="X1170" t="s">
        <v>1605</v>
      </c>
      <c r="Y1170" t="s">
        <v>1606</v>
      </c>
      <c r="Z1170" t="s">
        <v>74</v>
      </c>
      <c r="AA1170" t="s">
        <v>1607</v>
      </c>
      <c r="AB1170" t="s">
        <v>1608</v>
      </c>
      <c r="AC1170" t="s">
        <v>74</v>
      </c>
      <c r="AD1170" t="s">
        <v>74</v>
      </c>
      <c r="AE1170" t="s">
        <v>74</v>
      </c>
      <c r="AF1170" t="s">
        <v>74</v>
      </c>
      <c r="AG1170">
        <v>62</v>
      </c>
      <c r="AH1170">
        <v>10</v>
      </c>
      <c r="AI1170">
        <v>11</v>
      </c>
      <c r="AJ1170">
        <v>0</v>
      </c>
      <c r="AK1170">
        <v>6</v>
      </c>
      <c r="AL1170" t="s">
        <v>74</v>
      </c>
      <c r="AM1170" t="s">
        <v>74</v>
      </c>
      <c r="AN1170" t="s">
        <v>74</v>
      </c>
      <c r="AO1170" t="s">
        <v>88</v>
      </c>
      <c r="AP1170" t="s">
        <v>89</v>
      </c>
      <c r="AQ1170" t="s">
        <v>494</v>
      </c>
      <c r="AR1170" t="s">
        <v>74</v>
      </c>
      <c r="AS1170" t="s">
        <v>74</v>
      </c>
      <c r="AT1170" t="s">
        <v>74</v>
      </c>
      <c r="AU1170">
        <v>2017</v>
      </c>
      <c r="AV1170">
        <v>1660</v>
      </c>
      <c r="AW1170" t="s">
        <v>74</v>
      </c>
      <c r="AX1170" t="s">
        <v>74</v>
      </c>
      <c r="AY1170" t="s">
        <v>74</v>
      </c>
      <c r="AZ1170" t="s">
        <v>74</v>
      </c>
      <c r="BA1170" t="s">
        <v>74</v>
      </c>
      <c r="BB1170">
        <v>1</v>
      </c>
      <c r="BC1170">
        <v>14</v>
      </c>
      <c r="BD1170" t="s">
        <v>74</v>
      </c>
      <c r="BE1170" t="s">
        <v>1609</v>
      </c>
      <c r="BF1170" t="str">
        <f>HYPERLINK("http://dx.doi.org/10.1007/978-1-4939-7253-1_1","http://dx.doi.org/10.1007/978-1-4939-7253-1_1")</f>
        <v>http://dx.doi.org/10.1007/978-1-4939-7253-1_1</v>
      </c>
      <c r="BG1170" t="s">
        <v>496</v>
      </c>
      <c r="BH1170" t="s">
        <v>74</v>
      </c>
      <c r="BI1170" t="s">
        <v>74</v>
      </c>
      <c r="BJ1170" t="s">
        <v>497</v>
      </c>
      <c r="BK1170" t="s">
        <v>94</v>
      </c>
      <c r="BL1170" t="s">
        <v>498</v>
      </c>
      <c r="BM1170" t="s">
        <v>74</v>
      </c>
      <c r="BN1170">
        <v>28828643</v>
      </c>
      <c r="BO1170" t="s">
        <v>74</v>
      </c>
      <c r="BP1170" t="s">
        <v>74</v>
      </c>
      <c r="BQ1170" t="s">
        <v>74</v>
      </c>
      <c r="BR1170" t="s">
        <v>96</v>
      </c>
      <c r="BS1170" t="s">
        <v>1610</v>
      </c>
      <c r="BT1170" t="str">
        <f>HYPERLINK("https%3A%2F%2Fwww.webofscience.com%2Fwos%2Fwoscc%2Ffull-record%2FWOS:000429457100002","View Full Record in Web of Science")</f>
        <v>View Full Record in Web of Science</v>
      </c>
    </row>
    <row r="1171" spans="1:72" x14ac:dyDescent="0.15">
      <c r="A1171" t="s">
        <v>98</v>
      </c>
      <c r="B1171" t="s">
        <v>1857</v>
      </c>
      <c r="C1171" t="s">
        <v>74</v>
      </c>
      <c r="D1171" t="s">
        <v>74</v>
      </c>
      <c r="E1171" t="s">
        <v>74</v>
      </c>
      <c r="F1171" t="s">
        <v>1858</v>
      </c>
      <c r="G1171" t="s">
        <v>74</v>
      </c>
      <c r="H1171" t="s">
        <v>74</v>
      </c>
      <c r="I1171" t="s">
        <v>1859</v>
      </c>
      <c r="J1171" t="s">
        <v>1860</v>
      </c>
      <c r="K1171" t="s">
        <v>74</v>
      </c>
      <c r="L1171" t="s">
        <v>74</v>
      </c>
      <c r="M1171" t="s">
        <v>74</v>
      </c>
      <c r="N1171" t="s">
        <v>103</v>
      </c>
      <c r="O1171" t="s">
        <v>74</v>
      </c>
      <c r="P1171" t="s">
        <v>74</v>
      </c>
      <c r="Q1171" t="s">
        <v>74</v>
      </c>
      <c r="R1171" t="s">
        <v>74</v>
      </c>
      <c r="S1171" t="s">
        <v>74</v>
      </c>
      <c r="T1171" t="s">
        <v>1861</v>
      </c>
      <c r="U1171" t="s">
        <v>1862</v>
      </c>
      <c r="V1171" t="s">
        <v>1863</v>
      </c>
      <c r="W1171" t="s">
        <v>1864</v>
      </c>
      <c r="X1171" t="s">
        <v>1865</v>
      </c>
      <c r="Y1171" t="s">
        <v>1866</v>
      </c>
      <c r="Z1171" t="s">
        <v>1867</v>
      </c>
      <c r="AA1171" t="s">
        <v>1868</v>
      </c>
      <c r="AB1171" t="s">
        <v>1869</v>
      </c>
      <c r="AC1171" t="s">
        <v>74</v>
      </c>
      <c r="AD1171" t="s">
        <v>74</v>
      </c>
      <c r="AE1171" t="s">
        <v>74</v>
      </c>
      <c r="AF1171" t="s">
        <v>74</v>
      </c>
      <c r="AG1171">
        <v>35</v>
      </c>
      <c r="AH1171">
        <v>10</v>
      </c>
      <c r="AI1171">
        <v>10</v>
      </c>
      <c r="AJ1171">
        <v>1</v>
      </c>
      <c r="AK1171">
        <v>21</v>
      </c>
      <c r="AL1171" t="s">
        <v>74</v>
      </c>
      <c r="AM1171" t="s">
        <v>74</v>
      </c>
      <c r="AN1171" t="s">
        <v>74</v>
      </c>
      <c r="AO1171" t="s">
        <v>1870</v>
      </c>
      <c r="AP1171" t="s">
        <v>1871</v>
      </c>
      <c r="AQ1171" t="s">
        <v>74</v>
      </c>
      <c r="AR1171" t="s">
        <v>74</v>
      </c>
      <c r="AS1171" t="s">
        <v>74</v>
      </c>
      <c r="AT1171" t="s">
        <v>599</v>
      </c>
      <c r="AU1171">
        <v>2016</v>
      </c>
      <c r="AV1171">
        <v>902</v>
      </c>
      <c r="AW1171" t="s">
        <v>74</v>
      </c>
      <c r="AX1171" t="s">
        <v>74</v>
      </c>
      <c r="AY1171" t="s">
        <v>74</v>
      </c>
      <c r="AZ1171" t="s">
        <v>74</v>
      </c>
      <c r="BA1171" t="s">
        <v>74</v>
      </c>
      <c r="BB1171">
        <v>160</v>
      </c>
      <c r="BC1171">
        <v>167</v>
      </c>
      <c r="BD1171" t="s">
        <v>74</v>
      </c>
      <c r="BE1171" t="s">
        <v>1872</v>
      </c>
      <c r="BF1171" t="str">
        <f>HYPERLINK("http://dx.doi.org/10.1016/j.aca.2015.10.017","http://dx.doi.org/10.1016/j.aca.2015.10.017")</f>
        <v>http://dx.doi.org/10.1016/j.aca.2015.10.017</v>
      </c>
      <c r="BG1171" t="s">
        <v>74</v>
      </c>
      <c r="BH1171" t="s">
        <v>74</v>
      </c>
      <c r="BI1171" t="s">
        <v>74</v>
      </c>
      <c r="BJ1171" t="s">
        <v>1118</v>
      </c>
      <c r="BK1171" t="s">
        <v>117</v>
      </c>
      <c r="BL1171" t="s">
        <v>1048</v>
      </c>
      <c r="BM1171" t="s">
        <v>74</v>
      </c>
      <c r="BN1171">
        <v>26703266</v>
      </c>
      <c r="BO1171" t="s">
        <v>74</v>
      </c>
      <c r="BP1171" t="s">
        <v>74</v>
      </c>
      <c r="BQ1171" t="s">
        <v>74</v>
      </c>
      <c r="BR1171" t="s">
        <v>96</v>
      </c>
      <c r="BS1171" t="s">
        <v>1873</v>
      </c>
      <c r="BT1171" t="str">
        <f>HYPERLINK("https%3A%2F%2Fwww.webofscience.com%2Fwos%2Fwoscc%2Ffull-record%2FWOS:000366866500019","View Full Record in Web of Science")</f>
        <v>View Full Record in Web of Science</v>
      </c>
    </row>
    <row r="1172" spans="1:72" x14ac:dyDescent="0.15">
      <c r="A1172" t="s">
        <v>98</v>
      </c>
      <c r="B1172" t="s">
        <v>2455</v>
      </c>
      <c r="C1172" t="s">
        <v>74</v>
      </c>
      <c r="D1172" t="s">
        <v>74</v>
      </c>
      <c r="E1172" t="s">
        <v>74</v>
      </c>
      <c r="F1172" t="s">
        <v>2456</v>
      </c>
      <c r="G1172" t="s">
        <v>74</v>
      </c>
      <c r="H1172" t="s">
        <v>74</v>
      </c>
      <c r="I1172" t="s">
        <v>2457</v>
      </c>
      <c r="J1172" t="s">
        <v>2458</v>
      </c>
      <c r="K1172" t="s">
        <v>74</v>
      </c>
      <c r="L1172" t="s">
        <v>74</v>
      </c>
      <c r="M1172" t="s">
        <v>74</v>
      </c>
      <c r="N1172" t="s">
        <v>103</v>
      </c>
      <c r="O1172" t="s">
        <v>74</v>
      </c>
      <c r="P1172" t="s">
        <v>74</v>
      </c>
      <c r="Q1172" t="s">
        <v>74</v>
      </c>
      <c r="R1172" t="s">
        <v>74</v>
      </c>
      <c r="S1172" t="s">
        <v>74</v>
      </c>
      <c r="T1172" t="s">
        <v>2459</v>
      </c>
      <c r="U1172" t="s">
        <v>2460</v>
      </c>
      <c r="V1172" t="s">
        <v>2461</v>
      </c>
      <c r="W1172" t="s">
        <v>2462</v>
      </c>
      <c r="X1172" t="s">
        <v>2463</v>
      </c>
      <c r="Y1172" t="s">
        <v>2464</v>
      </c>
      <c r="Z1172" t="s">
        <v>2465</v>
      </c>
      <c r="AA1172" t="s">
        <v>2466</v>
      </c>
      <c r="AB1172" t="s">
        <v>2467</v>
      </c>
      <c r="AC1172" t="s">
        <v>74</v>
      </c>
      <c r="AD1172" t="s">
        <v>74</v>
      </c>
      <c r="AE1172" t="s">
        <v>74</v>
      </c>
      <c r="AF1172" t="s">
        <v>74</v>
      </c>
      <c r="AG1172">
        <v>32</v>
      </c>
      <c r="AH1172">
        <v>10</v>
      </c>
      <c r="AI1172">
        <v>10</v>
      </c>
      <c r="AJ1172">
        <v>4</v>
      </c>
      <c r="AK1172">
        <v>37</v>
      </c>
      <c r="AL1172" t="s">
        <v>74</v>
      </c>
      <c r="AM1172" t="s">
        <v>74</v>
      </c>
      <c r="AN1172" t="s">
        <v>74</v>
      </c>
      <c r="AO1172" t="s">
        <v>2468</v>
      </c>
      <c r="AP1172" t="s">
        <v>2469</v>
      </c>
      <c r="AQ1172" t="s">
        <v>74</v>
      </c>
      <c r="AR1172" t="s">
        <v>74</v>
      </c>
      <c r="AS1172" t="s">
        <v>74</v>
      </c>
      <c r="AT1172" t="s">
        <v>2470</v>
      </c>
      <c r="AU1172">
        <v>2020</v>
      </c>
      <c r="AV1172">
        <v>22</v>
      </c>
      <c r="AW1172">
        <v>2</v>
      </c>
      <c r="AX1172" t="s">
        <v>74</v>
      </c>
      <c r="AY1172" t="s">
        <v>74</v>
      </c>
      <c r="AZ1172" t="s">
        <v>74</v>
      </c>
      <c r="BA1172" t="s">
        <v>74</v>
      </c>
      <c r="BB1172" t="s">
        <v>74</v>
      </c>
      <c r="BC1172" t="s">
        <v>74</v>
      </c>
      <c r="BD1172">
        <v>23</v>
      </c>
      <c r="BE1172" t="s">
        <v>2471</v>
      </c>
      <c r="BF1172" t="str">
        <f>HYPERLINK("http://dx.doi.org/10.1007/s10544-020-00483-7","http://dx.doi.org/10.1007/s10544-020-00483-7")</f>
        <v>http://dx.doi.org/10.1007/s10544-020-00483-7</v>
      </c>
      <c r="BG1172" t="s">
        <v>74</v>
      </c>
      <c r="BH1172" t="s">
        <v>74</v>
      </c>
      <c r="BI1172" t="s">
        <v>74</v>
      </c>
      <c r="BJ1172" t="s">
        <v>2472</v>
      </c>
      <c r="BK1172" t="s">
        <v>117</v>
      </c>
      <c r="BL1172" t="s">
        <v>2473</v>
      </c>
      <c r="BM1172" t="s">
        <v>74</v>
      </c>
      <c r="BN1172">
        <v>32162067</v>
      </c>
      <c r="BO1172" t="s">
        <v>74</v>
      </c>
      <c r="BP1172" t="s">
        <v>74</v>
      </c>
      <c r="BQ1172" t="s">
        <v>74</v>
      </c>
      <c r="BR1172" t="s">
        <v>96</v>
      </c>
      <c r="BS1172" t="s">
        <v>2474</v>
      </c>
      <c r="BT1172" t="str">
        <f>HYPERLINK("https%3A%2F%2Fwww.webofscience.com%2Fwos%2Fwoscc%2Ffull-record%2FWOS:000519158300001","View Full Record in Web of Science")</f>
        <v>View Full Record in Web of Science</v>
      </c>
    </row>
    <row r="1173" spans="1:72" x14ac:dyDescent="0.15">
      <c r="A1173" t="s">
        <v>98</v>
      </c>
      <c r="B1173" t="s">
        <v>3029</v>
      </c>
      <c r="C1173" t="s">
        <v>74</v>
      </c>
      <c r="D1173" t="s">
        <v>74</v>
      </c>
      <c r="E1173" t="s">
        <v>74</v>
      </c>
      <c r="F1173" t="s">
        <v>3030</v>
      </c>
      <c r="G1173" t="s">
        <v>74</v>
      </c>
      <c r="H1173" t="s">
        <v>74</v>
      </c>
      <c r="I1173" t="s">
        <v>3031</v>
      </c>
      <c r="J1173" t="s">
        <v>3032</v>
      </c>
      <c r="K1173" t="s">
        <v>74</v>
      </c>
      <c r="L1173" t="s">
        <v>74</v>
      </c>
      <c r="M1173" t="s">
        <v>74</v>
      </c>
      <c r="N1173" t="s">
        <v>103</v>
      </c>
      <c r="O1173" t="s">
        <v>74</v>
      </c>
      <c r="P1173" t="s">
        <v>74</v>
      </c>
      <c r="Q1173" t="s">
        <v>74</v>
      </c>
      <c r="R1173" t="s">
        <v>74</v>
      </c>
      <c r="S1173" t="s">
        <v>74</v>
      </c>
      <c r="T1173" t="s">
        <v>3033</v>
      </c>
      <c r="U1173" t="s">
        <v>3034</v>
      </c>
      <c r="V1173" t="s">
        <v>3035</v>
      </c>
      <c r="W1173" t="s">
        <v>3036</v>
      </c>
      <c r="X1173" t="s">
        <v>3037</v>
      </c>
      <c r="Y1173" t="s">
        <v>3038</v>
      </c>
      <c r="Z1173" t="s">
        <v>3039</v>
      </c>
      <c r="AA1173" t="s">
        <v>74</v>
      </c>
      <c r="AB1173" t="s">
        <v>3040</v>
      </c>
      <c r="AC1173" t="s">
        <v>74</v>
      </c>
      <c r="AD1173" t="s">
        <v>74</v>
      </c>
      <c r="AE1173" t="s">
        <v>74</v>
      </c>
      <c r="AF1173" t="s">
        <v>74</v>
      </c>
      <c r="AG1173">
        <v>47</v>
      </c>
      <c r="AH1173">
        <v>10</v>
      </c>
      <c r="AI1173">
        <v>11</v>
      </c>
      <c r="AJ1173">
        <v>12</v>
      </c>
      <c r="AK1173">
        <v>30</v>
      </c>
      <c r="AL1173" t="s">
        <v>74</v>
      </c>
      <c r="AM1173" t="s">
        <v>74</v>
      </c>
      <c r="AN1173" t="s">
        <v>74</v>
      </c>
      <c r="AO1173" t="s">
        <v>3041</v>
      </c>
      <c r="AP1173" t="s">
        <v>3042</v>
      </c>
      <c r="AQ1173" t="s">
        <v>74</v>
      </c>
      <c r="AR1173" t="s">
        <v>74</v>
      </c>
      <c r="AS1173" t="s">
        <v>74</v>
      </c>
      <c r="AT1173" t="s">
        <v>189</v>
      </c>
      <c r="AU1173">
        <v>2020</v>
      </c>
      <c r="AV1173">
        <v>86</v>
      </c>
      <c r="AW1173">
        <v>19</v>
      </c>
      <c r="AX1173" t="s">
        <v>74</v>
      </c>
      <c r="AY1173" t="s">
        <v>74</v>
      </c>
      <c r="AZ1173" t="s">
        <v>74</v>
      </c>
      <c r="BA1173" t="s">
        <v>74</v>
      </c>
      <c r="BB1173" t="s">
        <v>74</v>
      </c>
      <c r="BC1173" t="s">
        <v>74</v>
      </c>
      <c r="BD1173" t="s">
        <v>3043</v>
      </c>
      <c r="BE1173" t="s">
        <v>3044</v>
      </c>
      <c r="BF1173" t="str">
        <f>HYPERLINK("http://dx.doi.org/10.1128/AEM.01464-20","http://dx.doi.org/10.1128/AEM.01464-20")</f>
        <v>http://dx.doi.org/10.1128/AEM.01464-20</v>
      </c>
      <c r="BG1173" t="s">
        <v>74</v>
      </c>
      <c r="BH1173" t="s">
        <v>74</v>
      </c>
      <c r="BI1173" t="s">
        <v>74</v>
      </c>
      <c r="BJ1173" t="s">
        <v>1464</v>
      </c>
      <c r="BK1173" t="s">
        <v>117</v>
      </c>
      <c r="BL1173" t="s">
        <v>1464</v>
      </c>
      <c r="BM1173" t="s">
        <v>74</v>
      </c>
      <c r="BN1173">
        <v>32737132</v>
      </c>
      <c r="BO1173" t="s">
        <v>74</v>
      </c>
      <c r="BP1173" t="s">
        <v>74</v>
      </c>
      <c r="BQ1173" t="s">
        <v>74</v>
      </c>
      <c r="BR1173" t="s">
        <v>96</v>
      </c>
      <c r="BS1173" t="s">
        <v>3045</v>
      </c>
      <c r="BT1173" t="str">
        <f>HYPERLINK("https%3A%2F%2Fwww.webofscience.com%2Fwos%2Fwoscc%2Ffull-record%2FWOS:000577023300018","View Full Record in Web of Science")</f>
        <v>View Full Record in Web of Science</v>
      </c>
    </row>
    <row r="1174" spans="1:72" x14ac:dyDescent="0.15">
      <c r="A1174" t="s">
        <v>98</v>
      </c>
      <c r="B1174" t="s">
        <v>3226</v>
      </c>
      <c r="C1174" t="s">
        <v>74</v>
      </c>
      <c r="D1174" t="s">
        <v>74</v>
      </c>
      <c r="E1174" t="s">
        <v>74</v>
      </c>
      <c r="F1174" t="s">
        <v>3227</v>
      </c>
      <c r="G1174" t="s">
        <v>74</v>
      </c>
      <c r="H1174" t="s">
        <v>74</v>
      </c>
      <c r="I1174" t="s">
        <v>3228</v>
      </c>
      <c r="J1174" t="s">
        <v>3229</v>
      </c>
      <c r="K1174" t="s">
        <v>74</v>
      </c>
      <c r="L1174" t="s">
        <v>74</v>
      </c>
      <c r="M1174" t="s">
        <v>74</v>
      </c>
      <c r="N1174" t="s">
        <v>103</v>
      </c>
      <c r="O1174" t="s">
        <v>74</v>
      </c>
      <c r="P1174" t="s">
        <v>74</v>
      </c>
      <c r="Q1174" t="s">
        <v>74</v>
      </c>
      <c r="R1174" t="s">
        <v>74</v>
      </c>
      <c r="S1174" t="s">
        <v>74</v>
      </c>
      <c r="T1174" t="s">
        <v>3230</v>
      </c>
      <c r="U1174" t="s">
        <v>3231</v>
      </c>
      <c r="V1174" t="s">
        <v>3232</v>
      </c>
      <c r="W1174" t="s">
        <v>3233</v>
      </c>
      <c r="X1174" t="s">
        <v>3234</v>
      </c>
      <c r="Y1174" t="s">
        <v>3235</v>
      </c>
      <c r="Z1174" t="s">
        <v>3236</v>
      </c>
      <c r="AA1174" t="s">
        <v>74</v>
      </c>
      <c r="AB1174" t="s">
        <v>74</v>
      </c>
      <c r="AC1174" t="s">
        <v>74</v>
      </c>
      <c r="AD1174" t="s">
        <v>74</v>
      </c>
      <c r="AE1174" t="s">
        <v>74</v>
      </c>
      <c r="AF1174" t="s">
        <v>74</v>
      </c>
      <c r="AG1174">
        <v>44</v>
      </c>
      <c r="AH1174">
        <v>10</v>
      </c>
      <c r="AI1174">
        <v>10</v>
      </c>
      <c r="AJ1174">
        <v>3</v>
      </c>
      <c r="AK1174">
        <v>11</v>
      </c>
      <c r="AL1174" t="s">
        <v>74</v>
      </c>
      <c r="AM1174" t="s">
        <v>74</v>
      </c>
      <c r="AN1174" t="s">
        <v>74</v>
      </c>
      <c r="AO1174" t="s">
        <v>74</v>
      </c>
      <c r="AP1174" t="s">
        <v>3237</v>
      </c>
      <c r="AQ1174" t="s">
        <v>74</v>
      </c>
      <c r="AR1174" t="s">
        <v>74</v>
      </c>
      <c r="AS1174" t="s">
        <v>74</v>
      </c>
      <c r="AT1174" t="s">
        <v>3238</v>
      </c>
      <c r="AU1174">
        <v>2019</v>
      </c>
      <c r="AV1174">
        <v>12</v>
      </c>
      <c r="AW1174">
        <v>1</v>
      </c>
      <c r="AX1174" t="s">
        <v>74</v>
      </c>
      <c r="AY1174" t="s">
        <v>74</v>
      </c>
      <c r="AZ1174" t="s">
        <v>74</v>
      </c>
      <c r="BA1174" t="s">
        <v>74</v>
      </c>
      <c r="BB1174" t="s">
        <v>74</v>
      </c>
      <c r="BC1174" t="s">
        <v>74</v>
      </c>
      <c r="BD1174">
        <v>151</v>
      </c>
      <c r="BE1174" t="s">
        <v>3239</v>
      </c>
      <c r="BF1174" t="str">
        <f>HYPERLINK("http://dx.doi.org/10.1186/s12920-019-0590-8","http://dx.doi.org/10.1186/s12920-019-0590-8")</f>
        <v>http://dx.doi.org/10.1186/s12920-019-0590-8</v>
      </c>
      <c r="BG1174" t="s">
        <v>74</v>
      </c>
      <c r="BH1174" t="s">
        <v>74</v>
      </c>
      <c r="BI1174" t="s">
        <v>74</v>
      </c>
      <c r="BJ1174" t="s">
        <v>285</v>
      </c>
      <c r="BK1174" t="s">
        <v>117</v>
      </c>
      <c r="BL1174" t="s">
        <v>285</v>
      </c>
      <c r="BM1174" t="s">
        <v>74</v>
      </c>
      <c r="BN1174">
        <v>31684971</v>
      </c>
      <c r="BO1174" t="s">
        <v>74</v>
      </c>
      <c r="BP1174" t="s">
        <v>74</v>
      </c>
      <c r="BQ1174" t="s">
        <v>74</v>
      </c>
      <c r="BR1174" t="s">
        <v>96</v>
      </c>
      <c r="BS1174" t="s">
        <v>3240</v>
      </c>
      <c r="BT1174" t="str">
        <f>HYPERLINK("https%3A%2F%2Fwww.webofscience.com%2Fwos%2Fwoscc%2Ffull-record%2FWOS:000494467900001","View Full Record in Web of Science")</f>
        <v>View Full Record in Web of Science</v>
      </c>
    </row>
    <row r="1175" spans="1:72" x14ac:dyDescent="0.15">
      <c r="A1175" t="s">
        <v>98</v>
      </c>
      <c r="B1175" t="s">
        <v>4547</v>
      </c>
      <c r="C1175" t="s">
        <v>74</v>
      </c>
      <c r="D1175" t="s">
        <v>74</v>
      </c>
      <c r="E1175" t="s">
        <v>74</v>
      </c>
      <c r="F1175" t="s">
        <v>4548</v>
      </c>
      <c r="G1175" t="s">
        <v>74</v>
      </c>
      <c r="H1175" t="s">
        <v>74</v>
      </c>
      <c r="I1175" t="s">
        <v>4549</v>
      </c>
      <c r="J1175" t="s">
        <v>1090</v>
      </c>
      <c r="K1175" t="s">
        <v>74</v>
      </c>
      <c r="L1175" t="s">
        <v>74</v>
      </c>
      <c r="M1175" t="s">
        <v>74</v>
      </c>
      <c r="N1175" t="s">
        <v>103</v>
      </c>
      <c r="O1175" t="s">
        <v>74</v>
      </c>
      <c r="P1175" t="s">
        <v>74</v>
      </c>
      <c r="Q1175" t="s">
        <v>74</v>
      </c>
      <c r="R1175" t="s">
        <v>74</v>
      </c>
      <c r="S1175" t="s">
        <v>74</v>
      </c>
      <c r="T1175" t="s">
        <v>4550</v>
      </c>
      <c r="U1175" t="s">
        <v>4551</v>
      </c>
      <c r="V1175" t="s">
        <v>4552</v>
      </c>
      <c r="W1175" t="s">
        <v>4553</v>
      </c>
      <c r="X1175" t="s">
        <v>4554</v>
      </c>
      <c r="Y1175" t="s">
        <v>4555</v>
      </c>
      <c r="Z1175" t="s">
        <v>4556</v>
      </c>
      <c r="AA1175" t="s">
        <v>4557</v>
      </c>
      <c r="AB1175" t="s">
        <v>4558</v>
      </c>
      <c r="AC1175" t="s">
        <v>74</v>
      </c>
      <c r="AD1175" t="s">
        <v>74</v>
      </c>
      <c r="AE1175" t="s">
        <v>74</v>
      </c>
      <c r="AF1175" t="s">
        <v>74</v>
      </c>
      <c r="AG1175">
        <v>51</v>
      </c>
      <c r="AH1175">
        <v>10</v>
      </c>
      <c r="AI1175">
        <v>10</v>
      </c>
      <c r="AJ1175">
        <v>0</v>
      </c>
      <c r="AK1175">
        <v>3</v>
      </c>
      <c r="AL1175" t="s">
        <v>74</v>
      </c>
      <c r="AM1175" t="s">
        <v>74</v>
      </c>
      <c r="AN1175" t="s">
        <v>74</v>
      </c>
      <c r="AO1175" t="s">
        <v>1097</v>
      </c>
      <c r="AP1175" t="s">
        <v>74</v>
      </c>
      <c r="AQ1175" t="s">
        <v>74</v>
      </c>
      <c r="AR1175" t="s">
        <v>74</v>
      </c>
      <c r="AS1175" t="s">
        <v>74</v>
      </c>
      <c r="AT1175" t="s">
        <v>4559</v>
      </c>
      <c r="AU1175">
        <v>2020</v>
      </c>
      <c r="AV1175">
        <v>8</v>
      </c>
      <c r="AW1175" t="s">
        <v>74</v>
      </c>
      <c r="AX1175" t="s">
        <v>74</v>
      </c>
      <c r="AY1175" t="s">
        <v>74</v>
      </c>
      <c r="AZ1175" t="s">
        <v>74</v>
      </c>
      <c r="BA1175" t="s">
        <v>74</v>
      </c>
      <c r="BB1175" t="s">
        <v>74</v>
      </c>
      <c r="BC1175" t="s">
        <v>74</v>
      </c>
      <c r="BD1175">
        <v>581882</v>
      </c>
      <c r="BE1175" t="s">
        <v>4560</v>
      </c>
      <c r="BF1175" t="str">
        <f>HYPERLINK("http://dx.doi.org/10.3389/fcell.2020.581882","http://dx.doi.org/10.3389/fcell.2020.581882")</f>
        <v>http://dx.doi.org/10.3389/fcell.2020.581882</v>
      </c>
      <c r="BG1175" t="s">
        <v>74</v>
      </c>
      <c r="BH1175" t="s">
        <v>74</v>
      </c>
      <c r="BI1175" t="s">
        <v>74</v>
      </c>
      <c r="BJ1175" t="s">
        <v>1100</v>
      </c>
      <c r="BK1175" t="s">
        <v>117</v>
      </c>
      <c r="BL1175" t="s">
        <v>1100</v>
      </c>
      <c r="BM1175" t="s">
        <v>74</v>
      </c>
      <c r="BN1175">
        <v>33304899</v>
      </c>
      <c r="BO1175" t="s">
        <v>74</v>
      </c>
      <c r="BP1175" t="s">
        <v>74</v>
      </c>
      <c r="BQ1175" t="s">
        <v>74</v>
      </c>
      <c r="BR1175" t="s">
        <v>96</v>
      </c>
      <c r="BS1175" t="s">
        <v>4561</v>
      </c>
      <c r="BT1175" t="str">
        <f>HYPERLINK("https%3A%2F%2Fwww.webofscience.com%2Fwos%2Fwoscc%2Ffull-record%2FWOS:000593926900001","View Full Record in Web of Science")</f>
        <v>View Full Record in Web of Science</v>
      </c>
    </row>
    <row r="1176" spans="1:72" x14ac:dyDescent="0.15">
      <c r="A1176" t="s">
        <v>98</v>
      </c>
      <c r="B1176" t="s">
        <v>5186</v>
      </c>
      <c r="C1176" t="s">
        <v>74</v>
      </c>
      <c r="D1176" t="s">
        <v>74</v>
      </c>
      <c r="E1176" t="s">
        <v>74</v>
      </c>
      <c r="F1176" t="s">
        <v>5187</v>
      </c>
      <c r="G1176" t="s">
        <v>74</v>
      </c>
      <c r="H1176" t="s">
        <v>74</v>
      </c>
      <c r="I1176" t="s">
        <v>5188</v>
      </c>
      <c r="J1176" t="s">
        <v>123</v>
      </c>
      <c r="K1176" t="s">
        <v>74</v>
      </c>
      <c r="L1176" t="s">
        <v>74</v>
      </c>
      <c r="M1176" t="s">
        <v>74</v>
      </c>
      <c r="N1176" t="s">
        <v>103</v>
      </c>
      <c r="O1176" t="s">
        <v>74</v>
      </c>
      <c r="P1176" t="s">
        <v>74</v>
      </c>
      <c r="Q1176" t="s">
        <v>74</v>
      </c>
      <c r="R1176" t="s">
        <v>74</v>
      </c>
      <c r="S1176" t="s">
        <v>74</v>
      </c>
      <c r="T1176" t="s">
        <v>5189</v>
      </c>
      <c r="U1176" t="s">
        <v>5190</v>
      </c>
      <c r="V1176" t="s">
        <v>5191</v>
      </c>
      <c r="W1176" t="s">
        <v>5192</v>
      </c>
      <c r="X1176" t="s">
        <v>5193</v>
      </c>
      <c r="Y1176" t="s">
        <v>5194</v>
      </c>
      <c r="Z1176" t="s">
        <v>5195</v>
      </c>
      <c r="AA1176" t="s">
        <v>5196</v>
      </c>
      <c r="AB1176" t="s">
        <v>5197</v>
      </c>
      <c r="AC1176" t="s">
        <v>74</v>
      </c>
      <c r="AD1176" t="s">
        <v>74</v>
      </c>
      <c r="AE1176" t="s">
        <v>74</v>
      </c>
      <c r="AF1176" t="s">
        <v>74</v>
      </c>
      <c r="AG1176">
        <v>82</v>
      </c>
      <c r="AH1176">
        <v>10</v>
      </c>
      <c r="AI1176">
        <v>10</v>
      </c>
      <c r="AJ1176">
        <v>7</v>
      </c>
      <c r="AK1176">
        <v>17</v>
      </c>
      <c r="AL1176" t="s">
        <v>74</v>
      </c>
      <c r="AM1176" t="s">
        <v>74</v>
      </c>
      <c r="AN1176" t="s">
        <v>74</v>
      </c>
      <c r="AO1176" t="s">
        <v>74</v>
      </c>
      <c r="AP1176" t="s">
        <v>131</v>
      </c>
      <c r="AQ1176" t="s">
        <v>74</v>
      </c>
      <c r="AR1176" t="s">
        <v>74</v>
      </c>
      <c r="AS1176" t="s">
        <v>74</v>
      </c>
      <c r="AT1176" t="s">
        <v>170</v>
      </c>
      <c r="AU1176">
        <v>2021</v>
      </c>
      <c r="AV1176">
        <v>10</v>
      </c>
      <c r="AW1176">
        <v>8</v>
      </c>
      <c r="AX1176" t="s">
        <v>74</v>
      </c>
      <c r="AY1176" t="s">
        <v>74</v>
      </c>
      <c r="AZ1176" t="s">
        <v>74</v>
      </c>
      <c r="BA1176" t="s">
        <v>74</v>
      </c>
      <c r="BB1176" t="s">
        <v>74</v>
      </c>
      <c r="BC1176" t="s">
        <v>74</v>
      </c>
      <c r="BD1176" t="s">
        <v>5198</v>
      </c>
      <c r="BE1176" t="s">
        <v>5199</v>
      </c>
      <c r="BF1176" t="str">
        <f>HYPERLINK("http://dx.doi.org/10.1002/jev2.12110","http://dx.doi.org/10.1002/jev2.12110")</f>
        <v>http://dx.doi.org/10.1002/jev2.12110</v>
      </c>
      <c r="BG1176" t="s">
        <v>74</v>
      </c>
      <c r="BH1176" t="s">
        <v>74</v>
      </c>
      <c r="BI1176" t="s">
        <v>74</v>
      </c>
      <c r="BJ1176" t="s">
        <v>135</v>
      </c>
      <c r="BK1176" t="s">
        <v>117</v>
      </c>
      <c r="BL1176" t="s">
        <v>135</v>
      </c>
      <c r="BM1176" t="s">
        <v>74</v>
      </c>
      <c r="BN1176">
        <v>34122779</v>
      </c>
      <c r="BO1176" t="s">
        <v>74</v>
      </c>
      <c r="BP1176" t="s">
        <v>74</v>
      </c>
      <c r="BQ1176" t="s">
        <v>74</v>
      </c>
      <c r="BR1176" t="s">
        <v>96</v>
      </c>
      <c r="BS1176" t="s">
        <v>5200</v>
      </c>
      <c r="BT1176" t="str">
        <f>HYPERLINK("https%3A%2F%2Fwww.webofscience.com%2Fwos%2Fwoscc%2Ffull-record%2FWOS:000657328100001","View Full Record in Web of Science")</f>
        <v>View Full Record in Web of Science</v>
      </c>
    </row>
    <row r="1177" spans="1:72" x14ac:dyDescent="0.15">
      <c r="A1177" t="s">
        <v>98</v>
      </c>
      <c r="B1177" t="s">
        <v>6985</v>
      </c>
      <c r="C1177" t="s">
        <v>74</v>
      </c>
      <c r="D1177" t="s">
        <v>74</v>
      </c>
      <c r="E1177" t="s">
        <v>74</v>
      </c>
      <c r="F1177" t="s">
        <v>6986</v>
      </c>
      <c r="G1177" t="s">
        <v>74</v>
      </c>
      <c r="H1177" t="s">
        <v>74</v>
      </c>
      <c r="I1177" t="s">
        <v>6987</v>
      </c>
      <c r="J1177" t="s">
        <v>6988</v>
      </c>
      <c r="K1177" t="s">
        <v>74</v>
      </c>
      <c r="L1177" t="s">
        <v>74</v>
      </c>
      <c r="M1177" t="s">
        <v>74</v>
      </c>
      <c r="N1177" t="s">
        <v>103</v>
      </c>
      <c r="O1177" t="s">
        <v>74</v>
      </c>
      <c r="P1177" t="s">
        <v>74</v>
      </c>
      <c r="Q1177" t="s">
        <v>74</v>
      </c>
      <c r="R1177" t="s">
        <v>74</v>
      </c>
      <c r="S1177" t="s">
        <v>74</v>
      </c>
      <c r="T1177" t="s">
        <v>6989</v>
      </c>
      <c r="U1177" t="s">
        <v>74</v>
      </c>
      <c r="V1177" t="s">
        <v>74</v>
      </c>
      <c r="W1177" t="s">
        <v>6990</v>
      </c>
      <c r="X1177" t="s">
        <v>6991</v>
      </c>
      <c r="Y1177" t="s">
        <v>6992</v>
      </c>
      <c r="Z1177" t="s">
        <v>6993</v>
      </c>
      <c r="AA1177" t="s">
        <v>6994</v>
      </c>
      <c r="AB1177" t="s">
        <v>6995</v>
      </c>
      <c r="AC1177" t="s">
        <v>74</v>
      </c>
      <c r="AD1177" t="s">
        <v>74</v>
      </c>
      <c r="AE1177" t="s">
        <v>74</v>
      </c>
      <c r="AF1177" t="s">
        <v>74</v>
      </c>
      <c r="AG1177">
        <v>8</v>
      </c>
      <c r="AH1177">
        <v>10</v>
      </c>
      <c r="AI1177">
        <v>10</v>
      </c>
      <c r="AJ1177">
        <v>1</v>
      </c>
      <c r="AK1177">
        <v>3</v>
      </c>
      <c r="AL1177" t="s">
        <v>74</v>
      </c>
      <c r="AM1177" t="s">
        <v>74</v>
      </c>
      <c r="AN1177" t="s">
        <v>74</v>
      </c>
      <c r="AO1177" t="s">
        <v>6996</v>
      </c>
      <c r="AP1177" t="s">
        <v>6997</v>
      </c>
      <c r="AQ1177" t="s">
        <v>74</v>
      </c>
      <c r="AR1177" t="s">
        <v>74</v>
      </c>
      <c r="AS1177" t="s">
        <v>74</v>
      </c>
      <c r="AT1177" t="s">
        <v>114</v>
      </c>
      <c r="AU1177">
        <v>2019</v>
      </c>
      <c r="AV1177">
        <v>26</v>
      </c>
      <c r="AW1177">
        <v>1</v>
      </c>
      <c r="AX1177" t="s">
        <v>74</v>
      </c>
      <c r="AY1177" t="s">
        <v>74</v>
      </c>
      <c r="AZ1177" t="s">
        <v>74</v>
      </c>
      <c r="BA1177" t="s">
        <v>74</v>
      </c>
      <c r="BB1177">
        <v>211</v>
      </c>
      <c r="BC1177">
        <v>214</v>
      </c>
      <c r="BD1177" t="s">
        <v>74</v>
      </c>
      <c r="BE1177" t="s">
        <v>6998</v>
      </c>
      <c r="BF1177" t="str">
        <f>HYPERLINK("http://dx.doi.org/10.1111/jvh.12995","http://dx.doi.org/10.1111/jvh.12995")</f>
        <v>http://dx.doi.org/10.1111/jvh.12995</v>
      </c>
      <c r="BG1177" t="s">
        <v>74</v>
      </c>
      <c r="BH1177" t="s">
        <v>74</v>
      </c>
      <c r="BI1177" t="s">
        <v>74</v>
      </c>
      <c r="BJ1177" t="s">
        <v>6999</v>
      </c>
      <c r="BK1177" t="s">
        <v>117</v>
      </c>
      <c r="BL1177" t="s">
        <v>6999</v>
      </c>
      <c r="BM1177" t="s">
        <v>74</v>
      </c>
      <c r="BN1177">
        <v>30187611</v>
      </c>
      <c r="BO1177" t="s">
        <v>74</v>
      </c>
      <c r="BP1177" t="s">
        <v>74</v>
      </c>
      <c r="BQ1177" t="s">
        <v>74</v>
      </c>
      <c r="BR1177" t="s">
        <v>96</v>
      </c>
      <c r="BS1177" t="s">
        <v>7000</v>
      </c>
      <c r="BT1177" t="str">
        <f>HYPERLINK("https%3A%2F%2Fwww.webofscience.com%2Fwos%2Fwoscc%2Ffull-record%2FWOS:000454957400025","View Full Record in Web of Science")</f>
        <v>View Full Record in Web of Science</v>
      </c>
    </row>
    <row r="1178" spans="1:72" x14ac:dyDescent="0.15">
      <c r="A1178" t="s">
        <v>98</v>
      </c>
      <c r="B1178" t="s">
        <v>7750</v>
      </c>
      <c r="C1178" t="s">
        <v>74</v>
      </c>
      <c r="D1178" t="s">
        <v>74</v>
      </c>
      <c r="E1178" t="s">
        <v>74</v>
      </c>
      <c r="F1178" t="s">
        <v>7751</v>
      </c>
      <c r="G1178" t="s">
        <v>74</v>
      </c>
      <c r="H1178" t="s">
        <v>74</v>
      </c>
      <c r="I1178" t="s">
        <v>7752</v>
      </c>
      <c r="J1178" t="s">
        <v>7753</v>
      </c>
      <c r="K1178" t="s">
        <v>74</v>
      </c>
      <c r="L1178" t="s">
        <v>74</v>
      </c>
      <c r="M1178" t="s">
        <v>74</v>
      </c>
      <c r="N1178" t="s">
        <v>103</v>
      </c>
      <c r="O1178" t="s">
        <v>74</v>
      </c>
      <c r="P1178" t="s">
        <v>74</v>
      </c>
      <c r="Q1178" t="s">
        <v>74</v>
      </c>
      <c r="R1178" t="s">
        <v>74</v>
      </c>
      <c r="S1178" t="s">
        <v>74</v>
      </c>
      <c r="T1178" t="s">
        <v>7754</v>
      </c>
      <c r="U1178" t="s">
        <v>7755</v>
      </c>
      <c r="V1178" t="s">
        <v>7756</v>
      </c>
      <c r="W1178" t="s">
        <v>7757</v>
      </c>
      <c r="X1178" t="s">
        <v>7758</v>
      </c>
      <c r="Y1178" t="s">
        <v>7759</v>
      </c>
      <c r="Z1178" t="s">
        <v>7760</v>
      </c>
      <c r="AA1178" t="s">
        <v>7761</v>
      </c>
      <c r="AB1178" t="s">
        <v>7762</v>
      </c>
      <c r="AC1178" t="s">
        <v>74</v>
      </c>
      <c r="AD1178" t="s">
        <v>74</v>
      </c>
      <c r="AE1178" t="s">
        <v>74</v>
      </c>
      <c r="AF1178" t="s">
        <v>74</v>
      </c>
      <c r="AG1178">
        <v>36</v>
      </c>
      <c r="AH1178">
        <v>10</v>
      </c>
      <c r="AI1178">
        <v>11</v>
      </c>
      <c r="AJ1178">
        <v>0</v>
      </c>
      <c r="AK1178">
        <v>9</v>
      </c>
      <c r="AL1178" t="s">
        <v>74</v>
      </c>
      <c r="AM1178" t="s">
        <v>74</v>
      </c>
      <c r="AN1178" t="s">
        <v>74</v>
      </c>
      <c r="AO1178" t="s">
        <v>7763</v>
      </c>
      <c r="AP1178" t="s">
        <v>74</v>
      </c>
      <c r="AQ1178" t="s">
        <v>74</v>
      </c>
      <c r="AR1178" t="s">
        <v>74</v>
      </c>
      <c r="AS1178" t="s">
        <v>74</v>
      </c>
      <c r="AT1178" t="s">
        <v>2843</v>
      </c>
      <c r="AU1178">
        <v>2019</v>
      </c>
      <c r="AV1178">
        <v>13</v>
      </c>
      <c r="AW1178" t="s">
        <v>74</v>
      </c>
      <c r="AX1178" t="s">
        <v>74</v>
      </c>
      <c r="AY1178" t="s">
        <v>74</v>
      </c>
      <c r="AZ1178" t="s">
        <v>74</v>
      </c>
      <c r="BA1178" t="s">
        <v>74</v>
      </c>
      <c r="BB1178" t="s">
        <v>74</v>
      </c>
      <c r="BC1178" t="s">
        <v>74</v>
      </c>
      <c r="BD1178">
        <v>199</v>
      </c>
      <c r="BE1178" t="s">
        <v>7764</v>
      </c>
      <c r="BF1178" t="str">
        <f>HYPERLINK("http://dx.doi.org/10.3389/fncel.2019.00199","http://dx.doi.org/10.3389/fncel.2019.00199")</f>
        <v>http://dx.doi.org/10.3389/fncel.2019.00199</v>
      </c>
      <c r="BG1178" t="s">
        <v>74</v>
      </c>
      <c r="BH1178" t="s">
        <v>74</v>
      </c>
      <c r="BI1178" t="s">
        <v>74</v>
      </c>
      <c r="BJ1178" t="s">
        <v>652</v>
      </c>
      <c r="BK1178" t="s">
        <v>117</v>
      </c>
      <c r="BL1178" t="s">
        <v>653</v>
      </c>
      <c r="BM1178" t="s">
        <v>74</v>
      </c>
      <c r="BN1178">
        <v>31133815</v>
      </c>
      <c r="BO1178" t="s">
        <v>74</v>
      </c>
      <c r="BP1178" t="s">
        <v>74</v>
      </c>
      <c r="BQ1178" t="s">
        <v>74</v>
      </c>
      <c r="BR1178" t="s">
        <v>96</v>
      </c>
      <c r="BS1178" t="s">
        <v>7765</v>
      </c>
      <c r="BT1178" t="str">
        <f>HYPERLINK("https%3A%2F%2Fwww.webofscience.com%2Fwos%2Fwoscc%2Ffull-record%2FWOS:000467477900003","View Full Record in Web of Science")</f>
        <v>View Full Record in Web of Science</v>
      </c>
    </row>
    <row r="1179" spans="1:72" x14ac:dyDescent="0.15">
      <c r="A1179" t="s">
        <v>98</v>
      </c>
      <c r="B1179" t="s">
        <v>7854</v>
      </c>
      <c r="C1179" t="s">
        <v>74</v>
      </c>
      <c r="D1179" t="s">
        <v>74</v>
      </c>
      <c r="E1179" t="s">
        <v>74</v>
      </c>
      <c r="F1179" t="s">
        <v>7855</v>
      </c>
      <c r="G1179" t="s">
        <v>74</v>
      </c>
      <c r="H1179" t="s">
        <v>74</v>
      </c>
      <c r="I1179" t="s">
        <v>7856</v>
      </c>
      <c r="J1179" t="s">
        <v>6715</v>
      </c>
      <c r="K1179" t="s">
        <v>74</v>
      </c>
      <c r="L1179" t="s">
        <v>74</v>
      </c>
      <c r="M1179" t="s">
        <v>74</v>
      </c>
      <c r="N1179" t="s">
        <v>103</v>
      </c>
      <c r="O1179" t="s">
        <v>74</v>
      </c>
      <c r="P1179" t="s">
        <v>74</v>
      </c>
      <c r="Q1179" t="s">
        <v>74</v>
      </c>
      <c r="R1179" t="s">
        <v>74</v>
      </c>
      <c r="S1179" t="s">
        <v>74</v>
      </c>
      <c r="T1179" t="s">
        <v>7857</v>
      </c>
      <c r="U1179" t="s">
        <v>7858</v>
      </c>
      <c r="V1179" t="s">
        <v>7859</v>
      </c>
      <c r="W1179" t="s">
        <v>7860</v>
      </c>
      <c r="X1179" t="s">
        <v>74</v>
      </c>
      <c r="Y1179" t="s">
        <v>7861</v>
      </c>
      <c r="Z1179" t="s">
        <v>7862</v>
      </c>
      <c r="AA1179" t="s">
        <v>74</v>
      </c>
      <c r="AB1179" t="s">
        <v>7863</v>
      </c>
      <c r="AC1179" t="s">
        <v>74</v>
      </c>
      <c r="AD1179" t="s">
        <v>74</v>
      </c>
      <c r="AE1179" t="s">
        <v>74</v>
      </c>
      <c r="AF1179" t="s">
        <v>74</v>
      </c>
      <c r="AG1179">
        <v>126</v>
      </c>
      <c r="AH1179">
        <v>10</v>
      </c>
      <c r="AI1179">
        <v>10</v>
      </c>
      <c r="AJ1179">
        <v>3</v>
      </c>
      <c r="AK1179">
        <v>7</v>
      </c>
      <c r="AL1179" t="s">
        <v>74</v>
      </c>
      <c r="AM1179" t="s">
        <v>74</v>
      </c>
      <c r="AN1179" t="s">
        <v>74</v>
      </c>
      <c r="AO1179" t="s">
        <v>74</v>
      </c>
      <c r="AP1179" t="s">
        <v>6724</v>
      </c>
      <c r="AQ1179" t="s">
        <v>74</v>
      </c>
      <c r="AR1179" t="s">
        <v>74</v>
      </c>
      <c r="AS1179" t="s">
        <v>74</v>
      </c>
      <c r="AT1179" t="s">
        <v>283</v>
      </c>
      <c r="AU1179">
        <v>2021</v>
      </c>
      <c r="AV1179">
        <v>10</v>
      </c>
      <c r="AW1179">
        <v>2</v>
      </c>
      <c r="AX1179" t="s">
        <v>74</v>
      </c>
      <c r="AY1179" t="s">
        <v>74</v>
      </c>
      <c r="AZ1179" t="s">
        <v>74</v>
      </c>
      <c r="BA1179" t="s">
        <v>74</v>
      </c>
      <c r="BB1179" t="s">
        <v>74</v>
      </c>
      <c r="BC1179" t="s">
        <v>74</v>
      </c>
      <c r="BD1179">
        <v>156</v>
      </c>
      <c r="BE1179" t="s">
        <v>7864</v>
      </c>
      <c r="BF1179" t="str">
        <f>HYPERLINK("http://dx.doi.org/10.3390/antiox10020156","http://dx.doi.org/10.3390/antiox10020156")</f>
        <v>http://dx.doi.org/10.3390/antiox10020156</v>
      </c>
      <c r="BG1179" t="s">
        <v>74</v>
      </c>
      <c r="BH1179" t="s">
        <v>74</v>
      </c>
      <c r="BI1179" t="s">
        <v>74</v>
      </c>
      <c r="BJ1179" t="s">
        <v>6726</v>
      </c>
      <c r="BK1179" t="s">
        <v>117</v>
      </c>
      <c r="BL1179" t="s">
        <v>6727</v>
      </c>
      <c r="BM1179" t="s">
        <v>74</v>
      </c>
      <c r="BN1179">
        <v>33494540</v>
      </c>
      <c r="BO1179" t="s">
        <v>74</v>
      </c>
      <c r="BP1179" t="s">
        <v>74</v>
      </c>
      <c r="BQ1179" t="s">
        <v>74</v>
      </c>
      <c r="BR1179" t="s">
        <v>96</v>
      </c>
      <c r="BS1179" t="s">
        <v>7865</v>
      </c>
      <c r="BT1179" t="str">
        <f>HYPERLINK("https%3A%2F%2Fwww.webofscience.com%2Fwos%2Fwoscc%2Ffull-record%2FWOS:000622007300001","View Full Record in Web of Science")</f>
        <v>View Full Record in Web of Science</v>
      </c>
    </row>
    <row r="1180" spans="1:72" x14ac:dyDescent="0.15">
      <c r="A1180" t="s">
        <v>98</v>
      </c>
      <c r="B1180" t="s">
        <v>7927</v>
      </c>
      <c r="C1180" t="s">
        <v>74</v>
      </c>
      <c r="D1180" t="s">
        <v>74</v>
      </c>
      <c r="E1180" t="s">
        <v>74</v>
      </c>
      <c r="F1180" t="s">
        <v>7928</v>
      </c>
      <c r="G1180" t="s">
        <v>74</v>
      </c>
      <c r="H1180" t="s">
        <v>74</v>
      </c>
      <c r="I1180" t="s">
        <v>7929</v>
      </c>
      <c r="J1180" t="s">
        <v>3780</v>
      </c>
      <c r="K1180" t="s">
        <v>74</v>
      </c>
      <c r="L1180" t="s">
        <v>74</v>
      </c>
      <c r="M1180" t="s">
        <v>74</v>
      </c>
      <c r="N1180" t="s">
        <v>103</v>
      </c>
      <c r="O1180" t="s">
        <v>74</v>
      </c>
      <c r="P1180" t="s">
        <v>74</v>
      </c>
      <c r="Q1180" t="s">
        <v>74</v>
      </c>
      <c r="R1180" t="s">
        <v>74</v>
      </c>
      <c r="S1180" t="s">
        <v>74</v>
      </c>
      <c r="T1180" t="s">
        <v>74</v>
      </c>
      <c r="U1180" t="s">
        <v>7930</v>
      </c>
      <c r="V1180" t="s">
        <v>7931</v>
      </c>
      <c r="W1180" t="s">
        <v>7932</v>
      </c>
      <c r="X1180" t="s">
        <v>7933</v>
      </c>
      <c r="Y1180" t="s">
        <v>7934</v>
      </c>
      <c r="Z1180" t="s">
        <v>7935</v>
      </c>
      <c r="AA1180" t="s">
        <v>7936</v>
      </c>
      <c r="AB1180" t="s">
        <v>7937</v>
      </c>
      <c r="AC1180" t="s">
        <v>74</v>
      </c>
      <c r="AD1180" t="s">
        <v>74</v>
      </c>
      <c r="AE1180" t="s">
        <v>74</v>
      </c>
      <c r="AF1180" t="s">
        <v>74</v>
      </c>
      <c r="AG1180">
        <v>78</v>
      </c>
      <c r="AH1180">
        <v>10</v>
      </c>
      <c r="AI1180">
        <v>10</v>
      </c>
      <c r="AJ1180">
        <v>7</v>
      </c>
      <c r="AK1180">
        <v>25</v>
      </c>
      <c r="AL1180" t="s">
        <v>74</v>
      </c>
      <c r="AM1180" t="s">
        <v>74</v>
      </c>
      <c r="AN1180" t="s">
        <v>74</v>
      </c>
      <c r="AO1180" t="s">
        <v>3787</v>
      </c>
      <c r="AP1180" t="s">
        <v>3788</v>
      </c>
      <c r="AQ1180" t="s">
        <v>74</v>
      </c>
      <c r="AR1180" t="s">
        <v>74</v>
      </c>
      <c r="AS1180" t="s">
        <v>74</v>
      </c>
      <c r="AT1180" t="s">
        <v>7938</v>
      </c>
      <c r="AU1180">
        <v>2021</v>
      </c>
      <c r="AV1180">
        <v>21</v>
      </c>
      <c r="AW1180">
        <v>10</v>
      </c>
      <c r="AX1180" t="s">
        <v>74</v>
      </c>
      <c r="AY1180" t="s">
        <v>74</v>
      </c>
      <c r="AZ1180" t="s">
        <v>74</v>
      </c>
      <c r="BA1180" t="s">
        <v>74</v>
      </c>
      <c r="BB1180">
        <v>1956</v>
      </c>
      <c r="BC1180">
        <v>1973</v>
      </c>
      <c r="BD1180" t="s">
        <v>74</v>
      </c>
      <c r="BE1180" t="s">
        <v>7939</v>
      </c>
      <c r="BF1180" t="str">
        <f>HYPERLINK("http://dx.doi.org/10.1039/d0lc01323d","http://dx.doi.org/10.1039/d0lc01323d")</f>
        <v>http://dx.doi.org/10.1039/d0lc01323d</v>
      </c>
      <c r="BG1180" t="s">
        <v>74</v>
      </c>
      <c r="BH1180" t="s">
        <v>2607</v>
      </c>
      <c r="BI1180" t="s">
        <v>74</v>
      </c>
      <c r="BJ1180" t="s">
        <v>3790</v>
      </c>
      <c r="BK1180" t="s">
        <v>117</v>
      </c>
      <c r="BL1180" t="s">
        <v>3791</v>
      </c>
      <c r="BM1180" t="s">
        <v>74</v>
      </c>
      <c r="BN1180">
        <v>34008619</v>
      </c>
      <c r="BO1180" t="s">
        <v>74</v>
      </c>
      <c r="BP1180" t="s">
        <v>74</v>
      </c>
      <c r="BQ1180" t="s">
        <v>74</v>
      </c>
      <c r="BR1180" t="s">
        <v>96</v>
      </c>
      <c r="BS1180" t="s">
        <v>7940</v>
      </c>
      <c r="BT1180" t="str">
        <f>HYPERLINK("https%3A%2F%2Fwww.webofscience.com%2Fwos%2Fwoscc%2Ffull-record%2FWOS:000635227600001","View Full Record in Web of Science")</f>
        <v>View Full Record in Web of Science</v>
      </c>
    </row>
    <row r="1181" spans="1:72" x14ac:dyDescent="0.15">
      <c r="A1181" t="s">
        <v>72</v>
      </c>
      <c r="B1181" t="s">
        <v>9222</v>
      </c>
      <c r="C1181" t="s">
        <v>74</v>
      </c>
      <c r="D1181" t="s">
        <v>9223</v>
      </c>
      <c r="E1181" t="s">
        <v>74</v>
      </c>
      <c r="F1181" t="s">
        <v>9224</v>
      </c>
      <c r="G1181" t="s">
        <v>74</v>
      </c>
      <c r="H1181" t="s">
        <v>74</v>
      </c>
      <c r="I1181" t="s">
        <v>9225</v>
      </c>
      <c r="J1181" t="s">
        <v>9226</v>
      </c>
      <c r="K1181" t="s">
        <v>79</v>
      </c>
      <c r="L1181" t="s">
        <v>74</v>
      </c>
      <c r="M1181" t="s">
        <v>74</v>
      </c>
      <c r="N1181" t="s">
        <v>80</v>
      </c>
      <c r="O1181" t="s">
        <v>74</v>
      </c>
      <c r="P1181" t="s">
        <v>74</v>
      </c>
      <c r="Q1181" t="s">
        <v>74</v>
      </c>
      <c r="R1181" t="s">
        <v>74</v>
      </c>
      <c r="S1181" t="s">
        <v>74</v>
      </c>
      <c r="T1181" t="s">
        <v>9227</v>
      </c>
      <c r="U1181" t="s">
        <v>420</v>
      </c>
      <c r="V1181" t="s">
        <v>9228</v>
      </c>
      <c r="W1181" t="s">
        <v>9229</v>
      </c>
      <c r="X1181" t="s">
        <v>9230</v>
      </c>
      <c r="Y1181" t="s">
        <v>9231</v>
      </c>
      <c r="Z1181" t="s">
        <v>74</v>
      </c>
      <c r="AA1181" t="s">
        <v>9232</v>
      </c>
      <c r="AB1181" t="s">
        <v>9233</v>
      </c>
      <c r="AC1181" t="s">
        <v>74</v>
      </c>
      <c r="AD1181" t="s">
        <v>74</v>
      </c>
      <c r="AE1181" t="s">
        <v>74</v>
      </c>
      <c r="AF1181" t="s">
        <v>74</v>
      </c>
      <c r="AG1181">
        <v>26</v>
      </c>
      <c r="AH1181">
        <v>10</v>
      </c>
      <c r="AI1181">
        <v>10</v>
      </c>
      <c r="AJ1181">
        <v>3</v>
      </c>
      <c r="AK1181">
        <v>20</v>
      </c>
      <c r="AL1181" t="s">
        <v>74</v>
      </c>
      <c r="AM1181" t="s">
        <v>74</v>
      </c>
      <c r="AN1181" t="s">
        <v>74</v>
      </c>
      <c r="AO1181" t="s">
        <v>88</v>
      </c>
      <c r="AP1181" t="s">
        <v>89</v>
      </c>
      <c r="AQ1181" t="s">
        <v>9234</v>
      </c>
      <c r="AR1181" t="s">
        <v>74</v>
      </c>
      <c r="AS1181" t="s">
        <v>74</v>
      </c>
      <c r="AT1181" t="s">
        <v>74</v>
      </c>
      <c r="AU1181">
        <v>2018</v>
      </c>
      <c r="AV1181">
        <v>1737</v>
      </c>
      <c r="AW1181" t="s">
        <v>74</v>
      </c>
      <c r="AX1181" t="s">
        <v>74</v>
      </c>
      <c r="AY1181" t="s">
        <v>74</v>
      </c>
      <c r="AZ1181" t="s">
        <v>74</v>
      </c>
      <c r="BA1181" t="s">
        <v>74</v>
      </c>
      <c r="BB1181">
        <v>213</v>
      </c>
      <c r="BC1181">
        <v>230</v>
      </c>
      <c r="BD1181" t="s">
        <v>74</v>
      </c>
      <c r="BE1181" t="s">
        <v>9235</v>
      </c>
      <c r="BF1181" t="str">
        <f>HYPERLINK("http://dx.doi.org/10.1007/978-1-4939-7634-8_13","http://dx.doi.org/10.1007/978-1-4939-7634-8_13")</f>
        <v>http://dx.doi.org/10.1007/978-1-4939-7634-8_13</v>
      </c>
      <c r="BG1181" t="s">
        <v>9236</v>
      </c>
      <c r="BH1181" t="s">
        <v>74</v>
      </c>
      <c r="BI1181" t="s">
        <v>74</v>
      </c>
      <c r="BJ1181" t="s">
        <v>8267</v>
      </c>
      <c r="BK1181" t="s">
        <v>94</v>
      </c>
      <c r="BL1181" t="s">
        <v>950</v>
      </c>
      <c r="BM1181" t="s">
        <v>74</v>
      </c>
      <c r="BN1181">
        <v>29484596</v>
      </c>
      <c r="BO1181" t="s">
        <v>74</v>
      </c>
      <c r="BP1181" t="s">
        <v>74</v>
      </c>
      <c r="BQ1181" t="s">
        <v>74</v>
      </c>
      <c r="BR1181" t="s">
        <v>96</v>
      </c>
      <c r="BS1181" t="s">
        <v>9237</v>
      </c>
      <c r="BT1181" t="str">
        <f>HYPERLINK("https%3A%2F%2Fwww.webofscience.com%2Fwos%2Fwoscc%2Ffull-record%2FWOS:000441293100014","View Full Record in Web of Science")</f>
        <v>View Full Record in Web of Science</v>
      </c>
    </row>
    <row r="1182" spans="1:72" x14ac:dyDescent="0.15">
      <c r="A1182" t="s">
        <v>98</v>
      </c>
      <c r="B1182" t="s">
        <v>9498</v>
      </c>
      <c r="C1182" t="s">
        <v>74</v>
      </c>
      <c r="D1182" t="s">
        <v>74</v>
      </c>
      <c r="E1182" t="s">
        <v>74</v>
      </c>
      <c r="F1182" t="s">
        <v>9499</v>
      </c>
      <c r="G1182" t="s">
        <v>74</v>
      </c>
      <c r="H1182" t="s">
        <v>74</v>
      </c>
      <c r="I1182" t="s">
        <v>9500</v>
      </c>
      <c r="J1182" t="s">
        <v>9501</v>
      </c>
      <c r="K1182" t="s">
        <v>74</v>
      </c>
      <c r="L1182" t="s">
        <v>74</v>
      </c>
      <c r="M1182" t="s">
        <v>74</v>
      </c>
      <c r="N1182" t="s">
        <v>103</v>
      </c>
      <c r="O1182" t="s">
        <v>74</v>
      </c>
      <c r="P1182" t="s">
        <v>74</v>
      </c>
      <c r="Q1182" t="s">
        <v>74</v>
      </c>
      <c r="R1182" t="s">
        <v>74</v>
      </c>
      <c r="S1182" t="s">
        <v>74</v>
      </c>
      <c r="T1182" t="s">
        <v>9502</v>
      </c>
      <c r="U1182" t="s">
        <v>9503</v>
      </c>
      <c r="V1182" t="s">
        <v>9504</v>
      </c>
      <c r="W1182" t="s">
        <v>9505</v>
      </c>
      <c r="X1182" t="s">
        <v>9506</v>
      </c>
      <c r="Y1182" t="s">
        <v>9507</v>
      </c>
      <c r="Z1182" t="s">
        <v>9508</v>
      </c>
      <c r="AA1182" t="s">
        <v>9509</v>
      </c>
      <c r="AB1182" t="s">
        <v>9510</v>
      </c>
      <c r="AC1182" t="s">
        <v>74</v>
      </c>
      <c r="AD1182" t="s">
        <v>74</v>
      </c>
      <c r="AE1182" t="s">
        <v>74</v>
      </c>
      <c r="AF1182" t="s">
        <v>74</v>
      </c>
      <c r="AG1182">
        <v>17</v>
      </c>
      <c r="AH1182">
        <v>10</v>
      </c>
      <c r="AI1182">
        <v>10</v>
      </c>
      <c r="AJ1182">
        <v>2</v>
      </c>
      <c r="AK1182">
        <v>6</v>
      </c>
      <c r="AL1182" t="s">
        <v>74</v>
      </c>
      <c r="AM1182" t="s">
        <v>74</v>
      </c>
      <c r="AN1182" t="s">
        <v>74</v>
      </c>
      <c r="AO1182" t="s">
        <v>9511</v>
      </c>
      <c r="AP1182" t="s">
        <v>9512</v>
      </c>
      <c r="AQ1182" t="s">
        <v>74</v>
      </c>
      <c r="AR1182" t="s">
        <v>74</v>
      </c>
      <c r="AS1182" t="s">
        <v>74</v>
      </c>
      <c r="AT1182" t="s">
        <v>283</v>
      </c>
      <c r="AU1182">
        <v>2018</v>
      </c>
      <c r="AV1182">
        <v>13</v>
      </c>
      <c r="AW1182">
        <v>2</v>
      </c>
      <c r="AX1182" t="s">
        <v>74</v>
      </c>
      <c r="AY1182" t="s">
        <v>74</v>
      </c>
      <c r="AZ1182" t="s">
        <v>74</v>
      </c>
      <c r="BA1182" t="s">
        <v>74</v>
      </c>
      <c r="BB1182">
        <v>187</v>
      </c>
      <c r="BC1182">
        <v>194</v>
      </c>
      <c r="BD1182" t="s">
        <v>74</v>
      </c>
      <c r="BE1182" t="s">
        <v>9513</v>
      </c>
      <c r="BF1182" t="str">
        <f>HYPERLINK("http://dx.doi.org/10.2217/fmb-2017-0145","http://dx.doi.org/10.2217/fmb-2017-0145")</f>
        <v>http://dx.doi.org/10.2217/fmb-2017-0145</v>
      </c>
      <c r="BG1182" t="s">
        <v>74</v>
      </c>
      <c r="BH1182" t="s">
        <v>74</v>
      </c>
      <c r="BI1182" t="s">
        <v>74</v>
      </c>
      <c r="BJ1182" t="s">
        <v>898</v>
      </c>
      <c r="BK1182" t="s">
        <v>117</v>
      </c>
      <c r="BL1182" t="s">
        <v>898</v>
      </c>
      <c r="BM1182" t="s">
        <v>74</v>
      </c>
      <c r="BN1182">
        <v>28975808</v>
      </c>
      <c r="BO1182" t="s">
        <v>74</v>
      </c>
      <c r="BP1182" t="s">
        <v>74</v>
      </c>
      <c r="BQ1182" t="s">
        <v>74</v>
      </c>
      <c r="BR1182" t="s">
        <v>96</v>
      </c>
      <c r="BS1182" t="s">
        <v>9514</v>
      </c>
      <c r="BT1182" t="str">
        <f>HYPERLINK("https%3A%2F%2Fwww.webofscience.com%2Fwos%2Fwoscc%2Ffull-record%2FWOS:000427273500005","View Full Record in Web of Science")</f>
        <v>View Full Record in Web of Science</v>
      </c>
    </row>
    <row r="1183" spans="1:72" x14ac:dyDescent="0.15">
      <c r="A1183" t="s">
        <v>98</v>
      </c>
      <c r="B1183" t="s">
        <v>10176</v>
      </c>
      <c r="C1183" t="s">
        <v>74</v>
      </c>
      <c r="D1183" t="s">
        <v>74</v>
      </c>
      <c r="E1183" t="s">
        <v>74</v>
      </c>
      <c r="F1183" t="s">
        <v>10177</v>
      </c>
      <c r="G1183" t="s">
        <v>74</v>
      </c>
      <c r="H1183" t="s">
        <v>74</v>
      </c>
      <c r="I1183" t="s">
        <v>10178</v>
      </c>
      <c r="J1183" t="s">
        <v>10179</v>
      </c>
      <c r="K1183" t="s">
        <v>74</v>
      </c>
      <c r="L1183" t="s">
        <v>74</v>
      </c>
      <c r="M1183" t="s">
        <v>74</v>
      </c>
      <c r="N1183" t="s">
        <v>103</v>
      </c>
      <c r="O1183" t="s">
        <v>74</v>
      </c>
      <c r="P1183" t="s">
        <v>74</v>
      </c>
      <c r="Q1183" t="s">
        <v>74</v>
      </c>
      <c r="R1183" t="s">
        <v>74</v>
      </c>
      <c r="S1183" t="s">
        <v>74</v>
      </c>
      <c r="T1183" t="s">
        <v>74</v>
      </c>
      <c r="U1183" t="s">
        <v>10180</v>
      </c>
      <c r="V1183" t="s">
        <v>10181</v>
      </c>
      <c r="W1183" t="s">
        <v>10182</v>
      </c>
      <c r="X1183" t="s">
        <v>10183</v>
      </c>
      <c r="Y1183" t="s">
        <v>10184</v>
      </c>
      <c r="Z1183" t="s">
        <v>10185</v>
      </c>
      <c r="AA1183" t="s">
        <v>74</v>
      </c>
      <c r="AB1183" t="s">
        <v>10186</v>
      </c>
      <c r="AC1183" t="s">
        <v>74</v>
      </c>
      <c r="AD1183" t="s">
        <v>74</v>
      </c>
      <c r="AE1183" t="s">
        <v>74</v>
      </c>
      <c r="AF1183" t="s">
        <v>74</v>
      </c>
      <c r="AG1183">
        <v>44</v>
      </c>
      <c r="AH1183">
        <v>10</v>
      </c>
      <c r="AI1183">
        <v>10</v>
      </c>
      <c r="AJ1183">
        <v>5</v>
      </c>
      <c r="AK1183">
        <v>26</v>
      </c>
      <c r="AL1183" t="s">
        <v>74</v>
      </c>
      <c r="AM1183" t="s">
        <v>74</v>
      </c>
      <c r="AN1183" t="s">
        <v>74</v>
      </c>
      <c r="AO1183" t="s">
        <v>10187</v>
      </c>
      <c r="AP1183" t="s">
        <v>74</v>
      </c>
      <c r="AQ1183" t="s">
        <v>74</v>
      </c>
      <c r="AR1183" t="s">
        <v>74</v>
      </c>
      <c r="AS1183" t="s">
        <v>74</v>
      </c>
      <c r="AT1183" t="s">
        <v>10188</v>
      </c>
      <c r="AU1183">
        <v>2020</v>
      </c>
      <c r="AV1183">
        <v>11</v>
      </c>
      <c r="AW1183">
        <v>14</v>
      </c>
      <c r="AX1183" t="s">
        <v>74</v>
      </c>
      <c r="AY1183" t="s">
        <v>74</v>
      </c>
      <c r="AZ1183" t="s">
        <v>74</v>
      </c>
      <c r="BA1183" t="s">
        <v>74</v>
      </c>
      <c r="BB1183">
        <v>5569</v>
      </c>
      <c r="BC1183">
        <v>5576</v>
      </c>
      <c r="BD1183" t="s">
        <v>74</v>
      </c>
      <c r="BE1183" t="s">
        <v>10189</v>
      </c>
      <c r="BF1183" t="str">
        <f>HYPERLINK("http://dx.doi.org/10.1021/acs.jpclett.0c01018","http://dx.doi.org/10.1021/acs.jpclett.0c01018")</f>
        <v>http://dx.doi.org/10.1021/acs.jpclett.0c01018</v>
      </c>
      <c r="BG1183" t="s">
        <v>74</v>
      </c>
      <c r="BH1183" t="s">
        <v>74</v>
      </c>
      <c r="BI1183" t="s">
        <v>74</v>
      </c>
      <c r="BJ1183" t="s">
        <v>10190</v>
      </c>
      <c r="BK1183" t="s">
        <v>117</v>
      </c>
      <c r="BL1183" t="s">
        <v>251</v>
      </c>
      <c r="BM1183" t="s">
        <v>74</v>
      </c>
      <c r="BN1183">
        <v>32573237</v>
      </c>
      <c r="BO1183" t="s">
        <v>74</v>
      </c>
      <c r="BP1183" t="s">
        <v>74</v>
      </c>
      <c r="BQ1183" t="s">
        <v>74</v>
      </c>
      <c r="BR1183" t="s">
        <v>96</v>
      </c>
      <c r="BS1183" t="s">
        <v>10191</v>
      </c>
      <c r="BT1183" t="str">
        <f>HYPERLINK("https%3A%2F%2Fwww.webofscience.com%2Fwos%2Fwoscc%2Ffull-record%2FWOS:000551546100027","View Full Record in Web of Science")</f>
        <v>View Full Record in Web of Science</v>
      </c>
    </row>
    <row r="1184" spans="1:72" x14ac:dyDescent="0.15">
      <c r="A1184" t="s">
        <v>98</v>
      </c>
      <c r="B1184" t="s">
        <v>11515</v>
      </c>
      <c r="C1184" t="s">
        <v>74</v>
      </c>
      <c r="D1184" t="s">
        <v>74</v>
      </c>
      <c r="E1184" t="s">
        <v>74</v>
      </c>
      <c r="F1184" t="s">
        <v>11516</v>
      </c>
      <c r="G1184" t="s">
        <v>74</v>
      </c>
      <c r="H1184" t="s">
        <v>74</v>
      </c>
      <c r="I1184" t="s">
        <v>11517</v>
      </c>
      <c r="J1184" t="s">
        <v>11518</v>
      </c>
      <c r="K1184" t="s">
        <v>74</v>
      </c>
      <c r="L1184" t="s">
        <v>74</v>
      </c>
      <c r="M1184" t="s">
        <v>74</v>
      </c>
      <c r="N1184" t="s">
        <v>103</v>
      </c>
      <c r="O1184" t="s">
        <v>74</v>
      </c>
      <c r="P1184" t="s">
        <v>74</v>
      </c>
      <c r="Q1184" t="s">
        <v>74</v>
      </c>
      <c r="R1184" t="s">
        <v>74</v>
      </c>
      <c r="S1184" t="s">
        <v>74</v>
      </c>
      <c r="T1184" t="s">
        <v>11519</v>
      </c>
      <c r="U1184" t="s">
        <v>11520</v>
      </c>
      <c r="V1184" t="s">
        <v>11521</v>
      </c>
      <c r="W1184" t="s">
        <v>11522</v>
      </c>
      <c r="X1184" t="s">
        <v>11523</v>
      </c>
      <c r="Y1184" t="s">
        <v>11524</v>
      </c>
      <c r="Z1184" t="s">
        <v>11525</v>
      </c>
      <c r="AA1184" t="s">
        <v>11526</v>
      </c>
      <c r="AB1184" t="s">
        <v>11527</v>
      </c>
      <c r="AC1184" t="s">
        <v>74</v>
      </c>
      <c r="AD1184" t="s">
        <v>74</v>
      </c>
      <c r="AE1184" t="s">
        <v>74</v>
      </c>
      <c r="AF1184" t="s">
        <v>74</v>
      </c>
      <c r="AG1184">
        <v>171</v>
      </c>
      <c r="AH1184">
        <v>10</v>
      </c>
      <c r="AI1184">
        <v>11</v>
      </c>
      <c r="AJ1184">
        <v>1</v>
      </c>
      <c r="AK1184">
        <v>7</v>
      </c>
      <c r="AL1184" t="s">
        <v>74</v>
      </c>
      <c r="AM1184" t="s">
        <v>74</v>
      </c>
      <c r="AN1184" t="s">
        <v>74</v>
      </c>
      <c r="AO1184" t="s">
        <v>11528</v>
      </c>
      <c r="AP1184" t="s">
        <v>11529</v>
      </c>
      <c r="AQ1184" t="s">
        <v>74</v>
      </c>
      <c r="AR1184" t="s">
        <v>74</v>
      </c>
      <c r="AS1184" t="s">
        <v>74</v>
      </c>
      <c r="AT1184" t="s">
        <v>9418</v>
      </c>
      <c r="AU1184">
        <v>2019</v>
      </c>
      <c r="AV1184">
        <v>23</v>
      </c>
      <c r="AW1184">
        <v>4</v>
      </c>
      <c r="AX1184" t="s">
        <v>74</v>
      </c>
      <c r="AY1184" t="s">
        <v>74</v>
      </c>
      <c r="AZ1184" t="s">
        <v>447</v>
      </c>
      <c r="BA1184" t="s">
        <v>74</v>
      </c>
      <c r="BB1184">
        <v>284</v>
      </c>
      <c r="BC1184">
        <v>296</v>
      </c>
      <c r="BD1184" t="s">
        <v>74</v>
      </c>
      <c r="BE1184" t="s">
        <v>11530</v>
      </c>
      <c r="BF1184" t="str">
        <f>HYPERLINK("http://dx.doi.org/10.1089/gtmb.2018.0237","http://dx.doi.org/10.1089/gtmb.2018.0237")</f>
        <v>http://dx.doi.org/10.1089/gtmb.2018.0237</v>
      </c>
      <c r="BG1184" t="s">
        <v>74</v>
      </c>
      <c r="BH1184" t="s">
        <v>3746</v>
      </c>
      <c r="BI1184" t="s">
        <v>74</v>
      </c>
      <c r="BJ1184" t="s">
        <v>950</v>
      </c>
      <c r="BK1184" t="s">
        <v>117</v>
      </c>
      <c r="BL1184" t="s">
        <v>950</v>
      </c>
      <c r="BM1184" t="s">
        <v>74</v>
      </c>
      <c r="BN1184">
        <v>30916594</v>
      </c>
      <c r="BO1184" t="s">
        <v>74</v>
      </c>
      <c r="BP1184" t="s">
        <v>74</v>
      </c>
      <c r="BQ1184" t="s">
        <v>74</v>
      </c>
      <c r="BR1184" t="s">
        <v>96</v>
      </c>
      <c r="BS1184" t="s">
        <v>11531</v>
      </c>
      <c r="BT1184" t="str">
        <f>HYPERLINK("https%3A%2F%2Fwww.webofscience.com%2Fwos%2Fwoscc%2Ffull-record%2FWOS:000462520900001","View Full Record in Web of Science")</f>
        <v>View Full Record in Web of Science</v>
      </c>
    </row>
    <row r="1185" spans="1:72" x14ac:dyDescent="0.15">
      <c r="A1185" t="s">
        <v>98</v>
      </c>
      <c r="B1185" t="s">
        <v>11866</v>
      </c>
      <c r="C1185" t="s">
        <v>74</v>
      </c>
      <c r="D1185" t="s">
        <v>74</v>
      </c>
      <c r="E1185" t="s">
        <v>74</v>
      </c>
      <c r="F1185" t="s">
        <v>11867</v>
      </c>
      <c r="G1185" t="s">
        <v>74</v>
      </c>
      <c r="H1185" t="s">
        <v>74</v>
      </c>
      <c r="I1185" t="s">
        <v>11868</v>
      </c>
      <c r="J1185" t="s">
        <v>817</v>
      </c>
      <c r="K1185" t="s">
        <v>74</v>
      </c>
      <c r="L1185" t="s">
        <v>74</v>
      </c>
      <c r="M1185" t="s">
        <v>74</v>
      </c>
      <c r="N1185" t="s">
        <v>103</v>
      </c>
      <c r="O1185" t="s">
        <v>74</v>
      </c>
      <c r="P1185" t="s">
        <v>74</v>
      </c>
      <c r="Q1185" t="s">
        <v>74</v>
      </c>
      <c r="R1185" t="s">
        <v>74</v>
      </c>
      <c r="S1185" t="s">
        <v>74</v>
      </c>
      <c r="T1185" t="s">
        <v>11869</v>
      </c>
      <c r="U1185" t="s">
        <v>74</v>
      </c>
      <c r="V1185" t="s">
        <v>11870</v>
      </c>
      <c r="W1185" t="s">
        <v>11871</v>
      </c>
      <c r="X1185" t="s">
        <v>11872</v>
      </c>
      <c r="Y1185" t="s">
        <v>11873</v>
      </c>
      <c r="Z1185" t="s">
        <v>11874</v>
      </c>
      <c r="AA1185" t="s">
        <v>74</v>
      </c>
      <c r="AB1185" t="s">
        <v>11875</v>
      </c>
      <c r="AC1185" t="s">
        <v>74</v>
      </c>
      <c r="AD1185" t="s">
        <v>74</v>
      </c>
      <c r="AE1185" t="s">
        <v>74</v>
      </c>
      <c r="AF1185" t="s">
        <v>74</v>
      </c>
      <c r="AG1185">
        <v>52</v>
      </c>
      <c r="AH1185">
        <v>10</v>
      </c>
      <c r="AI1185">
        <v>10</v>
      </c>
      <c r="AJ1185">
        <v>1</v>
      </c>
      <c r="AK1185">
        <v>11</v>
      </c>
      <c r="AL1185" t="s">
        <v>74</v>
      </c>
      <c r="AM1185" t="s">
        <v>74</v>
      </c>
      <c r="AN1185" t="s">
        <v>74</v>
      </c>
      <c r="AO1185" t="s">
        <v>74</v>
      </c>
      <c r="AP1185" t="s">
        <v>827</v>
      </c>
      <c r="AQ1185" t="s">
        <v>74</v>
      </c>
      <c r="AR1185" t="s">
        <v>74</v>
      </c>
      <c r="AS1185" t="s">
        <v>74</v>
      </c>
      <c r="AT1185" t="s">
        <v>283</v>
      </c>
      <c r="AU1185">
        <v>2021</v>
      </c>
      <c r="AV1185">
        <v>22</v>
      </c>
      <c r="AW1185">
        <v>3</v>
      </c>
      <c r="AX1185" t="s">
        <v>74</v>
      </c>
      <c r="AY1185" t="s">
        <v>74</v>
      </c>
      <c r="AZ1185" t="s">
        <v>74</v>
      </c>
      <c r="BA1185" t="s">
        <v>74</v>
      </c>
      <c r="BB1185" t="s">
        <v>74</v>
      </c>
      <c r="BC1185" t="s">
        <v>74</v>
      </c>
      <c r="BD1185">
        <v>1115</v>
      </c>
      <c r="BE1185" t="s">
        <v>11876</v>
      </c>
      <c r="BF1185" t="str">
        <f>HYPERLINK("http://dx.doi.org/10.3390/ijms22031115","http://dx.doi.org/10.3390/ijms22031115")</f>
        <v>http://dx.doi.org/10.3390/ijms22031115</v>
      </c>
      <c r="BG1185" t="s">
        <v>74</v>
      </c>
      <c r="BH1185" t="s">
        <v>74</v>
      </c>
      <c r="BI1185" t="s">
        <v>74</v>
      </c>
      <c r="BJ1185" t="s">
        <v>830</v>
      </c>
      <c r="BK1185" t="s">
        <v>117</v>
      </c>
      <c r="BL1185" t="s">
        <v>831</v>
      </c>
      <c r="BM1185" t="s">
        <v>74</v>
      </c>
      <c r="BN1185">
        <v>33498689</v>
      </c>
      <c r="BO1185" t="s">
        <v>74</v>
      </c>
      <c r="BP1185" t="s">
        <v>74</v>
      </c>
      <c r="BQ1185" t="s">
        <v>74</v>
      </c>
      <c r="BR1185" t="s">
        <v>96</v>
      </c>
      <c r="BS1185" t="s">
        <v>11877</v>
      </c>
      <c r="BT1185" t="str">
        <f>HYPERLINK("https%3A%2F%2Fwww.webofscience.com%2Fwos%2Fwoscc%2Ffull-record%2FWOS:000615313600001","View Full Record in Web of Science")</f>
        <v>View Full Record in Web of Science</v>
      </c>
    </row>
    <row r="1186" spans="1:72" x14ac:dyDescent="0.15">
      <c r="A1186" t="s">
        <v>98</v>
      </c>
      <c r="B1186" t="s">
        <v>11893</v>
      </c>
      <c r="C1186" t="s">
        <v>74</v>
      </c>
      <c r="D1186" t="s">
        <v>74</v>
      </c>
      <c r="E1186" t="s">
        <v>74</v>
      </c>
      <c r="F1186" t="s">
        <v>11894</v>
      </c>
      <c r="G1186" t="s">
        <v>74</v>
      </c>
      <c r="H1186" t="s">
        <v>74</v>
      </c>
      <c r="I1186" t="s">
        <v>11895</v>
      </c>
      <c r="J1186" t="s">
        <v>11896</v>
      </c>
      <c r="K1186" t="s">
        <v>74</v>
      </c>
      <c r="L1186" t="s">
        <v>74</v>
      </c>
      <c r="M1186" t="s">
        <v>74</v>
      </c>
      <c r="N1186" t="s">
        <v>103</v>
      </c>
      <c r="O1186" t="s">
        <v>74</v>
      </c>
      <c r="P1186" t="s">
        <v>74</v>
      </c>
      <c r="Q1186" t="s">
        <v>74</v>
      </c>
      <c r="R1186" t="s">
        <v>74</v>
      </c>
      <c r="S1186" t="s">
        <v>74</v>
      </c>
      <c r="T1186" t="s">
        <v>11897</v>
      </c>
      <c r="U1186" t="s">
        <v>11898</v>
      </c>
      <c r="V1186" t="s">
        <v>11899</v>
      </c>
      <c r="W1186" t="s">
        <v>11900</v>
      </c>
      <c r="X1186" t="s">
        <v>9306</v>
      </c>
      <c r="Y1186" t="s">
        <v>11901</v>
      </c>
      <c r="Z1186" t="s">
        <v>11902</v>
      </c>
      <c r="AA1186" t="s">
        <v>74</v>
      </c>
      <c r="AB1186" t="s">
        <v>11903</v>
      </c>
      <c r="AC1186" t="s">
        <v>74</v>
      </c>
      <c r="AD1186" t="s">
        <v>74</v>
      </c>
      <c r="AE1186" t="s">
        <v>74</v>
      </c>
      <c r="AF1186" t="s">
        <v>74</v>
      </c>
      <c r="AG1186">
        <v>47</v>
      </c>
      <c r="AH1186">
        <v>10</v>
      </c>
      <c r="AI1186">
        <v>11</v>
      </c>
      <c r="AJ1186">
        <v>1</v>
      </c>
      <c r="AK1186">
        <v>2</v>
      </c>
      <c r="AL1186" t="s">
        <v>74</v>
      </c>
      <c r="AM1186" t="s">
        <v>74</v>
      </c>
      <c r="AN1186" t="s">
        <v>74</v>
      </c>
      <c r="AO1186" t="s">
        <v>11904</v>
      </c>
      <c r="AP1186" t="s">
        <v>11905</v>
      </c>
      <c r="AQ1186" t="s">
        <v>74</v>
      </c>
      <c r="AR1186" t="s">
        <v>74</v>
      </c>
      <c r="AS1186" t="s">
        <v>74</v>
      </c>
      <c r="AT1186" t="s">
        <v>211</v>
      </c>
      <c r="AU1186">
        <v>2019</v>
      </c>
      <c r="AV1186">
        <v>80</v>
      </c>
      <c r="AW1186" t="s">
        <v>74</v>
      </c>
      <c r="AX1186" t="s">
        <v>74</v>
      </c>
      <c r="AY1186" t="s">
        <v>74</v>
      </c>
      <c r="AZ1186" t="s">
        <v>447</v>
      </c>
      <c r="BA1186" t="s">
        <v>74</v>
      </c>
      <c r="BB1186">
        <v>65</v>
      </c>
      <c r="BC1186">
        <v>72</v>
      </c>
      <c r="BD1186" t="s">
        <v>74</v>
      </c>
      <c r="BE1186" t="s">
        <v>11906</v>
      </c>
      <c r="BF1186" t="str">
        <f>HYPERLINK("http://dx.doi.org/10.1016/j.alcohol.2018.08.006","http://dx.doi.org/10.1016/j.alcohol.2018.08.006")</f>
        <v>http://dx.doi.org/10.1016/j.alcohol.2018.08.006</v>
      </c>
      <c r="BG1186" t="s">
        <v>74</v>
      </c>
      <c r="BH1186" t="s">
        <v>74</v>
      </c>
      <c r="BI1186" t="s">
        <v>74</v>
      </c>
      <c r="BJ1186" t="s">
        <v>11907</v>
      </c>
      <c r="BK1186" t="s">
        <v>117</v>
      </c>
      <c r="BL1186" t="s">
        <v>11907</v>
      </c>
      <c r="BM1186" t="s">
        <v>74</v>
      </c>
      <c r="BN1186">
        <v>31307864</v>
      </c>
      <c r="BO1186" t="s">
        <v>74</v>
      </c>
      <c r="BP1186" t="s">
        <v>74</v>
      </c>
      <c r="BQ1186" t="s">
        <v>74</v>
      </c>
      <c r="BR1186" t="s">
        <v>96</v>
      </c>
      <c r="BS1186" t="s">
        <v>11908</v>
      </c>
      <c r="BT1186" t="str">
        <f>HYPERLINK("https%3A%2F%2Fwww.webofscience.com%2Fwos%2Fwoscc%2Ffull-record%2FWOS:000494884600008","View Full Record in Web of Science")</f>
        <v>View Full Record in Web of Science</v>
      </c>
    </row>
    <row r="1187" spans="1:72" x14ac:dyDescent="0.15">
      <c r="A1187" t="s">
        <v>98</v>
      </c>
      <c r="B1187" t="s">
        <v>12565</v>
      </c>
      <c r="C1187" t="s">
        <v>74</v>
      </c>
      <c r="D1187" t="s">
        <v>74</v>
      </c>
      <c r="E1187" t="s">
        <v>74</v>
      </c>
      <c r="F1187" t="s">
        <v>12566</v>
      </c>
      <c r="G1187" t="s">
        <v>74</v>
      </c>
      <c r="H1187" t="s">
        <v>74</v>
      </c>
      <c r="I1187" t="s">
        <v>12567</v>
      </c>
      <c r="J1187" t="s">
        <v>12568</v>
      </c>
      <c r="K1187" t="s">
        <v>74</v>
      </c>
      <c r="L1187" t="s">
        <v>74</v>
      </c>
      <c r="M1187" t="s">
        <v>74</v>
      </c>
      <c r="N1187" t="s">
        <v>103</v>
      </c>
      <c r="O1187" t="s">
        <v>74</v>
      </c>
      <c r="P1187" t="s">
        <v>74</v>
      </c>
      <c r="Q1187" t="s">
        <v>74</v>
      </c>
      <c r="R1187" t="s">
        <v>74</v>
      </c>
      <c r="S1187" t="s">
        <v>74</v>
      </c>
      <c r="T1187" t="s">
        <v>74</v>
      </c>
      <c r="U1187" t="s">
        <v>74</v>
      </c>
      <c r="V1187" t="s">
        <v>12569</v>
      </c>
      <c r="W1187" t="s">
        <v>12570</v>
      </c>
      <c r="X1187" t="s">
        <v>12571</v>
      </c>
      <c r="Y1187" t="s">
        <v>3539</v>
      </c>
      <c r="Z1187" t="s">
        <v>1834</v>
      </c>
      <c r="AA1187" t="s">
        <v>12572</v>
      </c>
      <c r="AB1187" t="s">
        <v>12573</v>
      </c>
      <c r="AC1187" t="s">
        <v>74</v>
      </c>
      <c r="AD1187" t="s">
        <v>74</v>
      </c>
      <c r="AE1187" t="s">
        <v>74</v>
      </c>
      <c r="AF1187" t="s">
        <v>74</v>
      </c>
      <c r="AG1187">
        <v>116</v>
      </c>
      <c r="AH1187">
        <v>10</v>
      </c>
      <c r="AI1187">
        <v>10</v>
      </c>
      <c r="AJ1187">
        <v>2</v>
      </c>
      <c r="AK1187">
        <v>2</v>
      </c>
      <c r="AL1187" t="s">
        <v>74</v>
      </c>
      <c r="AM1187" t="s">
        <v>74</v>
      </c>
      <c r="AN1187" t="s">
        <v>74</v>
      </c>
      <c r="AO1187" t="s">
        <v>74</v>
      </c>
      <c r="AP1187" t="s">
        <v>12574</v>
      </c>
      <c r="AQ1187" t="s">
        <v>74</v>
      </c>
      <c r="AR1187" t="s">
        <v>74</v>
      </c>
      <c r="AS1187" t="s">
        <v>74</v>
      </c>
      <c r="AT1187" t="s">
        <v>12575</v>
      </c>
      <c r="AU1187">
        <v>2021</v>
      </c>
      <c r="AV1187">
        <v>18</v>
      </c>
      <c r="AW1187">
        <v>1</v>
      </c>
      <c r="AX1187" t="s">
        <v>74</v>
      </c>
      <c r="AY1187" t="s">
        <v>74</v>
      </c>
      <c r="AZ1187" t="s">
        <v>74</v>
      </c>
      <c r="BA1187" t="s">
        <v>74</v>
      </c>
      <c r="BB1187" t="s">
        <v>74</v>
      </c>
      <c r="BC1187" t="s">
        <v>74</v>
      </c>
      <c r="BD1187">
        <v>6</v>
      </c>
      <c r="BE1187" t="s">
        <v>12576</v>
      </c>
      <c r="BF1187" t="str">
        <f>HYPERLINK("http://dx.doi.org/10.1186/s12977-021-00550-8","http://dx.doi.org/10.1186/s12977-021-00550-8")</f>
        <v>http://dx.doi.org/10.1186/s12977-021-00550-8</v>
      </c>
      <c r="BG1187" t="s">
        <v>74</v>
      </c>
      <c r="BH1187" t="s">
        <v>74</v>
      </c>
      <c r="BI1187" t="s">
        <v>74</v>
      </c>
      <c r="BJ1187" t="s">
        <v>932</v>
      </c>
      <c r="BK1187" t="s">
        <v>117</v>
      </c>
      <c r="BL1187" t="s">
        <v>932</v>
      </c>
      <c r="BM1187" t="s">
        <v>74</v>
      </c>
      <c r="BN1187">
        <v>33622348</v>
      </c>
      <c r="BO1187" t="s">
        <v>74</v>
      </c>
      <c r="BP1187" t="s">
        <v>74</v>
      </c>
      <c r="BQ1187" t="s">
        <v>74</v>
      </c>
      <c r="BR1187" t="s">
        <v>96</v>
      </c>
      <c r="BS1187" t="s">
        <v>12577</v>
      </c>
      <c r="BT1187" t="str">
        <f>HYPERLINK("https%3A%2F%2Fwww.webofscience.com%2Fwos%2Fwoscc%2Ffull-record%2FWOS:000620940200001","View Full Record in Web of Science")</f>
        <v>View Full Record in Web of Science</v>
      </c>
    </row>
    <row r="1188" spans="1:72" x14ac:dyDescent="0.15">
      <c r="A1188" t="s">
        <v>98</v>
      </c>
      <c r="B1188" t="s">
        <v>13849</v>
      </c>
      <c r="C1188" t="s">
        <v>74</v>
      </c>
      <c r="D1188" t="s">
        <v>74</v>
      </c>
      <c r="E1188" t="s">
        <v>74</v>
      </c>
      <c r="F1188" t="s">
        <v>13850</v>
      </c>
      <c r="G1188" t="s">
        <v>74</v>
      </c>
      <c r="H1188" t="s">
        <v>74</v>
      </c>
      <c r="I1188" t="s">
        <v>13851</v>
      </c>
      <c r="J1188" t="s">
        <v>140</v>
      </c>
      <c r="K1188" t="s">
        <v>74</v>
      </c>
      <c r="L1188" t="s">
        <v>74</v>
      </c>
      <c r="M1188" t="s">
        <v>74</v>
      </c>
      <c r="N1188" t="s">
        <v>103</v>
      </c>
      <c r="O1188" t="s">
        <v>74</v>
      </c>
      <c r="P1188" t="s">
        <v>74</v>
      </c>
      <c r="Q1188" t="s">
        <v>74</v>
      </c>
      <c r="R1188" t="s">
        <v>74</v>
      </c>
      <c r="S1188" t="s">
        <v>74</v>
      </c>
      <c r="T1188" t="s">
        <v>74</v>
      </c>
      <c r="U1188" t="s">
        <v>13852</v>
      </c>
      <c r="V1188" t="s">
        <v>13853</v>
      </c>
      <c r="W1188" t="s">
        <v>13854</v>
      </c>
      <c r="X1188" t="s">
        <v>3608</v>
      </c>
      <c r="Y1188" t="s">
        <v>13855</v>
      </c>
      <c r="Z1188" t="s">
        <v>9114</v>
      </c>
      <c r="AA1188" t="s">
        <v>13856</v>
      </c>
      <c r="AB1188" t="s">
        <v>13857</v>
      </c>
      <c r="AC1188" t="s">
        <v>74</v>
      </c>
      <c r="AD1188" t="s">
        <v>74</v>
      </c>
      <c r="AE1188" t="s">
        <v>74</v>
      </c>
      <c r="AF1188" t="s">
        <v>74</v>
      </c>
      <c r="AG1188">
        <v>38</v>
      </c>
      <c r="AH1188">
        <v>10</v>
      </c>
      <c r="AI1188">
        <v>11</v>
      </c>
      <c r="AJ1188">
        <v>1</v>
      </c>
      <c r="AK1188">
        <v>6</v>
      </c>
      <c r="AL1188" t="s">
        <v>74</v>
      </c>
      <c r="AM1188" t="s">
        <v>74</v>
      </c>
      <c r="AN1188" t="s">
        <v>74</v>
      </c>
      <c r="AO1188" t="s">
        <v>149</v>
      </c>
      <c r="AP1188" t="s">
        <v>74</v>
      </c>
      <c r="AQ1188" t="s">
        <v>74</v>
      </c>
      <c r="AR1188" t="s">
        <v>74</v>
      </c>
      <c r="AS1188" t="s">
        <v>74</v>
      </c>
      <c r="AT1188" t="s">
        <v>11146</v>
      </c>
      <c r="AU1188">
        <v>2018</v>
      </c>
      <c r="AV1188">
        <v>8</v>
      </c>
      <c r="AW1188" t="s">
        <v>74</v>
      </c>
      <c r="AX1188" t="s">
        <v>74</v>
      </c>
      <c r="AY1188" t="s">
        <v>74</v>
      </c>
      <c r="AZ1188" t="s">
        <v>74</v>
      </c>
      <c r="BA1188" t="s">
        <v>74</v>
      </c>
      <c r="BB1188" t="s">
        <v>74</v>
      </c>
      <c r="BC1188" t="s">
        <v>74</v>
      </c>
      <c r="BD1188">
        <v>17581</v>
      </c>
      <c r="BE1188" t="s">
        <v>13858</v>
      </c>
      <c r="BF1188" t="str">
        <f>HYPERLINK("http://dx.doi.org/10.1038/s41598-018-35968-2","http://dx.doi.org/10.1038/s41598-018-35968-2")</f>
        <v>http://dx.doi.org/10.1038/s41598-018-35968-2</v>
      </c>
      <c r="BG1188" t="s">
        <v>74</v>
      </c>
      <c r="BH1188" t="s">
        <v>74</v>
      </c>
      <c r="BI1188" t="s">
        <v>74</v>
      </c>
      <c r="BJ1188" t="s">
        <v>152</v>
      </c>
      <c r="BK1188" t="s">
        <v>117</v>
      </c>
      <c r="BL1188" t="s">
        <v>153</v>
      </c>
      <c r="BM1188" t="s">
        <v>74</v>
      </c>
      <c r="BN1188">
        <v>30514916</v>
      </c>
      <c r="BO1188" t="s">
        <v>74</v>
      </c>
      <c r="BP1188" t="s">
        <v>74</v>
      </c>
      <c r="BQ1188" t="s">
        <v>74</v>
      </c>
      <c r="BR1188" t="s">
        <v>96</v>
      </c>
      <c r="BS1188" t="s">
        <v>13859</v>
      </c>
      <c r="BT1188" t="str">
        <f>HYPERLINK("https%3A%2F%2Fwww.webofscience.com%2Fwos%2Fwoscc%2Ffull-record%2FWOS:000452084100001","View Full Record in Web of Science")</f>
        <v>View Full Record in Web of Science</v>
      </c>
    </row>
    <row r="1189" spans="1:72" x14ac:dyDescent="0.15">
      <c r="A1189" t="s">
        <v>98</v>
      </c>
      <c r="B1189" t="s">
        <v>15529</v>
      </c>
      <c r="C1189" t="s">
        <v>74</v>
      </c>
      <c r="D1189" t="s">
        <v>74</v>
      </c>
      <c r="E1189" t="s">
        <v>74</v>
      </c>
      <c r="F1189" t="s">
        <v>15530</v>
      </c>
      <c r="G1189" t="s">
        <v>74</v>
      </c>
      <c r="H1189" t="s">
        <v>74</v>
      </c>
      <c r="I1189" t="s">
        <v>15531</v>
      </c>
      <c r="J1189" t="s">
        <v>1396</v>
      </c>
      <c r="K1189" t="s">
        <v>74</v>
      </c>
      <c r="L1189" t="s">
        <v>74</v>
      </c>
      <c r="M1189" t="s">
        <v>74</v>
      </c>
      <c r="N1189" t="s">
        <v>103</v>
      </c>
      <c r="O1189" t="s">
        <v>74</v>
      </c>
      <c r="P1189" t="s">
        <v>74</v>
      </c>
      <c r="Q1189" t="s">
        <v>74</v>
      </c>
      <c r="R1189" t="s">
        <v>74</v>
      </c>
      <c r="S1189" t="s">
        <v>74</v>
      </c>
      <c r="T1189" t="s">
        <v>15532</v>
      </c>
      <c r="U1189" t="s">
        <v>15533</v>
      </c>
      <c r="V1189" t="s">
        <v>15534</v>
      </c>
      <c r="W1189" t="s">
        <v>15535</v>
      </c>
      <c r="X1189" t="s">
        <v>9259</v>
      </c>
      <c r="Y1189" t="s">
        <v>15536</v>
      </c>
      <c r="Z1189" t="s">
        <v>15537</v>
      </c>
      <c r="AA1189" t="s">
        <v>74</v>
      </c>
      <c r="AB1189" t="s">
        <v>15538</v>
      </c>
      <c r="AC1189" t="s">
        <v>74</v>
      </c>
      <c r="AD1189" t="s">
        <v>74</v>
      </c>
      <c r="AE1189" t="s">
        <v>74</v>
      </c>
      <c r="AF1189" t="s">
        <v>74</v>
      </c>
      <c r="AG1189">
        <v>35</v>
      </c>
      <c r="AH1189">
        <v>10</v>
      </c>
      <c r="AI1189">
        <v>12</v>
      </c>
      <c r="AJ1189">
        <v>3</v>
      </c>
      <c r="AK1189">
        <v>18</v>
      </c>
      <c r="AL1189" t="s">
        <v>74</v>
      </c>
      <c r="AM1189" t="s">
        <v>74</v>
      </c>
      <c r="AN1189" t="s">
        <v>74</v>
      </c>
      <c r="AO1189" t="s">
        <v>1406</v>
      </c>
      <c r="AP1189" t="s">
        <v>1407</v>
      </c>
      <c r="AQ1189" t="s">
        <v>74</v>
      </c>
      <c r="AR1189" t="s">
        <v>74</v>
      </c>
      <c r="AS1189" t="s">
        <v>74</v>
      </c>
      <c r="AT1189" t="s">
        <v>3660</v>
      </c>
      <c r="AU1189">
        <v>2021</v>
      </c>
      <c r="AV1189">
        <v>223</v>
      </c>
      <c r="AW1189">
        <v>4</v>
      </c>
      <c r="AX1189" t="s">
        <v>74</v>
      </c>
      <c r="AY1189" t="s">
        <v>74</v>
      </c>
      <c r="AZ1189" t="s">
        <v>74</v>
      </c>
      <c r="BA1189" t="s">
        <v>74</v>
      </c>
      <c r="BB1189">
        <v>686</v>
      </c>
      <c r="BC1189">
        <v>698</v>
      </c>
      <c r="BD1189" t="s">
        <v>74</v>
      </c>
      <c r="BE1189" t="s">
        <v>15539</v>
      </c>
      <c r="BF1189" t="str">
        <f>HYPERLINK("http://dx.doi.org/10.1093/infdis/jiaa399","http://dx.doi.org/10.1093/infdis/jiaa399")</f>
        <v>http://dx.doi.org/10.1093/infdis/jiaa399</v>
      </c>
      <c r="BG1189" t="s">
        <v>74</v>
      </c>
      <c r="BH1189" t="s">
        <v>74</v>
      </c>
      <c r="BI1189" t="s">
        <v>74</v>
      </c>
      <c r="BJ1189" t="s">
        <v>1410</v>
      </c>
      <c r="BK1189" t="s">
        <v>117</v>
      </c>
      <c r="BL1189" t="s">
        <v>1410</v>
      </c>
      <c r="BM1189" t="s">
        <v>74</v>
      </c>
      <c r="BN1189">
        <v>32663850</v>
      </c>
      <c r="BO1189" t="s">
        <v>74</v>
      </c>
      <c r="BP1189" t="s">
        <v>74</v>
      </c>
      <c r="BQ1189" t="s">
        <v>74</v>
      </c>
      <c r="BR1189" t="s">
        <v>96</v>
      </c>
      <c r="BS1189" t="s">
        <v>15540</v>
      </c>
      <c r="BT1189" t="str">
        <f>HYPERLINK("https%3A%2F%2Fwww.webofscience.com%2Fwos%2Fwoscc%2Ffull-record%2FWOS:000648914400017","View Full Record in Web of Science")</f>
        <v>View Full Record in Web of Science</v>
      </c>
    </row>
    <row r="1190" spans="1:72" x14ac:dyDescent="0.15">
      <c r="A1190" t="s">
        <v>72</v>
      </c>
      <c r="B1190" t="s">
        <v>15724</v>
      </c>
      <c r="C1190" t="s">
        <v>74</v>
      </c>
      <c r="D1190" t="s">
        <v>15725</v>
      </c>
      <c r="E1190" t="s">
        <v>74</v>
      </c>
      <c r="F1190" t="s">
        <v>15726</v>
      </c>
      <c r="G1190" t="s">
        <v>74</v>
      </c>
      <c r="H1190" t="s">
        <v>74</v>
      </c>
      <c r="I1190" t="s">
        <v>15727</v>
      </c>
      <c r="J1190" t="s">
        <v>15728</v>
      </c>
      <c r="K1190" t="s">
        <v>79</v>
      </c>
      <c r="L1190" t="s">
        <v>74</v>
      </c>
      <c r="M1190" t="s">
        <v>74</v>
      </c>
      <c r="N1190" t="s">
        <v>80</v>
      </c>
      <c r="O1190" t="s">
        <v>74</v>
      </c>
      <c r="P1190" t="s">
        <v>74</v>
      </c>
      <c r="Q1190" t="s">
        <v>74</v>
      </c>
      <c r="R1190" t="s">
        <v>74</v>
      </c>
      <c r="S1190" t="s">
        <v>74</v>
      </c>
      <c r="T1190" t="s">
        <v>15729</v>
      </c>
      <c r="U1190" t="s">
        <v>15730</v>
      </c>
      <c r="V1190" t="s">
        <v>15731</v>
      </c>
      <c r="W1190" t="s">
        <v>15732</v>
      </c>
      <c r="X1190" t="s">
        <v>15733</v>
      </c>
      <c r="Y1190" t="s">
        <v>15734</v>
      </c>
      <c r="Z1190" t="s">
        <v>74</v>
      </c>
      <c r="AA1190" t="s">
        <v>74</v>
      </c>
      <c r="AB1190" t="s">
        <v>15735</v>
      </c>
      <c r="AC1190" t="s">
        <v>74</v>
      </c>
      <c r="AD1190" t="s">
        <v>74</v>
      </c>
      <c r="AE1190" t="s">
        <v>74</v>
      </c>
      <c r="AF1190" t="s">
        <v>74</v>
      </c>
      <c r="AG1190">
        <v>46</v>
      </c>
      <c r="AH1190">
        <v>10</v>
      </c>
      <c r="AI1190">
        <v>10</v>
      </c>
      <c r="AJ1190">
        <v>0</v>
      </c>
      <c r="AK1190">
        <v>2</v>
      </c>
      <c r="AL1190" t="s">
        <v>74</v>
      </c>
      <c r="AM1190" t="s">
        <v>74</v>
      </c>
      <c r="AN1190" t="s">
        <v>74</v>
      </c>
      <c r="AO1190" t="s">
        <v>88</v>
      </c>
      <c r="AP1190" t="s">
        <v>89</v>
      </c>
      <c r="AQ1190" t="s">
        <v>15736</v>
      </c>
      <c r="AR1190" t="s">
        <v>74</v>
      </c>
      <c r="AS1190" t="s">
        <v>74</v>
      </c>
      <c r="AT1190" t="s">
        <v>74</v>
      </c>
      <c r="AU1190">
        <v>2018</v>
      </c>
      <c r="AV1190">
        <v>1856</v>
      </c>
      <c r="AW1190" t="s">
        <v>74</v>
      </c>
      <c r="AX1190" t="s">
        <v>74</v>
      </c>
      <c r="AY1190" t="s">
        <v>74</v>
      </c>
      <c r="AZ1190" t="s">
        <v>74</v>
      </c>
      <c r="BA1190" t="s">
        <v>74</v>
      </c>
      <c r="BB1190">
        <v>269</v>
      </c>
      <c r="BC1190">
        <v>282</v>
      </c>
      <c r="BD1190" t="s">
        <v>74</v>
      </c>
      <c r="BE1190" t="s">
        <v>15737</v>
      </c>
      <c r="BF1190" t="str">
        <f>HYPERLINK("http://dx.doi.org/10.1007/978-1-4939-8751-1_16","http://dx.doi.org/10.1007/978-1-4939-8751-1_16")</f>
        <v>http://dx.doi.org/10.1007/978-1-4939-8751-1_16</v>
      </c>
      <c r="BG1190" t="s">
        <v>15738</v>
      </c>
      <c r="BH1190" t="s">
        <v>74</v>
      </c>
      <c r="BI1190" t="s">
        <v>74</v>
      </c>
      <c r="BJ1190" t="s">
        <v>356</v>
      </c>
      <c r="BK1190" t="s">
        <v>94</v>
      </c>
      <c r="BL1190" t="s">
        <v>357</v>
      </c>
      <c r="BM1190" t="s">
        <v>74</v>
      </c>
      <c r="BN1190">
        <v>30178258</v>
      </c>
      <c r="BO1190" t="s">
        <v>74</v>
      </c>
      <c r="BP1190" t="s">
        <v>74</v>
      </c>
      <c r="BQ1190" t="s">
        <v>74</v>
      </c>
      <c r="BR1190" t="s">
        <v>96</v>
      </c>
      <c r="BS1190" t="s">
        <v>15739</v>
      </c>
      <c r="BT1190" t="str">
        <f>HYPERLINK("https%3A%2F%2Fwww.webofscience.com%2Fwos%2Fwoscc%2Ffull-record%2FWOS:000458615400017","View Full Record in Web of Science")</f>
        <v>View Full Record in Web of Science</v>
      </c>
    </row>
    <row r="1191" spans="1:72" x14ac:dyDescent="0.15">
      <c r="A1191" t="s">
        <v>98</v>
      </c>
      <c r="B1191" t="s">
        <v>15860</v>
      </c>
      <c r="C1191" t="s">
        <v>74</v>
      </c>
      <c r="D1191" t="s">
        <v>74</v>
      </c>
      <c r="E1191" t="s">
        <v>74</v>
      </c>
      <c r="F1191" t="s">
        <v>15861</v>
      </c>
      <c r="G1191" t="s">
        <v>74</v>
      </c>
      <c r="H1191" t="s">
        <v>74</v>
      </c>
      <c r="I1191" t="s">
        <v>15862</v>
      </c>
      <c r="J1191" t="s">
        <v>4486</v>
      </c>
      <c r="K1191" t="s">
        <v>74</v>
      </c>
      <c r="L1191" t="s">
        <v>74</v>
      </c>
      <c r="M1191" t="s">
        <v>74</v>
      </c>
      <c r="N1191" t="s">
        <v>103</v>
      </c>
      <c r="O1191" t="s">
        <v>74</v>
      </c>
      <c r="P1191" t="s">
        <v>74</v>
      </c>
      <c r="Q1191" t="s">
        <v>74</v>
      </c>
      <c r="R1191" t="s">
        <v>74</v>
      </c>
      <c r="S1191" t="s">
        <v>74</v>
      </c>
      <c r="T1191" t="s">
        <v>74</v>
      </c>
      <c r="U1191" t="s">
        <v>15863</v>
      </c>
      <c r="V1191" t="s">
        <v>15864</v>
      </c>
      <c r="W1191" t="s">
        <v>15865</v>
      </c>
      <c r="X1191" t="s">
        <v>15866</v>
      </c>
      <c r="Y1191" t="s">
        <v>15867</v>
      </c>
      <c r="Z1191" t="s">
        <v>15868</v>
      </c>
      <c r="AA1191" t="s">
        <v>13443</v>
      </c>
      <c r="AB1191" t="s">
        <v>15869</v>
      </c>
      <c r="AC1191" t="s">
        <v>74</v>
      </c>
      <c r="AD1191" t="s">
        <v>74</v>
      </c>
      <c r="AE1191" t="s">
        <v>74</v>
      </c>
      <c r="AF1191" t="s">
        <v>74</v>
      </c>
      <c r="AG1191">
        <v>28</v>
      </c>
      <c r="AH1191">
        <v>10</v>
      </c>
      <c r="AI1191">
        <v>10</v>
      </c>
      <c r="AJ1191">
        <v>8</v>
      </c>
      <c r="AK1191">
        <v>46</v>
      </c>
      <c r="AL1191" t="s">
        <v>74</v>
      </c>
      <c r="AM1191" t="s">
        <v>74</v>
      </c>
      <c r="AN1191" t="s">
        <v>74</v>
      </c>
      <c r="AO1191" t="s">
        <v>4493</v>
      </c>
      <c r="AP1191" t="s">
        <v>4494</v>
      </c>
      <c r="AQ1191" t="s">
        <v>74</v>
      </c>
      <c r="AR1191" t="s">
        <v>74</v>
      </c>
      <c r="AS1191" t="s">
        <v>74</v>
      </c>
      <c r="AT1191" t="s">
        <v>15870</v>
      </c>
      <c r="AU1191">
        <v>2020</v>
      </c>
      <c r="AV1191">
        <v>92</v>
      </c>
      <c r="AW1191">
        <v>15</v>
      </c>
      <c r="AX1191" t="s">
        <v>74</v>
      </c>
      <c r="AY1191" t="s">
        <v>74</v>
      </c>
      <c r="AZ1191" t="s">
        <v>74</v>
      </c>
      <c r="BA1191" t="s">
        <v>74</v>
      </c>
      <c r="BB1191">
        <v>10569</v>
      </c>
      <c r="BC1191">
        <v>10577</v>
      </c>
      <c r="BD1191" t="s">
        <v>74</v>
      </c>
      <c r="BE1191" t="s">
        <v>15871</v>
      </c>
      <c r="BF1191" t="str">
        <f>HYPERLINK("http://dx.doi.org/10.1021/acs.analchem.0c01464","http://dx.doi.org/10.1021/acs.analchem.0c01464")</f>
        <v>http://dx.doi.org/10.1021/acs.analchem.0c01464</v>
      </c>
      <c r="BG1191" t="s">
        <v>74</v>
      </c>
      <c r="BH1191" t="s">
        <v>74</v>
      </c>
      <c r="BI1191" t="s">
        <v>74</v>
      </c>
      <c r="BJ1191" t="s">
        <v>1118</v>
      </c>
      <c r="BK1191" t="s">
        <v>117</v>
      </c>
      <c r="BL1191" t="s">
        <v>1048</v>
      </c>
      <c r="BM1191" t="s">
        <v>74</v>
      </c>
      <c r="BN1191">
        <v>32600030</v>
      </c>
      <c r="BO1191" t="s">
        <v>74</v>
      </c>
      <c r="BP1191" t="s">
        <v>74</v>
      </c>
      <c r="BQ1191" t="s">
        <v>74</v>
      </c>
      <c r="BR1191" t="s">
        <v>96</v>
      </c>
      <c r="BS1191" t="s">
        <v>15872</v>
      </c>
      <c r="BT1191" t="str">
        <f>HYPERLINK("https%3A%2F%2Fwww.webofscience.com%2Fwos%2Fwoscc%2Ffull-record%2FWOS:000558761500050","View Full Record in Web of Science")</f>
        <v>View Full Record in Web of Science</v>
      </c>
    </row>
    <row r="1192" spans="1:72" x14ac:dyDescent="0.15">
      <c r="A1192" t="s">
        <v>98</v>
      </c>
      <c r="B1192" t="s">
        <v>16985</v>
      </c>
      <c r="C1192" t="s">
        <v>74</v>
      </c>
      <c r="D1192" t="s">
        <v>74</v>
      </c>
      <c r="E1192" t="s">
        <v>74</v>
      </c>
      <c r="F1192" t="s">
        <v>16986</v>
      </c>
      <c r="G1192" t="s">
        <v>74</v>
      </c>
      <c r="H1192" t="s">
        <v>74</v>
      </c>
      <c r="I1192" t="s">
        <v>16987</v>
      </c>
      <c r="J1192" t="s">
        <v>8854</v>
      </c>
      <c r="K1192" t="s">
        <v>74</v>
      </c>
      <c r="L1192" t="s">
        <v>74</v>
      </c>
      <c r="M1192" t="s">
        <v>74</v>
      </c>
      <c r="N1192" t="s">
        <v>103</v>
      </c>
      <c r="O1192" t="s">
        <v>74</v>
      </c>
      <c r="P1192" t="s">
        <v>74</v>
      </c>
      <c r="Q1192" t="s">
        <v>74</v>
      </c>
      <c r="R1192" t="s">
        <v>74</v>
      </c>
      <c r="S1192" t="s">
        <v>74</v>
      </c>
      <c r="T1192" t="s">
        <v>74</v>
      </c>
      <c r="U1192" t="s">
        <v>16988</v>
      </c>
      <c r="V1192" t="s">
        <v>16989</v>
      </c>
      <c r="W1192" t="s">
        <v>16990</v>
      </c>
      <c r="X1192" t="s">
        <v>16991</v>
      </c>
      <c r="Y1192" t="s">
        <v>16992</v>
      </c>
      <c r="Z1192" t="s">
        <v>16993</v>
      </c>
      <c r="AA1192" t="s">
        <v>74</v>
      </c>
      <c r="AB1192" t="s">
        <v>74</v>
      </c>
      <c r="AC1192" t="s">
        <v>74</v>
      </c>
      <c r="AD1192" t="s">
        <v>74</v>
      </c>
      <c r="AE1192" t="s">
        <v>74</v>
      </c>
      <c r="AF1192" t="s">
        <v>74</v>
      </c>
      <c r="AG1192">
        <v>48</v>
      </c>
      <c r="AH1192">
        <v>10</v>
      </c>
      <c r="AI1192">
        <v>12</v>
      </c>
      <c r="AJ1192">
        <v>2</v>
      </c>
      <c r="AK1192">
        <v>7</v>
      </c>
      <c r="AL1192" t="s">
        <v>74</v>
      </c>
      <c r="AM1192" t="s">
        <v>74</v>
      </c>
      <c r="AN1192" t="s">
        <v>74</v>
      </c>
      <c r="AO1192" t="s">
        <v>8862</v>
      </c>
      <c r="AP1192" t="s">
        <v>8863</v>
      </c>
      <c r="AQ1192" t="s">
        <v>74</v>
      </c>
      <c r="AR1192" t="s">
        <v>74</v>
      </c>
      <c r="AS1192" t="s">
        <v>74</v>
      </c>
      <c r="AT1192" t="s">
        <v>3597</v>
      </c>
      <c r="AU1192">
        <v>2018</v>
      </c>
      <c r="AV1192">
        <v>26</v>
      </c>
      <c r="AW1192">
        <v>4</v>
      </c>
      <c r="AX1192" t="s">
        <v>74</v>
      </c>
      <c r="AY1192" t="s">
        <v>74</v>
      </c>
      <c r="AZ1192" t="s">
        <v>74</v>
      </c>
      <c r="BA1192" t="s">
        <v>74</v>
      </c>
      <c r="BB1192">
        <v>1032</v>
      </c>
      <c r="BC1192">
        <v>1039</v>
      </c>
      <c r="BD1192" t="s">
        <v>74</v>
      </c>
      <c r="BE1192" t="s">
        <v>16994</v>
      </c>
      <c r="BF1192" t="str">
        <f>HYPERLINK("http://dx.doi.org/10.1016/j.ymthe.2018.02.016","http://dx.doi.org/10.1016/j.ymthe.2018.02.016")</f>
        <v>http://dx.doi.org/10.1016/j.ymthe.2018.02.016</v>
      </c>
      <c r="BG1192" t="s">
        <v>74</v>
      </c>
      <c r="BH1192" t="s">
        <v>74</v>
      </c>
      <c r="BI1192" t="s">
        <v>74</v>
      </c>
      <c r="BJ1192" t="s">
        <v>2875</v>
      </c>
      <c r="BK1192" t="s">
        <v>117</v>
      </c>
      <c r="BL1192" t="s">
        <v>2876</v>
      </c>
      <c r="BM1192" t="s">
        <v>74</v>
      </c>
      <c r="BN1192">
        <v>29526650</v>
      </c>
      <c r="BO1192" t="s">
        <v>74</v>
      </c>
      <c r="BP1192" t="s">
        <v>74</v>
      </c>
      <c r="BQ1192" t="s">
        <v>74</v>
      </c>
      <c r="BR1192" t="s">
        <v>96</v>
      </c>
      <c r="BS1192" t="s">
        <v>16995</v>
      </c>
      <c r="BT1192" t="str">
        <f>HYPERLINK("https%3A%2F%2Fwww.webofscience.com%2Fwos%2Fwoscc%2Ffull-record%2FWOS:000431483400012","View Full Record in Web of Science")</f>
        <v>View Full Record in Web of Science</v>
      </c>
    </row>
    <row r="1193" spans="1:72" x14ac:dyDescent="0.15">
      <c r="A1193" t="s">
        <v>98</v>
      </c>
      <c r="B1193" t="s">
        <v>19658</v>
      </c>
      <c r="C1193" t="s">
        <v>74</v>
      </c>
      <c r="D1193" t="s">
        <v>74</v>
      </c>
      <c r="E1193" t="s">
        <v>74</v>
      </c>
      <c r="F1193" t="s">
        <v>19659</v>
      </c>
      <c r="G1193" t="s">
        <v>74</v>
      </c>
      <c r="H1193" t="s">
        <v>74</v>
      </c>
      <c r="I1193" t="s">
        <v>19660</v>
      </c>
      <c r="J1193" t="s">
        <v>19661</v>
      </c>
      <c r="K1193" t="s">
        <v>74</v>
      </c>
      <c r="L1193" t="s">
        <v>74</v>
      </c>
      <c r="M1193" t="s">
        <v>74</v>
      </c>
      <c r="N1193" t="s">
        <v>980</v>
      </c>
      <c r="O1193" t="s">
        <v>19662</v>
      </c>
      <c r="P1193" t="s">
        <v>19663</v>
      </c>
      <c r="Q1193" t="s">
        <v>19664</v>
      </c>
      <c r="R1193" t="s">
        <v>74</v>
      </c>
      <c r="S1193" t="s">
        <v>74</v>
      </c>
      <c r="T1193" t="s">
        <v>74</v>
      </c>
      <c r="U1193" t="s">
        <v>19665</v>
      </c>
      <c r="V1193" t="s">
        <v>19666</v>
      </c>
      <c r="W1193" t="s">
        <v>19667</v>
      </c>
      <c r="X1193" t="s">
        <v>19668</v>
      </c>
      <c r="Y1193" t="s">
        <v>19669</v>
      </c>
      <c r="Z1193" t="s">
        <v>19670</v>
      </c>
      <c r="AA1193" t="s">
        <v>19671</v>
      </c>
      <c r="AB1193" t="s">
        <v>19672</v>
      </c>
      <c r="AC1193" t="s">
        <v>74</v>
      </c>
      <c r="AD1193" t="s">
        <v>74</v>
      </c>
      <c r="AE1193" t="s">
        <v>74</v>
      </c>
      <c r="AF1193" t="s">
        <v>74</v>
      </c>
      <c r="AG1193">
        <v>44</v>
      </c>
      <c r="AH1193">
        <v>10</v>
      </c>
      <c r="AI1193">
        <v>10</v>
      </c>
      <c r="AJ1193">
        <v>0</v>
      </c>
      <c r="AK1193">
        <v>3</v>
      </c>
      <c r="AL1193" t="s">
        <v>74</v>
      </c>
      <c r="AM1193" t="s">
        <v>74</v>
      </c>
      <c r="AN1193" t="s">
        <v>74</v>
      </c>
      <c r="AO1193" t="s">
        <v>19673</v>
      </c>
      <c r="AP1193" t="s">
        <v>19674</v>
      </c>
      <c r="AQ1193" t="s">
        <v>74</v>
      </c>
      <c r="AR1193" t="s">
        <v>74</v>
      </c>
      <c r="AS1193" t="s">
        <v>74</v>
      </c>
      <c r="AT1193" t="s">
        <v>967</v>
      </c>
      <c r="AU1193">
        <v>2019</v>
      </c>
      <c r="AV1193" t="s">
        <v>74</v>
      </c>
      <c r="AW1193" t="s">
        <v>74</v>
      </c>
      <c r="AX1193" t="s">
        <v>74</v>
      </c>
      <c r="AY1193" t="s">
        <v>74</v>
      </c>
      <c r="AZ1193" t="s">
        <v>74</v>
      </c>
      <c r="BA1193" t="s">
        <v>74</v>
      </c>
      <c r="BB1193">
        <v>182</v>
      </c>
      <c r="BC1193">
        <v>186</v>
      </c>
      <c r="BD1193" t="s">
        <v>74</v>
      </c>
      <c r="BE1193" t="s">
        <v>74</v>
      </c>
      <c r="BF1193" t="s">
        <v>74</v>
      </c>
      <c r="BG1193" t="s">
        <v>74</v>
      </c>
      <c r="BH1193" t="s">
        <v>74</v>
      </c>
      <c r="BI1193" t="s">
        <v>74</v>
      </c>
      <c r="BJ1193" t="s">
        <v>19675</v>
      </c>
      <c r="BK1193" t="s">
        <v>997</v>
      </c>
      <c r="BL1193" t="s">
        <v>19676</v>
      </c>
      <c r="BM1193" t="s">
        <v>74</v>
      </c>
      <c r="BN1193">
        <v>31808871</v>
      </c>
      <c r="BO1193" t="s">
        <v>74</v>
      </c>
      <c r="BP1193" t="s">
        <v>74</v>
      </c>
      <c r="BQ1193" t="s">
        <v>74</v>
      </c>
      <c r="BR1193" t="s">
        <v>96</v>
      </c>
      <c r="BS1193" t="s">
        <v>19677</v>
      </c>
      <c r="BT1193" t="str">
        <f>HYPERLINK("https%3A%2F%2Fwww.webofscience.com%2Fwos%2Fwoscc%2Ffull-record%2FWOS:000538564000026","View Full Record in Web of Science")</f>
        <v>View Full Record in Web of Science</v>
      </c>
    </row>
    <row r="1194" spans="1:72" x14ac:dyDescent="0.15">
      <c r="A1194" t="s">
        <v>98</v>
      </c>
      <c r="B1194" t="s">
        <v>22101</v>
      </c>
      <c r="C1194" t="s">
        <v>74</v>
      </c>
      <c r="D1194" t="s">
        <v>74</v>
      </c>
      <c r="E1194" t="s">
        <v>74</v>
      </c>
      <c r="F1194" t="s">
        <v>22102</v>
      </c>
      <c r="G1194" t="s">
        <v>74</v>
      </c>
      <c r="H1194" t="s">
        <v>74</v>
      </c>
      <c r="I1194" t="s">
        <v>22103</v>
      </c>
      <c r="J1194" t="s">
        <v>20670</v>
      </c>
      <c r="K1194" t="s">
        <v>74</v>
      </c>
      <c r="L1194" t="s">
        <v>74</v>
      </c>
      <c r="M1194" t="s">
        <v>74</v>
      </c>
      <c r="N1194" t="s">
        <v>103</v>
      </c>
      <c r="O1194" t="s">
        <v>74</v>
      </c>
      <c r="P1194" t="s">
        <v>74</v>
      </c>
      <c r="Q1194" t="s">
        <v>74</v>
      </c>
      <c r="R1194" t="s">
        <v>74</v>
      </c>
      <c r="S1194" t="s">
        <v>74</v>
      </c>
      <c r="T1194" t="s">
        <v>22104</v>
      </c>
      <c r="U1194" t="s">
        <v>22105</v>
      </c>
      <c r="V1194" t="s">
        <v>22106</v>
      </c>
      <c r="W1194" t="s">
        <v>22107</v>
      </c>
      <c r="X1194" t="s">
        <v>22108</v>
      </c>
      <c r="Y1194" t="s">
        <v>22109</v>
      </c>
      <c r="Z1194" t="s">
        <v>22110</v>
      </c>
      <c r="AA1194" t="s">
        <v>22111</v>
      </c>
      <c r="AB1194" t="s">
        <v>22112</v>
      </c>
      <c r="AC1194" t="s">
        <v>74</v>
      </c>
      <c r="AD1194" t="s">
        <v>74</v>
      </c>
      <c r="AE1194" t="s">
        <v>74</v>
      </c>
      <c r="AF1194" t="s">
        <v>74</v>
      </c>
      <c r="AG1194">
        <v>31</v>
      </c>
      <c r="AH1194">
        <v>10</v>
      </c>
      <c r="AI1194">
        <v>10</v>
      </c>
      <c r="AJ1194">
        <v>1</v>
      </c>
      <c r="AK1194">
        <v>2</v>
      </c>
      <c r="AL1194" t="s">
        <v>74</v>
      </c>
      <c r="AM1194" t="s">
        <v>74</v>
      </c>
      <c r="AN1194" t="s">
        <v>74</v>
      </c>
      <c r="AO1194" t="s">
        <v>20676</v>
      </c>
      <c r="AP1194" t="s">
        <v>74</v>
      </c>
      <c r="AQ1194" t="s">
        <v>74</v>
      </c>
      <c r="AR1194" t="s">
        <v>74</v>
      </c>
      <c r="AS1194" t="s">
        <v>74</v>
      </c>
      <c r="AT1194" t="s">
        <v>1661</v>
      </c>
      <c r="AU1194">
        <v>2020</v>
      </c>
      <c r="AV1194">
        <v>11</v>
      </c>
      <c r="AW1194" t="s">
        <v>74</v>
      </c>
      <c r="AX1194" t="s">
        <v>74</v>
      </c>
      <c r="AY1194" t="s">
        <v>74</v>
      </c>
      <c r="AZ1194" t="s">
        <v>74</v>
      </c>
      <c r="BA1194" t="s">
        <v>74</v>
      </c>
      <c r="BB1194" t="s">
        <v>74</v>
      </c>
      <c r="BC1194" t="s">
        <v>74</v>
      </c>
      <c r="BD1194">
        <v>881</v>
      </c>
      <c r="BE1194" t="s">
        <v>22113</v>
      </c>
      <c r="BF1194" t="str">
        <f>HYPERLINK("http://dx.doi.org/10.3389/fneur.2020.00881","http://dx.doi.org/10.3389/fneur.2020.00881")</f>
        <v>http://dx.doi.org/10.3389/fneur.2020.00881</v>
      </c>
      <c r="BG1194" t="s">
        <v>74</v>
      </c>
      <c r="BH1194" t="s">
        <v>74</v>
      </c>
      <c r="BI1194" t="s">
        <v>74</v>
      </c>
      <c r="BJ1194" t="s">
        <v>2639</v>
      </c>
      <c r="BK1194" t="s">
        <v>117</v>
      </c>
      <c r="BL1194" t="s">
        <v>653</v>
      </c>
      <c r="BM1194" t="s">
        <v>74</v>
      </c>
      <c r="BN1194">
        <v>32982917</v>
      </c>
      <c r="BO1194" t="s">
        <v>74</v>
      </c>
      <c r="BP1194" t="s">
        <v>74</v>
      </c>
      <c r="BQ1194" t="s">
        <v>74</v>
      </c>
      <c r="BR1194" t="s">
        <v>96</v>
      </c>
      <c r="BS1194" t="s">
        <v>22114</v>
      </c>
      <c r="BT1194" t="str">
        <f>HYPERLINK("https%3A%2F%2Fwww.webofscience.com%2Fwos%2Fwoscc%2Ffull-record%2FWOS:000570377300001","View Full Record in Web of Science")</f>
        <v>View Full Record in Web of Science</v>
      </c>
    </row>
    <row r="1195" spans="1:72" x14ac:dyDescent="0.15">
      <c r="A1195" t="s">
        <v>98</v>
      </c>
      <c r="B1195" t="s">
        <v>22870</v>
      </c>
      <c r="C1195" t="s">
        <v>74</v>
      </c>
      <c r="D1195" t="s">
        <v>74</v>
      </c>
      <c r="E1195" t="s">
        <v>74</v>
      </c>
      <c r="F1195" t="s">
        <v>22871</v>
      </c>
      <c r="G1195" t="s">
        <v>74</v>
      </c>
      <c r="H1195" t="s">
        <v>74</v>
      </c>
      <c r="I1195" t="s">
        <v>22872</v>
      </c>
      <c r="J1195" t="s">
        <v>836</v>
      </c>
      <c r="K1195" t="s">
        <v>74</v>
      </c>
      <c r="L1195" t="s">
        <v>74</v>
      </c>
      <c r="M1195" t="s">
        <v>74</v>
      </c>
      <c r="N1195" t="s">
        <v>103</v>
      </c>
      <c r="O1195" t="s">
        <v>74</v>
      </c>
      <c r="P1195" t="s">
        <v>74</v>
      </c>
      <c r="Q1195" t="s">
        <v>74</v>
      </c>
      <c r="R1195" t="s">
        <v>74</v>
      </c>
      <c r="S1195" t="s">
        <v>74</v>
      </c>
      <c r="T1195" t="s">
        <v>22873</v>
      </c>
      <c r="U1195" t="s">
        <v>22874</v>
      </c>
      <c r="V1195" t="s">
        <v>22875</v>
      </c>
      <c r="W1195" t="s">
        <v>22876</v>
      </c>
      <c r="X1195" t="s">
        <v>22877</v>
      </c>
      <c r="Y1195" t="s">
        <v>22878</v>
      </c>
      <c r="Z1195" t="s">
        <v>22879</v>
      </c>
      <c r="AA1195" t="s">
        <v>22880</v>
      </c>
      <c r="AB1195" t="s">
        <v>22881</v>
      </c>
      <c r="AC1195" t="s">
        <v>74</v>
      </c>
      <c r="AD1195" t="s">
        <v>74</v>
      </c>
      <c r="AE1195" t="s">
        <v>74</v>
      </c>
      <c r="AF1195" t="s">
        <v>74</v>
      </c>
      <c r="AG1195">
        <v>76</v>
      </c>
      <c r="AH1195">
        <v>10</v>
      </c>
      <c r="AI1195">
        <v>10</v>
      </c>
      <c r="AJ1195">
        <v>2</v>
      </c>
      <c r="AK1195">
        <v>11</v>
      </c>
      <c r="AL1195" t="s">
        <v>74</v>
      </c>
      <c r="AM1195" t="s">
        <v>74</v>
      </c>
      <c r="AN1195" t="s">
        <v>74</v>
      </c>
      <c r="AO1195" t="s">
        <v>74</v>
      </c>
      <c r="AP1195" t="s">
        <v>846</v>
      </c>
      <c r="AQ1195" t="s">
        <v>74</v>
      </c>
      <c r="AR1195" t="s">
        <v>74</v>
      </c>
      <c r="AS1195" t="s">
        <v>74</v>
      </c>
      <c r="AT1195" t="s">
        <v>10359</v>
      </c>
      <c r="AU1195">
        <v>2017</v>
      </c>
      <c r="AV1195">
        <v>8</v>
      </c>
      <c r="AW1195">
        <v>5</v>
      </c>
      <c r="AX1195" t="s">
        <v>74</v>
      </c>
      <c r="AY1195" t="s">
        <v>74</v>
      </c>
      <c r="AZ1195" t="s">
        <v>74</v>
      </c>
      <c r="BA1195" t="s">
        <v>74</v>
      </c>
      <c r="BB1195">
        <v>8043</v>
      </c>
      <c r="BC1195">
        <v>8056</v>
      </c>
      <c r="BD1195" t="s">
        <v>74</v>
      </c>
      <c r="BE1195" t="s">
        <v>22882</v>
      </c>
      <c r="BF1195" t="str">
        <f>HYPERLINK("http://dx.doi.org/10.18632/oncotarget.13302","http://dx.doi.org/10.18632/oncotarget.13302")</f>
        <v>http://dx.doi.org/10.18632/oncotarget.13302</v>
      </c>
      <c r="BG1195" t="s">
        <v>74</v>
      </c>
      <c r="BH1195" t="s">
        <v>74</v>
      </c>
      <c r="BI1195" t="s">
        <v>74</v>
      </c>
      <c r="BJ1195" t="s">
        <v>848</v>
      </c>
      <c r="BK1195" t="s">
        <v>117</v>
      </c>
      <c r="BL1195" t="s">
        <v>848</v>
      </c>
      <c r="BM1195" t="s">
        <v>74</v>
      </c>
      <c r="BN1195">
        <v>28009978</v>
      </c>
      <c r="BO1195" t="s">
        <v>74</v>
      </c>
      <c r="BP1195" t="s">
        <v>74</v>
      </c>
      <c r="BQ1195" t="s">
        <v>74</v>
      </c>
      <c r="BR1195" t="s">
        <v>96</v>
      </c>
      <c r="BS1195" t="s">
        <v>22883</v>
      </c>
      <c r="BT1195" t="str">
        <f>HYPERLINK("https%3A%2F%2Fwww.webofscience.com%2Fwos%2Fwoscc%2Ffull-record%2FWOS:000393295500074","View Full Record in Web of Science")</f>
        <v>View Full Record in Web of Science</v>
      </c>
    </row>
    <row r="1196" spans="1:72" x14ac:dyDescent="0.15">
      <c r="A1196" t="s">
        <v>98</v>
      </c>
      <c r="B1196" t="s">
        <v>23020</v>
      </c>
      <c r="C1196" t="s">
        <v>74</v>
      </c>
      <c r="D1196" t="s">
        <v>74</v>
      </c>
      <c r="E1196" t="s">
        <v>74</v>
      </c>
      <c r="F1196" t="s">
        <v>23021</v>
      </c>
      <c r="G1196" t="s">
        <v>74</v>
      </c>
      <c r="H1196" t="s">
        <v>74</v>
      </c>
      <c r="I1196" t="s">
        <v>23022</v>
      </c>
      <c r="J1196" t="s">
        <v>12156</v>
      </c>
      <c r="K1196" t="s">
        <v>74</v>
      </c>
      <c r="L1196" t="s">
        <v>74</v>
      </c>
      <c r="M1196" t="s">
        <v>74</v>
      </c>
      <c r="N1196" t="s">
        <v>103</v>
      </c>
      <c r="O1196" t="s">
        <v>74</v>
      </c>
      <c r="P1196" t="s">
        <v>74</v>
      </c>
      <c r="Q1196" t="s">
        <v>74</v>
      </c>
      <c r="R1196" t="s">
        <v>74</v>
      </c>
      <c r="S1196" t="s">
        <v>74</v>
      </c>
      <c r="T1196" t="s">
        <v>23023</v>
      </c>
      <c r="U1196" t="s">
        <v>23024</v>
      </c>
      <c r="V1196" t="s">
        <v>23025</v>
      </c>
      <c r="W1196" t="s">
        <v>23026</v>
      </c>
      <c r="X1196" t="s">
        <v>6032</v>
      </c>
      <c r="Y1196" t="s">
        <v>23027</v>
      </c>
      <c r="Z1196" t="s">
        <v>23028</v>
      </c>
      <c r="AA1196" t="s">
        <v>74</v>
      </c>
      <c r="AB1196" t="s">
        <v>74</v>
      </c>
      <c r="AC1196" t="s">
        <v>74</v>
      </c>
      <c r="AD1196" t="s">
        <v>74</v>
      </c>
      <c r="AE1196" t="s">
        <v>74</v>
      </c>
      <c r="AF1196" t="s">
        <v>74</v>
      </c>
      <c r="AG1196">
        <v>50</v>
      </c>
      <c r="AH1196">
        <v>10</v>
      </c>
      <c r="AI1196">
        <v>10</v>
      </c>
      <c r="AJ1196">
        <v>1</v>
      </c>
      <c r="AK1196">
        <v>13</v>
      </c>
      <c r="AL1196" t="s">
        <v>74</v>
      </c>
      <c r="AM1196" t="s">
        <v>74</v>
      </c>
      <c r="AN1196" t="s">
        <v>74</v>
      </c>
      <c r="AO1196" t="s">
        <v>12164</v>
      </c>
      <c r="AP1196" t="s">
        <v>12165</v>
      </c>
      <c r="AQ1196" t="s">
        <v>74</v>
      </c>
      <c r="AR1196" t="s">
        <v>74</v>
      </c>
      <c r="AS1196" t="s">
        <v>74</v>
      </c>
      <c r="AT1196" t="s">
        <v>3660</v>
      </c>
      <c r="AU1196">
        <v>2018</v>
      </c>
      <c r="AV1196">
        <v>363</v>
      </c>
      <c r="AW1196">
        <v>2</v>
      </c>
      <c r="AX1196" t="s">
        <v>74</v>
      </c>
      <c r="AY1196" t="s">
        <v>74</v>
      </c>
      <c r="AZ1196" t="s">
        <v>74</v>
      </c>
      <c r="BA1196" t="s">
        <v>74</v>
      </c>
      <c r="BB1196">
        <v>151</v>
      </c>
      <c r="BC1196">
        <v>159</v>
      </c>
      <c r="BD1196" t="s">
        <v>74</v>
      </c>
      <c r="BE1196" t="s">
        <v>23029</v>
      </c>
      <c r="BF1196" t="str">
        <f>HYPERLINK("http://dx.doi.org/10.1016/j.yexcr.2017.12.024","http://dx.doi.org/10.1016/j.yexcr.2017.12.024")</f>
        <v>http://dx.doi.org/10.1016/j.yexcr.2017.12.024</v>
      </c>
      <c r="BG1196" t="s">
        <v>74</v>
      </c>
      <c r="BH1196" t="s">
        <v>74</v>
      </c>
      <c r="BI1196" t="s">
        <v>74</v>
      </c>
      <c r="BJ1196" t="s">
        <v>848</v>
      </c>
      <c r="BK1196" t="s">
        <v>117</v>
      </c>
      <c r="BL1196" t="s">
        <v>848</v>
      </c>
      <c r="BM1196" t="s">
        <v>74</v>
      </c>
      <c r="BN1196">
        <v>29291399</v>
      </c>
      <c r="BO1196" t="s">
        <v>74</v>
      </c>
      <c r="BP1196" t="s">
        <v>74</v>
      </c>
      <c r="BQ1196" t="s">
        <v>74</v>
      </c>
      <c r="BR1196" t="s">
        <v>96</v>
      </c>
      <c r="BS1196" t="s">
        <v>23030</v>
      </c>
      <c r="BT1196" t="str">
        <f>HYPERLINK("https%3A%2F%2Fwww.webofscience.com%2Fwos%2Fwoscc%2Ffull-record%2FWOS:000428834400002","View Full Record in Web of Science")</f>
        <v>View Full Record in Web of Science</v>
      </c>
    </row>
    <row r="1197" spans="1:72" x14ac:dyDescent="0.15">
      <c r="A1197" t="s">
        <v>98</v>
      </c>
      <c r="B1197" t="s">
        <v>23459</v>
      </c>
      <c r="C1197" t="s">
        <v>74</v>
      </c>
      <c r="D1197" t="s">
        <v>74</v>
      </c>
      <c r="E1197" t="s">
        <v>74</v>
      </c>
      <c r="F1197" t="s">
        <v>23460</v>
      </c>
      <c r="G1197" t="s">
        <v>74</v>
      </c>
      <c r="H1197" t="s">
        <v>74</v>
      </c>
      <c r="I1197" t="s">
        <v>23461</v>
      </c>
      <c r="J1197" t="s">
        <v>1073</v>
      </c>
      <c r="K1197" t="s">
        <v>74</v>
      </c>
      <c r="L1197" t="s">
        <v>74</v>
      </c>
      <c r="M1197" t="s">
        <v>74</v>
      </c>
      <c r="N1197" t="s">
        <v>103</v>
      </c>
      <c r="O1197" t="s">
        <v>74</v>
      </c>
      <c r="P1197" t="s">
        <v>74</v>
      </c>
      <c r="Q1197" t="s">
        <v>74</v>
      </c>
      <c r="R1197" t="s">
        <v>74</v>
      </c>
      <c r="S1197" t="s">
        <v>74</v>
      </c>
      <c r="T1197" t="s">
        <v>74</v>
      </c>
      <c r="U1197" t="s">
        <v>23462</v>
      </c>
      <c r="V1197" t="s">
        <v>23463</v>
      </c>
      <c r="W1197" t="s">
        <v>23464</v>
      </c>
      <c r="X1197" t="s">
        <v>23465</v>
      </c>
      <c r="Y1197" t="s">
        <v>23466</v>
      </c>
      <c r="Z1197" t="s">
        <v>23467</v>
      </c>
      <c r="AA1197" t="s">
        <v>74</v>
      </c>
      <c r="AB1197" t="s">
        <v>23468</v>
      </c>
      <c r="AC1197" t="s">
        <v>74</v>
      </c>
      <c r="AD1197" t="s">
        <v>74</v>
      </c>
      <c r="AE1197" t="s">
        <v>74</v>
      </c>
      <c r="AF1197" t="s">
        <v>74</v>
      </c>
      <c r="AG1197">
        <v>36</v>
      </c>
      <c r="AH1197">
        <v>10</v>
      </c>
      <c r="AI1197">
        <v>10</v>
      </c>
      <c r="AJ1197">
        <v>5</v>
      </c>
      <c r="AK1197">
        <v>10</v>
      </c>
      <c r="AL1197" t="s">
        <v>74</v>
      </c>
      <c r="AM1197" t="s">
        <v>74</v>
      </c>
      <c r="AN1197" t="s">
        <v>74</v>
      </c>
      <c r="AO1197" t="s">
        <v>1082</v>
      </c>
      <c r="AP1197" t="s">
        <v>74</v>
      </c>
      <c r="AQ1197" t="s">
        <v>74</v>
      </c>
      <c r="AR1197" t="s">
        <v>74</v>
      </c>
      <c r="AS1197" t="s">
        <v>74</v>
      </c>
      <c r="AT1197" t="s">
        <v>23469</v>
      </c>
      <c r="AU1197">
        <v>2020</v>
      </c>
      <c r="AV1197">
        <v>15</v>
      </c>
      <c r="AW1197">
        <v>9</v>
      </c>
      <c r="AX1197" t="s">
        <v>74</v>
      </c>
      <c r="AY1197" t="s">
        <v>74</v>
      </c>
      <c r="AZ1197" t="s">
        <v>74</v>
      </c>
      <c r="BA1197" t="s">
        <v>74</v>
      </c>
      <c r="BB1197" t="s">
        <v>74</v>
      </c>
      <c r="BC1197" t="s">
        <v>74</v>
      </c>
      <c r="BD1197" t="s">
        <v>23470</v>
      </c>
      <c r="BE1197" t="s">
        <v>23471</v>
      </c>
      <c r="BF1197" t="str">
        <f>HYPERLINK("http://dx.doi.org/10.1371/journal.pone.0236611","http://dx.doi.org/10.1371/journal.pone.0236611")</f>
        <v>http://dx.doi.org/10.1371/journal.pone.0236611</v>
      </c>
      <c r="BG1197" t="s">
        <v>74</v>
      </c>
      <c r="BH1197" t="s">
        <v>74</v>
      </c>
      <c r="BI1197" t="s">
        <v>74</v>
      </c>
      <c r="BJ1197" t="s">
        <v>152</v>
      </c>
      <c r="BK1197" t="s">
        <v>117</v>
      </c>
      <c r="BL1197" t="s">
        <v>153</v>
      </c>
      <c r="BM1197" t="s">
        <v>74</v>
      </c>
      <c r="BN1197">
        <v>32941446</v>
      </c>
      <c r="BO1197" t="s">
        <v>74</v>
      </c>
      <c r="BP1197" t="s">
        <v>74</v>
      </c>
      <c r="BQ1197" t="s">
        <v>74</v>
      </c>
      <c r="BR1197" t="s">
        <v>96</v>
      </c>
      <c r="BS1197" t="s">
        <v>23472</v>
      </c>
      <c r="BT1197" t="str">
        <f>HYPERLINK("https%3A%2F%2Fwww.webofscience.com%2Fwos%2Fwoscc%2Ffull-record%2FWOS:000573848800012","View Full Record in Web of Science")</f>
        <v>View Full Record in Web of Science</v>
      </c>
    </row>
    <row r="1198" spans="1:72" x14ac:dyDescent="0.15">
      <c r="A1198" t="s">
        <v>98</v>
      </c>
      <c r="B1198" t="s">
        <v>24258</v>
      </c>
      <c r="C1198" t="s">
        <v>74</v>
      </c>
      <c r="D1198" t="s">
        <v>74</v>
      </c>
      <c r="E1198" t="s">
        <v>74</v>
      </c>
      <c r="F1198" t="s">
        <v>24259</v>
      </c>
      <c r="G1198" t="s">
        <v>74</v>
      </c>
      <c r="H1198" t="s">
        <v>74</v>
      </c>
      <c r="I1198" t="s">
        <v>24260</v>
      </c>
      <c r="J1198" t="s">
        <v>24261</v>
      </c>
      <c r="K1198" t="s">
        <v>74</v>
      </c>
      <c r="L1198" t="s">
        <v>74</v>
      </c>
      <c r="M1198" t="s">
        <v>74</v>
      </c>
      <c r="N1198" t="s">
        <v>103</v>
      </c>
      <c r="O1198" t="s">
        <v>74</v>
      </c>
      <c r="P1198" t="s">
        <v>74</v>
      </c>
      <c r="Q1198" t="s">
        <v>74</v>
      </c>
      <c r="R1198" t="s">
        <v>74</v>
      </c>
      <c r="S1198" t="s">
        <v>74</v>
      </c>
      <c r="T1198" t="s">
        <v>24262</v>
      </c>
      <c r="U1198" t="s">
        <v>24263</v>
      </c>
      <c r="V1198" t="s">
        <v>24264</v>
      </c>
      <c r="W1198" t="s">
        <v>24265</v>
      </c>
      <c r="X1198" t="s">
        <v>24266</v>
      </c>
      <c r="Y1198" t="s">
        <v>24267</v>
      </c>
      <c r="Z1198" t="s">
        <v>24268</v>
      </c>
      <c r="AA1198" t="s">
        <v>74</v>
      </c>
      <c r="AB1198" t="s">
        <v>24269</v>
      </c>
      <c r="AC1198" t="s">
        <v>74</v>
      </c>
      <c r="AD1198" t="s">
        <v>74</v>
      </c>
      <c r="AE1198" t="s">
        <v>74</v>
      </c>
      <c r="AF1198" t="s">
        <v>74</v>
      </c>
      <c r="AG1198">
        <v>41</v>
      </c>
      <c r="AH1198">
        <v>10</v>
      </c>
      <c r="AI1198">
        <v>10</v>
      </c>
      <c r="AJ1198">
        <v>0</v>
      </c>
      <c r="AK1198">
        <v>21</v>
      </c>
      <c r="AL1198" t="s">
        <v>74</v>
      </c>
      <c r="AM1198" t="s">
        <v>74</v>
      </c>
      <c r="AN1198" t="s">
        <v>74</v>
      </c>
      <c r="AO1198" t="s">
        <v>24270</v>
      </c>
      <c r="AP1198" t="s">
        <v>24271</v>
      </c>
      <c r="AQ1198" t="s">
        <v>74</v>
      </c>
      <c r="AR1198" t="s">
        <v>74</v>
      </c>
      <c r="AS1198" t="s">
        <v>74</v>
      </c>
      <c r="AT1198" t="s">
        <v>211</v>
      </c>
      <c r="AU1198">
        <v>2015</v>
      </c>
      <c r="AV1198">
        <v>218</v>
      </c>
      <c r="AW1198">
        <v>21</v>
      </c>
      <c r="AX1198" t="s">
        <v>74</v>
      </c>
      <c r="AY1198" t="s">
        <v>74</v>
      </c>
      <c r="AZ1198" t="s">
        <v>74</v>
      </c>
      <c r="BA1198" t="s">
        <v>74</v>
      </c>
      <c r="BB1198">
        <v>3368</v>
      </c>
      <c r="BC1198">
        <v>3373</v>
      </c>
      <c r="BD1198" t="s">
        <v>74</v>
      </c>
      <c r="BE1198" t="s">
        <v>24272</v>
      </c>
      <c r="BF1198" t="str">
        <f>HYPERLINK("http://dx.doi.org/10.1242/jeb.125922","http://dx.doi.org/10.1242/jeb.125922")</f>
        <v>http://dx.doi.org/10.1242/jeb.125922</v>
      </c>
      <c r="BG1198" t="s">
        <v>74</v>
      </c>
      <c r="BH1198" t="s">
        <v>74</v>
      </c>
      <c r="BI1198" t="s">
        <v>74</v>
      </c>
      <c r="BJ1198" t="s">
        <v>1643</v>
      </c>
      <c r="BK1198" t="s">
        <v>117</v>
      </c>
      <c r="BL1198" t="s">
        <v>1644</v>
      </c>
      <c r="BM1198" t="s">
        <v>74</v>
      </c>
      <c r="BN1198">
        <v>26347561</v>
      </c>
      <c r="BO1198" t="s">
        <v>74</v>
      </c>
      <c r="BP1198" t="s">
        <v>74</v>
      </c>
      <c r="BQ1198" t="s">
        <v>74</v>
      </c>
      <c r="BR1198" t="s">
        <v>96</v>
      </c>
      <c r="BS1198" t="s">
        <v>24273</v>
      </c>
      <c r="BT1198" t="str">
        <f>HYPERLINK("https%3A%2F%2Fwww.webofscience.com%2Fwos%2Fwoscc%2Ffull-record%2FWOS:000364791100013","View Full Record in Web of Science")</f>
        <v>View Full Record in Web of Science</v>
      </c>
    </row>
    <row r="1199" spans="1:72" x14ac:dyDescent="0.15">
      <c r="A1199" t="s">
        <v>72</v>
      </c>
      <c r="B1199" t="s">
        <v>25875</v>
      </c>
      <c r="C1199" t="s">
        <v>74</v>
      </c>
      <c r="D1199" t="s">
        <v>25876</v>
      </c>
      <c r="E1199" t="s">
        <v>74</v>
      </c>
      <c r="F1199" t="s">
        <v>25877</v>
      </c>
      <c r="G1199" t="s">
        <v>74</v>
      </c>
      <c r="H1199" t="s">
        <v>74</v>
      </c>
      <c r="I1199" t="s">
        <v>25878</v>
      </c>
      <c r="J1199" t="s">
        <v>25879</v>
      </c>
      <c r="K1199" t="s">
        <v>25880</v>
      </c>
      <c r="L1199" t="s">
        <v>74</v>
      </c>
      <c r="M1199" t="s">
        <v>74</v>
      </c>
      <c r="N1199" t="s">
        <v>80</v>
      </c>
      <c r="O1199" t="s">
        <v>74</v>
      </c>
      <c r="P1199" t="s">
        <v>74</v>
      </c>
      <c r="Q1199" t="s">
        <v>74</v>
      </c>
      <c r="R1199" t="s">
        <v>74</v>
      </c>
      <c r="S1199" t="s">
        <v>74</v>
      </c>
      <c r="T1199" t="s">
        <v>74</v>
      </c>
      <c r="U1199" t="s">
        <v>25881</v>
      </c>
      <c r="V1199" t="s">
        <v>25882</v>
      </c>
      <c r="W1199" t="s">
        <v>25883</v>
      </c>
      <c r="X1199" t="s">
        <v>25884</v>
      </c>
      <c r="Y1199" t="s">
        <v>25885</v>
      </c>
      <c r="Z1199" t="s">
        <v>25886</v>
      </c>
      <c r="AA1199" t="s">
        <v>74</v>
      </c>
      <c r="AB1199" t="s">
        <v>25887</v>
      </c>
      <c r="AC1199" t="s">
        <v>74</v>
      </c>
      <c r="AD1199" t="s">
        <v>74</v>
      </c>
      <c r="AE1199" t="s">
        <v>74</v>
      </c>
      <c r="AF1199" t="s">
        <v>74</v>
      </c>
      <c r="AG1199">
        <v>231</v>
      </c>
      <c r="AH1199">
        <v>10</v>
      </c>
      <c r="AI1199">
        <v>12</v>
      </c>
      <c r="AJ1199">
        <v>0</v>
      </c>
      <c r="AK1199">
        <v>3</v>
      </c>
      <c r="AL1199" t="s">
        <v>74</v>
      </c>
      <c r="AM1199" t="s">
        <v>74</v>
      </c>
      <c r="AN1199" t="s">
        <v>74</v>
      </c>
      <c r="AO1199" t="s">
        <v>25888</v>
      </c>
      <c r="AP1199" t="s">
        <v>74</v>
      </c>
      <c r="AQ1199" t="s">
        <v>25889</v>
      </c>
      <c r="AR1199" t="s">
        <v>74</v>
      </c>
      <c r="AS1199" t="s">
        <v>74</v>
      </c>
      <c r="AT1199" t="s">
        <v>74</v>
      </c>
      <c r="AU1199">
        <v>2018</v>
      </c>
      <c r="AV1199">
        <v>146</v>
      </c>
      <c r="AW1199" t="s">
        <v>74</v>
      </c>
      <c r="AX1199" t="s">
        <v>74</v>
      </c>
      <c r="AY1199" t="s">
        <v>74</v>
      </c>
      <c r="AZ1199" t="s">
        <v>74</v>
      </c>
      <c r="BA1199" t="s">
        <v>74</v>
      </c>
      <c r="BB1199">
        <v>139</v>
      </c>
      <c r="BC1199">
        <v>169</v>
      </c>
      <c r="BD1199" t="s">
        <v>74</v>
      </c>
      <c r="BE1199" t="s">
        <v>25890</v>
      </c>
      <c r="BF1199" t="str">
        <f>HYPERLINK("http://dx.doi.org/10.1016/B978-0-12-804279-3.00010-1","http://dx.doi.org/10.1016/B978-0-12-804279-3.00010-1")</f>
        <v>http://dx.doi.org/10.1016/B978-0-12-804279-3.00010-1</v>
      </c>
      <c r="BG1199" t="s">
        <v>74</v>
      </c>
      <c r="BH1199" t="s">
        <v>74</v>
      </c>
      <c r="BI1199" t="s">
        <v>74</v>
      </c>
      <c r="BJ1199" t="s">
        <v>19656</v>
      </c>
      <c r="BK1199" t="s">
        <v>94</v>
      </c>
      <c r="BL1199" t="s">
        <v>653</v>
      </c>
      <c r="BM1199" t="s">
        <v>74</v>
      </c>
      <c r="BN1199">
        <v>29110768</v>
      </c>
      <c r="BO1199" t="s">
        <v>74</v>
      </c>
      <c r="BP1199" t="s">
        <v>74</v>
      </c>
      <c r="BQ1199" t="s">
        <v>74</v>
      </c>
      <c r="BR1199" t="s">
        <v>96</v>
      </c>
      <c r="BS1199" t="s">
        <v>25891</v>
      </c>
      <c r="BT1199" t="str">
        <f>HYPERLINK("https%3A%2F%2Fwww.webofscience.com%2Fwos%2Fwoscc%2Ffull-record%2FWOS:000472710600012","View Full Record in Web of Science")</f>
        <v>View Full Record in Web of Science</v>
      </c>
    </row>
    <row r="1200" spans="1:72" x14ac:dyDescent="0.15">
      <c r="A1200" t="s">
        <v>98</v>
      </c>
      <c r="B1200" t="s">
        <v>26269</v>
      </c>
      <c r="C1200" t="s">
        <v>74</v>
      </c>
      <c r="D1200" t="s">
        <v>74</v>
      </c>
      <c r="E1200" t="s">
        <v>74</v>
      </c>
      <c r="F1200" t="s">
        <v>26270</v>
      </c>
      <c r="G1200" t="s">
        <v>74</v>
      </c>
      <c r="H1200" t="s">
        <v>74</v>
      </c>
      <c r="I1200" t="s">
        <v>26271</v>
      </c>
      <c r="J1200" t="s">
        <v>1053</v>
      </c>
      <c r="K1200" t="s">
        <v>74</v>
      </c>
      <c r="L1200" t="s">
        <v>74</v>
      </c>
      <c r="M1200" t="s">
        <v>74</v>
      </c>
      <c r="N1200" t="s">
        <v>103</v>
      </c>
      <c r="O1200" t="s">
        <v>74</v>
      </c>
      <c r="P1200" t="s">
        <v>74</v>
      </c>
      <c r="Q1200" t="s">
        <v>74</v>
      </c>
      <c r="R1200" t="s">
        <v>74</v>
      </c>
      <c r="S1200" t="s">
        <v>74</v>
      </c>
      <c r="T1200" t="s">
        <v>26272</v>
      </c>
      <c r="U1200" t="s">
        <v>26273</v>
      </c>
      <c r="V1200" t="s">
        <v>26274</v>
      </c>
      <c r="W1200" t="s">
        <v>26275</v>
      </c>
      <c r="X1200" t="s">
        <v>26276</v>
      </c>
      <c r="Y1200" t="s">
        <v>26277</v>
      </c>
      <c r="Z1200" t="s">
        <v>26278</v>
      </c>
      <c r="AA1200" t="s">
        <v>26279</v>
      </c>
      <c r="AB1200" t="s">
        <v>26280</v>
      </c>
      <c r="AC1200" t="s">
        <v>74</v>
      </c>
      <c r="AD1200" t="s">
        <v>74</v>
      </c>
      <c r="AE1200" t="s">
        <v>74</v>
      </c>
      <c r="AF1200" t="s">
        <v>74</v>
      </c>
      <c r="AG1200">
        <v>29</v>
      </c>
      <c r="AH1200">
        <v>10</v>
      </c>
      <c r="AI1200">
        <v>10</v>
      </c>
      <c r="AJ1200">
        <v>1</v>
      </c>
      <c r="AK1200">
        <v>3</v>
      </c>
      <c r="AL1200" t="s">
        <v>74</v>
      </c>
      <c r="AM1200" t="s">
        <v>74</v>
      </c>
      <c r="AN1200" t="s">
        <v>74</v>
      </c>
      <c r="AO1200" t="s">
        <v>1063</v>
      </c>
      <c r="AP1200" t="s">
        <v>1064</v>
      </c>
      <c r="AQ1200" t="s">
        <v>74</v>
      </c>
      <c r="AR1200" t="s">
        <v>74</v>
      </c>
      <c r="AS1200" t="s">
        <v>74</v>
      </c>
      <c r="AT1200" t="s">
        <v>211</v>
      </c>
      <c r="AU1200">
        <v>2012</v>
      </c>
      <c r="AV1200">
        <v>26</v>
      </c>
      <c r="AW1200">
        <v>11</v>
      </c>
      <c r="AX1200" t="s">
        <v>74</v>
      </c>
      <c r="AY1200" t="s">
        <v>74</v>
      </c>
      <c r="AZ1200" t="s">
        <v>74</v>
      </c>
      <c r="BA1200" t="s">
        <v>74</v>
      </c>
      <c r="BB1200">
        <v>4662</v>
      </c>
      <c r="BC1200">
        <v>4674</v>
      </c>
      <c r="BD1200" t="s">
        <v>74</v>
      </c>
      <c r="BE1200" t="s">
        <v>26281</v>
      </c>
      <c r="BF1200" t="str">
        <f>HYPERLINK("http://dx.doi.org/10.1096/fj.12-207530","http://dx.doi.org/10.1096/fj.12-207530")</f>
        <v>http://dx.doi.org/10.1096/fj.12-207530</v>
      </c>
      <c r="BG1200" t="s">
        <v>74</v>
      </c>
      <c r="BH1200" t="s">
        <v>74</v>
      </c>
      <c r="BI1200" t="s">
        <v>74</v>
      </c>
      <c r="BJ1200" t="s">
        <v>1067</v>
      </c>
      <c r="BK1200" t="s">
        <v>117</v>
      </c>
      <c r="BL1200" t="s">
        <v>1068</v>
      </c>
      <c r="BM1200" t="s">
        <v>74</v>
      </c>
      <c r="BN1200">
        <v>22874834</v>
      </c>
      <c r="BO1200" t="s">
        <v>74</v>
      </c>
      <c r="BP1200" t="s">
        <v>74</v>
      </c>
      <c r="BQ1200" t="s">
        <v>74</v>
      </c>
      <c r="BR1200" t="s">
        <v>96</v>
      </c>
      <c r="BS1200" t="s">
        <v>26282</v>
      </c>
      <c r="BT1200" t="str">
        <f>HYPERLINK("https%3A%2F%2Fwww.webofscience.com%2Fwos%2Fwoscc%2Ffull-record%2FWOS:000310574200027","View Full Record in Web of Science")</f>
        <v>View Full Record in Web of Science</v>
      </c>
    </row>
    <row r="1201" spans="1:72" x14ac:dyDescent="0.15">
      <c r="A1201" t="s">
        <v>98</v>
      </c>
      <c r="B1201" t="s">
        <v>26540</v>
      </c>
      <c r="C1201" t="s">
        <v>74</v>
      </c>
      <c r="D1201" t="s">
        <v>74</v>
      </c>
      <c r="E1201" t="s">
        <v>74</v>
      </c>
      <c r="F1201" t="s">
        <v>26541</v>
      </c>
      <c r="G1201" t="s">
        <v>74</v>
      </c>
      <c r="H1201" t="s">
        <v>74</v>
      </c>
      <c r="I1201" t="s">
        <v>26542</v>
      </c>
      <c r="J1201" t="s">
        <v>21592</v>
      </c>
      <c r="K1201" t="s">
        <v>74</v>
      </c>
      <c r="L1201" t="s">
        <v>74</v>
      </c>
      <c r="M1201" t="s">
        <v>74</v>
      </c>
      <c r="N1201" t="s">
        <v>103</v>
      </c>
      <c r="O1201" t="s">
        <v>74</v>
      </c>
      <c r="P1201" t="s">
        <v>74</v>
      </c>
      <c r="Q1201" t="s">
        <v>74</v>
      </c>
      <c r="R1201" t="s">
        <v>74</v>
      </c>
      <c r="S1201" t="s">
        <v>74</v>
      </c>
      <c r="T1201" t="s">
        <v>26543</v>
      </c>
      <c r="U1201" t="s">
        <v>26544</v>
      </c>
      <c r="V1201" t="s">
        <v>26545</v>
      </c>
      <c r="W1201" t="s">
        <v>26546</v>
      </c>
      <c r="X1201" t="s">
        <v>26547</v>
      </c>
      <c r="Y1201" t="s">
        <v>26548</v>
      </c>
      <c r="Z1201" t="s">
        <v>21599</v>
      </c>
      <c r="AA1201" t="s">
        <v>26549</v>
      </c>
      <c r="AB1201" t="s">
        <v>21601</v>
      </c>
      <c r="AC1201" t="s">
        <v>74</v>
      </c>
      <c r="AD1201" t="s">
        <v>74</v>
      </c>
      <c r="AE1201" t="s">
        <v>74</v>
      </c>
      <c r="AF1201" t="s">
        <v>74</v>
      </c>
      <c r="AG1201">
        <v>48</v>
      </c>
      <c r="AH1201">
        <v>10</v>
      </c>
      <c r="AI1201">
        <v>10</v>
      </c>
      <c r="AJ1201">
        <v>0</v>
      </c>
      <c r="AK1201">
        <v>2</v>
      </c>
      <c r="AL1201" t="s">
        <v>74</v>
      </c>
      <c r="AM1201" t="s">
        <v>74</v>
      </c>
      <c r="AN1201" t="s">
        <v>74</v>
      </c>
      <c r="AO1201" t="s">
        <v>21602</v>
      </c>
      <c r="AP1201" t="s">
        <v>74</v>
      </c>
      <c r="AQ1201" t="s">
        <v>74</v>
      </c>
      <c r="AR1201" t="s">
        <v>74</v>
      </c>
      <c r="AS1201" t="s">
        <v>74</v>
      </c>
      <c r="AT1201" t="s">
        <v>74</v>
      </c>
      <c r="AU1201">
        <v>2015</v>
      </c>
      <c r="AV1201">
        <v>56</v>
      </c>
      <c r="AW1201">
        <v>4</v>
      </c>
      <c r="AX1201" t="s">
        <v>74</v>
      </c>
      <c r="AY1201" t="s">
        <v>74</v>
      </c>
      <c r="AZ1201" t="s">
        <v>74</v>
      </c>
      <c r="BA1201" t="s">
        <v>74</v>
      </c>
      <c r="BB1201">
        <v>1371</v>
      </c>
      <c r="BC1201">
        <v>1381</v>
      </c>
      <c r="BD1201" t="s">
        <v>74</v>
      </c>
      <c r="BE1201" t="s">
        <v>74</v>
      </c>
      <c r="BF1201" t="s">
        <v>74</v>
      </c>
      <c r="BG1201" t="s">
        <v>74</v>
      </c>
      <c r="BH1201" t="s">
        <v>74</v>
      </c>
      <c r="BI1201" t="s">
        <v>74</v>
      </c>
      <c r="BJ1201" t="s">
        <v>2083</v>
      </c>
      <c r="BK1201" t="s">
        <v>117</v>
      </c>
      <c r="BL1201" t="s">
        <v>2083</v>
      </c>
      <c r="BM1201" t="s">
        <v>74</v>
      </c>
      <c r="BN1201">
        <v>26743283</v>
      </c>
      <c r="BO1201" t="s">
        <v>74</v>
      </c>
      <c r="BP1201" t="s">
        <v>74</v>
      </c>
      <c r="BQ1201" t="s">
        <v>74</v>
      </c>
      <c r="BR1201" t="s">
        <v>96</v>
      </c>
      <c r="BS1201" t="s">
        <v>26550</v>
      </c>
      <c r="BT1201" t="str">
        <f>HYPERLINK("https%3A%2F%2Fwww.webofscience.com%2Fwos%2Fwoscc%2Ffull-record%2FWOS:000368382400016","View Full Record in Web of Science")</f>
        <v>View Full Record in Web of Science</v>
      </c>
    </row>
    <row r="1202" spans="1:72" x14ac:dyDescent="0.15">
      <c r="A1202" t="s">
        <v>98</v>
      </c>
      <c r="B1202" t="s">
        <v>26730</v>
      </c>
      <c r="C1202" t="s">
        <v>74</v>
      </c>
      <c r="D1202" t="s">
        <v>74</v>
      </c>
      <c r="E1202" t="s">
        <v>74</v>
      </c>
      <c r="F1202" t="s">
        <v>26731</v>
      </c>
      <c r="G1202" t="s">
        <v>74</v>
      </c>
      <c r="H1202" t="s">
        <v>74</v>
      </c>
      <c r="I1202" t="s">
        <v>26732</v>
      </c>
      <c r="J1202" t="s">
        <v>6426</v>
      </c>
      <c r="K1202" t="s">
        <v>74</v>
      </c>
      <c r="L1202" t="s">
        <v>74</v>
      </c>
      <c r="M1202" t="s">
        <v>74</v>
      </c>
      <c r="N1202" t="s">
        <v>103</v>
      </c>
      <c r="O1202" t="s">
        <v>74</v>
      </c>
      <c r="P1202" t="s">
        <v>74</v>
      </c>
      <c r="Q1202" t="s">
        <v>74</v>
      </c>
      <c r="R1202" t="s">
        <v>74</v>
      </c>
      <c r="S1202" t="s">
        <v>74</v>
      </c>
      <c r="T1202" t="s">
        <v>26733</v>
      </c>
      <c r="U1202" t="s">
        <v>26734</v>
      </c>
      <c r="V1202" t="s">
        <v>26735</v>
      </c>
      <c r="W1202" t="s">
        <v>26736</v>
      </c>
      <c r="X1202" t="s">
        <v>26737</v>
      </c>
      <c r="Y1202" t="s">
        <v>26738</v>
      </c>
      <c r="Z1202" t="s">
        <v>26739</v>
      </c>
      <c r="AA1202" t="s">
        <v>74</v>
      </c>
      <c r="AB1202" t="s">
        <v>74</v>
      </c>
      <c r="AC1202" t="s">
        <v>74</v>
      </c>
      <c r="AD1202" t="s">
        <v>74</v>
      </c>
      <c r="AE1202" t="s">
        <v>74</v>
      </c>
      <c r="AF1202" t="s">
        <v>74</v>
      </c>
      <c r="AG1202">
        <v>68</v>
      </c>
      <c r="AH1202">
        <v>10</v>
      </c>
      <c r="AI1202">
        <v>10</v>
      </c>
      <c r="AJ1202">
        <v>5</v>
      </c>
      <c r="AK1202">
        <v>50</v>
      </c>
      <c r="AL1202" t="s">
        <v>74</v>
      </c>
      <c r="AM1202" t="s">
        <v>74</v>
      </c>
      <c r="AN1202" t="s">
        <v>74</v>
      </c>
      <c r="AO1202" t="s">
        <v>6433</v>
      </c>
      <c r="AP1202" t="s">
        <v>6434</v>
      </c>
      <c r="AQ1202" t="s">
        <v>74</v>
      </c>
      <c r="AR1202" t="s">
        <v>74</v>
      </c>
      <c r="AS1202" t="s">
        <v>74</v>
      </c>
      <c r="AT1202" t="s">
        <v>614</v>
      </c>
      <c r="AU1202">
        <v>2019</v>
      </c>
      <c r="AV1202">
        <v>411</v>
      </c>
      <c r="AW1202">
        <v>19</v>
      </c>
      <c r="AX1202" t="s">
        <v>74</v>
      </c>
      <c r="AY1202" t="s">
        <v>74</v>
      </c>
      <c r="AZ1202" t="s">
        <v>447</v>
      </c>
      <c r="BA1202" t="s">
        <v>74</v>
      </c>
      <c r="BB1202">
        <v>4251</v>
      </c>
      <c r="BC1202">
        <v>4264</v>
      </c>
      <c r="BD1202" t="s">
        <v>74</v>
      </c>
      <c r="BE1202" t="s">
        <v>26740</v>
      </c>
      <c r="BF1202" t="str">
        <f>HYPERLINK("http://dx.doi.org/10.1007/s00216-019-01589-5","http://dx.doi.org/10.1007/s00216-019-01589-5")</f>
        <v>http://dx.doi.org/10.1007/s00216-019-01589-5</v>
      </c>
      <c r="BG1202" t="s">
        <v>74</v>
      </c>
      <c r="BH1202" t="s">
        <v>74</v>
      </c>
      <c r="BI1202" t="s">
        <v>74</v>
      </c>
      <c r="BJ1202" t="s">
        <v>1939</v>
      </c>
      <c r="BK1202" t="s">
        <v>117</v>
      </c>
      <c r="BL1202" t="s">
        <v>831</v>
      </c>
      <c r="BM1202" t="s">
        <v>74</v>
      </c>
      <c r="BN1202">
        <v>30706075</v>
      </c>
      <c r="BO1202" t="s">
        <v>74</v>
      </c>
      <c r="BP1202" t="s">
        <v>74</v>
      </c>
      <c r="BQ1202" t="s">
        <v>74</v>
      </c>
      <c r="BR1202" t="s">
        <v>96</v>
      </c>
      <c r="BS1202" t="s">
        <v>26741</v>
      </c>
      <c r="BT1202" t="str">
        <f>HYPERLINK("https%3A%2F%2Fwww.webofscience.com%2Fwos%2Fwoscc%2Ffull-record%2FWOS:000474354500001","View Full Record in Web of Science")</f>
        <v>View Full Record in Web of Science</v>
      </c>
    </row>
    <row r="1203" spans="1:72" x14ac:dyDescent="0.15">
      <c r="A1203" t="s">
        <v>98</v>
      </c>
      <c r="B1203" t="s">
        <v>27926</v>
      </c>
      <c r="C1203" t="s">
        <v>74</v>
      </c>
      <c r="D1203" t="s">
        <v>74</v>
      </c>
      <c r="E1203" t="s">
        <v>74</v>
      </c>
      <c r="F1203" t="s">
        <v>27927</v>
      </c>
      <c r="G1203" t="s">
        <v>74</v>
      </c>
      <c r="H1203" t="s">
        <v>74</v>
      </c>
      <c r="I1203" t="s">
        <v>27928</v>
      </c>
      <c r="J1203" t="s">
        <v>27929</v>
      </c>
      <c r="K1203" t="s">
        <v>74</v>
      </c>
      <c r="L1203" t="s">
        <v>74</v>
      </c>
      <c r="M1203" t="s">
        <v>74</v>
      </c>
      <c r="N1203" t="s">
        <v>103</v>
      </c>
      <c r="O1203" t="s">
        <v>74</v>
      </c>
      <c r="P1203" t="s">
        <v>74</v>
      </c>
      <c r="Q1203" t="s">
        <v>74</v>
      </c>
      <c r="R1203" t="s">
        <v>74</v>
      </c>
      <c r="S1203" t="s">
        <v>74</v>
      </c>
      <c r="T1203" t="s">
        <v>74</v>
      </c>
      <c r="U1203" t="s">
        <v>27930</v>
      </c>
      <c r="V1203" t="s">
        <v>27931</v>
      </c>
      <c r="W1203" t="s">
        <v>27932</v>
      </c>
      <c r="X1203" t="s">
        <v>27933</v>
      </c>
      <c r="Y1203" t="s">
        <v>27934</v>
      </c>
      <c r="Z1203" t="s">
        <v>27935</v>
      </c>
      <c r="AA1203" t="s">
        <v>27936</v>
      </c>
      <c r="AB1203" t="s">
        <v>27937</v>
      </c>
      <c r="AC1203" t="s">
        <v>74</v>
      </c>
      <c r="AD1203" t="s">
        <v>74</v>
      </c>
      <c r="AE1203" t="s">
        <v>74</v>
      </c>
      <c r="AF1203" t="s">
        <v>74</v>
      </c>
      <c r="AG1203">
        <v>53</v>
      </c>
      <c r="AH1203">
        <v>10</v>
      </c>
      <c r="AI1203">
        <v>10</v>
      </c>
      <c r="AJ1203">
        <v>1</v>
      </c>
      <c r="AK1203">
        <v>24</v>
      </c>
      <c r="AL1203" t="s">
        <v>74</v>
      </c>
      <c r="AM1203" t="s">
        <v>74</v>
      </c>
      <c r="AN1203" t="s">
        <v>74</v>
      </c>
      <c r="AO1203" t="s">
        <v>27938</v>
      </c>
      <c r="AP1203" t="s">
        <v>27939</v>
      </c>
      <c r="AQ1203" t="s">
        <v>74</v>
      </c>
      <c r="AR1203" t="s">
        <v>74</v>
      </c>
      <c r="AS1203" t="s">
        <v>74</v>
      </c>
      <c r="AT1203" t="s">
        <v>74</v>
      </c>
      <c r="AU1203">
        <v>2014</v>
      </c>
      <c r="AV1203">
        <v>6</v>
      </c>
      <c r="AW1203">
        <v>12</v>
      </c>
      <c r="AX1203" t="s">
        <v>74</v>
      </c>
      <c r="AY1203" t="s">
        <v>74</v>
      </c>
      <c r="AZ1203" t="s">
        <v>74</v>
      </c>
      <c r="BA1203" t="s">
        <v>74</v>
      </c>
      <c r="BB1203">
        <v>2279</v>
      </c>
      <c r="BC1203">
        <v>2289</v>
      </c>
      <c r="BD1203" t="s">
        <v>74</v>
      </c>
      <c r="BE1203" t="s">
        <v>27940</v>
      </c>
      <c r="BF1203" t="str">
        <f>HYPERLINK("http://dx.doi.org/10.1039/c4mt00190g","http://dx.doi.org/10.1039/c4mt00190g")</f>
        <v>http://dx.doi.org/10.1039/c4mt00190g</v>
      </c>
      <c r="BG1203" t="s">
        <v>74</v>
      </c>
      <c r="BH1203" t="s">
        <v>74</v>
      </c>
      <c r="BI1203" t="s">
        <v>74</v>
      </c>
      <c r="BJ1203" t="s">
        <v>95</v>
      </c>
      <c r="BK1203" t="s">
        <v>117</v>
      </c>
      <c r="BL1203" t="s">
        <v>95</v>
      </c>
      <c r="BM1203" t="s">
        <v>74</v>
      </c>
      <c r="BN1203">
        <v>25371090</v>
      </c>
      <c r="BO1203" t="s">
        <v>74</v>
      </c>
      <c r="BP1203" t="s">
        <v>74</v>
      </c>
      <c r="BQ1203" t="s">
        <v>74</v>
      </c>
      <c r="BR1203" t="s">
        <v>96</v>
      </c>
      <c r="BS1203" t="s">
        <v>27941</v>
      </c>
      <c r="BT1203" t="str">
        <f>HYPERLINK("https%3A%2F%2Fwww.webofscience.com%2Fwos%2Fwoscc%2Ffull-record%2FWOS:000345455900011","View Full Record in Web of Science")</f>
        <v>View Full Record in Web of Science</v>
      </c>
    </row>
    <row r="1204" spans="1:72" x14ac:dyDescent="0.15">
      <c r="A1204" t="s">
        <v>98</v>
      </c>
      <c r="B1204" t="s">
        <v>28202</v>
      </c>
      <c r="C1204" t="s">
        <v>74</v>
      </c>
      <c r="D1204" t="s">
        <v>74</v>
      </c>
      <c r="E1204" t="s">
        <v>74</v>
      </c>
      <c r="F1204" t="s">
        <v>28203</v>
      </c>
      <c r="G1204" t="s">
        <v>74</v>
      </c>
      <c r="H1204" t="s">
        <v>74</v>
      </c>
      <c r="I1204" t="s">
        <v>28204</v>
      </c>
      <c r="J1204" t="s">
        <v>13164</v>
      </c>
      <c r="K1204" t="s">
        <v>74</v>
      </c>
      <c r="L1204" t="s">
        <v>74</v>
      </c>
      <c r="M1204" t="s">
        <v>74</v>
      </c>
      <c r="N1204" t="s">
        <v>103</v>
      </c>
      <c r="O1204" t="s">
        <v>74</v>
      </c>
      <c r="P1204" t="s">
        <v>74</v>
      </c>
      <c r="Q1204" t="s">
        <v>74</v>
      </c>
      <c r="R1204" t="s">
        <v>74</v>
      </c>
      <c r="S1204" t="s">
        <v>74</v>
      </c>
      <c r="T1204" t="s">
        <v>74</v>
      </c>
      <c r="U1204" t="s">
        <v>28205</v>
      </c>
      <c r="V1204" t="s">
        <v>28206</v>
      </c>
      <c r="W1204" t="s">
        <v>28207</v>
      </c>
      <c r="X1204" t="s">
        <v>28208</v>
      </c>
      <c r="Y1204" t="s">
        <v>28209</v>
      </c>
      <c r="Z1204" t="s">
        <v>28210</v>
      </c>
      <c r="AA1204" t="s">
        <v>28211</v>
      </c>
      <c r="AB1204" t="s">
        <v>28212</v>
      </c>
      <c r="AC1204" t="s">
        <v>74</v>
      </c>
      <c r="AD1204" t="s">
        <v>74</v>
      </c>
      <c r="AE1204" t="s">
        <v>74</v>
      </c>
      <c r="AF1204" t="s">
        <v>74</v>
      </c>
      <c r="AG1204">
        <v>81</v>
      </c>
      <c r="AH1204">
        <v>10</v>
      </c>
      <c r="AI1204">
        <v>10</v>
      </c>
      <c r="AJ1204">
        <v>5</v>
      </c>
      <c r="AK1204">
        <v>73</v>
      </c>
      <c r="AL1204" t="s">
        <v>74</v>
      </c>
      <c r="AM1204" t="s">
        <v>74</v>
      </c>
      <c r="AN1204" t="s">
        <v>74</v>
      </c>
      <c r="AO1204" t="s">
        <v>13171</v>
      </c>
      <c r="AP1204" t="s">
        <v>74</v>
      </c>
      <c r="AQ1204" t="s">
        <v>74</v>
      </c>
      <c r="AR1204" t="s">
        <v>74</v>
      </c>
      <c r="AS1204" t="s">
        <v>74</v>
      </c>
      <c r="AT1204" t="s">
        <v>10396</v>
      </c>
      <c r="AU1204">
        <v>2019</v>
      </c>
      <c r="AV1204">
        <v>35</v>
      </c>
      <c r="AW1204">
        <v>6</v>
      </c>
      <c r="AX1204" t="s">
        <v>74</v>
      </c>
      <c r="AY1204" t="s">
        <v>74</v>
      </c>
      <c r="AZ1204" t="s">
        <v>74</v>
      </c>
      <c r="BA1204" t="s">
        <v>74</v>
      </c>
      <c r="BB1204">
        <v>2002</v>
      </c>
      <c r="BC1204">
        <v>2012</v>
      </c>
      <c r="BD1204" t="s">
        <v>74</v>
      </c>
      <c r="BE1204" t="s">
        <v>28213</v>
      </c>
      <c r="BF1204" t="str">
        <f>HYPERLINK("http://dx.doi.org/10.1021/acs.langmuir.8b02707","http://dx.doi.org/10.1021/acs.langmuir.8b02707")</f>
        <v>http://dx.doi.org/10.1021/acs.langmuir.8b02707</v>
      </c>
      <c r="BG1204" t="s">
        <v>74</v>
      </c>
      <c r="BH1204" t="s">
        <v>74</v>
      </c>
      <c r="BI1204" t="s">
        <v>74</v>
      </c>
      <c r="BJ1204" t="s">
        <v>13174</v>
      </c>
      <c r="BK1204" t="s">
        <v>117</v>
      </c>
      <c r="BL1204" t="s">
        <v>7990</v>
      </c>
      <c r="BM1204" t="s">
        <v>74</v>
      </c>
      <c r="BN1204">
        <v>30636419</v>
      </c>
      <c r="BO1204" t="s">
        <v>74</v>
      </c>
      <c r="BP1204" t="s">
        <v>74</v>
      </c>
      <c r="BQ1204" t="s">
        <v>74</v>
      </c>
      <c r="BR1204" t="s">
        <v>96</v>
      </c>
      <c r="BS1204" t="s">
        <v>28214</v>
      </c>
      <c r="BT1204" t="str">
        <f>HYPERLINK("https%3A%2F%2Fwww.webofscience.com%2Fwos%2Fwoscc%2Ffull-record%2FWOS:000458937400002","View Full Record in Web of Science")</f>
        <v>View Full Record in Web of Science</v>
      </c>
    </row>
    <row r="1205" spans="1:72" x14ac:dyDescent="0.15">
      <c r="A1205" t="s">
        <v>98</v>
      </c>
      <c r="B1205" t="s">
        <v>674</v>
      </c>
      <c r="C1205" t="s">
        <v>74</v>
      </c>
      <c r="D1205" t="s">
        <v>74</v>
      </c>
      <c r="E1205" t="s">
        <v>74</v>
      </c>
      <c r="F1205" t="s">
        <v>675</v>
      </c>
      <c r="G1205" t="s">
        <v>74</v>
      </c>
      <c r="H1205" t="s">
        <v>74</v>
      </c>
      <c r="I1205" t="s">
        <v>676</v>
      </c>
      <c r="J1205" t="s">
        <v>677</v>
      </c>
      <c r="K1205" t="s">
        <v>74</v>
      </c>
      <c r="L1205" t="s">
        <v>74</v>
      </c>
      <c r="M1205" t="s">
        <v>74</v>
      </c>
      <c r="N1205" t="s">
        <v>103</v>
      </c>
      <c r="O1205" t="s">
        <v>74</v>
      </c>
      <c r="P1205" t="s">
        <v>74</v>
      </c>
      <c r="Q1205" t="s">
        <v>74</v>
      </c>
      <c r="R1205" t="s">
        <v>74</v>
      </c>
      <c r="S1205" t="s">
        <v>74</v>
      </c>
      <c r="T1205" t="s">
        <v>678</v>
      </c>
      <c r="U1205" t="s">
        <v>679</v>
      </c>
      <c r="V1205" t="s">
        <v>680</v>
      </c>
      <c r="W1205" t="s">
        <v>681</v>
      </c>
      <c r="X1205" t="s">
        <v>682</v>
      </c>
      <c r="Y1205" t="s">
        <v>683</v>
      </c>
      <c r="Z1205" t="s">
        <v>388</v>
      </c>
      <c r="AA1205" t="s">
        <v>389</v>
      </c>
      <c r="AB1205" t="s">
        <v>684</v>
      </c>
      <c r="AC1205" t="s">
        <v>74</v>
      </c>
      <c r="AD1205" t="s">
        <v>74</v>
      </c>
      <c r="AE1205" t="s">
        <v>74</v>
      </c>
      <c r="AF1205" t="s">
        <v>74</v>
      </c>
      <c r="AG1205">
        <v>66</v>
      </c>
      <c r="AH1205">
        <v>9</v>
      </c>
      <c r="AI1205">
        <v>9</v>
      </c>
      <c r="AJ1205">
        <v>1</v>
      </c>
      <c r="AK1205">
        <v>2</v>
      </c>
      <c r="AL1205" t="s">
        <v>74</v>
      </c>
      <c r="AM1205" t="s">
        <v>74</v>
      </c>
      <c r="AN1205" t="s">
        <v>74</v>
      </c>
      <c r="AO1205" t="s">
        <v>685</v>
      </c>
      <c r="AP1205" t="s">
        <v>74</v>
      </c>
      <c r="AQ1205" t="s">
        <v>74</v>
      </c>
      <c r="AR1205" t="s">
        <v>74</v>
      </c>
      <c r="AS1205" t="s">
        <v>74</v>
      </c>
      <c r="AT1205" t="s">
        <v>686</v>
      </c>
      <c r="AU1205">
        <v>2021</v>
      </c>
      <c r="AV1205">
        <v>22</v>
      </c>
      <c r="AW1205">
        <v>1</v>
      </c>
      <c r="AX1205" t="s">
        <v>74</v>
      </c>
      <c r="AY1205" t="s">
        <v>74</v>
      </c>
      <c r="AZ1205" t="s">
        <v>74</v>
      </c>
      <c r="BA1205" t="s">
        <v>74</v>
      </c>
      <c r="BB1205" t="s">
        <v>74</v>
      </c>
      <c r="BC1205" t="s">
        <v>74</v>
      </c>
      <c r="BD1205">
        <v>18</v>
      </c>
      <c r="BE1205" t="s">
        <v>687</v>
      </c>
      <c r="BF1205" t="str">
        <f>HYPERLINK("http://dx.doi.org/10.1208/s12249-020-01892-w","http://dx.doi.org/10.1208/s12249-020-01892-w")</f>
        <v>http://dx.doi.org/10.1208/s12249-020-01892-w</v>
      </c>
      <c r="BG1205" t="s">
        <v>74</v>
      </c>
      <c r="BH1205" t="s">
        <v>74</v>
      </c>
      <c r="BI1205" t="s">
        <v>74</v>
      </c>
      <c r="BJ1205" t="s">
        <v>533</v>
      </c>
      <c r="BK1205" t="s">
        <v>117</v>
      </c>
      <c r="BL1205" t="s">
        <v>533</v>
      </c>
      <c r="BM1205" t="s">
        <v>74</v>
      </c>
      <c r="BN1205">
        <v>33389284</v>
      </c>
      <c r="BO1205" t="s">
        <v>74</v>
      </c>
      <c r="BP1205" t="s">
        <v>74</v>
      </c>
      <c r="BQ1205" t="s">
        <v>74</v>
      </c>
      <c r="BR1205" t="s">
        <v>96</v>
      </c>
      <c r="BS1205" t="s">
        <v>688</v>
      </c>
      <c r="BT1205" t="str">
        <f>HYPERLINK("https%3A%2F%2Fwww.webofscience.com%2Fwos%2Fwoscc%2Ffull-record%2FWOS:000606487900004","View Full Record in Web of Science")</f>
        <v>View Full Record in Web of Science</v>
      </c>
    </row>
    <row r="1206" spans="1:72" x14ac:dyDescent="0.15">
      <c r="A1206" t="s">
        <v>98</v>
      </c>
      <c r="B1206" t="s">
        <v>1646</v>
      </c>
      <c r="C1206" t="s">
        <v>74</v>
      </c>
      <c r="D1206" t="s">
        <v>74</v>
      </c>
      <c r="E1206" t="s">
        <v>74</v>
      </c>
      <c r="F1206" t="s">
        <v>1647</v>
      </c>
      <c r="G1206" t="s">
        <v>74</v>
      </c>
      <c r="H1206" t="s">
        <v>74</v>
      </c>
      <c r="I1206" t="s">
        <v>1648</v>
      </c>
      <c r="J1206" t="s">
        <v>1649</v>
      </c>
      <c r="K1206" t="s">
        <v>74</v>
      </c>
      <c r="L1206" t="s">
        <v>74</v>
      </c>
      <c r="M1206" t="s">
        <v>74</v>
      </c>
      <c r="N1206" t="s">
        <v>103</v>
      </c>
      <c r="O1206" t="s">
        <v>74</v>
      </c>
      <c r="P1206" t="s">
        <v>74</v>
      </c>
      <c r="Q1206" t="s">
        <v>74</v>
      </c>
      <c r="R1206" t="s">
        <v>74</v>
      </c>
      <c r="S1206" t="s">
        <v>74</v>
      </c>
      <c r="T1206" t="s">
        <v>1650</v>
      </c>
      <c r="U1206" t="s">
        <v>1651</v>
      </c>
      <c r="V1206" t="s">
        <v>1652</v>
      </c>
      <c r="W1206" t="s">
        <v>1653</v>
      </c>
      <c r="X1206" t="s">
        <v>1654</v>
      </c>
      <c r="Y1206" t="s">
        <v>1655</v>
      </c>
      <c r="Z1206" t="s">
        <v>1656</v>
      </c>
      <c r="AA1206" t="s">
        <v>1657</v>
      </c>
      <c r="AB1206" t="s">
        <v>1658</v>
      </c>
      <c r="AC1206" t="s">
        <v>74</v>
      </c>
      <c r="AD1206" t="s">
        <v>74</v>
      </c>
      <c r="AE1206" t="s">
        <v>74</v>
      </c>
      <c r="AF1206" t="s">
        <v>74</v>
      </c>
      <c r="AG1206">
        <v>61</v>
      </c>
      <c r="AH1206">
        <v>9</v>
      </c>
      <c r="AI1206">
        <v>9</v>
      </c>
      <c r="AJ1206">
        <v>35</v>
      </c>
      <c r="AK1206">
        <v>68</v>
      </c>
      <c r="AL1206" t="s">
        <v>74</v>
      </c>
      <c r="AM1206" t="s">
        <v>74</v>
      </c>
      <c r="AN1206" t="s">
        <v>74</v>
      </c>
      <c r="AO1206" t="s">
        <v>1659</v>
      </c>
      <c r="AP1206" t="s">
        <v>1660</v>
      </c>
      <c r="AQ1206" t="s">
        <v>74</v>
      </c>
      <c r="AR1206" t="s">
        <v>74</v>
      </c>
      <c r="AS1206" t="s">
        <v>74</v>
      </c>
      <c r="AT1206" t="s">
        <v>1661</v>
      </c>
      <c r="AU1206">
        <v>2021</v>
      </c>
      <c r="AV1206">
        <v>21</v>
      </c>
      <c r="AW1206">
        <v>16</v>
      </c>
      <c r="AX1206" t="s">
        <v>74</v>
      </c>
      <c r="AY1206" t="s">
        <v>74</v>
      </c>
      <c r="AZ1206" t="s">
        <v>74</v>
      </c>
      <c r="BA1206" t="s">
        <v>74</v>
      </c>
      <c r="BB1206">
        <v>6835</v>
      </c>
      <c r="BC1206">
        <v>6842</v>
      </c>
      <c r="BD1206" t="s">
        <v>74</v>
      </c>
      <c r="BE1206" t="s">
        <v>1662</v>
      </c>
      <c r="BF1206" t="str">
        <f>HYPERLINK("http://dx.doi.org/10.1021/acs.nanolett.1c01827","http://dx.doi.org/10.1021/acs.nanolett.1c01827")</f>
        <v>http://dx.doi.org/10.1021/acs.nanolett.1c01827</v>
      </c>
      <c r="BG1206" t="s">
        <v>74</v>
      </c>
      <c r="BH1206" t="s">
        <v>1663</v>
      </c>
      <c r="BI1206" t="s">
        <v>74</v>
      </c>
      <c r="BJ1206" t="s">
        <v>250</v>
      </c>
      <c r="BK1206" t="s">
        <v>117</v>
      </c>
      <c r="BL1206" t="s">
        <v>251</v>
      </c>
      <c r="BM1206" t="s">
        <v>74</v>
      </c>
      <c r="BN1206">
        <v>34355908</v>
      </c>
      <c r="BO1206" t="s">
        <v>74</v>
      </c>
      <c r="BP1206" t="s">
        <v>74</v>
      </c>
      <c r="BQ1206" t="s">
        <v>74</v>
      </c>
      <c r="BR1206" t="s">
        <v>96</v>
      </c>
      <c r="BS1206" t="s">
        <v>1664</v>
      </c>
      <c r="BT1206" t="str">
        <f>HYPERLINK("https%3A%2F%2Fwww.webofscience.com%2Fwos%2Fwoscc%2Ffull-record%2FWOS:000691792400015","View Full Record in Web of Science")</f>
        <v>View Full Record in Web of Science</v>
      </c>
    </row>
    <row r="1207" spans="1:72" x14ac:dyDescent="0.15">
      <c r="A1207" t="s">
        <v>98</v>
      </c>
      <c r="B1207" t="s">
        <v>1781</v>
      </c>
      <c r="C1207" t="s">
        <v>74</v>
      </c>
      <c r="D1207" t="s">
        <v>74</v>
      </c>
      <c r="E1207" t="s">
        <v>74</v>
      </c>
      <c r="F1207" t="s">
        <v>1782</v>
      </c>
      <c r="G1207" t="s">
        <v>74</v>
      </c>
      <c r="H1207" t="s">
        <v>74</v>
      </c>
      <c r="I1207" t="s">
        <v>1783</v>
      </c>
      <c r="J1207" t="s">
        <v>123</v>
      </c>
      <c r="K1207" t="s">
        <v>74</v>
      </c>
      <c r="L1207" t="s">
        <v>74</v>
      </c>
      <c r="M1207" t="s">
        <v>74</v>
      </c>
      <c r="N1207" t="s">
        <v>103</v>
      </c>
      <c r="O1207" t="s">
        <v>74</v>
      </c>
      <c r="P1207" t="s">
        <v>74</v>
      </c>
      <c r="Q1207" t="s">
        <v>74</v>
      </c>
      <c r="R1207" t="s">
        <v>74</v>
      </c>
      <c r="S1207" t="s">
        <v>74</v>
      </c>
      <c r="T1207" t="s">
        <v>1784</v>
      </c>
      <c r="U1207" t="s">
        <v>1785</v>
      </c>
      <c r="V1207" t="s">
        <v>1786</v>
      </c>
      <c r="W1207" t="s">
        <v>1787</v>
      </c>
      <c r="X1207" t="s">
        <v>1788</v>
      </c>
      <c r="Y1207" t="s">
        <v>1789</v>
      </c>
      <c r="Z1207" t="s">
        <v>1790</v>
      </c>
      <c r="AA1207" t="s">
        <v>1791</v>
      </c>
      <c r="AB1207" t="s">
        <v>1792</v>
      </c>
      <c r="AC1207" t="s">
        <v>74</v>
      </c>
      <c r="AD1207" t="s">
        <v>74</v>
      </c>
      <c r="AE1207" t="s">
        <v>74</v>
      </c>
      <c r="AF1207" t="s">
        <v>74</v>
      </c>
      <c r="AG1207">
        <v>54</v>
      </c>
      <c r="AH1207">
        <v>9</v>
      </c>
      <c r="AI1207">
        <v>9</v>
      </c>
      <c r="AJ1207">
        <v>7</v>
      </c>
      <c r="AK1207">
        <v>20</v>
      </c>
      <c r="AL1207" t="s">
        <v>74</v>
      </c>
      <c r="AM1207" t="s">
        <v>74</v>
      </c>
      <c r="AN1207" t="s">
        <v>74</v>
      </c>
      <c r="AO1207" t="s">
        <v>74</v>
      </c>
      <c r="AP1207" t="s">
        <v>131</v>
      </c>
      <c r="AQ1207" t="s">
        <v>74</v>
      </c>
      <c r="AR1207" t="s">
        <v>74</v>
      </c>
      <c r="AS1207" t="s">
        <v>74</v>
      </c>
      <c r="AT1207" t="s">
        <v>599</v>
      </c>
      <c r="AU1207">
        <v>2020</v>
      </c>
      <c r="AV1207">
        <v>9</v>
      </c>
      <c r="AW1207">
        <v>1</v>
      </c>
      <c r="AX1207" t="s">
        <v>74</v>
      </c>
      <c r="AY1207" t="s">
        <v>74</v>
      </c>
      <c r="AZ1207" t="s">
        <v>74</v>
      </c>
      <c r="BA1207" t="s">
        <v>74</v>
      </c>
      <c r="BB1207" t="s">
        <v>74</v>
      </c>
      <c r="BC1207" t="s">
        <v>74</v>
      </c>
      <c r="BD1207">
        <v>1743139</v>
      </c>
      <c r="BE1207" t="s">
        <v>1793</v>
      </c>
      <c r="BF1207" t="str">
        <f>HYPERLINK("http://dx.doi.org/10.1080/20013078.2020.1743139","http://dx.doi.org/10.1080/20013078.2020.1743139")</f>
        <v>http://dx.doi.org/10.1080/20013078.2020.1743139</v>
      </c>
      <c r="BG1207" t="s">
        <v>74</v>
      </c>
      <c r="BH1207" t="s">
        <v>74</v>
      </c>
      <c r="BI1207" t="s">
        <v>74</v>
      </c>
      <c r="BJ1207" t="s">
        <v>135</v>
      </c>
      <c r="BK1207" t="s">
        <v>117</v>
      </c>
      <c r="BL1207" t="s">
        <v>135</v>
      </c>
      <c r="BM1207" t="s">
        <v>74</v>
      </c>
      <c r="BN1207">
        <v>32341769</v>
      </c>
      <c r="BO1207" t="s">
        <v>74</v>
      </c>
      <c r="BP1207" t="s">
        <v>74</v>
      </c>
      <c r="BQ1207" t="s">
        <v>74</v>
      </c>
      <c r="BR1207" t="s">
        <v>96</v>
      </c>
      <c r="BS1207" t="s">
        <v>1794</v>
      </c>
      <c r="BT1207" t="str">
        <f>HYPERLINK("https%3A%2F%2Fwww.webofscience.com%2Fwos%2Fwoscc%2Ffull-record%2FWOS:000522185000001","View Full Record in Web of Science")</f>
        <v>View Full Record in Web of Science</v>
      </c>
    </row>
    <row r="1208" spans="1:72" x14ac:dyDescent="0.15">
      <c r="A1208" t="s">
        <v>98</v>
      </c>
      <c r="B1208" t="s">
        <v>1824</v>
      </c>
      <c r="C1208" t="s">
        <v>74</v>
      </c>
      <c r="D1208" t="s">
        <v>74</v>
      </c>
      <c r="E1208" t="s">
        <v>74</v>
      </c>
      <c r="F1208" t="s">
        <v>1825</v>
      </c>
      <c r="G1208" t="s">
        <v>74</v>
      </c>
      <c r="H1208" t="s">
        <v>74</v>
      </c>
      <c r="I1208" t="s">
        <v>1826</v>
      </c>
      <c r="J1208" t="s">
        <v>1827</v>
      </c>
      <c r="K1208" t="s">
        <v>74</v>
      </c>
      <c r="L1208" t="s">
        <v>74</v>
      </c>
      <c r="M1208" t="s">
        <v>74</v>
      </c>
      <c r="N1208" t="s">
        <v>103</v>
      </c>
      <c r="O1208" t="s">
        <v>74</v>
      </c>
      <c r="P1208" t="s">
        <v>74</v>
      </c>
      <c r="Q1208" t="s">
        <v>74</v>
      </c>
      <c r="R1208" t="s">
        <v>74</v>
      </c>
      <c r="S1208" t="s">
        <v>74</v>
      </c>
      <c r="T1208" t="s">
        <v>1828</v>
      </c>
      <c r="U1208" t="s">
        <v>1829</v>
      </c>
      <c r="V1208" t="s">
        <v>1830</v>
      </c>
      <c r="W1208" t="s">
        <v>1831</v>
      </c>
      <c r="X1208" t="s">
        <v>1832</v>
      </c>
      <c r="Y1208" t="s">
        <v>1833</v>
      </c>
      <c r="Z1208" t="s">
        <v>1834</v>
      </c>
      <c r="AA1208" t="s">
        <v>74</v>
      </c>
      <c r="AB1208" t="s">
        <v>1835</v>
      </c>
      <c r="AC1208" t="s">
        <v>74</v>
      </c>
      <c r="AD1208" t="s">
        <v>74</v>
      </c>
      <c r="AE1208" t="s">
        <v>74</v>
      </c>
      <c r="AF1208" t="s">
        <v>74</v>
      </c>
      <c r="AG1208">
        <v>83</v>
      </c>
      <c r="AH1208">
        <v>9</v>
      </c>
      <c r="AI1208">
        <v>9</v>
      </c>
      <c r="AJ1208">
        <v>0</v>
      </c>
      <c r="AK1208">
        <v>3</v>
      </c>
      <c r="AL1208" t="s">
        <v>74</v>
      </c>
      <c r="AM1208" t="s">
        <v>74</v>
      </c>
      <c r="AN1208" t="s">
        <v>74</v>
      </c>
      <c r="AO1208" t="s">
        <v>74</v>
      </c>
      <c r="AP1208" t="s">
        <v>1836</v>
      </c>
      <c r="AQ1208" t="s">
        <v>74</v>
      </c>
      <c r="AR1208" t="s">
        <v>74</v>
      </c>
      <c r="AS1208" t="s">
        <v>74</v>
      </c>
      <c r="AT1208" t="s">
        <v>230</v>
      </c>
      <c r="AU1208">
        <v>2019</v>
      </c>
      <c r="AV1208">
        <v>8</v>
      </c>
      <c r="AW1208">
        <v>8</v>
      </c>
      <c r="AX1208" t="s">
        <v>74</v>
      </c>
      <c r="AY1208" t="s">
        <v>74</v>
      </c>
      <c r="AZ1208" t="s">
        <v>74</v>
      </c>
      <c r="BA1208" t="s">
        <v>74</v>
      </c>
      <c r="BB1208" t="s">
        <v>74</v>
      </c>
      <c r="BC1208" t="s">
        <v>74</v>
      </c>
      <c r="BD1208">
        <v>787</v>
      </c>
      <c r="BE1208" t="s">
        <v>1837</v>
      </c>
      <c r="BF1208" t="str">
        <f>HYPERLINK("http://dx.doi.org/10.3390/cells8080787","http://dx.doi.org/10.3390/cells8080787")</f>
        <v>http://dx.doi.org/10.3390/cells8080787</v>
      </c>
      <c r="BG1208" t="s">
        <v>74</v>
      </c>
      <c r="BH1208" t="s">
        <v>74</v>
      </c>
      <c r="BI1208" t="s">
        <v>74</v>
      </c>
      <c r="BJ1208" t="s">
        <v>135</v>
      </c>
      <c r="BK1208" t="s">
        <v>117</v>
      </c>
      <c r="BL1208" t="s">
        <v>135</v>
      </c>
      <c r="BM1208" t="s">
        <v>74</v>
      </c>
      <c r="BN1208">
        <v>31362387</v>
      </c>
      <c r="BO1208" t="s">
        <v>74</v>
      </c>
      <c r="BP1208" t="s">
        <v>74</v>
      </c>
      <c r="BQ1208" t="s">
        <v>74</v>
      </c>
      <c r="BR1208" t="s">
        <v>96</v>
      </c>
      <c r="BS1208" t="s">
        <v>1838</v>
      </c>
      <c r="BT1208" t="str">
        <f>HYPERLINK("https%3A%2F%2Fwww.webofscience.com%2Fwos%2Fwoscc%2Ffull-record%2FWOS:000484537500020","View Full Record in Web of Science")</f>
        <v>View Full Record in Web of Science</v>
      </c>
    </row>
    <row r="1209" spans="1:72" x14ac:dyDescent="0.15">
      <c r="A1209" t="s">
        <v>98</v>
      </c>
      <c r="B1209" t="s">
        <v>1874</v>
      </c>
      <c r="C1209" t="s">
        <v>74</v>
      </c>
      <c r="D1209" t="s">
        <v>74</v>
      </c>
      <c r="E1209" t="s">
        <v>74</v>
      </c>
      <c r="F1209" t="s">
        <v>1875</v>
      </c>
      <c r="G1209" t="s">
        <v>74</v>
      </c>
      <c r="H1209" t="s">
        <v>74</v>
      </c>
      <c r="I1209" t="s">
        <v>1876</v>
      </c>
      <c r="J1209" t="s">
        <v>1877</v>
      </c>
      <c r="K1209" t="s">
        <v>74</v>
      </c>
      <c r="L1209" t="s">
        <v>74</v>
      </c>
      <c r="M1209" t="s">
        <v>74</v>
      </c>
      <c r="N1209" t="s">
        <v>103</v>
      </c>
      <c r="O1209" t="s">
        <v>74</v>
      </c>
      <c r="P1209" t="s">
        <v>74</v>
      </c>
      <c r="Q1209" t="s">
        <v>74</v>
      </c>
      <c r="R1209" t="s">
        <v>74</v>
      </c>
      <c r="S1209" t="s">
        <v>74</v>
      </c>
      <c r="T1209" t="s">
        <v>1878</v>
      </c>
      <c r="U1209" t="s">
        <v>1879</v>
      </c>
      <c r="V1209" t="s">
        <v>1880</v>
      </c>
      <c r="W1209" t="s">
        <v>1881</v>
      </c>
      <c r="X1209" t="s">
        <v>1882</v>
      </c>
      <c r="Y1209" t="s">
        <v>1883</v>
      </c>
      <c r="Z1209" t="s">
        <v>1884</v>
      </c>
      <c r="AA1209" t="s">
        <v>74</v>
      </c>
      <c r="AB1209" t="s">
        <v>74</v>
      </c>
      <c r="AC1209" t="s">
        <v>74</v>
      </c>
      <c r="AD1209" t="s">
        <v>74</v>
      </c>
      <c r="AE1209" t="s">
        <v>74</v>
      </c>
      <c r="AF1209" t="s">
        <v>74</v>
      </c>
      <c r="AG1209">
        <v>39</v>
      </c>
      <c r="AH1209">
        <v>9</v>
      </c>
      <c r="AI1209">
        <v>9</v>
      </c>
      <c r="AJ1209">
        <v>1</v>
      </c>
      <c r="AK1209">
        <v>10</v>
      </c>
      <c r="AL1209" t="s">
        <v>74</v>
      </c>
      <c r="AM1209" t="s">
        <v>74</v>
      </c>
      <c r="AN1209" t="s">
        <v>74</v>
      </c>
      <c r="AO1209" t="s">
        <v>1885</v>
      </c>
      <c r="AP1209" t="s">
        <v>1886</v>
      </c>
      <c r="AQ1209" t="s">
        <v>74</v>
      </c>
      <c r="AR1209" t="s">
        <v>74</v>
      </c>
      <c r="AS1209" t="s">
        <v>74</v>
      </c>
      <c r="AT1209" t="s">
        <v>531</v>
      </c>
      <c r="AU1209">
        <v>2020</v>
      </c>
      <c r="AV1209">
        <v>20</v>
      </c>
      <c r="AW1209">
        <v>3</v>
      </c>
      <c r="AX1209" t="s">
        <v>74</v>
      </c>
      <c r="AY1209" t="s">
        <v>74</v>
      </c>
      <c r="AZ1209" t="s">
        <v>74</v>
      </c>
      <c r="BA1209" t="s">
        <v>74</v>
      </c>
      <c r="BB1209">
        <v>2820</v>
      </c>
      <c r="BC1209">
        <v>2828</v>
      </c>
      <c r="BD1209" t="s">
        <v>74</v>
      </c>
      <c r="BE1209" t="s">
        <v>1887</v>
      </c>
      <c r="BF1209" t="str">
        <f>HYPERLINK("http://dx.doi.org/10.3892/ol.2020.11831","http://dx.doi.org/10.3892/ol.2020.11831")</f>
        <v>http://dx.doi.org/10.3892/ol.2020.11831</v>
      </c>
      <c r="BG1209" t="s">
        <v>74</v>
      </c>
      <c r="BH1209" t="s">
        <v>74</v>
      </c>
      <c r="BI1209" t="s">
        <v>74</v>
      </c>
      <c r="BJ1209" t="s">
        <v>267</v>
      </c>
      <c r="BK1209" t="s">
        <v>117</v>
      </c>
      <c r="BL1209" t="s">
        <v>267</v>
      </c>
      <c r="BM1209" t="s">
        <v>74</v>
      </c>
      <c r="BN1209">
        <v>32782600</v>
      </c>
      <c r="BO1209" t="s">
        <v>74</v>
      </c>
      <c r="BP1209" t="s">
        <v>74</v>
      </c>
      <c r="BQ1209" t="s">
        <v>74</v>
      </c>
      <c r="BR1209" t="s">
        <v>96</v>
      </c>
      <c r="BS1209" t="s">
        <v>1888</v>
      </c>
      <c r="BT1209" t="str">
        <f>HYPERLINK("https%3A%2F%2Fwww.webofscience.com%2Fwos%2Fwoscc%2Ffull-record%2FWOS:000563938300081","View Full Record in Web of Science")</f>
        <v>View Full Record in Web of Science</v>
      </c>
    </row>
    <row r="1210" spans="1:72" x14ac:dyDescent="0.15">
      <c r="A1210" t="s">
        <v>98</v>
      </c>
      <c r="B1210" t="s">
        <v>3118</v>
      </c>
      <c r="C1210" t="s">
        <v>74</v>
      </c>
      <c r="D1210" t="s">
        <v>74</v>
      </c>
      <c r="E1210" t="s">
        <v>74</v>
      </c>
      <c r="F1210" t="s">
        <v>3119</v>
      </c>
      <c r="G1210" t="s">
        <v>74</v>
      </c>
      <c r="H1210" t="s">
        <v>74</v>
      </c>
      <c r="I1210" t="s">
        <v>3120</v>
      </c>
      <c r="J1210" t="s">
        <v>2281</v>
      </c>
      <c r="K1210" t="s">
        <v>74</v>
      </c>
      <c r="L1210" t="s">
        <v>74</v>
      </c>
      <c r="M1210" t="s">
        <v>74</v>
      </c>
      <c r="N1210" t="s">
        <v>103</v>
      </c>
      <c r="O1210" t="s">
        <v>74</v>
      </c>
      <c r="P1210" t="s">
        <v>74</v>
      </c>
      <c r="Q1210" t="s">
        <v>74</v>
      </c>
      <c r="R1210" t="s">
        <v>74</v>
      </c>
      <c r="S1210" t="s">
        <v>74</v>
      </c>
      <c r="T1210" t="s">
        <v>3121</v>
      </c>
      <c r="U1210" t="s">
        <v>3122</v>
      </c>
      <c r="V1210" t="s">
        <v>3123</v>
      </c>
      <c r="W1210" t="s">
        <v>3124</v>
      </c>
      <c r="X1210" t="s">
        <v>3125</v>
      </c>
      <c r="Y1210" t="s">
        <v>3126</v>
      </c>
      <c r="Z1210" t="s">
        <v>3127</v>
      </c>
      <c r="AA1210" t="s">
        <v>3128</v>
      </c>
      <c r="AB1210" t="s">
        <v>3129</v>
      </c>
      <c r="AC1210" t="s">
        <v>74</v>
      </c>
      <c r="AD1210" t="s">
        <v>74</v>
      </c>
      <c r="AE1210" t="s">
        <v>74</v>
      </c>
      <c r="AF1210" t="s">
        <v>74</v>
      </c>
      <c r="AG1210">
        <v>77</v>
      </c>
      <c r="AH1210">
        <v>9</v>
      </c>
      <c r="AI1210">
        <v>9</v>
      </c>
      <c r="AJ1210">
        <v>1</v>
      </c>
      <c r="AK1210">
        <v>7</v>
      </c>
      <c r="AL1210" t="s">
        <v>74</v>
      </c>
      <c r="AM1210" t="s">
        <v>74</v>
      </c>
      <c r="AN1210" t="s">
        <v>74</v>
      </c>
      <c r="AO1210" t="s">
        <v>2290</v>
      </c>
      <c r="AP1210" t="s">
        <v>2291</v>
      </c>
      <c r="AQ1210" t="s">
        <v>74</v>
      </c>
      <c r="AR1210" t="s">
        <v>74</v>
      </c>
      <c r="AS1210" t="s">
        <v>74</v>
      </c>
      <c r="AT1210" t="s">
        <v>599</v>
      </c>
      <c r="AU1210">
        <v>2020</v>
      </c>
      <c r="AV1210">
        <v>25</v>
      </c>
      <c r="AW1210" t="s">
        <v>74</v>
      </c>
      <c r="AX1210" t="s">
        <v>74</v>
      </c>
      <c r="AY1210" t="s">
        <v>74</v>
      </c>
      <c r="AZ1210" t="s">
        <v>74</v>
      </c>
      <c r="BA1210" t="s">
        <v>74</v>
      </c>
      <c r="BB1210">
        <v>398</v>
      </c>
      <c r="BC1210">
        <v>436</v>
      </c>
      <c r="BD1210" t="s">
        <v>3130</v>
      </c>
      <c r="BE1210" t="s">
        <v>3131</v>
      </c>
      <c r="BF1210" t="str">
        <f>HYPERLINK("http://dx.doi.org/10.2741/4811","http://dx.doi.org/10.2741/4811")</f>
        <v>http://dx.doi.org/10.2741/4811</v>
      </c>
      <c r="BG1210" t="s">
        <v>74</v>
      </c>
      <c r="BH1210" t="s">
        <v>74</v>
      </c>
      <c r="BI1210" t="s">
        <v>74</v>
      </c>
      <c r="BJ1210" t="s">
        <v>498</v>
      </c>
      <c r="BK1210" t="s">
        <v>117</v>
      </c>
      <c r="BL1210" t="s">
        <v>498</v>
      </c>
      <c r="BM1210" t="s">
        <v>74</v>
      </c>
      <c r="BN1210">
        <v>31585894</v>
      </c>
      <c r="BO1210" t="s">
        <v>74</v>
      </c>
      <c r="BP1210" t="s">
        <v>74</v>
      </c>
      <c r="BQ1210" t="s">
        <v>74</v>
      </c>
      <c r="BR1210" t="s">
        <v>96</v>
      </c>
      <c r="BS1210" t="s">
        <v>3132</v>
      </c>
      <c r="BT1210" t="str">
        <f>HYPERLINK("https%3A%2F%2Fwww.webofscience.com%2Fwos%2Fwoscc%2Ffull-record%2FWOS:000563768500001","View Full Record in Web of Science")</f>
        <v>View Full Record in Web of Science</v>
      </c>
    </row>
    <row r="1211" spans="1:72" x14ac:dyDescent="0.15">
      <c r="A1211" t="s">
        <v>98</v>
      </c>
      <c r="B1211" t="s">
        <v>3348</v>
      </c>
      <c r="C1211" t="s">
        <v>74</v>
      </c>
      <c r="D1211" t="s">
        <v>74</v>
      </c>
      <c r="E1211" t="s">
        <v>74</v>
      </c>
      <c r="F1211" t="s">
        <v>3349</v>
      </c>
      <c r="G1211" t="s">
        <v>74</v>
      </c>
      <c r="H1211" t="s">
        <v>74</v>
      </c>
      <c r="I1211" t="s">
        <v>3350</v>
      </c>
      <c r="J1211" t="s">
        <v>3351</v>
      </c>
      <c r="K1211" t="s">
        <v>74</v>
      </c>
      <c r="L1211" t="s">
        <v>74</v>
      </c>
      <c r="M1211" t="s">
        <v>74</v>
      </c>
      <c r="N1211" t="s">
        <v>103</v>
      </c>
      <c r="O1211" t="s">
        <v>74</v>
      </c>
      <c r="P1211" t="s">
        <v>74</v>
      </c>
      <c r="Q1211" t="s">
        <v>74</v>
      </c>
      <c r="R1211" t="s">
        <v>74</v>
      </c>
      <c r="S1211" t="s">
        <v>74</v>
      </c>
      <c r="T1211" t="s">
        <v>3352</v>
      </c>
      <c r="U1211" t="s">
        <v>3353</v>
      </c>
      <c r="V1211" t="s">
        <v>3354</v>
      </c>
      <c r="W1211" t="s">
        <v>3355</v>
      </c>
      <c r="X1211" t="s">
        <v>3356</v>
      </c>
      <c r="Y1211" t="s">
        <v>3357</v>
      </c>
      <c r="Z1211" t="s">
        <v>3358</v>
      </c>
      <c r="AA1211" t="s">
        <v>74</v>
      </c>
      <c r="AB1211" t="s">
        <v>74</v>
      </c>
      <c r="AC1211" t="s">
        <v>74</v>
      </c>
      <c r="AD1211" t="s">
        <v>74</v>
      </c>
      <c r="AE1211" t="s">
        <v>74</v>
      </c>
      <c r="AF1211" t="s">
        <v>74</v>
      </c>
      <c r="AG1211">
        <v>27</v>
      </c>
      <c r="AH1211">
        <v>9</v>
      </c>
      <c r="AI1211">
        <v>11</v>
      </c>
      <c r="AJ1211">
        <v>1</v>
      </c>
      <c r="AK1211">
        <v>6</v>
      </c>
      <c r="AL1211" t="s">
        <v>74</v>
      </c>
      <c r="AM1211" t="s">
        <v>74</v>
      </c>
      <c r="AN1211" t="s">
        <v>74</v>
      </c>
      <c r="AO1211" t="s">
        <v>3359</v>
      </c>
      <c r="AP1211" t="s">
        <v>3360</v>
      </c>
      <c r="AQ1211" t="s">
        <v>74</v>
      </c>
      <c r="AR1211" t="s">
        <v>74</v>
      </c>
      <c r="AS1211" t="s">
        <v>74</v>
      </c>
      <c r="AT1211" t="s">
        <v>565</v>
      </c>
      <c r="AU1211">
        <v>2008</v>
      </c>
      <c r="AV1211">
        <v>18</v>
      </c>
      <c r="AW1211">
        <v>2</v>
      </c>
      <c r="AX1211" t="s">
        <v>74</v>
      </c>
      <c r="AY1211" t="s">
        <v>74</v>
      </c>
      <c r="AZ1211" t="s">
        <v>74</v>
      </c>
      <c r="BA1211" t="s">
        <v>74</v>
      </c>
      <c r="BB1211">
        <v>319</v>
      </c>
      <c r="BC1211">
        <v>328</v>
      </c>
      <c r="BD1211" t="s">
        <v>74</v>
      </c>
      <c r="BE1211" t="s">
        <v>3361</v>
      </c>
      <c r="BF1211" t="str">
        <f>HYPERLINK("http://dx.doi.org/10.1007/s10895-007-0271-4","http://dx.doi.org/10.1007/s10895-007-0271-4")</f>
        <v>http://dx.doi.org/10.1007/s10895-007-0271-4</v>
      </c>
      <c r="BG1211" t="s">
        <v>74</v>
      </c>
      <c r="BH1211" t="s">
        <v>74</v>
      </c>
      <c r="BI1211" t="s">
        <v>74</v>
      </c>
      <c r="BJ1211" t="s">
        <v>3362</v>
      </c>
      <c r="BK1211" t="s">
        <v>117</v>
      </c>
      <c r="BL1211" t="s">
        <v>831</v>
      </c>
      <c r="BM1211" t="s">
        <v>74</v>
      </c>
      <c r="BN1211">
        <v>18074206</v>
      </c>
      <c r="BO1211" t="s">
        <v>74</v>
      </c>
      <c r="BP1211" t="s">
        <v>74</v>
      </c>
      <c r="BQ1211" t="s">
        <v>74</v>
      </c>
      <c r="BR1211" t="s">
        <v>96</v>
      </c>
      <c r="BS1211" t="s">
        <v>3363</v>
      </c>
      <c r="BT1211" t="str">
        <f>HYPERLINK("https%3A%2F%2Fwww.webofscience.com%2Fwos%2Fwoscc%2Ffull-record%2FWOS:000253896400010","View Full Record in Web of Science")</f>
        <v>View Full Record in Web of Science</v>
      </c>
    </row>
    <row r="1212" spans="1:72" x14ac:dyDescent="0.15">
      <c r="A1212" t="s">
        <v>98</v>
      </c>
      <c r="B1212" t="s">
        <v>3364</v>
      </c>
      <c r="C1212" t="s">
        <v>74</v>
      </c>
      <c r="D1212" t="s">
        <v>74</v>
      </c>
      <c r="E1212" t="s">
        <v>74</v>
      </c>
      <c r="F1212" t="s">
        <v>3365</v>
      </c>
      <c r="G1212" t="s">
        <v>74</v>
      </c>
      <c r="H1212" t="s">
        <v>74</v>
      </c>
      <c r="I1212" t="s">
        <v>3366</v>
      </c>
      <c r="J1212" t="s">
        <v>3367</v>
      </c>
      <c r="K1212" t="s">
        <v>74</v>
      </c>
      <c r="L1212" t="s">
        <v>74</v>
      </c>
      <c r="M1212" t="s">
        <v>74</v>
      </c>
      <c r="N1212" t="s">
        <v>103</v>
      </c>
      <c r="O1212" t="s">
        <v>74</v>
      </c>
      <c r="P1212" t="s">
        <v>74</v>
      </c>
      <c r="Q1212" t="s">
        <v>74</v>
      </c>
      <c r="R1212" t="s">
        <v>74</v>
      </c>
      <c r="S1212" t="s">
        <v>74</v>
      </c>
      <c r="T1212" t="s">
        <v>3368</v>
      </c>
      <c r="U1212" t="s">
        <v>3369</v>
      </c>
      <c r="V1212" t="s">
        <v>3370</v>
      </c>
      <c r="W1212" t="s">
        <v>3371</v>
      </c>
      <c r="X1212" t="s">
        <v>74</v>
      </c>
      <c r="Y1212" t="s">
        <v>3372</v>
      </c>
      <c r="Z1212" t="s">
        <v>3373</v>
      </c>
      <c r="AA1212" t="s">
        <v>74</v>
      </c>
      <c r="AB1212" t="s">
        <v>74</v>
      </c>
      <c r="AC1212" t="s">
        <v>74</v>
      </c>
      <c r="AD1212" t="s">
        <v>74</v>
      </c>
      <c r="AE1212" t="s">
        <v>74</v>
      </c>
      <c r="AF1212" t="s">
        <v>74</v>
      </c>
      <c r="AG1212">
        <v>52</v>
      </c>
      <c r="AH1212">
        <v>9</v>
      </c>
      <c r="AI1212">
        <v>9</v>
      </c>
      <c r="AJ1212">
        <v>0</v>
      </c>
      <c r="AK1212">
        <v>4</v>
      </c>
      <c r="AL1212" t="s">
        <v>74</v>
      </c>
      <c r="AM1212" t="s">
        <v>74</v>
      </c>
      <c r="AN1212" t="s">
        <v>74</v>
      </c>
      <c r="AO1212" t="s">
        <v>74</v>
      </c>
      <c r="AP1212" t="s">
        <v>3374</v>
      </c>
      <c r="AQ1212" t="s">
        <v>74</v>
      </c>
      <c r="AR1212" t="s">
        <v>74</v>
      </c>
      <c r="AS1212" t="s">
        <v>74</v>
      </c>
      <c r="AT1212" t="s">
        <v>565</v>
      </c>
      <c r="AU1212">
        <v>2019</v>
      </c>
      <c r="AV1212">
        <v>7</v>
      </c>
      <c r="AW1212">
        <v>1</v>
      </c>
      <c r="AX1212" t="s">
        <v>74</v>
      </c>
      <c r="AY1212" t="s">
        <v>74</v>
      </c>
      <c r="AZ1212" t="s">
        <v>74</v>
      </c>
      <c r="BA1212" t="s">
        <v>74</v>
      </c>
      <c r="BB1212">
        <v>1</v>
      </c>
      <c r="BC1212">
        <v>8</v>
      </c>
      <c r="BD1212" t="s">
        <v>74</v>
      </c>
      <c r="BE1212" t="s">
        <v>3375</v>
      </c>
      <c r="BF1212" t="str">
        <f>HYPERLINK("http://dx.doi.org/10.1007/s40139-019-00189-3","http://dx.doi.org/10.1007/s40139-019-00189-3")</f>
        <v>http://dx.doi.org/10.1007/s40139-019-00189-3</v>
      </c>
      <c r="BG1212" t="s">
        <v>74</v>
      </c>
      <c r="BH1212" t="s">
        <v>74</v>
      </c>
      <c r="BI1212" t="s">
        <v>74</v>
      </c>
      <c r="BJ1212" t="s">
        <v>3376</v>
      </c>
      <c r="BK1212" t="s">
        <v>467</v>
      </c>
      <c r="BL1212" t="s">
        <v>3376</v>
      </c>
      <c r="BM1212" t="s">
        <v>74</v>
      </c>
      <c r="BN1212" t="s">
        <v>74</v>
      </c>
      <c r="BO1212" t="s">
        <v>74</v>
      </c>
      <c r="BP1212" t="s">
        <v>74</v>
      </c>
      <c r="BQ1212" t="s">
        <v>74</v>
      </c>
      <c r="BR1212" t="s">
        <v>96</v>
      </c>
      <c r="BS1212" t="s">
        <v>3377</v>
      </c>
      <c r="BT1212" t="str">
        <f>HYPERLINK("https%3A%2F%2Fwww.webofscience.com%2Fwos%2Fwoscc%2Ffull-record%2FWOS:000512883900001","View Full Record in Web of Science")</f>
        <v>View Full Record in Web of Science</v>
      </c>
    </row>
    <row r="1213" spans="1:72" x14ac:dyDescent="0.15">
      <c r="A1213" t="s">
        <v>98</v>
      </c>
      <c r="B1213" t="s">
        <v>3965</v>
      </c>
      <c r="C1213" t="s">
        <v>74</v>
      </c>
      <c r="D1213" t="s">
        <v>74</v>
      </c>
      <c r="E1213" t="s">
        <v>74</v>
      </c>
      <c r="F1213" t="s">
        <v>3966</v>
      </c>
      <c r="G1213" t="s">
        <v>74</v>
      </c>
      <c r="H1213" t="s">
        <v>74</v>
      </c>
      <c r="I1213" t="s">
        <v>3967</v>
      </c>
      <c r="J1213" t="s">
        <v>3968</v>
      </c>
      <c r="K1213" t="s">
        <v>74</v>
      </c>
      <c r="L1213" t="s">
        <v>74</v>
      </c>
      <c r="M1213" t="s">
        <v>74</v>
      </c>
      <c r="N1213" t="s">
        <v>103</v>
      </c>
      <c r="O1213" t="s">
        <v>74</v>
      </c>
      <c r="P1213" t="s">
        <v>74</v>
      </c>
      <c r="Q1213" t="s">
        <v>74</v>
      </c>
      <c r="R1213" t="s">
        <v>74</v>
      </c>
      <c r="S1213" t="s">
        <v>74</v>
      </c>
      <c r="T1213" t="s">
        <v>3969</v>
      </c>
      <c r="U1213" t="s">
        <v>3970</v>
      </c>
      <c r="V1213" t="s">
        <v>3971</v>
      </c>
      <c r="W1213" t="s">
        <v>3972</v>
      </c>
      <c r="X1213" t="s">
        <v>3973</v>
      </c>
      <c r="Y1213" t="s">
        <v>3974</v>
      </c>
      <c r="Z1213" t="s">
        <v>3975</v>
      </c>
      <c r="AA1213" t="s">
        <v>3976</v>
      </c>
      <c r="AB1213" t="s">
        <v>3977</v>
      </c>
      <c r="AC1213" t="s">
        <v>74</v>
      </c>
      <c r="AD1213" t="s">
        <v>74</v>
      </c>
      <c r="AE1213" t="s">
        <v>74</v>
      </c>
      <c r="AF1213" t="s">
        <v>74</v>
      </c>
      <c r="AG1213">
        <v>40</v>
      </c>
      <c r="AH1213">
        <v>9</v>
      </c>
      <c r="AI1213">
        <v>9</v>
      </c>
      <c r="AJ1213">
        <v>0</v>
      </c>
      <c r="AK1213">
        <v>11</v>
      </c>
      <c r="AL1213" t="s">
        <v>74</v>
      </c>
      <c r="AM1213" t="s">
        <v>74</v>
      </c>
      <c r="AN1213" t="s">
        <v>74</v>
      </c>
      <c r="AO1213" t="s">
        <v>3978</v>
      </c>
      <c r="AP1213" t="s">
        <v>3979</v>
      </c>
      <c r="AQ1213" t="s">
        <v>74</v>
      </c>
      <c r="AR1213" t="s">
        <v>74</v>
      </c>
      <c r="AS1213" t="s">
        <v>74</v>
      </c>
      <c r="AT1213" t="s">
        <v>967</v>
      </c>
      <c r="AU1213">
        <v>2015</v>
      </c>
      <c r="AV1213">
        <v>36</v>
      </c>
      <c r="AW1213">
        <v>12</v>
      </c>
      <c r="AX1213" t="s">
        <v>74</v>
      </c>
      <c r="AY1213" t="s">
        <v>74</v>
      </c>
      <c r="AZ1213" t="s">
        <v>74</v>
      </c>
      <c r="BA1213" t="s">
        <v>74</v>
      </c>
      <c r="BB1213">
        <v>9649</v>
      </c>
      <c r="BC1213">
        <v>9659</v>
      </c>
      <c r="BD1213" t="s">
        <v>74</v>
      </c>
      <c r="BE1213" t="s">
        <v>3980</v>
      </c>
      <c r="BF1213" t="str">
        <f>HYPERLINK("http://dx.doi.org/10.1007/s13277-015-3711-9","http://dx.doi.org/10.1007/s13277-015-3711-9")</f>
        <v>http://dx.doi.org/10.1007/s13277-015-3711-9</v>
      </c>
      <c r="BG1213" t="s">
        <v>74</v>
      </c>
      <c r="BH1213" t="s">
        <v>74</v>
      </c>
      <c r="BI1213" t="s">
        <v>74</v>
      </c>
      <c r="BJ1213" t="s">
        <v>267</v>
      </c>
      <c r="BK1213" t="s">
        <v>117</v>
      </c>
      <c r="BL1213" t="s">
        <v>267</v>
      </c>
      <c r="BM1213" t="s">
        <v>74</v>
      </c>
      <c r="BN1213">
        <v>26150337</v>
      </c>
      <c r="BO1213" t="s">
        <v>74</v>
      </c>
      <c r="BP1213" t="s">
        <v>74</v>
      </c>
      <c r="BQ1213" t="s">
        <v>74</v>
      </c>
      <c r="BR1213" t="s">
        <v>96</v>
      </c>
      <c r="BS1213" t="s">
        <v>3981</v>
      </c>
      <c r="BT1213" t="str">
        <f>HYPERLINK("https%3A%2F%2Fwww.webofscience.com%2Fwos%2Fwoscc%2Ffull-record%2FWOS:000367329300060","View Full Record in Web of Science")</f>
        <v>View Full Record in Web of Science</v>
      </c>
    </row>
    <row r="1214" spans="1:72" x14ac:dyDescent="0.15">
      <c r="A1214" t="s">
        <v>98</v>
      </c>
      <c r="B1214" t="s">
        <v>4197</v>
      </c>
      <c r="C1214" t="s">
        <v>74</v>
      </c>
      <c r="D1214" t="s">
        <v>74</v>
      </c>
      <c r="E1214" t="s">
        <v>74</v>
      </c>
      <c r="F1214" t="s">
        <v>4198</v>
      </c>
      <c r="G1214" t="s">
        <v>74</v>
      </c>
      <c r="H1214" t="s">
        <v>74</v>
      </c>
      <c r="I1214" t="s">
        <v>4199</v>
      </c>
      <c r="J1214" t="s">
        <v>4200</v>
      </c>
      <c r="K1214" t="s">
        <v>74</v>
      </c>
      <c r="L1214" t="s">
        <v>74</v>
      </c>
      <c r="M1214" t="s">
        <v>74</v>
      </c>
      <c r="N1214" t="s">
        <v>103</v>
      </c>
      <c r="O1214" t="s">
        <v>74</v>
      </c>
      <c r="P1214" t="s">
        <v>74</v>
      </c>
      <c r="Q1214" t="s">
        <v>74</v>
      </c>
      <c r="R1214" t="s">
        <v>74</v>
      </c>
      <c r="S1214" t="s">
        <v>74</v>
      </c>
      <c r="T1214" t="s">
        <v>4201</v>
      </c>
      <c r="U1214" t="s">
        <v>4202</v>
      </c>
      <c r="V1214" t="s">
        <v>4203</v>
      </c>
      <c r="W1214" t="s">
        <v>4204</v>
      </c>
      <c r="X1214" t="s">
        <v>4205</v>
      </c>
      <c r="Y1214" t="s">
        <v>4206</v>
      </c>
      <c r="Z1214" t="s">
        <v>4207</v>
      </c>
      <c r="AA1214" t="s">
        <v>4208</v>
      </c>
      <c r="AB1214" t="s">
        <v>4209</v>
      </c>
      <c r="AC1214" t="s">
        <v>74</v>
      </c>
      <c r="AD1214" t="s">
        <v>74</v>
      </c>
      <c r="AE1214" t="s">
        <v>74</v>
      </c>
      <c r="AF1214" t="s">
        <v>74</v>
      </c>
      <c r="AG1214">
        <v>54</v>
      </c>
      <c r="AH1214">
        <v>9</v>
      </c>
      <c r="AI1214">
        <v>9</v>
      </c>
      <c r="AJ1214">
        <v>0</v>
      </c>
      <c r="AK1214">
        <v>22</v>
      </c>
      <c r="AL1214" t="s">
        <v>74</v>
      </c>
      <c r="AM1214" t="s">
        <v>74</v>
      </c>
      <c r="AN1214" t="s">
        <v>74</v>
      </c>
      <c r="AO1214" t="s">
        <v>4210</v>
      </c>
      <c r="AP1214" t="s">
        <v>4211</v>
      </c>
      <c r="AQ1214" t="s">
        <v>74</v>
      </c>
      <c r="AR1214" t="s">
        <v>74</v>
      </c>
      <c r="AS1214" t="s">
        <v>74</v>
      </c>
      <c r="AT1214" t="s">
        <v>967</v>
      </c>
      <c r="AU1214">
        <v>2018</v>
      </c>
      <c r="AV1214">
        <v>16</v>
      </c>
      <c r="AW1214">
        <v>4</v>
      </c>
      <c r="AX1214" t="s">
        <v>74</v>
      </c>
      <c r="AY1214" t="s">
        <v>74</v>
      </c>
      <c r="AZ1214" t="s">
        <v>74</v>
      </c>
      <c r="BA1214" t="s">
        <v>74</v>
      </c>
      <c r="BB1214">
        <v>489</v>
      </c>
      <c r="BC1214">
        <v>496</v>
      </c>
      <c r="BD1214" t="s">
        <v>74</v>
      </c>
      <c r="BE1214" t="s">
        <v>4212</v>
      </c>
      <c r="BF1214" t="str">
        <f>HYPERLINK("http://dx.doi.org/10.1111/vco.12405","http://dx.doi.org/10.1111/vco.12405")</f>
        <v>http://dx.doi.org/10.1111/vco.12405</v>
      </c>
      <c r="BG1214" t="s">
        <v>74</v>
      </c>
      <c r="BH1214" t="s">
        <v>74</v>
      </c>
      <c r="BI1214" t="s">
        <v>74</v>
      </c>
      <c r="BJ1214" t="s">
        <v>1341</v>
      </c>
      <c r="BK1214" t="s">
        <v>117</v>
      </c>
      <c r="BL1214" t="s">
        <v>1341</v>
      </c>
      <c r="BM1214" t="s">
        <v>74</v>
      </c>
      <c r="BN1214">
        <v>29851284</v>
      </c>
      <c r="BO1214" t="s">
        <v>74</v>
      </c>
      <c r="BP1214" t="s">
        <v>74</v>
      </c>
      <c r="BQ1214" t="s">
        <v>74</v>
      </c>
      <c r="BR1214" t="s">
        <v>96</v>
      </c>
      <c r="BS1214" t="s">
        <v>4213</v>
      </c>
      <c r="BT1214" t="str">
        <f>HYPERLINK("https%3A%2F%2Fwww.webofscience.com%2Fwos%2Fwoscc%2Ffull-record%2FWOS:000450018900009","View Full Record in Web of Science")</f>
        <v>View Full Record in Web of Science</v>
      </c>
    </row>
    <row r="1215" spans="1:72" x14ac:dyDescent="0.15">
      <c r="A1215" t="s">
        <v>98</v>
      </c>
      <c r="B1215" t="s">
        <v>5170</v>
      </c>
      <c r="C1215" t="s">
        <v>74</v>
      </c>
      <c r="D1215" t="s">
        <v>74</v>
      </c>
      <c r="E1215" t="s">
        <v>74</v>
      </c>
      <c r="F1215" t="s">
        <v>5171</v>
      </c>
      <c r="G1215" t="s">
        <v>74</v>
      </c>
      <c r="H1215" t="s">
        <v>74</v>
      </c>
      <c r="I1215" t="s">
        <v>5172</v>
      </c>
      <c r="J1215" t="s">
        <v>5173</v>
      </c>
      <c r="K1215" t="s">
        <v>74</v>
      </c>
      <c r="L1215" t="s">
        <v>74</v>
      </c>
      <c r="M1215" t="s">
        <v>74</v>
      </c>
      <c r="N1215" t="s">
        <v>103</v>
      </c>
      <c r="O1215" t="s">
        <v>74</v>
      </c>
      <c r="P1215" t="s">
        <v>74</v>
      </c>
      <c r="Q1215" t="s">
        <v>74</v>
      </c>
      <c r="R1215" t="s">
        <v>74</v>
      </c>
      <c r="S1215" t="s">
        <v>74</v>
      </c>
      <c r="T1215" t="s">
        <v>5174</v>
      </c>
      <c r="U1215" t="s">
        <v>5175</v>
      </c>
      <c r="V1215" t="s">
        <v>5176</v>
      </c>
      <c r="W1215" t="s">
        <v>5177</v>
      </c>
      <c r="X1215" t="s">
        <v>5178</v>
      </c>
      <c r="Y1215" t="s">
        <v>5179</v>
      </c>
      <c r="Z1215" t="s">
        <v>5180</v>
      </c>
      <c r="AA1215" t="s">
        <v>74</v>
      </c>
      <c r="AB1215" t="s">
        <v>5181</v>
      </c>
      <c r="AC1215" t="s">
        <v>74</v>
      </c>
      <c r="AD1215" t="s">
        <v>74</v>
      </c>
      <c r="AE1215" t="s">
        <v>74</v>
      </c>
      <c r="AF1215" t="s">
        <v>74</v>
      </c>
      <c r="AG1215">
        <v>36</v>
      </c>
      <c r="AH1215">
        <v>9</v>
      </c>
      <c r="AI1215">
        <v>9</v>
      </c>
      <c r="AJ1215">
        <v>3</v>
      </c>
      <c r="AK1215">
        <v>11</v>
      </c>
      <c r="AL1215" t="s">
        <v>74</v>
      </c>
      <c r="AM1215" t="s">
        <v>74</v>
      </c>
      <c r="AN1215" t="s">
        <v>74</v>
      </c>
      <c r="AO1215" t="s">
        <v>74</v>
      </c>
      <c r="AP1215" t="s">
        <v>5182</v>
      </c>
      <c r="AQ1215" t="s">
        <v>74</v>
      </c>
      <c r="AR1215" t="s">
        <v>74</v>
      </c>
      <c r="AS1215" t="s">
        <v>74</v>
      </c>
      <c r="AT1215" t="s">
        <v>5183</v>
      </c>
      <c r="AU1215">
        <v>2019</v>
      </c>
      <c r="AV1215">
        <v>10</v>
      </c>
      <c r="AW1215" t="s">
        <v>74</v>
      </c>
      <c r="AX1215" t="s">
        <v>74</v>
      </c>
      <c r="AY1215" t="s">
        <v>74</v>
      </c>
      <c r="AZ1215" t="s">
        <v>74</v>
      </c>
      <c r="BA1215" t="s">
        <v>74</v>
      </c>
      <c r="BB1215" t="s">
        <v>74</v>
      </c>
      <c r="BC1215" t="s">
        <v>74</v>
      </c>
      <c r="BD1215">
        <v>1273</v>
      </c>
      <c r="BE1215" t="s">
        <v>5184</v>
      </c>
      <c r="BF1215" t="str">
        <f>HYPERLINK("http://dx.doi.org/10.3389/fgene.2019.01273","http://dx.doi.org/10.3389/fgene.2019.01273")</f>
        <v>http://dx.doi.org/10.3389/fgene.2019.01273</v>
      </c>
      <c r="BG1215" t="s">
        <v>74</v>
      </c>
      <c r="BH1215" t="s">
        <v>74</v>
      </c>
      <c r="BI1215" t="s">
        <v>74</v>
      </c>
      <c r="BJ1215" t="s">
        <v>285</v>
      </c>
      <c r="BK1215" t="s">
        <v>117</v>
      </c>
      <c r="BL1215" t="s">
        <v>285</v>
      </c>
      <c r="BM1215" t="s">
        <v>74</v>
      </c>
      <c r="BN1215">
        <v>31921310</v>
      </c>
      <c r="BO1215" t="s">
        <v>74</v>
      </c>
      <c r="BP1215" t="s">
        <v>74</v>
      </c>
      <c r="BQ1215" t="s">
        <v>74</v>
      </c>
      <c r="BR1215" t="s">
        <v>96</v>
      </c>
      <c r="BS1215" t="s">
        <v>5185</v>
      </c>
      <c r="BT1215" t="str">
        <f>HYPERLINK("https%3A%2F%2Fwww.webofscience.com%2Fwos%2Fwoscc%2Ffull-record%2FWOS:000504977100001","View Full Record in Web of Science")</f>
        <v>View Full Record in Web of Science</v>
      </c>
    </row>
    <row r="1216" spans="1:72" x14ac:dyDescent="0.15">
      <c r="A1216" t="s">
        <v>98</v>
      </c>
      <c r="B1216" t="s">
        <v>5442</v>
      </c>
      <c r="C1216" t="s">
        <v>74</v>
      </c>
      <c r="D1216" t="s">
        <v>74</v>
      </c>
      <c r="E1216" t="s">
        <v>74</v>
      </c>
      <c r="F1216" t="s">
        <v>5443</v>
      </c>
      <c r="G1216" t="s">
        <v>74</v>
      </c>
      <c r="H1216" t="s">
        <v>74</v>
      </c>
      <c r="I1216" t="s">
        <v>5444</v>
      </c>
      <c r="J1216" t="s">
        <v>817</v>
      </c>
      <c r="K1216" t="s">
        <v>74</v>
      </c>
      <c r="L1216" t="s">
        <v>74</v>
      </c>
      <c r="M1216" t="s">
        <v>74</v>
      </c>
      <c r="N1216" t="s">
        <v>103</v>
      </c>
      <c r="O1216" t="s">
        <v>74</v>
      </c>
      <c r="P1216" t="s">
        <v>74</v>
      </c>
      <c r="Q1216" t="s">
        <v>74</v>
      </c>
      <c r="R1216" t="s">
        <v>74</v>
      </c>
      <c r="S1216" t="s">
        <v>74</v>
      </c>
      <c r="T1216" t="s">
        <v>5445</v>
      </c>
      <c r="U1216" t="s">
        <v>5446</v>
      </c>
      <c r="V1216" t="s">
        <v>5447</v>
      </c>
      <c r="W1216" t="s">
        <v>5448</v>
      </c>
      <c r="X1216" t="s">
        <v>5449</v>
      </c>
      <c r="Y1216" t="s">
        <v>5450</v>
      </c>
      <c r="Z1216" t="s">
        <v>5451</v>
      </c>
      <c r="AA1216" t="s">
        <v>74</v>
      </c>
      <c r="AB1216" t="s">
        <v>74</v>
      </c>
      <c r="AC1216" t="s">
        <v>74</v>
      </c>
      <c r="AD1216" t="s">
        <v>74</v>
      </c>
      <c r="AE1216" t="s">
        <v>74</v>
      </c>
      <c r="AF1216" t="s">
        <v>74</v>
      </c>
      <c r="AG1216">
        <v>93</v>
      </c>
      <c r="AH1216">
        <v>9</v>
      </c>
      <c r="AI1216">
        <v>9</v>
      </c>
      <c r="AJ1216">
        <v>2</v>
      </c>
      <c r="AK1216">
        <v>5</v>
      </c>
      <c r="AL1216" t="s">
        <v>74</v>
      </c>
      <c r="AM1216" t="s">
        <v>74</v>
      </c>
      <c r="AN1216" t="s">
        <v>74</v>
      </c>
      <c r="AO1216" t="s">
        <v>74</v>
      </c>
      <c r="AP1216" t="s">
        <v>827</v>
      </c>
      <c r="AQ1216" t="s">
        <v>74</v>
      </c>
      <c r="AR1216" t="s">
        <v>74</v>
      </c>
      <c r="AS1216" t="s">
        <v>74</v>
      </c>
      <c r="AT1216" t="s">
        <v>335</v>
      </c>
      <c r="AU1216">
        <v>2019</v>
      </c>
      <c r="AV1216">
        <v>20</v>
      </c>
      <c r="AW1216">
        <v>17</v>
      </c>
      <c r="AX1216" t="s">
        <v>74</v>
      </c>
      <c r="AY1216" t="s">
        <v>74</v>
      </c>
      <c r="AZ1216" t="s">
        <v>74</v>
      </c>
      <c r="BA1216" t="s">
        <v>74</v>
      </c>
      <c r="BB1216" t="s">
        <v>74</v>
      </c>
      <c r="BC1216" t="s">
        <v>74</v>
      </c>
      <c r="BD1216">
        <v>4162</v>
      </c>
      <c r="BE1216" t="s">
        <v>5452</v>
      </c>
      <c r="BF1216" t="str">
        <f>HYPERLINK("http://dx.doi.org/10.3390/ijms20174162","http://dx.doi.org/10.3390/ijms20174162")</f>
        <v>http://dx.doi.org/10.3390/ijms20174162</v>
      </c>
      <c r="BG1216" t="s">
        <v>74</v>
      </c>
      <c r="BH1216" t="s">
        <v>74</v>
      </c>
      <c r="BI1216" t="s">
        <v>74</v>
      </c>
      <c r="BJ1216" t="s">
        <v>830</v>
      </c>
      <c r="BK1216" t="s">
        <v>117</v>
      </c>
      <c r="BL1216" t="s">
        <v>831</v>
      </c>
      <c r="BM1216" t="s">
        <v>74</v>
      </c>
      <c r="BN1216">
        <v>31454892</v>
      </c>
      <c r="BO1216" t="s">
        <v>74</v>
      </c>
      <c r="BP1216" t="s">
        <v>74</v>
      </c>
      <c r="BQ1216" t="s">
        <v>74</v>
      </c>
      <c r="BR1216" t="s">
        <v>96</v>
      </c>
      <c r="BS1216" t="s">
        <v>5453</v>
      </c>
      <c r="BT1216" t="str">
        <f>HYPERLINK("https%3A%2F%2Fwww.webofscience.com%2Fwos%2Fwoscc%2Ffull-record%2FWOS:000486888400094","View Full Record in Web of Science")</f>
        <v>View Full Record in Web of Science</v>
      </c>
    </row>
    <row r="1217" spans="1:72" x14ac:dyDescent="0.15">
      <c r="A1217" t="s">
        <v>98</v>
      </c>
      <c r="B1217" t="s">
        <v>6527</v>
      </c>
      <c r="C1217" t="s">
        <v>74</v>
      </c>
      <c r="D1217" t="s">
        <v>74</v>
      </c>
      <c r="E1217" t="s">
        <v>74</v>
      </c>
      <c r="F1217" t="s">
        <v>6528</v>
      </c>
      <c r="G1217" t="s">
        <v>74</v>
      </c>
      <c r="H1217" t="s">
        <v>74</v>
      </c>
      <c r="I1217" t="s">
        <v>6529</v>
      </c>
      <c r="J1217" t="s">
        <v>6530</v>
      </c>
      <c r="K1217" t="s">
        <v>74</v>
      </c>
      <c r="L1217" t="s">
        <v>74</v>
      </c>
      <c r="M1217" t="s">
        <v>74</v>
      </c>
      <c r="N1217" t="s">
        <v>103</v>
      </c>
      <c r="O1217" t="s">
        <v>74</v>
      </c>
      <c r="P1217" t="s">
        <v>74</v>
      </c>
      <c r="Q1217" t="s">
        <v>74</v>
      </c>
      <c r="R1217" t="s">
        <v>74</v>
      </c>
      <c r="S1217" t="s">
        <v>74</v>
      </c>
      <c r="T1217" t="s">
        <v>6531</v>
      </c>
      <c r="U1217" t="s">
        <v>6532</v>
      </c>
      <c r="V1217" t="s">
        <v>6533</v>
      </c>
      <c r="W1217" t="s">
        <v>6534</v>
      </c>
      <c r="X1217" t="s">
        <v>6535</v>
      </c>
      <c r="Y1217" t="s">
        <v>6536</v>
      </c>
      <c r="Z1217" t="s">
        <v>6537</v>
      </c>
      <c r="AA1217" t="s">
        <v>6538</v>
      </c>
      <c r="AB1217" t="s">
        <v>6539</v>
      </c>
      <c r="AC1217" t="s">
        <v>74</v>
      </c>
      <c r="AD1217" t="s">
        <v>74</v>
      </c>
      <c r="AE1217" t="s">
        <v>74</v>
      </c>
      <c r="AF1217" t="s">
        <v>74</v>
      </c>
      <c r="AG1217">
        <v>82</v>
      </c>
      <c r="AH1217">
        <v>9</v>
      </c>
      <c r="AI1217">
        <v>9</v>
      </c>
      <c r="AJ1217">
        <v>2</v>
      </c>
      <c r="AK1217">
        <v>4</v>
      </c>
      <c r="AL1217" t="s">
        <v>74</v>
      </c>
      <c r="AM1217" t="s">
        <v>74</v>
      </c>
      <c r="AN1217" t="s">
        <v>74</v>
      </c>
      <c r="AO1217" t="s">
        <v>6540</v>
      </c>
      <c r="AP1217" t="s">
        <v>74</v>
      </c>
      <c r="AQ1217" t="s">
        <v>74</v>
      </c>
      <c r="AR1217" t="s">
        <v>74</v>
      </c>
      <c r="AS1217" t="s">
        <v>74</v>
      </c>
      <c r="AT1217" t="s">
        <v>74</v>
      </c>
      <c r="AU1217">
        <v>2021</v>
      </c>
      <c r="AV1217">
        <v>16</v>
      </c>
      <c r="AW1217" t="s">
        <v>74</v>
      </c>
      <c r="AX1217" t="s">
        <v>74</v>
      </c>
      <c r="AY1217" t="s">
        <v>74</v>
      </c>
      <c r="AZ1217" t="s">
        <v>74</v>
      </c>
      <c r="BA1217" t="s">
        <v>74</v>
      </c>
      <c r="BB1217">
        <v>3141</v>
      </c>
      <c r="BC1217">
        <v>3160</v>
      </c>
      <c r="BD1217" t="s">
        <v>74</v>
      </c>
      <c r="BE1217" t="s">
        <v>6541</v>
      </c>
      <c r="BF1217" t="str">
        <f>HYPERLINK("http://dx.doi.org/10.2147/IJN.S303391","http://dx.doi.org/10.2147/IJN.S303391")</f>
        <v>http://dx.doi.org/10.2147/IJN.S303391</v>
      </c>
      <c r="BG1217" t="s">
        <v>74</v>
      </c>
      <c r="BH1217" t="s">
        <v>74</v>
      </c>
      <c r="BI1217" t="s">
        <v>74</v>
      </c>
      <c r="BJ1217" t="s">
        <v>6542</v>
      </c>
      <c r="BK1217" t="s">
        <v>117</v>
      </c>
      <c r="BL1217" t="s">
        <v>6543</v>
      </c>
      <c r="BM1217" t="s">
        <v>74</v>
      </c>
      <c r="BN1217">
        <v>33994784</v>
      </c>
      <c r="BO1217" t="s">
        <v>74</v>
      </c>
      <c r="BP1217" t="s">
        <v>74</v>
      </c>
      <c r="BQ1217" t="s">
        <v>74</v>
      </c>
      <c r="BR1217" t="s">
        <v>96</v>
      </c>
      <c r="BS1217" t="s">
        <v>6544</v>
      </c>
      <c r="BT1217" t="str">
        <f>HYPERLINK("https%3A%2F%2Fwww.webofscience.com%2Fwos%2Fwoscc%2Ffull-record%2FWOS:000648450100001","View Full Record in Web of Science")</f>
        <v>View Full Record in Web of Science</v>
      </c>
    </row>
    <row r="1218" spans="1:72" x14ac:dyDescent="0.15">
      <c r="A1218" t="s">
        <v>98</v>
      </c>
      <c r="B1218" t="s">
        <v>6695</v>
      </c>
      <c r="C1218" t="s">
        <v>74</v>
      </c>
      <c r="D1218" t="s">
        <v>74</v>
      </c>
      <c r="E1218" t="s">
        <v>74</v>
      </c>
      <c r="F1218" t="s">
        <v>6696</v>
      </c>
      <c r="G1218" t="s">
        <v>74</v>
      </c>
      <c r="H1218" t="s">
        <v>74</v>
      </c>
      <c r="I1218" t="s">
        <v>6697</v>
      </c>
      <c r="J1218" t="s">
        <v>6698</v>
      </c>
      <c r="K1218" t="s">
        <v>74</v>
      </c>
      <c r="L1218" t="s">
        <v>74</v>
      </c>
      <c r="M1218" t="s">
        <v>74</v>
      </c>
      <c r="N1218" t="s">
        <v>103</v>
      </c>
      <c r="O1218" t="s">
        <v>74</v>
      </c>
      <c r="P1218" t="s">
        <v>74</v>
      </c>
      <c r="Q1218" t="s">
        <v>74</v>
      </c>
      <c r="R1218" t="s">
        <v>74</v>
      </c>
      <c r="S1218" t="s">
        <v>74</v>
      </c>
      <c r="T1218" t="s">
        <v>6699</v>
      </c>
      <c r="U1218" t="s">
        <v>6700</v>
      </c>
      <c r="V1218" t="s">
        <v>6701</v>
      </c>
      <c r="W1218" t="s">
        <v>6702</v>
      </c>
      <c r="X1218" t="s">
        <v>6703</v>
      </c>
      <c r="Y1218" t="s">
        <v>6704</v>
      </c>
      <c r="Z1218" t="s">
        <v>6705</v>
      </c>
      <c r="AA1218" t="s">
        <v>74</v>
      </c>
      <c r="AB1218" t="s">
        <v>6706</v>
      </c>
      <c r="AC1218" t="s">
        <v>74</v>
      </c>
      <c r="AD1218" t="s">
        <v>74</v>
      </c>
      <c r="AE1218" t="s">
        <v>74</v>
      </c>
      <c r="AF1218" t="s">
        <v>74</v>
      </c>
      <c r="AG1218">
        <v>45</v>
      </c>
      <c r="AH1218">
        <v>9</v>
      </c>
      <c r="AI1218">
        <v>9</v>
      </c>
      <c r="AJ1218">
        <v>1</v>
      </c>
      <c r="AK1218">
        <v>14</v>
      </c>
      <c r="AL1218" t="s">
        <v>74</v>
      </c>
      <c r="AM1218" t="s">
        <v>74</v>
      </c>
      <c r="AN1218" t="s">
        <v>74</v>
      </c>
      <c r="AO1218" t="s">
        <v>6707</v>
      </c>
      <c r="AP1218" t="s">
        <v>6708</v>
      </c>
      <c r="AQ1218" t="s">
        <v>74</v>
      </c>
      <c r="AR1218" t="s">
        <v>74</v>
      </c>
      <c r="AS1218" t="s">
        <v>74</v>
      </c>
      <c r="AT1218" t="s">
        <v>211</v>
      </c>
      <c r="AU1218">
        <v>2020</v>
      </c>
      <c r="AV1218">
        <v>55</v>
      </c>
      <c r="AW1218" t="s">
        <v>74</v>
      </c>
      <c r="AX1218" t="s">
        <v>74</v>
      </c>
      <c r="AY1218" t="s">
        <v>74</v>
      </c>
      <c r="AZ1218" t="s">
        <v>74</v>
      </c>
      <c r="BA1218" t="s">
        <v>74</v>
      </c>
      <c r="BB1218">
        <v>100</v>
      </c>
      <c r="BC1218">
        <v>110</v>
      </c>
      <c r="BD1218" t="s">
        <v>74</v>
      </c>
      <c r="BE1218" t="s">
        <v>6709</v>
      </c>
      <c r="BF1218" t="str">
        <f>HYPERLINK("http://dx.doi.org/10.1016/j.mito.2020.09.006","http://dx.doi.org/10.1016/j.mito.2020.09.006")</f>
        <v>http://dx.doi.org/10.1016/j.mito.2020.09.006</v>
      </c>
      <c r="BG1218" t="s">
        <v>74</v>
      </c>
      <c r="BH1218" t="s">
        <v>74</v>
      </c>
      <c r="BI1218" t="s">
        <v>74</v>
      </c>
      <c r="BJ1218" t="s">
        <v>6710</v>
      </c>
      <c r="BK1218" t="s">
        <v>117</v>
      </c>
      <c r="BL1218" t="s">
        <v>6710</v>
      </c>
      <c r="BM1218" t="s">
        <v>74</v>
      </c>
      <c r="BN1218">
        <v>32980480</v>
      </c>
      <c r="BO1218" t="s">
        <v>74</v>
      </c>
      <c r="BP1218" t="s">
        <v>74</v>
      </c>
      <c r="BQ1218" t="s">
        <v>74</v>
      </c>
      <c r="BR1218" t="s">
        <v>96</v>
      </c>
      <c r="BS1218" t="s">
        <v>6711</v>
      </c>
      <c r="BT1218" t="str">
        <f>HYPERLINK("https%3A%2F%2Fwww.webofscience.com%2Fwos%2Fwoscc%2Ffull-record%2FWOS:000606328400002","View Full Record in Web of Science")</f>
        <v>View Full Record in Web of Science</v>
      </c>
    </row>
    <row r="1219" spans="1:72" x14ac:dyDescent="0.15">
      <c r="A1219" t="s">
        <v>98</v>
      </c>
      <c r="B1219" t="s">
        <v>6760</v>
      </c>
      <c r="C1219" t="s">
        <v>74</v>
      </c>
      <c r="D1219" t="s">
        <v>74</v>
      </c>
      <c r="E1219" t="s">
        <v>74</v>
      </c>
      <c r="F1219" t="s">
        <v>6761</v>
      </c>
      <c r="G1219" t="s">
        <v>74</v>
      </c>
      <c r="H1219" t="s">
        <v>74</v>
      </c>
      <c r="I1219" t="s">
        <v>6762</v>
      </c>
      <c r="J1219" t="s">
        <v>903</v>
      </c>
      <c r="K1219" t="s">
        <v>74</v>
      </c>
      <c r="L1219" t="s">
        <v>74</v>
      </c>
      <c r="M1219" t="s">
        <v>74</v>
      </c>
      <c r="N1219" t="s">
        <v>103</v>
      </c>
      <c r="O1219" t="s">
        <v>74</v>
      </c>
      <c r="P1219" t="s">
        <v>74</v>
      </c>
      <c r="Q1219" t="s">
        <v>74</v>
      </c>
      <c r="R1219" t="s">
        <v>74</v>
      </c>
      <c r="S1219" t="s">
        <v>74</v>
      </c>
      <c r="T1219" t="s">
        <v>6763</v>
      </c>
      <c r="U1219" t="s">
        <v>6764</v>
      </c>
      <c r="V1219" t="s">
        <v>6765</v>
      </c>
      <c r="W1219" t="s">
        <v>6766</v>
      </c>
      <c r="X1219" t="s">
        <v>6767</v>
      </c>
      <c r="Y1219" t="s">
        <v>6768</v>
      </c>
      <c r="Z1219" t="s">
        <v>6769</v>
      </c>
      <c r="AA1219" t="s">
        <v>6770</v>
      </c>
      <c r="AB1219" t="s">
        <v>6771</v>
      </c>
      <c r="AC1219" t="s">
        <v>74</v>
      </c>
      <c r="AD1219" t="s">
        <v>74</v>
      </c>
      <c r="AE1219" t="s">
        <v>74</v>
      </c>
      <c r="AF1219" t="s">
        <v>74</v>
      </c>
      <c r="AG1219">
        <v>44</v>
      </c>
      <c r="AH1219">
        <v>9</v>
      </c>
      <c r="AI1219">
        <v>9</v>
      </c>
      <c r="AJ1219">
        <v>1</v>
      </c>
      <c r="AK1219">
        <v>3</v>
      </c>
      <c r="AL1219" t="s">
        <v>74</v>
      </c>
      <c r="AM1219" t="s">
        <v>74</v>
      </c>
      <c r="AN1219" t="s">
        <v>74</v>
      </c>
      <c r="AO1219" t="s">
        <v>74</v>
      </c>
      <c r="AP1219" t="s">
        <v>913</v>
      </c>
      <c r="AQ1219" t="s">
        <v>74</v>
      </c>
      <c r="AR1219" t="s">
        <v>74</v>
      </c>
      <c r="AS1219" t="s">
        <v>74</v>
      </c>
      <c r="AT1219" t="s">
        <v>189</v>
      </c>
      <c r="AU1219">
        <v>2020</v>
      </c>
      <c r="AV1219">
        <v>12</v>
      </c>
      <c r="AW1219">
        <v>10</v>
      </c>
      <c r="AX1219" t="s">
        <v>74</v>
      </c>
      <c r="AY1219" t="s">
        <v>74</v>
      </c>
      <c r="AZ1219" t="s">
        <v>74</v>
      </c>
      <c r="BA1219" t="s">
        <v>74</v>
      </c>
      <c r="BB1219" t="s">
        <v>74</v>
      </c>
      <c r="BC1219" t="s">
        <v>74</v>
      </c>
      <c r="BD1219">
        <v>2822</v>
      </c>
      <c r="BE1219" t="s">
        <v>6772</v>
      </c>
      <c r="BF1219" t="str">
        <f>HYPERLINK("http://dx.doi.org/10.3390/cancers12102822","http://dx.doi.org/10.3390/cancers12102822")</f>
        <v>http://dx.doi.org/10.3390/cancers12102822</v>
      </c>
      <c r="BG1219" t="s">
        <v>74</v>
      </c>
      <c r="BH1219" t="s">
        <v>74</v>
      </c>
      <c r="BI1219" t="s">
        <v>74</v>
      </c>
      <c r="BJ1219" t="s">
        <v>267</v>
      </c>
      <c r="BK1219" t="s">
        <v>117</v>
      </c>
      <c r="BL1219" t="s">
        <v>267</v>
      </c>
      <c r="BM1219" t="s">
        <v>74</v>
      </c>
      <c r="BN1219">
        <v>33007940</v>
      </c>
      <c r="BO1219" t="s">
        <v>74</v>
      </c>
      <c r="BP1219" t="s">
        <v>74</v>
      </c>
      <c r="BQ1219" t="s">
        <v>74</v>
      </c>
      <c r="BR1219" t="s">
        <v>96</v>
      </c>
      <c r="BS1219" t="s">
        <v>6773</v>
      </c>
      <c r="BT1219" t="str">
        <f>HYPERLINK("https%3A%2F%2Fwww.webofscience.com%2Fwos%2Fwoscc%2Ffull-record%2FWOS:000582657600001","View Full Record in Web of Science")</f>
        <v>View Full Record in Web of Science</v>
      </c>
    </row>
    <row r="1220" spans="1:72" x14ac:dyDescent="0.15">
      <c r="A1220" t="s">
        <v>98</v>
      </c>
      <c r="B1220" t="s">
        <v>6898</v>
      </c>
      <c r="C1220" t="s">
        <v>74</v>
      </c>
      <c r="D1220" t="s">
        <v>74</v>
      </c>
      <c r="E1220" t="s">
        <v>74</v>
      </c>
      <c r="F1220" t="s">
        <v>6899</v>
      </c>
      <c r="G1220" t="s">
        <v>74</v>
      </c>
      <c r="H1220" t="s">
        <v>74</v>
      </c>
      <c r="I1220" t="s">
        <v>6900</v>
      </c>
      <c r="J1220" t="s">
        <v>6901</v>
      </c>
      <c r="K1220" t="s">
        <v>74</v>
      </c>
      <c r="L1220" t="s">
        <v>74</v>
      </c>
      <c r="M1220" t="s">
        <v>74</v>
      </c>
      <c r="N1220" t="s">
        <v>103</v>
      </c>
      <c r="O1220" t="s">
        <v>74</v>
      </c>
      <c r="P1220" t="s">
        <v>74</v>
      </c>
      <c r="Q1220" t="s">
        <v>74</v>
      </c>
      <c r="R1220" t="s">
        <v>74</v>
      </c>
      <c r="S1220" t="s">
        <v>74</v>
      </c>
      <c r="T1220" t="s">
        <v>6902</v>
      </c>
      <c r="U1220" t="s">
        <v>6903</v>
      </c>
      <c r="V1220" t="s">
        <v>6904</v>
      </c>
      <c r="W1220" t="s">
        <v>6905</v>
      </c>
      <c r="X1220" t="s">
        <v>6906</v>
      </c>
      <c r="Y1220" t="s">
        <v>6907</v>
      </c>
      <c r="Z1220" t="s">
        <v>6908</v>
      </c>
      <c r="AA1220" t="s">
        <v>6909</v>
      </c>
      <c r="AB1220" t="s">
        <v>6910</v>
      </c>
      <c r="AC1220" t="s">
        <v>74</v>
      </c>
      <c r="AD1220" t="s">
        <v>74</v>
      </c>
      <c r="AE1220" t="s">
        <v>74</v>
      </c>
      <c r="AF1220" t="s">
        <v>74</v>
      </c>
      <c r="AG1220">
        <v>68</v>
      </c>
      <c r="AH1220">
        <v>9</v>
      </c>
      <c r="AI1220">
        <v>9</v>
      </c>
      <c r="AJ1220">
        <v>1</v>
      </c>
      <c r="AK1220">
        <v>8</v>
      </c>
      <c r="AL1220" t="s">
        <v>74</v>
      </c>
      <c r="AM1220" t="s">
        <v>74</v>
      </c>
      <c r="AN1220" t="s">
        <v>74</v>
      </c>
      <c r="AO1220" t="s">
        <v>6911</v>
      </c>
      <c r="AP1220" t="s">
        <v>6912</v>
      </c>
      <c r="AQ1220" t="s">
        <v>74</v>
      </c>
      <c r="AR1220" t="s">
        <v>74</v>
      </c>
      <c r="AS1220" t="s">
        <v>74</v>
      </c>
      <c r="AT1220" t="s">
        <v>170</v>
      </c>
      <c r="AU1220">
        <v>2020</v>
      </c>
      <c r="AV1220">
        <v>34</v>
      </c>
      <c r="AW1220" t="s">
        <v>74</v>
      </c>
      <c r="AX1220" t="s">
        <v>74</v>
      </c>
      <c r="AY1220" t="s">
        <v>74</v>
      </c>
      <c r="AZ1220" t="s">
        <v>74</v>
      </c>
      <c r="BA1220" t="s">
        <v>74</v>
      </c>
      <c r="BB1220" t="s">
        <v>74</v>
      </c>
      <c r="BC1220" t="s">
        <v>74</v>
      </c>
      <c r="BD1220">
        <v>100661</v>
      </c>
      <c r="BE1220" t="s">
        <v>6913</v>
      </c>
      <c r="BF1220" t="str">
        <f>HYPERLINK("http://dx.doi.org/10.1016/j.cbd.2020.100661","http://dx.doi.org/10.1016/j.cbd.2020.100661")</f>
        <v>http://dx.doi.org/10.1016/j.cbd.2020.100661</v>
      </c>
      <c r="BG1220" t="s">
        <v>74</v>
      </c>
      <c r="BH1220" t="s">
        <v>74</v>
      </c>
      <c r="BI1220" t="s">
        <v>74</v>
      </c>
      <c r="BJ1220" t="s">
        <v>950</v>
      </c>
      <c r="BK1220" t="s">
        <v>117</v>
      </c>
      <c r="BL1220" t="s">
        <v>950</v>
      </c>
      <c r="BM1220" t="s">
        <v>74</v>
      </c>
      <c r="BN1220">
        <v>32062572</v>
      </c>
      <c r="BO1220" t="s">
        <v>74</v>
      </c>
      <c r="BP1220" t="s">
        <v>74</v>
      </c>
      <c r="BQ1220" t="s">
        <v>74</v>
      </c>
      <c r="BR1220" t="s">
        <v>96</v>
      </c>
      <c r="BS1220" t="s">
        <v>6914</v>
      </c>
      <c r="BT1220" t="str">
        <f>HYPERLINK("https%3A%2F%2Fwww.webofscience.com%2Fwos%2Fwoscc%2Ffull-record%2FWOS:000537087700007","View Full Record in Web of Science")</f>
        <v>View Full Record in Web of Science</v>
      </c>
    </row>
    <row r="1221" spans="1:72" x14ac:dyDescent="0.15">
      <c r="A1221" t="s">
        <v>98</v>
      </c>
      <c r="B1221" t="s">
        <v>7455</v>
      </c>
      <c r="C1221" t="s">
        <v>74</v>
      </c>
      <c r="D1221" t="s">
        <v>74</v>
      </c>
      <c r="E1221" t="s">
        <v>74</v>
      </c>
      <c r="F1221" t="s">
        <v>7456</v>
      </c>
      <c r="G1221" t="s">
        <v>74</v>
      </c>
      <c r="H1221" t="s">
        <v>74</v>
      </c>
      <c r="I1221" t="s">
        <v>7457</v>
      </c>
      <c r="J1221" t="s">
        <v>7458</v>
      </c>
      <c r="K1221" t="s">
        <v>74</v>
      </c>
      <c r="L1221" t="s">
        <v>74</v>
      </c>
      <c r="M1221" t="s">
        <v>74</v>
      </c>
      <c r="N1221" t="s">
        <v>103</v>
      </c>
      <c r="O1221" t="s">
        <v>74</v>
      </c>
      <c r="P1221" t="s">
        <v>74</v>
      </c>
      <c r="Q1221" t="s">
        <v>74</v>
      </c>
      <c r="R1221" t="s">
        <v>74</v>
      </c>
      <c r="S1221" t="s">
        <v>74</v>
      </c>
      <c r="T1221" t="s">
        <v>7459</v>
      </c>
      <c r="U1221" t="s">
        <v>7460</v>
      </c>
      <c r="V1221" t="s">
        <v>7461</v>
      </c>
      <c r="W1221" t="s">
        <v>7462</v>
      </c>
      <c r="X1221" t="s">
        <v>2509</v>
      </c>
      <c r="Y1221" t="s">
        <v>7463</v>
      </c>
      <c r="Z1221" t="s">
        <v>7464</v>
      </c>
      <c r="AA1221" t="s">
        <v>7465</v>
      </c>
      <c r="AB1221" t="s">
        <v>7466</v>
      </c>
      <c r="AC1221" t="s">
        <v>74</v>
      </c>
      <c r="AD1221" t="s">
        <v>74</v>
      </c>
      <c r="AE1221" t="s">
        <v>74</v>
      </c>
      <c r="AF1221" t="s">
        <v>74</v>
      </c>
      <c r="AG1221">
        <v>28</v>
      </c>
      <c r="AH1221">
        <v>9</v>
      </c>
      <c r="AI1221">
        <v>9</v>
      </c>
      <c r="AJ1221">
        <v>3</v>
      </c>
      <c r="AK1221">
        <v>34</v>
      </c>
      <c r="AL1221" t="s">
        <v>74</v>
      </c>
      <c r="AM1221" t="s">
        <v>74</v>
      </c>
      <c r="AN1221" t="s">
        <v>74</v>
      </c>
      <c r="AO1221" t="s">
        <v>7467</v>
      </c>
      <c r="AP1221" t="s">
        <v>7468</v>
      </c>
      <c r="AQ1221" t="s">
        <v>74</v>
      </c>
      <c r="AR1221" t="s">
        <v>74</v>
      </c>
      <c r="AS1221" t="s">
        <v>74</v>
      </c>
      <c r="AT1221" t="s">
        <v>1029</v>
      </c>
      <c r="AU1221">
        <v>2017</v>
      </c>
      <c r="AV1221">
        <v>1859</v>
      </c>
      <c r="AW1221">
        <v>5</v>
      </c>
      <c r="AX1221" t="s">
        <v>74</v>
      </c>
      <c r="AY1221" t="s">
        <v>74</v>
      </c>
      <c r="AZ1221" t="s">
        <v>74</v>
      </c>
      <c r="BA1221" t="s">
        <v>74</v>
      </c>
      <c r="BB1221">
        <v>756</v>
      </c>
      <c r="BC1221">
        <v>766</v>
      </c>
      <c r="BD1221" t="s">
        <v>74</v>
      </c>
      <c r="BE1221" t="s">
        <v>7469</v>
      </c>
      <c r="BF1221" t="str">
        <f>HYPERLINK("http://dx.doi.org/10.1016/j.bbamem.2017.01.013","http://dx.doi.org/10.1016/j.bbamem.2017.01.013")</f>
        <v>http://dx.doi.org/10.1016/j.bbamem.2017.01.013</v>
      </c>
      <c r="BG1221" t="s">
        <v>74</v>
      </c>
      <c r="BH1221" t="s">
        <v>74</v>
      </c>
      <c r="BI1221" t="s">
        <v>74</v>
      </c>
      <c r="BJ1221" t="s">
        <v>2845</v>
      </c>
      <c r="BK1221" t="s">
        <v>117</v>
      </c>
      <c r="BL1221" t="s">
        <v>2845</v>
      </c>
      <c r="BM1221" t="s">
        <v>74</v>
      </c>
      <c r="BN1221">
        <v>28088446</v>
      </c>
      <c r="BO1221" t="s">
        <v>74</v>
      </c>
      <c r="BP1221" t="s">
        <v>74</v>
      </c>
      <c r="BQ1221" t="s">
        <v>74</v>
      </c>
      <c r="BR1221" t="s">
        <v>96</v>
      </c>
      <c r="BS1221" t="s">
        <v>7470</v>
      </c>
      <c r="BT1221" t="str">
        <f>HYPERLINK("https%3A%2F%2Fwww.webofscience.com%2Fwos%2Fwoscc%2Ffull-record%2FWOS:000398870800011","View Full Record in Web of Science")</f>
        <v>View Full Record in Web of Science</v>
      </c>
    </row>
    <row r="1222" spans="1:72" x14ac:dyDescent="0.15">
      <c r="A1222" t="s">
        <v>98</v>
      </c>
      <c r="B1222" t="s">
        <v>7866</v>
      </c>
      <c r="C1222" t="s">
        <v>74</v>
      </c>
      <c r="D1222" t="s">
        <v>74</v>
      </c>
      <c r="E1222" t="s">
        <v>74</v>
      </c>
      <c r="F1222" t="s">
        <v>7867</v>
      </c>
      <c r="G1222" t="s">
        <v>74</v>
      </c>
      <c r="H1222" t="s">
        <v>74</v>
      </c>
      <c r="I1222" t="s">
        <v>7868</v>
      </c>
      <c r="J1222" t="s">
        <v>5523</v>
      </c>
      <c r="K1222" t="s">
        <v>74</v>
      </c>
      <c r="L1222" t="s">
        <v>74</v>
      </c>
      <c r="M1222" t="s">
        <v>74</v>
      </c>
      <c r="N1222" t="s">
        <v>103</v>
      </c>
      <c r="O1222" t="s">
        <v>74</v>
      </c>
      <c r="P1222" t="s">
        <v>74</v>
      </c>
      <c r="Q1222" t="s">
        <v>74</v>
      </c>
      <c r="R1222" t="s">
        <v>74</v>
      </c>
      <c r="S1222" t="s">
        <v>74</v>
      </c>
      <c r="T1222" t="s">
        <v>7869</v>
      </c>
      <c r="U1222" t="s">
        <v>7870</v>
      </c>
      <c r="V1222" t="s">
        <v>7871</v>
      </c>
      <c r="W1222" t="s">
        <v>7872</v>
      </c>
      <c r="X1222" t="s">
        <v>3499</v>
      </c>
      <c r="Y1222" t="s">
        <v>7873</v>
      </c>
      <c r="Z1222" t="s">
        <v>7874</v>
      </c>
      <c r="AA1222" t="s">
        <v>1225</v>
      </c>
      <c r="AB1222" t="s">
        <v>1226</v>
      </c>
      <c r="AC1222" t="s">
        <v>74</v>
      </c>
      <c r="AD1222" t="s">
        <v>74</v>
      </c>
      <c r="AE1222" t="s">
        <v>74</v>
      </c>
      <c r="AF1222" t="s">
        <v>74</v>
      </c>
      <c r="AG1222">
        <v>45</v>
      </c>
      <c r="AH1222">
        <v>9</v>
      </c>
      <c r="AI1222">
        <v>9</v>
      </c>
      <c r="AJ1222">
        <v>18</v>
      </c>
      <c r="AK1222">
        <v>125</v>
      </c>
      <c r="AL1222" t="s">
        <v>74</v>
      </c>
      <c r="AM1222" t="s">
        <v>74</v>
      </c>
      <c r="AN1222" t="s">
        <v>74</v>
      </c>
      <c r="AO1222" t="s">
        <v>5531</v>
      </c>
      <c r="AP1222" t="s">
        <v>5532</v>
      </c>
      <c r="AQ1222" t="s">
        <v>74</v>
      </c>
      <c r="AR1222" t="s">
        <v>74</v>
      </c>
      <c r="AS1222" t="s">
        <v>74</v>
      </c>
      <c r="AT1222" t="s">
        <v>7875</v>
      </c>
      <c r="AU1222">
        <v>2020</v>
      </c>
      <c r="AV1222">
        <v>12</v>
      </c>
      <c r="AW1222">
        <v>30</v>
      </c>
      <c r="AX1222" t="s">
        <v>74</v>
      </c>
      <c r="AY1222" t="s">
        <v>74</v>
      </c>
      <c r="AZ1222" t="s">
        <v>74</v>
      </c>
      <c r="BA1222" t="s">
        <v>74</v>
      </c>
      <c r="BB1222">
        <v>33473</v>
      </c>
      <c r="BC1222">
        <v>33482</v>
      </c>
      <c r="BD1222" t="s">
        <v>74</v>
      </c>
      <c r="BE1222" t="s">
        <v>7876</v>
      </c>
      <c r="BF1222" t="str">
        <f>HYPERLINK("http://dx.doi.org/10.1021/acsami.0c06785","http://dx.doi.org/10.1021/acsami.0c06785")</f>
        <v>http://dx.doi.org/10.1021/acsami.0c06785</v>
      </c>
      <c r="BG1222" t="s">
        <v>74</v>
      </c>
      <c r="BH1222" t="s">
        <v>74</v>
      </c>
      <c r="BI1222" t="s">
        <v>74</v>
      </c>
      <c r="BJ1222" t="s">
        <v>5534</v>
      </c>
      <c r="BK1222" t="s">
        <v>117</v>
      </c>
      <c r="BL1222" t="s">
        <v>5535</v>
      </c>
      <c r="BM1222" t="s">
        <v>74</v>
      </c>
      <c r="BN1222">
        <v>32603586</v>
      </c>
      <c r="BO1222" t="s">
        <v>74</v>
      </c>
      <c r="BP1222" t="s">
        <v>74</v>
      </c>
      <c r="BQ1222" t="s">
        <v>74</v>
      </c>
      <c r="BR1222" t="s">
        <v>96</v>
      </c>
      <c r="BS1222" t="s">
        <v>7877</v>
      </c>
      <c r="BT1222" t="str">
        <f>HYPERLINK("https%3A%2F%2Fwww.webofscience.com%2Fwos%2Fwoscc%2Ffull-record%2FWOS:000557854700003","View Full Record in Web of Science")</f>
        <v>View Full Record in Web of Science</v>
      </c>
    </row>
    <row r="1223" spans="1:72" x14ac:dyDescent="0.15">
      <c r="A1223" t="s">
        <v>98</v>
      </c>
      <c r="B1223" t="s">
        <v>9568</v>
      </c>
      <c r="C1223" t="s">
        <v>74</v>
      </c>
      <c r="D1223" t="s">
        <v>74</v>
      </c>
      <c r="E1223" t="s">
        <v>74</v>
      </c>
      <c r="F1223" t="s">
        <v>9569</v>
      </c>
      <c r="G1223" t="s">
        <v>74</v>
      </c>
      <c r="H1223" t="s">
        <v>74</v>
      </c>
      <c r="I1223" t="s">
        <v>9570</v>
      </c>
      <c r="J1223" t="s">
        <v>817</v>
      </c>
      <c r="K1223" t="s">
        <v>74</v>
      </c>
      <c r="L1223" t="s">
        <v>74</v>
      </c>
      <c r="M1223" t="s">
        <v>74</v>
      </c>
      <c r="N1223" t="s">
        <v>103</v>
      </c>
      <c r="O1223" t="s">
        <v>74</v>
      </c>
      <c r="P1223" t="s">
        <v>74</v>
      </c>
      <c r="Q1223" t="s">
        <v>74</v>
      </c>
      <c r="R1223" t="s">
        <v>74</v>
      </c>
      <c r="S1223" t="s">
        <v>74</v>
      </c>
      <c r="T1223" t="s">
        <v>9571</v>
      </c>
      <c r="U1223" t="s">
        <v>9572</v>
      </c>
      <c r="V1223" t="s">
        <v>9573</v>
      </c>
      <c r="W1223" t="s">
        <v>9574</v>
      </c>
      <c r="X1223" t="s">
        <v>9575</v>
      </c>
      <c r="Y1223" t="s">
        <v>9576</v>
      </c>
      <c r="Z1223" t="s">
        <v>9577</v>
      </c>
      <c r="AA1223" t="s">
        <v>9578</v>
      </c>
      <c r="AB1223" t="s">
        <v>9579</v>
      </c>
      <c r="AC1223" t="s">
        <v>74</v>
      </c>
      <c r="AD1223" t="s">
        <v>74</v>
      </c>
      <c r="AE1223" t="s">
        <v>74</v>
      </c>
      <c r="AF1223" t="s">
        <v>74</v>
      </c>
      <c r="AG1223">
        <v>48</v>
      </c>
      <c r="AH1223">
        <v>9</v>
      </c>
      <c r="AI1223">
        <v>9</v>
      </c>
      <c r="AJ1223">
        <v>11</v>
      </c>
      <c r="AK1223">
        <v>23</v>
      </c>
      <c r="AL1223" t="s">
        <v>74</v>
      </c>
      <c r="AM1223" t="s">
        <v>74</v>
      </c>
      <c r="AN1223" t="s">
        <v>74</v>
      </c>
      <c r="AO1223" t="s">
        <v>74</v>
      </c>
      <c r="AP1223" t="s">
        <v>827</v>
      </c>
      <c r="AQ1223" t="s">
        <v>74</v>
      </c>
      <c r="AR1223" t="s">
        <v>74</v>
      </c>
      <c r="AS1223" t="s">
        <v>74</v>
      </c>
      <c r="AT1223" t="s">
        <v>230</v>
      </c>
      <c r="AU1223">
        <v>2021</v>
      </c>
      <c r="AV1223">
        <v>22</v>
      </c>
      <c r="AW1223">
        <v>16</v>
      </c>
      <c r="AX1223" t="s">
        <v>74</v>
      </c>
      <c r="AY1223" t="s">
        <v>74</v>
      </c>
      <c r="AZ1223" t="s">
        <v>74</v>
      </c>
      <c r="BA1223" t="s">
        <v>74</v>
      </c>
      <c r="BB1223" t="s">
        <v>74</v>
      </c>
      <c r="BC1223" t="s">
        <v>74</v>
      </c>
      <c r="BD1223">
        <v>8732</v>
      </c>
      <c r="BE1223" t="s">
        <v>9580</v>
      </c>
      <c r="BF1223" t="str">
        <f>HYPERLINK("http://dx.doi.org/10.3390/ijms22168732","http://dx.doi.org/10.3390/ijms22168732")</f>
        <v>http://dx.doi.org/10.3390/ijms22168732</v>
      </c>
      <c r="BG1223" t="s">
        <v>74</v>
      </c>
      <c r="BH1223" t="s">
        <v>74</v>
      </c>
      <c r="BI1223" t="s">
        <v>74</v>
      </c>
      <c r="BJ1223" t="s">
        <v>830</v>
      </c>
      <c r="BK1223" t="s">
        <v>117</v>
      </c>
      <c r="BL1223" t="s">
        <v>831</v>
      </c>
      <c r="BM1223" t="s">
        <v>74</v>
      </c>
      <c r="BN1223">
        <v>34445438</v>
      </c>
      <c r="BO1223" t="s">
        <v>74</v>
      </c>
      <c r="BP1223" t="s">
        <v>74</v>
      </c>
      <c r="BQ1223" t="s">
        <v>74</v>
      </c>
      <c r="BR1223" t="s">
        <v>96</v>
      </c>
      <c r="BS1223" t="s">
        <v>9581</v>
      </c>
      <c r="BT1223" t="str">
        <f>HYPERLINK("https%3A%2F%2Fwww.webofscience.com%2Fwos%2Fwoscc%2Ffull-record%2FWOS:000689199800001","View Full Record in Web of Science")</f>
        <v>View Full Record in Web of Science</v>
      </c>
    </row>
    <row r="1224" spans="1:72" x14ac:dyDescent="0.15">
      <c r="A1224" t="s">
        <v>98</v>
      </c>
      <c r="B1224" t="s">
        <v>9806</v>
      </c>
      <c r="C1224" t="s">
        <v>74</v>
      </c>
      <c r="D1224" t="s">
        <v>74</v>
      </c>
      <c r="E1224" t="s">
        <v>74</v>
      </c>
      <c r="F1224" t="s">
        <v>9807</v>
      </c>
      <c r="G1224" t="s">
        <v>74</v>
      </c>
      <c r="H1224" t="s">
        <v>74</v>
      </c>
      <c r="I1224" t="s">
        <v>9808</v>
      </c>
      <c r="J1224" t="s">
        <v>140</v>
      </c>
      <c r="K1224" t="s">
        <v>74</v>
      </c>
      <c r="L1224" t="s">
        <v>74</v>
      </c>
      <c r="M1224" t="s">
        <v>74</v>
      </c>
      <c r="N1224" t="s">
        <v>103</v>
      </c>
      <c r="O1224" t="s">
        <v>74</v>
      </c>
      <c r="P1224" t="s">
        <v>74</v>
      </c>
      <c r="Q1224" t="s">
        <v>74</v>
      </c>
      <c r="R1224" t="s">
        <v>74</v>
      </c>
      <c r="S1224" t="s">
        <v>74</v>
      </c>
      <c r="T1224" t="s">
        <v>74</v>
      </c>
      <c r="U1224" t="s">
        <v>9809</v>
      </c>
      <c r="V1224" t="s">
        <v>9810</v>
      </c>
      <c r="W1224" t="s">
        <v>9811</v>
      </c>
      <c r="X1224" t="s">
        <v>9812</v>
      </c>
      <c r="Y1224" t="s">
        <v>9813</v>
      </c>
      <c r="Z1224" t="s">
        <v>1370</v>
      </c>
      <c r="AA1224" t="s">
        <v>9814</v>
      </c>
      <c r="AB1224" t="s">
        <v>9815</v>
      </c>
      <c r="AC1224" t="s">
        <v>74</v>
      </c>
      <c r="AD1224" t="s">
        <v>74</v>
      </c>
      <c r="AE1224" t="s">
        <v>74</v>
      </c>
      <c r="AF1224" t="s">
        <v>74</v>
      </c>
      <c r="AG1224">
        <v>76</v>
      </c>
      <c r="AH1224">
        <v>9</v>
      </c>
      <c r="AI1224">
        <v>9</v>
      </c>
      <c r="AJ1224">
        <v>0</v>
      </c>
      <c r="AK1224">
        <v>2</v>
      </c>
      <c r="AL1224" t="s">
        <v>74</v>
      </c>
      <c r="AM1224" t="s">
        <v>74</v>
      </c>
      <c r="AN1224" t="s">
        <v>74</v>
      </c>
      <c r="AO1224" t="s">
        <v>149</v>
      </c>
      <c r="AP1224" t="s">
        <v>74</v>
      </c>
      <c r="AQ1224" t="s">
        <v>74</v>
      </c>
      <c r="AR1224" t="s">
        <v>74</v>
      </c>
      <c r="AS1224" t="s">
        <v>74</v>
      </c>
      <c r="AT1224" t="s">
        <v>9816</v>
      </c>
      <c r="AU1224">
        <v>2020</v>
      </c>
      <c r="AV1224">
        <v>10</v>
      </c>
      <c r="AW1224">
        <v>1</v>
      </c>
      <c r="AX1224" t="s">
        <v>74</v>
      </c>
      <c r="AY1224" t="s">
        <v>74</v>
      </c>
      <c r="AZ1224" t="s">
        <v>74</v>
      </c>
      <c r="BA1224" t="s">
        <v>74</v>
      </c>
      <c r="BB1224" t="s">
        <v>74</v>
      </c>
      <c r="BC1224" t="s">
        <v>74</v>
      </c>
      <c r="BD1224">
        <v>8532</v>
      </c>
      <c r="BE1224" t="s">
        <v>9817</v>
      </c>
      <c r="BF1224" t="str">
        <f>HYPERLINK("http://dx.doi.org/10.1038/s41598-020-65640-7","http://dx.doi.org/10.1038/s41598-020-65640-7")</f>
        <v>http://dx.doi.org/10.1038/s41598-020-65640-7</v>
      </c>
      <c r="BG1224" t="s">
        <v>74</v>
      </c>
      <c r="BH1224" t="s">
        <v>74</v>
      </c>
      <c r="BI1224" t="s">
        <v>74</v>
      </c>
      <c r="BJ1224" t="s">
        <v>152</v>
      </c>
      <c r="BK1224" t="s">
        <v>117</v>
      </c>
      <c r="BL1224" t="s">
        <v>153</v>
      </c>
      <c r="BM1224" t="s">
        <v>74</v>
      </c>
      <c r="BN1224">
        <v>32444772</v>
      </c>
      <c r="BO1224" t="s">
        <v>74</v>
      </c>
      <c r="BP1224" t="s">
        <v>74</v>
      </c>
      <c r="BQ1224" t="s">
        <v>74</v>
      </c>
      <c r="BR1224" t="s">
        <v>96</v>
      </c>
      <c r="BS1224" t="s">
        <v>9818</v>
      </c>
      <c r="BT1224" t="str">
        <f>HYPERLINK("https%3A%2F%2Fwww.webofscience.com%2Fwos%2Fwoscc%2Ffull-record%2FWOS:000540510300035","View Full Record in Web of Science")</f>
        <v>View Full Record in Web of Science</v>
      </c>
    </row>
    <row r="1225" spans="1:72" x14ac:dyDescent="0.15">
      <c r="A1225" t="s">
        <v>98</v>
      </c>
      <c r="B1225" t="s">
        <v>10386</v>
      </c>
      <c r="C1225" t="s">
        <v>74</v>
      </c>
      <c r="D1225" t="s">
        <v>74</v>
      </c>
      <c r="E1225" t="s">
        <v>74</v>
      </c>
      <c r="F1225" t="s">
        <v>10387</v>
      </c>
      <c r="G1225" t="s">
        <v>74</v>
      </c>
      <c r="H1225" t="s">
        <v>74</v>
      </c>
      <c r="I1225" t="s">
        <v>10388</v>
      </c>
      <c r="J1225" t="s">
        <v>140</v>
      </c>
      <c r="K1225" t="s">
        <v>74</v>
      </c>
      <c r="L1225" t="s">
        <v>74</v>
      </c>
      <c r="M1225" t="s">
        <v>74</v>
      </c>
      <c r="N1225" t="s">
        <v>103</v>
      </c>
      <c r="O1225" t="s">
        <v>74</v>
      </c>
      <c r="P1225" t="s">
        <v>74</v>
      </c>
      <c r="Q1225" t="s">
        <v>74</v>
      </c>
      <c r="R1225" t="s">
        <v>74</v>
      </c>
      <c r="S1225" t="s">
        <v>74</v>
      </c>
      <c r="T1225" t="s">
        <v>74</v>
      </c>
      <c r="U1225" t="s">
        <v>74</v>
      </c>
      <c r="V1225" t="s">
        <v>10389</v>
      </c>
      <c r="W1225" t="s">
        <v>10390</v>
      </c>
      <c r="X1225" t="s">
        <v>10391</v>
      </c>
      <c r="Y1225" t="s">
        <v>10392</v>
      </c>
      <c r="Z1225" t="s">
        <v>10393</v>
      </c>
      <c r="AA1225" t="s">
        <v>10394</v>
      </c>
      <c r="AB1225" t="s">
        <v>10395</v>
      </c>
      <c r="AC1225" t="s">
        <v>74</v>
      </c>
      <c r="AD1225" t="s">
        <v>74</v>
      </c>
      <c r="AE1225" t="s">
        <v>74</v>
      </c>
      <c r="AF1225" t="s">
        <v>74</v>
      </c>
      <c r="AG1225">
        <v>42</v>
      </c>
      <c r="AH1225">
        <v>9</v>
      </c>
      <c r="AI1225">
        <v>9</v>
      </c>
      <c r="AJ1225">
        <v>3</v>
      </c>
      <c r="AK1225">
        <v>6</v>
      </c>
      <c r="AL1225" t="s">
        <v>74</v>
      </c>
      <c r="AM1225" t="s">
        <v>74</v>
      </c>
      <c r="AN1225" t="s">
        <v>74</v>
      </c>
      <c r="AO1225" t="s">
        <v>149</v>
      </c>
      <c r="AP1225" t="s">
        <v>74</v>
      </c>
      <c r="AQ1225" t="s">
        <v>74</v>
      </c>
      <c r="AR1225" t="s">
        <v>74</v>
      </c>
      <c r="AS1225" t="s">
        <v>74</v>
      </c>
      <c r="AT1225" t="s">
        <v>10396</v>
      </c>
      <c r="AU1225">
        <v>2021</v>
      </c>
      <c r="AV1225">
        <v>11</v>
      </c>
      <c r="AW1225">
        <v>1</v>
      </c>
      <c r="AX1225" t="s">
        <v>74</v>
      </c>
      <c r="AY1225" t="s">
        <v>74</v>
      </c>
      <c r="AZ1225" t="s">
        <v>74</v>
      </c>
      <c r="BA1225" t="s">
        <v>74</v>
      </c>
      <c r="BB1225" t="s">
        <v>74</v>
      </c>
      <c r="BC1225" t="s">
        <v>74</v>
      </c>
      <c r="BD1225">
        <v>3712</v>
      </c>
      <c r="BE1225" t="s">
        <v>10397</v>
      </c>
      <c r="BF1225" t="str">
        <f>HYPERLINK("http://dx.doi.org/10.1038/s41598-021-83132-0","http://dx.doi.org/10.1038/s41598-021-83132-0")</f>
        <v>http://dx.doi.org/10.1038/s41598-021-83132-0</v>
      </c>
      <c r="BG1225" t="s">
        <v>74</v>
      </c>
      <c r="BH1225" t="s">
        <v>74</v>
      </c>
      <c r="BI1225" t="s">
        <v>74</v>
      </c>
      <c r="BJ1225" t="s">
        <v>152</v>
      </c>
      <c r="BK1225" t="s">
        <v>117</v>
      </c>
      <c r="BL1225" t="s">
        <v>153</v>
      </c>
      <c r="BM1225" t="s">
        <v>74</v>
      </c>
      <c r="BN1225">
        <v>33580122</v>
      </c>
      <c r="BO1225" t="s">
        <v>74</v>
      </c>
      <c r="BP1225" t="s">
        <v>74</v>
      </c>
      <c r="BQ1225" t="s">
        <v>74</v>
      </c>
      <c r="BR1225" t="s">
        <v>96</v>
      </c>
      <c r="BS1225" t="s">
        <v>10398</v>
      </c>
      <c r="BT1225" t="str">
        <f>HYPERLINK("https%3A%2F%2Fwww.webofscience.com%2Fwos%2Fwoscc%2Ffull-record%2FWOS:000620250900004","View Full Record in Web of Science")</f>
        <v>View Full Record in Web of Science</v>
      </c>
    </row>
    <row r="1226" spans="1:72" x14ac:dyDescent="0.15">
      <c r="A1226" t="s">
        <v>98</v>
      </c>
      <c r="B1226" t="s">
        <v>11194</v>
      </c>
      <c r="C1226" t="s">
        <v>74</v>
      </c>
      <c r="D1226" t="s">
        <v>74</v>
      </c>
      <c r="E1226" t="s">
        <v>74</v>
      </c>
      <c r="F1226" t="s">
        <v>11195</v>
      </c>
      <c r="G1226" t="s">
        <v>74</v>
      </c>
      <c r="H1226" t="s">
        <v>74</v>
      </c>
      <c r="I1226" t="s">
        <v>11196</v>
      </c>
      <c r="J1226" t="s">
        <v>2051</v>
      </c>
      <c r="K1226" t="s">
        <v>74</v>
      </c>
      <c r="L1226" t="s">
        <v>74</v>
      </c>
      <c r="M1226" t="s">
        <v>74</v>
      </c>
      <c r="N1226" t="s">
        <v>103</v>
      </c>
      <c r="O1226" t="s">
        <v>74</v>
      </c>
      <c r="P1226" t="s">
        <v>74</v>
      </c>
      <c r="Q1226" t="s">
        <v>74</v>
      </c>
      <c r="R1226" t="s">
        <v>74</v>
      </c>
      <c r="S1226" t="s">
        <v>74</v>
      </c>
      <c r="T1226" t="s">
        <v>11197</v>
      </c>
      <c r="U1226" t="s">
        <v>11198</v>
      </c>
      <c r="V1226" t="s">
        <v>11199</v>
      </c>
      <c r="W1226" t="s">
        <v>11200</v>
      </c>
      <c r="X1226" t="s">
        <v>11201</v>
      </c>
      <c r="Y1226" t="s">
        <v>11202</v>
      </c>
      <c r="Z1226" t="s">
        <v>11203</v>
      </c>
      <c r="AA1226" t="s">
        <v>11204</v>
      </c>
      <c r="AB1226" t="s">
        <v>11205</v>
      </c>
      <c r="AC1226" t="s">
        <v>74</v>
      </c>
      <c r="AD1226" t="s">
        <v>74</v>
      </c>
      <c r="AE1226" t="s">
        <v>74</v>
      </c>
      <c r="AF1226" t="s">
        <v>74</v>
      </c>
      <c r="AG1226">
        <v>63</v>
      </c>
      <c r="AH1226">
        <v>9</v>
      </c>
      <c r="AI1226">
        <v>9</v>
      </c>
      <c r="AJ1226">
        <v>0</v>
      </c>
      <c r="AK1226">
        <v>2</v>
      </c>
      <c r="AL1226" t="s">
        <v>74</v>
      </c>
      <c r="AM1226" t="s">
        <v>74</v>
      </c>
      <c r="AN1226" t="s">
        <v>74</v>
      </c>
      <c r="AO1226" t="s">
        <v>2061</v>
      </c>
      <c r="AP1226" t="s">
        <v>74</v>
      </c>
      <c r="AQ1226" t="s">
        <v>74</v>
      </c>
      <c r="AR1226" t="s">
        <v>74</v>
      </c>
      <c r="AS1226" t="s">
        <v>74</v>
      </c>
      <c r="AT1226" t="s">
        <v>11206</v>
      </c>
      <c r="AU1226">
        <v>2020</v>
      </c>
      <c r="AV1226">
        <v>11</v>
      </c>
      <c r="AW1226" t="s">
        <v>74</v>
      </c>
      <c r="AX1226" t="s">
        <v>74</v>
      </c>
      <c r="AY1226" t="s">
        <v>74</v>
      </c>
      <c r="AZ1226" t="s">
        <v>74</v>
      </c>
      <c r="BA1226" t="s">
        <v>74</v>
      </c>
      <c r="BB1226" t="s">
        <v>74</v>
      </c>
      <c r="BC1226" t="s">
        <v>74</v>
      </c>
      <c r="BD1226">
        <v>594581</v>
      </c>
      <c r="BE1226" t="s">
        <v>11207</v>
      </c>
      <c r="BF1226" t="str">
        <f>HYPERLINK("http://dx.doi.org/10.3389/fimmu.2020.594581","http://dx.doi.org/10.3389/fimmu.2020.594581")</f>
        <v>http://dx.doi.org/10.3389/fimmu.2020.594581</v>
      </c>
      <c r="BG1226" t="s">
        <v>74</v>
      </c>
      <c r="BH1226" t="s">
        <v>74</v>
      </c>
      <c r="BI1226" t="s">
        <v>74</v>
      </c>
      <c r="BJ1226" t="s">
        <v>2064</v>
      </c>
      <c r="BK1226" t="s">
        <v>117</v>
      </c>
      <c r="BL1226" t="s">
        <v>2064</v>
      </c>
      <c r="BM1226" t="s">
        <v>74</v>
      </c>
      <c r="BN1226">
        <v>33117407</v>
      </c>
      <c r="BO1226" t="s">
        <v>74</v>
      </c>
      <c r="BP1226" t="s">
        <v>74</v>
      </c>
      <c r="BQ1226" t="s">
        <v>74</v>
      </c>
      <c r="BR1226" t="s">
        <v>96</v>
      </c>
      <c r="BS1226" t="s">
        <v>11208</v>
      </c>
      <c r="BT1226" t="str">
        <f>HYPERLINK("https%3A%2F%2Fwww.webofscience.com%2Fwos%2Fwoscc%2Ffull-record%2FWOS:000580549200001","View Full Record in Web of Science")</f>
        <v>View Full Record in Web of Science</v>
      </c>
    </row>
    <row r="1227" spans="1:72" x14ac:dyDescent="0.15">
      <c r="A1227" t="s">
        <v>98</v>
      </c>
      <c r="B1227" t="s">
        <v>12733</v>
      </c>
      <c r="C1227" t="s">
        <v>74</v>
      </c>
      <c r="D1227" t="s">
        <v>74</v>
      </c>
      <c r="E1227" t="s">
        <v>74</v>
      </c>
      <c r="F1227" t="s">
        <v>12734</v>
      </c>
      <c r="G1227" t="s">
        <v>74</v>
      </c>
      <c r="H1227" t="s">
        <v>74</v>
      </c>
      <c r="I1227" t="s">
        <v>12735</v>
      </c>
      <c r="J1227" t="s">
        <v>7588</v>
      </c>
      <c r="K1227" t="s">
        <v>74</v>
      </c>
      <c r="L1227" t="s">
        <v>74</v>
      </c>
      <c r="M1227" t="s">
        <v>74</v>
      </c>
      <c r="N1227" t="s">
        <v>103</v>
      </c>
      <c r="O1227" t="s">
        <v>74</v>
      </c>
      <c r="P1227" t="s">
        <v>74</v>
      </c>
      <c r="Q1227" t="s">
        <v>74</v>
      </c>
      <c r="R1227" t="s">
        <v>74</v>
      </c>
      <c r="S1227" t="s">
        <v>74</v>
      </c>
      <c r="T1227" t="s">
        <v>74</v>
      </c>
      <c r="U1227" t="s">
        <v>12736</v>
      </c>
      <c r="V1227" t="s">
        <v>12737</v>
      </c>
      <c r="W1227" t="s">
        <v>12738</v>
      </c>
      <c r="X1227" t="s">
        <v>12739</v>
      </c>
      <c r="Y1227" t="s">
        <v>12740</v>
      </c>
      <c r="Z1227" t="s">
        <v>12741</v>
      </c>
      <c r="AA1227" t="s">
        <v>12742</v>
      </c>
      <c r="AB1227" t="s">
        <v>12743</v>
      </c>
      <c r="AC1227" t="s">
        <v>74</v>
      </c>
      <c r="AD1227" t="s">
        <v>74</v>
      </c>
      <c r="AE1227" t="s">
        <v>74</v>
      </c>
      <c r="AF1227" t="s">
        <v>74</v>
      </c>
      <c r="AG1227">
        <v>95</v>
      </c>
      <c r="AH1227">
        <v>9</v>
      </c>
      <c r="AI1227">
        <v>10</v>
      </c>
      <c r="AJ1227">
        <v>12</v>
      </c>
      <c r="AK1227">
        <v>24</v>
      </c>
      <c r="AL1227" t="s">
        <v>74</v>
      </c>
      <c r="AM1227" t="s">
        <v>74</v>
      </c>
      <c r="AN1227" t="s">
        <v>74</v>
      </c>
      <c r="AO1227" t="s">
        <v>7597</v>
      </c>
      <c r="AP1227" t="s">
        <v>7598</v>
      </c>
      <c r="AQ1227" t="s">
        <v>74</v>
      </c>
      <c r="AR1227" t="s">
        <v>74</v>
      </c>
      <c r="AS1227" t="s">
        <v>74</v>
      </c>
      <c r="AT1227" t="s">
        <v>189</v>
      </c>
      <c r="AU1227">
        <v>2021</v>
      </c>
      <c r="AV1227">
        <v>15</v>
      </c>
      <c r="AW1227">
        <v>10</v>
      </c>
      <c r="AX1227" t="s">
        <v>74</v>
      </c>
      <c r="AY1227" t="s">
        <v>74</v>
      </c>
      <c r="AZ1227" t="s">
        <v>74</v>
      </c>
      <c r="BA1227" t="s">
        <v>74</v>
      </c>
      <c r="BB1227">
        <v>2892</v>
      </c>
      <c r="BC1227">
        <v>2905</v>
      </c>
      <c r="BD1227" t="s">
        <v>74</v>
      </c>
      <c r="BE1227" t="s">
        <v>12744</v>
      </c>
      <c r="BF1227" t="str">
        <f>HYPERLINK("http://dx.doi.org/10.1038/s41396-021-00984-0","http://dx.doi.org/10.1038/s41396-021-00984-0")</f>
        <v>http://dx.doi.org/10.1038/s41396-021-00984-0</v>
      </c>
      <c r="BG1227" t="s">
        <v>74</v>
      </c>
      <c r="BH1227" t="s">
        <v>3345</v>
      </c>
      <c r="BI1227" t="s">
        <v>74</v>
      </c>
      <c r="BJ1227" t="s">
        <v>7600</v>
      </c>
      <c r="BK1227" t="s">
        <v>117</v>
      </c>
      <c r="BL1227" t="s">
        <v>7601</v>
      </c>
      <c r="BM1227" t="s">
        <v>74</v>
      </c>
      <c r="BN1227">
        <v>33903726</v>
      </c>
      <c r="BO1227" t="s">
        <v>74</v>
      </c>
      <c r="BP1227" t="s">
        <v>74</v>
      </c>
      <c r="BQ1227" t="s">
        <v>74</v>
      </c>
      <c r="BR1227" t="s">
        <v>96</v>
      </c>
      <c r="BS1227" t="s">
        <v>12745</v>
      </c>
      <c r="BT1227" t="str">
        <f>HYPERLINK("https%3A%2F%2Fwww.webofscience.com%2Fwos%2Fwoscc%2Ffull-record%2FWOS:000644276800001","View Full Record in Web of Science")</f>
        <v>View Full Record in Web of Science</v>
      </c>
    </row>
    <row r="1228" spans="1:72" x14ac:dyDescent="0.15">
      <c r="A1228" t="s">
        <v>98</v>
      </c>
      <c r="B1228" t="s">
        <v>12905</v>
      </c>
      <c r="C1228" t="s">
        <v>74</v>
      </c>
      <c r="D1228" t="s">
        <v>74</v>
      </c>
      <c r="E1228" t="s">
        <v>74</v>
      </c>
      <c r="F1228" t="s">
        <v>12906</v>
      </c>
      <c r="G1228" t="s">
        <v>74</v>
      </c>
      <c r="H1228" t="s">
        <v>74</v>
      </c>
      <c r="I1228" t="s">
        <v>12907</v>
      </c>
      <c r="J1228" t="s">
        <v>1018</v>
      </c>
      <c r="K1228" t="s">
        <v>74</v>
      </c>
      <c r="L1228" t="s">
        <v>74</v>
      </c>
      <c r="M1228" t="s">
        <v>74</v>
      </c>
      <c r="N1228" t="s">
        <v>103</v>
      </c>
      <c r="O1228" t="s">
        <v>74</v>
      </c>
      <c r="P1228" t="s">
        <v>74</v>
      </c>
      <c r="Q1228" t="s">
        <v>74</v>
      </c>
      <c r="R1228" t="s">
        <v>74</v>
      </c>
      <c r="S1228" t="s">
        <v>74</v>
      </c>
      <c r="T1228" t="s">
        <v>12908</v>
      </c>
      <c r="U1228" t="s">
        <v>12909</v>
      </c>
      <c r="V1228" t="s">
        <v>12910</v>
      </c>
      <c r="W1228" t="s">
        <v>12911</v>
      </c>
      <c r="X1228" t="s">
        <v>12912</v>
      </c>
      <c r="Y1228" t="s">
        <v>12913</v>
      </c>
      <c r="Z1228" t="s">
        <v>12914</v>
      </c>
      <c r="AA1228" t="s">
        <v>12915</v>
      </c>
      <c r="AB1228" t="s">
        <v>12916</v>
      </c>
      <c r="AC1228" t="s">
        <v>74</v>
      </c>
      <c r="AD1228" t="s">
        <v>74</v>
      </c>
      <c r="AE1228" t="s">
        <v>74</v>
      </c>
      <c r="AF1228" t="s">
        <v>74</v>
      </c>
      <c r="AG1228">
        <v>47</v>
      </c>
      <c r="AH1228">
        <v>9</v>
      </c>
      <c r="AI1228">
        <v>10</v>
      </c>
      <c r="AJ1228">
        <v>2</v>
      </c>
      <c r="AK1228">
        <v>9</v>
      </c>
      <c r="AL1228" t="s">
        <v>74</v>
      </c>
      <c r="AM1228" t="s">
        <v>74</v>
      </c>
      <c r="AN1228" t="s">
        <v>74</v>
      </c>
      <c r="AO1228" t="s">
        <v>74</v>
      </c>
      <c r="AP1228" t="s">
        <v>1028</v>
      </c>
      <c r="AQ1228" t="s">
        <v>74</v>
      </c>
      <c r="AR1228" t="s">
        <v>74</v>
      </c>
      <c r="AS1228" t="s">
        <v>74</v>
      </c>
      <c r="AT1228" t="s">
        <v>335</v>
      </c>
      <c r="AU1228">
        <v>2019</v>
      </c>
      <c r="AV1228">
        <v>24</v>
      </c>
      <c r="AW1228">
        <v>17</v>
      </c>
      <c r="AX1228" t="s">
        <v>74</v>
      </c>
      <c r="AY1228" t="s">
        <v>74</v>
      </c>
      <c r="AZ1228" t="s">
        <v>74</v>
      </c>
      <c r="BA1228" t="s">
        <v>74</v>
      </c>
      <c r="BB1228" t="s">
        <v>74</v>
      </c>
      <c r="BC1228" t="s">
        <v>74</v>
      </c>
      <c r="BD1228">
        <v>3131</v>
      </c>
      <c r="BE1228" t="s">
        <v>12917</v>
      </c>
      <c r="BF1228" t="str">
        <f>HYPERLINK("http://dx.doi.org/10.3390/molecules24173131","http://dx.doi.org/10.3390/molecules24173131")</f>
        <v>http://dx.doi.org/10.3390/molecules24173131</v>
      </c>
      <c r="BG1228" t="s">
        <v>74</v>
      </c>
      <c r="BH1228" t="s">
        <v>74</v>
      </c>
      <c r="BI1228" t="s">
        <v>74</v>
      </c>
      <c r="BJ1228" t="s">
        <v>830</v>
      </c>
      <c r="BK1228" t="s">
        <v>117</v>
      </c>
      <c r="BL1228" t="s">
        <v>831</v>
      </c>
      <c r="BM1228" t="s">
        <v>74</v>
      </c>
      <c r="BN1228">
        <v>31466323</v>
      </c>
      <c r="BO1228" t="s">
        <v>74</v>
      </c>
      <c r="BP1228" t="s">
        <v>74</v>
      </c>
      <c r="BQ1228" t="s">
        <v>74</v>
      </c>
      <c r="BR1228" t="s">
        <v>96</v>
      </c>
      <c r="BS1228" t="s">
        <v>12918</v>
      </c>
      <c r="BT1228" t="str">
        <f>HYPERLINK("https%3A%2F%2Fwww.webofscience.com%2Fwos%2Fwoscc%2Ffull-record%2FWOS:000488613700111","View Full Record in Web of Science")</f>
        <v>View Full Record in Web of Science</v>
      </c>
    </row>
    <row r="1229" spans="1:72" x14ac:dyDescent="0.15">
      <c r="A1229" t="s">
        <v>98</v>
      </c>
      <c r="B1229" t="s">
        <v>12933</v>
      </c>
      <c r="C1229" t="s">
        <v>74</v>
      </c>
      <c r="D1229" t="s">
        <v>74</v>
      </c>
      <c r="E1229" t="s">
        <v>74</v>
      </c>
      <c r="F1229" t="s">
        <v>12934</v>
      </c>
      <c r="G1229" t="s">
        <v>74</v>
      </c>
      <c r="H1229" t="s">
        <v>74</v>
      </c>
      <c r="I1229" t="s">
        <v>12935</v>
      </c>
      <c r="J1229" t="s">
        <v>12936</v>
      </c>
      <c r="K1229" t="s">
        <v>74</v>
      </c>
      <c r="L1229" t="s">
        <v>74</v>
      </c>
      <c r="M1229" t="s">
        <v>74</v>
      </c>
      <c r="N1229" t="s">
        <v>103</v>
      </c>
      <c r="O1229" t="s">
        <v>74</v>
      </c>
      <c r="P1229" t="s">
        <v>74</v>
      </c>
      <c r="Q1229" t="s">
        <v>74</v>
      </c>
      <c r="R1229" t="s">
        <v>74</v>
      </c>
      <c r="S1229" t="s">
        <v>74</v>
      </c>
      <c r="T1229" t="s">
        <v>12937</v>
      </c>
      <c r="U1229" t="s">
        <v>12938</v>
      </c>
      <c r="V1229" t="s">
        <v>12939</v>
      </c>
      <c r="W1229" t="s">
        <v>12940</v>
      </c>
      <c r="X1229" t="s">
        <v>12941</v>
      </c>
      <c r="Y1229" t="s">
        <v>12942</v>
      </c>
      <c r="Z1229" t="s">
        <v>12943</v>
      </c>
      <c r="AA1229" t="s">
        <v>74</v>
      </c>
      <c r="AB1229" t="s">
        <v>12944</v>
      </c>
      <c r="AC1229" t="s">
        <v>74</v>
      </c>
      <c r="AD1229" t="s">
        <v>74</v>
      </c>
      <c r="AE1229" t="s">
        <v>74</v>
      </c>
      <c r="AF1229" t="s">
        <v>74</v>
      </c>
      <c r="AG1229">
        <v>76</v>
      </c>
      <c r="AH1229">
        <v>9</v>
      </c>
      <c r="AI1229">
        <v>9</v>
      </c>
      <c r="AJ1229">
        <v>5</v>
      </c>
      <c r="AK1229">
        <v>31</v>
      </c>
      <c r="AL1229" t="s">
        <v>74</v>
      </c>
      <c r="AM1229" t="s">
        <v>74</v>
      </c>
      <c r="AN1229" t="s">
        <v>74</v>
      </c>
      <c r="AO1229" t="s">
        <v>12945</v>
      </c>
      <c r="AP1229" t="s">
        <v>12946</v>
      </c>
      <c r="AQ1229" t="s">
        <v>74</v>
      </c>
      <c r="AR1229" t="s">
        <v>74</v>
      </c>
      <c r="AS1229" t="s">
        <v>74</v>
      </c>
      <c r="AT1229" t="s">
        <v>12947</v>
      </c>
      <c r="AU1229">
        <v>2021</v>
      </c>
      <c r="AV1229">
        <v>231</v>
      </c>
      <c r="AW1229" t="s">
        <v>74</v>
      </c>
      <c r="AX1229" t="s">
        <v>74</v>
      </c>
      <c r="AY1229" t="s">
        <v>74</v>
      </c>
      <c r="AZ1229" t="s">
        <v>74</v>
      </c>
      <c r="BA1229" t="s">
        <v>74</v>
      </c>
      <c r="BB1229" t="s">
        <v>74</v>
      </c>
      <c r="BC1229" t="s">
        <v>74</v>
      </c>
      <c r="BD1229">
        <v>103994</v>
      </c>
      <c r="BE1229" t="s">
        <v>12948</v>
      </c>
      <c r="BF1229" t="str">
        <f>HYPERLINK("http://dx.doi.org/10.1016/j.jprot.2020.103994","http://dx.doi.org/10.1016/j.jprot.2020.103994")</f>
        <v>http://dx.doi.org/10.1016/j.jprot.2020.103994</v>
      </c>
      <c r="BG1229" t="s">
        <v>74</v>
      </c>
      <c r="BH1229" t="s">
        <v>74</v>
      </c>
      <c r="BI1229" t="s">
        <v>74</v>
      </c>
      <c r="BJ1229" t="s">
        <v>812</v>
      </c>
      <c r="BK1229" t="s">
        <v>117</v>
      </c>
      <c r="BL1229" t="s">
        <v>95</v>
      </c>
      <c r="BM1229" t="s">
        <v>74</v>
      </c>
      <c r="BN1229">
        <v>33007464</v>
      </c>
      <c r="BO1229" t="s">
        <v>74</v>
      </c>
      <c r="BP1229" t="s">
        <v>74</v>
      </c>
      <c r="BQ1229" t="s">
        <v>74</v>
      </c>
      <c r="BR1229" t="s">
        <v>96</v>
      </c>
      <c r="BS1229" t="s">
        <v>12949</v>
      </c>
      <c r="BT1229" t="str">
        <f>HYPERLINK("https%3A%2F%2Fwww.webofscience.com%2Fwos%2Fwoscc%2Ffull-record%2FWOS:000598798500002","View Full Record in Web of Science")</f>
        <v>View Full Record in Web of Science</v>
      </c>
    </row>
    <row r="1230" spans="1:72" x14ac:dyDescent="0.15">
      <c r="A1230" t="s">
        <v>98</v>
      </c>
      <c r="B1230" t="s">
        <v>13245</v>
      </c>
      <c r="C1230" t="s">
        <v>74</v>
      </c>
      <c r="D1230" t="s">
        <v>74</v>
      </c>
      <c r="E1230" t="s">
        <v>74</v>
      </c>
      <c r="F1230" t="s">
        <v>13246</v>
      </c>
      <c r="G1230" t="s">
        <v>74</v>
      </c>
      <c r="H1230" t="s">
        <v>74</v>
      </c>
      <c r="I1230" t="s">
        <v>13247</v>
      </c>
      <c r="J1230" t="s">
        <v>10717</v>
      </c>
      <c r="K1230" t="s">
        <v>74</v>
      </c>
      <c r="L1230" t="s">
        <v>74</v>
      </c>
      <c r="M1230" t="s">
        <v>74</v>
      </c>
      <c r="N1230" t="s">
        <v>103</v>
      </c>
      <c r="O1230" t="s">
        <v>74</v>
      </c>
      <c r="P1230" t="s">
        <v>74</v>
      </c>
      <c r="Q1230" t="s">
        <v>74</v>
      </c>
      <c r="R1230" t="s">
        <v>74</v>
      </c>
      <c r="S1230" t="s">
        <v>74</v>
      </c>
      <c r="T1230" t="s">
        <v>74</v>
      </c>
      <c r="U1230" t="s">
        <v>13248</v>
      </c>
      <c r="V1230" t="s">
        <v>13249</v>
      </c>
      <c r="W1230" t="s">
        <v>13250</v>
      </c>
      <c r="X1230" t="s">
        <v>13251</v>
      </c>
      <c r="Y1230" t="s">
        <v>13252</v>
      </c>
      <c r="Z1230" t="s">
        <v>13253</v>
      </c>
      <c r="AA1230" t="s">
        <v>74</v>
      </c>
      <c r="AB1230" t="s">
        <v>13254</v>
      </c>
      <c r="AC1230" t="s">
        <v>74</v>
      </c>
      <c r="AD1230" t="s">
        <v>74</v>
      </c>
      <c r="AE1230" t="s">
        <v>74</v>
      </c>
      <c r="AF1230" t="s">
        <v>74</v>
      </c>
      <c r="AG1230">
        <v>49</v>
      </c>
      <c r="AH1230">
        <v>9</v>
      </c>
      <c r="AI1230">
        <v>9</v>
      </c>
      <c r="AJ1230">
        <v>0</v>
      </c>
      <c r="AK1230">
        <v>10</v>
      </c>
      <c r="AL1230" t="s">
        <v>74</v>
      </c>
      <c r="AM1230" t="s">
        <v>74</v>
      </c>
      <c r="AN1230" t="s">
        <v>74</v>
      </c>
      <c r="AO1230" t="s">
        <v>10726</v>
      </c>
      <c r="AP1230" t="s">
        <v>10727</v>
      </c>
      <c r="AQ1230" t="s">
        <v>74</v>
      </c>
      <c r="AR1230" t="s">
        <v>74</v>
      </c>
      <c r="AS1230" t="s">
        <v>74</v>
      </c>
      <c r="AT1230" t="s">
        <v>8524</v>
      </c>
      <c r="AU1230">
        <v>2019</v>
      </c>
      <c r="AV1230">
        <v>51</v>
      </c>
      <c r="AW1230" t="s">
        <v>74</v>
      </c>
      <c r="AX1230" t="s">
        <v>74</v>
      </c>
      <c r="AY1230" t="s">
        <v>74</v>
      </c>
      <c r="AZ1230" t="s">
        <v>74</v>
      </c>
      <c r="BA1230" t="s">
        <v>74</v>
      </c>
      <c r="BB1230" t="s">
        <v>74</v>
      </c>
      <c r="BC1230" t="s">
        <v>74</v>
      </c>
      <c r="BD1230">
        <v>87</v>
      </c>
      <c r="BE1230" t="s">
        <v>13255</v>
      </c>
      <c r="BF1230" t="str">
        <f>HYPERLINK("http://dx.doi.org/10.1038/s12276-019-0288-1","http://dx.doi.org/10.1038/s12276-019-0288-1")</f>
        <v>http://dx.doi.org/10.1038/s12276-019-0288-1</v>
      </c>
      <c r="BG1230" t="s">
        <v>74</v>
      </c>
      <c r="BH1230" t="s">
        <v>74</v>
      </c>
      <c r="BI1230" t="s">
        <v>74</v>
      </c>
      <c r="BJ1230" t="s">
        <v>2959</v>
      </c>
      <c r="BK1230" t="s">
        <v>117</v>
      </c>
      <c r="BL1230" t="s">
        <v>2961</v>
      </c>
      <c r="BM1230" t="s">
        <v>74</v>
      </c>
      <c r="BN1230">
        <v>31371728</v>
      </c>
      <c r="BO1230" t="s">
        <v>74</v>
      </c>
      <c r="BP1230" t="s">
        <v>74</v>
      </c>
      <c r="BQ1230" t="s">
        <v>74</v>
      </c>
      <c r="BR1230" t="s">
        <v>96</v>
      </c>
      <c r="BS1230" t="s">
        <v>13256</v>
      </c>
      <c r="BT1230" t="str">
        <f>HYPERLINK("https%3A%2F%2Fwww.webofscience.com%2Fwos%2Fwoscc%2Ffull-record%2FWOS:000479316300001","View Full Record in Web of Science")</f>
        <v>View Full Record in Web of Science</v>
      </c>
    </row>
    <row r="1231" spans="1:72" x14ac:dyDescent="0.15">
      <c r="A1231" t="s">
        <v>98</v>
      </c>
      <c r="B1231" t="s">
        <v>13351</v>
      </c>
      <c r="C1231" t="s">
        <v>74</v>
      </c>
      <c r="D1231" t="s">
        <v>74</v>
      </c>
      <c r="E1231" t="s">
        <v>74</v>
      </c>
      <c r="F1231" t="s">
        <v>13352</v>
      </c>
      <c r="G1231" t="s">
        <v>74</v>
      </c>
      <c r="H1231" t="s">
        <v>74</v>
      </c>
      <c r="I1231" t="s">
        <v>13353</v>
      </c>
      <c r="J1231" t="s">
        <v>10022</v>
      </c>
      <c r="K1231" t="s">
        <v>74</v>
      </c>
      <c r="L1231" t="s">
        <v>74</v>
      </c>
      <c r="M1231" t="s">
        <v>74</v>
      </c>
      <c r="N1231" t="s">
        <v>103</v>
      </c>
      <c r="O1231" t="s">
        <v>74</v>
      </c>
      <c r="P1231" t="s">
        <v>74</v>
      </c>
      <c r="Q1231" t="s">
        <v>74</v>
      </c>
      <c r="R1231" t="s">
        <v>74</v>
      </c>
      <c r="S1231" t="s">
        <v>74</v>
      </c>
      <c r="T1231" t="s">
        <v>13354</v>
      </c>
      <c r="U1231" t="s">
        <v>13355</v>
      </c>
      <c r="V1231" t="s">
        <v>13356</v>
      </c>
      <c r="W1231" t="s">
        <v>13357</v>
      </c>
      <c r="X1231" t="s">
        <v>10027</v>
      </c>
      <c r="Y1231" t="s">
        <v>13358</v>
      </c>
      <c r="Z1231" t="s">
        <v>13359</v>
      </c>
      <c r="AA1231" t="s">
        <v>74</v>
      </c>
      <c r="AB1231" t="s">
        <v>13360</v>
      </c>
      <c r="AC1231" t="s">
        <v>74</v>
      </c>
      <c r="AD1231" t="s">
        <v>74</v>
      </c>
      <c r="AE1231" t="s">
        <v>74</v>
      </c>
      <c r="AF1231" t="s">
        <v>74</v>
      </c>
      <c r="AG1231">
        <v>45</v>
      </c>
      <c r="AH1231">
        <v>9</v>
      </c>
      <c r="AI1231">
        <v>10</v>
      </c>
      <c r="AJ1231">
        <v>0</v>
      </c>
      <c r="AK1231">
        <v>18</v>
      </c>
      <c r="AL1231" t="s">
        <v>74</v>
      </c>
      <c r="AM1231" t="s">
        <v>74</v>
      </c>
      <c r="AN1231" t="s">
        <v>74</v>
      </c>
      <c r="AO1231" t="s">
        <v>10031</v>
      </c>
      <c r="AP1231" t="s">
        <v>10032</v>
      </c>
      <c r="AQ1231" t="s">
        <v>74</v>
      </c>
      <c r="AR1231" t="s">
        <v>74</v>
      </c>
      <c r="AS1231" t="s">
        <v>74</v>
      </c>
      <c r="AT1231" t="s">
        <v>967</v>
      </c>
      <c r="AU1231">
        <v>2018</v>
      </c>
      <c r="AV1231" t="s">
        <v>13361</v>
      </c>
      <c r="AW1231" t="s">
        <v>74</v>
      </c>
      <c r="AX1231" t="s">
        <v>74</v>
      </c>
      <c r="AY1231" t="s">
        <v>74</v>
      </c>
      <c r="AZ1231" t="s">
        <v>74</v>
      </c>
      <c r="BA1231" t="s">
        <v>74</v>
      </c>
      <c r="BB1231">
        <v>41</v>
      </c>
      <c r="BC1231">
        <v>47</v>
      </c>
      <c r="BD1231" t="s">
        <v>74</v>
      </c>
      <c r="BE1231" t="s">
        <v>13362</v>
      </c>
      <c r="BF1231" t="str">
        <f>HYPERLINK("http://dx.doi.org/10.1016/j.placenta.2018.10.009","http://dx.doi.org/10.1016/j.placenta.2018.10.009")</f>
        <v>http://dx.doi.org/10.1016/j.placenta.2018.10.009</v>
      </c>
      <c r="BG1231" t="s">
        <v>74</v>
      </c>
      <c r="BH1231" t="s">
        <v>74</v>
      </c>
      <c r="BI1231" t="s">
        <v>74</v>
      </c>
      <c r="BJ1231" t="s">
        <v>10034</v>
      </c>
      <c r="BK1231" t="s">
        <v>117</v>
      </c>
      <c r="BL1231" t="s">
        <v>10034</v>
      </c>
      <c r="BM1231" t="s">
        <v>74</v>
      </c>
      <c r="BN1231">
        <v>30501880</v>
      </c>
      <c r="BO1231" t="s">
        <v>74</v>
      </c>
      <c r="BP1231" t="s">
        <v>74</v>
      </c>
      <c r="BQ1231" t="s">
        <v>74</v>
      </c>
      <c r="BR1231" t="s">
        <v>96</v>
      </c>
      <c r="BS1231" t="s">
        <v>13363</v>
      </c>
      <c r="BT1231" t="str">
        <f>HYPERLINK("https%3A%2F%2Fwww.webofscience.com%2Fwos%2Fwoscc%2Ffull-record%2FWOS:000451301700006","View Full Record in Web of Science")</f>
        <v>View Full Record in Web of Science</v>
      </c>
    </row>
    <row r="1232" spans="1:72" x14ac:dyDescent="0.15">
      <c r="A1232" t="s">
        <v>98</v>
      </c>
      <c r="B1232" t="s">
        <v>14682</v>
      </c>
      <c r="C1232" t="s">
        <v>74</v>
      </c>
      <c r="D1232" t="s">
        <v>74</v>
      </c>
      <c r="E1232" t="s">
        <v>74</v>
      </c>
      <c r="F1232" t="s">
        <v>14683</v>
      </c>
      <c r="G1232" t="s">
        <v>74</v>
      </c>
      <c r="H1232" t="s">
        <v>74</v>
      </c>
      <c r="I1232" t="s">
        <v>14684</v>
      </c>
      <c r="J1232" t="s">
        <v>14685</v>
      </c>
      <c r="K1232" t="s">
        <v>74</v>
      </c>
      <c r="L1232" t="s">
        <v>74</v>
      </c>
      <c r="M1232" t="s">
        <v>74</v>
      </c>
      <c r="N1232" t="s">
        <v>103</v>
      </c>
      <c r="O1232" t="s">
        <v>74</v>
      </c>
      <c r="P1232" t="s">
        <v>74</v>
      </c>
      <c r="Q1232" t="s">
        <v>74</v>
      </c>
      <c r="R1232" t="s">
        <v>74</v>
      </c>
      <c r="S1232" t="s">
        <v>74</v>
      </c>
      <c r="T1232" t="s">
        <v>14686</v>
      </c>
      <c r="U1232" t="s">
        <v>14687</v>
      </c>
      <c r="V1232" t="s">
        <v>14688</v>
      </c>
      <c r="W1232" t="s">
        <v>14689</v>
      </c>
      <c r="X1232" t="s">
        <v>14690</v>
      </c>
      <c r="Y1232" t="s">
        <v>14691</v>
      </c>
      <c r="Z1232" t="s">
        <v>14692</v>
      </c>
      <c r="AA1232" t="s">
        <v>14693</v>
      </c>
      <c r="AB1232" t="s">
        <v>14694</v>
      </c>
      <c r="AC1232" t="s">
        <v>74</v>
      </c>
      <c r="AD1232" t="s">
        <v>74</v>
      </c>
      <c r="AE1232" t="s">
        <v>74</v>
      </c>
      <c r="AF1232" t="s">
        <v>74</v>
      </c>
      <c r="AG1232">
        <v>38</v>
      </c>
      <c r="AH1232">
        <v>9</v>
      </c>
      <c r="AI1232">
        <v>9</v>
      </c>
      <c r="AJ1232">
        <v>1</v>
      </c>
      <c r="AK1232">
        <v>34</v>
      </c>
      <c r="AL1232" t="s">
        <v>74</v>
      </c>
      <c r="AM1232" t="s">
        <v>74</v>
      </c>
      <c r="AN1232" t="s">
        <v>74</v>
      </c>
      <c r="AO1232" t="s">
        <v>14695</v>
      </c>
      <c r="AP1232" t="s">
        <v>14696</v>
      </c>
      <c r="AQ1232" t="s">
        <v>74</v>
      </c>
      <c r="AR1232" t="s">
        <v>74</v>
      </c>
      <c r="AS1232" t="s">
        <v>74</v>
      </c>
      <c r="AT1232" t="s">
        <v>5213</v>
      </c>
      <c r="AU1232">
        <v>2013</v>
      </c>
      <c r="AV1232">
        <v>21</v>
      </c>
      <c r="AW1232">
        <v>20</v>
      </c>
      <c r="AX1232" t="s">
        <v>74</v>
      </c>
      <c r="AY1232" t="s">
        <v>74</v>
      </c>
      <c r="AZ1232" t="s">
        <v>74</v>
      </c>
      <c r="BA1232" t="s">
        <v>74</v>
      </c>
      <c r="BB1232">
        <v>6224</v>
      </c>
      <c r="BC1232">
        <v>6232</v>
      </c>
      <c r="BD1232" t="s">
        <v>74</v>
      </c>
      <c r="BE1232" t="s">
        <v>14697</v>
      </c>
      <c r="BF1232" t="str">
        <f>HYPERLINK("http://dx.doi.org/10.1016/j.bmc.2013.04.071","http://dx.doi.org/10.1016/j.bmc.2013.04.071")</f>
        <v>http://dx.doi.org/10.1016/j.bmc.2013.04.071</v>
      </c>
      <c r="BG1232" t="s">
        <v>74</v>
      </c>
      <c r="BH1232" t="s">
        <v>74</v>
      </c>
      <c r="BI1232" t="s">
        <v>74</v>
      </c>
      <c r="BJ1232" t="s">
        <v>14698</v>
      </c>
      <c r="BK1232" t="s">
        <v>10246</v>
      </c>
      <c r="BL1232" t="s">
        <v>14699</v>
      </c>
      <c r="BM1232" t="s">
        <v>74</v>
      </c>
      <c r="BN1232">
        <v>23755885</v>
      </c>
      <c r="BO1232" t="s">
        <v>74</v>
      </c>
      <c r="BP1232" t="s">
        <v>74</v>
      </c>
      <c r="BQ1232" t="s">
        <v>74</v>
      </c>
      <c r="BR1232" t="s">
        <v>96</v>
      </c>
      <c r="BS1232" t="s">
        <v>14700</v>
      </c>
      <c r="BT1232" t="str">
        <f>HYPERLINK("https%3A%2F%2Fwww.webofscience.com%2Fwos%2Fwoscc%2Ffull-record%2FWOS:000325162000019","View Full Record in Web of Science")</f>
        <v>View Full Record in Web of Science</v>
      </c>
    </row>
    <row r="1233" spans="1:72" x14ac:dyDescent="0.15">
      <c r="A1233" t="s">
        <v>98</v>
      </c>
      <c r="B1233" t="s">
        <v>14753</v>
      </c>
      <c r="C1233" t="s">
        <v>74</v>
      </c>
      <c r="D1233" t="s">
        <v>74</v>
      </c>
      <c r="E1233" t="s">
        <v>74</v>
      </c>
      <c r="F1233" t="s">
        <v>14754</v>
      </c>
      <c r="G1233" t="s">
        <v>74</v>
      </c>
      <c r="H1233" t="s">
        <v>74</v>
      </c>
      <c r="I1233" t="s">
        <v>14755</v>
      </c>
      <c r="J1233" t="s">
        <v>140</v>
      </c>
      <c r="K1233" t="s">
        <v>74</v>
      </c>
      <c r="L1233" t="s">
        <v>74</v>
      </c>
      <c r="M1233" t="s">
        <v>74</v>
      </c>
      <c r="N1233" t="s">
        <v>103</v>
      </c>
      <c r="O1233" t="s">
        <v>74</v>
      </c>
      <c r="P1233" t="s">
        <v>74</v>
      </c>
      <c r="Q1233" t="s">
        <v>74</v>
      </c>
      <c r="R1233" t="s">
        <v>74</v>
      </c>
      <c r="S1233" t="s">
        <v>74</v>
      </c>
      <c r="T1233" t="s">
        <v>74</v>
      </c>
      <c r="U1233" t="s">
        <v>14756</v>
      </c>
      <c r="V1233" t="s">
        <v>14757</v>
      </c>
      <c r="W1233" t="s">
        <v>14758</v>
      </c>
      <c r="X1233" t="s">
        <v>14759</v>
      </c>
      <c r="Y1233" t="s">
        <v>14760</v>
      </c>
      <c r="Z1233" t="s">
        <v>14761</v>
      </c>
      <c r="AA1233" t="s">
        <v>74</v>
      </c>
      <c r="AB1233" t="s">
        <v>74</v>
      </c>
      <c r="AC1233" t="s">
        <v>74</v>
      </c>
      <c r="AD1233" t="s">
        <v>74</v>
      </c>
      <c r="AE1233" t="s">
        <v>74</v>
      </c>
      <c r="AF1233" t="s">
        <v>74</v>
      </c>
      <c r="AG1233">
        <v>48</v>
      </c>
      <c r="AH1233">
        <v>9</v>
      </c>
      <c r="AI1233">
        <v>9</v>
      </c>
      <c r="AJ1233">
        <v>1</v>
      </c>
      <c r="AK1233">
        <v>5</v>
      </c>
      <c r="AL1233" t="s">
        <v>74</v>
      </c>
      <c r="AM1233" t="s">
        <v>74</v>
      </c>
      <c r="AN1233" t="s">
        <v>74</v>
      </c>
      <c r="AO1233" t="s">
        <v>149</v>
      </c>
      <c r="AP1233" t="s">
        <v>74</v>
      </c>
      <c r="AQ1233" t="s">
        <v>74</v>
      </c>
      <c r="AR1233" t="s">
        <v>74</v>
      </c>
      <c r="AS1233" t="s">
        <v>74</v>
      </c>
      <c r="AT1233" t="s">
        <v>14762</v>
      </c>
      <c r="AU1233">
        <v>2020</v>
      </c>
      <c r="AV1233">
        <v>10</v>
      </c>
      <c r="AW1233">
        <v>1</v>
      </c>
      <c r="AX1233" t="s">
        <v>74</v>
      </c>
      <c r="AY1233" t="s">
        <v>74</v>
      </c>
      <c r="AZ1233" t="s">
        <v>74</v>
      </c>
      <c r="BA1233" t="s">
        <v>74</v>
      </c>
      <c r="BB1233" t="s">
        <v>74</v>
      </c>
      <c r="BC1233" t="s">
        <v>74</v>
      </c>
      <c r="BD1233">
        <v>21795</v>
      </c>
      <c r="BE1233" t="s">
        <v>14763</v>
      </c>
      <c r="BF1233" t="str">
        <f>HYPERLINK("http://dx.doi.org/10.1038/s41598-020-78464-2","http://dx.doi.org/10.1038/s41598-020-78464-2")</f>
        <v>http://dx.doi.org/10.1038/s41598-020-78464-2</v>
      </c>
      <c r="BG1233" t="s">
        <v>74</v>
      </c>
      <c r="BH1233" t="s">
        <v>74</v>
      </c>
      <c r="BI1233" t="s">
        <v>74</v>
      </c>
      <c r="BJ1233" t="s">
        <v>152</v>
      </c>
      <c r="BK1233" t="s">
        <v>117</v>
      </c>
      <c r="BL1233" t="s">
        <v>153</v>
      </c>
      <c r="BM1233" t="s">
        <v>74</v>
      </c>
      <c r="BN1233">
        <v>33311558</v>
      </c>
      <c r="BO1233" t="s">
        <v>74</v>
      </c>
      <c r="BP1233" t="s">
        <v>74</v>
      </c>
      <c r="BQ1233" t="s">
        <v>74</v>
      </c>
      <c r="BR1233" t="s">
        <v>96</v>
      </c>
      <c r="BS1233" t="s">
        <v>14764</v>
      </c>
      <c r="BT1233" t="str">
        <f>HYPERLINK("https%3A%2F%2Fwww.webofscience.com%2Fwos%2Fwoscc%2Ffull-record%2FWOS:000599946500007","View Full Record in Web of Science")</f>
        <v>View Full Record in Web of Science</v>
      </c>
    </row>
    <row r="1234" spans="1:72" x14ac:dyDescent="0.15">
      <c r="A1234" t="s">
        <v>98</v>
      </c>
      <c r="B1234" t="s">
        <v>14795</v>
      </c>
      <c r="C1234" t="s">
        <v>74</v>
      </c>
      <c r="D1234" t="s">
        <v>74</v>
      </c>
      <c r="E1234" t="s">
        <v>74</v>
      </c>
      <c r="F1234" t="s">
        <v>14796</v>
      </c>
      <c r="G1234" t="s">
        <v>74</v>
      </c>
      <c r="H1234" t="s">
        <v>74</v>
      </c>
      <c r="I1234" t="s">
        <v>14797</v>
      </c>
      <c r="J1234" t="s">
        <v>14798</v>
      </c>
      <c r="K1234" t="s">
        <v>74</v>
      </c>
      <c r="L1234" t="s">
        <v>74</v>
      </c>
      <c r="M1234" t="s">
        <v>74</v>
      </c>
      <c r="N1234" t="s">
        <v>103</v>
      </c>
      <c r="O1234" t="s">
        <v>74</v>
      </c>
      <c r="P1234" t="s">
        <v>74</v>
      </c>
      <c r="Q1234" t="s">
        <v>74</v>
      </c>
      <c r="R1234" t="s">
        <v>74</v>
      </c>
      <c r="S1234" t="s">
        <v>74</v>
      </c>
      <c r="T1234" t="s">
        <v>74</v>
      </c>
      <c r="U1234" t="s">
        <v>14799</v>
      </c>
      <c r="V1234" t="s">
        <v>14800</v>
      </c>
      <c r="W1234" t="s">
        <v>14801</v>
      </c>
      <c r="X1234" t="s">
        <v>14802</v>
      </c>
      <c r="Y1234" t="s">
        <v>14803</v>
      </c>
      <c r="Z1234" t="s">
        <v>14804</v>
      </c>
      <c r="AA1234" t="s">
        <v>74</v>
      </c>
      <c r="AB1234" t="s">
        <v>14805</v>
      </c>
      <c r="AC1234" t="s">
        <v>74</v>
      </c>
      <c r="AD1234" t="s">
        <v>74</v>
      </c>
      <c r="AE1234" t="s">
        <v>74</v>
      </c>
      <c r="AF1234" t="s">
        <v>74</v>
      </c>
      <c r="AG1234">
        <v>52</v>
      </c>
      <c r="AH1234">
        <v>9</v>
      </c>
      <c r="AI1234">
        <v>9</v>
      </c>
      <c r="AJ1234">
        <v>5</v>
      </c>
      <c r="AK1234">
        <v>55</v>
      </c>
      <c r="AL1234" t="s">
        <v>74</v>
      </c>
      <c r="AM1234" t="s">
        <v>74</v>
      </c>
      <c r="AN1234" t="s">
        <v>74</v>
      </c>
      <c r="AO1234" t="s">
        <v>74</v>
      </c>
      <c r="AP1234" t="s">
        <v>14806</v>
      </c>
      <c r="AQ1234" t="s">
        <v>74</v>
      </c>
      <c r="AR1234" t="s">
        <v>74</v>
      </c>
      <c r="AS1234" t="s">
        <v>74</v>
      </c>
      <c r="AT1234" t="s">
        <v>7400</v>
      </c>
      <c r="AU1234">
        <v>2018</v>
      </c>
      <c r="AV1234">
        <v>2</v>
      </c>
      <c r="AW1234">
        <v>11</v>
      </c>
      <c r="AX1234" t="s">
        <v>74</v>
      </c>
      <c r="AY1234" t="s">
        <v>74</v>
      </c>
      <c r="AZ1234" t="s">
        <v>74</v>
      </c>
      <c r="BA1234" t="s">
        <v>74</v>
      </c>
      <c r="BB1234">
        <v>2130</v>
      </c>
      <c r="BC1234">
        <v>2139</v>
      </c>
      <c r="BD1234" t="s">
        <v>74</v>
      </c>
      <c r="BE1234" t="s">
        <v>14807</v>
      </c>
      <c r="BF1234" t="str">
        <f>HYPERLINK("http://dx.doi.org/10.1039/c8qm00300a","http://dx.doi.org/10.1039/c8qm00300a")</f>
        <v>http://dx.doi.org/10.1039/c8qm00300a</v>
      </c>
      <c r="BG1234" t="s">
        <v>74</v>
      </c>
      <c r="BH1234" t="s">
        <v>74</v>
      </c>
      <c r="BI1234" t="s">
        <v>74</v>
      </c>
      <c r="BJ1234" t="s">
        <v>7989</v>
      </c>
      <c r="BK1234" t="s">
        <v>117</v>
      </c>
      <c r="BL1234" t="s">
        <v>7990</v>
      </c>
      <c r="BM1234" t="s">
        <v>74</v>
      </c>
      <c r="BN1234" t="s">
        <v>74</v>
      </c>
      <c r="BO1234" t="s">
        <v>74</v>
      </c>
      <c r="BP1234" t="s">
        <v>74</v>
      </c>
      <c r="BQ1234" t="s">
        <v>74</v>
      </c>
      <c r="BR1234" t="s">
        <v>96</v>
      </c>
      <c r="BS1234" t="s">
        <v>14808</v>
      </c>
      <c r="BT1234" t="str">
        <f>HYPERLINK("https%3A%2F%2Fwww.webofscience.com%2Fwos%2Fwoscc%2Ffull-record%2FWOS:000448416200020","View Full Record in Web of Science")</f>
        <v>View Full Record in Web of Science</v>
      </c>
    </row>
    <row r="1235" spans="1:72" x14ac:dyDescent="0.15">
      <c r="A1235" t="s">
        <v>98</v>
      </c>
      <c r="B1235" t="s">
        <v>15451</v>
      </c>
      <c r="C1235" t="s">
        <v>74</v>
      </c>
      <c r="D1235" t="s">
        <v>74</v>
      </c>
      <c r="E1235" t="s">
        <v>74</v>
      </c>
      <c r="F1235" t="s">
        <v>15452</v>
      </c>
      <c r="G1235" t="s">
        <v>74</v>
      </c>
      <c r="H1235" t="s">
        <v>74</v>
      </c>
      <c r="I1235" t="s">
        <v>15453</v>
      </c>
      <c r="J1235" t="s">
        <v>2105</v>
      </c>
      <c r="K1235" t="s">
        <v>74</v>
      </c>
      <c r="L1235" t="s">
        <v>74</v>
      </c>
      <c r="M1235" t="s">
        <v>74</v>
      </c>
      <c r="N1235" t="s">
        <v>103</v>
      </c>
      <c r="O1235" t="s">
        <v>74</v>
      </c>
      <c r="P1235" t="s">
        <v>74</v>
      </c>
      <c r="Q1235" t="s">
        <v>74</v>
      </c>
      <c r="R1235" t="s">
        <v>74</v>
      </c>
      <c r="S1235" t="s">
        <v>74</v>
      </c>
      <c r="T1235" t="s">
        <v>15454</v>
      </c>
      <c r="U1235" t="s">
        <v>15455</v>
      </c>
      <c r="V1235" t="s">
        <v>15456</v>
      </c>
      <c r="W1235" t="s">
        <v>15457</v>
      </c>
      <c r="X1235" t="s">
        <v>15458</v>
      </c>
      <c r="Y1235" t="s">
        <v>15459</v>
      </c>
      <c r="Z1235" t="s">
        <v>15460</v>
      </c>
      <c r="AA1235" t="s">
        <v>15461</v>
      </c>
      <c r="AB1235" t="s">
        <v>15462</v>
      </c>
      <c r="AC1235" t="s">
        <v>74</v>
      </c>
      <c r="AD1235" t="s">
        <v>74</v>
      </c>
      <c r="AE1235" t="s">
        <v>74</v>
      </c>
      <c r="AF1235" t="s">
        <v>74</v>
      </c>
      <c r="AG1235">
        <v>44</v>
      </c>
      <c r="AH1235">
        <v>9</v>
      </c>
      <c r="AI1235">
        <v>9</v>
      </c>
      <c r="AJ1235">
        <v>0</v>
      </c>
      <c r="AK1235">
        <v>4</v>
      </c>
      <c r="AL1235" t="s">
        <v>74</v>
      </c>
      <c r="AM1235" t="s">
        <v>74</v>
      </c>
      <c r="AN1235" t="s">
        <v>74</v>
      </c>
      <c r="AO1235" t="s">
        <v>2115</v>
      </c>
      <c r="AP1235" t="s">
        <v>74</v>
      </c>
      <c r="AQ1235" t="s">
        <v>74</v>
      </c>
      <c r="AR1235" t="s">
        <v>74</v>
      </c>
      <c r="AS1235" t="s">
        <v>74</v>
      </c>
      <c r="AT1235" t="s">
        <v>8279</v>
      </c>
      <c r="AU1235">
        <v>2019</v>
      </c>
      <c r="AV1235">
        <v>9</v>
      </c>
      <c r="AW1235" t="s">
        <v>74</v>
      </c>
      <c r="AX1235" t="s">
        <v>74</v>
      </c>
      <c r="AY1235" t="s">
        <v>74</v>
      </c>
      <c r="AZ1235" t="s">
        <v>74</v>
      </c>
      <c r="BA1235" t="s">
        <v>74</v>
      </c>
      <c r="BB1235" t="s">
        <v>74</v>
      </c>
      <c r="BC1235" t="s">
        <v>74</v>
      </c>
      <c r="BD1235">
        <v>93</v>
      </c>
      <c r="BE1235" t="s">
        <v>15463</v>
      </c>
      <c r="BF1235" t="str">
        <f>HYPERLINK("http://dx.doi.org/10.3389/fonc.2019.00093","http://dx.doi.org/10.3389/fonc.2019.00093")</f>
        <v>http://dx.doi.org/10.3389/fonc.2019.00093</v>
      </c>
      <c r="BG1235" t="s">
        <v>74</v>
      </c>
      <c r="BH1235" t="s">
        <v>74</v>
      </c>
      <c r="BI1235" t="s">
        <v>74</v>
      </c>
      <c r="BJ1235" t="s">
        <v>267</v>
      </c>
      <c r="BK1235" t="s">
        <v>117</v>
      </c>
      <c r="BL1235" t="s">
        <v>267</v>
      </c>
      <c r="BM1235" t="s">
        <v>74</v>
      </c>
      <c r="BN1235">
        <v>30847303</v>
      </c>
      <c r="BO1235" t="s">
        <v>74</v>
      </c>
      <c r="BP1235" t="s">
        <v>74</v>
      </c>
      <c r="BQ1235" t="s">
        <v>74</v>
      </c>
      <c r="BR1235" t="s">
        <v>96</v>
      </c>
      <c r="BS1235" t="s">
        <v>15464</v>
      </c>
      <c r="BT1235" t="str">
        <f>HYPERLINK("https%3A%2F%2Fwww.webofscience.com%2Fwos%2Fwoscc%2Ffull-record%2FWOS:000459290000001","View Full Record in Web of Science")</f>
        <v>View Full Record in Web of Science</v>
      </c>
    </row>
    <row r="1236" spans="1:72" x14ac:dyDescent="0.15">
      <c r="A1236" t="s">
        <v>98</v>
      </c>
      <c r="B1236" t="s">
        <v>15491</v>
      </c>
      <c r="C1236" t="s">
        <v>74</v>
      </c>
      <c r="D1236" t="s">
        <v>74</v>
      </c>
      <c r="E1236" t="s">
        <v>74</v>
      </c>
      <c r="F1236" t="s">
        <v>15492</v>
      </c>
      <c r="G1236" t="s">
        <v>74</v>
      </c>
      <c r="H1236" t="s">
        <v>74</v>
      </c>
      <c r="I1236" t="s">
        <v>15493</v>
      </c>
      <c r="J1236" t="s">
        <v>9977</v>
      </c>
      <c r="K1236" t="s">
        <v>74</v>
      </c>
      <c r="L1236" t="s">
        <v>74</v>
      </c>
      <c r="M1236" t="s">
        <v>74</v>
      </c>
      <c r="N1236" t="s">
        <v>103</v>
      </c>
      <c r="O1236" t="s">
        <v>74</v>
      </c>
      <c r="P1236" t="s">
        <v>74</v>
      </c>
      <c r="Q1236" t="s">
        <v>74</v>
      </c>
      <c r="R1236" t="s">
        <v>74</v>
      </c>
      <c r="S1236" t="s">
        <v>74</v>
      </c>
      <c r="T1236" t="s">
        <v>15494</v>
      </c>
      <c r="U1236" t="s">
        <v>15495</v>
      </c>
      <c r="V1236" t="s">
        <v>15496</v>
      </c>
      <c r="W1236" t="s">
        <v>15497</v>
      </c>
      <c r="X1236" t="s">
        <v>15498</v>
      </c>
      <c r="Y1236" t="s">
        <v>15499</v>
      </c>
      <c r="Z1236" t="s">
        <v>15500</v>
      </c>
      <c r="AA1236" t="s">
        <v>15501</v>
      </c>
      <c r="AB1236" t="s">
        <v>15502</v>
      </c>
      <c r="AC1236" t="s">
        <v>74</v>
      </c>
      <c r="AD1236" t="s">
        <v>74</v>
      </c>
      <c r="AE1236" t="s">
        <v>74</v>
      </c>
      <c r="AF1236" t="s">
        <v>74</v>
      </c>
      <c r="AG1236">
        <v>79</v>
      </c>
      <c r="AH1236">
        <v>9</v>
      </c>
      <c r="AI1236">
        <v>9</v>
      </c>
      <c r="AJ1236">
        <v>3</v>
      </c>
      <c r="AK1236">
        <v>11</v>
      </c>
      <c r="AL1236" t="s">
        <v>74</v>
      </c>
      <c r="AM1236" t="s">
        <v>74</v>
      </c>
      <c r="AN1236" t="s">
        <v>74</v>
      </c>
      <c r="AO1236" t="s">
        <v>74</v>
      </c>
      <c r="AP1236" t="s">
        <v>9986</v>
      </c>
      <c r="AQ1236" t="s">
        <v>74</v>
      </c>
      <c r="AR1236" t="s">
        <v>74</v>
      </c>
      <c r="AS1236" t="s">
        <v>74</v>
      </c>
      <c r="AT1236" t="s">
        <v>211</v>
      </c>
      <c r="AU1236">
        <v>2020</v>
      </c>
      <c r="AV1236">
        <v>8</v>
      </c>
      <c r="AW1236">
        <v>11</v>
      </c>
      <c r="AX1236" t="s">
        <v>74</v>
      </c>
      <c r="AY1236" t="s">
        <v>74</v>
      </c>
      <c r="AZ1236" t="s">
        <v>74</v>
      </c>
      <c r="BA1236" t="s">
        <v>74</v>
      </c>
      <c r="BB1236" t="s">
        <v>74</v>
      </c>
      <c r="BC1236" t="s">
        <v>74</v>
      </c>
      <c r="BD1236">
        <v>1653</v>
      </c>
      <c r="BE1236" t="s">
        <v>15503</v>
      </c>
      <c r="BF1236" t="str">
        <f>HYPERLINK("http://dx.doi.org/10.3390/microorganisms8111653","http://dx.doi.org/10.3390/microorganisms8111653")</f>
        <v>http://dx.doi.org/10.3390/microorganisms8111653</v>
      </c>
      <c r="BG1236" t="s">
        <v>74</v>
      </c>
      <c r="BH1236" t="s">
        <v>74</v>
      </c>
      <c r="BI1236" t="s">
        <v>74</v>
      </c>
      <c r="BJ1236" t="s">
        <v>898</v>
      </c>
      <c r="BK1236" t="s">
        <v>117</v>
      </c>
      <c r="BL1236" t="s">
        <v>898</v>
      </c>
      <c r="BM1236" t="s">
        <v>74</v>
      </c>
      <c r="BN1236">
        <v>33114410</v>
      </c>
      <c r="BO1236" t="s">
        <v>74</v>
      </c>
      <c r="BP1236" t="s">
        <v>74</v>
      </c>
      <c r="BQ1236" t="s">
        <v>74</v>
      </c>
      <c r="BR1236" t="s">
        <v>96</v>
      </c>
      <c r="BS1236" t="s">
        <v>15504</v>
      </c>
      <c r="BT1236" t="str">
        <f>HYPERLINK("https%3A%2F%2Fwww.webofscience.com%2Fwos%2Fwoscc%2Ffull-record%2FWOS:000593419600001","View Full Record in Web of Science")</f>
        <v>View Full Record in Web of Science</v>
      </c>
    </row>
    <row r="1237" spans="1:72" x14ac:dyDescent="0.15">
      <c r="A1237" t="s">
        <v>98</v>
      </c>
      <c r="B1237" t="s">
        <v>15505</v>
      </c>
      <c r="C1237" t="s">
        <v>74</v>
      </c>
      <c r="D1237" t="s">
        <v>74</v>
      </c>
      <c r="E1237" t="s">
        <v>74</v>
      </c>
      <c r="F1237" t="s">
        <v>15506</v>
      </c>
      <c r="G1237" t="s">
        <v>74</v>
      </c>
      <c r="H1237" t="s">
        <v>74</v>
      </c>
      <c r="I1237" t="s">
        <v>15507</v>
      </c>
      <c r="J1237" t="s">
        <v>7488</v>
      </c>
      <c r="K1237" t="s">
        <v>74</v>
      </c>
      <c r="L1237" t="s">
        <v>74</v>
      </c>
      <c r="M1237" t="s">
        <v>74</v>
      </c>
      <c r="N1237" t="s">
        <v>103</v>
      </c>
      <c r="O1237" t="s">
        <v>74</v>
      </c>
      <c r="P1237" t="s">
        <v>74</v>
      </c>
      <c r="Q1237" t="s">
        <v>74</v>
      </c>
      <c r="R1237" t="s">
        <v>74</v>
      </c>
      <c r="S1237" t="s">
        <v>74</v>
      </c>
      <c r="T1237" t="s">
        <v>15508</v>
      </c>
      <c r="U1237" t="s">
        <v>15509</v>
      </c>
      <c r="V1237" t="s">
        <v>15510</v>
      </c>
      <c r="W1237" t="s">
        <v>15511</v>
      </c>
      <c r="X1237" t="s">
        <v>15512</v>
      </c>
      <c r="Y1237" t="s">
        <v>15513</v>
      </c>
      <c r="Z1237" t="s">
        <v>15514</v>
      </c>
      <c r="AA1237" t="s">
        <v>74</v>
      </c>
      <c r="AB1237" t="s">
        <v>74</v>
      </c>
      <c r="AC1237" t="s">
        <v>74</v>
      </c>
      <c r="AD1237" t="s">
        <v>74</v>
      </c>
      <c r="AE1237" t="s">
        <v>74</v>
      </c>
      <c r="AF1237" t="s">
        <v>74</v>
      </c>
      <c r="AG1237">
        <v>34</v>
      </c>
      <c r="AH1237">
        <v>9</v>
      </c>
      <c r="AI1237">
        <v>10</v>
      </c>
      <c r="AJ1237">
        <v>1</v>
      </c>
      <c r="AK1237">
        <v>18</v>
      </c>
      <c r="AL1237" t="s">
        <v>74</v>
      </c>
      <c r="AM1237" t="s">
        <v>74</v>
      </c>
      <c r="AN1237" t="s">
        <v>74</v>
      </c>
      <c r="AO1237" t="s">
        <v>7496</v>
      </c>
      <c r="AP1237" t="s">
        <v>74</v>
      </c>
      <c r="AQ1237" t="s">
        <v>74</v>
      </c>
      <c r="AR1237" t="s">
        <v>74</v>
      </c>
      <c r="AS1237" t="s">
        <v>74</v>
      </c>
      <c r="AT1237" t="s">
        <v>565</v>
      </c>
      <c r="AU1237">
        <v>2019</v>
      </c>
      <c r="AV1237">
        <v>128</v>
      </c>
      <c r="AW1237" t="s">
        <v>74</v>
      </c>
      <c r="AX1237" t="s">
        <v>74</v>
      </c>
      <c r="AY1237" t="s">
        <v>74</v>
      </c>
      <c r="AZ1237" t="s">
        <v>74</v>
      </c>
      <c r="BA1237" t="s">
        <v>74</v>
      </c>
      <c r="BB1237">
        <v>414</v>
      </c>
      <c r="BC1237">
        <v>422</v>
      </c>
      <c r="BD1237" t="s">
        <v>74</v>
      </c>
      <c r="BE1237" t="s">
        <v>15515</v>
      </c>
      <c r="BF1237" t="str">
        <f>HYPERLINK("http://dx.doi.org/10.1016/j.micpath.2018.12.047","http://dx.doi.org/10.1016/j.micpath.2018.12.047")</f>
        <v>http://dx.doi.org/10.1016/j.micpath.2018.12.047</v>
      </c>
      <c r="BG1237" t="s">
        <v>74</v>
      </c>
      <c r="BH1237" t="s">
        <v>74</v>
      </c>
      <c r="BI1237" t="s">
        <v>74</v>
      </c>
      <c r="BJ1237" t="s">
        <v>3257</v>
      </c>
      <c r="BK1237" t="s">
        <v>117</v>
      </c>
      <c r="BL1237" t="s">
        <v>3257</v>
      </c>
      <c r="BM1237" t="s">
        <v>74</v>
      </c>
      <c r="BN1237">
        <v>30597256</v>
      </c>
      <c r="BO1237" t="s">
        <v>74</v>
      </c>
      <c r="BP1237" t="s">
        <v>74</v>
      </c>
      <c r="BQ1237" t="s">
        <v>74</v>
      </c>
      <c r="BR1237" t="s">
        <v>96</v>
      </c>
      <c r="BS1237" t="s">
        <v>15516</v>
      </c>
      <c r="BT1237" t="str">
        <f>HYPERLINK("https%3A%2F%2Fwww.webofscience.com%2Fwos%2Fwoscc%2Ffull-record%2FWOS:000460195700058","View Full Record in Web of Science")</f>
        <v>View Full Record in Web of Science</v>
      </c>
    </row>
    <row r="1238" spans="1:72" x14ac:dyDescent="0.15">
      <c r="A1238" t="s">
        <v>98</v>
      </c>
      <c r="B1238" t="s">
        <v>16167</v>
      </c>
      <c r="C1238" t="s">
        <v>74</v>
      </c>
      <c r="D1238" t="s">
        <v>74</v>
      </c>
      <c r="E1238" t="s">
        <v>74</v>
      </c>
      <c r="F1238" t="s">
        <v>16168</v>
      </c>
      <c r="G1238" t="s">
        <v>74</v>
      </c>
      <c r="H1238" t="s">
        <v>74</v>
      </c>
      <c r="I1238" t="s">
        <v>16169</v>
      </c>
      <c r="J1238" t="s">
        <v>9651</v>
      </c>
      <c r="K1238" t="s">
        <v>74</v>
      </c>
      <c r="L1238" t="s">
        <v>74</v>
      </c>
      <c r="M1238" t="s">
        <v>74</v>
      </c>
      <c r="N1238" t="s">
        <v>103</v>
      </c>
      <c r="O1238" t="s">
        <v>74</v>
      </c>
      <c r="P1238" t="s">
        <v>74</v>
      </c>
      <c r="Q1238" t="s">
        <v>74</v>
      </c>
      <c r="R1238" t="s">
        <v>74</v>
      </c>
      <c r="S1238" t="s">
        <v>74</v>
      </c>
      <c r="T1238" t="s">
        <v>74</v>
      </c>
      <c r="U1238" t="s">
        <v>74</v>
      </c>
      <c r="V1238" t="s">
        <v>16170</v>
      </c>
      <c r="W1238" t="s">
        <v>16171</v>
      </c>
      <c r="X1238" t="s">
        <v>16172</v>
      </c>
      <c r="Y1238" t="s">
        <v>16173</v>
      </c>
      <c r="Z1238" t="s">
        <v>16174</v>
      </c>
      <c r="AA1238" t="s">
        <v>74</v>
      </c>
      <c r="AB1238" t="s">
        <v>74</v>
      </c>
      <c r="AC1238" t="s">
        <v>74</v>
      </c>
      <c r="AD1238" t="s">
        <v>74</v>
      </c>
      <c r="AE1238" t="s">
        <v>74</v>
      </c>
      <c r="AF1238" t="s">
        <v>74</v>
      </c>
      <c r="AG1238">
        <v>23</v>
      </c>
      <c r="AH1238">
        <v>9</v>
      </c>
      <c r="AI1238">
        <v>9</v>
      </c>
      <c r="AJ1238">
        <v>14</v>
      </c>
      <c r="AK1238">
        <v>25</v>
      </c>
      <c r="AL1238" t="s">
        <v>74</v>
      </c>
      <c r="AM1238" t="s">
        <v>74</v>
      </c>
      <c r="AN1238" t="s">
        <v>74</v>
      </c>
      <c r="AO1238" t="s">
        <v>9658</v>
      </c>
      <c r="AP1238" t="s">
        <v>9659</v>
      </c>
      <c r="AQ1238" t="s">
        <v>74</v>
      </c>
      <c r="AR1238" t="s">
        <v>74</v>
      </c>
      <c r="AS1238" t="s">
        <v>74</v>
      </c>
      <c r="AT1238" t="s">
        <v>16175</v>
      </c>
      <c r="AU1238">
        <v>2021</v>
      </c>
      <c r="AV1238">
        <v>57</v>
      </c>
      <c r="AW1238">
        <v>68</v>
      </c>
      <c r="AX1238" t="s">
        <v>74</v>
      </c>
      <c r="AY1238" t="s">
        <v>74</v>
      </c>
      <c r="AZ1238" t="s">
        <v>74</v>
      </c>
      <c r="BA1238" t="s">
        <v>74</v>
      </c>
      <c r="BB1238">
        <v>8508</v>
      </c>
      <c r="BC1238">
        <v>8511</v>
      </c>
      <c r="BD1238" t="s">
        <v>74</v>
      </c>
      <c r="BE1238" t="s">
        <v>16176</v>
      </c>
      <c r="BF1238" t="str">
        <f>HYPERLINK("http://dx.doi.org/10.1039/d1cc03640h","http://dx.doi.org/10.1039/d1cc03640h")</f>
        <v>http://dx.doi.org/10.1039/d1cc03640h</v>
      </c>
      <c r="BG1238" t="s">
        <v>74</v>
      </c>
      <c r="BH1238" t="s">
        <v>1136</v>
      </c>
      <c r="BI1238" t="s">
        <v>74</v>
      </c>
      <c r="BJ1238" t="s">
        <v>1047</v>
      </c>
      <c r="BK1238" t="s">
        <v>117</v>
      </c>
      <c r="BL1238" t="s">
        <v>1048</v>
      </c>
      <c r="BM1238" t="s">
        <v>74</v>
      </c>
      <c r="BN1238">
        <v>34351331</v>
      </c>
      <c r="BO1238" t="s">
        <v>74</v>
      </c>
      <c r="BP1238" t="s">
        <v>74</v>
      </c>
      <c r="BQ1238" t="s">
        <v>74</v>
      </c>
      <c r="BR1238" t="s">
        <v>96</v>
      </c>
      <c r="BS1238" t="s">
        <v>16177</v>
      </c>
      <c r="BT1238" t="str">
        <f>HYPERLINK("https%3A%2F%2Fwww.webofscience.com%2Fwos%2Fwoscc%2Ffull-record%2FWOS:000681399600001","View Full Record in Web of Science")</f>
        <v>View Full Record in Web of Science</v>
      </c>
    </row>
    <row r="1239" spans="1:72" x14ac:dyDescent="0.15">
      <c r="A1239" t="s">
        <v>98</v>
      </c>
      <c r="B1239" t="s">
        <v>16617</v>
      </c>
      <c r="C1239" t="s">
        <v>74</v>
      </c>
      <c r="D1239" t="s">
        <v>74</v>
      </c>
      <c r="E1239" t="s">
        <v>74</v>
      </c>
      <c r="F1239" t="s">
        <v>16618</v>
      </c>
      <c r="G1239" t="s">
        <v>74</v>
      </c>
      <c r="H1239" t="s">
        <v>74</v>
      </c>
      <c r="I1239" t="s">
        <v>16619</v>
      </c>
      <c r="J1239" t="s">
        <v>16141</v>
      </c>
      <c r="K1239" t="s">
        <v>74</v>
      </c>
      <c r="L1239" t="s">
        <v>74</v>
      </c>
      <c r="M1239" t="s">
        <v>74</v>
      </c>
      <c r="N1239" t="s">
        <v>103</v>
      </c>
      <c r="O1239" t="s">
        <v>74</v>
      </c>
      <c r="P1239" t="s">
        <v>74</v>
      </c>
      <c r="Q1239" t="s">
        <v>74</v>
      </c>
      <c r="R1239" t="s">
        <v>74</v>
      </c>
      <c r="S1239" t="s">
        <v>74</v>
      </c>
      <c r="T1239" t="s">
        <v>74</v>
      </c>
      <c r="U1239" t="s">
        <v>16620</v>
      </c>
      <c r="V1239" t="s">
        <v>16621</v>
      </c>
      <c r="W1239" t="s">
        <v>16622</v>
      </c>
      <c r="X1239" t="s">
        <v>16623</v>
      </c>
      <c r="Y1239" t="s">
        <v>16624</v>
      </c>
      <c r="Z1239" t="s">
        <v>16625</v>
      </c>
      <c r="AA1239" t="s">
        <v>74</v>
      </c>
      <c r="AB1239" t="s">
        <v>74</v>
      </c>
      <c r="AC1239" t="s">
        <v>74</v>
      </c>
      <c r="AD1239" t="s">
        <v>74</v>
      </c>
      <c r="AE1239" t="s">
        <v>74</v>
      </c>
      <c r="AF1239" t="s">
        <v>74</v>
      </c>
      <c r="AG1239">
        <v>59</v>
      </c>
      <c r="AH1239">
        <v>9</v>
      </c>
      <c r="AI1239">
        <v>9</v>
      </c>
      <c r="AJ1239">
        <v>14</v>
      </c>
      <c r="AK1239">
        <v>22</v>
      </c>
      <c r="AL1239" t="s">
        <v>74</v>
      </c>
      <c r="AM1239" t="s">
        <v>74</v>
      </c>
      <c r="AN1239" t="s">
        <v>74</v>
      </c>
      <c r="AO1239" t="s">
        <v>16150</v>
      </c>
      <c r="AP1239" t="s">
        <v>16151</v>
      </c>
      <c r="AQ1239" t="s">
        <v>74</v>
      </c>
      <c r="AR1239" t="s">
        <v>74</v>
      </c>
      <c r="AS1239" t="s">
        <v>74</v>
      </c>
      <c r="AT1239" t="s">
        <v>319</v>
      </c>
      <c r="AU1239">
        <v>2021</v>
      </c>
      <c r="AV1239">
        <v>9</v>
      </c>
      <c r="AW1239">
        <v>12</v>
      </c>
      <c r="AX1239" t="s">
        <v>74</v>
      </c>
      <c r="AY1239" t="s">
        <v>74</v>
      </c>
      <c r="AZ1239" t="s">
        <v>74</v>
      </c>
      <c r="BA1239" t="s">
        <v>74</v>
      </c>
      <c r="BB1239">
        <v>1383</v>
      </c>
      <c r="BC1239">
        <v>1399</v>
      </c>
      <c r="BD1239" t="s">
        <v>74</v>
      </c>
      <c r="BE1239" t="s">
        <v>16626</v>
      </c>
      <c r="BF1239" t="str">
        <f>HYPERLINK("http://dx.doi.org/10.1158/2326-6066.CIR-21-0258","http://dx.doi.org/10.1158/2326-6066.CIR-21-0258")</f>
        <v>http://dx.doi.org/10.1158/2326-6066.CIR-21-0258</v>
      </c>
      <c r="BG1239" t="s">
        <v>74</v>
      </c>
      <c r="BH1239" t="s">
        <v>74</v>
      </c>
      <c r="BI1239" t="s">
        <v>74</v>
      </c>
      <c r="BJ1239" t="s">
        <v>7255</v>
      </c>
      <c r="BK1239" t="s">
        <v>117</v>
      </c>
      <c r="BL1239" t="s">
        <v>7255</v>
      </c>
      <c r="BM1239" t="s">
        <v>74</v>
      </c>
      <c r="BN1239">
        <v>34667108</v>
      </c>
      <c r="BO1239" t="s">
        <v>74</v>
      </c>
      <c r="BP1239" t="s">
        <v>74</v>
      </c>
      <c r="BQ1239" t="s">
        <v>74</v>
      </c>
      <c r="BR1239" t="s">
        <v>96</v>
      </c>
      <c r="BS1239" t="s">
        <v>16627</v>
      </c>
      <c r="BT1239" t="str">
        <f>HYPERLINK("https%3A%2F%2Fwww.webofscience.com%2Fwos%2Fwoscc%2Ffull-record%2FWOS:000727271400001","View Full Record in Web of Science")</f>
        <v>View Full Record in Web of Science</v>
      </c>
    </row>
    <row r="1240" spans="1:72" x14ac:dyDescent="0.15">
      <c r="A1240" t="s">
        <v>98</v>
      </c>
      <c r="B1240" t="s">
        <v>16759</v>
      </c>
      <c r="C1240" t="s">
        <v>74</v>
      </c>
      <c r="D1240" t="s">
        <v>74</v>
      </c>
      <c r="E1240" t="s">
        <v>74</v>
      </c>
      <c r="F1240" t="s">
        <v>16760</v>
      </c>
      <c r="G1240" t="s">
        <v>74</v>
      </c>
      <c r="H1240" t="s">
        <v>74</v>
      </c>
      <c r="I1240" t="s">
        <v>16761</v>
      </c>
      <c r="J1240" t="s">
        <v>16103</v>
      </c>
      <c r="K1240" t="s">
        <v>74</v>
      </c>
      <c r="L1240" t="s">
        <v>74</v>
      </c>
      <c r="M1240" t="s">
        <v>74</v>
      </c>
      <c r="N1240" t="s">
        <v>103</v>
      </c>
      <c r="O1240" t="s">
        <v>74</v>
      </c>
      <c r="P1240" t="s">
        <v>74</v>
      </c>
      <c r="Q1240" t="s">
        <v>74</v>
      </c>
      <c r="R1240" t="s">
        <v>74</v>
      </c>
      <c r="S1240" t="s">
        <v>74</v>
      </c>
      <c r="T1240" t="s">
        <v>74</v>
      </c>
      <c r="U1240" t="s">
        <v>16762</v>
      </c>
      <c r="V1240" t="s">
        <v>16763</v>
      </c>
      <c r="W1240" t="s">
        <v>16764</v>
      </c>
      <c r="X1240" t="s">
        <v>16765</v>
      </c>
      <c r="Y1240" t="s">
        <v>16766</v>
      </c>
      <c r="Z1240" t="s">
        <v>16767</v>
      </c>
      <c r="AA1240" t="s">
        <v>74</v>
      </c>
      <c r="AB1240" t="s">
        <v>74</v>
      </c>
      <c r="AC1240" t="s">
        <v>74</v>
      </c>
      <c r="AD1240" t="s">
        <v>74</v>
      </c>
      <c r="AE1240" t="s">
        <v>74</v>
      </c>
      <c r="AF1240" t="s">
        <v>74</v>
      </c>
      <c r="AG1240">
        <v>36</v>
      </c>
      <c r="AH1240">
        <v>9</v>
      </c>
      <c r="AI1240">
        <v>9</v>
      </c>
      <c r="AJ1240">
        <v>11</v>
      </c>
      <c r="AK1240">
        <v>53</v>
      </c>
      <c r="AL1240" t="s">
        <v>74</v>
      </c>
      <c r="AM1240" t="s">
        <v>74</v>
      </c>
      <c r="AN1240" t="s">
        <v>74</v>
      </c>
      <c r="AO1240" t="s">
        <v>74</v>
      </c>
      <c r="AP1240" t="s">
        <v>16110</v>
      </c>
      <c r="AQ1240" t="s">
        <v>74</v>
      </c>
      <c r="AR1240" t="s">
        <v>74</v>
      </c>
      <c r="AS1240" t="s">
        <v>74</v>
      </c>
      <c r="AT1240" t="s">
        <v>16768</v>
      </c>
      <c r="AU1240">
        <v>2021</v>
      </c>
      <c r="AV1240">
        <v>11</v>
      </c>
      <c r="AW1240">
        <v>9</v>
      </c>
      <c r="AX1240" t="s">
        <v>74</v>
      </c>
      <c r="AY1240" t="s">
        <v>74</v>
      </c>
      <c r="AZ1240" t="s">
        <v>74</v>
      </c>
      <c r="BA1240" t="s">
        <v>74</v>
      </c>
      <c r="BB1240">
        <v>4983</v>
      </c>
      <c r="BC1240">
        <v>4990</v>
      </c>
      <c r="BD1240" t="s">
        <v>74</v>
      </c>
      <c r="BE1240" t="s">
        <v>16769</v>
      </c>
      <c r="BF1240" t="str">
        <f>HYPERLINK("http://dx.doi.org/10.1039/d0ra10159a","http://dx.doi.org/10.1039/d0ra10159a")</f>
        <v>http://dx.doi.org/10.1039/d0ra10159a</v>
      </c>
      <c r="BG1240" t="s">
        <v>74</v>
      </c>
      <c r="BH1240" t="s">
        <v>74</v>
      </c>
      <c r="BI1240" t="s">
        <v>74</v>
      </c>
      <c r="BJ1240" t="s">
        <v>1047</v>
      </c>
      <c r="BK1240" t="s">
        <v>117</v>
      </c>
      <c r="BL1240" t="s">
        <v>1048</v>
      </c>
      <c r="BM1240" t="s">
        <v>74</v>
      </c>
      <c r="BN1240">
        <v>35424452</v>
      </c>
      <c r="BO1240" t="s">
        <v>74</v>
      </c>
      <c r="BP1240" t="s">
        <v>74</v>
      </c>
      <c r="BQ1240" t="s">
        <v>74</v>
      </c>
      <c r="BR1240" t="s">
        <v>96</v>
      </c>
      <c r="BS1240" t="s">
        <v>16770</v>
      </c>
      <c r="BT1240" t="str">
        <f>HYPERLINK("https%3A%2F%2Fwww.webofscience.com%2Fwos%2Fwoscc%2Ffull-record%2FWOS:000612838700014","View Full Record in Web of Science")</f>
        <v>View Full Record in Web of Science</v>
      </c>
    </row>
    <row r="1241" spans="1:72" x14ac:dyDescent="0.15">
      <c r="A1241" t="s">
        <v>98</v>
      </c>
      <c r="B1241" t="s">
        <v>16968</v>
      </c>
      <c r="C1241" t="s">
        <v>74</v>
      </c>
      <c r="D1241" t="s">
        <v>74</v>
      </c>
      <c r="E1241" t="s">
        <v>74</v>
      </c>
      <c r="F1241" t="s">
        <v>16969</v>
      </c>
      <c r="G1241" t="s">
        <v>74</v>
      </c>
      <c r="H1241" t="s">
        <v>74</v>
      </c>
      <c r="I1241" t="s">
        <v>16970</v>
      </c>
      <c r="J1241" t="s">
        <v>16971</v>
      </c>
      <c r="K1241" t="s">
        <v>74</v>
      </c>
      <c r="L1241" t="s">
        <v>74</v>
      </c>
      <c r="M1241" t="s">
        <v>74</v>
      </c>
      <c r="N1241" t="s">
        <v>103</v>
      </c>
      <c r="O1241" t="s">
        <v>74</v>
      </c>
      <c r="P1241" t="s">
        <v>74</v>
      </c>
      <c r="Q1241" t="s">
        <v>74</v>
      </c>
      <c r="R1241" t="s">
        <v>74</v>
      </c>
      <c r="S1241" t="s">
        <v>74</v>
      </c>
      <c r="T1241" t="s">
        <v>74</v>
      </c>
      <c r="U1241" t="s">
        <v>16972</v>
      </c>
      <c r="V1241" t="s">
        <v>16973</v>
      </c>
      <c r="W1241" t="s">
        <v>16974</v>
      </c>
      <c r="X1241" t="s">
        <v>16975</v>
      </c>
      <c r="Y1241" t="s">
        <v>16976</v>
      </c>
      <c r="Z1241" t="s">
        <v>16977</v>
      </c>
      <c r="AA1241" t="s">
        <v>16978</v>
      </c>
      <c r="AB1241" t="s">
        <v>16979</v>
      </c>
      <c r="AC1241" t="s">
        <v>74</v>
      </c>
      <c r="AD1241" t="s">
        <v>74</v>
      </c>
      <c r="AE1241" t="s">
        <v>74</v>
      </c>
      <c r="AF1241" t="s">
        <v>74</v>
      </c>
      <c r="AG1241">
        <v>53</v>
      </c>
      <c r="AH1241">
        <v>9</v>
      </c>
      <c r="AI1241">
        <v>9</v>
      </c>
      <c r="AJ1241">
        <v>2</v>
      </c>
      <c r="AK1241">
        <v>9</v>
      </c>
      <c r="AL1241" t="s">
        <v>74</v>
      </c>
      <c r="AM1241" t="s">
        <v>74</v>
      </c>
      <c r="AN1241" t="s">
        <v>74</v>
      </c>
      <c r="AO1241" t="s">
        <v>16980</v>
      </c>
      <c r="AP1241" t="s">
        <v>16981</v>
      </c>
      <c r="AQ1241" t="s">
        <v>74</v>
      </c>
      <c r="AR1241" t="s">
        <v>74</v>
      </c>
      <c r="AS1241" t="s">
        <v>74</v>
      </c>
      <c r="AT1241" t="s">
        <v>211</v>
      </c>
      <c r="AU1241">
        <v>2020</v>
      </c>
      <c r="AV1241">
        <v>72</v>
      </c>
      <c r="AW1241">
        <v>11</v>
      </c>
      <c r="AX1241" t="s">
        <v>74</v>
      </c>
      <c r="AY1241" t="s">
        <v>74</v>
      </c>
      <c r="AZ1241" t="s">
        <v>74</v>
      </c>
      <c r="BA1241" t="s">
        <v>74</v>
      </c>
      <c r="BB1241">
        <v>1905</v>
      </c>
      <c r="BC1241">
        <v>1915</v>
      </c>
      <c r="BD1241" t="s">
        <v>74</v>
      </c>
      <c r="BE1241" t="s">
        <v>16982</v>
      </c>
      <c r="BF1241" t="str">
        <f>HYPERLINK("http://dx.doi.org/10.1002/art.41418","http://dx.doi.org/10.1002/art.41418")</f>
        <v>http://dx.doi.org/10.1002/art.41418</v>
      </c>
      <c r="BG1241" t="s">
        <v>74</v>
      </c>
      <c r="BH1241" t="s">
        <v>973</v>
      </c>
      <c r="BI1241" t="s">
        <v>74</v>
      </c>
      <c r="BJ1241" t="s">
        <v>16983</v>
      </c>
      <c r="BK1241" t="s">
        <v>117</v>
      </c>
      <c r="BL1241" t="s">
        <v>16983</v>
      </c>
      <c r="BM1241" t="s">
        <v>74</v>
      </c>
      <c r="BN1241">
        <v>32602227</v>
      </c>
      <c r="BO1241" t="s">
        <v>74</v>
      </c>
      <c r="BP1241" t="s">
        <v>74</v>
      </c>
      <c r="BQ1241" t="s">
        <v>74</v>
      </c>
      <c r="BR1241" t="s">
        <v>96</v>
      </c>
      <c r="BS1241" t="s">
        <v>16984</v>
      </c>
      <c r="BT1241" t="str">
        <f>HYPERLINK("https%3A%2F%2Fwww.webofscience.com%2Fwos%2Fwoscc%2Ffull-record%2FWOS:000577775500001","View Full Record in Web of Science")</f>
        <v>View Full Record in Web of Science</v>
      </c>
    </row>
    <row r="1242" spans="1:72" x14ac:dyDescent="0.15">
      <c r="A1242" t="s">
        <v>98</v>
      </c>
      <c r="B1242" t="s">
        <v>17176</v>
      </c>
      <c r="C1242" t="s">
        <v>74</v>
      </c>
      <c r="D1242" t="s">
        <v>74</v>
      </c>
      <c r="E1242" t="s">
        <v>74</v>
      </c>
      <c r="F1242" t="s">
        <v>17177</v>
      </c>
      <c r="G1242" t="s">
        <v>74</v>
      </c>
      <c r="H1242" t="s">
        <v>74</v>
      </c>
      <c r="I1242" t="s">
        <v>17178</v>
      </c>
      <c r="J1242" t="s">
        <v>7978</v>
      </c>
      <c r="K1242" t="s">
        <v>74</v>
      </c>
      <c r="L1242" t="s">
        <v>74</v>
      </c>
      <c r="M1242" t="s">
        <v>74</v>
      </c>
      <c r="N1242" t="s">
        <v>103</v>
      </c>
      <c r="O1242" t="s">
        <v>74</v>
      </c>
      <c r="P1242" t="s">
        <v>74</v>
      </c>
      <c r="Q1242" t="s">
        <v>74</v>
      </c>
      <c r="R1242" t="s">
        <v>74</v>
      </c>
      <c r="S1242" t="s">
        <v>74</v>
      </c>
      <c r="T1242" t="s">
        <v>74</v>
      </c>
      <c r="U1242" t="s">
        <v>17179</v>
      </c>
      <c r="V1242" t="s">
        <v>17180</v>
      </c>
      <c r="W1242" t="s">
        <v>17181</v>
      </c>
      <c r="X1242" t="s">
        <v>17182</v>
      </c>
      <c r="Y1242" t="s">
        <v>17183</v>
      </c>
      <c r="Z1242" t="s">
        <v>17184</v>
      </c>
      <c r="AA1242" t="s">
        <v>74</v>
      </c>
      <c r="AB1242" t="s">
        <v>17185</v>
      </c>
      <c r="AC1242" t="s">
        <v>74</v>
      </c>
      <c r="AD1242" t="s">
        <v>74</v>
      </c>
      <c r="AE1242" t="s">
        <v>74</v>
      </c>
      <c r="AF1242" t="s">
        <v>74</v>
      </c>
      <c r="AG1242">
        <v>60</v>
      </c>
      <c r="AH1242">
        <v>9</v>
      </c>
      <c r="AI1242">
        <v>9</v>
      </c>
      <c r="AJ1242">
        <v>8</v>
      </c>
      <c r="AK1242">
        <v>28</v>
      </c>
      <c r="AL1242" t="s">
        <v>74</v>
      </c>
      <c r="AM1242" t="s">
        <v>74</v>
      </c>
      <c r="AN1242" t="s">
        <v>74</v>
      </c>
      <c r="AO1242" t="s">
        <v>7985</v>
      </c>
      <c r="AP1242" t="s">
        <v>7986</v>
      </c>
      <c r="AQ1242" t="s">
        <v>74</v>
      </c>
      <c r="AR1242" t="s">
        <v>74</v>
      </c>
      <c r="AS1242" t="s">
        <v>74</v>
      </c>
      <c r="AT1242" t="s">
        <v>599</v>
      </c>
      <c r="AU1242">
        <v>2020</v>
      </c>
      <c r="AV1242">
        <v>7</v>
      </c>
      <c r="AW1242">
        <v>1</v>
      </c>
      <c r="AX1242" t="s">
        <v>74</v>
      </c>
      <c r="AY1242" t="s">
        <v>74</v>
      </c>
      <c r="AZ1242" t="s">
        <v>74</v>
      </c>
      <c r="BA1242" t="s">
        <v>74</v>
      </c>
      <c r="BB1242">
        <v>125</v>
      </c>
      <c r="BC1242">
        <v>134</v>
      </c>
      <c r="BD1242" t="s">
        <v>74</v>
      </c>
      <c r="BE1242" t="s">
        <v>17186</v>
      </c>
      <c r="BF1242" t="str">
        <f>HYPERLINK("http://dx.doi.org/10.1039/c9mh00835g","http://dx.doi.org/10.1039/c9mh00835g")</f>
        <v>http://dx.doi.org/10.1039/c9mh00835g</v>
      </c>
      <c r="BG1242" t="s">
        <v>74</v>
      </c>
      <c r="BH1242" t="s">
        <v>74</v>
      </c>
      <c r="BI1242" t="s">
        <v>74</v>
      </c>
      <c r="BJ1242" t="s">
        <v>7989</v>
      </c>
      <c r="BK1242" t="s">
        <v>117</v>
      </c>
      <c r="BL1242" t="s">
        <v>7990</v>
      </c>
      <c r="BM1242" t="s">
        <v>74</v>
      </c>
      <c r="BN1242">
        <v>31942243</v>
      </c>
      <c r="BO1242" t="s">
        <v>74</v>
      </c>
      <c r="BP1242" t="s">
        <v>74</v>
      </c>
      <c r="BQ1242" t="s">
        <v>74</v>
      </c>
      <c r="BR1242" t="s">
        <v>96</v>
      </c>
      <c r="BS1242" t="s">
        <v>17187</v>
      </c>
      <c r="BT1242" t="str">
        <f>HYPERLINK("https%3A%2F%2Fwww.webofscience.com%2Fwos%2Fwoscc%2Ffull-record%2FWOS:000518381300011","View Full Record in Web of Science")</f>
        <v>View Full Record in Web of Science</v>
      </c>
    </row>
    <row r="1243" spans="1:72" x14ac:dyDescent="0.15">
      <c r="A1243" t="s">
        <v>98</v>
      </c>
      <c r="B1243" t="s">
        <v>17466</v>
      </c>
      <c r="C1243" t="s">
        <v>74</v>
      </c>
      <c r="D1243" t="s">
        <v>74</v>
      </c>
      <c r="E1243" t="s">
        <v>74</v>
      </c>
      <c r="F1243" t="s">
        <v>17467</v>
      </c>
      <c r="G1243" t="s">
        <v>74</v>
      </c>
      <c r="H1243" t="s">
        <v>74</v>
      </c>
      <c r="I1243" t="s">
        <v>17468</v>
      </c>
      <c r="J1243" t="s">
        <v>17469</v>
      </c>
      <c r="K1243" t="s">
        <v>74</v>
      </c>
      <c r="L1243" t="s">
        <v>74</v>
      </c>
      <c r="M1243" t="s">
        <v>74</v>
      </c>
      <c r="N1243" t="s">
        <v>2996</v>
      </c>
      <c r="O1243" t="s">
        <v>74</v>
      </c>
      <c r="P1243" t="s">
        <v>74</v>
      </c>
      <c r="Q1243" t="s">
        <v>74</v>
      </c>
      <c r="R1243" t="s">
        <v>74</v>
      </c>
      <c r="S1243" t="s">
        <v>74</v>
      </c>
      <c r="T1243" t="s">
        <v>17470</v>
      </c>
      <c r="U1243" t="s">
        <v>17471</v>
      </c>
      <c r="V1243" t="s">
        <v>17472</v>
      </c>
      <c r="W1243" t="s">
        <v>17473</v>
      </c>
      <c r="X1243" t="s">
        <v>17474</v>
      </c>
      <c r="Y1243" t="s">
        <v>17475</v>
      </c>
      <c r="Z1243" t="s">
        <v>17476</v>
      </c>
      <c r="AA1243" t="s">
        <v>74</v>
      </c>
      <c r="AB1243" t="s">
        <v>17477</v>
      </c>
      <c r="AC1243" t="s">
        <v>74</v>
      </c>
      <c r="AD1243" t="s">
        <v>74</v>
      </c>
      <c r="AE1243" t="s">
        <v>74</v>
      </c>
      <c r="AF1243" t="s">
        <v>74</v>
      </c>
      <c r="AG1243">
        <v>54</v>
      </c>
      <c r="AH1243">
        <v>9</v>
      </c>
      <c r="AI1243">
        <v>9</v>
      </c>
      <c r="AJ1243">
        <v>2</v>
      </c>
      <c r="AK1243">
        <v>15</v>
      </c>
      <c r="AL1243" t="s">
        <v>74</v>
      </c>
      <c r="AM1243" t="s">
        <v>74</v>
      </c>
      <c r="AN1243" t="s">
        <v>74</v>
      </c>
      <c r="AO1243" t="s">
        <v>17478</v>
      </c>
      <c r="AP1243" t="s">
        <v>17479</v>
      </c>
      <c r="AQ1243" t="s">
        <v>74</v>
      </c>
      <c r="AR1243" t="s">
        <v>74</v>
      </c>
      <c r="AS1243" t="s">
        <v>74</v>
      </c>
      <c r="AT1243" t="s">
        <v>74</v>
      </c>
      <c r="AU1243" t="s">
        <v>74</v>
      </c>
      <c r="AV1243" t="s">
        <v>74</v>
      </c>
      <c r="AW1243" t="s">
        <v>74</v>
      </c>
      <c r="AX1243" t="s">
        <v>74</v>
      </c>
      <c r="AY1243" t="s">
        <v>74</v>
      </c>
      <c r="AZ1243" t="s">
        <v>74</v>
      </c>
      <c r="BA1243" t="s">
        <v>74</v>
      </c>
      <c r="BB1243" t="s">
        <v>74</v>
      </c>
      <c r="BC1243" t="s">
        <v>74</v>
      </c>
      <c r="BD1243" t="s">
        <v>74</v>
      </c>
      <c r="BE1243" t="s">
        <v>17480</v>
      </c>
      <c r="BF1243" t="str">
        <f>HYPERLINK("http://dx.doi.org/10.1111/pcmr.12888","http://dx.doi.org/10.1111/pcmr.12888")</f>
        <v>http://dx.doi.org/10.1111/pcmr.12888</v>
      </c>
      <c r="BG1243" t="s">
        <v>74</v>
      </c>
      <c r="BH1243" t="s">
        <v>337</v>
      </c>
      <c r="BI1243" t="s">
        <v>74</v>
      </c>
      <c r="BJ1243" t="s">
        <v>17481</v>
      </c>
      <c r="BK1243" t="s">
        <v>117</v>
      </c>
      <c r="BL1243" t="s">
        <v>17481</v>
      </c>
      <c r="BM1243" t="s">
        <v>74</v>
      </c>
      <c r="BN1243">
        <v>32386350</v>
      </c>
      <c r="BO1243" t="s">
        <v>74</v>
      </c>
      <c r="BP1243" t="s">
        <v>74</v>
      </c>
      <c r="BQ1243" t="s">
        <v>74</v>
      </c>
      <c r="BR1243" t="s">
        <v>96</v>
      </c>
      <c r="BS1243" t="s">
        <v>17482</v>
      </c>
      <c r="BT1243" t="str">
        <f>HYPERLINK("https%3A%2F%2Fwww.webofscience.com%2Fwos%2Fwoscc%2Ffull-record%2FWOS:000538526200001","View Full Record in Web of Science")</f>
        <v>View Full Record in Web of Science</v>
      </c>
    </row>
    <row r="1244" spans="1:72" x14ac:dyDescent="0.15">
      <c r="A1244" t="s">
        <v>98</v>
      </c>
      <c r="B1244" t="s">
        <v>17909</v>
      </c>
      <c r="C1244" t="s">
        <v>74</v>
      </c>
      <c r="D1244" t="s">
        <v>74</v>
      </c>
      <c r="E1244" t="s">
        <v>74</v>
      </c>
      <c r="F1244" t="s">
        <v>17910</v>
      </c>
      <c r="G1244" t="s">
        <v>74</v>
      </c>
      <c r="H1244" t="s">
        <v>74</v>
      </c>
      <c r="I1244" t="s">
        <v>17911</v>
      </c>
      <c r="J1244" t="s">
        <v>17912</v>
      </c>
      <c r="K1244" t="s">
        <v>74</v>
      </c>
      <c r="L1244" t="s">
        <v>74</v>
      </c>
      <c r="M1244" t="s">
        <v>74</v>
      </c>
      <c r="N1244" t="s">
        <v>103</v>
      </c>
      <c r="O1244" t="s">
        <v>74</v>
      </c>
      <c r="P1244" t="s">
        <v>74</v>
      </c>
      <c r="Q1244" t="s">
        <v>74</v>
      </c>
      <c r="R1244" t="s">
        <v>74</v>
      </c>
      <c r="S1244" t="s">
        <v>74</v>
      </c>
      <c r="T1244" t="s">
        <v>17913</v>
      </c>
      <c r="U1244" t="s">
        <v>17914</v>
      </c>
      <c r="V1244" t="s">
        <v>17915</v>
      </c>
      <c r="W1244" t="s">
        <v>17916</v>
      </c>
      <c r="X1244" t="s">
        <v>17917</v>
      </c>
      <c r="Y1244" t="s">
        <v>17918</v>
      </c>
      <c r="Z1244" t="s">
        <v>17919</v>
      </c>
      <c r="AA1244" t="s">
        <v>74</v>
      </c>
      <c r="AB1244" t="s">
        <v>17920</v>
      </c>
      <c r="AC1244" t="s">
        <v>74</v>
      </c>
      <c r="AD1244" t="s">
        <v>74</v>
      </c>
      <c r="AE1244" t="s">
        <v>74</v>
      </c>
      <c r="AF1244" t="s">
        <v>74</v>
      </c>
      <c r="AG1244">
        <v>38</v>
      </c>
      <c r="AH1244">
        <v>9</v>
      </c>
      <c r="AI1244">
        <v>10</v>
      </c>
      <c r="AJ1244">
        <v>0</v>
      </c>
      <c r="AK1244">
        <v>5</v>
      </c>
      <c r="AL1244" t="s">
        <v>74</v>
      </c>
      <c r="AM1244" t="s">
        <v>74</v>
      </c>
      <c r="AN1244" t="s">
        <v>74</v>
      </c>
      <c r="AO1244" t="s">
        <v>17921</v>
      </c>
      <c r="AP1244" t="s">
        <v>74</v>
      </c>
      <c r="AQ1244" t="s">
        <v>74</v>
      </c>
      <c r="AR1244" t="s">
        <v>74</v>
      </c>
      <c r="AS1244" t="s">
        <v>74</v>
      </c>
      <c r="AT1244" t="s">
        <v>12549</v>
      </c>
      <c r="AU1244">
        <v>2017</v>
      </c>
      <c r="AV1244">
        <v>7</v>
      </c>
      <c r="AW1244" t="s">
        <v>74</v>
      </c>
      <c r="AX1244" t="s">
        <v>74</v>
      </c>
      <c r="AY1244" t="s">
        <v>74</v>
      </c>
      <c r="AZ1244" t="s">
        <v>74</v>
      </c>
      <c r="BA1244" t="s">
        <v>74</v>
      </c>
      <c r="BB1244" t="s">
        <v>74</v>
      </c>
      <c r="BC1244" t="s">
        <v>74</v>
      </c>
      <c r="BD1244">
        <v>118</v>
      </c>
      <c r="BE1244" t="s">
        <v>17922</v>
      </c>
      <c r="BF1244" t="str">
        <f>HYPERLINK("http://dx.doi.org/10.1186/s13613-017-0340-z","http://dx.doi.org/10.1186/s13613-017-0340-z")</f>
        <v>http://dx.doi.org/10.1186/s13613-017-0340-z</v>
      </c>
      <c r="BG1244" t="s">
        <v>74</v>
      </c>
      <c r="BH1244" t="s">
        <v>74</v>
      </c>
      <c r="BI1244" t="s">
        <v>74</v>
      </c>
      <c r="BJ1244" t="s">
        <v>4327</v>
      </c>
      <c r="BK1244" t="s">
        <v>117</v>
      </c>
      <c r="BL1244" t="s">
        <v>2565</v>
      </c>
      <c r="BM1244" t="s">
        <v>74</v>
      </c>
      <c r="BN1244">
        <v>29222696</v>
      </c>
      <c r="BO1244" t="s">
        <v>74</v>
      </c>
      <c r="BP1244" t="s">
        <v>74</v>
      </c>
      <c r="BQ1244" t="s">
        <v>74</v>
      </c>
      <c r="BR1244" t="s">
        <v>96</v>
      </c>
      <c r="BS1244" t="s">
        <v>17923</v>
      </c>
      <c r="BT1244" t="str">
        <f>HYPERLINK("https%3A%2F%2Fwww.webofscience.com%2Fwos%2Fwoscc%2Ffull-record%2FWOS:000417814900001","View Full Record in Web of Science")</f>
        <v>View Full Record in Web of Science</v>
      </c>
    </row>
    <row r="1245" spans="1:72" x14ac:dyDescent="0.15">
      <c r="A1245" t="s">
        <v>98</v>
      </c>
      <c r="B1245" t="s">
        <v>18678</v>
      </c>
      <c r="C1245" t="s">
        <v>74</v>
      </c>
      <c r="D1245" t="s">
        <v>74</v>
      </c>
      <c r="E1245" t="s">
        <v>74</v>
      </c>
      <c r="F1245" t="s">
        <v>18679</v>
      </c>
      <c r="G1245" t="s">
        <v>74</v>
      </c>
      <c r="H1245" t="s">
        <v>74</v>
      </c>
      <c r="I1245" t="s">
        <v>18680</v>
      </c>
      <c r="J1245" t="s">
        <v>8530</v>
      </c>
      <c r="K1245" t="s">
        <v>74</v>
      </c>
      <c r="L1245" t="s">
        <v>74</v>
      </c>
      <c r="M1245" t="s">
        <v>74</v>
      </c>
      <c r="N1245" t="s">
        <v>103</v>
      </c>
      <c r="O1245" t="s">
        <v>74</v>
      </c>
      <c r="P1245" t="s">
        <v>74</v>
      </c>
      <c r="Q1245" t="s">
        <v>74</v>
      </c>
      <c r="R1245" t="s">
        <v>74</v>
      </c>
      <c r="S1245" t="s">
        <v>74</v>
      </c>
      <c r="T1245" t="s">
        <v>18681</v>
      </c>
      <c r="U1245" t="s">
        <v>18682</v>
      </c>
      <c r="V1245" t="s">
        <v>18683</v>
      </c>
      <c r="W1245" t="s">
        <v>18684</v>
      </c>
      <c r="X1245" t="s">
        <v>18685</v>
      </c>
      <c r="Y1245" t="s">
        <v>18686</v>
      </c>
      <c r="Z1245" t="s">
        <v>18687</v>
      </c>
      <c r="AA1245" t="s">
        <v>74</v>
      </c>
      <c r="AB1245" t="s">
        <v>74</v>
      </c>
      <c r="AC1245" t="s">
        <v>74</v>
      </c>
      <c r="AD1245" t="s">
        <v>74</v>
      </c>
      <c r="AE1245" t="s">
        <v>74</v>
      </c>
      <c r="AF1245" t="s">
        <v>74</v>
      </c>
      <c r="AG1245">
        <v>48</v>
      </c>
      <c r="AH1245">
        <v>9</v>
      </c>
      <c r="AI1245">
        <v>10</v>
      </c>
      <c r="AJ1245">
        <v>3</v>
      </c>
      <c r="AK1245">
        <v>9</v>
      </c>
      <c r="AL1245" t="s">
        <v>74</v>
      </c>
      <c r="AM1245" t="s">
        <v>74</v>
      </c>
      <c r="AN1245" t="s">
        <v>74</v>
      </c>
      <c r="AO1245" t="s">
        <v>8540</v>
      </c>
      <c r="AP1245" t="s">
        <v>8541</v>
      </c>
      <c r="AQ1245" t="s">
        <v>74</v>
      </c>
      <c r="AR1245" t="s">
        <v>74</v>
      </c>
      <c r="AS1245" t="s">
        <v>74</v>
      </c>
      <c r="AT1245" t="s">
        <v>319</v>
      </c>
      <c r="AU1245">
        <v>2020</v>
      </c>
      <c r="AV1245">
        <v>21</v>
      </c>
      <c r="AW1245">
        <v>12</v>
      </c>
      <c r="AX1245" t="s">
        <v>74</v>
      </c>
      <c r="AY1245" t="s">
        <v>74</v>
      </c>
      <c r="AZ1245" t="s">
        <v>74</v>
      </c>
      <c r="BA1245" t="s">
        <v>74</v>
      </c>
      <c r="BB1245">
        <v>1128</v>
      </c>
      <c r="BC1245">
        <v>1135</v>
      </c>
      <c r="BD1245" t="s">
        <v>74</v>
      </c>
      <c r="BE1245" t="s">
        <v>18688</v>
      </c>
      <c r="BF1245" t="str">
        <f>HYPERLINK("http://dx.doi.org/10.1080/15384047.2020.1838031","http://dx.doi.org/10.1080/15384047.2020.1838031")</f>
        <v>http://dx.doi.org/10.1080/15384047.2020.1838031</v>
      </c>
      <c r="BG1245" t="s">
        <v>74</v>
      </c>
      <c r="BH1245" t="s">
        <v>7451</v>
      </c>
      <c r="BI1245" t="s">
        <v>74</v>
      </c>
      <c r="BJ1245" t="s">
        <v>267</v>
      </c>
      <c r="BK1245" t="s">
        <v>117</v>
      </c>
      <c r="BL1245" t="s">
        <v>267</v>
      </c>
      <c r="BM1245" t="s">
        <v>74</v>
      </c>
      <c r="BN1245">
        <v>33190594</v>
      </c>
      <c r="BO1245" t="s">
        <v>74</v>
      </c>
      <c r="BP1245" t="s">
        <v>74</v>
      </c>
      <c r="BQ1245" t="s">
        <v>74</v>
      </c>
      <c r="BR1245" t="s">
        <v>96</v>
      </c>
      <c r="BS1245" t="s">
        <v>18689</v>
      </c>
      <c r="BT1245" t="str">
        <f>HYPERLINK("https%3A%2F%2Fwww.webofscience.com%2Fwos%2Fwoscc%2Ffull-record%2FWOS:000589578800001","View Full Record in Web of Science")</f>
        <v>View Full Record in Web of Science</v>
      </c>
    </row>
    <row r="1246" spans="1:72" x14ac:dyDescent="0.15">
      <c r="A1246" t="s">
        <v>4291</v>
      </c>
      <c r="B1246" t="s">
        <v>19238</v>
      </c>
      <c r="C1246" t="s">
        <v>74</v>
      </c>
      <c r="D1246" t="s">
        <v>19239</v>
      </c>
      <c r="E1246" t="s">
        <v>74</v>
      </c>
      <c r="F1246" t="s">
        <v>19240</v>
      </c>
      <c r="G1246" t="s">
        <v>74</v>
      </c>
      <c r="H1246" t="s">
        <v>74</v>
      </c>
      <c r="I1246" t="s">
        <v>19241</v>
      </c>
      <c r="J1246" t="s">
        <v>19242</v>
      </c>
      <c r="K1246" t="s">
        <v>74</v>
      </c>
      <c r="L1246" t="s">
        <v>74</v>
      </c>
      <c r="M1246" t="s">
        <v>74</v>
      </c>
      <c r="N1246" t="s">
        <v>80</v>
      </c>
      <c r="O1246" t="s">
        <v>74</v>
      </c>
      <c r="P1246" t="s">
        <v>74</v>
      </c>
      <c r="Q1246" t="s">
        <v>74</v>
      </c>
      <c r="R1246" t="s">
        <v>74</v>
      </c>
      <c r="S1246" t="s">
        <v>74</v>
      </c>
      <c r="T1246" t="s">
        <v>74</v>
      </c>
      <c r="U1246" t="s">
        <v>19243</v>
      </c>
      <c r="V1246" t="s">
        <v>19244</v>
      </c>
      <c r="W1246" t="s">
        <v>19245</v>
      </c>
      <c r="X1246" t="s">
        <v>19246</v>
      </c>
      <c r="Y1246" t="s">
        <v>19247</v>
      </c>
      <c r="Z1246" t="s">
        <v>74</v>
      </c>
      <c r="AA1246" t="s">
        <v>74</v>
      </c>
      <c r="AB1246" t="s">
        <v>19248</v>
      </c>
      <c r="AC1246" t="s">
        <v>74</v>
      </c>
      <c r="AD1246" t="s">
        <v>74</v>
      </c>
      <c r="AE1246" t="s">
        <v>74</v>
      </c>
      <c r="AF1246" t="s">
        <v>74</v>
      </c>
      <c r="AG1246">
        <v>461</v>
      </c>
      <c r="AH1246">
        <v>9</v>
      </c>
      <c r="AI1246">
        <v>9</v>
      </c>
      <c r="AJ1246">
        <v>0</v>
      </c>
      <c r="AK1246">
        <v>1</v>
      </c>
      <c r="AL1246" t="s">
        <v>74</v>
      </c>
      <c r="AM1246" t="s">
        <v>74</v>
      </c>
      <c r="AN1246" t="s">
        <v>74</v>
      </c>
      <c r="AO1246" t="s">
        <v>74</v>
      </c>
      <c r="AP1246" t="s">
        <v>74</v>
      </c>
      <c r="AQ1246" t="s">
        <v>19249</v>
      </c>
      <c r="AR1246" t="s">
        <v>74</v>
      </c>
      <c r="AS1246" t="s">
        <v>74</v>
      </c>
      <c r="AT1246" t="s">
        <v>74</v>
      </c>
      <c r="AU1246">
        <v>2018</v>
      </c>
      <c r="AV1246" t="s">
        <v>74</v>
      </c>
      <c r="AW1246" t="s">
        <v>74</v>
      </c>
      <c r="AX1246" t="s">
        <v>74</v>
      </c>
      <c r="AY1246" t="s">
        <v>74</v>
      </c>
      <c r="AZ1246" t="s">
        <v>74</v>
      </c>
      <c r="BA1246" t="s">
        <v>74</v>
      </c>
      <c r="BB1246">
        <v>235</v>
      </c>
      <c r="BC1246">
        <v>281</v>
      </c>
      <c r="BD1246" t="s">
        <v>74</v>
      </c>
      <c r="BE1246" t="s">
        <v>19250</v>
      </c>
      <c r="BF1246" t="str">
        <f>HYPERLINK("http://dx.doi.org/10.1016/B978-0-12-816061-9.00009-6","http://dx.doi.org/10.1016/B978-0-12-816061-9.00009-6")</f>
        <v>http://dx.doi.org/10.1016/B978-0-12-816061-9.00009-6</v>
      </c>
      <c r="BG1246" t="s">
        <v>74</v>
      </c>
      <c r="BH1246" t="s">
        <v>74</v>
      </c>
      <c r="BI1246" t="s">
        <v>74</v>
      </c>
      <c r="BJ1246" t="s">
        <v>19251</v>
      </c>
      <c r="BK1246" t="s">
        <v>94</v>
      </c>
      <c r="BL1246" t="s">
        <v>19251</v>
      </c>
      <c r="BM1246" t="s">
        <v>74</v>
      </c>
      <c r="BN1246" t="s">
        <v>74</v>
      </c>
      <c r="BO1246" t="s">
        <v>74</v>
      </c>
      <c r="BP1246" t="s">
        <v>74</v>
      </c>
      <c r="BQ1246" t="s">
        <v>74</v>
      </c>
      <c r="BR1246" t="s">
        <v>96</v>
      </c>
      <c r="BS1246" t="s">
        <v>19252</v>
      </c>
      <c r="BT1246" t="str">
        <f>HYPERLINK("https%3A%2F%2Fwww.webofscience.com%2Fwos%2Fwoscc%2Ffull-record%2FWOS:000540371000010","View Full Record in Web of Science")</f>
        <v>View Full Record in Web of Science</v>
      </c>
    </row>
    <row r="1247" spans="1:72" x14ac:dyDescent="0.15">
      <c r="A1247" t="s">
        <v>98</v>
      </c>
      <c r="B1247" t="s">
        <v>20773</v>
      </c>
      <c r="C1247" t="s">
        <v>74</v>
      </c>
      <c r="D1247" t="s">
        <v>74</v>
      </c>
      <c r="E1247" t="s">
        <v>74</v>
      </c>
      <c r="F1247" t="s">
        <v>20774</v>
      </c>
      <c r="G1247" t="s">
        <v>74</v>
      </c>
      <c r="H1247" t="s">
        <v>74</v>
      </c>
      <c r="I1247" t="s">
        <v>20775</v>
      </c>
      <c r="J1247" t="s">
        <v>20776</v>
      </c>
      <c r="K1247" t="s">
        <v>74</v>
      </c>
      <c r="L1247" t="s">
        <v>74</v>
      </c>
      <c r="M1247" t="s">
        <v>74</v>
      </c>
      <c r="N1247" t="s">
        <v>103</v>
      </c>
      <c r="O1247" t="s">
        <v>74</v>
      </c>
      <c r="P1247" t="s">
        <v>74</v>
      </c>
      <c r="Q1247" t="s">
        <v>74</v>
      </c>
      <c r="R1247" t="s">
        <v>74</v>
      </c>
      <c r="S1247" t="s">
        <v>74</v>
      </c>
      <c r="T1247" t="s">
        <v>20777</v>
      </c>
      <c r="U1247" t="s">
        <v>20778</v>
      </c>
      <c r="V1247" t="s">
        <v>20779</v>
      </c>
      <c r="W1247" t="s">
        <v>20780</v>
      </c>
      <c r="X1247" t="s">
        <v>20781</v>
      </c>
      <c r="Y1247" t="s">
        <v>20782</v>
      </c>
      <c r="Z1247" t="s">
        <v>20783</v>
      </c>
      <c r="AA1247" t="s">
        <v>74</v>
      </c>
      <c r="AB1247" t="s">
        <v>74</v>
      </c>
      <c r="AC1247" t="s">
        <v>74</v>
      </c>
      <c r="AD1247" t="s">
        <v>74</v>
      </c>
      <c r="AE1247" t="s">
        <v>74</v>
      </c>
      <c r="AF1247" t="s">
        <v>74</v>
      </c>
      <c r="AG1247">
        <v>153</v>
      </c>
      <c r="AH1247">
        <v>9</v>
      </c>
      <c r="AI1247">
        <v>9</v>
      </c>
      <c r="AJ1247">
        <v>2</v>
      </c>
      <c r="AK1247">
        <v>28</v>
      </c>
      <c r="AL1247" t="s">
        <v>74</v>
      </c>
      <c r="AM1247" t="s">
        <v>74</v>
      </c>
      <c r="AN1247" t="s">
        <v>74</v>
      </c>
      <c r="AO1247" t="s">
        <v>20784</v>
      </c>
      <c r="AP1247" t="s">
        <v>20785</v>
      </c>
      <c r="AQ1247" t="s">
        <v>74</v>
      </c>
      <c r="AR1247" t="s">
        <v>74</v>
      </c>
      <c r="AS1247" t="s">
        <v>74</v>
      </c>
      <c r="AT1247" t="s">
        <v>74</v>
      </c>
      <c r="AU1247">
        <v>2015</v>
      </c>
      <c r="AV1247">
        <v>21</v>
      </c>
      <c r="AW1247">
        <v>31</v>
      </c>
      <c r="AX1247" t="s">
        <v>74</v>
      </c>
      <c r="AY1247" t="s">
        <v>74</v>
      </c>
      <c r="AZ1247" t="s">
        <v>74</v>
      </c>
      <c r="BA1247" t="s">
        <v>74</v>
      </c>
      <c r="BB1247">
        <v>4529</v>
      </c>
      <c r="BC1247">
        <v>4540</v>
      </c>
      <c r="BD1247" t="s">
        <v>74</v>
      </c>
      <c r="BE1247" t="s">
        <v>20786</v>
      </c>
      <c r="BF1247" t="str">
        <f>HYPERLINK("http://dx.doi.org/10.2174/138161282131151013185528","http://dx.doi.org/10.2174/138161282131151013185528")</f>
        <v>http://dx.doi.org/10.2174/138161282131151013185528</v>
      </c>
      <c r="BG1247" t="s">
        <v>74</v>
      </c>
      <c r="BH1247" t="s">
        <v>74</v>
      </c>
      <c r="BI1247" t="s">
        <v>74</v>
      </c>
      <c r="BJ1247" t="s">
        <v>533</v>
      </c>
      <c r="BK1247" t="s">
        <v>117</v>
      </c>
      <c r="BL1247" t="s">
        <v>533</v>
      </c>
      <c r="BM1247" t="s">
        <v>74</v>
      </c>
      <c r="BN1247">
        <v>26486140</v>
      </c>
      <c r="BO1247" t="s">
        <v>74</v>
      </c>
      <c r="BP1247" t="s">
        <v>74</v>
      </c>
      <c r="BQ1247" t="s">
        <v>74</v>
      </c>
      <c r="BR1247" t="s">
        <v>96</v>
      </c>
      <c r="BS1247" t="s">
        <v>20787</v>
      </c>
      <c r="BT1247" t="str">
        <f>HYPERLINK("https%3A%2F%2Fwww.webofscience.com%2Fwos%2Fwoscc%2Ffull-record%2FWOS:000364515700002","View Full Record in Web of Science")</f>
        <v>View Full Record in Web of Science</v>
      </c>
    </row>
    <row r="1248" spans="1:72" x14ac:dyDescent="0.15">
      <c r="A1248" t="s">
        <v>98</v>
      </c>
      <c r="B1248" t="s">
        <v>20844</v>
      </c>
      <c r="C1248" t="s">
        <v>74</v>
      </c>
      <c r="D1248" t="s">
        <v>74</v>
      </c>
      <c r="E1248" t="s">
        <v>74</v>
      </c>
      <c r="F1248" t="s">
        <v>20845</v>
      </c>
      <c r="G1248" t="s">
        <v>74</v>
      </c>
      <c r="H1248" t="s">
        <v>74</v>
      </c>
      <c r="I1248" t="s">
        <v>20846</v>
      </c>
      <c r="J1248" t="s">
        <v>20847</v>
      </c>
      <c r="K1248" t="s">
        <v>74</v>
      </c>
      <c r="L1248" t="s">
        <v>74</v>
      </c>
      <c r="M1248" t="s">
        <v>74</v>
      </c>
      <c r="N1248" t="s">
        <v>103</v>
      </c>
      <c r="O1248" t="s">
        <v>74</v>
      </c>
      <c r="P1248" t="s">
        <v>74</v>
      </c>
      <c r="Q1248" t="s">
        <v>74</v>
      </c>
      <c r="R1248" t="s">
        <v>74</v>
      </c>
      <c r="S1248" t="s">
        <v>74</v>
      </c>
      <c r="T1248" t="s">
        <v>20848</v>
      </c>
      <c r="U1248" t="s">
        <v>20849</v>
      </c>
      <c r="V1248" t="s">
        <v>20850</v>
      </c>
      <c r="W1248" t="s">
        <v>20851</v>
      </c>
      <c r="X1248" t="s">
        <v>2838</v>
      </c>
      <c r="Y1248" t="s">
        <v>20852</v>
      </c>
      <c r="Z1248" t="s">
        <v>20853</v>
      </c>
      <c r="AA1248" t="s">
        <v>74</v>
      </c>
      <c r="AB1248" t="s">
        <v>74</v>
      </c>
      <c r="AC1248" t="s">
        <v>74</v>
      </c>
      <c r="AD1248" t="s">
        <v>74</v>
      </c>
      <c r="AE1248" t="s">
        <v>74</v>
      </c>
      <c r="AF1248" t="s">
        <v>74</v>
      </c>
      <c r="AG1248">
        <v>22</v>
      </c>
      <c r="AH1248">
        <v>9</v>
      </c>
      <c r="AI1248">
        <v>9</v>
      </c>
      <c r="AJ1248">
        <v>0</v>
      </c>
      <c r="AK1248">
        <v>16</v>
      </c>
      <c r="AL1248" t="s">
        <v>74</v>
      </c>
      <c r="AM1248" t="s">
        <v>74</v>
      </c>
      <c r="AN1248" t="s">
        <v>74</v>
      </c>
      <c r="AO1248" t="s">
        <v>20854</v>
      </c>
      <c r="AP1248" t="s">
        <v>20855</v>
      </c>
      <c r="AQ1248" t="s">
        <v>74</v>
      </c>
      <c r="AR1248" t="s">
        <v>74</v>
      </c>
      <c r="AS1248" t="s">
        <v>74</v>
      </c>
      <c r="AT1248" t="s">
        <v>10261</v>
      </c>
      <c r="AU1248">
        <v>2014</v>
      </c>
      <c r="AV1248">
        <v>61</v>
      </c>
      <c r="AW1248">
        <v>3</v>
      </c>
      <c r="AX1248" t="s">
        <v>74</v>
      </c>
      <c r="AY1248" t="s">
        <v>74</v>
      </c>
      <c r="AZ1248" t="s">
        <v>74</v>
      </c>
      <c r="BA1248" t="s">
        <v>74</v>
      </c>
      <c r="BB1248">
        <v>342</v>
      </c>
      <c r="BC1248">
        <v>348</v>
      </c>
      <c r="BD1248" t="s">
        <v>74</v>
      </c>
      <c r="BE1248" t="s">
        <v>20856</v>
      </c>
      <c r="BF1248" t="str">
        <f>HYPERLINK("http://dx.doi.org/10.1002/bab.1172","http://dx.doi.org/10.1002/bab.1172")</f>
        <v>http://dx.doi.org/10.1002/bab.1172</v>
      </c>
      <c r="BG1248" t="s">
        <v>74</v>
      </c>
      <c r="BH1248" t="s">
        <v>74</v>
      </c>
      <c r="BI1248" t="s">
        <v>74</v>
      </c>
      <c r="BJ1248" t="s">
        <v>3175</v>
      </c>
      <c r="BK1248" t="s">
        <v>117</v>
      </c>
      <c r="BL1248" t="s">
        <v>3175</v>
      </c>
      <c r="BM1248" t="s">
        <v>74</v>
      </c>
      <c r="BN1248">
        <v>24164173</v>
      </c>
      <c r="BO1248" t="s">
        <v>74</v>
      </c>
      <c r="BP1248" t="s">
        <v>74</v>
      </c>
      <c r="BQ1248" t="s">
        <v>74</v>
      </c>
      <c r="BR1248" t="s">
        <v>96</v>
      </c>
      <c r="BS1248" t="s">
        <v>20857</v>
      </c>
      <c r="BT1248" t="str">
        <f>HYPERLINK("https%3A%2F%2Fwww.webofscience.com%2Fwos%2Fwoscc%2Ffull-record%2FWOS:000338022600012","View Full Record in Web of Science")</f>
        <v>View Full Record in Web of Science</v>
      </c>
    </row>
    <row r="1249" spans="1:72" x14ac:dyDescent="0.15">
      <c r="A1249" t="s">
        <v>98</v>
      </c>
      <c r="B1249" t="s">
        <v>24469</v>
      </c>
      <c r="C1249" t="s">
        <v>74</v>
      </c>
      <c r="D1249" t="s">
        <v>74</v>
      </c>
      <c r="E1249" t="s">
        <v>74</v>
      </c>
      <c r="F1249" t="s">
        <v>24470</v>
      </c>
      <c r="G1249" t="s">
        <v>74</v>
      </c>
      <c r="H1249" t="s">
        <v>74</v>
      </c>
      <c r="I1249" t="s">
        <v>24471</v>
      </c>
      <c r="J1249" t="s">
        <v>2742</v>
      </c>
      <c r="K1249" t="s">
        <v>74</v>
      </c>
      <c r="L1249" t="s">
        <v>74</v>
      </c>
      <c r="M1249" t="s">
        <v>74</v>
      </c>
      <c r="N1249" t="s">
        <v>103</v>
      </c>
      <c r="O1249" t="s">
        <v>74</v>
      </c>
      <c r="P1249" t="s">
        <v>74</v>
      </c>
      <c r="Q1249" t="s">
        <v>74</v>
      </c>
      <c r="R1249" t="s">
        <v>74</v>
      </c>
      <c r="S1249" t="s">
        <v>74</v>
      </c>
      <c r="T1249" t="s">
        <v>24472</v>
      </c>
      <c r="U1249" t="s">
        <v>24473</v>
      </c>
      <c r="V1249" t="s">
        <v>24474</v>
      </c>
      <c r="W1249" t="s">
        <v>24475</v>
      </c>
      <c r="X1249" t="s">
        <v>24476</v>
      </c>
      <c r="Y1249" t="s">
        <v>24477</v>
      </c>
      <c r="Z1249" t="s">
        <v>24478</v>
      </c>
      <c r="AA1249" t="s">
        <v>24479</v>
      </c>
      <c r="AB1249" t="s">
        <v>24480</v>
      </c>
      <c r="AC1249" t="s">
        <v>74</v>
      </c>
      <c r="AD1249" t="s">
        <v>74</v>
      </c>
      <c r="AE1249" t="s">
        <v>74</v>
      </c>
      <c r="AF1249" t="s">
        <v>74</v>
      </c>
      <c r="AG1249">
        <v>58</v>
      </c>
      <c r="AH1249">
        <v>9</v>
      </c>
      <c r="AI1249">
        <v>10</v>
      </c>
      <c r="AJ1249">
        <v>0</v>
      </c>
      <c r="AK1249">
        <v>14</v>
      </c>
      <c r="AL1249" t="s">
        <v>74</v>
      </c>
      <c r="AM1249" t="s">
        <v>74</v>
      </c>
      <c r="AN1249" t="s">
        <v>74</v>
      </c>
      <c r="AO1249" t="s">
        <v>2752</v>
      </c>
      <c r="AP1249" t="s">
        <v>2753</v>
      </c>
      <c r="AQ1249" t="s">
        <v>74</v>
      </c>
      <c r="AR1249" t="s">
        <v>74</v>
      </c>
      <c r="AS1249" t="s">
        <v>74</v>
      </c>
      <c r="AT1249" t="s">
        <v>283</v>
      </c>
      <c r="AU1249">
        <v>2017</v>
      </c>
      <c r="AV1249">
        <v>16</v>
      </c>
      <c r="AW1249">
        <v>2</v>
      </c>
      <c r="AX1249" t="s">
        <v>74</v>
      </c>
      <c r="AY1249" t="s">
        <v>74</v>
      </c>
      <c r="AZ1249" t="s">
        <v>74</v>
      </c>
      <c r="BA1249" t="s">
        <v>74</v>
      </c>
      <c r="BB1249">
        <v>698</v>
      </c>
      <c r="BC1249">
        <v>711</v>
      </c>
      <c r="BD1249" t="s">
        <v>74</v>
      </c>
      <c r="BE1249" t="s">
        <v>24481</v>
      </c>
      <c r="BF1249" t="str">
        <f>HYPERLINK("http://dx.doi.org/10.1021/acs.jproteome.6b00748","http://dx.doi.org/10.1021/acs.jproteome.6b00748")</f>
        <v>http://dx.doi.org/10.1021/acs.jproteome.6b00748</v>
      </c>
      <c r="BG1249" t="s">
        <v>74</v>
      </c>
      <c r="BH1249" t="s">
        <v>74</v>
      </c>
      <c r="BI1249" t="s">
        <v>74</v>
      </c>
      <c r="BJ1249" t="s">
        <v>812</v>
      </c>
      <c r="BK1249" t="s">
        <v>117</v>
      </c>
      <c r="BL1249" t="s">
        <v>95</v>
      </c>
      <c r="BM1249" t="s">
        <v>74</v>
      </c>
      <c r="BN1249">
        <v>27976581</v>
      </c>
      <c r="BO1249" t="s">
        <v>74</v>
      </c>
      <c r="BP1249" t="s">
        <v>74</v>
      </c>
      <c r="BQ1249" t="s">
        <v>74</v>
      </c>
      <c r="BR1249" t="s">
        <v>96</v>
      </c>
      <c r="BS1249" t="s">
        <v>24482</v>
      </c>
      <c r="BT1249" t="str">
        <f>HYPERLINK("https%3A%2F%2Fwww.webofscience.com%2Fwos%2Fwoscc%2Ffull-record%2FWOS:000393539600031","View Full Record in Web of Science")</f>
        <v>View Full Record in Web of Science</v>
      </c>
    </row>
    <row r="1250" spans="1:72" x14ac:dyDescent="0.15">
      <c r="A1250" t="s">
        <v>98</v>
      </c>
      <c r="B1250" t="s">
        <v>24889</v>
      </c>
      <c r="C1250" t="s">
        <v>74</v>
      </c>
      <c r="D1250" t="s">
        <v>74</v>
      </c>
      <c r="E1250" t="s">
        <v>74</v>
      </c>
      <c r="F1250" t="s">
        <v>24890</v>
      </c>
      <c r="G1250" t="s">
        <v>74</v>
      </c>
      <c r="H1250" t="s">
        <v>74</v>
      </c>
      <c r="I1250" t="s">
        <v>24891</v>
      </c>
      <c r="J1250" t="s">
        <v>3333</v>
      </c>
      <c r="K1250" t="s">
        <v>74</v>
      </c>
      <c r="L1250" t="s">
        <v>74</v>
      </c>
      <c r="M1250" t="s">
        <v>74</v>
      </c>
      <c r="N1250" t="s">
        <v>103</v>
      </c>
      <c r="O1250" t="s">
        <v>74</v>
      </c>
      <c r="P1250" t="s">
        <v>74</v>
      </c>
      <c r="Q1250" t="s">
        <v>74</v>
      </c>
      <c r="R1250" t="s">
        <v>74</v>
      </c>
      <c r="S1250" t="s">
        <v>74</v>
      </c>
      <c r="T1250" t="s">
        <v>24892</v>
      </c>
      <c r="U1250" t="s">
        <v>24893</v>
      </c>
      <c r="V1250" t="s">
        <v>24894</v>
      </c>
      <c r="W1250" t="s">
        <v>24895</v>
      </c>
      <c r="X1250" t="s">
        <v>24896</v>
      </c>
      <c r="Y1250" t="s">
        <v>24897</v>
      </c>
      <c r="Z1250" t="s">
        <v>24898</v>
      </c>
      <c r="AA1250" t="s">
        <v>74</v>
      </c>
      <c r="AB1250" t="s">
        <v>24899</v>
      </c>
      <c r="AC1250" t="s">
        <v>74</v>
      </c>
      <c r="AD1250" t="s">
        <v>74</v>
      </c>
      <c r="AE1250" t="s">
        <v>74</v>
      </c>
      <c r="AF1250" t="s">
        <v>74</v>
      </c>
      <c r="AG1250">
        <v>37</v>
      </c>
      <c r="AH1250">
        <v>9</v>
      </c>
      <c r="AI1250">
        <v>10</v>
      </c>
      <c r="AJ1250">
        <v>4</v>
      </c>
      <c r="AK1250">
        <v>9</v>
      </c>
      <c r="AL1250" t="s">
        <v>74</v>
      </c>
      <c r="AM1250" t="s">
        <v>74</v>
      </c>
      <c r="AN1250" t="s">
        <v>74</v>
      </c>
      <c r="AO1250" t="s">
        <v>3342</v>
      </c>
      <c r="AP1250" t="s">
        <v>3343</v>
      </c>
      <c r="AQ1250" t="s">
        <v>74</v>
      </c>
      <c r="AR1250" t="s">
        <v>74</v>
      </c>
      <c r="AS1250" t="s">
        <v>74</v>
      </c>
      <c r="AT1250" t="s">
        <v>211</v>
      </c>
      <c r="AU1250">
        <v>2021</v>
      </c>
      <c r="AV1250">
        <v>139</v>
      </c>
      <c r="AW1250" t="s">
        <v>74</v>
      </c>
      <c r="AX1250" t="s">
        <v>74</v>
      </c>
      <c r="AY1250" t="s">
        <v>74</v>
      </c>
      <c r="AZ1250" t="s">
        <v>74</v>
      </c>
      <c r="BA1250" t="s">
        <v>74</v>
      </c>
      <c r="BB1250">
        <v>106</v>
      </c>
      <c r="BC1250">
        <v>114</v>
      </c>
      <c r="BD1250" t="s">
        <v>74</v>
      </c>
      <c r="BE1250" t="s">
        <v>24900</v>
      </c>
      <c r="BF1250" t="str">
        <f>HYPERLINK("http://dx.doi.org/10.1016/j.molimm.2021.08.015","http://dx.doi.org/10.1016/j.molimm.2021.08.015")</f>
        <v>http://dx.doi.org/10.1016/j.molimm.2021.08.015</v>
      </c>
      <c r="BG1250" t="s">
        <v>74</v>
      </c>
      <c r="BH1250" t="s">
        <v>1663</v>
      </c>
      <c r="BI1250" t="s">
        <v>74</v>
      </c>
      <c r="BJ1250" t="s">
        <v>3346</v>
      </c>
      <c r="BK1250" t="s">
        <v>117</v>
      </c>
      <c r="BL1250" t="s">
        <v>3346</v>
      </c>
      <c r="BM1250" t="s">
        <v>74</v>
      </c>
      <c r="BN1250">
        <v>34464838</v>
      </c>
      <c r="BO1250" t="s">
        <v>74</v>
      </c>
      <c r="BP1250" t="s">
        <v>74</v>
      </c>
      <c r="BQ1250" t="s">
        <v>74</v>
      </c>
      <c r="BR1250" t="s">
        <v>96</v>
      </c>
      <c r="BS1250" t="s">
        <v>24901</v>
      </c>
      <c r="BT1250" t="str">
        <f>HYPERLINK("https%3A%2F%2Fwww.webofscience.com%2Fwos%2Fwoscc%2Ffull-record%2FWOS:000704087100004","View Full Record in Web of Science")</f>
        <v>View Full Record in Web of Science</v>
      </c>
    </row>
    <row r="1251" spans="1:72" x14ac:dyDescent="0.15">
      <c r="A1251" t="s">
        <v>98</v>
      </c>
      <c r="B1251" t="s">
        <v>24990</v>
      </c>
      <c r="C1251" t="s">
        <v>74</v>
      </c>
      <c r="D1251" t="s">
        <v>74</v>
      </c>
      <c r="E1251" t="s">
        <v>74</v>
      </c>
      <c r="F1251" t="s">
        <v>24991</v>
      </c>
      <c r="G1251" t="s">
        <v>74</v>
      </c>
      <c r="H1251" t="s">
        <v>74</v>
      </c>
      <c r="I1251" t="s">
        <v>24992</v>
      </c>
      <c r="J1251" t="s">
        <v>12425</v>
      </c>
      <c r="K1251" t="s">
        <v>74</v>
      </c>
      <c r="L1251" t="s">
        <v>74</v>
      </c>
      <c r="M1251" t="s">
        <v>74</v>
      </c>
      <c r="N1251" t="s">
        <v>103</v>
      </c>
      <c r="O1251" t="s">
        <v>74</v>
      </c>
      <c r="P1251" t="s">
        <v>74</v>
      </c>
      <c r="Q1251" t="s">
        <v>74</v>
      </c>
      <c r="R1251" t="s">
        <v>74</v>
      </c>
      <c r="S1251" t="s">
        <v>74</v>
      </c>
      <c r="T1251" t="s">
        <v>24993</v>
      </c>
      <c r="U1251" t="s">
        <v>24994</v>
      </c>
      <c r="V1251" t="s">
        <v>24995</v>
      </c>
      <c r="W1251" t="s">
        <v>24996</v>
      </c>
      <c r="X1251" t="s">
        <v>24997</v>
      </c>
      <c r="Y1251" t="s">
        <v>24998</v>
      </c>
      <c r="Z1251" t="s">
        <v>24999</v>
      </c>
      <c r="AA1251" t="s">
        <v>74</v>
      </c>
      <c r="AB1251" t="s">
        <v>25000</v>
      </c>
      <c r="AC1251" t="s">
        <v>74</v>
      </c>
      <c r="AD1251" t="s">
        <v>74</v>
      </c>
      <c r="AE1251" t="s">
        <v>74</v>
      </c>
      <c r="AF1251" t="s">
        <v>74</v>
      </c>
      <c r="AG1251">
        <v>70</v>
      </c>
      <c r="AH1251">
        <v>9</v>
      </c>
      <c r="AI1251">
        <v>9</v>
      </c>
      <c r="AJ1251">
        <v>0</v>
      </c>
      <c r="AK1251">
        <v>14</v>
      </c>
      <c r="AL1251" t="s">
        <v>74</v>
      </c>
      <c r="AM1251" t="s">
        <v>74</v>
      </c>
      <c r="AN1251" t="s">
        <v>74</v>
      </c>
      <c r="AO1251" t="s">
        <v>12434</v>
      </c>
      <c r="AP1251" t="s">
        <v>12435</v>
      </c>
      <c r="AQ1251" t="s">
        <v>74</v>
      </c>
      <c r="AR1251" t="s">
        <v>74</v>
      </c>
      <c r="AS1251" t="s">
        <v>74</v>
      </c>
      <c r="AT1251" t="s">
        <v>10261</v>
      </c>
      <c r="AU1251">
        <v>2017</v>
      </c>
      <c r="AV1251">
        <v>14</v>
      </c>
      <c r="AW1251">
        <v>3</v>
      </c>
      <c r="AX1251" t="s">
        <v>74</v>
      </c>
      <c r="AY1251" t="s">
        <v>74</v>
      </c>
      <c r="AZ1251" t="s">
        <v>74</v>
      </c>
      <c r="BA1251" t="s">
        <v>74</v>
      </c>
      <c r="BB1251">
        <v>161</v>
      </c>
      <c r="BC1251">
        <v>172</v>
      </c>
      <c r="BD1251" t="s">
        <v>74</v>
      </c>
      <c r="BE1251" t="s">
        <v>25001</v>
      </c>
      <c r="BF1251" t="str">
        <f>HYPERLINK("http://dx.doi.org/10.21873/cgp.20028","http://dx.doi.org/10.21873/cgp.20028")</f>
        <v>http://dx.doi.org/10.21873/cgp.20028</v>
      </c>
      <c r="BG1251" t="s">
        <v>74</v>
      </c>
      <c r="BH1251" t="s">
        <v>74</v>
      </c>
      <c r="BI1251" t="s">
        <v>74</v>
      </c>
      <c r="BJ1251" t="s">
        <v>12437</v>
      </c>
      <c r="BK1251" t="s">
        <v>117</v>
      </c>
      <c r="BL1251" t="s">
        <v>12437</v>
      </c>
      <c r="BM1251" t="s">
        <v>74</v>
      </c>
      <c r="BN1251">
        <v>28446531</v>
      </c>
      <c r="BO1251" t="s">
        <v>74</v>
      </c>
      <c r="BP1251" t="s">
        <v>74</v>
      </c>
      <c r="BQ1251" t="s">
        <v>74</v>
      </c>
      <c r="BR1251" t="s">
        <v>96</v>
      </c>
      <c r="BS1251" t="s">
        <v>25002</v>
      </c>
      <c r="BT1251" t="str">
        <f>HYPERLINK("https%3A%2F%2Fwww.webofscience.com%2Fwos%2Fwoscc%2Ffull-record%2FWOS:000403406700002","View Full Record in Web of Science")</f>
        <v>View Full Record in Web of Science</v>
      </c>
    </row>
    <row r="1252" spans="1:72" x14ac:dyDescent="0.15">
      <c r="A1252" t="s">
        <v>98</v>
      </c>
      <c r="B1252" t="s">
        <v>25535</v>
      </c>
      <c r="C1252" t="s">
        <v>74</v>
      </c>
      <c r="D1252" t="s">
        <v>74</v>
      </c>
      <c r="E1252" t="s">
        <v>74</v>
      </c>
      <c r="F1252" t="s">
        <v>25536</v>
      </c>
      <c r="G1252" t="s">
        <v>74</v>
      </c>
      <c r="H1252" t="s">
        <v>74</v>
      </c>
      <c r="I1252" t="s">
        <v>25537</v>
      </c>
      <c r="J1252" t="s">
        <v>25538</v>
      </c>
      <c r="K1252" t="s">
        <v>74</v>
      </c>
      <c r="L1252" t="s">
        <v>74</v>
      </c>
      <c r="M1252" t="s">
        <v>74</v>
      </c>
      <c r="N1252" t="s">
        <v>103</v>
      </c>
      <c r="O1252" t="s">
        <v>74</v>
      </c>
      <c r="P1252" t="s">
        <v>74</v>
      </c>
      <c r="Q1252" t="s">
        <v>74</v>
      </c>
      <c r="R1252" t="s">
        <v>74</v>
      </c>
      <c r="S1252" t="s">
        <v>74</v>
      </c>
      <c r="T1252" t="s">
        <v>25539</v>
      </c>
      <c r="U1252" t="s">
        <v>25540</v>
      </c>
      <c r="V1252" t="s">
        <v>25541</v>
      </c>
      <c r="W1252" t="s">
        <v>25542</v>
      </c>
      <c r="X1252" t="s">
        <v>25543</v>
      </c>
      <c r="Y1252" t="s">
        <v>25544</v>
      </c>
      <c r="Z1252" t="s">
        <v>25545</v>
      </c>
      <c r="AA1252" t="s">
        <v>25546</v>
      </c>
      <c r="AB1252" t="s">
        <v>25547</v>
      </c>
      <c r="AC1252" t="s">
        <v>74</v>
      </c>
      <c r="AD1252" t="s">
        <v>74</v>
      </c>
      <c r="AE1252" t="s">
        <v>74</v>
      </c>
      <c r="AF1252" t="s">
        <v>74</v>
      </c>
      <c r="AG1252">
        <v>47</v>
      </c>
      <c r="AH1252">
        <v>9</v>
      </c>
      <c r="AI1252">
        <v>9</v>
      </c>
      <c r="AJ1252">
        <v>0</v>
      </c>
      <c r="AK1252">
        <v>5</v>
      </c>
      <c r="AL1252" t="s">
        <v>74</v>
      </c>
      <c r="AM1252" t="s">
        <v>74</v>
      </c>
      <c r="AN1252" t="s">
        <v>74</v>
      </c>
      <c r="AO1252" t="s">
        <v>25548</v>
      </c>
      <c r="AP1252" t="s">
        <v>74</v>
      </c>
      <c r="AQ1252" t="s">
        <v>74</v>
      </c>
      <c r="AR1252" t="s">
        <v>74</v>
      </c>
      <c r="AS1252" t="s">
        <v>74</v>
      </c>
      <c r="AT1252" t="s">
        <v>132</v>
      </c>
      <c r="AU1252">
        <v>2018</v>
      </c>
      <c r="AV1252">
        <v>10</v>
      </c>
      <c r="AW1252">
        <v>4</v>
      </c>
      <c r="AX1252" t="s">
        <v>74</v>
      </c>
      <c r="AY1252" t="s">
        <v>74</v>
      </c>
      <c r="AZ1252" t="s">
        <v>74</v>
      </c>
      <c r="BA1252" t="s">
        <v>74</v>
      </c>
      <c r="BB1252" t="s">
        <v>74</v>
      </c>
      <c r="BC1252" t="s">
        <v>74</v>
      </c>
      <c r="BD1252">
        <v>153</v>
      </c>
      <c r="BE1252" t="s">
        <v>25549</v>
      </c>
      <c r="BF1252" t="str">
        <f>HYPERLINK("http://dx.doi.org/10.3390/toxins10040153","http://dx.doi.org/10.3390/toxins10040153")</f>
        <v>http://dx.doi.org/10.3390/toxins10040153</v>
      </c>
      <c r="BG1252" t="s">
        <v>74</v>
      </c>
      <c r="BH1252" t="s">
        <v>74</v>
      </c>
      <c r="BI1252" t="s">
        <v>74</v>
      </c>
      <c r="BJ1252" t="s">
        <v>14947</v>
      </c>
      <c r="BK1252" t="s">
        <v>117</v>
      </c>
      <c r="BL1252" t="s">
        <v>14947</v>
      </c>
      <c r="BM1252" t="s">
        <v>74</v>
      </c>
      <c r="BN1252">
        <v>29649119</v>
      </c>
      <c r="BO1252" t="s">
        <v>74</v>
      </c>
      <c r="BP1252" t="s">
        <v>74</v>
      </c>
      <c r="BQ1252" t="s">
        <v>74</v>
      </c>
      <c r="BR1252" t="s">
        <v>96</v>
      </c>
      <c r="BS1252" t="s">
        <v>25550</v>
      </c>
      <c r="BT1252" t="str">
        <f>HYPERLINK("https%3A%2F%2Fwww.webofscience.com%2Fwos%2Fwoscc%2Ffull-record%2FWOS:000435183700024","View Full Record in Web of Science")</f>
        <v>View Full Record in Web of Science</v>
      </c>
    </row>
    <row r="1253" spans="1:72" x14ac:dyDescent="0.15">
      <c r="A1253" t="s">
        <v>98</v>
      </c>
      <c r="B1253" t="s">
        <v>26706</v>
      </c>
      <c r="C1253" t="s">
        <v>74</v>
      </c>
      <c r="D1253" t="s">
        <v>74</v>
      </c>
      <c r="E1253" t="s">
        <v>74</v>
      </c>
      <c r="F1253" t="s">
        <v>26707</v>
      </c>
      <c r="G1253" t="s">
        <v>74</v>
      </c>
      <c r="H1253" t="s">
        <v>74</v>
      </c>
      <c r="I1253" t="s">
        <v>26708</v>
      </c>
      <c r="J1253" t="s">
        <v>21903</v>
      </c>
      <c r="K1253" t="s">
        <v>74</v>
      </c>
      <c r="L1253" t="s">
        <v>74</v>
      </c>
      <c r="M1253" t="s">
        <v>74</v>
      </c>
      <c r="N1253" t="s">
        <v>103</v>
      </c>
      <c r="O1253" t="s">
        <v>74</v>
      </c>
      <c r="P1253" t="s">
        <v>74</v>
      </c>
      <c r="Q1253" t="s">
        <v>74</v>
      </c>
      <c r="R1253" t="s">
        <v>74</v>
      </c>
      <c r="S1253" t="s">
        <v>74</v>
      </c>
      <c r="T1253" t="s">
        <v>74</v>
      </c>
      <c r="U1253" t="s">
        <v>26709</v>
      </c>
      <c r="V1253" t="s">
        <v>26710</v>
      </c>
      <c r="W1253" t="s">
        <v>26711</v>
      </c>
      <c r="X1253" t="s">
        <v>26712</v>
      </c>
      <c r="Y1253" t="s">
        <v>26713</v>
      </c>
      <c r="Z1253" t="s">
        <v>21923</v>
      </c>
      <c r="AA1253" t="s">
        <v>26714</v>
      </c>
      <c r="AB1253" t="s">
        <v>26715</v>
      </c>
      <c r="AC1253" t="s">
        <v>74</v>
      </c>
      <c r="AD1253" t="s">
        <v>74</v>
      </c>
      <c r="AE1253" t="s">
        <v>74</v>
      </c>
      <c r="AF1253" t="s">
        <v>74</v>
      </c>
      <c r="AG1253">
        <v>23</v>
      </c>
      <c r="AH1253">
        <v>9</v>
      </c>
      <c r="AI1253">
        <v>9</v>
      </c>
      <c r="AJ1253">
        <v>3</v>
      </c>
      <c r="AK1253">
        <v>32</v>
      </c>
      <c r="AL1253" t="s">
        <v>74</v>
      </c>
      <c r="AM1253" t="s">
        <v>74</v>
      </c>
      <c r="AN1253" t="s">
        <v>74</v>
      </c>
      <c r="AO1253" t="s">
        <v>21911</v>
      </c>
      <c r="AP1253" t="s">
        <v>74</v>
      </c>
      <c r="AQ1253" t="s">
        <v>74</v>
      </c>
      <c r="AR1253" t="s">
        <v>74</v>
      </c>
      <c r="AS1253" t="s">
        <v>74</v>
      </c>
      <c r="AT1253" t="s">
        <v>114</v>
      </c>
      <c r="AU1253">
        <v>2017</v>
      </c>
      <c r="AV1253">
        <v>28</v>
      </c>
      <c r="AW1253">
        <v>1</v>
      </c>
      <c r="AX1253" t="s">
        <v>74</v>
      </c>
      <c r="AY1253" t="s">
        <v>74</v>
      </c>
      <c r="AZ1253" t="s">
        <v>74</v>
      </c>
      <c r="BA1253" t="s">
        <v>74</v>
      </c>
      <c r="BB1253">
        <v>33</v>
      </c>
      <c r="BC1253">
        <v>37</v>
      </c>
      <c r="BD1253" t="s">
        <v>74</v>
      </c>
      <c r="BE1253" t="s">
        <v>26716</v>
      </c>
      <c r="BF1253" t="str">
        <f>HYPERLINK("http://dx.doi.org/10.1021/acs.bioconjchem.6b00524","http://dx.doi.org/10.1021/acs.bioconjchem.6b00524")</f>
        <v>http://dx.doi.org/10.1021/acs.bioconjchem.6b00524</v>
      </c>
      <c r="BG1253" t="s">
        <v>74</v>
      </c>
      <c r="BH1253" t="s">
        <v>74</v>
      </c>
      <c r="BI1253" t="s">
        <v>74</v>
      </c>
      <c r="BJ1253" t="s">
        <v>21913</v>
      </c>
      <c r="BK1253" t="s">
        <v>117</v>
      </c>
      <c r="BL1253" t="s">
        <v>831</v>
      </c>
      <c r="BM1253" t="s">
        <v>74</v>
      </c>
      <c r="BN1253">
        <v>27792877</v>
      </c>
      <c r="BO1253" t="s">
        <v>74</v>
      </c>
      <c r="BP1253" t="s">
        <v>74</v>
      </c>
      <c r="BQ1253" t="s">
        <v>74</v>
      </c>
      <c r="BR1253" t="s">
        <v>96</v>
      </c>
      <c r="BS1253" t="s">
        <v>26717</v>
      </c>
      <c r="BT1253" t="str">
        <f>HYPERLINK("https%3A%2F%2Fwww.webofscience.com%2Fwos%2Fwoscc%2Ffull-record%2FWOS:000392459200005","View Full Record in Web of Science")</f>
        <v>View Full Record in Web of Science</v>
      </c>
    </row>
    <row r="1254" spans="1:72" x14ac:dyDescent="0.15">
      <c r="A1254" t="s">
        <v>98</v>
      </c>
      <c r="B1254" t="s">
        <v>28364</v>
      </c>
      <c r="C1254" t="s">
        <v>74</v>
      </c>
      <c r="D1254" t="s">
        <v>74</v>
      </c>
      <c r="E1254" t="s">
        <v>74</v>
      </c>
      <c r="F1254" t="s">
        <v>28365</v>
      </c>
      <c r="G1254" t="s">
        <v>74</v>
      </c>
      <c r="H1254" t="s">
        <v>74</v>
      </c>
      <c r="I1254" t="s">
        <v>28366</v>
      </c>
      <c r="J1254" t="s">
        <v>836</v>
      </c>
      <c r="K1254" t="s">
        <v>74</v>
      </c>
      <c r="L1254" t="s">
        <v>74</v>
      </c>
      <c r="M1254" t="s">
        <v>74</v>
      </c>
      <c r="N1254" t="s">
        <v>103</v>
      </c>
      <c r="O1254" t="s">
        <v>74</v>
      </c>
      <c r="P1254" t="s">
        <v>74</v>
      </c>
      <c r="Q1254" t="s">
        <v>74</v>
      </c>
      <c r="R1254" t="s">
        <v>74</v>
      </c>
      <c r="S1254" t="s">
        <v>74</v>
      </c>
      <c r="T1254" t="s">
        <v>28367</v>
      </c>
      <c r="U1254" t="s">
        <v>28368</v>
      </c>
      <c r="V1254" t="s">
        <v>28369</v>
      </c>
      <c r="W1254" t="s">
        <v>28370</v>
      </c>
      <c r="X1254" t="s">
        <v>28371</v>
      </c>
      <c r="Y1254" t="s">
        <v>28372</v>
      </c>
      <c r="Z1254" t="s">
        <v>28373</v>
      </c>
      <c r="AA1254" t="s">
        <v>28374</v>
      </c>
      <c r="AB1254" t="s">
        <v>28375</v>
      </c>
      <c r="AC1254" t="s">
        <v>74</v>
      </c>
      <c r="AD1254" t="s">
        <v>74</v>
      </c>
      <c r="AE1254" t="s">
        <v>74</v>
      </c>
      <c r="AF1254" t="s">
        <v>74</v>
      </c>
      <c r="AG1254">
        <v>46</v>
      </c>
      <c r="AH1254">
        <v>9</v>
      </c>
      <c r="AI1254">
        <v>9</v>
      </c>
      <c r="AJ1254">
        <v>0</v>
      </c>
      <c r="AK1254">
        <v>2</v>
      </c>
      <c r="AL1254" t="s">
        <v>74</v>
      </c>
      <c r="AM1254" t="s">
        <v>74</v>
      </c>
      <c r="AN1254" t="s">
        <v>74</v>
      </c>
      <c r="AO1254" t="s">
        <v>74</v>
      </c>
      <c r="AP1254" t="s">
        <v>846</v>
      </c>
      <c r="AQ1254" t="s">
        <v>74</v>
      </c>
      <c r="AR1254" t="s">
        <v>74</v>
      </c>
      <c r="AS1254" t="s">
        <v>74</v>
      </c>
      <c r="AT1254" t="s">
        <v>28376</v>
      </c>
      <c r="AU1254">
        <v>2016</v>
      </c>
      <c r="AV1254">
        <v>7</v>
      </c>
      <c r="AW1254">
        <v>50</v>
      </c>
      <c r="AX1254" t="s">
        <v>74</v>
      </c>
      <c r="AY1254" t="s">
        <v>74</v>
      </c>
      <c r="AZ1254" t="s">
        <v>74</v>
      </c>
      <c r="BA1254" t="s">
        <v>74</v>
      </c>
      <c r="BB1254">
        <v>83514</v>
      </c>
      <c r="BC1254">
        <v>83529</v>
      </c>
      <c r="BD1254" t="s">
        <v>74</v>
      </c>
      <c r="BE1254" t="s">
        <v>28377</v>
      </c>
      <c r="BF1254" t="str">
        <f>HYPERLINK("http://dx.doi.org/10.18632/oncotarget.13158","http://dx.doi.org/10.18632/oncotarget.13158")</f>
        <v>http://dx.doi.org/10.18632/oncotarget.13158</v>
      </c>
      <c r="BG1254" t="s">
        <v>74</v>
      </c>
      <c r="BH1254" t="s">
        <v>74</v>
      </c>
      <c r="BI1254" t="s">
        <v>74</v>
      </c>
      <c r="BJ1254" t="s">
        <v>848</v>
      </c>
      <c r="BK1254" t="s">
        <v>117</v>
      </c>
      <c r="BL1254" t="s">
        <v>848</v>
      </c>
      <c r="BM1254" t="s">
        <v>74</v>
      </c>
      <c r="BN1254">
        <v>27835864</v>
      </c>
      <c r="BO1254" t="s">
        <v>74</v>
      </c>
      <c r="BP1254" t="s">
        <v>74</v>
      </c>
      <c r="BQ1254" t="s">
        <v>74</v>
      </c>
      <c r="BR1254" t="s">
        <v>96</v>
      </c>
      <c r="BS1254" t="s">
        <v>28378</v>
      </c>
      <c r="BT1254" t="str">
        <f>HYPERLINK("https%3A%2F%2Fwww.webofscience.com%2Fwos%2Fwoscc%2Ffull-record%2FWOS:000391352800125","View Full Record in Web of Science")</f>
        <v>View Full Record in Web of Science</v>
      </c>
    </row>
    <row r="1255" spans="1:72" x14ac:dyDescent="0.15">
      <c r="A1255" t="s">
        <v>4291</v>
      </c>
      <c r="B1255" t="s">
        <v>29334</v>
      </c>
      <c r="C1255" t="s">
        <v>74</v>
      </c>
      <c r="D1255" t="s">
        <v>29335</v>
      </c>
      <c r="E1255" t="s">
        <v>74</v>
      </c>
      <c r="F1255" t="s">
        <v>29336</v>
      </c>
      <c r="G1255" t="s">
        <v>74</v>
      </c>
      <c r="H1255" t="s">
        <v>74</v>
      </c>
      <c r="I1255" t="s">
        <v>29337</v>
      </c>
      <c r="J1255" t="s">
        <v>29338</v>
      </c>
      <c r="K1255" t="s">
        <v>74</v>
      </c>
      <c r="L1255" t="s">
        <v>74</v>
      </c>
      <c r="M1255" t="s">
        <v>74</v>
      </c>
      <c r="N1255" t="s">
        <v>80</v>
      </c>
      <c r="O1255" t="s">
        <v>74</v>
      </c>
      <c r="P1255" t="s">
        <v>74</v>
      </c>
      <c r="Q1255" t="s">
        <v>74</v>
      </c>
      <c r="R1255" t="s">
        <v>74</v>
      </c>
      <c r="S1255" t="s">
        <v>74</v>
      </c>
      <c r="T1255" t="s">
        <v>74</v>
      </c>
      <c r="U1255" t="s">
        <v>29339</v>
      </c>
      <c r="V1255" t="s">
        <v>74</v>
      </c>
      <c r="W1255" t="s">
        <v>29340</v>
      </c>
      <c r="X1255" t="s">
        <v>29341</v>
      </c>
      <c r="Y1255" t="s">
        <v>29342</v>
      </c>
      <c r="Z1255" t="s">
        <v>74</v>
      </c>
      <c r="AA1255" t="s">
        <v>74</v>
      </c>
      <c r="AB1255" t="s">
        <v>74</v>
      </c>
      <c r="AC1255" t="s">
        <v>74</v>
      </c>
      <c r="AD1255" t="s">
        <v>74</v>
      </c>
      <c r="AE1255" t="s">
        <v>74</v>
      </c>
      <c r="AF1255" t="s">
        <v>74</v>
      </c>
      <c r="AG1255">
        <v>86</v>
      </c>
      <c r="AH1255">
        <v>9</v>
      </c>
      <c r="AI1255">
        <v>9</v>
      </c>
      <c r="AJ1255">
        <v>3</v>
      </c>
      <c r="AK1255">
        <v>8</v>
      </c>
      <c r="AL1255" t="s">
        <v>74</v>
      </c>
      <c r="AM1255" t="s">
        <v>74</v>
      </c>
      <c r="AN1255" t="s">
        <v>74</v>
      </c>
      <c r="AO1255" t="s">
        <v>74</v>
      </c>
      <c r="AP1255" t="s">
        <v>74</v>
      </c>
      <c r="AQ1255" t="s">
        <v>29343</v>
      </c>
      <c r="AR1255" t="s">
        <v>74</v>
      </c>
      <c r="AS1255" t="s">
        <v>74</v>
      </c>
      <c r="AT1255" t="s">
        <v>74</v>
      </c>
      <c r="AU1255">
        <v>2020</v>
      </c>
      <c r="AV1255" t="s">
        <v>74</v>
      </c>
      <c r="AW1255" t="s">
        <v>74</v>
      </c>
      <c r="AX1255" t="s">
        <v>74</v>
      </c>
      <c r="AY1255" t="s">
        <v>74</v>
      </c>
      <c r="AZ1255" t="s">
        <v>74</v>
      </c>
      <c r="BA1255" t="s">
        <v>74</v>
      </c>
      <c r="BB1255">
        <v>1</v>
      </c>
      <c r="BC1255">
        <v>21</v>
      </c>
      <c r="BD1255" t="s">
        <v>74</v>
      </c>
      <c r="BE1255" t="s">
        <v>29344</v>
      </c>
      <c r="BF1255" t="str">
        <f>HYPERLINK("http://dx.doi.org/10.1016/B978-0-12-816053-4.00001-8","http://dx.doi.org/10.1016/B978-0-12-816053-4.00001-8")</f>
        <v>http://dx.doi.org/10.1016/B978-0-12-816053-4.00001-8</v>
      </c>
      <c r="BG1255" t="s">
        <v>29345</v>
      </c>
      <c r="BH1255" t="s">
        <v>74</v>
      </c>
      <c r="BI1255" t="s">
        <v>74</v>
      </c>
      <c r="BJ1255" t="s">
        <v>498</v>
      </c>
      <c r="BK1255" t="s">
        <v>94</v>
      </c>
      <c r="BL1255" t="s">
        <v>498</v>
      </c>
      <c r="BM1255" t="s">
        <v>74</v>
      </c>
      <c r="BN1255" t="s">
        <v>74</v>
      </c>
      <c r="BO1255" t="s">
        <v>74</v>
      </c>
      <c r="BP1255" t="s">
        <v>74</v>
      </c>
      <c r="BQ1255" t="s">
        <v>74</v>
      </c>
      <c r="BR1255" t="s">
        <v>96</v>
      </c>
      <c r="BS1255" t="s">
        <v>29346</v>
      </c>
      <c r="BT1255" t="str">
        <f>HYPERLINK("https%3A%2F%2Fwww.webofscience.com%2Fwos%2Fwoscc%2Ffull-record%2FWOS:000533473600002","View Full Record in Web of Science")</f>
        <v>View Full Record in Web of Science</v>
      </c>
    </row>
    <row r="1256" spans="1:72" x14ac:dyDescent="0.15">
      <c r="A1256" t="s">
        <v>98</v>
      </c>
      <c r="B1256" t="s">
        <v>29480</v>
      </c>
      <c r="C1256" t="s">
        <v>74</v>
      </c>
      <c r="D1256" t="s">
        <v>74</v>
      </c>
      <c r="E1256" t="s">
        <v>74</v>
      </c>
      <c r="F1256" t="s">
        <v>29481</v>
      </c>
      <c r="G1256" t="s">
        <v>74</v>
      </c>
      <c r="H1256" t="s">
        <v>74</v>
      </c>
      <c r="I1256" t="s">
        <v>29482</v>
      </c>
      <c r="J1256" t="s">
        <v>4030</v>
      </c>
      <c r="K1256" t="s">
        <v>74</v>
      </c>
      <c r="L1256" t="s">
        <v>74</v>
      </c>
      <c r="M1256" t="s">
        <v>74</v>
      </c>
      <c r="N1256" t="s">
        <v>103</v>
      </c>
      <c r="O1256" t="s">
        <v>74</v>
      </c>
      <c r="P1256" t="s">
        <v>74</v>
      </c>
      <c r="Q1256" t="s">
        <v>74</v>
      </c>
      <c r="R1256" t="s">
        <v>74</v>
      </c>
      <c r="S1256" t="s">
        <v>74</v>
      </c>
      <c r="T1256" t="s">
        <v>29483</v>
      </c>
      <c r="U1256" t="s">
        <v>29484</v>
      </c>
      <c r="V1256" t="s">
        <v>29485</v>
      </c>
      <c r="W1256" t="s">
        <v>29486</v>
      </c>
      <c r="X1256" t="s">
        <v>29487</v>
      </c>
      <c r="Y1256" t="s">
        <v>29488</v>
      </c>
      <c r="Z1256" t="s">
        <v>2749</v>
      </c>
      <c r="AA1256" t="s">
        <v>29489</v>
      </c>
      <c r="AB1256" t="s">
        <v>29490</v>
      </c>
      <c r="AC1256" t="s">
        <v>74</v>
      </c>
      <c r="AD1256" t="s">
        <v>74</v>
      </c>
      <c r="AE1256" t="s">
        <v>74</v>
      </c>
      <c r="AF1256" t="s">
        <v>74</v>
      </c>
      <c r="AG1256">
        <v>51</v>
      </c>
      <c r="AH1256">
        <v>9</v>
      </c>
      <c r="AI1256">
        <v>9</v>
      </c>
      <c r="AJ1256">
        <v>0</v>
      </c>
      <c r="AK1256">
        <v>5</v>
      </c>
      <c r="AL1256" t="s">
        <v>74</v>
      </c>
      <c r="AM1256" t="s">
        <v>74</v>
      </c>
      <c r="AN1256" t="s">
        <v>74</v>
      </c>
      <c r="AO1256" t="s">
        <v>4037</v>
      </c>
      <c r="AP1256" t="s">
        <v>74</v>
      </c>
      <c r="AQ1256" t="s">
        <v>74</v>
      </c>
      <c r="AR1256" t="s">
        <v>74</v>
      </c>
      <c r="AS1256" t="s">
        <v>74</v>
      </c>
      <c r="AT1256" t="s">
        <v>23358</v>
      </c>
      <c r="AU1256">
        <v>2020</v>
      </c>
      <c r="AV1256">
        <v>8</v>
      </c>
      <c r="AW1256" t="s">
        <v>74</v>
      </c>
      <c r="AX1256" t="s">
        <v>74</v>
      </c>
      <c r="AY1256" t="s">
        <v>74</v>
      </c>
      <c r="AZ1256" t="s">
        <v>74</v>
      </c>
      <c r="BA1256" t="s">
        <v>74</v>
      </c>
      <c r="BB1256" t="s">
        <v>74</v>
      </c>
      <c r="BC1256" t="s">
        <v>74</v>
      </c>
      <c r="BD1256">
        <v>617</v>
      </c>
      <c r="BE1256" t="s">
        <v>29491</v>
      </c>
      <c r="BF1256" t="str">
        <f>HYPERLINK("http://dx.doi.org/10.3389/fbioe.2020.00617","http://dx.doi.org/10.3389/fbioe.2020.00617")</f>
        <v>http://dx.doi.org/10.3389/fbioe.2020.00617</v>
      </c>
      <c r="BG1256" t="s">
        <v>74</v>
      </c>
      <c r="BH1256" t="s">
        <v>74</v>
      </c>
      <c r="BI1256" t="s">
        <v>74</v>
      </c>
      <c r="BJ1256" t="s">
        <v>4040</v>
      </c>
      <c r="BK1256" t="s">
        <v>117</v>
      </c>
      <c r="BL1256" t="s">
        <v>3878</v>
      </c>
      <c r="BM1256" t="s">
        <v>74</v>
      </c>
      <c r="BN1256">
        <v>32637402</v>
      </c>
      <c r="BO1256" t="s">
        <v>74</v>
      </c>
      <c r="BP1256" t="s">
        <v>74</v>
      </c>
      <c r="BQ1256" t="s">
        <v>74</v>
      </c>
      <c r="BR1256" t="s">
        <v>96</v>
      </c>
      <c r="BS1256" t="s">
        <v>29492</v>
      </c>
      <c r="BT1256" t="str">
        <f>HYPERLINK("https%3A%2F%2Fwww.webofscience.com%2Fwos%2Fwoscc%2Ffull-record%2FWOS:000548400700001","View Full Record in Web of Science")</f>
        <v>View Full Record in Web of Science</v>
      </c>
    </row>
    <row r="1257" spans="1:72" x14ac:dyDescent="0.15">
      <c r="A1257" t="s">
        <v>72</v>
      </c>
      <c r="B1257" t="s">
        <v>30406</v>
      </c>
      <c r="C1257" t="s">
        <v>74</v>
      </c>
      <c r="D1257" t="s">
        <v>30407</v>
      </c>
      <c r="E1257" t="s">
        <v>74</v>
      </c>
      <c r="F1257" t="s">
        <v>30408</v>
      </c>
      <c r="G1257" t="s">
        <v>74</v>
      </c>
      <c r="H1257" t="s">
        <v>74</v>
      </c>
      <c r="I1257" t="s">
        <v>30409</v>
      </c>
      <c r="J1257" t="s">
        <v>30410</v>
      </c>
      <c r="K1257" t="s">
        <v>30411</v>
      </c>
      <c r="L1257" t="s">
        <v>74</v>
      </c>
      <c r="M1257" t="s">
        <v>74</v>
      </c>
      <c r="N1257" t="s">
        <v>80</v>
      </c>
      <c r="O1257" t="s">
        <v>74</v>
      </c>
      <c r="P1257" t="s">
        <v>74</v>
      </c>
      <c r="Q1257" t="s">
        <v>74</v>
      </c>
      <c r="R1257" t="s">
        <v>74</v>
      </c>
      <c r="S1257" t="s">
        <v>74</v>
      </c>
      <c r="T1257" t="s">
        <v>30412</v>
      </c>
      <c r="U1257" t="s">
        <v>30413</v>
      </c>
      <c r="V1257" t="s">
        <v>30414</v>
      </c>
      <c r="W1257" t="s">
        <v>30415</v>
      </c>
      <c r="X1257" t="s">
        <v>30416</v>
      </c>
      <c r="Y1257" t="s">
        <v>30417</v>
      </c>
      <c r="Z1257" t="s">
        <v>30418</v>
      </c>
      <c r="AA1257" t="s">
        <v>30419</v>
      </c>
      <c r="AB1257" t="s">
        <v>30420</v>
      </c>
      <c r="AC1257" t="s">
        <v>74</v>
      </c>
      <c r="AD1257" t="s">
        <v>74</v>
      </c>
      <c r="AE1257" t="s">
        <v>74</v>
      </c>
      <c r="AF1257" t="s">
        <v>74</v>
      </c>
      <c r="AG1257">
        <v>122</v>
      </c>
      <c r="AH1257">
        <v>9</v>
      </c>
      <c r="AI1257">
        <v>9</v>
      </c>
      <c r="AJ1257">
        <v>0</v>
      </c>
      <c r="AK1257">
        <v>3</v>
      </c>
      <c r="AL1257" t="s">
        <v>74</v>
      </c>
      <c r="AM1257" t="s">
        <v>74</v>
      </c>
      <c r="AN1257" t="s">
        <v>74</v>
      </c>
      <c r="AO1257" t="s">
        <v>30421</v>
      </c>
      <c r="AP1257" t="s">
        <v>74</v>
      </c>
      <c r="AQ1257" t="s">
        <v>30422</v>
      </c>
      <c r="AR1257" t="s">
        <v>74</v>
      </c>
      <c r="AS1257" t="s">
        <v>74</v>
      </c>
      <c r="AT1257" t="s">
        <v>74</v>
      </c>
      <c r="AU1257">
        <v>2018</v>
      </c>
      <c r="AV1257">
        <v>38</v>
      </c>
      <c r="AW1257" t="s">
        <v>74</v>
      </c>
      <c r="AX1257" t="s">
        <v>74</v>
      </c>
      <c r="AY1257" t="s">
        <v>74</v>
      </c>
      <c r="AZ1257" t="s">
        <v>74</v>
      </c>
      <c r="BA1257" t="s">
        <v>74</v>
      </c>
      <c r="BB1257">
        <v>23</v>
      </c>
      <c r="BC1257">
        <v>46</v>
      </c>
      <c r="BD1257" t="s">
        <v>74</v>
      </c>
      <c r="BE1257" t="s">
        <v>30423</v>
      </c>
      <c r="BF1257" t="str">
        <f>HYPERLINK("http://dx.doi.org/10.1007/7854_2017_32","http://dx.doi.org/10.1007/7854_2017_32")</f>
        <v>http://dx.doi.org/10.1007/7854_2017_32</v>
      </c>
      <c r="BG1257" t="s">
        <v>30424</v>
      </c>
      <c r="BH1257" t="s">
        <v>74</v>
      </c>
      <c r="BI1257" t="s">
        <v>74</v>
      </c>
      <c r="BJ1257" t="s">
        <v>30425</v>
      </c>
      <c r="BK1257" t="s">
        <v>30426</v>
      </c>
      <c r="BL1257" t="s">
        <v>30427</v>
      </c>
      <c r="BM1257" t="s">
        <v>74</v>
      </c>
      <c r="BN1257">
        <v>29063484</v>
      </c>
      <c r="BO1257" t="s">
        <v>74</v>
      </c>
      <c r="BP1257" t="s">
        <v>74</v>
      </c>
      <c r="BQ1257" t="s">
        <v>74</v>
      </c>
      <c r="BR1257" t="s">
        <v>96</v>
      </c>
      <c r="BS1257" t="s">
        <v>30428</v>
      </c>
      <c r="BT1257" t="str">
        <f>HYPERLINK("https%3A%2F%2Fwww.webofscience.com%2Fwos%2Fwoscc%2Ffull-record%2FWOS:000486443500003","View Full Record in Web of Science")</f>
        <v>View Full Record in Web of Science</v>
      </c>
    </row>
    <row r="1258" spans="1:72" x14ac:dyDescent="0.15">
      <c r="A1258" t="s">
        <v>98</v>
      </c>
      <c r="B1258" t="s">
        <v>155</v>
      </c>
      <c r="C1258" t="s">
        <v>74</v>
      </c>
      <c r="D1258" t="s">
        <v>74</v>
      </c>
      <c r="E1258" t="s">
        <v>74</v>
      </c>
      <c r="F1258" t="s">
        <v>156</v>
      </c>
      <c r="G1258" t="s">
        <v>74</v>
      </c>
      <c r="H1258" t="s">
        <v>74</v>
      </c>
      <c r="I1258" t="s">
        <v>157</v>
      </c>
      <c r="J1258" t="s">
        <v>158</v>
      </c>
      <c r="K1258" t="s">
        <v>74</v>
      </c>
      <c r="L1258" t="s">
        <v>74</v>
      </c>
      <c r="M1258" t="s">
        <v>74</v>
      </c>
      <c r="N1258" t="s">
        <v>103</v>
      </c>
      <c r="O1258" t="s">
        <v>74</v>
      </c>
      <c r="P1258" t="s">
        <v>74</v>
      </c>
      <c r="Q1258" t="s">
        <v>74</v>
      </c>
      <c r="R1258" t="s">
        <v>74</v>
      </c>
      <c r="S1258" t="s">
        <v>74</v>
      </c>
      <c r="T1258" t="s">
        <v>159</v>
      </c>
      <c r="U1258" t="s">
        <v>160</v>
      </c>
      <c r="V1258" t="s">
        <v>161</v>
      </c>
      <c r="W1258" t="s">
        <v>162</v>
      </c>
      <c r="X1258" t="s">
        <v>163</v>
      </c>
      <c r="Y1258" t="s">
        <v>164</v>
      </c>
      <c r="Z1258" t="s">
        <v>165</v>
      </c>
      <c r="AA1258" t="s">
        <v>166</v>
      </c>
      <c r="AB1258" t="s">
        <v>167</v>
      </c>
      <c r="AC1258" t="s">
        <v>74</v>
      </c>
      <c r="AD1258" t="s">
        <v>74</v>
      </c>
      <c r="AE1258" t="s">
        <v>74</v>
      </c>
      <c r="AF1258" t="s">
        <v>74</v>
      </c>
      <c r="AG1258">
        <v>34</v>
      </c>
      <c r="AH1258">
        <v>8</v>
      </c>
      <c r="AI1258">
        <v>10</v>
      </c>
      <c r="AJ1258">
        <v>1</v>
      </c>
      <c r="AK1258">
        <v>139</v>
      </c>
      <c r="AL1258" t="s">
        <v>74</v>
      </c>
      <c r="AM1258" t="s">
        <v>74</v>
      </c>
      <c r="AN1258" t="s">
        <v>74</v>
      </c>
      <c r="AO1258" t="s">
        <v>168</v>
      </c>
      <c r="AP1258" t="s">
        <v>169</v>
      </c>
      <c r="AQ1258" t="s">
        <v>74</v>
      </c>
      <c r="AR1258" t="s">
        <v>74</v>
      </c>
      <c r="AS1258" t="s">
        <v>74</v>
      </c>
      <c r="AT1258" t="s">
        <v>170</v>
      </c>
      <c r="AU1258">
        <v>2019</v>
      </c>
      <c r="AV1258">
        <v>12</v>
      </c>
      <c r="AW1258">
        <v>3</v>
      </c>
      <c r="AX1258" t="s">
        <v>74</v>
      </c>
      <c r="AY1258" t="s">
        <v>74</v>
      </c>
      <c r="AZ1258" t="s">
        <v>74</v>
      </c>
      <c r="BA1258" t="s">
        <v>74</v>
      </c>
      <c r="BB1258">
        <v>184</v>
      </c>
      <c r="BC1258">
        <v>192</v>
      </c>
      <c r="BD1258" t="s">
        <v>74</v>
      </c>
      <c r="BE1258" t="s">
        <v>171</v>
      </c>
      <c r="BF1258" t="str">
        <f>HYPERLINK("http://dx.doi.org/10.1007/s12265-018-9848-3","http://dx.doi.org/10.1007/s12265-018-9848-3")</f>
        <v>http://dx.doi.org/10.1007/s12265-018-9848-3</v>
      </c>
      <c r="BG1258" t="s">
        <v>74</v>
      </c>
      <c r="BH1258" t="s">
        <v>74</v>
      </c>
      <c r="BI1258" t="s">
        <v>74</v>
      </c>
      <c r="BJ1258" t="s">
        <v>172</v>
      </c>
      <c r="BK1258" t="s">
        <v>117</v>
      </c>
      <c r="BL1258" t="s">
        <v>173</v>
      </c>
      <c r="BM1258" t="s">
        <v>74</v>
      </c>
      <c r="BN1258">
        <v>30542983</v>
      </c>
      <c r="BO1258" t="s">
        <v>74</v>
      </c>
      <c r="BP1258" t="s">
        <v>74</v>
      </c>
      <c r="BQ1258" t="s">
        <v>74</v>
      </c>
      <c r="BR1258" t="s">
        <v>96</v>
      </c>
      <c r="BS1258" t="s">
        <v>174</v>
      </c>
      <c r="BT1258" t="str">
        <f>HYPERLINK("https%3A%2F%2Fwww.webofscience.com%2Fwos%2Fwoscc%2Ffull-record%2FWOS:000474567100003","View Full Record in Web of Science")</f>
        <v>View Full Record in Web of Science</v>
      </c>
    </row>
    <row r="1259" spans="1:72" x14ac:dyDescent="0.15">
      <c r="A1259" t="s">
        <v>98</v>
      </c>
      <c r="B1259" t="s">
        <v>1277</v>
      </c>
      <c r="C1259" t="s">
        <v>74</v>
      </c>
      <c r="D1259" t="s">
        <v>74</v>
      </c>
      <c r="E1259" t="s">
        <v>74</v>
      </c>
      <c r="F1259" t="s">
        <v>1278</v>
      </c>
      <c r="G1259" t="s">
        <v>74</v>
      </c>
      <c r="H1259" t="s">
        <v>74</v>
      </c>
      <c r="I1259" t="s">
        <v>1279</v>
      </c>
      <c r="J1259" t="s">
        <v>123</v>
      </c>
      <c r="K1259" t="s">
        <v>74</v>
      </c>
      <c r="L1259" t="s">
        <v>74</v>
      </c>
      <c r="M1259" t="s">
        <v>74</v>
      </c>
      <c r="N1259" t="s">
        <v>103</v>
      </c>
      <c r="O1259" t="s">
        <v>74</v>
      </c>
      <c r="P1259" t="s">
        <v>74</v>
      </c>
      <c r="Q1259" t="s">
        <v>74</v>
      </c>
      <c r="R1259" t="s">
        <v>74</v>
      </c>
      <c r="S1259" t="s">
        <v>74</v>
      </c>
      <c r="T1259" t="s">
        <v>1280</v>
      </c>
      <c r="U1259" t="s">
        <v>1281</v>
      </c>
      <c r="V1259" t="s">
        <v>1282</v>
      </c>
      <c r="W1259" t="s">
        <v>1283</v>
      </c>
      <c r="X1259" t="s">
        <v>1284</v>
      </c>
      <c r="Y1259" t="s">
        <v>1285</v>
      </c>
      <c r="Z1259" t="s">
        <v>1286</v>
      </c>
      <c r="AA1259" t="s">
        <v>1287</v>
      </c>
      <c r="AB1259" t="s">
        <v>1288</v>
      </c>
      <c r="AC1259" t="s">
        <v>74</v>
      </c>
      <c r="AD1259" t="s">
        <v>74</v>
      </c>
      <c r="AE1259" t="s">
        <v>74</v>
      </c>
      <c r="AF1259" t="s">
        <v>74</v>
      </c>
      <c r="AG1259">
        <v>76</v>
      </c>
      <c r="AH1259">
        <v>8</v>
      </c>
      <c r="AI1259">
        <v>8</v>
      </c>
      <c r="AJ1259">
        <v>23</v>
      </c>
      <c r="AK1259">
        <v>42</v>
      </c>
      <c r="AL1259" t="s">
        <v>74</v>
      </c>
      <c r="AM1259" t="s">
        <v>74</v>
      </c>
      <c r="AN1259" t="s">
        <v>74</v>
      </c>
      <c r="AO1259" t="s">
        <v>74</v>
      </c>
      <c r="AP1259" t="s">
        <v>131</v>
      </c>
      <c r="AQ1259" t="s">
        <v>74</v>
      </c>
      <c r="AR1259" t="s">
        <v>74</v>
      </c>
      <c r="AS1259" t="s">
        <v>74</v>
      </c>
      <c r="AT1259" t="s">
        <v>283</v>
      </c>
      <c r="AU1259">
        <v>2021</v>
      </c>
      <c r="AV1259">
        <v>10</v>
      </c>
      <c r="AW1259">
        <v>4</v>
      </c>
      <c r="AX1259" t="s">
        <v>74</v>
      </c>
      <c r="AY1259" t="s">
        <v>74</v>
      </c>
      <c r="AZ1259" t="s">
        <v>74</v>
      </c>
      <c r="BA1259" t="s">
        <v>74</v>
      </c>
      <c r="BB1259" t="s">
        <v>74</v>
      </c>
      <c r="BC1259" t="s">
        <v>74</v>
      </c>
      <c r="BD1259" t="s">
        <v>1289</v>
      </c>
      <c r="BE1259" t="s">
        <v>1290</v>
      </c>
      <c r="BF1259" t="str">
        <f>HYPERLINK("http://dx.doi.org/10.1002/jev2.12062","http://dx.doi.org/10.1002/jev2.12062")</f>
        <v>http://dx.doi.org/10.1002/jev2.12062</v>
      </c>
      <c r="BG1259" t="s">
        <v>74</v>
      </c>
      <c r="BH1259" t="s">
        <v>74</v>
      </c>
      <c r="BI1259" t="s">
        <v>74</v>
      </c>
      <c r="BJ1259" t="s">
        <v>135</v>
      </c>
      <c r="BK1259" t="s">
        <v>117</v>
      </c>
      <c r="BL1259" t="s">
        <v>135</v>
      </c>
      <c r="BM1259" t="s">
        <v>74</v>
      </c>
      <c r="BN1259">
        <v>33643547</v>
      </c>
      <c r="BO1259" t="s">
        <v>74</v>
      </c>
      <c r="BP1259" t="s">
        <v>74</v>
      </c>
      <c r="BQ1259" t="s">
        <v>74</v>
      </c>
      <c r="BR1259" t="s">
        <v>96</v>
      </c>
      <c r="BS1259" t="s">
        <v>1291</v>
      </c>
      <c r="BT1259" t="str">
        <f>HYPERLINK("https%3A%2F%2Fwww.webofscience.com%2Fwos%2Fwoscc%2Ffull-record%2FWOS:000623673500007","View Full Record in Web of Science")</f>
        <v>View Full Record in Web of Science</v>
      </c>
    </row>
    <row r="1260" spans="1:72" x14ac:dyDescent="0.15">
      <c r="A1260" t="s">
        <v>98</v>
      </c>
      <c r="B1260" t="s">
        <v>2261</v>
      </c>
      <c r="C1260" t="s">
        <v>74</v>
      </c>
      <c r="D1260" t="s">
        <v>74</v>
      </c>
      <c r="E1260" t="s">
        <v>74</v>
      </c>
      <c r="F1260" t="s">
        <v>2262</v>
      </c>
      <c r="G1260" t="s">
        <v>74</v>
      </c>
      <c r="H1260" t="s">
        <v>74</v>
      </c>
      <c r="I1260" t="s">
        <v>2263</v>
      </c>
      <c r="J1260" t="s">
        <v>2264</v>
      </c>
      <c r="K1260" t="s">
        <v>74</v>
      </c>
      <c r="L1260" t="s">
        <v>74</v>
      </c>
      <c r="M1260" t="s">
        <v>74</v>
      </c>
      <c r="N1260" t="s">
        <v>103</v>
      </c>
      <c r="O1260" t="s">
        <v>74</v>
      </c>
      <c r="P1260" t="s">
        <v>74</v>
      </c>
      <c r="Q1260" t="s">
        <v>74</v>
      </c>
      <c r="R1260" t="s">
        <v>74</v>
      </c>
      <c r="S1260" t="s">
        <v>74</v>
      </c>
      <c r="T1260" t="s">
        <v>2265</v>
      </c>
      <c r="U1260" t="s">
        <v>2266</v>
      </c>
      <c r="V1260" t="s">
        <v>2267</v>
      </c>
      <c r="W1260" t="s">
        <v>2268</v>
      </c>
      <c r="X1260" t="s">
        <v>2269</v>
      </c>
      <c r="Y1260" t="s">
        <v>2270</v>
      </c>
      <c r="Z1260" t="s">
        <v>2271</v>
      </c>
      <c r="AA1260" t="s">
        <v>74</v>
      </c>
      <c r="AB1260" t="s">
        <v>74</v>
      </c>
      <c r="AC1260" t="s">
        <v>74</v>
      </c>
      <c r="AD1260" t="s">
        <v>74</v>
      </c>
      <c r="AE1260" t="s">
        <v>74</v>
      </c>
      <c r="AF1260" t="s">
        <v>74</v>
      </c>
      <c r="AG1260">
        <v>122</v>
      </c>
      <c r="AH1260">
        <v>8</v>
      </c>
      <c r="AI1260">
        <v>8</v>
      </c>
      <c r="AJ1260">
        <v>1</v>
      </c>
      <c r="AK1260">
        <v>66</v>
      </c>
      <c r="AL1260" t="s">
        <v>74</v>
      </c>
      <c r="AM1260" t="s">
        <v>74</v>
      </c>
      <c r="AN1260" t="s">
        <v>74</v>
      </c>
      <c r="AO1260" t="s">
        <v>2272</v>
      </c>
      <c r="AP1260" t="s">
        <v>2273</v>
      </c>
      <c r="AQ1260" t="s">
        <v>74</v>
      </c>
      <c r="AR1260" t="s">
        <v>74</v>
      </c>
      <c r="AS1260" t="s">
        <v>74</v>
      </c>
      <c r="AT1260" t="s">
        <v>114</v>
      </c>
      <c r="AU1260">
        <v>2016</v>
      </c>
      <c r="AV1260">
        <v>15</v>
      </c>
      <c r="AW1260">
        <v>1</v>
      </c>
      <c r="AX1260" t="s">
        <v>74</v>
      </c>
      <c r="AY1260" t="s">
        <v>74</v>
      </c>
      <c r="AZ1260" t="s">
        <v>74</v>
      </c>
      <c r="BA1260" t="s">
        <v>74</v>
      </c>
      <c r="BB1260">
        <v>7</v>
      </c>
      <c r="BC1260">
        <v>15</v>
      </c>
      <c r="BD1260" t="s">
        <v>74</v>
      </c>
      <c r="BE1260" t="s">
        <v>2274</v>
      </c>
      <c r="BF1260" t="str">
        <f>HYPERLINK("http://dx.doi.org/10.1017/S1473550415000282","http://dx.doi.org/10.1017/S1473550415000282")</f>
        <v>http://dx.doi.org/10.1017/S1473550415000282</v>
      </c>
      <c r="BG1260" t="s">
        <v>74</v>
      </c>
      <c r="BH1260" t="s">
        <v>74</v>
      </c>
      <c r="BI1260" t="s">
        <v>74</v>
      </c>
      <c r="BJ1260" t="s">
        <v>2275</v>
      </c>
      <c r="BK1260" t="s">
        <v>117</v>
      </c>
      <c r="BL1260" t="s">
        <v>2276</v>
      </c>
      <c r="BM1260" t="s">
        <v>74</v>
      </c>
      <c r="BN1260" t="s">
        <v>74</v>
      </c>
      <c r="BO1260" t="s">
        <v>74</v>
      </c>
      <c r="BP1260" t="s">
        <v>74</v>
      </c>
      <c r="BQ1260" t="s">
        <v>74</v>
      </c>
      <c r="BR1260" t="s">
        <v>96</v>
      </c>
      <c r="BS1260" t="s">
        <v>2277</v>
      </c>
      <c r="BT1260" t="str">
        <f>HYPERLINK("https%3A%2F%2Fwww.webofscience.com%2Fwos%2Fwoscc%2Ffull-record%2FWOS:000365824000003","View Full Record in Web of Science")</f>
        <v>View Full Record in Web of Science</v>
      </c>
    </row>
    <row r="1261" spans="1:72" x14ac:dyDescent="0.15">
      <c r="A1261" t="s">
        <v>98</v>
      </c>
      <c r="B1261" t="s">
        <v>2739</v>
      </c>
      <c r="C1261" t="s">
        <v>74</v>
      </c>
      <c r="D1261" t="s">
        <v>74</v>
      </c>
      <c r="E1261" t="s">
        <v>74</v>
      </c>
      <c r="F1261" t="s">
        <v>2740</v>
      </c>
      <c r="G1261" t="s">
        <v>74</v>
      </c>
      <c r="H1261" t="s">
        <v>74</v>
      </c>
      <c r="I1261" t="s">
        <v>2741</v>
      </c>
      <c r="J1261" t="s">
        <v>2742</v>
      </c>
      <c r="K1261" t="s">
        <v>74</v>
      </c>
      <c r="L1261" t="s">
        <v>74</v>
      </c>
      <c r="M1261" t="s">
        <v>74</v>
      </c>
      <c r="N1261" t="s">
        <v>103</v>
      </c>
      <c r="O1261" t="s">
        <v>74</v>
      </c>
      <c r="P1261" t="s">
        <v>74</v>
      </c>
      <c r="Q1261" t="s">
        <v>74</v>
      </c>
      <c r="R1261" t="s">
        <v>74</v>
      </c>
      <c r="S1261" t="s">
        <v>74</v>
      </c>
      <c r="T1261" t="s">
        <v>2743</v>
      </c>
      <c r="U1261" t="s">
        <v>2744</v>
      </c>
      <c r="V1261" t="s">
        <v>2745</v>
      </c>
      <c r="W1261" t="s">
        <v>2746</v>
      </c>
      <c r="X1261" t="s">
        <v>2747</v>
      </c>
      <c r="Y1261" t="s">
        <v>2748</v>
      </c>
      <c r="Z1261" t="s">
        <v>2749</v>
      </c>
      <c r="AA1261" t="s">
        <v>2750</v>
      </c>
      <c r="AB1261" t="s">
        <v>2751</v>
      </c>
      <c r="AC1261" t="s">
        <v>74</v>
      </c>
      <c r="AD1261" t="s">
        <v>74</v>
      </c>
      <c r="AE1261" t="s">
        <v>74</v>
      </c>
      <c r="AF1261" t="s">
        <v>74</v>
      </c>
      <c r="AG1261">
        <v>76</v>
      </c>
      <c r="AH1261">
        <v>8</v>
      </c>
      <c r="AI1261">
        <v>8</v>
      </c>
      <c r="AJ1261">
        <v>2</v>
      </c>
      <c r="AK1261">
        <v>6</v>
      </c>
      <c r="AL1261" t="s">
        <v>74</v>
      </c>
      <c r="AM1261" t="s">
        <v>74</v>
      </c>
      <c r="AN1261" t="s">
        <v>74</v>
      </c>
      <c r="AO1261" t="s">
        <v>2752</v>
      </c>
      <c r="AP1261" t="s">
        <v>2753</v>
      </c>
      <c r="AQ1261" t="s">
        <v>74</v>
      </c>
      <c r="AR1261" t="s">
        <v>74</v>
      </c>
      <c r="AS1261" t="s">
        <v>74</v>
      </c>
      <c r="AT1261" t="s">
        <v>2754</v>
      </c>
      <c r="AU1261">
        <v>2020</v>
      </c>
      <c r="AV1261">
        <v>19</v>
      </c>
      <c r="AW1261">
        <v>11</v>
      </c>
      <c r="AX1261" t="s">
        <v>74</v>
      </c>
      <c r="AY1261" t="s">
        <v>74</v>
      </c>
      <c r="AZ1261" t="s">
        <v>74</v>
      </c>
      <c r="BA1261" t="s">
        <v>74</v>
      </c>
      <c r="BB1261">
        <v>4516</v>
      </c>
      <c r="BC1261">
        <v>4532</v>
      </c>
      <c r="BD1261" t="s">
        <v>74</v>
      </c>
      <c r="BE1261" t="s">
        <v>2755</v>
      </c>
      <c r="BF1261" t="str">
        <f>HYPERLINK("http://dx.doi.org/10.1021/acs.jproteome.0c00581","http://dx.doi.org/10.1021/acs.jproteome.0c00581")</f>
        <v>http://dx.doi.org/10.1021/acs.jproteome.0c00581</v>
      </c>
      <c r="BG1261" t="s">
        <v>74</v>
      </c>
      <c r="BH1261" t="s">
        <v>74</v>
      </c>
      <c r="BI1261" t="s">
        <v>74</v>
      </c>
      <c r="BJ1261" t="s">
        <v>812</v>
      </c>
      <c r="BK1261" t="s">
        <v>117</v>
      </c>
      <c r="BL1261" t="s">
        <v>95</v>
      </c>
      <c r="BM1261" t="s">
        <v>74</v>
      </c>
      <c r="BN1261">
        <v>32975947</v>
      </c>
      <c r="BO1261" t="s">
        <v>74</v>
      </c>
      <c r="BP1261" t="s">
        <v>74</v>
      </c>
      <c r="BQ1261" t="s">
        <v>74</v>
      </c>
      <c r="BR1261" t="s">
        <v>96</v>
      </c>
      <c r="BS1261" t="s">
        <v>2756</v>
      </c>
      <c r="BT1261" t="str">
        <f>HYPERLINK("https%3A%2F%2Fwww.webofscience.com%2Fwos%2Fwoscc%2Ffull-record%2FWOS:000589944200027","View Full Record in Web of Science")</f>
        <v>View Full Record in Web of Science</v>
      </c>
    </row>
    <row r="1262" spans="1:72" x14ac:dyDescent="0.15">
      <c r="A1262" t="s">
        <v>98</v>
      </c>
      <c r="B1262" t="s">
        <v>3793</v>
      </c>
      <c r="C1262" t="s">
        <v>74</v>
      </c>
      <c r="D1262" t="s">
        <v>74</v>
      </c>
      <c r="E1262" t="s">
        <v>74</v>
      </c>
      <c r="F1262" t="s">
        <v>3794</v>
      </c>
      <c r="G1262" t="s">
        <v>74</v>
      </c>
      <c r="H1262" t="s">
        <v>74</v>
      </c>
      <c r="I1262" t="s">
        <v>3795</v>
      </c>
      <c r="J1262" t="s">
        <v>3796</v>
      </c>
      <c r="K1262" t="s">
        <v>74</v>
      </c>
      <c r="L1262" t="s">
        <v>74</v>
      </c>
      <c r="M1262" t="s">
        <v>74</v>
      </c>
      <c r="N1262" t="s">
        <v>103</v>
      </c>
      <c r="O1262" t="s">
        <v>74</v>
      </c>
      <c r="P1262" t="s">
        <v>74</v>
      </c>
      <c r="Q1262" t="s">
        <v>74</v>
      </c>
      <c r="R1262" t="s">
        <v>74</v>
      </c>
      <c r="S1262" t="s">
        <v>74</v>
      </c>
      <c r="T1262" t="s">
        <v>3797</v>
      </c>
      <c r="U1262" t="s">
        <v>3798</v>
      </c>
      <c r="V1262" t="s">
        <v>3799</v>
      </c>
      <c r="W1262" t="s">
        <v>3800</v>
      </c>
      <c r="X1262" t="s">
        <v>3801</v>
      </c>
      <c r="Y1262" t="s">
        <v>3802</v>
      </c>
      <c r="Z1262" t="s">
        <v>3803</v>
      </c>
      <c r="AA1262" t="s">
        <v>3804</v>
      </c>
      <c r="AB1262" t="s">
        <v>3805</v>
      </c>
      <c r="AC1262" t="s">
        <v>74</v>
      </c>
      <c r="AD1262" t="s">
        <v>74</v>
      </c>
      <c r="AE1262" t="s">
        <v>74</v>
      </c>
      <c r="AF1262" t="s">
        <v>74</v>
      </c>
      <c r="AG1262">
        <v>62</v>
      </c>
      <c r="AH1262">
        <v>8</v>
      </c>
      <c r="AI1262">
        <v>8</v>
      </c>
      <c r="AJ1262">
        <v>0</v>
      </c>
      <c r="AK1262">
        <v>0</v>
      </c>
      <c r="AL1262" t="s">
        <v>74</v>
      </c>
      <c r="AM1262" t="s">
        <v>74</v>
      </c>
      <c r="AN1262" t="s">
        <v>74</v>
      </c>
      <c r="AO1262" t="s">
        <v>3806</v>
      </c>
      <c r="AP1262" t="s">
        <v>3807</v>
      </c>
      <c r="AQ1262" t="s">
        <v>74</v>
      </c>
      <c r="AR1262" t="s">
        <v>74</v>
      </c>
      <c r="AS1262" t="s">
        <v>74</v>
      </c>
      <c r="AT1262" t="s">
        <v>3808</v>
      </c>
      <c r="AU1262">
        <v>2021</v>
      </c>
      <c r="AV1262">
        <v>42</v>
      </c>
      <c r="AW1262">
        <v>28</v>
      </c>
      <c r="AX1262" t="s">
        <v>74</v>
      </c>
      <c r="AY1262" t="s">
        <v>74</v>
      </c>
      <c r="AZ1262" t="s">
        <v>74</v>
      </c>
      <c r="BA1262" t="s">
        <v>74</v>
      </c>
      <c r="BB1262">
        <v>2280</v>
      </c>
      <c r="BC1262" t="s">
        <v>3390</v>
      </c>
      <c r="BD1262" t="s">
        <v>74</v>
      </c>
      <c r="BE1262" t="s">
        <v>3809</v>
      </c>
      <c r="BF1262" t="str">
        <f>HYPERLINK("http://dx.doi.org/10.1093/eurheartj/ehab247","http://dx.doi.org/10.1093/eurheartj/ehab247")</f>
        <v>http://dx.doi.org/10.1093/eurheartj/ehab247</v>
      </c>
      <c r="BG1262" t="s">
        <v>74</v>
      </c>
      <c r="BH1262" t="s">
        <v>3810</v>
      </c>
      <c r="BI1262" t="s">
        <v>74</v>
      </c>
      <c r="BJ1262" t="s">
        <v>3811</v>
      </c>
      <c r="BK1262" t="s">
        <v>117</v>
      </c>
      <c r="BL1262" t="s">
        <v>3812</v>
      </c>
      <c r="BM1262" t="s">
        <v>74</v>
      </c>
      <c r="BN1262">
        <v>34104945</v>
      </c>
      <c r="BO1262" t="s">
        <v>74</v>
      </c>
      <c r="BP1262" t="s">
        <v>74</v>
      </c>
      <c r="BQ1262" t="s">
        <v>74</v>
      </c>
      <c r="BR1262" t="s">
        <v>96</v>
      </c>
      <c r="BS1262" t="s">
        <v>3813</v>
      </c>
      <c r="BT1262" t="str">
        <f>HYPERLINK("https%3A%2F%2Fwww.webofscience.com%2Fwos%2Fwoscc%2Ffull-record%2FWOS:000713797700012","View Full Record in Web of Science")</f>
        <v>View Full Record in Web of Science</v>
      </c>
    </row>
    <row r="1263" spans="1:72" x14ac:dyDescent="0.15">
      <c r="A1263" t="s">
        <v>98</v>
      </c>
      <c r="B1263" t="s">
        <v>3847</v>
      </c>
      <c r="C1263" t="s">
        <v>74</v>
      </c>
      <c r="D1263" t="s">
        <v>74</v>
      </c>
      <c r="E1263" t="s">
        <v>74</v>
      </c>
      <c r="F1263" t="s">
        <v>3848</v>
      </c>
      <c r="G1263" t="s">
        <v>74</v>
      </c>
      <c r="H1263" t="s">
        <v>74</v>
      </c>
      <c r="I1263" t="s">
        <v>3849</v>
      </c>
      <c r="J1263" t="s">
        <v>817</v>
      </c>
      <c r="K1263" t="s">
        <v>74</v>
      </c>
      <c r="L1263" t="s">
        <v>74</v>
      </c>
      <c r="M1263" t="s">
        <v>74</v>
      </c>
      <c r="N1263" t="s">
        <v>103</v>
      </c>
      <c r="O1263" t="s">
        <v>74</v>
      </c>
      <c r="P1263" t="s">
        <v>74</v>
      </c>
      <c r="Q1263" t="s">
        <v>74</v>
      </c>
      <c r="R1263" t="s">
        <v>74</v>
      </c>
      <c r="S1263" t="s">
        <v>74</v>
      </c>
      <c r="T1263" t="s">
        <v>3850</v>
      </c>
      <c r="U1263" t="s">
        <v>3851</v>
      </c>
      <c r="V1263" t="s">
        <v>3852</v>
      </c>
      <c r="W1263" t="s">
        <v>3853</v>
      </c>
      <c r="X1263" t="s">
        <v>3854</v>
      </c>
      <c r="Y1263" t="s">
        <v>3855</v>
      </c>
      <c r="Z1263" t="s">
        <v>3856</v>
      </c>
      <c r="AA1263" t="s">
        <v>3857</v>
      </c>
      <c r="AB1263" t="s">
        <v>3858</v>
      </c>
      <c r="AC1263" t="s">
        <v>74</v>
      </c>
      <c r="AD1263" t="s">
        <v>74</v>
      </c>
      <c r="AE1263" t="s">
        <v>74</v>
      </c>
      <c r="AF1263" t="s">
        <v>74</v>
      </c>
      <c r="AG1263">
        <v>90</v>
      </c>
      <c r="AH1263">
        <v>8</v>
      </c>
      <c r="AI1263">
        <v>8</v>
      </c>
      <c r="AJ1263">
        <v>1</v>
      </c>
      <c r="AK1263">
        <v>3</v>
      </c>
      <c r="AL1263" t="s">
        <v>74</v>
      </c>
      <c r="AM1263" t="s">
        <v>74</v>
      </c>
      <c r="AN1263" t="s">
        <v>74</v>
      </c>
      <c r="AO1263" t="s">
        <v>74</v>
      </c>
      <c r="AP1263" t="s">
        <v>827</v>
      </c>
      <c r="AQ1263" t="s">
        <v>74</v>
      </c>
      <c r="AR1263" t="s">
        <v>74</v>
      </c>
      <c r="AS1263" t="s">
        <v>74</v>
      </c>
      <c r="AT1263" t="s">
        <v>230</v>
      </c>
      <c r="AU1263">
        <v>2020</v>
      </c>
      <c r="AV1263">
        <v>21</v>
      </c>
      <c r="AW1263">
        <v>15</v>
      </c>
      <c r="AX1263" t="s">
        <v>74</v>
      </c>
      <c r="AY1263" t="s">
        <v>74</v>
      </c>
      <c r="AZ1263" t="s">
        <v>74</v>
      </c>
      <c r="BA1263" t="s">
        <v>74</v>
      </c>
      <c r="BB1263" t="s">
        <v>74</v>
      </c>
      <c r="BC1263" t="s">
        <v>74</v>
      </c>
      <c r="BD1263">
        <v>5361</v>
      </c>
      <c r="BE1263" t="s">
        <v>3859</v>
      </c>
      <c r="BF1263" t="str">
        <f>HYPERLINK("http://dx.doi.org/10.3390/ijms21155361","http://dx.doi.org/10.3390/ijms21155361")</f>
        <v>http://dx.doi.org/10.3390/ijms21155361</v>
      </c>
      <c r="BG1263" t="s">
        <v>74</v>
      </c>
      <c r="BH1263" t="s">
        <v>74</v>
      </c>
      <c r="BI1263" t="s">
        <v>74</v>
      </c>
      <c r="BJ1263" t="s">
        <v>830</v>
      </c>
      <c r="BK1263" t="s">
        <v>117</v>
      </c>
      <c r="BL1263" t="s">
        <v>831</v>
      </c>
      <c r="BM1263" t="s">
        <v>74</v>
      </c>
      <c r="BN1263">
        <v>32731547</v>
      </c>
      <c r="BO1263" t="s">
        <v>74</v>
      </c>
      <c r="BP1263" t="s">
        <v>74</v>
      </c>
      <c r="BQ1263" t="s">
        <v>74</v>
      </c>
      <c r="BR1263" t="s">
        <v>96</v>
      </c>
      <c r="BS1263" t="s">
        <v>3860</v>
      </c>
      <c r="BT1263" t="str">
        <f>HYPERLINK("https%3A%2F%2Fwww.webofscience.com%2Fwos%2Fwoscc%2Ffull-record%2FWOS:000559072800001","View Full Record in Web of Science")</f>
        <v>View Full Record in Web of Science</v>
      </c>
    </row>
    <row r="1264" spans="1:72" x14ac:dyDescent="0.15">
      <c r="A1264" t="s">
        <v>98</v>
      </c>
      <c r="B1264" t="s">
        <v>4466</v>
      </c>
      <c r="C1264" t="s">
        <v>74</v>
      </c>
      <c r="D1264" t="s">
        <v>74</v>
      </c>
      <c r="E1264" t="s">
        <v>74</v>
      </c>
      <c r="F1264" t="s">
        <v>4467</v>
      </c>
      <c r="G1264" t="s">
        <v>74</v>
      </c>
      <c r="H1264" t="s">
        <v>74</v>
      </c>
      <c r="I1264" t="s">
        <v>4468</v>
      </c>
      <c r="J1264" t="s">
        <v>4469</v>
      </c>
      <c r="K1264" t="s">
        <v>74</v>
      </c>
      <c r="L1264" t="s">
        <v>74</v>
      </c>
      <c r="M1264" t="s">
        <v>74</v>
      </c>
      <c r="N1264" t="s">
        <v>103</v>
      </c>
      <c r="O1264" t="s">
        <v>74</v>
      </c>
      <c r="P1264" t="s">
        <v>74</v>
      </c>
      <c r="Q1264" t="s">
        <v>74</v>
      </c>
      <c r="R1264" t="s">
        <v>74</v>
      </c>
      <c r="S1264" t="s">
        <v>74</v>
      </c>
      <c r="T1264" t="s">
        <v>4470</v>
      </c>
      <c r="U1264" t="s">
        <v>4471</v>
      </c>
      <c r="V1264" t="s">
        <v>4472</v>
      </c>
      <c r="W1264" t="s">
        <v>4473</v>
      </c>
      <c r="X1264" t="s">
        <v>4474</v>
      </c>
      <c r="Y1264" t="s">
        <v>4475</v>
      </c>
      <c r="Z1264" t="s">
        <v>4476</v>
      </c>
      <c r="AA1264" t="s">
        <v>4477</v>
      </c>
      <c r="AB1264" t="s">
        <v>4478</v>
      </c>
      <c r="AC1264" t="s">
        <v>74</v>
      </c>
      <c r="AD1264" t="s">
        <v>74</v>
      </c>
      <c r="AE1264" t="s">
        <v>74</v>
      </c>
      <c r="AF1264" t="s">
        <v>74</v>
      </c>
      <c r="AG1264">
        <v>86</v>
      </c>
      <c r="AH1264">
        <v>8</v>
      </c>
      <c r="AI1264">
        <v>8</v>
      </c>
      <c r="AJ1264">
        <v>24</v>
      </c>
      <c r="AK1264">
        <v>64</v>
      </c>
      <c r="AL1264" t="s">
        <v>74</v>
      </c>
      <c r="AM1264" t="s">
        <v>74</v>
      </c>
      <c r="AN1264" t="s">
        <v>74</v>
      </c>
      <c r="AO1264" t="s">
        <v>4479</v>
      </c>
      <c r="AP1264" t="s">
        <v>4480</v>
      </c>
      <c r="AQ1264" t="s">
        <v>74</v>
      </c>
      <c r="AR1264" t="s">
        <v>74</v>
      </c>
      <c r="AS1264" t="s">
        <v>74</v>
      </c>
      <c r="AT1264" t="s">
        <v>531</v>
      </c>
      <c r="AU1264">
        <v>2021</v>
      </c>
      <c r="AV1264">
        <v>33</v>
      </c>
      <c r="AW1264">
        <v>35</v>
      </c>
      <c r="AX1264" t="s">
        <v>74</v>
      </c>
      <c r="AY1264" t="s">
        <v>74</v>
      </c>
      <c r="AZ1264" t="s">
        <v>74</v>
      </c>
      <c r="BA1264" t="s">
        <v>74</v>
      </c>
      <c r="BB1264" t="s">
        <v>74</v>
      </c>
      <c r="BC1264" t="s">
        <v>74</v>
      </c>
      <c r="BD1264">
        <v>2008493</v>
      </c>
      <c r="BE1264" t="s">
        <v>4481</v>
      </c>
      <c r="BF1264" t="str">
        <f>HYPERLINK("http://dx.doi.org/10.1002/adma.202008493","http://dx.doi.org/10.1002/adma.202008493")</f>
        <v>http://dx.doi.org/10.1002/adma.202008493</v>
      </c>
      <c r="BG1264" t="s">
        <v>74</v>
      </c>
      <c r="BH1264" t="s">
        <v>1136</v>
      </c>
      <c r="BI1264" t="s">
        <v>74</v>
      </c>
      <c r="BJ1264" t="s">
        <v>250</v>
      </c>
      <c r="BK1264" t="s">
        <v>117</v>
      </c>
      <c r="BL1264" t="s">
        <v>251</v>
      </c>
      <c r="BM1264" t="s">
        <v>74</v>
      </c>
      <c r="BN1264">
        <v>34309083</v>
      </c>
      <c r="BO1264" t="s">
        <v>74</v>
      </c>
      <c r="BP1264" t="s">
        <v>74</v>
      </c>
      <c r="BQ1264" t="s">
        <v>74</v>
      </c>
      <c r="BR1264" t="s">
        <v>96</v>
      </c>
      <c r="BS1264" t="s">
        <v>4482</v>
      </c>
      <c r="BT1264" t="str">
        <f>HYPERLINK("https%3A%2F%2Fwww.webofscience.com%2Fwos%2Fwoscc%2Ffull-record%2FWOS:000678864200001","View Full Record in Web of Science")</f>
        <v>View Full Record in Web of Science</v>
      </c>
    </row>
    <row r="1265" spans="1:72" x14ac:dyDescent="0.15">
      <c r="A1265" t="s">
        <v>98</v>
      </c>
      <c r="B1265" t="s">
        <v>4626</v>
      </c>
      <c r="C1265" t="s">
        <v>74</v>
      </c>
      <c r="D1265" t="s">
        <v>74</v>
      </c>
      <c r="E1265" t="s">
        <v>74</v>
      </c>
      <c r="F1265" t="s">
        <v>4627</v>
      </c>
      <c r="G1265" t="s">
        <v>74</v>
      </c>
      <c r="H1265" t="s">
        <v>74</v>
      </c>
      <c r="I1265" t="s">
        <v>4628</v>
      </c>
      <c r="J1265" t="s">
        <v>903</v>
      </c>
      <c r="K1265" t="s">
        <v>74</v>
      </c>
      <c r="L1265" t="s">
        <v>74</v>
      </c>
      <c r="M1265" t="s">
        <v>74</v>
      </c>
      <c r="N1265" t="s">
        <v>103</v>
      </c>
      <c r="O1265" t="s">
        <v>74</v>
      </c>
      <c r="P1265" t="s">
        <v>74</v>
      </c>
      <c r="Q1265" t="s">
        <v>74</v>
      </c>
      <c r="R1265" t="s">
        <v>74</v>
      </c>
      <c r="S1265" t="s">
        <v>74</v>
      </c>
      <c r="T1265" t="s">
        <v>4629</v>
      </c>
      <c r="U1265" t="s">
        <v>74</v>
      </c>
      <c r="V1265" t="s">
        <v>4630</v>
      </c>
      <c r="W1265" t="s">
        <v>4631</v>
      </c>
      <c r="X1265" t="s">
        <v>4632</v>
      </c>
      <c r="Y1265" t="s">
        <v>4633</v>
      </c>
      <c r="Z1265" t="s">
        <v>4634</v>
      </c>
      <c r="AA1265" t="s">
        <v>74</v>
      </c>
      <c r="AB1265" t="s">
        <v>4635</v>
      </c>
      <c r="AC1265" t="s">
        <v>74</v>
      </c>
      <c r="AD1265" t="s">
        <v>74</v>
      </c>
      <c r="AE1265" t="s">
        <v>74</v>
      </c>
      <c r="AF1265" t="s">
        <v>74</v>
      </c>
      <c r="AG1265">
        <v>43</v>
      </c>
      <c r="AH1265">
        <v>8</v>
      </c>
      <c r="AI1265">
        <v>8</v>
      </c>
      <c r="AJ1265">
        <v>1</v>
      </c>
      <c r="AK1265">
        <v>5</v>
      </c>
      <c r="AL1265" t="s">
        <v>74</v>
      </c>
      <c r="AM1265" t="s">
        <v>74</v>
      </c>
      <c r="AN1265" t="s">
        <v>74</v>
      </c>
      <c r="AO1265" t="s">
        <v>74</v>
      </c>
      <c r="AP1265" t="s">
        <v>913</v>
      </c>
      <c r="AQ1265" t="s">
        <v>74</v>
      </c>
      <c r="AR1265" t="s">
        <v>74</v>
      </c>
      <c r="AS1265" t="s">
        <v>74</v>
      </c>
      <c r="AT1265" t="s">
        <v>565</v>
      </c>
      <c r="AU1265">
        <v>2021</v>
      </c>
      <c r="AV1265">
        <v>13</v>
      </c>
      <c r="AW1265">
        <v>5</v>
      </c>
      <c r="AX1265" t="s">
        <v>74</v>
      </c>
      <c r="AY1265" t="s">
        <v>74</v>
      </c>
      <c r="AZ1265" t="s">
        <v>74</v>
      </c>
      <c r="BA1265" t="s">
        <v>74</v>
      </c>
      <c r="BB1265" t="s">
        <v>74</v>
      </c>
      <c r="BC1265" t="s">
        <v>74</v>
      </c>
      <c r="BD1265">
        <v>1056</v>
      </c>
      <c r="BE1265" t="s">
        <v>4636</v>
      </c>
      <c r="BF1265" t="str">
        <f>HYPERLINK("http://dx.doi.org/10.3390/cancers13051056","http://dx.doi.org/10.3390/cancers13051056")</f>
        <v>http://dx.doi.org/10.3390/cancers13051056</v>
      </c>
      <c r="BG1265" t="s">
        <v>74</v>
      </c>
      <c r="BH1265" t="s">
        <v>74</v>
      </c>
      <c r="BI1265" t="s">
        <v>74</v>
      </c>
      <c r="BJ1265" t="s">
        <v>267</v>
      </c>
      <c r="BK1265" t="s">
        <v>117</v>
      </c>
      <c r="BL1265" t="s">
        <v>267</v>
      </c>
      <c r="BM1265" t="s">
        <v>74</v>
      </c>
      <c r="BN1265">
        <v>33801459</v>
      </c>
      <c r="BO1265" t="s">
        <v>74</v>
      </c>
      <c r="BP1265" t="s">
        <v>74</v>
      </c>
      <c r="BQ1265" t="s">
        <v>74</v>
      </c>
      <c r="BR1265" t="s">
        <v>96</v>
      </c>
      <c r="BS1265" t="s">
        <v>4637</v>
      </c>
      <c r="BT1265" t="str">
        <f>HYPERLINK("https%3A%2F%2Fwww.webofscience.com%2Fwos%2Fwoscc%2Ffull-record%2FWOS:000627966100001","View Full Record in Web of Science")</f>
        <v>View Full Record in Web of Science</v>
      </c>
    </row>
    <row r="1266" spans="1:72" x14ac:dyDescent="0.15">
      <c r="A1266" t="s">
        <v>98</v>
      </c>
      <c r="B1266" t="s">
        <v>4729</v>
      </c>
      <c r="C1266" t="s">
        <v>74</v>
      </c>
      <c r="D1266" t="s">
        <v>74</v>
      </c>
      <c r="E1266" t="s">
        <v>74</v>
      </c>
      <c r="F1266" t="s">
        <v>4730</v>
      </c>
      <c r="G1266" t="s">
        <v>74</v>
      </c>
      <c r="H1266" t="s">
        <v>74</v>
      </c>
      <c r="I1266" t="s">
        <v>4731</v>
      </c>
      <c r="J1266" t="s">
        <v>836</v>
      </c>
      <c r="K1266" t="s">
        <v>74</v>
      </c>
      <c r="L1266" t="s">
        <v>74</v>
      </c>
      <c r="M1266" t="s">
        <v>74</v>
      </c>
      <c r="N1266" t="s">
        <v>103</v>
      </c>
      <c r="O1266" t="s">
        <v>74</v>
      </c>
      <c r="P1266" t="s">
        <v>74</v>
      </c>
      <c r="Q1266" t="s">
        <v>74</v>
      </c>
      <c r="R1266" t="s">
        <v>74</v>
      </c>
      <c r="S1266" t="s">
        <v>74</v>
      </c>
      <c r="T1266" t="s">
        <v>4732</v>
      </c>
      <c r="U1266" t="s">
        <v>4733</v>
      </c>
      <c r="V1266" t="s">
        <v>4734</v>
      </c>
      <c r="W1266" t="s">
        <v>4735</v>
      </c>
      <c r="X1266" t="s">
        <v>4736</v>
      </c>
      <c r="Y1266" t="s">
        <v>4737</v>
      </c>
      <c r="Z1266" t="s">
        <v>4738</v>
      </c>
      <c r="AA1266" t="s">
        <v>74</v>
      </c>
      <c r="AB1266" t="s">
        <v>4739</v>
      </c>
      <c r="AC1266" t="s">
        <v>74</v>
      </c>
      <c r="AD1266" t="s">
        <v>74</v>
      </c>
      <c r="AE1266" t="s">
        <v>74</v>
      </c>
      <c r="AF1266" t="s">
        <v>74</v>
      </c>
      <c r="AG1266">
        <v>34</v>
      </c>
      <c r="AH1266">
        <v>8</v>
      </c>
      <c r="AI1266">
        <v>8</v>
      </c>
      <c r="AJ1266">
        <v>0</v>
      </c>
      <c r="AK1266">
        <v>1</v>
      </c>
      <c r="AL1266" t="s">
        <v>74</v>
      </c>
      <c r="AM1266" t="s">
        <v>74</v>
      </c>
      <c r="AN1266" t="s">
        <v>74</v>
      </c>
      <c r="AO1266" t="s">
        <v>74</v>
      </c>
      <c r="AP1266" t="s">
        <v>846</v>
      </c>
      <c r="AQ1266" t="s">
        <v>74</v>
      </c>
      <c r="AR1266" t="s">
        <v>74</v>
      </c>
      <c r="AS1266" t="s">
        <v>74</v>
      </c>
      <c r="AT1266" t="s">
        <v>1640</v>
      </c>
      <c r="AU1266">
        <v>2016</v>
      </c>
      <c r="AV1266">
        <v>7</v>
      </c>
      <c r="AW1266">
        <v>14</v>
      </c>
      <c r="AX1266" t="s">
        <v>74</v>
      </c>
      <c r="AY1266" t="s">
        <v>74</v>
      </c>
      <c r="AZ1266" t="s">
        <v>74</v>
      </c>
      <c r="BA1266" t="s">
        <v>74</v>
      </c>
      <c r="BB1266">
        <v>18159</v>
      </c>
      <c r="BC1266">
        <v>18170</v>
      </c>
      <c r="BD1266" t="s">
        <v>74</v>
      </c>
      <c r="BE1266" t="s">
        <v>4740</v>
      </c>
      <c r="BF1266" t="str">
        <f>HYPERLINK("http://dx.doi.org/10.18632/oncotarget.7566","http://dx.doi.org/10.18632/oncotarget.7566")</f>
        <v>http://dx.doi.org/10.18632/oncotarget.7566</v>
      </c>
      <c r="BG1266" t="s">
        <v>74</v>
      </c>
      <c r="BH1266" t="s">
        <v>74</v>
      </c>
      <c r="BI1266" t="s">
        <v>74</v>
      </c>
      <c r="BJ1266" t="s">
        <v>848</v>
      </c>
      <c r="BK1266" t="s">
        <v>117</v>
      </c>
      <c r="BL1266" t="s">
        <v>848</v>
      </c>
      <c r="BM1266" t="s">
        <v>74</v>
      </c>
      <c r="BN1266">
        <v>26921248</v>
      </c>
      <c r="BO1266" t="s">
        <v>74</v>
      </c>
      <c r="BP1266" t="s">
        <v>74</v>
      </c>
      <c r="BQ1266" t="s">
        <v>74</v>
      </c>
      <c r="BR1266" t="s">
        <v>96</v>
      </c>
      <c r="BS1266" t="s">
        <v>4741</v>
      </c>
      <c r="BT1266" t="str">
        <f>HYPERLINK("https%3A%2F%2Fwww.webofscience.com%2Fwos%2Fwoscc%2Ffull-record%2FWOS:000375699000070","View Full Record in Web of Science")</f>
        <v>View Full Record in Web of Science</v>
      </c>
    </row>
    <row r="1267" spans="1:72" x14ac:dyDescent="0.15">
      <c r="A1267" t="s">
        <v>98</v>
      </c>
      <c r="B1267" t="s">
        <v>5763</v>
      </c>
      <c r="C1267" t="s">
        <v>74</v>
      </c>
      <c r="D1267" t="s">
        <v>74</v>
      </c>
      <c r="E1267" t="s">
        <v>74</v>
      </c>
      <c r="F1267" t="s">
        <v>5764</v>
      </c>
      <c r="G1267" t="s">
        <v>74</v>
      </c>
      <c r="H1267" t="s">
        <v>74</v>
      </c>
      <c r="I1267" t="s">
        <v>5765</v>
      </c>
      <c r="J1267" t="s">
        <v>2520</v>
      </c>
      <c r="K1267" t="s">
        <v>74</v>
      </c>
      <c r="L1267" t="s">
        <v>74</v>
      </c>
      <c r="M1267" t="s">
        <v>74</v>
      </c>
      <c r="N1267" t="s">
        <v>103</v>
      </c>
      <c r="O1267" t="s">
        <v>74</v>
      </c>
      <c r="P1267" t="s">
        <v>74</v>
      </c>
      <c r="Q1267" t="s">
        <v>74</v>
      </c>
      <c r="R1267" t="s">
        <v>74</v>
      </c>
      <c r="S1267" t="s">
        <v>74</v>
      </c>
      <c r="T1267" t="s">
        <v>5766</v>
      </c>
      <c r="U1267" t="s">
        <v>5767</v>
      </c>
      <c r="V1267" t="s">
        <v>5768</v>
      </c>
      <c r="W1267" t="s">
        <v>5769</v>
      </c>
      <c r="X1267" t="s">
        <v>5770</v>
      </c>
      <c r="Y1267" t="s">
        <v>5771</v>
      </c>
      <c r="Z1267" t="s">
        <v>5772</v>
      </c>
      <c r="AA1267" t="s">
        <v>5773</v>
      </c>
      <c r="AB1267" t="s">
        <v>5774</v>
      </c>
      <c r="AC1267" t="s">
        <v>74</v>
      </c>
      <c r="AD1267" t="s">
        <v>74</v>
      </c>
      <c r="AE1267" t="s">
        <v>74</v>
      </c>
      <c r="AF1267" t="s">
        <v>74</v>
      </c>
      <c r="AG1267">
        <v>106</v>
      </c>
      <c r="AH1267">
        <v>8</v>
      </c>
      <c r="AI1267">
        <v>8</v>
      </c>
      <c r="AJ1267">
        <v>4</v>
      </c>
      <c r="AK1267">
        <v>9</v>
      </c>
      <c r="AL1267" t="s">
        <v>74</v>
      </c>
      <c r="AM1267" t="s">
        <v>74</v>
      </c>
      <c r="AN1267" t="s">
        <v>74</v>
      </c>
      <c r="AO1267" t="s">
        <v>74</v>
      </c>
      <c r="AP1267" t="s">
        <v>2529</v>
      </c>
      <c r="AQ1267" t="s">
        <v>74</v>
      </c>
      <c r="AR1267" t="s">
        <v>74</v>
      </c>
      <c r="AS1267" t="s">
        <v>74</v>
      </c>
      <c r="AT1267" t="s">
        <v>2470</v>
      </c>
      <c r="AU1267">
        <v>2021</v>
      </c>
      <c r="AV1267">
        <v>12</v>
      </c>
      <c r="AW1267" t="s">
        <v>74</v>
      </c>
      <c r="AX1267" t="s">
        <v>74</v>
      </c>
      <c r="AY1267" t="s">
        <v>74</v>
      </c>
      <c r="AZ1267" t="s">
        <v>74</v>
      </c>
      <c r="BA1267" t="s">
        <v>74</v>
      </c>
      <c r="BB1267" t="s">
        <v>74</v>
      </c>
      <c r="BC1267" t="s">
        <v>74</v>
      </c>
      <c r="BD1267">
        <v>634226</v>
      </c>
      <c r="BE1267" t="s">
        <v>5775</v>
      </c>
      <c r="BF1267" t="str">
        <f>HYPERLINK("http://dx.doi.org/10.3389/fmicb.2021.634226","http://dx.doi.org/10.3389/fmicb.2021.634226")</f>
        <v>http://dx.doi.org/10.3389/fmicb.2021.634226</v>
      </c>
      <c r="BG1267" t="s">
        <v>74</v>
      </c>
      <c r="BH1267" t="s">
        <v>74</v>
      </c>
      <c r="BI1267" t="s">
        <v>74</v>
      </c>
      <c r="BJ1267" t="s">
        <v>898</v>
      </c>
      <c r="BK1267" t="s">
        <v>117</v>
      </c>
      <c r="BL1267" t="s">
        <v>898</v>
      </c>
      <c r="BM1267" t="s">
        <v>74</v>
      </c>
      <c r="BN1267">
        <v>33776967</v>
      </c>
      <c r="BO1267" t="s">
        <v>74</v>
      </c>
      <c r="BP1267" t="s">
        <v>74</v>
      </c>
      <c r="BQ1267" t="s">
        <v>74</v>
      </c>
      <c r="BR1267" t="s">
        <v>96</v>
      </c>
      <c r="BS1267" t="s">
        <v>5776</v>
      </c>
      <c r="BT1267" t="str">
        <f>HYPERLINK("https%3A%2F%2Fwww.webofscience.com%2Fwos%2Fwoscc%2Ffull-record%2FWOS:000632220800001","View Full Record in Web of Science")</f>
        <v>View Full Record in Web of Science</v>
      </c>
    </row>
    <row r="1268" spans="1:72" x14ac:dyDescent="0.15">
      <c r="A1268" t="s">
        <v>98</v>
      </c>
      <c r="B1268" t="s">
        <v>5857</v>
      </c>
      <c r="C1268" t="s">
        <v>74</v>
      </c>
      <c r="D1268" t="s">
        <v>74</v>
      </c>
      <c r="E1268" t="s">
        <v>74</v>
      </c>
      <c r="F1268" t="s">
        <v>5858</v>
      </c>
      <c r="G1268" t="s">
        <v>74</v>
      </c>
      <c r="H1268" t="s">
        <v>74</v>
      </c>
      <c r="I1268" t="s">
        <v>5859</v>
      </c>
      <c r="J1268" t="s">
        <v>3985</v>
      </c>
      <c r="K1268" t="s">
        <v>74</v>
      </c>
      <c r="L1268" t="s">
        <v>74</v>
      </c>
      <c r="M1268" t="s">
        <v>74</v>
      </c>
      <c r="N1268" t="s">
        <v>103</v>
      </c>
      <c r="O1268" t="s">
        <v>74</v>
      </c>
      <c r="P1268" t="s">
        <v>74</v>
      </c>
      <c r="Q1268" t="s">
        <v>74</v>
      </c>
      <c r="R1268" t="s">
        <v>74</v>
      </c>
      <c r="S1268" t="s">
        <v>74</v>
      </c>
      <c r="T1268" t="s">
        <v>5860</v>
      </c>
      <c r="U1268" t="s">
        <v>5861</v>
      </c>
      <c r="V1268" t="s">
        <v>5862</v>
      </c>
      <c r="W1268" t="s">
        <v>5863</v>
      </c>
      <c r="X1268" t="s">
        <v>5864</v>
      </c>
      <c r="Y1268" t="s">
        <v>5865</v>
      </c>
      <c r="Z1268" t="s">
        <v>5866</v>
      </c>
      <c r="AA1268" t="s">
        <v>5867</v>
      </c>
      <c r="AB1268" t="s">
        <v>5868</v>
      </c>
      <c r="AC1268" t="s">
        <v>74</v>
      </c>
      <c r="AD1268" t="s">
        <v>74</v>
      </c>
      <c r="AE1268" t="s">
        <v>74</v>
      </c>
      <c r="AF1268" t="s">
        <v>74</v>
      </c>
      <c r="AG1268">
        <v>40</v>
      </c>
      <c r="AH1268">
        <v>8</v>
      </c>
      <c r="AI1268">
        <v>8</v>
      </c>
      <c r="AJ1268">
        <v>1</v>
      </c>
      <c r="AK1268">
        <v>8</v>
      </c>
      <c r="AL1268" t="s">
        <v>74</v>
      </c>
      <c r="AM1268" t="s">
        <v>74</v>
      </c>
      <c r="AN1268" t="s">
        <v>74</v>
      </c>
      <c r="AO1268" t="s">
        <v>74</v>
      </c>
      <c r="AP1268" t="s">
        <v>3994</v>
      </c>
      <c r="AQ1268" t="s">
        <v>74</v>
      </c>
      <c r="AR1268" t="s">
        <v>74</v>
      </c>
      <c r="AS1268" t="s">
        <v>74</v>
      </c>
      <c r="AT1268" t="s">
        <v>5869</v>
      </c>
      <c r="AU1268">
        <v>2020</v>
      </c>
      <c r="AV1268">
        <v>18</v>
      </c>
      <c r="AW1268">
        <v>1</v>
      </c>
      <c r="AX1268" t="s">
        <v>74</v>
      </c>
      <c r="AY1268" t="s">
        <v>74</v>
      </c>
      <c r="AZ1268" t="s">
        <v>74</v>
      </c>
      <c r="BA1268" t="s">
        <v>74</v>
      </c>
      <c r="BB1268" t="s">
        <v>74</v>
      </c>
      <c r="BC1268" t="s">
        <v>74</v>
      </c>
      <c r="BD1268">
        <v>361</v>
      </c>
      <c r="BE1268" t="s">
        <v>5870</v>
      </c>
      <c r="BF1268" t="str">
        <f>HYPERLINK("http://dx.doi.org/10.1186/s12967-020-02525-3","http://dx.doi.org/10.1186/s12967-020-02525-3")</f>
        <v>http://dx.doi.org/10.1186/s12967-020-02525-3</v>
      </c>
      <c r="BG1268" t="s">
        <v>74</v>
      </c>
      <c r="BH1268" t="s">
        <v>74</v>
      </c>
      <c r="BI1268" t="s">
        <v>74</v>
      </c>
      <c r="BJ1268" t="s">
        <v>795</v>
      </c>
      <c r="BK1268" t="s">
        <v>117</v>
      </c>
      <c r="BL1268" t="s">
        <v>796</v>
      </c>
      <c r="BM1268" t="s">
        <v>74</v>
      </c>
      <c r="BN1268">
        <v>32962683</v>
      </c>
      <c r="BO1268" t="s">
        <v>74</v>
      </c>
      <c r="BP1268" t="s">
        <v>74</v>
      </c>
      <c r="BQ1268" t="s">
        <v>74</v>
      </c>
      <c r="BR1268" t="s">
        <v>96</v>
      </c>
      <c r="BS1268" t="s">
        <v>5871</v>
      </c>
      <c r="BT1268" t="str">
        <f>HYPERLINK("https%3A%2F%2Fwww.webofscience.com%2Fwos%2Fwoscc%2Ffull-record%2FWOS:000574318900001","View Full Record in Web of Science")</f>
        <v>View Full Record in Web of Science</v>
      </c>
    </row>
    <row r="1269" spans="1:72" x14ac:dyDescent="0.15">
      <c r="A1269" t="s">
        <v>98</v>
      </c>
      <c r="B1269" t="s">
        <v>5916</v>
      </c>
      <c r="C1269" t="s">
        <v>74</v>
      </c>
      <c r="D1269" t="s">
        <v>74</v>
      </c>
      <c r="E1269" t="s">
        <v>74</v>
      </c>
      <c r="F1269" t="s">
        <v>5917</v>
      </c>
      <c r="G1269" t="s">
        <v>74</v>
      </c>
      <c r="H1269" t="s">
        <v>74</v>
      </c>
      <c r="I1269" t="s">
        <v>5918</v>
      </c>
      <c r="J1269" t="s">
        <v>5919</v>
      </c>
      <c r="K1269" t="s">
        <v>74</v>
      </c>
      <c r="L1269" t="s">
        <v>74</v>
      </c>
      <c r="M1269" t="s">
        <v>74</v>
      </c>
      <c r="N1269" t="s">
        <v>103</v>
      </c>
      <c r="O1269" t="s">
        <v>74</v>
      </c>
      <c r="P1269" t="s">
        <v>74</v>
      </c>
      <c r="Q1269" t="s">
        <v>74</v>
      </c>
      <c r="R1269" t="s">
        <v>74</v>
      </c>
      <c r="S1269" t="s">
        <v>74</v>
      </c>
      <c r="T1269" t="s">
        <v>5920</v>
      </c>
      <c r="U1269" t="s">
        <v>5921</v>
      </c>
      <c r="V1269" t="s">
        <v>5922</v>
      </c>
      <c r="W1269" t="s">
        <v>5923</v>
      </c>
      <c r="X1269" t="s">
        <v>5924</v>
      </c>
      <c r="Y1269" t="s">
        <v>5925</v>
      </c>
      <c r="Z1269" t="s">
        <v>5926</v>
      </c>
      <c r="AA1269" t="s">
        <v>5927</v>
      </c>
      <c r="AB1269" t="s">
        <v>5928</v>
      </c>
      <c r="AC1269" t="s">
        <v>74</v>
      </c>
      <c r="AD1269" t="s">
        <v>74</v>
      </c>
      <c r="AE1269" t="s">
        <v>74</v>
      </c>
      <c r="AF1269" t="s">
        <v>74</v>
      </c>
      <c r="AG1269">
        <v>20</v>
      </c>
      <c r="AH1269">
        <v>8</v>
      </c>
      <c r="AI1269">
        <v>8</v>
      </c>
      <c r="AJ1269">
        <v>0</v>
      </c>
      <c r="AK1269">
        <v>11</v>
      </c>
      <c r="AL1269" t="s">
        <v>74</v>
      </c>
      <c r="AM1269" t="s">
        <v>74</v>
      </c>
      <c r="AN1269" t="s">
        <v>74</v>
      </c>
      <c r="AO1269" t="s">
        <v>5929</v>
      </c>
      <c r="AP1269" t="s">
        <v>74</v>
      </c>
      <c r="AQ1269" t="s">
        <v>74</v>
      </c>
      <c r="AR1269" t="s">
        <v>74</v>
      </c>
      <c r="AS1269" t="s">
        <v>74</v>
      </c>
      <c r="AT1269" t="s">
        <v>565</v>
      </c>
      <c r="AU1269">
        <v>2018</v>
      </c>
      <c r="AV1269">
        <v>41</v>
      </c>
      <c r="AW1269">
        <v>3</v>
      </c>
      <c r="AX1269" t="s">
        <v>74</v>
      </c>
      <c r="AY1269" t="s">
        <v>74</v>
      </c>
      <c r="AZ1269" t="s">
        <v>74</v>
      </c>
      <c r="BA1269" t="s">
        <v>74</v>
      </c>
      <c r="BB1269">
        <v>445</v>
      </c>
      <c r="BC1269">
        <v>449</v>
      </c>
      <c r="BD1269" t="s">
        <v>74</v>
      </c>
      <c r="BE1269" t="s">
        <v>5930</v>
      </c>
      <c r="BF1269" t="str">
        <f>HYPERLINK("http://dx.doi.org/10.1248/bpb.b17-00743","http://dx.doi.org/10.1248/bpb.b17-00743")</f>
        <v>http://dx.doi.org/10.1248/bpb.b17-00743</v>
      </c>
      <c r="BG1269" t="s">
        <v>74</v>
      </c>
      <c r="BH1269" t="s">
        <v>74</v>
      </c>
      <c r="BI1269" t="s">
        <v>74</v>
      </c>
      <c r="BJ1269" t="s">
        <v>533</v>
      </c>
      <c r="BK1269" t="s">
        <v>117</v>
      </c>
      <c r="BL1269" t="s">
        <v>533</v>
      </c>
      <c r="BM1269" t="s">
        <v>74</v>
      </c>
      <c r="BN1269">
        <v>29491222</v>
      </c>
      <c r="BO1269" t="s">
        <v>74</v>
      </c>
      <c r="BP1269" t="s">
        <v>74</v>
      </c>
      <c r="BQ1269" t="s">
        <v>74</v>
      </c>
      <c r="BR1269" t="s">
        <v>96</v>
      </c>
      <c r="BS1269" t="s">
        <v>5931</v>
      </c>
      <c r="BT1269" t="str">
        <f>HYPERLINK("https%3A%2F%2Fwww.webofscience.com%2Fwos%2Fwoscc%2Ffull-record%2FWOS:000426890500022","View Full Record in Web of Science")</f>
        <v>View Full Record in Web of Science</v>
      </c>
    </row>
    <row r="1270" spans="1:72" x14ac:dyDescent="0.15">
      <c r="A1270" t="s">
        <v>98</v>
      </c>
      <c r="B1270" t="s">
        <v>5982</v>
      </c>
      <c r="C1270" t="s">
        <v>74</v>
      </c>
      <c r="D1270" t="s">
        <v>74</v>
      </c>
      <c r="E1270" t="s">
        <v>74</v>
      </c>
      <c r="F1270" t="s">
        <v>5983</v>
      </c>
      <c r="G1270" t="s">
        <v>74</v>
      </c>
      <c r="H1270" t="s">
        <v>74</v>
      </c>
      <c r="I1270" t="s">
        <v>5984</v>
      </c>
      <c r="J1270" t="s">
        <v>1073</v>
      </c>
      <c r="K1270" t="s">
        <v>74</v>
      </c>
      <c r="L1270" t="s">
        <v>74</v>
      </c>
      <c r="M1270" t="s">
        <v>74</v>
      </c>
      <c r="N1270" t="s">
        <v>103</v>
      </c>
      <c r="O1270" t="s">
        <v>74</v>
      </c>
      <c r="P1270" t="s">
        <v>74</v>
      </c>
      <c r="Q1270" t="s">
        <v>74</v>
      </c>
      <c r="R1270" t="s">
        <v>74</v>
      </c>
      <c r="S1270" t="s">
        <v>74</v>
      </c>
      <c r="T1270" t="s">
        <v>74</v>
      </c>
      <c r="U1270" t="s">
        <v>5985</v>
      </c>
      <c r="V1270" t="s">
        <v>5986</v>
      </c>
      <c r="W1270" t="s">
        <v>5987</v>
      </c>
      <c r="X1270" t="s">
        <v>5988</v>
      </c>
      <c r="Y1270" t="s">
        <v>5989</v>
      </c>
      <c r="Z1270" t="s">
        <v>5990</v>
      </c>
      <c r="AA1270" t="s">
        <v>1080</v>
      </c>
      <c r="AB1270" t="s">
        <v>1081</v>
      </c>
      <c r="AC1270" t="s">
        <v>74</v>
      </c>
      <c r="AD1270" t="s">
        <v>74</v>
      </c>
      <c r="AE1270" t="s">
        <v>74</v>
      </c>
      <c r="AF1270" t="s">
        <v>74</v>
      </c>
      <c r="AG1270">
        <v>32</v>
      </c>
      <c r="AH1270">
        <v>8</v>
      </c>
      <c r="AI1270">
        <v>8</v>
      </c>
      <c r="AJ1270">
        <v>0</v>
      </c>
      <c r="AK1270">
        <v>6</v>
      </c>
      <c r="AL1270" t="s">
        <v>74</v>
      </c>
      <c r="AM1270" t="s">
        <v>74</v>
      </c>
      <c r="AN1270" t="s">
        <v>74</v>
      </c>
      <c r="AO1270" t="s">
        <v>1082</v>
      </c>
      <c r="AP1270" t="s">
        <v>74</v>
      </c>
      <c r="AQ1270" t="s">
        <v>74</v>
      </c>
      <c r="AR1270" t="s">
        <v>74</v>
      </c>
      <c r="AS1270" t="s">
        <v>74</v>
      </c>
      <c r="AT1270" t="s">
        <v>5991</v>
      </c>
      <c r="AU1270">
        <v>2016</v>
      </c>
      <c r="AV1270">
        <v>11</v>
      </c>
      <c r="AW1270">
        <v>7</v>
      </c>
      <c r="AX1270" t="s">
        <v>74</v>
      </c>
      <c r="AY1270" t="s">
        <v>74</v>
      </c>
      <c r="AZ1270" t="s">
        <v>74</v>
      </c>
      <c r="BA1270" t="s">
        <v>74</v>
      </c>
      <c r="BB1270" t="s">
        <v>74</v>
      </c>
      <c r="BC1270" t="s">
        <v>74</v>
      </c>
      <c r="BD1270" t="s">
        <v>5992</v>
      </c>
      <c r="BE1270" t="s">
        <v>5993</v>
      </c>
      <c r="BF1270" t="str">
        <f>HYPERLINK("http://dx.doi.org/10.1371/journal.pone.0159105","http://dx.doi.org/10.1371/journal.pone.0159105")</f>
        <v>http://dx.doi.org/10.1371/journal.pone.0159105</v>
      </c>
      <c r="BG1270" t="s">
        <v>74</v>
      </c>
      <c r="BH1270" t="s">
        <v>74</v>
      </c>
      <c r="BI1270" t="s">
        <v>74</v>
      </c>
      <c r="BJ1270" t="s">
        <v>152</v>
      </c>
      <c r="BK1270" t="s">
        <v>117</v>
      </c>
      <c r="BL1270" t="s">
        <v>153</v>
      </c>
      <c r="BM1270" t="s">
        <v>74</v>
      </c>
      <c r="BN1270">
        <v>27434143</v>
      </c>
      <c r="BO1270" t="s">
        <v>74</v>
      </c>
      <c r="BP1270" t="s">
        <v>74</v>
      </c>
      <c r="BQ1270" t="s">
        <v>74</v>
      </c>
      <c r="BR1270" t="s">
        <v>96</v>
      </c>
      <c r="BS1270" t="s">
        <v>5994</v>
      </c>
      <c r="BT1270" t="str">
        <f>HYPERLINK("https%3A%2F%2Fwww.webofscience.com%2Fwos%2Fwoscc%2Ffull-record%2FWOS:000380169600033","View Full Record in Web of Science")</f>
        <v>View Full Record in Web of Science</v>
      </c>
    </row>
    <row r="1271" spans="1:72" x14ac:dyDescent="0.15">
      <c r="A1271" t="s">
        <v>98</v>
      </c>
      <c r="B1271" t="s">
        <v>6068</v>
      </c>
      <c r="C1271" t="s">
        <v>74</v>
      </c>
      <c r="D1271" t="s">
        <v>74</v>
      </c>
      <c r="E1271" t="s">
        <v>74</v>
      </c>
      <c r="F1271" t="s">
        <v>6069</v>
      </c>
      <c r="G1271" t="s">
        <v>74</v>
      </c>
      <c r="H1271" t="s">
        <v>74</v>
      </c>
      <c r="I1271" t="s">
        <v>6070</v>
      </c>
      <c r="J1271" t="s">
        <v>1860</v>
      </c>
      <c r="K1271" t="s">
        <v>74</v>
      </c>
      <c r="L1271" t="s">
        <v>74</v>
      </c>
      <c r="M1271" t="s">
        <v>74</v>
      </c>
      <c r="N1271" t="s">
        <v>103</v>
      </c>
      <c r="O1271" t="s">
        <v>74</v>
      </c>
      <c r="P1271" t="s">
        <v>74</v>
      </c>
      <c r="Q1271" t="s">
        <v>74</v>
      </c>
      <c r="R1271" t="s">
        <v>74</v>
      </c>
      <c r="S1271" t="s">
        <v>74</v>
      </c>
      <c r="T1271" t="s">
        <v>6071</v>
      </c>
      <c r="U1271" t="s">
        <v>6072</v>
      </c>
      <c r="V1271" t="s">
        <v>6073</v>
      </c>
      <c r="W1271" t="s">
        <v>6074</v>
      </c>
      <c r="X1271" t="s">
        <v>4722</v>
      </c>
      <c r="Y1271" t="s">
        <v>6075</v>
      </c>
      <c r="Z1271" t="s">
        <v>6076</v>
      </c>
      <c r="AA1271" t="s">
        <v>74</v>
      </c>
      <c r="AB1271" t="s">
        <v>3658</v>
      </c>
      <c r="AC1271" t="s">
        <v>74</v>
      </c>
      <c r="AD1271" t="s">
        <v>74</v>
      </c>
      <c r="AE1271" t="s">
        <v>74</v>
      </c>
      <c r="AF1271" t="s">
        <v>74</v>
      </c>
      <c r="AG1271">
        <v>47</v>
      </c>
      <c r="AH1271">
        <v>8</v>
      </c>
      <c r="AI1271">
        <v>8</v>
      </c>
      <c r="AJ1271">
        <v>22</v>
      </c>
      <c r="AK1271">
        <v>85</v>
      </c>
      <c r="AL1271" t="s">
        <v>74</v>
      </c>
      <c r="AM1271" t="s">
        <v>74</v>
      </c>
      <c r="AN1271" t="s">
        <v>74</v>
      </c>
      <c r="AO1271" t="s">
        <v>1870</v>
      </c>
      <c r="AP1271" t="s">
        <v>1871</v>
      </c>
      <c r="AQ1271" t="s">
        <v>74</v>
      </c>
      <c r="AR1271" t="s">
        <v>74</v>
      </c>
      <c r="AS1271" t="s">
        <v>74</v>
      </c>
      <c r="AT1271" t="s">
        <v>4415</v>
      </c>
      <c r="AU1271">
        <v>2020</v>
      </c>
      <c r="AV1271">
        <v>1135</v>
      </c>
      <c r="AW1271" t="s">
        <v>74</v>
      </c>
      <c r="AX1271" t="s">
        <v>74</v>
      </c>
      <c r="AY1271" t="s">
        <v>74</v>
      </c>
      <c r="AZ1271" t="s">
        <v>74</v>
      </c>
      <c r="BA1271" t="s">
        <v>74</v>
      </c>
      <c r="BB1271">
        <v>55</v>
      </c>
      <c r="BC1271">
        <v>63</v>
      </c>
      <c r="BD1271" t="s">
        <v>74</v>
      </c>
      <c r="BE1271" t="s">
        <v>6077</v>
      </c>
      <c r="BF1271" t="str">
        <f>HYPERLINK("http://dx.doi.org/10.1016/j.aca.2020.08.036","http://dx.doi.org/10.1016/j.aca.2020.08.036")</f>
        <v>http://dx.doi.org/10.1016/j.aca.2020.08.036</v>
      </c>
      <c r="BG1271" t="s">
        <v>74</v>
      </c>
      <c r="BH1271" t="s">
        <v>74</v>
      </c>
      <c r="BI1271" t="s">
        <v>74</v>
      </c>
      <c r="BJ1271" t="s">
        <v>1118</v>
      </c>
      <c r="BK1271" t="s">
        <v>117</v>
      </c>
      <c r="BL1271" t="s">
        <v>1048</v>
      </c>
      <c r="BM1271" t="s">
        <v>74</v>
      </c>
      <c r="BN1271">
        <v>33070859</v>
      </c>
      <c r="BO1271" t="s">
        <v>74</v>
      </c>
      <c r="BP1271" t="s">
        <v>74</v>
      </c>
      <c r="BQ1271" t="s">
        <v>74</v>
      </c>
      <c r="BR1271" t="s">
        <v>96</v>
      </c>
      <c r="BS1271" t="s">
        <v>6078</v>
      </c>
      <c r="BT1271" t="str">
        <f>HYPERLINK("https%3A%2F%2Fwww.webofscience.com%2Fwos%2Fwoscc%2Ffull-record%2FWOS:000579813800007","View Full Record in Web of Science")</f>
        <v>View Full Record in Web of Science</v>
      </c>
    </row>
    <row r="1272" spans="1:72" x14ac:dyDescent="0.15">
      <c r="A1272" t="s">
        <v>98</v>
      </c>
      <c r="B1272" t="s">
        <v>6641</v>
      </c>
      <c r="C1272" t="s">
        <v>74</v>
      </c>
      <c r="D1272" t="s">
        <v>74</v>
      </c>
      <c r="E1272" t="s">
        <v>74</v>
      </c>
      <c r="F1272" t="s">
        <v>6642</v>
      </c>
      <c r="G1272" t="s">
        <v>74</v>
      </c>
      <c r="H1272" t="s">
        <v>74</v>
      </c>
      <c r="I1272" t="s">
        <v>6643</v>
      </c>
      <c r="J1272" t="s">
        <v>1143</v>
      </c>
      <c r="K1272" t="s">
        <v>74</v>
      </c>
      <c r="L1272" t="s">
        <v>74</v>
      </c>
      <c r="M1272" t="s">
        <v>74</v>
      </c>
      <c r="N1272" t="s">
        <v>103</v>
      </c>
      <c r="O1272" t="s">
        <v>74</v>
      </c>
      <c r="P1272" t="s">
        <v>74</v>
      </c>
      <c r="Q1272" t="s">
        <v>74</v>
      </c>
      <c r="R1272" t="s">
        <v>74</v>
      </c>
      <c r="S1272" t="s">
        <v>74</v>
      </c>
      <c r="T1272" t="s">
        <v>6644</v>
      </c>
      <c r="U1272" t="s">
        <v>74</v>
      </c>
      <c r="V1272" t="s">
        <v>6645</v>
      </c>
      <c r="W1272" t="s">
        <v>6646</v>
      </c>
      <c r="X1272" t="s">
        <v>6647</v>
      </c>
      <c r="Y1272" t="s">
        <v>6648</v>
      </c>
      <c r="Z1272" t="s">
        <v>6649</v>
      </c>
      <c r="AA1272" t="s">
        <v>74</v>
      </c>
      <c r="AB1272" t="s">
        <v>6650</v>
      </c>
      <c r="AC1272" t="s">
        <v>74</v>
      </c>
      <c r="AD1272" t="s">
        <v>74</v>
      </c>
      <c r="AE1272" t="s">
        <v>74</v>
      </c>
      <c r="AF1272" t="s">
        <v>74</v>
      </c>
      <c r="AG1272">
        <v>66</v>
      </c>
      <c r="AH1272">
        <v>8</v>
      </c>
      <c r="AI1272">
        <v>8</v>
      </c>
      <c r="AJ1272">
        <v>3</v>
      </c>
      <c r="AK1272">
        <v>9</v>
      </c>
      <c r="AL1272" t="s">
        <v>74</v>
      </c>
      <c r="AM1272" t="s">
        <v>74</v>
      </c>
      <c r="AN1272" t="s">
        <v>74</v>
      </c>
      <c r="AO1272" t="s">
        <v>1153</v>
      </c>
      <c r="AP1272" t="s">
        <v>74</v>
      </c>
      <c r="AQ1272" t="s">
        <v>74</v>
      </c>
      <c r="AR1272" t="s">
        <v>74</v>
      </c>
      <c r="AS1272" t="s">
        <v>74</v>
      </c>
      <c r="AT1272" t="s">
        <v>74</v>
      </c>
      <c r="AU1272">
        <v>2021</v>
      </c>
      <c r="AV1272">
        <v>11</v>
      </c>
      <c r="AW1272">
        <v>12</v>
      </c>
      <c r="AX1272" t="s">
        <v>74</v>
      </c>
      <c r="AY1272" t="s">
        <v>74</v>
      </c>
      <c r="AZ1272" t="s">
        <v>74</v>
      </c>
      <c r="BA1272" t="s">
        <v>74</v>
      </c>
      <c r="BB1272">
        <v>5986</v>
      </c>
      <c r="BC1272">
        <v>6005</v>
      </c>
      <c r="BD1272" t="s">
        <v>74</v>
      </c>
      <c r="BE1272" t="s">
        <v>6651</v>
      </c>
      <c r="BF1272" t="str">
        <f>HYPERLINK("http://dx.doi.org/10.7150/thno.58632","http://dx.doi.org/10.7150/thno.58632")</f>
        <v>http://dx.doi.org/10.7150/thno.58632</v>
      </c>
      <c r="BG1272" t="s">
        <v>74</v>
      </c>
      <c r="BH1272" t="s">
        <v>74</v>
      </c>
      <c r="BI1272" t="s">
        <v>74</v>
      </c>
      <c r="BJ1272" t="s">
        <v>795</v>
      </c>
      <c r="BK1272" t="s">
        <v>117</v>
      </c>
      <c r="BL1272" t="s">
        <v>796</v>
      </c>
      <c r="BM1272" t="s">
        <v>74</v>
      </c>
      <c r="BN1272">
        <v>33897894</v>
      </c>
      <c r="BO1272" t="s">
        <v>74</v>
      </c>
      <c r="BP1272" t="s">
        <v>74</v>
      </c>
      <c r="BQ1272" t="s">
        <v>74</v>
      </c>
      <c r="BR1272" t="s">
        <v>96</v>
      </c>
      <c r="BS1272" t="s">
        <v>6652</v>
      </c>
      <c r="BT1272" t="str">
        <f>HYPERLINK("https%3A%2F%2Fwww.webofscience.com%2Fwos%2Fwoscc%2Ffull-record%2FWOS:000637324000024","View Full Record in Web of Science")</f>
        <v>View Full Record in Web of Science</v>
      </c>
    </row>
    <row r="1273" spans="1:72" x14ac:dyDescent="0.15">
      <c r="A1273" t="s">
        <v>98</v>
      </c>
      <c r="B1273" t="s">
        <v>7313</v>
      </c>
      <c r="C1273" t="s">
        <v>74</v>
      </c>
      <c r="D1273" t="s">
        <v>74</v>
      </c>
      <c r="E1273" t="s">
        <v>74</v>
      </c>
      <c r="F1273" t="s">
        <v>7314</v>
      </c>
      <c r="G1273" t="s">
        <v>74</v>
      </c>
      <c r="H1273" t="s">
        <v>74</v>
      </c>
      <c r="I1273" t="s">
        <v>7315</v>
      </c>
      <c r="J1273" t="s">
        <v>7316</v>
      </c>
      <c r="K1273" t="s">
        <v>74</v>
      </c>
      <c r="L1273" t="s">
        <v>74</v>
      </c>
      <c r="M1273" t="s">
        <v>74</v>
      </c>
      <c r="N1273" t="s">
        <v>103</v>
      </c>
      <c r="O1273" t="s">
        <v>74</v>
      </c>
      <c r="P1273" t="s">
        <v>74</v>
      </c>
      <c r="Q1273" t="s">
        <v>74</v>
      </c>
      <c r="R1273" t="s">
        <v>74</v>
      </c>
      <c r="S1273" t="s">
        <v>74</v>
      </c>
      <c r="T1273" t="s">
        <v>74</v>
      </c>
      <c r="U1273" t="s">
        <v>7317</v>
      </c>
      <c r="V1273" t="s">
        <v>7318</v>
      </c>
      <c r="W1273" t="s">
        <v>7319</v>
      </c>
      <c r="X1273" t="s">
        <v>7320</v>
      </c>
      <c r="Y1273" t="s">
        <v>7321</v>
      </c>
      <c r="Z1273" t="s">
        <v>7322</v>
      </c>
      <c r="AA1273" t="s">
        <v>74</v>
      </c>
      <c r="AB1273" t="s">
        <v>7323</v>
      </c>
      <c r="AC1273" t="s">
        <v>74</v>
      </c>
      <c r="AD1273" t="s">
        <v>74</v>
      </c>
      <c r="AE1273" t="s">
        <v>74</v>
      </c>
      <c r="AF1273" t="s">
        <v>74</v>
      </c>
      <c r="AG1273">
        <v>52</v>
      </c>
      <c r="AH1273">
        <v>8</v>
      </c>
      <c r="AI1273">
        <v>8</v>
      </c>
      <c r="AJ1273">
        <v>8</v>
      </c>
      <c r="AK1273">
        <v>39</v>
      </c>
      <c r="AL1273" t="s">
        <v>74</v>
      </c>
      <c r="AM1273" t="s">
        <v>74</v>
      </c>
      <c r="AN1273" t="s">
        <v>74</v>
      </c>
      <c r="AO1273" t="s">
        <v>7324</v>
      </c>
      <c r="AP1273" t="s">
        <v>7325</v>
      </c>
      <c r="AQ1273" t="s">
        <v>74</v>
      </c>
      <c r="AR1273" t="s">
        <v>74</v>
      </c>
      <c r="AS1273" t="s">
        <v>74</v>
      </c>
      <c r="AT1273" t="s">
        <v>7326</v>
      </c>
      <c r="AU1273">
        <v>2021</v>
      </c>
      <c r="AV1273">
        <v>146</v>
      </c>
      <c r="AW1273">
        <v>1</v>
      </c>
      <c r="AX1273" t="s">
        <v>74</v>
      </c>
      <c r="AY1273" t="s">
        <v>74</v>
      </c>
      <c r="AZ1273" t="s">
        <v>74</v>
      </c>
      <c r="BA1273" t="s">
        <v>74</v>
      </c>
      <c r="BB1273">
        <v>253</v>
      </c>
      <c r="BC1273">
        <v>261</v>
      </c>
      <c r="BD1273" t="s">
        <v>74</v>
      </c>
      <c r="BE1273" t="s">
        <v>7327</v>
      </c>
      <c r="BF1273" t="str">
        <f>HYPERLINK("http://dx.doi.org/10.1039/d0an01420f","http://dx.doi.org/10.1039/d0an01420f")</f>
        <v>http://dx.doi.org/10.1039/d0an01420f</v>
      </c>
      <c r="BG1273" t="s">
        <v>74</v>
      </c>
      <c r="BH1273" t="s">
        <v>74</v>
      </c>
      <c r="BI1273" t="s">
        <v>74</v>
      </c>
      <c r="BJ1273" t="s">
        <v>1118</v>
      </c>
      <c r="BK1273" t="s">
        <v>117</v>
      </c>
      <c r="BL1273" t="s">
        <v>1048</v>
      </c>
      <c r="BM1273" t="s">
        <v>74</v>
      </c>
      <c r="BN1273">
        <v>33107503</v>
      </c>
      <c r="BO1273" t="s">
        <v>74</v>
      </c>
      <c r="BP1273" t="s">
        <v>74</v>
      </c>
      <c r="BQ1273" t="s">
        <v>74</v>
      </c>
      <c r="BR1273" t="s">
        <v>96</v>
      </c>
      <c r="BS1273" t="s">
        <v>7328</v>
      </c>
      <c r="BT1273" t="str">
        <f>HYPERLINK("https%3A%2F%2Fwww.webofscience.com%2Fwos%2Fwoscc%2Ffull-record%2FWOS:000607369300018","View Full Record in Web of Science")</f>
        <v>View Full Record in Web of Science</v>
      </c>
    </row>
    <row r="1274" spans="1:72" x14ac:dyDescent="0.15">
      <c r="A1274" t="s">
        <v>98</v>
      </c>
      <c r="B1274" t="s">
        <v>10640</v>
      </c>
      <c r="C1274" t="s">
        <v>74</v>
      </c>
      <c r="D1274" t="s">
        <v>74</v>
      </c>
      <c r="E1274" t="s">
        <v>74</v>
      </c>
      <c r="F1274" t="s">
        <v>10641</v>
      </c>
      <c r="G1274" t="s">
        <v>74</v>
      </c>
      <c r="H1274" t="s">
        <v>74</v>
      </c>
      <c r="I1274" t="s">
        <v>10642</v>
      </c>
      <c r="J1274" t="s">
        <v>8926</v>
      </c>
      <c r="K1274" t="s">
        <v>74</v>
      </c>
      <c r="L1274" t="s">
        <v>74</v>
      </c>
      <c r="M1274" t="s">
        <v>74</v>
      </c>
      <c r="N1274" t="s">
        <v>103</v>
      </c>
      <c r="O1274" t="s">
        <v>74</v>
      </c>
      <c r="P1274" t="s">
        <v>74</v>
      </c>
      <c r="Q1274" t="s">
        <v>74</v>
      </c>
      <c r="R1274" t="s">
        <v>74</v>
      </c>
      <c r="S1274" t="s">
        <v>74</v>
      </c>
      <c r="T1274" t="s">
        <v>10643</v>
      </c>
      <c r="U1274" t="s">
        <v>10644</v>
      </c>
      <c r="V1274" t="s">
        <v>10645</v>
      </c>
      <c r="W1274" t="s">
        <v>10646</v>
      </c>
      <c r="X1274" t="s">
        <v>5471</v>
      </c>
      <c r="Y1274" t="s">
        <v>10647</v>
      </c>
      <c r="Z1274" t="s">
        <v>10648</v>
      </c>
      <c r="AA1274" t="s">
        <v>74</v>
      </c>
      <c r="AB1274" t="s">
        <v>74</v>
      </c>
      <c r="AC1274" t="s">
        <v>74</v>
      </c>
      <c r="AD1274" t="s">
        <v>74</v>
      </c>
      <c r="AE1274" t="s">
        <v>74</v>
      </c>
      <c r="AF1274" t="s">
        <v>74</v>
      </c>
      <c r="AG1274">
        <v>35</v>
      </c>
      <c r="AH1274">
        <v>8</v>
      </c>
      <c r="AI1274">
        <v>9</v>
      </c>
      <c r="AJ1274">
        <v>27</v>
      </c>
      <c r="AK1274">
        <v>106</v>
      </c>
      <c r="AL1274" t="s">
        <v>74</v>
      </c>
      <c r="AM1274" t="s">
        <v>74</v>
      </c>
      <c r="AN1274" t="s">
        <v>74</v>
      </c>
      <c r="AO1274" t="s">
        <v>8934</v>
      </c>
      <c r="AP1274" t="s">
        <v>8935</v>
      </c>
      <c r="AQ1274" t="s">
        <v>74</v>
      </c>
      <c r="AR1274" t="s">
        <v>74</v>
      </c>
      <c r="AS1274" t="s">
        <v>74</v>
      </c>
      <c r="AT1274" t="s">
        <v>283</v>
      </c>
      <c r="AU1274">
        <v>2021</v>
      </c>
      <c r="AV1274">
        <v>188</v>
      </c>
      <c r="AW1274">
        <v>2</v>
      </c>
      <c r="AX1274" t="s">
        <v>74</v>
      </c>
      <c r="AY1274" t="s">
        <v>74</v>
      </c>
      <c r="AZ1274" t="s">
        <v>74</v>
      </c>
      <c r="BA1274" t="s">
        <v>74</v>
      </c>
      <c r="BB1274" t="s">
        <v>74</v>
      </c>
      <c r="BC1274" t="s">
        <v>74</v>
      </c>
      <c r="BD1274">
        <v>51</v>
      </c>
      <c r="BE1274" t="s">
        <v>10649</v>
      </c>
      <c r="BF1274" t="str">
        <f>HYPERLINK("http://dx.doi.org/10.1007/s00604-021-04716-1","http://dx.doi.org/10.1007/s00604-021-04716-1")</f>
        <v>http://dx.doi.org/10.1007/s00604-021-04716-1</v>
      </c>
      <c r="BG1274" t="s">
        <v>74</v>
      </c>
      <c r="BH1274" t="s">
        <v>74</v>
      </c>
      <c r="BI1274" t="s">
        <v>74</v>
      </c>
      <c r="BJ1274" t="s">
        <v>1118</v>
      </c>
      <c r="BK1274" t="s">
        <v>117</v>
      </c>
      <c r="BL1274" t="s">
        <v>1048</v>
      </c>
      <c r="BM1274" t="s">
        <v>74</v>
      </c>
      <c r="BN1274">
        <v>33496853</v>
      </c>
      <c r="BO1274" t="s">
        <v>74</v>
      </c>
      <c r="BP1274" t="s">
        <v>74</v>
      </c>
      <c r="BQ1274" t="s">
        <v>74</v>
      </c>
      <c r="BR1274" t="s">
        <v>96</v>
      </c>
      <c r="BS1274" t="s">
        <v>10650</v>
      </c>
      <c r="BT1274" t="str">
        <f>HYPERLINK("https%3A%2F%2Fwww.webofscience.com%2Fwos%2Fwoscc%2Ffull-record%2FWOS:000613630700001","View Full Record in Web of Science")</f>
        <v>View Full Record in Web of Science</v>
      </c>
    </row>
    <row r="1275" spans="1:72" x14ac:dyDescent="0.15">
      <c r="A1275" t="s">
        <v>98</v>
      </c>
      <c r="B1275" t="s">
        <v>10730</v>
      </c>
      <c r="C1275" t="s">
        <v>74</v>
      </c>
      <c r="D1275" t="s">
        <v>74</v>
      </c>
      <c r="E1275" t="s">
        <v>74</v>
      </c>
      <c r="F1275" t="s">
        <v>10731</v>
      </c>
      <c r="G1275" t="s">
        <v>74</v>
      </c>
      <c r="H1275" t="s">
        <v>74</v>
      </c>
      <c r="I1275" t="s">
        <v>10732</v>
      </c>
      <c r="J1275" t="s">
        <v>1073</v>
      </c>
      <c r="K1275" t="s">
        <v>74</v>
      </c>
      <c r="L1275" t="s">
        <v>74</v>
      </c>
      <c r="M1275" t="s">
        <v>74</v>
      </c>
      <c r="N1275" t="s">
        <v>103</v>
      </c>
      <c r="O1275" t="s">
        <v>74</v>
      </c>
      <c r="P1275" t="s">
        <v>74</v>
      </c>
      <c r="Q1275" t="s">
        <v>74</v>
      </c>
      <c r="R1275" t="s">
        <v>74</v>
      </c>
      <c r="S1275" t="s">
        <v>74</v>
      </c>
      <c r="T1275" t="s">
        <v>74</v>
      </c>
      <c r="U1275" t="s">
        <v>10733</v>
      </c>
      <c r="V1275" t="s">
        <v>10734</v>
      </c>
      <c r="W1275" t="s">
        <v>10735</v>
      </c>
      <c r="X1275" t="s">
        <v>2253</v>
      </c>
      <c r="Y1275" t="s">
        <v>10736</v>
      </c>
      <c r="Z1275" t="s">
        <v>2255</v>
      </c>
      <c r="AA1275" t="s">
        <v>74</v>
      </c>
      <c r="AB1275" t="s">
        <v>2257</v>
      </c>
      <c r="AC1275" t="s">
        <v>74</v>
      </c>
      <c r="AD1275" t="s">
        <v>74</v>
      </c>
      <c r="AE1275" t="s">
        <v>74</v>
      </c>
      <c r="AF1275" t="s">
        <v>74</v>
      </c>
      <c r="AG1275">
        <v>31</v>
      </c>
      <c r="AH1275">
        <v>8</v>
      </c>
      <c r="AI1275">
        <v>8</v>
      </c>
      <c r="AJ1275">
        <v>0</v>
      </c>
      <c r="AK1275">
        <v>10</v>
      </c>
      <c r="AL1275" t="s">
        <v>74</v>
      </c>
      <c r="AM1275" t="s">
        <v>74</v>
      </c>
      <c r="AN1275" t="s">
        <v>74</v>
      </c>
      <c r="AO1275" t="s">
        <v>1082</v>
      </c>
      <c r="AP1275" t="s">
        <v>74</v>
      </c>
      <c r="AQ1275" t="s">
        <v>74</v>
      </c>
      <c r="AR1275" t="s">
        <v>74</v>
      </c>
      <c r="AS1275" t="s">
        <v>74</v>
      </c>
      <c r="AT1275" t="s">
        <v>10737</v>
      </c>
      <c r="AU1275">
        <v>2020</v>
      </c>
      <c r="AV1275">
        <v>15</v>
      </c>
      <c r="AW1275">
        <v>7</v>
      </c>
      <c r="AX1275" t="s">
        <v>74</v>
      </c>
      <c r="AY1275" t="s">
        <v>74</v>
      </c>
      <c r="AZ1275" t="s">
        <v>74</v>
      </c>
      <c r="BA1275" t="s">
        <v>74</v>
      </c>
      <c r="BB1275" t="s">
        <v>74</v>
      </c>
      <c r="BC1275" t="s">
        <v>74</v>
      </c>
      <c r="BD1275" t="s">
        <v>10738</v>
      </c>
      <c r="BE1275" t="s">
        <v>10739</v>
      </c>
      <c r="BF1275" t="str">
        <f>HYPERLINK("http://dx.doi.org/10.1371/journal.pone.0235793; 10.1371/journal.pone.0235793.r001; 10.1371/journal.pone.0235793.r002; 10.1371/journal.pone.0235793.r003; 10.1371/journal.pone.0235793.r004","http://dx.doi.org/10.1371/journal.pone.0235793; 10.1371/journal.pone.0235793.r001; 10.1371/journal.pone.0235793.r002; 10.1371/journal.pone.0235793.r003; 10.1371/journal.pone.0235793.r004")</f>
        <v>http://dx.doi.org/10.1371/journal.pone.0235793; 10.1371/journal.pone.0235793.r001; 10.1371/journal.pone.0235793.r002; 10.1371/journal.pone.0235793.r003; 10.1371/journal.pone.0235793.r004</v>
      </c>
      <c r="BG1275" t="s">
        <v>74</v>
      </c>
      <c r="BH1275" t="s">
        <v>74</v>
      </c>
      <c r="BI1275" t="s">
        <v>74</v>
      </c>
      <c r="BJ1275" t="s">
        <v>152</v>
      </c>
      <c r="BK1275" t="s">
        <v>117</v>
      </c>
      <c r="BL1275" t="s">
        <v>153</v>
      </c>
      <c r="BM1275" t="s">
        <v>74</v>
      </c>
      <c r="BN1275">
        <v>32634162</v>
      </c>
      <c r="BO1275" t="s">
        <v>74</v>
      </c>
      <c r="BP1275" t="s">
        <v>74</v>
      </c>
      <c r="BQ1275" t="s">
        <v>74</v>
      </c>
      <c r="BR1275" t="s">
        <v>96</v>
      </c>
      <c r="BS1275" t="s">
        <v>10740</v>
      </c>
      <c r="BT1275" t="str">
        <f>HYPERLINK("https%3A%2F%2Fwww.webofscience.com%2Fwos%2Fwoscc%2Ffull-record%2FWOS:000550645600032","View Full Record in Web of Science")</f>
        <v>View Full Record in Web of Science</v>
      </c>
    </row>
    <row r="1276" spans="1:72" x14ac:dyDescent="0.15">
      <c r="A1276" t="s">
        <v>98</v>
      </c>
      <c r="B1276" t="s">
        <v>10948</v>
      </c>
      <c r="C1276" t="s">
        <v>74</v>
      </c>
      <c r="D1276" t="s">
        <v>74</v>
      </c>
      <c r="E1276" t="s">
        <v>74</v>
      </c>
      <c r="F1276" t="s">
        <v>10949</v>
      </c>
      <c r="G1276" t="s">
        <v>74</v>
      </c>
      <c r="H1276" t="s">
        <v>74</v>
      </c>
      <c r="I1276" t="s">
        <v>10950</v>
      </c>
      <c r="J1276" t="s">
        <v>10951</v>
      </c>
      <c r="K1276" t="s">
        <v>74</v>
      </c>
      <c r="L1276" t="s">
        <v>74</v>
      </c>
      <c r="M1276" t="s">
        <v>74</v>
      </c>
      <c r="N1276" t="s">
        <v>103</v>
      </c>
      <c r="O1276" t="s">
        <v>74</v>
      </c>
      <c r="P1276" t="s">
        <v>74</v>
      </c>
      <c r="Q1276" t="s">
        <v>74</v>
      </c>
      <c r="R1276" t="s">
        <v>74</v>
      </c>
      <c r="S1276" t="s">
        <v>74</v>
      </c>
      <c r="T1276" t="s">
        <v>10952</v>
      </c>
      <c r="U1276" t="s">
        <v>10953</v>
      </c>
      <c r="V1276" t="s">
        <v>10954</v>
      </c>
      <c r="W1276" t="s">
        <v>10955</v>
      </c>
      <c r="X1276" t="s">
        <v>10956</v>
      </c>
      <c r="Y1276" t="s">
        <v>10957</v>
      </c>
      <c r="Z1276" t="s">
        <v>10958</v>
      </c>
      <c r="AA1276" t="s">
        <v>10959</v>
      </c>
      <c r="AB1276" t="s">
        <v>10960</v>
      </c>
      <c r="AC1276" t="s">
        <v>74</v>
      </c>
      <c r="AD1276" t="s">
        <v>74</v>
      </c>
      <c r="AE1276" t="s">
        <v>74</v>
      </c>
      <c r="AF1276" t="s">
        <v>74</v>
      </c>
      <c r="AG1276">
        <v>92</v>
      </c>
      <c r="AH1276">
        <v>8</v>
      </c>
      <c r="AI1276">
        <v>8</v>
      </c>
      <c r="AJ1276">
        <v>0</v>
      </c>
      <c r="AK1276">
        <v>13</v>
      </c>
      <c r="AL1276" t="s">
        <v>74</v>
      </c>
      <c r="AM1276" t="s">
        <v>74</v>
      </c>
      <c r="AN1276" t="s">
        <v>74</v>
      </c>
      <c r="AO1276" t="s">
        <v>10961</v>
      </c>
      <c r="AP1276" t="s">
        <v>10962</v>
      </c>
      <c r="AQ1276" t="s">
        <v>74</v>
      </c>
      <c r="AR1276" t="s">
        <v>74</v>
      </c>
      <c r="AS1276" t="s">
        <v>74</v>
      </c>
      <c r="AT1276" t="s">
        <v>132</v>
      </c>
      <c r="AU1276">
        <v>2019</v>
      </c>
      <c r="AV1276">
        <v>12</v>
      </c>
      <c r="AW1276">
        <v>1</v>
      </c>
      <c r="AX1276" t="s">
        <v>74</v>
      </c>
      <c r="AY1276" t="s">
        <v>74</v>
      </c>
      <c r="AZ1276" t="s">
        <v>74</v>
      </c>
      <c r="BA1276" t="s">
        <v>74</v>
      </c>
      <c r="BB1276">
        <v>29</v>
      </c>
      <c r="BC1276">
        <v>35</v>
      </c>
      <c r="BD1276" t="s">
        <v>74</v>
      </c>
      <c r="BE1276" t="s">
        <v>10963</v>
      </c>
      <c r="BF1276" t="str">
        <f>HYPERLINK("http://dx.doi.org/10.1007/s12307-018-0209-1","http://dx.doi.org/10.1007/s12307-018-0209-1")</f>
        <v>http://dx.doi.org/10.1007/s12307-018-0209-1</v>
      </c>
      <c r="BG1276" t="s">
        <v>74</v>
      </c>
      <c r="BH1276" t="s">
        <v>74</v>
      </c>
      <c r="BI1276" t="s">
        <v>74</v>
      </c>
      <c r="BJ1276" t="s">
        <v>267</v>
      </c>
      <c r="BK1276" t="s">
        <v>117</v>
      </c>
      <c r="BL1276" t="s">
        <v>267</v>
      </c>
      <c r="BM1276" t="s">
        <v>74</v>
      </c>
      <c r="BN1276">
        <v>29603062</v>
      </c>
      <c r="BO1276" t="s">
        <v>74</v>
      </c>
      <c r="BP1276" t="s">
        <v>74</v>
      </c>
      <c r="BQ1276" t="s">
        <v>74</v>
      </c>
      <c r="BR1276" t="s">
        <v>96</v>
      </c>
      <c r="BS1276" t="s">
        <v>10964</v>
      </c>
      <c r="BT1276" t="str">
        <f>HYPERLINK("https%3A%2F%2Fwww.webofscience.com%2Fwos%2Fwoscc%2Ffull-record%2FWOS:000468822900004","View Full Record in Web of Science")</f>
        <v>View Full Record in Web of Science</v>
      </c>
    </row>
    <row r="1277" spans="1:72" x14ac:dyDescent="0.15">
      <c r="A1277" t="s">
        <v>98</v>
      </c>
      <c r="B1277" t="s">
        <v>11350</v>
      </c>
      <c r="C1277" t="s">
        <v>74</v>
      </c>
      <c r="D1277" t="s">
        <v>74</v>
      </c>
      <c r="E1277" t="s">
        <v>74</v>
      </c>
      <c r="F1277" t="s">
        <v>11351</v>
      </c>
      <c r="G1277" t="s">
        <v>74</v>
      </c>
      <c r="H1277" t="s">
        <v>74</v>
      </c>
      <c r="I1277" t="s">
        <v>11352</v>
      </c>
      <c r="J1277" t="s">
        <v>10077</v>
      </c>
      <c r="K1277" t="s">
        <v>74</v>
      </c>
      <c r="L1277" t="s">
        <v>74</v>
      </c>
      <c r="M1277" t="s">
        <v>74</v>
      </c>
      <c r="N1277" t="s">
        <v>103</v>
      </c>
      <c r="O1277" t="s">
        <v>74</v>
      </c>
      <c r="P1277" t="s">
        <v>74</v>
      </c>
      <c r="Q1277" t="s">
        <v>74</v>
      </c>
      <c r="R1277" t="s">
        <v>74</v>
      </c>
      <c r="S1277" t="s">
        <v>74</v>
      </c>
      <c r="T1277" t="s">
        <v>74</v>
      </c>
      <c r="U1277" t="s">
        <v>11353</v>
      </c>
      <c r="V1277" t="s">
        <v>11354</v>
      </c>
      <c r="W1277" t="s">
        <v>11355</v>
      </c>
      <c r="X1277" t="s">
        <v>11356</v>
      </c>
      <c r="Y1277" t="s">
        <v>11357</v>
      </c>
      <c r="Z1277" t="s">
        <v>11358</v>
      </c>
      <c r="AA1277" t="s">
        <v>74</v>
      </c>
      <c r="AB1277" t="s">
        <v>11359</v>
      </c>
      <c r="AC1277" t="s">
        <v>74</v>
      </c>
      <c r="AD1277" t="s">
        <v>74</v>
      </c>
      <c r="AE1277" t="s">
        <v>74</v>
      </c>
      <c r="AF1277" t="s">
        <v>74</v>
      </c>
      <c r="AG1277">
        <v>98</v>
      </c>
      <c r="AH1277">
        <v>8</v>
      </c>
      <c r="AI1277">
        <v>8</v>
      </c>
      <c r="AJ1277">
        <v>2</v>
      </c>
      <c r="AK1277">
        <v>8</v>
      </c>
      <c r="AL1277" t="s">
        <v>74</v>
      </c>
      <c r="AM1277" t="s">
        <v>74</v>
      </c>
      <c r="AN1277" t="s">
        <v>74</v>
      </c>
      <c r="AO1277" t="s">
        <v>74</v>
      </c>
      <c r="AP1277" t="s">
        <v>10085</v>
      </c>
      <c r="AQ1277" t="s">
        <v>74</v>
      </c>
      <c r="AR1277" t="s">
        <v>74</v>
      </c>
      <c r="AS1277" t="s">
        <v>74</v>
      </c>
      <c r="AT1277" t="s">
        <v>11360</v>
      </c>
      <c r="AU1277">
        <v>2020</v>
      </c>
      <c r="AV1277">
        <v>23</v>
      </c>
      <c r="AW1277">
        <v>8</v>
      </c>
      <c r="AX1277" t="s">
        <v>74</v>
      </c>
      <c r="AY1277" t="s">
        <v>74</v>
      </c>
      <c r="AZ1277" t="s">
        <v>74</v>
      </c>
      <c r="BA1277" t="s">
        <v>74</v>
      </c>
      <c r="BB1277" t="s">
        <v>74</v>
      </c>
      <c r="BC1277" t="s">
        <v>74</v>
      </c>
      <c r="BD1277">
        <v>101431</v>
      </c>
      <c r="BE1277" t="s">
        <v>11361</v>
      </c>
      <c r="BF1277" t="str">
        <f>HYPERLINK("http://dx.doi.org/10.1016/j.isci.2020.101431","http://dx.doi.org/10.1016/j.isci.2020.101431")</f>
        <v>http://dx.doi.org/10.1016/j.isci.2020.101431</v>
      </c>
      <c r="BG1277" t="s">
        <v>74</v>
      </c>
      <c r="BH1277" t="s">
        <v>74</v>
      </c>
      <c r="BI1277" t="s">
        <v>74</v>
      </c>
      <c r="BJ1277" t="s">
        <v>152</v>
      </c>
      <c r="BK1277" t="s">
        <v>117</v>
      </c>
      <c r="BL1277" t="s">
        <v>153</v>
      </c>
      <c r="BM1277" t="s">
        <v>74</v>
      </c>
      <c r="BN1277">
        <v>32798974</v>
      </c>
      <c r="BO1277" t="s">
        <v>74</v>
      </c>
      <c r="BP1277" t="s">
        <v>74</v>
      </c>
      <c r="BQ1277" t="s">
        <v>74</v>
      </c>
      <c r="BR1277" t="s">
        <v>96</v>
      </c>
      <c r="BS1277" t="s">
        <v>11362</v>
      </c>
      <c r="BT1277" t="str">
        <f>HYPERLINK("https%3A%2F%2Fwww.webofscience.com%2Fwos%2Fwoscc%2Ffull-record%2FWOS:000571001700003","View Full Record in Web of Science")</f>
        <v>View Full Record in Web of Science</v>
      </c>
    </row>
    <row r="1278" spans="1:72" x14ac:dyDescent="0.15">
      <c r="A1278" t="s">
        <v>98</v>
      </c>
      <c r="B1278" t="s">
        <v>11447</v>
      </c>
      <c r="C1278" t="s">
        <v>74</v>
      </c>
      <c r="D1278" t="s">
        <v>74</v>
      </c>
      <c r="E1278" t="s">
        <v>74</v>
      </c>
      <c r="F1278" t="s">
        <v>11448</v>
      </c>
      <c r="G1278" t="s">
        <v>74</v>
      </c>
      <c r="H1278" t="s">
        <v>74</v>
      </c>
      <c r="I1278" t="s">
        <v>11449</v>
      </c>
      <c r="J1278" t="s">
        <v>8454</v>
      </c>
      <c r="K1278" t="s">
        <v>74</v>
      </c>
      <c r="L1278" t="s">
        <v>74</v>
      </c>
      <c r="M1278" t="s">
        <v>74</v>
      </c>
      <c r="N1278" t="s">
        <v>103</v>
      </c>
      <c r="O1278" t="s">
        <v>74</v>
      </c>
      <c r="P1278" t="s">
        <v>74</v>
      </c>
      <c r="Q1278" t="s">
        <v>74</v>
      </c>
      <c r="R1278" t="s">
        <v>74</v>
      </c>
      <c r="S1278" t="s">
        <v>74</v>
      </c>
      <c r="T1278" t="s">
        <v>11450</v>
      </c>
      <c r="U1278" t="s">
        <v>11451</v>
      </c>
      <c r="V1278" t="s">
        <v>11452</v>
      </c>
      <c r="W1278" t="s">
        <v>11453</v>
      </c>
      <c r="X1278" t="s">
        <v>11454</v>
      </c>
      <c r="Y1278" t="s">
        <v>11455</v>
      </c>
      <c r="Z1278" t="s">
        <v>11456</v>
      </c>
      <c r="AA1278" t="s">
        <v>74</v>
      </c>
      <c r="AB1278" t="s">
        <v>11457</v>
      </c>
      <c r="AC1278" t="s">
        <v>74</v>
      </c>
      <c r="AD1278" t="s">
        <v>74</v>
      </c>
      <c r="AE1278" t="s">
        <v>74</v>
      </c>
      <c r="AF1278" t="s">
        <v>74</v>
      </c>
      <c r="AG1278">
        <v>98</v>
      </c>
      <c r="AH1278">
        <v>8</v>
      </c>
      <c r="AI1278">
        <v>8</v>
      </c>
      <c r="AJ1278">
        <v>4</v>
      </c>
      <c r="AK1278">
        <v>15</v>
      </c>
      <c r="AL1278" t="s">
        <v>74</v>
      </c>
      <c r="AM1278" t="s">
        <v>74</v>
      </c>
      <c r="AN1278" t="s">
        <v>74</v>
      </c>
      <c r="AO1278" t="s">
        <v>8463</v>
      </c>
      <c r="AP1278" t="s">
        <v>8464</v>
      </c>
      <c r="AQ1278" t="s">
        <v>74</v>
      </c>
      <c r="AR1278" t="s">
        <v>74</v>
      </c>
      <c r="AS1278" t="s">
        <v>74</v>
      </c>
      <c r="AT1278" t="s">
        <v>211</v>
      </c>
      <c r="AU1278">
        <v>2021</v>
      </c>
      <c r="AV1278">
        <v>143</v>
      </c>
      <c r="AW1278" t="s">
        <v>74</v>
      </c>
      <c r="AX1278" t="s">
        <v>74</v>
      </c>
      <c r="AY1278" t="s">
        <v>74</v>
      </c>
      <c r="AZ1278" t="s">
        <v>74</v>
      </c>
      <c r="BA1278" t="s">
        <v>74</v>
      </c>
      <c r="BB1278" t="s">
        <v>74</v>
      </c>
      <c r="BC1278" t="s">
        <v>74</v>
      </c>
      <c r="BD1278">
        <v>112118</v>
      </c>
      <c r="BE1278" t="s">
        <v>11458</v>
      </c>
      <c r="BF1278" t="str">
        <f>HYPERLINK("http://dx.doi.org/10.1016/j.biopha.2021.112118","http://dx.doi.org/10.1016/j.biopha.2021.112118")</f>
        <v>http://dx.doi.org/10.1016/j.biopha.2021.112118</v>
      </c>
      <c r="BG1278" t="s">
        <v>74</v>
      </c>
      <c r="BH1278" t="s">
        <v>395</v>
      </c>
      <c r="BI1278" t="s">
        <v>74</v>
      </c>
      <c r="BJ1278" t="s">
        <v>191</v>
      </c>
      <c r="BK1278" t="s">
        <v>117</v>
      </c>
      <c r="BL1278" t="s">
        <v>192</v>
      </c>
      <c r="BM1278" t="s">
        <v>74</v>
      </c>
      <c r="BN1278">
        <v>34481378</v>
      </c>
      <c r="BO1278" t="s">
        <v>74</v>
      </c>
      <c r="BP1278" t="s">
        <v>74</v>
      </c>
      <c r="BQ1278" t="s">
        <v>74</v>
      </c>
      <c r="BR1278" t="s">
        <v>96</v>
      </c>
      <c r="BS1278" t="s">
        <v>11459</v>
      </c>
      <c r="BT1278" t="str">
        <f>HYPERLINK("https%3A%2F%2Fwww.webofscience.com%2Fwos%2Fwoscc%2Ffull-record%2FWOS:000696985100011","View Full Record in Web of Science")</f>
        <v>View Full Record in Web of Science</v>
      </c>
    </row>
    <row r="1279" spans="1:72" x14ac:dyDescent="0.15">
      <c r="A1279" t="s">
        <v>98</v>
      </c>
      <c r="B1279" t="s">
        <v>11673</v>
      </c>
      <c r="C1279" t="s">
        <v>74</v>
      </c>
      <c r="D1279" t="s">
        <v>74</v>
      </c>
      <c r="E1279" t="s">
        <v>74</v>
      </c>
      <c r="F1279" t="s">
        <v>11674</v>
      </c>
      <c r="G1279" t="s">
        <v>74</v>
      </c>
      <c r="H1279" t="s">
        <v>74</v>
      </c>
      <c r="I1279" t="s">
        <v>11675</v>
      </c>
      <c r="J1279" t="s">
        <v>7962</v>
      </c>
      <c r="K1279" t="s">
        <v>74</v>
      </c>
      <c r="L1279" t="s">
        <v>74</v>
      </c>
      <c r="M1279" t="s">
        <v>74</v>
      </c>
      <c r="N1279" t="s">
        <v>103</v>
      </c>
      <c r="O1279" t="s">
        <v>74</v>
      </c>
      <c r="P1279" t="s">
        <v>74</v>
      </c>
      <c r="Q1279" t="s">
        <v>74</v>
      </c>
      <c r="R1279" t="s">
        <v>74</v>
      </c>
      <c r="S1279" t="s">
        <v>74</v>
      </c>
      <c r="T1279" t="s">
        <v>74</v>
      </c>
      <c r="U1279" t="s">
        <v>11676</v>
      </c>
      <c r="V1279" t="s">
        <v>11677</v>
      </c>
      <c r="W1279" t="s">
        <v>11678</v>
      </c>
      <c r="X1279" t="s">
        <v>11679</v>
      </c>
      <c r="Y1279" t="s">
        <v>11680</v>
      </c>
      <c r="Z1279" t="s">
        <v>10977</v>
      </c>
      <c r="AA1279" t="s">
        <v>11681</v>
      </c>
      <c r="AB1279" t="s">
        <v>11682</v>
      </c>
      <c r="AC1279" t="s">
        <v>74</v>
      </c>
      <c r="AD1279" t="s">
        <v>74</v>
      </c>
      <c r="AE1279" t="s">
        <v>74</v>
      </c>
      <c r="AF1279" t="s">
        <v>74</v>
      </c>
      <c r="AG1279">
        <v>40</v>
      </c>
      <c r="AH1279">
        <v>8</v>
      </c>
      <c r="AI1279">
        <v>8</v>
      </c>
      <c r="AJ1279">
        <v>1</v>
      </c>
      <c r="AK1279">
        <v>6</v>
      </c>
      <c r="AL1279" t="s">
        <v>74</v>
      </c>
      <c r="AM1279" t="s">
        <v>74</v>
      </c>
      <c r="AN1279" t="s">
        <v>74</v>
      </c>
      <c r="AO1279" t="s">
        <v>74</v>
      </c>
      <c r="AP1279" t="s">
        <v>7970</v>
      </c>
      <c r="AQ1279" t="s">
        <v>74</v>
      </c>
      <c r="AR1279" t="s">
        <v>74</v>
      </c>
      <c r="AS1279" t="s">
        <v>74</v>
      </c>
      <c r="AT1279" t="s">
        <v>9083</v>
      </c>
      <c r="AU1279">
        <v>2020</v>
      </c>
      <c r="AV1279">
        <v>3</v>
      </c>
      <c r="AW1279">
        <v>1</v>
      </c>
      <c r="AX1279" t="s">
        <v>74</v>
      </c>
      <c r="AY1279" t="s">
        <v>74</v>
      </c>
      <c r="AZ1279" t="s">
        <v>74</v>
      </c>
      <c r="BA1279" t="s">
        <v>74</v>
      </c>
      <c r="BB1279" t="s">
        <v>74</v>
      </c>
      <c r="BC1279" t="s">
        <v>74</v>
      </c>
      <c r="BD1279">
        <v>613</v>
      </c>
      <c r="BE1279" t="s">
        <v>11683</v>
      </c>
      <c r="BF1279" t="str">
        <f>HYPERLINK("http://dx.doi.org/10.1038/s42003-020-01336-y","http://dx.doi.org/10.1038/s42003-020-01336-y")</f>
        <v>http://dx.doi.org/10.1038/s42003-020-01336-y</v>
      </c>
      <c r="BG1279" t="s">
        <v>74</v>
      </c>
      <c r="BH1279" t="s">
        <v>74</v>
      </c>
      <c r="BI1279" t="s">
        <v>74</v>
      </c>
      <c r="BJ1279" t="s">
        <v>7972</v>
      </c>
      <c r="BK1279" t="s">
        <v>117</v>
      </c>
      <c r="BL1279" t="s">
        <v>7973</v>
      </c>
      <c r="BM1279" t="s">
        <v>74</v>
      </c>
      <c r="BN1279">
        <v>33106557</v>
      </c>
      <c r="BO1279" t="s">
        <v>74</v>
      </c>
      <c r="BP1279" t="s">
        <v>74</v>
      </c>
      <c r="BQ1279" t="s">
        <v>74</v>
      </c>
      <c r="BR1279" t="s">
        <v>96</v>
      </c>
      <c r="BS1279" t="s">
        <v>11684</v>
      </c>
      <c r="BT1279" t="str">
        <f>HYPERLINK("https%3A%2F%2Fwww.webofscience.com%2Fwos%2Fwoscc%2Ffull-record%2FWOS:000588473600001","View Full Record in Web of Science")</f>
        <v>View Full Record in Web of Science</v>
      </c>
    </row>
    <row r="1280" spans="1:72" x14ac:dyDescent="0.15">
      <c r="A1280" t="s">
        <v>98</v>
      </c>
      <c r="B1280" t="s">
        <v>11808</v>
      </c>
      <c r="C1280" t="s">
        <v>74</v>
      </c>
      <c r="D1280" t="s">
        <v>74</v>
      </c>
      <c r="E1280" t="s">
        <v>74</v>
      </c>
      <c r="F1280" t="s">
        <v>11809</v>
      </c>
      <c r="G1280" t="s">
        <v>74</v>
      </c>
      <c r="H1280" t="s">
        <v>74</v>
      </c>
      <c r="I1280" t="s">
        <v>11810</v>
      </c>
      <c r="J1280" t="s">
        <v>11811</v>
      </c>
      <c r="K1280" t="s">
        <v>74</v>
      </c>
      <c r="L1280" t="s">
        <v>74</v>
      </c>
      <c r="M1280" t="s">
        <v>74</v>
      </c>
      <c r="N1280" t="s">
        <v>103</v>
      </c>
      <c r="O1280" t="s">
        <v>74</v>
      </c>
      <c r="P1280" t="s">
        <v>74</v>
      </c>
      <c r="Q1280" t="s">
        <v>74</v>
      </c>
      <c r="R1280" t="s">
        <v>74</v>
      </c>
      <c r="S1280" t="s">
        <v>74</v>
      </c>
      <c r="T1280" t="s">
        <v>74</v>
      </c>
      <c r="U1280" t="s">
        <v>11812</v>
      </c>
      <c r="V1280" t="s">
        <v>11813</v>
      </c>
      <c r="W1280" t="s">
        <v>11814</v>
      </c>
      <c r="X1280" t="s">
        <v>11815</v>
      </c>
      <c r="Y1280" t="s">
        <v>11816</v>
      </c>
      <c r="Z1280" t="s">
        <v>11817</v>
      </c>
      <c r="AA1280" t="s">
        <v>11818</v>
      </c>
      <c r="AB1280" t="s">
        <v>11819</v>
      </c>
      <c r="AC1280" t="s">
        <v>74</v>
      </c>
      <c r="AD1280" t="s">
        <v>74</v>
      </c>
      <c r="AE1280" t="s">
        <v>74</v>
      </c>
      <c r="AF1280" t="s">
        <v>74</v>
      </c>
      <c r="AG1280">
        <v>45</v>
      </c>
      <c r="AH1280">
        <v>8</v>
      </c>
      <c r="AI1280">
        <v>8</v>
      </c>
      <c r="AJ1280">
        <v>2</v>
      </c>
      <c r="AK1280">
        <v>11</v>
      </c>
      <c r="AL1280" t="s">
        <v>74</v>
      </c>
      <c r="AM1280" t="s">
        <v>74</v>
      </c>
      <c r="AN1280" t="s">
        <v>74</v>
      </c>
      <c r="AO1280" t="s">
        <v>11820</v>
      </c>
      <c r="AP1280" t="s">
        <v>74</v>
      </c>
      <c r="AQ1280" t="s">
        <v>74</v>
      </c>
      <c r="AR1280" t="s">
        <v>74</v>
      </c>
      <c r="AS1280" t="s">
        <v>74</v>
      </c>
      <c r="AT1280" t="s">
        <v>3220</v>
      </c>
      <c r="AU1280">
        <v>2021</v>
      </c>
      <c r="AV1280">
        <v>12</v>
      </c>
      <c r="AW1280">
        <v>9</v>
      </c>
      <c r="AX1280" t="s">
        <v>74</v>
      </c>
      <c r="AY1280" t="s">
        <v>74</v>
      </c>
      <c r="AZ1280" t="s">
        <v>74</v>
      </c>
      <c r="BA1280" t="s">
        <v>74</v>
      </c>
      <c r="BB1280" t="s">
        <v>74</v>
      </c>
      <c r="BC1280" t="s">
        <v>74</v>
      </c>
      <c r="BD1280">
        <v>815</v>
      </c>
      <c r="BE1280" t="s">
        <v>11821</v>
      </c>
      <c r="BF1280" t="str">
        <f>HYPERLINK("http://dx.doi.org/10.1038/s41419-021-04101-z","http://dx.doi.org/10.1038/s41419-021-04101-z")</f>
        <v>http://dx.doi.org/10.1038/s41419-021-04101-z</v>
      </c>
      <c r="BG1280" t="s">
        <v>74</v>
      </c>
      <c r="BH1280" t="s">
        <v>74</v>
      </c>
      <c r="BI1280" t="s">
        <v>74</v>
      </c>
      <c r="BJ1280" t="s">
        <v>135</v>
      </c>
      <c r="BK1280" t="s">
        <v>117</v>
      </c>
      <c r="BL1280" t="s">
        <v>135</v>
      </c>
      <c r="BM1280" t="s">
        <v>74</v>
      </c>
      <c r="BN1280">
        <v>34453041</v>
      </c>
      <c r="BO1280" t="s">
        <v>74</v>
      </c>
      <c r="BP1280" t="s">
        <v>74</v>
      </c>
      <c r="BQ1280" t="s">
        <v>74</v>
      </c>
      <c r="BR1280" t="s">
        <v>96</v>
      </c>
      <c r="BS1280" t="s">
        <v>11822</v>
      </c>
      <c r="BT1280" t="str">
        <f>HYPERLINK("https%3A%2F%2Fwww.webofscience.com%2Fwos%2Fwoscc%2Ffull-record%2FWOS:000690954100004","View Full Record in Web of Science")</f>
        <v>View Full Record in Web of Science</v>
      </c>
    </row>
    <row r="1281" spans="1:72" x14ac:dyDescent="0.15">
      <c r="A1281" t="s">
        <v>98</v>
      </c>
      <c r="B1281" t="s">
        <v>12033</v>
      </c>
      <c r="C1281" t="s">
        <v>74</v>
      </c>
      <c r="D1281" t="s">
        <v>74</v>
      </c>
      <c r="E1281" t="s">
        <v>74</v>
      </c>
      <c r="F1281" t="s">
        <v>12034</v>
      </c>
      <c r="G1281" t="s">
        <v>74</v>
      </c>
      <c r="H1281" t="s">
        <v>74</v>
      </c>
      <c r="I1281" t="s">
        <v>12035</v>
      </c>
      <c r="J1281" t="s">
        <v>140</v>
      </c>
      <c r="K1281" t="s">
        <v>74</v>
      </c>
      <c r="L1281" t="s">
        <v>74</v>
      </c>
      <c r="M1281" t="s">
        <v>74</v>
      </c>
      <c r="N1281" t="s">
        <v>103</v>
      </c>
      <c r="O1281" t="s">
        <v>74</v>
      </c>
      <c r="P1281" t="s">
        <v>74</v>
      </c>
      <c r="Q1281" t="s">
        <v>74</v>
      </c>
      <c r="R1281" t="s">
        <v>74</v>
      </c>
      <c r="S1281" t="s">
        <v>74</v>
      </c>
      <c r="T1281" t="s">
        <v>74</v>
      </c>
      <c r="U1281" t="s">
        <v>12036</v>
      </c>
      <c r="V1281" t="s">
        <v>12037</v>
      </c>
      <c r="W1281" t="s">
        <v>12038</v>
      </c>
      <c r="X1281" t="s">
        <v>12039</v>
      </c>
      <c r="Y1281" t="s">
        <v>12040</v>
      </c>
      <c r="Z1281" t="s">
        <v>12041</v>
      </c>
      <c r="AA1281" t="s">
        <v>12042</v>
      </c>
      <c r="AB1281" t="s">
        <v>12043</v>
      </c>
      <c r="AC1281" t="s">
        <v>74</v>
      </c>
      <c r="AD1281" t="s">
        <v>74</v>
      </c>
      <c r="AE1281" t="s">
        <v>74</v>
      </c>
      <c r="AF1281" t="s">
        <v>74</v>
      </c>
      <c r="AG1281">
        <v>74</v>
      </c>
      <c r="AH1281">
        <v>8</v>
      </c>
      <c r="AI1281">
        <v>8</v>
      </c>
      <c r="AJ1281">
        <v>0</v>
      </c>
      <c r="AK1281">
        <v>5</v>
      </c>
      <c r="AL1281" t="s">
        <v>74</v>
      </c>
      <c r="AM1281" t="s">
        <v>74</v>
      </c>
      <c r="AN1281" t="s">
        <v>74</v>
      </c>
      <c r="AO1281" t="s">
        <v>149</v>
      </c>
      <c r="AP1281" t="s">
        <v>74</v>
      </c>
      <c r="AQ1281" t="s">
        <v>74</v>
      </c>
      <c r="AR1281" t="s">
        <v>74</v>
      </c>
      <c r="AS1281" t="s">
        <v>74</v>
      </c>
      <c r="AT1281" t="s">
        <v>5955</v>
      </c>
      <c r="AU1281">
        <v>2020</v>
      </c>
      <c r="AV1281">
        <v>10</v>
      </c>
      <c r="AW1281">
        <v>1</v>
      </c>
      <c r="AX1281" t="s">
        <v>74</v>
      </c>
      <c r="AY1281" t="s">
        <v>74</v>
      </c>
      <c r="AZ1281" t="s">
        <v>74</v>
      </c>
      <c r="BA1281" t="s">
        <v>74</v>
      </c>
      <c r="BB1281" t="s">
        <v>74</v>
      </c>
      <c r="BC1281" t="s">
        <v>74</v>
      </c>
      <c r="BD1281">
        <v>15824</v>
      </c>
      <c r="BE1281" t="s">
        <v>12044</v>
      </c>
      <c r="BF1281" t="str">
        <f>HYPERLINK("http://dx.doi.org/10.1038/s41598-020-72706-z","http://dx.doi.org/10.1038/s41598-020-72706-z")</f>
        <v>http://dx.doi.org/10.1038/s41598-020-72706-z</v>
      </c>
      <c r="BG1281" t="s">
        <v>74</v>
      </c>
      <c r="BH1281" t="s">
        <v>74</v>
      </c>
      <c r="BI1281" t="s">
        <v>74</v>
      </c>
      <c r="BJ1281" t="s">
        <v>152</v>
      </c>
      <c r="BK1281" t="s">
        <v>117</v>
      </c>
      <c r="BL1281" t="s">
        <v>153</v>
      </c>
      <c r="BM1281" t="s">
        <v>74</v>
      </c>
      <c r="BN1281">
        <v>32978452</v>
      </c>
      <c r="BO1281" t="s">
        <v>74</v>
      </c>
      <c r="BP1281" t="s">
        <v>74</v>
      </c>
      <c r="BQ1281" t="s">
        <v>74</v>
      </c>
      <c r="BR1281" t="s">
        <v>96</v>
      </c>
      <c r="BS1281" t="s">
        <v>12045</v>
      </c>
      <c r="BT1281" t="str">
        <f>HYPERLINK("https%3A%2F%2Fwww.webofscience.com%2Fwos%2Fwoscc%2Ffull-record%2FWOS:000577252400055","View Full Record in Web of Science")</f>
        <v>View Full Record in Web of Science</v>
      </c>
    </row>
    <row r="1282" spans="1:72" x14ac:dyDescent="0.15">
      <c r="A1282" t="s">
        <v>98</v>
      </c>
      <c r="B1282" t="s">
        <v>12313</v>
      </c>
      <c r="C1282" t="s">
        <v>74</v>
      </c>
      <c r="D1282" t="s">
        <v>74</v>
      </c>
      <c r="E1282" t="s">
        <v>74</v>
      </c>
      <c r="F1282" t="s">
        <v>12314</v>
      </c>
      <c r="G1282" t="s">
        <v>74</v>
      </c>
      <c r="H1282" t="s">
        <v>74</v>
      </c>
      <c r="I1282" t="s">
        <v>12315</v>
      </c>
      <c r="J1282" t="s">
        <v>2505</v>
      </c>
      <c r="K1282" t="s">
        <v>74</v>
      </c>
      <c r="L1282" t="s">
        <v>74</v>
      </c>
      <c r="M1282" t="s">
        <v>74</v>
      </c>
      <c r="N1282" t="s">
        <v>103</v>
      </c>
      <c r="O1282" t="s">
        <v>74</v>
      </c>
      <c r="P1282" t="s">
        <v>74</v>
      </c>
      <c r="Q1282" t="s">
        <v>74</v>
      </c>
      <c r="R1282" t="s">
        <v>74</v>
      </c>
      <c r="S1282" t="s">
        <v>74</v>
      </c>
      <c r="T1282" t="s">
        <v>12316</v>
      </c>
      <c r="U1282" t="s">
        <v>12317</v>
      </c>
      <c r="V1282" t="s">
        <v>12318</v>
      </c>
      <c r="W1282" t="s">
        <v>12319</v>
      </c>
      <c r="X1282" t="s">
        <v>12320</v>
      </c>
      <c r="Y1282" t="s">
        <v>12321</v>
      </c>
      <c r="Z1282" t="s">
        <v>12322</v>
      </c>
      <c r="AA1282" t="s">
        <v>74</v>
      </c>
      <c r="AB1282" t="s">
        <v>74</v>
      </c>
      <c r="AC1282" t="s">
        <v>74</v>
      </c>
      <c r="AD1282" t="s">
        <v>74</v>
      </c>
      <c r="AE1282" t="s">
        <v>74</v>
      </c>
      <c r="AF1282" t="s">
        <v>74</v>
      </c>
      <c r="AG1282">
        <v>106</v>
      </c>
      <c r="AH1282">
        <v>8</v>
      </c>
      <c r="AI1282">
        <v>8</v>
      </c>
      <c r="AJ1282">
        <v>3</v>
      </c>
      <c r="AK1282">
        <v>22</v>
      </c>
      <c r="AL1282" t="s">
        <v>74</v>
      </c>
      <c r="AM1282" t="s">
        <v>74</v>
      </c>
      <c r="AN1282" t="s">
        <v>74</v>
      </c>
      <c r="AO1282" t="s">
        <v>2513</v>
      </c>
      <c r="AP1282" t="s">
        <v>2514</v>
      </c>
      <c r="AQ1282" t="s">
        <v>74</v>
      </c>
      <c r="AR1282" t="s">
        <v>74</v>
      </c>
      <c r="AS1282" t="s">
        <v>74</v>
      </c>
      <c r="AT1282" t="s">
        <v>189</v>
      </c>
      <c r="AU1282">
        <v>2019</v>
      </c>
      <c r="AV1282">
        <v>120</v>
      </c>
      <c r="AW1282">
        <v>10</v>
      </c>
      <c r="AX1282" t="s">
        <v>74</v>
      </c>
      <c r="AY1282" t="s">
        <v>74</v>
      </c>
      <c r="AZ1282" t="s">
        <v>74</v>
      </c>
      <c r="BA1282" t="s">
        <v>74</v>
      </c>
      <c r="BB1282">
        <v>16307</v>
      </c>
      <c r="BC1282">
        <v>16315</v>
      </c>
      <c r="BD1282" t="s">
        <v>74</v>
      </c>
      <c r="BE1282" t="s">
        <v>12323</v>
      </c>
      <c r="BF1282" t="str">
        <f>HYPERLINK("http://dx.doi.org/10.1002/jcb.29018","http://dx.doi.org/10.1002/jcb.29018")</f>
        <v>http://dx.doi.org/10.1002/jcb.29018</v>
      </c>
      <c r="BG1282" t="s">
        <v>74</v>
      </c>
      <c r="BH1282" t="s">
        <v>74</v>
      </c>
      <c r="BI1282" t="s">
        <v>74</v>
      </c>
      <c r="BJ1282" t="s">
        <v>498</v>
      </c>
      <c r="BK1282" t="s">
        <v>117</v>
      </c>
      <c r="BL1282" t="s">
        <v>498</v>
      </c>
      <c r="BM1282" t="s">
        <v>74</v>
      </c>
      <c r="BN1282">
        <v>31127656</v>
      </c>
      <c r="BO1282" t="s">
        <v>74</v>
      </c>
      <c r="BP1282" t="s">
        <v>74</v>
      </c>
      <c r="BQ1282" t="s">
        <v>74</v>
      </c>
      <c r="BR1282" t="s">
        <v>96</v>
      </c>
      <c r="BS1282" t="s">
        <v>12324</v>
      </c>
      <c r="BT1282" t="str">
        <f>HYPERLINK("https%3A%2F%2Fwww.webofscience.com%2Fwos%2Fwoscc%2Ffull-record%2FWOS:000483551100001","View Full Record in Web of Science")</f>
        <v>View Full Record in Web of Science</v>
      </c>
    </row>
    <row r="1283" spans="1:72" x14ac:dyDescent="0.15">
      <c r="A1283" t="s">
        <v>98</v>
      </c>
      <c r="B1283" t="s">
        <v>15066</v>
      </c>
      <c r="C1283" t="s">
        <v>74</v>
      </c>
      <c r="D1283" t="s">
        <v>74</v>
      </c>
      <c r="E1283" t="s">
        <v>74</v>
      </c>
      <c r="F1283" t="s">
        <v>15067</v>
      </c>
      <c r="G1283" t="s">
        <v>74</v>
      </c>
      <c r="H1283" t="s">
        <v>74</v>
      </c>
      <c r="I1283" t="s">
        <v>15068</v>
      </c>
      <c r="J1283" t="s">
        <v>140</v>
      </c>
      <c r="K1283" t="s">
        <v>74</v>
      </c>
      <c r="L1283" t="s">
        <v>74</v>
      </c>
      <c r="M1283" t="s">
        <v>74</v>
      </c>
      <c r="N1283" t="s">
        <v>103</v>
      </c>
      <c r="O1283" t="s">
        <v>74</v>
      </c>
      <c r="P1283" t="s">
        <v>74</v>
      </c>
      <c r="Q1283" t="s">
        <v>74</v>
      </c>
      <c r="R1283" t="s">
        <v>74</v>
      </c>
      <c r="S1283" t="s">
        <v>74</v>
      </c>
      <c r="T1283" t="s">
        <v>74</v>
      </c>
      <c r="U1283" t="s">
        <v>15069</v>
      </c>
      <c r="V1283" t="s">
        <v>15070</v>
      </c>
      <c r="W1283" t="s">
        <v>15071</v>
      </c>
      <c r="X1283" t="s">
        <v>15072</v>
      </c>
      <c r="Y1283" t="s">
        <v>15073</v>
      </c>
      <c r="Z1283" t="s">
        <v>15074</v>
      </c>
      <c r="AA1283" t="s">
        <v>15075</v>
      </c>
      <c r="AB1283" t="s">
        <v>15076</v>
      </c>
      <c r="AC1283" t="s">
        <v>74</v>
      </c>
      <c r="AD1283" t="s">
        <v>74</v>
      </c>
      <c r="AE1283" t="s">
        <v>74</v>
      </c>
      <c r="AF1283" t="s">
        <v>74</v>
      </c>
      <c r="AG1283">
        <v>76</v>
      </c>
      <c r="AH1283">
        <v>8</v>
      </c>
      <c r="AI1283">
        <v>8</v>
      </c>
      <c r="AJ1283">
        <v>0</v>
      </c>
      <c r="AK1283">
        <v>8</v>
      </c>
      <c r="AL1283" t="s">
        <v>74</v>
      </c>
      <c r="AM1283" t="s">
        <v>74</v>
      </c>
      <c r="AN1283" t="s">
        <v>74</v>
      </c>
      <c r="AO1283" t="s">
        <v>149</v>
      </c>
      <c r="AP1283" t="s">
        <v>74</v>
      </c>
      <c r="AQ1283" t="s">
        <v>74</v>
      </c>
      <c r="AR1283" t="s">
        <v>74</v>
      </c>
      <c r="AS1283" t="s">
        <v>74</v>
      </c>
      <c r="AT1283" t="s">
        <v>15077</v>
      </c>
      <c r="AU1283">
        <v>2018</v>
      </c>
      <c r="AV1283">
        <v>8</v>
      </c>
      <c r="AW1283" t="s">
        <v>74</v>
      </c>
      <c r="AX1283" t="s">
        <v>74</v>
      </c>
      <c r="AY1283" t="s">
        <v>74</v>
      </c>
      <c r="AZ1283" t="s">
        <v>74</v>
      </c>
      <c r="BA1283" t="s">
        <v>74</v>
      </c>
      <c r="BB1283" t="s">
        <v>74</v>
      </c>
      <c r="BC1283" t="s">
        <v>74</v>
      </c>
      <c r="BD1283">
        <v>8551</v>
      </c>
      <c r="BE1283" t="s">
        <v>15078</v>
      </c>
      <c r="BF1283" t="str">
        <f>HYPERLINK("http://dx.doi.org/10.1038/s41598-018-26487-1","http://dx.doi.org/10.1038/s41598-018-26487-1")</f>
        <v>http://dx.doi.org/10.1038/s41598-018-26487-1</v>
      </c>
      <c r="BG1283" t="s">
        <v>74</v>
      </c>
      <c r="BH1283" t="s">
        <v>74</v>
      </c>
      <c r="BI1283" t="s">
        <v>74</v>
      </c>
      <c r="BJ1283" t="s">
        <v>152</v>
      </c>
      <c r="BK1283" t="s">
        <v>117</v>
      </c>
      <c r="BL1283" t="s">
        <v>153</v>
      </c>
      <c r="BM1283" t="s">
        <v>74</v>
      </c>
      <c r="BN1283">
        <v>29867148</v>
      </c>
      <c r="BO1283" t="s">
        <v>74</v>
      </c>
      <c r="BP1283" t="s">
        <v>74</v>
      </c>
      <c r="BQ1283" t="s">
        <v>74</v>
      </c>
      <c r="BR1283" t="s">
        <v>96</v>
      </c>
      <c r="BS1283" t="s">
        <v>15079</v>
      </c>
      <c r="BT1283" t="str">
        <f>HYPERLINK("https%3A%2F%2Fwww.webofscience.com%2Fwos%2Fwoscc%2Ffull-record%2FWOS:000434011100038","View Full Record in Web of Science")</f>
        <v>View Full Record in Web of Science</v>
      </c>
    </row>
    <row r="1284" spans="1:72" x14ac:dyDescent="0.15">
      <c r="A1284" t="s">
        <v>98</v>
      </c>
      <c r="B1284" t="s">
        <v>16628</v>
      </c>
      <c r="C1284" t="s">
        <v>74</v>
      </c>
      <c r="D1284" t="s">
        <v>74</v>
      </c>
      <c r="E1284" t="s">
        <v>74</v>
      </c>
      <c r="F1284" t="s">
        <v>16629</v>
      </c>
      <c r="G1284" t="s">
        <v>74</v>
      </c>
      <c r="H1284" t="s">
        <v>74</v>
      </c>
      <c r="I1284" t="s">
        <v>16630</v>
      </c>
      <c r="J1284" t="s">
        <v>2520</v>
      </c>
      <c r="K1284" t="s">
        <v>74</v>
      </c>
      <c r="L1284" t="s">
        <v>74</v>
      </c>
      <c r="M1284" t="s">
        <v>74</v>
      </c>
      <c r="N1284" t="s">
        <v>103</v>
      </c>
      <c r="O1284" t="s">
        <v>74</v>
      </c>
      <c r="P1284" t="s">
        <v>74</v>
      </c>
      <c r="Q1284" t="s">
        <v>74</v>
      </c>
      <c r="R1284" t="s">
        <v>74</v>
      </c>
      <c r="S1284" t="s">
        <v>74</v>
      </c>
      <c r="T1284" t="s">
        <v>16631</v>
      </c>
      <c r="U1284" t="s">
        <v>16632</v>
      </c>
      <c r="V1284" t="s">
        <v>16633</v>
      </c>
      <c r="W1284" t="s">
        <v>16634</v>
      </c>
      <c r="X1284" t="s">
        <v>11356</v>
      </c>
      <c r="Y1284" t="s">
        <v>16635</v>
      </c>
      <c r="Z1284" t="s">
        <v>16636</v>
      </c>
      <c r="AA1284" t="s">
        <v>16637</v>
      </c>
      <c r="AB1284" t="s">
        <v>16638</v>
      </c>
      <c r="AC1284" t="s">
        <v>74</v>
      </c>
      <c r="AD1284" t="s">
        <v>74</v>
      </c>
      <c r="AE1284" t="s">
        <v>74</v>
      </c>
      <c r="AF1284" t="s">
        <v>74</v>
      </c>
      <c r="AG1284">
        <v>62</v>
      </c>
      <c r="AH1284">
        <v>8</v>
      </c>
      <c r="AI1284">
        <v>9</v>
      </c>
      <c r="AJ1284">
        <v>3</v>
      </c>
      <c r="AK1284">
        <v>17</v>
      </c>
      <c r="AL1284" t="s">
        <v>74</v>
      </c>
      <c r="AM1284" t="s">
        <v>74</v>
      </c>
      <c r="AN1284" t="s">
        <v>74</v>
      </c>
      <c r="AO1284" t="s">
        <v>74</v>
      </c>
      <c r="AP1284" t="s">
        <v>2529</v>
      </c>
      <c r="AQ1284" t="s">
        <v>74</v>
      </c>
      <c r="AR1284" t="s">
        <v>74</v>
      </c>
      <c r="AS1284" t="s">
        <v>74</v>
      </c>
      <c r="AT1284" t="s">
        <v>16639</v>
      </c>
      <c r="AU1284">
        <v>2019</v>
      </c>
      <c r="AV1284">
        <v>10</v>
      </c>
      <c r="AW1284" t="s">
        <v>74</v>
      </c>
      <c r="AX1284" t="s">
        <v>74</v>
      </c>
      <c r="AY1284" t="s">
        <v>74</v>
      </c>
      <c r="AZ1284" t="s">
        <v>74</v>
      </c>
      <c r="BA1284" t="s">
        <v>74</v>
      </c>
      <c r="BB1284" t="s">
        <v>74</v>
      </c>
      <c r="BC1284" t="s">
        <v>74</v>
      </c>
      <c r="BD1284">
        <v>1705</v>
      </c>
      <c r="BE1284" t="s">
        <v>16640</v>
      </c>
      <c r="BF1284" t="str">
        <f>HYPERLINK("http://dx.doi.org/10.3389/fmicb.2019.01705","http://dx.doi.org/10.3389/fmicb.2019.01705")</f>
        <v>http://dx.doi.org/10.3389/fmicb.2019.01705</v>
      </c>
      <c r="BG1284" t="s">
        <v>74</v>
      </c>
      <c r="BH1284" t="s">
        <v>74</v>
      </c>
      <c r="BI1284" t="s">
        <v>74</v>
      </c>
      <c r="BJ1284" t="s">
        <v>898</v>
      </c>
      <c r="BK1284" t="s">
        <v>117</v>
      </c>
      <c r="BL1284" t="s">
        <v>898</v>
      </c>
      <c r="BM1284" t="s">
        <v>74</v>
      </c>
      <c r="BN1284">
        <v>31404326</v>
      </c>
      <c r="BO1284" t="s">
        <v>74</v>
      </c>
      <c r="BP1284" t="s">
        <v>74</v>
      </c>
      <c r="BQ1284" t="s">
        <v>74</v>
      </c>
      <c r="BR1284" t="s">
        <v>96</v>
      </c>
      <c r="BS1284" t="s">
        <v>16641</v>
      </c>
      <c r="BT1284" t="str">
        <f>HYPERLINK("https%3A%2F%2Fwww.webofscience.com%2Fwos%2Fwoscc%2Ffull-record%2FWOS:000477778300001","View Full Record in Web of Science")</f>
        <v>View Full Record in Web of Science</v>
      </c>
    </row>
    <row r="1285" spans="1:72" x14ac:dyDescent="0.15">
      <c r="A1285" t="s">
        <v>98</v>
      </c>
      <c r="B1285" t="s">
        <v>17203</v>
      </c>
      <c r="C1285" t="s">
        <v>74</v>
      </c>
      <c r="D1285" t="s">
        <v>74</v>
      </c>
      <c r="E1285" t="s">
        <v>74</v>
      </c>
      <c r="F1285" t="s">
        <v>17204</v>
      </c>
      <c r="G1285" t="s">
        <v>74</v>
      </c>
      <c r="H1285" t="s">
        <v>74</v>
      </c>
      <c r="I1285" t="s">
        <v>17205</v>
      </c>
      <c r="J1285" t="s">
        <v>5139</v>
      </c>
      <c r="K1285" t="s">
        <v>74</v>
      </c>
      <c r="L1285" t="s">
        <v>74</v>
      </c>
      <c r="M1285" t="s">
        <v>74</v>
      </c>
      <c r="N1285" t="s">
        <v>103</v>
      </c>
      <c r="O1285" t="s">
        <v>74</v>
      </c>
      <c r="P1285" t="s">
        <v>74</v>
      </c>
      <c r="Q1285" t="s">
        <v>74</v>
      </c>
      <c r="R1285" t="s">
        <v>74</v>
      </c>
      <c r="S1285" t="s">
        <v>74</v>
      </c>
      <c r="T1285" t="s">
        <v>74</v>
      </c>
      <c r="U1285" t="s">
        <v>17206</v>
      </c>
      <c r="V1285" t="s">
        <v>17207</v>
      </c>
      <c r="W1285" t="s">
        <v>17208</v>
      </c>
      <c r="X1285" t="s">
        <v>17209</v>
      </c>
      <c r="Y1285" t="s">
        <v>17210</v>
      </c>
      <c r="Z1285" t="s">
        <v>17211</v>
      </c>
      <c r="AA1285" t="s">
        <v>17212</v>
      </c>
      <c r="AB1285" t="s">
        <v>17213</v>
      </c>
      <c r="AC1285" t="s">
        <v>74</v>
      </c>
      <c r="AD1285" t="s">
        <v>74</v>
      </c>
      <c r="AE1285" t="s">
        <v>74</v>
      </c>
      <c r="AF1285" t="s">
        <v>74</v>
      </c>
      <c r="AG1285">
        <v>64</v>
      </c>
      <c r="AH1285">
        <v>8</v>
      </c>
      <c r="AI1285">
        <v>8</v>
      </c>
      <c r="AJ1285">
        <v>11</v>
      </c>
      <c r="AK1285">
        <v>33</v>
      </c>
      <c r="AL1285" t="s">
        <v>74</v>
      </c>
      <c r="AM1285" t="s">
        <v>74</v>
      </c>
      <c r="AN1285" t="s">
        <v>74</v>
      </c>
      <c r="AO1285" t="s">
        <v>5148</v>
      </c>
      <c r="AP1285" t="s">
        <v>74</v>
      </c>
      <c r="AQ1285" t="s">
        <v>74</v>
      </c>
      <c r="AR1285" t="s">
        <v>74</v>
      </c>
      <c r="AS1285" t="s">
        <v>74</v>
      </c>
      <c r="AT1285" t="s">
        <v>13285</v>
      </c>
      <c r="AU1285">
        <v>2021</v>
      </c>
      <c r="AV1285">
        <v>12</v>
      </c>
      <c r="AW1285">
        <v>1</v>
      </c>
      <c r="AX1285" t="s">
        <v>74</v>
      </c>
      <c r="AY1285" t="s">
        <v>74</v>
      </c>
      <c r="AZ1285" t="s">
        <v>74</v>
      </c>
      <c r="BA1285" t="s">
        <v>74</v>
      </c>
      <c r="BB1285" t="s">
        <v>74</v>
      </c>
      <c r="BC1285" t="s">
        <v>74</v>
      </c>
      <c r="BD1285">
        <v>4743</v>
      </c>
      <c r="BE1285" t="s">
        <v>17214</v>
      </c>
      <c r="BF1285" t="str">
        <f>HYPERLINK("http://dx.doi.org/10.1038/s41467-021-24989-7","http://dx.doi.org/10.1038/s41467-021-24989-7")</f>
        <v>http://dx.doi.org/10.1038/s41467-021-24989-7</v>
      </c>
      <c r="BG1285" t="s">
        <v>74</v>
      </c>
      <c r="BH1285" t="s">
        <v>74</v>
      </c>
      <c r="BI1285" t="s">
        <v>74</v>
      </c>
      <c r="BJ1285" t="s">
        <v>152</v>
      </c>
      <c r="BK1285" t="s">
        <v>117</v>
      </c>
      <c r="BL1285" t="s">
        <v>153</v>
      </c>
      <c r="BM1285" t="s">
        <v>74</v>
      </c>
      <c r="BN1285">
        <v>34362911</v>
      </c>
      <c r="BO1285" t="s">
        <v>74</v>
      </c>
      <c r="BP1285" t="s">
        <v>74</v>
      </c>
      <c r="BQ1285" t="s">
        <v>74</v>
      </c>
      <c r="BR1285" t="s">
        <v>96</v>
      </c>
      <c r="BS1285" t="s">
        <v>17215</v>
      </c>
      <c r="BT1285" t="str">
        <f>HYPERLINK("https%3A%2F%2Fwww.webofscience.com%2Fwos%2Fwoscc%2Ffull-record%2FWOS:000684547900007","View Full Record in Web of Science")</f>
        <v>View Full Record in Web of Science</v>
      </c>
    </row>
    <row r="1286" spans="1:72" x14ac:dyDescent="0.15">
      <c r="A1286" t="s">
        <v>98</v>
      </c>
      <c r="B1286" t="s">
        <v>17727</v>
      </c>
      <c r="C1286" t="s">
        <v>74</v>
      </c>
      <c r="D1286" t="s">
        <v>74</v>
      </c>
      <c r="E1286" t="s">
        <v>74</v>
      </c>
      <c r="F1286" t="s">
        <v>17728</v>
      </c>
      <c r="G1286" t="s">
        <v>74</v>
      </c>
      <c r="H1286" t="s">
        <v>74</v>
      </c>
      <c r="I1286" t="s">
        <v>17729</v>
      </c>
      <c r="J1286" t="s">
        <v>17730</v>
      </c>
      <c r="K1286" t="s">
        <v>74</v>
      </c>
      <c r="L1286" t="s">
        <v>74</v>
      </c>
      <c r="M1286" t="s">
        <v>74</v>
      </c>
      <c r="N1286" t="s">
        <v>103</v>
      </c>
      <c r="O1286" t="s">
        <v>74</v>
      </c>
      <c r="P1286" t="s">
        <v>74</v>
      </c>
      <c r="Q1286" t="s">
        <v>74</v>
      </c>
      <c r="R1286" t="s">
        <v>74</v>
      </c>
      <c r="S1286" t="s">
        <v>74</v>
      </c>
      <c r="T1286" t="s">
        <v>17731</v>
      </c>
      <c r="U1286" t="s">
        <v>17732</v>
      </c>
      <c r="V1286" t="s">
        <v>17733</v>
      </c>
      <c r="W1286" t="s">
        <v>17734</v>
      </c>
      <c r="X1286" t="s">
        <v>12331</v>
      </c>
      <c r="Y1286" t="s">
        <v>17735</v>
      </c>
      <c r="Z1286" t="s">
        <v>926</v>
      </c>
      <c r="AA1286" t="s">
        <v>17736</v>
      </c>
      <c r="AB1286" t="s">
        <v>17737</v>
      </c>
      <c r="AC1286" t="s">
        <v>74</v>
      </c>
      <c r="AD1286" t="s">
        <v>74</v>
      </c>
      <c r="AE1286" t="s">
        <v>74</v>
      </c>
      <c r="AF1286" t="s">
        <v>74</v>
      </c>
      <c r="AG1286">
        <v>18</v>
      </c>
      <c r="AH1286">
        <v>8</v>
      </c>
      <c r="AI1286">
        <v>9</v>
      </c>
      <c r="AJ1286">
        <v>2</v>
      </c>
      <c r="AK1286">
        <v>7</v>
      </c>
      <c r="AL1286" t="s">
        <v>74</v>
      </c>
      <c r="AM1286" t="s">
        <v>74</v>
      </c>
      <c r="AN1286" t="s">
        <v>74</v>
      </c>
      <c r="AO1286" t="s">
        <v>17738</v>
      </c>
      <c r="AP1286" t="s">
        <v>17739</v>
      </c>
      <c r="AQ1286" t="s">
        <v>74</v>
      </c>
      <c r="AR1286" t="s">
        <v>74</v>
      </c>
      <c r="AS1286" t="s">
        <v>74</v>
      </c>
      <c r="AT1286" t="s">
        <v>17694</v>
      </c>
      <c r="AU1286">
        <v>2016</v>
      </c>
      <c r="AV1286">
        <v>213</v>
      </c>
      <c r="AW1286" t="s">
        <v>74</v>
      </c>
      <c r="AX1286" t="s">
        <v>74</v>
      </c>
      <c r="AY1286" t="s">
        <v>74</v>
      </c>
      <c r="AZ1286" t="s">
        <v>74</v>
      </c>
      <c r="BA1286" t="s">
        <v>74</v>
      </c>
      <c r="BB1286">
        <v>269</v>
      </c>
      <c r="BC1286">
        <v>273</v>
      </c>
      <c r="BD1286" t="s">
        <v>74</v>
      </c>
      <c r="BE1286" t="s">
        <v>17740</v>
      </c>
      <c r="BF1286" t="str">
        <f>HYPERLINK("http://dx.doi.org/10.1016/j.virusres.2015.11.026","http://dx.doi.org/10.1016/j.virusres.2015.11.026")</f>
        <v>http://dx.doi.org/10.1016/j.virusres.2015.11.026</v>
      </c>
      <c r="BG1286" t="s">
        <v>74</v>
      </c>
      <c r="BH1286" t="s">
        <v>74</v>
      </c>
      <c r="BI1286" t="s">
        <v>74</v>
      </c>
      <c r="BJ1286" t="s">
        <v>932</v>
      </c>
      <c r="BK1286" t="s">
        <v>117</v>
      </c>
      <c r="BL1286" t="s">
        <v>932</v>
      </c>
      <c r="BM1286" t="s">
        <v>74</v>
      </c>
      <c r="BN1286">
        <v>26763354</v>
      </c>
      <c r="BO1286" t="s">
        <v>74</v>
      </c>
      <c r="BP1286" t="s">
        <v>74</v>
      </c>
      <c r="BQ1286" t="s">
        <v>74</v>
      </c>
      <c r="BR1286" t="s">
        <v>96</v>
      </c>
      <c r="BS1286" t="s">
        <v>17741</v>
      </c>
      <c r="BT1286" t="str">
        <f>HYPERLINK("https%3A%2F%2Fwww.webofscience.com%2Fwos%2Fwoscc%2Ffull-record%2FWOS:000371840600032","View Full Record in Web of Science")</f>
        <v>View Full Record in Web of Science</v>
      </c>
    </row>
    <row r="1287" spans="1:72" x14ac:dyDescent="0.15">
      <c r="A1287" t="s">
        <v>98</v>
      </c>
      <c r="B1287" t="s">
        <v>17845</v>
      </c>
      <c r="C1287" t="s">
        <v>74</v>
      </c>
      <c r="D1287" t="s">
        <v>74</v>
      </c>
      <c r="E1287" t="s">
        <v>74</v>
      </c>
      <c r="F1287" t="s">
        <v>17846</v>
      </c>
      <c r="G1287" t="s">
        <v>74</v>
      </c>
      <c r="H1287" t="s">
        <v>74</v>
      </c>
      <c r="I1287" t="s">
        <v>17847</v>
      </c>
      <c r="J1287" t="s">
        <v>1712</v>
      </c>
      <c r="K1287" t="s">
        <v>74</v>
      </c>
      <c r="L1287" t="s">
        <v>74</v>
      </c>
      <c r="M1287" t="s">
        <v>74</v>
      </c>
      <c r="N1287" t="s">
        <v>103</v>
      </c>
      <c r="O1287" t="s">
        <v>74</v>
      </c>
      <c r="P1287" t="s">
        <v>74</v>
      </c>
      <c r="Q1287" t="s">
        <v>74</v>
      </c>
      <c r="R1287" t="s">
        <v>74</v>
      </c>
      <c r="S1287" t="s">
        <v>74</v>
      </c>
      <c r="T1287" t="s">
        <v>17848</v>
      </c>
      <c r="U1287" t="s">
        <v>17849</v>
      </c>
      <c r="V1287" t="s">
        <v>17850</v>
      </c>
      <c r="W1287" t="s">
        <v>17851</v>
      </c>
      <c r="X1287" t="s">
        <v>17852</v>
      </c>
      <c r="Y1287" t="s">
        <v>17853</v>
      </c>
      <c r="Z1287" t="s">
        <v>17854</v>
      </c>
      <c r="AA1287" t="s">
        <v>17855</v>
      </c>
      <c r="AB1287" t="s">
        <v>17856</v>
      </c>
      <c r="AC1287" t="s">
        <v>74</v>
      </c>
      <c r="AD1287" t="s">
        <v>74</v>
      </c>
      <c r="AE1287" t="s">
        <v>74</v>
      </c>
      <c r="AF1287" t="s">
        <v>74</v>
      </c>
      <c r="AG1287">
        <v>49</v>
      </c>
      <c r="AH1287">
        <v>8</v>
      </c>
      <c r="AI1287">
        <v>8</v>
      </c>
      <c r="AJ1287">
        <v>16</v>
      </c>
      <c r="AK1287">
        <v>170</v>
      </c>
      <c r="AL1287" t="s">
        <v>74</v>
      </c>
      <c r="AM1287" t="s">
        <v>74</v>
      </c>
      <c r="AN1287" t="s">
        <v>74</v>
      </c>
      <c r="AO1287" t="s">
        <v>1722</v>
      </c>
      <c r="AP1287" t="s">
        <v>1723</v>
      </c>
      <c r="AQ1287" t="s">
        <v>74</v>
      </c>
      <c r="AR1287" t="s">
        <v>74</v>
      </c>
      <c r="AS1287" t="s">
        <v>74</v>
      </c>
      <c r="AT1287" t="s">
        <v>17857</v>
      </c>
      <c r="AU1287">
        <v>2020</v>
      </c>
      <c r="AV1287">
        <v>14</v>
      </c>
      <c r="AW1287">
        <v>6</v>
      </c>
      <c r="AX1287" t="s">
        <v>74</v>
      </c>
      <c r="AY1287" t="s">
        <v>74</v>
      </c>
      <c r="AZ1287" t="s">
        <v>74</v>
      </c>
      <c r="BA1287" t="s">
        <v>74</v>
      </c>
      <c r="BB1287">
        <v>7462</v>
      </c>
      <c r="BC1287">
        <v>7474</v>
      </c>
      <c r="BD1287" t="s">
        <v>74</v>
      </c>
      <c r="BE1287" t="s">
        <v>17858</v>
      </c>
      <c r="BF1287" t="str">
        <f>HYPERLINK("http://dx.doi.org/10.1021/acsnano.0c03131","http://dx.doi.org/10.1021/acsnano.0c03131")</f>
        <v>http://dx.doi.org/10.1021/acsnano.0c03131</v>
      </c>
      <c r="BG1287" t="s">
        <v>74</v>
      </c>
      <c r="BH1287" t="s">
        <v>74</v>
      </c>
      <c r="BI1287" t="s">
        <v>74</v>
      </c>
      <c r="BJ1287" t="s">
        <v>1725</v>
      </c>
      <c r="BK1287" t="s">
        <v>117</v>
      </c>
      <c r="BL1287" t="s">
        <v>1275</v>
      </c>
      <c r="BM1287" t="s">
        <v>74</v>
      </c>
      <c r="BN1287">
        <v>32453543</v>
      </c>
      <c r="BO1287" t="s">
        <v>74</v>
      </c>
      <c r="BP1287" t="s">
        <v>74</v>
      </c>
      <c r="BQ1287" t="s">
        <v>74</v>
      </c>
      <c r="BR1287" t="s">
        <v>96</v>
      </c>
      <c r="BS1287" t="s">
        <v>17859</v>
      </c>
      <c r="BT1287" t="str">
        <f>HYPERLINK("https%3A%2F%2Fwww.webofscience.com%2Fwos%2Fwoscc%2Ffull-record%2FWOS:000543744100104","View Full Record in Web of Science")</f>
        <v>View Full Record in Web of Science</v>
      </c>
    </row>
    <row r="1288" spans="1:72" x14ac:dyDescent="0.15">
      <c r="A1288" t="s">
        <v>98</v>
      </c>
      <c r="B1288" t="s">
        <v>17984</v>
      </c>
      <c r="C1288" t="s">
        <v>74</v>
      </c>
      <c r="D1288" t="s">
        <v>74</v>
      </c>
      <c r="E1288" t="s">
        <v>74</v>
      </c>
      <c r="F1288" t="s">
        <v>17985</v>
      </c>
      <c r="G1288" t="s">
        <v>74</v>
      </c>
      <c r="H1288" t="s">
        <v>74</v>
      </c>
      <c r="I1288" t="s">
        <v>17986</v>
      </c>
      <c r="J1288" t="s">
        <v>325</v>
      </c>
      <c r="K1288" t="s">
        <v>74</v>
      </c>
      <c r="L1288" t="s">
        <v>74</v>
      </c>
      <c r="M1288" t="s">
        <v>74</v>
      </c>
      <c r="N1288" t="s">
        <v>103</v>
      </c>
      <c r="O1288" t="s">
        <v>74</v>
      </c>
      <c r="P1288" t="s">
        <v>74</v>
      </c>
      <c r="Q1288" t="s">
        <v>74</v>
      </c>
      <c r="R1288" t="s">
        <v>74</v>
      </c>
      <c r="S1288" t="s">
        <v>74</v>
      </c>
      <c r="T1288" t="s">
        <v>74</v>
      </c>
      <c r="U1288" t="s">
        <v>17987</v>
      </c>
      <c r="V1288" t="s">
        <v>17988</v>
      </c>
      <c r="W1288" t="s">
        <v>17989</v>
      </c>
      <c r="X1288" t="s">
        <v>17990</v>
      </c>
      <c r="Y1288" t="s">
        <v>17991</v>
      </c>
      <c r="Z1288" t="s">
        <v>17992</v>
      </c>
      <c r="AA1288" t="s">
        <v>17993</v>
      </c>
      <c r="AB1288" t="s">
        <v>17994</v>
      </c>
      <c r="AC1288" t="s">
        <v>74</v>
      </c>
      <c r="AD1288" t="s">
        <v>74</v>
      </c>
      <c r="AE1288" t="s">
        <v>74</v>
      </c>
      <c r="AF1288" t="s">
        <v>74</v>
      </c>
      <c r="AG1288">
        <v>45</v>
      </c>
      <c r="AH1288">
        <v>8</v>
      </c>
      <c r="AI1288">
        <v>11</v>
      </c>
      <c r="AJ1288">
        <v>1</v>
      </c>
      <c r="AK1288">
        <v>17</v>
      </c>
      <c r="AL1288" t="s">
        <v>74</v>
      </c>
      <c r="AM1288" t="s">
        <v>74</v>
      </c>
      <c r="AN1288" t="s">
        <v>74</v>
      </c>
      <c r="AO1288" t="s">
        <v>333</v>
      </c>
      <c r="AP1288" t="s">
        <v>334</v>
      </c>
      <c r="AQ1288" t="s">
        <v>74</v>
      </c>
      <c r="AR1288" t="s">
        <v>74</v>
      </c>
      <c r="AS1288" t="s">
        <v>74</v>
      </c>
      <c r="AT1288" t="s">
        <v>4965</v>
      </c>
      <c r="AU1288">
        <v>2015</v>
      </c>
      <c r="AV1288">
        <v>34</v>
      </c>
      <c r="AW1288">
        <v>2</v>
      </c>
      <c r="AX1288" t="s">
        <v>74</v>
      </c>
      <c r="AY1288" t="s">
        <v>74</v>
      </c>
      <c r="AZ1288" t="s">
        <v>74</v>
      </c>
      <c r="BA1288" t="s">
        <v>74</v>
      </c>
      <c r="BB1288">
        <v>83</v>
      </c>
      <c r="BC1288">
        <v>91</v>
      </c>
      <c r="BD1288" t="s">
        <v>74</v>
      </c>
      <c r="BE1288" t="s">
        <v>17995</v>
      </c>
      <c r="BF1288" t="str">
        <f>HYPERLINK("http://dx.doi.org/10.1089/dna.2014.2592","http://dx.doi.org/10.1089/dna.2014.2592")</f>
        <v>http://dx.doi.org/10.1089/dna.2014.2592</v>
      </c>
      <c r="BG1288" t="s">
        <v>74</v>
      </c>
      <c r="BH1288" t="s">
        <v>74</v>
      </c>
      <c r="BI1288" t="s">
        <v>74</v>
      </c>
      <c r="BJ1288" t="s">
        <v>338</v>
      </c>
      <c r="BK1288" t="s">
        <v>117</v>
      </c>
      <c r="BL1288" t="s">
        <v>338</v>
      </c>
      <c r="BM1288" t="s">
        <v>74</v>
      </c>
      <c r="BN1288">
        <v>25408252</v>
      </c>
      <c r="BO1288" t="s">
        <v>74</v>
      </c>
      <c r="BP1288" t="s">
        <v>74</v>
      </c>
      <c r="BQ1288" t="s">
        <v>74</v>
      </c>
      <c r="BR1288" t="s">
        <v>96</v>
      </c>
      <c r="BS1288" t="s">
        <v>17996</v>
      </c>
      <c r="BT1288" t="str">
        <f>HYPERLINK("https%3A%2F%2Fwww.webofscience.com%2Fwos%2Fwoscc%2Ffull-record%2FWOS:000348539000001","View Full Record in Web of Science")</f>
        <v>View Full Record in Web of Science</v>
      </c>
    </row>
    <row r="1289" spans="1:72" x14ac:dyDescent="0.15">
      <c r="A1289" t="s">
        <v>98</v>
      </c>
      <c r="B1289" t="s">
        <v>18914</v>
      </c>
      <c r="C1289" t="s">
        <v>74</v>
      </c>
      <c r="D1289" t="s">
        <v>74</v>
      </c>
      <c r="E1289" t="s">
        <v>74</v>
      </c>
      <c r="F1289" t="s">
        <v>18915</v>
      </c>
      <c r="G1289" t="s">
        <v>74</v>
      </c>
      <c r="H1289" t="s">
        <v>74</v>
      </c>
      <c r="I1289" t="s">
        <v>18916</v>
      </c>
      <c r="J1289" t="s">
        <v>2520</v>
      </c>
      <c r="K1289" t="s">
        <v>74</v>
      </c>
      <c r="L1289" t="s">
        <v>74</v>
      </c>
      <c r="M1289" t="s">
        <v>74</v>
      </c>
      <c r="N1289" t="s">
        <v>103</v>
      </c>
      <c r="O1289" t="s">
        <v>74</v>
      </c>
      <c r="P1289" t="s">
        <v>74</v>
      </c>
      <c r="Q1289" t="s">
        <v>74</v>
      </c>
      <c r="R1289" t="s">
        <v>74</v>
      </c>
      <c r="S1289" t="s">
        <v>74</v>
      </c>
      <c r="T1289" t="s">
        <v>18917</v>
      </c>
      <c r="U1289" t="s">
        <v>18918</v>
      </c>
      <c r="V1289" t="s">
        <v>18919</v>
      </c>
      <c r="W1289" t="s">
        <v>18920</v>
      </c>
      <c r="X1289" t="s">
        <v>18921</v>
      </c>
      <c r="Y1289" t="s">
        <v>18922</v>
      </c>
      <c r="Z1289" t="s">
        <v>18923</v>
      </c>
      <c r="AA1289" t="s">
        <v>18924</v>
      </c>
      <c r="AB1289" t="s">
        <v>18925</v>
      </c>
      <c r="AC1289" t="s">
        <v>74</v>
      </c>
      <c r="AD1289" t="s">
        <v>74</v>
      </c>
      <c r="AE1289" t="s">
        <v>74</v>
      </c>
      <c r="AF1289" t="s">
        <v>74</v>
      </c>
      <c r="AG1289">
        <v>38</v>
      </c>
      <c r="AH1289">
        <v>8</v>
      </c>
      <c r="AI1289">
        <v>8</v>
      </c>
      <c r="AJ1289">
        <v>0</v>
      </c>
      <c r="AK1289">
        <v>7</v>
      </c>
      <c r="AL1289" t="s">
        <v>74</v>
      </c>
      <c r="AM1289" t="s">
        <v>74</v>
      </c>
      <c r="AN1289" t="s">
        <v>74</v>
      </c>
      <c r="AO1289" t="s">
        <v>2529</v>
      </c>
      <c r="AP1289" t="s">
        <v>74</v>
      </c>
      <c r="AQ1289" t="s">
        <v>74</v>
      </c>
      <c r="AR1289" t="s">
        <v>74</v>
      </c>
      <c r="AS1289" t="s">
        <v>74</v>
      </c>
      <c r="AT1289" t="s">
        <v>16193</v>
      </c>
      <c r="AU1289">
        <v>2019</v>
      </c>
      <c r="AV1289">
        <v>10</v>
      </c>
      <c r="AW1289" t="s">
        <v>74</v>
      </c>
      <c r="AX1289" t="s">
        <v>74</v>
      </c>
      <c r="AY1289" t="s">
        <v>74</v>
      </c>
      <c r="AZ1289" t="s">
        <v>74</v>
      </c>
      <c r="BA1289" t="s">
        <v>74</v>
      </c>
      <c r="BB1289" t="s">
        <v>74</v>
      </c>
      <c r="BC1289" t="s">
        <v>74</v>
      </c>
      <c r="BD1289">
        <v>734</v>
      </c>
      <c r="BE1289" t="s">
        <v>18926</v>
      </c>
      <c r="BF1289" t="str">
        <f>HYPERLINK("http://dx.doi.org/10.3389/fmicb.2019.00734","http://dx.doi.org/10.3389/fmicb.2019.00734")</f>
        <v>http://dx.doi.org/10.3389/fmicb.2019.00734</v>
      </c>
      <c r="BG1289" t="s">
        <v>74</v>
      </c>
      <c r="BH1289" t="s">
        <v>74</v>
      </c>
      <c r="BI1289" t="s">
        <v>74</v>
      </c>
      <c r="BJ1289" t="s">
        <v>898</v>
      </c>
      <c r="BK1289" t="s">
        <v>117</v>
      </c>
      <c r="BL1289" t="s">
        <v>898</v>
      </c>
      <c r="BM1289" t="s">
        <v>74</v>
      </c>
      <c r="BN1289">
        <v>31024505</v>
      </c>
      <c r="BO1289" t="s">
        <v>74</v>
      </c>
      <c r="BP1289" t="s">
        <v>74</v>
      </c>
      <c r="BQ1289" t="s">
        <v>74</v>
      </c>
      <c r="BR1289" t="s">
        <v>96</v>
      </c>
      <c r="BS1289" t="s">
        <v>18927</v>
      </c>
      <c r="BT1289" t="str">
        <f>HYPERLINK("https%3A%2F%2Fwww.webofscience.com%2Fwos%2Fwoscc%2Ffull-record%2FWOS:000463828100001","View Full Record in Web of Science")</f>
        <v>View Full Record in Web of Science</v>
      </c>
    </row>
    <row r="1290" spans="1:72" x14ac:dyDescent="0.15">
      <c r="A1290" t="s">
        <v>72</v>
      </c>
      <c r="B1290" t="s">
        <v>18959</v>
      </c>
      <c r="C1290" t="s">
        <v>74</v>
      </c>
      <c r="D1290" t="s">
        <v>18960</v>
      </c>
      <c r="E1290" t="s">
        <v>74</v>
      </c>
      <c r="F1290" t="s">
        <v>18959</v>
      </c>
      <c r="G1290" t="s">
        <v>74</v>
      </c>
      <c r="H1290" t="s">
        <v>74</v>
      </c>
      <c r="I1290" t="s">
        <v>18961</v>
      </c>
      <c r="J1290" t="s">
        <v>18962</v>
      </c>
      <c r="K1290" t="s">
        <v>18963</v>
      </c>
      <c r="L1290" t="s">
        <v>74</v>
      </c>
      <c r="M1290" t="s">
        <v>74</v>
      </c>
      <c r="N1290" t="s">
        <v>980</v>
      </c>
      <c r="O1290" t="s">
        <v>18964</v>
      </c>
      <c r="P1290" t="s">
        <v>18965</v>
      </c>
      <c r="Q1290" t="s">
        <v>18966</v>
      </c>
      <c r="R1290" t="s">
        <v>74</v>
      </c>
      <c r="S1290" t="s">
        <v>74</v>
      </c>
      <c r="T1290" t="s">
        <v>74</v>
      </c>
      <c r="U1290" t="s">
        <v>18967</v>
      </c>
      <c r="V1290" t="s">
        <v>74</v>
      </c>
      <c r="W1290" t="s">
        <v>18968</v>
      </c>
      <c r="X1290" t="s">
        <v>18969</v>
      </c>
      <c r="Y1290" t="s">
        <v>18970</v>
      </c>
      <c r="Z1290" t="s">
        <v>74</v>
      </c>
      <c r="AA1290" t="s">
        <v>74</v>
      </c>
      <c r="AB1290" t="s">
        <v>74</v>
      </c>
      <c r="AC1290" t="s">
        <v>74</v>
      </c>
      <c r="AD1290" t="s">
        <v>74</v>
      </c>
      <c r="AE1290" t="s">
        <v>74</v>
      </c>
      <c r="AF1290" t="s">
        <v>74</v>
      </c>
      <c r="AG1290">
        <v>24</v>
      </c>
      <c r="AH1290">
        <v>8</v>
      </c>
      <c r="AI1290">
        <v>8</v>
      </c>
      <c r="AJ1290">
        <v>0</v>
      </c>
      <c r="AK1290">
        <v>3</v>
      </c>
      <c r="AL1290" t="s">
        <v>74</v>
      </c>
      <c r="AM1290" t="s">
        <v>74</v>
      </c>
      <c r="AN1290" t="s">
        <v>74</v>
      </c>
      <c r="AO1290" t="s">
        <v>18971</v>
      </c>
      <c r="AP1290" t="s">
        <v>74</v>
      </c>
      <c r="AQ1290" t="s">
        <v>18972</v>
      </c>
      <c r="AR1290" t="s">
        <v>74</v>
      </c>
      <c r="AS1290" t="s">
        <v>74</v>
      </c>
      <c r="AT1290" t="s">
        <v>74</v>
      </c>
      <c r="AU1290">
        <v>2000</v>
      </c>
      <c r="AV1290">
        <v>906</v>
      </c>
      <c r="AW1290" t="s">
        <v>74</v>
      </c>
      <c r="AX1290" t="s">
        <v>74</v>
      </c>
      <c r="AY1290" t="s">
        <v>74</v>
      </c>
      <c r="AZ1290" t="s">
        <v>74</v>
      </c>
      <c r="BA1290" t="s">
        <v>74</v>
      </c>
      <c r="BB1290">
        <v>124</v>
      </c>
      <c r="BC1290">
        <v>128</v>
      </c>
      <c r="BD1290" t="s">
        <v>74</v>
      </c>
      <c r="BE1290" t="s">
        <v>74</v>
      </c>
      <c r="BF1290" t="s">
        <v>74</v>
      </c>
      <c r="BG1290" t="s">
        <v>74</v>
      </c>
      <c r="BH1290" t="s">
        <v>74</v>
      </c>
      <c r="BI1290" t="s">
        <v>74</v>
      </c>
      <c r="BJ1290" t="s">
        <v>18973</v>
      </c>
      <c r="BK1290" t="s">
        <v>16883</v>
      </c>
      <c r="BL1290" t="s">
        <v>18974</v>
      </c>
      <c r="BM1290" t="s">
        <v>74</v>
      </c>
      <c r="BN1290">
        <v>10818607</v>
      </c>
      <c r="BO1290" t="s">
        <v>74</v>
      </c>
      <c r="BP1290" t="s">
        <v>74</v>
      </c>
      <c r="BQ1290" t="s">
        <v>74</v>
      </c>
      <c r="BR1290" t="s">
        <v>96</v>
      </c>
      <c r="BS1290" t="s">
        <v>18975</v>
      </c>
      <c r="BT1290" t="str">
        <f>HYPERLINK("https%3A%2F%2Fwww.webofscience.com%2Fwos%2Fwoscc%2Ffull-record%2FWOS:000087759700023","View Full Record in Web of Science")</f>
        <v>View Full Record in Web of Science</v>
      </c>
    </row>
    <row r="1291" spans="1:72" x14ac:dyDescent="0.15">
      <c r="A1291" t="s">
        <v>98</v>
      </c>
      <c r="B1291" t="s">
        <v>20622</v>
      </c>
      <c r="C1291" t="s">
        <v>74</v>
      </c>
      <c r="D1291" t="s">
        <v>74</v>
      </c>
      <c r="E1291" t="s">
        <v>74</v>
      </c>
      <c r="F1291" t="s">
        <v>20623</v>
      </c>
      <c r="G1291" t="s">
        <v>74</v>
      </c>
      <c r="H1291" t="s">
        <v>74</v>
      </c>
      <c r="I1291" t="s">
        <v>20624</v>
      </c>
      <c r="J1291" t="s">
        <v>1712</v>
      </c>
      <c r="K1291" t="s">
        <v>74</v>
      </c>
      <c r="L1291" t="s">
        <v>74</v>
      </c>
      <c r="M1291" t="s">
        <v>74</v>
      </c>
      <c r="N1291" t="s">
        <v>103</v>
      </c>
      <c r="O1291" t="s">
        <v>74</v>
      </c>
      <c r="P1291" t="s">
        <v>74</v>
      </c>
      <c r="Q1291" t="s">
        <v>74</v>
      </c>
      <c r="R1291" t="s">
        <v>74</v>
      </c>
      <c r="S1291" t="s">
        <v>74</v>
      </c>
      <c r="T1291" t="s">
        <v>20625</v>
      </c>
      <c r="U1291" t="s">
        <v>20626</v>
      </c>
      <c r="V1291" t="s">
        <v>20627</v>
      </c>
      <c r="W1291" t="s">
        <v>20628</v>
      </c>
      <c r="X1291" t="s">
        <v>20629</v>
      </c>
      <c r="Y1291" t="s">
        <v>20630</v>
      </c>
      <c r="Z1291" t="s">
        <v>20631</v>
      </c>
      <c r="AA1291" t="s">
        <v>74</v>
      </c>
      <c r="AB1291" t="s">
        <v>20632</v>
      </c>
      <c r="AC1291" t="s">
        <v>74</v>
      </c>
      <c r="AD1291" t="s">
        <v>74</v>
      </c>
      <c r="AE1291" t="s">
        <v>74</v>
      </c>
      <c r="AF1291" t="s">
        <v>74</v>
      </c>
      <c r="AG1291">
        <v>69</v>
      </c>
      <c r="AH1291">
        <v>8</v>
      </c>
      <c r="AI1291">
        <v>8</v>
      </c>
      <c r="AJ1291">
        <v>8</v>
      </c>
      <c r="AK1291">
        <v>22</v>
      </c>
      <c r="AL1291" t="s">
        <v>74</v>
      </c>
      <c r="AM1291" t="s">
        <v>74</v>
      </c>
      <c r="AN1291" t="s">
        <v>74</v>
      </c>
      <c r="AO1291" t="s">
        <v>1722</v>
      </c>
      <c r="AP1291" t="s">
        <v>1723</v>
      </c>
      <c r="AQ1291" t="s">
        <v>74</v>
      </c>
      <c r="AR1291" t="s">
        <v>74</v>
      </c>
      <c r="AS1291" t="s">
        <v>74</v>
      </c>
      <c r="AT1291" t="s">
        <v>4402</v>
      </c>
      <c r="AU1291">
        <v>2021</v>
      </c>
      <c r="AV1291">
        <v>15</v>
      </c>
      <c r="AW1291">
        <v>7</v>
      </c>
      <c r="AX1291" t="s">
        <v>74</v>
      </c>
      <c r="AY1291" t="s">
        <v>74</v>
      </c>
      <c r="AZ1291" t="s">
        <v>74</v>
      </c>
      <c r="BA1291" t="s">
        <v>74</v>
      </c>
      <c r="BB1291">
        <v>12388</v>
      </c>
      <c r="BC1291">
        <v>12404</v>
      </c>
      <c r="BD1291" t="s">
        <v>74</v>
      </c>
      <c r="BE1291" t="s">
        <v>20633</v>
      </c>
      <c r="BF1291" t="str">
        <f>HYPERLINK("http://dx.doi.org/10.1021/acsnano.1c04500","http://dx.doi.org/10.1021/acsnano.1c04500")</f>
        <v>http://dx.doi.org/10.1021/acsnano.1c04500</v>
      </c>
      <c r="BG1291" t="s">
        <v>74</v>
      </c>
      <c r="BH1291" t="s">
        <v>3810</v>
      </c>
      <c r="BI1291" t="s">
        <v>74</v>
      </c>
      <c r="BJ1291" t="s">
        <v>1725</v>
      </c>
      <c r="BK1291" t="s">
        <v>117</v>
      </c>
      <c r="BL1291" t="s">
        <v>1275</v>
      </c>
      <c r="BM1291" t="s">
        <v>74</v>
      </c>
      <c r="BN1291">
        <v>34180232</v>
      </c>
      <c r="BO1291" t="s">
        <v>74</v>
      </c>
      <c r="BP1291" t="s">
        <v>74</v>
      </c>
      <c r="BQ1291" t="s">
        <v>74</v>
      </c>
      <c r="BR1291" t="s">
        <v>96</v>
      </c>
      <c r="BS1291" t="s">
        <v>20634</v>
      </c>
      <c r="BT1291" t="str">
        <f>HYPERLINK("https%3A%2F%2Fwww.webofscience.com%2Fwos%2Fwoscc%2Ffull-record%2FWOS:000679406500125","View Full Record in Web of Science")</f>
        <v>View Full Record in Web of Science</v>
      </c>
    </row>
    <row r="1292" spans="1:72" x14ac:dyDescent="0.15">
      <c r="A1292" t="s">
        <v>98</v>
      </c>
      <c r="B1292" t="s">
        <v>20804</v>
      </c>
      <c r="C1292" t="s">
        <v>74</v>
      </c>
      <c r="D1292" t="s">
        <v>74</v>
      </c>
      <c r="E1292" t="s">
        <v>74</v>
      </c>
      <c r="F1292" t="s">
        <v>20805</v>
      </c>
      <c r="G1292" t="s">
        <v>74</v>
      </c>
      <c r="H1292" t="s">
        <v>74</v>
      </c>
      <c r="I1292" t="s">
        <v>20806</v>
      </c>
      <c r="J1292" t="s">
        <v>4486</v>
      </c>
      <c r="K1292" t="s">
        <v>74</v>
      </c>
      <c r="L1292" t="s">
        <v>74</v>
      </c>
      <c r="M1292" t="s">
        <v>74</v>
      </c>
      <c r="N1292" t="s">
        <v>103</v>
      </c>
      <c r="O1292" t="s">
        <v>74</v>
      </c>
      <c r="P1292" t="s">
        <v>74</v>
      </c>
      <c r="Q1292" t="s">
        <v>74</v>
      </c>
      <c r="R1292" t="s">
        <v>74</v>
      </c>
      <c r="S1292" t="s">
        <v>74</v>
      </c>
      <c r="T1292" t="s">
        <v>74</v>
      </c>
      <c r="U1292" t="s">
        <v>20807</v>
      </c>
      <c r="V1292" t="s">
        <v>20808</v>
      </c>
      <c r="W1292" t="s">
        <v>20809</v>
      </c>
      <c r="X1292" t="s">
        <v>20810</v>
      </c>
      <c r="Y1292" t="s">
        <v>20811</v>
      </c>
      <c r="Z1292" t="s">
        <v>20812</v>
      </c>
      <c r="AA1292" t="s">
        <v>74</v>
      </c>
      <c r="AB1292" t="s">
        <v>20813</v>
      </c>
      <c r="AC1292" t="s">
        <v>74</v>
      </c>
      <c r="AD1292" t="s">
        <v>74</v>
      </c>
      <c r="AE1292" t="s">
        <v>74</v>
      </c>
      <c r="AF1292" t="s">
        <v>74</v>
      </c>
      <c r="AG1292">
        <v>58</v>
      </c>
      <c r="AH1292">
        <v>8</v>
      </c>
      <c r="AI1292">
        <v>8</v>
      </c>
      <c r="AJ1292">
        <v>55</v>
      </c>
      <c r="AK1292">
        <v>121</v>
      </c>
      <c r="AL1292" t="s">
        <v>74</v>
      </c>
      <c r="AM1292" t="s">
        <v>74</v>
      </c>
      <c r="AN1292" t="s">
        <v>74</v>
      </c>
      <c r="AO1292" t="s">
        <v>4493</v>
      </c>
      <c r="AP1292" t="s">
        <v>4494</v>
      </c>
      <c r="AQ1292" t="s">
        <v>74</v>
      </c>
      <c r="AR1292" t="s">
        <v>74</v>
      </c>
      <c r="AS1292" t="s">
        <v>74</v>
      </c>
      <c r="AT1292" t="s">
        <v>20814</v>
      </c>
      <c r="AU1292">
        <v>2021</v>
      </c>
      <c r="AV1292">
        <v>93</v>
      </c>
      <c r="AW1292">
        <v>40</v>
      </c>
      <c r="AX1292" t="s">
        <v>74</v>
      </c>
      <c r="AY1292" t="s">
        <v>74</v>
      </c>
      <c r="AZ1292" t="s">
        <v>74</v>
      </c>
      <c r="BA1292" t="s">
        <v>74</v>
      </c>
      <c r="BB1292">
        <v>13734</v>
      </c>
      <c r="BC1292">
        <v>13741</v>
      </c>
      <c r="BD1292" t="s">
        <v>74</v>
      </c>
      <c r="BE1292" t="s">
        <v>20815</v>
      </c>
      <c r="BF1292" t="str">
        <f>HYPERLINK("http://dx.doi.org/10.1021/acs.analchem.1c03545","http://dx.doi.org/10.1021/acs.analchem.1c03545")</f>
        <v>http://dx.doi.org/10.1021/acs.analchem.1c03545</v>
      </c>
      <c r="BG1292" t="s">
        <v>74</v>
      </c>
      <c r="BH1292" t="s">
        <v>1967</v>
      </c>
      <c r="BI1292" t="s">
        <v>74</v>
      </c>
      <c r="BJ1292" t="s">
        <v>1118</v>
      </c>
      <c r="BK1292" t="s">
        <v>117</v>
      </c>
      <c r="BL1292" t="s">
        <v>1048</v>
      </c>
      <c r="BM1292" t="s">
        <v>74</v>
      </c>
      <c r="BN1292">
        <v>34605236</v>
      </c>
      <c r="BO1292" t="s">
        <v>74</v>
      </c>
      <c r="BP1292" t="s">
        <v>74</v>
      </c>
      <c r="BQ1292" t="s">
        <v>74</v>
      </c>
      <c r="BR1292" t="s">
        <v>96</v>
      </c>
      <c r="BS1292" t="s">
        <v>20816</v>
      </c>
      <c r="BT1292" t="str">
        <f>HYPERLINK("https%3A%2F%2Fwww.webofscience.com%2Fwos%2Fwoscc%2Ffull-record%2FWOS:000708550500041","View Full Record in Web of Science")</f>
        <v>View Full Record in Web of Science</v>
      </c>
    </row>
    <row r="1293" spans="1:72" x14ac:dyDescent="0.15">
      <c r="A1293" t="s">
        <v>98</v>
      </c>
      <c r="B1293" t="s">
        <v>21423</v>
      </c>
      <c r="C1293" t="s">
        <v>74</v>
      </c>
      <c r="D1293" t="s">
        <v>74</v>
      </c>
      <c r="E1293" t="s">
        <v>74</v>
      </c>
      <c r="F1293" t="s">
        <v>21424</v>
      </c>
      <c r="G1293" t="s">
        <v>74</v>
      </c>
      <c r="H1293" t="s">
        <v>74</v>
      </c>
      <c r="I1293" t="s">
        <v>21425</v>
      </c>
      <c r="J1293" t="s">
        <v>12261</v>
      </c>
      <c r="K1293" t="s">
        <v>74</v>
      </c>
      <c r="L1293" t="s">
        <v>74</v>
      </c>
      <c r="M1293" t="s">
        <v>74</v>
      </c>
      <c r="N1293" t="s">
        <v>103</v>
      </c>
      <c r="O1293" t="s">
        <v>74</v>
      </c>
      <c r="P1293" t="s">
        <v>74</v>
      </c>
      <c r="Q1293" t="s">
        <v>74</v>
      </c>
      <c r="R1293" t="s">
        <v>74</v>
      </c>
      <c r="S1293" t="s">
        <v>74</v>
      </c>
      <c r="T1293" t="s">
        <v>74</v>
      </c>
      <c r="U1293" t="s">
        <v>21426</v>
      </c>
      <c r="V1293" t="s">
        <v>21427</v>
      </c>
      <c r="W1293" t="s">
        <v>21428</v>
      </c>
      <c r="X1293" t="s">
        <v>21429</v>
      </c>
      <c r="Y1293" t="s">
        <v>21430</v>
      </c>
      <c r="Z1293" t="s">
        <v>21431</v>
      </c>
      <c r="AA1293" t="s">
        <v>74</v>
      </c>
      <c r="AB1293" t="s">
        <v>21432</v>
      </c>
      <c r="AC1293" t="s">
        <v>74</v>
      </c>
      <c r="AD1293" t="s">
        <v>74</v>
      </c>
      <c r="AE1293" t="s">
        <v>74</v>
      </c>
      <c r="AF1293" t="s">
        <v>74</v>
      </c>
      <c r="AG1293">
        <v>50</v>
      </c>
      <c r="AH1293">
        <v>8</v>
      </c>
      <c r="AI1293">
        <v>8</v>
      </c>
      <c r="AJ1293">
        <v>1</v>
      </c>
      <c r="AK1293">
        <v>19</v>
      </c>
      <c r="AL1293" t="s">
        <v>74</v>
      </c>
      <c r="AM1293" t="s">
        <v>74</v>
      </c>
      <c r="AN1293" t="s">
        <v>74</v>
      </c>
      <c r="AO1293" t="s">
        <v>12268</v>
      </c>
      <c r="AP1293" t="s">
        <v>12269</v>
      </c>
      <c r="AQ1293" t="s">
        <v>74</v>
      </c>
      <c r="AR1293" t="s">
        <v>74</v>
      </c>
      <c r="AS1293" t="s">
        <v>74</v>
      </c>
      <c r="AT1293" t="s">
        <v>1116</v>
      </c>
      <c r="AU1293">
        <v>2021</v>
      </c>
      <c r="AV1293">
        <v>27</v>
      </c>
      <c r="AW1293">
        <v>2</v>
      </c>
      <c r="AX1293" t="s">
        <v>74</v>
      </c>
      <c r="AY1293" t="s">
        <v>74</v>
      </c>
      <c r="AZ1293" t="s">
        <v>74</v>
      </c>
      <c r="BA1293" t="s">
        <v>74</v>
      </c>
      <c r="BB1293">
        <v>542</v>
      </c>
      <c r="BC1293">
        <v>553</v>
      </c>
      <c r="BD1293" t="s">
        <v>74</v>
      </c>
      <c r="BE1293" t="s">
        <v>21433</v>
      </c>
      <c r="BF1293" t="str">
        <f>HYPERLINK("http://dx.doi.org/10.1158/1078-0432.CCR-20-2210","http://dx.doi.org/10.1158/1078-0432.CCR-20-2210")</f>
        <v>http://dx.doi.org/10.1158/1078-0432.CCR-20-2210</v>
      </c>
      <c r="BG1293" t="s">
        <v>74</v>
      </c>
      <c r="BH1293" t="s">
        <v>74</v>
      </c>
      <c r="BI1293" t="s">
        <v>74</v>
      </c>
      <c r="BJ1293" t="s">
        <v>267</v>
      </c>
      <c r="BK1293" t="s">
        <v>117</v>
      </c>
      <c r="BL1293" t="s">
        <v>267</v>
      </c>
      <c r="BM1293" t="s">
        <v>74</v>
      </c>
      <c r="BN1293">
        <v>33087329</v>
      </c>
      <c r="BO1293" t="s">
        <v>74</v>
      </c>
      <c r="BP1293" t="s">
        <v>74</v>
      </c>
      <c r="BQ1293" t="s">
        <v>74</v>
      </c>
      <c r="BR1293" t="s">
        <v>96</v>
      </c>
      <c r="BS1293" t="s">
        <v>21434</v>
      </c>
      <c r="BT1293" t="str">
        <f>HYPERLINK("https%3A%2F%2Fwww.webofscience.com%2Fwos%2Fwoscc%2Ffull-record%2FWOS:000617323400022","View Full Record in Web of Science")</f>
        <v>View Full Record in Web of Science</v>
      </c>
    </row>
    <row r="1294" spans="1:72" x14ac:dyDescent="0.15">
      <c r="A1294" t="s">
        <v>98</v>
      </c>
      <c r="B1294" t="s">
        <v>22368</v>
      </c>
      <c r="C1294" t="s">
        <v>74</v>
      </c>
      <c r="D1294" t="s">
        <v>74</v>
      </c>
      <c r="E1294" t="s">
        <v>74</v>
      </c>
      <c r="F1294" t="s">
        <v>22369</v>
      </c>
      <c r="G1294" t="s">
        <v>74</v>
      </c>
      <c r="H1294" t="s">
        <v>74</v>
      </c>
      <c r="I1294" t="s">
        <v>22370</v>
      </c>
      <c r="J1294" t="s">
        <v>140</v>
      </c>
      <c r="K1294" t="s">
        <v>74</v>
      </c>
      <c r="L1294" t="s">
        <v>74</v>
      </c>
      <c r="M1294" t="s">
        <v>74</v>
      </c>
      <c r="N1294" t="s">
        <v>103</v>
      </c>
      <c r="O1294" t="s">
        <v>74</v>
      </c>
      <c r="P1294" t="s">
        <v>74</v>
      </c>
      <c r="Q1294" t="s">
        <v>74</v>
      </c>
      <c r="R1294" t="s">
        <v>74</v>
      </c>
      <c r="S1294" t="s">
        <v>74</v>
      </c>
      <c r="T1294" t="s">
        <v>74</v>
      </c>
      <c r="U1294" t="s">
        <v>22371</v>
      </c>
      <c r="V1294" t="s">
        <v>22372</v>
      </c>
      <c r="W1294" t="s">
        <v>22373</v>
      </c>
      <c r="X1294" t="s">
        <v>22374</v>
      </c>
      <c r="Y1294" t="s">
        <v>22375</v>
      </c>
      <c r="Z1294" t="s">
        <v>22376</v>
      </c>
      <c r="AA1294" t="s">
        <v>22377</v>
      </c>
      <c r="AB1294" t="s">
        <v>22378</v>
      </c>
      <c r="AC1294" t="s">
        <v>74</v>
      </c>
      <c r="AD1294" t="s">
        <v>74</v>
      </c>
      <c r="AE1294" t="s">
        <v>74</v>
      </c>
      <c r="AF1294" t="s">
        <v>74</v>
      </c>
      <c r="AG1294">
        <v>56</v>
      </c>
      <c r="AH1294">
        <v>8</v>
      </c>
      <c r="AI1294">
        <v>8</v>
      </c>
      <c r="AJ1294">
        <v>0</v>
      </c>
      <c r="AK1294">
        <v>0</v>
      </c>
      <c r="AL1294" t="s">
        <v>74</v>
      </c>
      <c r="AM1294" t="s">
        <v>74</v>
      </c>
      <c r="AN1294" t="s">
        <v>74</v>
      </c>
      <c r="AO1294" t="s">
        <v>149</v>
      </c>
      <c r="AP1294" t="s">
        <v>74</v>
      </c>
      <c r="AQ1294" t="s">
        <v>74</v>
      </c>
      <c r="AR1294" t="s">
        <v>74</v>
      </c>
      <c r="AS1294" t="s">
        <v>74</v>
      </c>
      <c r="AT1294" t="s">
        <v>22379</v>
      </c>
      <c r="AU1294">
        <v>2020</v>
      </c>
      <c r="AV1294">
        <v>10</v>
      </c>
      <c r="AW1294">
        <v>1</v>
      </c>
      <c r="AX1294" t="s">
        <v>74</v>
      </c>
      <c r="AY1294" t="s">
        <v>74</v>
      </c>
      <c r="AZ1294" t="s">
        <v>74</v>
      </c>
      <c r="BA1294" t="s">
        <v>74</v>
      </c>
      <c r="BB1294" t="s">
        <v>74</v>
      </c>
      <c r="BC1294" t="s">
        <v>74</v>
      </c>
      <c r="BD1294">
        <v>17293</v>
      </c>
      <c r="BE1294" t="s">
        <v>22380</v>
      </c>
      <c r="BF1294" t="str">
        <f>HYPERLINK("http://dx.doi.org/10.1038/s41598-020-74195-6","http://dx.doi.org/10.1038/s41598-020-74195-6")</f>
        <v>http://dx.doi.org/10.1038/s41598-020-74195-6</v>
      </c>
      <c r="BG1294" t="s">
        <v>74</v>
      </c>
      <c r="BH1294" t="s">
        <v>74</v>
      </c>
      <c r="BI1294" t="s">
        <v>74</v>
      </c>
      <c r="BJ1294" t="s">
        <v>152</v>
      </c>
      <c r="BK1294" t="s">
        <v>117</v>
      </c>
      <c r="BL1294" t="s">
        <v>153</v>
      </c>
      <c r="BM1294" t="s">
        <v>74</v>
      </c>
      <c r="BN1294">
        <v>33057100</v>
      </c>
      <c r="BO1294" t="s">
        <v>74</v>
      </c>
      <c r="BP1294" t="s">
        <v>74</v>
      </c>
      <c r="BQ1294" t="s">
        <v>74</v>
      </c>
      <c r="BR1294" t="s">
        <v>96</v>
      </c>
      <c r="BS1294" t="s">
        <v>22381</v>
      </c>
      <c r="BT1294" t="str">
        <f>HYPERLINK("https%3A%2F%2Fwww.webofscience.com%2Fwos%2Fwoscc%2Ffull-record%2FWOS:000582679600027","View Full Record in Web of Science")</f>
        <v>View Full Record in Web of Science</v>
      </c>
    </row>
    <row r="1295" spans="1:72" x14ac:dyDescent="0.15">
      <c r="A1295" t="s">
        <v>98</v>
      </c>
      <c r="B1295" t="s">
        <v>22831</v>
      </c>
      <c r="C1295" t="s">
        <v>74</v>
      </c>
      <c r="D1295" t="s">
        <v>74</v>
      </c>
      <c r="E1295" t="s">
        <v>74</v>
      </c>
      <c r="F1295" t="s">
        <v>22832</v>
      </c>
      <c r="G1295" t="s">
        <v>74</v>
      </c>
      <c r="H1295" t="s">
        <v>74</v>
      </c>
      <c r="I1295" t="s">
        <v>22833</v>
      </c>
      <c r="J1295" t="s">
        <v>14146</v>
      </c>
      <c r="K1295" t="s">
        <v>74</v>
      </c>
      <c r="L1295" t="s">
        <v>74</v>
      </c>
      <c r="M1295" t="s">
        <v>74</v>
      </c>
      <c r="N1295" t="s">
        <v>103</v>
      </c>
      <c r="O1295" t="s">
        <v>74</v>
      </c>
      <c r="P1295" t="s">
        <v>74</v>
      </c>
      <c r="Q1295" t="s">
        <v>74</v>
      </c>
      <c r="R1295" t="s">
        <v>74</v>
      </c>
      <c r="S1295" t="s">
        <v>74</v>
      </c>
      <c r="T1295" t="s">
        <v>22834</v>
      </c>
      <c r="U1295" t="s">
        <v>22835</v>
      </c>
      <c r="V1295" t="s">
        <v>22836</v>
      </c>
      <c r="W1295" t="s">
        <v>22837</v>
      </c>
      <c r="X1295" t="s">
        <v>22838</v>
      </c>
      <c r="Y1295" t="s">
        <v>22839</v>
      </c>
      <c r="Z1295" t="s">
        <v>22840</v>
      </c>
      <c r="AA1295" t="s">
        <v>22841</v>
      </c>
      <c r="AB1295" t="s">
        <v>22842</v>
      </c>
      <c r="AC1295" t="s">
        <v>74</v>
      </c>
      <c r="AD1295" t="s">
        <v>74</v>
      </c>
      <c r="AE1295" t="s">
        <v>74</v>
      </c>
      <c r="AF1295" t="s">
        <v>74</v>
      </c>
      <c r="AG1295">
        <v>44</v>
      </c>
      <c r="AH1295">
        <v>8</v>
      </c>
      <c r="AI1295">
        <v>8</v>
      </c>
      <c r="AJ1295">
        <v>3</v>
      </c>
      <c r="AK1295">
        <v>6</v>
      </c>
      <c r="AL1295" t="s">
        <v>74</v>
      </c>
      <c r="AM1295" t="s">
        <v>74</v>
      </c>
      <c r="AN1295" t="s">
        <v>74</v>
      </c>
      <c r="AO1295" t="s">
        <v>14156</v>
      </c>
      <c r="AP1295" t="s">
        <v>14157</v>
      </c>
      <c r="AQ1295" t="s">
        <v>74</v>
      </c>
      <c r="AR1295" t="s">
        <v>74</v>
      </c>
      <c r="AS1295" t="s">
        <v>74</v>
      </c>
      <c r="AT1295" t="s">
        <v>1029</v>
      </c>
      <c r="AU1295">
        <v>2020</v>
      </c>
      <c r="AV1295">
        <v>14</v>
      </c>
      <c r="AW1295">
        <v>5</v>
      </c>
      <c r="AX1295" t="s">
        <v>74</v>
      </c>
      <c r="AY1295" t="s">
        <v>74</v>
      </c>
      <c r="AZ1295" t="s">
        <v>74</v>
      </c>
      <c r="BA1295" t="s">
        <v>74</v>
      </c>
      <c r="BB1295">
        <v>1001</v>
      </c>
      <c r="BC1295">
        <v>1015</v>
      </c>
      <c r="BD1295" t="s">
        <v>74</v>
      </c>
      <c r="BE1295" t="s">
        <v>22843</v>
      </c>
      <c r="BF1295" t="str">
        <f>HYPERLINK("http://dx.doi.org/10.1002/1878-0261.12669","http://dx.doi.org/10.1002/1878-0261.12669")</f>
        <v>http://dx.doi.org/10.1002/1878-0261.12669</v>
      </c>
      <c r="BG1295" t="s">
        <v>74</v>
      </c>
      <c r="BH1295" t="s">
        <v>7032</v>
      </c>
      <c r="BI1295" t="s">
        <v>74</v>
      </c>
      <c r="BJ1295" t="s">
        <v>267</v>
      </c>
      <c r="BK1295" t="s">
        <v>117</v>
      </c>
      <c r="BL1295" t="s">
        <v>267</v>
      </c>
      <c r="BM1295" t="s">
        <v>74</v>
      </c>
      <c r="BN1295">
        <v>32246814</v>
      </c>
      <c r="BO1295" t="s">
        <v>74</v>
      </c>
      <c r="BP1295" t="s">
        <v>74</v>
      </c>
      <c r="BQ1295" t="s">
        <v>74</v>
      </c>
      <c r="BR1295" t="s">
        <v>96</v>
      </c>
      <c r="BS1295" t="s">
        <v>22844</v>
      </c>
      <c r="BT1295" t="str">
        <f>HYPERLINK("https%3A%2F%2Fwww.webofscience.com%2Fwos%2Fwoscc%2Ffull-record%2FWOS:000523630900001","View Full Record in Web of Science")</f>
        <v>View Full Record in Web of Science</v>
      </c>
    </row>
    <row r="1296" spans="1:72" x14ac:dyDescent="0.15">
      <c r="A1296" t="s">
        <v>98</v>
      </c>
      <c r="B1296" t="s">
        <v>23031</v>
      </c>
      <c r="C1296" t="s">
        <v>74</v>
      </c>
      <c r="D1296" t="s">
        <v>74</v>
      </c>
      <c r="E1296" t="s">
        <v>74</v>
      </c>
      <c r="F1296" t="s">
        <v>23032</v>
      </c>
      <c r="G1296" t="s">
        <v>74</v>
      </c>
      <c r="H1296" t="s">
        <v>74</v>
      </c>
      <c r="I1296" t="s">
        <v>23033</v>
      </c>
      <c r="J1296" t="s">
        <v>14215</v>
      </c>
      <c r="K1296" t="s">
        <v>74</v>
      </c>
      <c r="L1296" t="s">
        <v>74</v>
      </c>
      <c r="M1296" t="s">
        <v>74</v>
      </c>
      <c r="N1296" t="s">
        <v>103</v>
      </c>
      <c r="O1296" t="s">
        <v>74</v>
      </c>
      <c r="P1296" t="s">
        <v>74</v>
      </c>
      <c r="Q1296" t="s">
        <v>74</v>
      </c>
      <c r="R1296" t="s">
        <v>74</v>
      </c>
      <c r="S1296" t="s">
        <v>74</v>
      </c>
      <c r="T1296" t="s">
        <v>23034</v>
      </c>
      <c r="U1296" t="s">
        <v>23035</v>
      </c>
      <c r="V1296" t="s">
        <v>23036</v>
      </c>
      <c r="W1296" t="s">
        <v>23037</v>
      </c>
      <c r="X1296" t="s">
        <v>23038</v>
      </c>
      <c r="Y1296" t="s">
        <v>23039</v>
      </c>
      <c r="Z1296" t="s">
        <v>23040</v>
      </c>
      <c r="AA1296" t="s">
        <v>23041</v>
      </c>
      <c r="AB1296" t="s">
        <v>23042</v>
      </c>
      <c r="AC1296" t="s">
        <v>74</v>
      </c>
      <c r="AD1296" t="s">
        <v>74</v>
      </c>
      <c r="AE1296" t="s">
        <v>74</v>
      </c>
      <c r="AF1296" t="s">
        <v>74</v>
      </c>
      <c r="AG1296">
        <v>54</v>
      </c>
      <c r="AH1296">
        <v>8</v>
      </c>
      <c r="AI1296">
        <v>10</v>
      </c>
      <c r="AJ1296">
        <v>0</v>
      </c>
      <c r="AK1296">
        <v>10</v>
      </c>
      <c r="AL1296" t="s">
        <v>74</v>
      </c>
      <c r="AM1296" t="s">
        <v>74</v>
      </c>
      <c r="AN1296" t="s">
        <v>74</v>
      </c>
      <c r="AO1296" t="s">
        <v>14225</v>
      </c>
      <c r="AP1296" t="s">
        <v>74</v>
      </c>
      <c r="AQ1296" t="s">
        <v>74</v>
      </c>
      <c r="AR1296" t="s">
        <v>74</v>
      </c>
      <c r="AS1296" t="s">
        <v>74</v>
      </c>
      <c r="AT1296" t="s">
        <v>1134</v>
      </c>
      <c r="AU1296">
        <v>2019</v>
      </c>
      <c r="AV1296">
        <v>11</v>
      </c>
      <c r="AW1296">
        <v>21</v>
      </c>
      <c r="AX1296" t="s">
        <v>74</v>
      </c>
      <c r="AY1296" t="s">
        <v>74</v>
      </c>
      <c r="AZ1296" t="s">
        <v>74</v>
      </c>
      <c r="BA1296" t="s">
        <v>74</v>
      </c>
      <c r="BB1296">
        <v>9912</v>
      </c>
      <c r="BC1296">
        <v>9931</v>
      </c>
      <c r="BD1296" t="s">
        <v>74</v>
      </c>
      <c r="BE1296" t="s">
        <v>23043</v>
      </c>
      <c r="BF1296" t="str">
        <f>HYPERLINK("http://dx.doi.org/10.18632/aging.102441","http://dx.doi.org/10.18632/aging.102441")</f>
        <v>http://dx.doi.org/10.18632/aging.102441</v>
      </c>
      <c r="BG1296" t="s">
        <v>74</v>
      </c>
      <c r="BH1296" t="s">
        <v>74</v>
      </c>
      <c r="BI1296" t="s">
        <v>74</v>
      </c>
      <c r="BJ1296" t="s">
        <v>305</v>
      </c>
      <c r="BK1296" t="s">
        <v>117</v>
      </c>
      <c r="BL1296" t="s">
        <v>305</v>
      </c>
      <c r="BM1296" t="s">
        <v>74</v>
      </c>
      <c r="BN1296">
        <v>31689238</v>
      </c>
      <c r="BO1296" t="s">
        <v>74</v>
      </c>
      <c r="BP1296" t="s">
        <v>74</v>
      </c>
      <c r="BQ1296" t="s">
        <v>74</v>
      </c>
      <c r="BR1296" t="s">
        <v>96</v>
      </c>
      <c r="BS1296" t="s">
        <v>23044</v>
      </c>
      <c r="BT1296" t="str">
        <f>HYPERLINK("https%3A%2F%2Fwww.webofscience.com%2Fwos%2Fwoscc%2Ffull-record%2FWOS:000499656700048","View Full Record in Web of Science")</f>
        <v>View Full Record in Web of Science</v>
      </c>
    </row>
    <row r="1297" spans="1:72" x14ac:dyDescent="0.15">
      <c r="A1297" t="s">
        <v>98</v>
      </c>
      <c r="B1297" t="s">
        <v>23109</v>
      </c>
      <c r="C1297" t="s">
        <v>74</v>
      </c>
      <c r="D1297" t="s">
        <v>74</v>
      </c>
      <c r="E1297" t="s">
        <v>74</v>
      </c>
      <c r="F1297" t="s">
        <v>23110</v>
      </c>
      <c r="G1297" t="s">
        <v>74</v>
      </c>
      <c r="H1297" t="s">
        <v>74</v>
      </c>
      <c r="I1297" t="s">
        <v>23111</v>
      </c>
      <c r="J1297" t="s">
        <v>23112</v>
      </c>
      <c r="K1297" t="s">
        <v>74</v>
      </c>
      <c r="L1297" t="s">
        <v>74</v>
      </c>
      <c r="M1297" t="s">
        <v>74</v>
      </c>
      <c r="N1297" t="s">
        <v>103</v>
      </c>
      <c r="O1297" t="s">
        <v>74</v>
      </c>
      <c r="P1297" t="s">
        <v>74</v>
      </c>
      <c r="Q1297" t="s">
        <v>74</v>
      </c>
      <c r="R1297" t="s">
        <v>74</v>
      </c>
      <c r="S1297" t="s">
        <v>74</v>
      </c>
      <c r="T1297" t="s">
        <v>23113</v>
      </c>
      <c r="U1297" t="s">
        <v>23114</v>
      </c>
      <c r="V1297" t="s">
        <v>23115</v>
      </c>
      <c r="W1297" t="s">
        <v>23116</v>
      </c>
      <c r="X1297" t="s">
        <v>23117</v>
      </c>
      <c r="Y1297" t="s">
        <v>14431</v>
      </c>
      <c r="Z1297" t="s">
        <v>23118</v>
      </c>
      <c r="AA1297" t="s">
        <v>12213</v>
      </c>
      <c r="AB1297" t="s">
        <v>23119</v>
      </c>
      <c r="AC1297" t="s">
        <v>74</v>
      </c>
      <c r="AD1297" t="s">
        <v>74</v>
      </c>
      <c r="AE1297" t="s">
        <v>74</v>
      </c>
      <c r="AF1297" t="s">
        <v>74</v>
      </c>
      <c r="AG1297">
        <v>60</v>
      </c>
      <c r="AH1297">
        <v>8</v>
      </c>
      <c r="AI1297">
        <v>8</v>
      </c>
      <c r="AJ1297">
        <v>5</v>
      </c>
      <c r="AK1297">
        <v>7</v>
      </c>
      <c r="AL1297" t="s">
        <v>74</v>
      </c>
      <c r="AM1297" t="s">
        <v>74</v>
      </c>
      <c r="AN1297" t="s">
        <v>74</v>
      </c>
      <c r="AO1297" t="s">
        <v>23120</v>
      </c>
      <c r="AP1297" t="s">
        <v>74</v>
      </c>
      <c r="AQ1297" t="s">
        <v>74</v>
      </c>
      <c r="AR1297" t="s">
        <v>74</v>
      </c>
      <c r="AS1297" t="s">
        <v>74</v>
      </c>
      <c r="AT1297" t="s">
        <v>23121</v>
      </c>
      <c r="AU1297">
        <v>2021</v>
      </c>
      <c r="AV1297">
        <v>13</v>
      </c>
      <c r="AW1297">
        <v>1</v>
      </c>
      <c r="AX1297" t="s">
        <v>74</v>
      </c>
      <c r="AY1297" t="s">
        <v>74</v>
      </c>
      <c r="AZ1297" t="s">
        <v>74</v>
      </c>
      <c r="BA1297" t="s">
        <v>74</v>
      </c>
      <c r="BB1297" t="s">
        <v>74</v>
      </c>
      <c r="BC1297" t="s">
        <v>74</v>
      </c>
      <c r="BD1297">
        <v>85</v>
      </c>
      <c r="BE1297" t="s">
        <v>23122</v>
      </c>
      <c r="BF1297" t="str">
        <f>HYPERLINK("http://dx.doi.org/10.1186/s13073-021-00902-1","http://dx.doi.org/10.1186/s13073-021-00902-1")</f>
        <v>http://dx.doi.org/10.1186/s13073-021-00902-1</v>
      </c>
      <c r="BG1297" t="s">
        <v>74</v>
      </c>
      <c r="BH1297" t="s">
        <v>74</v>
      </c>
      <c r="BI1297" t="s">
        <v>74</v>
      </c>
      <c r="BJ1297" t="s">
        <v>285</v>
      </c>
      <c r="BK1297" t="s">
        <v>117</v>
      </c>
      <c r="BL1297" t="s">
        <v>285</v>
      </c>
      <c r="BM1297" t="s">
        <v>74</v>
      </c>
      <c r="BN1297">
        <v>34001236</v>
      </c>
      <c r="BO1297" t="s">
        <v>74</v>
      </c>
      <c r="BP1297" t="s">
        <v>74</v>
      </c>
      <c r="BQ1297" t="s">
        <v>74</v>
      </c>
      <c r="BR1297" t="s">
        <v>96</v>
      </c>
      <c r="BS1297" t="s">
        <v>23123</v>
      </c>
      <c r="BT1297" t="str">
        <f>HYPERLINK("https%3A%2F%2Fwww.webofscience.com%2Fwos%2Fwoscc%2Ffull-record%2FWOS:000656206500003","View Full Record in Web of Science")</f>
        <v>View Full Record in Web of Science</v>
      </c>
    </row>
    <row r="1298" spans="1:72" x14ac:dyDescent="0.15">
      <c r="A1298" t="s">
        <v>98</v>
      </c>
      <c r="B1298" t="s">
        <v>23551</v>
      </c>
      <c r="C1298" t="s">
        <v>74</v>
      </c>
      <c r="D1298" t="s">
        <v>74</v>
      </c>
      <c r="E1298" t="s">
        <v>74</v>
      </c>
      <c r="F1298" t="s">
        <v>23552</v>
      </c>
      <c r="G1298" t="s">
        <v>74</v>
      </c>
      <c r="H1298" t="s">
        <v>74</v>
      </c>
      <c r="I1298" t="s">
        <v>23553</v>
      </c>
      <c r="J1298" t="s">
        <v>1073</v>
      </c>
      <c r="K1298" t="s">
        <v>74</v>
      </c>
      <c r="L1298" t="s">
        <v>74</v>
      </c>
      <c r="M1298" t="s">
        <v>74</v>
      </c>
      <c r="N1298" t="s">
        <v>103</v>
      </c>
      <c r="O1298" t="s">
        <v>74</v>
      </c>
      <c r="P1298" t="s">
        <v>74</v>
      </c>
      <c r="Q1298" t="s">
        <v>74</v>
      </c>
      <c r="R1298" t="s">
        <v>74</v>
      </c>
      <c r="S1298" t="s">
        <v>74</v>
      </c>
      <c r="T1298" t="s">
        <v>74</v>
      </c>
      <c r="U1298" t="s">
        <v>23554</v>
      </c>
      <c r="V1298" t="s">
        <v>23555</v>
      </c>
      <c r="W1298" t="s">
        <v>23556</v>
      </c>
      <c r="X1298" t="s">
        <v>23557</v>
      </c>
      <c r="Y1298" t="s">
        <v>23558</v>
      </c>
      <c r="Z1298" t="s">
        <v>23559</v>
      </c>
      <c r="AA1298" t="s">
        <v>23560</v>
      </c>
      <c r="AB1298" t="s">
        <v>23561</v>
      </c>
      <c r="AC1298" t="s">
        <v>74</v>
      </c>
      <c r="AD1298" t="s">
        <v>74</v>
      </c>
      <c r="AE1298" t="s">
        <v>74</v>
      </c>
      <c r="AF1298" t="s">
        <v>74</v>
      </c>
      <c r="AG1298">
        <v>59</v>
      </c>
      <c r="AH1298">
        <v>8</v>
      </c>
      <c r="AI1298">
        <v>9</v>
      </c>
      <c r="AJ1298">
        <v>0</v>
      </c>
      <c r="AK1298">
        <v>1</v>
      </c>
      <c r="AL1298" t="s">
        <v>74</v>
      </c>
      <c r="AM1298" t="s">
        <v>74</v>
      </c>
      <c r="AN1298" t="s">
        <v>74</v>
      </c>
      <c r="AO1298" t="s">
        <v>1082</v>
      </c>
      <c r="AP1298" t="s">
        <v>74</v>
      </c>
      <c r="AQ1298" t="s">
        <v>74</v>
      </c>
      <c r="AR1298" t="s">
        <v>74</v>
      </c>
      <c r="AS1298" t="s">
        <v>74</v>
      </c>
      <c r="AT1298" t="s">
        <v>3419</v>
      </c>
      <c r="AU1298">
        <v>2016</v>
      </c>
      <c r="AV1298">
        <v>11</v>
      </c>
      <c r="AW1298">
        <v>3</v>
      </c>
      <c r="AX1298" t="s">
        <v>74</v>
      </c>
      <c r="AY1298" t="s">
        <v>74</v>
      </c>
      <c r="AZ1298" t="s">
        <v>74</v>
      </c>
      <c r="BA1298" t="s">
        <v>74</v>
      </c>
      <c r="BB1298" t="s">
        <v>74</v>
      </c>
      <c r="BC1298" t="s">
        <v>74</v>
      </c>
      <c r="BD1298" t="s">
        <v>23562</v>
      </c>
      <c r="BE1298" t="s">
        <v>23563</v>
      </c>
      <c r="BF1298" t="str">
        <f>HYPERLINK("http://dx.doi.org/10.1371/journal.pone.0149118","http://dx.doi.org/10.1371/journal.pone.0149118")</f>
        <v>http://dx.doi.org/10.1371/journal.pone.0149118</v>
      </c>
      <c r="BG1298" t="s">
        <v>74</v>
      </c>
      <c r="BH1298" t="s">
        <v>74</v>
      </c>
      <c r="BI1298" t="s">
        <v>74</v>
      </c>
      <c r="BJ1298" t="s">
        <v>152</v>
      </c>
      <c r="BK1298" t="s">
        <v>117</v>
      </c>
      <c r="BL1298" t="s">
        <v>153</v>
      </c>
      <c r="BM1298" t="s">
        <v>74</v>
      </c>
      <c r="BN1298">
        <v>26964089</v>
      </c>
      <c r="BO1298" t="s">
        <v>74</v>
      </c>
      <c r="BP1298" t="s">
        <v>74</v>
      </c>
      <c r="BQ1298" t="s">
        <v>74</v>
      </c>
      <c r="BR1298" t="s">
        <v>96</v>
      </c>
      <c r="BS1298" t="s">
        <v>23564</v>
      </c>
      <c r="BT1298" t="str">
        <f>HYPERLINK("https%3A%2F%2Fwww.webofscience.com%2Fwos%2Fwoscc%2Ffull-record%2FWOS:000371993000008","View Full Record in Web of Science")</f>
        <v>View Full Record in Web of Science</v>
      </c>
    </row>
    <row r="1299" spans="1:72" x14ac:dyDescent="0.15">
      <c r="A1299" t="s">
        <v>98</v>
      </c>
      <c r="B1299" t="s">
        <v>24361</v>
      </c>
      <c r="C1299" t="s">
        <v>74</v>
      </c>
      <c r="D1299" t="s">
        <v>74</v>
      </c>
      <c r="E1299" t="s">
        <v>74</v>
      </c>
      <c r="F1299" t="s">
        <v>24362</v>
      </c>
      <c r="G1299" t="s">
        <v>74</v>
      </c>
      <c r="H1299" t="s">
        <v>74</v>
      </c>
      <c r="I1299" t="s">
        <v>24363</v>
      </c>
      <c r="J1299" t="s">
        <v>782</v>
      </c>
      <c r="K1299" t="s">
        <v>74</v>
      </c>
      <c r="L1299" t="s">
        <v>74</v>
      </c>
      <c r="M1299" t="s">
        <v>74</v>
      </c>
      <c r="N1299" t="s">
        <v>103</v>
      </c>
      <c r="O1299" t="s">
        <v>74</v>
      </c>
      <c r="P1299" t="s">
        <v>74</v>
      </c>
      <c r="Q1299" t="s">
        <v>74</v>
      </c>
      <c r="R1299" t="s">
        <v>74</v>
      </c>
      <c r="S1299" t="s">
        <v>74</v>
      </c>
      <c r="T1299" t="s">
        <v>74</v>
      </c>
      <c r="U1299" t="s">
        <v>24364</v>
      </c>
      <c r="V1299" t="s">
        <v>24365</v>
      </c>
      <c r="W1299" t="s">
        <v>24366</v>
      </c>
      <c r="X1299" t="s">
        <v>24367</v>
      </c>
      <c r="Y1299" t="s">
        <v>24368</v>
      </c>
      <c r="Z1299" t="s">
        <v>4339</v>
      </c>
      <c r="AA1299" t="s">
        <v>9247</v>
      </c>
      <c r="AB1299" t="s">
        <v>9248</v>
      </c>
      <c r="AC1299" t="s">
        <v>74</v>
      </c>
      <c r="AD1299" t="s">
        <v>74</v>
      </c>
      <c r="AE1299" t="s">
        <v>74</v>
      </c>
      <c r="AF1299" t="s">
        <v>74</v>
      </c>
      <c r="AG1299">
        <v>59</v>
      </c>
      <c r="AH1299">
        <v>8</v>
      </c>
      <c r="AI1299">
        <v>8</v>
      </c>
      <c r="AJ1299">
        <v>0</v>
      </c>
      <c r="AK1299">
        <v>5</v>
      </c>
      <c r="AL1299" t="s">
        <v>74</v>
      </c>
      <c r="AM1299" t="s">
        <v>74</v>
      </c>
      <c r="AN1299" t="s">
        <v>74</v>
      </c>
      <c r="AO1299" t="s">
        <v>792</v>
      </c>
      <c r="AP1299" t="s">
        <v>793</v>
      </c>
      <c r="AQ1299" t="s">
        <v>74</v>
      </c>
      <c r="AR1299" t="s">
        <v>74</v>
      </c>
      <c r="AS1299" t="s">
        <v>74</v>
      </c>
      <c r="AT1299" t="s">
        <v>565</v>
      </c>
      <c r="AU1299">
        <v>2017</v>
      </c>
      <c r="AV1299">
        <v>100</v>
      </c>
      <c r="AW1299" t="s">
        <v>74</v>
      </c>
      <c r="AX1299" t="s">
        <v>74</v>
      </c>
      <c r="AY1299" t="s">
        <v>74</v>
      </c>
      <c r="AZ1299" t="s">
        <v>74</v>
      </c>
      <c r="BA1299" t="s">
        <v>74</v>
      </c>
      <c r="BB1299">
        <v>82</v>
      </c>
      <c r="BC1299">
        <v>86</v>
      </c>
      <c r="BD1299" t="s">
        <v>74</v>
      </c>
      <c r="BE1299" t="s">
        <v>24369</v>
      </c>
      <c r="BF1299" t="str">
        <f>HYPERLINK("http://dx.doi.org/10.1016/j.mehy.2017.01.019","http://dx.doi.org/10.1016/j.mehy.2017.01.019")</f>
        <v>http://dx.doi.org/10.1016/j.mehy.2017.01.019</v>
      </c>
      <c r="BG1299" t="s">
        <v>74</v>
      </c>
      <c r="BH1299" t="s">
        <v>74</v>
      </c>
      <c r="BI1299" t="s">
        <v>74</v>
      </c>
      <c r="BJ1299" t="s">
        <v>795</v>
      </c>
      <c r="BK1299" t="s">
        <v>117</v>
      </c>
      <c r="BL1299" t="s">
        <v>796</v>
      </c>
      <c r="BM1299" t="s">
        <v>74</v>
      </c>
      <c r="BN1299">
        <v>28236854</v>
      </c>
      <c r="BO1299" t="s">
        <v>74</v>
      </c>
      <c r="BP1299" t="s">
        <v>74</v>
      </c>
      <c r="BQ1299" t="s">
        <v>74</v>
      </c>
      <c r="BR1299" t="s">
        <v>96</v>
      </c>
      <c r="BS1299" t="s">
        <v>24370</v>
      </c>
      <c r="BT1299" t="str">
        <f>HYPERLINK("https%3A%2F%2Fwww.webofscience.com%2Fwos%2Fwoscc%2Ffull-record%2FWOS:000397074200017","View Full Record in Web of Science")</f>
        <v>View Full Record in Web of Science</v>
      </c>
    </row>
    <row r="1300" spans="1:72" x14ac:dyDescent="0.15">
      <c r="A1300" t="s">
        <v>98</v>
      </c>
      <c r="B1300" t="s">
        <v>24371</v>
      </c>
      <c r="C1300" t="s">
        <v>74</v>
      </c>
      <c r="D1300" t="s">
        <v>74</v>
      </c>
      <c r="E1300" t="s">
        <v>74</v>
      </c>
      <c r="F1300" t="s">
        <v>24372</v>
      </c>
      <c r="G1300" t="s">
        <v>74</v>
      </c>
      <c r="H1300" t="s">
        <v>74</v>
      </c>
      <c r="I1300" t="s">
        <v>24373</v>
      </c>
      <c r="J1300" t="s">
        <v>13730</v>
      </c>
      <c r="K1300" t="s">
        <v>74</v>
      </c>
      <c r="L1300" t="s">
        <v>74</v>
      </c>
      <c r="M1300" t="s">
        <v>74</v>
      </c>
      <c r="N1300" t="s">
        <v>103</v>
      </c>
      <c r="O1300" t="s">
        <v>74</v>
      </c>
      <c r="P1300" t="s">
        <v>74</v>
      </c>
      <c r="Q1300" t="s">
        <v>74</v>
      </c>
      <c r="R1300" t="s">
        <v>74</v>
      </c>
      <c r="S1300" t="s">
        <v>74</v>
      </c>
      <c r="T1300" t="s">
        <v>24374</v>
      </c>
      <c r="U1300" t="s">
        <v>24375</v>
      </c>
      <c r="V1300" t="s">
        <v>24376</v>
      </c>
      <c r="W1300" t="s">
        <v>24377</v>
      </c>
      <c r="X1300" t="s">
        <v>24378</v>
      </c>
      <c r="Y1300" t="s">
        <v>24379</v>
      </c>
      <c r="Z1300" t="s">
        <v>24380</v>
      </c>
      <c r="AA1300" t="s">
        <v>24381</v>
      </c>
      <c r="AB1300" t="s">
        <v>24382</v>
      </c>
      <c r="AC1300" t="s">
        <v>74</v>
      </c>
      <c r="AD1300" t="s">
        <v>74</v>
      </c>
      <c r="AE1300" t="s">
        <v>74</v>
      </c>
      <c r="AF1300" t="s">
        <v>74</v>
      </c>
      <c r="AG1300">
        <v>50</v>
      </c>
      <c r="AH1300">
        <v>8</v>
      </c>
      <c r="AI1300">
        <v>8</v>
      </c>
      <c r="AJ1300">
        <v>1</v>
      </c>
      <c r="AK1300">
        <v>21</v>
      </c>
      <c r="AL1300" t="s">
        <v>74</v>
      </c>
      <c r="AM1300" t="s">
        <v>74</v>
      </c>
      <c r="AN1300" t="s">
        <v>74</v>
      </c>
      <c r="AO1300" t="s">
        <v>13740</v>
      </c>
      <c r="AP1300" t="s">
        <v>13741</v>
      </c>
      <c r="AQ1300" t="s">
        <v>74</v>
      </c>
      <c r="AR1300" t="s">
        <v>74</v>
      </c>
      <c r="AS1300" t="s">
        <v>74</v>
      </c>
      <c r="AT1300" t="s">
        <v>393</v>
      </c>
      <c r="AU1300">
        <v>2020</v>
      </c>
      <c r="AV1300">
        <v>322</v>
      </c>
      <c r="AW1300" t="s">
        <v>74</v>
      </c>
      <c r="AX1300" t="s">
        <v>74</v>
      </c>
      <c r="AY1300" t="s">
        <v>74</v>
      </c>
      <c r="AZ1300" t="s">
        <v>74</v>
      </c>
      <c r="BA1300" t="s">
        <v>74</v>
      </c>
      <c r="BB1300">
        <v>43</v>
      </c>
      <c r="BC1300">
        <v>53</v>
      </c>
      <c r="BD1300" t="s">
        <v>74</v>
      </c>
      <c r="BE1300" t="s">
        <v>24383</v>
      </c>
      <c r="BF1300" t="str">
        <f>HYPERLINK("http://dx.doi.org/10.1016/j.jbiotec.2020.07.009","http://dx.doi.org/10.1016/j.jbiotec.2020.07.009")</f>
        <v>http://dx.doi.org/10.1016/j.jbiotec.2020.07.009</v>
      </c>
      <c r="BG1300" t="s">
        <v>74</v>
      </c>
      <c r="BH1300" t="s">
        <v>74</v>
      </c>
      <c r="BI1300" t="s">
        <v>74</v>
      </c>
      <c r="BJ1300" t="s">
        <v>13743</v>
      </c>
      <c r="BK1300" t="s">
        <v>117</v>
      </c>
      <c r="BL1300" t="s">
        <v>13743</v>
      </c>
      <c r="BM1300" t="s">
        <v>74</v>
      </c>
      <c r="BN1300">
        <v>32673687</v>
      </c>
      <c r="BO1300" t="s">
        <v>74</v>
      </c>
      <c r="BP1300" t="s">
        <v>74</v>
      </c>
      <c r="BQ1300" t="s">
        <v>74</v>
      </c>
      <c r="BR1300" t="s">
        <v>96</v>
      </c>
      <c r="BS1300" t="s">
        <v>24384</v>
      </c>
      <c r="BT1300" t="str">
        <f>HYPERLINK("https%3A%2F%2Fwww.webofscience.com%2Fwos%2Fwoscc%2Ffull-record%2FWOS:000571480400006","View Full Record in Web of Science")</f>
        <v>View Full Record in Web of Science</v>
      </c>
    </row>
    <row r="1301" spans="1:72" x14ac:dyDescent="0.15">
      <c r="A1301" t="s">
        <v>98</v>
      </c>
      <c r="B1301" t="s">
        <v>24441</v>
      </c>
      <c r="C1301" t="s">
        <v>74</v>
      </c>
      <c r="D1301" t="s">
        <v>74</v>
      </c>
      <c r="E1301" t="s">
        <v>74</v>
      </c>
      <c r="F1301" t="s">
        <v>24442</v>
      </c>
      <c r="G1301" t="s">
        <v>74</v>
      </c>
      <c r="H1301" t="s">
        <v>74</v>
      </c>
      <c r="I1301" t="s">
        <v>24443</v>
      </c>
      <c r="J1301" t="s">
        <v>24444</v>
      </c>
      <c r="K1301" t="s">
        <v>74</v>
      </c>
      <c r="L1301" t="s">
        <v>74</v>
      </c>
      <c r="M1301" t="s">
        <v>74</v>
      </c>
      <c r="N1301" t="s">
        <v>103</v>
      </c>
      <c r="O1301" t="s">
        <v>74</v>
      </c>
      <c r="P1301" t="s">
        <v>74</v>
      </c>
      <c r="Q1301" t="s">
        <v>74</v>
      </c>
      <c r="R1301" t="s">
        <v>74</v>
      </c>
      <c r="S1301" t="s">
        <v>74</v>
      </c>
      <c r="T1301" t="s">
        <v>24445</v>
      </c>
      <c r="U1301" t="s">
        <v>24446</v>
      </c>
      <c r="V1301" t="s">
        <v>24447</v>
      </c>
      <c r="W1301" t="s">
        <v>24448</v>
      </c>
      <c r="X1301" t="s">
        <v>24449</v>
      </c>
      <c r="Y1301" t="s">
        <v>24450</v>
      </c>
      <c r="Z1301" t="s">
        <v>15304</v>
      </c>
      <c r="AA1301" t="s">
        <v>24451</v>
      </c>
      <c r="AB1301" t="s">
        <v>24452</v>
      </c>
      <c r="AC1301" t="s">
        <v>74</v>
      </c>
      <c r="AD1301" t="s">
        <v>74</v>
      </c>
      <c r="AE1301" t="s">
        <v>74</v>
      </c>
      <c r="AF1301" t="s">
        <v>74</v>
      </c>
      <c r="AG1301">
        <v>70</v>
      </c>
      <c r="AH1301">
        <v>8</v>
      </c>
      <c r="AI1301">
        <v>8</v>
      </c>
      <c r="AJ1301">
        <v>2</v>
      </c>
      <c r="AK1301">
        <v>53</v>
      </c>
      <c r="AL1301" t="s">
        <v>74</v>
      </c>
      <c r="AM1301" t="s">
        <v>74</v>
      </c>
      <c r="AN1301" t="s">
        <v>74</v>
      </c>
      <c r="AO1301" t="s">
        <v>24453</v>
      </c>
      <c r="AP1301" t="s">
        <v>24454</v>
      </c>
      <c r="AQ1301" t="s">
        <v>74</v>
      </c>
      <c r="AR1301" t="s">
        <v>74</v>
      </c>
      <c r="AS1301" t="s">
        <v>74</v>
      </c>
      <c r="AT1301" t="s">
        <v>170</v>
      </c>
      <c r="AU1301">
        <v>2017</v>
      </c>
      <c r="AV1301">
        <v>47</v>
      </c>
      <c r="AW1301">
        <v>2</v>
      </c>
      <c r="AX1301" t="s">
        <v>74</v>
      </c>
      <c r="AY1301" t="s">
        <v>74</v>
      </c>
      <c r="AZ1301" t="s">
        <v>74</v>
      </c>
      <c r="BA1301" t="s">
        <v>74</v>
      </c>
      <c r="BB1301">
        <v>169</v>
      </c>
      <c r="BC1301">
        <v>185</v>
      </c>
      <c r="BD1301" t="s">
        <v>74</v>
      </c>
      <c r="BE1301" t="s">
        <v>24455</v>
      </c>
      <c r="BF1301" t="str">
        <f>HYPERLINK("http://dx.doi.org/10.1007/s11084-016-9483-4","http://dx.doi.org/10.1007/s11084-016-9483-4")</f>
        <v>http://dx.doi.org/10.1007/s11084-016-9483-4</v>
      </c>
      <c r="BG1301" t="s">
        <v>74</v>
      </c>
      <c r="BH1301" t="s">
        <v>74</v>
      </c>
      <c r="BI1301" t="s">
        <v>74</v>
      </c>
      <c r="BJ1301" t="s">
        <v>1643</v>
      </c>
      <c r="BK1301" t="s">
        <v>117</v>
      </c>
      <c r="BL1301" t="s">
        <v>1644</v>
      </c>
      <c r="BM1301" t="s">
        <v>74</v>
      </c>
      <c r="BN1301">
        <v>27025932</v>
      </c>
      <c r="BO1301" t="s">
        <v>74</v>
      </c>
      <c r="BP1301" t="s">
        <v>74</v>
      </c>
      <c r="BQ1301" t="s">
        <v>74</v>
      </c>
      <c r="BR1301" t="s">
        <v>96</v>
      </c>
      <c r="BS1301" t="s">
        <v>24456</v>
      </c>
      <c r="BT1301" t="str">
        <f>HYPERLINK("https%3A%2F%2Fwww.webofscience.com%2Fwos%2Fwoscc%2Ffull-record%2FWOS:000401067400005","View Full Record in Web of Science")</f>
        <v>View Full Record in Web of Science</v>
      </c>
    </row>
    <row r="1302" spans="1:72" x14ac:dyDescent="0.15">
      <c r="A1302" t="s">
        <v>98</v>
      </c>
      <c r="B1302" t="s">
        <v>24599</v>
      </c>
      <c r="C1302" t="s">
        <v>74</v>
      </c>
      <c r="D1302" t="s">
        <v>74</v>
      </c>
      <c r="E1302" t="s">
        <v>74</v>
      </c>
      <c r="F1302" t="s">
        <v>24600</v>
      </c>
      <c r="G1302" t="s">
        <v>74</v>
      </c>
      <c r="H1302" t="s">
        <v>74</v>
      </c>
      <c r="I1302" t="s">
        <v>24601</v>
      </c>
      <c r="J1302" t="s">
        <v>23863</v>
      </c>
      <c r="K1302" t="s">
        <v>74</v>
      </c>
      <c r="L1302" t="s">
        <v>74</v>
      </c>
      <c r="M1302" t="s">
        <v>74</v>
      </c>
      <c r="N1302" t="s">
        <v>103</v>
      </c>
      <c r="O1302" t="s">
        <v>74</v>
      </c>
      <c r="P1302" t="s">
        <v>74</v>
      </c>
      <c r="Q1302" t="s">
        <v>74</v>
      </c>
      <c r="R1302" t="s">
        <v>74</v>
      </c>
      <c r="S1302" t="s">
        <v>74</v>
      </c>
      <c r="T1302" t="s">
        <v>74</v>
      </c>
      <c r="U1302" t="s">
        <v>24602</v>
      </c>
      <c r="V1302" t="s">
        <v>24603</v>
      </c>
      <c r="W1302" t="s">
        <v>24604</v>
      </c>
      <c r="X1302" t="s">
        <v>24605</v>
      </c>
      <c r="Y1302" t="s">
        <v>24606</v>
      </c>
      <c r="Z1302" t="s">
        <v>24607</v>
      </c>
      <c r="AA1302" t="s">
        <v>24608</v>
      </c>
      <c r="AB1302" t="s">
        <v>24609</v>
      </c>
      <c r="AC1302" t="s">
        <v>74</v>
      </c>
      <c r="AD1302" t="s">
        <v>74</v>
      </c>
      <c r="AE1302" t="s">
        <v>74</v>
      </c>
      <c r="AF1302" t="s">
        <v>74</v>
      </c>
      <c r="AG1302">
        <v>121</v>
      </c>
      <c r="AH1302">
        <v>8</v>
      </c>
      <c r="AI1302">
        <v>8</v>
      </c>
      <c r="AJ1302">
        <v>0</v>
      </c>
      <c r="AK1302">
        <v>10</v>
      </c>
      <c r="AL1302" t="s">
        <v>74</v>
      </c>
      <c r="AM1302" t="s">
        <v>74</v>
      </c>
      <c r="AN1302" t="s">
        <v>74</v>
      </c>
      <c r="AO1302" t="s">
        <v>23871</v>
      </c>
      <c r="AP1302" t="s">
        <v>23872</v>
      </c>
      <c r="AQ1302" t="s">
        <v>74</v>
      </c>
      <c r="AR1302" t="s">
        <v>74</v>
      </c>
      <c r="AS1302" t="s">
        <v>74</v>
      </c>
      <c r="AT1302" t="s">
        <v>211</v>
      </c>
      <c r="AU1302">
        <v>2018</v>
      </c>
      <c r="AV1302">
        <v>201</v>
      </c>
      <c r="AW1302" t="s">
        <v>74</v>
      </c>
      <c r="AX1302" t="s">
        <v>74</v>
      </c>
      <c r="AY1302" t="s">
        <v>74</v>
      </c>
      <c r="AZ1302" t="s">
        <v>74</v>
      </c>
      <c r="BA1302" t="s">
        <v>74</v>
      </c>
      <c r="BB1302">
        <v>1</v>
      </c>
      <c r="BC1302">
        <v>12</v>
      </c>
      <c r="BD1302" t="s">
        <v>74</v>
      </c>
      <c r="BE1302" t="s">
        <v>24610</v>
      </c>
      <c r="BF1302" t="str">
        <f>HYPERLINK("http://dx.doi.org/10.1016/j.trsl.2018.07.004","http://dx.doi.org/10.1016/j.trsl.2018.07.004")</f>
        <v>http://dx.doi.org/10.1016/j.trsl.2018.07.004</v>
      </c>
      <c r="BG1302" t="s">
        <v>74</v>
      </c>
      <c r="BH1302" t="s">
        <v>74</v>
      </c>
      <c r="BI1302" t="s">
        <v>74</v>
      </c>
      <c r="BJ1302" t="s">
        <v>23874</v>
      </c>
      <c r="BK1302" t="s">
        <v>117</v>
      </c>
      <c r="BL1302" t="s">
        <v>23875</v>
      </c>
      <c r="BM1302" t="s">
        <v>74</v>
      </c>
      <c r="BN1302">
        <v>30092207</v>
      </c>
      <c r="BO1302" t="s">
        <v>74</v>
      </c>
      <c r="BP1302" t="s">
        <v>74</v>
      </c>
      <c r="BQ1302" t="s">
        <v>74</v>
      </c>
      <c r="BR1302" t="s">
        <v>96</v>
      </c>
      <c r="BS1302" t="s">
        <v>24611</v>
      </c>
      <c r="BT1302" t="str">
        <f>HYPERLINK("https%3A%2F%2Fwww.webofscience.com%2Fwos%2Fwoscc%2Ffull-record%2FWOS:000449037200001","View Full Record in Web of Science")</f>
        <v>View Full Record in Web of Science</v>
      </c>
    </row>
    <row r="1303" spans="1:72" x14ac:dyDescent="0.15">
      <c r="A1303" t="s">
        <v>98</v>
      </c>
      <c r="B1303" t="s">
        <v>25203</v>
      </c>
      <c r="C1303" t="s">
        <v>74</v>
      </c>
      <c r="D1303" t="s">
        <v>74</v>
      </c>
      <c r="E1303" t="s">
        <v>74</v>
      </c>
      <c r="F1303" t="s">
        <v>25204</v>
      </c>
      <c r="G1303" t="s">
        <v>74</v>
      </c>
      <c r="H1303" t="s">
        <v>74</v>
      </c>
      <c r="I1303" t="s">
        <v>25205</v>
      </c>
      <c r="J1303" t="s">
        <v>2105</v>
      </c>
      <c r="K1303" t="s">
        <v>74</v>
      </c>
      <c r="L1303" t="s">
        <v>74</v>
      </c>
      <c r="M1303" t="s">
        <v>74</v>
      </c>
      <c r="N1303" t="s">
        <v>103</v>
      </c>
      <c r="O1303" t="s">
        <v>74</v>
      </c>
      <c r="P1303" t="s">
        <v>74</v>
      </c>
      <c r="Q1303" t="s">
        <v>74</v>
      </c>
      <c r="R1303" t="s">
        <v>74</v>
      </c>
      <c r="S1303" t="s">
        <v>74</v>
      </c>
      <c r="T1303" t="s">
        <v>25206</v>
      </c>
      <c r="U1303" t="s">
        <v>25207</v>
      </c>
      <c r="V1303" t="s">
        <v>25208</v>
      </c>
      <c r="W1303" t="s">
        <v>25209</v>
      </c>
      <c r="X1303" t="s">
        <v>25210</v>
      </c>
      <c r="Y1303" t="s">
        <v>25211</v>
      </c>
      <c r="Z1303" t="s">
        <v>25212</v>
      </c>
      <c r="AA1303" t="s">
        <v>74</v>
      </c>
      <c r="AB1303" t="s">
        <v>74</v>
      </c>
      <c r="AC1303" t="s">
        <v>74</v>
      </c>
      <c r="AD1303" t="s">
        <v>74</v>
      </c>
      <c r="AE1303" t="s">
        <v>74</v>
      </c>
      <c r="AF1303" t="s">
        <v>74</v>
      </c>
      <c r="AG1303">
        <v>42</v>
      </c>
      <c r="AH1303">
        <v>8</v>
      </c>
      <c r="AI1303">
        <v>8</v>
      </c>
      <c r="AJ1303">
        <v>1</v>
      </c>
      <c r="AK1303">
        <v>9</v>
      </c>
      <c r="AL1303" t="s">
        <v>74</v>
      </c>
      <c r="AM1303" t="s">
        <v>74</v>
      </c>
      <c r="AN1303" t="s">
        <v>74</v>
      </c>
      <c r="AO1303" t="s">
        <v>2115</v>
      </c>
      <c r="AP1303" t="s">
        <v>74</v>
      </c>
      <c r="AQ1303" t="s">
        <v>74</v>
      </c>
      <c r="AR1303" t="s">
        <v>74</v>
      </c>
      <c r="AS1303" t="s">
        <v>74</v>
      </c>
      <c r="AT1303" t="s">
        <v>5213</v>
      </c>
      <c r="AU1303">
        <v>2019</v>
      </c>
      <c r="AV1303">
        <v>9</v>
      </c>
      <c r="AW1303" t="s">
        <v>74</v>
      </c>
      <c r="AX1303" t="s">
        <v>74</v>
      </c>
      <c r="AY1303" t="s">
        <v>74</v>
      </c>
      <c r="AZ1303" t="s">
        <v>74</v>
      </c>
      <c r="BA1303" t="s">
        <v>74</v>
      </c>
      <c r="BB1303" t="s">
        <v>74</v>
      </c>
      <c r="BC1303" t="s">
        <v>74</v>
      </c>
      <c r="BD1303">
        <v>1005</v>
      </c>
      <c r="BE1303" t="s">
        <v>25213</v>
      </c>
      <c r="BF1303" t="str">
        <f>HYPERLINK("http://dx.doi.org/10.3389/fonc.2019.01005","http://dx.doi.org/10.3389/fonc.2019.01005")</f>
        <v>http://dx.doi.org/10.3389/fonc.2019.01005</v>
      </c>
      <c r="BG1303" t="s">
        <v>74</v>
      </c>
      <c r="BH1303" t="s">
        <v>74</v>
      </c>
      <c r="BI1303" t="s">
        <v>74</v>
      </c>
      <c r="BJ1303" t="s">
        <v>267</v>
      </c>
      <c r="BK1303" t="s">
        <v>117</v>
      </c>
      <c r="BL1303" t="s">
        <v>267</v>
      </c>
      <c r="BM1303" t="s">
        <v>74</v>
      </c>
      <c r="BN1303">
        <v>31681565</v>
      </c>
      <c r="BO1303" t="s">
        <v>74</v>
      </c>
      <c r="BP1303" t="s">
        <v>74</v>
      </c>
      <c r="BQ1303" t="s">
        <v>74</v>
      </c>
      <c r="BR1303" t="s">
        <v>96</v>
      </c>
      <c r="BS1303" t="s">
        <v>25214</v>
      </c>
      <c r="BT1303" t="str">
        <f>HYPERLINK("https%3A%2F%2Fwww.webofscience.com%2Fwos%2Fwoscc%2Ffull-record%2FWOS:000497829900001","View Full Record in Web of Science")</f>
        <v>View Full Record in Web of Science</v>
      </c>
    </row>
    <row r="1304" spans="1:72" x14ac:dyDescent="0.15">
      <c r="A1304" t="s">
        <v>98</v>
      </c>
      <c r="B1304" t="s">
        <v>25256</v>
      </c>
      <c r="C1304" t="s">
        <v>74</v>
      </c>
      <c r="D1304" t="s">
        <v>74</v>
      </c>
      <c r="E1304" t="s">
        <v>74</v>
      </c>
      <c r="F1304" t="s">
        <v>25257</v>
      </c>
      <c r="G1304" t="s">
        <v>74</v>
      </c>
      <c r="H1304" t="s">
        <v>74</v>
      </c>
      <c r="I1304" t="s">
        <v>25258</v>
      </c>
      <c r="J1304" t="s">
        <v>25053</v>
      </c>
      <c r="K1304" t="s">
        <v>74</v>
      </c>
      <c r="L1304" t="s">
        <v>74</v>
      </c>
      <c r="M1304" t="s">
        <v>74</v>
      </c>
      <c r="N1304" t="s">
        <v>103</v>
      </c>
      <c r="O1304" t="s">
        <v>74</v>
      </c>
      <c r="P1304" t="s">
        <v>74</v>
      </c>
      <c r="Q1304" t="s">
        <v>74</v>
      </c>
      <c r="R1304" t="s">
        <v>74</v>
      </c>
      <c r="S1304" t="s">
        <v>74</v>
      </c>
      <c r="T1304" t="s">
        <v>25259</v>
      </c>
      <c r="U1304" t="s">
        <v>25260</v>
      </c>
      <c r="V1304" t="s">
        <v>25261</v>
      </c>
      <c r="W1304" t="s">
        <v>25262</v>
      </c>
      <c r="X1304" t="s">
        <v>25263</v>
      </c>
      <c r="Y1304" t="s">
        <v>25264</v>
      </c>
      <c r="Z1304" t="s">
        <v>25265</v>
      </c>
      <c r="AA1304" t="s">
        <v>18953</v>
      </c>
      <c r="AB1304" t="s">
        <v>18954</v>
      </c>
      <c r="AC1304" t="s">
        <v>74</v>
      </c>
      <c r="AD1304" t="s">
        <v>74</v>
      </c>
      <c r="AE1304" t="s">
        <v>74</v>
      </c>
      <c r="AF1304" t="s">
        <v>74</v>
      </c>
      <c r="AG1304">
        <v>59</v>
      </c>
      <c r="AH1304">
        <v>8</v>
      </c>
      <c r="AI1304">
        <v>8</v>
      </c>
      <c r="AJ1304">
        <v>1</v>
      </c>
      <c r="AK1304">
        <v>4</v>
      </c>
      <c r="AL1304" t="s">
        <v>74</v>
      </c>
      <c r="AM1304" t="s">
        <v>74</v>
      </c>
      <c r="AN1304" t="s">
        <v>74</v>
      </c>
      <c r="AO1304" t="s">
        <v>25062</v>
      </c>
      <c r="AP1304" t="s">
        <v>25063</v>
      </c>
      <c r="AQ1304" t="s">
        <v>74</v>
      </c>
      <c r="AR1304" t="s">
        <v>74</v>
      </c>
      <c r="AS1304" t="s">
        <v>74</v>
      </c>
      <c r="AT1304" t="s">
        <v>565</v>
      </c>
      <c r="AU1304">
        <v>2020</v>
      </c>
      <c r="AV1304">
        <v>212</v>
      </c>
      <c r="AW1304" t="s">
        <v>74</v>
      </c>
      <c r="AX1304" t="s">
        <v>74</v>
      </c>
      <c r="AY1304" t="s">
        <v>74</v>
      </c>
      <c r="AZ1304" t="s">
        <v>74</v>
      </c>
      <c r="BA1304" t="s">
        <v>74</v>
      </c>
      <c r="BB1304">
        <v>78</v>
      </c>
      <c r="BC1304">
        <v>87</v>
      </c>
      <c r="BD1304">
        <v>108349</v>
      </c>
      <c r="BE1304" t="s">
        <v>25266</v>
      </c>
      <c r="BF1304" t="str">
        <f>HYPERLINK("http://dx.doi.org/10.1016/j.clim.2020.108349","http://dx.doi.org/10.1016/j.clim.2020.108349")</f>
        <v>http://dx.doi.org/10.1016/j.clim.2020.108349</v>
      </c>
      <c r="BG1304" t="s">
        <v>74</v>
      </c>
      <c r="BH1304" t="s">
        <v>74</v>
      </c>
      <c r="BI1304" t="s">
        <v>74</v>
      </c>
      <c r="BJ1304" t="s">
        <v>2064</v>
      </c>
      <c r="BK1304" t="s">
        <v>117</v>
      </c>
      <c r="BL1304" t="s">
        <v>2064</v>
      </c>
      <c r="BM1304" t="s">
        <v>74</v>
      </c>
      <c r="BN1304">
        <v>31982644</v>
      </c>
      <c r="BO1304" t="s">
        <v>74</v>
      </c>
      <c r="BP1304" t="s">
        <v>74</v>
      </c>
      <c r="BQ1304" t="s">
        <v>74</v>
      </c>
      <c r="BR1304" t="s">
        <v>96</v>
      </c>
      <c r="BS1304" t="s">
        <v>25267</v>
      </c>
      <c r="BT1304" t="str">
        <f>HYPERLINK("https%3A%2F%2Fwww.webofscience.com%2Fwos%2Fwoscc%2Ffull-record%2FWOS:000520947700010","View Full Record in Web of Science")</f>
        <v>View Full Record in Web of Science</v>
      </c>
    </row>
    <row r="1305" spans="1:72" x14ac:dyDescent="0.15">
      <c r="A1305" t="s">
        <v>98</v>
      </c>
      <c r="B1305" t="s">
        <v>25688</v>
      </c>
      <c r="C1305" t="s">
        <v>74</v>
      </c>
      <c r="D1305" t="s">
        <v>74</v>
      </c>
      <c r="E1305" t="s">
        <v>74</v>
      </c>
      <c r="F1305" t="s">
        <v>25688</v>
      </c>
      <c r="G1305" t="s">
        <v>74</v>
      </c>
      <c r="H1305" t="s">
        <v>74</v>
      </c>
      <c r="I1305" t="s">
        <v>25689</v>
      </c>
      <c r="J1305" t="s">
        <v>25690</v>
      </c>
      <c r="K1305" t="s">
        <v>74</v>
      </c>
      <c r="L1305" t="s">
        <v>74</v>
      </c>
      <c r="M1305" t="s">
        <v>74</v>
      </c>
      <c r="N1305" t="s">
        <v>103</v>
      </c>
      <c r="O1305" t="s">
        <v>74</v>
      </c>
      <c r="P1305" t="s">
        <v>74</v>
      </c>
      <c r="Q1305" t="s">
        <v>74</v>
      </c>
      <c r="R1305" t="s">
        <v>74</v>
      </c>
      <c r="S1305" t="s">
        <v>74</v>
      </c>
      <c r="T1305" t="s">
        <v>25691</v>
      </c>
      <c r="U1305" t="s">
        <v>25692</v>
      </c>
      <c r="V1305" t="s">
        <v>25693</v>
      </c>
      <c r="W1305" t="s">
        <v>25694</v>
      </c>
      <c r="X1305" t="s">
        <v>25695</v>
      </c>
      <c r="Y1305" t="s">
        <v>25696</v>
      </c>
      <c r="Z1305" t="s">
        <v>74</v>
      </c>
      <c r="AA1305" t="s">
        <v>74</v>
      </c>
      <c r="AB1305" t="s">
        <v>25697</v>
      </c>
      <c r="AC1305" t="s">
        <v>74</v>
      </c>
      <c r="AD1305" t="s">
        <v>74</v>
      </c>
      <c r="AE1305" t="s">
        <v>74</v>
      </c>
      <c r="AF1305" t="s">
        <v>74</v>
      </c>
      <c r="AG1305">
        <v>53</v>
      </c>
      <c r="AH1305">
        <v>8</v>
      </c>
      <c r="AI1305">
        <v>8</v>
      </c>
      <c r="AJ1305">
        <v>0</v>
      </c>
      <c r="AK1305">
        <v>0</v>
      </c>
      <c r="AL1305" t="s">
        <v>74</v>
      </c>
      <c r="AM1305" t="s">
        <v>74</v>
      </c>
      <c r="AN1305" t="s">
        <v>74</v>
      </c>
      <c r="AO1305" t="s">
        <v>25698</v>
      </c>
      <c r="AP1305" t="s">
        <v>25699</v>
      </c>
      <c r="AQ1305" t="s">
        <v>74</v>
      </c>
      <c r="AR1305" t="s">
        <v>74</v>
      </c>
      <c r="AS1305" t="s">
        <v>74</v>
      </c>
      <c r="AT1305" t="s">
        <v>230</v>
      </c>
      <c r="AU1305">
        <v>1997</v>
      </c>
      <c r="AV1305">
        <v>207</v>
      </c>
      <c r="AW1305">
        <v>3</v>
      </c>
      <c r="AX1305" t="s">
        <v>74</v>
      </c>
      <c r="AY1305" t="s">
        <v>74</v>
      </c>
      <c r="AZ1305" t="s">
        <v>74</v>
      </c>
      <c r="BA1305" t="s">
        <v>74</v>
      </c>
      <c r="BB1305">
        <v>177</v>
      </c>
      <c r="BC1305">
        <v>185</v>
      </c>
      <c r="BD1305" t="s">
        <v>74</v>
      </c>
      <c r="BE1305" t="s">
        <v>25700</v>
      </c>
      <c r="BF1305" t="str">
        <f>HYPERLINK("http://dx.doi.org/10.1007/s004270050105","http://dx.doi.org/10.1007/s004270050105")</f>
        <v>http://dx.doi.org/10.1007/s004270050105</v>
      </c>
      <c r="BG1305" t="s">
        <v>74</v>
      </c>
      <c r="BH1305" t="s">
        <v>74</v>
      </c>
      <c r="BI1305" t="s">
        <v>74</v>
      </c>
      <c r="BJ1305" t="s">
        <v>25701</v>
      </c>
      <c r="BK1305" t="s">
        <v>117</v>
      </c>
      <c r="BL1305" t="s">
        <v>25701</v>
      </c>
      <c r="BM1305" t="s">
        <v>74</v>
      </c>
      <c r="BN1305">
        <v>27747415</v>
      </c>
      <c r="BO1305" t="s">
        <v>74</v>
      </c>
      <c r="BP1305" t="s">
        <v>74</v>
      </c>
      <c r="BQ1305" t="s">
        <v>74</v>
      </c>
      <c r="BR1305" t="s">
        <v>96</v>
      </c>
      <c r="BS1305" t="s">
        <v>25702</v>
      </c>
      <c r="BT1305" t="str">
        <f>HYPERLINK("https%3A%2F%2Fwww.webofscience.com%2Fwos%2Fwoscc%2Ffull-record%2FWOS:A1997XW36600005","View Full Record in Web of Science")</f>
        <v>View Full Record in Web of Science</v>
      </c>
    </row>
    <row r="1306" spans="1:72" x14ac:dyDescent="0.15">
      <c r="A1306" t="s">
        <v>98</v>
      </c>
      <c r="B1306" t="s">
        <v>26077</v>
      </c>
      <c r="C1306" t="s">
        <v>74</v>
      </c>
      <c r="D1306" t="s">
        <v>74</v>
      </c>
      <c r="E1306" t="s">
        <v>74</v>
      </c>
      <c r="F1306" t="s">
        <v>26078</v>
      </c>
      <c r="G1306" t="s">
        <v>74</v>
      </c>
      <c r="H1306" t="s">
        <v>74</v>
      </c>
      <c r="I1306" t="s">
        <v>26079</v>
      </c>
      <c r="J1306" t="s">
        <v>26080</v>
      </c>
      <c r="K1306" t="s">
        <v>74</v>
      </c>
      <c r="L1306" t="s">
        <v>74</v>
      </c>
      <c r="M1306" t="s">
        <v>74</v>
      </c>
      <c r="N1306" t="s">
        <v>103</v>
      </c>
      <c r="O1306" t="s">
        <v>74</v>
      </c>
      <c r="P1306" t="s">
        <v>74</v>
      </c>
      <c r="Q1306" t="s">
        <v>74</v>
      </c>
      <c r="R1306" t="s">
        <v>74</v>
      </c>
      <c r="S1306" t="s">
        <v>74</v>
      </c>
      <c r="T1306" t="s">
        <v>26081</v>
      </c>
      <c r="U1306" t="s">
        <v>26082</v>
      </c>
      <c r="V1306" t="s">
        <v>26083</v>
      </c>
      <c r="W1306" t="s">
        <v>26084</v>
      </c>
      <c r="X1306" t="s">
        <v>26085</v>
      </c>
      <c r="Y1306" t="s">
        <v>26086</v>
      </c>
      <c r="Z1306" t="s">
        <v>26087</v>
      </c>
      <c r="AA1306" t="s">
        <v>26088</v>
      </c>
      <c r="AB1306" t="s">
        <v>26089</v>
      </c>
      <c r="AC1306" t="s">
        <v>74</v>
      </c>
      <c r="AD1306" t="s">
        <v>74</v>
      </c>
      <c r="AE1306" t="s">
        <v>74</v>
      </c>
      <c r="AF1306" t="s">
        <v>74</v>
      </c>
      <c r="AG1306">
        <v>57</v>
      </c>
      <c r="AH1306">
        <v>8</v>
      </c>
      <c r="AI1306">
        <v>8</v>
      </c>
      <c r="AJ1306">
        <v>1</v>
      </c>
      <c r="AK1306">
        <v>9</v>
      </c>
      <c r="AL1306" t="s">
        <v>74</v>
      </c>
      <c r="AM1306" t="s">
        <v>74</v>
      </c>
      <c r="AN1306" t="s">
        <v>74</v>
      </c>
      <c r="AO1306" t="s">
        <v>26090</v>
      </c>
      <c r="AP1306" t="s">
        <v>26091</v>
      </c>
      <c r="AQ1306" t="s">
        <v>74</v>
      </c>
      <c r="AR1306" t="s">
        <v>74</v>
      </c>
      <c r="AS1306" t="s">
        <v>74</v>
      </c>
      <c r="AT1306" t="s">
        <v>170</v>
      </c>
      <c r="AU1306">
        <v>2019</v>
      </c>
      <c r="AV1306">
        <v>51</v>
      </c>
      <c r="AW1306">
        <v>3</v>
      </c>
      <c r="AX1306" t="s">
        <v>74</v>
      </c>
      <c r="AY1306" t="s">
        <v>74</v>
      </c>
      <c r="AZ1306" t="s">
        <v>447</v>
      </c>
      <c r="BA1306" t="s">
        <v>74</v>
      </c>
      <c r="BB1306">
        <v>126</v>
      </c>
      <c r="BC1306">
        <v>134</v>
      </c>
      <c r="BD1306" t="s">
        <v>74</v>
      </c>
      <c r="BE1306" t="s">
        <v>26092</v>
      </c>
      <c r="BF1306" t="str">
        <f>HYPERLINK("http://dx.doi.org/10.1007/s10353-019-0575-z","http://dx.doi.org/10.1007/s10353-019-0575-z")</f>
        <v>http://dx.doi.org/10.1007/s10353-019-0575-z</v>
      </c>
      <c r="BG1306" t="s">
        <v>74</v>
      </c>
      <c r="BH1306" t="s">
        <v>74</v>
      </c>
      <c r="BI1306" t="s">
        <v>74</v>
      </c>
      <c r="BJ1306" t="s">
        <v>24046</v>
      </c>
      <c r="BK1306" t="s">
        <v>117</v>
      </c>
      <c r="BL1306" t="s">
        <v>24046</v>
      </c>
      <c r="BM1306" t="s">
        <v>74</v>
      </c>
      <c r="BN1306" t="s">
        <v>74</v>
      </c>
      <c r="BO1306" t="s">
        <v>74</v>
      </c>
      <c r="BP1306" t="s">
        <v>74</v>
      </c>
      <c r="BQ1306" t="s">
        <v>74</v>
      </c>
      <c r="BR1306" t="s">
        <v>96</v>
      </c>
      <c r="BS1306" t="s">
        <v>26093</v>
      </c>
      <c r="BT1306" t="str">
        <f>HYPERLINK("https%3A%2F%2Fwww.webofscience.com%2Fwos%2Fwoscc%2Ffull-record%2FWOS:000469496900009","View Full Record in Web of Science")</f>
        <v>View Full Record in Web of Science</v>
      </c>
    </row>
    <row r="1307" spans="1:72" x14ac:dyDescent="0.15">
      <c r="A1307" t="s">
        <v>98</v>
      </c>
      <c r="B1307" t="s">
        <v>26246</v>
      </c>
      <c r="C1307" t="s">
        <v>74</v>
      </c>
      <c r="D1307" t="s">
        <v>74</v>
      </c>
      <c r="E1307" t="s">
        <v>74</v>
      </c>
      <c r="F1307" t="s">
        <v>26247</v>
      </c>
      <c r="G1307" t="s">
        <v>74</v>
      </c>
      <c r="H1307" t="s">
        <v>74</v>
      </c>
      <c r="I1307" t="s">
        <v>26248</v>
      </c>
      <c r="J1307" t="s">
        <v>2520</v>
      </c>
      <c r="K1307" t="s">
        <v>74</v>
      </c>
      <c r="L1307" t="s">
        <v>74</v>
      </c>
      <c r="M1307" t="s">
        <v>74</v>
      </c>
      <c r="N1307" t="s">
        <v>103</v>
      </c>
      <c r="O1307" t="s">
        <v>74</v>
      </c>
      <c r="P1307" t="s">
        <v>74</v>
      </c>
      <c r="Q1307" t="s">
        <v>74</v>
      </c>
      <c r="R1307" t="s">
        <v>74</v>
      </c>
      <c r="S1307" t="s">
        <v>74</v>
      </c>
      <c r="T1307" t="s">
        <v>26249</v>
      </c>
      <c r="U1307" t="s">
        <v>26250</v>
      </c>
      <c r="V1307" t="s">
        <v>26251</v>
      </c>
      <c r="W1307" t="s">
        <v>26252</v>
      </c>
      <c r="X1307" t="s">
        <v>26253</v>
      </c>
      <c r="Y1307" t="s">
        <v>26254</v>
      </c>
      <c r="Z1307" t="s">
        <v>26255</v>
      </c>
      <c r="AA1307" t="s">
        <v>26256</v>
      </c>
      <c r="AB1307" t="s">
        <v>26257</v>
      </c>
      <c r="AC1307" t="s">
        <v>74</v>
      </c>
      <c r="AD1307" t="s">
        <v>74</v>
      </c>
      <c r="AE1307" t="s">
        <v>74</v>
      </c>
      <c r="AF1307" t="s">
        <v>74</v>
      </c>
      <c r="AG1307">
        <v>46</v>
      </c>
      <c r="AH1307">
        <v>8</v>
      </c>
      <c r="AI1307">
        <v>9</v>
      </c>
      <c r="AJ1307">
        <v>0</v>
      </c>
      <c r="AK1307">
        <v>18</v>
      </c>
      <c r="AL1307" t="s">
        <v>74</v>
      </c>
      <c r="AM1307" t="s">
        <v>74</v>
      </c>
      <c r="AN1307" t="s">
        <v>74</v>
      </c>
      <c r="AO1307" t="s">
        <v>2529</v>
      </c>
      <c r="AP1307" t="s">
        <v>74</v>
      </c>
      <c r="AQ1307" t="s">
        <v>74</v>
      </c>
      <c r="AR1307" t="s">
        <v>74</v>
      </c>
      <c r="AS1307" t="s">
        <v>74</v>
      </c>
      <c r="AT1307" t="s">
        <v>12549</v>
      </c>
      <c r="AU1307">
        <v>2015</v>
      </c>
      <c r="AV1307">
        <v>6</v>
      </c>
      <c r="AW1307" t="s">
        <v>74</v>
      </c>
      <c r="AX1307" t="s">
        <v>74</v>
      </c>
      <c r="AY1307" t="s">
        <v>74</v>
      </c>
      <c r="AZ1307" t="s">
        <v>74</v>
      </c>
      <c r="BA1307" t="s">
        <v>74</v>
      </c>
      <c r="BB1307" t="s">
        <v>74</v>
      </c>
      <c r="BC1307" t="s">
        <v>74</v>
      </c>
      <c r="BD1307">
        <v>1384</v>
      </c>
      <c r="BE1307" t="s">
        <v>26258</v>
      </c>
      <c r="BF1307" t="str">
        <f>HYPERLINK("http://dx.doi.org/10.3389/fmicb.2015.01384","http://dx.doi.org/10.3389/fmicb.2015.01384")</f>
        <v>http://dx.doi.org/10.3389/fmicb.2015.01384</v>
      </c>
      <c r="BG1307" t="s">
        <v>74</v>
      </c>
      <c r="BH1307" t="s">
        <v>74</v>
      </c>
      <c r="BI1307" t="s">
        <v>74</v>
      </c>
      <c r="BJ1307" t="s">
        <v>898</v>
      </c>
      <c r="BK1307" t="s">
        <v>117</v>
      </c>
      <c r="BL1307" t="s">
        <v>898</v>
      </c>
      <c r="BM1307" t="s">
        <v>74</v>
      </c>
      <c r="BN1307">
        <v>26696991</v>
      </c>
      <c r="BO1307" t="s">
        <v>74</v>
      </c>
      <c r="BP1307" t="s">
        <v>74</v>
      </c>
      <c r="BQ1307" t="s">
        <v>74</v>
      </c>
      <c r="BR1307" t="s">
        <v>96</v>
      </c>
      <c r="BS1307" t="s">
        <v>26259</v>
      </c>
      <c r="BT1307" t="str">
        <f>HYPERLINK("https%3A%2F%2Fwww.webofscience.com%2Fwos%2Fwoscc%2Ffull-record%2FWOS:000366703500001","View Full Record in Web of Science")</f>
        <v>View Full Record in Web of Science</v>
      </c>
    </row>
    <row r="1308" spans="1:72" x14ac:dyDescent="0.15">
      <c r="A1308" t="s">
        <v>98</v>
      </c>
      <c r="B1308" t="s">
        <v>27715</v>
      </c>
      <c r="C1308" t="s">
        <v>74</v>
      </c>
      <c r="D1308" t="s">
        <v>74</v>
      </c>
      <c r="E1308" t="s">
        <v>74</v>
      </c>
      <c r="F1308" t="s">
        <v>27716</v>
      </c>
      <c r="G1308" t="s">
        <v>74</v>
      </c>
      <c r="H1308" t="s">
        <v>74</v>
      </c>
      <c r="I1308" t="s">
        <v>27717</v>
      </c>
      <c r="J1308" t="s">
        <v>140</v>
      </c>
      <c r="K1308" t="s">
        <v>74</v>
      </c>
      <c r="L1308" t="s">
        <v>74</v>
      </c>
      <c r="M1308" t="s">
        <v>74</v>
      </c>
      <c r="N1308" t="s">
        <v>27718</v>
      </c>
      <c r="O1308" t="s">
        <v>74</v>
      </c>
      <c r="P1308" t="s">
        <v>74</v>
      </c>
      <c r="Q1308" t="s">
        <v>74</v>
      </c>
      <c r="R1308" t="s">
        <v>74</v>
      </c>
      <c r="S1308" t="s">
        <v>74</v>
      </c>
      <c r="T1308" t="s">
        <v>74</v>
      </c>
      <c r="U1308" t="s">
        <v>27719</v>
      </c>
      <c r="V1308" t="s">
        <v>27720</v>
      </c>
      <c r="W1308" t="s">
        <v>27721</v>
      </c>
      <c r="X1308" t="s">
        <v>27722</v>
      </c>
      <c r="Y1308" t="s">
        <v>27723</v>
      </c>
      <c r="Z1308" t="s">
        <v>27724</v>
      </c>
      <c r="AA1308" t="s">
        <v>74</v>
      </c>
      <c r="AB1308" t="s">
        <v>74</v>
      </c>
      <c r="AC1308" t="s">
        <v>74</v>
      </c>
      <c r="AD1308" t="s">
        <v>74</v>
      </c>
      <c r="AE1308" t="s">
        <v>74</v>
      </c>
      <c r="AF1308" t="s">
        <v>74</v>
      </c>
      <c r="AG1308">
        <v>60</v>
      </c>
      <c r="AH1308">
        <v>8</v>
      </c>
      <c r="AI1308">
        <v>8</v>
      </c>
      <c r="AJ1308">
        <v>0</v>
      </c>
      <c r="AK1308">
        <v>2</v>
      </c>
      <c r="AL1308" t="s">
        <v>74</v>
      </c>
      <c r="AM1308" t="s">
        <v>74</v>
      </c>
      <c r="AN1308" t="s">
        <v>74</v>
      </c>
      <c r="AO1308" t="s">
        <v>149</v>
      </c>
      <c r="AP1308" t="s">
        <v>74</v>
      </c>
      <c r="AQ1308" t="s">
        <v>74</v>
      </c>
      <c r="AR1308" t="s">
        <v>74</v>
      </c>
      <c r="AS1308" t="s">
        <v>74</v>
      </c>
      <c r="AT1308" t="s">
        <v>22727</v>
      </c>
      <c r="AU1308">
        <v>2019</v>
      </c>
      <c r="AV1308">
        <v>9</v>
      </c>
      <c r="AW1308" t="s">
        <v>74</v>
      </c>
      <c r="AX1308" t="s">
        <v>74</v>
      </c>
      <c r="AY1308" t="s">
        <v>74</v>
      </c>
      <c r="AZ1308" t="s">
        <v>74</v>
      </c>
      <c r="BA1308" t="s">
        <v>74</v>
      </c>
      <c r="BB1308" t="s">
        <v>74</v>
      </c>
      <c r="BC1308" t="s">
        <v>74</v>
      </c>
      <c r="BD1308">
        <v>9825</v>
      </c>
      <c r="BE1308" t="s">
        <v>27725</v>
      </c>
      <c r="BF1308" t="str">
        <f>HYPERLINK("http://dx.doi.org/10.1038/s41598-019-45800-0","http://dx.doi.org/10.1038/s41598-019-45800-0")</f>
        <v>http://dx.doi.org/10.1038/s41598-019-45800-0</v>
      </c>
      <c r="BG1308" t="s">
        <v>74</v>
      </c>
      <c r="BH1308" t="s">
        <v>74</v>
      </c>
      <c r="BI1308" t="s">
        <v>74</v>
      </c>
      <c r="BJ1308" t="s">
        <v>152</v>
      </c>
      <c r="BK1308" t="s">
        <v>117</v>
      </c>
      <c r="BL1308" t="s">
        <v>153</v>
      </c>
      <c r="BM1308" t="s">
        <v>74</v>
      </c>
      <c r="BN1308">
        <v>31285443</v>
      </c>
      <c r="BO1308" t="s">
        <v>74</v>
      </c>
      <c r="BP1308" t="s">
        <v>74</v>
      </c>
      <c r="BQ1308" t="s">
        <v>74</v>
      </c>
      <c r="BR1308" t="s">
        <v>96</v>
      </c>
      <c r="BS1308" t="s">
        <v>27726</v>
      </c>
      <c r="BT1308" t="str">
        <f>HYPERLINK("https%3A%2F%2Fwww.webofscience.com%2Fwos%2Fwoscc%2Ffull-record%2FWOS:000474335800022","View Full Record in Web of Science")</f>
        <v>View Full Record in Web of Science</v>
      </c>
    </row>
    <row r="1309" spans="1:72" x14ac:dyDescent="0.15">
      <c r="A1309" t="s">
        <v>98</v>
      </c>
      <c r="B1309" t="s">
        <v>27803</v>
      </c>
      <c r="C1309" t="s">
        <v>74</v>
      </c>
      <c r="D1309" t="s">
        <v>74</v>
      </c>
      <c r="E1309" t="s">
        <v>74</v>
      </c>
      <c r="F1309" t="s">
        <v>27803</v>
      </c>
      <c r="G1309" t="s">
        <v>74</v>
      </c>
      <c r="H1309" t="s">
        <v>74</v>
      </c>
      <c r="I1309" t="s">
        <v>27804</v>
      </c>
      <c r="J1309" t="s">
        <v>27805</v>
      </c>
      <c r="K1309" t="s">
        <v>74</v>
      </c>
      <c r="L1309" t="s">
        <v>74</v>
      </c>
      <c r="M1309" t="s">
        <v>74</v>
      </c>
      <c r="N1309" t="s">
        <v>103</v>
      </c>
      <c r="O1309" t="s">
        <v>74</v>
      </c>
      <c r="P1309" t="s">
        <v>74</v>
      </c>
      <c r="Q1309" t="s">
        <v>74</v>
      </c>
      <c r="R1309" t="s">
        <v>74</v>
      </c>
      <c r="S1309" t="s">
        <v>74</v>
      </c>
      <c r="T1309" t="s">
        <v>74</v>
      </c>
      <c r="U1309" t="s">
        <v>27806</v>
      </c>
      <c r="V1309" t="s">
        <v>27807</v>
      </c>
      <c r="W1309" t="s">
        <v>27808</v>
      </c>
      <c r="X1309" t="s">
        <v>27809</v>
      </c>
      <c r="Y1309" t="s">
        <v>74</v>
      </c>
      <c r="Z1309" t="s">
        <v>74</v>
      </c>
      <c r="AA1309" t="s">
        <v>74</v>
      </c>
      <c r="AB1309" t="s">
        <v>74</v>
      </c>
      <c r="AC1309" t="s">
        <v>74</v>
      </c>
      <c r="AD1309" t="s">
        <v>74</v>
      </c>
      <c r="AE1309" t="s">
        <v>74</v>
      </c>
      <c r="AF1309" t="s">
        <v>74</v>
      </c>
      <c r="AG1309">
        <v>41</v>
      </c>
      <c r="AH1309">
        <v>8</v>
      </c>
      <c r="AI1309">
        <v>8</v>
      </c>
      <c r="AJ1309">
        <v>0</v>
      </c>
      <c r="AK1309">
        <v>0</v>
      </c>
      <c r="AL1309" t="s">
        <v>74</v>
      </c>
      <c r="AM1309" t="s">
        <v>74</v>
      </c>
      <c r="AN1309" t="s">
        <v>74</v>
      </c>
      <c r="AO1309" t="s">
        <v>27810</v>
      </c>
      <c r="AP1309" t="s">
        <v>74</v>
      </c>
      <c r="AQ1309" t="s">
        <v>74</v>
      </c>
      <c r="AR1309" t="s">
        <v>74</v>
      </c>
      <c r="AS1309" t="s">
        <v>74</v>
      </c>
      <c r="AT1309" t="s">
        <v>1029</v>
      </c>
      <c r="AU1309">
        <v>1992</v>
      </c>
      <c r="AV1309">
        <v>130</v>
      </c>
      <c r="AW1309">
        <v>5</v>
      </c>
      <c r="AX1309" t="s">
        <v>74</v>
      </c>
      <c r="AY1309" t="s">
        <v>74</v>
      </c>
      <c r="AZ1309" t="s">
        <v>74</v>
      </c>
      <c r="BA1309" t="s">
        <v>74</v>
      </c>
      <c r="BB1309">
        <v>2767</v>
      </c>
      <c r="BC1309">
        <v>2777</v>
      </c>
      <c r="BD1309" t="s">
        <v>74</v>
      </c>
      <c r="BE1309" t="s">
        <v>27811</v>
      </c>
      <c r="BF1309" t="str">
        <f>HYPERLINK("http://dx.doi.org/10.1210/en.130.5.2767","http://dx.doi.org/10.1210/en.130.5.2767")</f>
        <v>http://dx.doi.org/10.1210/en.130.5.2767</v>
      </c>
      <c r="BG1309" t="s">
        <v>74</v>
      </c>
      <c r="BH1309" t="s">
        <v>74</v>
      </c>
      <c r="BI1309" t="s">
        <v>74</v>
      </c>
      <c r="BJ1309" t="s">
        <v>3599</v>
      </c>
      <c r="BK1309" t="s">
        <v>117</v>
      </c>
      <c r="BL1309" t="s">
        <v>3599</v>
      </c>
      <c r="BM1309" t="s">
        <v>74</v>
      </c>
      <c r="BN1309">
        <v>1315257</v>
      </c>
      <c r="BO1309" t="s">
        <v>74</v>
      </c>
      <c r="BP1309" t="s">
        <v>74</v>
      </c>
      <c r="BQ1309" t="s">
        <v>74</v>
      </c>
      <c r="BR1309" t="s">
        <v>96</v>
      </c>
      <c r="BS1309" t="s">
        <v>27812</v>
      </c>
      <c r="BT1309" t="str">
        <f>HYPERLINK("https%3A%2F%2Fwww.webofscience.com%2Fwos%2Fwoscc%2Ffull-record%2FWOS:A1992HR33900045","View Full Record in Web of Science")</f>
        <v>View Full Record in Web of Science</v>
      </c>
    </row>
    <row r="1310" spans="1:72" x14ac:dyDescent="0.15">
      <c r="A1310" t="s">
        <v>72</v>
      </c>
      <c r="B1310" t="s">
        <v>27880</v>
      </c>
      <c r="C1310" t="s">
        <v>74</v>
      </c>
      <c r="D1310" t="s">
        <v>27881</v>
      </c>
      <c r="E1310" t="s">
        <v>74</v>
      </c>
      <c r="F1310" t="s">
        <v>27882</v>
      </c>
      <c r="G1310" t="s">
        <v>74</v>
      </c>
      <c r="H1310" t="s">
        <v>74</v>
      </c>
      <c r="I1310" t="s">
        <v>27883</v>
      </c>
      <c r="J1310" t="s">
        <v>27884</v>
      </c>
      <c r="K1310" t="s">
        <v>2947</v>
      </c>
      <c r="L1310" t="s">
        <v>74</v>
      </c>
      <c r="M1310" t="s">
        <v>74</v>
      </c>
      <c r="N1310" t="s">
        <v>80</v>
      </c>
      <c r="O1310" t="s">
        <v>74</v>
      </c>
      <c r="P1310" t="s">
        <v>74</v>
      </c>
      <c r="Q1310" t="s">
        <v>74</v>
      </c>
      <c r="R1310" t="s">
        <v>74</v>
      </c>
      <c r="S1310" t="s">
        <v>74</v>
      </c>
      <c r="T1310" t="s">
        <v>27885</v>
      </c>
      <c r="U1310" t="s">
        <v>27886</v>
      </c>
      <c r="V1310" t="s">
        <v>27887</v>
      </c>
      <c r="W1310" t="s">
        <v>27888</v>
      </c>
      <c r="X1310" t="s">
        <v>27889</v>
      </c>
      <c r="Y1310" t="s">
        <v>27890</v>
      </c>
      <c r="Z1310" t="s">
        <v>27891</v>
      </c>
      <c r="AA1310" t="s">
        <v>27892</v>
      </c>
      <c r="AB1310" t="s">
        <v>27893</v>
      </c>
      <c r="AC1310" t="s">
        <v>74</v>
      </c>
      <c r="AD1310" t="s">
        <v>74</v>
      </c>
      <c r="AE1310" t="s">
        <v>74</v>
      </c>
      <c r="AF1310" t="s">
        <v>74</v>
      </c>
      <c r="AG1310">
        <v>216</v>
      </c>
      <c r="AH1310">
        <v>8</v>
      </c>
      <c r="AI1310">
        <v>9</v>
      </c>
      <c r="AJ1310">
        <v>2</v>
      </c>
      <c r="AK1310">
        <v>8</v>
      </c>
      <c r="AL1310" t="s">
        <v>74</v>
      </c>
      <c r="AM1310" t="s">
        <v>74</v>
      </c>
      <c r="AN1310" t="s">
        <v>74</v>
      </c>
      <c r="AO1310" t="s">
        <v>2954</v>
      </c>
      <c r="AP1310" t="s">
        <v>2955</v>
      </c>
      <c r="AQ1310" t="s">
        <v>27894</v>
      </c>
      <c r="AR1310" t="s">
        <v>74</v>
      </c>
      <c r="AS1310" t="s">
        <v>74</v>
      </c>
      <c r="AT1310" t="s">
        <v>74</v>
      </c>
      <c r="AU1310">
        <v>2020</v>
      </c>
      <c r="AV1310">
        <v>1273</v>
      </c>
      <c r="AW1310" t="s">
        <v>74</v>
      </c>
      <c r="AX1310" t="s">
        <v>74</v>
      </c>
      <c r="AY1310" t="s">
        <v>74</v>
      </c>
      <c r="AZ1310" t="s">
        <v>74</v>
      </c>
      <c r="BA1310" t="s">
        <v>74</v>
      </c>
      <c r="BB1310">
        <v>1</v>
      </c>
      <c r="BC1310">
        <v>28</v>
      </c>
      <c r="BD1310" t="s">
        <v>74</v>
      </c>
      <c r="BE1310" t="s">
        <v>27895</v>
      </c>
      <c r="BF1310" t="str">
        <f>HYPERLINK("http://dx.doi.org/10.1007/978-3-030-49270-0_1","http://dx.doi.org/10.1007/978-3-030-49270-0_1")</f>
        <v>http://dx.doi.org/10.1007/978-3-030-49270-0_1</v>
      </c>
      <c r="BG1310" t="s">
        <v>27896</v>
      </c>
      <c r="BH1310" t="s">
        <v>74</v>
      </c>
      <c r="BI1310" t="s">
        <v>74</v>
      </c>
      <c r="BJ1310" t="s">
        <v>2656</v>
      </c>
      <c r="BK1310" t="s">
        <v>2960</v>
      </c>
      <c r="BL1310" t="s">
        <v>2656</v>
      </c>
      <c r="BM1310" t="s">
        <v>74</v>
      </c>
      <c r="BN1310">
        <v>33119873</v>
      </c>
      <c r="BO1310" t="s">
        <v>74</v>
      </c>
      <c r="BP1310" t="s">
        <v>74</v>
      </c>
      <c r="BQ1310" t="s">
        <v>74</v>
      </c>
      <c r="BR1310" t="s">
        <v>96</v>
      </c>
      <c r="BS1310" t="s">
        <v>27897</v>
      </c>
      <c r="BT1310" t="str">
        <f>HYPERLINK("https%3A%2F%2Fwww.webofscience.com%2Fwos%2Fwoscc%2Ffull-record%2FWOS:000595855600002","View Full Record in Web of Science")</f>
        <v>View Full Record in Web of Science</v>
      </c>
    </row>
    <row r="1311" spans="1:72" x14ac:dyDescent="0.15">
      <c r="A1311" t="s">
        <v>98</v>
      </c>
      <c r="B1311" t="s">
        <v>28348</v>
      </c>
      <c r="C1311" t="s">
        <v>74</v>
      </c>
      <c r="D1311" t="s">
        <v>74</v>
      </c>
      <c r="E1311" t="s">
        <v>74</v>
      </c>
      <c r="F1311" t="s">
        <v>28349</v>
      </c>
      <c r="G1311" t="s">
        <v>74</v>
      </c>
      <c r="H1311" t="s">
        <v>74</v>
      </c>
      <c r="I1311" t="s">
        <v>28350</v>
      </c>
      <c r="J1311" t="s">
        <v>28351</v>
      </c>
      <c r="K1311" t="s">
        <v>74</v>
      </c>
      <c r="L1311" t="s">
        <v>74</v>
      </c>
      <c r="M1311" t="s">
        <v>74</v>
      </c>
      <c r="N1311" t="s">
        <v>103</v>
      </c>
      <c r="O1311" t="s">
        <v>74</v>
      </c>
      <c r="P1311" t="s">
        <v>74</v>
      </c>
      <c r="Q1311" t="s">
        <v>74</v>
      </c>
      <c r="R1311" t="s">
        <v>74</v>
      </c>
      <c r="S1311" t="s">
        <v>74</v>
      </c>
      <c r="T1311" t="s">
        <v>28352</v>
      </c>
      <c r="U1311" t="s">
        <v>28353</v>
      </c>
      <c r="V1311" t="s">
        <v>28354</v>
      </c>
      <c r="W1311" t="s">
        <v>28355</v>
      </c>
      <c r="X1311" t="s">
        <v>28356</v>
      </c>
      <c r="Y1311" t="s">
        <v>28357</v>
      </c>
      <c r="Z1311" t="s">
        <v>28358</v>
      </c>
      <c r="AA1311" t="s">
        <v>74</v>
      </c>
      <c r="AB1311" t="s">
        <v>74</v>
      </c>
      <c r="AC1311" t="s">
        <v>74</v>
      </c>
      <c r="AD1311" t="s">
        <v>74</v>
      </c>
      <c r="AE1311" t="s">
        <v>74</v>
      </c>
      <c r="AF1311" t="s">
        <v>74</v>
      </c>
      <c r="AG1311">
        <v>189</v>
      </c>
      <c r="AH1311">
        <v>8</v>
      </c>
      <c r="AI1311">
        <v>8</v>
      </c>
      <c r="AJ1311">
        <v>0</v>
      </c>
      <c r="AK1311">
        <v>4</v>
      </c>
      <c r="AL1311" t="s">
        <v>74</v>
      </c>
      <c r="AM1311" t="s">
        <v>74</v>
      </c>
      <c r="AN1311" t="s">
        <v>74</v>
      </c>
      <c r="AO1311" t="s">
        <v>28359</v>
      </c>
      <c r="AP1311" t="s">
        <v>28360</v>
      </c>
      <c r="AQ1311" t="s">
        <v>74</v>
      </c>
      <c r="AR1311" t="s">
        <v>74</v>
      </c>
      <c r="AS1311" t="s">
        <v>74</v>
      </c>
      <c r="AT1311" t="s">
        <v>74</v>
      </c>
      <c r="AU1311">
        <v>2011</v>
      </c>
      <c r="AV1311">
        <v>9</v>
      </c>
      <c r="AW1311" t="s">
        <v>28361</v>
      </c>
      <c r="AX1311" t="s">
        <v>74</v>
      </c>
      <c r="AY1311" t="s">
        <v>74</v>
      </c>
      <c r="AZ1311" t="s">
        <v>74</v>
      </c>
      <c r="BA1311" t="s">
        <v>74</v>
      </c>
      <c r="BB1311">
        <v>41</v>
      </c>
      <c r="BC1311">
        <v>64</v>
      </c>
      <c r="BD1311" t="s">
        <v>74</v>
      </c>
      <c r="BE1311" t="s">
        <v>28362</v>
      </c>
      <c r="BF1311" t="str">
        <f>HYPERLINK("http://dx.doi.org/10.3233/CBM-2011-0204","http://dx.doi.org/10.3233/CBM-2011-0204")</f>
        <v>http://dx.doi.org/10.3233/CBM-2011-0204</v>
      </c>
      <c r="BG1311" t="s">
        <v>74</v>
      </c>
      <c r="BH1311" t="s">
        <v>74</v>
      </c>
      <c r="BI1311" t="s">
        <v>74</v>
      </c>
      <c r="BJ1311" t="s">
        <v>267</v>
      </c>
      <c r="BK1311" t="s">
        <v>117</v>
      </c>
      <c r="BL1311" t="s">
        <v>267</v>
      </c>
      <c r="BM1311" t="s">
        <v>74</v>
      </c>
      <c r="BN1311">
        <v>22112469</v>
      </c>
      <c r="BO1311" t="s">
        <v>74</v>
      </c>
      <c r="BP1311" t="s">
        <v>74</v>
      </c>
      <c r="BQ1311" t="s">
        <v>74</v>
      </c>
      <c r="BR1311" t="s">
        <v>96</v>
      </c>
      <c r="BS1311" t="s">
        <v>28363</v>
      </c>
      <c r="BT1311" t="str">
        <f>HYPERLINK("https%3A%2F%2Fwww.webofscience.com%2Fwos%2Fwoscc%2Ffull-record%2FWOS:000297682300004","View Full Record in Web of Science")</f>
        <v>View Full Record in Web of Science</v>
      </c>
    </row>
    <row r="1312" spans="1:72" x14ac:dyDescent="0.15">
      <c r="A1312" t="s">
        <v>98</v>
      </c>
      <c r="B1312" t="s">
        <v>28814</v>
      </c>
      <c r="C1312" t="s">
        <v>74</v>
      </c>
      <c r="D1312" t="s">
        <v>74</v>
      </c>
      <c r="E1312" t="s">
        <v>74</v>
      </c>
      <c r="F1312" t="s">
        <v>28815</v>
      </c>
      <c r="G1312" t="s">
        <v>74</v>
      </c>
      <c r="H1312" t="s">
        <v>74</v>
      </c>
      <c r="I1312" t="s">
        <v>28816</v>
      </c>
      <c r="J1312" t="s">
        <v>28817</v>
      </c>
      <c r="K1312" t="s">
        <v>74</v>
      </c>
      <c r="L1312" t="s">
        <v>74</v>
      </c>
      <c r="M1312" t="s">
        <v>74</v>
      </c>
      <c r="N1312" t="s">
        <v>103</v>
      </c>
      <c r="O1312" t="s">
        <v>74</v>
      </c>
      <c r="P1312" t="s">
        <v>74</v>
      </c>
      <c r="Q1312" t="s">
        <v>74</v>
      </c>
      <c r="R1312" t="s">
        <v>74</v>
      </c>
      <c r="S1312" t="s">
        <v>74</v>
      </c>
      <c r="T1312" t="s">
        <v>28818</v>
      </c>
      <c r="U1312" t="s">
        <v>28819</v>
      </c>
      <c r="V1312" t="s">
        <v>28820</v>
      </c>
      <c r="W1312" t="s">
        <v>28821</v>
      </c>
      <c r="X1312" t="s">
        <v>28822</v>
      </c>
      <c r="Y1312" t="s">
        <v>28823</v>
      </c>
      <c r="Z1312" t="s">
        <v>28824</v>
      </c>
      <c r="AA1312" t="s">
        <v>28825</v>
      </c>
      <c r="AB1312" t="s">
        <v>28826</v>
      </c>
      <c r="AC1312" t="s">
        <v>74</v>
      </c>
      <c r="AD1312" t="s">
        <v>74</v>
      </c>
      <c r="AE1312" t="s">
        <v>74</v>
      </c>
      <c r="AF1312" t="s">
        <v>74</v>
      </c>
      <c r="AG1312">
        <v>44</v>
      </c>
      <c r="AH1312">
        <v>8</v>
      </c>
      <c r="AI1312">
        <v>8</v>
      </c>
      <c r="AJ1312">
        <v>1</v>
      </c>
      <c r="AK1312">
        <v>6</v>
      </c>
      <c r="AL1312" t="s">
        <v>74</v>
      </c>
      <c r="AM1312" t="s">
        <v>74</v>
      </c>
      <c r="AN1312" t="s">
        <v>74</v>
      </c>
      <c r="AO1312" t="s">
        <v>74</v>
      </c>
      <c r="AP1312" t="s">
        <v>28827</v>
      </c>
      <c r="AQ1312" t="s">
        <v>74</v>
      </c>
      <c r="AR1312" t="s">
        <v>74</v>
      </c>
      <c r="AS1312" t="s">
        <v>74</v>
      </c>
      <c r="AT1312" t="s">
        <v>8524</v>
      </c>
      <c r="AU1312">
        <v>2020</v>
      </c>
      <c r="AV1312">
        <v>22</v>
      </c>
      <c r="AW1312">
        <v>1</v>
      </c>
      <c r="AX1312" t="s">
        <v>74</v>
      </c>
      <c r="AY1312" t="s">
        <v>74</v>
      </c>
      <c r="AZ1312" t="s">
        <v>74</v>
      </c>
      <c r="BA1312" t="s">
        <v>74</v>
      </c>
      <c r="BB1312" t="s">
        <v>74</v>
      </c>
      <c r="BC1312" t="s">
        <v>74</v>
      </c>
      <c r="BD1312">
        <v>17</v>
      </c>
      <c r="BE1312" t="s">
        <v>28828</v>
      </c>
      <c r="BF1312" t="str">
        <f>HYPERLINK("http://dx.doi.org/10.1186/s12575-020-00130-8","http://dx.doi.org/10.1186/s12575-020-00130-8")</f>
        <v>http://dx.doi.org/10.1186/s12575-020-00130-8</v>
      </c>
      <c r="BG1312" t="s">
        <v>74</v>
      </c>
      <c r="BH1312" t="s">
        <v>74</v>
      </c>
      <c r="BI1312" t="s">
        <v>74</v>
      </c>
      <c r="BJ1312" t="s">
        <v>812</v>
      </c>
      <c r="BK1312" t="s">
        <v>117</v>
      </c>
      <c r="BL1312" t="s">
        <v>95</v>
      </c>
      <c r="BM1312" t="s">
        <v>74</v>
      </c>
      <c r="BN1312">
        <v>32765191</v>
      </c>
      <c r="BO1312" t="s">
        <v>74</v>
      </c>
      <c r="BP1312" t="s">
        <v>74</v>
      </c>
      <c r="BQ1312" t="s">
        <v>74</v>
      </c>
      <c r="BR1312" t="s">
        <v>96</v>
      </c>
      <c r="BS1312" t="s">
        <v>28829</v>
      </c>
      <c r="BT1312" t="str">
        <f>HYPERLINK("https%3A%2F%2Fwww.webofscience.com%2Fwos%2Fwoscc%2Ffull-record%2FWOS:000560013800001","View Full Record in Web of Science")</f>
        <v>View Full Record in Web of Science</v>
      </c>
    </row>
    <row r="1313" spans="1:72" x14ac:dyDescent="0.15">
      <c r="A1313" t="s">
        <v>98</v>
      </c>
      <c r="B1313" t="s">
        <v>28941</v>
      </c>
      <c r="C1313" t="s">
        <v>74</v>
      </c>
      <c r="D1313" t="s">
        <v>74</v>
      </c>
      <c r="E1313" t="s">
        <v>74</v>
      </c>
      <c r="F1313" t="s">
        <v>28942</v>
      </c>
      <c r="G1313" t="s">
        <v>74</v>
      </c>
      <c r="H1313" t="s">
        <v>74</v>
      </c>
      <c r="I1313" t="s">
        <v>28943</v>
      </c>
      <c r="J1313" t="s">
        <v>20086</v>
      </c>
      <c r="K1313" t="s">
        <v>74</v>
      </c>
      <c r="L1313" t="s">
        <v>74</v>
      </c>
      <c r="M1313" t="s">
        <v>74</v>
      </c>
      <c r="N1313" t="s">
        <v>103</v>
      </c>
      <c r="O1313" t="s">
        <v>74</v>
      </c>
      <c r="P1313" t="s">
        <v>74</v>
      </c>
      <c r="Q1313" t="s">
        <v>74</v>
      </c>
      <c r="R1313" t="s">
        <v>74</v>
      </c>
      <c r="S1313" t="s">
        <v>74</v>
      </c>
      <c r="T1313" t="s">
        <v>28944</v>
      </c>
      <c r="U1313" t="s">
        <v>28945</v>
      </c>
      <c r="V1313" t="s">
        <v>28946</v>
      </c>
      <c r="W1313" t="s">
        <v>28947</v>
      </c>
      <c r="X1313" t="s">
        <v>28948</v>
      </c>
      <c r="Y1313" t="s">
        <v>28949</v>
      </c>
      <c r="Z1313" t="s">
        <v>28950</v>
      </c>
      <c r="AA1313" t="s">
        <v>28951</v>
      </c>
      <c r="AB1313" t="s">
        <v>28952</v>
      </c>
      <c r="AC1313" t="s">
        <v>74</v>
      </c>
      <c r="AD1313" t="s">
        <v>74</v>
      </c>
      <c r="AE1313" t="s">
        <v>74</v>
      </c>
      <c r="AF1313" t="s">
        <v>74</v>
      </c>
      <c r="AG1313">
        <v>142</v>
      </c>
      <c r="AH1313">
        <v>8</v>
      </c>
      <c r="AI1313">
        <v>8</v>
      </c>
      <c r="AJ1313">
        <v>3</v>
      </c>
      <c r="AK1313">
        <v>8</v>
      </c>
      <c r="AL1313" t="s">
        <v>74</v>
      </c>
      <c r="AM1313" t="s">
        <v>74</v>
      </c>
      <c r="AN1313" t="s">
        <v>74</v>
      </c>
      <c r="AO1313" t="s">
        <v>20094</v>
      </c>
      <c r="AP1313" t="s">
        <v>20095</v>
      </c>
      <c r="AQ1313" t="s">
        <v>74</v>
      </c>
      <c r="AR1313" t="s">
        <v>74</v>
      </c>
      <c r="AS1313" t="s">
        <v>74</v>
      </c>
      <c r="AT1313" t="s">
        <v>189</v>
      </c>
      <c r="AU1313">
        <v>2021</v>
      </c>
      <c r="AV1313">
        <v>26</v>
      </c>
      <c r="AW1313">
        <v>10</v>
      </c>
      <c r="AX1313" t="s">
        <v>74</v>
      </c>
      <c r="AY1313" t="s">
        <v>74</v>
      </c>
      <c r="AZ1313" t="s">
        <v>74</v>
      </c>
      <c r="BA1313" t="s">
        <v>74</v>
      </c>
      <c r="BB1313">
        <v>865</v>
      </c>
      <c r="BC1313">
        <v>878</v>
      </c>
      <c r="BD1313" t="s">
        <v>74</v>
      </c>
      <c r="BE1313" t="s">
        <v>28953</v>
      </c>
      <c r="BF1313" t="str">
        <f>HYPERLINK("http://dx.doi.org/10.1002/onco.13858","http://dx.doi.org/10.1002/onco.13858")</f>
        <v>http://dx.doi.org/10.1002/onco.13858</v>
      </c>
      <c r="BG1313" t="s">
        <v>74</v>
      </c>
      <c r="BH1313" t="s">
        <v>3810</v>
      </c>
      <c r="BI1313" t="s">
        <v>74</v>
      </c>
      <c r="BJ1313" t="s">
        <v>267</v>
      </c>
      <c r="BK1313" t="s">
        <v>117</v>
      </c>
      <c r="BL1313" t="s">
        <v>267</v>
      </c>
      <c r="BM1313" t="s">
        <v>74</v>
      </c>
      <c r="BN1313">
        <v>34105205</v>
      </c>
      <c r="BO1313" t="s">
        <v>74</v>
      </c>
      <c r="BP1313" t="s">
        <v>74</v>
      </c>
      <c r="BQ1313" t="s">
        <v>74</v>
      </c>
      <c r="BR1313" t="s">
        <v>96</v>
      </c>
      <c r="BS1313" t="s">
        <v>28954</v>
      </c>
      <c r="BT1313" t="str">
        <f>HYPERLINK("https%3A%2F%2Fwww.webofscience.com%2Fwos%2Fwoscc%2Ffull-record%2FWOS:000664635900001","View Full Record in Web of Science")</f>
        <v>View Full Record in Web of Science</v>
      </c>
    </row>
    <row r="1314" spans="1:72" x14ac:dyDescent="0.15">
      <c r="A1314" t="s">
        <v>98</v>
      </c>
      <c r="B1314" t="s">
        <v>29016</v>
      </c>
      <c r="C1314" t="s">
        <v>74</v>
      </c>
      <c r="D1314" t="s">
        <v>74</v>
      </c>
      <c r="E1314" t="s">
        <v>74</v>
      </c>
      <c r="F1314" t="s">
        <v>29017</v>
      </c>
      <c r="G1314" t="s">
        <v>74</v>
      </c>
      <c r="H1314" t="s">
        <v>74</v>
      </c>
      <c r="I1314" t="s">
        <v>29018</v>
      </c>
      <c r="J1314" t="s">
        <v>14768</v>
      </c>
      <c r="K1314" t="s">
        <v>74</v>
      </c>
      <c r="L1314" t="s">
        <v>74</v>
      </c>
      <c r="M1314" t="s">
        <v>74</v>
      </c>
      <c r="N1314" t="s">
        <v>103</v>
      </c>
      <c r="O1314" t="s">
        <v>74</v>
      </c>
      <c r="P1314" t="s">
        <v>74</v>
      </c>
      <c r="Q1314" t="s">
        <v>74</v>
      </c>
      <c r="R1314" t="s">
        <v>74</v>
      </c>
      <c r="S1314" t="s">
        <v>74</v>
      </c>
      <c r="T1314" t="s">
        <v>29019</v>
      </c>
      <c r="U1314" t="s">
        <v>29020</v>
      </c>
      <c r="V1314" t="s">
        <v>29021</v>
      </c>
      <c r="W1314" t="s">
        <v>29022</v>
      </c>
      <c r="X1314" t="s">
        <v>29023</v>
      </c>
      <c r="Y1314" t="s">
        <v>29024</v>
      </c>
      <c r="Z1314" t="s">
        <v>29025</v>
      </c>
      <c r="AA1314" t="s">
        <v>74</v>
      </c>
      <c r="AB1314" t="s">
        <v>74</v>
      </c>
      <c r="AC1314" t="s">
        <v>74</v>
      </c>
      <c r="AD1314" t="s">
        <v>74</v>
      </c>
      <c r="AE1314" t="s">
        <v>74</v>
      </c>
      <c r="AF1314" t="s">
        <v>74</v>
      </c>
      <c r="AG1314">
        <v>33</v>
      </c>
      <c r="AH1314">
        <v>8</v>
      </c>
      <c r="AI1314">
        <v>9</v>
      </c>
      <c r="AJ1314">
        <v>1</v>
      </c>
      <c r="AK1314">
        <v>3</v>
      </c>
      <c r="AL1314" t="s">
        <v>74</v>
      </c>
      <c r="AM1314" t="s">
        <v>74</v>
      </c>
      <c r="AN1314" t="s">
        <v>74</v>
      </c>
      <c r="AO1314" t="s">
        <v>14778</v>
      </c>
      <c r="AP1314" t="s">
        <v>74</v>
      </c>
      <c r="AQ1314" t="s">
        <v>74</v>
      </c>
      <c r="AR1314" t="s">
        <v>74</v>
      </c>
      <c r="AS1314" t="s">
        <v>74</v>
      </c>
      <c r="AT1314" t="s">
        <v>74</v>
      </c>
      <c r="AU1314">
        <v>2016</v>
      </c>
      <c r="AV1314">
        <v>8</v>
      </c>
      <c r="AW1314">
        <v>2</v>
      </c>
      <c r="AX1314" t="s">
        <v>74</v>
      </c>
      <c r="AY1314" t="s">
        <v>74</v>
      </c>
      <c r="AZ1314" t="s">
        <v>74</v>
      </c>
      <c r="BA1314" t="s">
        <v>74</v>
      </c>
      <c r="BB1314">
        <v>1055</v>
      </c>
      <c r="BC1314">
        <v>1063</v>
      </c>
      <c r="BD1314" t="s">
        <v>74</v>
      </c>
      <c r="BE1314" t="s">
        <v>74</v>
      </c>
      <c r="BF1314" t="s">
        <v>74</v>
      </c>
      <c r="BG1314" t="s">
        <v>74</v>
      </c>
      <c r="BH1314" t="s">
        <v>74</v>
      </c>
      <c r="BI1314" t="s">
        <v>74</v>
      </c>
      <c r="BJ1314" t="s">
        <v>4129</v>
      </c>
      <c r="BK1314" t="s">
        <v>117</v>
      </c>
      <c r="BL1314" t="s">
        <v>4130</v>
      </c>
      <c r="BM1314" t="s">
        <v>74</v>
      </c>
      <c r="BN1314">
        <v>27158391</v>
      </c>
      <c r="BO1314" t="s">
        <v>74</v>
      </c>
      <c r="BP1314" t="s">
        <v>74</v>
      </c>
      <c r="BQ1314" t="s">
        <v>74</v>
      </c>
      <c r="BR1314" t="s">
        <v>96</v>
      </c>
      <c r="BS1314" t="s">
        <v>29026</v>
      </c>
      <c r="BT1314" t="str">
        <f>HYPERLINK("https%3A%2F%2Fwww.webofscience.com%2Fwos%2Fwoscc%2Ffull-record%2FWOS:000373944000068","View Full Record in Web of Science")</f>
        <v>View Full Record in Web of Science</v>
      </c>
    </row>
    <row r="1315" spans="1:72" x14ac:dyDescent="0.15">
      <c r="A1315" t="s">
        <v>98</v>
      </c>
      <c r="B1315" t="s">
        <v>29493</v>
      </c>
      <c r="C1315" t="s">
        <v>74</v>
      </c>
      <c r="D1315" t="s">
        <v>74</v>
      </c>
      <c r="E1315" t="s">
        <v>74</v>
      </c>
      <c r="F1315" t="s">
        <v>29494</v>
      </c>
      <c r="G1315" t="s">
        <v>74</v>
      </c>
      <c r="H1315" t="s">
        <v>74</v>
      </c>
      <c r="I1315" t="s">
        <v>29495</v>
      </c>
      <c r="J1315" t="s">
        <v>29496</v>
      </c>
      <c r="K1315" t="s">
        <v>74</v>
      </c>
      <c r="L1315" t="s">
        <v>74</v>
      </c>
      <c r="M1315" t="s">
        <v>74</v>
      </c>
      <c r="N1315" t="s">
        <v>103</v>
      </c>
      <c r="O1315" t="s">
        <v>74</v>
      </c>
      <c r="P1315" t="s">
        <v>74</v>
      </c>
      <c r="Q1315" t="s">
        <v>74</v>
      </c>
      <c r="R1315" t="s">
        <v>74</v>
      </c>
      <c r="S1315" t="s">
        <v>74</v>
      </c>
      <c r="T1315" t="s">
        <v>29497</v>
      </c>
      <c r="U1315" t="s">
        <v>29498</v>
      </c>
      <c r="V1315" t="s">
        <v>29499</v>
      </c>
      <c r="W1315" t="s">
        <v>29500</v>
      </c>
      <c r="X1315" t="s">
        <v>29501</v>
      </c>
      <c r="Y1315" t="s">
        <v>29502</v>
      </c>
      <c r="Z1315" t="s">
        <v>29503</v>
      </c>
      <c r="AA1315" t="s">
        <v>74</v>
      </c>
      <c r="AB1315" t="s">
        <v>29504</v>
      </c>
      <c r="AC1315" t="s">
        <v>74</v>
      </c>
      <c r="AD1315" t="s">
        <v>74</v>
      </c>
      <c r="AE1315" t="s">
        <v>74</v>
      </c>
      <c r="AF1315" t="s">
        <v>74</v>
      </c>
      <c r="AG1315">
        <v>368</v>
      </c>
      <c r="AH1315">
        <v>8</v>
      </c>
      <c r="AI1315">
        <v>8</v>
      </c>
      <c r="AJ1315">
        <v>1</v>
      </c>
      <c r="AK1315">
        <v>8</v>
      </c>
      <c r="AL1315" t="s">
        <v>74</v>
      </c>
      <c r="AM1315" t="s">
        <v>74</v>
      </c>
      <c r="AN1315" t="s">
        <v>74</v>
      </c>
      <c r="AO1315" t="s">
        <v>74</v>
      </c>
      <c r="AP1315" t="s">
        <v>29505</v>
      </c>
      <c r="AQ1315" t="s">
        <v>74</v>
      </c>
      <c r="AR1315" t="s">
        <v>74</v>
      </c>
      <c r="AS1315" t="s">
        <v>74</v>
      </c>
      <c r="AT1315" t="s">
        <v>74</v>
      </c>
      <c r="AU1315">
        <v>2021</v>
      </c>
      <c r="AV1315">
        <v>23</v>
      </c>
      <c r="AW1315">
        <v>3</v>
      </c>
      <c r="AX1315" t="s">
        <v>74</v>
      </c>
      <c r="AY1315" t="s">
        <v>74</v>
      </c>
      <c r="AZ1315" t="s">
        <v>74</v>
      </c>
      <c r="BA1315" t="s">
        <v>74</v>
      </c>
      <c r="BB1315">
        <v>1494</v>
      </c>
      <c r="BC1315">
        <v>1545</v>
      </c>
      <c r="BD1315" t="s">
        <v>74</v>
      </c>
      <c r="BE1315" t="s">
        <v>29506</v>
      </c>
      <c r="BF1315" t="str">
        <f>HYPERLINK("http://dx.doi.org/10.1109/COMST.2021.3066117","http://dx.doi.org/10.1109/COMST.2021.3066117")</f>
        <v>http://dx.doi.org/10.1109/COMST.2021.3066117</v>
      </c>
      <c r="BG1315" t="s">
        <v>74</v>
      </c>
      <c r="BH1315" t="s">
        <v>74</v>
      </c>
      <c r="BI1315" t="s">
        <v>74</v>
      </c>
      <c r="BJ1315" t="s">
        <v>29507</v>
      </c>
      <c r="BK1315" t="s">
        <v>117</v>
      </c>
      <c r="BL1315" t="s">
        <v>29508</v>
      </c>
      <c r="BM1315" t="s">
        <v>74</v>
      </c>
      <c r="BN1315" t="s">
        <v>74</v>
      </c>
      <c r="BO1315" t="s">
        <v>74</v>
      </c>
      <c r="BP1315" t="s">
        <v>74</v>
      </c>
      <c r="BQ1315" t="s">
        <v>74</v>
      </c>
      <c r="BR1315" t="s">
        <v>96</v>
      </c>
      <c r="BS1315" t="s">
        <v>29509</v>
      </c>
      <c r="BT1315" t="str">
        <f>HYPERLINK("https%3A%2F%2Fwww.webofscience.com%2Fwos%2Fwoscc%2Ffull-record%2FWOS:000688449200004","View Full Record in Web of Science")</f>
        <v>View Full Record in Web of Science</v>
      </c>
    </row>
    <row r="1316" spans="1:72" x14ac:dyDescent="0.15">
      <c r="A1316" t="s">
        <v>98</v>
      </c>
      <c r="B1316" t="s">
        <v>30308</v>
      </c>
      <c r="C1316" t="s">
        <v>74</v>
      </c>
      <c r="D1316" t="s">
        <v>74</v>
      </c>
      <c r="E1316" t="s">
        <v>74</v>
      </c>
      <c r="F1316" t="s">
        <v>30309</v>
      </c>
      <c r="G1316" t="s">
        <v>74</v>
      </c>
      <c r="H1316" t="s">
        <v>74</v>
      </c>
      <c r="I1316" t="s">
        <v>30310</v>
      </c>
      <c r="J1316" t="s">
        <v>30311</v>
      </c>
      <c r="K1316" t="s">
        <v>74</v>
      </c>
      <c r="L1316" t="s">
        <v>74</v>
      </c>
      <c r="M1316" t="s">
        <v>74</v>
      </c>
      <c r="N1316" t="s">
        <v>103</v>
      </c>
      <c r="O1316" t="s">
        <v>74</v>
      </c>
      <c r="P1316" t="s">
        <v>74</v>
      </c>
      <c r="Q1316" t="s">
        <v>74</v>
      </c>
      <c r="R1316" t="s">
        <v>74</v>
      </c>
      <c r="S1316" t="s">
        <v>74</v>
      </c>
      <c r="T1316" t="s">
        <v>30312</v>
      </c>
      <c r="U1316" t="s">
        <v>30313</v>
      </c>
      <c r="V1316" t="s">
        <v>30314</v>
      </c>
      <c r="W1316" t="s">
        <v>30315</v>
      </c>
      <c r="X1316" t="s">
        <v>30316</v>
      </c>
      <c r="Y1316" t="s">
        <v>30317</v>
      </c>
      <c r="Z1316" t="s">
        <v>30318</v>
      </c>
      <c r="AA1316" t="s">
        <v>30319</v>
      </c>
      <c r="AB1316" t="s">
        <v>30320</v>
      </c>
      <c r="AC1316" t="s">
        <v>74</v>
      </c>
      <c r="AD1316" t="s">
        <v>74</v>
      </c>
      <c r="AE1316" t="s">
        <v>74</v>
      </c>
      <c r="AF1316" t="s">
        <v>74</v>
      </c>
      <c r="AG1316">
        <v>52</v>
      </c>
      <c r="AH1316">
        <v>8</v>
      </c>
      <c r="AI1316">
        <v>8</v>
      </c>
      <c r="AJ1316">
        <v>0</v>
      </c>
      <c r="AK1316">
        <v>1</v>
      </c>
      <c r="AL1316" t="s">
        <v>74</v>
      </c>
      <c r="AM1316" t="s">
        <v>74</v>
      </c>
      <c r="AN1316" t="s">
        <v>74</v>
      </c>
      <c r="AO1316" t="s">
        <v>30321</v>
      </c>
      <c r="AP1316" t="s">
        <v>30322</v>
      </c>
      <c r="AQ1316" t="s">
        <v>74</v>
      </c>
      <c r="AR1316" t="s">
        <v>74</v>
      </c>
      <c r="AS1316" t="s">
        <v>74</v>
      </c>
      <c r="AT1316" t="s">
        <v>15855</v>
      </c>
      <c r="AU1316">
        <v>2019</v>
      </c>
      <c r="AV1316">
        <v>21</v>
      </c>
      <c r="AW1316">
        <v>2</v>
      </c>
      <c r="AX1316" t="s">
        <v>74</v>
      </c>
      <c r="AY1316" t="s">
        <v>74</v>
      </c>
      <c r="AZ1316" t="s">
        <v>74</v>
      </c>
      <c r="BA1316" t="s">
        <v>74</v>
      </c>
      <c r="BB1316">
        <v>121</v>
      </c>
      <c r="BC1316" t="s">
        <v>3390</v>
      </c>
      <c r="BD1316" t="s">
        <v>30323</v>
      </c>
      <c r="BE1316" t="s">
        <v>30324</v>
      </c>
      <c r="BF1316" t="str">
        <f>HYPERLINK("http://dx.doi.org/10.4103/aja.aja_56_18","http://dx.doi.org/10.4103/aja.aja_56_18")</f>
        <v>http://dx.doi.org/10.4103/aja.aja_56_18</v>
      </c>
      <c r="BG1316" t="s">
        <v>74</v>
      </c>
      <c r="BH1316" t="s">
        <v>74</v>
      </c>
      <c r="BI1316" t="s">
        <v>74</v>
      </c>
      <c r="BJ1316" t="s">
        <v>30325</v>
      </c>
      <c r="BK1316" t="s">
        <v>117</v>
      </c>
      <c r="BL1316" t="s">
        <v>515</v>
      </c>
      <c r="BM1316" t="s">
        <v>74</v>
      </c>
      <c r="BN1316">
        <v>30381577</v>
      </c>
      <c r="BO1316" t="s">
        <v>74</v>
      </c>
      <c r="BP1316" t="s">
        <v>74</v>
      </c>
      <c r="BQ1316" t="s">
        <v>74</v>
      </c>
      <c r="BR1316" t="s">
        <v>96</v>
      </c>
      <c r="BS1316" t="s">
        <v>30326</v>
      </c>
      <c r="BT1316" t="str">
        <f>HYPERLINK("https%3A%2F%2Fwww.webofscience.com%2Fwos%2Fwoscc%2Ffull-record%2FWOS:000463254700004","View Full Record in Web of Science")</f>
        <v>View Full Record in Web of Science</v>
      </c>
    </row>
    <row r="1317" spans="1:72" x14ac:dyDescent="0.15">
      <c r="A1317" t="s">
        <v>98</v>
      </c>
      <c r="B1317" t="s">
        <v>1087</v>
      </c>
      <c r="C1317" t="s">
        <v>74</v>
      </c>
      <c r="D1317" t="s">
        <v>74</v>
      </c>
      <c r="E1317" t="s">
        <v>74</v>
      </c>
      <c r="F1317" t="s">
        <v>1088</v>
      </c>
      <c r="G1317" t="s">
        <v>74</v>
      </c>
      <c r="H1317" t="s">
        <v>74</v>
      </c>
      <c r="I1317" t="s">
        <v>1089</v>
      </c>
      <c r="J1317" t="s">
        <v>1090</v>
      </c>
      <c r="K1317" t="s">
        <v>74</v>
      </c>
      <c r="L1317" t="s">
        <v>74</v>
      </c>
      <c r="M1317" t="s">
        <v>74</v>
      </c>
      <c r="N1317" t="s">
        <v>103</v>
      </c>
      <c r="O1317" t="s">
        <v>74</v>
      </c>
      <c r="P1317" t="s">
        <v>74</v>
      </c>
      <c r="Q1317" t="s">
        <v>74</v>
      </c>
      <c r="R1317" t="s">
        <v>74</v>
      </c>
      <c r="S1317" t="s">
        <v>74</v>
      </c>
      <c r="T1317" t="s">
        <v>1091</v>
      </c>
      <c r="U1317" t="s">
        <v>74</v>
      </c>
      <c r="V1317" t="s">
        <v>74</v>
      </c>
      <c r="W1317" t="s">
        <v>1092</v>
      </c>
      <c r="X1317" t="s">
        <v>368</v>
      </c>
      <c r="Y1317" t="s">
        <v>1093</v>
      </c>
      <c r="Z1317" t="s">
        <v>1094</v>
      </c>
      <c r="AA1317" t="s">
        <v>1095</v>
      </c>
      <c r="AB1317" t="s">
        <v>1096</v>
      </c>
      <c r="AC1317" t="s">
        <v>74</v>
      </c>
      <c r="AD1317" t="s">
        <v>74</v>
      </c>
      <c r="AE1317" t="s">
        <v>74</v>
      </c>
      <c r="AF1317" t="s">
        <v>74</v>
      </c>
      <c r="AG1317">
        <v>66</v>
      </c>
      <c r="AH1317">
        <v>7</v>
      </c>
      <c r="AI1317">
        <v>7</v>
      </c>
      <c r="AJ1317">
        <v>1</v>
      </c>
      <c r="AK1317">
        <v>3</v>
      </c>
      <c r="AL1317" t="s">
        <v>74</v>
      </c>
      <c r="AM1317" t="s">
        <v>74</v>
      </c>
      <c r="AN1317" t="s">
        <v>74</v>
      </c>
      <c r="AO1317" t="s">
        <v>1097</v>
      </c>
      <c r="AP1317" t="s">
        <v>74</v>
      </c>
      <c r="AQ1317" t="s">
        <v>74</v>
      </c>
      <c r="AR1317" t="s">
        <v>74</v>
      </c>
      <c r="AS1317" t="s">
        <v>74</v>
      </c>
      <c r="AT1317" t="s">
        <v>1098</v>
      </c>
      <c r="AU1317">
        <v>2021</v>
      </c>
      <c r="AV1317">
        <v>8</v>
      </c>
      <c r="AW1317" t="s">
        <v>74</v>
      </c>
      <c r="AX1317" t="s">
        <v>74</v>
      </c>
      <c r="AY1317" t="s">
        <v>74</v>
      </c>
      <c r="AZ1317" t="s">
        <v>74</v>
      </c>
      <c r="BA1317" t="s">
        <v>74</v>
      </c>
      <c r="BB1317" t="s">
        <v>74</v>
      </c>
      <c r="BC1317" t="s">
        <v>74</v>
      </c>
      <c r="BD1317">
        <v>622579</v>
      </c>
      <c r="BE1317" t="s">
        <v>1099</v>
      </c>
      <c r="BF1317" t="str">
        <f>HYPERLINK("http://dx.doi.org/10.3389/fcell.2020.622579","http://dx.doi.org/10.3389/fcell.2020.622579")</f>
        <v>http://dx.doi.org/10.3389/fcell.2020.622579</v>
      </c>
      <c r="BG1317" t="s">
        <v>74</v>
      </c>
      <c r="BH1317" t="s">
        <v>74</v>
      </c>
      <c r="BI1317" t="s">
        <v>74</v>
      </c>
      <c r="BJ1317" t="s">
        <v>1100</v>
      </c>
      <c r="BK1317" t="s">
        <v>117</v>
      </c>
      <c r="BL1317" t="s">
        <v>1100</v>
      </c>
      <c r="BM1317" t="s">
        <v>74</v>
      </c>
      <c r="BN1317">
        <v>33575258</v>
      </c>
      <c r="BO1317" t="s">
        <v>74</v>
      </c>
      <c r="BP1317" t="s">
        <v>74</v>
      </c>
      <c r="BQ1317" t="s">
        <v>74</v>
      </c>
      <c r="BR1317" t="s">
        <v>96</v>
      </c>
      <c r="BS1317" t="s">
        <v>1101</v>
      </c>
      <c r="BT1317" t="str">
        <f>HYPERLINK("https%3A%2F%2Fwww.webofscience.com%2Fwos%2Fwoscc%2Ffull-record%2FWOS:000616323300001","View Full Record in Web of Science")</f>
        <v>View Full Record in Web of Science</v>
      </c>
    </row>
    <row r="1318" spans="1:72" x14ac:dyDescent="0.15">
      <c r="A1318" t="s">
        <v>98</v>
      </c>
      <c r="B1318" t="s">
        <v>1343</v>
      </c>
      <c r="C1318" t="s">
        <v>74</v>
      </c>
      <c r="D1318" t="s">
        <v>74</v>
      </c>
      <c r="E1318" t="s">
        <v>74</v>
      </c>
      <c r="F1318" t="s">
        <v>1344</v>
      </c>
      <c r="G1318" t="s">
        <v>74</v>
      </c>
      <c r="H1318" t="s">
        <v>74</v>
      </c>
      <c r="I1318" t="s">
        <v>1345</v>
      </c>
      <c r="J1318" t="s">
        <v>1346</v>
      </c>
      <c r="K1318" t="s">
        <v>74</v>
      </c>
      <c r="L1318" t="s">
        <v>74</v>
      </c>
      <c r="M1318" t="s">
        <v>74</v>
      </c>
      <c r="N1318" t="s">
        <v>103</v>
      </c>
      <c r="O1318" t="s">
        <v>74</v>
      </c>
      <c r="P1318" t="s">
        <v>74</v>
      </c>
      <c r="Q1318" t="s">
        <v>74</v>
      </c>
      <c r="R1318" t="s">
        <v>74</v>
      </c>
      <c r="S1318" t="s">
        <v>74</v>
      </c>
      <c r="T1318" t="s">
        <v>1347</v>
      </c>
      <c r="U1318" t="s">
        <v>1348</v>
      </c>
      <c r="V1318" t="s">
        <v>1349</v>
      </c>
      <c r="W1318" t="s">
        <v>1350</v>
      </c>
      <c r="X1318" t="s">
        <v>1351</v>
      </c>
      <c r="Y1318" t="s">
        <v>1352</v>
      </c>
      <c r="Z1318" t="s">
        <v>1353</v>
      </c>
      <c r="AA1318" t="s">
        <v>74</v>
      </c>
      <c r="AB1318" t="s">
        <v>1354</v>
      </c>
      <c r="AC1318" t="s">
        <v>74</v>
      </c>
      <c r="AD1318" t="s">
        <v>74</v>
      </c>
      <c r="AE1318" t="s">
        <v>74</v>
      </c>
      <c r="AF1318" t="s">
        <v>74</v>
      </c>
      <c r="AG1318">
        <v>50</v>
      </c>
      <c r="AH1318">
        <v>7</v>
      </c>
      <c r="AI1318">
        <v>7</v>
      </c>
      <c r="AJ1318">
        <v>1</v>
      </c>
      <c r="AK1318">
        <v>4</v>
      </c>
      <c r="AL1318" t="s">
        <v>74</v>
      </c>
      <c r="AM1318" t="s">
        <v>74</v>
      </c>
      <c r="AN1318" t="s">
        <v>74</v>
      </c>
      <c r="AO1318" t="s">
        <v>1355</v>
      </c>
      <c r="AP1318" t="s">
        <v>1356</v>
      </c>
      <c r="AQ1318" t="s">
        <v>74</v>
      </c>
      <c r="AR1318" t="s">
        <v>74</v>
      </c>
      <c r="AS1318" t="s">
        <v>74</v>
      </c>
      <c r="AT1318" t="s">
        <v>565</v>
      </c>
      <c r="AU1318">
        <v>2020</v>
      </c>
      <c r="AV1318">
        <v>235</v>
      </c>
      <c r="AW1318">
        <v>3</v>
      </c>
      <c r="AX1318" t="s">
        <v>74</v>
      </c>
      <c r="AY1318" t="s">
        <v>74</v>
      </c>
      <c r="AZ1318" t="s">
        <v>74</v>
      </c>
      <c r="BA1318" t="s">
        <v>74</v>
      </c>
      <c r="BB1318">
        <v>2619</v>
      </c>
      <c r="BC1318">
        <v>2630</v>
      </c>
      <c r="BD1318" t="s">
        <v>74</v>
      </c>
      <c r="BE1318" t="s">
        <v>1357</v>
      </c>
      <c r="BF1318" t="str">
        <f>HYPERLINK("http://dx.doi.org/10.1002/jcp.29166","http://dx.doi.org/10.1002/jcp.29166")</f>
        <v>http://dx.doi.org/10.1002/jcp.29166</v>
      </c>
      <c r="BG1318" t="s">
        <v>74</v>
      </c>
      <c r="BH1318" t="s">
        <v>1358</v>
      </c>
      <c r="BI1318" t="s">
        <v>74</v>
      </c>
      <c r="BJ1318" t="s">
        <v>1359</v>
      </c>
      <c r="BK1318" t="s">
        <v>117</v>
      </c>
      <c r="BL1318" t="s">
        <v>1359</v>
      </c>
      <c r="BM1318" t="s">
        <v>74</v>
      </c>
      <c r="BN1318">
        <v>31502256</v>
      </c>
      <c r="BO1318" t="s">
        <v>74</v>
      </c>
      <c r="BP1318" t="s">
        <v>74</v>
      </c>
      <c r="BQ1318" t="s">
        <v>74</v>
      </c>
      <c r="BR1318" t="s">
        <v>96</v>
      </c>
      <c r="BS1318" t="s">
        <v>1360</v>
      </c>
      <c r="BT1318" t="str">
        <f>HYPERLINK("https%3A%2F%2Fwww.webofscience.com%2Fwos%2Fwoscc%2Ffull-record%2FWOS:000485366600001","View Full Record in Web of Science")</f>
        <v>View Full Record in Web of Science</v>
      </c>
    </row>
    <row r="1319" spans="1:72" x14ac:dyDescent="0.15">
      <c r="A1319" t="s">
        <v>98</v>
      </c>
      <c r="B1319" t="s">
        <v>1727</v>
      </c>
      <c r="C1319" t="s">
        <v>74</v>
      </c>
      <c r="D1319" t="s">
        <v>74</v>
      </c>
      <c r="E1319" t="s">
        <v>74</v>
      </c>
      <c r="F1319" t="s">
        <v>1728</v>
      </c>
      <c r="G1319" t="s">
        <v>74</v>
      </c>
      <c r="H1319" t="s">
        <v>74</v>
      </c>
      <c r="I1319" t="s">
        <v>1729</v>
      </c>
      <c r="J1319" t="s">
        <v>1730</v>
      </c>
      <c r="K1319" t="s">
        <v>74</v>
      </c>
      <c r="L1319" t="s">
        <v>74</v>
      </c>
      <c r="M1319" t="s">
        <v>74</v>
      </c>
      <c r="N1319" t="s">
        <v>103</v>
      </c>
      <c r="O1319" t="s">
        <v>74</v>
      </c>
      <c r="P1319" t="s">
        <v>74</v>
      </c>
      <c r="Q1319" t="s">
        <v>74</v>
      </c>
      <c r="R1319" t="s">
        <v>74</v>
      </c>
      <c r="S1319" t="s">
        <v>74</v>
      </c>
      <c r="T1319" t="s">
        <v>1731</v>
      </c>
      <c r="U1319" t="s">
        <v>1732</v>
      </c>
      <c r="V1319" t="s">
        <v>1733</v>
      </c>
      <c r="W1319" t="s">
        <v>1734</v>
      </c>
      <c r="X1319" t="s">
        <v>1735</v>
      </c>
      <c r="Y1319" t="s">
        <v>1736</v>
      </c>
      <c r="Z1319" t="s">
        <v>1737</v>
      </c>
      <c r="AA1319" t="s">
        <v>1738</v>
      </c>
      <c r="AB1319" t="s">
        <v>1739</v>
      </c>
      <c r="AC1319" t="s">
        <v>74</v>
      </c>
      <c r="AD1319" t="s">
        <v>74</v>
      </c>
      <c r="AE1319" t="s">
        <v>74</v>
      </c>
      <c r="AF1319" t="s">
        <v>74</v>
      </c>
      <c r="AG1319">
        <v>32</v>
      </c>
      <c r="AH1319">
        <v>7</v>
      </c>
      <c r="AI1319">
        <v>7</v>
      </c>
      <c r="AJ1319">
        <v>3</v>
      </c>
      <c r="AK1319">
        <v>7</v>
      </c>
      <c r="AL1319" t="s">
        <v>74</v>
      </c>
      <c r="AM1319" t="s">
        <v>74</v>
      </c>
      <c r="AN1319" t="s">
        <v>74</v>
      </c>
      <c r="AO1319" t="s">
        <v>1740</v>
      </c>
      <c r="AP1319" t="s">
        <v>1741</v>
      </c>
      <c r="AQ1319" t="s">
        <v>74</v>
      </c>
      <c r="AR1319" t="s">
        <v>74</v>
      </c>
      <c r="AS1319" t="s">
        <v>74</v>
      </c>
      <c r="AT1319" t="s">
        <v>230</v>
      </c>
      <c r="AU1319">
        <v>2020</v>
      </c>
      <c r="AV1319">
        <v>69</v>
      </c>
      <c r="AW1319">
        <v>2</v>
      </c>
      <c r="AX1319" t="s">
        <v>74</v>
      </c>
      <c r="AY1319" t="s">
        <v>74</v>
      </c>
      <c r="AZ1319" t="s">
        <v>74</v>
      </c>
      <c r="BA1319" t="s">
        <v>74</v>
      </c>
      <c r="BB1319">
        <v>99</v>
      </c>
      <c r="BC1319">
        <v>107</v>
      </c>
      <c r="BD1319" t="s">
        <v>74</v>
      </c>
      <c r="BE1319" t="s">
        <v>1742</v>
      </c>
      <c r="BF1319" t="str">
        <f>HYPERLINK("http://dx.doi.org/10.2144/btn-2020-0028","http://dx.doi.org/10.2144/btn-2020-0028")</f>
        <v>http://dx.doi.org/10.2144/btn-2020-0028</v>
      </c>
      <c r="BG1319" t="s">
        <v>74</v>
      </c>
      <c r="BH1319" t="s">
        <v>74</v>
      </c>
      <c r="BI1319" t="s">
        <v>74</v>
      </c>
      <c r="BJ1319" t="s">
        <v>93</v>
      </c>
      <c r="BK1319" t="s">
        <v>117</v>
      </c>
      <c r="BL1319" t="s">
        <v>95</v>
      </c>
      <c r="BM1319" t="s">
        <v>74</v>
      </c>
      <c r="BN1319">
        <v>32580578</v>
      </c>
      <c r="BO1319" t="s">
        <v>74</v>
      </c>
      <c r="BP1319" t="s">
        <v>74</v>
      </c>
      <c r="BQ1319" t="s">
        <v>74</v>
      </c>
      <c r="BR1319" t="s">
        <v>96</v>
      </c>
      <c r="BS1319" t="s">
        <v>1743</v>
      </c>
      <c r="BT1319" t="str">
        <f>HYPERLINK("https%3A%2F%2Fwww.webofscience.com%2Fwos%2Fwoscc%2Ffull-record%2FWOS:000588651700005","View Full Record in Web of Science")</f>
        <v>View Full Record in Web of Science</v>
      </c>
    </row>
    <row r="1320" spans="1:72" x14ac:dyDescent="0.15">
      <c r="A1320" t="s">
        <v>98</v>
      </c>
      <c r="B1320" t="s">
        <v>2517</v>
      </c>
      <c r="C1320" t="s">
        <v>74</v>
      </c>
      <c r="D1320" t="s">
        <v>74</v>
      </c>
      <c r="E1320" t="s">
        <v>74</v>
      </c>
      <c r="F1320" t="s">
        <v>2518</v>
      </c>
      <c r="G1320" t="s">
        <v>74</v>
      </c>
      <c r="H1320" t="s">
        <v>74</v>
      </c>
      <c r="I1320" t="s">
        <v>2519</v>
      </c>
      <c r="J1320" t="s">
        <v>2520</v>
      </c>
      <c r="K1320" t="s">
        <v>74</v>
      </c>
      <c r="L1320" t="s">
        <v>74</v>
      </c>
      <c r="M1320" t="s">
        <v>74</v>
      </c>
      <c r="N1320" t="s">
        <v>103</v>
      </c>
      <c r="O1320" t="s">
        <v>74</v>
      </c>
      <c r="P1320" t="s">
        <v>74</v>
      </c>
      <c r="Q1320" t="s">
        <v>74</v>
      </c>
      <c r="R1320" t="s">
        <v>74</v>
      </c>
      <c r="S1320" t="s">
        <v>74</v>
      </c>
      <c r="T1320" t="s">
        <v>2521</v>
      </c>
      <c r="U1320" t="s">
        <v>2522</v>
      </c>
      <c r="V1320" t="s">
        <v>2523</v>
      </c>
      <c r="W1320" t="s">
        <v>2524</v>
      </c>
      <c r="X1320" t="s">
        <v>2525</v>
      </c>
      <c r="Y1320" t="s">
        <v>2526</v>
      </c>
      <c r="Z1320" t="s">
        <v>2527</v>
      </c>
      <c r="AA1320" t="s">
        <v>74</v>
      </c>
      <c r="AB1320" t="s">
        <v>2528</v>
      </c>
      <c r="AC1320" t="s">
        <v>74</v>
      </c>
      <c r="AD1320" t="s">
        <v>74</v>
      </c>
      <c r="AE1320" t="s">
        <v>74</v>
      </c>
      <c r="AF1320" t="s">
        <v>74</v>
      </c>
      <c r="AG1320">
        <v>111</v>
      </c>
      <c r="AH1320">
        <v>7</v>
      </c>
      <c r="AI1320">
        <v>8</v>
      </c>
      <c r="AJ1320">
        <v>1</v>
      </c>
      <c r="AK1320">
        <v>7</v>
      </c>
      <c r="AL1320" t="s">
        <v>74</v>
      </c>
      <c r="AM1320" t="s">
        <v>74</v>
      </c>
      <c r="AN1320" t="s">
        <v>74</v>
      </c>
      <c r="AO1320" t="s">
        <v>2529</v>
      </c>
      <c r="AP1320" t="s">
        <v>74</v>
      </c>
      <c r="AQ1320" t="s">
        <v>74</v>
      </c>
      <c r="AR1320" t="s">
        <v>74</v>
      </c>
      <c r="AS1320" t="s">
        <v>74</v>
      </c>
      <c r="AT1320" t="s">
        <v>2530</v>
      </c>
      <c r="AU1320">
        <v>2019</v>
      </c>
      <c r="AV1320">
        <v>10</v>
      </c>
      <c r="AW1320" t="s">
        <v>74</v>
      </c>
      <c r="AX1320" t="s">
        <v>74</v>
      </c>
      <c r="AY1320" t="s">
        <v>74</v>
      </c>
      <c r="AZ1320" t="s">
        <v>74</v>
      </c>
      <c r="BA1320" t="s">
        <v>74</v>
      </c>
      <c r="BB1320" t="s">
        <v>74</v>
      </c>
      <c r="BC1320" t="s">
        <v>74</v>
      </c>
      <c r="BD1320">
        <v>2708</v>
      </c>
      <c r="BE1320" t="s">
        <v>2531</v>
      </c>
      <c r="BF1320" t="str">
        <f>HYPERLINK("http://dx.doi.org/10.3389/fmicb.2019.02708","http://dx.doi.org/10.3389/fmicb.2019.02708")</f>
        <v>http://dx.doi.org/10.3389/fmicb.2019.02708</v>
      </c>
      <c r="BG1320" t="s">
        <v>74</v>
      </c>
      <c r="BH1320" t="s">
        <v>74</v>
      </c>
      <c r="BI1320" t="s">
        <v>74</v>
      </c>
      <c r="BJ1320" t="s">
        <v>898</v>
      </c>
      <c r="BK1320" t="s">
        <v>117</v>
      </c>
      <c r="BL1320" t="s">
        <v>898</v>
      </c>
      <c r="BM1320" t="s">
        <v>74</v>
      </c>
      <c r="BN1320">
        <v>31824470</v>
      </c>
      <c r="BO1320" t="s">
        <v>74</v>
      </c>
      <c r="BP1320" t="s">
        <v>74</v>
      </c>
      <c r="BQ1320" t="s">
        <v>74</v>
      </c>
      <c r="BR1320" t="s">
        <v>96</v>
      </c>
      <c r="BS1320" t="s">
        <v>2532</v>
      </c>
      <c r="BT1320" t="str">
        <f>HYPERLINK("https%3A%2F%2Fwww.webofscience.com%2Fwos%2Fwoscc%2Ffull-record%2FWOS:000585865700001","View Full Record in Web of Science")</f>
        <v>View Full Record in Web of Science</v>
      </c>
    </row>
    <row r="1321" spans="1:72" x14ac:dyDescent="0.15">
      <c r="A1321" t="s">
        <v>98</v>
      </c>
      <c r="B1321" t="s">
        <v>2533</v>
      </c>
      <c r="C1321" t="s">
        <v>74</v>
      </c>
      <c r="D1321" t="s">
        <v>74</v>
      </c>
      <c r="E1321" t="s">
        <v>74</v>
      </c>
      <c r="F1321" t="s">
        <v>2534</v>
      </c>
      <c r="G1321" t="s">
        <v>74</v>
      </c>
      <c r="H1321" t="s">
        <v>74</v>
      </c>
      <c r="I1321" t="s">
        <v>2535</v>
      </c>
      <c r="J1321" t="s">
        <v>2536</v>
      </c>
      <c r="K1321" t="s">
        <v>74</v>
      </c>
      <c r="L1321" t="s">
        <v>74</v>
      </c>
      <c r="M1321" t="s">
        <v>74</v>
      </c>
      <c r="N1321" t="s">
        <v>103</v>
      </c>
      <c r="O1321" t="s">
        <v>74</v>
      </c>
      <c r="P1321" t="s">
        <v>74</v>
      </c>
      <c r="Q1321" t="s">
        <v>74</v>
      </c>
      <c r="R1321" t="s">
        <v>74</v>
      </c>
      <c r="S1321" t="s">
        <v>74</v>
      </c>
      <c r="T1321" t="s">
        <v>2537</v>
      </c>
      <c r="U1321" t="s">
        <v>2538</v>
      </c>
      <c r="V1321" t="s">
        <v>2539</v>
      </c>
      <c r="W1321" t="s">
        <v>2540</v>
      </c>
      <c r="X1321" t="s">
        <v>2541</v>
      </c>
      <c r="Y1321" t="s">
        <v>2542</v>
      </c>
      <c r="Z1321" t="s">
        <v>2543</v>
      </c>
      <c r="AA1321" t="s">
        <v>74</v>
      </c>
      <c r="AB1321" t="s">
        <v>74</v>
      </c>
      <c r="AC1321" t="s">
        <v>74</v>
      </c>
      <c r="AD1321" t="s">
        <v>74</v>
      </c>
      <c r="AE1321" t="s">
        <v>74</v>
      </c>
      <c r="AF1321" t="s">
        <v>74</v>
      </c>
      <c r="AG1321">
        <v>65</v>
      </c>
      <c r="AH1321">
        <v>7</v>
      </c>
      <c r="AI1321">
        <v>7</v>
      </c>
      <c r="AJ1321">
        <v>3</v>
      </c>
      <c r="AK1321">
        <v>10</v>
      </c>
      <c r="AL1321" t="s">
        <v>74</v>
      </c>
      <c r="AM1321" t="s">
        <v>74</v>
      </c>
      <c r="AN1321" t="s">
        <v>74</v>
      </c>
      <c r="AO1321" t="s">
        <v>2544</v>
      </c>
      <c r="AP1321" t="s">
        <v>2545</v>
      </c>
      <c r="AQ1321" t="s">
        <v>74</v>
      </c>
      <c r="AR1321" t="s">
        <v>74</v>
      </c>
      <c r="AS1321" t="s">
        <v>74</v>
      </c>
      <c r="AT1321" t="s">
        <v>565</v>
      </c>
      <c r="AU1321">
        <v>2021</v>
      </c>
      <c r="AV1321">
        <v>95</v>
      </c>
      <c r="AW1321">
        <v>6</v>
      </c>
      <c r="AX1321" t="s">
        <v>74</v>
      </c>
      <c r="AY1321" t="s">
        <v>74</v>
      </c>
      <c r="AZ1321" t="s">
        <v>74</v>
      </c>
      <c r="BA1321" t="s">
        <v>74</v>
      </c>
      <c r="BB1321" t="s">
        <v>74</v>
      </c>
      <c r="BC1321" t="s">
        <v>74</v>
      </c>
      <c r="BD1321" t="s">
        <v>2546</v>
      </c>
      <c r="BE1321" t="s">
        <v>2547</v>
      </c>
      <c r="BF1321" t="str">
        <f>HYPERLINK("http://dx.doi.org/10.1128/JVI.02357-20","http://dx.doi.org/10.1128/JVI.02357-20")</f>
        <v>http://dx.doi.org/10.1128/JVI.02357-20</v>
      </c>
      <c r="BG1321" t="s">
        <v>74</v>
      </c>
      <c r="BH1321" t="s">
        <v>74</v>
      </c>
      <c r="BI1321" t="s">
        <v>74</v>
      </c>
      <c r="BJ1321" t="s">
        <v>932</v>
      </c>
      <c r="BK1321" t="s">
        <v>117</v>
      </c>
      <c r="BL1321" t="s">
        <v>932</v>
      </c>
      <c r="BM1321" t="s">
        <v>74</v>
      </c>
      <c r="BN1321">
        <v>33361424</v>
      </c>
      <c r="BO1321" t="s">
        <v>74</v>
      </c>
      <c r="BP1321" t="s">
        <v>74</v>
      </c>
      <c r="BQ1321" t="s">
        <v>74</v>
      </c>
      <c r="BR1321" t="s">
        <v>96</v>
      </c>
      <c r="BS1321" t="s">
        <v>2548</v>
      </c>
      <c r="BT1321" t="str">
        <f>HYPERLINK("https%3A%2F%2Fwww.webofscience.com%2Fwos%2Fwoscc%2Ffull-record%2FWOS:000623419500001","View Full Record in Web of Science")</f>
        <v>View Full Record in Web of Science</v>
      </c>
    </row>
    <row r="1322" spans="1:72" x14ac:dyDescent="0.15">
      <c r="A1322" t="s">
        <v>98</v>
      </c>
      <c r="B1322" t="s">
        <v>2788</v>
      </c>
      <c r="C1322" t="s">
        <v>74</v>
      </c>
      <c r="D1322" t="s">
        <v>74</v>
      </c>
      <c r="E1322" t="s">
        <v>74</v>
      </c>
      <c r="F1322" t="s">
        <v>2789</v>
      </c>
      <c r="G1322" t="s">
        <v>74</v>
      </c>
      <c r="H1322" t="s">
        <v>74</v>
      </c>
      <c r="I1322" t="s">
        <v>2790</v>
      </c>
      <c r="J1322" t="s">
        <v>817</v>
      </c>
      <c r="K1322" t="s">
        <v>74</v>
      </c>
      <c r="L1322" t="s">
        <v>74</v>
      </c>
      <c r="M1322" t="s">
        <v>74</v>
      </c>
      <c r="N1322" t="s">
        <v>103</v>
      </c>
      <c r="O1322" t="s">
        <v>74</v>
      </c>
      <c r="P1322" t="s">
        <v>74</v>
      </c>
      <c r="Q1322" t="s">
        <v>74</v>
      </c>
      <c r="R1322" t="s">
        <v>74</v>
      </c>
      <c r="S1322" t="s">
        <v>74</v>
      </c>
      <c r="T1322" t="s">
        <v>2791</v>
      </c>
      <c r="U1322" t="s">
        <v>74</v>
      </c>
      <c r="V1322" t="s">
        <v>2792</v>
      </c>
      <c r="W1322" t="s">
        <v>2793</v>
      </c>
      <c r="X1322" t="s">
        <v>2794</v>
      </c>
      <c r="Y1322" t="s">
        <v>2795</v>
      </c>
      <c r="Z1322" t="s">
        <v>2796</v>
      </c>
      <c r="AA1322" t="s">
        <v>2797</v>
      </c>
      <c r="AB1322" t="s">
        <v>2798</v>
      </c>
      <c r="AC1322" t="s">
        <v>74</v>
      </c>
      <c r="AD1322" t="s">
        <v>74</v>
      </c>
      <c r="AE1322" t="s">
        <v>74</v>
      </c>
      <c r="AF1322" t="s">
        <v>74</v>
      </c>
      <c r="AG1322">
        <v>43</v>
      </c>
      <c r="AH1322">
        <v>7</v>
      </c>
      <c r="AI1322">
        <v>8</v>
      </c>
      <c r="AJ1322">
        <v>2</v>
      </c>
      <c r="AK1322">
        <v>3</v>
      </c>
      <c r="AL1322" t="s">
        <v>74</v>
      </c>
      <c r="AM1322" t="s">
        <v>74</v>
      </c>
      <c r="AN1322" t="s">
        <v>74</v>
      </c>
      <c r="AO1322" t="s">
        <v>74</v>
      </c>
      <c r="AP1322" t="s">
        <v>827</v>
      </c>
      <c r="AQ1322" t="s">
        <v>74</v>
      </c>
      <c r="AR1322" t="s">
        <v>74</v>
      </c>
      <c r="AS1322" t="s">
        <v>74</v>
      </c>
      <c r="AT1322" t="s">
        <v>132</v>
      </c>
      <c r="AU1322">
        <v>2021</v>
      </c>
      <c r="AV1322">
        <v>22</v>
      </c>
      <c r="AW1322">
        <v>7</v>
      </c>
      <c r="AX1322" t="s">
        <v>74</v>
      </c>
      <c r="AY1322" t="s">
        <v>74</v>
      </c>
      <c r="AZ1322" t="s">
        <v>74</v>
      </c>
      <c r="BA1322" t="s">
        <v>74</v>
      </c>
      <c r="BB1322" t="s">
        <v>74</v>
      </c>
      <c r="BC1322" t="s">
        <v>74</v>
      </c>
      <c r="BD1322">
        <v>3667</v>
      </c>
      <c r="BE1322" t="s">
        <v>2799</v>
      </c>
      <c r="BF1322" t="str">
        <f>HYPERLINK("http://dx.doi.org/10.3390/ijms22073667","http://dx.doi.org/10.3390/ijms22073667")</f>
        <v>http://dx.doi.org/10.3390/ijms22073667</v>
      </c>
      <c r="BG1322" t="s">
        <v>74</v>
      </c>
      <c r="BH1322" t="s">
        <v>74</v>
      </c>
      <c r="BI1322" t="s">
        <v>74</v>
      </c>
      <c r="BJ1322" t="s">
        <v>830</v>
      </c>
      <c r="BK1322" t="s">
        <v>117</v>
      </c>
      <c r="BL1322" t="s">
        <v>831</v>
      </c>
      <c r="BM1322" t="s">
        <v>74</v>
      </c>
      <c r="BN1322">
        <v>33915956</v>
      </c>
      <c r="BO1322" t="s">
        <v>74</v>
      </c>
      <c r="BP1322" t="s">
        <v>74</v>
      </c>
      <c r="BQ1322" t="s">
        <v>74</v>
      </c>
      <c r="BR1322" t="s">
        <v>96</v>
      </c>
      <c r="BS1322" t="s">
        <v>2800</v>
      </c>
      <c r="BT1322" t="str">
        <f>HYPERLINK("https%3A%2F%2Fwww.webofscience.com%2Fwos%2Fwoscc%2Ffull-record%2FWOS:000638661700001","View Full Record in Web of Science")</f>
        <v>View Full Record in Web of Science</v>
      </c>
    </row>
    <row r="1323" spans="1:72" x14ac:dyDescent="0.15">
      <c r="A1323" t="s">
        <v>98</v>
      </c>
      <c r="B1323" t="s">
        <v>3330</v>
      </c>
      <c r="C1323" t="s">
        <v>74</v>
      </c>
      <c r="D1323" t="s">
        <v>74</v>
      </c>
      <c r="E1323" t="s">
        <v>74</v>
      </c>
      <c r="F1323" t="s">
        <v>3331</v>
      </c>
      <c r="G1323" t="s">
        <v>74</v>
      </c>
      <c r="H1323" t="s">
        <v>74</v>
      </c>
      <c r="I1323" t="s">
        <v>3332</v>
      </c>
      <c r="J1323" t="s">
        <v>3333</v>
      </c>
      <c r="K1323" t="s">
        <v>74</v>
      </c>
      <c r="L1323" t="s">
        <v>74</v>
      </c>
      <c r="M1323" t="s">
        <v>74</v>
      </c>
      <c r="N1323" t="s">
        <v>103</v>
      </c>
      <c r="O1323" t="s">
        <v>74</v>
      </c>
      <c r="P1323" t="s">
        <v>74</v>
      </c>
      <c r="Q1323" t="s">
        <v>74</v>
      </c>
      <c r="R1323" t="s">
        <v>74</v>
      </c>
      <c r="S1323" t="s">
        <v>74</v>
      </c>
      <c r="T1323" t="s">
        <v>3334</v>
      </c>
      <c r="U1323" t="s">
        <v>3335</v>
      </c>
      <c r="V1323" t="s">
        <v>3336</v>
      </c>
      <c r="W1323" t="s">
        <v>3337</v>
      </c>
      <c r="X1323" t="s">
        <v>3249</v>
      </c>
      <c r="Y1323" t="s">
        <v>3338</v>
      </c>
      <c r="Z1323" t="s">
        <v>3339</v>
      </c>
      <c r="AA1323" t="s">
        <v>3340</v>
      </c>
      <c r="AB1323" t="s">
        <v>3341</v>
      </c>
      <c r="AC1323" t="s">
        <v>74</v>
      </c>
      <c r="AD1323" t="s">
        <v>74</v>
      </c>
      <c r="AE1323" t="s">
        <v>74</v>
      </c>
      <c r="AF1323" t="s">
        <v>74</v>
      </c>
      <c r="AG1323">
        <v>257</v>
      </c>
      <c r="AH1323">
        <v>7</v>
      </c>
      <c r="AI1323">
        <v>7</v>
      </c>
      <c r="AJ1323">
        <v>12</v>
      </c>
      <c r="AK1323">
        <v>44</v>
      </c>
      <c r="AL1323" t="s">
        <v>74</v>
      </c>
      <c r="AM1323" t="s">
        <v>74</v>
      </c>
      <c r="AN1323" t="s">
        <v>74</v>
      </c>
      <c r="AO1323" t="s">
        <v>3342</v>
      </c>
      <c r="AP1323" t="s">
        <v>3343</v>
      </c>
      <c r="AQ1323" t="s">
        <v>74</v>
      </c>
      <c r="AR1323" t="s">
        <v>74</v>
      </c>
      <c r="AS1323" t="s">
        <v>74</v>
      </c>
      <c r="AT1323" t="s">
        <v>614</v>
      </c>
      <c r="AU1323">
        <v>2021</v>
      </c>
      <c r="AV1323">
        <v>135</v>
      </c>
      <c r="AW1323" t="s">
        <v>74</v>
      </c>
      <c r="AX1323" t="s">
        <v>74</v>
      </c>
      <c r="AY1323" t="s">
        <v>74</v>
      </c>
      <c r="AZ1323" t="s">
        <v>74</v>
      </c>
      <c r="BA1323" t="s">
        <v>74</v>
      </c>
      <c r="BB1323">
        <v>226</v>
      </c>
      <c r="BC1323">
        <v>246</v>
      </c>
      <c r="BD1323" t="s">
        <v>74</v>
      </c>
      <c r="BE1323" t="s">
        <v>3344</v>
      </c>
      <c r="BF1323" t="str">
        <f>HYPERLINK("http://dx.doi.org/10.1016/j.molimm.2021.04.017","http://dx.doi.org/10.1016/j.molimm.2021.04.017")</f>
        <v>http://dx.doi.org/10.1016/j.molimm.2021.04.017</v>
      </c>
      <c r="BG1323" t="s">
        <v>74</v>
      </c>
      <c r="BH1323" t="s">
        <v>3345</v>
      </c>
      <c r="BI1323" t="s">
        <v>74</v>
      </c>
      <c r="BJ1323" t="s">
        <v>3346</v>
      </c>
      <c r="BK1323" t="s">
        <v>117</v>
      </c>
      <c r="BL1323" t="s">
        <v>3346</v>
      </c>
      <c r="BM1323" t="s">
        <v>74</v>
      </c>
      <c r="BN1323">
        <v>33933815</v>
      </c>
      <c r="BO1323" t="s">
        <v>74</v>
      </c>
      <c r="BP1323" t="s">
        <v>74</v>
      </c>
      <c r="BQ1323" t="s">
        <v>74</v>
      </c>
      <c r="BR1323" t="s">
        <v>96</v>
      </c>
      <c r="BS1323" t="s">
        <v>3347</v>
      </c>
      <c r="BT1323" t="str">
        <f>HYPERLINK("https%3A%2F%2Fwww.webofscience.com%2Fwos%2Fwoscc%2Ffull-record%2FWOS:000658544200022","View Full Record in Web of Science")</f>
        <v>View Full Record in Web of Science</v>
      </c>
    </row>
    <row r="1324" spans="1:72" x14ac:dyDescent="0.15">
      <c r="A1324" t="s">
        <v>98</v>
      </c>
      <c r="B1324" t="s">
        <v>3997</v>
      </c>
      <c r="C1324" t="s">
        <v>74</v>
      </c>
      <c r="D1324" t="s">
        <v>74</v>
      </c>
      <c r="E1324" t="s">
        <v>74</v>
      </c>
      <c r="F1324" t="s">
        <v>3998</v>
      </c>
      <c r="G1324" t="s">
        <v>74</v>
      </c>
      <c r="H1324" t="s">
        <v>74</v>
      </c>
      <c r="I1324" t="s">
        <v>3999</v>
      </c>
      <c r="J1324" t="s">
        <v>4000</v>
      </c>
      <c r="K1324" t="s">
        <v>74</v>
      </c>
      <c r="L1324" t="s">
        <v>74</v>
      </c>
      <c r="M1324" t="s">
        <v>74</v>
      </c>
      <c r="N1324" t="s">
        <v>103</v>
      </c>
      <c r="O1324" t="s">
        <v>74</v>
      </c>
      <c r="P1324" t="s">
        <v>74</v>
      </c>
      <c r="Q1324" t="s">
        <v>74</v>
      </c>
      <c r="R1324" t="s">
        <v>74</v>
      </c>
      <c r="S1324" t="s">
        <v>74</v>
      </c>
      <c r="T1324" t="s">
        <v>4001</v>
      </c>
      <c r="U1324" t="s">
        <v>4002</v>
      </c>
      <c r="V1324" t="s">
        <v>4003</v>
      </c>
      <c r="W1324" t="s">
        <v>4004</v>
      </c>
      <c r="X1324" t="s">
        <v>1222</v>
      </c>
      <c r="Y1324" t="s">
        <v>4005</v>
      </c>
      <c r="Z1324" t="s">
        <v>4006</v>
      </c>
      <c r="AA1324" t="s">
        <v>74</v>
      </c>
      <c r="AB1324" t="s">
        <v>74</v>
      </c>
      <c r="AC1324" t="s">
        <v>74</v>
      </c>
      <c r="AD1324" t="s">
        <v>74</v>
      </c>
      <c r="AE1324" t="s">
        <v>74</v>
      </c>
      <c r="AF1324" t="s">
        <v>74</v>
      </c>
      <c r="AG1324">
        <v>108</v>
      </c>
      <c r="AH1324">
        <v>7</v>
      </c>
      <c r="AI1324">
        <v>7</v>
      </c>
      <c r="AJ1324">
        <v>9</v>
      </c>
      <c r="AK1324">
        <v>29</v>
      </c>
      <c r="AL1324" t="s">
        <v>74</v>
      </c>
      <c r="AM1324" t="s">
        <v>74</v>
      </c>
      <c r="AN1324" t="s">
        <v>74</v>
      </c>
      <c r="AO1324" t="s">
        <v>4007</v>
      </c>
      <c r="AP1324" t="s">
        <v>4008</v>
      </c>
      <c r="AQ1324" t="s">
        <v>74</v>
      </c>
      <c r="AR1324" t="s">
        <v>74</v>
      </c>
      <c r="AS1324" t="s">
        <v>74</v>
      </c>
      <c r="AT1324" t="s">
        <v>531</v>
      </c>
      <c r="AU1324">
        <v>2021</v>
      </c>
      <c r="AV1324">
        <v>122</v>
      </c>
      <c r="AW1324" t="s">
        <v>74</v>
      </c>
      <c r="AX1324" t="s">
        <v>74</v>
      </c>
      <c r="AY1324" t="s">
        <v>74</v>
      </c>
      <c r="AZ1324" t="s">
        <v>74</v>
      </c>
      <c r="BA1324" t="s">
        <v>74</v>
      </c>
      <c r="BB1324" t="s">
        <v>74</v>
      </c>
      <c r="BC1324" t="s">
        <v>74</v>
      </c>
      <c r="BD1324">
        <v>154834</v>
      </c>
      <c r="BE1324" t="s">
        <v>4009</v>
      </c>
      <c r="BF1324" t="str">
        <f>HYPERLINK("http://dx.doi.org/10.1016/j.metabol.2021.154834","http://dx.doi.org/10.1016/j.metabol.2021.154834")</f>
        <v>http://dx.doi.org/10.1016/j.metabol.2021.154834</v>
      </c>
      <c r="BG1324" t="s">
        <v>74</v>
      </c>
      <c r="BH1324" t="s">
        <v>1136</v>
      </c>
      <c r="BI1324" t="s">
        <v>74</v>
      </c>
      <c r="BJ1324" t="s">
        <v>3599</v>
      </c>
      <c r="BK1324" t="s">
        <v>117</v>
      </c>
      <c r="BL1324" t="s">
        <v>3599</v>
      </c>
      <c r="BM1324" t="s">
        <v>74</v>
      </c>
      <c r="BN1324">
        <v>34217734</v>
      </c>
      <c r="BO1324" t="s">
        <v>74</v>
      </c>
      <c r="BP1324" t="s">
        <v>74</v>
      </c>
      <c r="BQ1324" t="s">
        <v>74</v>
      </c>
      <c r="BR1324" t="s">
        <v>96</v>
      </c>
      <c r="BS1324" t="s">
        <v>4010</v>
      </c>
      <c r="BT1324" t="str">
        <f>HYPERLINK("https%3A%2F%2Fwww.webofscience.com%2Fwos%2Fwoscc%2Ffull-record%2FWOS:000687296800009","View Full Record in Web of Science")</f>
        <v>View Full Record in Web of Science</v>
      </c>
    </row>
    <row r="1325" spans="1:72" x14ac:dyDescent="0.15">
      <c r="A1325" t="s">
        <v>98</v>
      </c>
      <c r="B1325" t="s">
        <v>4742</v>
      </c>
      <c r="C1325" t="s">
        <v>74</v>
      </c>
      <c r="D1325" t="s">
        <v>74</v>
      </c>
      <c r="E1325" t="s">
        <v>74</v>
      </c>
      <c r="F1325" t="s">
        <v>4743</v>
      </c>
      <c r="G1325" t="s">
        <v>74</v>
      </c>
      <c r="H1325" t="s">
        <v>74</v>
      </c>
      <c r="I1325" t="s">
        <v>4744</v>
      </c>
      <c r="J1325" t="s">
        <v>817</v>
      </c>
      <c r="K1325" t="s">
        <v>74</v>
      </c>
      <c r="L1325" t="s">
        <v>74</v>
      </c>
      <c r="M1325" t="s">
        <v>74</v>
      </c>
      <c r="N1325" t="s">
        <v>103</v>
      </c>
      <c r="O1325" t="s">
        <v>74</v>
      </c>
      <c r="P1325" t="s">
        <v>74</v>
      </c>
      <c r="Q1325" t="s">
        <v>74</v>
      </c>
      <c r="R1325" t="s">
        <v>74</v>
      </c>
      <c r="S1325" t="s">
        <v>74</v>
      </c>
      <c r="T1325" t="s">
        <v>4745</v>
      </c>
      <c r="U1325" t="s">
        <v>4746</v>
      </c>
      <c r="V1325" t="s">
        <v>4747</v>
      </c>
      <c r="W1325" t="s">
        <v>4748</v>
      </c>
      <c r="X1325" t="s">
        <v>4749</v>
      </c>
      <c r="Y1325" t="s">
        <v>4750</v>
      </c>
      <c r="Z1325" t="s">
        <v>4751</v>
      </c>
      <c r="AA1325" t="s">
        <v>4752</v>
      </c>
      <c r="AB1325" t="s">
        <v>4753</v>
      </c>
      <c r="AC1325" t="s">
        <v>74</v>
      </c>
      <c r="AD1325" t="s">
        <v>74</v>
      </c>
      <c r="AE1325" t="s">
        <v>74</v>
      </c>
      <c r="AF1325" t="s">
        <v>74</v>
      </c>
      <c r="AG1325">
        <v>37</v>
      </c>
      <c r="AH1325">
        <v>7</v>
      </c>
      <c r="AI1325">
        <v>7</v>
      </c>
      <c r="AJ1325">
        <v>1</v>
      </c>
      <c r="AK1325">
        <v>11</v>
      </c>
      <c r="AL1325" t="s">
        <v>74</v>
      </c>
      <c r="AM1325" t="s">
        <v>74</v>
      </c>
      <c r="AN1325" t="s">
        <v>74</v>
      </c>
      <c r="AO1325" t="s">
        <v>74</v>
      </c>
      <c r="AP1325" t="s">
        <v>827</v>
      </c>
      <c r="AQ1325" t="s">
        <v>74</v>
      </c>
      <c r="AR1325" t="s">
        <v>74</v>
      </c>
      <c r="AS1325" t="s">
        <v>74</v>
      </c>
      <c r="AT1325" t="s">
        <v>211</v>
      </c>
      <c r="AU1325">
        <v>2020</v>
      </c>
      <c r="AV1325">
        <v>21</v>
      </c>
      <c r="AW1325">
        <v>22</v>
      </c>
      <c r="AX1325" t="s">
        <v>74</v>
      </c>
      <c r="AY1325" t="s">
        <v>74</v>
      </c>
      <c r="AZ1325" t="s">
        <v>74</v>
      </c>
      <c r="BA1325" t="s">
        <v>74</v>
      </c>
      <c r="BB1325" t="s">
        <v>74</v>
      </c>
      <c r="BC1325" t="s">
        <v>74</v>
      </c>
      <c r="BD1325">
        <v>8723</v>
      </c>
      <c r="BE1325" t="s">
        <v>4754</v>
      </c>
      <c r="BF1325" t="str">
        <f>HYPERLINK("http://dx.doi.org/10.3390/ijms21228723","http://dx.doi.org/10.3390/ijms21228723")</f>
        <v>http://dx.doi.org/10.3390/ijms21228723</v>
      </c>
      <c r="BG1325" t="s">
        <v>74</v>
      </c>
      <c r="BH1325" t="s">
        <v>74</v>
      </c>
      <c r="BI1325" t="s">
        <v>74</v>
      </c>
      <c r="BJ1325" t="s">
        <v>830</v>
      </c>
      <c r="BK1325" t="s">
        <v>117</v>
      </c>
      <c r="BL1325" t="s">
        <v>831</v>
      </c>
      <c r="BM1325" t="s">
        <v>74</v>
      </c>
      <c r="BN1325">
        <v>33218198</v>
      </c>
      <c r="BO1325" t="s">
        <v>74</v>
      </c>
      <c r="BP1325" t="s">
        <v>74</v>
      </c>
      <c r="BQ1325" t="s">
        <v>74</v>
      </c>
      <c r="BR1325" t="s">
        <v>96</v>
      </c>
      <c r="BS1325" t="s">
        <v>4755</v>
      </c>
      <c r="BT1325" t="str">
        <f>HYPERLINK("https%3A%2F%2Fwww.webofscience.com%2Fwos%2Fwoscc%2Ffull-record%2FWOS:000594125700001","View Full Record in Web of Science")</f>
        <v>View Full Record in Web of Science</v>
      </c>
    </row>
    <row r="1326" spans="1:72" x14ac:dyDescent="0.15">
      <c r="A1326" t="s">
        <v>98</v>
      </c>
      <c r="B1326" t="s">
        <v>6079</v>
      </c>
      <c r="C1326" t="s">
        <v>74</v>
      </c>
      <c r="D1326" t="s">
        <v>74</v>
      </c>
      <c r="E1326" t="s">
        <v>74</v>
      </c>
      <c r="F1326" t="s">
        <v>6080</v>
      </c>
      <c r="G1326" t="s">
        <v>74</v>
      </c>
      <c r="H1326" t="s">
        <v>74</v>
      </c>
      <c r="I1326" t="s">
        <v>6081</v>
      </c>
      <c r="J1326" t="s">
        <v>903</v>
      </c>
      <c r="K1326" t="s">
        <v>74</v>
      </c>
      <c r="L1326" t="s">
        <v>74</v>
      </c>
      <c r="M1326" t="s">
        <v>74</v>
      </c>
      <c r="N1326" t="s">
        <v>103</v>
      </c>
      <c r="O1326" t="s">
        <v>74</v>
      </c>
      <c r="P1326" t="s">
        <v>74</v>
      </c>
      <c r="Q1326" t="s">
        <v>74</v>
      </c>
      <c r="R1326" t="s">
        <v>74</v>
      </c>
      <c r="S1326" t="s">
        <v>74</v>
      </c>
      <c r="T1326" t="s">
        <v>6082</v>
      </c>
      <c r="U1326" t="s">
        <v>6083</v>
      </c>
      <c r="V1326" t="s">
        <v>6084</v>
      </c>
      <c r="W1326" t="s">
        <v>6085</v>
      </c>
      <c r="X1326" t="s">
        <v>6086</v>
      </c>
      <c r="Y1326" t="s">
        <v>6087</v>
      </c>
      <c r="Z1326" t="s">
        <v>6088</v>
      </c>
      <c r="AA1326" t="s">
        <v>6089</v>
      </c>
      <c r="AB1326" t="s">
        <v>6090</v>
      </c>
      <c r="AC1326" t="s">
        <v>74</v>
      </c>
      <c r="AD1326" t="s">
        <v>74</v>
      </c>
      <c r="AE1326" t="s">
        <v>74</v>
      </c>
      <c r="AF1326" t="s">
        <v>74</v>
      </c>
      <c r="AG1326">
        <v>52</v>
      </c>
      <c r="AH1326">
        <v>7</v>
      </c>
      <c r="AI1326">
        <v>7</v>
      </c>
      <c r="AJ1326">
        <v>9</v>
      </c>
      <c r="AK1326">
        <v>13</v>
      </c>
      <c r="AL1326" t="s">
        <v>74</v>
      </c>
      <c r="AM1326" t="s">
        <v>74</v>
      </c>
      <c r="AN1326" t="s">
        <v>74</v>
      </c>
      <c r="AO1326" t="s">
        <v>74</v>
      </c>
      <c r="AP1326" t="s">
        <v>913</v>
      </c>
      <c r="AQ1326" t="s">
        <v>74</v>
      </c>
      <c r="AR1326" t="s">
        <v>74</v>
      </c>
      <c r="AS1326" t="s">
        <v>74</v>
      </c>
      <c r="AT1326" t="s">
        <v>114</v>
      </c>
      <c r="AU1326">
        <v>2022</v>
      </c>
      <c r="AV1326">
        <v>14</v>
      </c>
      <c r="AW1326">
        <v>1</v>
      </c>
      <c r="AX1326" t="s">
        <v>74</v>
      </c>
      <c r="AY1326" t="s">
        <v>74</v>
      </c>
      <c r="AZ1326" t="s">
        <v>74</v>
      </c>
      <c r="BA1326" t="s">
        <v>74</v>
      </c>
      <c r="BB1326" t="s">
        <v>74</v>
      </c>
      <c r="BC1326" t="s">
        <v>74</v>
      </c>
      <c r="BD1326">
        <v>199</v>
      </c>
      <c r="BE1326" t="s">
        <v>6091</v>
      </c>
      <c r="BF1326" t="str">
        <f>HYPERLINK("http://dx.doi.org/10.3390/cancers14010199","http://dx.doi.org/10.3390/cancers14010199")</f>
        <v>http://dx.doi.org/10.3390/cancers14010199</v>
      </c>
      <c r="BG1326" t="s">
        <v>74</v>
      </c>
      <c r="BH1326" t="s">
        <v>74</v>
      </c>
      <c r="BI1326" t="s">
        <v>74</v>
      </c>
      <c r="BJ1326" t="s">
        <v>267</v>
      </c>
      <c r="BK1326" t="s">
        <v>117</v>
      </c>
      <c r="BL1326" t="s">
        <v>267</v>
      </c>
      <c r="BM1326" t="s">
        <v>74</v>
      </c>
      <c r="BN1326">
        <v>35008363</v>
      </c>
      <c r="BO1326" t="s">
        <v>74</v>
      </c>
      <c r="BP1326" t="s">
        <v>74</v>
      </c>
      <c r="BQ1326" t="s">
        <v>74</v>
      </c>
      <c r="BR1326" t="s">
        <v>96</v>
      </c>
      <c r="BS1326" t="s">
        <v>6092</v>
      </c>
      <c r="BT1326" t="str">
        <f>HYPERLINK("https%3A%2F%2Fwww.webofscience.com%2Fwos%2Fwoscc%2Ffull-record%2FWOS:000741165300001","View Full Record in Web of Science")</f>
        <v>View Full Record in Web of Science</v>
      </c>
    </row>
    <row r="1327" spans="1:72" x14ac:dyDescent="0.15">
      <c r="A1327" t="s">
        <v>98</v>
      </c>
      <c r="B1327" t="s">
        <v>6437</v>
      </c>
      <c r="C1327" t="s">
        <v>74</v>
      </c>
      <c r="D1327" t="s">
        <v>74</v>
      </c>
      <c r="E1327" t="s">
        <v>74</v>
      </c>
      <c r="F1327" t="s">
        <v>6438</v>
      </c>
      <c r="G1327" t="s">
        <v>74</v>
      </c>
      <c r="H1327" t="s">
        <v>74</v>
      </c>
      <c r="I1327" t="s">
        <v>6439</v>
      </c>
      <c r="J1327" t="s">
        <v>2505</v>
      </c>
      <c r="K1327" t="s">
        <v>74</v>
      </c>
      <c r="L1327" t="s">
        <v>74</v>
      </c>
      <c r="M1327" t="s">
        <v>74</v>
      </c>
      <c r="N1327" t="s">
        <v>103</v>
      </c>
      <c r="O1327" t="s">
        <v>74</v>
      </c>
      <c r="P1327" t="s">
        <v>74</v>
      </c>
      <c r="Q1327" t="s">
        <v>74</v>
      </c>
      <c r="R1327" t="s">
        <v>74</v>
      </c>
      <c r="S1327" t="s">
        <v>74</v>
      </c>
      <c r="T1327" t="s">
        <v>6440</v>
      </c>
      <c r="U1327" t="s">
        <v>6441</v>
      </c>
      <c r="V1327" t="s">
        <v>6442</v>
      </c>
      <c r="W1327" t="s">
        <v>6443</v>
      </c>
      <c r="X1327" t="s">
        <v>6444</v>
      </c>
      <c r="Y1327" t="s">
        <v>6445</v>
      </c>
      <c r="Z1327" t="s">
        <v>6446</v>
      </c>
      <c r="AA1327" t="s">
        <v>74</v>
      </c>
      <c r="AB1327" t="s">
        <v>74</v>
      </c>
      <c r="AC1327" t="s">
        <v>74</v>
      </c>
      <c r="AD1327" t="s">
        <v>74</v>
      </c>
      <c r="AE1327" t="s">
        <v>74</v>
      </c>
      <c r="AF1327" t="s">
        <v>74</v>
      </c>
      <c r="AG1327">
        <v>67</v>
      </c>
      <c r="AH1327">
        <v>7</v>
      </c>
      <c r="AI1327">
        <v>7</v>
      </c>
      <c r="AJ1327">
        <v>2</v>
      </c>
      <c r="AK1327">
        <v>6</v>
      </c>
      <c r="AL1327" t="s">
        <v>74</v>
      </c>
      <c r="AM1327" t="s">
        <v>74</v>
      </c>
      <c r="AN1327" t="s">
        <v>74</v>
      </c>
      <c r="AO1327" t="s">
        <v>2513</v>
      </c>
      <c r="AP1327" t="s">
        <v>2514</v>
      </c>
      <c r="AQ1327" t="s">
        <v>74</v>
      </c>
      <c r="AR1327" t="s">
        <v>74</v>
      </c>
      <c r="AS1327" t="s">
        <v>74</v>
      </c>
      <c r="AT1327" t="s">
        <v>967</v>
      </c>
      <c r="AU1327">
        <v>2019</v>
      </c>
      <c r="AV1327">
        <v>120</v>
      </c>
      <c r="AW1327">
        <v>12</v>
      </c>
      <c r="AX1327" t="s">
        <v>74</v>
      </c>
      <c r="AY1327" t="s">
        <v>74</v>
      </c>
      <c r="AZ1327" t="s">
        <v>74</v>
      </c>
      <c r="BA1327" t="s">
        <v>74</v>
      </c>
      <c r="BB1327">
        <v>19220</v>
      </c>
      <c r="BC1327">
        <v>19228</v>
      </c>
      <c r="BD1327" t="s">
        <v>74</v>
      </c>
      <c r="BE1327" t="s">
        <v>6447</v>
      </c>
      <c r="BF1327" t="str">
        <f>HYPERLINK("http://dx.doi.org/10.1002/jcb.29241","http://dx.doi.org/10.1002/jcb.29241")</f>
        <v>http://dx.doi.org/10.1002/jcb.29241</v>
      </c>
      <c r="BG1327" t="s">
        <v>74</v>
      </c>
      <c r="BH1327" t="s">
        <v>6448</v>
      </c>
      <c r="BI1327" t="s">
        <v>74</v>
      </c>
      <c r="BJ1327" t="s">
        <v>498</v>
      </c>
      <c r="BK1327" t="s">
        <v>117</v>
      </c>
      <c r="BL1327" t="s">
        <v>498</v>
      </c>
      <c r="BM1327" t="s">
        <v>74</v>
      </c>
      <c r="BN1327">
        <v>31452241</v>
      </c>
      <c r="BO1327" t="s">
        <v>74</v>
      </c>
      <c r="BP1327" t="s">
        <v>74</v>
      </c>
      <c r="BQ1327" t="s">
        <v>74</v>
      </c>
      <c r="BR1327" t="s">
        <v>96</v>
      </c>
      <c r="BS1327" t="s">
        <v>6449</v>
      </c>
      <c r="BT1327" t="str">
        <f>HYPERLINK("https%3A%2F%2Fwww.webofscience.com%2Fwos%2Fwoscc%2Ffull-record%2FWOS:000483567900001","View Full Record in Web of Science")</f>
        <v>View Full Record in Web of Science</v>
      </c>
    </row>
    <row r="1328" spans="1:72" x14ac:dyDescent="0.15">
      <c r="A1328" t="s">
        <v>98</v>
      </c>
      <c r="B1328" t="s">
        <v>7115</v>
      </c>
      <c r="C1328" t="s">
        <v>74</v>
      </c>
      <c r="D1328" t="s">
        <v>74</v>
      </c>
      <c r="E1328" t="s">
        <v>74</v>
      </c>
      <c r="F1328" t="s">
        <v>7116</v>
      </c>
      <c r="G1328" t="s">
        <v>74</v>
      </c>
      <c r="H1328" t="s">
        <v>74</v>
      </c>
      <c r="I1328" t="s">
        <v>7117</v>
      </c>
      <c r="J1328" t="s">
        <v>1484</v>
      </c>
      <c r="K1328" t="s">
        <v>74</v>
      </c>
      <c r="L1328" t="s">
        <v>74</v>
      </c>
      <c r="M1328" t="s">
        <v>74</v>
      </c>
      <c r="N1328" t="s">
        <v>103</v>
      </c>
      <c r="O1328" t="s">
        <v>74</v>
      </c>
      <c r="P1328" t="s">
        <v>74</v>
      </c>
      <c r="Q1328" t="s">
        <v>74</v>
      </c>
      <c r="R1328" t="s">
        <v>74</v>
      </c>
      <c r="S1328" t="s">
        <v>74</v>
      </c>
      <c r="T1328" t="s">
        <v>7118</v>
      </c>
      <c r="U1328" t="s">
        <v>7119</v>
      </c>
      <c r="V1328" t="s">
        <v>7120</v>
      </c>
      <c r="W1328" t="s">
        <v>7121</v>
      </c>
      <c r="X1328" t="s">
        <v>2854</v>
      </c>
      <c r="Y1328" t="s">
        <v>1490</v>
      </c>
      <c r="Z1328" t="s">
        <v>7122</v>
      </c>
      <c r="AA1328" t="s">
        <v>7123</v>
      </c>
      <c r="AB1328" t="s">
        <v>7124</v>
      </c>
      <c r="AC1328" t="s">
        <v>74</v>
      </c>
      <c r="AD1328" t="s">
        <v>74</v>
      </c>
      <c r="AE1328" t="s">
        <v>74</v>
      </c>
      <c r="AF1328" t="s">
        <v>74</v>
      </c>
      <c r="AG1328">
        <v>76</v>
      </c>
      <c r="AH1328">
        <v>7</v>
      </c>
      <c r="AI1328">
        <v>7</v>
      </c>
      <c r="AJ1328">
        <v>0</v>
      </c>
      <c r="AK1328">
        <v>2</v>
      </c>
      <c r="AL1328" t="s">
        <v>74</v>
      </c>
      <c r="AM1328" t="s">
        <v>74</v>
      </c>
      <c r="AN1328" t="s">
        <v>74</v>
      </c>
      <c r="AO1328" t="s">
        <v>74</v>
      </c>
      <c r="AP1328" t="s">
        <v>1494</v>
      </c>
      <c r="AQ1328" t="s">
        <v>74</v>
      </c>
      <c r="AR1328" t="s">
        <v>74</v>
      </c>
      <c r="AS1328" t="s">
        <v>74</v>
      </c>
      <c r="AT1328" t="s">
        <v>565</v>
      </c>
      <c r="AU1328">
        <v>2021</v>
      </c>
      <c r="AV1328">
        <v>9</v>
      </c>
      <c r="AW1328">
        <v>3</v>
      </c>
      <c r="AX1328" t="s">
        <v>74</v>
      </c>
      <c r="AY1328" t="s">
        <v>74</v>
      </c>
      <c r="AZ1328" t="s">
        <v>74</v>
      </c>
      <c r="BA1328" t="s">
        <v>74</v>
      </c>
      <c r="BB1328" t="s">
        <v>74</v>
      </c>
      <c r="BC1328" t="s">
        <v>74</v>
      </c>
      <c r="BD1328">
        <v>240</v>
      </c>
      <c r="BE1328" t="s">
        <v>7125</v>
      </c>
      <c r="BF1328" t="str">
        <f>HYPERLINK("http://dx.doi.org/10.3390/vaccines9030240","http://dx.doi.org/10.3390/vaccines9030240")</f>
        <v>http://dx.doi.org/10.3390/vaccines9030240</v>
      </c>
      <c r="BG1328" t="s">
        <v>74</v>
      </c>
      <c r="BH1328" t="s">
        <v>74</v>
      </c>
      <c r="BI1328" t="s">
        <v>74</v>
      </c>
      <c r="BJ1328" t="s">
        <v>1496</v>
      </c>
      <c r="BK1328" t="s">
        <v>117</v>
      </c>
      <c r="BL1328" t="s">
        <v>1497</v>
      </c>
      <c r="BM1328" t="s">
        <v>74</v>
      </c>
      <c r="BN1328">
        <v>33801926</v>
      </c>
      <c r="BO1328" t="s">
        <v>74</v>
      </c>
      <c r="BP1328" t="s">
        <v>74</v>
      </c>
      <c r="BQ1328" t="s">
        <v>74</v>
      </c>
      <c r="BR1328" t="s">
        <v>96</v>
      </c>
      <c r="BS1328" t="s">
        <v>7126</v>
      </c>
      <c r="BT1328" t="str">
        <f>HYPERLINK("https%3A%2F%2Fwww.webofscience.com%2Fwos%2Fwoscc%2Ffull-record%2FWOS:000634219000001","View Full Record in Web of Science")</f>
        <v>View Full Record in Web of Science</v>
      </c>
    </row>
    <row r="1329" spans="1:72" x14ac:dyDescent="0.15">
      <c r="A1329" t="s">
        <v>98</v>
      </c>
      <c r="B1329" t="s">
        <v>7635</v>
      </c>
      <c r="C1329" t="s">
        <v>74</v>
      </c>
      <c r="D1329" t="s">
        <v>74</v>
      </c>
      <c r="E1329" t="s">
        <v>74</v>
      </c>
      <c r="F1329" t="s">
        <v>7636</v>
      </c>
      <c r="G1329" t="s">
        <v>74</v>
      </c>
      <c r="H1329" t="s">
        <v>74</v>
      </c>
      <c r="I1329" t="s">
        <v>7637</v>
      </c>
      <c r="J1329" t="s">
        <v>140</v>
      </c>
      <c r="K1329" t="s">
        <v>74</v>
      </c>
      <c r="L1329" t="s">
        <v>74</v>
      </c>
      <c r="M1329" t="s">
        <v>74</v>
      </c>
      <c r="N1329" t="s">
        <v>103</v>
      </c>
      <c r="O1329" t="s">
        <v>74</v>
      </c>
      <c r="P1329" t="s">
        <v>74</v>
      </c>
      <c r="Q1329" t="s">
        <v>74</v>
      </c>
      <c r="R1329" t="s">
        <v>74</v>
      </c>
      <c r="S1329" t="s">
        <v>74</v>
      </c>
      <c r="T1329" t="s">
        <v>74</v>
      </c>
      <c r="U1329" t="s">
        <v>74</v>
      </c>
      <c r="V1329" t="s">
        <v>7638</v>
      </c>
      <c r="W1329" t="s">
        <v>7639</v>
      </c>
      <c r="X1329" t="s">
        <v>7640</v>
      </c>
      <c r="Y1329" t="s">
        <v>7641</v>
      </c>
      <c r="Z1329" t="s">
        <v>7642</v>
      </c>
      <c r="AA1329" t="s">
        <v>7643</v>
      </c>
      <c r="AB1329" t="s">
        <v>7644</v>
      </c>
      <c r="AC1329" t="s">
        <v>74</v>
      </c>
      <c r="AD1329" t="s">
        <v>74</v>
      </c>
      <c r="AE1329" t="s">
        <v>74</v>
      </c>
      <c r="AF1329" t="s">
        <v>74</v>
      </c>
      <c r="AG1329">
        <v>62</v>
      </c>
      <c r="AH1329">
        <v>7</v>
      </c>
      <c r="AI1329">
        <v>7</v>
      </c>
      <c r="AJ1329">
        <v>1</v>
      </c>
      <c r="AK1329">
        <v>5</v>
      </c>
      <c r="AL1329" t="s">
        <v>74</v>
      </c>
      <c r="AM1329" t="s">
        <v>74</v>
      </c>
      <c r="AN1329" t="s">
        <v>74</v>
      </c>
      <c r="AO1329" t="s">
        <v>149</v>
      </c>
      <c r="AP1329" t="s">
        <v>74</v>
      </c>
      <c r="AQ1329" t="s">
        <v>74</v>
      </c>
      <c r="AR1329" t="s">
        <v>74</v>
      </c>
      <c r="AS1329" t="s">
        <v>74</v>
      </c>
      <c r="AT1329" t="s">
        <v>5788</v>
      </c>
      <c r="AU1329">
        <v>2021</v>
      </c>
      <c r="AV1329">
        <v>11</v>
      </c>
      <c r="AW1329">
        <v>1</v>
      </c>
      <c r="AX1329" t="s">
        <v>74</v>
      </c>
      <c r="AY1329" t="s">
        <v>74</v>
      </c>
      <c r="AZ1329" t="s">
        <v>74</v>
      </c>
      <c r="BA1329" t="s">
        <v>74</v>
      </c>
      <c r="BB1329" t="s">
        <v>74</v>
      </c>
      <c r="BC1329" t="s">
        <v>74</v>
      </c>
      <c r="BD1329">
        <v>94</v>
      </c>
      <c r="BE1329" t="s">
        <v>7645</v>
      </c>
      <c r="BF1329" t="str">
        <f>HYPERLINK("http://dx.doi.org/10.1038/s41598-020-77398-z","http://dx.doi.org/10.1038/s41598-020-77398-z")</f>
        <v>http://dx.doi.org/10.1038/s41598-020-77398-z</v>
      </c>
      <c r="BG1329" t="s">
        <v>74</v>
      </c>
      <c r="BH1329" t="s">
        <v>74</v>
      </c>
      <c r="BI1329" t="s">
        <v>74</v>
      </c>
      <c r="BJ1329" t="s">
        <v>152</v>
      </c>
      <c r="BK1329" t="s">
        <v>117</v>
      </c>
      <c r="BL1329" t="s">
        <v>153</v>
      </c>
      <c r="BM1329" t="s">
        <v>74</v>
      </c>
      <c r="BN1329">
        <v>33420117</v>
      </c>
      <c r="BO1329" t="s">
        <v>74</v>
      </c>
      <c r="BP1329" t="s">
        <v>74</v>
      </c>
      <c r="BQ1329" t="s">
        <v>74</v>
      </c>
      <c r="BR1329" t="s">
        <v>96</v>
      </c>
      <c r="BS1329" t="s">
        <v>7646</v>
      </c>
      <c r="BT1329" t="str">
        <f>HYPERLINK("https%3A%2F%2Fwww.webofscience.com%2Fwos%2Fwoscc%2Ffull-record%2FWOS:000634375500024","View Full Record in Web of Science")</f>
        <v>View Full Record in Web of Science</v>
      </c>
    </row>
    <row r="1330" spans="1:72" x14ac:dyDescent="0.15">
      <c r="A1330" t="s">
        <v>98</v>
      </c>
      <c r="B1330" t="s">
        <v>7766</v>
      </c>
      <c r="C1330" t="s">
        <v>74</v>
      </c>
      <c r="D1330" t="s">
        <v>74</v>
      </c>
      <c r="E1330" t="s">
        <v>74</v>
      </c>
      <c r="F1330" t="s">
        <v>7767</v>
      </c>
      <c r="G1330" t="s">
        <v>74</v>
      </c>
      <c r="H1330" t="s">
        <v>74</v>
      </c>
      <c r="I1330" t="s">
        <v>7768</v>
      </c>
      <c r="J1330" t="s">
        <v>7769</v>
      </c>
      <c r="K1330" t="s">
        <v>74</v>
      </c>
      <c r="L1330" t="s">
        <v>74</v>
      </c>
      <c r="M1330" t="s">
        <v>74</v>
      </c>
      <c r="N1330" t="s">
        <v>103</v>
      </c>
      <c r="O1330" t="s">
        <v>74</v>
      </c>
      <c r="P1330" t="s">
        <v>74</v>
      </c>
      <c r="Q1330" t="s">
        <v>74</v>
      </c>
      <c r="R1330" t="s">
        <v>74</v>
      </c>
      <c r="S1330" t="s">
        <v>74</v>
      </c>
      <c r="T1330" t="s">
        <v>7770</v>
      </c>
      <c r="U1330" t="s">
        <v>7771</v>
      </c>
      <c r="V1330" t="s">
        <v>7772</v>
      </c>
      <c r="W1330" t="s">
        <v>7773</v>
      </c>
      <c r="X1330" t="s">
        <v>7774</v>
      </c>
      <c r="Y1330" t="s">
        <v>7775</v>
      </c>
      <c r="Z1330" t="s">
        <v>7776</v>
      </c>
      <c r="AA1330" t="s">
        <v>7777</v>
      </c>
      <c r="AB1330" t="s">
        <v>7778</v>
      </c>
      <c r="AC1330" t="s">
        <v>74</v>
      </c>
      <c r="AD1330" t="s">
        <v>74</v>
      </c>
      <c r="AE1330" t="s">
        <v>74</v>
      </c>
      <c r="AF1330" t="s">
        <v>74</v>
      </c>
      <c r="AG1330">
        <v>58</v>
      </c>
      <c r="AH1330">
        <v>7</v>
      </c>
      <c r="AI1330">
        <v>7</v>
      </c>
      <c r="AJ1330">
        <v>2</v>
      </c>
      <c r="AK1330">
        <v>3</v>
      </c>
      <c r="AL1330" t="s">
        <v>74</v>
      </c>
      <c r="AM1330" t="s">
        <v>74</v>
      </c>
      <c r="AN1330" t="s">
        <v>74</v>
      </c>
      <c r="AO1330" t="s">
        <v>7779</v>
      </c>
      <c r="AP1330" t="s">
        <v>7780</v>
      </c>
      <c r="AQ1330" t="s">
        <v>74</v>
      </c>
      <c r="AR1330" t="s">
        <v>74</v>
      </c>
      <c r="AS1330" t="s">
        <v>74</v>
      </c>
      <c r="AT1330" t="s">
        <v>114</v>
      </c>
      <c r="AU1330">
        <v>2020</v>
      </c>
      <c r="AV1330">
        <v>61</v>
      </c>
      <c r="AW1330">
        <v>1</v>
      </c>
      <c r="AX1330" t="s">
        <v>74</v>
      </c>
      <c r="AY1330" t="s">
        <v>74</v>
      </c>
      <c r="AZ1330" t="s">
        <v>74</v>
      </c>
      <c r="BA1330" t="s">
        <v>74</v>
      </c>
      <c r="BB1330">
        <v>1</v>
      </c>
      <c r="BC1330">
        <v>9</v>
      </c>
      <c r="BD1330" t="s">
        <v>74</v>
      </c>
      <c r="BE1330" t="s">
        <v>7781</v>
      </c>
      <c r="BF1330" t="str">
        <f>HYPERLINK("http://dx.doi.org/10.1194/jlr.M092072","http://dx.doi.org/10.1194/jlr.M092072")</f>
        <v>http://dx.doi.org/10.1194/jlr.M092072</v>
      </c>
      <c r="BG1330" t="s">
        <v>74</v>
      </c>
      <c r="BH1330" t="s">
        <v>74</v>
      </c>
      <c r="BI1330" t="s">
        <v>74</v>
      </c>
      <c r="BJ1330" t="s">
        <v>95</v>
      </c>
      <c r="BK1330" t="s">
        <v>117</v>
      </c>
      <c r="BL1330" t="s">
        <v>95</v>
      </c>
      <c r="BM1330" t="s">
        <v>74</v>
      </c>
      <c r="BN1330" t="s">
        <v>74</v>
      </c>
      <c r="BO1330" t="s">
        <v>74</v>
      </c>
      <c r="BP1330" t="s">
        <v>74</v>
      </c>
      <c r="BQ1330" t="s">
        <v>74</v>
      </c>
      <c r="BR1330" t="s">
        <v>96</v>
      </c>
      <c r="BS1330" t="s">
        <v>7782</v>
      </c>
      <c r="BT1330" t="str">
        <f>HYPERLINK("https%3A%2F%2Fwww.webofscience.com%2Fwos%2Fwoscc%2Ffull-record%2FWOS:000504723200001","View Full Record in Web of Science")</f>
        <v>View Full Record in Web of Science</v>
      </c>
    </row>
    <row r="1331" spans="1:72" x14ac:dyDescent="0.15">
      <c r="A1331" t="s">
        <v>98</v>
      </c>
      <c r="B1331" t="s">
        <v>8221</v>
      </c>
      <c r="C1331" t="s">
        <v>74</v>
      </c>
      <c r="D1331" t="s">
        <v>74</v>
      </c>
      <c r="E1331" t="s">
        <v>74</v>
      </c>
      <c r="F1331" t="s">
        <v>8222</v>
      </c>
      <c r="G1331" t="s">
        <v>74</v>
      </c>
      <c r="H1331" t="s">
        <v>74</v>
      </c>
      <c r="I1331" t="s">
        <v>8223</v>
      </c>
      <c r="J1331" t="s">
        <v>8224</v>
      </c>
      <c r="K1331" t="s">
        <v>74</v>
      </c>
      <c r="L1331" t="s">
        <v>74</v>
      </c>
      <c r="M1331" t="s">
        <v>74</v>
      </c>
      <c r="N1331" t="s">
        <v>103</v>
      </c>
      <c r="O1331" t="s">
        <v>74</v>
      </c>
      <c r="P1331" t="s">
        <v>74</v>
      </c>
      <c r="Q1331" t="s">
        <v>74</v>
      </c>
      <c r="R1331" t="s">
        <v>74</v>
      </c>
      <c r="S1331" t="s">
        <v>74</v>
      </c>
      <c r="T1331" t="s">
        <v>8225</v>
      </c>
      <c r="U1331" t="s">
        <v>74</v>
      </c>
      <c r="V1331" t="s">
        <v>8226</v>
      </c>
      <c r="W1331" t="s">
        <v>8227</v>
      </c>
      <c r="X1331" t="s">
        <v>8228</v>
      </c>
      <c r="Y1331" t="s">
        <v>8229</v>
      </c>
      <c r="Z1331" t="s">
        <v>8230</v>
      </c>
      <c r="AA1331" t="s">
        <v>74</v>
      </c>
      <c r="AB1331" t="s">
        <v>8231</v>
      </c>
      <c r="AC1331" t="s">
        <v>74</v>
      </c>
      <c r="AD1331" t="s">
        <v>74</v>
      </c>
      <c r="AE1331" t="s">
        <v>74</v>
      </c>
      <c r="AF1331" t="s">
        <v>74</v>
      </c>
      <c r="AG1331">
        <v>57</v>
      </c>
      <c r="AH1331">
        <v>7</v>
      </c>
      <c r="AI1331">
        <v>7</v>
      </c>
      <c r="AJ1331">
        <v>1</v>
      </c>
      <c r="AK1331">
        <v>9</v>
      </c>
      <c r="AL1331" t="s">
        <v>74</v>
      </c>
      <c r="AM1331" t="s">
        <v>74</v>
      </c>
      <c r="AN1331" t="s">
        <v>74</v>
      </c>
      <c r="AO1331" t="s">
        <v>74</v>
      </c>
      <c r="AP1331" t="s">
        <v>8232</v>
      </c>
      <c r="AQ1331" t="s">
        <v>74</v>
      </c>
      <c r="AR1331" t="s">
        <v>74</v>
      </c>
      <c r="AS1331" t="s">
        <v>74</v>
      </c>
      <c r="AT1331" t="s">
        <v>132</v>
      </c>
      <c r="AU1331">
        <v>2021</v>
      </c>
      <c r="AV1331">
        <v>11</v>
      </c>
      <c r="AW1331">
        <v>4</v>
      </c>
      <c r="AX1331" t="s">
        <v>74</v>
      </c>
      <c r="AY1331" t="s">
        <v>74</v>
      </c>
      <c r="AZ1331" t="s">
        <v>74</v>
      </c>
      <c r="BA1331" t="s">
        <v>74</v>
      </c>
      <c r="BB1331" t="s">
        <v>74</v>
      </c>
      <c r="BC1331" t="s">
        <v>74</v>
      </c>
      <c r="BD1331">
        <v>215</v>
      </c>
      <c r="BE1331" t="s">
        <v>8233</v>
      </c>
      <c r="BF1331" t="str">
        <f>HYPERLINK("http://dx.doi.org/10.3390/metabo11040215","http://dx.doi.org/10.3390/metabo11040215")</f>
        <v>http://dx.doi.org/10.3390/metabo11040215</v>
      </c>
      <c r="BG1331" t="s">
        <v>74</v>
      </c>
      <c r="BH1331" t="s">
        <v>74</v>
      </c>
      <c r="BI1331" t="s">
        <v>74</v>
      </c>
      <c r="BJ1331" t="s">
        <v>95</v>
      </c>
      <c r="BK1331" t="s">
        <v>117</v>
      </c>
      <c r="BL1331" t="s">
        <v>95</v>
      </c>
      <c r="BM1331" t="s">
        <v>74</v>
      </c>
      <c r="BN1331">
        <v>33915936</v>
      </c>
      <c r="BO1331" t="s">
        <v>74</v>
      </c>
      <c r="BP1331" t="s">
        <v>74</v>
      </c>
      <c r="BQ1331" t="s">
        <v>74</v>
      </c>
      <c r="BR1331" t="s">
        <v>96</v>
      </c>
      <c r="BS1331" t="s">
        <v>8234</v>
      </c>
      <c r="BT1331" t="str">
        <f>HYPERLINK("https%3A%2F%2Fwww.webofscience.com%2Fwos%2Fwoscc%2Ffull-record%2FWOS:000643263600001","View Full Record in Web of Science")</f>
        <v>View Full Record in Web of Science</v>
      </c>
    </row>
    <row r="1332" spans="1:72" x14ac:dyDescent="0.15">
      <c r="A1332" t="s">
        <v>98</v>
      </c>
      <c r="B1332" t="s">
        <v>9743</v>
      </c>
      <c r="C1332" t="s">
        <v>74</v>
      </c>
      <c r="D1332" t="s">
        <v>74</v>
      </c>
      <c r="E1332" t="s">
        <v>74</v>
      </c>
      <c r="F1332" t="s">
        <v>9744</v>
      </c>
      <c r="G1332" t="s">
        <v>74</v>
      </c>
      <c r="H1332" t="s">
        <v>74</v>
      </c>
      <c r="I1332" t="s">
        <v>9745</v>
      </c>
      <c r="J1332" t="s">
        <v>3700</v>
      </c>
      <c r="K1332" t="s">
        <v>74</v>
      </c>
      <c r="L1332" t="s">
        <v>74</v>
      </c>
      <c r="M1332" t="s">
        <v>74</v>
      </c>
      <c r="N1332" t="s">
        <v>103</v>
      </c>
      <c r="O1332" t="s">
        <v>74</v>
      </c>
      <c r="P1332" t="s">
        <v>74</v>
      </c>
      <c r="Q1332" t="s">
        <v>74</v>
      </c>
      <c r="R1332" t="s">
        <v>74</v>
      </c>
      <c r="S1332" t="s">
        <v>74</v>
      </c>
      <c r="T1332" t="s">
        <v>74</v>
      </c>
      <c r="U1332" t="s">
        <v>9746</v>
      </c>
      <c r="V1332" t="s">
        <v>9747</v>
      </c>
      <c r="W1332" t="s">
        <v>9748</v>
      </c>
      <c r="X1332" t="s">
        <v>9749</v>
      </c>
      <c r="Y1332" t="s">
        <v>9750</v>
      </c>
      <c r="Z1332" t="s">
        <v>9751</v>
      </c>
      <c r="AA1332" t="s">
        <v>9752</v>
      </c>
      <c r="AB1332" t="s">
        <v>9753</v>
      </c>
      <c r="AC1332" t="s">
        <v>74</v>
      </c>
      <c r="AD1332" t="s">
        <v>74</v>
      </c>
      <c r="AE1332" t="s">
        <v>74</v>
      </c>
      <c r="AF1332" t="s">
        <v>74</v>
      </c>
      <c r="AG1332">
        <v>75</v>
      </c>
      <c r="AH1332">
        <v>7</v>
      </c>
      <c r="AI1332">
        <v>7</v>
      </c>
      <c r="AJ1332">
        <v>0</v>
      </c>
      <c r="AK1332">
        <v>3</v>
      </c>
      <c r="AL1332" t="s">
        <v>74</v>
      </c>
      <c r="AM1332" t="s">
        <v>74</v>
      </c>
      <c r="AN1332" t="s">
        <v>74</v>
      </c>
      <c r="AO1332" t="s">
        <v>74</v>
      </c>
      <c r="AP1332" t="s">
        <v>3711</v>
      </c>
      <c r="AQ1332" t="s">
        <v>74</v>
      </c>
      <c r="AR1332" t="s">
        <v>74</v>
      </c>
      <c r="AS1332" t="s">
        <v>74</v>
      </c>
      <c r="AT1332" t="s">
        <v>9754</v>
      </c>
      <c r="AU1332">
        <v>2021</v>
      </c>
      <c r="AV1332">
        <v>296</v>
      </c>
      <c r="AW1332" t="s">
        <v>74</v>
      </c>
      <c r="AX1332" t="s">
        <v>74</v>
      </c>
      <c r="AY1332" t="s">
        <v>74</v>
      </c>
      <c r="AZ1332" t="s">
        <v>74</v>
      </c>
      <c r="BA1332" t="s">
        <v>74</v>
      </c>
      <c r="BB1332" t="s">
        <v>74</v>
      </c>
      <c r="BC1332" t="s">
        <v>74</v>
      </c>
      <c r="BD1332">
        <v>100569</v>
      </c>
      <c r="BE1332" t="s">
        <v>9755</v>
      </c>
      <c r="BF1332" t="str">
        <f>HYPERLINK("http://dx.doi.org/10.1016/j.jbc.2021.100569","http://dx.doi.org/10.1016/j.jbc.2021.100569")</f>
        <v>http://dx.doi.org/10.1016/j.jbc.2021.100569</v>
      </c>
      <c r="BG1332" t="s">
        <v>74</v>
      </c>
      <c r="BH1332" t="s">
        <v>74</v>
      </c>
      <c r="BI1332" t="s">
        <v>74</v>
      </c>
      <c r="BJ1332" t="s">
        <v>95</v>
      </c>
      <c r="BK1332" t="s">
        <v>117</v>
      </c>
      <c r="BL1332" t="s">
        <v>95</v>
      </c>
      <c r="BM1332" t="s">
        <v>74</v>
      </c>
      <c r="BN1332">
        <v>33753167</v>
      </c>
      <c r="BO1332" t="s">
        <v>74</v>
      </c>
      <c r="BP1332" t="s">
        <v>74</v>
      </c>
      <c r="BQ1332" t="s">
        <v>74</v>
      </c>
      <c r="BR1332" t="s">
        <v>96</v>
      </c>
      <c r="BS1332" t="s">
        <v>9756</v>
      </c>
      <c r="BT1332" t="str">
        <f>HYPERLINK("https%3A%2F%2Fwww.webofscience.com%2Fwos%2Fwoscc%2Ffull-record%2FWOS:000672866400542","View Full Record in Web of Science")</f>
        <v>View Full Record in Web of Science</v>
      </c>
    </row>
    <row r="1333" spans="1:72" x14ac:dyDescent="0.15">
      <c r="A1333" t="s">
        <v>98</v>
      </c>
      <c r="B1333" t="s">
        <v>10489</v>
      </c>
      <c r="C1333" t="s">
        <v>74</v>
      </c>
      <c r="D1333" t="s">
        <v>74</v>
      </c>
      <c r="E1333" t="s">
        <v>74</v>
      </c>
      <c r="F1333" t="s">
        <v>10490</v>
      </c>
      <c r="G1333" t="s">
        <v>74</v>
      </c>
      <c r="H1333" t="s">
        <v>74</v>
      </c>
      <c r="I1333" t="s">
        <v>10491</v>
      </c>
      <c r="J1333" t="s">
        <v>4332</v>
      </c>
      <c r="K1333" t="s">
        <v>74</v>
      </c>
      <c r="L1333" t="s">
        <v>74</v>
      </c>
      <c r="M1333" t="s">
        <v>74</v>
      </c>
      <c r="N1333" t="s">
        <v>103</v>
      </c>
      <c r="O1333" t="s">
        <v>74</v>
      </c>
      <c r="P1333" t="s">
        <v>74</v>
      </c>
      <c r="Q1333" t="s">
        <v>74</v>
      </c>
      <c r="R1333" t="s">
        <v>74</v>
      </c>
      <c r="S1333" t="s">
        <v>74</v>
      </c>
      <c r="T1333" t="s">
        <v>10492</v>
      </c>
      <c r="U1333" t="s">
        <v>74</v>
      </c>
      <c r="V1333" t="s">
        <v>10493</v>
      </c>
      <c r="W1333" t="s">
        <v>10494</v>
      </c>
      <c r="X1333" t="s">
        <v>10495</v>
      </c>
      <c r="Y1333" t="s">
        <v>10496</v>
      </c>
      <c r="Z1333" t="s">
        <v>10497</v>
      </c>
      <c r="AA1333" t="s">
        <v>74</v>
      </c>
      <c r="AB1333" t="s">
        <v>74</v>
      </c>
      <c r="AC1333" t="s">
        <v>74</v>
      </c>
      <c r="AD1333" t="s">
        <v>74</v>
      </c>
      <c r="AE1333" t="s">
        <v>74</v>
      </c>
      <c r="AF1333" t="s">
        <v>74</v>
      </c>
      <c r="AG1333">
        <v>50</v>
      </c>
      <c r="AH1333">
        <v>7</v>
      </c>
      <c r="AI1333">
        <v>7</v>
      </c>
      <c r="AJ1333">
        <v>0</v>
      </c>
      <c r="AK1333">
        <v>5</v>
      </c>
      <c r="AL1333" t="s">
        <v>74</v>
      </c>
      <c r="AM1333" t="s">
        <v>74</v>
      </c>
      <c r="AN1333" t="s">
        <v>74</v>
      </c>
      <c r="AO1333" t="s">
        <v>74</v>
      </c>
      <c r="AP1333" t="s">
        <v>4342</v>
      </c>
      <c r="AQ1333" t="s">
        <v>74</v>
      </c>
      <c r="AR1333" t="s">
        <v>74</v>
      </c>
      <c r="AS1333" t="s">
        <v>74</v>
      </c>
      <c r="AT1333" t="s">
        <v>10498</v>
      </c>
      <c r="AU1333">
        <v>2021</v>
      </c>
      <c r="AV1333">
        <v>40</v>
      </c>
      <c r="AW1333">
        <v>1</v>
      </c>
      <c r="AX1333" t="s">
        <v>74</v>
      </c>
      <c r="AY1333" t="s">
        <v>74</v>
      </c>
      <c r="AZ1333" t="s">
        <v>74</v>
      </c>
      <c r="BA1333" t="s">
        <v>74</v>
      </c>
      <c r="BB1333" t="s">
        <v>74</v>
      </c>
      <c r="BC1333" t="s">
        <v>74</v>
      </c>
      <c r="BD1333">
        <v>98</v>
      </c>
      <c r="BE1333" t="s">
        <v>10499</v>
      </c>
      <c r="BF1333" t="str">
        <f>HYPERLINK("http://dx.doi.org/10.1186/s13046-021-01891-0","http://dx.doi.org/10.1186/s13046-021-01891-0")</f>
        <v>http://dx.doi.org/10.1186/s13046-021-01891-0</v>
      </c>
      <c r="BG1333" t="s">
        <v>74</v>
      </c>
      <c r="BH1333" t="s">
        <v>74</v>
      </c>
      <c r="BI1333" t="s">
        <v>74</v>
      </c>
      <c r="BJ1333" t="s">
        <v>267</v>
      </c>
      <c r="BK1333" t="s">
        <v>117</v>
      </c>
      <c r="BL1333" t="s">
        <v>267</v>
      </c>
      <c r="BM1333" t="s">
        <v>74</v>
      </c>
      <c r="BN1333">
        <v>33722248</v>
      </c>
      <c r="BO1333" t="s">
        <v>74</v>
      </c>
      <c r="BP1333" t="s">
        <v>74</v>
      </c>
      <c r="BQ1333" t="s">
        <v>74</v>
      </c>
      <c r="BR1333" t="s">
        <v>96</v>
      </c>
      <c r="BS1333" t="s">
        <v>10500</v>
      </c>
      <c r="BT1333" t="str">
        <f>HYPERLINK("https%3A%2F%2Fwww.webofscience.com%2Fwos%2Fwoscc%2Ffull-record%2FWOS:000629181100001","View Full Record in Web of Science")</f>
        <v>View Full Record in Web of Science</v>
      </c>
    </row>
    <row r="1334" spans="1:72" x14ac:dyDescent="0.15">
      <c r="A1334" t="s">
        <v>98</v>
      </c>
      <c r="B1334" t="s">
        <v>10542</v>
      </c>
      <c r="C1334" t="s">
        <v>74</v>
      </c>
      <c r="D1334" t="s">
        <v>74</v>
      </c>
      <c r="E1334" t="s">
        <v>74</v>
      </c>
      <c r="F1334" t="s">
        <v>10543</v>
      </c>
      <c r="G1334" t="s">
        <v>74</v>
      </c>
      <c r="H1334" t="s">
        <v>74</v>
      </c>
      <c r="I1334" t="s">
        <v>10544</v>
      </c>
      <c r="J1334" t="s">
        <v>10545</v>
      </c>
      <c r="K1334" t="s">
        <v>74</v>
      </c>
      <c r="L1334" t="s">
        <v>74</v>
      </c>
      <c r="M1334" t="s">
        <v>74</v>
      </c>
      <c r="N1334" t="s">
        <v>103</v>
      </c>
      <c r="O1334" t="s">
        <v>74</v>
      </c>
      <c r="P1334" t="s">
        <v>74</v>
      </c>
      <c r="Q1334" t="s">
        <v>74</v>
      </c>
      <c r="R1334" t="s">
        <v>74</v>
      </c>
      <c r="S1334" t="s">
        <v>74</v>
      </c>
      <c r="T1334" t="s">
        <v>10546</v>
      </c>
      <c r="U1334" t="s">
        <v>10547</v>
      </c>
      <c r="V1334" t="s">
        <v>10548</v>
      </c>
      <c r="W1334" t="s">
        <v>10549</v>
      </c>
      <c r="X1334" t="s">
        <v>10550</v>
      </c>
      <c r="Y1334" t="s">
        <v>10551</v>
      </c>
      <c r="Z1334" t="s">
        <v>10552</v>
      </c>
      <c r="AA1334" t="s">
        <v>10553</v>
      </c>
      <c r="AB1334" t="s">
        <v>10554</v>
      </c>
      <c r="AC1334" t="s">
        <v>74</v>
      </c>
      <c r="AD1334" t="s">
        <v>74</v>
      </c>
      <c r="AE1334" t="s">
        <v>74</v>
      </c>
      <c r="AF1334" t="s">
        <v>74</v>
      </c>
      <c r="AG1334">
        <v>36</v>
      </c>
      <c r="AH1334">
        <v>7</v>
      </c>
      <c r="AI1334">
        <v>7</v>
      </c>
      <c r="AJ1334">
        <v>2</v>
      </c>
      <c r="AK1334">
        <v>3</v>
      </c>
      <c r="AL1334" t="s">
        <v>74</v>
      </c>
      <c r="AM1334" t="s">
        <v>74</v>
      </c>
      <c r="AN1334" t="s">
        <v>74</v>
      </c>
      <c r="AO1334" t="s">
        <v>10555</v>
      </c>
      <c r="AP1334" t="s">
        <v>10556</v>
      </c>
      <c r="AQ1334" t="s">
        <v>74</v>
      </c>
      <c r="AR1334" t="s">
        <v>74</v>
      </c>
      <c r="AS1334" t="s">
        <v>74</v>
      </c>
      <c r="AT1334" t="s">
        <v>319</v>
      </c>
      <c r="AU1334">
        <v>2018</v>
      </c>
      <c r="AV1334">
        <v>34</v>
      </c>
      <c r="AW1334">
        <v>12</v>
      </c>
      <c r="AX1334" t="s">
        <v>74</v>
      </c>
      <c r="AY1334" t="s">
        <v>74</v>
      </c>
      <c r="AZ1334" t="s">
        <v>74</v>
      </c>
      <c r="BA1334" t="s">
        <v>74</v>
      </c>
      <c r="BB1334">
        <v>1075</v>
      </c>
      <c r="BC1334">
        <v>1082</v>
      </c>
      <c r="BD1334" t="s">
        <v>74</v>
      </c>
      <c r="BE1334" t="s">
        <v>10557</v>
      </c>
      <c r="BF1334" t="str">
        <f>HYPERLINK("http://dx.doi.org/10.1089/aid.2018.0115","http://dx.doi.org/10.1089/aid.2018.0115")</f>
        <v>http://dx.doi.org/10.1089/aid.2018.0115</v>
      </c>
      <c r="BG1334" t="s">
        <v>74</v>
      </c>
      <c r="BH1334" t="s">
        <v>10558</v>
      </c>
      <c r="BI1334" t="s">
        <v>74</v>
      </c>
      <c r="BJ1334" t="s">
        <v>10559</v>
      </c>
      <c r="BK1334" t="s">
        <v>117</v>
      </c>
      <c r="BL1334" t="s">
        <v>10559</v>
      </c>
      <c r="BM1334" t="s">
        <v>74</v>
      </c>
      <c r="BN1334">
        <v>30229663</v>
      </c>
      <c r="BO1334" t="s">
        <v>74</v>
      </c>
      <c r="BP1334" t="s">
        <v>74</v>
      </c>
      <c r="BQ1334" t="s">
        <v>74</v>
      </c>
      <c r="BR1334" t="s">
        <v>96</v>
      </c>
      <c r="BS1334" t="s">
        <v>10560</v>
      </c>
      <c r="BT1334" t="str">
        <f>HYPERLINK("https%3A%2F%2Fwww.webofscience.com%2Fwos%2Fwoscc%2Ffull-record%2FWOS:000448919000001","View Full Record in Web of Science")</f>
        <v>View Full Record in Web of Science</v>
      </c>
    </row>
    <row r="1335" spans="1:72" x14ac:dyDescent="0.15">
      <c r="A1335" t="s">
        <v>98</v>
      </c>
      <c r="B1335" t="s">
        <v>10561</v>
      </c>
      <c r="C1335" t="s">
        <v>74</v>
      </c>
      <c r="D1335" t="s">
        <v>74</v>
      </c>
      <c r="E1335" t="s">
        <v>74</v>
      </c>
      <c r="F1335" t="s">
        <v>10562</v>
      </c>
      <c r="G1335" t="s">
        <v>74</v>
      </c>
      <c r="H1335" t="s">
        <v>74</v>
      </c>
      <c r="I1335" t="s">
        <v>10563</v>
      </c>
      <c r="J1335" t="s">
        <v>256</v>
      </c>
      <c r="K1335" t="s">
        <v>74</v>
      </c>
      <c r="L1335" t="s">
        <v>74</v>
      </c>
      <c r="M1335" t="s">
        <v>74</v>
      </c>
      <c r="N1335" t="s">
        <v>103</v>
      </c>
      <c r="O1335" t="s">
        <v>74</v>
      </c>
      <c r="P1335" t="s">
        <v>74</v>
      </c>
      <c r="Q1335" t="s">
        <v>74</v>
      </c>
      <c r="R1335" t="s">
        <v>74</v>
      </c>
      <c r="S1335" t="s">
        <v>74</v>
      </c>
      <c r="T1335" t="s">
        <v>10564</v>
      </c>
      <c r="U1335" t="s">
        <v>10565</v>
      </c>
      <c r="V1335" t="s">
        <v>10566</v>
      </c>
      <c r="W1335" t="s">
        <v>10567</v>
      </c>
      <c r="X1335" t="s">
        <v>10568</v>
      </c>
      <c r="Y1335" t="s">
        <v>10569</v>
      </c>
      <c r="Z1335" t="s">
        <v>10570</v>
      </c>
      <c r="AA1335" t="s">
        <v>10571</v>
      </c>
      <c r="AB1335" t="s">
        <v>10572</v>
      </c>
      <c r="AC1335" t="s">
        <v>74</v>
      </c>
      <c r="AD1335" t="s">
        <v>74</v>
      </c>
      <c r="AE1335" t="s">
        <v>74</v>
      </c>
      <c r="AF1335" t="s">
        <v>74</v>
      </c>
      <c r="AG1335">
        <v>62</v>
      </c>
      <c r="AH1335">
        <v>7</v>
      </c>
      <c r="AI1335">
        <v>7</v>
      </c>
      <c r="AJ1335">
        <v>1</v>
      </c>
      <c r="AK1335">
        <v>5</v>
      </c>
      <c r="AL1335" t="s">
        <v>74</v>
      </c>
      <c r="AM1335" t="s">
        <v>74</v>
      </c>
      <c r="AN1335" t="s">
        <v>74</v>
      </c>
      <c r="AO1335" t="s">
        <v>74</v>
      </c>
      <c r="AP1335" t="s">
        <v>264</v>
      </c>
      <c r="AQ1335" t="s">
        <v>74</v>
      </c>
      <c r="AR1335" t="s">
        <v>74</v>
      </c>
      <c r="AS1335" t="s">
        <v>74</v>
      </c>
      <c r="AT1335" t="s">
        <v>669</v>
      </c>
      <c r="AU1335">
        <v>2021</v>
      </c>
      <c r="AV1335">
        <v>21</v>
      </c>
      <c r="AW1335">
        <v>1</v>
      </c>
      <c r="AX1335" t="s">
        <v>74</v>
      </c>
      <c r="AY1335" t="s">
        <v>74</v>
      </c>
      <c r="AZ1335" t="s">
        <v>74</v>
      </c>
      <c r="BA1335" t="s">
        <v>74</v>
      </c>
      <c r="BB1335" t="s">
        <v>74</v>
      </c>
      <c r="BC1335" t="s">
        <v>74</v>
      </c>
      <c r="BD1335">
        <v>315</v>
      </c>
      <c r="BE1335" t="s">
        <v>10573</v>
      </c>
      <c r="BF1335" t="str">
        <f>HYPERLINK("http://dx.doi.org/10.1186/s12885-021-08007-z","http://dx.doi.org/10.1186/s12885-021-08007-z")</f>
        <v>http://dx.doi.org/10.1186/s12885-021-08007-z</v>
      </c>
      <c r="BG1335" t="s">
        <v>74</v>
      </c>
      <c r="BH1335" t="s">
        <v>74</v>
      </c>
      <c r="BI1335" t="s">
        <v>74</v>
      </c>
      <c r="BJ1335" t="s">
        <v>267</v>
      </c>
      <c r="BK1335" t="s">
        <v>117</v>
      </c>
      <c r="BL1335" t="s">
        <v>267</v>
      </c>
      <c r="BM1335" t="s">
        <v>74</v>
      </c>
      <c r="BN1335">
        <v>33761899</v>
      </c>
      <c r="BO1335" t="s">
        <v>74</v>
      </c>
      <c r="BP1335" t="s">
        <v>74</v>
      </c>
      <c r="BQ1335" t="s">
        <v>74</v>
      </c>
      <c r="BR1335" t="s">
        <v>96</v>
      </c>
      <c r="BS1335" t="s">
        <v>10574</v>
      </c>
      <c r="BT1335" t="str">
        <f>HYPERLINK("https%3A%2F%2Fwww.webofscience.com%2Fwos%2Fwoscc%2Ffull-record%2FWOS:000634948800009","View Full Record in Web of Science")</f>
        <v>View Full Record in Web of Science</v>
      </c>
    </row>
    <row r="1336" spans="1:72" x14ac:dyDescent="0.15">
      <c r="A1336" t="s">
        <v>98</v>
      </c>
      <c r="B1336" t="s">
        <v>10700</v>
      </c>
      <c r="C1336" t="s">
        <v>74</v>
      </c>
      <c r="D1336" t="s">
        <v>74</v>
      </c>
      <c r="E1336" t="s">
        <v>74</v>
      </c>
      <c r="F1336" t="s">
        <v>10701</v>
      </c>
      <c r="G1336" t="s">
        <v>74</v>
      </c>
      <c r="H1336" t="s">
        <v>74</v>
      </c>
      <c r="I1336" t="s">
        <v>10702</v>
      </c>
      <c r="J1336" t="s">
        <v>10703</v>
      </c>
      <c r="K1336" t="s">
        <v>74</v>
      </c>
      <c r="L1336" t="s">
        <v>74</v>
      </c>
      <c r="M1336" t="s">
        <v>74</v>
      </c>
      <c r="N1336" t="s">
        <v>103</v>
      </c>
      <c r="O1336" t="s">
        <v>74</v>
      </c>
      <c r="P1336" t="s">
        <v>74</v>
      </c>
      <c r="Q1336" t="s">
        <v>74</v>
      </c>
      <c r="R1336" t="s">
        <v>74</v>
      </c>
      <c r="S1336" t="s">
        <v>74</v>
      </c>
      <c r="T1336" t="s">
        <v>10704</v>
      </c>
      <c r="U1336" t="s">
        <v>10705</v>
      </c>
      <c r="V1336" t="s">
        <v>10706</v>
      </c>
      <c r="W1336" t="s">
        <v>10707</v>
      </c>
      <c r="X1336" t="s">
        <v>10708</v>
      </c>
      <c r="Y1336" t="s">
        <v>10709</v>
      </c>
      <c r="Z1336" t="s">
        <v>10710</v>
      </c>
      <c r="AA1336" t="s">
        <v>74</v>
      </c>
      <c r="AB1336" t="s">
        <v>74</v>
      </c>
      <c r="AC1336" t="s">
        <v>74</v>
      </c>
      <c r="AD1336" t="s">
        <v>74</v>
      </c>
      <c r="AE1336" t="s">
        <v>74</v>
      </c>
      <c r="AF1336" t="s">
        <v>74</v>
      </c>
      <c r="AG1336">
        <v>37</v>
      </c>
      <c r="AH1336">
        <v>7</v>
      </c>
      <c r="AI1336">
        <v>7</v>
      </c>
      <c r="AJ1336">
        <v>1</v>
      </c>
      <c r="AK1336">
        <v>4</v>
      </c>
      <c r="AL1336" t="s">
        <v>74</v>
      </c>
      <c r="AM1336" t="s">
        <v>74</v>
      </c>
      <c r="AN1336" t="s">
        <v>74</v>
      </c>
      <c r="AO1336" t="s">
        <v>74</v>
      </c>
      <c r="AP1336" t="s">
        <v>10711</v>
      </c>
      <c r="AQ1336" t="s">
        <v>74</v>
      </c>
      <c r="AR1336" t="s">
        <v>74</v>
      </c>
      <c r="AS1336" t="s">
        <v>74</v>
      </c>
      <c r="AT1336" t="s">
        <v>230</v>
      </c>
      <c r="AU1336">
        <v>2020</v>
      </c>
      <c r="AV1336">
        <v>9</v>
      </c>
      <c r="AW1336">
        <v>8</v>
      </c>
      <c r="AX1336" t="s">
        <v>74</v>
      </c>
      <c r="AY1336" t="s">
        <v>74</v>
      </c>
      <c r="AZ1336" t="s">
        <v>74</v>
      </c>
      <c r="BA1336" t="s">
        <v>74</v>
      </c>
      <c r="BB1336" t="s">
        <v>74</v>
      </c>
      <c r="BC1336" t="s">
        <v>74</v>
      </c>
      <c r="BD1336">
        <v>191</v>
      </c>
      <c r="BE1336" t="s">
        <v>10712</v>
      </c>
      <c r="BF1336" t="str">
        <f>HYPERLINK("http://dx.doi.org/10.3390/biology9080191","http://dx.doi.org/10.3390/biology9080191")</f>
        <v>http://dx.doi.org/10.3390/biology9080191</v>
      </c>
      <c r="BG1336" t="s">
        <v>74</v>
      </c>
      <c r="BH1336" t="s">
        <v>74</v>
      </c>
      <c r="BI1336" t="s">
        <v>74</v>
      </c>
      <c r="BJ1336" t="s">
        <v>1643</v>
      </c>
      <c r="BK1336" t="s">
        <v>117</v>
      </c>
      <c r="BL1336" t="s">
        <v>1644</v>
      </c>
      <c r="BM1336" t="s">
        <v>74</v>
      </c>
      <c r="BN1336">
        <v>32726907</v>
      </c>
      <c r="BO1336" t="s">
        <v>74</v>
      </c>
      <c r="BP1336" t="s">
        <v>74</v>
      </c>
      <c r="BQ1336" t="s">
        <v>74</v>
      </c>
      <c r="BR1336" t="s">
        <v>96</v>
      </c>
      <c r="BS1336" t="s">
        <v>10713</v>
      </c>
      <c r="BT1336" t="str">
        <f>HYPERLINK("https%3A%2F%2Fwww.webofscience.com%2Fwos%2Fwoscc%2Ffull-record%2FWOS:000564554300001","View Full Record in Web of Science")</f>
        <v>View Full Record in Web of Science</v>
      </c>
    </row>
    <row r="1337" spans="1:72" x14ac:dyDescent="0.15">
      <c r="A1337" t="s">
        <v>98</v>
      </c>
      <c r="B1337" t="s">
        <v>12060</v>
      </c>
      <c r="C1337" t="s">
        <v>74</v>
      </c>
      <c r="D1337" t="s">
        <v>74</v>
      </c>
      <c r="E1337" t="s">
        <v>74</v>
      </c>
      <c r="F1337" t="s">
        <v>12061</v>
      </c>
      <c r="G1337" t="s">
        <v>74</v>
      </c>
      <c r="H1337" t="s">
        <v>74</v>
      </c>
      <c r="I1337" t="s">
        <v>12062</v>
      </c>
      <c r="J1337" t="s">
        <v>1105</v>
      </c>
      <c r="K1337" t="s">
        <v>74</v>
      </c>
      <c r="L1337" t="s">
        <v>74</v>
      </c>
      <c r="M1337" t="s">
        <v>74</v>
      </c>
      <c r="N1337" t="s">
        <v>103</v>
      </c>
      <c r="O1337" t="s">
        <v>74</v>
      </c>
      <c r="P1337" t="s">
        <v>74</v>
      </c>
      <c r="Q1337" t="s">
        <v>74</v>
      </c>
      <c r="R1337" t="s">
        <v>74</v>
      </c>
      <c r="S1337" t="s">
        <v>74</v>
      </c>
      <c r="T1337" t="s">
        <v>12063</v>
      </c>
      <c r="U1337" t="s">
        <v>12064</v>
      </c>
      <c r="V1337" t="s">
        <v>12065</v>
      </c>
      <c r="W1337" t="s">
        <v>12066</v>
      </c>
      <c r="X1337" t="s">
        <v>12067</v>
      </c>
      <c r="Y1337" t="s">
        <v>12068</v>
      </c>
      <c r="Z1337" t="s">
        <v>12069</v>
      </c>
      <c r="AA1337" t="s">
        <v>12070</v>
      </c>
      <c r="AB1337" t="s">
        <v>74</v>
      </c>
      <c r="AC1337" t="s">
        <v>74</v>
      </c>
      <c r="AD1337" t="s">
        <v>74</v>
      </c>
      <c r="AE1337" t="s">
        <v>74</v>
      </c>
      <c r="AF1337" t="s">
        <v>74</v>
      </c>
      <c r="AG1337">
        <v>50</v>
      </c>
      <c r="AH1337">
        <v>7</v>
      </c>
      <c r="AI1337">
        <v>8</v>
      </c>
      <c r="AJ1337">
        <v>20</v>
      </c>
      <c r="AK1337">
        <v>104</v>
      </c>
      <c r="AL1337" t="s">
        <v>74</v>
      </c>
      <c r="AM1337" t="s">
        <v>74</v>
      </c>
      <c r="AN1337" t="s">
        <v>74</v>
      </c>
      <c r="AO1337" t="s">
        <v>1114</v>
      </c>
      <c r="AP1337" t="s">
        <v>1115</v>
      </c>
      <c r="AQ1337" t="s">
        <v>74</v>
      </c>
      <c r="AR1337" t="s">
        <v>74</v>
      </c>
      <c r="AS1337" t="s">
        <v>74</v>
      </c>
      <c r="AT1337" t="s">
        <v>1321</v>
      </c>
      <c r="AU1337">
        <v>2020</v>
      </c>
      <c r="AV1337">
        <v>218</v>
      </c>
      <c r="AW1337" t="s">
        <v>74</v>
      </c>
      <c r="AX1337" t="s">
        <v>74</v>
      </c>
      <c r="AY1337" t="s">
        <v>74</v>
      </c>
      <c r="AZ1337" t="s">
        <v>74</v>
      </c>
      <c r="BA1337" t="s">
        <v>74</v>
      </c>
      <c r="BB1337" t="s">
        <v>74</v>
      </c>
      <c r="BC1337" t="s">
        <v>74</v>
      </c>
      <c r="BD1337">
        <v>121089</v>
      </c>
      <c r="BE1337" t="s">
        <v>12071</v>
      </c>
      <c r="BF1337" t="str">
        <f>HYPERLINK("http://dx.doi.org/10.1016/j.talanta.2020.121089","http://dx.doi.org/10.1016/j.talanta.2020.121089")</f>
        <v>http://dx.doi.org/10.1016/j.talanta.2020.121089</v>
      </c>
      <c r="BG1337" t="s">
        <v>74</v>
      </c>
      <c r="BH1337" t="s">
        <v>74</v>
      </c>
      <c r="BI1337" t="s">
        <v>74</v>
      </c>
      <c r="BJ1337" t="s">
        <v>1118</v>
      </c>
      <c r="BK1337" t="s">
        <v>117</v>
      </c>
      <c r="BL1337" t="s">
        <v>1048</v>
      </c>
      <c r="BM1337" t="s">
        <v>74</v>
      </c>
      <c r="BN1337">
        <v>32797865</v>
      </c>
      <c r="BO1337" t="s">
        <v>74</v>
      </c>
      <c r="BP1337" t="s">
        <v>74</v>
      </c>
      <c r="BQ1337" t="s">
        <v>74</v>
      </c>
      <c r="BR1337" t="s">
        <v>96</v>
      </c>
      <c r="BS1337" t="s">
        <v>12072</v>
      </c>
      <c r="BT1337" t="str">
        <f>HYPERLINK("https%3A%2F%2Fwww.webofscience.com%2Fwos%2Fwoscc%2Ffull-record%2FWOS:000564488700009","View Full Record in Web of Science")</f>
        <v>View Full Record in Web of Science</v>
      </c>
    </row>
    <row r="1338" spans="1:72" x14ac:dyDescent="0.15">
      <c r="A1338" t="s">
        <v>98</v>
      </c>
      <c r="B1338" t="s">
        <v>12552</v>
      </c>
      <c r="C1338" t="s">
        <v>74</v>
      </c>
      <c r="D1338" t="s">
        <v>74</v>
      </c>
      <c r="E1338" t="s">
        <v>74</v>
      </c>
      <c r="F1338" t="s">
        <v>12553</v>
      </c>
      <c r="G1338" t="s">
        <v>74</v>
      </c>
      <c r="H1338" t="s">
        <v>74</v>
      </c>
      <c r="I1338" t="s">
        <v>12554</v>
      </c>
      <c r="J1338" t="s">
        <v>140</v>
      </c>
      <c r="K1338" t="s">
        <v>74</v>
      </c>
      <c r="L1338" t="s">
        <v>74</v>
      </c>
      <c r="M1338" t="s">
        <v>74</v>
      </c>
      <c r="N1338" t="s">
        <v>103</v>
      </c>
      <c r="O1338" t="s">
        <v>74</v>
      </c>
      <c r="P1338" t="s">
        <v>74</v>
      </c>
      <c r="Q1338" t="s">
        <v>74</v>
      </c>
      <c r="R1338" t="s">
        <v>74</v>
      </c>
      <c r="S1338" t="s">
        <v>74</v>
      </c>
      <c r="T1338" t="s">
        <v>74</v>
      </c>
      <c r="U1338" t="s">
        <v>12555</v>
      </c>
      <c r="V1338" t="s">
        <v>12556</v>
      </c>
      <c r="W1338" t="s">
        <v>12557</v>
      </c>
      <c r="X1338" t="s">
        <v>12558</v>
      </c>
      <c r="Y1338" t="s">
        <v>12559</v>
      </c>
      <c r="Z1338" t="s">
        <v>12560</v>
      </c>
      <c r="AA1338" t="s">
        <v>12561</v>
      </c>
      <c r="AB1338" t="s">
        <v>12562</v>
      </c>
      <c r="AC1338" t="s">
        <v>74</v>
      </c>
      <c r="AD1338" t="s">
        <v>74</v>
      </c>
      <c r="AE1338" t="s">
        <v>74</v>
      </c>
      <c r="AF1338" t="s">
        <v>74</v>
      </c>
      <c r="AG1338">
        <v>55</v>
      </c>
      <c r="AH1338">
        <v>7</v>
      </c>
      <c r="AI1338">
        <v>7</v>
      </c>
      <c r="AJ1338">
        <v>1</v>
      </c>
      <c r="AK1338">
        <v>3</v>
      </c>
      <c r="AL1338" t="s">
        <v>74</v>
      </c>
      <c r="AM1338" t="s">
        <v>74</v>
      </c>
      <c r="AN1338" t="s">
        <v>74</v>
      </c>
      <c r="AO1338" t="s">
        <v>149</v>
      </c>
      <c r="AP1338" t="s">
        <v>74</v>
      </c>
      <c r="AQ1338" t="s">
        <v>74</v>
      </c>
      <c r="AR1338" t="s">
        <v>74</v>
      </c>
      <c r="AS1338" t="s">
        <v>74</v>
      </c>
      <c r="AT1338" t="s">
        <v>8524</v>
      </c>
      <c r="AU1338">
        <v>2019</v>
      </c>
      <c r="AV1338">
        <v>9</v>
      </c>
      <c r="AW1338" t="s">
        <v>74</v>
      </c>
      <c r="AX1338" t="s">
        <v>74</v>
      </c>
      <c r="AY1338" t="s">
        <v>74</v>
      </c>
      <c r="AZ1338" t="s">
        <v>74</v>
      </c>
      <c r="BA1338" t="s">
        <v>74</v>
      </c>
      <c r="BB1338" t="s">
        <v>74</v>
      </c>
      <c r="BC1338" t="s">
        <v>74</v>
      </c>
      <c r="BD1338">
        <v>11177</v>
      </c>
      <c r="BE1338" t="s">
        <v>12563</v>
      </c>
      <c r="BF1338" t="str">
        <f>HYPERLINK("http://dx.doi.org/10.1038/s41598-019-47581-y","http://dx.doi.org/10.1038/s41598-019-47581-y")</f>
        <v>http://dx.doi.org/10.1038/s41598-019-47581-y</v>
      </c>
      <c r="BG1338" t="s">
        <v>74</v>
      </c>
      <c r="BH1338" t="s">
        <v>74</v>
      </c>
      <c r="BI1338" t="s">
        <v>74</v>
      </c>
      <c r="BJ1338" t="s">
        <v>152</v>
      </c>
      <c r="BK1338" t="s">
        <v>117</v>
      </c>
      <c r="BL1338" t="s">
        <v>153</v>
      </c>
      <c r="BM1338" t="s">
        <v>74</v>
      </c>
      <c r="BN1338">
        <v>31371743</v>
      </c>
      <c r="BO1338" t="s">
        <v>74</v>
      </c>
      <c r="BP1338" t="s">
        <v>74</v>
      </c>
      <c r="BQ1338" t="s">
        <v>74</v>
      </c>
      <c r="BR1338" t="s">
        <v>96</v>
      </c>
      <c r="BS1338" t="s">
        <v>12564</v>
      </c>
      <c r="BT1338" t="str">
        <f>HYPERLINK("https%3A%2F%2Fwww.webofscience.com%2Fwos%2Fwoscc%2Ffull-record%2FWOS:000478011700028","View Full Record in Web of Science")</f>
        <v>View Full Record in Web of Science</v>
      </c>
    </row>
    <row r="1339" spans="1:72" x14ac:dyDescent="0.15">
      <c r="A1339" t="s">
        <v>98</v>
      </c>
      <c r="B1339" t="s">
        <v>12950</v>
      </c>
      <c r="C1339" t="s">
        <v>74</v>
      </c>
      <c r="D1339" t="s">
        <v>74</v>
      </c>
      <c r="E1339" t="s">
        <v>74</v>
      </c>
      <c r="F1339" t="s">
        <v>12951</v>
      </c>
      <c r="G1339" t="s">
        <v>74</v>
      </c>
      <c r="H1339" t="s">
        <v>74</v>
      </c>
      <c r="I1339" t="s">
        <v>12952</v>
      </c>
      <c r="J1339" t="s">
        <v>1528</v>
      </c>
      <c r="K1339" t="s">
        <v>74</v>
      </c>
      <c r="L1339" t="s">
        <v>74</v>
      </c>
      <c r="M1339" t="s">
        <v>74</v>
      </c>
      <c r="N1339" t="s">
        <v>103</v>
      </c>
      <c r="O1339" t="s">
        <v>74</v>
      </c>
      <c r="P1339" t="s">
        <v>74</v>
      </c>
      <c r="Q1339" t="s">
        <v>74</v>
      </c>
      <c r="R1339" t="s">
        <v>74</v>
      </c>
      <c r="S1339" t="s">
        <v>74</v>
      </c>
      <c r="T1339" t="s">
        <v>12953</v>
      </c>
      <c r="U1339" t="s">
        <v>12954</v>
      </c>
      <c r="V1339" t="s">
        <v>12955</v>
      </c>
      <c r="W1339" t="s">
        <v>12956</v>
      </c>
      <c r="X1339" t="s">
        <v>12957</v>
      </c>
      <c r="Y1339" t="s">
        <v>12958</v>
      </c>
      <c r="Z1339" t="s">
        <v>12959</v>
      </c>
      <c r="AA1339" t="s">
        <v>74</v>
      </c>
      <c r="AB1339" t="s">
        <v>74</v>
      </c>
      <c r="AC1339" t="s">
        <v>74</v>
      </c>
      <c r="AD1339" t="s">
        <v>74</v>
      </c>
      <c r="AE1339" t="s">
        <v>74</v>
      </c>
      <c r="AF1339" t="s">
        <v>74</v>
      </c>
      <c r="AG1339">
        <v>41</v>
      </c>
      <c r="AH1339">
        <v>7</v>
      </c>
      <c r="AI1339">
        <v>7</v>
      </c>
      <c r="AJ1339">
        <v>1</v>
      </c>
      <c r="AK1339">
        <v>3</v>
      </c>
      <c r="AL1339" t="s">
        <v>74</v>
      </c>
      <c r="AM1339" t="s">
        <v>74</v>
      </c>
      <c r="AN1339" t="s">
        <v>74</v>
      </c>
      <c r="AO1339" t="s">
        <v>1536</v>
      </c>
      <c r="AP1339" t="s">
        <v>1537</v>
      </c>
      <c r="AQ1339" t="s">
        <v>74</v>
      </c>
      <c r="AR1339" t="s">
        <v>74</v>
      </c>
      <c r="AS1339" t="s">
        <v>74</v>
      </c>
      <c r="AT1339" t="s">
        <v>189</v>
      </c>
      <c r="AU1339">
        <v>2019</v>
      </c>
      <c r="AV1339">
        <v>10</v>
      </c>
      <c r="AW1339">
        <v>10</v>
      </c>
      <c r="AX1339" t="s">
        <v>74</v>
      </c>
      <c r="AY1339" t="s">
        <v>74</v>
      </c>
      <c r="AZ1339" t="s">
        <v>74</v>
      </c>
      <c r="BA1339" t="s">
        <v>74</v>
      </c>
      <c r="BB1339">
        <v>1962</v>
      </c>
      <c r="BC1339">
        <v>1972</v>
      </c>
      <c r="BD1339" t="s">
        <v>74</v>
      </c>
      <c r="BE1339" t="s">
        <v>12960</v>
      </c>
      <c r="BF1339" t="str">
        <f>HYPERLINK("http://dx.doi.org/10.1111/1759-7714.13175","http://dx.doi.org/10.1111/1759-7714.13175")</f>
        <v>http://dx.doi.org/10.1111/1759-7714.13175</v>
      </c>
      <c r="BG1339" t="s">
        <v>74</v>
      </c>
      <c r="BH1339" t="s">
        <v>6448</v>
      </c>
      <c r="BI1339" t="s">
        <v>74</v>
      </c>
      <c r="BJ1339" t="s">
        <v>1539</v>
      </c>
      <c r="BK1339" t="s">
        <v>117</v>
      </c>
      <c r="BL1339" t="s">
        <v>1539</v>
      </c>
      <c r="BM1339" t="s">
        <v>74</v>
      </c>
      <c r="BN1339">
        <v>31441580</v>
      </c>
      <c r="BO1339" t="s">
        <v>74</v>
      </c>
      <c r="BP1339" t="s">
        <v>74</v>
      </c>
      <c r="BQ1339" t="s">
        <v>74</v>
      </c>
      <c r="BR1339" t="s">
        <v>96</v>
      </c>
      <c r="BS1339" t="s">
        <v>12961</v>
      </c>
      <c r="BT1339" t="str">
        <f>HYPERLINK("https%3A%2F%2Fwww.webofscience.com%2Fwos%2Fwoscc%2Ffull-record%2FWOS:000483286700001","View Full Record in Web of Science")</f>
        <v>View Full Record in Web of Science</v>
      </c>
    </row>
    <row r="1340" spans="1:72" x14ac:dyDescent="0.15">
      <c r="A1340" t="s">
        <v>98</v>
      </c>
      <c r="B1340" t="s">
        <v>13023</v>
      </c>
      <c r="C1340" t="s">
        <v>74</v>
      </c>
      <c r="D1340" t="s">
        <v>74</v>
      </c>
      <c r="E1340" t="s">
        <v>74</v>
      </c>
      <c r="F1340" t="s">
        <v>13024</v>
      </c>
      <c r="G1340" t="s">
        <v>74</v>
      </c>
      <c r="H1340" t="s">
        <v>74</v>
      </c>
      <c r="I1340" t="s">
        <v>13025</v>
      </c>
      <c r="J1340" t="s">
        <v>658</v>
      </c>
      <c r="K1340" t="s">
        <v>74</v>
      </c>
      <c r="L1340" t="s">
        <v>74</v>
      </c>
      <c r="M1340" t="s">
        <v>74</v>
      </c>
      <c r="N1340" t="s">
        <v>103</v>
      </c>
      <c r="O1340" t="s">
        <v>74</v>
      </c>
      <c r="P1340" t="s">
        <v>74</v>
      </c>
      <c r="Q1340" t="s">
        <v>74</v>
      </c>
      <c r="R1340" t="s">
        <v>74</v>
      </c>
      <c r="S1340" t="s">
        <v>74</v>
      </c>
      <c r="T1340" t="s">
        <v>13026</v>
      </c>
      <c r="U1340" t="s">
        <v>13027</v>
      </c>
      <c r="V1340" t="s">
        <v>13028</v>
      </c>
      <c r="W1340" t="s">
        <v>13029</v>
      </c>
      <c r="X1340" t="s">
        <v>13030</v>
      </c>
      <c r="Y1340" t="s">
        <v>13031</v>
      </c>
      <c r="Z1340" t="s">
        <v>13032</v>
      </c>
      <c r="AA1340" t="s">
        <v>13033</v>
      </c>
      <c r="AB1340" t="s">
        <v>13034</v>
      </c>
      <c r="AC1340" t="s">
        <v>74</v>
      </c>
      <c r="AD1340" t="s">
        <v>74</v>
      </c>
      <c r="AE1340" t="s">
        <v>74</v>
      </c>
      <c r="AF1340" t="s">
        <v>74</v>
      </c>
      <c r="AG1340">
        <v>53</v>
      </c>
      <c r="AH1340">
        <v>7</v>
      </c>
      <c r="AI1340">
        <v>7</v>
      </c>
      <c r="AJ1340">
        <v>3</v>
      </c>
      <c r="AK1340">
        <v>6</v>
      </c>
      <c r="AL1340" t="s">
        <v>74</v>
      </c>
      <c r="AM1340" t="s">
        <v>74</v>
      </c>
      <c r="AN1340" t="s">
        <v>74</v>
      </c>
      <c r="AO1340" t="s">
        <v>668</v>
      </c>
      <c r="AP1340" t="s">
        <v>74</v>
      </c>
      <c r="AQ1340" t="s">
        <v>74</v>
      </c>
      <c r="AR1340" t="s">
        <v>74</v>
      </c>
      <c r="AS1340" t="s">
        <v>74</v>
      </c>
      <c r="AT1340" t="s">
        <v>1661</v>
      </c>
      <c r="AU1340">
        <v>2021</v>
      </c>
      <c r="AV1340">
        <v>118</v>
      </c>
      <c r="AW1340">
        <v>35</v>
      </c>
      <c r="AX1340" t="s">
        <v>74</v>
      </c>
      <c r="AY1340" t="s">
        <v>74</v>
      </c>
      <c r="AZ1340" t="s">
        <v>74</v>
      </c>
      <c r="BA1340" t="s">
        <v>74</v>
      </c>
      <c r="BB1340" t="s">
        <v>74</v>
      </c>
      <c r="BC1340" t="s">
        <v>74</v>
      </c>
      <c r="BD1340" t="s">
        <v>13035</v>
      </c>
      <c r="BE1340" t="s">
        <v>13036</v>
      </c>
      <c r="BF1340" t="str">
        <f>HYPERLINK("http://dx.doi.org/10.1073/pnas.2025647118","http://dx.doi.org/10.1073/pnas.2025647118")</f>
        <v>http://dx.doi.org/10.1073/pnas.2025647118</v>
      </c>
      <c r="BG1340" t="s">
        <v>74</v>
      </c>
      <c r="BH1340" t="s">
        <v>74</v>
      </c>
      <c r="BI1340" t="s">
        <v>74</v>
      </c>
      <c r="BJ1340" t="s">
        <v>152</v>
      </c>
      <c r="BK1340" t="s">
        <v>117</v>
      </c>
      <c r="BL1340" t="s">
        <v>153</v>
      </c>
      <c r="BM1340" t="s">
        <v>74</v>
      </c>
      <c r="BN1340">
        <v>34426493</v>
      </c>
      <c r="BO1340" t="s">
        <v>74</v>
      </c>
      <c r="BP1340" t="s">
        <v>74</v>
      </c>
      <c r="BQ1340" t="s">
        <v>74</v>
      </c>
      <c r="BR1340" t="s">
        <v>96</v>
      </c>
      <c r="BS1340" t="s">
        <v>13037</v>
      </c>
      <c r="BT1340" t="str">
        <f>HYPERLINK("https%3A%2F%2Fwww.webofscience.com%2Fwos%2Fwoscc%2Ffull-record%2FWOS:000700327400010","View Full Record in Web of Science")</f>
        <v>View Full Record in Web of Science</v>
      </c>
    </row>
    <row r="1341" spans="1:72" x14ac:dyDescent="0.15">
      <c r="A1341" t="s">
        <v>98</v>
      </c>
      <c r="B1341" t="s">
        <v>13301</v>
      </c>
      <c r="C1341" t="s">
        <v>74</v>
      </c>
      <c r="D1341" t="s">
        <v>74</v>
      </c>
      <c r="E1341" t="s">
        <v>74</v>
      </c>
      <c r="F1341" t="s">
        <v>13302</v>
      </c>
      <c r="G1341" t="s">
        <v>74</v>
      </c>
      <c r="H1341" t="s">
        <v>74</v>
      </c>
      <c r="I1341" t="s">
        <v>13303</v>
      </c>
      <c r="J1341" t="s">
        <v>1712</v>
      </c>
      <c r="K1341" t="s">
        <v>74</v>
      </c>
      <c r="L1341" t="s">
        <v>74</v>
      </c>
      <c r="M1341" t="s">
        <v>74</v>
      </c>
      <c r="N1341" t="s">
        <v>103</v>
      </c>
      <c r="O1341" t="s">
        <v>74</v>
      </c>
      <c r="P1341" t="s">
        <v>74</v>
      </c>
      <c r="Q1341" t="s">
        <v>74</v>
      </c>
      <c r="R1341" t="s">
        <v>74</v>
      </c>
      <c r="S1341" t="s">
        <v>74</v>
      </c>
      <c r="T1341" t="s">
        <v>13304</v>
      </c>
      <c r="U1341" t="s">
        <v>13305</v>
      </c>
      <c r="V1341" t="s">
        <v>13306</v>
      </c>
      <c r="W1341" t="s">
        <v>13307</v>
      </c>
      <c r="X1341" t="s">
        <v>13308</v>
      </c>
      <c r="Y1341" t="s">
        <v>13309</v>
      </c>
      <c r="Z1341" t="s">
        <v>13310</v>
      </c>
      <c r="AA1341" t="s">
        <v>74</v>
      </c>
      <c r="AB1341" t="s">
        <v>13311</v>
      </c>
      <c r="AC1341" t="s">
        <v>74</v>
      </c>
      <c r="AD1341" t="s">
        <v>74</v>
      </c>
      <c r="AE1341" t="s">
        <v>74</v>
      </c>
      <c r="AF1341" t="s">
        <v>74</v>
      </c>
      <c r="AG1341">
        <v>38</v>
      </c>
      <c r="AH1341">
        <v>7</v>
      </c>
      <c r="AI1341">
        <v>7</v>
      </c>
      <c r="AJ1341">
        <v>65</v>
      </c>
      <c r="AK1341">
        <v>94</v>
      </c>
      <c r="AL1341" t="s">
        <v>74</v>
      </c>
      <c r="AM1341" t="s">
        <v>74</v>
      </c>
      <c r="AN1341" t="s">
        <v>74</v>
      </c>
      <c r="AO1341" t="s">
        <v>1722</v>
      </c>
      <c r="AP1341" t="s">
        <v>1723</v>
      </c>
      <c r="AQ1341" t="s">
        <v>74</v>
      </c>
      <c r="AR1341" t="s">
        <v>74</v>
      </c>
      <c r="AS1341" t="s">
        <v>74</v>
      </c>
      <c r="AT1341" t="s">
        <v>13312</v>
      </c>
      <c r="AU1341">
        <v>2021</v>
      </c>
      <c r="AV1341">
        <v>15</v>
      </c>
      <c r="AW1341">
        <v>12</v>
      </c>
      <c r="AX1341" t="s">
        <v>74</v>
      </c>
      <c r="AY1341" t="s">
        <v>74</v>
      </c>
      <c r="AZ1341" t="s">
        <v>74</v>
      </c>
      <c r="BA1341" t="s">
        <v>74</v>
      </c>
      <c r="BB1341">
        <v>19522</v>
      </c>
      <c r="BC1341">
        <v>19534</v>
      </c>
      <c r="BD1341" t="s">
        <v>74</v>
      </c>
      <c r="BE1341" t="s">
        <v>13313</v>
      </c>
      <c r="BF1341" t="str">
        <f>HYPERLINK("http://dx.doi.org/10.1021/acsnano.1c06429","http://dx.doi.org/10.1021/acsnano.1c06429")</f>
        <v>http://dx.doi.org/10.1021/acsnano.1c06429</v>
      </c>
      <c r="BG1341" t="s">
        <v>74</v>
      </c>
      <c r="BH1341" t="s">
        <v>74</v>
      </c>
      <c r="BI1341" t="s">
        <v>74</v>
      </c>
      <c r="BJ1341" t="s">
        <v>1725</v>
      </c>
      <c r="BK1341" t="s">
        <v>117</v>
      </c>
      <c r="BL1341" t="s">
        <v>1275</v>
      </c>
      <c r="BM1341" t="s">
        <v>74</v>
      </c>
      <c r="BN1341">
        <v>34813275</v>
      </c>
      <c r="BO1341" t="s">
        <v>74</v>
      </c>
      <c r="BP1341" t="s">
        <v>74</v>
      </c>
      <c r="BQ1341" t="s">
        <v>74</v>
      </c>
      <c r="BR1341" t="s">
        <v>96</v>
      </c>
      <c r="BS1341" t="s">
        <v>13314</v>
      </c>
      <c r="BT1341" t="str">
        <f>HYPERLINK("https%3A%2F%2Fwww.webofscience.com%2Fwos%2Fwoscc%2Ffull-record%2FWOS:000751890100069","View Full Record in Web of Science")</f>
        <v>View Full Record in Web of Science</v>
      </c>
    </row>
    <row r="1342" spans="1:72" x14ac:dyDescent="0.15">
      <c r="A1342" t="s">
        <v>98</v>
      </c>
      <c r="B1342" t="s">
        <v>13547</v>
      </c>
      <c r="C1342" t="s">
        <v>74</v>
      </c>
      <c r="D1342" t="s">
        <v>74</v>
      </c>
      <c r="E1342" t="s">
        <v>74</v>
      </c>
      <c r="F1342" t="s">
        <v>13548</v>
      </c>
      <c r="G1342" t="s">
        <v>74</v>
      </c>
      <c r="H1342" t="s">
        <v>74</v>
      </c>
      <c r="I1342" t="s">
        <v>13549</v>
      </c>
      <c r="J1342" t="s">
        <v>13550</v>
      </c>
      <c r="K1342" t="s">
        <v>74</v>
      </c>
      <c r="L1342" t="s">
        <v>74</v>
      </c>
      <c r="M1342" t="s">
        <v>74</v>
      </c>
      <c r="N1342" t="s">
        <v>103</v>
      </c>
      <c r="O1342" t="s">
        <v>74</v>
      </c>
      <c r="P1342" t="s">
        <v>74</v>
      </c>
      <c r="Q1342" t="s">
        <v>74</v>
      </c>
      <c r="R1342" t="s">
        <v>74</v>
      </c>
      <c r="S1342" t="s">
        <v>74</v>
      </c>
      <c r="T1342" t="s">
        <v>74</v>
      </c>
      <c r="U1342" t="s">
        <v>74</v>
      </c>
      <c r="V1342" t="s">
        <v>13551</v>
      </c>
      <c r="W1342" t="s">
        <v>13552</v>
      </c>
      <c r="X1342" t="s">
        <v>13553</v>
      </c>
      <c r="Y1342" t="s">
        <v>13554</v>
      </c>
      <c r="Z1342" t="s">
        <v>13555</v>
      </c>
      <c r="AA1342" t="s">
        <v>74</v>
      </c>
      <c r="AB1342" t="s">
        <v>74</v>
      </c>
      <c r="AC1342" t="s">
        <v>74</v>
      </c>
      <c r="AD1342" t="s">
        <v>74</v>
      </c>
      <c r="AE1342" t="s">
        <v>74</v>
      </c>
      <c r="AF1342" t="s">
        <v>74</v>
      </c>
      <c r="AG1342">
        <v>67</v>
      </c>
      <c r="AH1342">
        <v>7</v>
      </c>
      <c r="AI1342">
        <v>7</v>
      </c>
      <c r="AJ1342">
        <v>0</v>
      </c>
      <c r="AK1342">
        <v>12</v>
      </c>
      <c r="AL1342" t="s">
        <v>74</v>
      </c>
      <c r="AM1342" t="s">
        <v>74</v>
      </c>
      <c r="AN1342" t="s">
        <v>74</v>
      </c>
      <c r="AO1342" t="s">
        <v>13556</v>
      </c>
      <c r="AP1342" t="s">
        <v>13557</v>
      </c>
      <c r="AQ1342" t="s">
        <v>74</v>
      </c>
      <c r="AR1342" t="s">
        <v>74</v>
      </c>
      <c r="AS1342" t="s">
        <v>74</v>
      </c>
      <c r="AT1342" t="s">
        <v>13558</v>
      </c>
      <c r="AU1342">
        <v>2020</v>
      </c>
      <c r="AV1342">
        <v>124</v>
      </c>
      <c r="AW1342">
        <v>48</v>
      </c>
      <c r="AX1342" t="s">
        <v>74</v>
      </c>
      <c r="AY1342" t="s">
        <v>74</v>
      </c>
      <c r="AZ1342" t="s">
        <v>74</v>
      </c>
      <c r="BA1342" t="s">
        <v>74</v>
      </c>
      <c r="BB1342">
        <v>10952</v>
      </c>
      <c r="BC1342">
        <v>10960</v>
      </c>
      <c r="BD1342" t="s">
        <v>74</v>
      </c>
      <c r="BE1342" t="s">
        <v>13559</v>
      </c>
      <c r="BF1342" t="str">
        <f>HYPERLINK("http://dx.doi.org/10.1021/acs.jpcb.0c06910","http://dx.doi.org/10.1021/acs.jpcb.0c06910")</f>
        <v>http://dx.doi.org/10.1021/acs.jpcb.0c06910</v>
      </c>
      <c r="BG1342" t="s">
        <v>74</v>
      </c>
      <c r="BH1342" t="s">
        <v>74</v>
      </c>
      <c r="BI1342" t="s">
        <v>74</v>
      </c>
      <c r="BJ1342" t="s">
        <v>8744</v>
      </c>
      <c r="BK1342" t="s">
        <v>117</v>
      </c>
      <c r="BL1342" t="s">
        <v>1048</v>
      </c>
      <c r="BM1342" t="s">
        <v>74</v>
      </c>
      <c r="BN1342">
        <v>33095582</v>
      </c>
      <c r="BO1342" t="s">
        <v>74</v>
      </c>
      <c r="BP1342" t="s">
        <v>74</v>
      </c>
      <c r="BQ1342" t="s">
        <v>74</v>
      </c>
      <c r="BR1342" t="s">
        <v>96</v>
      </c>
      <c r="BS1342" t="s">
        <v>13560</v>
      </c>
      <c r="BT1342" t="str">
        <f>HYPERLINK("https%3A%2F%2Fwww.webofscience.com%2Fwos%2Fwoscc%2Ffull-record%2FWOS:000598115300008","View Full Record in Web of Science")</f>
        <v>View Full Record in Web of Science</v>
      </c>
    </row>
    <row r="1343" spans="1:72" x14ac:dyDescent="0.15">
      <c r="A1343" t="s">
        <v>98</v>
      </c>
      <c r="B1343" t="s">
        <v>14338</v>
      </c>
      <c r="C1343" t="s">
        <v>74</v>
      </c>
      <c r="D1343" t="s">
        <v>74</v>
      </c>
      <c r="E1343" t="s">
        <v>74</v>
      </c>
      <c r="F1343" t="s">
        <v>14339</v>
      </c>
      <c r="G1343" t="s">
        <v>74</v>
      </c>
      <c r="H1343" t="s">
        <v>74</v>
      </c>
      <c r="I1343" t="s">
        <v>14340</v>
      </c>
      <c r="J1343" t="s">
        <v>140</v>
      </c>
      <c r="K1343" t="s">
        <v>74</v>
      </c>
      <c r="L1343" t="s">
        <v>74</v>
      </c>
      <c r="M1343" t="s">
        <v>74</v>
      </c>
      <c r="N1343" t="s">
        <v>103</v>
      </c>
      <c r="O1343" t="s">
        <v>74</v>
      </c>
      <c r="P1343" t="s">
        <v>74</v>
      </c>
      <c r="Q1343" t="s">
        <v>74</v>
      </c>
      <c r="R1343" t="s">
        <v>74</v>
      </c>
      <c r="S1343" t="s">
        <v>74</v>
      </c>
      <c r="T1343" t="s">
        <v>74</v>
      </c>
      <c r="U1343" t="s">
        <v>14341</v>
      </c>
      <c r="V1343" t="s">
        <v>14342</v>
      </c>
      <c r="W1343" t="s">
        <v>14343</v>
      </c>
      <c r="X1343" t="s">
        <v>14344</v>
      </c>
      <c r="Y1343" t="s">
        <v>14345</v>
      </c>
      <c r="Z1343" t="s">
        <v>14346</v>
      </c>
      <c r="AA1343" t="s">
        <v>74</v>
      </c>
      <c r="AB1343" t="s">
        <v>74</v>
      </c>
      <c r="AC1343" t="s">
        <v>74</v>
      </c>
      <c r="AD1343" t="s">
        <v>74</v>
      </c>
      <c r="AE1343" t="s">
        <v>74</v>
      </c>
      <c r="AF1343" t="s">
        <v>74</v>
      </c>
      <c r="AG1343">
        <v>33</v>
      </c>
      <c r="AH1343">
        <v>7</v>
      </c>
      <c r="AI1343">
        <v>7</v>
      </c>
      <c r="AJ1343">
        <v>1</v>
      </c>
      <c r="AK1343">
        <v>15</v>
      </c>
      <c r="AL1343" t="s">
        <v>74</v>
      </c>
      <c r="AM1343" t="s">
        <v>74</v>
      </c>
      <c r="AN1343" t="s">
        <v>74</v>
      </c>
      <c r="AO1343" t="s">
        <v>149</v>
      </c>
      <c r="AP1343" t="s">
        <v>74</v>
      </c>
      <c r="AQ1343" t="s">
        <v>74</v>
      </c>
      <c r="AR1343" t="s">
        <v>74</v>
      </c>
      <c r="AS1343" t="s">
        <v>74</v>
      </c>
      <c r="AT1343" t="s">
        <v>14347</v>
      </c>
      <c r="AU1343">
        <v>2018</v>
      </c>
      <c r="AV1343">
        <v>8</v>
      </c>
      <c r="AW1343" t="s">
        <v>74</v>
      </c>
      <c r="AX1343" t="s">
        <v>74</v>
      </c>
      <c r="AY1343" t="s">
        <v>74</v>
      </c>
      <c r="AZ1343" t="s">
        <v>74</v>
      </c>
      <c r="BA1343" t="s">
        <v>74</v>
      </c>
      <c r="BB1343" t="s">
        <v>74</v>
      </c>
      <c r="BC1343" t="s">
        <v>74</v>
      </c>
      <c r="BD1343">
        <v>13313</v>
      </c>
      <c r="BE1343" t="s">
        <v>14348</v>
      </c>
      <c r="BF1343" t="str">
        <f>HYPERLINK("http://dx.doi.org/10.1038/s41598-018-31275-y","http://dx.doi.org/10.1038/s41598-018-31275-y")</f>
        <v>http://dx.doi.org/10.1038/s41598-018-31275-y</v>
      </c>
      <c r="BG1343" t="s">
        <v>74</v>
      </c>
      <c r="BH1343" t="s">
        <v>74</v>
      </c>
      <c r="BI1343" t="s">
        <v>74</v>
      </c>
      <c r="BJ1343" t="s">
        <v>152</v>
      </c>
      <c r="BK1343" t="s">
        <v>117</v>
      </c>
      <c r="BL1343" t="s">
        <v>153</v>
      </c>
      <c r="BM1343" t="s">
        <v>74</v>
      </c>
      <c r="BN1343">
        <v>30190485</v>
      </c>
      <c r="BO1343" t="s">
        <v>74</v>
      </c>
      <c r="BP1343" t="s">
        <v>74</v>
      </c>
      <c r="BQ1343" t="s">
        <v>74</v>
      </c>
      <c r="BR1343" t="s">
        <v>96</v>
      </c>
      <c r="BS1343" t="s">
        <v>14349</v>
      </c>
      <c r="BT1343" t="str">
        <f>HYPERLINK("https%3A%2F%2Fwww.webofscience.com%2Fwos%2Fwoscc%2Ffull-record%2FWOS:000443800900010","View Full Record in Web of Science")</f>
        <v>View Full Record in Web of Science</v>
      </c>
    </row>
    <row r="1344" spans="1:72" x14ac:dyDescent="0.15">
      <c r="A1344" t="s">
        <v>98</v>
      </c>
      <c r="B1344" t="s">
        <v>14350</v>
      </c>
      <c r="C1344" t="s">
        <v>74</v>
      </c>
      <c r="D1344" t="s">
        <v>74</v>
      </c>
      <c r="E1344" t="s">
        <v>74</v>
      </c>
      <c r="F1344" t="s">
        <v>14351</v>
      </c>
      <c r="G1344" t="s">
        <v>74</v>
      </c>
      <c r="H1344" t="s">
        <v>74</v>
      </c>
      <c r="I1344" t="s">
        <v>14352</v>
      </c>
      <c r="J1344" t="s">
        <v>3244</v>
      </c>
      <c r="K1344" t="s">
        <v>74</v>
      </c>
      <c r="L1344" t="s">
        <v>74</v>
      </c>
      <c r="M1344" t="s">
        <v>74</v>
      </c>
      <c r="N1344" t="s">
        <v>103</v>
      </c>
      <c r="O1344" t="s">
        <v>74</v>
      </c>
      <c r="P1344" t="s">
        <v>74</v>
      </c>
      <c r="Q1344" t="s">
        <v>74</v>
      </c>
      <c r="R1344" t="s">
        <v>74</v>
      </c>
      <c r="S1344" t="s">
        <v>74</v>
      </c>
      <c r="T1344" t="s">
        <v>14353</v>
      </c>
      <c r="U1344" t="s">
        <v>14354</v>
      </c>
      <c r="V1344" t="s">
        <v>14355</v>
      </c>
      <c r="W1344" t="s">
        <v>14356</v>
      </c>
      <c r="X1344" t="s">
        <v>14357</v>
      </c>
      <c r="Y1344" t="s">
        <v>14358</v>
      </c>
      <c r="Z1344" t="s">
        <v>14359</v>
      </c>
      <c r="AA1344" t="s">
        <v>74</v>
      </c>
      <c r="AB1344" t="s">
        <v>14360</v>
      </c>
      <c r="AC1344" t="s">
        <v>74</v>
      </c>
      <c r="AD1344" t="s">
        <v>74</v>
      </c>
      <c r="AE1344" t="s">
        <v>74</v>
      </c>
      <c r="AF1344" t="s">
        <v>74</v>
      </c>
      <c r="AG1344">
        <v>41</v>
      </c>
      <c r="AH1344">
        <v>7</v>
      </c>
      <c r="AI1344">
        <v>7</v>
      </c>
      <c r="AJ1344">
        <v>3</v>
      </c>
      <c r="AK1344">
        <v>14</v>
      </c>
      <c r="AL1344" t="s">
        <v>74</v>
      </c>
      <c r="AM1344" t="s">
        <v>74</v>
      </c>
      <c r="AN1344" t="s">
        <v>74</v>
      </c>
      <c r="AO1344" t="s">
        <v>3254</v>
      </c>
      <c r="AP1344" t="s">
        <v>74</v>
      </c>
      <c r="AQ1344" t="s">
        <v>74</v>
      </c>
      <c r="AR1344" t="s">
        <v>74</v>
      </c>
      <c r="AS1344" t="s">
        <v>74</v>
      </c>
      <c r="AT1344" t="s">
        <v>2843</v>
      </c>
      <c r="AU1344">
        <v>2021</v>
      </c>
      <c r="AV1344">
        <v>11</v>
      </c>
      <c r="AW1344" t="s">
        <v>74</v>
      </c>
      <c r="AX1344" t="s">
        <v>74</v>
      </c>
      <c r="AY1344" t="s">
        <v>74</v>
      </c>
      <c r="AZ1344" t="s">
        <v>74</v>
      </c>
      <c r="BA1344" t="s">
        <v>74</v>
      </c>
      <c r="BB1344" t="s">
        <v>74</v>
      </c>
      <c r="BC1344" t="s">
        <v>74</v>
      </c>
      <c r="BD1344">
        <v>667987</v>
      </c>
      <c r="BE1344" t="s">
        <v>14361</v>
      </c>
      <c r="BF1344" t="str">
        <f>HYPERLINK("http://dx.doi.org/10.3389/fcimb.2021.667987","http://dx.doi.org/10.3389/fcimb.2021.667987")</f>
        <v>http://dx.doi.org/10.3389/fcimb.2021.667987</v>
      </c>
      <c r="BG1344" t="s">
        <v>74</v>
      </c>
      <c r="BH1344" t="s">
        <v>74</v>
      </c>
      <c r="BI1344" t="s">
        <v>74</v>
      </c>
      <c r="BJ1344" t="s">
        <v>3257</v>
      </c>
      <c r="BK1344" t="s">
        <v>117</v>
      </c>
      <c r="BL1344" t="s">
        <v>3257</v>
      </c>
      <c r="BM1344" t="s">
        <v>74</v>
      </c>
      <c r="BN1344">
        <v>34026664</v>
      </c>
      <c r="BO1344" t="s">
        <v>74</v>
      </c>
      <c r="BP1344" t="s">
        <v>74</v>
      </c>
      <c r="BQ1344" t="s">
        <v>74</v>
      </c>
      <c r="BR1344" t="s">
        <v>96</v>
      </c>
      <c r="BS1344" t="s">
        <v>14362</v>
      </c>
      <c r="BT1344" t="str">
        <f>HYPERLINK("https%3A%2F%2Fwww.webofscience.com%2Fwos%2Fwoscc%2Ffull-record%2FWOS:000652639100001","View Full Record in Web of Science")</f>
        <v>View Full Record in Web of Science</v>
      </c>
    </row>
    <row r="1345" spans="1:72" x14ac:dyDescent="0.15">
      <c r="A1345" t="s">
        <v>98</v>
      </c>
      <c r="B1345" t="s">
        <v>15541</v>
      </c>
      <c r="C1345" t="s">
        <v>74</v>
      </c>
      <c r="D1345" t="s">
        <v>74</v>
      </c>
      <c r="E1345" t="s">
        <v>74</v>
      </c>
      <c r="F1345" t="s">
        <v>15542</v>
      </c>
      <c r="G1345" t="s">
        <v>74</v>
      </c>
      <c r="H1345" t="s">
        <v>74</v>
      </c>
      <c r="I1345" t="s">
        <v>15543</v>
      </c>
      <c r="J1345" t="s">
        <v>2520</v>
      </c>
      <c r="K1345" t="s">
        <v>74</v>
      </c>
      <c r="L1345" t="s">
        <v>74</v>
      </c>
      <c r="M1345" t="s">
        <v>74</v>
      </c>
      <c r="N1345" t="s">
        <v>103</v>
      </c>
      <c r="O1345" t="s">
        <v>74</v>
      </c>
      <c r="P1345" t="s">
        <v>74</v>
      </c>
      <c r="Q1345" t="s">
        <v>74</v>
      </c>
      <c r="R1345" t="s">
        <v>74</v>
      </c>
      <c r="S1345" t="s">
        <v>74</v>
      </c>
      <c r="T1345" t="s">
        <v>15544</v>
      </c>
      <c r="U1345" t="s">
        <v>15545</v>
      </c>
      <c r="V1345" t="s">
        <v>15546</v>
      </c>
      <c r="W1345" t="s">
        <v>15547</v>
      </c>
      <c r="X1345" t="s">
        <v>6278</v>
      </c>
      <c r="Y1345" t="s">
        <v>15548</v>
      </c>
      <c r="Z1345" t="s">
        <v>6280</v>
      </c>
      <c r="AA1345" t="s">
        <v>74</v>
      </c>
      <c r="AB1345" t="s">
        <v>74</v>
      </c>
      <c r="AC1345" t="s">
        <v>74</v>
      </c>
      <c r="AD1345" t="s">
        <v>74</v>
      </c>
      <c r="AE1345" t="s">
        <v>74</v>
      </c>
      <c r="AF1345" t="s">
        <v>74</v>
      </c>
      <c r="AG1345">
        <v>57</v>
      </c>
      <c r="AH1345">
        <v>7</v>
      </c>
      <c r="AI1345">
        <v>8</v>
      </c>
      <c r="AJ1345">
        <v>5</v>
      </c>
      <c r="AK1345">
        <v>26</v>
      </c>
      <c r="AL1345" t="s">
        <v>74</v>
      </c>
      <c r="AM1345" t="s">
        <v>74</v>
      </c>
      <c r="AN1345" t="s">
        <v>74</v>
      </c>
      <c r="AO1345" t="s">
        <v>2529</v>
      </c>
      <c r="AP1345" t="s">
        <v>74</v>
      </c>
      <c r="AQ1345" t="s">
        <v>74</v>
      </c>
      <c r="AR1345" t="s">
        <v>74</v>
      </c>
      <c r="AS1345" t="s">
        <v>74</v>
      </c>
      <c r="AT1345" t="s">
        <v>11146</v>
      </c>
      <c r="AU1345">
        <v>2018</v>
      </c>
      <c r="AV1345">
        <v>9</v>
      </c>
      <c r="AW1345" t="s">
        <v>74</v>
      </c>
      <c r="AX1345" t="s">
        <v>74</v>
      </c>
      <c r="AY1345" t="s">
        <v>74</v>
      </c>
      <c r="AZ1345" t="s">
        <v>74</v>
      </c>
      <c r="BA1345" t="s">
        <v>74</v>
      </c>
      <c r="BB1345" t="s">
        <v>74</v>
      </c>
      <c r="BC1345" t="s">
        <v>74</v>
      </c>
      <c r="BD1345">
        <v>2978</v>
      </c>
      <c r="BE1345" t="s">
        <v>15549</v>
      </c>
      <c r="BF1345" t="str">
        <f>HYPERLINK("http://dx.doi.org/10.3389/fmicb.2018.02978","http://dx.doi.org/10.3389/fmicb.2018.02978")</f>
        <v>http://dx.doi.org/10.3389/fmicb.2018.02978</v>
      </c>
      <c r="BG1345" t="s">
        <v>74</v>
      </c>
      <c r="BH1345" t="s">
        <v>74</v>
      </c>
      <c r="BI1345" t="s">
        <v>74</v>
      </c>
      <c r="BJ1345" t="s">
        <v>898</v>
      </c>
      <c r="BK1345" t="s">
        <v>117</v>
      </c>
      <c r="BL1345" t="s">
        <v>898</v>
      </c>
      <c r="BM1345" t="s">
        <v>74</v>
      </c>
      <c r="BN1345">
        <v>30564220</v>
      </c>
      <c r="BO1345" t="s">
        <v>74</v>
      </c>
      <c r="BP1345" t="s">
        <v>74</v>
      </c>
      <c r="BQ1345" t="s">
        <v>74</v>
      </c>
      <c r="BR1345" t="s">
        <v>96</v>
      </c>
      <c r="BS1345" t="s">
        <v>15550</v>
      </c>
      <c r="BT1345" t="str">
        <f>HYPERLINK("https%3A%2F%2Fwww.webofscience.com%2Fwos%2Fwoscc%2Ffull-record%2FWOS:000452033400002","View Full Record in Web of Science")</f>
        <v>View Full Record in Web of Science</v>
      </c>
    </row>
    <row r="1346" spans="1:72" x14ac:dyDescent="0.15">
      <c r="A1346" t="s">
        <v>98</v>
      </c>
      <c r="B1346" t="s">
        <v>15951</v>
      </c>
      <c r="C1346" t="s">
        <v>74</v>
      </c>
      <c r="D1346" t="s">
        <v>74</v>
      </c>
      <c r="E1346" t="s">
        <v>74</v>
      </c>
      <c r="F1346" t="s">
        <v>15952</v>
      </c>
      <c r="G1346" t="s">
        <v>74</v>
      </c>
      <c r="H1346" t="s">
        <v>74</v>
      </c>
      <c r="I1346" t="s">
        <v>15953</v>
      </c>
      <c r="J1346" t="s">
        <v>2520</v>
      </c>
      <c r="K1346" t="s">
        <v>74</v>
      </c>
      <c r="L1346" t="s">
        <v>74</v>
      </c>
      <c r="M1346" t="s">
        <v>74</v>
      </c>
      <c r="N1346" t="s">
        <v>103</v>
      </c>
      <c r="O1346" t="s">
        <v>74</v>
      </c>
      <c r="P1346" t="s">
        <v>74</v>
      </c>
      <c r="Q1346" t="s">
        <v>74</v>
      </c>
      <c r="R1346" t="s">
        <v>74</v>
      </c>
      <c r="S1346" t="s">
        <v>74</v>
      </c>
      <c r="T1346" t="s">
        <v>15954</v>
      </c>
      <c r="U1346" t="s">
        <v>15955</v>
      </c>
      <c r="V1346" t="s">
        <v>15956</v>
      </c>
      <c r="W1346" t="s">
        <v>15957</v>
      </c>
      <c r="X1346" t="s">
        <v>15958</v>
      </c>
      <c r="Y1346" t="s">
        <v>15959</v>
      </c>
      <c r="Z1346" t="s">
        <v>15960</v>
      </c>
      <c r="AA1346" t="s">
        <v>15961</v>
      </c>
      <c r="AB1346" t="s">
        <v>15962</v>
      </c>
      <c r="AC1346" t="s">
        <v>74</v>
      </c>
      <c r="AD1346" t="s">
        <v>74</v>
      </c>
      <c r="AE1346" t="s">
        <v>74</v>
      </c>
      <c r="AF1346" t="s">
        <v>74</v>
      </c>
      <c r="AG1346">
        <v>49</v>
      </c>
      <c r="AH1346">
        <v>7</v>
      </c>
      <c r="AI1346">
        <v>9</v>
      </c>
      <c r="AJ1346">
        <v>2</v>
      </c>
      <c r="AK1346">
        <v>12</v>
      </c>
      <c r="AL1346" t="s">
        <v>74</v>
      </c>
      <c r="AM1346" t="s">
        <v>74</v>
      </c>
      <c r="AN1346" t="s">
        <v>74</v>
      </c>
      <c r="AO1346" t="s">
        <v>2529</v>
      </c>
      <c r="AP1346" t="s">
        <v>74</v>
      </c>
      <c r="AQ1346" t="s">
        <v>74</v>
      </c>
      <c r="AR1346" t="s">
        <v>74</v>
      </c>
      <c r="AS1346" t="s">
        <v>74</v>
      </c>
      <c r="AT1346" t="s">
        <v>15963</v>
      </c>
      <c r="AU1346">
        <v>2019</v>
      </c>
      <c r="AV1346">
        <v>10</v>
      </c>
      <c r="AW1346" t="s">
        <v>74</v>
      </c>
      <c r="AX1346" t="s">
        <v>74</v>
      </c>
      <c r="AY1346" t="s">
        <v>74</v>
      </c>
      <c r="AZ1346" t="s">
        <v>74</v>
      </c>
      <c r="BA1346" t="s">
        <v>74</v>
      </c>
      <c r="BB1346" t="s">
        <v>74</v>
      </c>
      <c r="BC1346" t="s">
        <v>74</v>
      </c>
      <c r="BD1346">
        <v>571</v>
      </c>
      <c r="BE1346" t="s">
        <v>15964</v>
      </c>
      <c r="BF1346" t="str">
        <f>HYPERLINK("http://dx.doi.org/10.3389/fmicb.2019.00571","http://dx.doi.org/10.3389/fmicb.2019.00571")</f>
        <v>http://dx.doi.org/10.3389/fmicb.2019.00571</v>
      </c>
      <c r="BG1346" t="s">
        <v>74</v>
      </c>
      <c r="BH1346" t="s">
        <v>74</v>
      </c>
      <c r="BI1346" t="s">
        <v>74</v>
      </c>
      <c r="BJ1346" t="s">
        <v>898</v>
      </c>
      <c r="BK1346" t="s">
        <v>117</v>
      </c>
      <c r="BL1346" t="s">
        <v>898</v>
      </c>
      <c r="BM1346" t="s">
        <v>74</v>
      </c>
      <c r="BN1346">
        <v>30949156</v>
      </c>
      <c r="BO1346" t="s">
        <v>74</v>
      </c>
      <c r="BP1346" t="s">
        <v>74</v>
      </c>
      <c r="BQ1346" t="s">
        <v>74</v>
      </c>
      <c r="BR1346" t="s">
        <v>96</v>
      </c>
      <c r="BS1346" t="s">
        <v>15965</v>
      </c>
      <c r="BT1346" t="str">
        <f>HYPERLINK("https%3A%2F%2Fwww.webofscience.com%2Fwos%2Fwoscc%2Ffull-record%2FWOS:000461848900001","View Full Record in Web of Science")</f>
        <v>View Full Record in Web of Science</v>
      </c>
    </row>
    <row r="1347" spans="1:72" x14ac:dyDescent="0.15">
      <c r="A1347" t="s">
        <v>98</v>
      </c>
      <c r="B1347" t="s">
        <v>16399</v>
      </c>
      <c r="C1347" t="s">
        <v>74</v>
      </c>
      <c r="D1347" t="s">
        <v>74</v>
      </c>
      <c r="E1347" t="s">
        <v>74</v>
      </c>
      <c r="F1347" t="s">
        <v>16400</v>
      </c>
      <c r="G1347" t="s">
        <v>74</v>
      </c>
      <c r="H1347" t="s">
        <v>74</v>
      </c>
      <c r="I1347" t="s">
        <v>16401</v>
      </c>
      <c r="J1347" t="s">
        <v>2833</v>
      </c>
      <c r="K1347" t="s">
        <v>74</v>
      </c>
      <c r="L1347" t="s">
        <v>74</v>
      </c>
      <c r="M1347" t="s">
        <v>74</v>
      </c>
      <c r="N1347" t="s">
        <v>103</v>
      </c>
      <c r="O1347" t="s">
        <v>74</v>
      </c>
      <c r="P1347" t="s">
        <v>74</v>
      </c>
      <c r="Q1347" t="s">
        <v>74</v>
      </c>
      <c r="R1347" t="s">
        <v>74</v>
      </c>
      <c r="S1347" t="s">
        <v>74</v>
      </c>
      <c r="T1347" t="s">
        <v>16402</v>
      </c>
      <c r="U1347" t="s">
        <v>16403</v>
      </c>
      <c r="V1347" t="s">
        <v>16404</v>
      </c>
      <c r="W1347" t="s">
        <v>16405</v>
      </c>
      <c r="X1347" t="s">
        <v>16406</v>
      </c>
      <c r="Y1347" t="s">
        <v>16407</v>
      </c>
      <c r="Z1347" t="s">
        <v>16408</v>
      </c>
      <c r="AA1347" t="s">
        <v>74</v>
      </c>
      <c r="AB1347" t="s">
        <v>74</v>
      </c>
      <c r="AC1347" t="s">
        <v>74</v>
      </c>
      <c r="AD1347" t="s">
        <v>74</v>
      </c>
      <c r="AE1347" t="s">
        <v>74</v>
      </c>
      <c r="AF1347" t="s">
        <v>74</v>
      </c>
      <c r="AG1347">
        <v>22</v>
      </c>
      <c r="AH1347">
        <v>7</v>
      </c>
      <c r="AI1347">
        <v>8</v>
      </c>
      <c r="AJ1347">
        <v>0</v>
      </c>
      <c r="AK1347">
        <v>5</v>
      </c>
      <c r="AL1347" t="s">
        <v>74</v>
      </c>
      <c r="AM1347" t="s">
        <v>74</v>
      </c>
      <c r="AN1347" t="s">
        <v>74</v>
      </c>
      <c r="AO1347" t="s">
        <v>2841</v>
      </c>
      <c r="AP1347" t="s">
        <v>2842</v>
      </c>
      <c r="AQ1347" t="s">
        <v>74</v>
      </c>
      <c r="AR1347" t="s">
        <v>74</v>
      </c>
      <c r="AS1347" t="s">
        <v>74</v>
      </c>
      <c r="AT1347" t="s">
        <v>12712</v>
      </c>
      <c r="AU1347">
        <v>2018</v>
      </c>
      <c r="AV1347">
        <v>499</v>
      </c>
      <c r="AW1347">
        <v>3</v>
      </c>
      <c r="AX1347" t="s">
        <v>74</v>
      </c>
      <c r="AY1347" t="s">
        <v>74</v>
      </c>
      <c r="AZ1347" t="s">
        <v>74</v>
      </c>
      <c r="BA1347" t="s">
        <v>74</v>
      </c>
      <c r="BB1347">
        <v>410</v>
      </c>
      <c r="BC1347">
        <v>415</v>
      </c>
      <c r="BD1347" t="s">
        <v>74</v>
      </c>
      <c r="BE1347" t="s">
        <v>16409</v>
      </c>
      <c r="BF1347" t="str">
        <f>HYPERLINK("http://dx.doi.org/10.1016/j.bbrc.2018.03.073","http://dx.doi.org/10.1016/j.bbrc.2018.03.073")</f>
        <v>http://dx.doi.org/10.1016/j.bbrc.2018.03.073</v>
      </c>
      <c r="BG1347" t="s">
        <v>74</v>
      </c>
      <c r="BH1347" t="s">
        <v>74</v>
      </c>
      <c r="BI1347" t="s">
        <v>74</v>
      </c>
      <c r="BJ1347" t="s">
        <v>2845</v>
      </c>
      <c r="BK1347" t="s">
        <v>117</v>
      </c>
      <c r="BL1347" t="s">
        <v>2845</v>
      </c>
      <c r="BM1347" t="s">
        <v>74</v>
      </c>
      <c r="BN1347">
        <v>29534966</v>
      </c>
      <c r="BO1347" t="s">
        <v>74</v>
      </c>
      <c r="BP1347" t="s">
        <v>74</v>
      </c>
      <c r="BQ1347" t="s">
        <v>74</v>
      </c>
      <c r="BR1347" t="s">
        <v>96</v>
      </c>
      <c r="BS1347" t="s">
        <v>16410</v>
      </c>
      <c r="BT1347" t="str">
        <f>HYPERLINK("https%3A%2F%2Fwww.webofscience.com%2Fwos%2Fwoscc%2Ffull-record%2FWOS:000431287700003","View Full Record in Web of Science")</f>
        <v>View Full Record in Web of Science</v>
      </c>
    </row>
    <row r="1348" spans="1:72" x14ac:dyDescent="0.15">
      <c r="A1348" t="s">
        <v>98</v>
      </c>
      <c r="B1348" t="s">
        <v>16431</v>
      </c>
      <c r="C1348" t="s">
        <v>74</v>
      </c>
      <c r="D1348" t="s">
        <v>74</v>
      </c>
      <c r="E1348" t="s">
        <v>74</v>
      </c>
      <c r="F1348" t="s">
        <v>16432</v>
      </c>
      <c r="G1348" t="s">
        <v>74</v>
      </c>
      <c r="H1348" t="s">
        <v>74</v>
      </c>
      <c r="I1348" t="s">
        <v>16433</v>
      </c>
      <c r="J1348" t="s">
        <v>1073</v>
      </c>
      <c r="K1348" t="s">
        <v>74</v>
      </c>
      <c r="L1348" t="s">
        <v>74</v>
      </c>
      <c r="M1348" t="s">
        <v>74</v>
      </c>
      <c r="N1348" t="s">
        <v>103</v>
      </c>
      <c r="O1348" t="s">
        <v>74</v>
      </c>
      <c r="P1348" t="s">
        <v>74</v>
      </c>
      <c r="Q1348" t="s">
        <v>74</v>
      </c>
      <c r="R1348" t="s">
        <v>74</v>
      </c>
      <c r="S1348" t="s">
        <v>74</v>
      </c>
      <c r="T1348" t="s">
        <v>74</v>
      </c>
      <c r="U1348" t="s">
        <v>16434</v>
      </c>
      <c r="V1348" t="s">
        <v>16435</v>
      </c>
      <c r="W1348" t="s">
        <v>16436</v>
      </c>
      <c r="X1348" t="s">
        <v>14386</v>
      </c>
      <c r="Y1348" t="s">
        <v>16437</v>
      </c>
      <c r="Z1348" t="s">
        <v>16438</v>
      </c>
      <c r="AA1348" t="s">
        <v>74</v>
      </c>
      <c r="AB1348" t="s">
        <v>74</v>
      </c>
      <c r="AC1348" t="s">
        <v>74</v>
      </c>
      <c r="AD1348" t="s">
        <v>74</v>
      </c>
      <c r="AE1348" t="s">
        <v>74</v>
      </c>
      <c r="AF1348" t="s">
        <v>74</v>
      </c>
      <c r="AG1348">
        <v>53</v>
      </c>
      <c r="AH1348">
        <v>7</v>
      </c>
      <c r="AI1348">
        <v>7</v>
      </c>
      <c r="AJ1348">
        <v>0</v>
      </c>
      <c r="AK1348">
        <v>3</v>
      </c>
      <c r="AL1348" t="s">
        <v>74</v>
      </c>
      <c r="AM1348" t="s">
        <v>74</v>
      </c>
      <c r="AN1348" t="s">
        <v>74</v>
      </c>
      <c r="AO1348" t="s">
        <v>1082</v>
      </c>
      <c r="AP1348" t="s">
        <v>74</v>
      </c>
      <c r="AQ1348" t="s">
        <v>74</v>
      </c>
      <c r="AR1348" t="s">
        <v>74</v>
      </c>
      <c r="AS1348" t="s">
        <v>74</v>
      </c>
      <c r="AT1348" t="s">
        <v>16439</v>
      </c>
      <c r="AU1348">
        <v>2020</v>
      </c>
      <c r="AV1348">
        <v>15</v>
      </c>
      <c r="AW1348">
        <v>2</v>
      </c>
      <c r="AX1348" t="s">
        <v>74</v>
      </c>
      <c r="AY1348" t="s">
        <v>74</v>
      </c>
      <c r="AZ1348" t="s">
        <v>74</v>
      </c>
      <c r="BA1348" t="s">
        <v>74</v>
      </c>
      <c r="BB1348" t="s">
        <v>74</v>
      </c>
      <c r="BC1348" t="s">
        <v>74</v>
      </c>
      <c r="BD1348" t="s">
        <v>16440</v>
      </c>
      <c r="BE1348" t="s">
        <v>16441</v>
      </c>
      <c r="BF1348" t="str">
        <f>HYPERLINK("http://dx.doi.org/10.1371/journal.pone.0229309","http://dx.doi.org/10.1371/journal.pone.0229309")</f>
        <v>http://dx.doi.org/10.1371/journal.pone.0229309</v>
      </c>
      <c r="BG1348" t="s">
        <v>74</v>
      </c>
      <c r="BH1348" t="s">
        <v>74</v>
      </c>
      <c r="BI1348" t="s">
        <v>74</v>
      </c>
      <c r="BJ1348" t="s">
        <v>152</v>
      </c>
      <c r="BK1348" t="s">
        <v>117</v>
      </c>
      <c r="BL1348" t="s">
        <v>153</v>
      </c>
      <c r="BM1348" t="s">
        <v>74</v>
      </c>
      <c r="BN1348">
        <v>32092088</v>
      </c>
      <c r="BO1348" t="s">
        <v>74</v>
      </c>
      <c r="BP1348" t="s">
        <v>74</v>
      </c>
      <c r="BQ1348" t="s">
        <v>74</v>
      </c>
      <c r="BR1348" t="s">
        <v>96</v>
      </c>
      <c r="BS1348" t="s">
        <v>16442</v>
      </c>
      <c r="BT1348" t="str">
        <f>HYPERLINK("https%3A%2F%2Fwww.webofscience.com%2Fwos%2Fwoscc%2Ffull-record%2FWOS:000535229300044","View Full Record in Web of Science")</f>
        <v>View Full Record in Web of Science</v>
      </c>
    </row>
    <row r="1349" spans="1:72" x14ac:dyDescent="0.15">
      <c r="A1349" t="s">
        <v>98</v>
      </c>
      <c r="B1349" t="s">
        <v>17246</v>
      </c>
      <c r="C1349" t="s">
        <v>74</v>
      </c>
      <c r="D1349" t="s">
        <v>74</v>
      </c>
      <c r="E1349" t="s">
        <v>74</v>
      </c>
      <c r="F1349" t="s">
        <v>17247</v>
      </c>
      <c r="G1349" t="s">
        <v>74</v>
      </c>
      <c r="H1349" t="s">
        <v>74</v>
      </c>
      <c r="I1349" t="s">
        <v>17248</v>
      </c>
      <c r="J1349" t="s">
        <v>10816</v>
      </c>
      <c r="K1349" t="s">
        <v>74</v>
      </c>
      <c r="L1349" t="s">
        <v>74</v>
      </c>
      <c r="M1349" t="s">
        <v>74</v>
      </c>
      <c r="N1349" t="s">
        <v>103</v>
      </c>
      <c r="O1349" t="s">
        <v>74</v>
      </c>
      <c r="P1349" t="s">
        <v>74</v>
      </c>
      <c r="Q1349" t="s">
        <v>74</v>
      </c>
      <c r="R1349" t="s">
        <v>74</v>
      </c>
      <c r="S1349" t="s">
        <v>74</v>
      </c>
      <c r="T1349" t="s">
        <v>17249</v>
      </c>
      <c r="U1349" t="s">
        <v>17250</v>
      </c>
      <c r="V1349" t="s">
        <v>17251</v>
      </c>
      <c r="W1349" t="s">
        <v>17252</v>
      </c>
      <c r="X1349" t="s">
        <v>17253</v>
      </c>
      <c r="Y1349" t="s">
        <v>17254</v>
      </c>
      <c r="Z1349" t="s">
        <v>17255</v>
      </c>
      <c r="AA1349" t="s">
        <v>74</v>
      </c>
      <c r="AB1349" t="s">
        <v>17256</v>
      </c>
      <c r="AC1349" t="s">
        <v>74</v>
      </c>
      <c r="AD1349" t="s">
        <v>74</v>
      </c>
      <c r="AE1349" t="s">
        <v>74</v>
      </c>
      <c r="AF1349" t="s">
        <v>74</v>
      </c>
      <c r="AG1349">
        <v>174</v>
      </c>
      <c r="AH1349">
        <v>7</v>
      </c>
      <c r="AI1349">
        <v>7</v>
      </c>
      <c r="AJ1349">
        <v>4</v>
      </c>
      <c r="AK1349">
        <v>5</v>
      </c>
      <c r="AL1349" t="s">
        <v>74</v>
      </c>
      <c r="AM1349" t="s">
        <v>74</v>
      </c>
      <c r="AN1349" t="s">
        <v>74</v>
      </c>
      <c r="AO1349" t="s">
        <v>10825</v>
      </c>
      <c r="AP1349" t="s">
        <v>74</v>
      </c>
      <c r="AQ1349" t="s">
        <v>74</v>
      </c>
      <c r="AR1349" t="s">
        <v>74</v>
      </c>
      <c r="AS1349" t="s">
        <v>74</v>
      </c>
      <c r="AT1349" t="s">
        <v>17257</v>
      </c>
      <c r="AU1349">
        <v>2020</v>
      </c>
      <c r="AV1349">
        <v>8</v>
      </c>
      <c r="AW1349" t="s">
        <v>74</v>
      </c>
      <c r="AX1349" t="s">
        <v>74</v>
      </c>
      <c r="AY1349" t="s">
        <v>74</v>
      </c>
      <c r="AZ1349" t="s">
        <v>74</v>
      </c>
      <c r="BA1349" t="s">
        <v>74</v>
      </c>
      <c r="BB1349" t="s">
        <v>74</v>
      </c>
      <c r="BC1349" t="s">
        <v>74</v>
      </c>
      <c r="BD1349" t="s">
        <v>17258</v>
      </c>
      <c r="BE1349" t="s">
        <v>17259</v>
      </c>
      <c r="BF1349" t="str">
        <f>HYPERLINK("http://dx.doi.org/10.7717/peerj.10062","http://dx.doi.org/10.7717/peerj.10062")</f>
        <v>http://dx.doi.org/10.7717/peerj.10062</v>
      </c>
      <c r="BG1349" t="s">
        <v>74</v>
      </c>
      <c r="BH1349" t="s">
        <v>74</v>
      </c>
      <c r="BI1349" t="s">
        <v>74</v>
      </c>
      <c r="BJ1349" t="s">
        <v>152</v>
      </c>
      <c r="BK1349" t="s">
        <v>117</v>
      </c>
      <c r="BL1349" t="s">
        <v>153</v>
      </c>
      <c r="BM1349" t="s">
        <v>74</v>
      </c>
      <c r="BN1349">
        <v>33194377</v>
      </c>
      <c r="BO1349" t="s">
        <v>74</v>
      </c>
      <c r="BP1349" t="s">
        <v>74</v>
      </c>
      <c r="BQ1349" t="s">
        <v>74</v>
      </c>
      <c r="BR1349" t="s">
        <v>96</v>
      </c>
      <c r="BS1349" t="s">
        <v>17260</v>
      </c>
      <c r="BT1349" t="str">
        <f>HYPERLINK("https%3A%2F%2Fwww.webofscience.com%2Fwos%2Fwoscc%2Ffull-record%2FWOS:000584330700001","View Full Record in Web of Science")</f>
        <v>View Full Record in Web of Science</v>
      </c>
    </row>
    <row r="1350" spans="1:72" x14ac:dyDescent="0.15">
      <c r="A1350" t="s">
        <v>98</v>
      </c>
      <c r="B1350" t="s">
        <v>17384</v>
      </c>
      <c r="C1350" t="s">
        <v>74</v>
      </c>
      <c r="D1350" t="s">
        <v>74</v>
      </c>
      <c r="E1350" t="s">
        <v>74</v>
      </c>
      <c r="F1350" t="s">
        <v>17385</v>
      </c>
      <c r="G1350" t="s">
        <v>74</v>
      </c>
      <c r="H1350" t="s">
        <v>74</v>
      </c>
      <c r="I1350" t="s">
        <v>17386</v>
      </c>
      <c r="J1350" t="s">
        <v>10744</v>
      </c>
      <c r="K1350" t="s">
        <v>74</v>
      </c>
      <c r="L1350" t="s">
        <v>74</v>
      </c>
      <c r="M1350" t="s">
        <v>74</v>
      </c>
      <c r="N1350" t="s">
        <v>103</v>
      </c>
      <c r="O1350" t="s">
        <v>74</v>
      </c>
      <c r="P1350" t="s">
        <v>74</v>
      </c>
      <c r="Q1350" t="s">
        <v>74</v>
      </c>
      <c r="R1350" t="s">
        <v>74</v>
      </c>
      <c r="S1350" t="s">
        <v>74</v>
      </c>
      <c r="T1350" t="s">
        <v>74</v>
      </c>
      <c r="U1350" t="s">
        <v>17387</v>
      </c>
      <c r="V1350" t="s">
        <v>17388</v>
      </c>
      <c r="W1350" t="s">
        <v>17389</v>
      </c>
      <c r="X1350" t="s">
        <v>17390</v>
      </c>
      <c r="Y1350" t="s">
        <v>17391</v>
      </c>
      <c r="Z1350" t="s">
        <v>17100</v>
      </c>
      <c r="AA1350" t="s">
        <v>17392</v>
      </c>
      <c r="AB1350" t="s">
        <v>17393</v>
      </c>
      <c r="AC1350" t="s">
        <v>74</v>
      </c>
      <c r="AD1350" t="s">
        <v>74</v>
      </c>
      <c r="AE1350" t="s">
        <v>74</v>
      </c>
      <c r="AF1350" t="s">
        <v>74</v>
      </c>
      <c r="AG1350">
        <v>61</v>
      </c>
      <c r="AH1350">
        <v>7</v>
      </c>
      <c r="AI1350">
        <v>7</v>
      </c>
      <c r="AJ1350">
        <v>2</v>
      </c>
      <c r="AK1350">
        <v>3</v>
      </c>
      <c r="AL1350" t="s">
        <v>74</v>
      </c>
      <c r="AM1350" t="s">
        <v>74</v>
      </c>
      <c r="AN1350" t="s">
        <v>74</v>
      </c>
      <c r="AO1350" t="s">
        <v>10753</v>
      </c>
      <c r="AP1350" t="s">
        <v>74</v>
      </c>
      <c r="AQ1350" t="s">
        <v>74</v>
      </c>
      <c r="AR1350" t="s">
        <v>74</v>
      </c>
      <c r="AS1350" t="s">
        <v>74</v>
      </c>
      <c r="AT1350" t="s">
        <v>211</v>
      </c>
      <c r="AU1350">
        <v>2021</v>
      </c>
      <c r="AV1350">
        <v>7</v>
      </c>
      <c r="AW1350">
        <v>47</v>
      </c>
      <c r="AX1350" t="s">
        <v>74</v>
      </c>
      <c r="AY1350" t="s">
        <v>74</v>
      </c>
      <c r="AZ1350" t="s">
        <v>74</v>
      </c>
      <c r="BA1350" t="s">
        <v>74</v>
      </c>
      <c r="BB1350" t="s">
        <v>74</v>
      </c>
      <c r="BC1350" t="s">
        <v>74</v>
      </c>
      <c r="BD1350" t="s">
        <v>17394</v>
      </c>
      <c r="BE1350" t="s">
        <v>17395</v>
      </c>
      <c r="BF1350" t="str">
        <f>HYPERLINK("http://dx.doi.org/10.1126/sciadv.abj5769","http://dx.doi.org/10.1126/sciadv.abj5769")</f>
        <v>http://dx.doi.org/10.1126/sciadv.abj5769</v>
      </c>
      <c r="BG1350" t="s">
        <v>74</v>
      </c>
      <c r="BH1350" t="s">
        <v>74</v>
      </c>
      <c r="BI1350" t="s">
        <v>74</v>
      </c>
      <c r="BJ1350" t="s">
        <v>152</v>
      </c>
      <c r="BK1350" t="s">
        <v>117</v>
      </c>
      <c r="BL1350" t="s">
        <v>153</v>
      </c>
      <c r="BM1350" t="s">
        <v>74</v>
      </c>
      <c r="BN1350">
        <v>34797720</v>
      </c>
      <c r="BO1350" t="s">
        <v>74</v>
      </c>
      <c r="BP1350" t="s">
        <v>74</v>
      </c>
      <c r="BQ1350" t="s">
        <v>74</v>
      </c>
      <c r="BR1350" t="s">
        <v>96</v>
      </c>
      <c r="BS1350" t="s">
        <v>17396</v>
      </c>
      <c r="BT1350" t="str">
        <f>HYPERLINK("https%3A%2F%2Fwww.webofscience.com%2Fwos%2Fwoscc%2Ffull-record%2FWOS:000722925000013","View Full Record in Web of Science")</f>
        <v>View Full Record in Web of Science</v>
      </c>
    </row>
    <row r="1351" spans="1:72" x14ac:dyDescent="0.15">
      <c r="A1351" t="s">
        <v>98</v>
      </c>
      <c r="B1351" t="s">
        <v>19008</v>
      </c>
      <c r="C1351" t="s">
        <v>74</v>
      </c>
      <c r="D1351" t="s">
        <v>74</v>
      </c>
      <c r="E1351" t="s">
        <v>74</v>
      </c>
      <c r="F1351" t="s">
        <v>19009</v>
      </c>
      <c r="G1351" t="s">
        <v>74</v>
      </c>
      <c r="H1351" t="s">
        <v>74</v>
      </c>
      <c r="I1351" t="s">
        <v>19010</v>
      </c>
      <c r="J1351" t="s">
        <v>19011</v>
      </c>
      <c r="K1351" t="s">
        <v>74</v>
      </c>
      <c r="L1351" t="s">
        <v>74</v>
      </c>
      <c r="M1351" t="s">
        <v>74</v>
      </c>
      <c r="N1351" t="s">
        <v>103</v>
      </c>
      <c r="O1351" t="s">
        <v>74</v>
      </c>
      <c r="P1351" t="s">
        <v>74</v>
      </c>
      <c r="Q1351" t="s">
        <v>74</v>
      </c>
      <c r="R1351" t="s">
        <v>74</v>
      </c>
      <c r="S1351" t="s">
        <v>74</v>
      </c>
      <c r="T1351" t="s">
        <v>19012</v>
      </c>
      <c r="U1351" t="s">
        <v>74</v>
      </c>
      <c r="V1351" t="s">
        <v>19013</v>
      </c>
      <c r="W1351" t="s">
        <v>19014</v>
      </c>
      <c r="X1351" t="s">
        <v>19015</v>
      </c>
      <c r="Y1351" t="s">
        <v>9871</v>
      </c>
      <c r="Z1351" t="s">
        <v>9872</v>
      </c>
      <c r="AA1351" t="s">
        <v>9873</v>
      </c>
      <c r="AB1351" t="s">
        <v>19016</v>
      </c>
      <c r="AC1351" t="s">
        <v>74</v>
      </c>
      <c r="AD1351" t="s">
        <v>74</v>
      </c>
      <c r="AE1351" t="s">
        <v>74</v>
      </c>
      <c r="AF1351" t="s">
        <v>74</v>
      </c>
      <c r="AG1351">
        <v>51</v>
      </c>
      <c r="AH1351">
        <v>7</v>
      </c>
      <c r="AI1351">
        <v>7</v>
      </c>
      <c r="AJ1351">
        <v>1</v>
      </c>
      <c r="AK1351">
        <v>6</v>
      </c>
      <c r="AL1351" t="s">
        <v>74</v>
      </c>
      <c r="AM1351" t="s">
        <v>74</v>
      </c>
      <c r="AN1351" t="s">
        <v>74</v>
      </c>
      <c r="AO1351" t="s">
        <v>19017</v>
      </c>
      <c r="AP1351" t="s">
        <v>19018</v>
      </c>
      <c r="AQ1351" t="s">
        <v>74</v>
      </c>
      <c r="AR1351" t="s">
        <v>74</v>
      </c>
      <c r="AS1351" t="s">
        <v>74</v>
      </c>
      <c r="AT1351" t="s">
        <v>19019</v>
      </c>
      <c r="AU1351">
        <v>2021</v>
      </c>
      <c r="AV1351">
        <v>52</v>
      </c>
      <c r="AW1351">
        <v>1</v>
      </c>
      <c r="AX1351" t="s">
        <v>74</v>
      </c>
      <c r="AY1351" t="s">
        <v>74</v>
      </c>
      <c r="AZ1351" t="s">
        <v>74</v>
      </c>
      <c r="BA1351" t="s">
        <v>74</v>
      </c>
      <c r="BB1351" t="s">
        <v>74</v>
      </c>
      <c r="BC1351" t="s">
        <v>74</v>
      </c>
      <c r="BD1351">
        <v>36</v>
      </c>
      <c r="BE1351" t="s">
        <v>19020</v>
      </c>
      <c r="BF1351" t="str">
        <f>HYPERLINK("http://dx.doi.org/10.1186/s13567-021-00892-3","http://dx.doi.org/10.1186/s13567-021-00892-3")</f>
        <v>http://dx.doi.org/10.1186/s13567-021-00892-3</v>
      </c>
      <c r="BG1351" t="s">
        <v>74</v>
      </c>
      <c r="BH1351" t="s">
        <v>74</v>
      </c>
      <c r="BI1351" t="s">
        <v>74</v>
      </c>
      <c r="BJ1351" t="s">
        <v>1341</v>
      </c>
      <c r="BK1351" t="s">
        <v>117</v>
      </c>
      <c r="BL1351" t="s">
        <v>1341</v>
      </c>
      <c r="BM1351" t="s">
        <v>74</v>
      </c>
      <c r="BN1351">
        <v>33658079</v>
      </c>
      <c r="BO1351" t="s">
        <v>74</v>
      </c>
      <c r="BP1351" t="s">
        <v>74</v>
      </c>
      <c r="BQ1351" t="s">
        <v>74</v>
      </c>
      <c r="BR1351" t="s">
        <v>96</v>
      </c>
      <c r="BS1351" t="s">
        <v>19021</v>
      </c>
      <c r="BT1351" t="str">
        <f>HYPERLINK("https%3A%2F%2Fwww.webofscience.com%2Fwos%2Fwoscc%2Ffull-record%2FWOS:000625118300001","View Full Record in Web of Science")</f>
        <v>View Full Record in Web of Science</v>
      </c>
    </row>
    <row r="1352" spans="1:72" x14ac:dyDescent="0.15">
      <c r="A1352" t="s">
        <v>98</v>
      </c>
      <c r="B1352" t="s">
        <v>19133</v>
      </c>
      <c r="C1352" t="s">
        <v>74</v>
      </c>
      <c r="D1352" t="s">
        <v>74</v>
      </c>
      <c r="E1352" t="s">
        <v>74</v>
      </c>
      <c r="F1352" t="s">
        <v>19134</v>
      </c>
      <c r="G1352" t="s">
        <v>74</v>
      </c>
      <c r="H1352" t="s">
        <v>74</v>
      </c>
      <c r="I1352" t="s">
        <v>19135</v>
      </c>
      <c r="J1352" t="s">
        <v>19136</v>
      </c>
      <c r="K1352" t="s">
        <v>74</v>
      </c>
      <c r="L1352" t="s">
        <v>74</v>
      </c>
      <c r="M1352" t="s">
        <v>74</v>
      </c>
      <c r="N1352" t="s">
        <v>103</v>
      </c>
      <c r="O1352" t="s">
        <v>74</v>
      </c>
      <c r="P1352" t="s">
        <v>74</v>
      </c>
      <c r="Q1352" t="s">
        <v>74</v>
      </c>
      <c r="R1352" t="s">
        <v>74</v>
      </c>
      <c r="S1352" t="s">
        <v>74</v>
      </c>
      <c r="T1352" t="s">
        <v>74</v>
      </c>
      <c r="U1352" t="s">
        <v>19137</v>
      </c>
      <c r="V1352" t="s">
        <v>19138</v>
      </c>
      <c r="W1352" t="s">
        <v>19139</v>
      </c>
      <c r="X1352" t="s">
        <v>19140</v>
      </c>
      <c r="Y1352" t="s">
        <v>19141</v>
      </c>
      <c r="Z1352" t="s">
        <v>19142</v>
      </c>
      <c r="AA1352" t="s">
        <v>74</v>
      </c>
      <c r="AB1352" t="s">
        <v>19143</v>
      </c>
      <c r="AC1352" t="s">
        <v>74</v>
      </c>
      <c r="AD1352" t="s">
        <v>74</v>
      </c>
      <c r="AE1352" t="s">
        <v>74</v>
      </c>
      <c r="AF1352" t="s">
        <v>74</v>
      </c>
      <c r="AG1352">
        <v>15</v>
      </c>
      <c r="AH1352">
        <v>7</v>
      </c>
      <c r="AI1352">
        <v>7</v>
      </c>
      <c r="AJ1352">
        <v>3</v>
      </c>
      <c r="AK1352">
        <v>30</v>
      </c>
      <c r="AL1352" t="s">
        <v>74</v>
      </c>
      <c r="AM1352" t="s">
        <v>74</v>
      </c>
      <c r="AN1352" t="s">
        <v>74</v>
      </c>
      <c r="AO1352" t="s">
        <v>19144</v>
      </c>
      <c r="AP1352" t="s">
        <v>74</v>
      </c>
      <c r="AQ1352" t="s">
        <v>74</v>
      </c>
      <c r="AR1352" t="s">
        <v>74</v>
      </c>
      <c r="AS1352" t="s">
        <v>74</v>
      </c>
      <c r="AT1352" t="s">
        <v>565</v>
      </c>
      <c r="AU1352">
        <v>2019</v>
      </c>
      <c r="AV1352">
        <v>13</v>
      </c>
      <c r="AW1352">
        <v>2</v>
      </c>
      <c r="AX1352" t="s">
        <v>74</v>
      </c>
      <c r="AY1352" t="s">
        <v>74</v>
      </c>
      <c r="AZ1352" t="s">
        <v>74</v>
      </c>
      <c r="BA1352" t="s">
        <v>74</v>
      </c>
      <c r="BB1352" t="s">
        <v>74</v>
      </c>
      <c r="BC1352" t="s">
        <v>74</v>
      </c>
      <c r="BD1352">
        <v>24113</v>
      </c>
      <c r="BE1352" t="s">
        <v>19145</v>
      </c>
      <c r="BF1352" t="str">
        <f>HYPERLINK("http://dx.doi.org/10.1063/1.5100009","http://dx.doi.org/10.1063/1.5100009")</f>
        <v>http://dx.doi.org/10.1063/1.5100009</v>
      </c>
      <c r="BG1352" t="s">
        <v>74</v>
      </c>
      <c r="BH1352" t="s">
        <v>74</v>
      </c>
      <c r="BI1352" t="s">
        <v>74</v>
      </c>
      <c r="BJ1352" t="s">
        <v>19146</v>
      </c>
      <c r="BK1352" t="s">
        <v>117</v>
      </c>
      <c r="BL1352" t="s">
        <v>19147</v>
      </c>
      <c r="BM1352" t="s">
        <v>74</v>
      </c>
      <c r="BN1352">
        <v>31110597</v>
      </c>
      <c r="BO1352" t="s">
        <v>74</v>
      </c>
      <c r="BP1352" t="s">
        <v>74</v>
      </c>
      <c r="BQ1352" t="s">
        <v>74</v>
      </c>
      <c r="BR1352" t="s">
        <v>96</v>
      </c>
      <c r="BS1352" t="s">
        <v>19148</v>
      </c>
      <c r="BT1352" t="str">
        <f>HYPERLINK("https%3A%2F%2Fwww.webofscience.com%2Fwos%2Fwoscc%2Ffull-record%2FWOS:000466616200013","View Full Record in Web of Science")</f>
        <v>View Full Record in Web of Science</v>
      </c>
    </row>
    <row r="1353" spans="1:72" x14ac:dyDescent="0.15">
      <c r="A1353" t="s">
        <v>98</v>
      </c>
      <c r="B1353" t="s">
        <v>19835</v>
      </c>
      <c r="C1353" t="s">
        <v>74</v>
      </c>
      <c r="D1353" t="s">
        <v>74</v>
      </c>
      <c r="E1353" t="s">
        <v>74</v>
      </c>
      <c r="F1353" t="s">
        <v>19836</v>
      </c>
      <c r="G1353" t="s">
        <v>74</v>
      </c>
      <c r="H1353" t="s">
        <v>74</v>
      </c>
      <c r="I1353" t="s">
        <v>19837</v>
      </c>
      <c r="J1353" t="s">
        <v>19838</v>
      </c>
      <c r="K1353" t="s">
        <v>74</v>
      </c>
      <c r="L1353" t="s">
        <v>74</v>
      </c>
      <c r="M1353" t="s">
        <v>74</v>
      </c>
      <c r="N1353" t="s">
        <v>103</v>
      </c>
      <c r="O1353" t="s">
        <v>74</v>
      </c>
      <c r="P1353" t="s">
        <v>74</v>
      </c>
      <c r="Q1353" t="s">
        <v>74</v>
      </c>
      <c r="R1353" t="s">
        <v>74</v>
      </c>
      <c r="S1353" t="s">
        <v>74</v>
      </c>
      <c r="T1353" t="s">
        <v>19839</v>
      </c>
      <c r="U1353" t="s">
        <v>19840</v>
      </c>
      <c r="V1353" t="s">
        <v>19841</v>
      </c>
      <c r="W1353" t="s">
        <v>19842</v>
      </c>
      <c r="X1353" t="s">
        <v>19843</v>
      </c>
      <c r="Y1353" t="s">
        <v>19844</v>
      </c>
      <c r="Z1353" t="s">
        <v>19845</v>
      </c>
      <c r="AA1353" t="s">
        <v>19846</v>
      </c>
      <c r="AB1353" t="s">
        <v>19847</v>
      </c>
      <c r="AC1353" t="s">
        <v>74</v>
      </c>
      <c r="AD1353" t="s">
        <v>74</v>
      </c>
      <c r="AE1353" t="s">
        <v>74</v>
      </c>
      <c r="AF1353" t="s">
        <v>74</v>
      </c>
      <c r="AG1353">
        <v>138</v>
      </c>
      <c r="AH1353">
        <v>7</v>
      </c>
      <c r="AI1353">
        <v>7</v>
      </c>
      <c r="AJ1353">
        <v>1</v>
      </c>
      <c r="AK1353">
        <v>4</v>
      </c>
      <c r="AL1353" t="s">
        <v>74</v>
      </c>
      <c r="AM1353" t="s">
        <v>74</v>
      </c>
      <c r="AN1353" t="s">
        <v>74</v>
      </c>
      <c r="AO1353" t="s">
        <v>19848</v>
      </c>
      <c r="AP1353" t="s">
        <v>74</v>
      </c>
      <c r="AQ1353" t="s">
        <v>74</v>
      </c>
      <c r="AR1353" t="s">
        <v>74</v>
      </c>
      <c r="AS1353" t="s">
        <v>74</v>
      </c>
      <c r="AT1353" t="s">
        <v>114</v>
      </c>
      <c r="AU1353">
        <v>2021</v>
      </c>
      <c r="AV1353">
        <v>14</v>
      </c>
      <c r="AW1353">
        <v>1</v>
      </c>
      <c r="AX1353" t="s">
        <v>74</v>
      </c>
      <c r="AY1353" t="s">
        <v>74</v>
      </c>
      <c r="AZ1353" t="s">
        <v>74</v>
      </c>
      <c r="BA1353" t="s">
        <v>74</v>
      </c>
      <c r="BB1353" t="s">
        <v>74</v>
      </c>
      <c r="BC1353" t="s">
        <v>74</v>
      </c>
      <c r="BD1353">
        <v>100965</v>
      </c>
      <c r="BE1353" t="s">
        <v>19849</v>
      </c>
      <c r="BF1353" t="str">
        <f>HYPERLINK("http://dx.doi.org/10.1016/j.tranon.2020.100965","http://dx.doi.org/10.1016/j.tranon.2020.100965")</f>
        <v>http://dx.doi.org/10.1016/j.tranon.2020.100965</v>
      </c>
      <c r="BG1353" t="s">
        <v>74</v>
      </c>
      <c r="BH1353" t="s">
        <v>74</v>
      </c>
      <c r="BI1353" t="s">
        <v>74</v>
      </c>
      <c r="BJ1353" t="s">
        <v>267</v>
      </c>
      <c r="BK1353" t="s">
        <v>117</v>
      </c>
      <c r="BL1353" t="s">
        <v>267</v>
      </c>
      <c r="BM1353" t="s">
        <v>74</v>
      </c>
      <c r="BN1353">
        <v>33248412</v>
      </c>
      <c r="BO1353" t="s">
        <v>74</v>
      </c>
      <c r="BP1353" t="s">
        <v>74</v>
      </c>
      <c r="BQ1353" t="s">
        <v>74</v>
      </c>
      <c r="BR1353" t="s">
        <v>96</v>
      </c>
      <c r="BS1353" t="s">
        <v>19850</v>
      </c>
      <c r="BT1353" t="str">
        <f>HYPERLINK("https%3A%2F%2Fwww.webofscience.com%2Fwos%2Fwoscc%2Ffull-record%2FWOS:000604582300002","View Full Record in Web of Science")</f>
        <v>View Full Record in Web of Science</v>
      </c>
    </row>
    <row r="1354" spans="1:72" x14ac:dyDescent="0.15">
      <c r="A1354" t="s">
        <v>98</v>
      </c>
      <c r="B1354" t="s">
        <v>20301</v>
      </c>
      <c r="C1354" t="s">
        <v>74</v>
      </c>
      <c r="D1354" t="s">
        <v>74</v>
      </c>
      <c r="E1354" t="s">
        <v>74</v>
      </c>
      <c r="F1354" t="s">
        <v>20302</v>
      </c>
      <c r="G1354" t="s">
        <v>74</v>
      </c>
      <c r="H1354" t="s">
        <v>74</v>
      </c>
      <c r="I1354" t="s">
        <v>20303</v>
      </c>
      <c r="J1354" t="s">
        <v>4519</v>
      </c>
      <c r="K1354" t="s">
        <v>74</v>
      </c>
      <c r="L1354" t="s">
        <v>74</v>
      </c>
      <c r="M1354" t="s">
        <v>74</v>
      </c>
      <c r="N1354" t="s">
        <v>103</v>
      </c>
      <c r="O1354" t="s">
        <v>74</v>
      </c>
      <c r="P1354" t="s">
        <v>74</v>
      </c>
      <c r="Q1354" t="s">
        <v>74</v>
      </c>
      <c r="R1354" t="s">
        <v>74</v>
      </c>
      <c r="S1354" t="s">
        <v>74</v>
      </c>
      <c r="T1354" t="s">
        <v>74</v>
      </c>
      <c r="U1354" t="s">
        <v>20304</v>
      </c>
      <c r="V1354" t="s">
        <v>20305</v>
      </c>
      <c r="W1354" t="s">
        <v>20306</v>
      </c>
      <c r="X1354" t="s">
        <v>20307</v>
      </c>
      <c r="Y1354" t="s">
        <v>20308</v>
      </c>
      <c r="Z1354" t="s">
        <v>20309</v>
      </c>
      <c r="AA1354" t="s">
        <v>20310</v>
      </c>
      <c r="AB1354" t="s">
        <v>20311</v>
      </c>
      <c r="AC1354" t="s">
        <v>74</v>
      </c>
      <c r="AD1354" t="s">
        <v>74</v>
      </c>
      <c r="AE1354" t="s">
        <v>74</v>
      </c>
      <c r="AF1354" t="s">
        <v>74</v>
      </c>
      <c r="AG1354">
        <v>45</v>
      </c>
      <c r="AH1354">
        <v>7</v>
      </c>
      <c r="AI1354">
        <v>7</v>
      </c>
      <c r="AJ1354">
        <v>1</v>
      </c>
      <c r="AK1354">
        <v>18</v>
      </c>
      <c r="AL1354" t="s">
        <v>74</v>
      </c>
      <c r="AM1354" t="s">
        <v>74</v>
      </c>
      <c r="AN1354" t="s">
        <v>74</v>
      </c>
      <c r="AO1354" t="s">
        <v>4528</v>
      </c>
      <c r="AP1354" t="s">
        <v>4529</v>
      </c>
      <c r="AQ1354" t="s">
        <v>74</v>
      </c>
      <c r="AR1354" t="s">
        <v>74</v>
      </c>
      <c r="AS1354" t="s">
        <v>74</v>
      </c>
      <c r="AT1354" t="s">
        <v>6741</v>
      </c>
      <c r="AU1354">
        <v>2018</v>
      </c>
      <c r="AV1354">
        <v>10</v>
      </c>
      <c r="AW1354">
        <v>16</v>
      </c>
      <c r="AX1354" t="s">
        <v>74</v>
      </c>
      <c r="AY1354" t="s">
        <v>74</v>
      </c>
      <c r="AZ1354" t="s">
        <v>74</v>
      </c>
      <c r="BA1354" t="s">
        <v>74</v>
      </c>
      <c r="BB1354">
        <v>7769</v>
      </c>
      <c r="BC1354">
        <v>7779</v>
      </c>
      <c r="BD1354" t="s">
        <v>74</v>
      </c>
      <c r="BE1354" t="s">
        <v>20312</v>
      </c>
      <c r="BF1354" t="str">
        <f>HYPERLINK("http://dx.doi.org/10.1039/c8nr00196k","http://dx.doi.org/10.1039/c8nr00196k")</f>
        <v>http://dx.doi.org/10.1039/c8nr00196k</v>
      </c>
      <c r="BG1354" t="s">
        <v>74</v>
      </c>
      <c r="BH1354" t="s">
        <v>74</v>
      </c>
      <c r="BI1354" t="s">
        <v>74</v>
      </c>
      <c r="BJ1354" t="s">
        <v>4532</v>
      </c>
      <c r="BK1354" t="s">
        <v>117</v>
      </c>
      <c r="BL1354" t="s">
        <v>251</v>
      </c>
      <c r="BM1354" t="s">
        <v>74</v>
      </c>
      <c r="BN1354">
        <v>29658555</v>
      </c>
      <c r="BO1354" t="s">
        <v>74</v>
      </c>
      <c r="BP1354" t="s">
        <v>74</v>
      </c>
      <c r="BQ1354" t="s">
        <v>74</v>
      </c>
      <c r="BR1354" t="s">
        <v>96</v>
      </c>
      <c r="BS1354" t="s">
        <v>20313</v>
      </c>
      <c r="BT1354" t="str">
        <f>HYPERLINK("https%3A%2F%2Fwww.webofscience.com%2Fwos%2Fwoscc%2Ffull-record%2FWOS:000431030000051","View Full Record in Web of Science")</f>
        <v>View Full Record in Web of Science</v>
      </c>
    </row>
    <row r="1355" spans="1:72" x14ac:dyDescent="0.15">
      <c r="A1355" t="s">
        <v>98</v>
      </c>
      <c r="B1355" t="s">
        <v>20472</v>
      </c>
      <c r="C1355" t="s">
        <v>74</v>
      </c>
      <c r="D1355" t="s">
        <v>74</v>
      </c>
      <c r="E1355" t="s">
        <v>74</v>
      </c>
      <c r="F1355" t="s">
        <v>20473</v>
      </c>
      <c r="G1355" t="s">
        <v>74</v>
      </c>
      <c r="H1355" t="s">
        <v>74</v>
      </c>
      <c r="I1355" t="s">
        <v>20474</v>
      </c>
      <c r="J1355" t="s">
        <v>5139</v>
      </c>
      <c r="K1355" t="s">
        <v>74</v>
      </c>
      <c r="L1355" t="s">
        <v>74</v>
      </c>
      <c r="M1355" t="s">
        <v>74</v>
      </c>
      <c r="N1355" t="s">
        <v>103</v>
      </c>
      <c r="O1355" t="s">
        <v>74</v>
      </c>
      <c r="P1355" t="s">
        <v>74</v>
      </c>
      <c r="Q1355" t="s">
        <v>74</v>
      </c>
      <c r="R1355" t="s">
        <v>74</v>
      </c>
      <c r="S1355" t="s">
        <v>74</v>
      </c>
      <c r="T1355" t="s">
        <v>74</v>
      </c>
      <c r="U1355" t="s">
        <v>20475</v>
      </c>
      <c r="V1355" t="s">
        <v>20476</v>
      </c>
      <c r="W1355" t="s">
        <v>20477</v>
      </c>
      <c r="X1355" t="s">
        <v>20478</v>
      </c>
      <c r="Y1355" t="s">
        <v>20479</v>
      </c>
      <c r="Z1355" t="s">
        <v>20480</v>
      </c>
      <c r="AA1355" t="s">
        <v>20481</v>
      </c>
      <c r="AB1355" t="s">
        <v>20482</v>
      </c>
      <c r="AC1355" t="s">
        <v>74</v>
      </c>
      <c r="AD1355" t="s">
        <v>74</v>
      </c>
      <c r="AE1355" t="s">
        <v>74</v>
      </c>
      <c r="AF1355" t="s">
        <v>74</v>
      </c>
      <c r="AG1355">
        <v>64</v>
      </c>
      <c r="AH1355">
        <v>7</v>
      </c>
      <c r="AI1355">
        <v>7</v>
      </c>
      <c r="AJ1355">
        <v>6</v>
      </c>
      <c r="AK1355">
        <v>23</v>
      </c>
      <c r="AL1355" t="s">
        <v>74</v>
      </c>
      <c r="AM1355" t="s">
        <v>74</v>
      </c>
      <c r="AN1355" t="s">
        <v>74</v>
      </c>
      <c r="AO1355" t="s">
        <v>74</v>
      </c>
      <c r="AP1355" t="s">
        <v>5148</v>
      </c>
      <c r="AQ1355" t="s">
        <v>74</v>
      </c>
      <c r="AR1355" t="s">
        <v>74</v>
      </c>
      <c r="AS1355" t="s">
        <v>74</v>
      </c>
      <c r="AT1355" t="s">
        <v>930</v>
      </c>
      <c r="AU1355">
        <v>2021</v>
      </c>
      <c r="AV1355">
        <v>12</v>
      </c>
      <c r="AW1355">
        <v>1</v>
      </c>
      <c r="AX1355" t="s">
        <v>74</v>
      </c>
      <c r="AY1355" t="s">
        <v>74</v>
      </c>
      <c r="AZ1355" t="s">
        <v>74</v>
      </c>
      <c r="BA1355" t="s">
        <v>74</v>
      </c>
      <c r="BB1355" t="s">
        <v>74</v>
      </c>
      <c r="BC1355" t="s">
        <v>74</v>
      </c>
      <c r="BD1355">
        <v>5541</v>
      </c>
      <c r="BE1355" t="s">
        <v>20483</v>
      </c>
      <c r="BF1355" t="str">
        <f>HYPERLINK("http://dx.doi.org/10.1038/s41467-021-25839-2","http://dx.doi.org/10.1038/s41467-021-25839-2")</f>
        <v>http://dx.doi.org/10.1038/s41467-021-25839-2</v>
      </c>
      <c r="BG1355" t="s">
        <v>74</v>
      </c>
      <c r="BH1355" t="s">
        <v>74</v>
      </c>
      <c r="BI1355" t="s">
        <v>74</v>
      </c>
      <c r="BJ1355" t="s">
        <v>152</v>
      </c>
      <c r="BK1355" t="s">
        <v>117</v>
      </c>
      <c r="BL1355" t="s">
        <v>153</v>
      </c>
      <c r="BM1355" t="s">
        <v>74</v>
      </c>
      <c r="BN1355">
        <v>34545097</v>
      </c>
      <c r="BO1355" t="s">
        <v>74</v>
      </c>
      <c r="BP1355" t="s">
        <v>74</v>
      </c>
      <c r="BQ1355" t="s">
        <v>74</v>
      </c>
      <c r="BR1355" t="s">
        <v>96</v>
      </c>
      <c r="BS1355" t="s">
        <v>20484</v>
      </c>
      <c r="BT1355" t="str">
        <f>HYPERLINK("https%3A%2F%2Fwww.webofscience.com%2Fwos%2Fwoscc%2Ffull-record%2FWOS:000698606100001","View Full Record in Web of Science")</f>
        <v>View Full Record in Web of Science</v>
      </c>
    </row>
    <row r="1356" spans="1:72" x14ac:dyDescent="0.15">
      <c r="A1356" t="s">
        <v>98</v>
      </c>
      <c r="B1356" t="s">
        <v>21452</v>
      </c>
      <c r="C1356" t="s">
        <v>74</v>
      </c>
      <c r="D1356" t="s">
        <v>74</v>
      </c>
      <c r="E1356" t="s">
        <v>74</v>
      </c>
      <c r="F1356" t="s">
        <v>21453</v>
      </c>
      <c r="G1356" t="s">
        <v>74</v>
      </c>
      <c r="H1356" t="s">
        <v>74</v>
      </c>
      <c r="I1356" t="s">
        <v>21454</v>
      </c>
      <c r="J1356" t="s">
        <v>21455</v>
      </c>
      <c r="K1356" t="s">
        <v>74</v>
      </c>
      <c r="L1356" t="s">
        <v>74</v>
      </c>
      <c r="M1356" t="s">
        <v>74</v>
      </c>
      <c r="N1356" t="s">
        <v>103</v>
      </c>
      <c r="O1356" t="s">
        <v>74</v>
      </c>
      <c r="P1356" t="s">
        <v>74</v>
      </c>
      <c r="Q1356" t="s">
        <v>74</v>
      </c>
      <c r="R1356" t="s">
        <v>74</v>
      </c>
      <c r="S1356" t="s">
        <v>74</v>
      </c>
      <c r="T1356" t="s">
        <v>21456</v>
      </c>
      <c r="U1356" t="s">
        <v>21457</v>
      </c>
      <c r="V1356" t="s">
        <v>21458</v>
      </c>
      <c r="W1356" t="s">
        <v>21459</v>
      </c>
      <c r="X1356" t="s">
        <v>21460</v>
      </c>
      <c r="Y1356" t="s">
        <v>21461</v>
      </c>
      <c r="Z1356" t="s">
        <v>21462</v>
      </c>
      <c r="AA1356" t="s">
        <v>21463</v>
      </c>
      <c r="AB1356" t="s">
        <v>21464</v>
      </c>
      <c r="AC1356" t="s">
        <v>74</v>
      </c>
      <c r="AD1356" t="s">
        <v>74</v>
      </c>
      <c r="AE1356" t="s">
        <v>74</v>
      </c>
      <c r="AF1356" t="s">
        <v>74</v>
      </c>
      <c r="AG1356">
        <v>38</v>
      </c>
      <c r="AH1356">
        <v>7</v>
      </c>
      <c r="AI1356">
        <v>7</v>
      </c>
      <c r="AJ1356">
        <v>12</v>
      </c>
      <c r="AK1356">
        <v>25</v>
      </c>
      <c r="AL1356" t="s">
        <v>74</v>
      </c>
      <c r="AM1356" t="s">
        <v>74</v>
      </c>
      <c r="AN1356" t="s">
        <v>74</v>
      </c>
      <c r="AO1356" t="s">
        <v>21465</v>
      </c>
      <c r="AP1356" t="s">
        <v>74</v>
      </c>
      <c r="AQ1356" t="s">
        <v>74</v>
      </c>
      <c r="AR1356" t="s">
        <v>74</v>
      </c>
      <c r="AS1356" t="s">
        <v>74</v>
      </c>
      <c r="AT1356" t="s">
        <v>3808</v>
      </c>
      <c r="AU1356">
        <v>2021</v>
      </c>
      <c r="AV1356">
        <v>8</v>
      </c>
      <c r="AW1356">
        <v>7</v>
      </c>
      <c r="AX1356" t="s">
        <v>74</v>
      </c>
      <c r="AY1356" t="s">
        <v>74</v>
      </c>
      <c r="AZ1356" t="s">
        <v>74</v>
      </c>
      <c r="BA1356" t="s">
        <v>74</v>
      </c>
      <c r="BB1356">
        <v>2060</v>
      </c>
      <c r="BC1356">
        <v>2066</v>
      </c>
      <c r="BD1356" t="s">
        <v>74</v>
      </c>
      <c r="BE1356" t="s">
        <v>21466</v>
      </c>
      <c r="BF1356" t="str">
        <f>HYPERLINK("http://dx.doi.org/10.1021/acsphotonics.1c00354","http://dx.doi.org/10.1021/acsphotonics.1c00354")</f>
        <v>http://dx.doi.org/10.1021/acsphotonics.1c00354</v>
      </c>
      <c r="BG1356" t="s">
        <v>74</v>
      </c>
      <c r="BH1356" t="s">
        <v>1136</v>
      </c>
      <c r="BI1356" t="s">
        <v>74</v>
      </c>
      <c r="BJ1356" t="s">
        <v>21467</v>
      </c>
      <c r="BK1356" t="s">
        <v>117</v>
      </c>
      <c r="BL1356" t="s">
        <v>21468</v>
      </c>
      <c r="BM1356" t="s">
        <v>74</v>
      </c>
      <c r="BN1356" t="s">
        <v>74</v>
      </c>
      <c r="BO1356" t="s">
        <v>74</v>
      </c>
      <c r="BP1356" t="s">
        <v>74</v>
      </c>
      <c r="BQ1356" t="s">
        <v>74</v>
      </c>
      <c r="BR1356" t="s">
        <v>96</v>
      </c>
      <c r="BS1356" t="s">
        <v>21469</v>
      </c>
      <c r="BT1356" t="str">
        <f>HYPERLINK("https%3A%2F%2Fwww.webofscience.com%2Fwos%2Fwoscc%2Ffull-record%2FWOS:000677543700025","View Full Record in Web of Science")</f>
        <v>View Full Record in Web of Science</v>
      </c>
    </row>
    <row r="1357" spans="1:72" x14ac:dyDescent="0.15">
      <c r="A1357" t="s">
        <v>98</v>
      </c>
      <c r="B1357" t="s">
        <v>21530</v>
      </c>
      <c r="C1357" t="s">
        <v>74</v>
      </c>
      <c r="D1357" t="s">
        <v>74</v>
      </c>
      <c r="E1357" t="s">
        <v>74</v>
      </c>
      <c r="F1357" t="s">
        <v>21531</v>
      </c>
      <c r="G1357" t="s">
        <v>74</v>
      </c>
      <c r="H1357" t="s">
        <v>74</v>
      </c>
      <c r="I1357" t="s">
        <v>21532</v>
      </c>
      <c r="J1357" t="s">
        <v>140</v>
      </c>
      <c r="K1357" t="s">
        <v>74</v>
      </c>
      <c r="L1357" t="s">
        <v>74</v>
      </c>
      <c r="M1357" t="s">
        <v>74</v>
      </c>
      <c r="N1357" t="s">
        <v>103</v>
      </c>
      <c r="O1357" t="s">
        <v>74</v>
      </c>
      <c r="P1357" t="s">
        <v>74</v>
      </c>
      <c r="Q1357" t="s">
        <v>74</v>
      </c>
      <c r="R1357" t="s">
        <v>74</v>
      </c>
      <c r="S1357" t="s">
        <v>74</v>
      </c>
      <c r="T1357" t="s">
        <v>74</v>
      </c>
      <c r="U1357" t="s">
        <v>21533</v>
      </c>
      <c r="V1357" t="s">
        <v>21534</v>
      </c>
      <c r="W1357" t="s">
        <v>21535</v>
      </c>
      <c r="X1357" t="s">
        <v>21536</v>
      </c>
      <c r="Y1357" t="s">
        <v>21537</v>
      </c>
      <c r="Z1357" t="s">
        <v>21538</v>
      </c>
      <c r="AA1357" t="s">
        <v>21539</v>
      </c>
      <c r="AB1357" t="s">
        <v>21540</v>
      </c>
      <c r="AC1357" t="s">
        <v>74</v>
      </c>
      <c r="AD1357" t="s">
        <v>74</v>
      </c>
      <c r="AE1357" t="s">
        <v>74</v>
      </c>
      <c r="AF1357" t="s">
        <v>74</v>
      </c>
      <c r="AG1357">
        <v>52</v>
      </c>
      <c r="AH1357">
        <v>7</v>
      </c>
      <c r="AI1357">
        <v>7</v>
      </c>
      <c r="AJ1357">
        <v>4</v>
      </c>
      <c r="AK1357">
        <v>5</v>
      </c>
      <c r="AL1357" t="s">
        <v>74</v>
      </c>
      <c r="AM1357" t="s">
        <v>74</v>
      </c>
      <c r="AN1357" t="s">
        <v>74</v>
      </c>
      <c r="AO1357" t="s">
        <v>149</v>
      </c>
      <c r="AP1357" t="s">
        <v>74</v>
      </c>
      <c r="AQ1357" t="s">
        <v>74</v>
      </c>
      <c r="AR1357" t="s">
        <v>74</v>
      </c>
      <c r="AS1357" t="s">
        <v>74</v>
      </c>
      <c r="AT1357" t="s">
        <v>21541</v>
      </c>
      <c r="AU1357">
        <v>2021</v>
      </c>
      <c r="AV1357">
        <v>11</v>
      </c>
      <c r="AW1357">
        <v>1</v>
      </c>
      <c r="AX1357" t="s">
        <v>74</v>
      </c>
      <c r="AY1357" t="s">
        <v>74</v>
      </c>
      <c r="AZ1357" t="s">
        <v>74</v>
      </c>
      <c r="BA1357" t="s">
        <v>74</v>
      </c>
      <c r="BB1357" t="s">
        <v>74</v>
      </c>
      <c r="BC1357" t="s">
        <v>74</v>
      </c>
      <c r="BD1357">
        <v>10977</v>
      </c>
      <c r="BE1357" t="s">
        <v>21542</v>
      </c>
      <c r="BF1357" t="str">
        <f>HYPERLINK("http://dx.doi.org/10.1038/s41598-021-90463-5","http://dx.doi.org/10.1038/s41598-021-90463-5")</f>
        <v>http://dx.doi.org/10.1038/s41598-021-90463-5</v>
      </c>
      <c r="BG1357" t="s">
        <v>74</v>
      </c>
      <c r="BH1357" t="s">
        <v>74</v>
      </c>
      <c r="BI1357" t="s">
        <v>74</v>
      </c>
      <c r="BJ1357" t="s">
        <v>152</v>
      </c>
      <c r="BK1357" t="s">
        <v>117</v>
      </c>
      <c r="BL1357" t="s">
        <v>153</v>
      </c>
      <c r="BM1357" t="s">
        <v>74</v>
      </c>
      <c r="BN1357">
        <v>34040060</v>
      </c>
      <c r="BO1357" t="s">
        <v>74</v>
      </c>
      <c r="BP1357" t="s">
        <v>74</v>
      </c>
      <c r="BQ1357" t="s">
        <v>74</v>
      </c>
      <c r="BR1357" t="s">
        <v>96</v>
      </c>
      <c r="BS1357" t="s">
        <v>21543</v>
      </c>
      <c r="BT1357" t="str">
        <f>HYPERLINK("https%3A%2F%2Fwww.webofscience.com%2Fwos%2Fwoscc%2Ffull-record%2FWOS:000659147000011","View Full Record in Web of Science")</f>
        <v>View Full Record in Web of Science</v>
      </c>
    </row>
    <row r="1358" spans="1:72" x14ac:dyDescent="0.15">
      <c r="A1358" t="s">
        <v>98</v>
      </c>
      <c r="B1358" t="s">
        <v>22494</v>
      </c>
      <c r="C1358" t="s">
        <v>74</v>
      </c>
      <c r="D1358" t="s">
        <v>74</v>
      </c>
      <c r="E1358" t="s">
        <v>74</v>
      </c>
      <c r="F1358" t="s">
        <v>22495</v>
      </c>
      <c r="G1358" t="s">
        <v>74</v>
      </c>
      <c r="H1358" t="s">
        <v>74</v>
      </c>
      <c r="I1358" t="s">
        <v>22496</v>
      </c>
      <c r="J1358" t="s">
        <v>22497</v>
      </c>
      <c r="K1358" t="s">
        <v>74</v>
      </c>
      <c r="L1358" t="s">
        <v>74</v>
      </c>
      <c r="M1358" t="s">
        <v>74</v>
      </c>
      <c r="N1358" t="s">
        <v>103</v>
      </c>
      <c r="O1358" t="s">
        <v>74</v>
      </c>
      <c r="P1358" t="s">
        <v>74</v>
      </c>
      <c r="Q1358" t="s">
        <v>74</v>
      </c>
      <c r="R1358" t="s">
        <v>74</v>
      </c>
      <c r="S1358" t="s">
        <v>74</v>
      </c>
      <c r="T1358" t="s">
        <v>22498</v>
      </c>
      <c r="U1358" t="s">
        <v>22499</v>
      </c>
      <c r="V1358" t="s">
        <v>22500</v>
      </c>
      <c r="W1358" t="s">
        <v>22501</v>
      </c>
      <c r="X1358" t="s">
        <v>22502</v>
      </c>
      <c r="Y1358" t="s">
        <v>22503</v>
      </c>
      <c r="Z1358" t="s">
        <v>22504</v>
      </c>
      <c r="AA1358" t="s">
        <v>74</v>
      </c>
      <c r="AB1358" t="s">
        <v>22505</v>
      </c>
      <c r="AC1358" t="s">
        <v>74</v>
      </c>
      <c r="AD1358" t="s">
        <v>74</v>
      </c>
      <c r="AE1358" t="s">
        <v>74</v>
      </c>
      <c r="AF1358" t="s">
        <v>74</v>
      </c>
      <c r="AG1358">
        <v>39</v>
      </c>
      <c r="AH1358">
        <v>7</v>
      </c>
      <c r="AI1358">
        <v>8</v>
      </c>
      <c r="AJ1358">
        <v>2</v>
      </c>
      <c r="AK1358">
        <v>9</v>
      </c>
      <c r="AL1358" t="s">
        <v>74</v>
      </c>
      <c r="AM1358" t="s">
        <v>74</v>
      </c>
      <c r="AN1358" t="s">
        <v>74</v>
      </c>
      <c r="AO1358" t="s">
        <v>22506</v>
      </c>
      <c r="AP1358" t="s">
        <v>22507</v>
      </c>
      <c r="AQ1358" t="s">
        <v>74</v>
      </c>
      <c r="AR1358" t="s">
        <v>74</v>
      </c>
      <c r="AS1358" t="s">
        <v>74</v>
      </c>
      <c r="AT1358" t="s">
        <v>189</v>
      </c>
      <c r="AU1358">
        <v>2020</v>
      </c>
      <c r="AV1358">
        <v>245</v>
      </c>
      <c r="AW1358">
        <v>16</v>
      </c>
      <c r="AX1358" t="s">
        <v>74</v>
      </c>
      <c r="AY1358" t="s">
        <v>74</v>
      </c>
      <c r="AZ1358" t="s">
        <v>74</v>
      </c>
      <c r="BA1358" t="s">
        <v>74</v>
      </c>
      <c r="BB1358">
        <v>1428</v>
      </c>
      <c r="BC1358">
        <v>1436</v>
      </c>
      <c r="BD1358">
        <v>1535370220945987</v>
      </c>
      <c r="BE1358" t="s">
        <v>22508</v>
      </c>
      <c r="BF1358" t="str">
        <f>HYPERLINK("http://dx.doi.org/10.1177/1535370220945987","http://dx.doi.org/10.1177/1535370220945987")</f>
        <v>http://dx.doi.org/10.1177/1535370220945987</v>
      </c>
      <c r="BG1358" t="s">
        <v>74</v>
      </c>
      <c r="BH1358" t="s">
        <v>1323</v>
      </c>
      <c r="BI1358" t="s">
        <v>74</v>
      </c>
      <c r="BJ1358" t="s">
        <v>795</v>
      </c>
      <c r="BK1358" t="s">
        <v>117</v>
      </c>
      <c r="BL1358" t="s">
        <v>796</v>
      </c>
      <c r="BM1358" t="s">
        <v>74</v>
      </c>
      <c r="BN1358">
        <v>32741216</v>
      </c>
      <c r="BO1358" t="s">
        <v>74</v>
      </c>
      <c r="BP1358" t="s">
        <v>74</v>
      </c>
      <c r="BQ1358" t="s">
        <v>74</v>
      </c>
      <c r="BR1358" t="s">
        <v>96</v>
      </c>
      <c r="BS1358" t="s">
        <v>22509</v>
      </c>
      <c r="BT1358" t="str">
        <f>HYPERLINK("https%3A%2F%2Fwww.webofscience.com%2Fwos%2Fwoscc%2Ffull-record%2FWOS:000555006900001","View Full Record in Web of Science")</f>
        <v>View Full Record in Web of Science</v>
      </c>
    </row>
    <row r="1359" spans="1:72" x14ac:dyDescent="0.15">
      <c r="A1359" t="s">
        <v>98</v>
      </c>
      <c r="B1359" t="s">
        <v>22742</v>
      </c>
      <c r="C1359" t="s">
        <v>74</v>
      </c>
      <c r="D1359" t="s">
        <v>74</v>
      </c>
      <c r="E1359" t="s">
        <v>74</v>
      </c>
      <c r="F1359" t="s">
        <v>22743</v>
      </c>
      <c r="G1359" t="s">
        <v>74</v>
      </c>
      <c r="H1359" t="s">
        <v>74</v>
      </c>
      <c r="I1359" t="s">
        <v>22744</v>
      </c>
      <c r="J1359" t="s">
        <v>903</v>
      </c>
      <c r="K1359" t="s">
        <v>74</v>
      </c>
      <c r="L1359" t="s">
        <v>74</v>
      </c>
      <c r="M1359" t="s">
        <v>74</v>
      </c>
      <c r="N1359" t="s">
        <v>103</v>
      </c>
      <c r="O1359" t="s">
        <v>74</v>
      </c>
      <c r="P1359" t="s">
        <v>74</v>
      </c>
      <c r="Q1359" t="s">
        <v>74</v>
      </c>
      <c r="R1359" t="s">
        <v>74</v>
      </c>
      <c r="S1359" t="s">
        <v>74</v>
      </c>
      <c r="T1359" t="s">
        <v>22745</v>
      </c>
      <c r="U1359" t="s">
        <v>22746</v>
      </c>
      <c r="V1359" t="s">
        <v>22747</v>
      </c>
      <c r="W1359" t="s">
        <v>22748</v>
      </c>
      <c r="X1359" t="s">
        <v>22749</v>
      </c>
      <c r="Y1359" t="s">
        <v>22750</v>
      </c>
      <c r="Z1359" t="s">
        <v>22751</v>
      </c>
      <c r="AA1359" t="s">
        <v>22752</v>
      </c>
      <c r="AB1359" t="s">
        <v>22753</v>
      </c>
      <c r="AC1359" t="s">
        <v>74</v>
      </c>
      <c r="AD1359" t="s">
        <v>74</v>
      </c>
      <c r="AE1359" t="s">
        <v>74</v>
      </c>
      <c r="AF1359" t="s">
        <v>74</v>
      </c>
      <c r="AG1359">
        <v>79</v>
      </c>
      <c r="AH1359">
        <v>7</v>
      </c>
      <c r="AI1359">
        <v>7</v>
      </c>
      <c r="AJ1359">
        <v>0</v>
      </c>
      <c r="AK1359">
        <v>5</v>
      </c>
      <c r="AL1359" t="s">
        <v>74</v>
      </c>
      <c r="AM1359" t="s">
        <v>74</v>
      </c>
      <c r="AN1359" t="s">
        <v>74</v>
      </c>
      <c r="AO1359" t="s">
        <v>74</v>
      </c>
      <c r="AP1359" t="s">
        <v>913</v>
      </c>
      <c r="AQ1359" t="s">
        <v>74</v>
      </c>
      <c r="AR1359" t="s">
        <v>74</v>
      </c>
      <c r="AS1359" t="s">
        <v>74</v>
      </c>
      <c r="AT1359" t="s">
        <v>114</v>
      </c>
      <c r="AU1359">
        <v>2020</v>
      </c>
      <c r="AV1359">
        <v>12</v>
      </c>
      <c r="AW1359">
        <v>1</v>
      </c>
      <c r="AX1359" t="s">
        <v>74</v>
      </c>
      <c r="AY1359" t="s">
        <v>74</v>
      </c>
      <c r="AZ1359" t="s">
        <v>74</v>
      </c>
      <c r="BA1359" t="s">
        <v>74</v>
      </c>
      <c r="BB1359" t="s">
        <v>74</v>
      </c>
      <c r="BC1359" t="s">
        <v>74</v>
      </c>
      <c r="BD1359">
        <v>110</v>
      </c>
      <c r="BE1359" t="s">
        <v>22754</v>
      </c>
      <c r="BF1359" t="str">
        <f>HYPERLINK("http://dx.doi.org/10.3390/cancers12010110","http://dx.doi.org/10.3390/cancers12010110")</f>
        <v>http://dx.doi.org/10.3390/cancers12010110</v>
      </c>
      <c r="BG1359" t="s">
        <v>74</v>
      </c>
      <c r="BH1359" t="s">
        <v>74</v>
      </c>
      <c r="BI1359" t="s">
        <v>74</v>
      </c>
      <c r="BJ1359" t="s">
        <v>267</v>
      </c>
      <c r="BK1359" t="s">
        <v>117</v>
      </c>
      <c r="BL1359" t="s">
        <v>267</v>
      </c>
      <c r="BM1359" t="s">
        <v>74</v>
      </c>
      <c r="BN1359">
        <v>31906275</v>
      </c>
      <c r="BO1359" t="s">
        <v>74</v>
      </c>
      <c r="BP1359" t="s">
        <v>74</v>
      </c>
      <c r="BQ1359" t="s">
        <v>74</v>
      </c>
      <c r="BR1359" t="s">
        <v>96</v>
      </c>
      <c r="BS1359" t="s">
        <v>22755</v>
      </c>
      <c r="BT1359" t="str">
        <f>HYPERLINK("https%3A%2F%2Fwww.webofscience.com%2Fwos%2Fwoscc%2Ffull-record%2FWOS:000516826700110","View Full Record in Web of Science")</f>
        <v>View Full Record in Web of Science</v>
      </c>
    </row>
    <row r="1360" spans="1:72" x14ac:dyDescent="0.15">
      <c r="A1360" t="s">
        <v>98</v>
      </c>
      <c r="B1360" t="s">
        <v>22932</v>
      </c>
      <c r="C1360" t="s">
        <v>74</v>
      </c>
      <c r="D1360" t="s">
        <v>74</v>
      </c>
      <c r="E1360" t="s">
        <v>74</v>
      </c>
      <c r="F1360" t="s">
        <v>22933</v>
      </c>
      <c r="G1360" t="s">
        <v>74</v>
      </c>
      <c r="H1360" t="s">
        <v>74</v>
      </c>
      <c r="I1360" t="s">
        <v>22934</v>
      </c>
      <c r="J1360" t="s">
        <v>3700</v>
      </c>
      <c r="K1360" t="s">
        <v>74</v>
      </c>
      <c r="L1360" t="s">
        <v>74</v>
      </c>
      <c r="M1360" t="s">
        <v>74</v>
      </c>
      <c r="N1360" t="s">
        <v>103</v>
      </c>
      <c r="O1360" t="s">
        <v>74</v>
      </c>
      <c r="P1360" t="s">
        <v>74</v>
      </c>
      <c r="Q1360" t="s">
        <v>74</v>
      </c>
      <c r="R1360" t="s">
        <v>74</v>
      </c>
      <c r="S1360" t="s">
        <v>74</v>
      </c>
      <c r="T1360" t="s">
        <v>74</v>
      </c>
      <c r="U1360" t="s">
        <v>22935</v>
      </c>
      <c r="V1360" t="s">
        <v>22936</v>
      </c>
      <c r="W1360" t="s">
        <v>22937</v>
      </c>
      <c r="X1360" t="s">
        <v>22938</v>
      </c>
      <c r="Y1360" t="s">
        <v>22939</v>
      </c>
      <c r="Z1360" t="s">
        <v>22940</v>
      </c>
      <c r="AA1360" t="s">
        <v>74</v>
      </c>
      <c r="AB1360" t="s">
        <v>22941</v>
      </c>
      <c r="AC1360" t="s">
        <v>74</v>
      </c>
      <c r="AD1360" t="s">
        <v>74</v>
      </c>
      <c r="AE1360" t="s">
        <v>74</v>
      </c>
      <c r="AF1360" t="s">
        <v>74</v>
      </c>
      <c r="AG1360">
        <v>76</v>
      </c>
      <c r="AH1360">
        <v>7</v>
      </c>
      <c r="AI1360">
        <v>7</v>
      </c>
      <c r="AJ1360">
        <v>9</v>
      </c>
      <c r="AK1360">
        <v>21</v>
      </c>
      <c r="AL1360" t="s">
        <v>74</v>
      </c>
      <c r="AM1360" t="s">
        <v>74</v>
      </c>
      <c r="AN1360" t="s">
        <v>74</v>
      </c>
      <c r="AO1360" t="s">
        <v>74</v>
      </c>
      <c r="AP1360" t="s">
        <v>3711</v>
      </c>
      <c r="AQ1360" t="s">
        <v>74</v>
      </c>
      <c r="AR1360" t="s">
        <v>74</v>
      </c>
      <c r="AS1360" t="s">
        <v>74</v>
      </c>
      <c r="AT1360" t="s">
        <v>211</v>
      </c>
      <c r="AU1360">
        <v>2021</v>
      </c>
      <c r="AV1360">
        <v>297</v>
      </c>
      <c r="AW1360">
        <v>5</v>
      </c>
      <c r="AX1360" t="s">
        <v>74</v>
      </c>
      <c r="AY1360" t="s">
        <v>74</v>
      </c>
      <c r="AZ1360" t="s">
        <v>74</v>
      </c>
      <c r="BA1360" t="s">
        <v>74</v>
      </c>
      <c r="BB1360" t="s">
        <v>74</v>
      </c>
      <c r="BC1360" t="s">
        <v>74</v>
      </c>
      <c r="BD1360">
        <v>101266</v>
      </c>
      <c r="BE1360" t="s">
        <v>22942</v>
      </c>
      <c r="BF1360" t="str">
        <f>HYPERLINK("http://dx.doi.org/10.1016/j.jbc.2021.101266","http://dx.doi.org/10.1016/j.jbc.2021.101266")</f>
        <v>http://dx.doi.org/10.1016/j.jbc.2021.101266</v>
      </c>
      <c r="BG1360" t="s">
        <v>74</v>
      </c>
      <c r="BH1360" t="s">
        <v>74</v>
      </c>
      <c r="BI1360" t="s">
        <v>74</v>
      </c>
      <c r="BJ1360" t="s">
        <v>95</v>
      </c>
      <c r="BK1360" t="s">
        <v>117</v>
      </c>
      <c r="BL1360" t="s">
        <v>95</v>
      </c>
      <c r="BM1360" t="s">
        <v>74</v>
      </c>
      <c r="BN1360">
        <v>34600888</v>
      </c>
      <c r="BO1360" t="s">
        <v>74</v>
      </c>
      <c r="BP1360" t="s">
        <v>74</v>
      </c>
      <c r="BQ1360" t="s">
        <v>74</v>
      </c>
      <c r="BR1360" t="s">
        <v>96</v>
      </c>
      <c r="BS1360" t="s">
        <v>22943</v>
      </c>
      <c r="BT1360" t="str">
        <f>HYPERLINK("https%3A%2F%2Fwww.webofscience.com%2Fwos%2Fwoscc%2Ffull-record%2FWOS:000727679000015","View Full Record in Web of Science")</f>
        <v>View Full Record in Web of Science</v>
      </c>
    </row>
    <row r="1361" spans="1:72" x14ac:dyDescent="0.15">
      <c r="A1361" t="s">
        <v>98</v>
      </c>
      <c r="B1361" t="s">
        <v>25551</v>
      </c>
      <c r="C1361" t="s">
        <v>74</v>
      </c>
      <c r="D1361" t="s">
        <v>74</v>
      </c>
      <c r="E1361" t="s">
        <v>74</v>
      </c>
      <c r="F1361" t="s">
        <v>25552</v>
      </c>
      <c r="G1361" t="s">
        <v>74</v>
      </c>
      <c r="H1361" t="s">
        <v>74</v>
      </c>
      <c r="I1361" t="s">
        <v>25553</v>
      </c>
      <c r="J1361" t="s">
        <v>7316</v>
      </c>
      <c r="K1361" t="s">
        <v>74</v>
      </c>
      <c r="L1361" t="s">
        <v>74</v>
      </c>
      <c r="M1361" t="s">
        <v>74</v>
      </c>
      <c r="N1361" t="s">
        <v>103</v>
      </c>
      <c r="O1361" t="s">
        <v>74</v>
      </c>
      <c r="P1361" t="s">
        <v>74</v>
      </c>
      <c r="Q1361" t="s">
        <v>74</v>
      </c>
      <c r="R1361" t="s">
        <v>74</v>
      </c>
      <c r="S1361" t="s">
        <v>74</v>
      </c>
      <c r="T1361" t="s">
        <v>74</v>
      </c>
      <c r="U1361" t="s">
        <v>74</v>
      </c>
      <c r="V1361" t="s">
        <v>25554</v>
      </c>
      <c r="W1361" t="s">
        <v>25555</v>
      </c>
      <c r="X1361" t="s">
        <v>25556</v>
      </c>
      <c r="Y1361" t="s">
        <v>25557</v>
      </c>
      <c r="Z1361" t="s">
        <v>25558</v>
      </c>
      <c r="AA1361" t="s">
        <v>25559</v>
      </c>
      <c r="AB1361" t="s">
        <v>25560</v>
      </c>
      <c r="AC1361" t="s">
        <v>74</v>
      </c>
      <c r="AD1361" t="s">
        <v>74</v>
      </c>
      <c r="AE1361" t="s">
        <v>74</v>
      </c>
      <c r="AF1361" t="s">
        <v>74</v>
      </c>
      <c r="AG1361">
        <v>41</v>
      </c>
      <c r="AH1361">
        <v>7</v>
      </c>
      <c r="AI1361">
        <v>7</v>
      </c>
      <c r="AJ1361">
        <v>16</v>
      </c>
      <c r="AK1361">
        <v>65</v>
      </c>
      <c r="AL1361" t="s">
        <v>74</v>
      </c>
      <c r="AM1361" t="s">
        <v>74</v>
      </c>
      <c r="AN1361" t="s">
        <v>74</v>
      </c>
      <c r="AO1361" t="s">
        <v>7324</v>
      </c>
      <c r="AP1361" t="s">
        <v>7325</v>
      </c>
      <c r="AQ1361" t="s">
        <v>74</v>
      </c>
      <c r="AR1361" t="s">
        <v>74</v>
      </c>
      <c r="AS1361" t="s">
        <v>74</v>
      </c>
      <c r="AT1361" t="s">
        <v>15963</v>
      </c>
      <c r="AU1361">
        <v>2021</v>
      </c>
      <c r="AV1361">
        <v>146</v>
      </c>
      <c r="AW1361">
        <v>6</v>
      </c>
      <c r="AX1361" t="s">
        <v>74</v>
      </c>
      <c r="AY1361" t="s">
        <v>74</v>
      </c>
      <c r="AZ1361" t="s">
        <v>74</v>
      </c>
      <c r="BA1361" t="s">
        <v>74</v>
      </c>
      <c r="BB1361">
        <v>1924</v>
      </c>
      <c r="BC1361">
        <v>1931</v>
      </c>
      <c r="BD1361" t="s">
        <v>74</v>
      </c>
      <c r="BE1361" t="s">
        <v>25561</v>
      </c>
      <c r="BF1361" t="str">
        <f>HYPERLINK("http://dx.doi.org/10.1039/d0an02193h","http://dx.doi.org/10.1039/d0an02193h")</f>
        <v>http://dx.doi.org/10.1039/d0an02193h</v>
      </c>
      <c r="BG1361" t="s">
        <v>74</v>
      </c>
      <c r="BH1361" t="s">
        <v>74</v>
      </c>
      <c r="BI1361" t="s">
        <v>74</v>
      </c>
      <c r="BJ1361" t="s">
        <v>1118</v>
      </c>
      <c r="BK1361" t="s">
        <v>117</v>
      </c>
      <c r="BL1361" t="s">
        <v>1048</v>
      </c>
      <c r="BM1361" t="s">
        <v>74</v>
      </c>
      <c r="BN1361">
        <v>33491014</v>
      </c>
      <c r="BO1361" t="s">
        <v>74</v>
      </c>
      <c r="BP1361" t="s">
        <v>74</v>
      </c>
      <c r="BQ1361" t="s">
        <v>74</v>
      </c>
      <c r="BR1361" t="s">
        <v>96</v>
      </c>
      <c r="BS1361" t="s">
        <v>25562</v>
      </c>
      <c r="BT1361" t="str">
        <f>HYPERLINK("https%3A%2F%2Fwww.webofscience.com%2Fwos%2Fwoscc%2Ffull-record%2FWOS:000631575100015","View Full Record in Web of Science")</f>
        <v>View Full Record in Web of Science</v>
      </c>
    </row>
    <row r="1362" spans="1:72" x14ac:dyDescent="0.15">
      <c r="A1362" t="s">
        <v>98</v>
      </c>
      <c r="B1362" t="s">
        <v>25851</v>
      </c>
      <c r="C1362" t="s">
        <v>74</v>
      </c>
      <c r="D1362" t="s">
        <v>74</v>
      </c>
      <c r="E1362" t="s">
        <v>74</v>
      </c>
      <c r="F1362" t="s">
        <v>25852</v>
      </c>
      <c r="G1362" t="s">
        <v>74</v>
      </c>
      <c r="H1362" t="s">
        <v>74</v>
      </c>
      <c r="I1362" t="s">
        <v>25853</v>
      </c>
      <c r="J1362" t="s">
        <v>19353</v>
      </c>
      <c r="K1362" t="s">
        <v>74</v>
      </c>
      <c r="L1362" t="s">
        <v>74</v>
      </c>
      <c r="M1362" t="s">
        <v>74</v>
      </c>
      <c r="N1362" t="s">
        <v>103</v>
      </c>
      <c r="O1362" t="s">
        <v>74</v>
      </c>
      <c r="P1362" t="s">
        <v>74</v>
      </c>
      <c r="Q1362" t="s">
        <v>74</v>
      </c>
      <c r="R1362" t="s">
        <v>74</v>
      </c>
      <c r="S1362" t="s">
        <v>74</v>
      </c>
      <c r="T1362" t="s">
        <v>74</v>
      </c>
      <c r="U1362" t="s">
        <v>25854</v>
      </c>
      <c r="V1362" t="s">
        <v>25855</v>
      </c>
      <c r="W1362" t="s">
        <v>25856</v>
      </c>
      <c r="X1362" t="s">
        <v>25857</v>
      </c>
      <c r="Y1362" t="s">
        <v>25858</v>
      </c>
      <c r="Z1362" t="s">
        <v>25859</v>
      </c>
      <c r="AA1362" t="s">
        <v>74</v>
      </c>
      <c r="AB1362" t="s">
        <v>74</v>
      </c>
      <c r="AC1362" t="s">
        <v>74</v>
      </c>
      <c r="AD1362" t="s">
        <v>74</v>
      </c>
      <c r="AE1362" t="s">
        <v>74</v>
      </c>
      <c r="AF1362" t="s">
        <v>74</v>
      </c>
      <c r="AG1362">
        <v>47</v>
      </c>
      <c r="AH1362">
        <v>7</v>
      </c>
      <c r="AI1362">
        <v>7</v>
      </c>
      <c r="AJ1362">
        <v>0</v>
      </c>
      <c r="AK1362">
        <v>2</v>
      </c>
      <c r="AL1362" t="s">
        <v>74</v>
      </c>
      <c r="AM1362" t="s">
        <v>74</v>
      </c>
      <c r="AN1362" t="s">
        <v>74</v>
      </c>
      <c r="AO1362" t="s">
        <v>74</v>
      </c>
      <c r="AP1362" t="s">
        <v>19360</v>
      </c>
      <c r="AQ1362" t="s">
        <v>74</v>
      </c>
      <c r="AR1362" t="s">
        <v>74</v>
      </c>
      <c r="AS1362" t="s">
        <v>74</v>
      </c>
      <c r="AT1362" t="s">
        <v>1029</v>
      </c>
      <c r="AU1362">
        <v>2021</v>
      </c>
      <c r="AV1362">
        <v>12</v>
      </c>
      <c r="AW1362">
        <v>5</v>
      </c>
      <c r="AX1362" t="s">
        <v>74</v>
      </c>
      <c r="AY1362" t="s">
        <v>74</v>
      </c>
      <c r="AZ1362" t="s">
        <v>74</v>
      </c>
      <c r="BA1362" t="s">
        <v>74</v>
      </c>
      <c r="BB1362" t="s">
        <v>74</v>
      </c>
      <c r="BC1362" t="s">
        <v>74</v>
      </c>
      <c r="BD1362" t="s">
        <v>25860</v>
      </c>
      <c r="BE1362" t="s">
        <v>25861</v>
      </c>
      <c r="BF1362" t="str">
        <f>HYPERLINK("http://dx.doi.org/10.14309/ctg.0000000000000356","http://dx.doi.org/10.14309/ctg.0000000000000356")</f>
        <v>http://dx.doi.org/10.14309/ctg.0000000000000356</v>
      </c>
      <c r="BG1362" t="s">
        <v>74</v>
      </c>
      <c r="BH1362" t="s">
        <v>74</v>
      </c>
      <c r="BI1362" t="s">
        <v>74</v>
      </c>
      <c r="BJ1362" t="s">
        <v>633</v>
      </c>
      <c r="BK1362" t="s">
        <v>117</v>
      </c>
      <c r="BL1362" t="s">
        <v>633</v>
      </c>
      <c r="BM1362" t="s">
        <v>74</v>
      </c>
      <c r="BN1362">
        <v>33979310</v>
      </c>
      <c r="BO1362" t="s">
        <v>74</v>
      </c>
      <c r="BP1362" t="s">
        <v>74</v>
      </c>
      <c r="BQ1362" t="s">
        <v>74</v>
      </c>
      <c r="BR1362" t="s">
        <v>96</v>
      </c>
      <c r="BS1362" t="s">
        <v>25862</v>
      </c>
      <c r="BT1362" t="str">
        <f>HYPERLINK("https%3A%2F%2Fwww.webofscience.com%2Fwos%2Fwoscc%2Ffull-record%2FWOS:000681350500017","View Full Record in Web of Science")</f>
        <v>View Full Record in Web of Science</v>
      </c>
    </row>
    <row r="1363" spans="1:72" x14ac:dyDescent="0.15">
      <c r="A1363" t="s">
        <v>98</v>
      </c>
      <c r="B1363" t="s">
        <v>25863</v>
      </c>
      <c r="C1363" t="s">
        <v>74</v>
      </c>
      <c r="D1363" t="s">
        <v>74</v>
      </c>
      <c r="E1363" t="s">
        <v>74</v>
      </c>
      <c r="F1363" t="s">
        <v>25864</v>
      </c>
      <c r="G1363" t="s">
        <v>74</v>
      </c>
      <c r="H1363" t="s">
        <v>74</v>
      </c>
      <c r="I1363" t="s">
        <v>25865</v>
      </c>
      <c r="J1363" t="s">
        <v>9792</v>
      </c>
      <c r="K1363" t="s">
        <v>74</v>
      </c>
      <c r="L1363" t="s">
        <v>74</v>
      </c>
      <c r="M1363" t="s">
        <v>74</v>
      </c>
      <c r="N1363" t="s">
        <v>103</v>
      </c>
      <c r="O1363" t="s">
        <v>74</v>
      </c>
      <c r="P1363" t="s">
        <v>74</v>
      </c>
      <c r="Q1363" t="s">
        <v>74</v>
      </c>
      <c r="R1363" t="s">
        <v>74</v>
      </c>
      <c r="S1363" t="s">
        <v>74</v>
      </c>
      <c r="T1363" t="s">
        <v>25866</v>
      </c>
      <c r="U1363" t="s">
        <v>25867</v>
      </c>
      <c r="V1363" t="s">
        <v>25868</v>
      </c>
      <c r="W1363" t="s">
        <v>25869</v>
      </c>
      <c r="X1363" t="s">
        <v>25870</v>
      </c>
      <c r="Y1363" t="s">
        <v>25871</v>
      </c>
      <c r="Z1363" t="s">
        <v>25872</v>
      </c>
      <c r="AA1363" t="s">
        <v>74</v>
      </c>
      <c r="AB1363" t="s">
        <v>74</v>
      </c>
      <c r="AC1363" t="s">
        <v>74</v>
      </c>
      <c r="AD1363" t="s">
        <v>74</v>
      </c>
      <c r="AE1363" t="s">
        <v>74</v>
      </c>
      <c r="AF1363" t="s">
        <v>74</v>
      </c>
      <c r="AG1363">
        <v>84</v>
      </c>
      <c r="AH1363">
        <v>7</v>
      </c>
      <c r="AI1363">
        <v>9</v>
      </c>
      <c r="AJ1363">
        <v>2</v>
      </c>
      <c r="AK1363">
        <v>6</v>
      </c>
      <c r="AL1363" t="s">
        <v>74</v>
      </c>
      <c r="AM1363" t="s">
        <v>74</v>
      </c>
      <c r="AN1363" t="s">
        <v>74</v>
      </c>
      <c r="AO1363" t="s">
        <v>9802</v>
      </c>
      <c r="AP1363" t="s">
        <v>9803</v>
      </c>
      <c r="AQ1363" t="s">
        <v>74</v>
      </c>
      <c r="AR1363" t="s">
        <v>74</v>
      </c>
      <c r="AS1363" t="s">
        <v>74</v>
      </c>
      <c r="AT1363" t="s">
        <v>614</v>
      </c>
      <c r="AU1363">
        <v>2021</v>
      </c>
      <c r="AV1363">
        <v>83</v>
      </c>
      <c r="AW1363" t="s">
        <v>74</v>
      </c>
      <c r="AX1363" t="s">
        <v>74</v>
      </c>
      <c r="AY1363" t="s">
        <v>74</v>
      </c>
      <c r="AZ1363" t="s">
        <v>74</v>
      </c>
      <c r="BA1363" t="s">
        <v>74</v>
      </c>
      <c r="BB1363" t="s">
        <v>74</v>
      </c>
      <c r="BC1363" t="s">
        <v>74</v>
      </c>
      <c r="BD1363">
        <v>109980</v>
      </c>
      <c r="BE1363" t="s">
        <v>25873</v>
      </c>
      <c r="BF1363" t="str">
        <f>HYPERLINK("http://dx.doi.org/10.1016/j.cellsig.2021.109980","http://dx.doi.org/10.1016/j.cellsig.2021.109980")</f>
        <v>http://dx.doi.org/10.1016/j.cellsig.2021.109980</v>
      </c>
      <c r="BG1363" t="s">
        <v>74</v>
      </c>
      <c r="BH1363" t="s">
        <v>2607</v>
      </c>
      <c r="BI1363" t="s">
        <v>74</v>
      </c>
      <c r="BJ1363" t="s">
        <v>135</v>
      </c>
      <c r="BK1363" t="s">
        <v>117</v>
      </c>
      <c r="BL1363" t="s">
        <v>135</v>
      </c>
      <c r="BM1363" t="s">
        <v>74</v>
      </c>
      <c r="BN1363">
        <v>33727076</v>
      </c>
      <c r="BO1363" t="s">
        <v>74</v>
      </c>
      <c r="BP1363" t="s">
        <v>74</v>
      </c>
      <c r="BQ1363" t="s">
        <v>74</v>
      </c>
      <c r="BR1363" t="s">
        <v>96</v>
      </c>
      <c r="BS1363" t="s">
        <v>25874</v>
      </c>
      <c r="BT1363" t="str">
        <f>HYPERLINK("https%3A%2F%2Fwww.webofscience.com%2Fwos%2Fwoscc%2Ffull-record%2FWOS:000647797500005","View Full Record in Web of Science")</f>
        <v>View Full Record in Web of Science</v>
      </c>
    </row>
    <row r="1364" spans="1:72" x14ac:dyDescent="0.15">
      <c r="A1364" t="s">
        <v>98</v>
      </c>
      <c r="B1364" t="s">
        <v>27079</v>
      </c>
      <c r="C1364" t="s">
        <v>74</v>
      </c>
      <c r="D1364" t="s">
        <v>74</v>
      </c>
      <c r="E1364" t="s">
        <v>74</v>
      </c>
      <c r="F1364" t="s">
        <v>27080</v>
      </c>
      <c r="G1364" t="s">
        <v>74</v>
      </c>
      <c r="H1364" t="s">
        <v>74</v>
      </c>
      <c r="I1364" t="s">
        <v>27081</v>
      </c>
      <c r="J1364" t="s">
        <v>19271</v>
      </c>
      <c r="K1364" t="s">
        <v>74</v>
      </c>
      <c r="L1364" t="s">
        <v>74</v>
      </c>
      <c r="M1364" t="s">
        <v>74</v>
      </c>
      <c r="N1364" t="s">
        <v>103</v>
      </c>
      <c r="O1364" t="s">
        <v>74</v>
      </c>
      <c r="P1364" t="s">
        <v>74</v>
      </c>
      <c r="Q1364" t="s">
        <v>74</v>
      </c>
      <c r="R1364" t="s">
        <v>74</v>
      </c>
      <c r="S1364" t="s">
        <v>74</v>
      </c>
      <c r="T1364" t="s">
        <v>27082</v>
      </c>
      <c r="U1364" t="s">
        <v>27083</v>
      </c>
      <c r="V1364" t="s">
        <v>27084</v>
      </c>
      <c r="W1364" t="s">
        <v>27085</v>
      </c>
      <c r="X1364" t="s">
        <v>27086</v>
      </c>
      <c r="Y1364" t="s">
        <v>27087</v>
      </c>
      <c r="Z1364" t="s">
        <v>27088</v>
      </c>
      <c r="AA1364" t="s">
        <v>74</v>
      </c>
      <c r="AB1364" t="s">
        <v>74</v>
      </c>
      <c r="AC1364" t="s">
        <v>74</v>
      </c>
      <c r="AD1364" t="s">
        <v>74</v>
      </c>
      <c r="AE1364" t="s">
        <v>74</v>
      </c>
      <c r="AF1364" t="s">
        <v>74</v>
      </c>
      <c r="AG1364">
        <v>96</v>
      </c>
      <c r="AH1364">
        <v>7</v>
      </c>
      <c r="AI1364">
        <v>7</v>
      </c>
      <c r="AJ1364">
        <v>0</v>
      </c>
      <c r="AK1364">
        <v>0</v>
      </c>
      <c r="AL1364" t="s">
        <v>74</v>
      </c>
      <c r="AM1364" t="s">
        <v>74</v>
      </c>
      <c r="AN1364" t="s">
        <v>74</v>
      </c>
      <c r="AO1364" t="s">
        <v>19278</v>
      </c>
      <c r="AP1364" t="s">
        <v>74</v>
      </c>
      <c r="AQ1364" t="s">
        <v>74</v>
      </c>
      <c r="AR1364" t="s">
        <v>74</v>
      </c>
      <c r="AS1364" t="s">
        <v>74</v>
      </c>
      <c r="AT1364" t="s">
        <v>565</v>
      </c>
      <c r="AU1364">
        <v>2019</v>
      </c>
      <c r="AV1364">
        <v>6</v>
      </c>
      <c r="AW1364">
        <v>1</v>
      </c>
      <c r="AX1364" t="s">
        <v>74</v>
      </c>
      <c r="AY1364" t="s">
        <v>74</v>
      </c>
      <c r="AZ1364" t="s">
        <v>74</v>
      </c>
      <c r="BA1364" t="s">
        <v>74</v>
      </c>
      <c r="BB1364">
        <v>1</v>
      </c>
      <c r="BC1364">
        <v>9</v>
      </c>
      <c r="BD1364" t="s">
        <v>74</v>
      </c>
      <c r="BE1364" t="s">
        <v>27089</v>
      </c>
      <c r="BF1364" t="str">
        <f>HYPERLINK("http://dx.doi.org/10.1007/s40588-019-0112-7","http://dx.doi.org/10.1007/s40588-019-0112-7")</f>
        <v>http://dx.doi.org/10.1007/s40588-019-0112-7</v>
      </c>
      <c r="BG1364" t="s">
        <v>74</v>
      </c>
      <c r="BH1364" t="s">
        <v>74</v>
      </c>
      <c r="BI1364" t="s">
        <v>74</v>
      </c>
      <c r="BJ1364" t="s">
        <v>898</v>
      </c>
      <c r="BK1364" t="s">
        <v>467</v>
      </c>
      <c r="BL1364" t="s">
        <v>898</v>
      </c>
      <c r="BM1364" t="s">
        <v>74</v>
      </c>
      <c r="BN1364" t="s">
        <v>74</v>
      </c>
      <c r="BO1364" t="s">
        <v>74</v>
      </c>
      <c r="BP1364" t="s">
        <v>74</v>
      </c>
      <c r="BQ1364" t="s">
        <v>74</v>
      </c>
      <c r="BR1364" t="s">
        <v>96</v>
      </c>
      <c r="BS1364" t="s">
        <v>27090</v>
      </c>
      <c r="BT1364" t="str">
        <f>HYPERLINK("https%3A%2F%2Fwww.webofscience.com%2Fwos%2Fwoscc%2Ffull-record%2FWOS:000463790100001","View Full Record in Web of Science")</f>
        <v>View Full Record in Web of Science</v>
      </c>
    </row>
    <row r="1365" spans="1:72" x14ac:dyDescent="0.15">
      <c r="A1365" t="s">
        <v>98</v>
      </c>
      <c r="B1365" t="s">
        <v>27601</v>
      </c>
      <c r="C1365" t="s">
        <v>74</v>
      </c>
      <c r="D1365" t="s">
        <v>74</v>
      </c>
      <c r="E1365" t="s">
        <v>74</v>
      </c>
      <c r="F1365" t="s">
        <v>27602</v>
      </c>
      <c r="G1365" t="s">
        <v>74</v>
      </c>
      <c r="H1365" t="s">
        <v>74</v>
      </c>
      <c r="I1365" t="s">
        <v>27603</v>
      </c>
      <c r="J1365" t="s">
        <v>27604</v>
      </c>
      <c r="K1365" t="s">
        <v>74</v>
      </c>
      <c r="L1365" t="s">
        <v>74</v>
      </c>
      <c r="M1365" t="s">
        <v>74</v>
      </c>
      <c r="N1365" t="s">
        <v>103</v>
      </c>
      <c r="O1365" t="s">
        <v>74</v>
      </c>
      <c r="P1365" t="s">
        <v>74</v>
      </c>
      <c r="Q1365" t="s">
        <v>74</v>
      </c>
      <c r="R1365" t="s">
        <v>74</v>
      </c>
      <c r="S1365" t="s">
        <v>74</v>
      </c>
      <c r="T1365" t="s">
        <v>27605</v>
      </c>
      <c r="U1365" t="s">
        <v>74</v>
      </c>
      <c r="V1365" t="s">
        <v>27606</v>
      </c>
      <c r="W1365" t="s">
        <v>27607</v>
      </c>
      <c r="X1365" t="s">
        <v>27608</v>
      </c>
      <c r="Y1365" t="s">
        <v>27609</v>
      </c>
      <c r="Z1365" t="s">
        <v>27610</v>
      </c>
      <c r="AA1365" t="s">
        <v>74</v>
      </c>
      <c r="AB1365" t="s">
        <v>27611</v>
      </c>
      <c r="AC1365" t="s">
        <v>74</v>
      </c>
      <c r="AD1365" t="s">
        <v>74</v>
      </c>
      <c r="AE1365" t="s">
        <v>74</v>
      </c>
      <c r="AF1365" t="s">
        <v>74</v>
      </c>
      <c r="AG1365">
        <v>118</v>
      </c>
      <c r="AH1365">
        <v>7</v>
      </c>
      <c r="AI1365">
        <v>8</v>
      </c>
      <c r="AJ1365">
        <v>2</v>
      </c>
      <c r="AK1365">
        <v>5</v>
      </c>
      <c r="AL1365" t="s">
        <v>74</v>
      </c>
      <c r="AM1365" t="s">
        <v>74</v>
      </c>
      <c r="AN1365" t="s">
        <v>74</v>
      </c>
      <c r="AO1365" t="s">
        <v>27612</v>
      </c>
      <c r="AP1365" t="s">
        <v>27613</v>
      </c>
      <c r="AQ1365" t="s">
        <v>74</v>
      </c>
      <c r="AR1365" t="s">
        <v>74</v>
      </c>
      <c r="AS1365" t="s">
        <v>74</v>
      </c>
      <c r="AT1365" t="s">
        <v>189</v>
      </c>
      <c r="AU1365">
        <v>2020</v>
      </c>
      <c r="AV1365">
        <v>10</v>
      </c>
      <c r="AW1365">
        <v>4</v>
      </c>
      <c r="AX1365" t="s">
        <v>74</v>
      </c>
      <c r="AY1365" t="s">
        <v>74</v>
      </c>
      <c r="AZ1365" t="s">
        <v>74</v>
      </c>
      <c r="BA1365" t="s">
        <v>74</v>
      </c>
      <c r="BB1365" t="s">
        <v>74</v>
      </c>
      <c r="BC1365" t="s">
        <v>74</v>
      </c>
      <c r="BD1365">
        <v>2045894020957234</v>
      </c>
      <c r="BE1365" t="s">
        <v>27614</v>
      </c>
      <c r="BF1365" t="str">
        <f>HYPERLINK("http://dx.doi.org/10.1177/2045894020957234","http://dx.doi.org/10.1177/2045894020957234")</f>
        <v>http://dx.doi.org/10.1177/2045894020957234</v>
      </c>
      <c r="BG1365" t="s">
        <v>74</v>
      </c>
      <c r="BH1365" t="s">
        <v>74</v>
      </c>
      <c r="BI1365" t="s">
        <v>74</v>
      </c>
      <c r="BJ1365" t="s">
        <v>27615</v>
      </c>
      <c r="BK1365" t="s">
        <v>117</v>
      </c>
      <c r="BL1365" t="s">
        <v>27616</v>
      </c>
      <c r="BM1365" t="s">
        <v>74</v>
      </c>
      <c r="BN1365">
        <v>33282185</v>
      </c>
      <c r="BO1365" t="s">
        <v>74</v>
      </c>
      <c r="BP1365" t="s">
        <v>74</v>
      </c>
      <c r="BQ1365" t="s">
        <v>74</v>
      </c>
      <c r="BR1365" t="s">
        <v>96</v>
      </c>
      <c r="BS1365" t="s">
        <v>27617</v>
      </c>
      <c r="BT1365" t="str">
        <f>HYPERLINK("https%3A%2F%2Fwww.webofscience.com%2Fwos%2Fwoscc%2Ffull-record%2FWOS:000594840300001","View Full Record in Web of Science")</f>
        <v>View Full Record in Web of Science</v>
      </c>
    </row>
    <row r="1366" spans="1:72" x14ac:dyDescent="0.15">
      <c r="A1366" t="s">
        <v>98</v>
      </c>
      <c r="B1366" t="s">
        <v>28071</v>
      </c>
      <c r="C1366" t="s">
        <v>74</v>
      </c>
      <c r="D1366" t="s">
        <v>74</v>
      </c>
      <c r="E1366" t="s">
        <v>74</v>
      </c>
      <c r="F1366" t="s">
        <v>28072</v>
      </c>
      <c r="G1366" t="s">
        <v>74</v>
      </c>
      <c r="H1366" t="s">
        <v>74</v>
      </c>
      <c r="I1366" t="s">
        <v>28073</v>
      </c>
      <c r="J1366" t="s">
        <v>2051</v>
      </c>
      <c r="K1366" t="s">
        <v>74</v>
      </c>
      <c r="L1366" t="s">
        <v>74</v>
      </c>
      <c r="M1366" t="s">
        <v>74</v>
      </c>
      <c r="N1366" t="s">
        <v>103</v>
      </c>
      <c r="O1366" t="s">
        <v>74</v>
      </c>
      <c r="P1366" t="s">
        <v>74</v>
      </c>
      <c r="Q1366" t="s">
        <v>74</v>
      </c>
      <c r="R1366" t="s">
        <v>74</v>
      </c>
      <c r="S1366" t="s">
        <v>74</v>
      </c>
      <c r="T1366" t="s">
        <v>28074</v>
      </c>
      <c r="U1366" t="s">
        <v>28075</v>
      </c>
      <c r="V1366" t="s">
        <v>28076</v>
      </c>
      <c r="W1366" t="s">
        <v>28077</v>
      </c>
      <c r="X1366" t="s">
        <v>28078</v>
      </c>
      <c r="Y1366" t="s">
        <v>28079</v>
      </c>
      <c r="Z1366" t="s">
        <v>28080</v>
      </c>
      <c r="AA1366" t="s">
        <v>28081</v>
      </c>
      <c r="AB1366" t="s">
        <v>28082</v>
      </c>
      <c r="AC1366" t="s">
        <v>74</v>
      </c>
      <c r="AD1366" t="s">
        <v>74</v>
      </c>
      <c r="AE1366" t="s">
        <v>74</v>
      </c>
      <c r="AF1366" t="s">
        <v>74</v>
      </c>
      <c r="AG1366">
        <v>211</v>
      </c>
      <c r="AH1366">
        <v>7</v>
      </c>
      <c r="AI1366">
        <v>8</v>
      </c>
      <c r="AJ1366">
        <v>2</v>
      </c>
      <c r="AK1366">
        <v>5</v>
      </c>
      <c r="AL1366" t="s">
        <v>74</v>
      </c>
      <c r="AM1366" t="s">
        <v>74</v>
      </c>
      <c r="AN1366" t="s">
        <v>74</v>
      </c>
      <c r="AO1366" t="s">
        <v>2061</v>
      </c>
      <c r="AP1366" t="s">
        <v>74</v>
      </c>
      <c r="AQ1366" t="s">
        <v>74</v>
      </c>
      <c r="AR1366" t="s">
        <v>74</v>
      </c>
      <c r="AS1366" t="s">
        <v>74</v>
      </c>
      <c r="AT1366" t="s">
        <v>7400</v>
      </c>
      <c r="AU1366">
        <v>2021</v>
      </c>
      <c r="AV1366">
        <v>12</v>
      </c>
      <c r="AW1366" t="s">
        <v>74</v>
      </c>
      <c r="AX1366" t="s">
        <v>74</v>
      </c>
      <c r="AY1366" t="s">
        <v>74</v>
      </c>
      <c r="AZ1366" t="s">
        <v>74</v>
      </c>
      <c r="BA1366" t="s">
        <v>74</v>
      </c>
      <c r="BB1366" t="s">
        <v>74</v>
      </c>
      <c r="BC1366" t="s">
        <v>74</v>
      </c>
      <c r="BD1366">
        <v>757302</v>
      </c>
      <c r="BE1366" t="s">
        <v>28083</v>
      </c>
      <c r="BF1366" t="str">
        <f>HYPERLINK("http://dx.doi.org/10.3389/fimmu.2021.757302","http://dx.doi.org/10.3389/fimmu.2021.757302")</f>
        <v>http://dx.doi.org/10.3389/fimmu.2021.757302</v>
      </c>
      <c r="BG1366" t="s">
        <v>74</v>
      </c>
      <c r="BH1366" t="s">
        <v>74</v>
      </c>
      <c r="BI1366" t="s">
        <v>74</v>
      </c>
      <c r="BJ1366" t="s">
        <v>2064</v>
      </c>
      <c r="BK1366" t="s">
        <v>117</v>
      </c>
      <c r="BL1366" t="s">
        <v>2064</v>
      </c>
      <c r="BM1366" t="s">
        <v>74</v>
      </c>
      <c r="BN1366">
        <v>34790199</v>
      </c>
      <c r="BO1366" t="s">
        <v>74</v>
      </c>
      <c r="BP1366" t="s">
        <v>74</v>
      </c>
      <c r="BQ1366" t="s">
        <v>74</v>
      </c>
      <c r="BR1366" t="s">
        <v>96</v>
      </c>
      <c r="BS1366" t="s">
        <v>28084</v>
      </c>
      <c r="BT1366" t="str">
        <f>HYPERLINK("https%3A%2F%2Fwww.webofscience.com%2Fwos%2Fwoscc%2Ffull-record%2FWOS:000719528000001","View Full Record in Web of Science")</f>
        <v>View Full Record in Web of Science</v>
      </c>
    </row>
    <row r="1367" spans="1:72" x14ac:dyDescent="0.15">
      <c r="A1367" t="s">
        <v>98</v>
      </c>
      <c r="B1367" t="s">
        <v>28916</v>
      </c>
      <c r="C1367" t="s">
        <v>74</v>
      </c>
      <c r="D1367" t="s">
        <v>74</v>
      </c>
      <c r="E1367" t="s">
        <v>74</v>
      </c>
      <c r="F1367" t="s">
        <v>28916</v>
      </c>
      <c r="G1367" t="s">
        <v>74</v>
      </c>
      <c r="H1367" t="s">
        <v>74</v>
      </c>
      <c r="I1367" t="s">
        <v>28917</v>
      </c>
      <c r="J1367" t="s">
        <v>28918</v>
      </c>
      <c r="K1367" t="s">
        <v>74</v>
      </c>
      <c r="L1367" t="s">
        <v>74</v>
      </c>
      <c r="M1367" t="s">
        <v>74</v>
      </c>
      <c r="N1367" t="s">
        <v>103</v>
      </c>
      <c r="O1367" t="s">
        <v>74</v>
      </c>
      <c r="P1367" t="s">
        <v>74</v>
      </c>
      <c r="Q1367" t="s">
        <v>74</v>
      </c>
      <c r="R1367" t="s">
        <v>74</v>
      </c>
      <c r="S1367" t="s">
        <v>74</v>
      </c>
      <c r="T1367" t="s">
        <v>74</v>
      </c>
      <c r="U1367" t="s">
        <v>28919</v>
      </c>
      <c r="V1367" t="s">
        <v>28920</v>
      </c>
      <c r="W1367" t="s">
        <v>28921</v>
      </c>
      <c r="X1367" t="s">
        <v>1368</v>
      </c>
      <c r="Y1367" t="s">
        <v>28922</v>
      </c>
      <c r="Z1367" t="s">
        <v>74</v>
      </c>
      <c r="AA1367" t="s">
        <v>74</v>
      </c>
      <c r="AB1367" t="s">
        <v>74</v>
      </c>
      <c r="AC1367" t="s">
        <v>74</v>
      </c>
      <c r="AD1367" t="s">
        <v>74</v>
      </c>
      <c r="AE1367" t="s">
        <v>74</v>
      </c>
      <c r="AF1367" t="s">
        <v>74</v>
      </c>
      <c r="AG1367">
        <v>49</v>
      </c>
      <c r="AH1367">
        <v>7</v>
      </c>
      <c r="AI1367">
        <v>7</v>
      </c>
      <c r="AJ1367">
        <v>0</v>
      </c>
      <c r="AK1367">
        <v>0</v>
      </c>
      <c r="AL1367" t="s">
        <v>74</v>
      </c>
      <c r="AM1367" t="s">
        <v>74</v>
      </c>
      <c r="AN1367" t="s">
        <v>74</v>
      </c>
      <c r="AO1367" t="s">
        <v>28923</v>
      </c>
      <c r="AP1367" t="s">
        <v>74</v>
      </c>
      <c r="AQ1367" t="s">
        <v>74</v>
      </c>
      <c r="AR1367" t="s">
        <v>74</v>
      </c>
      <c r="AS1367" t="s">
        <v>74</v>
      </c>
      <c r="AT1367" t="s">
        <v>114</v>
      </c>
      <c r="AU1367">
        <v>1993</v>
      </c>
      <c r="AV1367">
        <v>38</v>
      </c>
      <c r="AW1367">
        <v>1</v>
      </c>
      <c r="AX1367" t="s">
        <v>74</v>
      </c>
      <c r="AY1367" t="s">
        <v>74</v>
      </c>
      <c r="AZ1367" t="s">
        <v>74</v>
      </c>
      <c r="BA1367" t="s">
        <v>74</v>
      </c>
      <c r="BB1367">
        <v>1</v>
      </c>
      <c r="BC1367">
        <v>18</v>
      </c>
      <c r="BD1367" t="s">
        <v>74</v>
      </c>
      <c r="BE1367" t="s">
        <v>74</v>
      </c>
      <c r="BF1367" t="s">
        <v>74</v>
      </c>
      <c r="BG1367" t="s">
        <v>74</v>
      </c>
      <c r="BH1367" t="s">
        <v>74</v>
      </c>
      <c r="BI1367" t="s">
        <v>74</v>
      </c>
      <c r="BJ1367" t="s">
        <v>28924</v>
      </c>
      <c r="BK1367" t="s">
        <v>117</v>
      </c>
      <c r="BL1367" t="s">
        <v>28925</v>
      </c>
      <c r="BM1367" t="s">
        <v>74</v>
      </c>
      <c r="BN1367">
        <v>7678433</v>
      </c>
      <c r="BO1367" t="s">
        <v>74</v>
      </c>
      <c r="BP1367" t="s">
        <v>74</v>
      </c>
      <c r="BQ1367" t="s">
        <v>74</v>
      </c>
      <c r="BR1367" t="s">
        <v>96</v>
      </c>
      <c r="BS1367" t="s">
        <v>28926</v>
      </c>
      <c r="BT1367" t="str">
        <f>HYPERLINK("https%3A%2F%2Fwww.webofscience.com%2Fwos%2Fwoscc%2Ffull-record%2FWOS:A1993KH54200001","View Full Record in Web of Science")</f>
        <v>View Full Record in Web of Science</v>
      </c>
    </row>
    <row r="1368" spans="1:72" x14ac:dyDescent="0.15">
      <c r="A1368" t="s">
        <v>98</v>
      </c>
      <c r="B1368" t="s">
        <v>29156</v>
      </c>
      <c r="C1368" t="s">
        <v>74</v>
      </c>
      <c r="D1368" t="s">
        <v>74</v>
      </c>
      <c r="E1368" t="s">
        <v>74</v>
      </c>
      <c r="F1368" t="s">
        <v>29157</v>
      </c>
      <c r="G1368" t="s">
        <v>74</v>
      </c>
      <c r="H1368" t="s">
        <v>74</v>
      </c>
      <c r="I1368" t="s">
        <v>29158</v>
      </c>
      <c r="J1368" t="s">
        <v>140</v>
      </c>
      <c r="K1368" t="s">
        <v>74</v>
      </c>
      <c r="L1368" t="s">
        <v>74</v>
      </c>
      <c r="M1368" t="s">
        <v>74</v>
      </c>
      <c r="N1368" t="s">
        <v>103</v>
      </c>
      <c r="O1368" t="s">
        <v>74</v>
      </c>
      <c r="P1368" t="s">
        <v>74</v>
      </c>
      <c r="Q1368" t="s">
        <v>74</v>
      </c>
      <c r="R1368" t="s">
        <v>74</v>
      </c>
      <c r="S1368" t="s">
        <v>74</v>
      </c>
      <c r="T1368" t="s">
        <v>74</v>
      </c>
      <c r="U1368" t="s">
        <v>29159</v>
      </c>
      <c r="V1368" t="s">
        <v>29160</v>
      </c>
      <c r="W1368" t="s">
        <v>29161</v>
      </c>
      <c r="X1368" t="s">
        <v>29162</v>
      </c>
      <c r="Y1368" t="s">
        <v>4338</v>
      </c>
      <c r="Z1368" t="s">
        <v>4339</v>
      </c>
      <c r="AA1368" t="s">
        <v>9247</v>
      </c>
      <c r="AB1368" t="s">
        <v>29163</v>
      </c>
      <c r="AC1368" t="s">
        <v>74</v>
      </c>
      <c r="AD1368" t="s">
        <v>74</v>
      </c>
      <c r="AE1368" t="s">
        <v>74</v>
      </c>
      <c r="AF1368" t="s">
        <v>74</v>
      </c>
      <c r="AG1368">
        <v>44</v>
      </c>
      <c r="AH1368">
        <v>7</v>
      </c>
      <c r="AI1368">
        <v>7</v>
      </c>
      <c r="AJ1368">
        <v>1</v>
      </c>
      <c r="AK1368">
        <v>4</v>
      </c>
      <c r="AL1368" t="s">
        <v>74</v>
      </c>
      <c r="AM1368" t="s">
        <v>74</v>
      </c>
      <c r="AN1368" t="s">
        <v>74</v>
      </c>
      <c r="AO1368" t="s">
        <v>149</v>
      </c>
      <c r="AP1368" t="s">
        <v>74</v>
      </c>
      <c r="AQ1368" t="s">
        <v>74</v>
      </c>
      <c r="AR1368" t="s">
        <v>74</v>
      </c>
      <c r="AS1368" t="s">
        <v>74</v>
      </c>
      <c r="AT1368" t="s">
        <v>21897</v>
      </c>
      <c r="AU1368">
        <v>2019</v>
      </c>
      <c r="AV1368">
        <v>9</v>
      </c>
      <c r="AW1368" t="s">
        <v>74</v>
      </c>
      <c r="AX1368" t="s">
        <v>74</v>
      </c>
      <c r="AY1368" t="s">
        <v>74</v>
      </c>
      <c r="AZ1368" t="s">
        <v>74</v>
      </c>
      <c r="BA1368" t="s">
        <v>74</v>
      </c>
      <c r="BB1368" t="s">
        <v>74</v>
      </c>
      <c r="BC1368" t="s">
        <v>74</v>
      </c>
      <c r="BD1368">
        <v>2384</v>
      </c>
      <c r="BE1368" t="s">
        <v>29164</v>
      </c>
      <c r="BF1368" t="str">
        <f>HYPERLINK("http://dx.doi.org/10.1038/s41598-019-38736-y","http://dx.doi.org/10.1038/s41598-019-38736-y")</f>
        <v>http://dx.doi.org/10.1038/s41598-019-38736-y</v>
      </c>
      <c r="BG1368" t="s">
        <v>74</v>
      </c>
      <c r="BH1368" t="s">
        <v>74</v>
      </c>
      <c r="BI1368" t="s">
        <v>74</v>
      </c>
      <c r="BJ1368" t="s">
        <v>152</v>
      </c>
      <c r="BK1368" t="s">
        <v>117</v>
      </c>
      <c r="BL1368" t="s">
        <v>153</v>
      </c>
      <c r="BM1368" t="s">
        <v>74</v>
      </c>
      <c r="BN1368">
        <v>30787346</v>
      </c>
      <c r="BO1368" t="s">
        <v>74</v>
      </c>
      <c r="BP1368" t="s">
        <v>74</v>
      </c>
      <c r="BQ1368" t="s">
        <v>74</v>
      </c>
      <c r="BR1368" t="s">
        <v>96</v>
      </c>
      <c r="BS1368" t="s">
        <v>29165</v>
      </c>
      <c r="BT1368" t="str">
        <f>HYPERLINK("https%3A%2F%2Fwww.webofscience.com%2Fwos%2Fwoscc%2Ffull-record%2FWOS:000459094800065","View Full Record in Web of Science")</f>
        <v>View Full Record in Web of Science</v>
      </c>
    </row>
    <row r="1369" spans="1:72" x14ac:dyDescent="0.15">
      <c r="A1369" t="s">
        <v>98</v>
      </c>
      <c r="B1369" t="s">
        <v>29633</v>
      </c>
      <c r="C1369" t="s">
        <v>74</v>
      </c>
      <c r="D1369" t="s">
        <v>74</v>
      </c>
      <c r="E1369" t="s">
        <v>74</v>
      </c>
      <c r="F1369" t="s">
        <v>29633</v>
      </c>
      <c r="G1369" t="s">
        <v>74</v>
      </c>
      <c r="H1369" t="s">
        <v>74</v>
      </c>
      <c r="I1369" t="s">
        <v>29634</v>
      </c>
      <c r="J1369" t="s">
        <v>7841</v>
      </c>
      <c r="K1369" t="s">
        <v>74</v>
      </c>
      <c r="L1369" t="s">
        <v>74</v>
      </c>
      <c r="M1369" t="s">
        <v>74</v>
      </c>
      <c r="N1369" t="s">
        <v>103</v>
      </c>
      <c r="O1369" t="s">
        <v>74</v>
      </c>
      <c r="P1369" t="s">
        <v>74</v>
      </c>
      <c r="Q1369" t="s">
        <v>74</v>
      </c>
      <c r="R1369" t="s">
        <v>74</v>
      </c>
      <c r="S1369" t="s">
        <v>74</v>
      </c>
      <c r="T1369" t="s">
        <v>74</v>
      </c>
      <c r="U1369" t="s">
        <v>29635</v>
      </c>
      <c r="V1369" t="s">
        <v>29636</v>
      </c>
      <c r="W1369" t="s">
        <v>29637</v>
      </c>
      <c r="X1369" t="s">
        <v>11799</v>
      </c>
      <c r="Y1369" t="s">
        <v>29638</v>
      </c>
      <c r="Z1369" t="s">
        <v>29639</v>
      </c>
      <c r="AA1369" t="s">
        <v>74</v>
      </c>
      <c r="AB1369" t="s">
        <v>74</v>
      </c>
      <c r="AC1369" t="s">
        <v>74</v>
      </c>
      <c r="AD1369" t="s">
        <v>74</v>
      </c>
      <c r="AE1369" t="s">
        <v>74</v>
      </c>
      <c r="AF1369" t="s">
        <v>74</v>
      </c>
      <c r="AG1369">
        <v>70</v>
      </c>
      <c r="AH1369">
        <v>7</v>
      </c>
      <c r="AI1369">
        <v>8</v>
      </c>
      <c r="AJ1369">
        <v>0</v>
      </c>
      <c r="AK1369">
        <v>0</v>
      </c>
      <c r="AL1369" t="s">
        <v>74</v>
      </c>
      <c r="AM1369" t="s">
        <v>74</v>
      </c>
      <c r="AN1369" t="s">
        <v>74</v>
      </c>
      <c r="AO1369" t="s">
        <v>7850</v>
      </c>
      <c r="AP1369" t="s">
        <v>7851</v>
      </c>
      <c r="AQ1369" t="s">
        <v>74</v>
      </c>
      <c r="AR1369" t="s">
        <v>74</v>
      </c>
      <c r="AS1369" t="s">
        <v>74</v>
      </c>
      <c r="AT1369" t="s">
        <v>4822</v>
      </c>
      <c r="AU1369">
        <v>2005</v>
      </c>
      <c r="AV1369">
        <v>174</v>
      </c>
      <c r="AW1369">
        <v>8</v>
      </c>
      <c r="AX1369" t="s">
        <v>74</v>
      </c>
      <c r="AY1369" t="s">
        <v>74</v>
      </c>
      <c r="AZ1369" t="s">
        <v>74</v>
      </c>
      <c r="BA1369" t="s">
        <v>74</v>
      </c>
      <c r="BB1369">
        <v>4779</v>
      </c>
      <c r="BC1369">
        <v>4788</v>
      </c>
      <c r="BD1369" t="s">
        <v>74</v>
      </c>
      <c r="BE1369" t="s">
        <v>29640</v>
      </c>
      <c r="BF1369" t="str">
        <f>HYPERLINK("http://dx.doi.org/10.4049/jimmunol.174.8.4779","http://dx.doi.org/10.4049/jimmunol.174.8.4779")</f>
        <v>http://dx.doi.org/10.4049/jimmunol.174.8.4779</v>
      </c>
      <c r="BG1369" t="s">
        <v>74</v>
      </c>
      <c r="BH1369" t="s">
        <v>74</v>
      </c>
      <c r="BI1369" t="s">
        <v>74</v>
      </c>
      <c r="BJ1369" t="s">
        <v>2064</v>
      </c>
      <c r="BK1369" t="s">
        <v>117</v>
      </c>
      <c r="BL1369" t="s">
        <v>2064</v>
      </c>
      <c r="BM1369" t="s">
        <v>74</v>
      </c>
      <c r="BN1369">
        <v>15814703</v>
      </c>
      <c r="BO1369" t="s">
        <v>74</v>
      </c>
      <c r="BP1369" t="s">
        <v>74</v>
      </c>
      <c r="BQ1369" t="s">
        <v>74</v>
      </c>
      <c r="BR1369" t="s">
        <v>96</v>
      </c>
      <c r="BS1369" t="s">
        <v>29641</v>
      </c>
      <c r="BT1369" t="str">
        <f>HYPERLINK("https%3A%2F%2Fwww.webofscience.com%2Fwos%2Fwoscc%2Ffull-record%2FWOS:000228234600043","View Full Record in Web of Science")</f>
        <v>View Full Record in Web of Science</v>
      </c>
    </row>
    <row r="1370" spans="1:72" x14ac:dyDescent="0.15">
      <c r="A1370" t="s">
        <v>98</v>
      </c>
      <c r="B1370" t="s">
        <v>29670</v>
      </c>
      <c r="C1370" t="s">
        <v>74</v>
      </c>
      <c r="D1370" t="s">
        <v>74</v>
      </c>
      <c r="E1370" t="s">
        <v>74</v>
      </c>
      <c r="F1370" t="s">
        <v>29671</v>
      </c>
      <c r="G1370" t="s">
        <v>74</v>
      </c>
      <c r="H1370" t="s">
        <v>74</v>
      </c>
      <c r="I1370" t="s">
        <v>29672</v>
      </c>
      <c r="J1370" t="s">
        <v>1201</v>
      </c>
      <c r="K1370" t="s">
        <v>74</v>
      </c>
      <c r="L1370" t="s">
        <v>74</v>
      </c>
      <c r="M1370" t="s">
        <v>74</v>
      </c>
      <c r="N1370" t="s">
        <v>103</v>
      </c>
      <c r="O1370" t="s">
        <v>74</v>
      </c>
      <c r="P1370" t="s">
        <v>74</v>
      </c>
      <c r="Q1370" t="s">
        <v>74</v>
      </c>
      <c r="R1370" t="s">
        <v>74</v>
      </c>
      <c r="S1370" t="s">
        <v>74</v>
      </c>
      <c r="T1370" t="s">
        <v>29673</v>
      </c>
      <c r="U1370" t="s">
        <v>29674</v>
      </c>
      <c r="V1370" t="s">
        <v>29675</v>
      </c>
      <c r="W1370" t="s">
        <v>29676</v>
      </c>
      <c r="X1370" t="s">
        <v>29677</v>
      </c>
      <c r="Y1370" t="s">
        <v>29678</v>
      </c>
      <c r="Z1370" t="s">
        <v>29679</v>
      </c>
      <c r="AA1370" t="s">
        <v>29680</v>
      </c>
      <c r="AB1370" t="s">
        <v>29681</v>
      </c>
      <c r="AC1370" t="s">
        <v>74</v>
      </c>
      <c r="AD1370" t="s">
        <v>74</v>
      </c>
      <c r="AE1370" t="s">
        <v>74</v>
      </c>
      <c r="AF1370" t="s">
        <v>74</v>
      </c>
      <c r="AG1370">
        <v>118</v>
      </c>
      <c r="AH1370">
        <v>7</v>
      </c>
      <c r="AI1370">
        <v>7</v>
      </c>
      <c r="AJ1370">
        <v>0</v>
      </c>
      <c r="AK1370">
        <v>9</v>
      </c>
      <c r="AL1370" t="s">
        <v>74</v>
      </c>
      <c r="AM1370" t="s">
        <v>74</v>
      </c>
      <c r="AN1370" t="s">
        <v>74</v>
      </c>
      <c r="AO1370" t="s">
        <v>1210</v>
      </c>
      <c r="AP1370" t="s">
        <v>1211</v>
      </c>
      <c r="AQ1370" t="s">
        <v>74</v>
      </c>
      <c r="AR1370" t="s">
        <v>74</v>
      </c>
      <c r="AS1370" t="s">
        <v>74</v>
      </c>
      <c r="AT1370" t="s">
        <v>531</v>
      </c>
      <c r="AU1370">
        <v>2020</v>
      </c>
      <c r="AV1370">
        <v>77</v>
      </c>
      <c r="AW1370">
        <v>17</v>
      </c>
      <c r="AX1370" t="s">
        <v>74</v>
      </c>
      <c r="AY1370" t="s">
        <v>74</v>
      </c>
      <c r="AZ1370" t="s">
        <v>74</v>
      </c>
      <c r="BA1370" t="s">
        <v>74</v>
      </c>
      <c r="BB1370">
        <v>3401</v>
      </c>
      <c r="BC1370">
        <v>3422</v>
      </c>
      <c r="BD1370" t="s">
        <v>74</v>
      </c>
      <c r="BE1370" t="s">
        <v>29682</v>
      </c>
      <c r="BF1370" t="str">
        <f>HYPERLINK("http://dx.doi.org/10.1007/s00018-019-03358-0","http://dx.doi.org/10.1007/s00018-019-03358-0")</f>
        <v>http://dx.doi.org/10.1007/s00018-019-03358-0</v>
      </c>
      <c r="BG1370" t="s">
        <v>74</v>
      </c>
      <c r="BH1370" t="s">
        <v>23403</v>
      </c>
      <c r="BI1370" t="s">
        <v>74</v>
      </c>
      <c r="BJ1370" t="s">
        <v>498</v>
      </c>
      <c r="BK1370" t="s">
        <v>117</v>
      </c>
      <c r="BL1370" t="s">
        <v>498</v>
      </c>
      <c r="BM1370" t="s">
        <v>74</v>
      </c>
      <c r="BN1370">
        <v>31712992</v>
      </c>
      <c r="BO1370" t="s">
        <v>74</v>
      </c>
      <c r="BP1370" t="s">
        <v>74</v>
      </c>
      <c r="BQ1370" t="s">
        <v>74</v>
      </c>
      <c r="BR1370" t="s">
        <v>96</v>
      </c>
      <c r="BS1370" t="s">
        <v>29683</v>
      </c>
      <c r="BT1370" t="str">
        <f>HYPERLINK("https%3A%2F%2Fwww.webofscience.com%2Fwos%2Fwoscc%2Ffull-record%2FWOS:000495743200002","View Full Record in Web of Science")</f>
        <v>View Full Record in Web of Science</v>
      </c>
    </row>
    <row r="1371" spans="1:72" x14ac:dyDescent="0.15">
      <c r="A1371" t="s">
        <v>98</v>
      </c>
      <c r="B1371" t="s">
        <v>322</v>
      </c>
      <c r="C1371" t="s">
        <v>74</v>
      </c>
      <c r="D1371" t="s">
        <v>74</v>
      </c>
      <c r="E1371" t="s">
        <v>74</v>
      </c>
      <c r="F1371" t="s">
        <v>323</v>
      </c>
      <c r="G1371" t="s">
        <v>74</v>
      </c>
      <c r="H1371" t="s">
        <v>74</v>
      </c>
      <c r="I1371" t="s">
        <v>324</v>
      </c>
      <c r="J1371" t="s">
        <v>325</v>
      </c>
      <c r="K1371" t="s">
        <v>74</v>
      </c>
      <c r="L1371" t="s">
        <v>74</v>
      </c>
      <c r="M1371" t="s">
        <v>74</v>
      </c>
      <c r="N1371" t="s">
        <v>103</v>
      </c>
      <c r="O1371" t="s">
        <v>74</v>
      </c>
      <c r="P1371" t="s">
        <v>74</v>
      </c>
      <c r="Q1371" t="s">
        <v>74</v>
      </c>
      <c r="R1371" t="s">
        <v>74</v>
      </c>
      <c r="S1371" t="s">
        <v>74</v>
      </c>
      <c r="T1371" t="s">
        <v>326</v>
      </c>
      <c r="U1371" t="s">
        <v>327</v>
      </c>
      <c r="V1371" t="s">
        <v>328</v>
      </c>
      <c r="W1371" t="s">
        <v>329</v>
      </c>
      <c r="X1371" t="s">
        <v>330</v>
      </c>
      <c r="Y1371" t="s">
        <v>331</v>
      </c>
      <c r="Z1371" t="s">
        <v>332</v>
      </c>
      <c r="AA1371" t="s">
        <v>74</v>
      </c>
      <c r="AB1371" t="s">
        <v>74</v>
      </c>
      <c r="AC1371" t="s">
        <v>74</v>
      </c>
      <c r="AD1371" t="s">
        <v>74</v>
      </c>
      <c r="AE1371" t="s">
        <v>74</v>
      </c>
      <c r="AF1371" t="s">
        <v>74</v>
      </c>
      <c r="AG1371">
        <v>58</v>
      </c>
      <c r="AH1371">
        <v>6</v>
      </c>
      <c r="AI1371">
        <v>6</v>
      </c>
      <c r="AJ1371">
        <v>5</v>
      </c>
      <c r="AK1371">
        <v>26</v>
      </c>
      <c r="AL1371" t="s">
        <v>74</v>
      </c>
      <c r="AM1371" t="s">
        <v>74</v>
      </c>
      <c r="AN1371" t="s">
        <v>74</v>
      </c>
      <c r="AO1371" t="s">
        <v>333</v>
      </c>
      <c r="AP1371" t="s">
        <v>334</v>
      </c>
      <c r="AQ1371" t="s">
        <v>74</v>
      </c>
      <c r="AR1371" t="s">
        <v>74</v>
      </c>
      <c r="AS1371" t="s">
        <v>74</v>
      </c>
      <c r="AT1371" t="s">
        <v>335</v>
      </c>
      <c r="AU1371">
        <v>2020</v>
      </c>
      <c r="AV1371">
        <v>39</v>
      </c>
      <c r="AW1371">
        <v>9</v>
      </c>
      <c r="AX1371" t="s">
        <v>74</v>
      </c>
      <c r="AY1371" t="s">
        <v>74</v>
      </c>
      <c r="AZ1371" t="s">
        <v>74</v>
      </c>
      <c r="BA1371" t="s">
        <v>74</v>
      </c>
      <c r="BB1371">
        <v>1486</v>
      </c>
      <c r="BC1371">
        <v>1493</v>
      </c>
      <c r="BD1371" t="s">
        <v>74</v>
      </c>
      <c r="BE1371" t="s">
        <v>336</v>
      </c>
      <c r="BF1371" t="str">
        <f>HYPERLINK("http://dx.doi.org/10.1089/dna.2019.5005","http://dx.doi.org/10.1089/dna.2019.5005")</f>
        <v>http://dx.doi.org/10.1089/dna.2019.5005</v>
      </c>
      <c r="BG1371" t="s">
        <v>74</v>
      </c>
      <c r="BH1371" t="s">
        <v>337</v>
      </c>
      <c r="BI1371" t="s">
        <v>74</v>
      </c>
      <c r="BJ1371" t="s">
        <v>338</v>
      </c>
      <c r="BK1371" t="s">
        <v>117</v>
      </c>
      <c r="BL1371" t="s">
        <v>338</v>
      </c>
      <c r="BM1371" t="s">
        <v>74</v>
      </c>
      <c r="BN1371">
        <v>32551866</v>
      </c>
      <c r="BO1371" t="s">
        <v>74</v>
      </c>
      <c r="BP1371" t="s">
        <v>74</v>
      </c>
      <c r="BQ1371" t="s">
        <v>74</v>
      </c>
      <c r="BR1371" t="s">
        <v>96</v>
      </c>
      <c r="BS1371" t="s">
        <v>339</v>
      </c>
      <c r="BT1371" t="str">
        <f>HYPERLINK("https%3A%2F%2Fwww.webofscience.com%2Fwos%2Fwoscc%2Ffull-record%2FWOS:000541768700001","View Full Record in Web of Science")</f>
        <v>View Full Record in Web of Science</v>
      </c>
    </row>
    <row r="1372" spans="1:72" x14ac:dyDescent="0.15">
      <c r="A1372" t="s">
        <v>72</v>
      </c>
      <c r="B1372" t="s">
        <v>1232</v>
      </c>
      <c r="C1372" t="s">
        <v>74</v>
      </c>
      <c r="D1372" t="s">
        <v>482</v>
      </c>
      <c r="E1372" t="s">
        <v>74</v>
      </c>
      <c r="F1372" t="s">
        <v>1233</v>
      </c>
      <c r="G1372" t="s">
        <v>74</v>
      </c>
      <c r="H1372" t="s">
        <v>74</v>
      </c>
      <c r="I1372" t="s">
        <v>1234</v>
      </c>
      <c r="J1372" t="s">
        <v>485</v>
      </c>
      <c r="K1372" t="s">
        <v>79</v>
      </c>
      <c r="L1372" t="s">
        <v>74</v>
      </c>
      <c r="M1372" t="s">
        <v>74</v>
      </c>
      <c r="N1372" t="s">
        <v>80</v>
      </c>
      <c r="O1372" t="s">
        <v>74</v>
      </c>
      <c r="P1372" t="s">
        <v>74</v>
      </c>
      <c r="Q1372" t="s">
        <v>74</v>
      </c>
      <c r="R1372" t="s">
        <v>74</v>
      </c>
      <c r="S1372" t="s">
        <v>74</v>
      </c>
      <c r="T1372" t="s">
        <v>1235</v>
      </c>
      <c r="U1372" t="s">
        <v>1236</v>
      </c>
      <c r="V1372" t="s">
        <v>1237</v>
      </c>
      <c r="W1372" t="s">
        <v>1238</v>
      </c>
      <c r="X1372" t="s">
        <v>1239</v>
      </c>
      <c r="Y1372" t="s">
        <v>1240</v>
      </c>
      <c r="Z1372" t="s">
        <v>74</v>
      </c>
      <c r="AA1372" t="s">
        <v>1241</v>
      </c>
      <c r="AB1372" t="s">
        <v>1242</v>
      </c>
      <c r="AC1372" t="s">
        <v>74</v>
      </c>
      <c r="AD1372" t="s">
        <v>74</v>
      </c>
      <c r="AE1372" t="s">
        <v>74</v>
      </c>
      <c r="AF1372" t="s">
        <v>74</v>
      </c>
      <c r="AG1372">
        <v>15</v>
      </c>
      <c r="AH1372">
        <v>6</v>
      </c>
      <c r="AI1372">
        <v>6</v>
      </c>
      <c r="AJ1372">
        <v>1</v>
      </c>
      <c r="AK1372">
        <v>2</v>
      </c>
      <c r="AL1372" t="s">
        <v>74</v>
      </c>
      <c r="AM1372" t="s">
        <v>74</v>
      </c>
      <c r="AN1372" t="s">
        <v>74</v>
      </c>
      <c r="AO1372" t="s">
        <v>88</v>
      </c>
      <c r="AP1372" t="s">
        <v>89</v>
      </c>
      <c r="AQ1372" t="s">
        <v>494</v>
      </c>
      <c r="AR1372" t="s">
        <v>74</v>
      </c>
      <c r="AS1372" t="s">
        <v>74</v>
      </c>
      <c r="AT1372" t="s">
        <v>74</v>
      </c>
      <c r="AU1372">
        <v>2017</v>
      </c>
      <c r="AV1372">
        <v>1660</v>
      </c>
      <c r="AW1372" t="s">
        <v>74</v>
      </c>
      <c r="AX1372" t="s">
        <v>74</v>
      </c>
      <c r="AY1372" t="s">
        <v>74</v>
      </c>
      <c r="AZ1372" t="s">
        <v>74</v>
      </c>
      <c r="BA1372" t="s">
        <v>74</v>
      </c>
      <c r="BB1372">
        <v>377</v>
      </c>
      <c r="BC1372">
        <v>388</v>
      </c>
      <c r="BD1372" t="s">
        <v>74</v>
      </c>
      <c r="BE1372" t="s">
        <v>1243</v>
      </c>
      <c r="BF1372" t="str">
        <f>HYPERLINK("http://dx.doi.org/10.1007/978-1-4939-7253-1_31","http://dx.doi.org/10.1007/978-1-4939-7253-1_31")</f>
        <v>http://dx.doi.org/10.1007/978-1-4939-7253-1_31</v>
      </c>
      <c r="BG1372" t="s">
        <v>496</v>
      </c>
      <c r="BH1372" t="s">
        <v>74</v>
      </c>
      <c r="BI1372" t="s">
        <v>74</v>
      </c>
      <c r="BJ1372" t="s">
        <v>497</v>
      </c>
      <c r="BK1372" t="s">
        <v>94</v>
      </c>
      <c r="BL1372" t="s">
        <v>498</v>
      </c>
      <c r="BM1372" t="s">
        <v>74</v>
      </c>
      <c r="BN1372">
        <v>28828673</v>
      </c>
      <c r="BO1372" t="s">
        <v>74</v>
      </c>
      <c r="BP1372" t="s">
        <v>74</v>
      </c>
      <c r="BQ1372" t="s">
        <v>74</v>
      </c>
      <c r="BR1372" t="s">
        <v>96</v>
      </c>
      <c r="BS1372" t="s">
        <v>1244</v>
      </c>
      <c r="BT1372" t="str">
        <f>HYPERLINK("https%3A%2F%2Fwww.webofscience.com%2Fwos%2Fwoscc%2Ffull-record%2FWOS:000429457100032","View Full Record in Web of Science")</f>
        <v>View Full Record in Web of Science</v>
      </c>
    </row>
    <row r="1373" spans="1:72" x14ac:dyDescent="0.15">
      <c r="A1373" t="s">
        <v>98</v>
      </c>
      <c r="B1373" t="s">
        <v>1429</v>
      </c>
      <c r="C1373" t="s">
        <v>74</v>
      </c>
      <c r="D1373" t="s">
        <v>74</v>
      </c>
      <c r="E1373" t="s">
        <v>74</v>
      </c>
      <c r="F1373" t="s">
        <v>1430</v>
      </c>
      <c r="G1373" t="s">
        <v>74</v>
      </c>
      <c r="H1373" t="s">
        <v>74</v>
      </c>
      <c r="I1373" t="s">
        <v>1431</v>
      </c>
      <c r="J1373" t="s">
        <v>1432</v>
      </c>
      <c r="K1373" t="s">
        <v>74</v>
      </c>
      <c r="L1373" t="s">
        <v>74</v>
      </c>
      <c r="M1373" t="s">
        <v>74</v>
      </c>
      <c r="N1373" t="s">
        <v>103</v>
      </c>
      <c r="O1373" t="s">
        <v>74</v>
      </c>
      <c r="P1373" t="s">
        <v>74</v>
      </c>
      <c r="Q1373" t="s">
        <v>74</v>
      </c>
      <c r="R1373" t="s">
        <v>74</v>
      </c>
      <c r="S1373" t="s">
        <v>74</v>
      </c>
      <c r="T1373" t="s">
        <v>1433</v>
      </c>
      <c r="U1373" t="s">
        <v>1434</v>
      </c>
      <c r="V1373" t="s">
        <v>1435</v>
      </c>
      <c r="W1373" t="s">
        <v>1436</v>
      </c>
      <c r="X1373" t="s">
        <v>1437</v>
      </c>
      <c r="Y1373" t="s">
        <v>1438</v>
      </c>
      <c r="Z1373" t="s">
        <v>1439</v>
      </c>
      <c r="AA1373" t="s">
        <v>1440</v>
      </c>
      <c r="AB1373" t="s">
        <v>1441</v>
      </c>
      <c r="AC1373" t="s">
        <v>74</v>
      </c>
      <c r="AD1373" t="s">
        <v>74</v>
      </c>
      <c r="AE1373" t="s">
        <v>74</v>
      </c>
      <c r="AF1373" t="s">
        <v>74</v>
      </c>
      <c r="AG1373">
        <v>73</v>
      </c>
      <c r="AH1373">
        <v>6</v>
      </c>
      <c r="AI1373">
        <v>6</v>
      </c>
      <c r="AJ1373">
        <v>5</v>
      </c>
      <c r="AK1373">
        <v>25</v>
      </c>
      <c r="AL1373" t="s">
        <v>74</v>
      </c>
      <c r="AM1373" t="s">
        <v>74</v>
      </c>
      <c r="AN1373" t="s">
        <v>74</v>
      </c>
      <c r="AO1373" t="s">
        <v>1442</v>
      </c>
      <c r="AP1373" t="s">
        <v>1443</v>
      </c>
      <c r="AQ1373" t="s">
        <v>74</v>
      </c>
      <c r="AR1373" t="s">
        <v>74</v>
      </c>
      <c r="AS1373" t="s">
        <v>74</v>
      </c>
      <c r="AT1373" t="s">
        <v>1321</v>
      </c>
      <c r="AU1373">
        <v>2021</v>
      </c>
      <c r="AV1373">
        <v>27</v>
      </c>
      <c r="AW1373">
        <v>5</v>
      </c>
      <c r="AX1373" t="s">
        <v>74</v>
      </c>
      <c r="AY1373" t="s">
        <v>74</v>
      </c>
      <c r="AZ1373" t="s">
        <v>74</v>
      </c>
      <c r="BA1373" t="s">
        <v>74</v>
      </c>
      <c r="BB1373">
        <v>530</v>
      </c>
      <c r="BC1373">
        <v>538</v>
      </c>
      <c r="BD1373" t="s">
        <v>74</v>
      </c>
      <c r="BE1373" t="s">
        <v>1444</v>
      </c>
      <c r="BF1373" t="str">
        <f>HYPERLINK("http://dx.doi.org/10.1089/ten.teb.2020.0222","http://dx.doi.org/10.1089/ten.teb.2020.0222")</f>
        <v>http://dx.doi.org/10.1089/ten.teb.2020.0222</v>
      </c>
      <c r="BG1373" t="s">
        <v>74</v>
      </c>
      <c r="BH1373" t="s">
        <v>304</v>
      </c>
      <c r="BI1373" t="s">
        <v>74</v>
      </c>
      <c r="BJ1373" t="s">
        <v>1445</v>
      </c>
      <c r="BK1373" t="s">
        <v>117</v>
      </c>
      <c r="BL1373" t="s">
        <v>1446</v>
      </c>
      <c r="BM1373" t="s">
        <v>74</v>
      </c>
      <c r="BN1373">
        <v>33126845</v>
      </c>
      <c r="BO1373" t="s">
        <v>74</v>
      </c>
      <c r="BP1373" t="s">
        <v>74</v>
      </c>
      <c r="BQ1373" t="s">
        <v>74</v>
      </c>
      <c r="BR1373" t="s">
        <v>96</v>
      </c>
      <c r="BS1373" t="s">
        <v>1447</v>
      </c>
      <c r="BT1373" t="str">
        <f>HYPERLINK("https%3A%2F%2Fwww.webofscience.com%2Fwos%2Fwoscc%2Ffull-record%2FWOS:000595883500001","View Full Record in Web of Science")</f>
        <v>View Full Record in Web of Science</v>
      </c>
    </row>
    <row r="1374" spans="1:72" x14ac:dyDescent="0.15">
      <c r="A1374" t="s">
        <v>98</v>
      </c>
      <c r="B1374" t="s">
        <v>1763</v>
      </c>
      <c r="C1374" t="s">
        <v>74</v>
      </c>
      <c r="D1374" t="s">
        <v>74</v>
      </c>
      <c r="E1374" t="s">
        <v>74</v>
      </c>
      <c r="F1374" t="s">
        <v>1764</v>
      </c>
      <c r="G1374" t="s">
        <v>74</v>
      </c>
      <c r="H1374" t="s">
        <v>74</v>
      </c>
      <c r="I1374" t="s">
        <v>1765</v>
      </c>
      <c r="J1374" t="s">
        <v>1766</v>
      </c>
      <c r="K1374" t="s">
        <v>74</v>
      </c>
      <c r="L1374" t="s">
        <v>74</v>
      </c>
      <c r="M1374" t="s">
        <v>74</v>
      </c>
      <c r="N1374" t="s">
        <v>103</v>
      </c>
      <c r="O1374" t="s">
        <v>74</v>
      </c>
      <c r="P1374" t="s">
        <v>74</v>
      </c>
      <c r="Q1374" t="s">
        <v>74</v>
      </c>
      <c r="R1374" t="s">
        <v>74</v>
      </c>
      <c r="S1374" t="s">
        <v>74</v>
      </c>
      <c r="T1374" t="s">
        <v>1767</v>
      </c>
      <c r="U1374" t="s">
        <v>1768</v>
      </c>
      <c r="V1374" t="s">
        <v>1769</v>
      </c>
      <c r="W1374" t="s">
        <v>1770</v>
      </c>
      <c r="X1374" t="s">
        <v>1771</v>
      </c>
      <c r="Y1374" t="s">
        <v>1772</v>
      </c>
      <c r="Z1374" t="s">
        <v>1773</v>
      </c>
      <c r="AA1374" t="s">
        <v>1774</v>
      </c>
      <c r="AB1374" t="s">
        <v>1775</v>
      </c>
      <c r="AC1374" t="s">
        <v>74</v>
      </c>
      <c r="AD1374" t="s">
        <v>74</v>
      </c>
      <c r="AE1374" t="s">
        <v>74</v>
      </c>
      <c r="AF1374" t="s">
        <v>74</v>
      </c>
      <c r="AG1374">
        <v>29</v>
      </c>
      <c r="AH1374">
        <v>6</v>
      </c>
      <c r="AI1374">
        <v>6</v>
      </c>
      <c r="AJ1374">
        <v>0</v>
      </c>
      <c r="AK1374">
        <v>6</v>
      </c>
      <c r="AL1374" t="s">
        <v>74</v>
      </c>
      <c r="AM1374" t="s">
        <v>74</v>
      </c>
      <c r="AN1374" t="s">
        <v>74</v>
      </c>
      <c r="AO1374" t="s">
        <v>74</v>
      </c>
      <c r="AP1374" t="s">
        <v>1776</v>
      </c>
      <c r="AQ1374" t="s">
        <v>74</v>
      </c>
      <c r="AR1374" t="s">
        <v>74</v>
      </c>
      <c r="AS1374" t="s">
        <v>74</v>
      </c>
      <c r="AT1374" t="s">
        <v>114</v>
      </c>
      <c r="AU1374">
        <v>2021</v>
      </c>
      <c r="AV1374">
        <v>9</v>
      </c>
      <c r="AW1374">
        <v>1</v>
      </c>
      <c r="AX1374" t="s">
        <v>74</v>
      </c>
      <c r="AY1374" t="s">
        <v>74</v>
      </c>
      <c r="AZ1374" t="s">
        <v>74</v>
      </c>
      <c r="BA1374" t="s">
        <v>74</v>
      </c>
      <c r="BB1374" t="s">
        <v>74</v>
      </c>
      <c r="BC1374" t="s">
        <v>74</v>
      </c>
      <c r="BD1374">
        <v>14</v>
      </c>
      <c r="BE1374" t="s">
        <v>1777</v>
      </c>
      <c r="BF1374" t="str">
        <f>HYPERLINK("http://dx.doi.org/10.3390/biomedicines9010014","http://dx.doi.org/10.3390/biomedicines9010014")</f>
        <v>http://dx.doi.org/10.3390/biomedicines9010014</v>
      </c>
      <c r="BG1374" t="s">
        <v>74</v>
      </c>
      <c r="BH1374" t="s">
        <v>74</v>
      </c>
      <c r="BI1374" t="s">
        <v>74</v>
      </c>
      <c r="BJ1374" t="s">
        <v>1778</v>
      </c>
      <c r="BK1374" t="s">
        <v>117</v>
      </c>
      <c r="BL1374" t="s">
        <v>1779</v>
      </c>
      <c r="BM1374" t="s">
        <v>74</v>
      </c>
      <c r="BN1374">
        <v>33375577</v>
      </c>
      <c r="BO1374" t="s">
        <v>74</v>
      </c>
      <c r="BP1374" t="s">
        <v>74</v>
      </c>
      <c r="BQ1374" t="s">
        <v>74</v>
      </c>
      <c r="BR1374" t="s">
        <v>96</v>
      </c>
      <c r="BS1374" t="s">
        <v>1780</v>
      </c>
      <c r="BT1374" t="str">
        <f>HYPERLINK("https%3A%2F%2Fwww.webofscience.com%2Fwos%2Fwoscc%2Ffull-record%2FWOS:000609829400001","View Full Record in Web of Science")</f>
        <v>View Full Record in Web of Science</v>
      </c>
    </row>
    <row r="1375" spans="1:72" x14ac:dyDescent="0.15">
      <c r="A1375" t="s">
        <v>98</v>
      </c>
      <c r="B1375" t="s">
        <v>2085</v>
      </c>
      <c r="C1375" t="s">
        <v>74</v>
      </c>
      <c r="D1375" t="s">
        <v>74</v>
      </c>
      <c r="E1375" t="s">
        <v>74</v>
      </c>
      <c r="F1375" t="s">
        <v>2086</v>
      </c>
      <c r="G1375" t="s">
        <v>74</v>
      </c>
      <c r="H1375" t="s">
        <v>74</v>
      </c>
      <c r="I1375" t="s">
        <v>2087</v>
      </c>
      <c r="J1375" t="s">
        <v>2088</v>
      </c>
      <c r="K1375" t="s">
        <v>74</v>
      </c>
      <c r="L1375" t="s">
        <v>74</v>
      </c>
      <c r="M1375" t="s">
        <v>74</v>
      </c>
      <c r="N1375" t="s">
        <v>103</v>
      </c>
      <c r="O1375" t="s">
        <v>74</v>
      </c>
      <c r="P1375" t="s">
        <v>74</v>
      </c>
      <c r="Q1375" t="s">
        <v>74</v>
      </c>
      <c r="R1375" t="s">
        <v>74</v>
      </c>
      <c r="S1375" t="s">
        <v>74</v>
      </c>
      <c r="T1375" t="s">
        <v>2089</v>
      </c>
      <c r="U1375" t="s">
        <v>2090</v>
      </c>
      <c r="V1375" t="s">
        <v>2091</v>
      </c>
      <c r="W1375" t="s">
        <v>2092</v>
      </c>
      <c r="X1375" t="s">
        <v>2093</v>
      </c>
      <c r="Y1375" t="s">
        <v>2094</v>
      </c>
      <c r="Z1375" t="s">
        <v>2095</v>
      </c>
      <c r="AA1375" t="s">
        <v>2096</v>
      </c>
      <c r="AB1375" t="s">
        <v>2097</v>
      </c>
      <c r="AC1375" t="s">
        <v>74</v>
      </c>
      <c r="AD1375" t="s">
        <v>74</v>
      </c>
      <c r="AE1375" t="s">
        <v>74</v>
      </c>
      <c r="AF1375" t="s">
        <v>74</v>
      </c>
      <c r="AG1375">
        <v>75</v>
      </c>
      <c r="AH1375">
        <v>6</v>
      </c>
      <c r="AI1375">
        <v>5</v>
      </c>
      <c r="AJ1375">
        <v>1</v>
      </c>
      <c r="AK1375">
        <v>6</v>
      </c>
      <c r="AL1375" t="s">
        <v>74</v>
      </c>
      <c r="AM1375" t="s">
        <v>74</v>
      </c>
      <c r="AN1375" t="s">
        <v>74</v>
      </c>
      <c r="AO1375" t="s">
        <v>2098</v>
      </c>
      <c r="AP1375" t="s">
        <v>74</v>
      </c>
      <c r="AQ1375" t="s">
        <v>74</v>
      </c>
      <c r="AR1375" t="s">
        <v>74</v>
      </c>
      <c r="AS1375" t="s">
        <v>74</v>
      </c>
      <c r="AT1375" t="s">
        <v>1029</v>
      </c>
      <c r="AU1375">
        <v>2021</v>
      </c>
      <c r="AV1375">
        <v>12</v>
      </c>
      <c r="AW1375" t="s">
        <v>74</v>
      </c>
      <c r="AX1375" t="s">
        <v>74</v>
      </c>
      <c r="AY1375" t="s">
        <v>74</v>
      </c>
      <c r="AZ1375" t="s">
        <v>74</v>
      </c>
      <c r="BA1375" t="s">
        <v>74</v>
      </c>
      <c r="BB1375" t="s">
        <v>74</v>
      </c>
      <c r="BC1375" t="s">
        <v>74</v>
      </c>
      <c r="BD1375">
        <v>2.0417314211019016E+16</v>
      </c>
      <c r="BE1375" t="s">
        <v>2099</v>
      </c>
      <c r="BF1375" t="str">
        <f>HYPERLINK("http://dx.doi.org/10.1177/20417314211019015","http://dx.doi.org/10.1177/20417314211019015")</f>
        <v>http://dx.doi.org/10.1177/20417314211019015</v>
      </c>
      <c r="BG1375" t="s">
        <v>74</v>
      </c>
      <c r="BH1375" t="s">
        <v>74</v>
      </c>
      <c r="BI1375" t="s">
        <v>74</v>
      </c>
      <c r="BJ1375" t="s">
        <v>2100</v>
      </c>
      <c r="BK1375" t="s">
        <v>117</v>
      </c>
      <c r="BL1375" t="s">
        <v>135</v>
      </c>
      <c r="BM1375" t="s">
        <v>74</v>
      </c>
      <c r="BN1375">
        <v>34104388</v>
      </c>
      <c r="BO1375" t="s">
        <v>74</v>
      </c>
      <c r="BP1375" t="s">
        <v>74</v>
      </c>
      <c r="BQ1375" t="s">
        <v>74</v>
      </c>
      <c r="BR1375" t="s">
        <v>96</v>
      </c>
      <c r="BS1375" t="s">
        <v>2101</v>
      </c>
      <c r="BT1375" t="str">
        <f>HYPERLINK("https%3A%2F%2Fwww.webofscience.com%2Fwos%2Fwoscc%2Ffull-record%2FWOS:000687827200001","View Full Record in Web of Science")</f>
        <v>View Full Record in Web of Science</v>
      </c>
    </row>
    <row r="1376" spans="1:72" x14ac:dyDescent="0.15">
      <c r="A1376" t="s">
        <v>98</v>
      </c>
      <c r="B1376" t="s">
        <v>2775</v>
      </c>
      <c r="C1376" t="s">
        <v>74</v>
      </c>
      <c r="D1376" t="s">
        <v>74</v>
      </c>
      <c r="E1376" t="s">
        <v>74</v>
      </c>
      <c r="F1376" t="s">
        <v>2776</v>
      </c>
      <c r="G1376" t="s">
        <v>74</v>
      </c>
      <c r="H1376" t="s">
        <v>74</v>
      </c>
      <c r="I1376" t="s">
        <v>2777</v>
      </c>
      <c r="J1376" t="s">
        <v>1143</v>
      </c>
      <c r="K1376" t="s">
        <v>74</v>
      </c>
      <c r="L1376" t="s">
        <v>74</v>
      </c>
      <c r="M1376" t="s">
        <v>74</v>
      </c>
      <c r="N1376" t="s">
        <v>103</v>
      </c>
      <c r="O1376" t="s">
        <v>74</v>
      </c>
      <c r="P1376" t="s">
        <v>74</v>
      </c>
      <c r="Q1376" t="s">
        <v>74</v>
      </c>
      <c r="R1376" t="s">
        <v>74</v>
      </c>
      <c r="S1376" t="s">
        <v>74</v>
      </c>
      <c r="T1376" t="s">
        <v>2778</v>
      </c>
      <c r="U1376" t="s">
        <v>2779</v>
      </c>
      <c r="V1376" t="s">
        <v>2780</v>
      </c>
      <c r="W1376" t="s">
        <v>2781</v>
      </c>
      <c r="X1376" t="s">
        <v>2782</v>
      </c>
      <c r="Y1376" t="s">
        <v>2783</v>
      </c>
      <c r="Z1376" t="s">
        <v>2784</v>
      </c>
      <c r="AA1376" t="s">
        <v>74</v>
      </c>
      <c r="AB1376" t="s">
        <v>2785</v>
      </c>
      <c r="AC1376" t="s">
        <v>74</v>
      </c>
      <c r="AD1376" t="s">
        <v>74</v>
      </c>
      <c r="AE1376" t="s">
        <v>74</v>
      </c>
      <c r="AF1376" t="s">
        <v>74</v>
      </c>
      <c r="AG1376">
        <v>57</v>
      </c>
      <c r="AH1376">
        <v>6</v>
      </c>
      <c r="AI1376">
        <v>6</v>
      </c>
      <c r="AJ1376">
        <v>4</v>
      </c>
      <c r="AK1376">
        <v>7</v>
      </c>
      <c r="AL1376" t="s">
        <v>74</v>
      </c>
      <c r="AM1376" t="s">
        <v>74</v>
      </c>
      <c r="AN1376" t="s">
        <v>74</v>
      </c>
      <c r="AO1376" t="s">
        <v>1153</v>
      </c>
      <c r="AP1376" t="s">
        <v>74</v>
      </c>
      <c r="AQ1376" t="s">
        <v>74</v>
      </c>
      <c r="AR1376" t="s">
        <v>74</v>
      </c>
      <c r="AS1376" t="s">
        <v>74</v>
      </c>
      <c r="AT1376" t="s">
        <v>74</v>
      </c>
      <c r="AU1376">
        <v>2021</v>
      </c>
      <c r="AV1376">
        <v>11</v>
      </c>
      <c r="AW1376">
        <v>15</v>
      </c>
      <c r="AX1376" t="s">
        <v>74</v>
      </c>
      <c r="AY1376" t="s">
        <v>74</v>
      </c>
      <c r="AZ1376" t="s">
        <v>74</v>
      </c>
      <c r="BA1376" t="s">
        <v>74</v>
      </c>
      <c r="BB1376">
        <v>7144</v>
      </c>
      <c r="BC1376">
        <v>7158</v>
      </c>
      <c r="BD1376" t="s">
        <v>74</v>
      </c>
      <c r="BE1376" t="s">
        <v>2786</v>
      </c>
      <c r="BF1376" t="str">
        <f>HYPERLINK("http://dx.doi.org/10.7150/thno.59152","http://dx.doi.org/10.7150/thno.59152")</f>
        <v>http://dx.doi.org/10.7150/thno.59152</v>
      </c>
      <c r="BG1376" t="s">
        <v>74</v>
      </c>
      <c r="BH1376" t="s">
        <v>74</v>
      </c>
      <c r="BI1376" t="s">
        <v>74</v>
      </c>
      <c r="BJ1376" t="s">
        <v>795</v>
      </c>
      <c r="BK1376" t="s">
        <v>117</v>
      </c>
      <c r="BL1376" t="s">
        <v>796</v>
      </c>
      <c r="BM1376" t="s">
        <v>74</v>
      </c>
      <c r="BN1376">
        <v>34158841</v>
      </c>
      <c r="BO1376" t="s">
        <v>74</v>
      </c>
      <c r="BP1376" t="s">
        <v>74</v>
      </c>
      <c r="BQ1376" t="s">
        <v>74</v>
      </c>
      <c r="BR1376" t="s">
        <v>96</v>
      </c>
      <c r="BS1376" t="s">
        <v>2787</v>
      </c>
      <c r="BT1376" t="str">
        <f>HYPERLINK("https%3A%2F%2Fwww.webofscience.com%2Fwos%2Fwoscc%2Ffull-record%2FWOS:000655136400002","View Full Record in Web of Science")</f>
        <v>View Full Record in Web of Science</v>
      </c>
    </row>
    <row r="1377" spans="1:72" x14ac:dyDescent="0.15">
      <c r="A1377" t="s">
        <v>98</v>
      </c>
      <c r="B1377" t="s">
        <v>3748</v>
      </c>
      <c r="C1377" t="s">
        <v>74</v>
      </c>
      <c r="D1377" t="s">
        <v>74</v>
      </c>
      <c r="E1377" t="s">
        <v>74</v>
      </c>
      <c r="F1377" t="s">
        <v>3749</v>
      </c>
      <c r="G1377" t="s">
        <v>74</v>
      </c>
      <c r="H1377" t="s">
        <v>74</v>
      </c>
      <c r="I1377" t="s">
        <v>3750</v>
      </c>
      <c r="J1377" t="s">
        <v>3751</v>
      </c>
      <c r="K1377" t="s">
        <v>74</v>
      </c>
      <c r="L1377" t="s">
        <v>74</v>
      </c>
      <c r="M1377" t="s">
        <v>74</v>
      </c>
      <c r="N1377" t="s">
        <v>103</v>
      </c>
      <c r="O1377" t="s">
        <v>74</v>
      </c>
      <c r="P1377" t="s">
        <v>74</v>
      </c>
      <c r="Q1377" t="s">
        <v>74</v>
      </c>
      <c r="R1377" t="s">
        <v>74</v>
      </c>
      <c r="S1377" t="s">
        <v>74</v>
      </c>
      <c r="T1377" t="s">
        <v>3752</v>
      </c>
      <c r="U1377" t="s">
        <v>3753</v>
      </c>
      <c r="V1377" t="s">
        <v>3754</v>
      </c>
      <c r="W1377" t="s">
        <v>3755</v>
      </c>
      <c r="X1377" t="s">
        <v>3756</v>
      </c>
      <c r="Y1377" t="s">
        <v>3757</v>
      </c>
      <c r="Z1377" t="s">
        <v>3758</v>
      </c>
      <c r="AA1377" t="s">
        <v>3759</v>
      </c>
      <c r="AB1377" t="s">
        <v>3760</v>
      </c>
      <c r="AC1377" t="s">
        <v>74</v>
      </c>
      <c r="AD1377" t="s">
        <v>74</v>
      </c>
      <c r="AE1377" t="s">
        <v>74</v>
      </c>
      <c r="AF1377" t="s">
        <v>74</v>
      </c>
      <c r="AG1377">
        <v>166</v>
      </c>
      <c r="AH1377">
        <v>6</v>
      </c>
      <c r="AI1377">
        <v>6</v>
      </c>
      <c r="AJ1377">
        <v>32</v>
      </c>
      <c r="AK1377">
        <v>32</v>
      </c>
      <c r="AL1377" t="s">
        <v>74</v>
      </c>
      <c r="AM1377" t="s">
        <v>74</v>
      </c>
      <c r="AN1377" t="s">
        <v>74</v>
      </c>
      <c r="AO1377" t="s">
        <v>74</v>
      </c>
      <c r="AP1377" t="s">
        <v>3761</v>
      </c>
      <c r="AQ1377" t="s">
        <v>74</v>
      </c>
      <c r="AR1377" t="s">
        <v>74</v>
      </c>
      <c r="AS1377" t="s">
        <v>74</v>
      </c>
      <c r="AT1377" t="s">
        <v>230</v>
      </c>
      <c r="AU1377">
        <v>2022</v>
      </c>
      <c r="AV1377">
        <v>14</v>
      </c>
      <c r="AW1377" t="s">
        <v>74</v>
      </c>
      <c r="AX1377" t="s">
        <v>74</v>
      </c>
      <c r="AY1377" t="s">
        <v>74</v>
      </c>
      <c r="AZ1377" t="s">
        <v>74</v>
      </c>
      <c r="BA1377" t="s">
        <v>74</v>
      </c>
      <c r="BB1377">
        <v>169</v>
      </c>
      <c r="BC1377">
        <v>181</v>
      </c>
      <c r="BD1377" t="s">
        <v>74</v>
      </c>
      <c r="BE1377" t="s">
        <v>3762</v>
      </c>
      <c r="BF1377" t="str">
        <f>HYPERLINK("http://dx.doi.org/10.1016/j.bioactmat.2021.12.006","http://dx.doi.org/10.1016/j.bioactmat.2021.12.006")</f>
        <v>http://dx.doi.org/10.1016/j.bioactmat.2021.12.006</v>
      </c>
      <c r="BG1377" t="s">
        <v>74</v>
      </c>
      <c r="BH1377" t="s">
        <v>74</v>
      </c>
      <c r="BI1377" t="s">
        <v>74</v>
      </c>
      <c r="BJ1377" t="s">
        <v>1983</v>
      </c>
      <c r="BK1377" t="s">
        <v>117</v>
      </c>
      <c r="BL1377" t="s">
        <v>1984</v>
      </c>
      <c r="BM1377" t="s">
        <v>74</v>
      </c>
      <c r="BN1377">
        <v>35310361</v>
      </c>
      <c r="BO1377" t="s">
        <v>74</v>
      </c>
      <c r="BP1377" t="s">
        <v>74</v>
      </c>
      <c r="BQ1377" t="s">
        <v>74</v>
      </c>
      <c r="BR1377" t="s">
        <v>96</v>
      </c>
      <c r="BS1377" t="s">
        <v>3763</v>
      </c>
      <c r="BT1377" t="str">
        <f>HYPERLINK("https%3A%2F%2Fwww.webofscience.com%2Fwos%2Fwoscc%2Ffull-record%2FWOS:000788667100001","View Full Record in Web of Science")</f>
        <v>View Full Record in Web of Science</v>
      </c>
    </row>
    <row r="1378" spans="1:72" x14ac:dyDescent="0.15">
      <c r="A1378" t="s">
        <v>98</v>
      </c>
      <c r="B1378" t="s">
        <v>4582</v>
      </c>
      <c r="C1378" t="s">
        <v>74</v>
      </c>
      <c r="D1378" t="s">
        <v>74</v>
      </c>
      <c r="E1378" t="s">
        <v>74</v>
      </c>
      <c r="F1378" t="s">
        <v>4583</v>
      </c>
      <c r="G1378" t="s">
        <v>74</v>
      </c>
      <c r="H1378" t="s">
        <v>74</v>
      </c>
      <c r="I1378" t="s">
        <v>4584</v>
      </c>
      <c r="J1378" t="s">
        <v>2105</v>
      </c>
      <c r="K1378" t="s">
        <v>74</v>
      </c>
      <c r="L1378" t="s">
        <v>74</v>
      </c>
      <c r="M1378" t="s">
        <v>74</v>
      </c>
      <c r="N1378" t="s">
        <v>103</v>
      </c>
      <c r="O1378" t="s">
        <v>74</v>
      </c>
      <c r="P1378" t="s">
        <v>74</v>
      </c>
      <c r="Q1378" t="s">
        <v>74</v>
      </c>
      <c r="R1378" t="s">
        <v>74</v>
      </c>
      <c r="S1378" t="s">
        <v>74</v>
      </c>
      <c r="T1378" t="s">
        <v>4585</v>
      </c>
      <c r="U1378" t="s">
        <v>4586</v>
      </c>
      <c r="V1378" t="s">
        <v>4587</v>
      </c>
      <c r="W1378" t="s">
        <v>4588</v>
      </c>
      <c r="X1378" t="s">
        <v>4589</v>
      </c>
      <c r="Y1378" t="s">
        <v>4590</v>
      </c>
      <c r="Z1378" t="s">
        <v>4591</v>
      </c>
      <c r="AA1378" t="s">
        <v>4592</v>
      </c>
      <c r="AB1378" t="s">
        <v>4593</v>
      </c>
      <c r="AC1378" t="s">
        <v>74</v>
      </c>
      <c r="AD1378" t="s">
        <v>74</v>
      </c>
      <c r="AE1378" t="s">
        <v>74</v>
      </c>
      <c r="AF1378" t="s">
        <v>74</v>
      </c>
      <c r="AG1378">
        <v>51</v>
      </c>
      <c r="AH1378">
        <v>6</v>
      </c>
      <c r="AI1378">
        <v>6</v>
      </c>
      <c r="AJ1378">
        <v>8</v>
      </c>
      <c r="AK1378">
        <v>13</v>
      </c>
      <c r="AL1378" t="s">
        <v>74</v>
      </c>
      <c r="AM1378" t="s">
        <v>74</v>
      </c>
      <c r="AN1378" t="s">
        <v>74</v>
      </c>
      <c r="AO1378" t="s">
        <v>2115</v>
      </c>
      <c r="AP1378" t="s">
        <v>74</v>
      </c>
      <c r="AQ1378" t="s">
        <v>74</v>
      </c>
      <c r="AR1378" t="s">
        <v>74</v>
      </c>
      <c r="AS1378" t="s">
        <v>74</v>
      </c>
      <c r="AT1378" t="s">
        <v>4594</v>
      </c>
      <c r="AU1378">
        <v>2021</v>
      </c>
      <c r="AV1378">
        <v>11</v>
      </c>
      <c r="AW1378" t="s">
        <v>74</v>
      </c>
      <c r="AX1378" t="s">
        <v>74</v>
      </c>
      <c r="AY1378" t="s">
        <v>74</v>
      </c>
      <c r="AZ1378" t="s">
        <v>74</v>
      </c>
      <c r="BA1378" t="s">
        <v>74</v>
      </c>
      <c r="BB1378" t="s">
        <v>74</v>
      </c>
      <c r="BC1378" t="s">
        <v>74</v>
      </c>
      <c r="BD1378">
        <v>650026</v>
      </c>
      <c r="BE1378" t="s">
        <v>4595</v>
      </c>
      <c r="BF1378" t="str">
        <f>HYPERLINK("http://dx.doi.org/10.3389/fonc.2021.650026","http://dx.doi.org/10.3389/fonc.2021.650026")</f>
        <v>http://dx.doi.org/10.3389/fonc.2021.650026</v>
      </c>
      <c r="BG1378" t="s">
        <v>74</v>
      </c>
      <c r="BH1378" t="s">
        <v>74</v>
      </c>
      <c r="BI1378" t="s">
        <v>74</v>
      </c>
      <c r="BJ1378" t="s">
        <v>267</v>
      </c>
      <c r="BK1378" t="s">
        <v>117</v>
      </c>
      <c r="BL1378" t="s">
        <v>267</v>
      </c>
      <c r="BM1378" t="s">
        <v>74</v>
      </c>
      <c r="BN1378">
        <v>34595105</v>
      </c>
      <c r="BO1378" t="s">
        <v>74</v>
      </c>
      <c r="BP1378" t="s">
        <v>74</v>
      </c>
      <c r="BQ1378" t="s">
        <v>74</v>
      </c>
      <c r="BR1378" t="s">
        <v>96</v>
      </c>
      <c r="BS1378" t="s">
        <v>4596</v>
      </c>
      <c r="BT1378" t="str">
        <f>HYPERLINK("https%3A%2F%2Fwww.webofscience.com%2Fwos%2Fwoscc%2Ffull-record%2FWOS:000704875200001","View Full Record in Web of Science")</f>
        <v>View Full Record in Web of Science</v>
      </c>
    </row>
    <row r="1379" spans="1:72" x14ac:dyDescent="0.15">
      <c r="A1379" t="s">
        <v>98</v>
      </c>
      <c r="B1379" t="s">
        <v>4884</v>
      </c>
      <c r="C1379" t="s">
        <v>74</v>
      </c>
      <c r="D1379" t="s">
        <v>74</v>
      </c>
      <c r="E1379" t="s">
        <v>74</v>
      </c>
      <c r="F1379" t="s">
        <v>4885</v>
      </c>
      <c r="G1379" t="s">
        <v>74</v>
      </c>
      <c r="H1379" t="s">
        <v>74</v>
      </c>
      <c r="I1379" t="s">
        <v>4886</v>
      </c>
      <c r="J1379" t="s">
        <v>4391</v>
      </c>
      <c r="K1379" t="s">
        <v>74</v>
      </c>
      <c r="L1379" t="s">
        <v>74</v>
      </c>
      <c r="M1379" t="s">
        <v>74</v>
      </c>
      <c r="N1379" t="s">
        <v>103</v>
      </c>
      <c r="O1379" t="s">
        <v>74</v>
      </c>
      <c r="P1379" t="s">
        <v>74</v>
      </c>
      <c r="Q1379" t="s">
        <v>74</v>
      </c>
      <c r="R1379" t="s">
        <v>74</v>
      </c>
      <c r="S1379" t="s">
        <v>74</v>
      </c>
      <c r="T1379" t="s">
        <v>4887</v>
      </c>
      <c r="U1379" t="s">
        <v>4888</v>
      </c>
      <c r="V1379" t="s">
        <v>4889</v>
      </c>
      <c r="W1379" t="s">
        <v>4890</v>
      </c>
      <c r="X1379" t="s">
        <v>4891</v>
      </c>
      <c r="Y1379" t="s">
        <v>4892</v>
      </c>
      <c r="Z1379" t="s">
        <v>4893</v>
      </c>
      <c r="AA1379" t="s">
        <v>4894</v>
      </c>
      <c r="AB1379" t="s">
        <v>4895</v>
      </c>
      <c r="AC1379" t="s">
        <v>74</v>
      </c>
      <c r="AD1379" t="s">
        <v>74</v>
      </c>
      <c r="AE1379" t="s">
        <v>74</v>
      </c>
      <c r="AF1379" t="s">
        <v>74</v>
      </c>
      <c r="AG1379">
        <v>96</v>
      </c>
      <c r="AH1379">
        <v>6</v>
      </c>
      <c r="AI1379">
        <v>6</v>
      </c>
      <c r="AJ1379">
        <v>2</v>
      </c>
      <c r="AK1379">
        <v>12</v>
      </c>
      <c r="AL1379" t="s">
        <v>74</v>
      </c>
      <c r="AM1379" t="s">
        <v>74</v>
      </c>
      <c r="AN1379" t="s">
        <v>74</v>
      </c>
      <c r="AO1379" t="s">
        <v>74</v>
      </c>
      <c r="AP1379" t="s">
        <v>4401</v>
      </c>
      <c r="AQ1379" t="s">
        <v>74</v>
      </c>
      <c r="AR1379" t="s">
        <v>74</v>
      </c>
      <c r="AS1379" t="s">
        <v>74</v>
      </c>
      <c r="AT1379" t="s">
        <v>4896</v>
      </c>
      <c r="AU1379">
        <v>2021</v>
      </c>
      <c r="AV1379">
        <v>12</v>
      </c>
      <c r="AW1379">
        <v>1</v>
      </c>
      <c r="AX1379" t="s">
        <v>74</v>
      </c>
      <c r="AY1379" t="s">
        <v>74</v>
      </c>
      <c r="AZ1379" t="s">
        <v>74</v>
      </c>
      <c r="BA1379" t="s">
        <v>74</v>
      </c>
      <c r="BB1379" t="s">
        <v>74</v>
      </c>
      <c r="BC1379" t="s">
        <v>74</v>
      </c>
      <c r="BD1379">
        <v>379</v>
      </c>
      <c r="BE1379" t="s">
        <v>4897</v>
      </c>
      <c r="BF1379" t="str">
        <f>HYPERLINK("http://dx.doi.org/10.1186/s13287-021-02460-0","http://dx.doi.org/10.1186/s13287-021-02460-0")</f>
        <v>http://dx.doi.org/10.1186/s13287-021-02460-0</v>
      </c>
      <c r="BG1379" t="s">
        <v>74</v>
      </c>
      <c r="BH1379" t="s">
        <v>74</v>
      </c>
      <c r="BI1379" t="s">
        <v>74</v>
      </c>
      <c r="BJ1379" t="s">
        <v>3115</v>
      </c>
      <c r="BK1379" t="s">
        <v>117</v>
      </c>
      <c r="BL1379" t="s">
        <v>3116</v>
      </c>
      <c r="BM1379" t="s">
        <v>74</v>
      </c>
      <c r="BN1379">
        <v>34215331</v>
      </c>
      <c r="BO1379" t="s">
        <v>74</v>
      </c>
      <c r="BP1379" t="s">
        <v>74</v>
      </c>
      <c r="BQ1379" t="s">
        <v>74</v>
      </c>
      <c r="BR1379" t="s">
        <v>96</v>
      </c>
      <c r="BS1379" t="s">
        <v>4898</v>
      </c>
      <c r="BT1379" t="str">
        <f>HYPERLINK("https%3A%2F%2Fwww.webofscience.com%2Fwos%2Fwoscc%2Ffull-record%2FWOS:000671863400006","View Full Record in Web of Science")</f>
        <v>View Full Record in Web of Science</v>
      </c>
    </row>
    <row r="1380" spans="1:72" x14ac:dyDescent="0.15">
      <c r="A1380" t="s">
        <v>98</v>
      </c>
      <c r="B1380" t="s">
        <v>5490</v>
      </c>
      <c r="C1380" t="s">
        <v>74</v>
      </c>
      <c r="D1380" t="s">
        <v>74</v>
      </c>
      <c r="E1380" t="s">
        <v>74</v>
      </c>
      <c r="F1380" t="s">
        <v>5491</v>
      </c>
      <c r="G1380" t="s">
        <v>74</v>
      </c>
      <c r="H1380" t="s">
        <v>74</v>
      </c>
      <c r="I1380" t="s">
        <v>5492</v>
      </c>
      <c r="J1380" t="s">
        <v>5493</v>
      </c>
      <c r="K1380" t="s">
        <v>74</v>
      </c>
      <c r="L1380" t="s">
        <v>74</v>
      </c>
      <c r="M1380" t="s">
        <v>74</v>
      </c>
      <c r="N1380" t="s">
        <v>103</v>
      </c>
      <c r="O1380" t="s">
        <v>74</v>
      </c>
      <c r="P1380" t="s">
        <v>74</v>
      </c>
      <c r="Q1380" t="s">
        <v>74</v>
      </c>
      <c r="R1380" t="s">
        <v>74</v>
      </c>
      <c r="S1380" t="s">
        <v>74</v>
      </c>
      <c r="T1380" t="s">
        <v>5494</v>
      </c>
      <c r="U1380" t="s">
        <v>5495</v>
      </c>
      <c r="V1380" t="s">
        <v>5496</v>
      </c>
      <c r="W1380" t="s">
        <v>5497</v>
      </c>
      <c r="X1380" t="s">
        <v>5498</v>
      </c>
      <c r="Y1380" t="s">
        <v>5499</v>
      </c>
      <c r="Z1380" t="s">
        <v>5500</v>
      </c>
      <c r="AA1380" t="s">
        <v>5501</v>
      </c>
      <c r="AB1380" t="s">
        <v>5502</v>
      </c>
      <c r="AC1380" t="s">
        <v>74</v>
      </c>
      <c r="AD1380" t="s">
        <v>74</v>
      </c>
      <c r="AE1380" t="s">
        <v>74</v>
      </c>
      <c r="AF1380" t="s">
        <v>74</v>
      </c>
      <c r="AG1380">
        <v>72</v>
      </c>
      <c r="AH1380">
        <v>6</v>
      </c>
      <c r="AI1380">
        <v>6</v>
      </c>
      <c r="AJ1380">
        <v>0</v>
      </c>
      <c r="AK1380">
        <v>13</v>
      </c>
      <c r="AL1380" t="s">
        <v>74</v>
      </c>
      <c r="AM1380" t="s">
        <v>74</v>
      </c>
      <c r="AN1380" t="s">
        <v>74</v>
      </c>
      <c r="AO1380" t="s">
        <v>74</v>
      </c>
      <c r="AP1380" t="s">
        <v>5503</v>
      </c>
      <c r="AQ1380" t="s">
        <v>74</v>
      </c>
      <c r="AR1380" t="s">
        <v>74</v>
      </c>
      <c r="AS1380" t="s">
        <v>74</v>
      </c>
      <c r="AT1380" t="s">
        <v>189</v>
      </c>
      <c r="AU1380">
        <v>2019</v>
      </c>
      <c r="AV1380">
        <v>11</v>
      </c>
      <c r="AW1380">
        <v>10</v>
      </c>
      <c r="AX1380" t="s">
        <v>74</v>
      </c>
      <c r="AY1380" t="s">
        <v>74</v>
      </c>
      <c r="AZ1380" t="s">
        <v>74</v>
      </c>
      <c r="BA1380" t="s">
        <v>74</v>
      </c>
      <c r="BB1380" t="s">
        <v>74</v>
      </c>
      <c r="BC1380" t="s">
        <v>74</v>
      </c>
      <c r="BD1380">
        <v>882</v>
      </c>
      <c r="BE1380" t="s">
        <v>5504</v>
      </c>
      <c r="BF1380" t="str">
        <f>HYPERLINK("http://dx.doi.org/10.3390/v11100882","http://dx.doi.org/10.3390/v11100882")</f>
        <v>http://dx.doi.org/10.3390/v11100882</v>
      </c>
      <c r="BG1380" t="s">
        <v>74</v>
      </c>
      <c r="BH1380" t="s">
        <v>74</v>
      </c>
      <c r="BI1380" t="s">
        <v>74</v>
      </c>
      <c r="BJ1380" t="s">
        <v>932</v>
      </c>
      <c r="BK1380" t="s">
        <v>117</v>
      </c>
      <c r="BL1380" t="s">
        <v>932</v>
      </c>
      <c r="BM1380" t="s">
        <v>74</v>
      </c>
      <c r="BN1380">
        <v>31547130</v>
      </c>
      <c r="BO1380" t="s">
        <v>74</v>
      </c>
      <c r="BP1380" t="s">
        <v>74</v>
      </c>
      <c r="BQ1380" t="s">
        <v>74</v>
      </c>
      <c r="BR1380" t="s">
        <v>96</v>
      </c>
      <c r="BS1380" t="s">
        <v>5505</v>
      </c>
      <c r="BT1380" t="str">
        <f>HYPERLINK("https%3A%2F%2Fwww.webofscience.com%2Fwos%2Fwoscc%2Ffull-record%2FWOS:000498400400003","View Full Record in Web of Science")</f>
        <v>View Full Record in Web of Science</v>
      </c>
    </row>
    <row r="1381" spans="1:72" x14ac:dyDescent="0.15">
      <c r="A1381" t="s">
        <v>98</v>
      </c>
      <c r="B1381" t="s">
        <v>5730</v>
      </c>
      <c r="C1381" t="s">
        <v>74</v>
      </c>
      <c r="D1381" t="s">
        <v>74</v>
      </c>
      <c r="E1381" t="s">
        <v>74</v>
      </c>
      <c r="F1381" t="s">
        <v>5731</v>
      </c>
      <c r="G1381" t="s">
        <v>74</v>
      </c>
      <c r="H1381" t="s">
        <v>74</v>
      </c>
      <c r="I1381" t="s">
        <v>5732</v>
      </c>
      <c r="J1381" t="s">
        <v>5733</v>
      </c>
      <c r="K1381" t="s">
        <v>74</v>
      </c>
      <c r="L1381" t="s">
        <v>74</v>
      </c>
      <c r="M1381" t="s">
        <v>74</v>
      </c>
      <c r="N1381" t="s">
        <v>103</v>
      </c>
      <c r="O1381" t="s">
        <v>74</v>
      </c>
      <c r="P1381" t="s">
        <v>74</v>
      </c>
      <c r="Q1381" t="s">
        <v>74</v>
      </c>
      <c r="R1381" t="s">
        <v>74</v>
      </c>
      <c r="S1381" t="s">
        <v>74</v>
      </c>
      <c r="T1381" t="s">
        <v>5734</v>
      </c>
      <c r="U1381" t="s">
        <v>5735</v>
      </c>
      <c r="V1381" t="s">
        <v>5736</v>
      </c>
      <c r="W1381" t="s">
        <v>5737</v>
      </c>
      <c r="X1381" t="s">
        <v>5738</v>
      </c>
      <c r="Y1381" t="s">
        <v>5739</v>
      </c>
      <c r="Z1381" t="s">
        <v>5740</v>
      </c>
      <c r="AA1381" t="s">
        <v>5741</v>
      </c>
      <c r="AB1381" t="s">
        <v>5742</v>
      </c>
      <c r="AC1381" t="s">
        <v>74</v>
      </c>
      <c r="AD1381" t="s">
        <v>74</v>
      </c>
      <c r="AE1381" t="s">
        <v>74</v>
      </c>
      <c r="AF1381" t="s">
        <v>74</v>
      </c>
      <c r="AG1381">
        <v>77</v>
      </c>
      <c r="AH1381">
        <v>6</v>
      </c>
      <c r="AI1381">
        <v>6</v>
      </c>
      <c r="AJ1381">
        <v>3</v>
      </c>
      <c r="AK1381">
        <v>13</v>
      </c>
      <c r="AL1381" t="s">
        <v>74</v>
      </c>
      <c r="AM1381" t="s">
        <v>74</v>
      </c>
      <c r="AN1381" t="s">
        <v>74</v>
      </c>
      <c r="AO1381" t="s">
        <v>5743</v>
      </c>
      <c r="AP1381" t="s">
        <v>5744</v>
      </c>
      <c r="AQ1381" t="s">
        <v>74</v>
      </c>
      <c r="AR1381" t="s">
        <v>74</v>
      </c>
      <c r="AS1381" t="s">
        <v>74</v>
      </c>
      <c r="AT1381" t="s">
        <v>531</v>
      </c>
      <c r="AU1381">
        <v>2021</v>
      </c>
      <c r="AV1381">
        <v>104</v>
      </c>
      <c r="AW1381">
        <v>9</v>
      </c>
      <c r="AX1381" t="s">
        <v>74</v>
      </c>
      <c r="AY1381" t="s">
        <v>74</v>
      </c>
      <c r="AZ1381" t="s">
        <v>74</v>
      </c>
      <c r="BA1381" t="s">
        <v>74</v>
      </c>
      <c r="BB1381">
        <v>9478</v>
      </c>
      <c r="BC1381">
        <v>9493</v>
      </c>
      <c r="BD1381" t="s">
        <v>74</v>
      </c>
      <c r="BE1381" t="s">
        <v>5745</v>
      </c>
      <c r="BF1381" t="str">
        <f>HYPERLINK("http://dx.doi.org/10.3168/jds.2021-20300","http://dx.doi.org/10.3168/jds.2021-20300")</f>
        <v>http://dx.doi.org/10.3168/jds.2021-20300</v>
      </c>
      <c r="BG1381" t="s">
        <v>74</v>
      </c>
      <c r="BH1381" t="s">
        <v>1663</v>
      </c>
      <c r="BI1381" t="s">
        <v>74</v>
      </c>
      <c r="BJ1381" t="s">
        <v>5746</v>
      </c>
      <c r="BK1381" t="s">
        <v>117</v>
      </c>
      <c r="BL1381" t="s">
        <v>5747</v>
      </c>
      <c r="BM1381" t="s">
        <v>74</v>
      </c>
      <c r="BN1381">
        <v>34218910</v>
      </c>
      <c r="BO1381" t="s">
        <v>74</v>
      </c>
      <c r="BP1381" t="s">
        <v>74</v>
      </c>
      <c r="BQ1381" t="s">
        <v>74</v>
      </c>
      <c r="BR1381" t="s">
        <v>96</v>
      </c>
      <c r="BS1381" t="s">
        <v>5748</v>
      </c>
      <c r="BT1381" t="str">
        <f>HYPERLINK("https%3A%2F%2Fwww.webofscience.com%2Fwos%2Fwoscc%2Ffull-record%2FWOS:000688354800008","View Full Record in Web of Science")</f>
        <v>View Full Record in Web of Science</v>
      </c>
    </row>
    <row r="1382" spans="1:72" x14ac:dyDescent="0.15">
      <c r="A1382" t="s">
        <v>98</v>
      </c>
      <c r="B1382" t="s">
        <v>5777</v>
      </c>
      <c r="C1382" t="s">
        <v>74</v>
      </c>
      <c r="D1382" t="s">
        <v>74</v>
      </c>
      <c r="E1382" t="s">
        <v>74</v>
      </c>
      <c r="F1382" t="s">
        <v>5778</v>
      </c>
      <c r="G1382" t="s">
        <v>74</v>
      </c>
      <c r="H1382" t="s">
        <v>74</v>
      </c>
      <c r="I1382" t="s">
        <v>5779</v>
      </c>
      <c r="J1382" t="s">
        <v>2520</v>
      </c>
      <c r="K1382" t="s">
        <v>74</v>
      </c>
      <c r="L1382" t="s">
        <v>74</v>
      </c>
      <c r="M1382" t="s">
        <v>74</v>
      </c>
      <c r="N1382" t="s">
        <v>103</v>
      </c>
      <c r="O1382" t="s">
        <v>74</v>
      </c>
      <c r="P1382" t="s">
        <v>74</v>
      </c>
      <c r="Q1382" t="s">
        <v>74</v>
      </c>
      <c r="R1382" t="s">
        <v>74</v>
      </c>
      <c r="S1382" t="s">
        <v>74</v>
      </c>
      <c r="T1382" t="s">
        <v>5780</v>
      </c>
      <c r="U1382" t="s">
        <v>5781</v>
      </c>
      <c r="V1382" t="s">
        <v>5782</v>
      </c>
      <c r="W1382" t="s">
        <v>5783</v>
      </c>
      <c r="X1382" t="s">
        <v>5784</v>
      </c>
      <c r="Y1382" t="s">
        <v>5785</v>
      </c>
      <c r="Z1382" t="s">
        <v>5786</v>
      </c>
      <c r="AA1382" t="s">
        <v>74</v>
      </c>
      <c r="AB1382" t="s">
        <v>5787</v>
      </c>
      <c r="AC1382" t="s">
        <v>74</v>
      </c>
      <c r="AD1382" t="s">
        <v>74</v>
      </c>
      <c r="AE1382" t="s">
        <v>74</v>
      </c>
      <c r="AF1382" t="s">
        <v>74</v>
      </c>
      <c r="AG1382">
        <v>47</v>
      </c>
      <c r="AH1382">
        <v>6</v>
      </c>
      <c r="AI1382">
        <v>8</v>
      </c>
      <c r="AJ1382">
        <v>5</v>
      </c>
      <c r="AK1382">
        <v>13</v>
      </c>
      <c r="AL1382" t="s">
        <v>74</v>
      </c>
      <c r="AM1382" t="s">
        <v>74</v>
      </c>
      <c r="AN1382" t="s">
        <v>74</v>
      </c>
      <c r="AO1382" t="s">
        <v>74</v>
      </c>
      <c r="AP1382" t="s">
        <v>2529</v>
      </c>
      <c r="AQ1382" t="s">
        <v>74</v>
      </c>
      <c r="AR1382" t="s">
        <v>74</v>
      </c>
      <c r="AS1382" t="s">
        <v>74</v>
      </c>
      <c r="AT1382" t="s">
        <v>5788</v>
      </c>
      <c r="AU1382">
        <v>2021</v>
      </c>
      <c r="AV1382">
        <v>11</v>
      </c>
      <c r="AW1382" t="s">
        <v>74</v>
      </c>
      <c r="AX1382" t="s">
        <v>74</v>
      </c>
      <c r="AY1382" t="s">
        <v>74</v>
      </c>
      <c r="AZ1382" t="s">
        <v>74</v>
      </c>
      <c r="BA1382" t="s">
        <v>74</v>
      </c>
      <c r="BB1382" t="s">
        <v>74</v>
      </c>
      <c r="BC1382" t="s">
        <v>74</v>
      </c>
      <c r="BD1382">
        <v>603183</v>
      </c>
      <c r="BE1382" t="s">
        <v>5789</v>
      </c>
      <c r="BF1382" t="str">
        <f>HYPERLINK("http://dx.doi.org/10.3389/fmicb.2020.603183","http://dx.doi.org/10.3389/fmicb.2020.603183")</f>
        <v>http://dx.doi.org/10.3389/fmicb.2020.603183</v>
      </c>
      <c r="BG1382" t="s">
        <v>74</v>
      </c>
      <c r="BH1382" t="s">
        <v>74</v>
      </c>
      <c r="BI1382" t="s">
        <v>74</v>
      </c>
      <c r="BJ1382" t="s">
        <v>898</v>
      </c>
      <c r="BK1382" t="s">
        <v>117</v>
      </c>
      <c r="BL1382" t="s">
        <v>898</v>
      </c>
      <c r="BM1382" t="s">
        <v>74</v>
      </c>
      <c r="BN1382">
        <v>33488545</v>
      </c>
      <c r="BO1382" t="s">
        <v>74</v>
      </c>
      <c r="BP1382" t="s">
        <v>74</v>
      </c>
      <c r="BQ1382" t="s">
        <v>74</v>
      </c>
      <c r="BR1382" t="s">
        <v>96</v>
      </c>
      <c r="BS1382" t="s">
        <v>5790</v>
      </c>
      <c r="BT1382" t="str">
        <f>HYPERLINK("https%3A%2F%2Fwww.webofscience.com%2Fwos%2Fwoscc%2Ffull-record%2FWOS:000609416600001","View Full Record in Web of Science")</f>
        <v>View Full Record in Web of Science</v>
      </c>
    </row>
    <row r="1383" spans="1:72" x14ac:dyDescent="0.15">
      <c r="A1383" t="s">
        <v>72</v>
      </c>
      <c r="B1383" t="s">
        <v>5872</v>
      </c>
      <c r="C1383" t="s">
        <v>74</v>
      </c>
      <c r="D1383" t="s">
        <v>5873</v>
      </c>
      <c r="E1383" t="s">
        <v>74</v>
      </c>
      <c r="F1383" t="s">
        <v>5874</v>
      </c>
      <c r="G1383" t="s">
        <v>74</v>
      </c>
      <c r="H1383" t="s">
        <v>74</v>
      </c>
      <c r="I1383" t="s">
        <v>5875</v>
      </c>
      <c r="J1383" t="s">
        <v>5876</v>
      </c>
      <c r="K1383" t="s">
        <v>5877</v>
      </c>
      <c r="L1383" t="s">
        <v>74</v>
      </c>
      <c r="M1383" t="s">
        <v>74</v>
      </c>
      <c r="N1383" t="s">
        <v>80</v>
      </c>
      <c r="O1383" t="s">
        <v>74</v>
      </c>
      <c r="P1383" t="s">
        <v>74</v>
      </c>
      <c r="Q1383" t="s">
        <v>74</v>
      </c>
      <c r="R1383" t="s">
        <v>74</v>
      </c>
      <c r="S1383" t="s">
        <v>74</v>
      </c>
      <c r="T1383" t="s">
        <v>74</v>
      </c>
      <c r="U1383" t="s">
        <v>5878</v>
      </c>
      <c r="V1383" t="s">
        <v>5879</v>
      </c>
      <c r="W1383" t="s">
        <v>5880</v>
      </c>
      <c r="X1383" t="s">
        <v>5881</v>
      </c>
      <c r="Y1383" t="s">
        <v>5882</v>
      </c>
      <c r="Z1383" t="s">
        <v>5883</v>
      </c>
      <c r="AA1383" t="s">
        <v>74</v>
      </c>
      <c r="AB1383" t="s">
        <v>74</v>
      </c>
      <c r="AC1383" t="s">
        <v>74</v>
      </c>
      <c r="AD1383" t="s">
        <v>74</v>
      </c>
      <c r="AE1383" t="s">
        <v>74</v>
      </c>
      <c r="AF1383" t="s">
        <v>74</v>
      </c>
      <c r="AG1383">
        <v>62</v>
      </c>
      <c r="AH1383">
        <v>6</v>
      </c>
      <c r="AI1383">
        <v>6</v>
      </c>
      <c r="AJ1383">
        <v>0</v>
      </c>
      <c r="AK1383">
        <v>9</v>
      </c>
      <c r="AL1383" t="s">
        <v>74</v>
      </c>
      <c r="AM1383" t="s">
        <v>74</v>
      </c>
      <c r="AN1383" t="s">
        <v>74</v>
      </c>
      <c r="AO1383" t="s">
        <v>5884</v>
      </c>
      <c r="AP1383" t="s">
        <v>74</v>
      </c>
      <c r="AQ1383" t="s">
        <v>5885</v>
      </c>
      <c r="AR1383" t="s">
        <v>74</v>
      </c>
      <c r="AS1383" t="s">
        <v>74</v>
      </c>
      <c r="AT1383" t="s">
        <v>74</v>
      </c>
      <c r="AU1383">
        <v>2010</v>
      </c>
      <c r="AV1383">
        <v>25</v>
      </c>
      <c r="AW1383" t="s">
        <v>74</v>
      </c>
      <c r="AX1383" t="s">
        <v>74</v>
      </c>
      <c r="AY1383" t="s">
        <v>74</v>
      </c>
      <c r="AZ1383" t="s">
        <v>74</v>
      </c>
      <c r="BA1383" t="s">
        <v>74</v>
      </c>
      <c r="BB1383">
        <v>25</v>
      </c>
      <c r="BC1383">
        <v>37</v>
      </c>
      <c r="BD1383" t="s">
        <v>74</v>
      </c>
      <c r="BE1383" t="s">
        <v>5886</v>
      </c>
      <c r="BF1383" t="str">
        <f>HYPERLINK("http://dx.doi.org/10.1007/978-3-642-12617-8_3","http://dx.doi.org/10.1007/978-3-642-12617-8_3")</f>
        <v>http://dx.doi.org/10.1007/978-3-642-12617-8_3</v>
      </c>
      <c r="BG1383" t="s">
        <v>5887</v>
      </c>
      <c r="BH1383" t="s">
        <v>74</v>
      </c>
      <c r="BI1383" t="s">
        <v>74</v>
      </c>
      <c r="BJ1383" t="s">
        <v>95</v>
      </c>
      <c r="BK1383" t="s">
        <v>94</v>
      </c>
      <c r="BL1383" t="s">
        <v>95</v>
      </c>
      <c r="BM1383" t="s">
        <v>74</v>
      </c>
      <c r="BN1383" t="s">
        <v>74</v>
      </c>
      <c r="BO1383" t="s">
        <v>74</v>
      </c>
      <c r="BP1383" t="s">
        <v>74</v>
      </c>
      <c r="BQ1383" t="s">
        <v>74</v>
      </c>
      <c r="BR1383" t="s">
        <v>96</v>
      </c>
      <c r="BS1383" t="s">
        <v>5888</v>
      </c>
      <c r="BT1383" t="str">
        <f>HYPERLINK("https%3A%2F%2Fwww.webofscience.com%2Fwos%2Fwoscc%2Ffull-record%2FWOS:000281000900003","View Full Record in Web of Science")</f>
        <v>View Full Record in Web of Science</v>
      </c>
    </row>
    <row r="1384" spans="1:72" x14ac:dyDescent="0.15">
      <c r="A1384" t="s">
        <v>98</v>
      </c>
      <c r="B1384" t="s">
        <v>6190</v>
      </c>
      <c r="C1384" t="s">
        <v>74</v>
      </c>
      <c r="D1384" t="s">
        <v>74</v>
      </c>
      <c r="E1384" t="s">
        <v>74</v>
      </c>
      <c r="F1384" t="s">
        <v>6191</v>
      </c>
      <c r="G1384" t="s">
        <v>74</v>
      </c>
      <c r="H1384" t="s">
        <v>74</v>
      </c>
      <c r="I1384" t="s">
        <v>6192</v>
      </c>
      <c r="J1384" t="s">
        <v>6193</v>
      </c>
      <c r="K1384" t="s">
        <v>74</v>
      </c>
      <c r="L1384" t="s">
        <v>74</v>
      </c>
      <c r="M1384" t="s">
        <v>74</v>
      </c>
      <c r="N1384" t="s">
        <v>103</v>
      </c>
      <c r="O1384" t="s">
        <v>74</v>
      </c>
      <c r="P1384" t="s">
        <v>74</v>
      </c>
      <c r="Q1384" t="s">
        <v>74</v>
      </c>
      <c r="R1384" t="s">
        <v>74</v>
      </c>
      <c r="S1384" t="s">
        <v>74</v>
      </c>
      <c r="T1384" t="s">
        <v>6194</v>
      </c>
      <c r="U1384" t="s">
        <v>6195</v>
      </c>
      <c r="V1384" t="s">
        <v>6196</v>
      </c>
      <c r="W1384" t="s">
        <v>6197</v>
      </c>
      <c r="X1384" t="s">
        <v>6198</v>
      </c>
      <c r="Y1384" t="s">
        <v>6199</v>
      </c>
      <c r="Z1384" t="s">
        <v>6200</v>
      </c>
      <c r="AA1384" t="s">
        <v>6201</v>
      </c>
      <c r="AB1384" t="s">
        <v>6202</v>
      </c>
      <c r="AC1384" t="s">
        <v>74</v>
      </c>
      <c r="AD1384" t="s">
        <v>74</v>
      </c>
      <c r="AE1384" t="s">
        <v>74</v>
      </c>
      <c r="AF1384" t="s">
        <v>74</v>
      </c>
      <c r="AG1384">
        <v>68</v>
      </c>
      <c r="AH1384">
        <v>6</v>
      </c>
      <c r="AI1384">
        <v>6</v>
      </c>
      <c r="AJ1384">
        <v>0</v>
      </c>
      <c r="AK1384">
        <v>5</v>
      </c>
      <c r="AL1384" t="s">
        <v>74</v>
      </c>
      <c r="AM1384" t="s">
        <v>74</v>
      </c>
      <c r="AN1384" t="s">
        <v>74</v>
      </c>
      <c r="AO1384" t="s">
        <v>6203</v>
      </c>
      <c r="AP1384" t="s">
        <v>6204</v>
      </c>
      <c r="AQ1384" t="s">
        <v>74</v>
      </c>
      <c r="AR1384" t="s">
        <v>74</v>
      </c>
      <c r="AS1384" t="s">
        <v>74</v>
      </c>
      <c r="AT1384" t="s">
        <v>189</v>
      </c>
      <c r="AU1384">
        <v>2019</v>
      </c>
      <c r="AV1384">
        <v>55</v>
      </c>
      <c r="AW1384">
        <v>4</v>
      </c>
      <c r="AX1384" t="s">
        <v>74</v>
      </c>
      <c r="AY1384" t="s">
        <v>74</v>
      </c>
      <c r="AZ1384" t="s">
        <v>74</v>
      </c>
      <c r="BA1384" t="s">
        <v>74</v>
      </c>
      <c r="BB1384">
        <v>925</v>
      </c>
      <c r="BC1384">
        <v>937</v>
      </c>
      <c r="BD1384" t="s">
        <v>74</v>
      </c>
      <c r="BE1384" t="s">
        <v>6205</v>
      </c>
      <c r="BF1384" t="str">
        <f>HYPERLINK("http://dx.doi.org/10.3892/ijo.2019.4859","http://dx.doi.org/10.3892/ijo.2019.4859")</f>
        <v>http://dx.doi.org/10.3892/ijo.2019.4859</v>
      </c>
      <c r="BG1384" t="s">
        <v>74</v>
      </c>
      <c r="BH1384" t="s">
        <v>74</v>
      </c>
      <c r="BI1384" t="s">
        <v>74</v>
      </c>
      <c r="BJ1384" t="s">
        <v>267</v>
      </c>
      <c r="BK1384" t="s">
        <v>117</v>
      </c>
      <c r="BL1384" t="s">
        <v>267</v>
      </c>
      <c r="BM1384" t="s">
        <v>74</v>
      </c>
      <c r="BN1384">
        <v>31432155</v>
      </c>
      <c r="BO1384" t="s">
        <v>74</v>
      </c>
      <c r="BP1384" t="s">
        <v>74</v>
      </c>
      <c r="BQ1384" t="s">
        <v>74</v>
      </c>
      <c r="BR1384" t="s">
        <v>96</v>
      </c>
      <c r="BS1384" t="s">
        <v>6206</v>
      </c>
      <c r="BT1384" t="str">
        <f>HYPERLINK("https%3A%2F%2Fwww.webofscience.com%2Fwos%2Fwoscc%2Ffull-record%2FWOS:000487279600012","View Full Record in Web of Science")</f>
        <v>View Full Record in Web of Science</v>
      </c>
    </row>
    <row r="1385" spans="1:72" x14ac:dyDescent="0.15">
      <c r="A1385" t="s">
        <v>98</v>
      </c>
      <c r="B1385" t="s">
        <v>8702</v>
      </c>
      <c r="C1385" t="s">
        <v>74</v>
      </c>
      <c r="D1385" t="s">
        <v>74</v>
      </c>
      <c r="E1385" t="s">
        <v>74</v>
      </c>
      <c r="F1385" t="s">
        <v>8703</v>
      </c>
      <c r="G1385" t="s">
        <v>74</v>
      </c>
      <c r="H1385" t="s">
        <v>74</v>
      </c>
      <c r="I1385" t="s">
        <v>8704</v>
      </c>
      <c r="J1385" t="s">
        <v>8705</v>
      </c>
      <c r="K1385" t="s">
        <v>74</v>
      </c>
      <c r="L1385" t="s">
        <v>74</v>
      </c>
      <c r="M1385" t="s">
        <v>74</v>
      </c>
      <c r="N1385" t="s">
        <v>103</v>
      </c>
      <c r="O1385" t="s">
        <v>74</v>
      </c>
      <c r="P1385" t="s">
        <v>74</v>
      </c>
      <c r="Q1385" t="s">
        <v>74</v>
      </c>
      <c r="R1385" t="s">
        <v>74</v>
      </c>
      <c r="S1385" t="s">
        <v>74</v>
      </c>
      <c r="T1385" t="s">
        <v>8706</v>
      </c>
      <c r="U1385" t="s">
        <v>8707</v>
      </c>
      <c r="V1385" t="s">
        <v>8708</v>
      </c>
      <c r="W1385" t="s">
        <v>8709</v>
      </c>
      <c r="X1385" t="s">
        <v>8710</v>
      </c>
      <c r="Y1385" t="s">
        <v>8711</v>
      </c>
      <c r="Z1385" t="s">
        <v>8712</v>
      </c>
      <c r="AA1385" t="s">
        <v>74</v>
      </c>
      <c r="AB1385" t="s">
        <v>74</v>
      </c>
      <c r="AC1385" t="s">
        <v>74</v>
      </c>
      <c r="AD1385" t="s">
        <v>74</v>
      </c>
      <c r="AE1385" t="s">
        <v>74</v>
      </c>
      <c r="AF1385" t="s">
        <v>74</v>
      </c>
      <c r="AG1385">
        <v>71</v>
      </c>
      <c r="AH1385">
        <v>6</v>
      </c>
      <c r="AI1385">
        <v>6</v>
      </c>
      <c r="AJ1385">
        <v>2</v>
      </c>
      <c r="AK1385">
        <v>5</v>
      </c>
      <c r="AL1385" t="s">
        <v>74</v>
      </c>
      <c r="AM1385" t="s">
        <v>74</v>
      </c>
      <c r="AN1385" t="s">
        <v>74</v>
      </c>
      <c r="AO1385" t="s">
        <v>8713</v>
      </c>
      <c r="AP1385" t="s">
        <v>8714</v>
      </c>
      <c r="AQ1385" t="s">
        <v>74</v>
      </c>
      <c r="AR1385" t="s">
        <v>74</v>
      </c>
      <c r="AS1385" t="s">
        <v>74</v>
      </c>
      <c r="AT1385" t="s">
        <v>114</v>
      </c>
      <c r="AU1385">
        <v>2022</v>
      </c>
      <c r="AV1385">
        <v>59</v>
      </c>
      <c r="AW1385">
        <v>1</v>
      </c>
      <c r="AX1385" t="s">
        <v>74</v>
      </c>
      <c r="AY1385" t="s">
        <v>74</v>
      </c>
      <c r="AZ1385" t="s">
        <v>74</v>
      </c>
      <c r="BA1385" t="s">
        <v>74</v>
      </c>
      <c r="BB1385">
        <v>47</v>
      </c>
      <c r="BC1385">
        <v>60</v>
      </c>
      <c r="BD1385" t="s">
        <v>74</v>
      </c>
      <c r="BE1385" t="s">
        <v>8715</v>
      </c>
      <c r="BF1385" t="str">
        <f>HYPERLINK("http://dx.doi.org/10.1007/s12035-021-02431-9","http://dx.doi.org/10.1007/s12035-021-02431-9")</f>
        <v>http://dx.doi.org/10.1007/s12035-021-02431-9</v>
      </c>
      <c r="BG1385" t="s">
        <v>74</v>
      </c>
      <c r="BH1385" t="s">
        <v>1967</v>
      </c>
      <c r="BI1385" t="s">
        <v>74</v>
      </c>
      <c r="BJ1385" t="s">
        <v>652</v>
      </c>
      <c r="BK1385" t="s">
        <v>117</v>
      </c>
      <c r="BL1385" t="s">
        <v>653</v>
      </c>
      <c r="BM1385" t="s">
        <v>74</v>
      </c>
      <c r="BN1385">
        <v>34623601</v>
      </c>
      <c r="BO1385" t="s">
        <v>74</v>
      </c>
      <c r="BP1385" t="s">
        <v>74</v>
      </c>
      <c r="BQ1385" t="s">
        <v>74</v>
      </c>
      <c r="BR1385" t="s">
        <v>96</v>
      </c>
      <c r="BS1385" t="s">
        <v>8716</v>
      </c>
      <c r="BT1385" t="str">
        <f>HYPERLINK("https%3A%2F%2Fwww.webofscience.com%2Fwos%2Fwoscc%2Ffull-record%2FWOS:000705829800001","View Full Record in Web of Science")</f>
        <v>View Full Record in Web of Science</v>
      </c>
    </row>
    <row r="1386" spans="1:72" x14ac:dyDescent="0.15">
      <c r="A1386" t="s">
        <v>98</v>
      </c>
      <c r="B1386" t="s">
        <v>8836</v>
      </c>
      <c r="C1386" t="s">
        <v>74</v>
      </c>
      <c r="D1386" t="s">
        <v>74</v>
      </c>
      <c r="E1386" t="s">
        <v>74</v>
      </c>
      <c r="F1386" t="s">
        <v>8837</v>
      </c>
      <c r="G1386" t="s">
        <v>74</v>
      </c>
      <c r="H1386" t="s">
        <v>74</v>
      </c>
      <c r="I1386" t="s">
        <v>8838</v>
      </c>
      <c r="J1386" t="s">
        <v>8839</v>
      </c>
      <c r="K1386" t="s">
        <v>74</v>
      </c>
      <c r="L1386" t="s">
        <v>74</v>
      </c>
      <c r="M1386" t="s">
        <v>74</v>
      </c>
      <c r="N1386" t="s">
        <v>103</v>
      </c>
      <c r="O1386" t="s">
        <v>74</v>
      </c>
      <c r="P1386" t="s">
        <v>74</v>
      </c>
      <c r="Q1386" t="s">
        <v>74</v>
      </c>
      <c r="R1386" t="s">
        <v>74</v>
      </c>
      <c r="S1386" t="s">
        <v>74</v>
      </c>
      <c r="T1386" t="s">
        <v>8840</v>
      </c>
      <c r="U1386" t="s">
        <v>8841</v>
      </c>
      <c r="V1386" t="s">
        <v>8842</v>
      </c>
      <c r="W1386" t="s">
        <v>8843</v>
      </c>
      <c r="X1386" t="s">
        <v>8844</v>
      </c>
      <c r="Y1386" t="s">
        <v>8845</v>
      </c>
      <c r="Z1386" t="s">
        <v>8846</v>
      </c>
      <c r="AA1386" t="s">
        <v>74</v>
      </c>
      <c r="AB1386" t="s">
        <v>74</v>
      </c>
      <c r="AC1386" t="s">
        <v>74</v>
      </c>
      <c r="AD1386" t="s">
        <v>74</v>
      </c>
      <c r="AE1386" t="s">
        <v>74</v>
      </c>
      <c r="AF1386" t="s">
        <v>74</v>
      </c>
      <c r="AG1386">
        <v>50</v>
      </c>
      <c r="AH1386">
        <v>6</v>
      </c>
      <c r="AI1386">
        <v>7</v>
      </c>
      <c r="AJ1386">
        <v>2</v>
      </c>
      <c r="AK1386">
        <v>14</v>
      </c>
      <c r="AL1386" t="s">
        <v>74</v>
      </c>
      <c r="AM1386" t="s">
        <v>74</v>
      </c>
      <c r="AN1386" t="s">
        <v>74</v>
      </c>
      <c r="AO1386" t="s">
        <v>74</v>
      </c>
      <c r="AP1386" t="s">
        <v>8847</v>
      </c>
      <c r="AQ1386" t="s">
        <v>74</v>
      </c>
      <c r="AR1386" t="s">
        <v>74</v>
      </c>
      <c r="AS1386" t="s">
        <v>74</v>
      </c>
      <c r="AT1386" t="s">
        <v>132</v>
      </c>
      <c r="AU1386">
        <v>2021</v>
      </c>
      <c r="AV1386">
        <v>13</v>
      </c>
      <c r="AW1386">
        <v>4</v>
      </c>
      <c r="AX1386" t="s">
        <v>74</v>
      </c>
      <c r="AY1386" t="s">
        <v>74</v>
      </c>
      <c r="AZ1386" t="s">
        <v>74</v>
      </c>
      <c r="BA1386" t="s">
        <v>74</v>
      </c>
      <c r="BB1386" t="s">
        <v>74</v>
      </c>
      <c r="BC1386" t="s">
        <v>74</v>
      </c>
      <c r="BD1386">
        <v>1368</v>
      </c>
      <c r="BE1386" t="s">
        <v>8848</v>
      </c>
      <c r="BF1386" t="str">
        <f>HYPERLINK("http://dx.doi.org/10.3390/nu13041368","http://dx.doi.org/10.3390/nu13041368")</f>
        <v>http://dx.doi.org/10.3390/nu13041368</v>
      </c>
      <c r="BG1386" t="s">
        <v>74</v>
      </c>
      <c r="BH1386" t="s">
        <v>74</v>
      </c>
      <c r="BI1386" t="s">
        <v>74</v>
      </c>
      <c r="BJ1386" t="s">
        <v>8849</v>
      </c>
      <c r="BK1386" t="s">
        <v>117</v>
      </c>
      <c r="BL1386" t="s">
        <v>8849</v>
      </c>
      <c r="BM1386" t="s">
        <v>74</v>
      </c>
      <c r="BN1386">
        <v>33921829</v>
      </c>
      <c r="BO1386" t="s">
        <v>74</v>
      </c>
      <c r="BP1386" t="s">
        <v>74</v>
      </c>
      <c r="BQ1386" t="s">
        <v>74</v>
      </c>
      <c r="BR1386" t="s">
        <v>96</v>
      </c>
      <c r="BS1386" t="s">
        <v>8850</v>
      </c>
      <c r="BT1386" t="str">
        <f>HYPERLINK("https%3A%2F%2Fwww.webofscience.com%2Fwos%2Fwoscc%2Ffull-record%2FWOS:000643355700001","View Full Record in Web of Science")</f>
        <v>View Full Record in Web of Science</v>
      </c>
    </row>
    <row r="1387" spans="1:72" x14ac:dyDescent="0.15">
      <c r="A1387" t="s">
        <v>98</v>
      </c>
      <c r="B1387" t="s">
        <v>9540</v>
      </c>
      <c r="C1387" t="s">
        <v>74</v>
      </c>
      <c r="D1387" t="s">
        <v>74</v>
      </c>
      <c r="E1387" t="s">
        <v>74</v>
      </c>
      <c r="F1387" t="s">
        <v>9541</v>
      </c>
      <c r="G1387" t="s">
        <v>74</v>
      </c>
      <c r="H1387" t="s">
        <v>74</v>
      </c>
      <c r="I1387" t="s">
        <v>9542</v>
      </c>
      <c r="J1387" t="s">
        <v>140</v>
      </c>
      <c r="K1387" t="s">
        <v>74</v>
      </c>
      <c r="L1387" t="s">
        <v>74</v>
      </c>
      <c r="M1387" t="s">
        <v>74</v>
      </c>
      <c r="N1387" t="s">
        <v>103</v>
      </c>
      <c r="O1387" t="s">
        <v>74</v>
      </c>
      <c r="P1387" t="s">
        <v>74</v>
      </c>
      <c r="Q1387" t="s">
        <v>74</v>
      </c>
      <c r="R1387" t="s">
        <v>74</v>
      </c>
      <c r="S1387" t="s">
        <v>74</v>
      </c>
      <c r="T1387" t="s">
        <v>74</v>
      </c>
      <c r="U1387" t="s">
        <v>9543</v>
      </c>
      <c r="V1387" t="s">
        <v>9544</v>
      </c>
      <c r="W1387" t="s">
        <v>9545</v>
      </c>
      <c r="X1387" t="s">
        <v>9546</v>
      </c>
      <c r="Y1387" t="s">
        <v>9547</v>
      </c>
      <c r="Z1387" t="s">
        <v>9548</v>
      </c>
      <c r="AA1387" t="s">
        <v>9549</v>
      </c>
      <c r="AB1387" t="s">
        <v>9550</v>
      </c>
      <c r="AC1387" t="s">
        <v>74</v>
      </c>
      <c r="AD1387" t="s">
        <v>74</v>
      </c>
      <c r="AE1387" t="s">
        <v>74</v>
      </c>
      <c r="AF1387" t="s">
        <v>74</v>
      </c>
      <c r="AG1387">
        <v>54</v>
      </c>
      <c r="AH1387">
        <v>6</v>
      </c>
      <c r="AI1387">
        <v>6</v>
      </c>
      <c r="AJ1387">
        <v>1</v>
      </c>
      <c r="AK1387">
        <v>5</v>
      </c>
      <c r="AL1387" t="s">
        <v>74</v>
      </c>
      <c r="AM1387" t="s">
        <v>74</v>
      </c>
      <c r="AN1387" t="s">
        <v>74</v>
      </c>
      <c r="AO1387" t="s">
        <v>149</v>
      </c>
      <c r="AP1387" t="s">
        <v>74</v>
      </c>
      <c r="AQ1387" t="s">
        <v>74</v>
      </c>
      <c r="AR1387" t="s">
        <v>74</v>
      </c>
      <c r="AS1387" t="s">
        <v>74</v>
      </c>
      <c r="AT1387" t="s">
        <v>9551</v>
      </c>
      <c r="AU1387">
        <v>2021</v>
      </c>
      <c r="AV1387">
        <v>11</v>
      </c>
      <c r="AW1387">
        <v>1</v>
      </c>
      <c r="AX1387" t="s">
        <v>74</v>
      </c>
      <c r="AY1387" t="s">
        <v>74</v>
      </c>
      <c r="AZ1387" t="s">
        <v>74</v>
      </c>
      <c r="BA1387" t="s">
        <v>74</v>
      </c>
      <c r="BB1387" t="s">
        <v>74</v>
      </c>
      <c r="BC1387" t="s">
        <v>74</v>
      </c>
      <c r="BD1387">
        <v>15676</v>
      </c>
      <c r="BE1387" t="s">
        <v>9552</v>
      </c>
      <c r="BF1387" t="str">
        <f>HYPERLINK("http://dx.doi.org/10.1038/s41598-021-95028-0","http://dx.doi.org/10.1038/s41598-021-95028-0")</f>
        <v>http://dx.doi.org/10.1038/s41598-021-95028-0</v>
      </c>
      <c r="BG1387" t="s">
        <v>74</v>
      </c>
      <c r="BH1387" t="s">
        <v>74</v>
      </c>
      <c r="BI1387" t="s">
        <v>74</v>
      </c>
      <c r="BJ1387" t="s">
        <v>152</v>
      </c>
      <c r="BK1387" t="s">
        <v>117</v>
      </c>
      <c r="BL1387" t="s">
        <v>153</v>
      </c>
      <c r="BM1387" t="s">
        <v>74</v>
      </c>
      <c r="BN1387">
        <v>34344968</v>
      </c>
      <c r="BO1387" t="s">
        <v>74</v>
      </c>
      <c r="BP1387" t="s">
        <v>74</v>
      </c>
      <c r="BQ1387" t="s">
        <v>74</v>
      </c>
      <c r="BR1387" t="s">
        <v>96</v>
      </c>
      <c r="BS1387" t="s">
        <v>9553</v>
      </c>
      <c r="BT1387" t="str">
        <f>HYPERLINK("https%3A%2F%2Fwww.webofscience.com%2Fwos%2Fwoscc%2Ffull-record%2FWOS:000684191400002","View Full Record in Web of Science")</f>
        <v>View Full Record in Web of Science</v>
      </c>
    </row>
    <row r="1388" spans="1:72" x14ac:dyDescent="0.15">
      <c r="A1388" t="s">
        <v>98</v>
      </c>
      <c r="B1388" t="s">
        <v>10456</v>
      </c>
      <c r="C1388" t="s">
        <v>74</v>
      </c>
      <c r="D1388" t="s">
        <v>74</v>
      </c>
      <c r="E1388" t="s">
        <v>74</v>
      </c>
      <c r="F1388" t="s">
        <v>10457</v>
      </c>
      <c r="G1388" t="s">
        <v>74</v>
      </c>
      <c r="H1388" t="s">
        <v>74</v>
      </c>
      <c r="I1388" t="s">
        <v>10458</v>
      </c>
      <c r="J1388" t="s">
        <v>10459</v>
      </c>
      <c r="K1388" t="s">
        <v>74</v>
      </c>
      <c r="L1388" t="s">
        <v>74</v>
      </c>
      <c r="M1388" t="s">
        <v>74</v>
      </c>
      <c r="N1388" t="s">
        <v>980</v>
      </c>
      <c r="O1388" t="s">
        <v>10460</v>
      </c>
      <c r="P1388" t="s">
        <v>10461</v>
      </c>
      <c r="Q1388" t="s">
        <v>10462</v>
      </c>
      <c r="R1388" t="s">
        <v>74</v>
      </c>
      <c r="S1388" t="s">
        <v>74</v>
      </c>
      <c r="T1388" t="s">
        <v>10463</v>
      </c>
      <c r="U1388" t="s">
        <v>10464</v>
      </c>
      <c r="V1388" t="s">
        <v>10465</v>
      </c>
      <c r="W1388" t="s">
        <v>10466</v>
      </c>
      <c r="X1388" t="s">
        <v>10467</v>
      </c>
      <c r="Y1388" t="s">
        <v>10468</v>
      </c>
      <c r="Z1388" t="s">
        <v>10469</v>
      </c>
      <c r="AA1388" t="s">
        <v>10470</v>
      </c>
      <c r="AB1388" t="s">
        <v>10471</v>
      </c>
      <c r="AC1388" t="s">
        <v>74</v>
      </c>
      <c r="AD1388" t="s">
        <v>74</v>
      </c>
      <c r="AE1388" t="s">
        <v>74</v>
      </c>
      <c r="AF1388" t="s">
        <v>74</v>
      </c>
      <c r="AG1388">
        <v>98</v>
      </c>
      <c r="AH1388">
        <v>6</v>
      </c>
      <c r="AI1388">
        <v>6</v>
      </c>
      <c r="AJ1388">
        <v>1</v>
      </c>
      <c r="AK1388">
        <v>7</v>
      </c>
      <c r="AL1388" t="s">
        <v>74</v>
      </c>
      <c r="AM1388" t="s">
        <v>74</v>
      </c>
      <c r="AN1388" t="s">
        <v>74</v>
      </c>
      <c r="AO1388" t="s">
        <v>10472</v>
      </c>
      <c r="AP1388" t="s">
        <v>10473</v>
      </c>
      <c r="AQ1388" t="s">
        <v>74</v>
      </c>
      <c r="AR1388" t="s">
        <v>74</v>
      </c>
      <c r="AS1388" t="s">
        <v>74</v>
      </c>
      <c r="AT1388" t="s">
        <v>74</v>
      </c>
      <c r="AU1388">
        <v>2020</v>
      </c>
      <c r="AV1388">
        <v>60</v>
      </c>
      <c r="AW1388">
        <v>1</v>
      </c>
      <c r="AX1388" t="s">
        <v>74</v>
      </c>
      <c r="AY1388" t="s">
        <v>74</v>
      </c>
      <c r="AZ1388" t="s">
        <v>74</v>
      </c>
      <c r="BA1388" t="s">
        <v>74</v>
      </c>
      <c r="BB1388">
        <v>1</v>
      </c>
      <c r="BC1388">
        <v>9</v>
      </c>
      <c r="BD1388" t="s">
        <v>74</v>
      </c>
      <c r="BE1388" t="s">
        <v>10474</v>
      </c>
      <c r="BF1388" t="str">
        <f>HYPERLINK("http://dx.doi.org/10.1071/AN18579","http://dx.doi.org/10.1071/AN18579")</f>
        <v>http://dx.doi.org/10.1071/AN18579</v>
      </c>
      <c r="BG1388" t="s">
        <v>74</v>
      </c>
      <c r="BH1388" t="s">
        <v>74</v>
      </c>
      <c r="BI1388" t="s">
        <v>74</v>
      </c>
      <c r="BJ1388" t="s">
        <v>6668</v>
      </c>
      <c r="BK1388" t="s">
        <v>997</v>
      </c>
      <c r="BL1388" t="s">
        <v>6669</v>
      </c>
      <c r="BM1388" t="s">
        <v>74</v>
      </c>
      <c r="BN1388" t="s">
        <v>74</v>
      </c>
      <c r="BO1388" t="s">
        <v>74</v>
      </c>
      <c r="BP1388" t="s">
        <v>74</v>
      </c>
      <c r="BQ1388" t="s">
        <v>74</v>
      </c>
      <c r="BR1388" t="s">
        <v>96</v>
      </c>
      <c r="BS1388" t="s">
        <v>10475</v>
      </c>
      <c r="BT1388" t="str">
        <f>HYPERLINK("https%3A%2F%2Fwww.webofscience.com%2Fwos%2Fwoscc%2Ffull-record%2FWOS:000505620500002","View Full Record in Web of Science")</f>
        <v>View Full Record in Web of Science</v>
      </c>
    </row>
    <row r="1389" spans="1:72" x14ac:dyDescent="0.15">
      <c r="A1389" t="s">
        <v>98</v>
      </c>
      <c r="B1389" t="s">
        <v>10771</v>
      </c>
      <c r="C1389" t="s">
        <v>74</v>
      </c>
      <c r="D1389" t="s">
        <v>74</v>
      </c>
      <c r="E1389" t="s">
        <v>74</v>
      </c>
      <c r="F1389" t="s">
        <v>10772</v>
      </c>
      <c r="G1389" t="s">
        <v>74</v>
      </c>
      <c r="H1389" t="s">
        <v>74</v>
      </c>
      <c r="I1389" t="s">
        <v>10773</v>
      </c>
      <c r="J1389" t="s">
        <v>4391</v>
      </c>
      <c r="K1389" t="s">
        <v>74</v>
      </c>
      <c r="L1389" t="s">
        <v>74</v>
      </c>
      <c r="M1389" t="s">
        <v>74</v>
      </c>
      <c r="N1389" t="s">
        <v>103</v>
      </c>
      <c r="O1389" t="s">
        <v>74</v>
      </c>
      <c r="P1389" t="s">
        <v>74</v>
      </c>
      <c r="Q1389" t="s">
        <v>74</v>
      </c>
      <c r="R1389" t="s">
        <v>74</v>
      </c>
      <c r="S1389" t="s">
        <v>74</v>
      </c>
      <c r="T1389" t="s">
        <v>10774</v>
      </c>
      <c r="U1389" t="s">
        <v>10775</v>
      </c>
      <c r="V1389" t="s">
        <v>10776</v>
      </c>
      <c r="W1389" t="s">
        <v>10777</v>
      </c>
      <c r="X1389" t="s">
        <v>10778</v>
      </c>
      <c r="Y1389" t="s">
        <v>10779</v>
      </c>
      <c r="Z1389" t="s">
        <v>3111</v>
      </c>
      <c r="AA1389" t="s">
        <v>74</v>
      </c>
      <c r="AB1389" t="s">
        <v>74</v>
      </c>
      <c r="AC1389" t="s">
        <v>74</v>
      </c>
      <c r="AD1389" t="s">
        <v>74</v>
      </c>
      <c r="AE1389" t="s">
        <v>74</v>
      </c>
      <c r="AF1389" t="s">
        <v>74</v>
      </c>
      <c r="AG1389">
        <v>41</v>
      </c>
      <c r="AH1389">
        <v>6</v>
      </c>
      <c r="AI1389">
        <v>6</v>
      </c>
      <c r="AJ1389">
        <v>2</v>
      </c>
      <c r="AK1389">
        <v>9</v>
      </c>
      <c r="AL1389" t="s">
        <v>74</v>
      </c>
      <c r="AM1389" t="s">
        <v>74</v>
      </c>
      <c r="AN1389" t="s">
        <v>74</v>
      </c>
      <c r="AO1389" t="s">
        <v>74</v>
      </c>
      <c r="AP1389" t="s">
        <v>4401</v>
      </c>
      <c r="AQ1389" t="s">
        <v>74</v>
      </c>
      <c r="AR1389" t="s">
        <v>74</v>
      </c>
      <c r="AS1389" t="s">
        <v>74</v>
      </c>
      <c r="AT1389" t="s">
        <v>10780</v>
      </c>
      <c r="AU1389">
        <v>2019</v>
      </c>
      <c r="AV1389">
        <v>10</v>
      </c>
      <c r="AW1389">
        <v>1</v>
      </c>
      <c r="AX1389" t="s">
        <v>74</v>
      </c>
      <c r="AY1389" t="s">
        <v>74</v>
      </c>
      <c r="AZ1389" t="s">
        <v>74</v>
      </c>
      <c r="BA1389" t="s">
        <v>74</v>
      </c>
      <c r="BB1389" t="s">
        <v>74</v>
      </c>
      <c r="BC1389" t="s">
        <v>74</v>
      </c>
      <c r="BD1389">
        <v>394</v>
      </c>
      <c r="BE1389" t="s">
        <v>10781</v>
      </c>
      <c r="BF1389" t="str">
        <f>HYPERLINK("http://dx.doi.org/10.1186/s13287-019-1469-5","http://dx.doi.org/10.1186/s13287-019-1469-5")</f>
        <v>http://dx.doi.org/10.1186/s13287-019-1469-5</v>
      </c>
      <c r="BG1389" t="s">
        <v>74</v>
      </c>
      <c r="BH1389" t="s">
        <v>74</v>
      </c>
      <c r="BI1389" t="s">
        <v>74</v>
      </c>
      <c r="BJ1389" t="s">
        <v>3115</v>
      </c>
      <c r="BK1389" t="s">
        <v>117</v>
      </c>
      <c r="BL1389" t="s">
        <v>3116</v>
      </c>
      <c r="BM1389" t="s">
        <v>74</v>
      </c>
      <c r="BN1389">
        <v>31852535</v>
      </c>
      <c r="BO1389" t="s">
        <v>74</v>
      </c>
      <c r="BP1389" t="s">
        <v>74</v>
      </c>
      <c r="BQ1389" t="s">
        <v>74</v>
      </c>
      <c r="BR1389" t="s">
        <v>96</v>
      </c>
      <c r="BS1389" t="s">
        <v>10782</v>
      </c>
      <c r="BT1389" t="str">
        <f>HYPERLINK("https%3A%2F%2Fwww.webofscience.com%2Fwos%2Fwoscc%2Ffull-record%2FWOS:000507295400001","View Full Record in Web of Science")</f>
        <v>View Full Record in Web of Science</v>
      </c>
    </row>
    <row r="1390" spans="1:72" x14ac:dyDescent="0.15">
      <c r="A1390" t="s">
        <v>98</v>
      </c>
      <c r="B1390" t="s">
        <v>11780</v>
      </c>
      <c r="C1390" t="s">
        <v>74</v>
      </c>
      <c r="D1390" t="s">
        <v>74</v>
      </c>
      <c r="E1390" t="s">
        <v>74</v>
      </c>
      <c r="F1390" t="s">
        <v>11781</v>
      </c>
      <c r="G1390" t="s">
        <v>74</v>
      </c>
      <c r="H1390" t="s">
        <v>74</v>
      </c>
      <c r="I1390" t="s">
        <v>11782</v>
      </c>
      <c r="J1390" t="s">
        <v>2520</v>
      </c>
      <c r="K1390" t="s">
        <v>74</v>
      </c>
      <c r="L1390" t="s">
        <v>74</v>
      </c>
      <c r="M1390" t="s">
        <v>74</v>
      </c>
      <c r="N1390" t="s">
        <v>103</v>
      </c>
      <c r="O1390" t="s">
        <v>74</v>
      </c>
      <c r="P1390" t="s">
        <v>74</v>
      </c>
      <c r="Q1390" t="s">
        <v>74</v>
      </c>
      <c r="R1390" t="s">
        <v>74</v>
      </c>
      <c r="S1390" t="s">
        <v>74</v>
      </c>
      <c r="T1390" t="s">
        <v>11783</v>
      </c>
      <c r="U1390" t="s">
        <v>11784</v>
      </c>
      <c r="V1390" t="s">
        <v>11785</v>
      </c>
      <c r="W1390" t="s">
        <v>11786</v>
      </c>
      <c r="X1390" t="s">
        <v>11342</v>
      </c>
      <c r="Y1390" t="s">
        <v>11787</v>
      </c>
      <c r="Z1390" t="s">
        <v>11788</v>
      </c>
      <c r="AA1390" t="s">
        <v>74</v>
      </c>
      <c r="AB1390" t="s">
        <v>11789</v>
      </c>
      <c r="AC1390" t="s">
        <v>74</v>
      </c>
      <c r="AD1390" t="s">
        <v>74</v>
      </c>
      <c r="AE1390" t="s">
        <v>74</v>
      </c>
      <c r="AF1390" t="s">
        <v>74</v>
      </c>
      <c r="AG1390">
        <v>66</v>
      </c>
      <c r="AH1390">
        <v>6</v>
      </c>
      <c r="AI1390">
        <v>8</v>
      </c>
      <c r="AJ1390">
        <v>5</v>
      </c>
      <c r="AK1390">
        <v>18</v>
      </c>
      <c r="AL1390" t="s">
        <v>74</v>
      </c>
      <c r="AM1390" t="s">
        <v>74</v>
      </c>
      <c r="AN1390" t="s">
        <v>74</v>
      </c>
      <c r="AO1390" t="s">
        <v>2529</v>
      </c>
      <c r="AP1390" t="s">
        <v>74</v>
      </c>
      <c r="AQ1390" t="s">
        <v>74</v>
      </c>
      <c r="AR1390" t="s">
        <v>74</v>
      </c>
      <c r="AS1390" t="s">
        <v>74</v>
      </c>
      <c r="AT1390" t="s">
        <v>8050</v>
      </c>
      <c r="AU1390">
        <v>2020</v>
      </c>
      <c r="AV1390">
        <v>11</v>
      </c>
      <c r="AW1390" t="s">
        <v>74</v>
      </c>
      <c r="AX1390" t="s">
        <v>74</v>
      </c>
      <c r="AY1390" t="s">
        <v>74</v>
      </c>
      <c r="AZ1390" t="s">
        <v>74</v>
      </c>
      <c r="BA1390" t="s">
        <v>74</v>
      </c>
      <c r="BB1390" t="s">
        <v>74</v>
      </c>
      <c r="BC1390" t="s">
        <v>74</v>
      </c>
      <c r="BD1390">
        <v>581184</v>
      </c>
      <c r="BE1390" t="s">
        <v>11790</v>
      </c>
      <c r="BF1390" t="str">
        <f>HYPERLINK("http://dx.doi.org/10.3389/fmicb.2020.581184","http://dx.doi.org/10.3389/fmicb.2020.581184")</f>
        <v>http://dx.doi.org/10.3389/fmicb.2020.581184</v>
      </c>
      <c r="BG1390" t="s">
        <v>74</v>
      </c>
      <c r="BH1390" t="s">
        <v>74</v>
      </c>
      <c r="BI1390" t="s">
        <v>74</v>
      </c>
      <c r="BJ1390" t="s">
        <v>898</v>
      </c>
      <c r="BK1390" t="s">
        <v>117</v>
      </c>
      <c r="BL1390" t="s">
        <v>898</v>
      </c>
      <c r="BM1390" t="s">
        <v>74</v>
      </c>
      <c r="BN1390">
        <v>33042098</v>
      </c>
      <c r="BO1390" t="s">
        <v>74</v>
      </c>
      <c r="BP1390" t="s">
        <v>74</v>
      </c>
      <c r="BQ1390" t="s">
        <v>74</v>
      </c>
      <c r="BR1390" t="s">
        <v>96</v>
      </c>
      <c r="BS1390" t="s">
        <v>11791</v>
      </c>
      <c r="BT1390" t="str">
        <f>HYPERLINK("https%3A%2F%2Fwww.webofscience.com%2Fwos%2Fwoscc%2Ffull-record%2FWOS:000576161300001","View Full Record in Web of Science")</f>
        <v>View Full Record in Web of Science</v>
      </c>
    </row>
    <row r="1391" spans="1:72" x14ac:dyDescent="0.15">
      <c r="A1391" t="s">
        <v>98</v>
      </c>
      <c r="B1391" t="s">
        <v>12405</v>
      </c>
      <c r="C1391" t="s">
        <v>74</v>
      </c>
      <c r="D1391" t="s">
        <v>74</v>
      </c>
      <c r="E1391" t="s">
        <v>74</v>
      </c>
      <c r="F1391" t="s">
        <v>12406</v>
      </c>
      <c r="G1391" t="s">
        <v>74</v>
      </c>
      <c r="H1391" t="s">
        <v>74</v>
      </c>
      <c r="I1391" t="s">
        <v>12407</v>
      </c>
      <c r="J1391" t="s">
        <v>12408</v>
      </c>
      <c r="K1391" t="s">
        <v>74</v>
      </c>
      <c r="L1391" t="s">
        <v>74</v>
      </c>
      <c r="M1391" t="s">
        <v>74</v>
      </c>
      <c r="N1391" t="s">
        <v>103</v>
      </c>
      <c r="O1391" t="s">
        <v>74</v>
      </c>
      <c r="P1391" t="s">
        <v>74</v>
      </c>
      <c r="Q1391" t="s">
        <v>74</v>
      </c>
      <c r="R1391" t="s">
        <v>74</v>
      </c>
      <c r="S1391" t="s">
        <v>74</v>
      </c>
      <c r="T1391" t="s">
        <v>12409</v>
      </c>
      <c r="U1391" t="s">
        <v>12410</v>
      </c>
      <c r="V1391" t="s">
        <v>12411</v>
      </c>
      <c r="W1391" t="s">
        <v>12412</v>
      </c>
      <c r="X1391" t="s">
        <v>12413</v>
      </c>
      <c r="Y1391" t="s">
        <v>12414</v>
      </c>
      <c r="Z1391" t="s">
        <v>12415</v>
      </c>
      <c r="AA1391" t="s">
        <v>12416</v>
      </c>
      <c r="AB1391" t="s">
        <v>12417</v>
      </c>
      <c r="AC1391" t="s">
        <v>74</v>
      </c>
      <c r="AD1391" t="s">
        <v>74</v>
      </c>
      <c r="AE1391" t="s">
        <v>74</v>
      </c>
      <c r="AF1391" t="s">
        <v>74</v>
      </c>
      <c r="AG1391">
        <v>54</v>
      </c>
      <c r="AH1391">
        <v>6</v>
      </c>
      <c r="AI1391">
        <v>6</v>
      </c>
      <c r="AJ1391">
        <v>0</v>
      </c>
      <c r="AK1391">
        <v>2</v>
      </c>
      <c r="AL1391" t="s">
        <v>74</v>
      </c>
      <c r="AM1391" t="s">
        <v>74</v>
      </c>
      <c r="AN1391" t="s">
        <v>74</v>
      </c>
      <c r="AO1391" t="s">
        <v>12418</v>
      </c>
      <c r="AP1391" t="s">
        <v>12419</v>
      </c>
      <c r="AQ1391" t="s">
        <v>74</v>
      </c>
      <c r="AR1391" t="s">
        <v>74</v>
      </c>
      <c r="AS1391" t="s">
        <v>74</v>
      </c>
      <c r="AT1391" t="s">
        <v>170</v>
      </c>
      <c r="AU1391">
        <v>2021</v>
      </c>
      <c r="AV1391">
        <v>23</v>
      </c>
      <c r="AW1391">
        <v>6</v>
      </c>
      <c r="AX1391" t="s">
        <v>74</v>
      </c>
      <c r="AY1391" t="s">
        <v>74</v>
      </c>
      <c r="AZ1391" t="s">
        <v>74</v>
      </c>
      <c r="BA1391" t="s">
        <v>74</v>
      </c>
      <c r="BB1391">
        <v>1152</v>
      </c>
      <c r="BC1391">
        <v>1166</v>
      </c>
      <c r="BD1391" t="s">
        <v>74</v>
      </c>
      <c r="BE1391" t="s">
        <v>12420</v>
      </c>
      <c r="BF1391" t="str">
        <f>HYPERLINK("http://dx.doi.org/10.1007/s12094-020-02504-6","http://dx.doi.org/10.1007/s12094-020-02504-6")</f>
        <v>http://dx.doi.org/10.1007/s12094-020-02504-6</v>
      </c>
      <c r="BG1391" t="s">
        <v>74</v>
      </c>
      <c r="BH1391" t="s">
        <v>7451</v>
      </c>
      <c r="BI1391" t="s">
        <v>74</v>
      </c>
      <c r="BJ1391" t="s">
        <v>267</v>
      </c>
      <c r="BK1391" t="s">
        <v>117</v>
      </c>
      <c r="BL1391" t="s">
        <v>267</v>
      </c>
      <c r="BM1391" t="s">
        <v>74</v>
      </c>
      <c r="BN1391">
        <v>33226554</v>
      </c>
      <c r="BO1391" t="s">
        <v>74</v>
      </c>
      <c r="BP1391" t="s">
        <v>74</v>
      </c>
      <c r="BQ1391" t="s">
        <v>74</v>
      </c>
      <c r="BR1391" t="s">
        <v>96</v>
      </c>
      <c r="BS1391" t="s">
        <v>12421</v>
      </c>
      <c r="BT1391" t="str">
        <f>HYPERLINK("https%3A%2F%2Fwww.webofscience.com%2Fwos%2Fwoscc%2Ffull-record%2FWOS:000591970200001","View Full Record in Web of Science")</f>
        <v>View Full Record in Web of Science</v>
      </c>
    </row>
    <row r="1392" spans="1:72" x14ac:dyDescent="0.15">
      <c r="A1392" t="s">
        <v>98</v>
      </c>
      <c r="B1392" t="s">
        <v>12592</v>
      </c>
      <c r="C1392" t="s">
        <v>74</v>
      </c>
      <c r="D1392" t="s">
        <v>74</v>
      </c>
      <c r="E1392" t="s">
        <v>74</v>
      </c>
      <c r="F1392" t="s">
        <v>12593</v>
      </c>
      <c r="G1392" t="s">
        <v>74</v>
      </c>
      <c r="H1392" t="s">
        <v>74</v>
      </c>
      <c r="I1392" t="s">
        <v>12594</v>
      </c>
      <c r="J1392" t="s">
        <v>12595</v>
      </c>
      <c r="K1392" t="s">
        <v>74</v>
      </c>
      <c r="L1392" t="s">
        <v>74</v>
      </c>
      <c r="M1392" t="s">
        <v>74</v>
      </c>
      <c r="N1392" t="s">
        <v>103</v>
      </c>
      <c r="O1392" t="s">
        <v>74</v>
      </c>
      <c r="P1392" t="s">
        <v>74</v>
      </c>
      <c r="Q1392" t="s">
        <v>74</v>
      </c>
      <c r="R1392" t="s">
        <v>74</v>
      </c>
      <c r="S1392" t="s">
        <v>74</v>
      </c>
      <c r="T1392" t="s">
        <v>12596</v>
      </c>
      <c r="U1392" t="s">
        <v>74</v>
      </c>
      <c r="V1392" t="s">
        <v>12597</v>
      </c>
      <c r="W1392" t="s">
        <v>12598</v>
      </c>
      <c r="X1392" t="s">
        <v>12599</v>
      </c>
      <c r="Y1392" t="s">
        <v>12600</v>
      </c>
      <c r="Z1392" t="s">
        <v>12601</v>
      </c>
      <c r="AA1392" t="s">
        <v>12602</v>
      </c>
      <c r="AB1392" t="s">
        <v>12603</v>
      </c>
      <c r="AC1392" t="s">
        <v>74</v>
      </c>
      <c r="AD1392" t="s">
        <v>74</v>
      </c>
      <c r="AE1392" t="s">
        <v>74</v>
      </c>
      <c r="AF1392" t="s">
        <v>74</v>
      </c>
      <c r="AG1392">
        <v>24</v>
      </c>
      <c r="AH1392">
        <v>6</v>
      </c>
      <c r="AI1392">
        <v>7</v>
      </c>
      <c r="AJ1392">
        <v>6</v>
      </c>
      <c r="AK1392">
        <v>26</v>
      </c>
      <c r="AL1392" t="s">
        <v>74</v>
      </c>
      <c r="AM1392" t="s">
        <v>74</v>
      </c>
      <c r="AN1392" t="s">
        <v>74</v>
      </c>
      <c r="AO1392" t="s">
        <v>12604</v>
      </c>
      <c r="AP1392" t="s">
        <v>12605</v>
      </c>
      <c r="AQ1392" t="s">
        <v>74</v>
      </c>
      <c r="AR1392" t="s">
        <v>74</v>
      </c>
      <c r="AS1392" t="s">
        <v>74</v>
      </c>
      <c r="AT1392" t="s">
        <v>12606</v>
      </c>
      <c r="AU1392">
        <v>2020</v>
      </c>
      <c r="AV1392">
        <v>256</v>
      </c>
      <c r="AW1392" t="s">
        <v>74</v>
      </c>
      <c r="AX1392" t="s">
        <v>74</v>
      </c>
      <c r="AY1392" t="s">
        <v>74</v>
      </c>
      <c r="AZ1392" t="s">
        <v>74</v>
      </c>
      <c r="BA1392" t="s">
        <v>74</v>
      </c>
      <c r="BB1392" t="s">
        <v>74</v>
      </c>
      <c r="BC1392" t="s">
        <v>74</v>
      </c>
      <c r="BD1392">
        <v>112802</v>
      </c>
      <c r="BE1392" t="s">
        <v>12607</v>
      </c>
      <c r="BF1392" t="str">
        <f>HYPERLINK("http://dx.doi.org/10.1016/j.jep.2020.112802","http://dx.doi.org/10.1016/j.jep.2020.112802")</f>
        <v>http://dx.doi.org/10.1016/j.jep.2020.112802</v>
      </c>
      <c r="BG1392" t="s">
        <v>74</v>
      </c>
      <c r="BH1392" t="s">
        <v>74</v>
      </c>
      <c r="BI1392" t="s">
        <v>74</v>
      </c>
      <c r="BJ1392" t="s">
        <v>12608</v>
      </c>
      <c r="BK1392" t="s">
        <v>117</v>
      </c>
      <c r="BL1392" t="s">
        <v>12609</v>
      </c>
      <c r="BM1392" t="s">
        <v>74</v>
      </c>
      <c r="BN1392">
        <v>32240782</v>
      </c>
      <c r="BO1392" t="s">
        <v>74</v>
      </c>
      <c r="BP1392" t="s">
        <v>74</v>
      </c>
      <c r="BQ1392" t="s">
        <v>74</v>
      </c>
      <c r="BR1392" t="s">
        <v>96</v>
      </c>
      <c r="BS1392" t="s">
        <v>12610</v>
      </c>
      <c r="BT1392" t="str">
        <f>HYPERLINK("https%3A%2F%2Fwww.webofscience.com%2Fwos%2Fwoscc%2Ffull-record%2FWOS:000528279300018","View Full Record in Web of Science")</f>
        <v>View Full Record in Web of Science</v>
      </c>
    </row>
    <row r="1393" spans="1:72" x14ac:dyDescent="0.15">
      <c r="A1393" t="s">
        <v>72</v>
      </c>
      <c r="B1393" t="s">
        <v>13675</v>
      </c>
      <c r="C1393" t="s">
        <v>74</v>
      </c>
      <c r="D1393" t="s">
        <v>13676</v>
      </c>
      <c r="E1393" t="s">
        <v>74</v>
      </c>
      <c r="F1393" t="s">
        <v>13677</v>
      </c>
      <c r="G1393" t="s">
        <v>74</v>
      </c>
      <c r="H1393" t="s">
        <v>74</v>
      </c>
      <c r="I1393" t="s">
        <v>13678</v>
      </c>
      <c r="J1393" t="s">
        <v>13679</v>
      </c>
      <c r="K1393" t="s">
        <v>79</v>
      </c>
      <c r="L1393" t="s">
        <v>74</v>
      </c>
      <c r="M1393" t="s">
        <v>74</v>
      </c>
      <c r="N1393" t="s">
        <v>80</v>
      </c>
      <c r="O1393" t="s">
        <v>74</v>
      </c>
      <c r="P1393" t="s">
        <v>74</v>
      </c>
      <c r="Q1393" t="s">
        <v>74</v>
      </c>
      <c r="R1393" t="s">
        <v>74</v>
      </c>
      <c r="S1393" t="s">
        <v>74</v>
      </c>
      <c r="T1393" t="s">
        <v>13680</v>
      </c>
      <c r="U1393" t="s">
        <v>13681</v>
      </c>
      <c r="V1393" t="s">
        <v>13682</v>
      </c>
      <c r="W1393" t="s">
        <v>13683</v>
      </c>
      <c r="X1393" t="s">
        <v>13684</v>
      </c>
      <c r="Y1393" t="s">
        <v>13685</v>
      </c>
      <c r="Z1393" t="s">
        <v>74</v>
      </c>
      <c r="AA1393" t="s">
        <v>13686</v>
      </c>
      <c r="AB1393" t="s">
        <v>13687</v>
      </c>
      <c r="AC1393" t="s">
        <v>74</v>
      </c>
      <c r="AD1393" t="s">
        <v>74</v>
      </c>
      <c r="AE1393" t="s">
        <v>74</v>
      </c>
      <c r="AF1393" t="s">
        <v>74</v>
      </c>
      <c r="AG1393">
        <v>14</v>
      </c>
      <c r="AH1393">
        <v>6</v>
      </c>
      <c r="AI1393">
        <v>6</v>
      </c>
      <c r="AJ1393">
        <v>0</v>
      </c>
      <c r="AK1393">
        <v>7</v>
      </c>
      <c r="AL1393" t="s">
        <v>74</v>
      </c>
      <c r="AM1393" t="s">
        <v>74</v>
      </c>
      <c r="AN1393" t="s">
        <v>74</v>
      </c>
      <c r="AO1393" t="s">
        <v>88</v>
      </c>
      <c r="AP1393" t="s">
        <v>89</v>
      </c>
      <c r="AQ1393" t="s">
        <v>13688</v>
      </c>
      <c r="AR1393" t="s">
        <v>74</v>
      </c>
      <c r="AS1393" t="s">
        <v>74</v>
      </c>
      <c r="AT1393" t="s">
        <v>74</v>
      </c>
      <c r="AU1393">
        <v>2018</v>
      </c>
      <c r="AV1393">
        <v>1756</v>
      </c>
      <c r="AW1393" t="s">
        <v>74</v>
      </c>
      <c r="AX1393" t="s">
        <v>74</v>
      </c>
      <c r="AY1393" t="s">
        <v>74</v>
      </c>
      <c r="AZ1393" t="s">
        <v>74</v>
      </c>
      <c r="BA1393" t="s">
        <v>74</v>
      </c>
      <c r="BB1393">
        <v>187</v>
      </c>
      <c r="BC1393">
        <v>194</v>
      </c>
      <c r="BD1393" t="s">
        <v>74</v>
      </c>
      <c r="BE1393" t="s">
        <v>13689</v>
      </c>
      <c r="BF1393" t="str">
        <f>HYPERLINK("http://dx.doi.org/10.1007/978-1-4939-7734-5_17","http://dx.doi.org/10.1007/978-1-4939-7734-5_17")</f>
        <v>http://dx.doi.org/10.1007/978-1-4939-7734-5_17</v>
      </c>
      <c r="BG1393" t="s">
        <v>13690</v>
      </c>
      <c r="BH1393" t="s">
        <v>74</v>
      </c>
      <c r="BI1393" t="s">
        <v>74</v>
      </c>
      <c r="BJ1393" t="s">
        <v>13691</v>
      </c>
      <c r="BK1393" t="s">
        <v>94</v>
      </c>
      <c r="BL1393" t="s">
        <v>13692</v>
      </c>
      <c r="BM1393" t="s">
        <v>74</v>
      </c>
      <c r="BN1393">
        <v>29600371</v>
      </c>
      <c r="BO1393" t="s">
        <v>74</v>
      </c>
      <c r="BP1393" t="s">
        <v>74</v>
      </c>
      <c r="BQ1393" t="s">
        <v>74</v>
      </c>
      <c r="BR1393" t="s">
        <v>96</v>
      </c>
      <c r="BS1393" t="s">
        <v>13693</v>
      </c>
      <c r="BT1393" t="str">
        <f>HYPERLINK("https%3A%2F%2Fwww.webofscience.com%2Fwos%2Fwoscc%2Ffull-record%2FWOS:000685158800018","View Full Record in Web of Science")</f>
        <v>View Full Record in Web of Science</v>
      </c>
    </row>
    <row r="1394" spans="1:72" x14ac:dyDescent="0.15">
      <c r="A1394" t="s">
        <v>98</v>
      </c>
      <c r="B1394" t="s">
        <v>13727</v>
      </c>
      <c r="C1394" t="s">
        <v>74</v>
      </c>
      <c r="D1394" t="s">
        <v>74</v>
      </c>
      <c r="E1394" t="s">
        <v>74</v>
      </c>
      <c r="F1394" t="s">
        <v>13728</v>
      </c>
      <c r="G1394" t="s">
        <v>74</v>
      </c>
      <c r="H1394" t="s">
        <v>74</v>
      </c>
      <c r="I1394" t="s">
        <v>13729</v>
      </c>
      <c r="J1394" t="s">
        <v>13730</v>
      </c>
      <c r="K1394" t="s">
        <v>74</v>
      </c>
      <c r="L1394" t="s">
        <v>74</v>
      </c>
      <c r="M1394" t="s">
        <v>74</v>
      </c>
      <c r="N1394" t="s">
        <v>103</v>
      </c>
      <c r="O1394" t="s">
        <v>74</v>
      </c>
      <c r="P1394" t="s">
        <v>74</v>
      </c>
      <c r="Q1394" t="s">
        <v>74</v>
      </c>
      <c r="R1394" t="s">
        <v>74</v>
      </c>
      <c r="S1394" t="s">
        <v>74</v>
      </c>
      <c r="T1394" t="s">
        <v>13731</v>
      </c>
      <c r="U1394" t="s">
        <v>13732</v>
      </c>
      <c r="V1394" t="s">
        <v>13733</v>
      </c>
      <c r="W1394" t="s">
        <v>13734</v>
      </c>
      <c r="X1394" t="s">
        <v>13735</v>
      </c>
      <c r="Y1394" t="s">
        <v>13736</v>
      </c>
      <c r="Z1394" t="s">
        <v>13737</v>
      </c>
      <c r="AA1394" t="s">
        <v>13738</v>
      </c>
      <c r="AB1394" t="s">
        <v>13739</v>
      </c>
      <c r="AC1394" t="s">
        <v>74</v>
      </c>
      <c r="AD1394" t="s">
        <v>74</v>
      </c>
      <c r="AE1394" t="s">
        <v>74</v>
      </c>
      <c r="AF1394" t="s">
        <v>74</v>
      </c>
      <c r="AG1394">
        <v>85</v>
      </c>
      <c r="AH1394">
        <v>6</v>
      </c>
      <c r="AI1394">
        <v>6</v>
      </c>
      <c r="AJ1394">
        <v>2</v>
      </c>
      <c r="AK1394">
        <v>9</v>
      </c>
      <c r="AL1394" t="s">
        <v>74</v>
      </c>
      <c r="AM1394" t="s">
        <v>74</v>
      </c>
      <c r="AN1394" t="s">
        <v>74</v>
      </c>
      <c r="AO1394" t="s">
        <v>13740</v>
      </c>
      <c r="AP1394" t="s">
        <v>13741</v>
      </c>
      <c r="AQ1394" t="s">
        <v>74</v>
      </c>
      <c r="AR1394" t="s">
        <v>74</v>
      </c>
      <c r="AS1394" t="s">
        <v>74</v>
      </c>
      <c r="AT1394" t="s">
        <v>1083</v>
      </c>
      <c r="AU1394">
        <v>2020</v>
      </c>
      <c r="AV1394">
        <v>313</v>
      </c>
      <c r="AW1394" t="s">
        <v>74</v>
      </c>
      <c r="AX1394" t="s">
        <v>74</v>
      </c>
      <c r="AY1394" t="s">
        <v>74</v>
      </c>
      <c r="AZ1394" t="s">
        <v>74</v>
      </c>
      <c r="BA1394" t="s">
        <v>74</v>
      </c>
      <c r="BB1394">
        <v>48</v>
      </c>
      <c r="BC1394">
        <v>56</v>
      </c>
      <c r="BD1394" t="s">
        <v>74</v>
      </c>
      <c r="BE1394" t="s">
        <v>13742</v>
      </c>
      <c r="BF1394" t="str">
        <f>HYPERLINK("http://dx.doi.org/10.1016/j.jbiotec.2020.03.002","http://dx.doi.org/10.1016/j.jbiotec.2020.03.002")</f>
        <v>http://dx.doi.org/10.1016/j.jbiotec.2020.03.002</v>
      </c>
      <c r="BG1394" t="s">
        <v>74</v>
      </c>
      <c r="BH1394" t="s">
        <v>74</v>
      </c>
      <c r="BI1394" t="s">
        <v>74</v>
      </c>
      <c r="BJ1394" t="s">
        <v>13743</v>
      </c>
      <c r="BK1394" t="s">
        <v>117</v>
      </c>
      <c r="BL1394" t="s">
        <v>13743</v>
      </c>
      <c r="BM1394" t="s">
        <v>74</v>
      </c>
      <c r="BN1394">
        <v>32165241</v>
      </c>
      <c r="BO1394" t="s">
        <v>74</v>
      </c>
      <c r="BP1394" t="s">
        <v>74</v>
      </c>
      <c r="BQ1394" t="s">
        <v>74</v>
      </c>
      <c r="BR1394" t="s">
        <v>96</v>
      </c>
      <c r="BS1394" t="s">
        <v>13744</v>
      </c>
      <c r="BT1394" t="str">
        <f>HYPERLINK("https%3A%2F%2Fwww.webofscience.com%2Fwos%2Fwoscc%2Ffull-record%2FWOS:000522793800006","View Full Record in Web of Science")</f>
        <v>View Full Record in Web of Science</v>
      </c>
    </row>
    <row r="1395" spans="1:72" x14ac:dyDescent="0.15">
      <c r="A1395" t="s">
        <v>98</v>
      </c>
      <c r="B1395" t="s">
        <v>14284</v>
      </c>
      <c r="C1395" t="s">
        <v>74</v>
      </c>
      <c r="D1395" t="s">
        <v>74</v>
      </c>
      <c r="E1395" t="s">
        <v>74</v>
      </c>
      <c r="F1395" t="s">
        <v>14285</v>
      </c>
      <c r="G1395" t="s">
        <v>74</v>
      </c>
      <c r="H1395" t="s">
        <v>74</v>
      </c>
      <c r="I1395" t="s">
        <v>14286</v>
      </c>
      <c r="J1395" t="s">
        <v>4332</v>
      </c>
      <c r="K1395" t="s">
        <v>74</v>
      </c>
      <c r="L1395" t="s">
        <v>74</v>
      </c>
      <c r="M1395" t="s">
        <v>74</v>
      </c>
      <c r="N1395" t="s">
        <v>103</v>
      </c>
      <c r="O1395" t="s">
        <v>74</v>
      </c>
      <c r="P1395" t="s">
        <v>74</v>
      </c>
      <c r="Q1395" t="s">
        <v>74</v>
      </c>
      <c r="R1395" t="s">
        <v>74</v>
      </c>
      <c r="S1395" t="s">
        <v>74</v>
      </c>
      <c r="T1395" t="s">
        <v>14287</v>
      </c>
      <c r="U1395" t="s">
        <v>14288</v>
      </c>
      <c r="V1395" t="s">
        <v>14289</v>
      </c>
      <c r="W1395" t="s">
        <v>14290</v>
      </c>
      <c r="X1395" t="s">
        <v>14291</v>
      </c>
      <c r="Y1395" t="s">
        <v>14292</v>
      </c>
      <c r="Z1395" t="s">
        <v>14293</v>
      </c>
      <c r="AA1395" t="s">
        <v>14294</v>
      </c>
      <c r="AB1395" t="s">
        <v>14295</v>
      </c>
      <c r="AC1395" t="s">
        <v>74</v>
      </c>
      <c r="AD1395" t="s">
        <v>74</v>
      </c>
      <c r="AE1395" t="s">
        <v>74</v>
      </c>
      <c r="AF1395" t="s">
        <v>74</v>
      </c>
      <c r="AG1395">
        <v>40</v>
      </c>
      <c r="AH1395">
        <v>6</v>
      </c>
      <c r="AI1395">
        <v>6</v>
      </c>
      <c r="AJ1395">
        <v>3</v>
      </c>
      <c r="AK1395">
        <v>8</v>
      </c>
      <c r="AL1395" t="s">
        <v>74</v>
      </c>
      <c r="AM1395" t="s">
        <v>74</v>
      </c>
      <c r="AN1395" t="s">
        <v>74</v>
      </c>
      <c r="AO1395" t="s">
        <v>74</v>
      </c>
      <c r="AP1395" t="s">
        <v>4342</v>
      </c>
      <c r="AQ1395" t="s">
        <v>74</v>
      </c>
      <c r="AR1395" t="s">
        <v>74</v>
      </c>
      <c r="AS1395" t="s">
        <v>74</v>
      </c>
      <c r="AT1395" t="s">
        <v>14296</v>
      </c>
      <c r="AU1395">
        <v>2021</v>
      </c>
      <c r="AV1395">
        <v>40</v>
      </c>
      <c r="AW1395">
        <v>1</v>
      </c>
      <c r="AX1395" t="s">
        <v>74</v>
      </c>
      <c r="AY1395" t="s">
        <v>74</v>
      </c>
      <c r="AZ1395" t="s">
        <v>74</v>
      </c>
      <c r="BA1395" t="s">
        <v>74</v>
      </c>
      <c r="BB1395" t="s">
        <v>74</v>
      </c>
      <c r="BC1395" t="s">
        <v>74</v>
      </c>
      <c r="BD1395">
        <v>89</v>
      </c>
      <c r="BE1395" t="s">
        <v>14297</v>
      </c>
      <c r="BF1395" t="str">
        <f>HYPERLINK("http://dx.doi.org/10.1186/s13046-021-01883-0","http://dx.doi.org/10.1186/s13046-021-01883-0")</f>
        <v>http://dx.doi.org/10.1186/s13046-021-01883-0</v>
      </c>
      <c r="BG1395" t="s">
        <v>74</v>
      </c>
      <c r="BH1395" t="s">
        <v>74</v>
      </c>
      <c r="BI1395" t="s">
        <v>74</v>
      </c>
      <c r="BJ1395" t="s">
        <v>267</v>
      </c>
      <c r="BK1395" t="s">
        <v>117</v>
      </c>
      <c r="BL1395" t="s">
        <v>267</v>
      </c>
      <c r="BM1395" t="s">
        <v>74</v>
      </c>
      <c r="BN1395">
        <v>33673859</v>
      </c>
      <c r="BO1395" t="s">
        <v>74</v>
      </c>
      <c r="BP1395" t="s">
        <v>74</v>
      </c>
      <c r="BQ1395" t="s">
        <v>74</v>
      </c>
      <c r="BR1395" t="s">
        <v>96</v>
      </c>
      <c r="BS1395" t="s">
        <v>14298</v>
      </c>
      <c r="BT1395" t="str">
        <f>HYPERLINK("https%3A%2F%2Fwww.webofscience.com%2Fwos%2Fwoscc%2Ffull-record%2FWOS:000625954200001","View Full Record in Web of Science")</f>
        <v>View Full Record in Web of Science</v>
      </c>
    </row>
    <row r="1396" spans="1:72" x14ac:dyDescent="0.15">
      <c r="A1396" t="s">
        <v>98</v>
      </c>
      <c r="B1396" t="s">
        <v>14897</v>
      </c>
      <c r="C1396" t="s">
        <v>74</v>
      </c>
      <c r="D1396" t="s">
        <v>74</v>
      </c>
      <c r="E1396" t="s">
        <v>74</v>
      </c>
      <c r="F1396" t="s">
        <v>14898</v>
      </c>
      <c r="G1396" t="s">
        <v>74</v>
      </c>
      <c r="H1396" t="s">
        <v>74</v>
      </c>
      <c r="I1396" t="s">
        <v>14899</v>
      </c>
      <c r="J1396" t="s">
        <v>2520</v>
      </c>
      <c r="K1396" t="s">
        <v>74</v>
      </c>
      <c r="L1396" t="s">
        <v>74</v>
      </c>
      <c r="M1396" t="s">
        <v>74</v>
      </c>
      <c r="N1396" t="s">
        <v>103</v>
      </c>
      <c r="O1396" t="s">
        <v>74</v>
      </c>
      <c r="P1396" t="s">
        <v>74</v>
      </c>
      <c r="Q1396" t="s">
        <v>74</v>
      </c>
      <c r="R1396" t="s">
        <v>74</v>
      </c>
      <c r="S1396" t="s">
        <v>74</v>
      </c>
      <c r="T1396" t="s">
        <v>14900</v>
      </c>
      <c r="U1396" t="s">
        <v>14901</v>
      </c>
      <c r="V1396" t="s">
        <v>14902</v>
      </c>
      <c r="W1396" t="s">
        <v>14903</v>
      </c>
      <c r="X1396" t="s">
        <v>14904</v>
      </c>
      <c r="Y1396" t="s">
        <v>14905</v>
      </c>
      <c r="Z1396" t="s">
        <v>14906</v>
      </c>
      <c r="AA1396" t="s">
        <v>14907</v>
      </c>
      <c r="AB1396" t="s">
        <v>14908</v>
      </c>
      <c r="AC1396" t="s">
        <v>74</v>
      </c>
      <c r="AD1396" t="s">
        <v>74</v>
      </c>
      <c r="AE1396" t="s">
        <v>74</v>
      </c>
      <c r="AF1396" t="s">
        <v>74</v>
      </c>
      <c r="AG1396">
        <v>87</v>
      </c>
      <c r="AH1396">
        <v>6</v>
      </c>
      <c r="AI1396">
        <v>6</v>
      </c>
      <c r="AJ1396">
        <v>3</v>
      </c>
      <c r="AK1396">
        <v>7</v>
      </c>
      <c r="AL1396" t="s">
        <v>74</v>
      </c>
      <c r="AM1396" t="s">
        <v>74</v>
      </c>
      <c r="AN1396" t="s">
        <v>74</v>
      </c>
      <c r="AO1396" t="s">
        <v>74</v>
      </c>
      <c r="AP1396" t="s">
        <v>2529</v>
      </c>
      <c r="AQ1396" t="s">
        <v>74</v>
      </c>
      <c r="AR1396" t="s">
        <v>74</v>
      </c>
      <c r="AS1396" t="s">
        <v>74</v>
      </c>
      <c r="AT1396" t="s">
        <v>14909</v>
      </c>
      <c r="AU1396">
        <v>2020</v>
      </c>
      <c r="AV1396">
        <v>11</v>
      </c>
      <c r="AW1396" t="s">
        <v>74</v>
      </c>
      <c r="AX1396" t="s">
        <v>74</v>
      </c>
      <c r="AY1396" t="s">
        <v>74</v>
      </c>
      <c r="AZ1396" t="s">
        <v>74</v>
      </c>
      <c r="BA1396" t="s">
        <v>74</v>
      </c>
      <c r="BB1396" t="s">
        <v>74</v>
      </c>
      <c r="BC1396" t="s">
        <v>74</v>
      </c>
      <c r="BD1396">
        <v>1268</v>
      </c>
      <c r="BE1396" t="s">
        <v>14910</v>
      </c>
      <c r="BF1396" t="str">
        <f>HYPERLINK("http://dx.doi.org/10.3389/fmicb.2020.01268","http://dx.doi.org/10.3389/fmicb.2020.01268")</f>
        <v>http://dx.doi.org/10.3389/fmicb.2020.01268</v>
      </c>
      <c r="BG1396" t="s">
        <v>74</v>
      </c>
      <c r="BH1396" t="s">
        <v>74</v>
      </c>
      <c r="BI1396" t="s">
        <v>74</v>
      </c>
      <c r="BJ1396" t="s">
        <v>898</v>
      </c>
      <c r="BK1396" t="s">
        <v>117</v>
      </c>
      <c r="BL1396" t="s">
        <v>898</v>
      </c>
      <c r="BM1396" t="s">
        <v>74</v>
      </c>
      <c r="BN1396">
        <v>32676055</v>
      </c>
      <c r="BO1396" t="s">
        <v>74</v>
      </c>
      <c r="BP1396" t="s">
        <v>74</v>
      </c>
      <c r="BQ1396" t="s">
        <v>74</v>
      </c>
      <c r="BR1396" t="s">
        <v>96</v>
      </c>
      <c r="BS1396" t="s">
        <v>14911</v>
      </c>
      <c r="BT1396" t="str">
        <f>HYPERLINK("https%3A%2F%2Fwww.webofscience.com%2Fwos%2Fwoscc%2Ffull-record%2FWOS:000615594300001","View Full Record in Web of Science")</f>
        <v>View Full Record in Web of Science</v>
      </c>
    </row>
    <row r="1397" spans="1:72" x14ac:dyDescent="0.15">
      <c r="A1397" t="s">
        <v>98</v>
      </c>
      <c r="B1397" t="s">
        <v>16074</v>
      </c>
      <c r="C1397" t="s">
        <v>74</v>
      </c>
      <c r="D1397" t="s">
        <v>74</v>
      </c>
      <c r="E1397" t="s">
        <v>74</v>
      </c>
      <c r="F1397" t="s">
        <v>16075</v>
      </c>
      <c r="G1397" t="s">
        <v>74</v>
      </c>
      <c r="H1397" t="s">
        <v>74</v>
      </c>
      <c r="I1397" t="s">
        <v>16076</v>
      </c>
      <c r="J1397" t="s">
        <v>9651</v>
      </c>
      <c r="K1397" t="s">
        <v>74</v>
      </c>
      <c r="L1397" t="s">
        <v>74</v>
      </c>
      <c r="M1397" t="s">
        <v>74</v>
      </c>
      <c r="N1397" t="s">
        <v>103</v>
      </c>
      <c r="O1397" t="s">
        <v>74</v>
      </c>
      <c r="P1397" t="s">
        <v>74</v>
      </c>
      <c r="Q1397" t="s">
        <v>74</v>
      </c>
      <c r="R1397" t="s">
        <v>74</v>
      </c>
      <c r="S1397" t="s">
        <v>74</v>
      </c>
      <c r="T1397" t="s">
        <v>74</v>
      </c>
      <c r="U1397" t="s">
        <v>16077</v>
      </c>
      <c r="V1397" t="s">
        <v>16078</v>
      </c>
      <c r="W1397" t="s">
        <v>16079</v>
      </c>
      <c r="X1397" t="s">
        <v>12067</v>
      </c>
      <c r="Y1397" t="s">
        <v>16080</v>
      </c>
      <c r="Z1397" t="s">
        <v>12069</v>
      </c>
      <c r="AA1397" t="s">
        <v>12070</v>
      </c>
      <c r="AB1397" t="s">
        <v>74</v>
      </c>
      <c r="AC1397" t="s">
        <v>74</v>
      </c>
      <c r="AD1397" t="s">
        <v>74</v>
      </c>
      <c r="AE1397" t="s">
        <v>74</v>
      </c>
      <c r="AF1397" t="s">
        <v>74</v>
      </c>
      <c r="AG1397">
        <v>28</v>
      </c>
      <c r="AH1397">
        <v>6</v>
      </c>
      <c r="AI1397">
        <v>6</v>
      </c>
      <c r="AJ1397">
        <v>12</v>
      </c>
      <c r="AK1397">
        <v>46</v>
      </c>
      <c r="AL1397" t="s">
        <v>74</v>
      </c>
      <c r="AM1397" t="s">
        <v>74</v>
      </c>
      <c r="AN1397" t="s">
        <v>74</v>
      </c>
      <c r="AO1397" t="s">
        <v>9658</v>
      </c>
      <c r="AP1397" t="s">
        <v>9659</v>
      </c>
      <c r="AQ1397" t="s">
        <v>74</v>
      </c>
      <c r="AR1397" t="s">
        <v>74</v>
      </c>
      <c r="AS1397" t="s">
        <v>74</v>
      </c>
      <c r="AT1397" t="s">
        <v>16081</v>
      </c>
      <c r="AU1397">
        <v>2020</v>
      </c>
      <c r="AV1397">
        <v>56</v>
      </c>
      <c r="AW1397">
        <v>84</v>
      </c>
      <c r="AX1397" t="s">
        <v>74</v>
      </c>
      <c r="AY1397" t="s">
        <v>74</v>
      </c>
      <c r="AZ1397" t="s">
        <v>74</v>
      </c>
      <c r="BA1397" t="s">
        <v>74</v>
      </c>
      <c r="BB1397">
        <v>12793</v>
      </c>
      <c r="BC1397">
        <v>12796</v>
      </c>
      <c r="BD1397" t="s">
        <v>74</v>
      </c>
      <c r="BE1397" t="s">
        <v>16082</v>
      </c>
      <c r="BF1397" t="str">
        <f>HYPERLINK("http://dx.doi.org/10.1039/d0cc04881j","http://dx.doi.org/10.1039/d0cc04881j")</f>
        <v>http://dx.doi.org/10.1039/d0cc04881j</v>
      </c>
      <c r="BG1397" t="s">
        <v>74</v>
      </c>
      <c r="BH1397" t="s">
        <v>74</v>
      </c>
      <c r="BI1397" t="s">
        <v>74</v>
      </c>
      <c r="BJ1397" t="s">
        <v>1047</v>
      </c>
      <c r="BK1397" t="s">
        <v>117</v>
      </c>
      <c r="BL1397" t="s">
        <v>1048</v>
      </c>
      <c r="BM1397" t="s">
        <v>74</v>
      </c>
      <c r="BN1397">
        <v>32966397</v>
      </c>
      <c r="BO1397" t="s">
        <v>74</v>
      </c>
      <c r="BP1397" t="s">
        <v>74</v>
      </c>
      <c r="BQ1397" t="s">
        <v>74</v>
      </c>
      <c r="BR1397" t="s">
        <v>96</v>
      </c>
      <c r="BS1397" t="s">
        <v>16083</v>
      </c>
      <c r="BT1397" t="str">
        <f>HYPERLINK("https%3A%2F%2Fwww.webofscience.com%2Fwos%2Fwoscc%2Ffull-record%2FWOS:000580724600019","View Full Record in Web of Science")</f>
        <v>View Full Record in Web of Science</v>
      </c>
    </row>
    <row r="1398" spans="1:72" x14ac:dyDescent="0.15">
      <c r="A1398" t="s">
        <v>98</v>
      </c>
      <c r="B1398" t="s">
        <v>16113</v>
      </c>
      <c r="C1398" t="s">
        <v>74</v>
      </c>
      <c r="D1398" t="s">
        <v>74</v>
      </c>
      <c r="E1398" t="s">
        <v>74</v>
      </c>
      <c r="F1398" t="s">
        <v>16114</v>
      </c>
      <c r="G1398" t="s">
        <v>74</v>
      </c>
      <c r="H1398" t="s">
        <v>74</v>
      </c>
      <c r="I1398" t="s">
        <v>16115</v>
      </c>
      <c r="J1398" t="s">
        <v>8124</v>
      </c>
      <c r="K1398" t="s">
        <v>74</v>
      </c>
      <c r="L1398" t="s">
        <v>74</v>
      </c>
      <c r="M1398" t="s">
        <v>74</v>
      </c>
      <c r="N1398" t="s">
        <v>103</v>
      </c>
      <c r="O1398" t="s">
        <v>74</v>
      </c>
      <c r="P1398" t="s">
        <v>74</v>
      </c>
      <c r="Q1398" t="s">
        <v>74</v>
      </c>
      <c r="R1398" t="s">
        <v>74</v>
      </c>
      <c r="S1398" t="s">
        <v>74</v>
      </c>
      <c r="T1398" t="s">
        <v>16116</v>
      </c>
      <c r="U1398" t="s">
        <v>16117</v>
      </c>
      <c r="V1398" t="s">
        <v>16118</v>
      </c>
      <c r="W1398" t="s">
        <v>16119</v>
      </c>
      <c r="X1398" t="s">
        <v>16120</v>
      </c>
      <c r="Y1398" t="s">
        <v>16121</v>
      </c>
      <c r="Z1398" t="s">
        <v>16122</v>
      </c>
      <c r="AA1398" t="s">
        <v>16123</v>
      </c>
      <c r="AB1398" t="s">
        <v>74</v>
      </c>
      <c r="AC1398" t="s">
        <v>74</v>
      </c>
      <c r="AD1398" t="s">
        <v>74</v>
      </c>
      <c r="AE1398" t="s">
        <v>74</v>
      </c>
      <c r="AF1398" t="s">
        <v>74</v>
      </c>
      <c r="AG1398">
        <v>46</v>
      </c>
      <c r="AH1398">
        <v>6</v>
      </c>
      <c r="AI1398">
        <v>7</v>
      </c>
      <c r="AJ1398">
        <v>3</v>
      </c>
      <c r="AK1398">
        <v>10</v>
      </c>
      <c r="AL1398" t="s">
        <v>74</v>
      </c>
      <c r="AM1398" t="s">
        <v>74</v>
      </c>
      <c r="AN1398" t="s">
        <v>74</v>
      </c>
      <c r="AO1398" t="s">
        <v>8134</v>
      </c>
      <c r="AP1398" t="s">
        <v>8135</v>
      </c>
      <c r="AQ1398" t="s">
        <v>74</v>
      </c>
      <c r="AR1398" t="s">
        <v>74</v>
      </c>
      <c r="AS1398" t="s">
        <v>74</v>
      </c>
      <c r="AT1398" t="s">
        <v>132</v>
      </c>
      <c r="AU1398">
        <v>2020</v>
      </c>
      <c r="AV1398">
        <v>24</v>
      </c>
      <c r="AW1398">
        <v>7</v>
      </c>
      <c r="AX1398" t="s">
        <v>74</v>
      </c>
      <c r="AY1398" t="s">
        <v>74</v>
      </c>
      <c r="AZ1398" t="s">
        <v>74</v>
      </c>
      <c r="BA1398" t="s">
        <v>74</v>
      </c>
      <c r="BB1398">
        <v>3917</v>
      </c>
      <c r="BC1398">
        <v>3930</v>
      </c>
      <c r="BD1398" t="s">
        <v>74</v>
      </c>
      <c r="BE1398" t="s">
        <v>16124</v>
      </c>
      <c r="BF1398" t="str">
        <f>HYPERLINK("http://dx.doi.org/10.1111/jcmm.14978","http://dx.doi.org/10.1111/jcmm.14978")</f>
        <v>http://dx.doi.org/10.1111/jcmm.14978</v>
      </c>
      <c r="BG1398" t="s">
        <v>74</v>
      </c>
      <c r="BH1398" t="s">
        <v>74</v>
      </c>
      <c r="BI1398" t="s">
        <v>74</v>
      </c>
      <c r="BJ1398" t="s">
        <v>8137</v>
      </c>
      <c r="BK1398" t="s">
        <v>117</v>
      </c>
      <c r="BL1398" t="s">
        <v>3116</v>
      </c>
      <c r="BM1398" t="s">
        <v>74</v>
      </c>
      <c r="BN1398">
        <v>32135028</v>
      </c>
      <c r="BO1398" t="s">
        <v>74</v>
      </c>
      <c r="BP1398" t="s">
        <v>74</v>
      </c>
      <c r="BQ1398" t="s">
        <v>74</v>
      </c>
      <c r="BR1398" t="s">
        <v>96</v>
      </c>
      <c r="BS1398" t="s">
        <v>16125</v>
      </c>
      <c r="BT1398" t="str">
        <f>HYPERLINK("https%3A%2F%2Fwww.webofscience.com%2Fwos%2Fwoscc%2Ffull-record%2FWOS:000547854800009","View Full Record in Web of Science")</f>
        <v>View Full Record in Web of Science</v>
      </c>
    </row>
    <row r="1399" spans="1:72" x14ac:dyDescent="0.15">
      <c r="A1399" t="s">
        <v>98</v>
      </c>
      <c r="B1399" t="s">
        <v>16126</v>
      </c>
      <c r="C1399" t="s">
        <v>74</v>
      </c>
      <c r="D1399" t="s">
        <v>74</v>
      </c>
      <c r="E1399" t="s">
        <v>74</v>
      </c>
      <c r="F1399" t="s">
        <v>16127</v>
      </c>
      <c r="G1399" t="s">
        <v>74</v>
      </c>
      <c r="H1399" t="s">
        <v>74</v>
      </c>
      <c r="I1399" t="s">
        <v>16128</v>
      </c>
      <c r="J1399" t="s">
        <v>5523</v>
      </c>
      <c r="K1399" t="s">
        <v>74</v>
      </c>
      <c r="L1399" t="s">
        <v>74</v>
      </c>
      <c r="M1399" t="s">
        <v>74</v>
      </c>
      <c r="N1399" t="s">
        <v>103</v>
      </c>
      <c r="O1399" t="s">
        <v>74</v>
      </c>
      <c r="P1399" t="s">
        <v>74</v>
      </c>
      <c r="Q1399" t="s">
        <v>74</v>
      </c>
      <c r="R1399" t="s">
        <v>74</v>
      </c>
      <c r="S1399" t="s">
        <v>74</v>
      </c>
      <c r="T1399" t="s">
        <v>16129</v>
      </c>
      <c r="U1399" t="s">
        <v>16130</v>
      </c>
      <c r="V1399" t="s">
        <v>16131</v>
      </c>
      <c r="W1399" t="s">
        <v>16132</v>
      </c>
      <c r="X1399" t="s">
        <v>16133</v>
      </c>
      <c r="Y1399" t="s">
        <v>16134</v>
      </c>
      <c r="Z1399" t="s">
        <v>16135</v>
      </c>
      <c r="AA1399" t="s">
        <v>74</v>
      </c>
      <c r="AB1399" t="s">
        <v>74</v>
      </c>
      <c r="AC1399" t="s">
        <v>74</v>
      </c>
      <c r="AD1399" t="s">
        <v>74</v>
      </c>
      <c r="AE1399" t="s">
        <v>74</v>
      </c>
      <c r="AF1399" t="s">
        <v>74</v>
      </c>
      <c r="AG1399">
        <v>38</v>
      </c>
      <c r="AH1399">
        <v>6</v>
      </c>
      <c r="AI1399">
        <v>6</v>
      </c>
      <c r="AJ1399">
        <v>30</v>
      </c>
      <c r="AK1399">
        <v>88</v>
      </c>
      <c r="AL1399" t="s">
        <v>74</v>
      </c>
      <c r="AM1399" t="s">
        <v>74</v>
      </c>
      <c r="AN1399" t="s">
        <v>74</v>
      </c>
      <c r="AO1399" t="s">
        <v>5531</v>
      </c>
      <c r="AP1399" t="s">
        <v>5532</v>
      </c>
      <c r="AQ1399" t="s">
        <v>74</v>
      </c>
      <c r="AR1399" t="s">
        <v>74</v>
      </c>
      <c r="AS1399" t="s">
        <v>74</v>
      </c>
      <c r="AT1399" t="s">
        <v>10737</v>
      </c>
      <c r="AU1399">
        <v>2021</v>
      </c>
      <c r="AV1399">
        <v>13</v>
      </c>
      <c r="AW1399">
        <v>26</v>
      </c>
      <c r="AX1399" t="s">
        <v>74</v>
      </c>
      <c r="AY1399" t="s">
        <v>74</v>
      </c>
      <c r="AZ1399" t="s">
        <v>74</v>
      </c>
      <c r="BA1399" t="s">
        <v>74</v>
      </c>
      <c r="BB1399">
        <v>30397</v>
      </c>
      <c r="BC1399">
        <v>30403</v>
      </c>
      <c r="BD1399" t="s">
        <v>74</v>
      </c>
      <c r="BE1399" t="s">
        <v>16136</v>
      </c>
      <c r="BF1399" t="str">
        <f>HYPERLINK("http://dx.doi.org/10.1021/acsami.1c07632","http://dx.doi.org/10.1021/acsami.1c07632")</f>
        <v>http://dx.doi.org/10.1021/acsami.1c07632</v>
      </c>
      <c r="BG1399" t="s">
        <v>74</v>
      </c>
      <c r="BH1399" t="s">
        <v>3810</v>
      </c>
      <c r="BI1399" t="s">
        <v>74</v>
      </c>
      <c r="BJ1399" t="s">
        <v>5534</v>
      </c>
      <c r="BK1399" t="s">
        <v>117</v>
      </c>
      <c r="BL1399" t="s">
        <v>5535</v>
      </c>
      <c r="BM1399" t="s">
        <v>74</v>
      </c>
      <c r="BN1399">
        <v>34161059</v>
      </c>
      <c r="BO1399" t="s">
        <v>74</v>
      </c>
      <c r="BP1399" t="s">
        <v>74</v>
      </c>
      <c r="BQ1399" t="s">
        <v>74</v>
      </c>
      <c r="BR1399" t="s">
        <v>96</v>
      </c>
      <c r="BS1399" t="s">
        <v>16137</v>
      </c>
      <c r="BT1399" t="str">
        <f>HYPERLINK("https%3A%2F%2Fwww.webofscience.com%2Fwos%2Fwoscc%2Ffull-record%2FWOS:000672492800014","View Full Record in Web of Science")</f>
        <v>View Full Record in Web of Science</v>
      </c>
    </row>
    <row r="1400" spans="1:72" x14ac:dyDescent="0.15">
      <c r="A1400" t="s">
        <v>98</v>
      </c>
      <c r="B1400" t="s">
        <v>16280</v>
      </c>
      <c r="C1400" t="s">
        <v>74</v>
      </c>
      <c r="D1400" t="s">
        <v>74</v>
      </c>
      <c r="E1400" t="s">
        <v>74</v>
      </c>
      <c r="F1400" t="s">
        <v>16281</v>
      </c>
      <c r="G1400" t="s">
        <v>74</v>
      </c>
      <c r="H1400" t="s">
        <v>74</v>
      </c>
      <c r="I1400" t="s">
        <v>16282</v>
      </c>
      <c r="J1400" t="s">
        <v>16283</v>
      </c>
      <c r="K1400" t="s">
        <v>74</v>
      </c>
      <c r="L1400" t="s">
        <v>74</v>
      </c>
      <c r="M1400" t="s">
        <v>74</v>
      </c>
      <c r="N1400" t="s">
        <v>103</v>
      </c>
      <c r="O1400" t="s">
        <v>74</v>
      </c>
      <c r="P1400" t="s">
        <v>74</v>
      </c>
      <c r="Q1400" t="s">
        <v>74</v>
      </c>
      <c r="R1400" t="s">
        <v>74</v>
      </c>
      <c r="S1400" t="s">
        <v>74</v>
      </c>
      <c r="T1400" t="s">
        <v>16284</v>
      </c>
      <c r="U1400" t="s">
        <v>16285</v>
      </c>
      <c r="V1400" t="s">
        <v>16286</v>
      </c>
      <c r="W1400" t="s">
        <v>16287</v>
      </c>
      <c r="X1400" t="s">
        <v>16288</v>
      </c>
      <c r="Y1400" t="s">
        <v>16289</v>
      </c>
      <c r="Z1400" t="s">
        <v>16290</v>
      </c>
      <c r="AA1400" t="s">
        <v>16291</v>
      </c>
      <c r="AB1400" t="s">
        <v>16292</v>
      </c>
      <c r="AC1400" t="s">
        <v>74</v>
      </c>
      <c r="AD1400" t="s">
        <v>74</v>
      </c>
      <c r="AE1400" t="s">
        <v>74</v>
      </c>
      <c r="AF1400" t="s">
        <v>74</v>
      </c>
      <c r="AG1400">
        <v>107</v>
      </c>
      <c r="AH1400">
        <v>6</v>
      </c>
      <c r="AI1400">
        <v>6</v>
      </c>
      <c r="AJ1400">
        <v>6</v>
      </c>
      <c r="AK1400">
        <v>17</v>
      </c>
      <c r="AL1400" t="s">
        <v>74</v>
      </c>
      <c r="AM1400" t="s">
        <v>74</v>
      </c>
      <c r="AN1400" t="s">
        <v>74</v>
      </c>
      <c r="AO1400" t="s">
        <v>16293</v>
      </c>
      <c r="AP1400" t="s">
        <v>16294</v>
      </c>
      <c r="AQ1400" t="s">
        <v>74</v>
      </c>
      <c r="AR1400" t="s">
        <v>74</v>
      </c>
      <c r="AS1400" t="s">
        <v>74</v>
      </c>
      <c r="AT1400" t="s">
        <v>74</v>
      </c>
      <c r="AU1400">
        <v>2021</v>
      </c>
      <c r="AV1400">
        <v>9</v>
      </c>
      <c r="AW1400" t="s">
        <v>74</v>
      </c>
      <c r="AX1400" t="s">
        <v>74</v>
      </c>
      <c r="AY1400" t="s">
        <v>74</v>
      </c>
      <c r="AZ1400" t="s">
        <v>74</v>
      </c>
      <c r="BA1400" t="s">
        <v>74</v>
      </c>
      <c r="BB1400" t="s">
        <v>74</v>
      </c>
      <c r="BC1400" t="s">
        <v>74</v>
      </c>
      <c r="BD1400" t="s">
        <v>16295</v>
      </c>
      <c r="BE1400" t="s">
        <v>16296</v>
      </c>
      <c r="BF1400" t="str">
        <f>HYPERLINK("http://dx.doi.org/10.1093/burnst/tkab003","http://dx.doi.org/10.1093/burnst/tkab003")</f>
        <v>http://dx.doi.org/10.1093/burnst/tkab003</v>
      </c>
      <c r="BG1400" t="s">
        <v>74</v>
      </c>
      <c r="BH1400" t="s">
        <v>1273</v>
      </c>
      <c r="BI1400" t="s">
        <v>74</v>
      </c>
      <c r="BJ1400" t="s">
        <v>16297</v>
      </c>
      <c r="BK1400" t="s">
        <v>117</v>
      </c>
      <c r="BL1400" t="s">
        <v>16297</v>
      </c>
      <c r="BM1400" t="s">
        <v>74</v>
      </c>
      <c r="BN1400">
        <v>34212056</v>
      </c>
      <c r="BO1400" t="s">
        <v>74</v>
      </c>
      <c r="BP1400" t="s">
        <v>74</v>
      </c>
      <c r="BQ1400" t="s">
        <v>74</v>
      </c>
      <c r="BR1400" t="s">
        <v>96</v>
      </c>
      <c r="BS1400" t="s">
        <v>16298</v>
      </c>
      <c r="BT1400" t="str">
        <f>HYPERLINK("https%3A%2F%2Fwww.webofscience.com%2Fwos%2Fwoscc%2Ffull-record%2FWOS:000652164700002","View Full Record in Web of Science")</f>
        <v>View Full Record in Web of Science</v>
      </c>
    </row>
    <row r="1401" spans="1:72" x14ac:dyDescent="0.15">
      <c r="A1401" t="s">
        <v>98</v>
      </c>
      <c r="B1401" t="s">
        <v>16474</v>
      </c>
      <c r="C1401" t="s">
        <v>74</v>
      </c>
      <c r="D1401" t="s">
        <v>74</v>
      </c>
      <c r="E1401" t="s">
        <v>74</v>
      </c>
      <c r="F1401" t="s">
        <v>16475</v>
      </c>
      <c r="G1401" t="s">
        <v>74</v>
      </c>
      <c r="H1401" t="s">
        <v>74</v>
      </c>
      <c r="I1401" t="s">
        <v>16476</v>
      </c>
      <c r="J1401" t="s">
        <v>123</v>
      </c>
      <c r="K1401" t="s">
        <v>74</v>
      </c>
      <c r="L1401" t="s">
        <v>74</v>
      </c>
      <c r="M1401" t="s">
        <v>74</v>
      </c>
      <c r="N1401" t="s">
        <v>103</v>
      </c>
      <c r="O1401" t="s">
        <v>74</v>
      </c>
      <c r="P1401" t="s">
        <v>74</v>
      </c>
      <c r="Q1401" t="s">
        <v>74</v>
      </c>
      <c r="R1401" t="s">
        <v>74</v>
      </c>
      <c r="S1401" t="s">
        <v>74</v>
      </c>
      <c r="T1401" t="s">
        <v>16477</v>
      </c>
      <c r="U1401" t="s">
        <v>16478</v>
      </c>
      <c r="V1401" t="s">
        <v>16479</v>
      </c>
      <c r="W1401" t="s">
        <v>16480</v>
      </c>
      <c r="X1401" t="s">
        <v>16481</v>
      </c>
      <c r="Y1401" t="s">
        <v>16482</v>
      </c>
      <c r="Z1401" t="s">
        <v>16483</v>
      </c>
      <c r="AA1401" t="s">
        <v>74</v>
      </c>
      <c r="AB1401" t="s">
        <v>74</v>
      </c>
      <c r="AC1401" t="s">
        <v>74</v>
      </c>
      <c r="AD1401" t="s">
        <v>74</v>
      </c>
      <c r="AE1401" t="s">
        <v>74</v>
      </c>
      <c r="AF1401" t="s">
        <v>74</v>
      </c>
      <c r="AG1401">
        <v>58</v>
      </c>
      <c r="AH1401">
        <v>6</v>
      </c>
      <c r="AI1401">
        <v>6</v>
      </c>
      <c r="AJ1401">
        <v>9</v>
      </c>
      <c r="AK1401">
        <v>23</v>
      </c>
      <c r="AL1401" t="s">
        <v>74</v>
      </c>
      <c r="AM1401" t="s">
        <v>74</v>
      </c>
      <c r="AN1401" t="s">
        <v>74</v>
      </c>
      <c r="AO1401" t="s">
        <v>74</v>
      </c>
      <c r="AP1401" t="s">
        <v>131</v>
      </c>
      <c r="AQ1401" t="s">
        <v>74</v>
      </c>
      <c r="AR1401" t="s">
        <v>74</v>
      </c>
      <c r="AS1401" t="s">
        <v>74</v>
      </c>
      <c r="AT1401" t="s">
        <v>531</v>
      </c>
      <c r="AU1401">
        <v>2021</v>
      </c>
      <c r="AV1401">
        <v>10</v>
      </c>
      <c r="AW1401">
        <v>11</v>
      </c>
      <c r="AX1401" t="s">
        <v>74</v>
      </c>
      <c r="AY1401" t="s">
        <v>74</v>
      </c>
      <c r="AZ1401" t="s">
        <v>74</v>
      </c>
      <c r="BA1401" t="s">
        <v>74</v>
      </c>
      <c r="BB1401" t="s">
        <v>74</v>
      </c>
      <c r="BC1401" t="s">
        <v>74</v>
      </c>
      <c r="BD1401" t="s">
        <v>74</v>
      </c>
      <c r="BE1401" t="s">
        <v>16484</v>
      </c>
      <c r="BF1401" t="str">
        <f>HYPERLINK("http://dx.doi.org/10.1002/jev2.12146","http://dx.doi.org/10.1002/jev2.12146")</f>
        <v>http://dx.doi.org/10.1002/jev2.12146</v>
      </c>
      <c r="BG1401" t="s">
        <v>74</v>
      </c>
      <c r="BH1401" t="s">
        <v>74</v>
      </c>
      <c r="BI1401" t="s">
        <v>74</v>
      </c>
      <c r="BJ1401" t="s">
        <v>135</v>
      </c>
      <c r="BK1401" t="s">
        <v>117</v>
      </c>
      <c r="BL1401" t="s">
        <v>135</v>
      </c>
      <c r="BM1401" t="s">
        <v>74</v>
      </c>
      <c r="BN1401">
        <v>34545708</v>
      </c>
      <c r="BO1401" t="s">
        <v>74</v>
      </c>
      <c r="BP1401" t="s">
        <v>74</v>
      </c>
      <c r="BQ1401" t="s">
        <v>74</v>
      </c>
      <c r="BR1401" t="s">
        <v>96</v>
      </c>
      <c r="BS1401" t="s">
        <v>16485</v>
      </c>
      <c r="BT1401" t="str">
        <f>HYPERLINK("https%3A%2F%2Fwww.webofscience.com%2Fwos%2Fwoscc%2Ffull-record%2FWOS:000697319700002","View Full Record in Web of Science")</f>
        <v>View Full Record in Web of Science</v>
      </c>
    </row>
    <row r="1402" spans="1:72" x14ac:dyDescent="0.15">
      <c r="A1402" t="s">
        <v>98</v>
      </c>
      <c r="B1402" t="s">
        <v>17546</v>
      </c>
      <c r="C1402" t="s">
        <v>74</v>
      </c>
      <c r="D1402" t="s">
        <v>74</v>
      </c>
      <c r="E1402" t="s">
        <v>74</v>
      </c>
      <c r="F1402" t="s">
        <v>17547</v>
      </c>
      <c r="G1402" t="s">
        <v>74</v>
      </c>
      <c r="H1402" t="s">
        <v>74</v>
      </c>
      <c r="I1402" t="s">
        <v>17548</v>
      </c>
      <c r="J1402" t="s">
        <v>5523</v>
      </c>
      <c r="K1402" t="s">
        <v>74</v>
      </c>
      <c r="L1402" t="s">
        <v>74</v>
      </c>
      <c r="M1402" t="s">
        <v>74</v>
      </c>
      <c r="N1402" t="s">
        <v>103</v>
      </c>
      <c r="O1402" t="s">
        <v>74</v>
      </c>
      <c r="P1402" t="s">
        <v>74</v>
      </c>
      <c r="Q1402" t="s">
        <v>74</v>
      </c>
      <c r="R1402" t="s">
        <v>74</v>
      </c>
      <c r="S1402" t="s">
        <v>74</v>
      </c>
      <c r="T1402" t="s">
        <v>17549</v>
      </c>
      <c r="U1402" t="s">
        <v>17550</v>
      </c>
      <c r="V1402" t="s">
        <v>17551</v>
      </c>
      <c r="W1402" t="s">
        <v>17552</v>
      </c>
      <c r="X1402" t="s">
        <v>17553</v>
      </c>
      <c r="Y1402" t="s">
        <v>17554</v>
      </c>
      <c r="Z1402" t="s">
        <v>17555</v>
      </c>
      <c r="AA1402" t="s">
        <v>17556</v>
      </c>
      <c r="AB1402" t="s">
        <v>17557</v>
      </c>
      <c r="AC1402" t="s">
        <v>74</v>
      </c>
      <c r="AD1402" t="s">
        <v>74</v>
      </c>
      <c r="AE1402" t="s">
        <v>74</v>
      </c>
      <c r="AF1402" t="s">
        <v>74</v>
      </c>
      <c r="AG1402">
        <v>54</v>
      </c>
      <c r="AH1402">
        <v>6</v>
      </c>
      <c r="AI1402">
        <v>6</v>
      </c>
      <c r="AJ1402">
        <v>7</v>
      </c>
      <c r="AK1402">
        <v>26</v>
      </c>
      <c r="AL1402" t="s">
        <v>74</v>
      </c>
      <c r="AM1402" t="s">
        <v>74</v>
      </c>
      <c r="AN1402" t="s">
        <v>74</v>
      </c>
      <c r="AO1402" t="s">
        <v>5531</v>
      </c>
      <c r="AP1402" t="s">
        <v>5532</v>
      </c>
      <c r="AQ1402" t="s">
        <v>74</v>
      </c>
      <c r="AR1402" t="s">
        <v>74</v>
      </c>
      <c r="AS1402" t="s">
        <v>74</v>
      </c>
      <c r="AT1402" t="s">
        <v>14449</v>
      </c>
      <c r="AU1402">
        <v>2021</v>
      </c>
      <c r="AV1402">
        <v>13</v>
      </c>
      <c r="AW1402">
        <v>27</v>
      </c>
      <c r="AX1402" t="s">
        <v>74</v>
      </c>
      <c r="AY1402" t="s">
        <v>74</v>
      </c>
      <c r="AZ1402" t="s">
        <v>74</v>
      </c>
      <c r="BA1402" t="s">
        <v>74</v>
      </c>
      <c r="BB1402">
        <v>31418</v>
      </c>
      <c r="BC1402">
        <v>31430</v>
      </c>
      <c r="BD1402" t="s">
        <v>74</v>
      </c>
      <c r="BE1402" t="s">
        <v>17558</v>
      </c>
      <c r="BF1402" t="str">
        <f>HYPERLINK("http://dx.doi.org/10.1021/acsami.1c05355","http://dx.doi.org/10.1021/acsami.1c05355")</f>
        <v>http://dx.doi.org/10.1021/acsami.1c05355</v>
      </c>
      <c r="BG1402" t="s">
        <v>74</v>
      </c>
      <c r="BH1402" t="s">
        <v>3810</v>
      </c>
      <c r="BI1402" t="s">
        <v>74</v>
      </c>
      <c r="BJ1402" t="s">
        <v>5534</v>
      </c>
      <c r="BK1402" t="s">
        <v>117</v>
      </c>
      <c r="BL1402" t="s">
        <v>5535</v>
      </c>
      <c r="BM1402" t="s">
        <v>74</v>
      </c>
      <c r="BN1402">
        <v>34185493</v>
      </c>
      <c r="BO1402" t="s">
        <v>74</v>
      </c>
      <c r="BP1402" t="s">
        <v>74</v>
      </c>
      <c r="BQ1402" t="s">
        <v>74</v>
      </c>
      <c r="BR1402" t="s">
        <v>96</v>
      </c>
      <c r="BS1402" t="s">
        <v>17559</v>
      </c>
      <c r="BT1402" t="str">
        <f>HYPERLINK("https%3A%2F%2Fwww.webofscience.com%2Fwos%2Fwoscc%2Ffull-record%2FWOS:000674333400009","View Full Record in Web of Science")</f>
        <v>View Full Record in Web of Science</v>
      </c>
    </row>
    <row r="1403" spans="1:72" x14ac:dyDescent="0.15">
      <c r="A1403" t="s">
        <v>98</v>
      </c>
      <c r="B1403" t="s">
        <v>18415</v>
      </c>
      <c r="C1403" t="s">
        <v>74</v>
      </c>
      <c r="D1403" t="s">
        <v>74</v>
      </c>
      <c r="E1403" t="s">
        <v>74</v>
      </c>
      <c r="F1403" t="s">
        <v>18416</v>
      </c>
      <c r="G1403" t="s">
        <v>74</v>
      </c>
      <c r="H1403" t="s">
        <v>74</v>
      </c>
      <c r="I1403" t="s">
        <v>18417</v>
      </c>
      <c r="J1403" t="s">
        <v>1073</v>
      </c>
      <c r="K1403" t="s">
        <v>74</v>
      </c>
      <c r="L1403" t="s">
        <v>74</v>
      </c>
      <c r="M1403" t="s">
        <v>74</v>
      </c>
      <c r="N1403" t="s">
        <v>103</v>
      </c>
      <c r="O1403" t="s">
        <v>74</v>
      </c>
      <c r="P1403" t="s">
        <v>74</v>
      </c>
      <c r="Q1403" t="s">
        <v>74</v>
      </c>
      <c r="R1403" t="s">
        <v>74</v>
      </c>
      <c r="S1403" t="s">
        <v>74</v>
      </c>
      <c r="T1403" t="s">
        <v>74</v>
      </c>
      <c r="U1403" t="s">
        <v>18418</v>
      </c>
      <c r="V1403" t="s">
        <v>18419</v>
      </c>
      <c r="W1403" t="s">
        <v>18420</v>
      </c>
      <c r="X1403" t="s">
        <v>18421</v>
      </c>
      <c r="Y1403" t="s">
        <v>18422</v>
      </c>
      <c r="Z1403" t="s">
        <v>18423</v>
      </c>
      <c r="AA1403" t="s">
        <v>74</v>
      </c>
      <c r="AB1403" t="s">
        <v>74</v>
      </c>
      <c r="AC1403" t="s">
        <v>74</v>
      </c>
      <c r="AD1403" t="s">
        <v>74</v>
      </c>
      <c r="AE1403" t="s">
        <v>74</v>
      </c>
      <c r="AF1403" t="s">
        <v>74</v>
      </c>
      <c r="AG1403">
        <v>24</v>
      </c>
      <c r="AH1403">
        <v>6</v>
      </c>
      <c r="AI1403">
        <v>7</v>
      </c>
      <c r="AJ1403">
        <v>0</v>
      </c>
      <c r="AK1403">
        <v>2</v>
      </c>
      <c r="AL1403" t="s">
        <v>74</v>
      </c>
      <c r="AM1403" t="s">
        <v>74</v>
      </c>
      <c r="AN1403" t="s">
        <v>74</v>
      </c>
      <c r="AO1403" t="s">
        <v>1082</v>
      </c>
      <c r="AP1403" t="s">
        <v>74</v>
      </c>
      <c r="AQ1403" t="s">
        <v>74</v>
      </c>
      <c r="AR1403" t="s">
        <v>74</v>
      </c>
      <c r="AS1403" t="s">
        <v>74</v>
      </c>
      <c r="AT1403" t="s">
        <v>10737</v>
      </c>
      <c r="AU1403">
        <v>2020</v>
      </c>
      <c r="AV1403">
        <v>15</v>
      </c>
      <c r="AW1403">
        <v>7</v>
      </c>
      <c r="AX1403" t="s">
        <v>74</v>
      </c>
      <c r="AY1403" t="s">
        <v>74</v>
      </c>
      <c r="AZ1403" t="s">
        <v>74</v>
      </c>
      <c r="BA1403" t="s">
        <v>74</v>
      </c>
      <c r="BB1403" t="s">
        <v>74</v>
      </c>
      <c r="BC1403" t="s">
        <v>74</v>
      </c>
      <c r="BD1403" t="s">
        <v>18424</v>
      </c>
      <c r="BE1403" t="s">
        <v>18425</v>
      </c>
      <c r="BF1403" t="str">
        <f>HYPERLINK("http://dx.doi.org/10.1371/journal.pone.0235611; 10.1371/journal.pone.0235611.r001; 10.1371/journal.pone.0235611.r002; 10.1371/journal.pone.0235611.r003; 10.1371/journal.pone.0235611.r004","http://dx.doi.org/10.1371/journal.pone.0235611; 10.1371/journal.pone.0235611.r001; 10.1371/journal.pone.0235611.r002; 10.1371/journal.pone.0235611.r003; 10.1371/journal.pone.0235611.r004")</f>
        <v>http://dx.doi.org/10.1371/journal.pone.0235611; 10.1371/journal.pone.0235611.r001; 10.1371/journal.pone.0235611.r002; 10.1371/journal.pone.0235611.r003; 10.1371/journal.pone.0235611.r004</v>
      </c>
      <c r="BG1403" t="s">
        <v>74</v>
      </c>
      <c r="BH1403" t="s">
        <v>74</v>
      </c>
      <c r="BI1403" t="s">
        <v>74</v>
      </c>
      <c r="BJ1403" t="s">
        <v>152</v>
      </c>
      <c r="BK1403" t="s">
        <v>117</v>
      </c>
      <c r="BL1403" t="s">
        <v>153</v>
      </c>
      <c r="BM1403" t="s">
        <v>74</v>
      </c>
      <c r="BN1403">
        <v>32634139</v>
      </c>
      <c r="BO1403" t="s">
        <v>74</v>
      </c>
      <c r="BP1403" t="s">
        <v>74</v>
      </c>
      <c r="BQ1403" t="s">
        <v>74</v>
      </c>
      <c r="BR1403" t="s">
        <v>96</v>
      </c>
      <c r="BS1403" t="s">
        <v>18426</v>
      </c>
      <c r="BT1403" t="str">
        <f>HYPERLINK("https%3A%2F%2Fwww.webofscience.com%2Fwos%2Fwoscc%2Ffull-record%2FWOS:000550645600029","View Full Record in Web of Science")</f>
        <v>View Full Record in Web of Science</v>
      </c>
    </row>
    <row r="1404" spans="1:72" x14ac:dyDescent="0.15">
      <c r="A1404" t="s">
        <v>98</v>
      </c>
      <c r="B1404" t="s">
        <v>19864</v>
      </c>
      <c r="C1404" t="s">
        <v>74</v>
      </c>
      <c r="D1404" t="s">
        <v>74</v>
      </c>
      <c r="E1404" t="s">
        <v>74</v>
      </c>
      <c r="F1404" t="s">
        <v>19865</v>
      </c>
      <c r="G1404" t="s">
        <v>74</v>
      </c>
      <c r="H1404" t="s">
        <v>74</v>
      </c>
      <c r="I1404" t="s">
        <v>19866</v>
      </c>
      <c r="J1404" t="s">
        <v>19867</v>
      </c>
      <c r="K1404" t="s">
        <v>74</v>
      </c>
      <c r="L1404" t="s">
        <v>74</v>
      </c>
      <c r="M1404" t="s">
        <v>74</v>
      </c>
      <c r="N1404" t="s">
        <v>103</v>
      </c>
      <c r="O1404" t="s">
        <v>74</v>
      </c>
      <c r="P1404" t="s">
        <v>74</v>
      </c>
      <c r="Q1404" t="s">
        <v>74</v>
      </c>
      <c r="R1404" t="s">
        <v>74</v>
      </c>
      <c r="S1404" t="s">
        <v>74</v>
      </c>
      <c r="T1404" t="s">
        <v>74</v>
      </c>
      <c r="U1404" t="s">
        <v>19868</v>
      </c>
      <c r="V1404" t="s">
        <v>19869</v>
      </c>
      <c r="W1404" t="s">
        <v>19870</v>
      </c>
      <c r="X1404" t="s">
        <v>19871</v>
      </c>
      <c r="Y1404" t="s">
        <v>19872</v>
      </c>
      <c r="Z1404" t="s">
        <v>19873</v>
      </c>
      <c r="AA1404" t="s">
        <v>19874</v>
      </c>
      <c r="AB1404" t="s">
        <v>19875</v>
      </c>
      <c r="AC1404" t="s">
        <v>74</v>
      </c>
      <c r="AD1404" t="s">
        <v>74</v>
      </c>
      <c r="AE1404" t="s">
        <v>74</v>
      </c>
      <c r="AF1404" t="s">
        <v>74</v>
      </c>
      <c r="AG1404">
        <v>112</v>
      </c>
      <c r="AH1404">
        <v>6</v>
      </c>
      <c r="AI1404">
        <v>7</v>
      </c>
      <c r="AJ1404">
        <v>3</v>
      </c>
      <c r="AK1404">
        <v>8</v>
      </c>
      <c r="AL1404" t="s">
        <v>74</v>
      </c>
      <c r="AM1404" t="s">
        <v>74</v>
      </c>
      <c r="AN1404" t="s">
        <v>74</v>
      </c>
      <c r="AO1404" t="s">
        <v>19876</v>
      </c>
      <c r="AP1404" t="s">
        <v>19877</v>
      </c>
      <c r="AQ1404" t="s">
        <v>74</v>
      </c>
      <c r="AR1404" t="s">
        <v>74</v>
      </c>
      <c r="AS1404" t="s">
        <v>74</v>
      </c>
      <c r="AT1404" t="s">
        <v>2906</v>
      </c>
      <c r="AU1404">
        <v>2021</v>
      </c>
      <c r="AV1404">
        <v>131</v>
      </c>
      <c r="AW1404">
        <v>12</v>
      </c>
      <c r="AX1404" t="s">
        <v>74</v>
      </c>
      <c r="AY1404" t="s">
        <v>74</v>
      </c>
      <c r="AZ1404" t="s">
        <v>74</v>
      </c>
      <c r="BA1404" t="s">
        <v>74</v>
      </c>
      <c r="BB1404" t="s">
        <v>74</v>
      </c>
      <c r="BC1404" t="s">
        <v>74</v>
      </c>
      <c r="BD1404" t="s">
        <v>19878</v>
      </c>
      <c r="BE1404" t="s">
        <v>19879</v>
      </c>
      <c r="BF1404" t="str">
        <f>HYPERLINK("http://dx.doi.org/10.1172/JCI140723","http://dx.doi.org/10.1172/JCI140723")</f>
        <v>http://dx.doi.org/10.1172/JCI140723</v>
      </c>
      <c r="BG1404" t="s">
        <v>74</v>
      </c>
      <c r="BH1404" t="s">
        <v>74</v>
      </c>
      <c r="BI1404" t="s">
        <v>74</v>
      </c>
      <c r="BJ1404" t="s">
        <v>795</v>
      </c>
      <c r="BK1404" t="s">
        <v>117</v>
      </c>
      <c r="BL1404" t="s">
        <v>796</v>
      </c>
      <c r="BM1404" t="s">
        <v>74</v>
      </c>
      <c r="BN1404">
        <v>33945510</v>
      </c>
      <c r="BO1404" t="s">
        <v>74</v>
      </c>
      <c r="BP1404" t="s">
        <v>74</v>
      </c>
      <c r="BQ1404" t="s">
        <v>74</v>
      </c>
      <c r="BR1404" t="s">
        <v>96</v>
      </c>
      <c r="BS1404" t="s">
        <v>19880</v>
      </c>
      <c r="BT1404" t="str">
        <f>HYPERLINK("https%3A%2F%2Fwww.webofscience.com%2Fwos%2Fwoscc%2Ffull-record%2FWOS:000661970000002","View Full Record in Web of Science")</f>
        <v>View Full Record in Web of Science</v>
      </c>
    </row>
    <row r="1405" spans="1:72" x14ac:dyDescent="0.15">
      <c r="A1405" t="s">
        <v>98</v>
      </c>
      <c r="B1405" t="s">
        <v>19942</v>
      </c>
      <c r="C1405" t="s">
        <v>74</v>
      </c>
      <c r="D1405" t="s">
        <v>74</v>
      </c>
      <c r="E1405" t="s">
        <v>74</v>
      </c>
      <c r="F1405" t="s">
        <v>19943</v>
      </c>
      <c r="G1405" t="s">
        <v>74</v>
      </c>
      <c r="H1405" t="s">
        <v>74</v>
      </c>
      <c r="I1405" t="s">
        <v>19944</v>
      </c>
      <c r="J1405" t="s">
        <v>817</v>
      </c>
      <c r="K1405" t="s">
        <v>74</v>
      </c>
      <c r="L1405" t="s">
        <v>74</v>
      </c>
      <c r="M1405" t="s">
        <v>74</v>
      </c>
      <c r="N1405" t="s">
        <v>103</v>
      </c>
      <c r="O1405" t="s">
        <v>74</v>
      </c>
      <c r="P1405" t="s">
        <v>74</v>
      </c>
      <c r="Q1405" t="s">
        <v>74</v>
      </c>
      <c r="R1405" t="s">
        <v>74</v>
      </c>
      <c r="S1405" t="s">
        <v>74</v>
      </c>
      <c r="T1405" t="s">
        <v>19945</v>
      </c>
      <c r="U1405" t="s">
        <v>74</v>
      </c>
      <c r="V1405" t="s">
        <v>19946</v>
      </c>
      <c r="W1405" t="s">
        <v>19947</v>
      </c>
      <c r="X1405" t="s">
        <v>19948</v>
      </c>
      <c r="Y1405" t="s">
        <v>19949</v>
      </c>
      <c r="Z1405" t="s">
        <v>19950</v>
      </c>
      <c r="AA1405" t="s">
        <v>19951</v>
      </c>
      <c r="AB1405" t="s">
        <v>19952</v>
      </c>
      <c r="AC1405" t="s">
        <v>74</v>
      </c>
      <c r="AD1405" t="s">
        <v>74</v>
      </c>
      <c r="AE1405" t="s">
        <v>74</v>
      </c>
      <c r="AF1405" t="s">
        <v>74</v>
      </c>
      <c r="AG1405">
        <v>18</v>
      </c>
      <c r="AH1405">
        <v>6</v>
      </c>
      <c r="AI1405">
        <v>6</v>
      </c>
      <c r="AJ1405">
        <v>1</v>
      </c>
      <c r="AK1405">
        <v>1</v>
      </c>
      <c r="AL1405" t="s">
        <v>74</v>
      </c>
      <c r="AM1405" t="s">
        <v>74</v>
      </c>
      <c r="AN1405" t="s">
        <v>74</v>
      </c>
      <c r="AO1405" t="s">
        <v>74</v>
      </c>
      <c r="AP1405" t="s">
        <v>827</v>
      </c>
      <c r="AQ1405" t="s">
        <v>74</v>
      </c>
      <c r="AR1405" t="s">
        <v>74</v>
      </c>
      <c r="AS1405" t="s">
        <v>74</v>
      </c>
      <c r="AT1405" t="s">
        <v>132</v>
      </c>
      <c r="AU1405">
        <v>2021</v>
      </c>
      <c r="AV1405">
        <v>22</v>
      </c>
      <c r="AW1405">
        <v>7</v>
      </c>
      <c r="AX1405" t="s">
        <v>74</v>
      </c>
      <c r="AY1405" t="s">
        <v>74</v>
      </c>
      <c r="AZ1405" t="s">
        <v>74</v>
      </c>
      <c r="BA1405" t="s">
        <v>74</v>
      </c>
      <c r="BB1405" t="s">
        <v>74</v>
      </c>
      <c r="BC1405" t="s">
        <v>74</v>
      </c>
      <c r="BD1405">
        <v>3558</v>
      </c>
      <c r="BE1405" t="s">
        <v>19953</v>
      </c>
      <c r="BF1405" t="str">
        <f>HYPERLINK("http://dx.doi.org/10.3390/ijms22073558","http://dx.doi.org/10.3390/ijms22073558")</f>
        <v>http://dx.doi.org/10.3390/ijms22073558</v>
      </c>
      <c r="BG1405" t="s">
        <v>74</v>
      </c>
      <c r="BH1405" t="s">
        <v>74</v>
      </c>
      <c r="BI1405" t="s">
        <v>74</v>
      </c>
      <c r="BJ1405" t="s">
        <v>830</v>
      </c>
      <c r="BK1405" t="s">
        <v>117</v>
      </c>
      <c r="BL1405" t="s">
        <v>831</v>
      </c>
      <c r="BM1405" t="s">
        <v>74</v>
      </c>
      <c r="BN1405">
        <v>33808110</v>
      </c>
      <c r="BO1405" t="s">
        <v>74</v>
      </c>
      <c r="BP1405" t="s">
        <v>74</v>
      </c>
      <c r="BQ1405" t="s">
        <v>74</v>
      </c>
      <c r="BR1405" t="s">
        <v>96</v>
      </c>
      <c r="BS1405" t="s">
        <v>19954</v>
      </c>
      <c r="BT1405" t="str">
        <f>HYPERLINK("https%3A%2F%2Fwww.webofscience.com%2Fwos%2Fwoscc%2Ffull-record%2FWOS:000638676900001","View Full Record in Web of Science")</f>
        <v>View Full Record in Web of Science</v>
      </c>
    </row>
    <row r="1406" spans="1:72" x14ac:dyDescent="0.15">
      <c r="A1406" t="s">
        <v>98</v>
      </c>
      <c r="B1406" t="s">
        <v>20543</v>
      </c>
      <c r="C1406" t="s">
        <v>74</v>
      </c>
      <c r="D1406" t="s">
        <v>74</v>
      </c>
      <c r="E1406" t="s">
        <v>74</v>
      </c>
      <c r="F1406" t="s">
        <v>20543</v>
      </c>
      <c r="G1406" t="s">
        <v>74</v>
      </c>
      <c r="H1406" t="s">
        <v>74</v>
      </c>
      <c r="I1406" t="s">
        <v>20544</v>
      </c>
      <c r="J1406" t="s">
        <v>20545</v>
      </c>
      <c r="K1406" t="s">
        <v>74</v>
      </c>
      <c r="L1406" t="s">
        <v>74</v>
      </c>
      <c r="M1406" t="s">
        <v>74</v>
      </c>
      <c r="N1406" t="s">
        <v>980</v>
      </c>
      <c r="O1406" t="s">
        <v>20546</v>
      </c>
      <c r="P1406" t="s">
        <v>20547</v>
      </c>
      <c r="Q1406" t="s">
        <v>20548</v>
      </c>
      <c r="R1406" t="s">
        <v>74</v>
      </c>
      <c r="S1406" t="s">
        <v>74</v>
      </c>
      <c r="T1406" t="s">
        <v>20549</v>
      </c>
      <c r="U1406" t="s">
        <v>20550</v>
      </c>
      <c r="V1406" t="s">
        <v>20551</v>
      </c>
      <c r="W1406" t="s">
        <v>20552</v>
      </c>
      <c r="X1406" t="s">
        <v>20553</v>
      </c>
      <c r="Y1406" t="s">
        <v>20554</v>
      </c>
      <c r="Z1406" t="s">
        <v>74</v>
      </c>
      <c r="AA1406" t="s">
        <v>20555</v>
      </c>
      <c r="AB1406" t="s">
        <v>74</v>
      </c>
      <c r="AC1406" t="s">
        <v>74</v>
      </c>
      <c r="AD1406" t="s">
        <v>74</v>
      </c>
      <c r="AE1406" t="s">
        <v>74</v>
      </c>
      <c r="AF1406" t="s">
        <v>74</v>
      </c>
      <c r="AG1406">
        <v>48</v>
      </c>
      <c r="AH1406">
        <v>6</v>
      </c>
      <c r="AI1406">
        <v>6</v>
      </c>
      <c r="AJ1406">
        <v>0</v>
      </c>
      <c r="AK1406">
        <v>1</v>
      </c>
      <c r="AL1406" t="s">
        <v>74</v>
      </c>
      <c r="AM1406" t="s">
        <v>74</v>
      </c>
      <c r="AN1406" t="s">
        <v>74</v>
      </c>
      <c r="AO1406" t="s">
        <v>20556</v>
      </c>
      <c r="AP1406" t="s">
        <v>20557</v>
      </c>
      <c r="AQ1406" t="s">
        <v>74</v>
      </c>
      <c r="AR1406" t="s">
        <v>74</v>
      </c>
      <c r="AS1406" t="s">
        <v>74</v>
      </c>
      <c r="AT1406" t="s">
        <v>74</v>
      </c>
      <c r="AU1406">
        <v>1997</v>
      </c>
      <c r="AV1406">
        <v>15</v>
      </c>
      <c r="AW1406" t="s">
        <v>74</v>
      </c>
      <c r="AX1406" t="s">
        <v>74</v>
      </c>
      <c r="AY1406">
        <v>1</v>
      </c>
      <c r="AZ1406" t="s">
        <v>74</v>
      </c>
      <c r="BA1406" t="s">
        <v>74</v>
      </c>
      <c r="BB1406">
        <v>49</v>
      </c>
      <c r="BC1406">
        <v>57</v>
      </c>
      <c r="BD1406" t="s">
        <v>74</v>
      </c>
      <c r="BE1406" t="s">
        <v>74</v>
      </c>
      <c r="BF1406" t="s">
        <v>74</v>
      </c>
      <c r="BG1406" t="s">
        <v>74</v>
      </c>
      <c r="BH1406" t="s">
        <v>74</v>
      </c>
      <c r="BI1406" t="s">
        <v>74</v>
      </c>
      <c r="BJ1406" t="s">
        <v>20558</v>
      </c>
      <c r="BK1406" t="s">
        <v>997</v>
      </c>
      <c r="BL1406" t="s">
        <v>20559</v>
      </c>
      <c r="BM1406" t="s">
        <v>74</v>
      </c>
      <c r="BN1406">
        <v>9368286</v>
      </c>
      <c r="BO1406" t="s">
        <v>74</v>
      </c>
      <c r="BP1406" t="s">
        <v>74</v>
      </c>
      <c r="BQ1406" t="s">
        <v>74</v>
      </c>
      <c r="BR1406" t="s">
        <v>96</v>
      </c>
      <c r="BS1406" t="s">
        <v>20560</v>
      </c>
      <c r="BT1406" t="str">
        <f>HYPERLINK("https%3A%2F%2Fwww.webofscience.com%2Fwos%2Fwoscc%2Ffull-record%2FWOS:A1997YF08200008","View Full Record in Web of Science")</f>
        <v>View Full Record in Web of Science</v>
      </c>
    </row>
    <row r="1407" spans="1:72" x14ac:dyDescent="0.15">
      <c r="A1407" t="s">
        <v>98</v>
      </c>
      <c r="B1407" t="s">
        <v>20667</v>
      </c>
      <c r="C1407" t="s">
        <v>74</v>
      </c>
      <c r="D1407" t="s">
        <v>74</v>
      </c>
      <c r="E1407" t="s">
        <v>74</v>
      </c>
      <c r="F1407" t="s">
        <v>20668</v>
      </c>
      <c r="G1407" t="s">
        <v>74</v>
      </c>
      <c r="H1407" t="s">
        <v>74</v>
      </c>
      <c r="I1407" t="s">
        <v>20669</v>
      </c>
      <c r="J1407" t="s">
        <v>20670</v>
      </c>
      <c r="K1407" t="s">
        <v>74</v>
      </c>
      <c r="L1407" t="s">
        <v>74</v>
      </c>
      <c r="M1407" t="s">
        <v>74</v>
      </c>
      <c r="N1407" t="s">
        <v>103</v>
      </c>
      <c r="O1407" t="s">
        <v>74</v>
      </c>
      <c r="P1407" t="s">
        <v>74</v>
      </c>
      <c r="Q1407" t="s">
        <v>74</v>
      </c>
      <c r="R1407" t="s">
        <v>74</v>
      </c>
      <c r="S1407" t="s">
        <v>74</v>
      </c>
      <c r="T1407" t="s">
        <v>20671</v>
      </c>
      <c r="U1407" t="s">
        <v>20672</v>
      </c>
      <c r="V1407" t="s">
        <v>20673</v>
      </c>
      <c r="W1407" t="s">
        <v>20674</v>
      </c>
      <c r="X1407" t="s">
        <v>20675</v>
      </c>
      <c r="Y1407" t="s">
        <v>4919</v>
      </c>
      <c r="Z1407" t="s">
        <v>4920</v>
      </c>
      <c r="AA1407" t="s">
        <v>74</v>
      </c>
      <c r="AB1407" t="s">
        <v>11863</v>
      </c>
      <c r="AC1407" t="s">
        <v>74</v>
      </c>
      <c r="AD1407" t="s">
        <v>74</v>
      </c>
      <c r="AE1407" t="s">
        <v>74</v>
      </c>
      <c r="AF1407" t="s">
        <v>74</v>
      </c>
      <c r="AG1407">
        <v>42</v>
      </c>
      <c r="AH1407">
        <v>6</v>
      </c>
      <c r="AI1407">
        <v>6</v>
      </c>
      <c r="AJ1407">
        <v>2</v>
      </c>
      <c r="AK1407">
        <v>5</v>
      </c>
      <c r="AL1407" t="s">
        <v>74</v>
      </c>
      <c r="AM1407" t="s">
        <v>74</v>
      </c>
      <c r="AN1407" t="s">
        <v>74</v>
      </c>
      <c r="AO1407" t="s">
        <v>20676</v>
      </c>
      <c r="AP1407" t="s">
        <v>74</v>
      </c>
      <c r="AQ1407" t="s">
        <v>74</v>
      </c>
      <c r="AR1407" t="s">
        <v>74</v>
      </c>
      <c r="AS1407" t="s">
        <v>74</v>
      </c>
      <c r="AT1407" t="s">
        <v>14449</v>
      </c>
      <c r="AU1407">
        <v>2020</v>
      </c>
      <c r="AV1407">
        <v>11</v>
      </c>
      <c r="AW1407" t="s">
        <v>74</v>
      </c>
      <c r="AX1407" t="s">
        <v>74</v>
      </c>
      <c r="AY1407" t="s">
        <v>74</v>
      </c>
      <c r="AZ1407" t="s">
        <v>74</v>
      </c>
      <c r="BA1407" t="s">
        <v>74</v>
      </c>
      <c r="BB1407" t="s">
        <v>74</v>
      </c>
      <c r="BC1407" t="s">
        <v>74</v>
      </c>
      <c r="BD1407">
        <v>685</v>
      </c>
      <c r="BE1407" t="s">
        <v>20677</v>
      </c>
      <c r="BF1407" t="str">
        <f>HYPERLINK("http://dx.doi.org/10.3389/fneur.2020.00685","http://dx.doi.org/10.3389/fneur.2020.00685")</f>
        <v>http://dx.doi.org/10.3389/fneur.2020.00685</v>
      </c>
      <c r="BG1407" t="s">
        <v>74</v>
      </c>
      <c r="BH1407" t="s">
        <v>74</v>
      </c>
      <c r="BI1407" t="s">
        <v>74</v>
      </c>
      <c r="BJ1407" t="s">
        <v>2639</v>
      </c>
      <c r="BK1407" t="s">
        <v>117</v>
      </c>
      <c r="BL1407" t="s">
        <v>653</v>
      </c>
      <c r="BM1407" t="s">
        <v>74</v>
      </c>
      <c r="BN1407">
        <v>32760343</v>
      </c>
      <c r="BO1407" t="s">
        <v>74</v>
      </c>
      <c r="BP1407" t="s">
        <v>74</v>
      </c>
      <c r="BQ1407" t="s">
        <v>74</v>
      </c>
      <c r="BR1407" t="s">
        <v>96</v>
      </c>
      <c r="BS1407" t="s">
        <v>20678</v>
      </c>
      <c r="BT1407" t="str">
        <f>HYPERLINK("https%3A%2F%2Fwww.webofscience.com%2Fwos%2Fwoscc%2Ffull-record%2FWOS:000556308500001","View Full Record in Web of Science")</f>
        <v>View Full Record in Web of Science</v>
      </c>
    </row>
    <row r="1408" spans="1:72" x14ac:dyDescent="0.15">
      <c r="A1408" t="s">
        <v>98</v>
      </c>
      <c r="B1408" t="s">
        <v>22141</v>
      </c>
      <c r="C1408" t="s">
        <v>74</v>
      </c>
      <c r="D1408" t="s">
        <v>74</v>
      </c>
      <c r="E1408" t="s">
        <v>74</v>
      </c>
      <c r="F1408" t="s">
        <v>22142</v>
      </c>
      <c r="G1408" t="s">
        <v>74</v>
      </c>
      <c r="H1408" t="s">
        <v>74</v>
      </c>
      <c r="I1408" t="s">
        <v>22143</v>
      </c>
      <c r="J1408" t="s">
        <v>22144</v>
      </c>
      <c r="K1408" t="s">
        <v>74</v>
      </c>
      <c r="L1408" t="s">
        <v>74</v>
      </c>
      <c r="M1408" t="s">
        <v>74</v>
      </c>
      <c r="N1408" t="s">
        <v>103</v>
      </c>
      <c r="O1408" t="s">
        <v>74</v>
      </c>
      <c r="P1408" t="s">
        <v>74</v>
      </c>
      <c r="Q1408" t="s">
        <v>74</v>
      </c>
      <c r="R1408" t="s">
        <v>74</v>
      </c>
      <c r="S1408" t="s">
        <v>74</v>
      </c>
      <c r="T1408" t="s">
        <v>22145</v>
      </c>
      <c r="U1408" t="s">
        <v>22146</v>
      </c>
      <c r="V1408" t="s">
        <v>22147</v>
      </c>
      <c r="W1408" t="s">
        <v>22148</v>
      </c>
      <c r="X1408" t="s">
        <v>22149</v>
      </c>
      <c r="Y1408" t="s">
        <v>22150</v>
      </c>
      <c r="Z1408" t="s">
        <v>22151</v>
      </c>
      <c r="AA1408" t="s">
        <v>22152</v>
      </c>
      <c r="AB1408" t="s">
        <v>22153</v>
      </c>
      <c r="AC1408" t="s">
        <v>74</v>
      </c>
      <c r="AD1408" t="s">
        <v>74</v>
      </c>
      <c r="AE1408" t="s">
        <v>74</v>
      </c>
      <c r="AF1408" t="s">
        <v>74</v>
      </c>
      <c r="AG1408">
        <v>23</v>
      </c>
      <c r="AH1408">
        <v>6</v>
      </c>
      <c r="AI1408">
        <v>6</v>
      </c>
      <c r="AJ1408">
        <v>0</v>
      </c>
      <c r="AK1408">
        <v>0</v>
      </c>
      <c r="AL1408" t="s">
        <v>74</v>
      </c>
      <c r="AM1408" t="s">
        <v>74</v>
      </c>
      <c r="AN1408" t="s">
        <v>74</v>
      </c>
      <c r="AO1408" t="s">
        <v>74</v>
      </c>
      <c r="AP1408" t="s">
        <v>22154</v>
      </c>
      <c r="AQ1408" t="s">
        <v>74</v>
      </c>
      <c r="AR1408" t="s">
        <v>74</v>
      </c>
      <c r="AS1408" t="s">
        <v>74</v>
      </c>
      <c r="AT1408" t="s">
        <v>565</v>
      </c>
      <c r="AU1408">
        <v>2021</v>
      </c>
      <c r="AV1408">
        <v>5</v>
      </c>
      <c r="AW1408">
        <v>3</v>
      </c>
      <c r="AX1408" t="s">
        <v>74</v>
      </c>
      <c r="AY1408" t="s">
        <v>74</v>
      </c>
      <c r="AZ1408" t="s">
        <v>74</v>
      </c>
      <c r="BA1408" t="s">
        <v>74</v>
      </c>
      <c r="BB1408" t="s">
        <v>74</v>
      </c>
      <c r="BC1408" t="s">
        <v>74</v>
      </c>
      <c r="BD1408" t="s">
        <v>22155</v>
      </c>
      <c r="BE1408" t="s">
        <v>22156</v>
      </c>
      <c r="BF1408" t="str">
        <f>HYPERLINK("http://dx.doi.org/10.1002/jbm4.10451","http://dx.doi.org/10.1002/jbm4.10451")</f>
        <v>http://dx.doi.org/10.1002/jbm4.10451</v>
      </c>
      <c r="BG1408" t="s">
        <v>74</v>
      </c>
      <c r="BH1408" t="s">
        <v>74</v>
      </c>
      <c r="BI1408" t="s">
        <v>74</v>
      </c>
      <c r="BJ1408" t="s">
        <v>3599</v>
      </c>
      <c r="BK1408" t="s">
        <v>467</v>
      </c>
      <c r="BL1408" t="s">
        <v>3599</v>
      </c>
      <c r="BM1408" t="s">
        <v>74</v>
      </c>
      <c r="BN1408">
        <v>33778321</v>
      </c>
      <c r="BO1408" t="s">
        <v>74</v>
      </c>
      <c r="BP1408" t="s">
        <v>74</v>
      </c>
      <c r="BQ1408" t="s">
        <v>74</v>
      </c>
      <c r="BR1408" t="s">
        <v>96</v>
      </c>
      <c r="BS1408" t="s">
        <v>22157</v>
      </c>
      <c r="BT1408" t="str">
        <f>HYPERLINK("https%3A%2F%2Fwww.webofscience.com%2Fwos%2Fwoscc%2Ffull-record%2FWOS:000705308700011","View Full Record in Web of Science")</f>
        <v>View Full Record in Web of Science</v>
      </c>
    </row>
    <row r="1409" spans="1:72" x14ac:dyDescent="0.15">
      <c r="A1409" t="s">
        <v>98</v>
      </c>
      <c r="B1409" t="s">
        <v>22618</v>
      </c>
      <c r="C1409" t="s">
        <v>74</v>
      </c>
      <c r="D1409" t="s">
        <v>74</v>
      </c>
      <c r="E1409" t="s">
        <v>74</v>
      </c>
      <c r="F1409" t="s">
        <v>22619</v>
      </c>
      <c r="G1409" t="s">
        <v>74</v>
      </c>
      <c r="H1409" t="s">
        <v>74</v>
      </c>
      <c r="I1409" t="s">
        <v>22620</v>
      </c>
      <c r="J1409" t="s">
        <v>1073</v>
      </c>
      <c r="K1409" t="s">
        <v>74</v>
      </c>
      <c r="L1409" t="s">
        <v>74</v>
      </c>
      <c r="M1409" t="s">
        <v>74</v>
      </c>
      <c r="N1409" t="s">
        <v>103</v>
      </c>
      <c r="O1409" t="s">
        <v>74</v>
      </c>
      <c r="P1409" t="s">
        <v>74</v>
      </c>
      <c r="Q1409" t="s">
        <v>74</v>
      </c>
      <c r="R1409" t="s">
        <v>74</v>
      </c>
      <c r="S1409" t="s">
        <v>74</v>
      </c>
      <c r="T1409" t="s">
        <v>74</v>
      </c>
      <c r="U1409" t="s">
        <v>22621</v>
      </c>
      <c r="V1409" t="s">
        <v>22622</v>
      </c>
      <c r="W1409" t="s">
        <v>22623</v>
      </c>
      <c r="X1409" t="s">
        <v>74</v>
      </c>
      <c r="Y1409" t="s">
        <v>22624</v>
      </c>
      <c r="Z1409" t="s">
        <v>22625</v>
      </c>
      <c r="AA1409" t="s">
        <v>74</v>
      </c>
      <c r="AB1409" t="s">
        <v>74</v>
      </c>
      <c r="AC1409" t="s">
        <v>74</v>
      </c>
      <c r="AD1409" t="s">
        <v>74</v>
      </c>
      <c r="AE1409" t="s">
        <v>74</v>
      </c>
      <c r="AF1409" t="s">
        <v>74</v>
      </c>
      <c r="AG1409">
        <v>51</v>
      </c>
      <c r="AH1409">
        <v>6</v>
      </c>
      <c r="AI1409">
        <v>7</v>
      </c>
      <c r="AJ1409">
        <v>0</v>
      </c>
      <c r="AK1409">
        <v>6</v>
      </c>
      <c r="AL1409" t="s">
        <v>74</v>
      </c>
      <c r="AM1409" t="s">
        <v>74</v>
      </c>
      <c r="AN1409" t="s">
        <v>74</v>
      </c>
      <c r="AO1409" t="s">
        <v>1082</v>
      </c>
      <c r="AP1409" t="s">
        <v>74</v>
      </c>
      <c r="AQ1409" t="s">
        <v>74</v>
      </c>
      <c r="AR1409" t="s">
        <v>74</v>
      </c>
      <c r="AS1409" t="s">
        <v>74</v>
      </c>
      <c r="AT1409" t="s">
        <v>3844</v>
      </c>
      <c r="AU1409">
        <v>2017</v>
      </c>
      <c r="AV1409">
        <v>12</v>
      </c>
      <c r="AW1409">
        <v>4</v>
      </c>
      <c r="AX1409" t="s">
        <v>74</v>
      </c>
      <c r="AY1409" t="s">
        <v>74</v>
      </c>
      <c r="AZ1409" t="s">
        <v>74</v>
      </c>
      <c r="BA1409" t="s">
        <v>74</v>
      </c>
      <c r="BB1409" t="s">
        <v>74</v>
      </c>
      <c r="BC1409" t="s">
        <v>74</v>
      </c>
      <c r="BD1409" t="s">
        <v>22626</v>
      </c>
      <c r="BE1409" t="s">
        <v>22627</v>
      </c>
      <c r="BF1409" t="str">
        <f>HYPERLINK("http://dx.doi.org/10.1371/journal.pone.0175633","http://dx.doi.org/10.1371/journal.pone.0175633")</f>
        <v>http://dx.doi.org/10.1371/journal.pone.0175633</v>
      </c>
      <c r="BG1409" t="s">
        <v>74</v>
      </c>
      <c r="BH1409" t="s">
        <v>74</v>
      </c>
      <c r="BI1409" t="s">
        <v>74</v>
      </c>
      <c r="BJ1409" t="s">
        <v>152</v>
      </c>
      <c r="BK1409" t="s">
        <v>117</v>
      </c>
      <c r="BL1409" t="s">
        <v>153</v>
      </c>
      <c r="BM1409" t="s">
        <v>74</v>
      </c>
      <c r="BN1409">
        <v>28423032</v>
      </c>
      <c r="BO1409" t="s">
        <v>74</v>
      </c>
      <c r="BP1409" t="s">
        <v>74</v>
      </c>
      <c r="BQ1409" t="s">
        <v>74</v>
      </c>
      <c r="BR1409" t="s">
        <v>96</v>
      </c>
      <c r="BS1409" t="s">
        <v>22628</v>
      </c>
      <c r="BT1409" t="str">
        <f>HYPERLINK("https%3A%2F%2Fwww.webofscience.com%2Fwos%2Fwoscc%2Ffull-record%2FWOS:000399875600038","View Full Record in Web of Science")</f>
        <v>View Full Record in Web of Science</v>
      </c>
    </row>
    <row r="1410" spans="1:72" x14ac:dyDescent="0.15">
      <c r="A1410" t="s">
        <v>98</v>
      </c>
      <c r="B1410" t="s">
        <v>23226</v>
      </c>
      <c r="C1410" t="s">
        <v>74</v>
      </c>
      <c r="D1410" t="s">
        <v>74</v>
      </c>
      <c r="E1410" t="s">
        <v>74</v>
      </c>
      <c r="F1410" t="s">
        <v>23227</v>
      </c>
      <c r="G1410" t="s">
        <v>74</v>
      </c>
      <c r="H1410" t="s">
        <v>74</v>
      </c>
      <c r="I1410" t="s">
        <v>23228</v>
      </c>
      <c r="J1410" t="s">
        <v>7316</v>
      </c>
      <c r="K1410" t="s">
        <v>74</v>
      </c>
      <c r="L1410" t="s">
        <v>74</v>
      </c>
      <c r="M1410" t="s">
        <v>74</v>
      </c>
      <c r="N1410" t="s">
        <v>103</v>
      </c>
      <c r="O1410" t="s">
        <v>74</v>
      </c>
      <c r="P1410" t="s">
        <v>74</v>
      </c>
      <c r="Q1410" t="s">
        <v>74</v>
      </c>
      <c r="R1410" t="s">
        <v>74</v>
      </c>
      <c r="S1410" t="s">
        <v>74</v>
      </c>
      <c r="T1410" t="s">
        <v>74</v>
      </c>
      <c r="U1410" t="s">
        <v>23229</v>
      </c>
      <c r="V1410" t="s">
        <v>23230</v>
      </c>
      <c r="W1410" t="s">
        <v>23231</v>
      </c>
      <c r="X1410" t="s">
        <v>23232</v>
      </c>
      <c r="Y1410" t="s">
        <v>23233</v>
      </c>
      <c r="Z1410" t="s">
        <v>23234</v>
      </c>
      <c r="AA1410" t="s">
        <v>74</v>
      </c>
      <c r="AB1410" t="s">
        <v>20841</v>
      </c>
      <c r="AC1410" t="s">
        <v>74</v>
      </c>
      <c r="AD1410" t="s">
        <v>74</v>
      </c>
      <c r="AE1410" t="s">
        <v>74</v>
      </c>
      <c r="AF1410" t="s">
        <v>74</v>
      </c>
      <c r="AG1410">
        <v>52</v>
      </c>
      <c r="AH1410">
        <v>6</v>
      </c>
      <c r="AI1410">
        <v>6</v>
      </c>
      <c r="AJ1410">
        <v>7</v>
      </c>
      <c r="AK1410">
        <v>33</v>
      </c>
      <c r="AL1410" t="s">
        <v>74</v>
      </c>
      <c r="AM1410" t="s">
        <v>74</v>
      </c>
      <c r="AN1410" t="s">
        <v>74</v>
      </c>
      <c r="AO1410" t="s">
        <v>7324</v>
      </c>
      <c r="AP1410" t="s">
        <v>7325</v>
      </c>
      <c r="AQ1410" t="s">
        <v>74</v>
      </c>
      <c r="AR1410" t="s">
        <v>74</v>
      </c>
      <c r="AS1410" t="s">
        <v>74</v>
      </c>
      <c r="AT1410" t="s">
        <v>14894</v>
      </c>
      <c r="AU1410">
        <v>2021</v>
      </c>
      <c r="AV1410">
        <v>146</v>
      </c>
      <c r="AW1410">
        <v>7</v>
      </c>
      <c r="AX1410" t="s">
        <v>74</v>
      </c>
      <c r="AY1410" t="s">
        <v>74</v>
      </c>
      <c r="AZ1410" t="s">
        <v>74</v>
      </c>
      <c r="BA1410" t="s">
        <v>74</v>
      </c>
      <c r="BB1410">
        <v>2264</v>
      </c>
      <c r="BC1410">
        <v>2276</v>
      </c>
      <c r="BD1410" t="s">
        <v>74</v>
      </c>
      <c r="BE1410" t="s">
        <v>23235</v>
      </c>
      <c r="BF1410" t="str">
        <f>HYPERLINK("http://dx.doi.org/10.1039/d0an02224a","http://dx.doi.org/10.1039/d0an02224a")</f>
        <v>http://dx.doi.org/10.1039/d0an02224a</v>
      </c>
      <c r="BG1410" t="s">
        <v>74</v>
      </c>
      <c r="BH1410" t="s">
        <v>74</v>
      </c>
      <c r="BI1410" t="s">
        <v>74</v>
      </c>
      <c r="BJ1410" t="s">
        <v>1118</v>
      </c>
      <c r="BK1410" t="s">
        <v>117</v>
      </c>
      <c r="BL1410" t="s">
        <v>1048</v>
      </c>
      <c r="BM1410" t="s">
        <v>74</v>
      </c>
      <c r="BN1410">
        <v>33599630</v>
      </c>
      <c r="BO1410" t="s">
        <v>74</v>
      </c>
      <c r="BP1410" t="s">
        <v>74</v>
      </c>
      <c r="BQ1410" t="s">
        <v>74</v>
      </c>
      <c r="BR1410" t="s">
        <v>96</v>
      </c>
      <c r="BS1410" t="s">
        <v>23236</v>
      </c>
      <c r="BT1410" t="str">
        <f>HYPERLINK("https%3A%2F%2Fwww.webofscience.com%2Fwos%2Fwoscc%2Ffull-record%2FWOS:000637210700017","View Full Record in Web of Science")</f>
        <v>View Full Record in Web of Science</v>
      </c>
    </row>
    <row r="1411" spans="1:72" x14ac:dyDescent="0.15">
      <c r="A1411" t="s">
        <v>98</v>
      </c>
      <c r="B1411" t="s">
        <v>23499</v>
      </c>
      <c r="C1411" t="s">
        <v>74</v>
      </c>
      <c r="D1411" t="s">
        <v>74</v>
      </c>
      <c r="E1411" t="s">
        <v>74</v>
      </c>
      <c r="F1411" t="s">
        <v>23500</v>
      </c>
      <c r="G1411" t="s">
        <v>74</v>
      </c>
      <c r="H1411" t="s">
        <v>74</v>
      </c>
      <c r="I1411" t="s">
        <v>23501</v>
      </c>
      <c r="J1411" t="s">
        <v>2390</v>
      </c>
      <c r="K1411" t="s">
        <v>74</v>
      </c>
      <c r="L1411" t="s">
        <v>74</v>
      </c>
      <c r="M1411" t="s">
        <v>74</v>
      </c>
      <c r="N1411" t="s">
        <v>103</v>
      </c>
      <c r="O1411" t="s">
        <v>74</v>
      </c>
      <c r="P1411" t="s">
        <v>74</v>
      </c>
      <c r="Q1411" t="s">
        <v>74</v>
      </c>
      <c r="R1411" t="s">
        <v>74</v>
      </c>
      <c r="S1411" t="s">
        <v>74</v>
      </c>
      <c r="T1411" t="s">
        <v>23502</v>
      </c>
      <c r="U1411" t="s">
        <v>23503</v>
      </c>
      <c r="V1411" t="s">
        <v>23504</v>
      </c>
      <c r="W1411" t="s">
        <v>23505</v>
      </c>
      <c r="X1411" t="s">
        <v>23506</v>
      </c>
      <c r="Y1411" t="s">
        <v>23507</v>
      </c>
      <c r="Z1411" t="s">
        <v>23508</v>
      </c>
      <c r="AA1411" t="s">
        <v>74</v>
      </c>
      <c r="AB1411" t="s">
        <v>23509</v>
      </c>
      <c r="AC1411" t="s">
        <v>74</v>
      </c>
      <c r="AD1411" t="s">
        <v>74</v>
      </c>
      <c r="AE1411" t="s">
        <v>74</v>
      </c>
      <c r="AF1411" t="s">
        <v>74</v>
      </c>
      <c r="AG1411">
        <v>73</v>
      </c>
      <c r="AH1411">
        <v>6</v>
      </c>
      <c r="AI1411">
        <v>6</v>
      </c>
      <c r="AJ1411">
        <v>1</v>
      </c>
      <c r="AK1411">
        <v>14</v>
      </c>
      <c r="AL1411" t="s">
        <v>74</v>
      </c>
      <c r="AM1411" t="s">
        <v>74</v>
      </c>
      <c r="AN1411" t="s">
        <v>74</v>
      </c>
      <c r="AO1411" t="s">
        <v>2400</v>
      </c>
      <c r="AP1411" t="s">
        <v>2401</v>
      </c>
      <c r="AQ1411" t="s">
        <v>74</v>
      </c>
      <c r="AR1411" t="s">
        <v>74</v>
      </c>
      <c r="AS1411" t="s">
        <v>74</v>
      </c>
      <c r="AT1411" t="s">
        <v>15375</v>
      </c>
      <c r="AU1411">
        <v>2020</v>
      </c>
      <c r="AV1411">
        <v>126</v>
      </c>
      <c r="AW1411">
        <v>10</v>
      </c>
      <c r="AX1411" t="s">
        <v>74</v>
      </c>
      <c r="AY1411" t="s">
        <v>74</v>
      </c>
      <c r="AZ1411" t="s">
        <v>74</v>
      </c>
      <c r="BA1411" t="s">
        <v>74</v>
      </c>
      <c r="BB1411">
        <v>1363</v>
      </c>
      <c r="BC1411">
        <v>1378</v>
      </c>
      <c r="BD1411" t="s">
        <v>74</v>
      </c>
      <c r="BE1411" t="s">
        <v>23510</v>
      </c>
      <c r="BF1411" t="str">
        <f>HYPERLINK("http://dx.doi.org/10.1161/CIRCRESAHA.119.316141","http://dx.doi.org/10.1161/CIRCRESAHA.119.316141")</f>
        <v>http://dx.doi.org/10.1161/CIRCRESAHA.119.316141</v>
      </c>
      <c r="BG1411" t="s">
        <v>74</v>
      </c>
      <c r="BH1411" t="s">
        <v>74</v>
      </c>
      <c r="BI1411" t="s">
        <v>74</v>
      </c>
      <c r="BJ1411" t="s">
        <v>2404</v>
      </c>
      <c r="BK1411" t="s">
        <v>117</v>
      </c>
      <c r="BL1411" t="s">
        <v>2405</v>
      </c>
      <c r="BM1411" t="s">
        <v>74</v>
      </c>
      <c r="BN1411">
        <v>32160132</v>
      </c>
      <c r="BO1411" t="s">
        <v>74</v>
      </c>
      <c r="BP1411" t="s">
        <v>74</v>
      </c>
      <c r="BQ1411" t="s">
        <v>74</v>
      </c>
      <c r="BR1411" t="s">
        <v>96</v>
      </c>
      <c r="BS1411" t="s">
        <v>23511</v>
      </c>
      <c r="BT1411" t="str">
        <f>HYPERLINK("https%3A%2F%2Fwww.webofscience.com%2Fwos%2Fwoscc%2Ffull-record%2FWOS:000533878100014","View Full Record in Web of Science")</f>
        <v>View Full Record in Web of Science</v>
      </c>
    </row>
    <row r="1412" spans="1:72" x14ac:dyDescent="0.15">
      <c r="A1412" t="s">
        <v>98</v>
      </c>
      <c r="B1412" t="s">
        <v>24274</v>
      </c>
      <c r="C1412" t="s">
        <v>74</v>
      </c>
      <c r="D1412" t="s">
        <v>74</v>
      </c>
      <c r="E1412" t="s">
        <v>74</v>
      </c>
      <c r="F1412" t="s">
        <v>24274</v>
      </c>
      <c r="G1412" t="s">
        <v>74</v>
      </c>
      <c r="H1412" t="s">
        <v>74</v>
      </c>
      <c r="I1412" t="s">
        <v>24275</v>
      </c>
      <c r="J1412" t="s">
        <v>24276</v>
      </c>
      <c r="K1412" t="s">
        <v>74</v>
      </c>
      <c r="L1412" t="s">
        <v>74</v>
      </c>
      <c r="M1412" t="s">
        <v>74</v>
      </c>
      <c r="N1412" t="s">
        <v>103</v>
      </c>
      <c r="O1412" t="s">
        <v>74</v>
      </c>
      <c r="P1412" t="s">
        <v>74</v>
      </c>
      <c r="Q1412" t="s">
        <v>74</v>
      </c>
      <c r="R1412" t="s">
        <v>74</v>
      </c>
      <c r="S1412" t="s">
        <v>74</v>
      </c>
      <c r="T1412" t="s">
        <v>74</v>
      </c>
      <c r="U1412" t="s">
        <v>24277</v>
      </c>
      <c r="V1412" t="s">
        <v>24278</v>
      </c>
      <c r="W1412" t="s">
        <v>24279</v>
      </c>
      <c r="X1412" t="s">
        <v>24280</v>
      </c>
      <c r="Y1412" t="s">
        <v>74</v>
      </c>
      <c r="Z1412" t="s">
        <v>74</v>
      </c>
      <c r="AA1412" t="s">
        <v>74</v>
      </c>
      <c r="AB1412" t="s">
        <v>74</v>
      </c>
      <c r="AC1412" t="s">
        <v>74</v>
      </c>
      <c r="AD1412" t="s">
        <v>74</v>
      </c>
      <c r="AE1412" t="s">
        <v>74</v>
      </c>
      <c r="AF1412" t="s">
        <v>74</v>
      </c>
      <c r="AG1412">
        <v>28</v>
      </c>
      <c r="AH1412">
        <v>6</v>
      </c>
      <c r="AI1412">
        <v>6</v>
      </c>
      <c r="AJ1412">
        <v>0</v>
      </c>
      <c r="AK1412">
        <v>2</v>
      </c>
      <c r="AL1412" t="s">
        <v>74</v>
      </c>
      <c r="AM1412" t="s">
        <v>74</v>
      </c>
      <c r="AN1412" t="s">
        <v>74</v>
      </c>
      <c r="AO1412" t="s">
        <v>24281</v>
      </c>
      <c r="AP1412" t="s">
        <v>74</v>
      </c>
      <c r="AQ1412" t="s">
        <v>74</v>
      </c>
      <c r="AR1412" t="s">
        <v>74</v>
      </c>
      <c r="AS1412" t="s">
        <v>74</v>
      </c>
      <c r="AT1412" t="s">
        <v>24282</v>
      </c>
      <c r="AU1412">
        <v>1996</v>
      </c>
      <c r="AV1412">
        <v>6</v>
      </c>
      <c r="AW1412">
        <v>3</v>
      </c>
      <c r="AX1412" t="s">
        <v>74</v>
      </c>
      <c r="AY1412" t="s">
        <v>74</v>
      </c>
      <c r="AZ1412" t="s">
        <v>74</v>
      </c>
      <c r="BA1412" t="s">
        <v>74</v>
      </c>
      <c r="BB1412">
        <v>157</v>
      </c>
      <c r="BC1412">
        <v>163</v>
      </c>
      <c r="BD1412" t="s">
        <v>74</v>
      </c>
      <c r="BE1412" t="s">
        <v>24283</v>
      </c>
      <c r="BF1412" t="str">
        <f>HYPERLINK("http://dx.doi.org/10.1089/oli.1.1996.6.157","http://dx.doi.org/10.1089/oli.1.1996.6.157")</f>
        <v>http://dx.doi.org/10.1089/oli.1.1996.6.157</v>
      </c>
      <c r="BG1412" t="s">
        <v>74</v>
      </c>
      <c r="BH1412" t="s">
        <v>74</v>
      </c>
      <c r="BI1412" t="s">
        <v>74</v>
      </c>
      <c r="BJ1412" t="s">
        <v>23699</v>
      </c>
      <c r="BK1412" t="s">
        <v>117</v>
      </c>
      <c r="BL1412" t="s">
        <v>23700</v>
      </c>
      <c r="BM1412" t="s">
        <v>74</v>
      </c>
      <c r="BN1412">
        <v>8915499</v>
      </c>
      <c r="BO1412" t="s">
        <v>74</v>
      </c>
      <c r="BP1412" t="s">
        <v>74</v>
      </c>
      <c r="BQ1412" t="s">
        <v>74</v>
      </c>
      <c r="BR1412" t="s">
        <v>96</v>
      </c>
      <c r="BS1412" t="s">
        <v>24284</v>
      </c>
      <c r="BT1412" t="str">
        <f>HYPERLINK("https%3A%2F%2Fwww.webofscience.com%2Fwos%2Fwoscc%2Ffull-record%2FWOS:A1996VP25000004","View Full Record in Web of Science")</f>
        <v>View Full Record in Web of Science</v>
      </c>
    </row>
    <row r="1413" spans="1:72" x14ac:dyDescent="0.15">
      <c r="A1413" t="s">
        <v>98</v>
      </c>
      <c r="B1413" t="s">
        <v>24575</v>
      </c>
      <c r="C1413" t="s">
        <v>74</v>
      </c>
      <c r="D1413" t="s">
        <v>74</v>
      </c>
      <c r="E1413" t="s">
        <v>74</v>
      </c>
      <c r="F1413" t="s">
        <v>24575</v>
      </c>
      <c r="G1413" t="s">
        <v>74</v>
      </c>
      <c r="H1413" t="s">
        <v>74</v>
      </c>
      <c r="I1413" t="s">
        <v>24576</v>
      </c>
      <c r="J1413" t="s">
        <v>24577</v>
      </c>
      <c r="K1413" t="s">
        <v>74</v>
      </c>
      <c r="L1413" t="s">
        <v>74</v>
      </c>
      <c r="M1413" t="s">
        <v>74</v>
      </c>
      <c r="N1413" t="s">
        <v>103</v>
      </c>
      <c r="O1413" t="s">
        <v>74</v>
      </c>
      <c r="P1413" t="s">
        <v>74</v>
      </c>
      <c r="Q1413" t="s">
        <v>74</v>
      </c>
      <c r="R1413" t="s">
        <v>74</v>
      </c>
      <c r="S1413" t="s">
        <v>74</v>
      </c>
      <c r="T1413" t="s">
        <v>24578</v>
      </c>
      <c r="U1413" t="s">
        <v>24579</v>
      </c>
      <c r="V1413" t="s">
        <v>24580</v>
      </c>
      <c r="W1413" t="s">
        <v>24581</v>
      </c>
      <c r="X1413" t="s">
        <v>24582</v>
      </c>
      <c r="Y1413" t="s">
        <v>24583</v>
      </c>
      <c r="Z1413" t="s">
        <v>74</v>
      </c>
      <c r="AA1413" t="s">
        <v>74</v>
      </c>
      <c r="AB1413" t="s">
        <v>74</v>
      </c>
      <c r="AC1413" t="s">
        <v>74</v>
      </c>
      <c r="AD1413" t="s">
        <v>74</v>
      </c>
      <c r="AE1413" t="s">
        <v>74</v>
      </c>
      <c r="AF1413" t="s">
        <v>74</v>
      </c>
      <c r="AG1413">
        <v>27</v>
      </c>
      <c r="AH1413">
        <v>6</v>
      </c>
      <c r="AI1413">
        <v>6</v>
      </c>
      <c r="AJ1413">
        <v>0</v>
      </c>
      <c r="AK1413">
        <v>1</v>
      </c>
      <c r="AL1413" t="s">
        <v>74</v>
      </c>
      <c r="AM1413" t="s">
        <v>74</v>
      </c>
      <c r="AN1413" t="s">
        <v>74</v>
      </c>
      <c r="AO1413" t="s">
        <v>24584</v>
      </c>
      <c r="AP1413" t="s">
        <v>74</v>
      </c>
      <c r="AQ1413" t="s">
        <v>74</v>
      </c>
      <c r="AR1413" t="s">
        <v>74</v>
      </c>
      <c r="AS1413" t="s">
        <v>74</v>
      </c>
      <c r="AT1413" t="s">
        <v>74</v>
      </c>
      <c r="AU1413">
        <v>1991</v>
      </c>
      <c r="AV1413">
        <v>65</v>
      </c>
      <c r="AW1413">
        <v>4</v>
      </c>
      <c r="AX1413" t="s">
        <v>74</v>
      </c>
      <c r="AY1413" t="s">
        <v>74</v>
      </c>
      <c r="AZ1413" t="s">
        <v>74</v>
      </c>
      <c r="BA1413" t="s">
        <v>74</v>
      </c>
      <c r="BB1413">
        <v>324</v>
      </c>
      <c r="BC1413">
        <v>329</v>
      </c>
      <c r="BD1413" t="s">
        <v>74</v>
      </c>
      <c r="BE1413" t="s">
        <v>24585</v>
      </c>
      <c r="BF1413" t="str">
        <f>HYPERLINK("http://dx.doi.org/10.1007/BF01968967","http://dx.doi.org/10.1007/BF01968967")</f>
        <v>http://dx.doi.org/10.1007/BF01968967</v>
      </c>
      <c r="BG1413" t="s">
        <v>74</v>
      </c>
      <c r="BH1413" t="s">
        <v>74</v>
      </c>
      <c r="BI1413" t="s">
        <v>74</v>
      </c>
      <c r="BJ1413" t="s">
        <v>1626</v>
      </c>
      <c r="BK1413" t="s">
        <v>117</v>
      </c>
      <c r="BL1413" t="s">
        <v>1626</v>
      </c>
      <c r="BM1413" t="s">
        <v>74</v>
      </c>
      <c r="BN1413">
        <v>1953351</v>
      </c>
      <c r="BO1413" t="s">
        <v>74</v>
      </c>
      <c r="BP1413" t="s">
        <v>74</v>
      </c>
      <c r="BQ1413" t="s">
        <v>74</v>
      </c>
      <c r="BR1413" t="s">
        <v>96</v>
      </c>
      <c r="BS1413" t="s">
        <v>24586</v>
      </c>
      <c r="BT1413" t="str">
        <f>HYPERLINK("https%3A%2F%2Fwww.webofscience.com%2Fwos%2Fwoscc%2Ffull-record%2FWOS:A1991FN40500009","View Full Record in Web of Science")</f>
        <v>View Full Record in Web of Science</v>
      </c>
    </row>
    <row r="1414" spans="1:72" x14ac:dyDescent="0.15">
      <c r="A1414" t="s">
        <v>98</v>
      </c>
      <c r="B1414" t="s">
        <v>24694</v>
      </c>
      <c r="C1414" t="s">
        <v>74</v>
      </c>
      <c r="D1414" t="s">
        <v>74</v>
      </c>
      <c r="E1414" t="s">
        <v>74</v>
      </c>
      <c r="F1414" t="s">
        <v>24695</v>
      </c>
      <c r="G1414" t="s">
        <v>74</v>
      </c>
      <c r="H1414" t="s">
        <v>74</v>
      </c>
      <c r="I1414" t="s">
        <v>24696</v>
      </c>
      <c r="J1414" t="s">
        <v>24697</v>
      </c>
      <c r="K1414" t="s">
        <v>74</v>
      </c>
      <c r="L1414" t="s">
        <v>74</v>
      </c>
      <c r="M1414" t="s">
        <v>74</v>
      </c>
      <c r="N1414" t="s">
        <v>103</v>
      </c>
      <c r="O1414" t="s">
        <v>74</v>
      </c>
      <c r="P1414" t="s">
        <v>74</v>
      </c>
      <c r="Q1414" t="s">
        <v>74</v>
      </c>
      <c r="R1414" t="s">
        <v>74</v>
      </c>
      <c r="S1414" t="s">
        <v>74</v>
      </c>
      <c r="T1414" t="s">
        <v>24698</v>
      </c>
      <c r="U1414" t="s">
        <v>24699</v>
      </c>
      <c r="V1414" t="s">
        <v>24700</v>
      </c>
      <c r="W1414" t="s">
        <v>24701</v>
      </c>
      <c r="X1414" t="s">
        <v>24702</v>
      </c>
      <c r="Y1414" t="s">
        <v>24703</v>
      </c>
      <c r="Z1414" t="s">
        <v>24704</v>
      </c>
      <c r="AA1414" t="s">
        <v>18953</v>
      </c>
      <c r="AB1414" t="s">
        <v>24705</v>
      </c>
      <c r="AC1414" t="s">
        <v>74</v>
      </c>
      <c r="AD1414" t="s">
        <v>74</v>
      </c>
      <c r="AE1414" t="s">
        <v>74</v>
      </c>
      <c r="AF1414" t="s">
        <v>74</v>
      </c>
      <c r="AG1414">
        <v>22</v>
      </c>
      <c r="AH1414">
        <v>6</v>
      </c>
      <c r="AI1414">
        <v>7</v>
      </c>
      <c r="AJ1414">
        <v>0</v>
      </c>
      <c r="AK1414">
        <v>0</v>
      </c>
      <c r="AL1414" t="s">
        <v>74</v>
      </c>
      <c r="AM1414" t="s">
        <v>74</v>
      </c>
      <c r="AN1414" t="s">
        <v>74</v>
      </c>
      <c r="AO1414" t="s">
        <v>24706</v>
      </c>
      <c r="AP1414" t="s">
        <v>74</v>
      </c>
      <c r="AQ1414" t="s">
        <v>74</v>
      </c>
      <c r="AR1414" t="s">
        <v>74</v>
      </c>
      <c r="AS1414" t="s">
        <v>74</v>
      </c>
      <c r="AT1414" t="s">
        <v>24707</v>
      </c>
      <c r="AU1414">
        <v>2014</v>
      </c>
      <c r="AV1414">
        <v>2</v>
      </c>
      <c r="AW1414">
        <v>2</v>
      </c>
      <c r="AX1414" t="s">
        <v>74</v>
      </c>
      <c r="AY1414" t="s">
        <v>74</v>
      </c>
      <c r="AZ1414" t="s">
        <v>74</v>
      </c>
      <c r="BA1414" t="s">
        <v>74</v>
      </c>
      <c r="BB1414" t="s">
        <v>74</v>
      </c>
      <c r="BC1414" t="s">
        <v>74</v>
      </c>
      <c r="BD1414">
        <v>2324709614539280</v>
      </c>
      <c r="BE1414" t="s">
        <v>24708</v>
      </c>
      <c r="BF1414" t="str">
        <f>HYPERLINK("http://dx.doi.org/10.1177/2324709614539283","http://dx.doi.org/10.1177/2324709614539283")</f>
        <v>http://dx.doi.org/10.1177/2324709614539283</v>
      </c>
      <c r="BG1414" t="s">
        <v>74</v>
      </c>
      <c r="BH1414" t="s">
        <v>74</v>
      </c>
      <c r="BI1414" t="s">
        <v>74</v>
      </c>
      <c r="BJ1414" t="s">
        <v>2564</v>
      </c>
      <c r="BK1414" t="s">
        <v>467</v>
      </c>
      <c r="BL1414" t="s">
        <v>2565</v>
      </c>
      <c r="BM1414" t="s">
        <v>74</v>
      </c>
      <c r="BN1414">
        <v>26425612</v>
      </c>
      <c r="BO1414" t="s">
        <v>74</v>
      </c>
      <c r="BP1414" t="s">
        <v>74</v>
      </c>
      <c r="BQ1414" t="s">
        <v>74</v>
      </c>
      <c r="BR1414" t="s">
        <v>96</v>
      </c>
      <c r="BS1414" t="s">
        <v>24709</v>
      </c>
      <c r="BT1414" t="str">
        <f>HYPERLINK("https%3A%2F%2Fwww.webofscience.com%2Fwos%2Fwoscc%2Ffull-record%2FWOS:000457916800014","View Full Record in Web of Science")</f>
        <v>View Full Record in Web of Science</v>
      </c>
    </row>
    <row r="1415" spans="1:72" x14ac:dyDescent="0.15">
      <c r="A1415" t="s">
        <v>98</v>
      </c>
      <c r="B1415" t="s">
        <v>24970</v>
      </c>
      <c r="C1415" t="s">
        <v>74</v>
      </c>
      <c r="D1415" t="s">
        <v>74</v>
      </c>
      <c r="E1415" t="s">
        <v>74</v>
      </c>
      <c r="F1415" t="s">
        <v>24971</v>
      </c>
      <c r="G1415" t="s">
        <v>74</v>
      </c>
      <c r="H1415" t="s">
        <v>74</v>
      </c>
      <c r="I1415" t="s">
        <v>24972</v>
      </c>
      <c r="J1415" t="s">
        <v>5675</v>
      </c>
      <c r="K1415" t="s">
        <v>74</v>
      </c>
      <c r="L1415" t="s">
        <v>74</v>
      </c>
      <c r="M1415" t="s">
        <v>74</v>
      </c>
      <c r="N1415" t="s">
        <v>103</v>
      </c>
      <c r="O1415" t="s">
        <v>74</v>
      </c>
      <c r="P1415" t="s">
        <v>74</v>
      </c>
      <c r="Q1415" t="s">
        <v>74</v>
      </c>
      <c r="R1415" t="s">
        <v>74</v>
      </c>
      <c r="S1415" t="s">
        <v>74</v>
      </c>
      <c r="T1415" t="s">
        <v>24973</v>
      </c>
      <c r="U1415" t="s">
        <v>24974</v>
      </c>
      <c r="V1415" t="s">
        <v>24975</v>
      </c>
      <c r="W1415" t="s">
        <v>24976</v>
      </c>
      <c r="X1415" t="s">
        <v>24977</v>
      </c>
      <c r="Y1415" t="s">
        <v>24978</v>
      </c>
      <c r="Z1415" t="s">
        <v>24979</v>
      </c>
      <c r="AA1415" t="s">
        <v>74</v>
      </c>
      <c r="AB1415" t="s">
        <v>74</v>
      </c>
      <c r="AC1415" t="s">
        <v>74</v>
      </c>
      <c r="AD1415" t="s">
        <v>74</v>
      </c>
      <c r="AE1415" t="s">
        <v>74</v>
      </c>
      <c r="AF1415" t="s">
        <v>74</v>
      </c>
      <c r="AG1415">
        <v>60</v>
      </c>
      <c r="AH1415">
        <v>6</v>
      </c>
      <c r="AI1415">
        <v>6</v>
      </c>
      <c r="AJ1415">
        <v>1</v>
      </c>
      <c r="AK1415">
        <v>4</v>
      </c>
      <c r="AL1415" t="s">
        <v>74</v>
      </c>
      <c r="AM1415" t="s">
        <v>74</v>
      </c>
      <c r="AN1415" t="s">
        <v>74</v>
      </c>
      <c r="AO1415" t="s">
        <v>5683</v>
      </c>
      <c r="AP1415" t="s">
        <v>5684</v>
      </c>
      <c r="AQ1415" t="s">
        <v>74</v>
      </c>
      <c r="AR1415" t="s">
        <v>74</v>
      </c>
      <c r="AS1415" t="s">
        <v>74</v>
      </c>
      <c r="AT1415" t="s">
        <v>967</v>
      </c>
      <c r="AU1415">
        <v>2015</v>
      </c>
      <c r="AV1415">
        <v>159</v>
      </c>
      <c r="AW1415" t="s">
        <v>74</v>
      </c>
      <c r="AX1415" t="s">
        <v>74</v>
      </c>
      <c r="AY1415" t="s">
        <v>74</v>
      </c>
      <c r="AZ1415" t="s">
        <v>74</v>
      </c>
      <c r="BA1415" t="s">
        <v>74</v>
      </c>
      <c r="BB1415">
        <v>168</v>
      </c>
      <c r="BC1415">
        <v>182</v>
      </c>
      <c r="BD1415" t="s">
        <v>74</v>
      </c>
      <c r="BE1415" t="s">
        <v>24980</v>
      </c>
      <c r="BF1415" t="str">
        <f>HYPERLINK("http://dx.doi.org/10.1016/j.exppara.2015.09.014","http://dx.doi.org/10.1016/j.exppara.2015.09.014")</f>
        <v>http://dx.doi.org/10.1016/j.exppara.2015.09.014</v>
      </c>
      <c r="BG1415" t="s">
        <v>74</v>
      </c>
      <c r="BH1415" t="s">
        <v>74</v>
      </c>
      <c r="BI1415" t="s">
        <v>74</v>
      </c>
      <c r="BJ1415" t="s">
        <v>5686</v>
      </c>
      <c r="BK1415" t="s">
        <v>117</v>
      </c>
      <c r="BL1415" t="s">
        <v>5686</v>
      </c>
      <c r="BM1415" t="s">
        <v>74</v>
      </c>
      <c r="BN1415">
        <v>26431820</v>
      </c>
      <c r="BO1415" t="s">
        <v>74</v>
      </c>
      <c r="BP1415" t="s">
        <v>74</v>
      </c>
      <c r="BQ1415" t="s">
        <v>74</v>
      </c>
      <c r="BR1415" t="s">
        <v>96</v>
      </c>
      <c r="BS1415" t="s">
        <v>24981</v>
      </c>
      <c r="BT1415" t="str">
        <f>HYPERLINK("https%3A%2F%2Fwww.webofscience.com%2Fwos%2Fwoscc%2Ffull-record%2FWOS:000366442900022","View Full Record in Web of Science")</f>
        <v>View Full Record in Web of Science</v>
      </c>
    </row>
    <row r="1416" spans="1:72" x14ac:dyDescent="0.15">
      <c r="A1416" t="s">
        <v>72</v>
      </c>
      <c r="B1416" t="s">
        <v>25241</v>
      </c>
      <c r="C1416" t="s">
        <v>74</v>
      </c>
      <c r="D1416" t="s">
        <v>25242</v>
      </c>
      <c r="E1416" t="s">
        <v>74</v>
      </c>
      <c r="F1416" t="s">
        <v>25243</v>
      </c>
      <c r="G1416" t="s">
        <v>74</v>
      </c>
      <c r="H1416" t="s">
        <v>74</v>
      </c>
      <c r="I1416" t="s">
        <v>25244</v>
      </c>
      <c r="J1416" t="s">
        <v>25245</v>
      </c>
      <c r="K1416" t="s">
        <v>79</v>
      </c>
      <c r="L1416" t="s">
        <v>74</v>
      </c>
      <c r="M1416" t="s">
        <v>74</v>
      </c>
      <c r="N1416" t="s">
        <v>80</v>
      </c>
      <c r="O1416" t="s">
        <v>74</v>
      </c>
      <c r="P1416" t="s">
        <v>74</v>
      </c>
      <c r="Q1416" t="s">
        <v>74</v>
      </c>
      <c r="R1416" t="s">
        <v>74</v>
      </c>
      <c r="S1416" t="s">
        <v>74</v>
      </c>
      <c r="T1416" t="s">
        <v>25246</v>
      </c>
      <c r="U1416" t="s">
        <v>74</v>
      </c>
      <c r="V1416" t="s">
        <v>25247</v>
      </c>
      <c r="W1416" t="s">
        <v>25248</v>
      </c>
      <c r="X1416" t="s">
        <v>25249</v>
      </c>
      <c r="Y1416" t="s">
        <v>25250</v>
      </c>
      <c r="Z1416" t="s">
        <v>74</v>
      </c>
      <c r="AA1416" t="s">
        <v>8948</v>
      </c>
      <c r="AB1416" t="s">
        <v>25251</v>
      </c>
      <c r="AC1416" t="s">
        <v>74</v>
      </c>
      <c r="AD1416" t="s">
        <v>74</v>
      </c>
      <c r="AE1416" t="s">
        <v>74</v>
      </c>
      <c r="AF1416" t="s">
        <v>74</v>
      </c>
      <c r="AG1416">
        <v>10</v>
      </c>
      <c r="AH1416">
        <v>6</v>
      </c>
      <c r="AI1416">
        <v>6</v>
      </c>
      <c r="AJ1416">
        <v>2</v>
      </c>
      <c r="AK1416">
        <v>26</v>
      </c>
      <c r="AL1416" t="s">
        <v>74</v>
      </c>
      <c r="AM1416" t="s">
        <v>74</v>
      </c>
      <c r="AN1416" t="s">
        <v>74</v>
      </c>
      <c r="AO1416" t="s">
        <v>88</v>
      </c>
      <c r="AP1416" t="s">
        <v>89</v>
      </c>
      <c r="AQ1416" t="s">
        <v>25252</v>
      </c>
      <c r="AR1416" t="s">
        <v>74</v>
      </c>
      <c r="AS1416" t="s">
        <v>74</v>
      </c>
      <c r="AT1416" t="s">
        <v>74</v>
      </c>
      <c r="AU1416">
        <v>2017</v>
      </c>
      <c r="AV1416">
        <v>1580</v>
      </c>
      <c r="AW1416" t="s">
        <v>74</v>
      </c>
      <c r="AX1416" t="s">
        <v>74</v>
      </c>
      <c r="AY1416" t="s">
        <v>74</v>
      </c>
      <c r="AZ1416" t="s">
        <v>74</v>
      </c>
      <c r="BA1416" t="s">
        <v>74</v>
      </c>
      <c r="BB1416">
        <v>59</v>
      </c>
      <c r="BC1416">
        <v>70</v>
      </c>
      <c r="BD1416" t="s">
        <v>74</v>
      </c>
      <c r="BE1416" t="s">
        <v>25253</v>
      </c>
      <c r="BF1416" t="str">
        <f>HYPERLINK("http://dx.doi.org/10.1007/978-1-4939-6866-4_5","http://dx.doi.org/10.1007/978-1-4939-6866-4_5")</f>
        <v>http://dx.doi.org/10.1007/978-1-4939-6866-4_5</v>
      </c>
      <c r="BG1416" t="s">
        <v>25254</v>
      </c>
      <c r="BH1416" t="s">
        <v>74</v>
      </c>
      <c r="BI1416" t="s">
        <v>74</v>
      </c>
      <c r="BJ1416" t="s">
        <v>8267</v>
      </c>
      <c r="BK1416" t="s">
        <v>94</v>
      </c>
      <c r="BL1416" t="s">
        <v>950</v>
      </c>
      <c r="BM1416" t="s">
        <v>74</v>
      </c>
      <c r="BN1416">
        <v>28439826</v>
      </c>
      <c r="BO1416" t="s">
        <v>74</v>
      </c>
      <c r="BP1416" t="s">
        <v>74</v>
      </c>
      <c r="BQ1416" t="s">
        <v>74</v>
      </c>
      <c r="BR1416" t="s">
        <v>96</v>
      </c>
      <c r="BS1416" t="s">
        <v>25255</v>
      </c>
      <c r="BT1416" t="str">
        <f>HYPERLINK("https%3A%2F%2Fwww.webofscience.com%2Fwos%2Fwoscc%2Ffull-record%2FWOS:000417639700006","View Full Record in Web of Science")</f>
        <v>View Full Record in Web of Science</v>
      </c>
    </row>
    <row r="1417" spans="1:72" x14ac:dyDescent="0.15">
      <c r="A1417" t="s">
        <v>98</v>
      </c>
      <c r="B1417" t="s">
        <v>25331</v>
      </c>
      <c r="C1417" t="s">
        <v>74</v>
      </c>
      <c r="D1417" t="s">
        <v>74</v>
      </c>
      <c r="E1417" t="s">
        <v>74</v>
      </c>
      <c r="F1417" t="s">
        <v>25332</v>
      </c>
      <c r="G1417" t="s">
        <v>74</v>
      </c>
      <c r="H1417" t="s">
        <v>74</v>
      </c>
      <c r="I1417" t="s">
        <v>25333</v>
      </c>
      <c r="J1417" t="s">
        <v>25334</v>
      </c>
      <c r="K1417" t="s">
        <v>74</v>
      </c>
      <c r="L1417" t="s">
        <v>74</v>
      </c>
      <c r="M1417" t="s">
        <v>74</v>
      </c>
      <c r="N1417" t="s">
        <v>103</v>
      </c>
      <c r="O1417" t="s">
        <v>74</v>
      </c>
      <c r="P1417" t="s">
        <v>74</v>
      </c>
      <c r="Q1417" t="s">
        <v>74</v>
      </c>
      <c r="R1417" t="s">
        <v>74</v>
      </c>
      <c r="S1417" t="s">
        <v>74</v>
      </c>
      <c r="T1417" t="s">
        <v>74</v>
      </c>
      <c r="U1417" t="s">
        <v>25335</v>
      </c>
      <c r="V1417" t="s">
        <v>25336</v>
      </c>
      <c r="W1417" t="s">
        <v>25337</v>
      </c>
      <c r="X1417" t="s">
        <v>25338</v>
      </c>
      <c r="Y1417" t="s">
        <v>25339</v>
      </c>
      <c r="Z1417" t="s">
        <v>25340</v>
      </c>
      <c r="AA1417" t="s">
        <v>74</v>
      </c>
      <c r="AB1417" t="s">
        <v>25341</v>
      </c>
      <c r="AC1417" t="s">
        <v>74</v>
      </c>
      <c r="AD1417" t="s">
        <v>74</v>
      </c>
      <c r="AE1417" t="s">
        <v>74</v>
      </c>
      <c r="AF1417" t="s">
        <v>74</v>
      </c>
      <c r="AG1417">
        <v>55</v>
      </c>
      <c r="AH1417">
        <v>6</v>
      </c>
      <c r="AI1417">
        <v>7</v>
      </c>
      <c r="AJ1417">
        <v>0</v>
      </c>
      <c r="AK1417">
        <v>8</v>
      </c>
      <c r="AL1417" t="s">
        <v>74</v>
      </c>
      <c r="AM1417" t="s">
        <v>74</v>
      </c>
      <c r="AN1417" t="s">
        <v>74</v>
      </c>
      <c r="AO1417" t="s">
        <v>25342</v>
      </c>
      <c r="AP1417" t="s">
        <v>25343</v>
      </c>
      <c r="AQ1417" t="s">
        <v>74</v>
      </c>
      <c r="AR1417" t="s">
        <v>74</v>
      </c>
      <c r="AS1417" t="s">
        <v>74</v>
      </c>
      <c r="AT1417" t="s">
        <v>1029</v>
      </c>
      <c r="AU1417">
        <v>2017</v>
      </c>
      <c r="AV1417">
        <v>16</v>
      </c>
      <c r="AW1417">
        <v>5</v>
      </c>
      <c r="AX1417" t="s">
        <v>74</v>
      </c>
      <c r="AY1417" t="s">
        <v>74</v>
      </c>
      <c r="AZ1417" t="s">
        <v>74</v>
      </c>
      <c r="BA1417" t="s">
        <v>74</v>
      </c>
      <c r="BB1417">
        <v>911</v>
      </c>
      <c r="BC1417">
        <v>923</v>
      </c>
      <c r="BD1417" t="s">
        <v>74</v>
      </c>
      <c r="BE1417" t="s">
        <v>25344</v>
      </c>
      <c r="BF1417" t="str">
        <f>HYPERLINK("http://dx.doi.org/10.1074/mcp.M116.064576","http://dx.doi.org/10.1074/mcp.M116.064576")</f>
        <v>http://dx.doi.org/10.1074/mcp.M116.064576</v>
      </c>
      <c r="BG1417" t="s">
        <v>74</v>
      </c>
      <c r="BH1417" t="s">
        <v>74</v>
      </c>
      <c r="BI1417" t="s">
        <v>74</v>
      </c>
      <c r="BJ1417" t="s">
        <v>812</v>
      </c>
      <c r="BK1417" t="s">
        <v>117</v>
      </c>
      <c r="BL1417" t="s">
        <v>95</v>
      </c>
      <c r="BM1417" t="s">
        <v>74</v>
      </c>
      <c r="BN1417">
        <v>28232516</v>
      </c>
      <c r="BO1417" t="s">
        <v>74</v>
      </c>
      <c r="BP1417" t="s">
        <v>74</v>
      </c>
      <c r="BQ1417" t="s">
        <v>74</v>
      </c>
      <c r="BR1417" t="s">
        <v>96</v>
      </c>
      <c r="BS1417" t="s">
        <v>25345</v>
      </c>
      <c r="BT1417" t="str">
        <f>HYPERLINK("https%3A%2F%2Fwww.webofscience.com%2Fwos%2Fwoscc%2Ffull-record%2FWOS:000400759600015","View Full Record in Web of Science")</f>
        <v>View Full Record in Web of Science</v>
      </c>
    </row>
    <row r="1418" spans="1:72" x14ac:dyDescent="0.15">
      <c r="A1418" t="s">
        <v>98</v>
      </c>
      <c r="B1418" t="s">
        <v>25513</v>
      </c>
      <c r="C1418" t="s">
        <v>74</v>
      </c>
      <c r="D1418" t="s">
        <v>74</v>
      </c>
      <c r="E1418" t="s">
        <v>74</v>
      </c>
      <c r="F1418" t="s">
        <v>25514</v>
      </c>
      <c r="G1418" t="s">
        <v>74</v>
      </c>
      <c r="H1418" t="s">
        <v>74</v>
      </c>
      <c r="I1418" t="s">
        <v>25515</v>
      </c>
      <c r="J1418" t="s">
        <v>1105</v>
      </c>
      <c r="K1418" t="s">
        <v>74</v>
      </c>
      <c r="L1418" t="s">
        <v>74</v>
      </c>
      <c r="M1418" t="s">
        <v>74</v>
      </c>
      <c r="N1418" t="s">
        <v>103</v>
      </c>
      <c r="O1418" t="s">
        <v>74</v>
      </c>
      <c r="P1418" t="s">
        <v>74</v>
      </c>
      <c r="Q1418" t="s">
        <v>74</v>
      </c>
      <c r="R1418" t="s">
        <v>74</v>
      </c>
      <c r="S1418" t="s">
        <v>74</v>
      </c>
      <c r="T1418" t="s">
        <v>25516</v>
      </c>
      <c r="U1418" t="s">
        <v>25517</v>
      </c>
      <c r="V1418" t="s">
        <v>25518</v>
      </c>
      <c r="W1418" t="s">
        <v>25519</v>
      </c>
      <c r="X1418" t="s">
        <v>4804</v>
      </c>
      <c r="Y1418" t="s">
        <v>4805</v>
      </c>
      <c r="Z1418" t="s">
        <v>4806</v>
      </c>
      <c r="AA1418" t="s">
        <v>74</v>
      </c>
      <c r="AB1418" t="s">
        <v>74</v>
      </c>
      <c r="AC1418" t="s">
        <v>74</v>
      </c>
      <c r="AD1418" t="s">
        <v>74</v>
      </c>
      <c r="AE1418" t="s">
        <v>74</v>
      </c>
      <c r="AF1418" t="s">
        <v>74</v>
      </c>
      <c r="AG1418">
        <v>32</v>
      </c>
      <c r="AH1418">
        <v>6</v>
      </c>
      <c r="AI1418">
        <v>6</v>
      </c>
      <c r="AJ1418">
        <v>25</v>
      </c>
      <c r="AK1418">
        <v>52</v>
      </c>
      <c r="AL1418" t="s">
        <v>74</v>
      </c>
      <c r="AM1418" t="s">
        <v>74</v>
      </c>
      <c r="AN1418" t="s">
        <v>74</v>
      </c>
      <c r="AO1418" t="s">
        <v>1114</v>
      </c>
      <c r="AP1418" t="s">
        <v>1115</v>
      </c>
      <c r="AQ1418" t="s">
        <v>74</v>
      </c>
      <c r="AR1418" t="s">
        <v>74</v>
      </c>
      <c r="AS1418" t="s">
        <v>74</v>
      </c>
      <c r="AT1418" t="s">
        <v>319</v>
      </c>
      <c r="AU1418">
        <v>2021</v>
      </c>
      <c r="AV1418">
        <v>235</v>
      </c>
      <c r="AW1418" t="s">
        <v>74</v>
      </c>
      <c r="AX1418" t="s">
        <v>74</v>
      </c>
      <c r="AY1418" t="s">
        <v>74</v>
      </c>
      <c r="AZ1418" t="s">
        <v>74</v>
      </c>
      <c r="BA1418" t="s">
        <v>74</v>
      </c>
      <c r="BB1418" t="s">
        <v>74</v>
      </c>
      <c r="BC1418" t="s">
        <v>74</v>
      </c>
      <c r="BD1418">
        <v>122790</v>
      </c>
      <c r="BE1418" t="s">
        <v>25520</v>
      </c>
      <c r="BF1418" t="str">
        <f>HYPERLINK("http://dx.doi.org/10.1016/j.talanta.2021.122790","http://dx.doi.org/10.1016/j.talanta.2021.122790")</f>
        <v>http://dx.doi.org/10.1016/j.talanta.2021.122790</v>
      </c>
      <c r="BG1418" t="s">
        <v>74</v>
      </c>
      <c r="BH1418" t="s">
        <v>1663</v>
      </c>
      <c r="BI1418" t="s">
        <v>74</v>
      </c>
      <c r="BJ1418" t="s">
        <v>1118</v>
      </c>
      <c r="BK1418" t="s">
        <v>117</v>
      </c>
      <c r="BL1418" t="s">
        <v>1048</v>
      </c>
      <c r="BM1418" t="s">
        <v>74</v>
      </c>
      <c r="BN1418">
        <v>34517648</v>
      </c>
      <c r="BO1418" t="s">
        <v>74</v>
      </c>
      <c r="BP1418" t="s">
        <v>74</v>
      </c>
      <c r="BQ1418" t="s">
        <v>74</v>
      </c>
      <c r="BR1418" t="s">
        <v>96</v>
      </c>
      <c r="BS1418" t="s">
        <v>25521</v>
      </c>
      <c r="BT1418" t="str">
        <f>HYPERLINK("https%3A%2F%2Fwww.webofscience.com%2Fwos%2Fwoscc%2Ffull-record%2FWOS:000701202700006","View Full Record in Web of Science")</f>
        <v>View Full Record in Web of Science</v>
      </c>
    </row>
    <row r="1419" spans="1:72" x14ac:dyDescent="0.15">
      <c r="A1419" t="s">
        <v>98</v>
      </c>
      <c r="B1419" t="s">
        <v>25757</v>
      </c>
      <c r="C1419" t="s">
        <v>74</v>
      </c>
      <c r="D1419" t="s">
        <v>74</v>
      </c>
      <c r="E1419" t="s">
        <v>74</v>
      </c>
      <c r="F1419" t="s">
        <v>25758</v>
      </c>
      <c r="G1419" t="s">
        <v>74</v>
      </c>
      <c r="H1419" t="s">
        <v>74</v>
      </c>
      <c r="I1419" t="s">
        <v>25759</v>
      </c>
      <c r="J1419" t="s">
        <v>25760</v>
      </c>
      <c r="K1419" t="s">
        <v>74</v>
      </c>
      <c r="L1419" t="s">
        <v>74</v>
      </c>
      <c r="M1419" t="s">
        <v>74</v>
      </c>
      <c r="N1419" t="s">
        <v>103</v>
      </c>
      <c r="O1419" t="s">
        <v>74</v>
      </c>
      <c r="P1419" t="s">
        <v>74</v>
      </c>
      <c r="Q1419" t="s">
        <v>74</v>
      </c>
      <c r="R1419" t="s">
        <v>74</v>
      </c>
      <c r="S1419" t="s">
        <v>74</v>
      </c>
      <c r="T1419" t="s">
        <v>74</v>
      </c>
      <c r="U1419" t="s">
        <v>25761</v>
      </c>
      <c r="V1419" t="s">
        <v>25762</v>
      </c>
      <c r="W1419" t="s">
        <v>25763</v>
      </c>
      <c r="X1419" t="s">
        <v>25764</v>
      </c>
      <c r="Y1419" t="s">
        <v>25765</v>
      </c>
      <c r="Z1419" t="s">
        <v>25766</v>
      </c>
      <c r="AA1419" t="s">
        <v>25767</v>
      </c>
      <c r="AB1419" t="s">
        <v>25768</v>
      </c>
      <c r="AC1419" t="s">
        <v>74</v>
      </c>
      <c r="AD1419" t="s">
        <v>74</v>
      </c>
      <c r="AE1419" t="s">
        <v>74</v>
      </c>
      <c r="AF1419" t="s">
        <v>74</v>
      </c>
      <c r="AG1419">
        <v>61</v>
      </c>
      <c r="AH1419">
        <v>6</v>
      </c>
      <c r="AI1419">
        <v>7</v>
      </c>
      <c r="AJ1419">
        <v>0</v>
      </c>
      <c r="AK1419">
        <v>14</v>
      </c>
      <c r="AL1419" t="s">
        <v>74</v>
      </c>
      <c r="AM1419" t="s">
        <v>74</v>
      </c>
      <c r="AN1419" t="s">
        <v>74</v>
      </c>
      <c r="AO1419" t="s">
        <v>25769</v>
      </c>
      <c r="AP1419" t="s">
        <v>74</v>
      </c>
      <c r="AQ1419" t="s">
        <v>74</v>
      </c>
      <c r="AR1419" t="s">
        <v>74</v>
      </c>
      <c r="AS1419" t="s">
        <v>74</v>
      </c>
      <c r="AT1419" t="s">
        <v>170</v>
      </c>
      <c r="AU1419">
        <v>2013</v>
      </c>
      <c r="AV1419">
        <v>3</v>
      </c>
      <c r="AW1419">
        <v>3</v>
      </c>
      <c r="AX1419" t="s">
        <v>74</v>
      </c>
      <c r="AY1419" t="s">
        <v>74</v>
      </c>
      <c r="AZ1419" t="s">
        <v>74</v>
      </c>
      <c r="BA1419" t="s">
        <v>74</v>
      </c>
      <c r="BB1419">
        <v>276</v>
      </c>
      <c r="BC1419">
        <v>284</v>
      </c>
      <c r="BD1419" t="s">
        <v>74</v>
      </c>
      <c r="BE1419" t="s">
        <v>25770</v>
      </c>
      <c r="BF1419" t="str">
        <f>HYPERLINK("http://dx.doi.org/10.1016/j.coviro.2013.04.006","http://dx.doi.org/10.1016/j.coviro.2013.04.006")</f>
        <v>http://dx.doi.org/10.1016/j.coviro.2013.04.006</v>
      </c>
      <c r="BG1419" t="s">
        <v>74</v>
      </c>
      <c r="BH1419" t="s">
        <v>74</v>
      </c>
      <c r="BI1419" t="s">
        <v>74</v>
      </c>
      <c r="BJ1419" t="s">
        <v>932</v>
      </c>
      <c r="BK1419" t="s">
        <v>117</v>
      </c>
      <c r="BL1419" t="s">
        <v>932</v>
      </c>
      <c r="BM1419" t="s">
        <v>74</v>
      </c>
      <c r="BN1419">
        <v>23684513</v>
      </c>
      <c r="BO1419" t="s">
        <v>74</v>
      </c>
      <c r="BP1419" t="s">
        <v>74</v>
      </c>
      <c r="BQ1419" t="s">
        <v>74</v>
      </c>
      <c r="BR1419" t="s">
        <v>96</v>
      </c>
      <c r="BS1419" t="s">
        <v>25771</v>
      </c>
      <c r="BT1419" t="str">
        <f>HYPERLINK("https%3A%2F%2Fwww.webofscience.com%2Fwos%2Fwoscc%2Ffull-record%2FWOS:000322416300009","View Full Record in Web of Science")</f>
        <v>View Full Record in Web of Science</v>
      </c>
    </row>
    <row r="1420" spans="1:72" x14ac:dyDescent="0.15">
      <c r="A1420" t="s">
        <v>98</v>
      </c>
      <c r="B1420" t="s">
        <v>26186</v>
      </c>
      <c r="C1420" t="s">
        <v>74</v>
      </c>
      <c r="D1420" t="s">
        <v>74</v>
      </c>
      <c r="E1420" t="s">
        <v>74</v>
      </c>
      <c r="F1420" t="s">
        <v>26187</v>
      </c>
      <c r="G1420" t="s">
        <v>74</v>
      </c>
      <c r="H1420" t="s">
        <v>74</v>
      </c>
      <c r="I1420" t="s">
        <v>26592</v>
      </c>
      <c r="J1420" t="s">
        <v>26189</v>
      </c>
      <c r="K1420" t="s">
        <v>74</v>
      </c>
      <c r="L1420" t="s">
        <v>74</v>
      </c>
      <c r="M1420" t="s">
        <v>74</v>
      </c>
      <c r="N1420" t="s">
        <v>103</v>
      </c>
      <c r="O1420" t="s">
        <v>74</v>
      </c>
      <c r="P1420" t="s">
        <v>74</v>
      </c>
      <c r="Q1420" t="s">
        <v>74</v>
      </c>
      <c r="R1420" t="s">
        <v>74</v>
      </c>
      <c r="S1420" t="s">
        <v>74</v>
      </c>
      <c r="T1420" t="s">
        <v>26593</v>
      </c>
      <c r="U1420" t="s">
        <v>26594</v>
      </c>
      <c r="V1420" t="s">
        <v>26595</v>
      </c>
      <c r="W1420" t="s">
        <v>26596</v>
      </c>
      <c r="X1420" t="s">
        <v>26194</v>
      </c>
      <c r="Y1420" t="s">
        <v>26597</v>
      </c>
      <c r="Z1420" t="s">
        <v>26196</v>
      </c>
      <c r="AA1420" t="s">
        <v>74</v>
      </c>
      <c r="AB1420" t="s">
        <v>74</v>
      </c>
      <c r="AC1420" t="s">
        <v>74</v>
      </c>
      <c r="AD1420" t="s">
        <v>74</v>
      </c>
      <c r="AE1420" t="s">
        <v>74</v>
      </c>
      <c r="AF1420" t="s">
        <v>74</v>
      </c>
      <c r="AG1420">
        <v>61</v>
      </c>
      <c r="AH1420">
        <v>6</v>
      </c>
      <c r="AI1420">
        <v>9</v>
      </c>
      <c r="AJ1420">
        <v>0</v>
      </c>
      <c r="AK1420">
        <v>3</v>
      </c>
      <c r="AL1420" t="s">
        <v>74</v>
      </c>
      <c r="AM1420" t="s">
        <v>74</v>
      </c>
      <c r="AN1420" t="s">
        <v>74</v>
      </c>
      <c r="AO1420" t="s">
        <v>26197</v>
      </c>
      <c r="AP1420" t="s">
        <v>26198</v>
      </c>
      <c r="AQ1420" t="s">
        <v>74</v>
      </c>
      <c r="AR1420" t="s">
        <v>74</v>
      </c>
      <c r="AS1420" t="s">
        <v>74</v>
      </c>
      <c r="AT1420" t="s">
        <v>211</v>
      </c>
      <c r="AU1420">
        <v>2015</v>
      </c>
      <c r="AV1420">
        <v>20</v>
      </c>
      <c r="AW1420">
        <v>6</v>
      </c>
      <c r="AX1420" t="s">
        <v>74</v>
      </c>
      <c r="AY1420" t="s">
        <v>74</v>
      </c>
      <c r="AZ1420" t="s">
        <v>74</v>
      </c>
      <c r="BA1420" t="s">
        <v>74</v>
      </c>
      <c r="BB1420">
        <v>709</v>
      </c>
      <c r="BC1420">
        <v>719</v>
      </c>
      <c r="BD1420" t="s">
        <v>74</v>
      </c>
      <c r="BE1420" t="s">
        <v>26598</v>
      </c>
      <c r="BF1420" t="str">
        <f>HYPERLINK("http://dx.doi.org/10.1007/s10741-015-9501-z","http://dx.doi.org/10.1007/s10741-015-9501-z")</f>
        <v>http://dx.doi.org/10.1007/s10741-015-9501-z</v>
      </c>
      <c r="BG1420" t="s">
        <v>74</v>
      </c>
      <c r="BH1420" t="s">
        <v>74</v>
      </c>
      <c r="BI1420" t="s">
        <v>74</v>
      </c>
      <c r="BJ1420" t="s">
        <v>3811</v>
      </c>
      <c r="BK1420" t="s">
        <v>117</v>
      </c>
      <c r="BL1420" t="s">
        <v>3812</v>
      </c>
      <c r="BM1420" t="s">
        <v>74</v>
      </c>
      <c r="BN1420">
        <v>26311463</v>
      </c>
      <c r="BO1420" t="s">
        <v>74</v>
      </c>
      <c r="BP1420" t="s">
        <v>74</v>
      </c>
      <c r="BQ1420" t="s">
        <v>74</v>
      </c>
      <c r="BR1420" t="s">
        <v>96</v>
      </c>
      <c r="BS1420" t="s">
        <v>26599</v>
      </c>
      <c r="BT1420" t="str">
        <f>HYPERLINK("https%3A%2F%2Fwww.webofscience.com%2Fwos%2Fwoscc%2Ffull-record%2FWOS:000363056600006","View Full Record in Web of Science")</f>
        <v>View Full Record in Web of Science</v>
      </c>
    </row>
    <row r="1421" spans="1:72" x14ac:dyDescent="0.15">
      <c r="A1421" t="s">
        <v>98</v>
      </c>
      <c r="B1421" t="s">
        <v>26804</v>
      </c>
      <c r="C1421" t="s">
        <v>74</v>
      </c>
      <c r="D1421" t="s">
        <v>74</v>
      </c>
      <c r="E1421" t="s">
        <v>74</v>
      </c>
      <c r="F1421" t="s">
        <v>26804</v>
      </c>
      <c r="G1421" t="s">
        <v>74</v>
      </c>
      <c r="H1421" t="s">
        <v>74</v>
      </c>
      <c r="I1421" t="s">
        <v>26805</v>
      </c>
      <c r="J1421" t="s">
        <v>2505</v>
      </c>
      <c r="K1421" t="s">
        <v>74</v>
      </c>
      <c r="L1421" t="s">
        <v>74</v>
      </c>
      <c r="M1421" t="s">
        <v>74</v>
      </c>
      <c r="N1421" t="s">
        <v>103</v>
      </c>
      <c r="O1421" t="s">
        <v>74</v>
      </c>
      <c r="P1421" t="s">
        <v>74</v>
      </c>
      <c r="Q1421" t="s">
        <v>74</v>
      </c>
      <c r="R1421" t="s">
        <v>74</v>
      </c>
      <c r="S1421" t="s">
        <v>74</v>
      </c>
      <c r="T1421" t="s">
        <v>26806</v>
      </c>
      <c r="U1421" t="s">
        <v>26807</v>
      </c>
      <c r="V1421" t="s">
        <v>26808</v>
      </c>
      <c r="W1421" t="s">
        <v>26809</v>
      </c>
      <c r="X1421" t="s">
        <v>26810</v>
      </c>
      <c r="Y1421" t="s">
        <v>26811</v>
      </c>
      <c r="Z1421" t="s">
        <v>26812</v>
      </c>
      <c r="AA1421" t="s">
        <v>74</v>
      </c>
      <c r="AB1421" t="s">
        <v>74</v>
      </c>
      <c r="AC1421" t="s">
        <v>74</v>
      </c>
      <c r="AD1421" t="s">
        <v>74</v>
      </c>
      <c r="AE1421" t="s">
        <v>74</v>
      </c>
      <c r="AF1421" t="s">
        <v>74</v>
      </c>
      <c r="AG1421">
        <v>87</v>
      </c>
      <c r="AH1421">
        <v>6</v>
      </c>
      <c r="AI1421">
        <v>8</v>
      </c>
      <c r="AJ1421">
        <v>0</v>
      </c>
      <c r="AK1421">
        <v>2</v>
      </c>
      <c r="AL1421" t="s">
        <v>74</v>
      </c>
      <c r="AM1421" t="s">
        <v>74</v>
      </c>
      <c r="AN1421" t="s">
        <v>74</v>
      </c>
      <c r="AO1421" t="s">
        <v>2513</v>
      </c>
      <c r="AP1421" t="s">
        <v>2514</v>
      </c>
      <c r="AQ1421" t="s">
        <v>74</v>
      </c>
      <c r="AR1421" t="s">
        <v>74</v>
      </c>
      <c r="AS1421" t="s">
        <v>74</v>
      </c>
      <c r="AT1421" t="s">
        <v>12712</v>
      </c>
      <c r="AU1421">
        <v>2006</v>
      </c>
      <c r="AV1421">
        <v>98</v>
      </c>
      <c r="AW1421">
        <v>2</v>
      </c>
      <c r="AX1421" t="s">
        <v>74</v>
      </c>
      <c r="AY1421" t="s">
        <v>74</v>
      </c>
      <c r="AZ1421" t="s">
        <v>74</v>
      </c>
      <c r="BA1421" t="s">
        <v>74</v>
      </c>
      <c r="BB1421">
        <v>309</v>
      </c>
      <c r="BC1421">
        <v>334</v>
      </c>
      <c r="BD1421" t="s">
        <v>74</v>
      </c>
      <c r="BE1421" t="s">
        <v>26813</v>
      </c>
      <c r="BF1421" t="str">
        <f>HYPERLINK("http://dx.doi.org/10.1002/jcb.20767","http://dx.doi.org/10.1002/jcb.20767")</f>
        <v>http://dx.doi.org/10.1002/jcb.20767</v>
      </c>
      <c r="BG1421" t="s">
        <v>74</v>
      </c>
      <c r="BH1421" t="s">
        <v>74</v>
      </c>
      <c r="BI1421" t="s">
        <v>74</v>
      </c>
      <c r="BJ1421" t="s">
        <v>498</v>
      </c>
      <c r="BK1421" t="s">
        <v>117</v>
      </c>
      <c r="BL1421" t="s">
        <v>498</v>
      </c>
      <c r="BM1421" t="s">
        <v>74</v>
      </c>
      <c r="BN1421">
        <v>16408294</v>
      </c>
      <c r="BO1421" t="s">
        <v>74</v>
      </c>
      <c r="BP1421" t="s">
        <v>74</v>
      </c>
      <c r="BQ1421" t="s">
        <v>74</v>
      </c>
      <c r="BR1421" t="s">
        <v>96</v>
      </c>
      <c r="BS1421" t="s">
        <v>26814</v>
      </c>
      <c r="BT1421" t="str">
        <f>HYPERLINK("https%3A%2F%2Fwww.webofscience.com%2Fwos%2Fwoscc%2Ffull-record%2FWOS:000237234300007","View Full Record in Web of Science")</f>
        <v>View Full Record in Web of Science</v>
      </c>
    </row>
    <row r="1422" spans="1:72" x14ac:dyDescent="0.15">
      <c r="A1422" t="s">
        <v>98</v>
      </c>
      <c r="B1422" t="s">
        <v>27009</v>
      </c>
      <c r="C1422" t="s">
        <v>74</v>
      </c>
      <c r="D1422" t="s">
        <v>74</v>
      </c>
      <c r="E1422" t="s">
        <v>74</v>
      </c>
      <c r="F1422" t="s">
        <v>27010</v>
      </c>
      <c r="G1422" t="s">
        <v>74</v>
      </c>
      <c r="H1422" t="s">
        <v>74</v>
      </c>
      <c r="I1422" t="s">
        <v>27011</v>
      </c>
      <c r="J1422" t="s">
        <v>27012</v>
      </c>
      <c r="K1422" t="s">
        <v>74</v>
      </c>
      <c r="L1422" t="s">
        <v>74</v>
      </c>
      <c r="M1422" t="s">
        <v>74</v>
      </c>
      <c r="N1422" t="s">
        <v>103</v>
      </c>
      <c r="O1422" t="s">
        <v>74</v>
      </c>
      <c r="P1422" t="s">
        <v>74</v>
      </c>
      <c r="Q1422" t="s">
        <v>74</v>
      </c>
      <c r="R1422" t="s">
        <v>74</v>
      </c>
      <c r="S1422" t="s">
        <v>74</v>
      </c>
      <c r="T1422" t="s">
        <v>27013</v>
      </c>
      <c r="U1422" t="s">
        <v>27014</v>
      </c>
      <c r="V1422" t="s">
        <v>27015</v>
      </c>
      <c r="W1422" t="s">
        <v>27016</v>
      </c>
      <c r="X1422" t="s">
        <v>27017</v>
      </c>
      <c r="Y1422" t="s">
        <v>27018</v>
      </c>
      <c r="Z1422" t="s">
        <v>27019</v>
      </c>
      <c r="AA1422" t="s">
        <v>74</v>
      </c>
      <c r="AB1422" t="s">
        <v>27020</v>
      </c>
      <c r="AC1422" t="s">
        <v>74</v>
      </c>
      <c r="AD1422" t="s">
        <v>74</v>
      </c>
      <c r="AE1422" t="s">
        <v>74</v>
      </c>
      <c r="AF1422" t="s">
        <v>74</v>
      </c>
      <c r="AG1422">
        <v>36</v>
      </c>
      <c r="AH1422">
        <v>6</v>
      </c>
      <c r="AI1422">
        <v>6</v>
      </c>
      <c r="AJ1422">
        <v>0</v>
      </c>
      <c r="AK1422">
        <v>24</v>
      </c>
      <c r="AL1422" t="s">
        <v>74</v>
      </c>
      <c r="AM1422" t="s">
        <v>74</v>
      </c>
      <c r="AN1422" t="s">
        <v>74</v>
      </c>
      <c r="AO1422" t="s">
        <v>27021</v>
      </c>
      <c r="AP1422" t="s">
        <v>27022</v>
      </c>
      <c r="AQ1422" t="s">
        <v>74</v>
      </c>
      <c r="AR1422" t="s">
        <v>74</v>
      </c>
      <c r="AS1422" t="s">
        <v>74</v>
      </c>
      <c r="AT1422" t="s">
        <v>211</v>
      </c>
      <c r="AU1422">
        <v>2014</v>
      </c>
      <c r="AV1422">
        <v>16</v>
      </c>
      <c r="AW1422">
        <v>11</v>
      </c>
      <c r="AX1422" t="s">
        <v>74</v>
      </c>
      <c r="AY1422" t="s">
        <v>74</v>
      </c>
      <c r="AZ1422" t="s">
        <v>74</v>
      </c>
      <c r="BA1422" t="s">
        <v>74</v>
      </c>
      <c r="BB1422" t="s">
        <v>74</v>
      </c>
      <c r="BC1422" t="s">
        <v>74</v>
      </c>
      <c r="BD1422">
        <v>2731</v>
      </c>
      <c r="BE1422" t="s">
        <v>27023</v>
      </c>
      <c r="BF1422" t="str">
        <f>HYPERLINK("http://dx.doi.org/10.1007/s11051-014-2731-5","http://dx.doi.org/10.1007/s11051-014-2731-5")</f>
        <v>http://dx.doi.org/10.1007/s11051-014-2731-5</v>
      </c>
      <c r="BG1422" t="s">
        <v>74</v>
      </c>
      <c r="BH1422" t="s">
        <v>74</v>
      </c>
      <c r="BI1422" t="s">
        <v>74</v>
      </c>
      <c r="BJ1422" t="s">
        <v>1274</v>
      </c>
      <c r="BK1422" t="s">
        <v>117</v>
      </c>
      <c r="BL1422" t="s">
        <v>1275</v>
      </c>
      <c r="BM1422" t="s">
        <v>74</v>
      </c>
      <c r="BN1422" t="s">
        <v>74</v>
      </c>
      <c r="BO1422" t="s">
        <v>74</v>
      </c>
      <c r="BP1422" t="s">
        <v>74</v>
      </c>
      <c r="BQ1422" t="s">
        <v>74</v>
      </c>
      <c r="BR1422" t="s">
        <v>96</v>
      </c>
      <c r="BS1422" t="s">
        <v>27024</v>
      </c>
      <c r="BT1422" t="str">
        <f>HYPERLINK("https%3A%2F%2Fwww.webofscience.com%2Fwos%2Fwoscc%2Ffull-record%2FWOS:000346696900065","View Full Record in Web of Science")</f>
        <v>View Full Record in Web of Science</v>
      </c>
    </row>
    <row r="1423" spans="1:72" x14ac:dyDescent="0.15">
      <c r="A1423" t="s">
        <v>98</v>
      </c>
      <c r="B1423" t="s">
        <v>27390</v>
      </c>
      <c r="C1423" t="s">
        <v>74</v>
      </c>
      <c r="D1423" t="s">
        <v>74</v>
      </c>
      <c r="E1423" t="s">
        <v>74</v>
      </c>
      <c r="F1423" t="s">
        <v>27391</v>
      </c>
      <c r="G1423" t="s">
        <v>74</v>
      </c>
      <c r="H1423" t="s">
        <v>74</v>
      </c>
      <c r="I1423" t="s">
        <v>27392</v>
      </c>
      <c r="J1423" t="s">
        <v>5493</v>
      </c>
      <c r="K1423" t="s">
        <v>74</v>
      </c>
      <c r="L1423" t="s">
        <v>74</v>
      </c>
      <c r="M1423" t="s">
        <v>74</v>
      </c>
      <c r="N1423" t="s">
        <v>103</v>
      </c>
      <c r="O1423" t="s">
        <v>74</v>
      </c>
      <c r="P1423" t="s">
        <v>74</v>
      </c>
      <c r="Q1423" t="s">
        <v>74</v>
      </c>
      <c r="R1423" t="s">
        <v>74</v>
      </c>
      <c r="S1423" t="s">
        <v>74</v>
      </c>
      <c r="T1423" t="s">
        <v>27393</v>
      </c>
      <c r="U1423" t="s">
        <v>27394</v>
      </c>
      <c r="V1423" t="s">
        <v>27395</v>
      </c>
      <c r="W1423" t="s">
        <v>27396</v>
      </c>
      <c r="X1423" t="s">
        <v>27397</v>
      </c>
      <c r="Y1423" t="s">
        <v>27398</v>
      </c>
      <c r="Z1423" t="s">
        <v>27399</v>
      </c>
      <c r="AA1423" t="s">
        <v>27400</v>
      </c>
      <c r="AB1423" t="s">
        <v>27401</v>
      </c>
      <c r="AC1423" t="s">
        <v>74</v>
      </c>
      <c r="AD1423" t="s">
        <v>74</v>
      </c>
      <c r="AE1423" t="s">
        <v>74</v>
      </c>
      <c r="AF1423" t="s">
        <v>74</v>
      </c>
      <c r="AG1423">
        <v>55</v>
      </c>
      <c r="AH1423">
        <v>6</v>
      </c>
      <c r="AI1423">
        <v>6</v>
      </c>
      <c r="AJ1423">
        <v>2</v>
      </c>
      <c r="AK1423">
        <v>26</v>
      </c>
      <c r="AL1423" t="s">
        <v>74</v>
      </c>
      <c r="AM1423" t="s">
        <v>74</v>
      </c>
      <c r="AN1423" t="s">
        <v>74</v>
      </c>
      <c r="AO1423" t="s">
        <v>5503</v>
      </c>
      <c r="AP1423" t="s">
        <v>74</v>
      </c>
      <c r="AQ1423" t="s">
        <v>74</v>
      </c>
      <c r="AR1423" t="s">
        <v>74</v>
      </c>
      <c r="AS1423" t="s">
        <v>74</v>
      </c>
      <c r="AT1423" t="s">
        <v>230</v>
      </c>
      <c r="AU1423">
        <v>2017</v>
      </c>
      <c r="AV1423">
        <v>9</v>
      </c>
      <c r="AW1423">
        <v>8</v>
      </c>
      <c r="AX1423" t="s">
        <v>74</v>
      </c>
      <c r="AY1423" t="s">
        <v>74</v>
      </c>
      <c r="AZ1423" t="s">
        <v>74</v>
      </c>
      <c r="BA1423" t="s">
        <v>74</v>
      </c>
      <c r="BB1423" t="s">
        <v>74</v>
      </c>
      <c r="BC1423" t="s">
        <v>74</v>
      </c>
      <c r="BD1423">
        <v>207</v>
      </c>
      <c r="BE1423" t="s">
        <v>27402</v>
      </c>
      <c r="BF1423" t="str">
        <f>HYPERLINK("http://dx.doi.org/10.3390/v9080207","http://dx.doi.org/10.3390/v9080207")</f>
        <v>http://dx.doi.org/10.3390/v9080207</v>
      </c>
      <c r="BG1423" t="s">
        <v>74</v>
      </c>
      <c r="BH1423" t="s">
        <v>74</v>
      </c>
      <c r="BI1423" t="s">
        <v>74</v>
      </c>
      <c r="BJ1423" t="s">
        <v>932</v>
      </c>
      <c r="BK1423" t="s">
        <v>117</v>
      </c>
      <c r="BL1423" t="s">
        <v>932</v>
      </c>
      <c r="BM1423" t="s">
        <v>74</v>
      </c>
      <c r="BN1423">
        <v>28771197</v>
      </c>
      <c r="BO1423" t="s">
        <v>74</v>
      </c>
      <c r="BP1423" t="s">
        <v>74</v>
      </c>
      <c r="BQ1423" t="s">
        <v>74</v>
      </c>
      <c r="BR1423" t="s">
        <v>96</v>
      </c>
      <c r="BS1423" t="s">
        <v>27403</v>
      </c>
      <c r="BT1423" t="str">
        <f>HYPERLINK("https%3A%2F%2Fwww.webofscience.com%2Fwos%2Fwoscc%2Ffull-record%2FWOS:000408742900012","View Full Record in Web of Science")</f>
        <v>View Full Record in Web of Science</v>
      </c>
    </row>
    <row r="1424" spans="1:72" x14ac:dyDescent="0.15">
      <c r="A1424" t="s">
        <v>98</v>
      </c>
      <c r="B1424" t="s">
        <v>27942</v>
      </c>
      <c r="C1424" t="s">
        <v>74</v>
      </c>
      <c r="D1424" t="s">
        <v>74</v>
      </c>
      <c r="E1424" t="s">
        <v>74</v>
      </c>
      <c r="F1424" t="s">
        <v>27943</v>
      </c>
      <c r="G1424" t="s">
        <v>74</v>
      </c>
      <c r="H1424" t="s">
        <v>74</v>
      </c>
      <c r="I1424" t="s">
        <v>27944</v>
      </c>
      <c r="J1424" t="s">
        <v>15659</v>
      </c>
      <c r="K1424" t="s">
        <v>74</v>
      </c>
      <c r="L1424" t="s">
        <v>74</v>
      </c>
      <c r="M1424" t="s">
        <v>74</v>
      </c>
      <c r="N1424" t="s">
        <v>103</v>
      </c>
      <c r="O1424" t="s">
        <v>74</v>
      </c>
      <c r="P1424" t="s">
        <v>74</v>
      </c>
      <c r="Q1424" t="s">
        <v>74</v>
      </c>
      <c r="R1424" t="s">
        <v>74</v>
      </c>
      <c r="S1424" t="s">
        <v>74</v>
      </c>
      <c r="T1424" t="s">
        <v>74</v>
      </c>
      <c r="U1424" t="s">
        <v>27945</v>
      </c>
      <c r="V1424" t="s">
        <v>27946</v>
      </c>
      <c r="W1424" t="s">
        <v>27947</v>
      </c>
      <c r="X1424" t="s">
        <v>27948</v>
      </c>
      <c r="Y1424" t="s">
        <v>27949</v>
      </c>
      <c r="Z1424" t="s">
        <v>27950</v>
      </c>
      <c r="AA1424" t="s">
        <v>74</v>
      </c>
      <c r="AB1424" t="s">
        <v>27951</v>
      </c>
      <c r="AC1424" t="s">
        <v>74</v>
      </c>
      <c r="AD1424" t="s">
        <v>74</v>
      </c>
      <c r="AE1424" t="s">
        <v>74</v>
      </c>
      <c r="AF1424" t="s">
        <v>74</v>
      </c>
      <c r="AG1424">
        <v>55</v>
      </c>
      <c r="AH1424">
        <v>6</v>
      </c>
      <c r="AI1424">
        <v>6</v>
      </c>
      <c r="AJ1424">
        <v>3</v>
      </c>
      <c r="AK1424">
        <v>10</v>
      </c>
      <c r="AL1424" t="s">
        <v>74</v>
      </c>
      <c r="AM1424" t="s">
        <v>74</v>
      </c>
      <c r="AN1424" t="s">
        <v>74</v>
      </c>
      <c r="AO1424" t="s">
        <v>15668</v>
      </c>
      <c r="AP1424" t="s">
        <v>15669</v>
      </c>
      <c r="AQ1424" t="s">
        <v>74</v>
      </c>
      <c r="AR1424" t="s">
        <v>74</v>
      </c>
      <c r="AS1424" t="s">
        <v>74</v>
      </c>
      <c r="AT1424" t="s">
        <v>27952</v>
      </c>
      <c r="AU1424">
        <v>2021</v>
      </c>
      <c r="AV1424">
        <v>2021</v>
      </c>
      <c r="AW1424" t="s">
        <v>74</v>
      </c>
      <c r="AX1424" t="s">
        <v>74</v>
      </c>
      <c r="AY1424" t="s">
        <v>74</v>
      </c>
      <c r="AZ1424" t="s">
        <v>74</v>
      </c>
      <c r="BA1424" t="s">
        <v>74</v>
      </c>
      <c r="BB1424" t="s">
        <v>74</v>
      </c>
      <c r="BC1424" t="s">
        <v>74</v>
      </c>
      <c r="BD1424">
        <v>6697861</v>
      </c>
      <c r="BE1424" t="s">
        <v>27953</v>
      </c>
      <c r="BF1424" t="str">
        <f>HYPERLINK("http://dx.doi.org/10.1155/2021/6697861","http://dx.doi.org/10.1155/2021/6697861")</f>
        <v>http://dx.doi.org/10.1155/2021/6697861</v>
      </c>
      <c r="BG1424" t="s">
        <v>74</v>
      </c>
      <c r="BH1424" t="s">
        <v>74</v>
      </c>
      <c r="BI1424" t="s">
        <v>74</v>
      </c>
      <c r="BJ1424" t="s">
        <v>135</v>
      </c>
      <c r="BK1424" t="s">
        <v>117</v>
      </c>
      <c r="BL1424" t="s">
        <v>135</v>
      </c>
      <c r="BM1424" t="s">
        <v>74</v>
      </c>
      <c r="BN1424">
        <v>34373767</v>
      </c>
      <c r="BO1424" t="s">
        <v>74</v>
      </c>
      <c r="BP1424" t="s">
        <v>74</v>
      </c>
      <c r="BQ1424" t="s">
        <v>74</v>
      </c>
      <c r="BR1424" t="s">
        <v>96</v>
      </c>
      <c r="BS1424" t="s">
        <v>27954</v>
      </c>
      <c r="BT1424" t="str">
        <f>HYPERLINK("https%3A%2F%2Fwww.webofscience.com%2Fwos%2Fwoscc%2Ffull-record%2FWOS:000684846300007","View Full Record in Web of Science")</f>
        <v>View Full Record in Web of Science</v>
      </c>
    </row>
    <row r="1425" spans="1:72" x14ac:dyDescent="0.15">
      <c r="A1425" t="s">
        <v>98</v>
      </c>
      <c r="B1425" t="s">
        <v>28024</v>
      </c>
      <c r="C1425" t="s">
        <v>74</v>
      </c>
      <c r="D1425" t="s">
        <v>74</v>
      </c>
      <c r="E1425" t="s">
        <v>74</v>
      </c>
      <c r="F1425" t="s">
        <v>28025</v>
      </c>
      <c r="G1425" t="s">
        <v>74</v>
      </c>
      <c r="H1425" t="s">
        <v>74</v>
      </c>
      <c r="I1425" t="s">
        <v>28026</v>
      </c>
      <c r="J1425" t="s">
        <v>2833</v>
      </c>
      <c r="K1425" t="s">
        <v>74</v>
      </c>
      <c r="L1425" t="s">
        <v>74</v>
      </c>
      <c r="M1425" t="s">
        <v>74</v>
      </c>
      <c r="N1425" t="s">
        <v>103</v>
      </c>
      <c r="O1425" t="s">
        <v>74</v>
      </c>
      <c r="P1425" t="s">
        <v>74</v>
      </c>
      <c r="Q1425" t="s">
        <v>74</v>
      </c>
      <c r="R1425" t="s">
        <v>74</v>
      </c>
      <c r="S1425" t="s">
        <v>74</v>
      </c>
      <c r="T1425" t="s">
        <v>28027</v>
      </c>
      <c r="U1425" t="s">
        <v>28028</v>
      </c>
      <c r="V1425" t="s">
        <v>28029</v>
      </c>
      <c r="W1425" t="s">
        <v>28030</v>
      </c>
      <c r="X1425" t="s">
        <v>28031</v>
      </c>
      <c r="Y1425" t="s">
        <v>28032</v>
      </c>
      <c r="Z1425" t="s">
        <v>28033</v>
      </c>
      <c r="AA1425" t="s">
        <v>74</v>
      </c>
      <c r="AB1425" t="s">
        <v>28034</v>
      </c>
      <c r="AC1425" t="s">
        <v>74</v>
      </c>
      <c r="AD1425" t="s">
        <v>74</v>
      </c>
      <c r="AE1425" t="s">
        <v>74</v>
      </c>
      <c r="AF1425" t="s">
        <v>74</v>
      </c>
      <c r="AG1425">
        <v>29</v>
      </c>
      <c r="AH1425">
        <v>6</v>
      </c>
      <c r="AI1425">
        <v>6</v>
      </c>
      <c r="AJ1425">
        <v>0</v>
      </c>
      <c r="AK1425">
        <v>1</v>
      </c>
      <c r="AL1425" t="s">
        <v>74</v>
      </c>
      <c r="AM1425" t="s">
        <v>74</v>
      </c>
      <c r="AN1425" t="s">
        <v>74</v>
      </c>
      <c r="AO1425" t="s">
        <v>2841</v>
      </c>
      <c r="AP1425" t="s">
        <v>2842</v>
      </c>
      <c r="AQ1425" t="s">
        <v>74</v>
      </c>
      <c r="AR1425" t="s">
        <v>74</v>
      </c>
      <c r="AS1425" t="s">
        <v>74</v>
      </c>
      <c r="AT1425" t="s">
        <v>9294</v>
      </c>
      <c r="AU1425">
        <v>2017</v>
      </c>
      <c r="AV1425">
        <v>491</v>
      </c>
      <c r="AW1425">
        <v>4</v>
      </c>
      <c r="AX1425" t="s">
        <v>74</v>
      </c>
      <c r="AY1425" t="s">
        <v>74</v>
      </c>
      <c r="AZ1425" t="s">
        <v>74</v>
      </c>
      <c r="BA1425" t="s">
        <v>74</v>
      </c>
      <c r="BB1425">
        <v>953</v>
      </c>
      <c r="BC1425">
        <v>957</v>
      </c>
      <c r="BD1425" t="s">
        <v>74</v>
      </c>
      <c r="BE1425" t="s">
        <v>28035</v>
      </c>
      <c r="BF1425" t="str">
        <f>HYPERLINK("http://dx.doi.org/10.1016/j.bbrc.2017.07.141","http://dx.doi.org/10.1016/j.bbrc.2017.07.141")</f>
        <v>http://dx.doi.org/10.1016/j.bbrc.2017.07.141</v>
      </c>
      <c r="BG1425" t="s">
        <v>74</v>
      </c>
      <c r="BH1425" t="s">
        <v>74</v>
      </c>
      <c r="BI1425" t="s">
        <v>74</v>
      </c>
      <c r="BJ1425" t="s">
        <v>2845</v>
      </c>
      <c r="BK1425" t="s">
        <v>117</v>
      </c>
      <c r="BL1425" t="s">
        <v>2845</v>
      </c>
      <c r="BM1425" t="s">
        <v>74</v>
      </c>
      <c r="BN1425">
        <v>28756229</v>
      </c>
      <c r="BO1425" t="s">
        <v>74</v>
      </c>
      <c r="BP1425" t="s">
        <v>74</v>
      </c>
      <c r="BQ1425" t="s">
        <v>74</v>
      </c>
      <c r="BR1425" t="s">
        <v>96</v>
      </c>
      <c r="BS1425" t="s">
        <v>28036</v>
      </c>
      <c r="BT1425" t="str">
        <f>HYPERLINK("https%3A%2F%2Fwww.webofscience.com%2Fwos%2Fwoscc%2Ffull-record%2FWOS:000411169800014","View Full Record in Web of Science")</f>
        <v>View Full Record in Web of Science</v>
      </c>
    </row>
    <row r="1426" spans="1:72" x14ac:dyDescent="0.15">
      <c r="A1426" t="s">
        <v>98</v>
      </c>
      <c r="B1426" t="s">
        <v>28185</v>
      </c>
      <c r="C1426" t="s">
        <v>74</v>
      </c>
      <c r="D1426" t="s">
        <v>74</v>
      </c>
      <c r="E1426" t="s">
        <v>74</v>
      </c>
      <c r="F1426" t="s">
        <v>28186</v>
      </c>
      <c r="G1426" t="s">
        <v>74</v>
      </c>
      <c r="H1426" t="s">
        <v>74</v>
      </c>
      <c r="I1426" t="s">
        <v>28187</v>
      </c>
      <c r="J1426" t="s">
        <v>28188</v>
      </c>
      <c r="K1426" t="s">
        <v>74</v>
      </c>
      <c r="L1426" t="s">
        <v>74</v>
      </c>
      <c r="M1426" t="s">
        <v>74</v>
      </c>
      <c r="N1426" t="s">
        <v>103</v>
      </c>
      <c r="O1426" t="s">
        <v>74</v>
      </c>
      <c r="P1426" t="s">
        <v>74</v>
      </c>
      <c r="Q1426" t="s">
        <v>74</v>
      </c>
      <c r="R1426" t="s">
        <v>74</v>
      </c>
      <c r="S1426" t="s">
        <v>74</v>
      </c>
      <c r="T1426" t="s">
        <v>28189</v>
      </c>
      <c r="U1426" t="s">
        <v>28190</v>
      </c>
      <c r="V1426" t="s">
        <v>28191</v>
      </c>
      <c r="W1426" t="s">
        <v>28192</v>
      </c>
      <c r="X1426" t="s">
        <v>28193</v>
      </c>
      <c r="Y1426" t="s">
        <v>28194</v>
      </c>
      <c r="Z1426" t="s">
        <v>28195</v>
      </c>
      <c r="AA1426" t="s">
        <v>28196</v>
      </c>
      <c r="AB1426" t="s">
        <v>28197</v>
      </c>
      <c r="AC1426" t="s">
        <v>74</v>
      </c>
      <c r="AD1426" t="s">
        <v>74</v>
      </c>
      <c r="AE1426" t="s">
        <v>74</v>
      </c>
      <c r="AF1426" t="s">
        <v>74</v>
      </c>
      <c r="AG1426">
        <v>85</v>
      </c>
      <c r="AH1426">
        <v>6</v>
      </c>
      <c r="AI1426">
        <v>7</v>
      </c>
      <c r="AJ1426">
        <v>0</v>
      </c>
      <c r="AK1426">
        <v>47</v>
      </c>
      <c r="AL1426" t="s">
        <v>74</v>
      </c>
      <c r="AM1426" t="s">
        <v>74</v>
      </c>
      <c r="AN1426" t="s">
        <v>74</v>
      </c>
      <c r="AO1426" t="s">
        <v>28198</v>
      </c>
      <c r="AP1426" t="s">
        <v>28199</v>
      </c>
      <c r="AQ1426" t="s">
        <v>74</v>
      </c>
      <c r="AR1426" t="s">
        <v>74</v>
      </c>
      <c r="AS1426" t="s">
        <v>74</v>
      </c>
      <c r="AT1426" t="s">
        <v>9170</v>
      </c>
      <c r="AU1426">
        <v>2016</v>
      </c>
      <c r="AV1426">
        <v>790</v>
      </c>
      <c r="AW1426" t="s">
        <v>74</v>
      </c>
      <c r="AX1426" t="s">
        <v>74</v>
      </c>
      <c r="AY1426" t="s">
        <v>74</v>
      </c>
      <c r="AZ1426" t="s">
        <v>74</v>
      </c>
      <c r="BA1426" t="s">
        <v>74</v>
      </c>
      <c r="BB1426">
        <v>99</v>
      </c>
      <c r="BC1426">
        <v>108</v>
      </c>
      <c r="BD1426" t="s">
        <v>74</v>
      </c>
      <c r="BE1426" t="s">
        <v>28200</v>
      </c>
      <c r="BF1426" t="str">
        <f>HYPERLINK("http://dx.doi.org/10.1016/j.ejphar.2016.07.037","http://dx.doi.org/10.1016/j.ejphar.2016.07.037")</f>
        <v>http://dx.doi.org/10.1016/j.ejphar.2016.07.037</v>
      </c>
      <c r="BG1426" t="s">
        <v>74</v>
      </c>
      <c r="BH1426" t="s">
        <v>74</v>
      </c>
      <c r="BI1426" t="s">
        <v>74</v>
      </c>
      <c r="BJ1426" t="s">
        <v>533</v>
      </c>
      <c r="BK1426" t="s">
        <v>117</v>
      </c>
      <c r="BL1426" t="s">
        <v>533</v>
      </c>
      <c r="BM1426" t="s">
        <v>74</v>
      </c>
      <c r="BN1426">
        <v>27455903</v>
      </c>
      <c r="BO1426" t="s">
        <v>74</v>
      </c>
      <c r="BP1426" t="s">
        <v>74</v>
      </c>
      <c r="BQ1426" t="s">
        <v>74</v>
      </c>
      <c r="BR1426" t="s">
        <v>96</v>
      </c>
      <c r="BS1426" t="s">
        <v>28201</v>
      </c>
      <c r="BT1426" t="str">
        <f>HYPERLINK("https%3A%2F%2Fwww.webofscience.com%2Fwos%2Fwoscc%2Ffull-record%2FWOS:000385531800013","View Full Record in Web of Science")</f>
        <v>View Full Record in Web of Science</v>
      </c>
    </row>
    <row r="1427" spans="1:72" x14ac:dyDescent="0.15">
      <c r="A1427" t="s">
        <v>98</v>
      </c>
      <c r="B1427" t="s">
        <v>28673</v>
      </c>
      <c r="C1427" t="s">
        <v>74</v>
      </c>
      <c r="D1427" t="s">
        <v>74</v>
      </c>
      <c r="E1427" t="s">
        <v>74</v>
      </c>
      <c r="F1427" t="s">
        <v>28674</v>
      </c>
      <c r="G1427" t="s">
        <v>74</v>
      </c>
      <c r="H1427" t="s">
        <v>74</v>
      </c>
      <c r="I1427" t="s">
        <v>28675</v>
      </c>
      <c r="J1427" t="s">
        <v>27377</v>
      </c>
      <c r="K1427" t="s">
        <v>74</v>
      </c>
      <c r="L1427" t="s">
        <v>74</v>
      </c>
      <c r="M1427" t="s">
        <v>74</v>
      </c>
      <c r="N1427" t="s">
        <v>103</v>
      </c>
      <c r="O1427" t="s">
        <v>74</v>
      </c>
      <c r="P1427" t="s">
        <v>74</v>
      </c>
      <c r="Q1427" t="s">
        <v>74</v>
      </c>
      <c r="R1427" t="s">
        <v>74</v>
      </c>
      <c r="S1427" t="s">
        <v>74</v>
      </c>
      <c r="T1427" t="s">
        <v>28676</v>
      </c>
      <c r="U1427" t="s">
        <v>28677</v>
      </c>
      <c r="V1427" t="s">
        <v>28678</v>
      </c>
      <c r="W1427" t="s">
        <v>28679</v>
      </c>
      <c r="X1427" t="s">
        <v>28680</v>
      </c>
      <c r="Y1427" t="s">
        <v>28681</v>
      </c>
      <c r="Z1427" t="s">
        <v>28682</v>
      </c>
      <c r="AA1427" t="s">
        <v>74</v>
      </c>
      <c r="AB1427" t="s">
        <v>28683</v>
      </c>
      <c r="AC1427" t="s">
        <v>74</v>
      </c>
      <c r="AD1427" t="s">
        <v>74</v>
      </c>
      <c r="AE1427" t="s">
        <v>74</v>
      </c>
      <c r="AF1427" t="s">
        <v>74</v>
      </c>
      <c r="AG1427">
        <v>38</v>
      </c>
      <c r="AH1427">
        <v>6</v>
      </c>
      <c r="AI1427">
        <v>9</v>
      </c>
      <c r="AJ1427">
        <v>0</v>
      </c>
      <c r="AK1427">
        <v>4</v>
      </c>
      <c r="AL1427" t="s">
        <v>74</v>
      </c>
      <c r="AM1427" t="s">
        <v>74</v>
      </c>
      <c r="AN1427" t="s">
        <v>74</v>
      </c>
      <c r="AO1427" t="s">
        <v>27386</v>
      </c>
      <c r="AP1427" t="s">
        <v>27387</v>
      </c>
      <c r="AQ1427" t="s">
        <v>74</v>
      </c>
      <c r="AR1427" t="s">
        <v>74</v>
      </c>
      <c r="AS1427" t="s">
        <v>74</v>
      </c>
      <c r="AT1427" t="s">
        <v>189</v>
      </c>
      <c r="AU1427">
        <v>2018</v>
      </c>
      <c r="AV1427">
        <v>29</v>
      </c>
      <c r="AW1427">
        <v>10</v>
      </c>
      <c r="AX1427" t="s">
        <v>74</v>
      </c>
      <c r="AY1427" t="s">
        <v>74</v>
      </c>
      <c r="AZ1427" t="s">
        <v>74</v>
      </c>
      <c r="BA1427" t="s">
        <v>74</v>
      </c>
      <c r="BB1427">
        <v>2482</v>
      </c>
      <c r="BC1427">
        <v>2492</v>
      </c>
      <c r="BD1427" t="s">
        <v>74</v>
      </c>
      <c r="BE1427" t="s">
        <v>28684</v>
      </c>
      <c r="BF1427" t="str">
        <f>HYPERLINK("http://dx.doi.org/10.1681/ASN.2018040442","http://dx.doi.org/10.1681/ASN.2018040442")</f>
        <v>http://dx.doi.org/10.1681/ASN.2018040442</v>
      </c>
      <c r="BG1427" t="s">
        <v>74</v>
      </c>
      <c r="BH1427" t="s">
        <v>74</v>
      </c>
      <c r="BI1427" t="s">
        <v>74</v>
      </c>
      <c r="BJ1427" t="s">
        <v>2193</v>
      </c>
      <c r="BK1427" t="s">
        <v>117</v>
      </c>
      <c r="BL1427" t="s">
        <v>2193</v>
      </c>
      <c r="BM1427" t="s">
        <v>74</v>
      </c>
      <c r="BN1427">
        <v>30185468</v>
      </c>
      <c r="BO1427" t="s">
        <v>74</v>
      </c>
      <c r="BP1427" t="s">
        <v>74</v>
      </c>
      <c r="BQ1427" t="s">
        <v>74</v>
      </c>
      <c r="BR1427" t="s">
        <v>96</v>
      </c>
      <c r="BS1427" t="s">
        <v>28685</v>
      </c>
      <c r="BT1427" t="str">
        <f>HYPERLINK("https%3A%2F%2Fwww.webofscience.com%2Fwos%2Fwoscc%2Ffull-record%2FWOS:000448256700008","View Full Record in Web of Science")</f>
        <v>View Full Record in Web of Science</v>
      </c>
    </row>
    <row r="1428" spans="1:72" x14ac:dyDescent="0.15">
      <c r="A1428" t="s">
        <v>72</v>
      </c>
      <c r="B1428" t="s">
        <v>29943</v>
      </c>
      <c r="C1428" t="s">
        <v>74</v>
      </c>
      <c r="D1428" t="s">
        <v>29263</v>
      </c>
      <c r="E1428" t="s">
        <v>74</v>
      </c>
      <c r="F1428" t="s">
        <v>29944</v>
      </c>
      <c r="G1428" t="s">
        <v>74</v>
      </c>
      <c r="H1428" t="s">
        <v>74</v>
      </c>
      <c r="I1428" t="s">
        <v>29945</v>
      </c>
      <c r="J1428" t="s">
        <v>29266</v>
      </c>
      <c r="K1428" t="s">
        <v>79</v>
      </c>
      <c r="L1428" t="s">
        <v>74</v>
      </c>
      <c r="M1428" t="s">
        <v>74</v>
      </c>
      <c r="N1428" t="s">
        <v>80</v>
      </c>
      <c r="O1428" t="s">
        <v>74</v>
      </c>
      <c r="P1428" t="s">
        <v>74</v>
      </c>
      <c r="Q1428" t="s">
        <v>74</v>
      </c>
      <c r="R1428" t="s">
        <v>74</v>
      </c>
      <c r="S1428" t="s">
        <v>74</v>
      </c>
      <c r="T1428" t="s">
        <v>29946</v>
      </c>
      <c r="U1428" t="s">
        <v>29947</v>
      </c>
      <c r="V1428" t="s">
        <v>29948</v>
      </c>
      <c r="W1428" t="s">
        <v>29949</v>
      </c>
      <c r="X1428" t="s">
        <v>1368</v>
      </c>
      <c r="Y1428" t="s">
        <v>29950</v>
      </c>
      <c r="Z1428" t="s">
        <v>74</v>
      </c>
      <c r="AA1428" t="s">
        <v>74</v>
      </c>
      <c r="AB1428" t="s">
        <v>74</v>
      </c>
      <c r="AC1428" t="s">
        <v>74</v>
      </c>
      <c r="AD1428" t="s">
        <v>74</v>
      </c>
      <c r="AE1428" t="s">
        <v>74</v>
      </c>
      <c r="AF1428" t="s">
        <v>74</v>
      </c>
      <c r="AG1428">
        <v>42</v>
      </c>
      <c r="AH1428">
        <v>6</v>
      </c>
      <c r="AI1428">
        <v>7</v>
      </c>
      <c r="AJ1428">
        <v>0</v>
      </c>
      <c r="AK1428">
        <v>1</v>
      </c>
      <c r="AL1428" t="s">
        <v>74</v>
      </c>
      <c r="AM1428" t="s">
        <v>74</v>
      </c>
      <c r="AN1428" t="s">
        <v>74</v>
      </c>
      <c r="AO1428" t="s">
        <v>88</v>
      </c>
      <c r="AP1428" t="s">
        <v>89</v>
      </c>
      <c r="AQ1428" t="s">
        <v>29273</v>
      </c>
      <c r="AR1428" t="s">
        <v>74</v>
      </c>
      <c r="AS1428" t="s">
        <v>74</v>
      </c>
      <c r="AT1428" t="s">
        <v>74</v>
      </c>
      <c r="AU1428">
        <v>2016</v>
      </c>
      <c r="AV1428">
        <v>1448</v>
      </c>
      <c r="AW1428" t="s">
        <v>74</v>
      </c>
      <c r="AX1428" t="s">
        <v>74</v>
      </c>
      <c r="AY1428" t="s">
        <v>74</v>
      </c>
      <c r="AZ1428" t="s">
        <v>74</v>
      </c>
      <c r="BA1428" t="s">
        <v>74</v>
      </c>
      <c r="BB1428">
        <v>3</v>
      </c>
      <c r="BC1428">
        <v>21</v>
      </c>
      <c r="BD1428" t="s">
        <v>74</v>
      </c>
      <c r="BE1428" t="s">
        <v>29951</v>
      </c>
      <c r="BF1428" t="str">
        <f>HYPERLINK("http://dx.doi.org/10.1007/978-1-4939-3753-0_1","http://dx.doi.org/10.1007/978-1-4939-3753-0_1")</f>
        <v>http://dx.doi.org/10.1007/978-1-4939-3753-0_1</v>
      </c>
      <c r="BG1428" t="s">
        <v>29275</v>
      </c>
      <c r="BH1428" t="s">
        <v>74</v>
      </c>
      <c r="BI1428" t="s">
        <v>74</v>
      </c>
      <c r="BJ1428" t="s">
        <v>8267</v>
      </c>
      <c r="BK1428" t="s">
        <v>94</v>
      </c>
      <c r="BL1428" t="s">
        <v>950</v>
      </c>
      <c r="BM1428" t="s">
        <v>74</v>
      </c>
      <c r="BN1428">
        <v>27317169</v>
      </c>
      <c r="BO1428" t="s">
        <v>74</v>
      </c>
      <c r="BP1428" t="s">
        <v>74</v>
      </c>
      <c r="BQ1428" t="s">
        <v>74</v>
      </c>
      <c r="BR1428" t="s">
        <v>96</v>
      </c>
      <c r="BS1428" t="s">
        <v>29952</v>
      </c>
      <c r="BT1428" t="str">
        <f>HYPERLINK("https%3A%2F%2Fwww.webofscience.com%2Fwos%2Fwoscc%2Ffull-record%2FWOS:000386788700002","View Full Record in Web of Science")</f>
        <v>View Full Record in Web of Science</v>
      </c>
    </row>
    <row r="1429" spans="1:72" x14ac:dyDescent="0.15">
      <c r="A1429" t="s">
        <v>98</v>
      </c>
      <c r="B1429" t="s">
        <v>602</v>
      </c>
      <c r="C1429" t="s">
        <v>74</v>
      </c>
      <c r="D1429" t="s">
        <v>74</v>
      </c>
      <c r="E1429" t="s">
        <v>74</v>
      </c>
      <c r="F1429" t="s">
        <v>603</v>
      </c>
      <c r="G1429" t="s">
        <v>74</v>
      </c>
      <c r="H1429" t="s">
        <v>74</v>
      </c>
      <c r="I1429" t="s">
        <v>604</v>
      </c>
      <c r="J1429" t="s">
        <v>123</v>
      </c>
      <c r="K1429" t="s">
        <v>74</v>
      </c>
      <c r="L1429" t="s">
        <v>74</v>
      </c>
      <c r="M1429" t="s">
        <v>74</v>
      </c>
      <c r="N1429" t="s">
        <v>103</v>
      </c>
      <c r="O1429" t="s">
        <v>74</v>
      </c>
      <c r="P1429" t="s">
        <v>74</v>
      </c>
      <c r="Q1429" t="s">
        <v>74</v>
      </c>
      <c r="R1429" t="s">
        <v>74</v>
      </c>
      <c r="S1429" t="s">
        <v>74</v>
      </c>
      <c r="T1429" t="s">
        <v>605</v>
      </c>
      <c r="U1429" t="s">
        <v>606</v>
      </c>
      <c r="V1429" t="s">
        <v>607</v>
      </c>
      <c r="W1429" t="s">
        <v>608</v>
      </c>
      <c r="X1429" t="s">
        <v>609</v>
      </c>
      <c r="Y1429" t="s">
        <v>610</v>
      </c>
      <c r="Z1429" t="s">
        <v>611</v>
      </c>
      <c r="AA1429" t="s">
        <v>612</v>
      </c>
      <c r="AB1429" t="s">
        <v>613</v>
      </c>
      <c r="AC1429" t="s">
        <v>74</v>
      </c>
      <c r="AD1429" t="s">
        <v>74</v>
      </c>
      <c r="AE1429" t="s">
        <v>74</v>
      </c>
      <c r="AF1429" t="s">
        <v>74</v>
      </c>
      <c r="AG1429">
        <v>59</v>
      </c>
      <c r="AH1429">
        <v>5</v>
      </c>
      <c r="AI1429">
        <v>5</v>
      </c>
      <c r="AJ1429">
        <v>21</v>
      </c>
      <c r="AK1429">
        <v>52</v>
      </c>
      <c r="AL1429" t="s">
        <v>74</v>
      </c>
      <c r="AM1429" t="s">
        <v>74</v>
      </c>
      <c r="AN1429" t="s">
        <v>74</v>
      </c>
      <c r="AO1429" t="s">
        <v>74</v>
      </c>
      <c r="AP1429" t="s">
        <v>131</v>
      </c>
      <c r="AQ1429" t="s">
        <v>74</v>
      </c>
      <c r="AR1429" t="s">
        <v>74</v>
      </c>
      <c r="AS1429" t="s">
        <v>74</v>
      </c>
      <c r="AT1429" t="s">
        <v>614</v>
      </c>
      <c r="AU1429">
        <v>2021</v>
      </c>
      <c r="AV1429">
        <v>10</v>
      </c>
      <c r="AW1429">
        <v>9</v>
      </c>
      <c r="AX1429" t="s">
        <v>74</v>
      </c>
      <c r="AY1429" t="s">
        <v>74</v>
      </c>
      <c r="AZ1429" t="s">
        <v>74</v>
      </c>
      <c r="BA1429" t="s">
        <v>74</v>
      </c>
      <c r="BB1429" t="s">
        <v>74</v>
      </c>
      <c r="BC1429" t="s">
        <v>74</v>
      </c>
      <c r="BD1429" t="s">
        <v>615</v>
      </c>
      <c r="BE1429" t="s">
        <v>616</v>
      </c>
      <c r="BF1429" t="str">
        <f>HYPERLINK("http://dx.doi.org/10.1002/jev2.12120","http://dx.doi.org/10.1002/jev2.12120")</f>
        <v>http://dx.doi.org/10.1002/jev2.12120</v>
      </c>
      <c r="BG1429" t="s">
        <v>74</v>
      </c>
      <c r="BH1429" t="s">
        <v>74</v>
      </c>
      <c r="BI1429" t="s">
        <v>74</v>
      </c>
      <c r="BJ1429" t="s">
        <v>135</v>
      </c>
      <c r="BK1429" t="s">
        <v>117</v>
      </c>
      <c r="BL1429" t="s">
        <v>135</v>
      </c>
      <c r="BM1429" t="s">
        <v>74</v>
      </c>
      <c r="BN1429">
        <v>34262675</v>
      </c>
      <c r="BO1429" t="s">
        <v>74</v>
      </c>
      <c r="BP1429" t="s">
        <v>74</v>
      </c>
      <c r="BQ1429" t="s">
        <v>74</v>
      </c>
      <c r="BR1429" t="s">
        <v>96</v>
      </c>
      <c r="BS1429" t="s">
        <v>617</v>
      </c>
      <c r="BT1429" t="str">
        <f>HYPERLINK("https%3A%2F%2Fwww.webofscience.com%2Fwos%2Fwoscc%2Ffull-record%2FWOS:000669197100001","View Full Record in Web of Science")</f>
        <v>View Full Record in Web of Science</v>
      </c>
    </row>
    <row r="1430" spans="1:72" x14ac:dyDescent="0.15">
      <c r="A1430" t="s">
        <v>72</v>
      </c>
      <c r="B1430" t="s">
        <v>724</v>
      </c>
      <c r="C1430" t="s">
        <v>74</v>
      </c>
      <c r="D1430" t="s">
        <v>708</v>
      </c>
      <c r="E1430" t="s">
        <v>74</v>
      </c>
      <c r="F1430" t="s">
        <v>725</v>
      </c>
      <c r="G1430" t="s">
        <v>74</v>
      </c>
      <c r="H1430" t="s">
        <v>74</v>
      </c>
      <c r="I1430" t="s">
        <v>710</v>
      </c>
      <c r="J1430" t="s">
        <v>726</v>
      </c>
      <c r="K1430" t="s">
        <v>79</v>
      </c>
      <c r="L1430" t="s">
        <v>74</v>
      </c>
      <c r="M1430" t="s">
        <v>74</v>
      </c>
      <c r="N1430" t="s">
        <v>80</v>
      </c>
      <c r="O1430" t="s">
        <v>74</v>
      </c>
      <c r="P1430" t="s">
        <v>74</v>
      </c>
      <c r="Q1430" t="s">
        <v>74</v>
      </c>
      <c r="R1430" t="s">
        <v>74</v>
      </c>
      <c r="S1430" t="s">
        <v>74</v>
      </c>
      <c r="T1430" t="s">
        <v>727</v>
      </c>
      <c r="U1430" t="s">
        <v>728</v>
      </c>
      <c r="V1430" t="s">
        <v>729</v>
      </c>
      <c r="W1430" t="s">
        <v>730</v>
      </c>
      <c r="X1430" t="s">
        <v>731</v>
      </c>
      <c r="Y1430" t="s">
        <v>732</v>
      </c>
      <c r="Z1430" t="s">
        <v>74</v>
      </c>
      <c r="AA1430" t="s">
        <v>74</v>
      </c>
      <c r="AB1430" t="s">
        <v>719</v>
      </c>
      <c r="AC1430" t="s">
        <v>74</v>
      </c>
      <c r="AD1430" t="s">
        <v>74</v>
      </c>
      <c r="AE1430" t="s">
        <v>74</v>
      </c>
      <c r="AF1430" t="s">
        <v>74</v>
      </c>
      <c r="AG1430">
        <v>15</v>
      </c>
      <c r="AH1430">
        <v>5</v>
      </c>
      <c r="AI1430">
        <v>5</v>
      </c>
      <c r="AJ1430">
        <v>4</v>
      </c>
      <c r="AK1430">
        <v>7</v>
      </c>
      <c r="AL1430" t="s">
        <v>74</v>
      </c>
      <c r="AM1430" t="s">
        <v>74</v>
      </c>
      <c r="AN1430" t="s">
        <v>74</v>
      </c>
      <c r="AO1430" t="s">
        <v>88</v>
      </c>
      <c r="AP1430" t="s">
        <v>89</v>
      </c>
      <c r="AQ1430" t="s">
        <v>733</v>
      </c>
      <c r="AR1430" t="s">
        <v>74</v>
      </c>
      <c r="AS1430" t="s">
        <v>74</v>
      </c>
      <c r="AT1430" t="s">
        <v>74</v>
      </c>
      <c r="AU1430">
        <v>2021</v>
      </c>
      <c r="AV1430">
        <v>2261</v>
      </c>
      <c r="AW1430" t="s">
        <v>74</v>
      </c>
      <c r="AX1430" t="s">
        <v>74</v>
      </c>
      <c r="AY1430" t="s">
        <v>74</v>
      </c>
      <c r="AZ1430" t="s">
        <v>74</v>
      </c>
      <c r="BA1430" t="s">
        <v>74</v>
      </c>
      <c r="BB1430">
        <v>193</v>
      </c>
      <c r="BC1430">
        <v>206</v>
      </c>
      <c r="BD1430" t="s">
        <v>74</v>
      </c>
      <c r="BE1430" t="s">
        <v>734</v>
      </c>
      <c r="BF1430" t="str">
        <f>HYPERLINK("http://dx.doi.org/10.1007/978-1-0716-1186-9_11","http://dx.doi.org/10.1007/978-1-0716-1186-9_11")</f>
        <v>http://dx.doi.org/10.1007/978-1-0716-1186-9_11</v>
      </c>
      <c r="BG1430" t="s">
        <v>735</v>
      </c>
      <c r="BH1430" t="s">
        <v>74</v>
      </c>
      <c r="BI1430" t="s">
        <v>74</v>
      </c>
      <c r="BJ1430" t="s">
        <v>93</v>
      </c>
      <c r="BK1430" t="s">
        <v>94</v>
      </c>
      <c r="BL1430" t="s">
        <v>95</v>
      </c>
      <c r="BM1430" t="s">
        <v>74</v>
      </c>
      <c r="BN1430">
        <v>33420990</v>
      </c>
      <c r="BO1430" t="s">
        <v>74</v>
      </c>
      <c r="BP1430" t="s">
        <v>74</v>
      </c>
      <c r="BQ1430" t="s">
        <v>74</v>
      </c>
      <c r="BR1430" t="s">
        <v>96</v>
      </c>
      <c r="BS1430" t="s">
        <v>736</v>
      </c>
      <c r="BT1430" t="str">
        <f>HYPERLINK("https%3A%2F%2Fwww.webofscience.com%2Fwos%2Fwoscc%2Ffull-record%2FWOS:000688758500012","View Full Record in Web of Science")</f>
        <v>View Full Record in Web of Science</v>
      </c>
    </row>
    <row r="1431" spans="1:72" x14ac:dyDescent="0.15">
      <c r="A1431" t="s">
        <v>98</v>
      </c>
      <c r="B1431" t="s">
        <v>1392</v>
      </c>
      <c r="C1431" t="s">
        <v>74</v>
      </c>
      <c r="D1431" t="s">
        <v>74</v>
      </c>
      <c r="E1431" t="s">
        <v>74</v>
      </c>
      <c r="F1431" t="s">
        <v>1393</v>
      </c>
      <c r="G1431" t="s">
        <v>74</v>
      </c>
      <c r="H1431" t="s">
        <v>1394</v>
      </c>
      <c r="I1431" t="s">
        <v>1395</v>
      </c>
      <c r="J1431" t="s">
        <v>1396</v>
      </c>
      <c r="K1431" t="s">
        <v>74</v>
      </c>
      <c r="L1431" t="s">
        <v>74</v>
      </c>
      <c r="M1431" t="s">
        <v>74</v>
      </c>
      <c r="N1431" t="s">
        <v>103</v>
      </c>
      <c r="O1431" t="s">
        <v>74</v>
      </c>
      <c r="P1431" t="s">
        <v>74</v>
      </c>
      <c r="Q1431" t="s">
        <v>74</v>
      </c>
      <c r="R1431" t="s">
        <v>74</v>
      </c>
      <c r="S1431" t="s">
        <v>74</v>
      </c>
      <c r="T1431" t="s">
        <v>1397</v>
      </c>
      <c r="U1431" t="s">
        <v>1398</v>
      </c>
      <c r="V1431" t="s">
        <v>1399</v>
      </c>
      <c r="W1431" t="s">
        <v>1400</v>
      </c>
      <c r="X1431" t="s">
        <v>1401</v>
      </c>
      <c r="Y1431" t="s">
        <v>1402</v>
      </c>
      <c r="Z1431" t="s">
        <v>1403</v>
      </c>
      <c r="AA1431" t="s">
        <v>1404</v>
      </c>
      <c r="AB1431" t="s">
        <v>1405</v>
      </c>
      <c r="AC1431" t="s">
        <v>74</v>
      </c>
      <c r="AD1431" t="s">
        <v>74</v>
      </c>
      <c r="AE1431" t="s">
        <v>74</v>
      </c>
      <c r="AF1431" t="s">
        <v>74</v>
      </c>
      <c r="AG1431">
        <v>50</v>
      </c>
      <c r="AH1431">
        <v>5</v>
      </c>
      <c r="AI1431">
        <v>5</v>
      </c>
      <c r="AJ1431">
        <v>5</v>
      </c>
      <c r="AK1431">
        <v>6</v>
      </c>
      <c r="AL1431" t="s">
        <v>74</v>
      </c>
      <c r="AM1431" t="s">
        <v>74</v>
      </c>
      <c r="AN1431" t="s">
        <v>74</v>
      </c>
      <c r="AO1431" t="s">
        <v>1406</v>
      </c>
      <c r="AP1431" t="s">
        <v>1407</v>
      </c>
      <c r="AQ1431" t="s">
        <v>74</v>
      </c>
      <c r="AR1431" t="s">
        <v>74</v>
      </c>
      <c r="AS1431" t="s">
        <v>74</v>
      </c>
      <c r="AT1431" t="s">
        <v>1408</v>
      </c>
      <c r="AU1431">
        <v>2022</v>
      </c>
      <c r="AV1431">
        <v>225</v>
      </c>
      <c r="AW1431">
        <v>6</v>
      </c>
      <c r="AX1431" t="s">
        <v>74</v>
      </c>
      <c r="AY1431" t="s">
        <v>74</v>
      </c>
      <c r="AZ1431" t="s">
        <v>74</v>
      </c>
      <c r="BA1431" t="s">
        <v>74</v>
      </c>
      <c r="BB1431">
        <v>1040</v>
      </c>
      <c r="BC1431">
        <v>1049</v>
      </c>
      <c r="BD1431" t="s">
        <v>74</v>
      </c>
      <c r="BE1431" t="s">
        <v>1409</v>
      </c>
      <c r="BF1431" t="str">
        <f>HYPERLINK("http://dx.doi.org/10.1093/infdis/jiaa375","http://dx.doi.org/10.1093/infdis/jiaa375")</f>
        <v>http://dx.doi.org/10.1093/infdis/jiaa375</v>
      </c>
      <c r="BG1431" t="s">
        <v>74</v>
      </c>
      <c r="BH1431" t="s">
        <v>74</v>
      </c>
      <c r="BI1431" t="s">
        <v>74</v>
      </c>
      <c r="BJ1431" t="s">
        <v>1410</v>
      </c>
      <c r="BK1431" t="s">
        <v>117</v>
      </c>
      <c r="BL1431" t="s">
        <v>1410</v>
      </c>
      <c r="BM1431" t="s">
        <v>74</v>
      </c>
      <c r="BN1431">
        <v>32603406</v>
      </c>
      <c r="BO1431" t="s">
        <v>74</v>
      </c>
      <c r="BP1431" t="s">
        <v>74</v>
      </c>
      <c r="BQ1431" t="s">
        <v>74</v>
      </c>
      <c r="BR1431" t="s">
        <v>96</v>
      </c>
      <c r="BS1431" t="s">
        <v>1411</v>
      </c>
      <c r="BT1431" t="str">
        <f>HYPERLINK("https%3A%2F%2Fwww.webofscience.com%2Fwos%2Fwoscc%2Ffull-record%2FWOS:000769069400015","View Full Record in Web of Science")</f>
        <v>View Full Record in Web of Science</v>
      </c>
    </row>
    <row r="1432" spans="1:72" x14ac:dyDescent="0.15">
      <c r="A1432" t="s">
        <v>98</v>
      </c>
      <c r="B1432" t="s">
        <v>1481</v>
      </c>
      <c r="C1432" t="s">
        <v>74</v>
      </c>
      <c r="D1432" t="s">
        <v>74</v>
      </c>
      <c r="E1432" t="s">
        <v>74</v>
      </c>
      <c r="F1432" t="s">
        <v>1482</v>
      </c>
      <c r="G1432" t="s">
        <v>74</v>
      </c>
      <c r="H1432" t="s">
        <v>74</v>
      </c>
      <c r="I1432" t="s">
        <v>1483</v>
      </c>
      <c r="J1432" t="s">
        <v>1484</v>
      </c>
      <c r="K1432" t="s">
        <v>74</v>
      </c>
      <c r="L1432" t="s">
        <v>74</v>
      </c>
      <c r="M1432" t="s">
        <v>74</v>
      </c>
      <c r="N1432" t="s">
        <v>103</v>
      </c>
      <c r="O1432" t="s">
        <v>74</v>
      </c>
      <c r="P1432" t="s">
        <v>74</v>
      </c>
      <c r="Q1432" t="s">
        <v>74</v>
      </c>
      <c r="R1432" t="s">
        <v>74</v>
      </c>
      <c r="S1432" t="s">
        <v>74</v>
      </c>
      <c r="T1432" t="s">
        <v>1485</v>
      </c>
      <c r="U1432" t="s">
        <v>1486</v>
      </c>
      <c r="V1432" t="s">
        <v>1487</v>
      </c>
      <c r="W1432" t="s">
        <v>1488</v>
      </c>
      <c r="X1432" t="s">
        <v>1489</v>
      </c>
      <c r="Y1432" t="s">
        <v>1490</v>
      </c>
      <c r="Z1432" t="s">
        <v>1491</v>
      </c>
      <c r="AA1432" t="s">
        <v>1492</v>
      </c>
      <c r="AB1432" t="s">
        <v>1493</v>
      </c>
      <c r="AC1432" t="s">
        <v>74</v>
      </c>
      <c r="AD1432" t="s">
        <v>74</v>
      </c>
      <c r="AE1432" t="s">
        <v>74</v>
      </c>
      <c r="AF1432" t="s">
        <v>74</v>
      </c>
      <c r="AG1432">
        <v>21</v>
      </c>
      <c r="AH1432">
        <v>5</v>
      </c>
      <c r="AI1432">
        <v>5</v>
      </c>
      <c r="AJ1432">
        <v>0</v>
      </c>
      <c r="AK1432">
        <v>1</v>
      </c>
      <c r="AL1432" t="s">
        <v>74</v>
      </c>
      <c r="AM1432" t="s">
        <v>74</v>
      </c>
      <c r="AN1432" t="s">
        <v>74</v>
      </c>
      <c r="AO1432" t="s">
        <v>74</v>
      </c>
      <c r="AP1432" t="s">
        <v>1494</v>
      </c>
      <c r="AQ1432" t="s">
        <v>74</v>
      </c>
      <c r="AR1432" t="s">
        <v>74</v>
      </c>
      <c r="AS1432" t="s">
        <v>74</v>
      </c>
      <c r="AT1432" t="s">
        <v>170</v>
      </c>
      <c r="AU1432">
        <v>2020</v>
      </c>
      <c r="AV1432">
        <v>8</v>
      </c>
      <c r="AW1432">
        <v>2</v>
      </c>
      <c r="AX1432" t="s">
        <v>74</v>
      </c>
      <c r="AY1432" t="s">
        <v>74</v>
      </c>
      <c r="AZ1432" t="s">
        <v>74</v>
      </c>
      <c r="BA1432" t="s">
        <v>74</v>
      </c>
      <c r="BB1432" t="s">
        <v>74</v>
      </c>
      <c r="BC1432" t="s">
        <v>74</v>
      </c>
      <c r="BD1432">
        <v>243</v>
      </c>
      <c r="BE1432" t="s">
        <v>1495</v>
      </c>
      <c r="BF1432" t="str">
        <f>HYPERLINK("http://dx.doi.org/10.3390/vaccines8020243","http://dx.doi.org/10.3390/vaccines8020243")</f>
        <v>http://dx.doi.org/10.3390/vaccines8020243</v>
      </c>
      <c r="BG1432" t="s">
        <v>74</v>
      </c>
      <c r="BH1432" t="s">
        <v>74</v>
      </c>
      <c r="BI1432" t="s">
        <v>74</v>
      </c>
      <c r="BJ1432" t="s">
        <v>1496</v>
      </c>
      <c r="BK1432" t="s">
        <v>117</v>
      </c>
      <c r="BL1432" t="s">
        <v>1497</v>
      </c>
      <c r="BM1432" t="s">
        <v>74</v>
      </c>
      <c r="BN1432">
        <v>32456079</v>
      </c>
      <c r="BO1432" t="s">
        <v>74</v>
      </c>
      <c r="BP1432" t="s">
        <v>74</v>
      </c>
      <c r="BQ1432" t="s">
        <v>74</v>
      </c>
      <c r="BR1432" t="s">
        <v>96</v>
      </c>
      <c r="BS1432" t="s">
        <v>1498</v>
      </c>
      <c r="BT1432" t="str">
        <f>HYPERLINK("https%3A%2F%2Fwww.webofscience.com%2Fwos%2Fwoscc%2Ffull-record%2FWOS:000550816700001","View Full Record in Web of Science")</f>
        <v>View Full Record in Web of Science</v>
      </c>
    </row>
    <row r="1433" spans="1:72" x14ac:dyDescent="0.15">
      <c r="A1433" t="s">
        <v>98</v>
      </c>
      <c r="B1433" t="s">
        <v>2336</v>
      </c>
      <c r="C1433" t="s">
        <v>74</v>
      </c>
      <c r="D1433" t="s">
        <v>74</v>
      </c>
      <c r="E1433" t="s">
        <v>74</v>
      </c>
      <c r="F1433" t="s">
        <v>2337</v>
      </c>
      <c r="G1433" t="s">
        <v>74</v>
      </c>
      <c r="H1433" t="s">
        <v>74</v>
      </c>
      <c r="I1433" t="s">
        <v>2338</v>
      </c>
      <c r="J1433" t="s">
        <v>2339</v>
      </c>
      <c r="K1433" t="s">
        <v>74</v>
      </c>
      <c r="L1433" t="s">
        <v>74</v>
      </c>
      <c r="M1433" t="s">
        <v>74</v>
      </c>
      <c r="N1433" t="s">
        <v>103</v>
      </c>
      <c r="O1433" t="s">
        <v>74</v>
      </c>
      <c r="P1433" t="s">
        <v>74</v>
      </c>
      <c r="Q1433" t="s">
        <v>74</v>
      </c>
      <c r="R1433" t="s">
        <v>74</v>
      </c>
      <c r="S1433" t="s">
        <v>74</v>
      </c>
      <c r="T1433" t="s">
        <v>2340</v>
      </c>
      <c r="U1433" t="s">
        <v>2341</v>
      </c>
      <c r="V1433" t="s">
        <v>2342</v>
      </c>
      <c r="W1433" t="s">
        <v>2343</v>
      </c>
      <c r="X1433" t="s">
        <v>2344</v>
      </c>
      <c r="Y1433" t="s">
        <v>2345</v>
      </c>
      <c r="Z1433" t="s">
        <v>2346</v>
      </c>
      <c r="AA1433" t="s">
        <v>74</v>
      </c>
      <c r="AB1433" t="s">
        <v>2347</v>
      </c>
      <c r="AC1433" t="s">
        <v>74</v>
      </c>
      <c r="AD1433" t="s">
        <v>74</v>
      </c>
      <c r="AE1433" t="s">
        <v>74</v>
      </c>
      <c r="AF1433" t="s">
        <v>74</v>
      </c>
      <c r="AG1433">
        <v>39</v>
      </c>
      <c r="AH1433">
        <v>5</v>
      </c>
      <c r="AI1433">
        <v>6</v>
      </c>
      <c r="AJ1433">
        <v>2</v>
      </c>
      <c r="AK1433">
        <v>12</v>
      </c>
      <c r="AL1433" t="s">
        <v>74</v>
      </c>
      <c r="AM1433" t="s">
        <v>74</v>
      </c>
      <c r="AN1433" t="s">
        <v>74</v>
      </c>
      <c r="AO1433" t="s">
        <v>2348</v>
      </c>
      <c r="AP1433" t="s">
        <v>2349</v>
      </c>
      <c r="AQ1433" t="s">
        <v>74</v>
      </c>
      <c r="AR1433" t="s">
        <v>74</v>
      </c>
      <c r="AS1433" t="s">
        <v>74</v>
      </c>
      <c r="AT1433" t="s">
        <v>967</v>
      </c>
      <c r="AU1433">
        <v>2020</v>
      </c>
      <c r="AV1433">
        <v>108</v>
      </c>
      <c r="AW1433">
        <v>6</v>
      </c>
      <c r="AX1433" t="s">
        <v>74</v>
      </c>
      <c r="AY1433" t="s">
        <v>74</v>
      </c>
      <c r="AZ1433" t="s">
        <v>74</v>
      </c>
      <c r="BA1433" t="s">
        <v>74</v>
      </c>
      <c r="BB1433">
        <v>1841</v>
      </c>
      <c r="BC1433">
        <v>1850</v>
      </c>
      <c r="BD1433" t="s">
        <v>74</v>
      </c>
      <c r="BE1433" t="s">
        <v>2350</v>
      </c>
      <c r="BF1433" t="str">
        <f>HYPERLINK("http://dx.doi.org/10.1002/JLB.3AB0320-156R","http://dx.doi.org/10.1002/JLB.3AB0320-156R")</f>
        <v>http://dx.doi.org/10.1002/JLB.3AB0320-156R</v>
      </c>
      <c r="BG1433" t="s">
        <v>74</v>
      </c>
      <c r="BH1433" t="s">
        <v>1066</v>
      </c>
      <c r="BI1433" t="s">
        <v>74</v>
      </c>
      <c r="BJ1433" t="s">
        <v>2351</v>
      </c>
      <c r="BK1433" t="s">
        <v>117</v>
      </c>
      <c r="BL1433" t="s">
        <v>2351</v>
      </c>
      <c r="BM1433" t="s">
        <v>74</v>
      </c>
      <c r="BN1433">
        <v>32450612</v>
      </c>
      <c r="BO1433" t="s">
        <v>74</v>
      </c>
      <c r="BP1433" t="s">
        <v>74</v>
      </c>
      <c r="BQ1433" t="s">
        <v>74</v>
      </c>
      <c r="BR1433" t="s">
        <v>96</v>
      </c>
      <c r="BS1433" t="s">
        <v>2352</v>
      </c>
      <c r="BT1433" t="str">
        <f>HYPERLINK("https%3A%2F%2Fwww.webofscience.com%2Fwos%2Fwoscc%2Ffull-record%2FWOS:000535121800001","View Full Record in Web of Science")</f>
        <v>View Full Record in Web of Science</v>
      </c>
    </row>
    <row r="1434" spans="1:72" x14ac:dyDescent="0.15">
      <c r="A1434" t="s">
        <v>98</v>
      </c>
      <c r="B1434" t="s">
        <v>3147</v>
      </c>
      <c r="C1434" t="s">
        <v>74</v>
      </c>
      <c r="D1434" t="s">
        <v>74</v>
      </c>
      <c r="E1434" t="s">
        <v>74</v>
      </c>
      <c r="F1434" t="s">
        <v>3148</v>
      </c>
      <c r="G1434" t="s">
        <v>74</v>
      </c>
      <c r="H1434" t="s">
        <v>74</v>
      </c>
      <c r="I1434" t="s">
        <v>3149</v>
      </c>
      <c r="J1434" t="s">
        <v>817</v>
      </c>
      <c r="K1434" t="s">
        <v>74</v>
      </c>
      <c r="L1434" t="s">
        <v>74</v>
      </c>
      <c r="M1434" t="s">
        <v>74</v>
      </c>
      <c r="N1434" t="s">
        <v>103</v>
      </c>
      <c r="O1434" t="s">
        <v>74</v>
      </c>
      <c r="P1434" t="s">
        <v>74</v>
      </c>
      <c r="Q1434" t="s">
        <v>74</v>
      </c>
      <c r="R1434" t="s">
        <v>74</v>
      </c>
      <c r="S1434" t="s">
        <v>74</v>
      </c>
      <c r="T1434" t="s">
        <v>3150</v>
      </c>
      <c r="U1434" t="s">
        <v>3151</v>
      </c>
      <c r="V1434" t="s">
        <v>3152</v>
      </c>
      <c r="W1434" t="s">
        <v>3153</v>
      </c>
      <c r="X1434" t="s">
        <v>3154</v>
      </c>
      <c r="Y1434" t="s">
        <v>3155</v>
      </c>
      <c r="Z1434" t="s">
        <v>3156</v>
      </c>
      <c r="AA1434" t="s">
        <v>3157</v>
      </c>
      <c r="AB1434" t="s">
        <v>3158</v>
      </c>
      <c r="AC1434" t="s">
        <v>74</v>
      </c>
      <c r="AD1434" t="s">
        <v>74</v>
      </c>
      <c r="AE1434" t="s">
        <v>74</v>
      </c>
      <c r="AF1434" t="s">
        <v>74</v>
      </c>
      <c r="AG1434">
        <v>67</v>
      </c>
      <c r="AH1434">
        <v>5</v>
      </c>
      <c r="AI1434">
        <v>5</v>
      </c>
      <c r="AJ1434">
        <v>0</v>
      </c>
      <c r="AK1434">
        <v>5</v>
      </c>
      <c r="AL1434" t="s">
        <v>74</v>
      </c>
      <c r="AM1434" t="s">
        <v>74</v>
      </c>
      <c r="AN1434" t="s">
        <v>74</v>
      </c>
      <c r="AO1434" t="s">
        <v>74</v>
      </c>
      <c r="AP1434" t="s">
        <v>827</v>
      </c>
      <c r="AQ1434" t="s">
        <v>74</v>
      </c>
      <c r="AR1434" t="s">
        <v>74</v>
      </c>
      <c r="AS1434" t="s">
        <v>74</v>
      </c>
      <c r="AT1434" t="s">
        <v>132</v>
      </c>
      <c r="AU1434">
        <v>2017</v>
      </c>
      <c r="AV1434">
        <v>18</v>
      </c>
      <c r="AW1434">
        <v>4</v>
      </c>
      <c r="AX1434" t="s">
        <v>74</v>
      </c>
      <c r="AY1434" t="s">
        <v>74</v>
      </c>
      <c r="AZ1434" t="s">
        <v>74</v>
      </c>
      <c r="BA1434" t="s">
        <v>74</v>
      </c>
      <c r="BB1434" t="s">
        <v>74</v>
      </c>
      <c r="BC1434" t="s">
        <v>74</v>
      </c>
      <c r="BD1434">
        <v>788</v>
      </c>
      <c r="BE1434" t="s">
        <v>3159</v>
      </c>
      <c r="BF1434" t="str">
        <f>HYPERLINK("http://dx.doi.org/10.3390/ijms18040788","http://dx.doi.org/10.3390/ijms18040788")</f>
        <v>http://dx.doi.org/10.3390/ijms18040788</v>
      </c>
      <c r="BG1434" t="s">
        <v>74</v>
      </c>
      <c r="BH1434" t="s">
        <v>74</v>
      </c>
      <c r="BI1434" t="s">
        <v>74</v>
      </c>
      <c r="BJ1434" t="s">
        <v>830</v>
      </c>
      <c r="BK1434" t="s">
        <v>117</v>
      </c>
      <c r="BL1434" t="s">
        <v>831</v>
      </c>
      <c r="BM1434" t="s">
        <v>74</v>
      </c>
      <c r="BN1434">
        <v>28387728</v>
      </c>
      <c r="BO1434" t="s">
        <v>74</v>
      </c>
      <c r="BP1434" t="s">
        <v>74</v>
      </c>
      <c r="BQ1434" t="s">
        <v>74</v>
      </c>
      <c r="BR1434" t="s">
        <v>96</v>
      </c>
      <c r="BS1434" t="s">
        <v>3160</v>
      </c>
      <c r="BT1434" t="str">
        <f>HYPERLINK("https%3A%2F%2Fwww.webofscience.com%2Fwos%2Fwoscc%2Ffull-record%2FWOS:000402639400112","View Full Record in Web of Science")</f>
        <v>View Full Record in Web of Science</v>
      </c>
    </row>
    <row r="1435" spans="1:72" x14ac:dyDescent="0.15">
      <c r="A1435" t="s">
        <v>98</v>
      </c>
      <c r="B1435" t="s">
        <v>3273</v>
      </c>
      <c r="C1435" t="s">
        <v>74</v>
      </c>
      <c r="D1435" t="s">
        <v>74</v>
      </c>
      <c r="E1435" t="s">
        <v>74</v>
      </c>
      <c r="F1435" t="s">
        <v>3274</v>
      </c>
      <c r="G1435" t="s">
        <v>74</v>
      </c>
      <c r="H1435" t="s">
        <v>74</v>
      </c>
      <c r="I1435" t="s">
        <v>3275</v>
      </c>
      <c r="J1435" t="s">
        <v>123</v>
      </c>
      <c r="K1435" t="s">
        <v>74</v>
      </c>
      <c r="L1435" t="s">
        <v>74</v>
      </c>
      <c r="M1435" t="s">
        <v>74</v>
      </c>
      <c r="N1435" t="s">
        <v>103</v>
      </c>
      <c r="O1435" t="s">
        <v>74</v>
      </c>
      <c r="P1435" t="s">
        <v>74</v>
      </c>
      <c r="Q1435" t="s">
        <v>74</v>
      </c>
      <c r="R1435" t="s">
        <v>74</v>
      </c>
      <c r="S1435" t="s">
        <v>74</v>
      </c>
      <c r="T1435" t="s">
        <v>3276</v>
      </c>
      <c r="U1435" t="s">
        <v>3277</v>
      </c>
      <c r="V1435" t="s">
        <v>3278</v>
      </c>
      <c r="W1435" t="s">
        <v>3279</v>
      </c>
      <c r="X1435" t="s">
        <v>3280</v>
      </c>
      <c r="Y1435" t="s">
        <v>3281</v>
      </c>
      <c r="Z1435" t="s">
        <v>3282</v>
      </c>
      <c r="AA1435" t="s">
        <v>3283</v>
      </c>
      <c r="AB1435" t="s">
        <v>3284</v>
      </c>
      <c r="AC1435" t="s">
        <v>74</v>
      </c>
      <c r="AD1435" t="s">
        <v>74</v>
      </c>
      <c r="AE1435" t="s">
        <v>74</v>
      </c>
      <c r="AF1435" t="s">
        <v>74</v>
      </c>
      <c r="AG1435">
        <v>49</v>
      </c>
      <c r="AH1435">
        <v>5</v>
      </c>
      <c r="AI1435">
        <v>5</v>
      </c>
      <c r="AJ1435">
        <v>2</v>
      </c>
      <c r="AK1435">
        <v>7</v>
      </c>
      <c r="AL1435" t="s">
        <v>74</v>
      </c>
      <c r="AM1435" t="s">
        <v>74</v>
      </c>
      <c r="AN1435" t="s">
        <v>74</v>
      </c>
      <c r="AO1435" t="s">
        <v>74</v>
      </c>
      <c r="AP1435" t="s">
        <v>131</v>
      </c>
      <c r="AQ1435" t="s">
        <v>74</v>
      </c>
      <c r="AR1435" t="s">
        <v>74</v>
      </c>
      <c r="AS1435" t="s">
        <v>74</v>
      </c>
      <c r="AT1435" t="s">
        <v>614</v>
      </c>
      <c r="AU1435">
        <v>2021</v>
      </c>
      <c r="AV1435">
        <v>10</v>
      </c>
      <c r="AW1435">
        <v>9</v>
      </c>
      <c r="AX1435" t="s">
        <v>74</v>
      </c>
      <c r="AY1435" t="s">
        <v>74</v>
      </c>
      <c r="AZ1435" t="s">
        <v>74</v>
      </c>
      <c r="BA1435" t="s">
        <v>74</v>
      </c>
      <c r="BB1435" t="s">
        <v>74</v>
      </c>
      <c r="BC1435" t="s">
        <v>74</v>
      </c>
      <c r="BD1435" t="s">
        <v>3285</v>
      </c>
      <c r="BE1435" t="s">
        <v>3286</v>
      </c>
      <c r="BF1435" t="str">
        <f>HYPERLINK("http://dx.doi.org/10.1002/jev2.12121","http://dx.doi.org/10.1002/jev2.12121")</f>
        <v>http://dx.doi.org/10.1002/jev2.12121</v>
      </c>
      <c r="BG1435" t="s">
        <v>74</v>
      </c>
      <c r="BH1435" t="s">
        <v>74</v>
      </c>
      <c r="BI1435" t="s">
        <v>74</v>
      </c>
      <c r="BJ1435" t="s">
        <v>135</v>
      </c>
      <c r="BK1435" t="s">
        <v>117</v>
      </c>
      <c r="BL1435" t="s">
        <v>135</v>
      </c>
      <c r="BM1435" t="s">
        <v>74</v>
      </c>
      <c r="BN1435">
        <v>34295456</v>
      </c>
      <c r="BO1435" t="s">
        <v>74</v>
      </c>
      <c r="BP1435" t="s">
        <v>74</v>
      </c>
      <c r="BQ1435" t="s">
        <v>74</v>
      </c>
      <c r="BR1435" t="s">
        <v>96</v>
      </c>
      <c r="BS1435" t="s">
        <v>3287</v>
      </c>
      <c r="BT1435" t="str">
        <f>HYPERLINK("https%3A%2F%2Fwww.webofscience.com%2Fwos%2Fwoscc%2Ffull-record%2FWOS:000674092100001","View Full Record in Web of Science")</f>
        <v>View Full Record in Web of Science</v>
      </c>
    </row>
    <row r="1436" spans="1:72" x14ac:dyDescent="0.15">
      <c r="A1436" t="s">
        <v>98</v>
      </c>
      <c r="B1436" t="s">
        <v>4346</v>
      </c>
      <c r="C1436" t="s">
        <v>74</v>
      </c>
      <c r="D1436" t="s">
        <v>74</v>
      </c>
      <c r="E1436" t="s">
        <v>74</v>
      </c>
      <c r="F1436" t="s">
        <v>4347</v>
      </c>
      <c r="G1436" t="s">
        <v>74</v>
      </c>
      <c r="H1436" t="s">
        <v>74</v>
      </c>
      <c r="I1436" t="s">
        <v>4348</v>
      </c>
      <c r="J1436" t="s">
        <v>123</v>
      </c>
      <c r="K1436" t="s">
        <v>74</v>
      </c>
      <c r="L1436" t="s">
        <v>74</v>
      </c>
      <c r="M1436" t="s">
        <v>74</v>
      </c>
      <c r="N1436" t="s">
        <v>103</v>
      </c>
      <c r="O1436" t="s">
        <v>74</v>
      </c>
      <c r="P1436" t="s">
        <v>74</v>
      </c>
      <c r="Q1436" t="s">
        <v>74</v>
      </c>
      <c r="R1436" t="s">
        <v>74</v>
      </c>
      <c r="S1436" t="s">
        <v>74</v>
      </c>
      <c r="T1436" t="s">
        <v>4349</v>
      </c>
      <c r="U1436" t="s">
        <v>4350</v>
      </c>
      <c r="V1436" t="s">
        <v>4351</v>
      </c>
      <c r="W1436" t="s">
        <v>4352</v>
      </c>
      <c r="X1436" t="s">
        <v>4353</v>
      </c>
      <c r="Y1436" t="s">
        <v>4354</v>
      </c>
      <c r="Z1436" t="s">
        <v>4355</v>
      </c>
      <c r="AA1436" t="s">
        <v>4356</v>
      </c>
      <c r="AB1436" t="s">
        <v>4357</v>
      </c>
      <c r="AC1436" t="s">
        <v>74</v>
      </c>
      <c r="AD1436" t="s">
        <v>74</v>
      </c>
      <c r="AE1436" t="s">
        <v>74</v>
      </c>
      <c r="AF1436" t="s">
        <v>74</v>
      </c>
      <c r="AG1436">
        <v>72</v>
      </c>
      <c r="AH1436">
        <v>5</v>
      </c>
      <c r="AI1436">
        <v>5</v>
      </c>
      <c r="AJ1436">
        <v>1</v>
      </c>
      <c r="AK1436">
        <v>10</v>
      </c>
      <c r="AL1436" t="s">
        <v>74</v>
      </c>
      <c r="AM1436" t="s">
        <v>74</v>
      </c>
      <c r="AN1436" t="s">
        <v>74</v>
      </c>
      <c r="AO1436" t="s">
        <v>74</v>
      </c>
      <c r="AP1436" t="s">
        <v>131</v>
      </c>
      <c r="AQ1436" t="s">
        <v>74</v>
      </c>
      <c r="AR1436" t="s">
        <v>74</v>
      </c>
      <c r="AS1436" t="s">
        <v>74</v>
      </c>
      <c r="AT1436" t="s">
        <v>230</v>
      </c>
      <c r="AU1436">
        <v>2021</v>
      </c>
      <c r="AV1436">
        <v>10</v>
      </c>
      <c r="AW1436">
        <v>10</v>
      </c>
      <c r="AX1436" t="s">
        <v>74</v>
      </c>
      <c r="AY1436" t="s">
        <v>74</v>
      </c>
      <c r="AZ1436" t="s">
        <v>74</v>
      </c>
      <c r="BA1436" t="s">
        <v>74</v>
      </c>
      <c r="BB1436" t="s">
        <v>74</v>
      </c>
      <c r="BC1436" t="s">
        <v>74</v>
      </c>
      <c r="BD1436" t="s">
        <v>4358</v>
      </c>
      <c r="BE1436" t="s">
        <v>4359</v>
      </c>
      <c r="BF1436" t="str">
        <f>HYPERLINK("http://dx.doi.org/10.1002/jev2.12127","http://dx.doi.org/10.1002/jev2.12127")</f>
        <v>http://dx.doi.org/10.1002/jev2.12127</v>
      </c>
      <c r="BG1436" t="s">
        <v>74</v>
      </c>
      <c r="BH1436" t="s">
        <v>74</v>
      </c>
      <c r="BI1436" t="s">
        <v>74</v>
      </c>
      <c r="BJ1436" t="s">
        <v>135</v>
      </c>
      <c r="BK1436" t="s">
        <v>117</v>
      </c>
      <c r="BL1436" t="s">
        <v>135</v>
      </c>
      <c r="BM1436" t="s">
        <v>74</v>
      </c>
      <c r="BN1436">
        <v>34377374</v>
      </c>
      <c r="BO1436" t="s">
        <v>74</v>
      </c>
      <c r="BP1436" t="s">
        <v>74</v>
      </c>
      <c r="BQ1436" t="s">
        <v>74</v>
      </c>
      <c r="BR1436" t="s">
        <v>96</v>
      </c>
      <c r="BS1436" t="s">
        <v>4360</v>
      </c>
      <c r="BT1436" t="str">
        <f>HYPERLINK("https%3A%2F%2Fwww.webofscience.com%2Fwos%2Fwoscc%2Ffull-record%2FWOS:000680065200001","View Full Record in Web of Science")</f>
        <v>View Full Record in Web of Science</v>
      </c>
    </row>
    <row r="1437" spans="1:72" x14ac:dyDescent="0.15">
      <c r="A1437" t="s">
        <v>98</v>
      </c>
      <c r="B1437" t="s">
        <v>4375</v>
      </c>
      <c r="C1437" t="s">
        <v>74</v>
      </c>
      <c r="D1437" t="s">
        <v>74</v>
      </c>
      <c r="E1437" t="s">
        <v>74</v>
      </c>
      <c r="F1437" t="s">
        <v>4376</v>
      </c>
      <c r="G1437" t="s">
        <v>74</v>
      </c>
      <c r="H1437" t="s">
        <v>74</v>
      </c>
      <c r="I1437" t="s">
        <v>4377</v>
      </c>
      <c r="J1437" t="s">
        <v>1827</v>
      </c>
      <c r="K1437" t="s">
        <v>74</v>
      </c>
      <c r="L1437" t="s">
        <v>74</v>
      </c>
      <c r="M1437" t="s">
        <v>74</v>
      </c>
      <c r="N1437" t="s">
        <v>103</v>
      </c>
      <c r="O1437" t="s">
        <v>74</v>
      </c>
      <c r="P1437" t="s">
        <v>74</v>
      </c>
      <c r="Q1437" t="s">
        <v>74</v>
      </c>
      <c r="R1437" t="s">
        <v>74</v>
      </c>
      <c r="S1437" t="s">
        <v>74</v>
      </c>
      <c r="T1437" t="s">
        <v>4378</v>
      </c>
      <c r="U1437" t="s">
        <v>74</v>
      </c>
      <c r="V1437" t="s">
        <v>4379</v>
      </c>
      <c r="W1437" t="s">
        <v>4380</v>
      </c>
      <c r="X1437" t="s">
        <v>4381</v>
      </c>
      <c r="Y1437" t="s">
        <v>4382</v>
      </c>
      <c r="Z1437" t="s">
        <v>4383</v>
      </c>
      <c r="AA1437" t="s">
        <v>4384</v>
      </c>
      <c r="AB1437" t="s">
        <v>4385</v>
      </c>
      <c r="AC1437" t="s">
        <v>74</v>
      </c>
      <c r="AD1437" t="s">
        <v>74</v>
      </c>
      <c r="AE1437" t="s">
        <v>74</v>
      </c>
      <c r="AF1437" t="s">
        <v>74</v>
      </c>
      <c r="AG1437">
        <v>51</v>
      </c>
      <c r="AH1437">
        <v>5</v>
      </c>
      <c r="AI1437">
        <v>5</v>
      </c>
      <c r="AJ1437">
        <v>1</v>
      </c>
      <c r="AK1437">
        <v>2</v>
      </c>
      <c r="AL1437" t="s">
        <v>74</v>
      </c>
      <c r="AM1437" t="s">
        <v>74</v>
      </c>
      <c r="AN1437" t="s">
        <v>74</v>
      </c>
      <c r="AO1437" t="s">
        <v>74</v>
      </c>
      <c r="AP1437" t="s">
        <v>1836</v>
      </c>
      <c r="AQ1437" t="s">
        <v>74</v>
      </c>
      <c r="AR1437" t="s">
        <v>74</v>
      </c>
      <c r="AS1437" t="s">
        <v>74</v>
      </c>
      <c r="AT1437" t="s">
        <v>114</v>
      </c>
      <c r="AU1437">
        <v>2021</v>
      </c>
      <c r="AV1437">
        <v>10</v>
      </c>
      <c r="AW1437">
        <v>1</v>
      </c>
      <c r="AX1437" t="s">
        <v>74</v>
      </c>
      <c r="AY1437" t="s">
        <v>74</v>
      </c>
      <c r="AZ1437" t="s">
        <v>74</v>
      </c>
      <c r="BA1437" t="s">
        <v>74</v>
      </c>
      <c r="BB1437" t="s">
        <v>74</v>
      </c>
      <c r="BC1437" t="s">
        <v>74</v>
      </c>
      <c r="BD1437">
        <v>107</v>
      </c>
      <c r="BE1437" t="s">
        <v>4386</v>
      </c>
      <c r="BF1437" t="str">
        <f>HYPERLINK("http://dx.doi.org/10.3390/cells10010107","http://dx.doi.org/10.3390/cells10010107")</f>
        <v>http://dx.doi.org/10.3390/cells10010107</v>
      </c>
      <c r="BG1437" t="s">
        <v>74</v>
      </c>
      <c r="BH1437" t="s">
        <v>74</v>
      </c>
      <c r="BI1437" t="s">
        <v>74</v>
      </c>
      <c r="BJ1437" t="s">
        <v>135</v>
      </c>
      <c r="BK1437" t="s">
        <v>117</v>
      </c>
      <c r="BL1437" t="s">
        <v>135</v>
      </c>
      <c r="BM1437" t="s">
        <v>74</v>
      </c>
      <c r="BN1437">
        <v>33430027</v>
      </c>
      <c r="BO1437" t="s">
        <v>74</v>
      </c>
      <c r="BP1437" t="s">
        <v>74</v>
      </c>
      <c r="BQ1437" t="s">
        <v>74</v>
      </c>
      <c r="BR1437" t="s">
        <v>96</v>
      </c>
      <c r="BS1437" t="s">
        <v>4387</v>
      </c>
      <c r="BT1437" t="str">
        <f>HYPERLINK("https%3A%2F%2Fwww.webofscience.com%2Fwos%2Fwoscc%2Ffull-record%2FWOS:000610013800001","View Full Record in Web of Science")</f>
        <v>View Full Record in Web of Science</v>
      </c>
    </row>
    <row r="1438" spans="1:72" x14ac:dyDescent="0.15">
      <c r="A1438" t="s">
        <v>98</v>
      </c>
      <c r="B1438" t="s">
        <v>5288</v>
      </c>
      <c r="C1438" t="s">
        <v>74</v>
      </c>
      <c r="D1438" t="s">
        <v>74</v>
      </c>
      <c r="E1438" t="s">
        <v>74</v>
      </c>
      <c r="F1438" t="s">
        <v>5289</v>
      </c>
      <c r="G1438" t="s">
        <v>74</v>
      </c>
      <c r="H1438" t="s">
        <v>74</v>
      </c>
      <c r="I1438" t="s">
        <v>5290</v>
      </c>
      <c r="J1438" t="s">
        <v>2833</v>
      </c>
      <c r="K1438" t="s">
        <v>74</v>
      </c>
      <c r="L1438" t="s">
        <v>74</v>
      </c>
      <c r="M1438" t="s">
        <v>74</v>
      </c>
      <c r="N1438" t="s">
        <v>103</v>
      </c>
      <c r="O1438" t="s">
        <v>74</v>
      </c>
      <c r="P1438" t="s">
        <v>74</v>
      </c>
      <c r="Q1438" t="s">
        <v>74</v>
      </c>
      <c r="R1438" t="s">
        <v>74</v>
      </c>
      <c r="S1438" t="s">
        <v>74</v>
      </c>
      <c r="T1438" t="s">
        <v>5291</v>
      </c>
      <c r="U1438" t="s">
        <v>5292</v>
      </c>
      <c r="V1438" t="s">
        <v>5293</v>
      </c>
      <c r="W1438" t="s">
        <v>5294</v>
      </c>
      <c r="X1438" t="s">
        <v>5295</v>
      </c>
      <c r="Y1438" t="s">
        <v>5296</v>
      </c>
      <c r="Z1438" t="s">
        <v>5297</v>
      </c>
      <c r="AA1438" t="s">
        <v>74</v>
      </c>
      <c r="AB1438" t="s">
        <v>5298</v>
      </c>
      <c r="AC1438" t="s">
        <v>74</v>
      </c>
      <c r="AD1438" t="s">
        <v>74</v>
      </c>
      <c r="AE1438" t="s">
        <v>74</v>
      </c>
      <c r="AF1438" t="s">
        <v>74</v>
      </c>
      <c r="AG1438">
        <v>31</v>
      </c>
      <c r="AH1438">
        <v>5</v>
      </c>
      <c r="AI1438">
        <v>5</v>
      </c>
      <c r="AJ1438">
        <v>1</v>
      </c>
      <c r="AK1438">
        <v>2</v>
      </c>
      <c r="AL1438" t="s">
        <v>74</v>
      </c>
      <c r="AM1438" t="s">
        <v>74</v>
      </c>
      <c r="AN1438" t="s">
        <v>74</v>
      </c>
      <c r="AO1438" t="s">
        <v>2841</v>
      </c>
      <c r="AP1438" t="s">
        <v>2842</v>
      </c>
      <c r="AQ1438" t="s">
        <v>74</v>
      </c>
      <c r="AR1438" t="s">
        <v>74</v>
      </c>
      <c r="AS1438" t="s">
        <v>74</v>
      </c>
      <c r="AT1438" t="s">
        <v>5299</v>
      </c>
      <c r="AU1438">
        <v>2020</v>
      </c>
      <c r="AV1438">
        <v>523</v>
      </c>
      <c r="AW1438">
        <v>3</v>
      </c>
      <c r="AX1438" t="s">
        <v>74</v>
      </c>
      <c r="AY1438" t="s">
        <v>74</v>
      </c>
      <c r="AZ1438" t="s">
        <v>74</v>
      </c>
      <c r="BA1438" t="s">
        <v>74</v>
      </c>
      <c r="BB1438">
        <v>602</v>
      </c>
      <c r="BC1438">
        <v>607</v>
      </c>
      <c r="BD1438" t="s">
        <v>74</v>
      </c>
      <c r="BE1438" t="s">
        <v>5300</v>
      </c>
      <c r="BF1438" t="str">
        <f>HYPERLINK("http://dx.doi.org/10.1016/j.bbrc.2020.01.014","http://dx.doi.org/10.1016/j.bbrc.2020.01.014")</f>
        <v>http://dx.doi.org/10.1016/j.bbrc.2020.01.014</v>
      </c>
      <c r="BG1438" t="s">
        <v>74</v>
      </c>
      <c r="BH1438" t="s">
        <v>74</v>
      </c>
      <c r="BI1438" t="s">
        <v>74</v>
      </c>
      <c r="BJ1438" t="s">
        <v>2845</v>
      </c>
      <c r="BK1438" t="s">
        <v>117</v>
      </c>
      <c r="BL1438" t="s">
        <v>2845</v>
      </c>
      <c r="BM1438" t="s">
        <v>74</v>
      </c>
      <c r="BN1438">
        <v>31941602</v>
      </c>
      <c r="BO1438" t="s">
        <v>74</v>
      </c>
      <c r="BP1438" t="s">
        <v>74</v>
      </c>
      <c r="BQ1438" t="s">
        <v>74</v>
      </c>
      <c r="BR1438" t="s">
        <v>96</v>
      </c>
      <c r="BS1438" t="s">
        <v>5301</v>
      </c>
      <c r="BT1438" t="str">
        <f>HYPERLINK("https%3A%2F%2Fwww.webofscience.com%2Fwos%2Fwoscc%2Ffull-record%2FWOS:000526786900008","View Full Record in Web of Science")</f>
        <v>View Full Record in Web of Science</v>
      </c>
    </row>
    <row r="1439" spans="1:72" x14ac:dyDescent="0.15">
      <c r="A1439" t="s">
        <v>98</v>
      </c>
      <c r="B1439" t="s">
        <v>5520</v>
      </c>
      <c r="C1439" t="s">
        <v>74</v>
      </c>
      <c r="D1439" t="s">
        <v>74</v>
      </c>
      <c r="E1439" t="s">
        <v>74</v>
      </c>
      <c r="F1439" t="s">
        <v>5521</v>
      </c>
      <c r="G1439" t="s">
        <v>74</v>
      </c>
      <c r="H1439" t="s">
        <v>74</v>
      </c>
      <c r="I1439" t="s">
        <v>5522</v>
      </c>
      <c r="J1439" t="s">
        <v>5523</v>
      </c>
      <c r="K1439" t="s">
        <v>74</v>
      </c>
      <c r="L1439" t="s">
        <v>74</v>
      </c>
      <c r="M1439" t="s">
        <v>74</v>
      </c>
      <c r="N1439" t="s">
        <v>103</v>
      </c>
      <c r="O1439" t="s">
        <v>74</v>
      </c>
      <c r="P1439" t="s">
        <v>74</v>
      </c>
      <c r="Q1439" t="s">
        <v>74</v>
      </c>
      <c r="R1439" t="s">
        <v>74</v>
      </c>
      <c r="S1439" t="s">
        <v>74</v>
      </c>
      <c r="T1439" t="s">
        <v>5524</v>
      </c>
      <c r="U1439" t="s">
        <v>5525</v>
      </c>
      <c r="V1439" t="s">
        <v>5526</v>
      </c>
      <c r="W1439" t="s">
        <v>5527</v>
      </c>
      <c r="X1439" t="s">
        <v>5528</v>
      </c>
      <c r="Y1439" t="s">
        <v>5529</v>
      </c>
      <c r="Z1439" t="s">
        <v>5530</v>
      </c>
      <c r="AA1439" t="s">
        <v>74</v>
      </c>
      <c r="AB1439" t="s">
        <v>74</v>
      </c>
      <c r="AC1439" t="s">
        <v>74</v>
      </c>
      <c r="AD1439" t="s">
        <v>74</v>
      </c>
      <c r="AE1439" t="s">
        <v>74</v>
      </c>
      <c r="AF1439" t="s">
        <v>74</v>
      </c>
      <c r="AG1439">
        <v>44</v>
      </c>
      <c r="AH1439">
        <v>5</v>
      </c>
      <c r="AI1439">
        <v>5</v>
      </c>
      <c r="AJ1439">
        <v>40</v>
      </c>
      <c r="AK1439">
        <v>130</v>
      </c>
      <c r="AL1439" t="s">
        <v>74</v>
      </c>
      <c r="AM1439" t="s">
        <v>74</v>
      </c>
      <c r="AN1439" t="s">
        <v>74</v>
      </c>
      <c r="AO1439" t="s">
        <v>5531</v>
      </c>
      <c r="AP1439" t="s">
        <v>5532</v>
      </c>
      <c r="AQ1439" t="s">
        <v>74</v>
      </c>
      <c r="AR1439" t="s">
        <v>74</v>
      </c>
      <c r="AS1439" t="s">
        <v>74</v>
      </c>
      <c r="AT1439" t="s">
        <v>3808</v>
      </c>
      <c r="AU1439">
        <v>2021</v>
      </c>
      <c r="AV1439">
        <v>13</v>
      </c>
      <c r="AW1439">
        <v>28</v>
      </c>
      <c r="AX1439" t="s">
        <v>74</v>
      </c>
      <c r="AY1439" t="s">
        <v>74</v>
      </c>
      <c r="AZ1439" t="s">
        <v>74</v>
      </c>
      <c r="BA1439" t="s">
        <v>74</v>
      </c>
      <c r="BB1439">
        <v>32837</v>
      </c>
      <c r="BC1439">
        <v>32844</v>
      </c>
      <c r="BD1439" t="s">
        <v>74</v>
      </c>
      <c r="BE1439" t="s">
        <v>5533</v>
      </c>
      <c r="BF1439" t="str">
        <f>HYPERLINK("http://dx.doi.org/10.1021/acsami.1c09388","http://dx.doi.org/10.1021/acsami.1c09388")</f>
        <v>http://dx.doi.org/10.1021/acsami.1c09388</v>
      </c>
      <c r="BG1439" t="s">
        <v>74</v>
      </c>
      <c r="BH1439" t="s">
        <v>1136</v>
      </c>
      <c r="BI1439" t="s">
        <v>74</v>
      </c>
      <c r="BJ1439" t="s">
        <v>5534</v>
      </c>
      <c r="BK1439" t="s">
        <v>117</v>
      </c>
      <c r="BL1439" t="s">
        <v>5535</v>
      </c>
      <c r="BM1439" t="s">
        <v>74</v>
      </c>
      <c r="BN1439">
        <v>34236165</v>
      </c>
      <c r="BO1439" t="s">
        <v>74</v>
      </c>
      <c r="BP1439" t="s">
        <v>74</v>
      </c>
      <c r="BQ1439" t="s">
        <v>74</v>
      </c>
      <c r="BR1439" t="s">
        <v>96</v>
      </c>
      <c r="BS1439" t="s">
        <v>5536</v>
      </c>
      <c r="BT1439" t="str">
        <f>HYPERLINK("https%3A%2F%2Fwww.webofscience.com%2Fwos%2Fwoscc%2Ffull-record%2FWOS:000677540900020","View Full Record in Web of Science")</f>
        <v>View Full Record in Web of Science</v>
      </c>
    </row>
    <row r="1440" spans="1:72" x14ac:dyDescent="0.15">
      <c r="A1440" t="s">
        <v>98</v>
      </c>
      <c r="B1440" t="s">
        <v>5555</v>
      </c>
      <c r="C1440" t="s">
        <v>74</v>
      </c>
      <c r="D1440" t="s">
        <v>74</v>
      </c>
      <c r="E1440" t="s">
        <v>74</v>
      </c>
      <c r="F1440" t="s">
        <v>5556</v>
      </c>
      <c r="G1440" t="s">
        <v>74</v>
      </c>
      <c r="H1440" t="s">
        <v>74</v>
      </c>
      <c r="I1440" t="s">
        <v>5557</v>
      </c>
      <c r="J1440" t="s">
        <v>1105</v>
      </c>
      <c r="K1440" t="s">
        <v>74</v>
      </c>
      <c r="L1440" t="s">
        <v>74</v>
      </c>
      <c r="M1440" t="s">
        <v>74</v>
      </c>
      <c r="N1440" t="s">
        <v>103</v>
      </c>
      <c r="O1440" t="s">
        <v>74</v>
      </c>
      <c r="P1440" t="s">
        <v>74</v>
      </c>
      <c r="Q1440" t="s">
        <v>74</v>
      </c>
      <c r="R1440" t="s">
        <v>74</v>
      </c>
      <c r="S1440" t="s">
        <v>74</v>
      </c>
      <c r="T1440" t="s">
        <v>5558</v>
      </c>
      <c r="U1440" t="s">
        <v>5559</v>
      </c>
      <c r="V1440" t="s">
        <v>5560</v>
      </c>
      <c r="W1440" t="s">
        <v>5561</v>
      </c>
      <c r="X1440" t="s">
        <v>5562</v>
      </c>
      <c r="Y1440" t="s">
        <v>5563</v>
      </c>
      <c r="Z1440" t="s">
        <v>5564</v>
      </c>
      <c r="AA1440" t="s">
        <v>5565</v>
      </c>
      <c r="AB1440" t="s">
        <v>5566</v>
      </c>
      <c r="AC1440" t="s">
        <v>74</v>
      </c>
      <c r="AD1440" t="s">
        <v>74</v>
      </c>
      <c r="AE1440" t="s">
        <v>74</v>
      </c>
      <c r="AF1440" t="s">
        <v>74</v>
      </c>
      <c r="AG1440">
        <v>54</v>
      </c>
      <c r="AH1440">
        <v>5</v>
      </c>
      <c r="AI1440">
        <v>5</v>
      </c>
      <c r="AJ1440">
        <v>11</v>
      </c>
      <c r="AK1440">
        <v>71</v>
      </c>
      <c r="AL1440" t="s">
        <v>74</v>
      </c>
      <c r="AM1440" t="s">
        <v>74</v>
      </c>
      <c r="AN1440" t="s">
        <v>74</v>
      </c>
      <c r="AO1440" t="s">
        <v>1114</v>
      </c>
      <c r="AP1440" t="s">
        <v>1115</v>
      </c>
      <c r="AQ1440" t="s">
        <v>74</v>
      </c>
      <c r="AR1440" t="s">
        <v>74</v>
      </c>
      <c r="AS1440" t="s">
        <v>74</v>
      </c>
      <c r="AT1440" t="s">
        <v>4965</v>
      </c>
      <c r="AU1440">
        <v>2021</v>
      </c>
      <c r="AV1440">
        <v>223</v>
      </c>
      <c r="AW1440" t="s">
        <v>74</v>
      </c>
      <c r="AX1440">
        <v>2</v>
      </c>
      <c r="AY1440" t="s">
        <v>74</v>
      </c>
      <c r="AZ1440" t="s">
        <v>74</v>
      </c>
      <c r="BA1440" t="s">
        <v>74</v>
      </c>
      <c r="BB1440" t="s">
        <v>74</v>
      </c>
      <c r="BC1440" t="s">
        <v>74</v>
      </c>
      <c r="BD1440">
        <v>121776</v>
      </c>
      <c r="BE1440" t="s">
        <v>5567</v>
      </c>
      <c r="BF1440" t="str">
        <f>HYPERLINK("http://dx.doi.org/10.1016/j.talanta.2020.121776","http://dx.doi.org/10.1016/j.talanta.2020.121776")</f>
        <v>http://dx.doi.org/10.1016/j.talanta.2020.121776</v>
      </c>
      <c r="BG1440" t="s">
        <v>74</v>
      </c>
      <c r="BH1440" t="s">
        <v>74</v>
      </c>
      <c r="BI1440" t="s">
        <v>74</v>
      </c>
      <c r="BJ1440" t="s">
        <v>1118</v>
      </c>
      <c r="BK1440" t="s">
        <v>117</v>
      </c>
      <c r="BL1440" t="s">
        <v>1048</v>
      </c>
      <c r="BM1440" t="s">
        <v>74</v>
      </c>
      <c r="BN1440">
        <v>33298282</v>
      </c>
      <c r="BO1440" t="s">
        <v>74</v>
      </c>
      <c r="BP1440" t="s">
        <v>74</v>
      </c>
      <c r="BQ1440" t="s">
        <v>74</v>
      </c>
      <c r="BR1440" t="s">
        <v>96</v>
      </c>
      <c r="BS1440" t="s">
        <v>5568</v>
      </c>
      <c r="BT1440" t="str">
        <f>HYPERLINK("https%3A%2F%2Fwww.webofscience.com%2Fwos%2Fwoscc%2Ffull-record%2FWOS:000599681500002","View Full Record in Web of Science")</f>
        <v>View Full Record in Web of Science</v>
      </c>
    </row>
    <row r="1441" spans="1:72" x14ac:dyDescent="0.15">
      <c r="A1441" t="s">
        <v>98</v>
      </c>
      <c r="B1441" t="s">
        <v>6238</v>
      </c>
      <c r="C1441" t="s">
        <v>74</v>
      </c>
      <c r="D1441" t="s">
        <v>74</v>
      </c>
      <c r="E1441" t="s">
        <v>74</v>
      </c>
      <c r="F1441" t="s">
        <v>6239</v>
      </c>
      <c r="G1441" t="s">
        <v>74</v>
      </c>
      <c r="H1441" t="s">
        <v>74</v>
      </c>
      <c r="I1441" t="s">
        <v>6240</v>
      </c>
      <c r="J1441" t="s">
        <v>1926</v>
      </c>
      <c r="K1441" t="s">
        <v>74</v>
      </c>
      <c r="L1441" t="s">
        <v>74</v>
      </c>
      <c r="M1441" t="s">
        <v>74</v>
      </c>
      <c r="N1441" t="s">
        <v>103</v>
      </c>
      <c r="O1441" t="s">
        <v>74</v>
      </c>
      <c r="P1441" t="s">
        <v>74</v>
      </c>
      <c r="Q1441" t="s">
        <v>74</v>
      </c>
      <c r="R1441" t="s">
        <v>74</v>
      </c>
      <c r="S1441" t="s">
        <v>74</v>
      </c>
      <c r="T1441" t="s">
        <v>6241</v>
      </c>
      <c r="U1441" t="s">
        <v>6242</v>
      </c>
      <c r="V1441" t="s">
        <v>6243</v>
      </c>
      <c r="W1441" t="s">
        <v>6244</v>
      </c>
      <c r="X1441" t="s">
        <v>4249</v>
      </c>
      <c r="Y1441" t="s">
        <v>6245</v>
      </c>
      <c r="Z1441" t="s">
        <v>6246</v>
      </c>
      <c r="AA1441" t="s">
        <v>6247</v>
      </c>
      <c r="AB1441" t="s">
        <v>6248</v>
      </c>
      <c r="AC1441" t="s">
        <v>74</v>
      </c>
      <c r="AD1441" t="s">
        <v>74</v>
      </c>
      <c r="AE1441" t="s">
        <v>74</v>
      </c>
      <c r="AF1441" t="s">
        <v>74</v>
      </c>
      <c r="AG1441">
        <v>62</v>
      </c>
      <c r="AH1441">
        <v>5</v>
      </c>
      <c r="AI1441">
        <v>5</v>
      </c>
      <c r="AJ1441">
        <v>7</v>
      </c>
      <c r="AK1441">
        <v>20</v>
      </c>
      <c r="AL1441" t="s">
        <v>74</v>
      </c>
      <c r="AM1441" t="s">
        <v>74</v>
      </c>
      <c r="AN1441" t="s">
        <v>74</v>
      </c>
      <c r="AO1441" t="s">
        <v>1935</v>
      </c>
      <c r="AP1441" t="s">
        <v>1936</v>
      </c>
      <c r="AQ1441" t="s">
        <v>74</v>
      </c>
      <c r="AR1441" t="s">
        <v>74</v>
      </c>
      <c r="AS1441" t="s">
        <v>74</v>
      </c>
      <c r="AT1441" t="s">
        <v>6249</v>
      </c>
      <c r="AU1441">
        <v>2021</v>
      </c>
      <c r="AV1441">
        <v>1638</v>
      </c>
      <c r="AW1441" t="s">
        <v>74</v>
      </c>
      <c r="AX1441" t="s">
        <v>74</v>
      </c>
      <c r="AY1441" t="s">
        <v>74</v>
      </c>
      <c r="AZ1441" t="s">
        <v>74</v>
      </c>
      <c r="BA1441" t="s">
        <v>74</v>
      </c>
      <c r="BB1441" t="s">
        <v>74</v>
      </c>
      <c r="BC1441" t="s">
        <v>74</v>
      </c>
      <c r="BD1441">
        <v>461861</v>
      </c>
      <c r="BE1441" t="s">
        <v>6250</v>
      </c>
      <c r="BF1441" t="str">
        <f>HYPERLINK("http://dx.doi.org/10.1016/j.chroma.2020.461861","http://dx.doi.org/10.1016/j.chroma.2020.461861")</f>
        <v>http://dx.doi.org/10.1016/j.chroma.2020.461861</v>
      </c>
      <c r="BG1441" t="s">
        <v>74</v>
      </c>
      <c r="BH1441" t="s">
        <v>3662</v>
      </c>
      <c r="BI1441" t="s">
        <v>74</v>
      </c>
      <c r="BJ1441" t="s">
        <v>1939</v>
      </c>
      <c r="BK1441" t="s">
        <v>117</v>
      </c>
      <c r="BL1441" t="s">
        <v>831</v>
      </c>
      <c r="BM1441" t="s">
        <v>74</v>
      </c>
      <c r="BN1441">
        <v>33472105</v>
      </c>
      <c r="BO1441" t="s">
        <v>74</v>
      </c>
      <c r="BP1441" t="s">
        <v>74</v>
      </c>
      <c r="BQ1441" t="s">
        <v>74</v>
      </c>
      <c r="BR1441" t="s">
        <v>96</v>
      </c>
      <c r="BS1441" t="s">
        <v>6251</v>
      </c>
      <c r="BT1441" t="str">
        <f>HYPERLINK("https%3A%2F%2Fwww.webofscience.com%2Fwos%2Fwoscc%2Ffull-record%2FWOS:000618077000001","View Full Record in Web of Science")</f>
        <v>View Full Record in Web of Science</v>
      </c>
    </row>
    <row r="1442" spans="1:72" x14ac:dyDescent="0.15">
      <c r="A1442" t="s">
        <v>98</v>
      </c>
      <c r="B1442" t="s">
        <v>6464</v>
      </c>
      <c r="C1442" t="s">
        <v>74</v>
      </c>
      <c r="D1442" t="s">
        <v>74</v>
      </c>
      <c r="E1442" t="s">
        <v>74</v>
      </c>
      <c r="F1442" t="s">
        <v>6465</v>
      </c>
      <c r="G1442" t="s">
        <v>74</v>
      </c>
      <c r="H1442" t="s">
        <v>74</v>
      </c>
      <c r="I1442" t="s">
        <v>6466</v>
      </c>
      <c r="J1442" t="s">
        <v>6467</v>
      </c>
      <c r="K1442" t="s">
        <v>74</v>
      </c>
      <c r="L1442" t="s">
        <v>74</v>
      </c>
      <c r="M1442" t="s">
        <v>74</v>
      </c>
      <c r="N1442" t="s">
        <v>103</v>
      </c>
      <c r="O1442" t="s">
        <v>74</v>
      </c>
      <c r="P1442" t="s">
        <v>74</v>
      </c>
      <c r="Q1442" t="s">
        <v>74</v>
      </c>
      <c r="R1442" t="s">
        <v>74</v>
      </c>
      <c r="S1442" t="s">
        <v>74</v>
      </c>
      <c r="T1442" t="s">
        <v>74</v>
      </c>
      <c r="U1442" t="s">
        <v>6468</v>
      </c>
      <c r="V1442" t="s">
        <v>6469</v>
      </c>
      <c r="W1442" t="s">
        <v>6470</v>
      </c>
      <c r="X1442" t="s">
        <v>6471</v>
      </c>
      <c r="Y1442" t="s">
        <v>6472</v>
      </c>
      <c r="Z1442" t="s">
        <v>6473</v>
      </c>
      <c r="AA1442" t="s">
        <v>6474</v>
      </c>
      <c r="AB1442" t="s">
        <v>6475</v>
      </c>
      <c r="AC1442" t="s">
        <v>74</v>
      </c>
      <c r="AD1442" t="s">
        <v>74</v>
      </c>
      <c r="AE1442" t="s">
        <v>74</v>
      </c>
      <c r="AF1442" t="s">
        <v>74</v>
      </c>
      <c r="AG1442">
        <v>96</v>
      </c>
      <c r="AH1442">
        <v>5</v>
      </c>
      <c r="AI1442">
        <v>5</v>
      </c>
      <c r="AJ1442">
        <v>1</v>
      </c>
      <c r="AK1442">
        <v>8</v>
      </c>
      <c r="AL1442" t="s">
        <v>74</v>
      </c>
      <c r="AM1442" t="s">
        <v>74</v>
      </c>
      <c r="AN1442" t="s">
        <v>74</v>
      </c>
      <c r="AO1442" t="s">
        <v>6476</v>
      </c>
      <c r="AP1442" t="s">
        <v>6477</v>
      </c>
      <c r="AQ1442" t="s">
        <v>74</v>
      </c>
      <c r="AR1442" t="s">
        <v>74</v>
      </c>
      <c r="AS1442" t="s">
        <v>74</v>
      </c>
      <c r="AT1442" t="s">
        <v>6478</v>
      </c>
      <c r="AU1442">
        <v>2021</v>
      </c>
      <c r="AV1442">
        <v>56</v>
      </c>
      <c r="AW1442">
        <v>6</v>
      </c>
      <c r="AX1442" t="s">
        <v>74</v>
      </c>
      <c r="AY1442" t="s">
        <v>74</v>
      </c>
      <c r="AZ1442" t="s">
        <v>74</v>
      </c>
      <c r="BA1442" t="s">
        <v>74</v>
      </c>
      <c r="BB1442">
        <v>842</v>
      </c>
      <c r="BC1442" t="s">
        <v>3390</v>
      </c>
      <c r="BD1442" t="s">
        <v>74</v>
      </c>
      <c r="BE1442" t="s">
        <v>6479</v>
      </c>
      <c r="BF1442" t="str">
        <f>HYPERLINK("http://dx.doi.org/10.1016/j.devcel.2021.02.029","http://dx.doi.org/10.1016/j.devcel.2021.02.029")</f>
        <v>http://dx.doi.org/10.1016/j.devcel.2021.02.029</v>
      </c>
      <c r="BG1442" t="s">
        <v>74</v>
      </c>
      <c r="BH1442" t="s">
        <v>2607</v>
      </c>
      <c r="BI1442" t="s">
        <v>74</v>
      </c>
      <c r="BJ1442" t="s">
        <v>1100</v>
      </c>
      <c r="BK1442" t="s">
        <v>117</v>
      </c>
      <c r="BL1442" t="s">
        <v>1100</v>
      </c>
      <c r="BM1442" t="s">
        <v>74</v>
      </c>
      <c r="BN1442">
        <v>33756122</v>
      </c>
      <c r="BO1442" t="s">
        <v>74</v>
      </c>
      <c r="BP1442" t="s">
        <v>74</v>
      </c>
      <c r="BQ1442" t="s">
        <v>74</v>
      </c>
      <c r="BR1442" t="s">
        <v>96</v>
      </c>
      <c r="BS1442" t="s">
        <v>6480</v>
      </c>
      <c r="BT1442" t="str">
        <f>HYPERLINK("https%3A%2F%2Fwww.webofscience.com%2Fwos%2Fwoscc%2Ffull-record%2FWOS:000631681200012","View Full Record in Web of Science")</f>
        <v>View Full Record in Web of Science</v>
      </c>
    </row>
    <row r="1443" spans="1:72" x14ac:dyDescent="0.15">
      <c r="A1443" t="s">
        <v>98</v>
      </c>
      <c r="B1443" t="s">
        <v>7471</v>
      </c>
      <c r="C1443" t="s">
        <v>74</v>
      </c>
      <c r="D1443" t="s">
        <v>74</v>
      </c>
      <c r="E1443" t="s">
        <v>74</v>
      </c>
      <c r="F1443" t="s">
        <v>7472</v>
      </c>
      <c r="G1443" t="s">
        <v>74</v>
      </c>
      <c r="H1443" t="s">
        <v>74</v>
      </c>
      <c r="I1443" t="s">
        <v>7473</v>
      </c>
      <c r="J1443" t="s">
        <v>903</v>
      </c>
      <c r="K1443" t="s">
        <v>74</v>
      </c>
      <c r="L1443" t="s">
        <v>74</v>
      </c>
      <c r="M1443" t="s">
        <v>74</v>
      </c>
      <c r="N1443" t="s">
        <v>103</v>
      </c>
      <c r="O1443" t="s">
        <v>74</v>
      </c>
      <c r="P1443" t="s">
        <v>74</v>
      </c>
      <c r="Q1443" t="s">
        <v>74</v>
      </c>
      <c r="R1443" t="s">
        <v>74</v>
      </c>
      <c r="S1443" t="s">
        <v>74</v>
      </c>
      <c r="T1443" t="s">
        <v>7474</v>
      </c>
      <c r="U1443" t="s">
        <v>7475</v>
      </c>
      <c r="V1443" t="s">
        <v>7476</v>
      </c>
      <c r="W1443" t="s">
        <v>7477</v>
      </c>
      <c r="X1443" t="s">
        <v>7478</v>
      </c>
      <c r="Y1443" t="s">
        <v>7479</v>
      </c>
      <c r="Z1443" t="s">
        <v>7480</v>
      </c>
      <c r="AA1443" t="s">
        <v>7481</v>
      </c>
      <c r="AB1443" t="s">
        <v>7482</v>
      </c>
      <c r="AC1443" t="s">
        <v>74</v>
      </c>
      <c r="AD1443" t="s">
        <v>74</v>
      </c>
      <c r="AE1443" t="s">
        <v>74</v>
      </c>
      <c r="AF1443" t="s">
        <v>74</v>
      </c>
      <c r="AG1443">
        <v>46</v>
      </c>
      <c r="AH1443">
        <v>5</v>
      </c>
      <c r="AI1443">
        <v>5</v>
      </c>
      <c r="AJ1443">
        <v>6</v>
      </c>
      <c r="AK1443">
        <v>14</v>
      </c>
      <c r="AL1443" t="s">
        <v>74</v>
      </c>
      <c r="AM1443" t="s">
        <v>74</v>
      </c>
      <c r="AN1443" t="s">
        <v>74</v>
      </c>
      <c r="AO1443" t="s">
        <v>74</v>
      </c>
      <c r="AP1443" t="s">
        <v>913</v>
      </c>
      <c r="AQ1443" t="s">
        <v>74</v>
      </c>
      <c r="AR1443" t="s">
        <v>74</v>
      </c>
      <c r="AS1443" t="s">
        <v>74</v>
      </c>
      <c r="AT1443" t="s">
        <v>283</v>
      </c>
      <c r="AU1443">
        <v>2021</v>
      </c>
      <c r="AV1443">
        <v>13</v>
      </c>
      <c r="AW1443">
        <v>4</v>
      </c>
      <c r="AX1443" t="s">
        <v>74</v>
      </c>
      <c r="AY1443" t="s">
        <v>74</v>
      </c>
      <c r="AZ1443" t="s">
        <v>74</v>
      </c>
      <c r="BA1443" t="s">
        <v>74</v>
      </c>
      <c r="BB1443" t="s">
        <v>74</v>
      </c>
      <c r="BC1443" t="s">
        <v>74</v>
      </c>
      <c r="BD1443">
        <v>922</v>
      </c>
      <c r="BE1443" t="s">
        <v>7483</v>
      </c>
      <c r="BF1443" t="str">
        <f>HYPERLINK("http://dx.doi.org/10.3390/cancers13040922","http://dx.doi.org/10.3390/cancers13040922")</f>
        <v>http://dx.doi.org/10.3390/cancers13040922</v>
      </c>
      <c r="BG1443" t="s">
        <v>74</v>
      </c>
      <c r="BH1443" t="s">
        <v>74</v>
      </c>
      <c r="BI1443" t="s">
        <v>74</v>
      </c>
      <c r="BJ1443" t="s">
        <v>267</v>
      </c>
      <c r="BK1443" t="s">
        <v>117</v>
      </c>
      <c r="BL1443" t="s">
        <v>267</v>
      </c>
      <c r="BM1443" t="s">
        <v>74</v>
      </c>
      <c r="BN1443">
        <v>33671772</v>
      </c>
      <c r="BO1443" t="s">
        <v>74</v>
      </c>
      <c r="BP1443" t="s">
        <v>74</v>
      </c>
      <c r="BQ1443" t="s">
        <v>74</v>
      </c>
      <c r="BR1443" t="s">
        <v>96</v>
      </c>
      <c r="BS1443" t="s">
        <v>7484</v>
      </c>
      <c r="BT1443" t="str">
        <f>HYPERLINK("https%3A%2F%2Fwww.webofscience.com%2Fwos%2Fwoscc%2Ffull-record%2FWOS:000623359000001","View Full Record in Web of Science")</f>
        <v>View Full Record in Web of Science</v>
      </c>
    </row>
    <row r="1444" spans="1:72" x14ac:dyDescent="0.15">
      <c r="A1444" t="s">
        <v>98</v>
      </c>
      <c r="B1444" t="s">
        <v>7620</v>
      </c>
      <c r="C1444" t="s">
        <v>74</v>
      </c>
      <c r="D1444" t="s">
        <v>74</v>
      </c>
      <c r="E1444" t="s">
        <v>74</v>
      </c>
      <c r="F1444" t="s">
        <v>7621</v>
      </c>
      <c r="G1444" t="s">
        <v>74</v>
      </c>
      <c r="H1444" t="s">
        <v>74</v>
      </c>
      <c r="I1444" t="s">
        <v>7622</v>
      </c>
      <c r="J1444" t="s">
        <v>7623</v>
      </c>
      <c r="K1444" t="s">
        <v>74</v>
      </c>
      <c r="L1444" t="s">
        <v>74</v>
      </c>
      <c r="M1444" t="s">
        <v>74</v>
      </c>
      <c r="N1444" t="s">
        <v>103</v>
      </c>
      <c r="O1444" t="s">
        <v>74</v>
      </c>
      <c r="P1444" t="s">
        <v>74</v>
      </c>
      <c r="Q1444" t="s">
        <v>74</v>
      </c>
      <c r="R1444" t="s">
        <v>74</v>
      </c>
      <c r="S1444" t="s">
        <v>74</v>
      </c>
      <c r="T1444" t="s">
        <v>7624</v>
      </c>
      <c r="U1444" t="s">
        <v>7625</v>
      </c>
      <c r="V1444" t="s">
        <v>7626</v>
      </c>
      <c r="W1444" t="s">
        <v>7627</v>
      </c>
      <c r="X1444" t="s">
        <v>7628</v>
      </c>
      <c r="Y1444" t="s">
        <v>7629</v>
      </c>
      <c r="Z1444" t="s">
        <v>7630</v>
      </c>
      <c r="AA1444" t="s">
        <v>74</v>
      </c>
      <c r="AB1444" t="s">
        <v>74</v>
      </c>
      <c r="AC1444" t="s">
        <v>74</v>
      </c>
      <c r="AD1444" t="s">
        <v>74</v>
      </c>
      <c r="AE1444" t="s">
        <v>74</v>
      </c>
      <c r="AF1444" t="s">
        <v>74</v>
      </c>
      <c r="AG1444">
        <v>75</v>
      </c>
      <c r="AH1444">
        <v>5</v>
      </c>
      <c r="AI1444">
        <v>5</v>
      </c>
      <c r="AJ1444">
        <v>7</v>
      </c>
      <c r="AK1444">
        <v>33</v>
      </c>
      <c r="AL1444" t="s">
        <v>74</v>
      </c>
      <c r="AM1444" t="s">
        <v>74</v>
      </c>
      <c r="AN1444" t="s">
        <v>74</v>
      </c>
      <c r="AO1444" t="s">
        <v>7631</v>
      </c>
      <c r="AP1444" t="s">
        <v>7632</v>
      </c>
      <c r="AQ1444" t="s">
        <v>74</v>
      </c>
      <c r="AR1444" t="s">
        <v>74</v>
      </c>
      <c r="AS1444" t="s">
        <v>74</v>
      </c>
      <c r="AT1444" t="s">
        <v>1570</v>
      </c>
      <c r="AU1444">
        <v>2021</v>
      </c>
      <c r="AV1444">
        <v>16</v>
      </c>
      <c r="AW1444">
        <v>2</v>
      </c>
      <c r="AX1444" t="s">
        <v>74</v>
      </c>
      <c r="AY1444" t="s">
        <v>74</v>
      </c>
      <c r="AZ1444" t="s">
        <v>74</v>
      </c>
      <c r="BA1444" t="s">
        <v>74</v>
      </c>
      <c r="BB1444" t="s">
        <v>74</v>
      </c>
      <c r="BC1444" t="s">
        <v>74</v>
      </c>
      <c r="BD1444">
        <v>25026</v>
      </c>
      <c r="BE1444" t="s">
        <v>7633</v>
      </c>
      <c r="BF1444" t="str">
        <f>HYPERLINK("http://dx.doi.org/10.1088/1748-605X/abaaa2","http://dx.doi.org/10.1088/1748-605X/abaaa2")</f>
        <v>http://dx.doi.org/10.1088/1748-605X/abaaa2</v>
      </c>
      <c r="BG1444" t="s">
        <v>74</v>
      </c>
      <c r="BH1444" t="s">
        <v>74</v>
      </c>
      <c r="BI1444" t="s">
        <v>74</v>
      </c>
      <c r="BJ1444" t="s">
        <v>1983</v>
      </c>
      <c r="BK1444" t="s">
        <v>117</v>
      </c>
      <c r="BL1444" t="s">
        <v>1984</v>
      </c>
      <c r="BM1444" t="s">
        <v>74</v>
      </c>
      <c r="BN1444">
        <v>32726764</v>
      </c>
      <c r="BO1444" t="s">
        <v>74</v>
      </c>
      <c r="BP1444" t="s">
        <v>74</v>
      </c>
      <c r="BQ1444" t="s">
        <v>74</v>
      </c>
      <c r="BR1444" t="s">
        <v>96</v>
      </c>
      <c r="BS1444" t="s">
        <v>7634</v>
      </c>
      <c r="BT1444" t="str">
        <f>HYPERLINK("https%3A%2F%2Fwww.webofscience.com%2Fwos%2Fwoscc%2Ffull-record%2FWOS:000621474900001","View Full Record in Web of Science")</f>
        <v>View Full Record in Web of Science</v>
      </c>
    </row>
    <row r="1445" spans="1:72" x14ac:dyDescent="0.15">
      <c r="A1445" t="s">
        <v>98</v>
      </c>
      <c r="B1445" t="s">
        <v>8197</v>
      </c>
      <c r="C1445" t="s">
        <v>74</v>
      </c>
      <c r="D1445" t="s">
        <v>74</v>
      </c>
      <c r="E1445" t="s">
        <v>74</v>
      </c>
      <c r="F1445" t="s">
        <v>8198</v>
      </c>
      <c r="G1445" t="s">
        <v>74</v>
      </c>
      <c r="H1445" t="s">
        <v>74</v>
      </c>
      <c r="I1445" t="s">
        <v>8199</v>
      </c>
      <c r="J1445" t="s">
        <v>3864</v>
      </c>
      <c r="K1445" t="s">
        <v>74</v>
      </c>
      <c r="L1445" t="s">
        <v>74</v>
      </c>
      <c r="M1445" t="s">
        <v>74</v>
      </c>
      <c r="N1445" t="s">
        <v>103</v>
      </c>
      <c r="O1445" t="s">
        <v>74</v>
      </c>
      <c r="P1445" t="s">
        <v>74</v>
      </c>
      <c r="Q1445" t="s">
        <v>74</v>
      </c>
      <c r="R1445" t="s">
        <v>74</v>
      </c>
      <c r="S1445" t="s">
        <v>74</v>
      </c>
      <c r="T1445" t="s">
        <v>8200</v>
      </c>
      <c r="U1445" t="s">
        <v>8201</v>
      </c>
      <c r="V1445" t="s">
        <v>8202</v>
      </c>
      <c r="W1445" t="s">
        <v>8203</v>
      </c>
      <c r="X1445" t="s">
        <v>2509</v>
      </c>
      <c r="Y1445" t="s">
        <v>8204</v>
      </c>
      <c r="Z1445" t="s">
        <v>7464</v>
      </c>
      <c r="AA1445" t="s">
        <v>7465</v>
      </c>
      <c r="AB1445" t="s">
        <v>8205</v>
      </c>
      <c r="AC1445" t="s">
        <v>74</v>
      </c>
      <c r="AD1445" t="s">
        <v>74</v>
      </c>
      <c r="AE1445" t="s">
        <v>74</v>
      </c>
      <c r="AF1445" t="s">
        <v>74</v>
      </c>
      <c r="AG1445">
        <v>40</v>
      </c>
      <c r="AH1445">
        <v>5</v>
      </c>
      <c r="AI1445">
        <v>5</v>
      </c>
      <c r="AJ1445">
        <v>5</v>
      </c>
      <c r="AK1445">
        <v>21</v>
      </c>
      <c r="AL1445" t="s">
        <v>74</v>
      </c>
      <c r="AM1445" t="s">
        <v>74</v>
      </c>
      <c r="AN1445" t="s">
        <v>74</v>
      </c>
      <c r="AO1445" t="s">
        <v>74</v>
      </c>
      <c r="AP1445" t="s">
        <v>3874</v>
      </c>
      <c r="AQ1445" t="s">
        <v>74</v>
      </c>
      <c r="AR1445" t="s">
        <v>74</v>
      </c>
      <c r="AS1445" t="s">
        <v>74</v>
      </c>
      <c r="AT1445" t="s">
        <v>8206</v>
      </c>
      <c r="AU1445">
        <v>2020</v>
      </c>
      <c r="AV1445">
        <v>18</v>
      </c>
      <c r="AW1445">
        <v>1</v>
      </c>
      <c r="AX1445" t="s">
        <v>74</v>
      </c>
      <c r="AY1445" t="s">
        <v>74</v>
      </c>
      <c r="AZ1445" t="s">
        <v>74</v>
      </c>
      <c r="BA1445" t="s">
        <v>74</v>
      </c>
      <c r="BB1445" t="s">
        <v>74</v>
      </c>
      <c r="BC1445" t="s">
        <v>74</v>
      </c>
      <c r="BD1445">
        <v>69</v>
      </c>
      <c r="BE1445" t="s">
        <v>8207</v>
      </c>
      <c r="BF1445" t="str">
        <f>HYPERLINK("http://dx.doi.org/10.1186/s12951-020-00625-2","http://dx.doi.org/10.1186/s12951-020-00625-2")</f>
        <v>http://dx.doi.org/10.1186/s12951-020-00625-2</v>
      </c>
      <c r="BG1445" t="s">
        <v>74</v>
      </c>
      <c r="BH1445" t="s">
        <v>74</v>
      </c>
      <c r="BI1445" t="s">
        <v>74</v>
      </c>
      <c r="BJ1445" t="s">
        <v>3877</v>
      </c>
      <c r="BK1445" t="s">
        <v>117</v>
      </c>
      <c r="BL1445" t="s">
        <v>3878</v>
      </c>
      <c r="BM1445" t="s">
        <v>74</v>
      </c>
      <c r="BN1445">
        <v>32375799</v>
      </c>
      <c r="BO1445" t="s">
        <v>74</v>
      </c>
      <c r="BP1445" t="s">
        <v>74</v>
      </c>
      <c r="BQ1445" t="s">
        <v>74</v>
      </c>
      <c r="BR1445" t="s">
        <v>96</v>
      </c>
      <c r="BS1445" t="s">
        <v>8208</v>
      </c>
      <c r="BT1445" t="str">
        <f>HYPERLINK("https%3A%2F%2Fwww.webofscience.com%2Fwos%2Fwoscc%2Ffull-record%2FWOS:000533942900002","View Full Record in Web of Science")</f>
        <v>View Full Record in Web of Science</v>
      </c>
    </row>
    <row r="1446" spans="1:72" x14ac:dyDescent="0.15">
      <c r="A1446" t="s">
        <v>98</v>
      </c>
      <c r="B1446" t="s">
        <v>9757</v>
      </c>
      <c r="C1446" t="s">
        <v>74</v>
      </c>
      <c r="D1446" t="s">
        <v>74</v>
      </c>
      <c r="E1446" t="s">
        <v>74</v>
      </c>
      <c r="F1446" t="s">
        <v>9758</v>
      </c>
      <c r="G1446" t="s">
        <v>74</v>
      </c>
      <c r="H1446" t="s">
        <v>74</v>
      </c>
      <c r="I1446" t="s">
        <v>9759</v>
      </c>
      <c r="J1446" t="s">
        <v>9760</v>
      </c>
      <c r="K1446" t="s">
        <v>74</v>
      </c>
      <c r="L1446" t="s">
        <v>74</v>
      </c>
      <c r="M1446" t="s">
        <v>74</v>
      </c>
      <c r="N1446" t="s">
        <v>103</v>
      </c>
      <c r="O1446" t="s">
        <v>74</v>
      </c>
      <c r="P1446" t="s">
        <v>74</v>
      </c>
      <c r="Q1446" t="s">
        <v>74</v>
      </c>
      <c r="R1446" t="s">
        <v>74</v>
      </c>
      <c r="S1446" t="s">
        <v>74</v>
      </c>
      <c r="T1446" t="s">
        <v>9761</v>
      </c>
      <c r="U1446" t="s">
        <v>9762</v>
      </c>
      <c r="V1446" t="s">
        <v>9763</v>
      </c>
      <c r="W1446" t="s">
        <v>9764</v>
      </c>
      <c r="X1446" t="s">
        <v>9765</v>
      </c>
      <c r="Y1446" t="s">
        <v>9766</v>
      </c>
      <c r="Z1446" t="s">
        <v>9767</v>
      </c>
      <c r="AA1446" t="s">
        <v>9768</v>
      </c>
      <c r="AB1446" t="s">
        <v>9769</v>
      </c>
      <c r="AC1446" t="s">
        <v>74</v>
      </c>
      <c r="AD1446" t="s">
        <v>74</v>
      </c>
      <c r="AE1446" t="s">
        <v>74</v>
      </c>
      <c r="AF1446" t="s">
        <v>74</v>
      </c>
      <c r="AG1446">
        <v>60</v>
      </c>
      <c r="AH1446">
        <v>5</v>
      </c>
      <c r="AI1446">
        <v>5</v>
      </c>
      <c r="AJ1446">
        <v>44</v>
      </c>
      <c r="AK1446">
        <v>89</v>
      </c>
      <c r="AL1446" t="s">
        <v>74</v>
      </c>
      <c r="AM1446" t="s">
        <v>74</v>
      </c>
      <c r="AN1446" t="s">
        <v>74</v>
      </c>
      <c r="AO1446" t="s">
        <v>9770</v>
      </c>
      <c r="AP1446" t="s">
        <v>74</v>
      </c>
      <c r="AQ1446" t="s">
        <v>74</v>
      </c>
      <c r="AR1446" t="s">
        <v>74</v>
      </c>
      <c r="AS1446" t="s">
        <v>74</v>
      </c>
      <c r="AT1446" t="s">
        <v>170</v>
      </c>
      <c r="AU1446">
        <v>2021</v>
      </c>
      <c r="AV1446">
        <v>23</v>
      </c>
      <c r="AW1446" t="s">
        <v>74</v>
      </c>
      <c r="AX1446" t="s">
        <v>74</v>
      </c>
      <c r="AY1446" t="s">
        <v>74</v>
      </c>
      <c r="AZ1446" t="s">
        <v>74</v>
      </c>
      <c r="BA1446" t="s">
        <v>74</v>
      </c>
      <c r="BB1446" t="s">
        <v>74</v>
      </c>
      <c r="BC1446" t="s">
        <v>74</v>
      </c>
      <c r="BD1446">
        <v>100994</v>
      </c>
      <c r="BE1446" t="s">
        <v>9771</v>
      </c>
      <c r="BF1446" t="str">
        <f>HYPERLINK("http://dx.doi.org/10.1016/j.apmt.2021.100994","http://dx.doi.org/10.1016/j.apmt.2021.100994")</f>
        <v>http://dx.doi.org/10.1016/j.apmt.2021.100994</v>
      </c>
      <c r="BG1446" t="s">
        <v>74</v>
      </c>
      <c r="BH1446" t="s">
        <v>2607</v>
      </c>
      <c r="BI1446" t="s">
        <v>74</v>
      </c>
      <c r="BJ1446" t="s">
        <v>9772</v>
      </c>
      <c r="BK1446" t="s">
        <v>117</v>
      </c>
      <c r="BL1446" t="s">
        <v>3946</v>
      </c>
      <c r="BM1446" t="s">
        <v>74</v>
      </c>
      <c r="BN1446" t="s">
        <v>74</v>
      </c>
      <c r="BO1446" t="s">
        <v>74</v>
      </c>
      <c r="BP1446" t="s">
        <v>74</v>
      </c>
      <c r="BQ1446" t="s">
        <v>74</v>
      </c>
      <c r="BR1446" t="s">
        <v>96</v>
      </c>
      <c r="BS1446" t="s">
        <v>9773</v>
      </c>
      <c r="BT1446" t="str">
        <f>HYPERLINK("https%3A%2F%2Fwww.webofscience.com%2Fwos%2Fwoscc%2Ffull-record%2FWOS:000667468400018","View Full Record in Web of Science")</f>
        <v>View Full Record in Web of Science</v>
      </c>
    </row>
    <row r="1447" spans="1:72" x14ac:dyDescent="0.15">
      <c r="A1447" t="s">
        <v>72</v>
      </c>
      <c r="B1447" t="s">
        <v>9950</v>
      </c>
      <c r="C1447" t="s">
        <v>74</v>
      </c>
      <c r="D1447" t="s">
        <v>5873</v>
      </c>
      <c r="E1447" t="s">
        <v>74</v>
      </c>
      <c r="F1447" t="s">
        <v>9951</v>
      </c>
      <c r="G1447" t="s">
        <v>74</v>
      </c>
      <c r="H1447" t="s">
        <v>74</v>
      </c>
      <c r="I1447" t="s">
        <v>9952</v>
      </c>
      <c r="J1447" t="s">
        <v>5876</v>
      </c>
      <c r="K1447" t="s">
        <v>5877</v>
      </c>
      <c r="L1447" t="s">
        <v>74</v>
      </c>
      <c r="M1447" t="s">
        <v>74</v>
      </c>
      <c r="N1447" t="s">
        <v>80</v>
      </c>
      <c r="O1447" t="s">
        <v>74</v>
      </c>
      <c r="P1447" t="s">
        <v>74</v>
      </c>
      <c r="Q1447" t="s">
        <v>74</v>
      </c>
      <c r="R1447" t="s">
        <v>74</v>
      </c>
      <c r="S1447" t="s">
        <v>74</v>
      </c>
      <c r="T1447" t="s">
        <v>74</v>
      </c>
      <c r="U1447" t="s">
        <v>9953</v>
      </c>
      <c r="V1447" t="s">
        <v>9954</v>
      </c>
      <c r="W1447" t="s">
        <v>9955</v>
      </c>
      <c r="X1447" t="s">
        <v>9956</v>
      </c>
      <c r="Y1447" t="s">
        <v>9957</v>
      </c>
      <c r="Z1447" t="s">
        <v>9958</v>
      </c>
      <c r="AA1447" t="s">
        <v>74</v>
      </c>
      <c r="AB1447" t="s">
        <v>9959</v>
      </c>
      <c r="AC1447" t="s">
        <v>74</v>
      </c>
      <c r="AD1447" t="s">
        <v>74</v>
      </c>
      <c r="AE1447" t="s">
        <v>74</v>
      </c>
      <c r="AF1447" t="s">
        <v>74</v>
      </c>
      <c r="AG1447">
        <v>84</v>
      </c>
      <c r="AH1447">
        <v>5</v>
      </c>
      <c r="AI1447">
        <v>6</v>
      </c>
      <c r="AJ1447">
        <v>0</v>
      </c>
      <c r="AK1447">
        <v>3</v>
      </c>
      <c r="AL1447" t="s">
        <v>74</v>
      </c>
      <c r="AM1447" t="s">
        <v>74</v>
      </c>
      <c r="AN1447" t="s">
        <v>74</v>
      </c>
      <c r="AO1447" t="s">
        <v>5884</v>
      </c>
      <c r="AP1447" t="s">
        <v>74</v>
      </c>
      <c r="AQ1447" t="s">
        <v>5885</v>
      </c>
      <c r="AR1447" t="s">
        <v>74</v>
      </c>
      <c r="AS1447" t="s">
        <v>74</v>
      </c>
      <c r="AT1447" t="s">
        <v>74</v>
      </c>
      <c r="AU1447">
        <v>2010</v>
      </c>
      <c r="AV1447">
        <v>25</v>
      </c>
      <c r="AW1447" t="s">
        <v>74</v>
      </c>
      <c r="AX1447" t="s">
        <v>74</v>
      </c>
      <c r="AY1447" t="s">
        <v>74</v>
      </c>
      <c r="AZ1447" t="s">
        <v>74</v>
      </c>
      <c r="BA1447" t="s">
        <v>74</v>
      </c>
      <c r="BB1447">
        <v>1</v>
      </c>
      <c r="BC1447">
        <v>14</v>
      </c>
      <c r="BD1447" t="s">
        <v>74</v>
      </c>
      <c r="BE1447" t="s">
        <v>9960</v>
      </c>
      <c r="BF1447" t="str">
        <f>HYPERLINK("http://dx.doi.org/10.1007/978-3-642-12617-8_1","http://dx.doi.org/10.1007/978-3-642-12617-8_1")</f>
        <v>http://dx.doi.org/10.1007/978-3-642-12617-8_1</v>
      </c>
      <c r="BG1447" t="s">
        <v>5887</v>
      </c>
      <c r="BH1447" t="s">
        <v>74</v>
      </c>
      <c r="BI1447" t="s">
        <v>74</v>
      </c>
      <c r="BJ1447" t="s">
        <v>95</v>
      </c>
      <c r="BK1447" t="s">
        <v>94</v>
      </c>
      <c r="BL1447" t="s">
        <v>95</v>
      </c>
      <c r="BM1447" t="s">
        <v>74</v>
      </c>
      <c r="BN1447" t="s">
        <v>74</v>
      </c>
      <c r="BO1447" t="s">
        <v>74</v>
      </c>
      <c r="BP1447" t="s">
        <v>74</v>
      </c>
      <c r="BQ1447" t="s">
        <v>74</v>
      </c>
      <c r="BR1447" t="s">
        <v>96</v>
      </c>
      <c r="BS1447" t="s">
        <v>9961</v>
      </c>
      <c r="BT1447" t="str">
        <f>HYPERLINK("https%3A%2F%2Fwww.webofscience.com%2Fwos%2Fwoscc%2Ffull-record%2FWOS:000281000900001","View Full Record in Web of Science")</f>
        <v>View Full Record in Web of Science</v>
      </c>
    </row>
    <row r="1448" spans="1:72" x14ac:dyDescent="0.15">
      <c r="A1448" t="s">
        <v>98</v>
      </c>
      <c r="B1448" t="s">
        <v>10616</v>
      </c>
      <c r="C1448" t="s">
        <v>74</v>
      </c>
      <c r="D1448" t="s">
        <v>74</v>
      </c>
      <c r="E1448" t="s">
        <v>74</v>
      </c>
      <c r="F1448" t="s">
        <v>10617</v>
      </c>
      <c r="G1448" t="s">
        <v>74</v>
      </c>
      <c r="H1448" t="s">
        <v>74</v>
      </c>
      <c r="I1448" t="s">
        <v>10618</v>
      </c>
      <c r="J1448" t="s">
        <v>1073</v>
      </c>
      <c r="K1448" t="s">
        <v>74</v>
      </c>
      <c r="L1448" t="s">
        <v>74</v>
      </c>
      <c r="M1448" t="s">
        <v>74</v>
      </c>
      <c r="N1448" t="s">
        <v>103</v>
      </c>
      <c r="O1448" t="s">
        <v>74</v>
      </c>
      <c r="P1448" t="s">
        <v>74</v>
      </c>
      <c r="Q1448" t="s">
        <v>74</v>
      </c>
      <c r="R1448" t="s">
        <v>74</v>
      </c>
      <c r="S1448" t="s">
        <v>74</v>
      </c>
      <c r="T1448" t="s">
        <v>74</v>
      </c>
      <c r="U1448" t="s">
        <v>10619</v>
      </c>
      <c r="V1448" t="s">
        <v>10620</v>
      </c>
      <c r="W1448" t="s">
        <v>10621</v>
      </c>
      <c r="X1448" t="s">
        <v>10622</v>
      </c>
      <c r="Y1448" t="s">
        <v>10623</v>
      </c>
      <c r="Z1448" t="s">
        <v>10624</v>
      </c>
      <c r="AA1448" t="s">
        <v>74</v>
      </c>
      <c r="AB1448" t="s">
        <v>10625</v>
      </c>
      <c r="AC1448" t="s">
        <v>74</v>
      </c>
      <c r="AD1448" t="s">
        <v>74</v>
      </c>
      <c r="AE1448" t="s">
        <v>74</v>
      </c>
      <c r="AF1448" t="s">
        <v>74</v>
      </c>
      <c r="AG1448">
        <v>82</v>
      </c>
      <c r="AH1448">
        <v>5</v>
      </c>
      <c r="AI1448">
        <v>5</v>
      </c>
      <c r="AJ1448">
        <v>0</v>
      </c>
      <c r="AK1448">
        <v>1</v>
      </c>
      <c r="AL1448" t="s">
        <v>74</v>
      </c>
      <c r="AM1448" t="s">
        <v>74</v>
      </c>
      <c r="AN1448" t="s">
        <v>74</v>
      </c>
      <c r="AO1448" t="s">
        <v>1082</v>
      </c>
      <c r="AP1448" t="s">
        <v>74</v>
      </c>
      <c r="AQ1448" t="s">
        <v>74</v>
      </c>
      <c r="AR1448" t="s">
        <v>74</v>
      </c>
      <c r="AS1448" t="s">
        <v>74</v>
      </c>
      <c r="AT1448" t="s">
        <v>650</v>
      </c>
      <c r="AU1448">
        <v>2020</v>
      </c>
      <c r="AV1448">
        <v>15</v>
      </c>
      <c r="AW1448">
        <v>11</v>
      </c>
      <c r="AX1448" t="s">
        <v>74</v>
      </c>
      <c r="AY1448" t="s">
        <v>74</v>
      </c>
      <c r="AZ1448" t="s">
        <v>74</v>
      </c>
      <c r="BA1448" t="s">
        <v>74</v>
      </c>
      <c r="BB1448" t="s">
        <v>74</v>
      </c>
      <c r="BC1448" t="s">
        <v>74</v>
      </c>
      <c r="BD1448" t="s">
        <v>10626</v>
      </c>
      <c r="BE1448" t="s">
        <v>10627</v>
      </c>
      <c r="BF1448" t="str">
        <f>HYPERLINK("http://dx.doi.org/10.1371/journal.pone.0227657","http://dx.doi.org/10.1371/journal.pone.0227657")</f>
        <v>http://dx.doi.org/10.1371/journal.pone.0227657</v>
      </c>
      <c r="BG1448" t="s">
        <v>74</v>
      </c>
      <c r="BH1448" t="s">
        <v>74</v>
      </c>
      <c r="BI1448" t="s">
        <v>74</v>
      </c>
      <c r="BJ1448" t="s">
        <v>152</v>
      </c>
      <c r="BK1448" t="s">
        <v>117</v>
      </c>
      <c r="BL1448" t="s">
        <v>153</v>
      </c>
      <c r="BM1448" t="s">
        <v>74</v>
      </c>
      <c r="BN1448">
        <v>33216751</v>
      </c>
      <c r="BO1448" t="s">
        <v>74</v>
      </c>
      <c r="BP1448" t="s">
        <v>74</v>
      </c>
      <c r="BQ1448" t="s">
        <v>74</v>
      </c>
      <c r="BR1448" t="s">
        <v>96</v>
      </c>
      <c r="BS1448" t="s">
        <v>10628</v>
      </c>
      <c r="BT1448" t="str">
        <f>HYPERLINK("https%3A%2F%2Fwww.webofscience.com%2Fwos%2Fwoscc%2Ffull-record%2FWOS:000595653500003","View Full Record in Web of Science")</f>
        <v>View Full Record in Web of Science</v>
      </c>
    </row>
    <row r="1449" spans="1:72" x14ac:dyDescent="0.15">
      <c r="A1449" t="s">
        <v>98</v>
      </c>
      <c r="B1449" t="s">
        <v>10922</v>
      </c>
      <c r="C1449" t="s">
        <v>74</v>
      </c>
      <c r="D1449" t="s">
        <v>74</v>
      </c>
      <c r="E1449" t="s">
        <v>74</v>
      </c>
      <c r="F1449" t="s">
        <v>10923</v>
      </c>
      <c r="G1449" t="s">
        <v>74</v>
      </c>
      <c r="H1449" t="s">
        <v>74</v>
      </c>
      <c r="I1449" t="s">
        <v>10924</v>
      </c>
      <c r="J1449" t="s">
        <v>817</v>
      </c>
      <c r="K1449" t="s">
        <v>74</v>
      </c>
      <c r="L1449" t="s">
        <v>74</v>
      </c>
      <c r="M1449" t="s">
        <v>74</v>
      </c>
      <c r="N1449" t="s">
        <v>103</v>
      </c>
      <c r="O1449" t="s">
        <v>74</v>
      </c>
      <c r="P1449" t="s">
        <v>74</v>
      </c>
      <c r="Q1449" t="s">
        <v>74</v>
      </c>
      <c r="R1449" t="s">
        <v>74</v>
      </c>
      <c r="S1449" t="s">
        <v>74</v>
      </c>
      <c r="T1449" t="s">
        <v>10925</v>
      </c>
      <c r="U1449" t="s">
        <v>10926</v>
      </c>
      <c r="V1449" t="s">
        <v>10927</v>
      </c>
      <c r="W1449" t="s">
        <v>10928</v>
      </c>
      <c r="X1449" t="s">
        <v>10929</v>
      </c>
      <c r="Y1449" t="s">
        <v>10930</v>
      </c>
      <c r="Z1449" t="s">
        <v>10931</v>
      </c>
      <c r="AA1449" t="s">
        <v>74</v>
      </c>
      <c r="AB1449" t="s">
        <v>10932</v>
      </c>
      <c r="AC1449" t="s">
        <v>74</v>
      </c>
      <c r="AD1449" t="s">
        <v>74</v>
      </c>
      <c r="AE1449" t="s">
        <v>74</v>
      </c>
      <c r="AF1449" t="s">
        <v>74</v>
      </c>
      <c r="AG1449">
        <v>92</v>
      </c>
      <c r="AH1449">
        <v>5</v>
      </c>
      <c r="AI1449">
        <v>5</v>
      </c>
      <c r="AJ1449">
        <v>2</v>
      </c>
      <c r="AK1449">
        <v>3</v>
      </c>
      <c r="AL1449" t="s">
        <v>74</v>
      </c>
      <c r="AM1449" t="s">
        <v>74</v>
      </c>
      <c r="AN1449" t="s">
        <v>74</v>
      </c>
      <c r="AO1449" t="s">
        <v>74</v>
      </c>
      <c r="AP1449" t="s">
        <v>827</v>
      </c>
      <c r="AQ1449" t="s">
        <v>74</v>
      </c>
      <c r="AR1449" t="s">
        <v>74</v>
      </c>
      <c r="AS1449" t="s">
        <v>74</v>
      </c>
      <c r="AT1449" t="s">
        <v>211</v>
      </c>
      <c r="AU1449">
        <v>2021</v>
      </c>
      <c r="AV1449">
        <v>22</v>
      </c>
      <c r="AW1449">
        <v>21</v>
      </c>
      <c r="AX1449" t="s">
        <v>74</v>
      </c>
      <c r="AY1449" t="s">
        <v>74</v>
      </c>
      <c r="AZ1449" t="s">
        <v>74</v>
      </c>
      <c r="BA1449" t="s">
        <v>74</v>
      </c>
      <c r="BB1449" t="s">
        <v>74</v>
      </c>
      <c r="BC1449" t="s">
        <v>74</v>
      </c>
      <c r="BD1449">
        <v>11570</v>
      </c>
      <c r="BE1449" t="s">
        <v>10933</v>
      </c>
      <c r="BF1449" t="str">
        <f>HYPERLINK("http://dx.doi.org/10.3390/ijms222111570","http://dx.doi.org/10.3390/ijms222111570")</f>
        <v>http://dx.doi.org/10.3390/ijms222111570</v>
      </c>
      <c r="BG1449" t="s">
        <v>74</v>
      </c>
      <c r="BH1449" t="s">
        <v>74</v>
      </c>
      <c r="BI1449" t="s">
        <v>74</v>
      </c>
      <c r="BJ1449" t="s">
        <v>830</v>
      </c>
      <c r="BK1449" t="s">
        <v>117</v>
      </c>
      <c r="BL1449" t="s">
        <v>831</v>
      </c>
      <c r="BM1449" t="s">
        <v>74</v>
      </c>
      <c r="BN1449">
        <v>34769002</v>
      </c>
      <c r="BO1449" t="s">
        <v>74</v>
      </c>
      <c r="BP1449" t="s">
        <v>74</v>
      </c>
      <c r="BQ1449" t="s">
        <v>74</v>
      </c>
      <c r="BR1449" t="s">
        <v>96</v>
      </c>
      <c r="BS1449" t="s">
        <v>10934</v>
      </c>
      <c r="BT1449" t="str">
        <f>HYPERLINK("https%3A%2F%2Fwww.webofscience.com%2Fwos%2Fwoscc%2Ffull-record%2FWOS:000719312700001","View Full Record in Web of Science")</f>
        <v>View Full Record in Web of Science</v>
      </c>
    </row>
    <row r="1450" spans="1:72" x14ac:dyDescent="0.15">
      <c r="A1450" t="s">
        <v>98</v>
      </c>
      <c r="B1450" t="s">
        <v>12272</v>
      </c>
      <c r="C1450" t="s">
        <v>74</v>
      </c>
      <c r="D1450" t="s">
        <v>74</v>
      </c>
      <c r="E1450" t="s">
        <v>74</v>
      </c>
      <c r="F1450" t="s">
        <v>12273</v>
      </c>
      <c r="G1450" t="s">
        <v>74</v>
      </c>
      <c r="H1450" t="s">
        <v>74</v>
      </c>
      <c r="I1450" t="s">
        <v>12274</v>
      </c>
      <c r="J1450" t="s">
        <v>12275</v>
      </c>
      <c r="K1450" t="s">
        <v>74</v>
      </c>
      <c r="L1450" t="s">
        <v>74</v>
      </c>
      <c r="M1450" t="s">
        <v>74</v>
      </c>
      <c r="N1450" t="s">
        <v>103</v>
      </c>
      <c r="O1450" t="s">
        <v>74</v>
      </c>
      <c r="P1450" t="s">
        <v>74</v>
      </c>
      <c r="Q1450" t="s">
        <v>74</v>
      </c>
      <c r="R1450" t="s">
        <v>74</v>
      </c>
      <c r="S1450" t="s">
        <v>74</v>
      </c>
      <c r="T1450" t="s">
        <v>74</v>
      </c>
      <c r="U1450" t="s">
        <v>12276</v>
      </c>
      <c r="V1450" t="s">
        <v>12277</v>
      </c>
      <c r="W1450" t="s">
        <v>12278</v>
      </c>
      <c r="X1450" t="s">
        <v>12279</v>
      </c>
      <c r="Y1450" t="s">
        <v>12280</v>
      </c>
      <c r="Z1450" t="s">
        <v>12281</v>
      </c>
      <c r="AA1450" t="s">
        <v>74</v>
      </c>
      <c r="AB1450" t="s">
        <v>74</v>
      </c>
      <c r="AC1450" t="s">
        <v>74</v>
      </c>
      <c r="AD1450" t="s">
        <v>74</v>
      </c>
      <c r="AE1450" t="s">
        <v>74</v>
      </c>
      <c r="AF1450" t="s">
        <v>74</v>
      </c>
      <c r="AG1450">
        <v>89</v>
      </c>
      <c r="AH1450">
        <v>5</v>
      </c>
      <c r="AI1450">
        <v>5</v>
      </c>
      <c r="AJ1450">
        <v>6</v>
      </c>
      <c r="AK1450">
        <v>15</v>
      </c>
      <c r="AL1450" t="s">
        <v>74</v>
      </c>
      <c r="AM1450" t="s">
        <v>74</v>
      </c>
      <c r="AN1450" t="s">
        <v>74</v>
      </c>
      <c r="AO1450" t="s">
        <v>12282</v>
      </c>
      <c r="AP1450" t="s">
        <v>12283</v>
      </c>
      <c r="AQ1450" t="s">
        <v>74</v>
      </c>
      <c r="AR1450" t="s">
        <v>74</v>
      </c>
      <c r="AS1450" t="s">
        <v>74</v>
      </c>
      <c r="AT1450" t="s">
        <v>11146</v>
      </c>
      <c r="AU1450">
        <v>2020</v>
      </c>
      <c r="AV1450">
        <v>40</v>
      </c>
      <c r="AW1450" t="s">
        <v>74</v>
      </c>
      <c r="AX1450">
        <v>12</v>
      </c>
      <c r="AY1450" t="s">
        <v>74</v>
      </c>
      <c r="AZ1450" t="s">
        <v>74</v>
      </c>
      <c r="BA1450" t="s">
        <v>74</v>
      </c>
      <c r="BB1450" t="s">
        <v>74</v>
      </c>
      <c r="BC1450" t="s">
        <v>74</v>
      </c>
      <c r="BD1450" t="s">
        <v>12284</v>
      </c>
      <c r="BE1450" t="s">
        <v>12285</v>
      </c>
      <c r="BF1450" t="str">
        <f>HYPERLINK("http://dx.doi.org/10.1042/BSR20201087","http://dx.doi.org/10.1042/BSR20201087")</f>
        <v>http://dx.doi.org/10.1042/BSR20201087</v>
      </c>
      <c r="BG1450" t="s">
        <v>74</v>
      </c>
      <c r="BH1450" t="s">
        <v>74</v>
      </c>
      <c r="BI1450" t="s">
        <v>74</v>
      </c>
      <c r="BJ1450" t="s">
        <v>498</v>
      </c>
      <c r="BK1450" t="s">
        <v>117</v>
      </c>
      <c r="BL1450" t="s">
        <v>498</v>
      </c>
      <c r="BM1450" t="s">
        <v>74</v>
      </c>
      <c r="BN1450">
        <v>33169793</v>
      </c>
      <c r="BO1450" t="s">
        <v>74</v>
      </c>
      <c r="BP1450" t="s">
        <v>74</v>
      </c>
      <c r="BQ1450" t="s">
        <v>74</v>
      </c>
      <c r="BR1450" t="s">
        <v>96</v>
      </c>
      <c r="BS1450" t="s">
        <v>12286</v>
      </c>
      <c r="BT1450" t="str">
        <f>HYPERLINK("https%3A%2F%2Fwww.webofscience.com%2Fwos%2Fwoscc%2Ffull-record%2FWOS:000617732000001","View Full Record in Web of Science")</f>
        <v>View Full Record in Web of Science</v>
      </c>
    </row>
    <row r="1451" spans="1:72" x14ac:dyDescent="0.15">
      <c r="A1451" t="s">
        <v>98</v>
      </c>
      <c r="B1451" t="s">
        <v>12457</v>
      </c>
      <c r="C1451" t="s">
        <v>74</v>
      </c>
      <c r="D1451" t="s">
        <v>74</v>
      </c>
      <c r="E1451" t="s">
        <v>74</v>
      </c>
      <c r="F1451" t="s">
        <v>12458</v>
      </c>
      <c r="G1451" t="s">
        <v>74</v>
      </c>
      <c r="H1451" t="s">
        <v>74</v>
      </c>
      <c r="I1451" t="s">
        <v>12459</v>
      </c>
      <c r="J1451" t="s">
        <v>12460</v>
      </c>
      <c r="K1451" t="s">
        <v>74</v>
      </c>
      <c r="L1451" t="s">
        <v>74</v>
      </c>
      <c r="M1451" t="s">
        <v>74</v>
      </c>
      <c r="N1451" t="s">
        <v>103</v>
      </c>
      <c r="O1451" t="s">
        <v>74</v>
      </c>
      <c r="P1451" t="s">
        <v>74</v>
      </c>
      <c r="Q1451" t="s">
        <v>74</v>
      </c>
      <c r="R1451" t="s">
        <v>74</v>
      </c>
      <c r="S1451" t="s">
        <v>74</v>
      </c>
      <c r="T1451" t="s">
        <v>74</v>
      </c>
      <c r="U1451" t="s">
        <v>12461</v>
      </c>
      <c r="V1451" t="s">
        <v>12462</v>
      </c>
      <c r="W1451" t="s">
        <v>12463</v>
      </c>
      <c r="X1451" t="s">
        <v>12464</v>
      </c>
      <c r="Y1451" t="s">
        <v>12465</v>
      </c>
      <c r="Z1451" t="s">
        <v>12466</v>
      </c>
      <c r="AA1451" t="s">
        <v>12467</v>
      </c>
      <c r="AB1451" t="s">
        <v>12468</v>
      </c>
      <c r="AC1451" t="s">
        <v>74</v>
      </c>
      <c r="AD1451" t="s">
        <v>74</v>
      </c>
      <c r="AE1451" t="s">
        <v>74</v>
      </c>
      <c r="AF1451" t="s">
        <v>74</v>
      </c>
      <c r="AG1451">
        <v>34</v>
      </c>
      <c r="AH1451">
        <v>5</v>
      </c>
      <c r="AI1451">
        <v>5</v>
      </c>
      <c r="AJ1451">
        <v>1</v>
      </c>
      <c r="AK1451">
        <v>13</v>
      </c>
      <c r="AL1451" t="s">
        <v>74</v>
      </c>
      <c r="AM1451" t="s">
        <v>74</v>
      </c>
      <c r="AN1451" t="s">
        <v>74</v>
      </c>
      <c r="AO1451" t="s">
        <v>12469</v>
      </c>
      <c r="AP1451" t="s">
        <v>74</v>
      </c>
      <c r="AQ1451" t="s">
        <v>74</v>
      </c>
      <c r="AR1451" t="s">
        <v>74</v>
      </c>
      <c r="AS1451" t="s">
        <v>74</v>
      </c>
      <c r="AT1451" t="s">
        <v>189</v>
      </c>
      <c r="AU1451">
        <v>2017</v>
      </c>
      <c r="AV1451">
        <v>2</v>
      </c>
      <c r="AW1451">
        <v>10</v>
      </c>
      <c r="AX1451" t="s">
        <v>74</v>
      </c>
      <c r="AY1451" t="s">
        <v>74</v>
      </c>
      <c r="AZ1451" t="s">
        <v>74</v>
      </c>
      <c r="BA1451" t="s">
        <v>74</v>
      </c>
      <c r="BB1451">
        <v>6703</v>
      </c>
      <c r="BC1451">
        <v>6707</v>
      </c>
      <c r="BD1451" t="s">
        <v>74</v>
      </c>
      <c r="BE1451" t="s">
        <v>12470</v>
      </c>
      <c r="BF1451" t="str">
        <f>HYPERLINK("http://dx.doi.org/10.1021/acsomega.7b01147","http://dx.doi.org/10.1021/acsomega.7b01147")</f>
        <v>http://dx.doi.org/10.1021/acsomega.7b01147</v>
      </c>
      <c r="BG1451" t="s">
        <v>74</v>
      </c>
      <c r="BH1451" t="s">
        <v>74</v>
      </c>
      <c r="BI1451" t="s">
        <v>74</v>
      </c>
      <c r="BJ1451" t="s">
        <v>1047</v>
      </c>
      <c r="BK1451" t="s">
        <v>117</v>
      </c>
      <c r="BL1451" t="s">
        <v>1048</v>
      </c>
      <c r="BM1451" t="s">
        <v>74</v>
      </c>
      <c r="BN1451">
        <v>30023529</v>
      </c>
      <c r="BO1451" t="s">
        <v>74</v>
      </c>
      <c r="BP1451" t="s">
        <v>74</v>
      </c>
      <c r="BQ1451" t="s">
        <v>74</v>
      </c>
      <c r="BR1451" t="s">
        <v>96</v>
      </c>
      <c r="BS1451" t="s">
        <v>12471</v>
      </c>
      <c r="BT1451" t="str">
        <f>HYPERLINK("https%3A%2F%2Fwww.webofscience.com%2Fwos%2Fwoscc%2Ffull-record%2FWOS:000418744000044","View Full Record in Web of Science")</f>
        <v>View Full Record in Web of Science</v>
      </c>
    </row>
    <row r="1452" spans="1:72" x14ac:dyDescent="0.15">
      <c r="A1452" t="s">
        <v>98</v>
      </c>
      <c r="B1452" t="s">
        <v>12831</v>
      </c>
      <c r="C1452" t="s">
        <v>74</v>
      </c>
      <c r="D1452" t="s">
        <v>74</v>
      </c>
      <c r="E1452" t="s">
        <v>74</v>
      </c>
      <c r="F1452" t="s">
        <v>12832</v>
      </c>
      <c r="G1452" t="s">
        <v>74</v>
      </c>
      <c r="H1452" t="s">
        <v>74</v>
      </c>
      <c r="I1452" t="s">
        <v>12833</v>
      </c>
      <c r="J1452" t="s">
        <v>12834</v>
      </c>
      <c r="K1452" t="s">
        <v>74</v>
      </c>
      <c r="L1452" t="s">
        <v>74</v>
      </c>
      <c r="M1452" t="s">
        <v>74</v>
      </c>
      <c r="N1452" t="s">
        <v>103</v>
      </c>
      <c r="O1452" t="s">
        <v>74</v>
      </c>
      <c r="P1452" t="s">
        <v>74</v>
      </c>
      <c r="Q1452" t="s">
        <v>74</v>
      </c>
      <c r="R1452" t="s">
        <v>74</v>
      </c>
      <c r="S1452" t="s">
        <v>74</v>
      </c>
      <c r="T1452" t="s">
        <v>12835</v>
      </c>
      <c r="U1452" t="s">
        <v>12836</v>
      </c>
      <c r="V1452" t="s">
        <v>12837</v>
      </c>
      <c r="W1452" t="s">
        <v>12838</v>
      </c>
      <c r="X1452" t="s">
        <v>12839</v>
      </c>
      <c r="Y1452" t="s">
        <v>12840</v>
      </c>
      <c r="Z1452" t="s">
        <v>12841</v>
      </c>
      <c r="AA1452" t="s">
        <v>74</v>
      </c>
      <c r="AB1452" t="s">
        <v>12842</v>
      </c>
      <c r="AC1452" t="s">
        <v>74</v>
      </c>
      <c r="AD1452" t="s">
        <v>74</v>
      </c>
      <c r="AE1452" t="s">
        <v>74</v>
      </c>
      <c r="AF1452" t="s">
        <v>74</v>
      </c>
      <c r="AG1452">
        <v>90</v>
      </c>
      <c r="AH1452">
        <v>5</v>
      </c>
      <c r="AI1452">
        <v>4</v>
      </c>
      <c r="AJ1452">
        <v>2</v>
      </c>
      <c r="AK1452">
        <v>17</v>
      </c>
      <c r="AL1452" t="s">
        <v>74</v>
      </c>
      <c r="AM1452" t="s">
        <v>74</v>
      </c>
      <c r="AN1452" t="s">
        <v>74</v>
      </c>
      <c r="AO1452" t="s">
        <v>12843</v>
      </c>
      <c r="AP1452" t="s">
        <v>12844</v>
      </c>
      <c r="AQ1452" t="s">
        <v>74</v>
      </c>
      <c r="AR1452" t="s">
        <v>74</v>
      </c>
      <c r="AS1452" t="s">
        <v>74</v>
      </c>
      <c r="AT1452" t="s">
        <v>132</v>
      </c>
      <c r="AU1452">
        <v>2020</v>
      </c>
      <c r="AV1452">
        <v>14</v>
      </c>
      <c r="AW1452">
        <v>2</v>
      </c>
      <c r="AX1452" t="s">
        <v>74</v>
      </c>
      <c r="AY1452" t="s">
        <v>74</v>
      </c>
      <c r="AZ1452" t="s">
        <v>74</v>
      </c>
      <c r="BA1452" t="s">
        <v>74</v>
      </c>
      <c r="BB1452">
        <v>18</v>
      </c>
      <c r="BC1452">
        <v>34</v>
      </c>
      <c r="BD1452" t="s">
        <v>74</v>
      </c>
      <c r="BE1452" t="s">
        <v>12845</v>
      </c>
      <c r="BF1452" t="str">
        <f>HYPERLINK("http://dx.doi.org/10.1109/MNANO.2020.2966064","http://dx.doi.org/10.1109/MNANO.2020.2966064")</f>
        <v>http://dx.doi.org/10.1109/MNANO.2020.2966064</v>
      </c>
      <c r="BG1452" t="s">
        <v>74</v>
      </c>
      <c r="BH1452" t="s">
        <v>74</v>
      </c>
      <c r="BI1452" t="s">
        <v>74</v>
      </c>
      <c r="BJ1452" t="s">
        <v>12846</v>
      </c>
      <c r="BK1452" t="s">
        <v>467</v>
      </c>
      <c r="BL1452" t="s">
        <v>153</v>
      </c>
      <c r="BM1452" t="s">
        <v>74</v>
      </c>
      <c r="BN1452" t="s">
        <v>74</v>
      </c>
      <c r="BO1452" t="s">
        <v>74</v>
      </c>
      <c r="BP1452" t="s">
        <v>74</v>
      </c>
      <c r="BQ1452" t="s">
        <v>74</v>
      </c>
      <c r="BR1452" t="s">
        <v>96</v>
      </c>
      <c r="BS1452" t="s">
        <v>12847</v>
      </c>
      <c r="BT1452" t="str">
        <f>HYPERLINK("https%3A%2F%2Fwww.webofscience.com%2Fwos%2Fwoscc%2Ffull-record%2FWOS:000522326700004","View Full Record in Web of Science")</f>
        <v>View Full Record in Web of Science</v>
      </c>
    </row>
    <row r="1453" spans="1:72" x14ac:dyDescent="0.15">
      <c r="A1453" t="s">
        <v>98</v>
      </c>
      <c r="B1453" t="s">
        <v>13058</v>
      </c>
      <c r="C1453" t="s">
        <v>74</v>
      </c>
      <c r="D1453" t="s">
        <v>74</v>
      </c>
      <c r="E1453" t="s">
        <v>74</v>
      </c>
      <c r="F1453" t="s">
        <v>13059</v>
      </c>
      <c r="G1453" t="s">
        <v>74</v>
      </c>
      <c r="H1453" t="s">
        <v>74</v>
      </c>
      <c r="I1453" t="s">
        <v>13060</v>
      </c>
      <c r="J1453" t="s">
        <v>2552</v>
      </c>
      <c r="K1453" t="s">
        <v>74</v>
      </c>
      <c r="L1453" t="s">
        <v>74</v>
      </c>
      <c r="M1453" t="s">
        <v>74</v>
      </c>
      <c r="N1453" t="s">
        <v>103</v>
      </c>
      <c r="O1453" t="s">
        <v>74</v>
      </c>
      <c r="P1453" t="s">
        <v>74</v>
      </c>
      <c r="Q1453" t="s">
        <v>74</v>
      </c>
      <c r="R1453" t="s">
        <v>74</v>
      </c>
      <c r="S1453" t="s">
        <v>74</v>
      </c>
      <c r="T1453" t="s">
        <v>13061</v>
      </c>
      <c r="U1453" t="s">
        <v>13062</v>
      </c>
      <c r="V1453" t="s">
        <v>13063</v>
      </c>
      <c r="W1453" t="s">
        <v>13064</v>
      </c>
      <c r="X1453" t="s">
        <v>13065</v>
      </c>
      <c r="Y1453" t="s">
        <v>13066</v>
      </c>
      <c r="Z1453" t="s">
        <v>13067</v>
      </c>
      <c r="AA1453" t="s">
        <v>13068</v>
      </c>
      <c r="AB1453" t="s">
        <v>13069</v>
      </c>
      <c r="AC1453" t="s">
        <v>74</v>
      </c>
      <c r="AD1453" t="s">
        <v>74</v>
      </c>
      <c r="AE1453" t="s">
        <v>74</v>
      </c>
      <c r="AF1453" t="s">
        <v>74</v>
      </c>
      <c r="AG1453">
        <v>46</v>
      </c>
      <c r="AH1453">
        <v>5</v>
      </c>
      <c r="AI1453">
        <v>5</v>
      </c>
      <c r="AJ1453">
        <v>0</v>
      </c>
      <c r="AK1453">
        <v>2</v>
      </c>
      <c r="AL1453" t="s">
        <v>74</v>
      </c>
      <c r="AM1453" t="s">
        <v>74</v>
      </c>
      <c r="AN1453" t="s">
        <v>74</v>
      </c>
      <c r="AO1453" t="s">
        <v>74</v>
      </c>
      <c r="AP1453" t="s">
        <v>2562</v>
      </c>
      <c r="AQ1453" t="s">
        <v>74</v>
      </c>
      <c r="AR1453" t="s">
        <v>74</v>
      </c>
      <c r="AS1453" t="s">
        <v>74</v>
      </c>
      <c r="AT1453" t="s">
        <v>189</v>
      </c>
      <c r="AU1453">
        <v>2021</v>
      </c>
      <c r="AV1453">
        <v>11</v>
      </c>
      <c r="AW1453">
        <v>10</v>
      </c>
      <c r="AX1453" t="s">
        <v>74</v>
      </c>
      <c r="AY1453" t="s">
        <v>74</v>
      </c>
      <c r="AZ1453" t="s">
        <v>74</v>
      </c>
      <c r="BA1453" t="s">
        <v>74</v>
      </c>
      <c r="BB1453" t="s">
        <v>74</v>
      </c>
      <c r="BC1453" t="s">
        <v>74</v>
      </c>
      <c r="BD1453">
        <v>1828</v>
      </c>
      <c r="BE1453" t="s">
        <v>13070</v>
      </c>
      <c r="BF1453" t="str">
        <f>HYPERLINK("http://dx.doi.org/10.3390/diagnostics11101828","http://dx.doi.org/10.3390/diagnostics11101828")</f>
        <v>http://dx.doi.org/10.3390/diagnostics11101828</v>
      </c>
      <c r="BG1453" t="s">
        <v>74</v>
      </c>
      <c r="BH1453" t="s">
        <v>74</v>
      </c>
      <c r="BI1453" t="s">
        <v>74</v>
      </c>
      <c r="BJ1453" t="s">
        <v>2564</v>
      </c>
      <c r="BK1453" t="s">
        <v>117</v>
      </c>
      <c r="BL1453" t="s">
        <v>2565</v>
      </c>
      <c r="BM1453" t="s">
        <v>74</v>
      </c>
      <c r="BN1453">
        <v>34679526</v>
      </c>
      <c r="BO1453" t="s">
        <v>74</v>
      </c>
      <c r="BP1453" t="s">
        <v>74</v>
      </c>
      <c r="BQ1453" t="s">
        <v>74</v>
      </c>
      <c r="BR1453" t="s">
        <v>96</v>
      </c>
      <c r="BS1453" t="s">
        <v>13071</v>
      </c>
      <c r="BT1453" t="str">
        <f>HYPERLINK("https%3A%2F%2Fwww.webofscience.com%2Fwos%2Fwoscc%2Ffull-record%2FWOS:000716102500001","View Full Record in Web of Science")</f>
        <v>View Full Record in Web of Science</v>
      </c>
    </row>
    <row r="1454" spans="1:72" x14ac:dyDescent="0.15">
      <c r="A1454" t="s">
        <v>98</v>
      </c>
      <c r="B1454" t="s">
        <v>13097</v>
      </c>
      <c r="C1454" t="s">
        <v>74</v>
      </c>
      <c r="D1454" t="s">
        <v>74</v>
      </c>
      <c r="E1454" t="s">
        <v>74</v>
      </c>
      <c r="F1454" t="s">
        <v>13098</v>
      </c>
      <c r="G1454" t="s">
        <v>74</v>
      </c>
      <c r="H1454" t="s">
        <v>74</v>
      </c>
      <c r="I1454" t="s">
        <v>13099</v>
      </c>
      <c r="J1454" t="s">
        <v>7316</v>
      </c>
      <c r="K1454" t="s">
        <v>74</v>
      </c>
      <c r="L1454" t="s">
        <v>74</v>
      </c>
      <c r="M1454" t="s">
        <v>74</v>
      </c>
      <c r="N1454" t="s">
        <v>103</v>
      </c>
      <c r="O1454" t="s">
        <v>74</v>
      </c>
      <c r="P1454" t="s">
        <v>74</v>
      </c>
      <c r="Q1454" t="s">
        <v>74</v>
      </c>
      <c r="R1454" t="s">
        <v>74</v>
      </c>
      <c r="S1454" t="s">
        <v>74</v>
      </c>
      <c r="T1454" t="s">
        <v>74</v>
      </c>
      <c r="U1454" t="s">
        <v>13100</v>
      </c>
      <c r="V1454" t="s">
        <v>13101</v>
      </c>
      <c r="W1454" t="s">
        <v>13102</v>
      </c>
      <c r="X1454" t="s">
        <v>13103</v>
      </c>
      <c r="Y1454" t="s">
        <v>13104</v>
      </c>
      <c r="Z1454" t="s">
        <v>13105</v>
      </c>
      <c r="AA1454" t="s">
        <v>74</v>
      </c>
      <c r="AB1454" t="s">
        <v>74</v>
      </c>
      <c r="AC1454" t="s">
        <v>74</v>
      </c>
      <c r="AD1454" t="s">
        <v>74</v>
      </c>
      <c r="AE1454" t="s">
        <v>74</v>
      </c>
      <c r="AF1454" t="s">
        <v>74</v>
      </c>
      <c r="AG1454">
        <v>49</v>
      </c>
      <c r="AH1454">
        <v>5</v>
      </c>
      <c r="AI1454">
        <v>5</v>
      </c>
      <c r="AJ1454">
        <v>30</v>
      </c>
      <c r="AK1454">
        <v>74</v>
      </c>
      <c r="AL1454" t="s">
        <v>74</v>
      </c>
      <c r="AM1454" t="s">
        <v>74</v>
      </c>
      <c r="AN1454" t="s">
        <v>74</v>
      </c>
      <c r="AO1454" t="s">
        <v>7324</v>
      </c>
      <c r="AP1454" t="s">
        <v>7325</v>
      </c>
      <c r="AQ1454" t="s">
        <v>74</v>
      </c>
      <c r="AR1454" t="s">
        <v>74</v>
      </c>
      <c r="AS1454" t="s">
        <v>74</v>
      </c>
      <c r="AT1454" t="s">
        <v>13106</v>
      </c>
      <c r="AU1454">
        <v>2021</v>
      </c>
      <c r="AV1454">
        <v>146</v>
      </c>
      <c r="AW1454">
        <v>18</v>
      </c>
      <c r="AX1454" t="s">
        <v>74</v>
      </c>
      <c r="AY1454" t="s">
        <v>74</v>
      </c>
      <c r="AZ1454" t="s">
        <v>74</v>
      </c>
      <c r="BA1454" t="s">
        <v>74</v>
      </c>
      <c r="BB1454">
        <v>5542</v>
      </c>
      <c r="BC1454">
        <v>5549</v>
      </c>
      <c r="BD1454" t="s">
        <v>74</v>
      </c>
      <c r="BE1454" t="s">
        <v>13107</v>
      </c>
      <c r="BF1454" t="str">
        <f>HYPERLINK("http://dx.doi.org/10.1039/d1an01071a","http://dx.doi.org/10.1039/d1an01071a")</f>
        <v>http://dx.doi.org/10.1039/d1an01071a</v>
      </c>
      <c r="BG1454" t="s">
        <v>74</v>
      </c>
      <c r="BH1454" t="s">
        <v>1663</v>
      </c>
      <c r="BI1454" t="s">
        <v>74</v>
      </c>
      <c r="BJ1454" t="s">
        <v>1118</v>
      </c>
      <c r="BK1454" t="s">
        <v>117</v>
      </c>
      <c r="BL1454" t="s">
        <v>1048</v>
      </c>
      <c r="BM1454" t="s">
        <v>74</v>
      </c>
      <c r="BN1454">
        <v>34515703</v>
      </c>
      <c r="BO1454" t="s">
        <v>74</v>
      </c>
      <c r="BP1454" t="s">
        <v>74</v>
      </c>
      <c r="BQ1454" t="s">
        <v>74</v>
      </c>
      <c r="BR1454" t="s">
        <v>96</v>
      </c>
      <c r="BS1454" t="s">
        <v>13108</v>
      </c>
      <c r="BT1454" t="str">
        <f>HYPERLINK("https%3A%2F%2Fwww.webofscience.com%2Fwos%2Fwoscc%2Ffull-record%2FWOS:000687623000001","View Full Record in Web of Science")</f>
        <v>View Full Record in Web of Science</v>
      </c>
    </row>
    <row r="1455" spans="1:72" x14ac:dyDescent="0.15">
      <c r="A1455" t="s">
        <v>98</v>
      </c>
      <c r="B1455" t="s">
        <v>14212</v>
      </c>
      <c r="C1455" t="s">
        <v>74</v>
      </c>
      <c r="D1455" t="s">
        <v>74</v>
      </c>
      <c r="E1455" t="s">
        <v>74</v>
      </c>
      <c r="F1455" t="s">
        <v>14213</v>
      </c>
      <c r="G1455" t="s">
        <v>74</v>
      </c>
      <c r="H1455" t="s">
        <v>74</v>
      </c>
      <c r="I1455" t="s">
        <v>14214</v>
      </c>
      <c r="J1455" t="s">
        <v>14215</v>
      </c>
      <c r="K1455" t="s">
        <v>74</v>
      </c>
      <c r="L1455" t="s">
        <v>74</v>
      </c>
      <c r="M1455" t="s">
        <v>74</v>
      </c>
      <c r="N1455" t="s">
        <v>103</v>
      </c>
      <c r="O1455" t="s">
        <v>74</v>
      </c>
      <c r="P1455" t="s">
        <v>74</v>
      </c>
      <c r="Q1455" t="s">
        <v>74</v>
      </c>
      <c r="R1455" t="s">
        <v>74</v>
      </c>
      <c r="S1455" t="s">
        <v>74</v>
      </c>
      <c r="T1455" t="s">
        <v>14216</v>
      </c>
      <c r="U1455" t="s">
        <v>14217</v>
      </c>
      <c r="V1455" t="s">
        <v>14218</v>
      </c>
      <c r="W1455" t="s">
        <v>14219</v>
      </c>
      <c r="X1455" t="s">
        <v>14220</v>
      </c>
      <c r="Y1455" t="s">
        <v>14221</v>
      </c>
      <c r="Z1455" t="s">
        <v>14222</v>
      </c>
      <c r="AA1455" t="s">
        <v>14223</v>
      </c>
      <c r="AB1455" t="s">
        <v>14224</v>
      </c>
      <c r="AC1455" t="s">
        <v>74</v>
      </c>
      <c r="AD1455" t="s">
        <v>74</v>
      </c>
      <c r="AE1455" t="s">
        <v>74</v>
      </c>
      <c r="AF1455" t="s">
        <v>74</v>
      </c>
      <c r="AG1455">
        <v>46</v>
      </c>
      <c r="AH1455">
        <v>5</v>
      </c>
      <c r="AI1455">
        <v>5</v>
      </c>
      <c r="AJ1455">
        <v>5</v>
      </c>
      <c r="AK1455">
        <v>15</v>
      </c>
      <c r="AL1455" t="s">
        <v>74</v>
      </c>
      <c r="AM1455" t="s">
        <v>74</v>
      </c>
      <c r="AN1455" t="s">
        <v>74</v>
      </c>
      <c r="AO1455" t="s">
        <v>14225</v>
      </c>
      <c r="AP1455" t="s">
        <v>74</v>
      </c>
      <c r="AQ1455" t="s">
        <v>74</v>
      </c>
      <c r="AR1455" t="s">
        <v>74</v>
      </c>
      <c r="AS1455" t="s">
        <v>74</v>
      </c>
      <c r="AT1455" t="s">
        <v>14226</v>
      </c>
      <c r="AU1455">
        <v>2021</v>
      </c>
      <c r="AV1455">
        <v>13</v>
      </c>
      <c r="AW1455">
        <v>8</v>
      </c>
      <c r="AX1455" t="s">
        <v>74</v>
      </c>
      <c r="AY1455" t="s">
        <v>74</v>
      </c>
      <c r="AZ1455" t="s">
        <v>74</v>
      </c>
      <c r="BA1455" t="s">
        <v>74</v>
      </c>
      <c r="BB1455">
        <v>11542</v>
      </c>
      <c r="BC1455">
        <v>11563</v>
      </c>
      <c r="BD1455" t="s">
        <v>74</v>
      </c>
      <c r="BE1455" t="s">
        <v>74</v>
      </c>
      <c r="BF1455" t="s">
        <v>74</v>
      </c>
      <c r="BG1455" t="s">
        <v>74</v>
      </c>
      <c r="BH1455" t="s">
        <v>74</v>
      </c>
      <c r="BI1455" t="s">
        <v>74</v>
      </c>
      <c r="BJ1455" t="s">
        <v>305</v>
      </c>
      <c r="BK1455" t="s">
        <v>117</v>
      </c>
      <c r="BL1455" t="s">
        <v>305</v>
      </c>
      <c r="BM1455" t="s">
        <v>74</v>
      </c>
      <c r="BN1455">
        <v>33882455</v>
      </c>
      <c r="BO1455" t="s">
        <v>74</v>
      </c>
      <c r="BP1455" t="s">
        <v>74</v>
      </c>
      <c r="BQ1455" t="s">
        <v>74</v>
      </c>
      <c r="BR1455" t="s">
        <v>96</v>
      </c>
      <c r="BS1455" t="s">
        <v>14227</v>
      </c>
      <c r="BT1455" t="str">
        <f>HYPERLINK("https%3A%2F%2Fwww.webofscience.com%2Fwos%2Fwoscc%2Ffull-record%2FWOS:000646469100003","View Full Record in Web of Science")</f>
        <v>View Full Record in Web of Science</v>
      </c>
    </row>
    <row r="1456" spans="1:72" x14ac:dyDescent="0.15">
      <c r="A1456" t="s">
        <v>98</v>
      </c>
      <c r="B1456" t="s">
        <v>14515</v>
      </c>
      <c r="C1456" t="s">
        <v>74</v>
      </c>
      <c r="D1456" t="s">
        <v>74</v>
      </c>
      <c r="E1456" t="s">
        <v>74</v>
      </c>
      <c r="F1456" t="s">
        <v>14516</v>
      </c>
      <c r="G1456" t="s">
        <v>74</v>
      </c>
      <c r="H1456" t="s">
        <v>74</v>
      </c>
      <c r="I1456" t="s">
        <v>14517</v>
      </c>
      <c r="J1456" t="s">
        <v>4486</v>
      </c>
      <c r="K1456" t="s">
        <v>74</v>
      </c>
      <c r="L1456" t="s">
        <v>74</v>
      </c>
      <c r="M1456" t="s">
        <v>74</v>
      </c>
      <c r="N1456" t="s">
        <v>103</v>
      </c>
      <c r="O1456" t="s">
        <v>74</v>
      </c>
      <c r="P1456" t="s">
        <v>74</v>
      </c>
      <c r="Q1456" t="s">
        <v>74</v>
      </c>
      <c r="R1456" t="s">
        <v>74</v>
      </c>
      <c r="S1456" t="s">
        <v>74</v>
      </c>
      <c r="T1456" t="s">
        <v>74</v>
      </c>
      <c r="U1456" t="s">
        <v>14518</v>
      </c>
      <c r="V1456" t="s">
        <v>14519</v>
      </c>
      <c r="W1456" t="s">
        <v>14520</v>
      </c>
      <c r="X1456" t="s">
        <v>14521</v>
      </c>
      <c r="Y1456" t="s">
        <v>8739</v>
      </c>
      <c r="Z1456" t="s">
        <v>8740</v>
      </c>
      <c r="AA1456" t="s">
        <v>14522</v>
      </c>
      <c r="AB1456" t="s">
        <v>14523</v>
      </c>
      <c r="AC1456" t="s">
        <v>74</v>
      </c>
      <c r="AD1456" t="s">
        <v>74</v>
      </c>
      <c r="AE1456" t="s">
        <v>74</v>
      </c>
      <c r="AF1456" t="s">
        <v>74</v>
      </c>
      <c r="AG1456">
        <v>41</v>
      </c>
      <c r="AH1456">
        <v>5</v>
      </c>
      <c r="AI1456">
        <v>5</v>
      </c>
      <c r="AJ1456">
        <v>41</v>
      </c>
      <c r="AK1456">
        <v>96</v>
      </c>
      <c r="AL1456" t="s">
        <v>74</v>
      </c>
      <c r="AM1456" t="s">
        <v>74</v>
      </c>
      <c r="AN1456" t="s">
        <v>74</v>
      </c>
      <c r="AO1456" t="s">
        <v>4493</v>
      </c>
      <c r="AP1456" t="s">
        <v>4494</v>
      </c>
      <c r="AQ1456" t="s">
        <v>74</v>
      </c>
      <c r="AR1456" t="s">
        <v>74</v>
      </c>
      <c r="AS1456" t="s">
        <v>74</v>
      </c>
      <c r="AT1456" t="s">
        <v>14524</v>
      </c>
      <c r="AU1456">
        <v>2021</v>
      </c>
      <c r="AV1456">
        <v>93</v>
      </c>
      <c r="AW1456">
        <v>33</v>
      </c>
      <c r="AX1456" t="s">
        <v>74</v>
      </c>
      <c r="AY1456" t="s">
        <v>74</v>
      </c>
      <c r="AZ1456" t="s">
        <v>74</v>
      </c>
      <c r="BA1456" t="s">
        <v>74</v>
      </c>
      <c r="BB1456">
        <v>11540</v>
      </c>
      <c r="BC1456">
        <v>11546</v>
      </c>
      <c r="BD1456" t="s">
        <v>74</v>
      </c>
      <c r="BE1456" t="s">
        <v>14525</v>
      </c>
      <c r="BF1456" t="str">
        <f>HYPERLINK("http://dx.doi.org/10.1021/acs.analchem.1c02004","http://dx.doi.org/10.1021/acs.analchem.1c02004")</f>
        <v>http://dx.doi.org/10.1021/acs.analchem.1c02004</v>
      </c>
      <c r="BG1456" t="s">
        <v>74</v>
      </c>
      <c r="BH1456" t="s">
        <v>1663</v>
      </c>
      <c r="BI1456" t="s">
        <v>74</v>
      </c>
      <c r="BJ1456" t="s">
        <v>1118</v>
      </c>
      <c r="BK1456" t="s">
        <v>117</v>
      </c>
      <c r="BL1456" t="s">
        <v>1048</v>
      </c>
      <c r="BM1456" t="s">
        <v>74</v>
      </c>
      <c r="BN1456">
        <v>34369746</v>
      </c>
      <c r="BO1456" t="s">
        <v>74</v>
      </c>
      <c r="BP1456" t="s">
        <v>74</v>
      </c>
      <c r="BQ1456" t="s">
        <v>74</v>
      </c>
      <c r="BR1456" t="s">
        <v>96</v>
      </c>
      <c r="BS1456" t="s">
        <v>14526</v>
      </c>
      <c r="BT1456" t="str">
        <f>HYPERLINK("https%3A%2F%2Fwww.webofscience.com%2Fwos%2Fwoscc%2Ffull-record%2FWOS:000691297400023","View Full Record in Web of Science")</f>
        <v>View Full Record in Web of Science</v>
      </c>
    </row>
    <row r="1457" spans="1:72" x14ac:dyDescent="0.15">
      <c r="A1457" t="s">
        <v>98</v>
      </c>
      <c r="B1457" t="s">
        <v>14541</v>
      </c>
      <c r="C1457" t="s">
        <v>74</v>
      </c>
      <c r="D1457" t="s">
        <v>74</v>
      </c>
      <c r="E1457" t="s">
        <v>74</v>
      </c>
      <c r="F1457" t="s">
        <v>14542</v>
      </c>
      <c r="G1457" t="s">
        <v>74</v>
      </c>
      <c r="H1457" t="s">
        <v>74</v>
      </c>
      <c r="I1457" t="s">
        <v>14543</v>
      </c>
      <c r="J1457" t="s">
        <v>1217</v>
      </c>
      <c r="K1457" t="s">
        <v>74</v>
      </c>
      <c r="L1457" t="s">
        <v>74</v>
      </c>
      <c r="M1457" t="s">
        <v>74</v>
      </c>
      <c r="N1457" t="s">
        <v>103</v>
      </c>
      <c r="O1457" t="s">
        <v>74</v>
      </c>
      <c r="P1457" t="s">
        <v>74</v>
      </c>
      <c r="Q1457" t="s">
        <v>74</v>
      </c>
      <c r="R1457" t="s">
        <v>74</v>
      </c>
      <c r="S1457" t="s">
        <v>74</v>
      </c>
      <c r="T1457" t="s">
        <v>14544</v>
      </c>
      <c r="U1457" t="s">
        <v>14545</v>
      </c>
      <c r="V1457" t="s">
        <v>14546</v>
      </c>
      <c r="W1457" t="s">
        <v>14547</v>
      </c>
      <c r="X1457" t="s">
        <v>13484</v>
      </c>
      <c r="Y1457" t="s">
        <v>14548</v>
      </c>
      <c r="Z1457" t="s">
        <v>14549</v>
      </c>
      <c r="AA1457" t="s">
        <v>74</v>
      </c>
      <c r="AB1457" t="s">
        <v>14550</v>
      </c>
      <c r="AC1457" t="s">
        <v>74</v>
      </c>
      <c r="AD1457" t="s">
        <v>74</v>
      </c>
      <c r="AE1457" t="s">
        <v>74</v>
      </c>
      <c r="AF1457" t="s">
        <v>74</v>
      </c>
      <c r="AG1457">
        <v>46</v>
      </c>
      <c r="AH1457">
        <v>5</v>
      </c>
      <c r="AI1457">
        <v>5</v>
      </c>
      <c r="AJ1457">
        <v>62</v>
      </c>
      <c r="AK1457">
        <v>107</v>
      </c>
      <c r="AL1457" t="s">
        <v>74</v>
      </c>
      <c r="AM1457" t="s">
        <v>74</v>
      </c>
      <c r="AN1457" t="s">
        <v>74</v>
      </c>
      <c r="AO1457" t="s">
        <v>1227</v>
      </c>
      <c r="AP1457" t="s">
        <v>74</v>
      </c>
      <c r="AQ1457" t="s">
        <v>74</v>
      </c>
      <c r="AR1457" t="s">
        <v>74</v>
      </c>
      <c r="AS1457" t="s">
        <v>74</v>
      </c>
      <c r="AT1457" t="s">
        <v>14551</v>
      </c>
      <c r="AU1457">
        <v>2021</v>
      </c>
      <c r="AV1457">
        <v>6</v>
      </c>
      <c r="AW1457">
        <v>10</v>
      </c>
      <c r="AX1457" t="s">
        <v>74</v>
      </c>
      <c r="AY1457" t="s">
        <v>74</v>
      </c>
      <c r="AZ1457" t="s">
        <v>74</v>
      </c>
      <c r="BA1457" t="s">
        <v>74</v>
      </c>
      <c r="BB1457">
        <v>3611</v>
      </c>
      <c r="BC1457">
        <v>3620</v>
      </c>
      <c r="BD1457" t="s">
        <v>74</v>
      </c>
      <c r="BE1457" t="s">
        <v>14552</v>
      </c>
      <c r="BF1457" t="str">
        <f>HYPERLINK("http://dx.doi.org/10.1021/acssensors.1c01163","http://dx.doi.org/10.1021/acssensors.1c01163")</f>
        <v>http://dx.doi.org/10.1021/acssensors.1c01163</v>
      </c>
      <c r="BG1457" t="s">
        <v>74</v>
      </c>
      <c r="BH1457" t="s">
        <v>1967</v>
      </c>
      <c r="BI1457" t="s">
        <v>74</v>
      </c>
      <c r="BJ1457" t="s">
        <v>1229</v>
      </c>
      <c r="BK1457" t="s">
        <v>117</v>
      </c>
      <c r="BL1457" t="s">
        <v>1230</v>
      </c>
      <c r="BM1457" t="s">
        <v>74</v>
      </c>
      <c r="BN1457">
        <v>34632781</v>
      </c>
      <c r="BO1457" t="s">
        <v>74</v>
      </c>
      <c r="BP1457" t="s">
        <v>74</v>
      </c>
      <c r="BQ1457" t="s">
        <v>74</v>
      </c>
      <c r="BR1457" t="s">
        <v>96</v>
      </c>
      <c r="BS1457" t="s">
        <v>14553</v>
      </c>
      <c r="BT1457" t="str">
        <f>HYPERLINK("https%3A%2F%2Fwww.webofscience.com%2Fwos%2Fwoscc%2Ffull-record%2FWOS:000711034500012","View Full Record in Web of Science")</f>
        <v>View Full Record in Web of Science</v>
      </c>
    </row>
    <row r="1458" spans="1:72" x14ac:dyDescent="0.15">
      <c r="A1458" t="s">
        <v>98</v>
      </c>
      <c r="B1458" t="s">
        <v>15194</v>
      </c>
      <c r="C1458" t="s">
        <v>74</v>
      </c>
      <c r="D1458" t="s">
        <v>74</v>
      </c>
      <c r="E1458" t="s">
        <v>74</v>
      </c>
      <c r="F1458" t="s">
        <v>15195</v>
      </c>
      <c r="G1458" t="s">
        <v>74</v>
      </c>
      <c r="H1458" t="s">
        <v>74</v>
      </c>
      <c r="I1458" t="s">
        <v>15196</v>
      </c>
      <c r="J1458" t="s">
        <v>15197</v>
      </c>
      <c r="K1458" t="s">
        <v>74</v>
      </c>
      <c r="L1458" t="s">
        <v>74</v>
      </c>
      <c r="M1458" t="s">
        <v>74</v>
      </c>
      <c r="N1458" t="s">
        <v>103</v>
      </c>
      <c r="O1458" t="s">
        <v>74</v>
      </c>
      <c r="P1458" t="s">
        <v>74</v>
      </c>
      <c r="Q1458" t="s">
        <v>74</v>
      </c>
      <c r="R1458" t="s">
        <v>74</v>
      </c>
      <c r="S1458" t="s">
        <v>74</v>
      </c>
      <c r="T1458" t="s">
        <v>15198</v>
      </c>
      <c r="U1458" t="s">
        <v>15199</v>
      </c>
      <c r="V1458" t="s">
        <v>15200</v>
      </c>
      <c r="W1458" t="s">
        <v>15201</v>
      </c>
      <c r="X1458" t="s">
        <v>15202</v>
      </c>
      <c r="Y1458" t="s">
        <v>15203</v>
      </c>
      <c r="Z1458" t="s">
        <v>15204</v>
      </c>
      <c r="AA1458" t="s">
        <v>74</v>
      </c>
      <c r="AB1458" t="s">
        <v>74</v>
      </c>
      <c r="AC1458" t="s">
        <v>74</v>
      </c>
      <c r="AD1458" t="s">
        <v>74</v>
      </c>
      <c r="AE1458" t="s">
        <v>74</v>
      </c>
      <c r="AF1458" t="s">
        <v>74</v>
      </c>
      <c r="AG1458">
        <v>81</v>
      </c>
      <c r="AH1458">
        <v>5</v>
      </c>
      <c r="AI1458">
        <v>5</v>
      </c>
      <c r="AJ1458">
        <v>0</v>
      </c>
      <c r="AK1458">
        <v>13</v>
      </c>
      <c r="AL1458" t="s">
        <v>74</v>
      </c>
      <c r="AM1458" t="s">
        <v>74</v>
      </c>
      <c r="AN1458" t="s">
        <v>74</v>
      </c>
      <c r="AO1458" t="s">
        <v>15205</v>
      </c>
      <c r="AP1458" t="s">
        <v>15206</v>
      </c>
      <c r="AQ1458" t="s">
        <v>74</v>
      </c>
      <c r="AR1458" t="s">
        <v>74</v>
      </c>
      <c r="AS1458" t="s">
        <v>74</v>
      </c>
      <c r="AT1458" t="s">
        <v>114</v>
      </c>
      <c r="AU1458">
        <v>2014</v>
      </c>
      <c r="AV1458">
        <v>37</v>
      </c>
      <c r="AW1458">
        <v>1</v>
      </c>
      <c r="AX1458" t="s">
        <v>74</v>
      </c>
      <c r="AY1458" t="s">
        <v>74</v>
      </c>
      <c r="AZ1458" t="s">
        <v>74</v>
      </c>
      <c r="BA1458" t="s">
        <v>74</v>
      </c>
      <c r="BB1458">
        <v>4</v>
      </c>
      <c r="BC1458">
        <v>11</v>
      </c>
      <c r="BD1458" t="s">
        <v>74</v>
      </c>
      <c r="BE1458" t="s">
        <v>15207</v>
      </c>
      <c r="BF1458" t="str">
        <f>HYPERLINK("http://dx.doi.org/10.1007/s11239-013-0965-1","http://dx.doi.org/10.1007/s11239-013-0965-1")</f>
        <v>http://dx.doi.org/10.1007/s11239-013-0965-1</v>
      </c>
      <c r="BG1458" t="s">
        <v>74</v>
      </c>
      <c r="BH1458" t="s">
        <v>74</v>
      </c>
      <c r="BI1458" t="s">
        <v>74</v>
      </c>
      <c r="BJ1458" t="s">
        <v>2404</v>
      </c>
      <c r="BK1458" t="s">
        <v>117</v>
      </c>
      <c r="BL1458" t="s">
        <v>2405</v>
      </c>
      <c r="BM1458" t="s">
        <v>74</v>
      </c>
      <c r="BN1458">
        <v>24046067</v>
      </c>
      <c r="BO1458" t="s">
        <v>74</v>
      </c>
      <c r="BP1458" t="s">
        <v>74</v>
      </c>
      <c r="BQ1458" t="s">
        <v>74</v>
      </c>
      <c r="BR1458" t="s">
        <v>96</v>
      </c>
      <c r="BS1458" t="s">
        <v>15208</v>
      </c>
      <c r="BT1458" t="str">
        <f>HYPERLINK("https%3A%2F%2Fwww.webofscience.com%2Fwos%2Fwoscc%2Ffull-record%2FWOS:000329941200002","View Full Record in Web of Science")</f>
        <v>View Full Record in Web of Science</v>
      </c>
    </row>
    <row r="1459" spans="1:72" x14ac:dyDescent="0.15">
      <c r="A1459" t="s">
        <v>98</v>
      </c>
      <c r="B1459" t="s">
        <v>16060</v>
      </c>
      <c r="C1459" t="s">
        <v>74</v>
      </c>
      <c r="D1459" t="s">
        <v>74</v>
      </c>
      <c r="E1459" t="s">
        <v>74</v>
      </c>
      <c r="F1459" t="s">
        <v>16061</v>
      </c>
      <c r="G1459" t="s">
        <v>74</v>
      </c>
      <c r="H1459" t="s">
        <v>74</v>
      </c>
      <c r="I1459" t="s">
        <v>16062</v>
      </c>
      <c r="J1459" t="s">
        <v>10654</v>
      </c>
      <c r="K1459" t="s">
        <v>74</v>
      </c>
      <c r="L1459" t="s">
        <v>74</v>
      </c>
      <c r="M1459" t="s">
        <v>74</v>
      </c>
      <c r="N1459" t="s">
        <v>103</v>
      </c>
      <c r="O1459" t="s">
        <v>74</v>
      </c>
      <c r="P1459" t="s">
        <v>74</v>
      </c>
      <c r="Q1459" t="s">
        <v>74</v>
      </c>
      <c r="R1459" t="s">
        <v>74</v>
      </c>
      <c r="S1459" t="s">
        <v>74</v>
      </c>
      <c r="T1459" t="s">
        <v>16063</v>
      </c>
      <c r="U1459" t="s">
        <v>16064</v>
      </c>
      <c r="V1459" t="s">
        <v>16065</v>
      </c>
      <c r="W1459" t="s">
        <v>16066</v>
      </c>
      <c r="X1459" t="s">
        <v>16067</v>
      </c>
      <c r="Y1459" t="s">
        <v>16068</v>
      </c>
      <c r="Z1459" t="s">
        <v>16069</v>
      </c>
      <c r="AA1459" t="s">
        <v>16070</v>
      </c>
      <c r="AB1459" t="s">
        <v>16071</v>
      </c>
      <c r="AC1459" t="s">
        <v>74</v>
      </c>
      <c r="AD1459" t="s">
        <v>74</v>
      </c>
      <c r="AE1459" t="s">
        <v>74</v>
      </c>
      <c r="AF1459" t="s">
        <v>74</v>
      </c>
      <c r="AG1459">
        <v>73</v>
      </c>
      <c r="AH1459">
        <v>5</v>
      </c>
      <c r="AI1459">
        <v>5</v>
      </c>
      <c r="AJ1459">
        <v>3</v>
      </c>
      <c r="AK1459">
        <v>5</v>
      </c>
      <c r="AL1459" t="s">
        <v>74</v>
      </c>
      <c r="AM1459" t="s">
        <v>74</v>
      </c>
      <c r="AN1459" t="s">
        <v>74</v>
      </c>
      <c r="AO1459" t="s">
        <v>10663</v>
      </c>
      <c r="AP1459" t="s">
        <v>10664</v>
      </c>
      <c r="AQ1459" t="s">
        <v>74</v>
      </c>
      <c r="AR1459" t="s">
        <v>74</v>
      </c>
      <c r="AS1459" t="s">
        <v>74</v>
      </c>
      <c r="AT1459" t="s">
        <v>211</v>
      </c>
      <c r="AU1459">
        <v>2020</v>
      </c>
      <c r="AV1459">
        <v>510</v>
      </c>
      <c r="AW1459" t="s">
        <v>74</v>
      </c>
      <c r="AX1459" t="s">
        <v>74</v>
      </c>
      <c r="AY1459" t="s">
        <v>74</v>
      </c>
      <c r="AZ1459" t="s">
        <v>74</v>
      </c>
      <c r="BA1459" t="s">
        <v>74</v>
      </c>
      <c r="BB1459">
        <v>28</v>
      </c>
      <c r="BC1459">
        <v>34</v>
      </c>
      <c r="BD1459" t="s">
        <v>74</v>
      </c>
      <c r="BE1459" t="s">
        <v>16072</v>
      </c>
      <c r="BF1459" t="str">
        <f>HYPERLINK("http://dx.doi.org/10.1016/j.cca.2020.06.047","http://dx.doi.org/10.1016/j.cca.2020.06.047")</f>
        <v>http://dx.doi.org/10.1016/j.cca.2020.06.047</v>
      </c>
      <c r="BG1459" t="s">
        <v>74</v>
      </c>
      <c r="BH1459" t="s">
        <v>74</v>
      </c>
      <c r="BI1459" t="s">
        <v>74</v>
      </c>
      <c r="BJ1459" t="s">
        <v>2773</v>
      </c>
      <c r="BK1459" t="s">
        <v>117</v>
      </c>
      <c r="BL1459" t="s">
        <v>2773</v>
      </c>
      <c r="BM1459" t="s">
        <v>74</v>
      </c>
      <c r="BN1459">
        <v>32622965</v>
      </c>
      <c r="BO1459" t="s">
        <v>74</v>
      </c>
      <c r="BP1459" t="s">
        <v>74</v>
      </c>
      <c r="BQ1459" t="s">
        <v>74</v>
      </c>
      <c r="BR1459" t="s">
        <v>96</v>
      </c>
      <c r="BS1459" t="s">
        <v>16073</v>
      </c>
      <c r="BT1459" t="str">
        <f>HYPERLINK("https%3A%2F%2Fwww.webofscience.com%2Fwos%2Fwoscc%2Ffull-record%2FWOS:000582504300008","View Full Record in Web of Science")</f>
        <v>View Full Record in Web of Science</v>
      </c>
    </row>
    <row r="1460" spans="1:72" x14ac:dyDescent="0.15">
      <c r="A1460" t="s">
        <v>98</v>
      </c>
      <c r="B1460" t="s">
        <v>16845</v>
      </c>
      <c r="C1460" t="s">
        <v>74</v>
      </c>
      <c r="D1460" t="s">
        <v>74</v>
      </c>
      <c r="E1460" t="s">
        <v>74</v>
      </c>
      <c r="F1460" t="s">
        <v>16846</v>
      </c>
      <c r="G1460" t="s">
        <v>74</v>
      </c>
      <c r="H1460" t="s">
        <v>74</v>
      </c>
      <c r="I1460" t="s">
        <v>16847</v>
      </c>
      <c r="J1460" t="s">
        <v>8839</v>
      </c>
      <c r="K1460" t="s">
        <v>74</v>
      </c>
      <c r="L1460" t="s">
        <v>74</v>
      </c>
      <c r="M1460" t="s">
        <v>74</v>
      </c>
      <c r="N1460" t="s">
        <v>103</v>
      </c>
      <c r="O1460" t="s">
        <v>74</v>
      </c>
      <c r="P1460" t="s">
        <v>74</v>
      </c>
      <c r="Q1460" t="s">
        <v>74</v>
      </c>
      <c r="R1460" t="s">
        <v>74</v>
      </c>
      <c r="S1460" t="s">
        <v>74</v>
      </c>
      <c r="T1460" t="s">
        <v>16848</v>
      </c>
      <c r="U1460" t="s">
        <v>74</v>
      </c>
      <c r="V1460" t="s">
        <v>16849</v>
      </c>
      <c r="W1460" t="s">
        <v>16850</v>
      </c>
      <c r="X1460" t="s">
        <v>16851</v>
      </c>
      <c r="Y1460" t="s">
        <v>16852</v>
      </c>
      <c r="Z1460" t="s">
        <v>16853</v>
      </c>
      <c r="AA1460" t="s">
        <v>16854</v>
      </c>
      <c r="AB1460" t="s">
        <v>16855</v>
      </c>
      <c r="AC1460" t="s">
        <v>74</v>
      </c>
      <c r="AD1460" t="s">
        <v>74</v>
      </c>
      <c r="AE1460" t="s">
        <v>74</v>
      </c>
      <c r="AF1460" t="s">
        <v>74</v>
      </c>
      <c r="AG1460">
        <v>62</v>
      </c>
      <c r="AH1460">
        <v>5</v>
      </c>
      <c r="AI1460">
        <v>5</v>
      </c>
      <c r="AJ1460">
        <v>1</v>
      </c>
      <c r="AK1460">
        <v>5</v>
      </c>
      <c r="AL1460" t="s">
        <v>74</v>
      </c>
      <c r="AM1460" t="s">
        <v>74</v>
      </c>
      <c r="AN1460" t="s">
        <v>74</v>
      </c>
      <c r="AO1460" t="s">
        <v>74</v>
      </c>
      <c r="AP1460" t="s">
        <v>8847</v>
      </c>
      <c r="AQ1460" t="s">
        <v>74</v>
      </c>
      <c r="AR1460" t="s">
        <v>74</v>
      </c>
      <c r="AS1460" t="s">
        <v>74</v>
      </c>
      <c r="AT1460" t="s">
        <v>283</v>
      </c>
      <c r="AU1460">
        <v>2021</v>
      </c>
      <c r="AV1460">
        <v>13</v>
      </c>
      <c r="AW1460">
        <v>2</v>
      </c>
      <c r="AX1460" t="s">
        <v>74</v>
      </c>
      <c r="AY1460" t="s">
        <v>74</v>
      </c>
      <c r="AZ1460" t="s">
        <v>74</v>
      </c>
      <c r="BA1460" t="s">
        <v>74</v>
      </c>
      <c r="BB1460" t="s">
        <v>74</v>
      </c>
      <c r="BC1460" t="s">
        <v>74</v>
      </c>
      <c r="BD1460">
        <v>665</v>
      </c>
      <c r="BE1460" t="s">
        <v>16856</v>
      </c>
      <c r="BF1460" t="str">
        <f>HYPERLINK("http://dx.doi.org/10.3390/nu13020665","http://dx.doi.org/10.3390/nu13020665")</f>
        <v>http://dx.doi.org/10.3390/nu13020665</v>
      </c>
      <c r="BG1460" t="s">
        <v>74</v>
      </c>
      <c r="BH1460" t="s">
        <v>74</v>
      </c>
      <c r="BI1460" t="s">
        <v>74</v>
      </c>
      <c r="BJ1460" t="s">
        <v>8849</v>
      </c>
      <c r="BK1460" t="s">
        <v>117</v>
      </c>
      <c r="BL1460" t="s">
        <v>8849</v>
      </c>
      <c r="BM1460" t="s">
        <v>74</v>
      </c>
      <c r="BN1460">
        <v>33669497</v>
      </c>
      <c r="BO1460" t="s">
        <v>74</v>
      </c>
      <c r="BP1460" t="s">
        <v>74</v>
      </c>
      <c r="BQ1460" t="s">
        <v>74</v>
      </c>
      <c r="BR1460" t="s">
        <v>96</v>
      </c>
      <c r="BS1460" t="s">
        <v>16857</v>
      </c>
      <c r="BT1460" t="str">
        <f>HYPERLINK("https%3A%2F%2Fwww.webofscience.com%2Fwos%2Fwoscc%2Ffull-record%2FWOS:000622917600001","View Full Record in Web of Science")</f>
        <v>View Full Record in Web of Science</v>
      </c>
    </row>
    <row r="1461" spans="1:72" x14ac:dyDescent="0.15">
      <c r="A1461" t="s">
        <v>98</v>
      </c>
      <c r="B1461" t="s">
        <v>17699</v>
      </c>
      <c r="C1461" t="s">
        <v>74</v>
      </c>
      <c r="D1461" t="s">
        <v>74</v>
      </c>
      <c r="E1461" t="s">
        <v>74</v>
      </c>
      <c r="F1461" t="s">
        <v>17700</v>
      </c>
      <c r="G1461" t="s">
        <v>74</v>
      </c>
      <c r="H1461" t="s">
        <v>74</v>
      </c>
      <c r="I1461" t="s">
        <v>17701</v>
      </c>
      <c r="J1461" t="s">
        <v>14704</v>
      </c>
      <c r="K1461" t="s">
        <v>74</v>
      </c>
      <c r="L1461" t="s">
        <v>74</v>
      </c>
      <c r="M1461" t="s">
        <v>74</v>
      </c>
      <c r="N1461" t="s">
        <v>103</v>
      </c>
      <c r="O1461" t="s">
        <v>74</v>
      </c>
      <c r="P1461" t="s">
        <v>74</v>
      </c>
      <c r="Q1461" t="s">
        <v>74</v>
      </c>
      <c r="R1461" t="s">
        <v>74</v>
      </c>
      <c r="S1461" t="s">
        <v>74</v>
      </c>
      <c r="T1461" t="s">
        <v>17702</v>
      </c>
      <c r="U1461" t="s">
        <v>17703</v>
      </c>
      <c r="V1461" t="s">
        <v>17704</v>
      </c>
      <c r="W1461" t="s">
        <v>17705</v>
      </c>
      <c r="X1461" t="s">
        <v>17706</v>
      </c>
      <c r="Y1461" t="s">
        <v>17707</v>
      </c>
      <c r="Z1461" t="s">
        <v>17708</v>
      </c>
      <c r="AA1461" t="s">
        <v>17709</v>
      </c>
      <c r="AB1461" t="s">
        <v>17710</v>
      </c>
      <c r="AC1461" t="s">
        <v>74</v>
      </c>
      <c r="AD1461" t="s">
        <v>74</v>
      </c>
      <c r="AE1461" t="s">
        <v>74</v>
      </c>
      <c r="AF1461" t="s">
        <v>74</v>
      </c>
      <c r="AG1461">
        <v>35</v>
      </c>
      <c r="AH1461">
        <v>5</v>
      </c>
      <c r="AI1461">
        <v>5</v>
      </c>
      <c r="AJ1461">
        <v>14</v>
      </c>
      <c r="AK1461">
        <v>32</v>
      </c>
      <c r="AL1461" t="s">
        <v>74</v>
      </c>
      <c r="AM1461" t="s">
        <v>74</v>
      </c>
      <c r="AN1461" t="s">
        <v>74</v>
      </c>
      <c r="AO1461" t="s">
        <v>14712</v>
      </c>
      <c r="AP1461" t="s">
        <v>74</v>
      </c>
      <c r="AQ1461" t="s">
        <v>74</v>
      </c>
      <c r="AR1461" t="s">
        <v>74</v>
      </c>
      <c r="AS1461" t="s">
        <v>74</v>
      </c>
      <c r="AT1461" t="s">
        <v>3660</v>
      </c>
      <c r="AU1461">
        <v>2021</v>
      </c>
      <c r="AV1461">
        <v>4</v>
      </c>
      <c r="AW1461">
        <v>2</v>
      </c>
      <c r="AX1461" t="s">
        <v>74</v>
      </c>
      <c r="AY1461" t="s">
        <v>74</v>
      </c>
      <c r="AZ1461" t="s">
        <v>74</v>
      </c>
      <c r="BA1461" t="s">
        <v>74</v>
      </c>
      <c r="BB1461">
        <v>1783</v>
      </c>
      <c r="BC1461">
        <v>1793</v>
      </c>
      <c r="BD1461" t="s">
        <v>74</v>
      </c>
      <c r="BE1461" t="s">
        <v>17711</v>
      </c>
      <c r="BF1461" t="str">
        <f>HYPERLINK("http://dx.doi.org/10.1021/acsabm.0c01519","http://dx.doi.org/10.1021/acsabm.0c01519")</f>
        <v>http://dx.doi.org/10.1021/acsabm.0c01519</v>
      </c>
      <c r="BG1461" t="s">
        <v>74</v>
      </c>
      <c r="BH1461" t="s">
        <v>3662</v>
      </c>
      <c r="BI1461" t="s">
        <v>74</v>
      </c>
      <c r="BJ1461" t="s">
        <v>14715</v>
      </c>
      <c r="BK1461" t="s">
        <v>467</v>
      </c>
      <c r="BL1461" t="s">
        <v>5535</v>
      </c>
      <c r="BM1461" t="s">
        <v>74</v>
      </c>
      <c r="BN1461">
        <v>35014524</v>
      </c>
      <c r="BO1461" t="s">
        <v>74</v>
      </c>
      <c r="BP1461" t="s">
        <v>74</v>
      </c>
      <c r="BQ1461" t="s">
        <v>74</v>
      </c>
      <c r="BR1461" t="s">
        <v>96</v>
      </c>
      <c r="BS1461" t="s">
        <v>17712</v>
      </c>
      <c r="BT1461" t="str">
        <f>HYPERLINK("https%3A%2F%2Fwww.webofscience.com%2Fwos%2Fwoscc%2Ffull-record%2FWOS:000620346200062","View Full Record in Web of Science")</f>
        <v>View Full Record in Web of Science</v>
      </c>
    </row>
    <row r="1462" spans="1:72" x14ac:dyDescent="0.15">
      <c r="A1462" t="s">
        <v>98</v>
      </c>
      <c r="B1462" t="s">
        <v>18053</v>
      </c>
      <c r="C1462" t="s">
        <v>74</v>
      </c>
      <c r="D1462" t="s">
        <v>74</v>
      </c>
      <c r="E1462" t="s">
        <v>74</v>
      </c>
      <c r="F1462" t="s">
        <v>18054</v>
      </c>
      <c r="G1462" t="s">
        <v>74</v>
      </c>
      <c r="H1462" t="s">
        <v>74</v>
      </c>
      <c r="I1462" t="s">
        <v>18055</v>
      </c>
      <c r="J1462" t="s">
        <v>3700</v>
      </c>
      <c r="K1462" t="s">
        <v>74</v>
      </c>
      <c r="L1462" t="s">
        <v>74</v>
      </c>
      <c r="M1462" t="s">
        <v>74</v>
      </c>
      <c r="N1462" t="s">
        <v>103</v>
      </c>
      <c r="O1462" t="s">
        <v>74</v>
      </c>
      <c r="P1462" t="s">
        <v>74</v>
      </c>
      <c r="Q1462" t="s">
        <v>74</v>
      </c>
      <c r="R1462" t="s">
        <v>74</v>
      </c>
      <c r="S1462" t="s">
        <v>74</v>
      </c>
      <c r="T1462" t="s">
        <v>74</v>
      </c>
      <c r="U1462" t="s">
        <v>18056</v>
      </c>
      <c r="V1462" t="s">
        <v>18057</v>
      </c>
      <c r="W1462" t="s">
        <v>18058</v>
      </c>
      <c r="X1462" t="s">
        <v>18059</v>
      </c>
      <c r="Y1462" t="s">
        <v>18060</v>
      </c>
      <c r="Z1462" t="s">
        <v>18061</v>
      </c>
      <c r="AA1462" t="s">
        <v>74</v>
      </c>
      <c r="AB1462" t="s">
        <v>74</v>
      </c>
      <c r="AC1462" t="s">
        <v>74</v>
      </c>
      <c r="AD1462" t="s">
        <v>74</v>
      </c>
      <c r="AE1462" t="s">
        <v>74</v>
      </c>
      <c r="AF1462" t="s">
        <v>74</v>
      </c>
      <c r="AG1462">
        <v>47</v>
      </c>
      <c r="AH1462">
        <v>5</v>
      </c>
      <c r="AI1462">
        <v>5</v>
      </c>
      <c r="AJ1462">
        <v>0</v>
      </c>
      <c r="AK1462">
        <v>8</v>
      </c>
      <c r="AL1462" t="s">
        <v>74</v>
      </c>
      <c r="AM1462" t="s">
        <v>74</v>
      </c>
      <c r="AN1462" t="s">
        <v>74</v>
      </c>
      <c r="AO1462" t="s">
        <v>74</v>
      </c>
      <c r="AP1462" t="s">
        <v>3711</v>
      </c>
      <c r="AQ1462" t="s">
        <v>74</v>
      </c>
      <c r="AR1462" t="s">
        <v>74</v>
      </c>
      <c r="AS1462" t="s">
        <v>74</v>
      </c>
      <c r="AT1462" t="s">
        <v>6104</v>
      </c>
      <c r="AU1462">
        <v>2014</v>
      </c>
      <c r="AV1462">
        <v>289</v>
      </c>
      <c r="AW1462">
        <v>30</v>
      </c>
      <c r="AX1462" t="s">
        <v>74</v>
      </c>
      <c r="AY1462" t="s">
        <v>74</v>
      </c>
      <c r="AZ1462" t="s">
        <v>74</v>
      </c>
      <c r="BA1462" t="s">
        <v>74</v>
      </c>
      <c r="BB1462">
        <v>20970</v>
      </c>
      <c r="BC1462">
        <v>20978</v>
      </c>
      <c r="BD1462" t="s">
        <v>74</v>
      </c>
      <c r="BE1462" t="s">
        <v>18062</v>
      </c>
      <c r="BF1462" t="str">
        <f>HYPERLINK("http://dx.doi.org/10.1074/jbc.M114.548297","http://dx.doi.org/10.1074/jbc.M114.548297")</f>
        <v>http://dx.doi.org/10.1074/jbc.M114.548297</v>
      </c>
      <c r="BG1462" t="s">
        <v>74</v>
      </c>
      <c r="BH1462" t="s">
        <v>74</v>
      </c>
      <c r="BI1462" t="s">
        <v>74</v>
      </c>
      <c r="BJ1462" t="s">
        <v>95</v>
      </c>
      <c r="BK1462" t="s">
        <v>117</v>
      </c>
      <c r="BL1462" t="s">
        <v>95</v>
      </c>
      <c r="BM1462" t="s">
        <v>74</v>
      </c>
      <c r="BN1462">
        <v>24923442</v>
      </c>
      <c r="BO1462" t="s">
        <v>74</v>
      </c>
      <c r="BP1462" t="s">
        <v>74</v>
      </c>
      <c r="BQ1462" t="s">
        <v>74</v>
      </c>
      <c r="BR1462" t="s">
        <v>96</v>
      </c>
      <c r="BS1462" t="s">
        <v>18063</v>
      </c>
      <c r="BT1462" t="str">
        <f>HYPERLINK("https%3A%2F%2Fwww.webofscience.com%2Fwos%2Fwoscc%2Ffull-record%2FWOS:000339396600050","View Full Record in Web of Science")</f>
        <v>View Full Record in Web of Science</v>
      </c>
    </row>
    <row r="1463" spans="1:72" x14ac:dyDescent="0.15">
      <c r="A1463" t="s">
        <v>98</v>
      </c>
      <c r="B1463" t="s">
        <v>18348</v>
      </c>
      <c r="C1463" t="s">
        <v>74</v>
      </c>
      <c r="D1463" t="s">
        <v>74</v>
      </c>
      <c r="E1463" t="s">
        <v>74</v>
      </c>
      <c r="F1463" t="s">
        <v>18349</v>
      </c>
      <c r="G1463" t="s">
        <v>74</v>
      </c>
      <c r="H1463" t="s">
        <v>74</v>
      </c>
      <c r="I1463" t="s">
        <v>18350</v>
      </c>
      <c r="J1463" t="s">
        <v>325</v>
      </c>
      <c r="K1463" t="s">
        <v>74</v>
      </c>
      <c r="L1463" t="s">
        <v>74</v>
      </c>
      <c r="M1463" t="s">
        <v>74</v>
      </c>
      <c r="N1463" t="s">
        <v>103</v>
      </c>
      <c r="O1463" t="s">
        <v>74</v>
      </c>
      <c r="P1463" t="s">
        <v>74</v>
      </c>
      <c r="Q1463" t="s">
        <v>74</v>
      </c>
      <c r="R1463" t="s">
        <v>74</v>
      </c>
      <c r="S1463" t="s">
        <v>74</v>
      </c>
      <c r="T1463" t="s">
        <v>18351</v>
      </c>
      <c r="U1463" t="s">
        <v>18352</v>
      </c>
      <c r="V1463" t="s">
        <v>18353</v>
      </c>
      <c r="W1463" t="s">
        <v>18354</v>
      </c>
      <c r="X1463" t="s">
        <v>18355</v>
      </c>
      <c r="Y1463" t="s">
        <v>18356</v>
      </c>
      <c r="Z1463" t="s">
        <v>18357</v>
      </c>
      <c r="AA1463" t="s">
        <v>74</v>
      </c>
      <c r="AB1463" t="s">
        <v>74</v>
      </c>
      <c r="AC1463" t="s">
        <v>74</v>
      </c>
      <c r="AD1463" t="s">
        <v>74</v>
      </c>
      <c r="AE1463" t="s">
        <v>74</v>
      </c>
      <c r="AF1463" t="s">
        <v>74</v>
      </c>
      <c r="AG1463">
        <v>44</v>
      </c>
      <c r="AH1463">
        <v>5</v>
      </c>
      <c r="AI1463">
        <v>5</v>
      </c>
      <c r="AJ1463">
        <v>3</v>
      </c>
      <c r="AK1463">
        <v>3</v>
      </c>
      <c r="AL1463" t="s">
        <v>74</v>
      </c>
      <c r="AM1463" t="s">
        <v>74</v>
      </c>
      <c r="AN1463" t="s">
        <v>74</v>
      </c>
      <c r="AO1463" t="s">
        <v>333</v>
      </c>
      <c r="AP1463" t="s">
        <v>334</v>
      </c>
      <c r="AQ1463" t="s">
        <v>74</v>
      </c>
      <c r="AR1463" t="s">
        <v>74</v>
      </c>
      <c r="AS1463" t="s">
        <v>74</v>
      </c>
      <c r="AT1463" t="s">
        <v>9418</v>
      </c>
      <c r="AU1463">
        <v>2021</v>
      </c>
      <c r="AV1463">
        <v>40</v>
      </c>
      <c r="AW1463">
        <v>4</v>
      </c>
      <c r="AX1463" t="s">
        <v>74</v>
      </c>
      <c r="AY1463" t="s">
        <v>74</v>
      </c>
      <c r="AZ1463" t="s">
        <v>74</v>
      </c>
      <c r="BA1463" t="s">
        <v>74</v>
      </c>
      <c r="BB1463">
        <v>568</v>
      </c>
      <c r="BC1463">
        <v>579</v>
      </c>
      <c r="BD1463" t="s">
        <v>74</v>
      </c>
      <c r="BE1463" t="s">
        <v>18358</v>
      </c>
      <c r="BF1463" t="str">
        <f>HYPERLINK("http://dx.doi.org/10.1089/dna.2020.6356","http://dx.doi.org/10.1089/dna.2020.6356")</f>
        <v>http://dx.doi.org/10.1089/dna.2020.6356</v>
      </c>
      <c r="BG1463" t="s">
        <v>74</v>
      </c>
      <c r="BH1463" t="s">
        <v>2607</v>
      </c>
      <c r="BI1463" t="s">
        <v>74</v>
      </c>
      <c r="BJ1463" t="s">
        <v>338</v>
      </c>
      <c r="BK1463" t="s">
        <v>117</v>
      </c>
      <c r="BL1463" t="s">
        <v>338</v>
      </c>
      <c r="BM1463" t="s">
        <v>74</v>
      </c>
      <c r="BN1463">
        <v>33651959</v>
      </c>
      <c r="BO1463" t="s">
        <v>74</v>
      </c>
      <c r="BP1463" t="s">
        <v>74</v>
      </c>
      <c r="BQ1463" t="s">
        <v>74</v>
      </c>
      <c r="BR1463" t="s">
        <v>96</v>
      </c>
      <c r="BS1463" t="s">
        <v>18359</v>
      </c>
      <c r="BT1463" t="str">
        <f>HYPERLINK("https%3A%2F%2Fwww.webofscience.com%2Fwos%2Fwoscc%2Ffull-record%2FWOS:000625292900001","View Full Record in Web of Science")</f>
        <v>View Full Record in Web of Science</v>
      </c>
    </row>
    <row r="1464" spans="1:72" x14ac:dyDescent="0.15">
      <c r="A1464" t="s">
        <v>98</v>
      </c>
      <c r="B1464" t="s">
        <v>18763</v>
      </c>
      <c r="C1464" t="s">
        <v>74</v>
      </c>
      <c r="D1464" t="s">
        <v>74</v>
      </c>
      <c r="E1464" t="s">
        <v>74</v>
      </c>
      <c r="F1464" t="s">
        <v>18764</v>
      </c>
      <c r="G1464" t="s">
        <v>74</v>
      </c>
      <c r="H1464" t="s">
        <v>74</v>
      </c>
      <c r="I1464" t="s">
        <v>18765</v>
      </c>
      <c r="J1464" t="s">
        <v>18766</v>
      </c>
      <c r="K1464" t="s">
        <v>74</v>
      </c>
      <c r="L1464" t="s">
        <v>74</v>
      </c>
      <c r="M1464" t="s">
        <v>74</v>
      </c>
      <c r="N1464" t="s">
        <v>103</v>
      </c>
      <c r="O1464" t="s">
        <v>74</v>
      </c>
      <c r="P1464" t="s">
        <v>74</v>
      </c>
      <c r="Q1464" t="s">
        <v>74</v>
      </c>
      <c r="R1464" t="s">
        <v>74</v>
      </c>
      <c r="S1464" t="s">
        <v>74</v>
      </c>
      <c r="T1464" t="s">
        <v>18767</v>
      </c>
      <c r="U1464" t="s">
        <v>18768</v>
      </c>
      <c r="V1464" t="s">
        <v>18769</v>
      </c>
      <c r="W1464" t="s">
        <v>18770</v>
      </c>
      <c r="X1464" t="s">
        <v>18771</v>
      </c>
      <c r="Y1464" t="s">
        <v>18772</v>
      </c>
      <c r="Z1464" t="s">
        <v>18773</v>
      </c>
      <c r="AA1464" t="s">
        <v>74</v>
      </c>
      <c r="AB1464" t="s">
        <v>18774</v>
      </c>
      <c r="AC1464" t="s">
        <v>74</v>
      </c>
      <c r="AD1464" t="s">
        <v>74</v>
      </c>
      <c r="AE1464" t="s">
        <v>74</v>
      </c>
      <c r="AF1464" t="s">
        <v>74</v>
      </c>
      <c r="AG1464">
        <v>78</v>
      </c>
      <c r="AH1464">
        <v>5</v>
      </c>
      <c r="AI1464">
        <v>5</v>
      </c>
      <c r="AJ1464">
        <v>1</v>
      </c>
      <c r="AK1464">
        <v>10</v>
      </c>
      <c r="AL1464" t="s">
        <v>74</v>
      </c>
      <c r="AM1464" t="s">
        <v>74</v>
      </c>
      <c r="AN1464" t="s">
        <v>74</v>
      </c>
      <c r="AO1464" t="s">
        <v>18775</v>
      </c>
      <c r="AP1464" t="s">
        <v>74</v>
      </c>
      <c r="AQ1464" t="s">
        <v>74</v>
      </c>
      <c r="AR1464" t="s">
        <v>74</v>
      </c>
      <c r="AS1464" t="s">
        <v>74</v>
      </c>
      <c r="AT1464" t="s">
        <v>74</v>
      </c>
      <c r="AU1464">
        <v>2021</v>
      </c>
      <c r="AV1464">
        <v>14</v>
      </c>
      <c r="AW1464" t="s">
        <v>74</v>
      </c>
      <c r="AX1464" t="s">
        <v>74</v>
      </c>
      <c r="AY1464" t="s">
        <v>74</v>
      </c>
      <c r="AZ1464" t="s">
        <v>74</v>
      </c>
      <c r="BA1464" t="s">
        <v>74</v>
      </c>
      <c r="BB1464">
        <v>271</v>
      </c>
      <c r="BC1464">
        <v>287</v>
      </c>
      <c r="BD1464" t="s">
        <v>74</v>
      </c>
      <c r="BE1464" t="s">
        <v>18776</v>
      </c>
      <c r="BF1464" t="str">
        <f>HYPERLINK("http://dx.doi.org/10.2147/OTT.S281175","http://dx.doi.org/10.2147/OTT.S281175")</f>
        <v>http://dx.doi.org/10.2147/OTT.S281175</v>
      </c>
      <c r="BG1464" t="s">
        <v>74</v>
      </c>
      <c r="BH1464" t="s">
        <v>74</v>
      </c>
      <c r="BI1464" t="s">
        <v>74</v>
      </c>
      <c r="BJ1464" t="s">
        <v>18777</v>
      </c>
      <c r="BK1464" t="s">
        <v>117</v>
      </c>
      <c r="BL1464" t="s">
        <v>18777</v>
      </c>
      <c r="BM1464" t="s">
        <v>74</v>
      </c>
      <c r="BN1464">
        <v>33488093</v>
      </c>
      <c r="BO1464" t="s">
        <v>74</v>
      </c>
      <c r="BP1464" t="s">
        <v>74</v>
      </c>
      <c r="BQ1464" t="s">
        <v>74</v>
      </c>
      <c r="BR1464" t="s">
        <v>96</v>
      </c>
      <c r="BS1464" t="s">
        <v>18778</v>
      </c>
      <c r="BT1464" t="str">
        <f>HYPERLINK("https%3A%2F%2Fwww.webofscience.com%2Fwos%2Fwoscc%2Ffull-record%2FWOS:000607627300001","View Full Record in Web of Science")</f>
        <v>View Full Record in Web of Science</v>
      </c>
    </row>
    <row r="1465" spans="1:72" x14ac:dyDescent="0.15">
      <c r="A1465" t="s">
        <v>98</v>
      </c>
      <c r="B1465" t="s">
        <v>18831</v>
      </c>
      <c r="C1465" t="s">
        <v>74</v>
      </c>
      <c r="D1465" t="s">
        <v>74</v>
      </c>
      <c r="E1465" t="s">
        <v>74</v>
      </c>
      <c r="F1465" t="s">
        <v>18832</v>
      </c>
      <c r="G1465" t="s">
        <v>74</v>
      </c>
      <c r="H1465" t="s">
        <v>74</v>
      </c>
      <c r="I1465" t="s">
        <v>18833</v>
      </c>
      <c r="J1465" t="s">
        <v>18834</v>
      </c>
      <c r="K1465" t="s">
        <v>74</v>
      </c>
      <c r="L1465" t="s">
        <v>74</v>
      </c>
      <c r="M1465" t="s">
        <v>74</v>
      </c>
      <c r="N1465" t="s">
        <v>103</v>
      </c>
      <c r="O1465" t="s">
        <v>74</v>
      </c>
      <c r="P1465" t="s">
        <v>74</v>
      </c>
      <c r="Q1465" t="s">
        <v>74</v>
      </c>
      <c r="R1465" t="s">
        <v>74</v>
      </c>
      <c r="S1465" t="s">
        <v>74</v>
      </c>
      <c r="T1465" t="s">
        <v>18835</v>
      </c>
      <c r="U1465" t="s">
        <v>18836</v>
      </c>
      <c r="V1465" t="s">
        <v>18837</v>
      </c>
      <c r="W1465" t="s">
        <v>18838</v>
      </c>
      <c r="X1465" t="s">
        <v>18839</v>
      </c>
      <c r="Y1465" t="s">
        <v>18840</v>
      </c>
      <c r="Z1465" t="s">
        <v>18841</v>
      </c>
      <c r="AA1465" t="s">
        <v>74</v>
      </c>
      <c r="AB1465" t="s">
        <v>74</v>
      </c>
      <c r="AC1465" t="s">
        <v>74</v>
      </c>
      <c r="AD1465" t="s">
        <v>74</v>
      </c>
      <c r="AE1465" t="s">
        <v>74</v>
      </c>
      <c r="AF1465" t="s">
        <v>74</v>
      </c>
      <c r="AG1465">
        <v>6</v>
      </c>
      <c r="AH1465">
        <v>5</v>
      </c>
      <c r="AI1465">
        <v>7</v>
      </c>
      <c r="AJ1465">
        <v>1</v>
      </c>
      <c r="AK1465">
        <v>2</v>
      </c>
      <c r="AL1465" t="s">
        <v>74</v>
      </c>
      <c r="AM1465" t="s">
        <v>74</v>
      </c>
      <c r="AN1465" t="s">
        <v>74</v>
      </c>
      <c r="AO1465" t="s">
        <v>18842</v>
      </c>
      <c r="AP1465" t="s">
        <v>18843</v>
      </c>
      <c r="AQ1465" t="s">
        <v>74</v>
      </c>
      <c r="AR1465" t="s">
        <v>74</v>
      </c>
      <c r="AS1465" t="s">
        <v>74</v>
      </c>
      <c r="AT1465" t="s">
        <v>114</v>
      </c>
      <c r="AU1465">
        <v>2018</v>
      </c>
      <c r="AV1465">
        <v>55</v>
      </c>
      <c r="AW1465">
        <v>1</v>
      </c>
      <c r="AX1465" t="s">
        <v>74</v>
      </c>
      <c r="AY1465" t="s">
        <v>74</v>
      </c>
      <c r="AZ1465" t="s">
        <v>74</v>
      </c>
      <c r="BA1465" t="s">
        <v>74</v>
      </c>
      <c r="BB1465">
        <v>178</v>
      </c>
      <c r="BC1465">
        <v>180</v>
      </c>
      <c r="BD1465" t="s">
        <v>74</v>
      </c>
      <c r="BE1465" t="s">
        <v>18844</v>
      </c>
      <c r="BF1465" t="str">
        <f>HYPERLINK("http://dx.doi.org/10.1177/0004563217704233","http://dx.doi.org/10.1177/0004563217704233")</f>
        <v>http://dx.doi.org/10.1177/0004563217704233</v>
      </c>
      <c r="BG1465" t="s">
        <v>74</v>
      </c>
      <c r="BH1465" t="s">
        <v>74</v>
      </c>
      <c r="BI1465" t="s">
        <v>74</v>
      </c>
      <c r="BJ1465" t="s">
        <v>2773</v>
      </c>
      <c r="BK1465" t="s">
        <v>117</v>
      </c>
      <c r="BL1465" t="s">
        <v>2773</v>
      </c>
      <c r="BM1465" t="s">
        <v>74</v>
      </c>
      <c r="BN1465">
        <v>28372464</v>
      </c>
      <c r="BO1465" t="s">
        <v>74</v>
      </c>
      <c r="BP1465" t="s">
        <v>74</v>
      </c>
      <c r="BQ1465" t="s">
        <v>74</v>
      </c>
      <c r="BR1465" t="s">
        <v>96</v>
      </c>
      <c r="BS1465" t="s">
        <v>18845</v>
      </c>
      <c r="BT1465" t="str">
        <f>HYPERLINK("https%3A%2F%2Fwww.webofscience.com%2Fwos%2Fwoscc%2Ffull-record%2FWOS:000419458400022","View Full Record in Web of Science")</f>
        <v>View Full Record in Web of Science</v>
      </c>
    </row>
    <row r="1466" spans="1:72" x14ac:dyDescent="0.15">
      <c r="A1466" t="s">
        <v>98</v>
      </c>
      <c r="B1466" t="s">
        <v>18903</v>
      </c>
      <c r="C1466" t="s">
        <v>74</v>
      </c>
      <c r="D1466" t="s">
        <v>74</v>
      </c>
      <c r="E1466" t="s">
        <v>74</v>
      </c>
      <c r="F1466" t="s">
        <v>18904</v>
      </c>
      <c r="G1466" t="s">
        <v>74</v>
      </c>
      <c r="H1466" t="s">
        <v>74</v>
      </c>
      <c r="I1466" t="s">
        <v>18905</v>
      </c>
      <c r="J1466" t="s">
        <v>4828</v>
      </c>
      <c r="K1466" t="s">
        <v>74</v>
      </c>
      <c r="L1466" t="s">
        <v>74</v>
      </c>
      <c r="M1466" t="s">
        <v>74</v>
      </c>
      <c r="N1466" t="s">
        <v>103</v>
      </c>
      <c r="O1466" t="s">
        <v>74</v>
      </c>
      <c r="P1466" t="s">
        <v>74</v>
      </c>
      <c r="Q1466" t="s">
        <v>74</v>
      </c>
      <c r="R1466" t="s">
        <v>74</v>
      </c>
      <c r="S1466" t="s">
        <v>74</v>
      </c>
      <c r="T1466" t="s">
        <v>18906</v>
      </c>
      <c r="U1466" t="s">
        <v>74</v>
      </c>
      <c r="V1466" t="s">
        <v>18907</v>
      </c>
      <c r="W1466" t="s">
        <v>18908</v>
      </c>
      <c r="X1466" t="s">
        <v>18909</v>
      </c>
      <c r="Y1466" t="s">
        <v>18910</v>
      </c>
      <c r="Z1466" t="s">
        <v>18911</v>
      </c>
      <c r="AA1466" t="s">
        <v>74</v>
      </c>
      <c r="AB1466" t="s">
        <v>74</v>
      </c>
      <c r="AC1466" t="s">
        <v>74</v>
      </c>
      <c r="AD1466" t="s">
        <v>74</v>
      </c>
      <c r="AE1466" t="s">
        <v>74</v>
      </c>
      <c r="AF1466" t="s">
        <v>74</v>
      </c>
      <c r="AG1466">
        <v>0</v>
      </c>
      <c r="AH1466">
        <v>5</v>
      </c>
      <c r="AI1466">
        <v>5</v>
      </c>
      <c r="AJ1466">
        <v>55</v>
      </c>
      <c r="AK1466">
        <v>103</v>
      </c>
      <c r="AL1466" t="s">
        <v>74</v>
      </c>
      <c r="AM1466" t="s">
        <v>74</v>
      </c>
      <c r="AN1466" t="s">
        <v>74</v>
      </c>
      <c r="AO1466" t="s">
        <v>4836</v>
      </c>
      <c r="AP1466" t="s">
        <v>4837</v>
      </c>
      <c r="AQ1466" t="s">
        <v>74</v>
      </c>
      <c r="AR1466" t="s">
        <v>74</v>
      </c>
      <c r="AS1466" t="s">
        <v>74</v>
      </c>
      <c r="AT1466" t="s">
        <v>686</v>
      </c>
      <c r="AU1466">
        <v>2022</v>
      </c>
      <c r="AV1466">
        <v>61</v>
      </c>
      <c r="AW1466">
        <v>1</v>
      </c>
      <c r="AX1466" t="s">
        <v>74</v>
      </c>
      <c r="AY1466" t="s">
        <v>74</v>
      </c>
      <c r="AZ1466" t="s">
        <v>74</v>
      </c>
      <c r="BA1466" t="s">
        <v>74</v>
      </c>
      <c r="BB1466" t="s">
        <v>74</v>
      </c>
      <c r="BC1466" t="s">
        <v>74</v>
      </c>
      <c r="BD1466" t="s">
        <v>74</v>
      </c>
      <c r="BE1466" t="s">
        <v>18912</v>
      </c>
      <c r="BF1466" t="str">
        <f>HYPERLINK("http://dx.doi.org/10.1002/anie.202111647","http://dx.doi.org/10.1002/anie.202111647")</f>
        <v>http://dx.doi.org/10.1002/anie.202111647</v>
      </c>
      <c r="BG1466" t="s">
        <v>74</v>
      </c>
      <c r="BH1466" t="s">
        <v>3026</v>
      </c>
      <c r="BI1466" t="s">
        <v>74</v>
      </c>
      <c r="BJ1466" t="s">
        <v>1047</v>
      </c>
      <c r="BK1466" t="s">
        <v>117</v>
      </c>
      <c r="BL1466" t="s">
        <v>1048</v>
      </c>
      <c r="BM1466" t="s">
        <v>74</v>
      </c>
      <c r="BN1466">
        <v>34637590</v>
      </c>
      <c r="BO1466" t="s">
        <v>74</v>
      </c>
      <c r="BP1466" t="s">
        <v>74</v>
      </c>
      <c r="BQ1466" t="s">
        <v>74</v>
      </c>
      <c r="BR1466" t="s">
        <v>96</v>
      </c>
      <c r="BS1466" t="s">
        <v>18913</v>
      </c>
      <c r="BT1466" t="str">
        <f>HYPERLINK("https%3A%2F%2Fwww.webofscience.com%2Fwos%2Fwoscc%2Ffull-record%2FWOS:000722294200001","View Full Record in Web of Science")</f>
        <v>View Full Record in Web of Science</v>
      </c>
    </row>
    <row r="1467" spans="1:72" x14ac:dyDescent="0.15">
      <c r="A1467" t="s">
        <v>98</v>
      </c>
      <c r="B1467" t="s">
        <v>19527</v>
      </c>
      <c r="C1467" t="s">
        <v>74</v>
      </c>
      <c r="D1467" t="s">
        <v>74</v>
      </c>
      <c r="E1467" t="s">
        <v>74</v>
      </c>
      <c r="F1467" t="s">
        <v>19528</v>
      </c>
      <c r="G1467" t="s">
        <v>74</v>
      </c>
      <c r="H1467" t="s">
        <v>74</v>
      </c>
      <c r="I1467" t="s">
        <v>19529</v>
      </c>
      <c r="J1467" t="s">
        <v>2051</v>
      </c>
      <c r="K1467" t="s">
        <v>74</v>
      </c>
      <c r="L1467" t="s">
        <v>74</v>
      </c>
      <c r="M1467" t="s">
        <v>74</v>
      </c>
      <c r="N1467" t="s">
        <v>103</v>
      </c>
      <c r="O1467" t="s">
        <v>74</v>
      </c>
      <c r="P1467" t="s">
        <v>74</v>
      </c>
      <c r="Q1467" t="s">
        <v>74</v>
      </c>
      <c r="R1467" t="s">
        <v>74</v>
      </c>
      <c r="S1467" t="s">
        <v>74</v>
      </c>
      <c r="T1467" t="s">
        <v>19530</v>
      </c>
      <c r="U1467" t="s">
        <v>19531</v>
      </c>
      <c r="V1467" t="s">
        <v>19532</v>
      </c>
      <c r="W1467" t="s">
        <v>19533</v>
      </c>
      <c r="X1467" t="s">
        <v>19534</v>
      </c>
      <c r="Y1467" t="s">
        <v>19535</v>
      </c>
      <c r="Z1467" t="s">
        <v>74</v>
      </c>
      <c r="AA1467" t="s">
        <v>74</v>
      </c>
      <c r="AB1467" t="s">
        <v>19536</v>
      </c>
      <c r="AC1467" t="s">
        <v>74</v>
      </c>
      <c r="AD1467" t="s">
        <v>74</v>
      </c>
      <c r="AE1467" t="s">
        <v>74</v>
      </c>
      <c r="AF1467" t="s">
        <v>74</v>
      </c>
      <c r="AG1467">
        <v>54</v>
      </c>
      <c r="AH1467">
        <v>5</v>
      </c>
      <c r="AI1467">
        <v>5</v>
      </c>
      <c r="AJ1467">
        <v>10</v>
      </c>
      <c r="AK1467">
        <v>13</v>
      </c>
      <c r="AL1467" t="s">
        <v>74</v>
      </c>
      <c r="AM1467" t="s">
        <v>74</v>
      </c>
      <c r="AN1467" t="s">
        <v>74</v>
      </c>
      <c r="AO1467" t="s">
        <v>2061</v>
      </c>
      <c r="AP1467" t="s">
        <v>74</v>
      </c>
      <c r="AQ1467" t="s">
        <v>74</v>
      </c>
      <c r="AR1467" t="s">
        <v>74</v>
      </c>
      <c r="AS1467" t="s">
        <v>74</v>
      </c>
      <c r="AT1467" t="s">
        <v>15814</v>
      </c>
      <c r="AU1467">
        <v>2021</v>
      </c>
      <c r="AV1467">
        <v>12</v>
      </c>
      <c r="AW1467" t="s">
        <v>74</v>
      </c>
      <c r="AX1467" t="s">
        <v>74</v>
      </c>
      <c r="AY1467" t="s">
        <v>74</v>
      </c>
      <c r="AZ1467" t="s">
        <v>74</v>
      </c>
      <c r="BA1467" t="s">
        <v>74</v>
      </c>
      <c r="BB1467" t="s">
        <v>74</v>
      </c>
      <c r="BC1467" t="s">
        <v>74</v>
      </c>
      <c r="BD1467">
        <v>780897</v>
      </c>
      <c r="BE1467" t="s">
        <v>19537</v>
      </c>
      <c r="BF1467" t="str">
        <f>HYPERLINK("http://dx.doi.org/10.3389/fimmu.2021.780897","http://dx.doi.org/10.3389/fimmu.2021.780897")</f>
        <v>http://dx.doi.org/10.3389/fimmu.2021.780897</v>
      </c>
      <c r="BG1467" t="s">
        <v>74</v>
      </c>
      <c r="BH1467" t="s">
        <v>74</v>
      </c>
      <c r="BI1467" t="s">
        <v>74</v>
      </c>
      <c r="BJ1467" t="s">
        <v>2064</v>
      </c>
      <c r="BK1467" t="s">
        <v>117</v>
      </c>
      <c r="BL1467" t="s">
        <v>2064</v>
      </c>
      <c r="BM1467" t="s">
        <v>74</v>
      </c>
      <c r="BN1467">
        <v>34887868</v>
      </c>
      <c r="BO1467" t="s">
        <v>74</v>
      </c>
      <c r="BP1467" t="s">
        <v>74</v>
      </c>
      <c r="BQ1467" t="s">
        <v>74</v>
      </c>
      <c r="BR1467" t="s">
        <v>96</v>
      </c>
      <c r="BS1467" t="s">
        <v>19538</v>
      </c>
      <c r="BT1467" t="str">
        <f>HYPERLINK("https%3A%2F%2Fwww.webofscience.com%2Fwos%2Fwoscc%2Ffull-record%2FWOS:000727636600001","View Full Record in Web of Science")</f>
        <v>View Full Record in Web of Science</v>
      </c>
    </row>
    <row r="1468" spans="1:72" x14ac:dyDescent="0.15">
      <c r="A1468" t="s">
        <v>98</v>
      </c>
      <c r="B1468" t="s">
        <v>19612</v>
      </c>
      <c r="C1468" t="s">
        <v>74</v>
      </c>
      <c r="D1468" t="s">
        <v>74</v>
      </c>
      <c r="E1468" t="s">
        <v>74</v>
      </c>
      <c r="F1468" t="s">
        <v>19613</v>
      </c>
      <c r="G1468" t="s">
        <v>74</v>
      </c>
      <c r="H1468" t="s">
        <v>74</v>
      </c>
      <c r="I1468" t="s">
        <v>19614</v>
      </c>
      <c r="J1468" t="s">
        <v>19615</v>
      </c>
      <c r="K1468" t="s">
        <v>74</v>
      </c>
      <c r="L1468" t="s">
        <v>74</v>
      </c>
      <c r="M1468" t="s">
        <v>74</v>
      </c>
      <c r="N1468" t="s">
        <v>103</v>
      </c>
      <c r="O1468" t="s">
        <v>74</v>
      </c>
      <c r="P1468" t="s">
        <v>74</v>
      </c>
      <c r="Q1468" t="s">
        <v>74</v>
      </c>
      <c r="R1468" t="s">
        <v>74</v>
      </c>
      <c r="S1468" t="s">
        <v>74</v>
      </c>
      <c r="T1468" t="s">
        <v>19616</v>
      </c>
      <c r="U1468" t="s">
        <v>19617</v>
      </c>
      <c r="V1468" t="s">
        <v>19618</v>
      </c>
      <c r="W1468" t="s">
        <v>19619</v>
      </c>
      <c r="X1468" t="s">
        <v>19620</v>
      </c>
      <c r="Y1468" t="s">
        <v>19621</v>
      </c>
      <c r="Z1468" t="s">
        <v>19622</v>
      </c>
      <c r="AA1468" t="s">
        <v>19623</v>
      </c>
      <c r="AB1468" t="s">
        <v>19624</v>
      </c>
      <c r="AC1468" t="s">
        <v>74</v>
      </c>
      <c r="AD1468" t="s">
        <v>74</v>
      </c>
      <c r="AE1468" t="s">
        <v>74</v>
      </c>
      <c r="AF1468" t="s">
        <v>74</v>
      </c>
      <c r="AG1468">
        <v>63</v>
      </c>
      <c r="AH1468">
        <v>5</v>
      </c>
      <c r="AI1468">
        <v>5</v>
      </c>
      <c r="AJ1468">
        <v>27</v>
      </c>
      <c r="AK1468">
        <v>121</v>
      </c>
      <c r="AL1468" t="s">
        <v>74</v>
      </c>
      <c r="AM1468" t="s">
        <v>74</v>
      </c>
      <c r="AN1468" t="s">
        <v>74</v>
      </c>
      <c r="AO1468" t="s">
        <v>19625</v>
      </c>
      <c r="AP1468" t="s">
        <v>19626</v>
      </c>
      <c r="AQ1468" t="s">
        <v>74</v>
      </c>
      <c r="AR1468" t="s">
        <v>74</v>
      </c>
      <c r="AS1468" t="s">
        <v>74</v>
      </c>
      <c r="AT1468" t="s">
        <v>132</v>
      </c>
      <c r="AU1468">
        <v>2021</v>
      </c>
      <c r="AV1468">
        <v>31</v>
      </c>
      <c r="AW1468">
        <v>14</v>
      </c>
      <c r="AX1468" t="s">
        <v>74</v>
      </c>
      <c r="AY1468" t="s">
        <v>74</v>
      </c>
      <c r="AZ1468" t="s">
        <v>74</v>
      </c>
      <c r="BA1468" t="s">
        <v>74</v>
      </c>
      <c r="BB1468" t="s">
        <v>74</v>
      </c>
      <c r="BC1468" t="s">
        <v>74</v>
      </c>
      <c r="BD1468">
        <v>2006521</v>
      </c>
      <c r="BE1468" t="s">
        <v>19627</v>
      </c>
      <c r="BF1468" t="str">
        <f>HYPERLINK("http://dx.doi.org/10.1002/adfm.202006521","http://dx.doi.org/10.1002/adfm.202006521")</f>
        <v>http://dx.doi.org/10.1002/adfm.202006521</v>
      </c>
      <c r="BG1468" t="s">
        <v>74</v>
      </c>
      <c r="BH1468" t="s">
        <v>304</v>
      </c>
      <c r="BI1468" t="s">
        <v>74</v>
      </c>
      <c r="BJ1468" t="s">
        <v>250</v>
      </c>
      <c r="BK1468" t="s">
        <v>117</v>
      </c>
      <c r="BL1468" t="s">
        <v>251</v>
      </c>
      <c r="BM1468" t="s">
        <v>74</v>
      </c>
      <c r="BN1468" t="s">
        <v>74</v>
      </c>
      <c r="BO1468" t="s">
        <v>74</v>
      </c>
      <c r="BP1468" t="s">
        <v>74</v>
      </c>
      <c r="BQ1468" t="s">
        <v>74</v>
      </c>
      <c r="BR1468" t="s">
        <v>96</v>
      </c>
      <c r="BS1468" t="s">
        <v>19628</v>
      </c>
      <c r="BT1468" t="str">
        <f>HYPERLINK("https%3A%2F%2Fwww.webofscience.com%2Fwos%2Fwoscc%2Ffull-record%2FWOS:000594820000001","View Full Record in Web of Science")</f>
        <v>View Full Record in Web of Science</v>
      </c>
    </row>
    <row r="1469" spans="1:72" x14ac:dyDescent="0.15">
      <c r="A1469" t="s">
        <v>98</v>
      </c>
      <c r="B1469" t="s">
        <v>21334</v>
      </c>
      <c r="C1469" t="s">
        <v>74</v>
      </c>
      <c r="D1469" t="s">
        <v>74</v>
      </c>
      <c r="E1469" t="s">
        <v>74</v>
      </c>
      <c r="F1469" t="s">
        <v>21334</v>
      </c>
      <c r="G1469" t="s">
        <v>74</v>
      </c>
      <c r="H1469" t="s">
        <v>74</v>
      </c>
      <c r="I1469" t="s">
        <v>21335</v>
      </c>
      <c r="J1469" t="s">
        <v>13317</v>
      </c>
      <c r="K1469" t="s">
        <v>74</v>
      </c>
      <c r="L1469" t="s">
        <v>74</v>
      </c>
      <c r="M1469" t="s">
        <v>74</v>
      </c>
      <c r="N1469" t="s">
        <v>103</v>
      </c>
      <c r="O1469" t="s">
        <v>74</v>
      </c>
      <c r="P1469" t="s">
        <v>74</v>
      </c>
      <c r="Q1469" t="s">
        <v>74</v>
      </c>
      <c r="R1469" t="s">
        <v>74</v>
      </c>
      <c r="S1469" t="s">
        <v>74</v>
      </c>
      <c r="T1469" t="s">
        <v>21336</v>
      </c>
      <c r="U1469" t="s">
        <v>21337</v>
      </c>
      <c r="V1469" t="s">
        <v>21338</v>
      </c>
      <c r="W1469" t="s">
        <v>21339</v>
      </c>
      <c r="X1469" t="s">
        <v>10521</v>
      </c>
      <c r="Y1469" t="s">
        <v>21340</v>
      </c>
      <c r="Z1469" t="s">
        <v>21341</v>
      </c>
      <c r="AA1469" t="s">
        <v>21342</v>
      </c>
      <c r="AB1469" t="s">
        <v>21343</v>
      </c>
      <c r="AC1469" t="s">
        <v>74</v>
      </c>
      <c r="AD1469" t="s">
        <v>74</v>
      </c>
      <c r="AE1469" t="s">
        <v>74</v>
      </c>
      <c r="AF1469" t="s">
        <v>74</v>
      </c>
      <c r="AG1469">
        <v>19</v>
      </c>
      <c r="AH1469">
        <v>5</v>
      </c>
      <c r="AI1469">
        <v>5</v>
      </c>
      <c r="AJ1469">
        <v>0</v>
      </c>
      <c r="AK1469">
        <v>1</v>
      </c>
      <c r="AL1469" t="s">
        <v>74</v>
      </c>
      <c r="AM1469" t="s">
        <v>74</v>
      </c>
      <c r="AN1469" t="s">
        <v>74</v>
      </c>
      <c r="AO1469" t="s">
        <v>13325</v>
      </c>
      <c r="AP1469" t="s">
        <v>21344</v>
      </c>
      <c r="AQ1469" t="s">
        <v>74</v>
      </c>
      <c r="AR1469" t="s">
        <v>74</v>
      </c>
      <c r="AS1469" t="s">
        <v>74</v>
      </c>
      <c r="AT1469" t="s">
        <v>132</v>
      </c>
      <c r="AU1469">
        <v>2006</v>
      </c>
      <c r="AV1469">
        <v>257</v>
      </c>
      <c r="AW1469">
        <v>2</v>
      </c>
      <c r="AX1469" t="s">
        <v>74</v>
      </c>
      <c r="AY1469" t="s">
        <v>74</v>
      </c>
      <c r="AZ1469" t="s">
        <v>74</v>
      </c>
      <c r="BA1469" t="s">
        <v>74</v>
      </c>
      <c r="BB1469">
        <v>189</v>
      </c>
      <c r="BC1469">
        <v>194</v>
      </c>
      <c r="BD1469" t="s">
        <v>74</v>
      </c>
      <c r="BE1469" t="s">
        <v>21345</v>
      </c>
      <c r="BF1469" t="str">
        <f>HYPERLINK("http://dx.doi.org/10.1111/j.1574-6968.2006.00162.x","http://dx.doi.org/10.1111/j.1574-6968.2006.00162.x")</f>
        <v>http://dx.doi.org/10.1111/j.1574-6968.2006.00162.x</v>
      </c>
      <c r="BG1469" t="s">
        <v>74</v>
      </c>
      <c r="BH1469" t="s">
        <v>74</v>
      </c>
      <c r="BI1469" t="s">
        <v>74</v>
      </c>
      <c r="BJ1469" t="s">
        <v>898</v>
      </c>
      <c r="BK1469" t="s">
        <v>117</v>
      </c>
      <c r="BL1469" t="s">
        <v>898</v>
      </c>
      <c r="BM1469" t="s">
        <v>74</v>
      </c>
      <c r="BN1469">
        <v>16553852</v>
      </c>
      <c r="BO1469" t="s">
        <v>74</v>
      </c>
      <c r="BP1469" t="s">
        <v>74</v>
      </c>
      <c r="BQ1469" t="s">
        <v>74</v>
      </c>
      <c r="BR1469" t="s">
        <v>96</v>
      </c>
      <c r="BS1469" t="s">
        <v>21346</v>
      </c>
      <c r="BT1469" t="str">
        <f>HYPERLINK("https%3A%2F%2Fwww.webofscience.com%2Fwos%2Fwoscc%2Ffull-record%2FWOS:000236175500004","View Full Record in Web of Science")</f>
        <v>View Full Record in Web of Science</v>
      </c>
    </row>
    <row r="1470" spans="1:72" x14ac:dyDescent="0.15">
      <c r="A1470" t="s">
        <v>98</v>
      </c>
      <c r="B1470" t="s">
        <v>21874</v>
      </c>
      <c r="C1470" t="s">
        <v>74</v>
      </c>
      <c r="D1470" t="s">
        <v>74</v>
      </c>
      <c r="E1470" t="s">
        <v>74</v>
      </c>
      <c r="F1470" t="s">
        <v>21875</v>
      </c>
      <c r="G1470" t="s">
        <v>74</v>
      </c>
      <c r="H1470" t="s">
        <v>74</v>
      </c>
      <c r="I1470" t="s">
        <v>21876</v>
      </c>
      <c r="J1470" t="s">
        <v>1123</v>
      </c>
      <c r="K1470" t="s">
        <v>74</v>
      </c>
      <c r="L1470" t="s">
        <v>74</v>
      </c>
      <c r="M1470" t="s">
        <v>74</v>
      </c>
      <c r="N1470" t="s">
        <v>103</v>
      </c>
      <c r="O1470" t="s">
        <v>74</v>
      </c>
      <c r="P1470" t="s">
        <v>74</v>
      </c>
      <c r="Q1470" t="s">
        <v>74</v>
      </c>
      <c r="R1470" t="s">
        <v>74</v>
      </c>
      <c r="S1470" t="s">
        <v>74</v>
      </c>
      <c r="T1470" t="s">
        <v>21877</v>
      </c>
      <c r="U1470" t="s">
        <v>21878</v>
      </c>
      <c r="V1470" t="s">
        <v>21879</v>
      </c>
      <c r="W1470" t="s">
        <v>21880</v>
      </c>
      <c r="X1470" t="s">
        <v>21881</v>
      </c>
      <c r="Y1470" t="s">
        <v>21882</v>
      </c>
      <c r="Z1470" t="s">
        <v>21883</v>
      </c>
      <c r="AA1470" t="s">
        <v>74</v>
      </c>
      <c r="AB1470" t="s">
        <v>74</v>
      </c>
      <c r="AC1470" t="s">
        <v>74</v>
      </c>
      <c r="AD1470" t="s">
        <v>74</v>
      </c>
      <c r="AE1470" t="s">
        <v>74</v>
      </c>
      <c r="AF1470" t="s">
        <v>74</v>
      </c>
      <c r="AG1470">
        <v>63</v>
      </c>
      <c r="AH1470">
        <v>5</v>
      </c>
      <c r="AI1470">
        <v>5</v>
      </c>
      <c r="AJ1470">
        <v>49</v>
      </c>
      <c r="AK1470">
        <v>93</v>
      </c>
      <c r="AL1470" t="s">
        <v>74</v>
      </c>
      <c r="AM1470" t="s">
        <v>74</v>
      </c>
      <c r="AN1470" t="s">
        <v>74</v>
      </c>
      <c r="AO1470" t="s">
        <v>1132</v>
      </c>
      <c r="AP1470" t="s">
        <v>1133</v>
      </c>
      <c r="AQ1470" t="s">
        <v>74</v>
      </c>
      <c r="AR1470" t="s">
        <v>74</v>
      </c>
      <c r="AS1470" t="s">
        <v>74</v>
      </c>
      <c r="AT1470" t="s">
        <v>1570</v>
      </c>
      <c r="AU1470">
        <v>2022</v>
      </c>
      <c r="AV1470">
        <v>199</v>
      </c>
      <c r="AW1470" t="s">
        <v>74</v>
      </c>
      <c r="AX1470" t="s">
        <v>74</v>
      </c>
      <c r="AY1470" t="s">
        <v>74</v>
      </c>
      <c r="AZ1470" t="s">
        <v>74</v>
      </c>
      <c r="BA1470" t="s">
        <v>74</v>
      </c>
      <c r="BB1470" t="s">
        <v>74</v>
      </c>
      <c r="BC1470" t="s">
        <v>74</v>
      </c>
      <c r="BD1470">
        <v>113864</v>
      </c>
      <c r="BE1470" t="s">
        <v>21884</v>
      </c>
      <c r="BF1470" t="str">
        <f>HYPERLINK("http://dx.doi.org/10.1016/j.bios.2021.113864","http://dx.doi.org/10.1016/j.bios.2021.113864")</f>
        <v>http://dx.doi.org/10.1016/j.bios.2021.113864</v>
      </c>
      <c r="BG1470" t="s">
        <v>74</v>
      </c>
      <c r="BH1470" t="s">
        <v>2718</v>
      </c>
      <c r="BI1470" t="s">
        <v>74</v>
      </c>
      <c r="BJ1470" t="s">
        <v>1137</v>
      </c>
      <c r="BK1470" t="s">
        <v>117</v>
      </c>
      <c r="BL1470" t="s">
        <v>1138</v>
      </c>
      <c r="BM1470" t="s">
        <v>74</v>
      </c>
      <c r="BN1470">
        <v>34890883</v>
      </c>
      <c r="BO1470" t="s">
        <v>74</v>
      </c>
      <c r="BP1470" t="s">
        <v>74</v>
      </c>
      <c r="BQ1470" t="s">
        <v>74</v>
      </c>
      <c r="BR1470" t="s">
        <v>96</v>
      </c>
      <c r="BS1470" t="s">
        <v>21885</v>
      </c>
      <c r="BT1470" t="str">
        <f>HYPERLINK("https%3A%2F%2Fwww.webofscience.com%2Fwos%2Fwoscc%2Ffull-record%2FWOS:000729387400001","View Full Record in Web of Science")</f>
        <v>View Full Record in Web of Science</v>
      </c>
    </row>
    <row r="1471" spans="1:72" x14ac:dyDescent="0.15">
      <c r="A1471" t="s">
        <v>98</v>
      </c>
      <c r="B1471" t="s">
        <v>22256</v>
      </c>
      <c r="C1471" t="s">
        <v>74</v>
      </c>
      <c r="D1471" t="s">
        <v>74</v>
      </c>
      <c r="E1471" t="s">
        <v>74</v>
      </c>
      <c r="F1471" t="s">
        <v>22257</v>
      </c>
      <c r="G1471" t="s">
        <v>74</v>
      </c>
      <c r="H1471" t="s">
        <v>74</v>
      </c>
      <c r="I1471" t="s">
        <v>22258</v>
      </c>
      <c r="J1471" t="s">
        <v>12156</v>
      </c>
      <c r="K1471" t="s">
        <v>74</v>
      </c>
      <c r="L1471" t="s">
        <v>74</v>
      </c>
      <c r="M1471" t="s">
        <v>74</v>
      </c>
      <c r="N1471" t="s">
        <v>103</v>
      </c>
      <c r="O1471" t="s">
        <v>74</v>
      </c>
      <c r="P1471" t="s">
        <v>74</v>
      </c>
      <c r="Q1471" t="s">
        <v>74</v>
      </c>
      <c r="R1471" t="s">
        <v>74</v>
      </c>
      <c r="S1471" t="s">
        <v>74</v>
      </c>
      <c r="T1471" t="s">
        <v>22259</v>
      </c>
      <c r="U1471" t="s">
        <v>22260</v>
      </c>
      <c r="V1471" t="s">
        <v>22261</v>
      </c>
      <c r="W1471" t="s">
        <v>22262</v>
      </c>
      <c r="X1471" t="s">
        <v>22263</v>
      </c>
      <c r="Y1471" t="s">
        <v>22264</v>
      </c>
      <c r="Z1471" t="s">
        <v>22265</v>
      </c>
      <c r="AA1471" t="s">
        <v>74</v>
      </c>
      <c r="AB1471" t="s">
        <v>74</v>
      </c>
      <c r="AC1471" t="s">
        <v>74</v>
      </c>
      <c r="AD1471" t="s">
        <v>74</v>
      </c>
      <c r="AE1471" t="s">
        <v>74</v>
      </c>
      <c r="AF1471" t="s">
        <v>74</v>
      </c>
      <c r="AG1471">
        <v>45</v>
      </c>
      <c r="AH1471">
        <v>5</v>
      </c>
      <c r="AI1471">
        <v>6</v>
      </c>
      <c r="AJ1471">
        <v>0</v>
      </c>
      <c r="AK1471">
        <v>4</v>
      </c>
      <c r="AL1471" t="s">
        <v>74</v>
      </c>
      <c r="AM1471" t="s">
        <v>74</v>
      </c>
      <c r="AN1471" t="s">
        <v>74</v>
      </c>
      <c r="AO1471" t="s">
        <v>12164</v>
      </c>
      <c r="AP1471" t="s">
        <v>12165</v>
      </c>
      <c r="AQ1471" t="s">
        <v>74</v>
      </c>
      <c r="AR1471" t="s">
        <v>74</v>
      </c>
      <c r="AS1471" t="s">
        <v>74</v>
      </c>
      <c r="AT1471" t="s">
        <v>1321</v>
      </c>
      <c r="AU1471">
        <v>2019</v>
      </c>
      <c r="AV1471">
        <v>383</v>
      </c>
      <c r="AW1471">
        <v>1</v>
      </c>
      <c r="AX1471" t="s">
        <v>74</v>
      </c>
      <c r="AY1471" t="s">
        <v>74</v>
      </c>
      <c r="AZ1471" t="s">
        <v>74</v>
      </c>
      <c r="BA1471" t="s">
        <v>74</v>
      </c>
      <c r="BB1471" t="s">
        <v>74</v>
      </c>
      <c r="BC1471" t="s">
        <v>74</v>
      </c>
      <c r="BD1471">
        <v>111498</v>
      </c>
      <c r="BE1471" t="s">
        <v>22266</v>
      </c>
      <c r="BF1471" t="str">
        <f>HYPERLINK("http://dx.doi.org/10.1016/j.yexcr.2019.111498","http://dx.doi.org/10.1016/j.yexcr.2019.111498")</f>
        <v>http://dx.doi.org/10.1016/j.yexcr.2019.111498</v>
      </c>
      <c r="BG1471" t="s">
        <v>74</v>
      </c>
      <c r="BH1471" t="s">
        <v>74</v>
      </c>
      <c r="BI1471" t="s">
        <v>74</v>
      </c>
      <c r="BJ1471" t="s">
        <v>848</v>
      </c>
      <c r="BK1471" t="s">
        <v>117</v>
      </c>
      <c r="BL1471" t="s">
        <v>848</v>
      </c>
      <c r="BM1471" t="s">
        <v>74</v>
      </c>
      <c r="BN1471">
        <v>31302031</v>
      </c>
      <c r="BO1471" t="s">
        <v>74</v>
      </c>
      <c r="BP1471" t="s">
        <v>74</v>
      </c>
      <c r="BQ1471" t="s">
        <v>74</v>
      </c>
      <c r="BR1471" t="s">
        <v>96</v>
      </c>
      <c r="BS1471" t="s">
        <v>22267</v>
      </c>
      <c r="BT1471" t="str">
        <f>HYPERLINK("https%3A%2F%2Fwww.webofscience.com%2Fwos%2Fwoscc%2Ffull-record%2FWOS:000486736600008","View Full Record in Web of Science")</f>
        <v>View Full Record in Web of Science</v>
      </c>
    </row>
    <row r="1472" spans="1:72" x14ac:dyDescent="0.15">
      <c r="A1472" t="s">
        <v>98</v>
      </c>
      <c r="B1472" t="s">
        <v>22944</v>
      </c>
      <c r="C1472" t="s">
        <v>74</v>
      </c>
      <c r="D1472" t="s">
        <v>74</v>
      </c>
      <c r="E1472" t="s">
        <v>74</v>
      </c>
      <c r="F1472" t="s">
        <v>22945</v>
      </c>
      <c r="G1472" t="s">
        <v>74</v>
      </c>
      <c r="H1472" t="s">
        <v>74</v>
      </c>
      <c r="I1472" t="s">
        <v>22946</v>
      </c>
      <c r="J1472" t="s">
        <v>10077</v>
      </c>
      <c r="K1472" t="s">
        <v>74</v>
      </c>
      <c r="L1472" t="s">
        <v>74</v>
      </c>
      <c r="M1472" t="s">
        <v>74</v>
      </c>
      <c r="N1472" t="s">
        <v>103</v>
      </c>
      <c r="O1472" t="s">
        <v>74</v>
      </c>
      <c r="P1472" t="s">
        <v>74</v>
      </c>
      <c r="Q1472" t="s">
        <v>74</v>
      </c>
      <c r="R1472" t="s">
        <v>74</v>
      </c>
      <c r="S1472" t="s">
        <v>74</v>
      </c>
      <c r="T1472" t="s">
        <v>74</v>
      </c>
      <c r="U1472" t="s">
        <v>22947</v>
      </c>
      <c r="V1472" t="s">
        <v>22948</v>
      </c>
      <c r="W1472" t="s">
        <v>22949</v>
      </c>
      <c r="X1472" t="s">
        <v>22950</v>
      </c>
      <c r="Y1472" t="s">
        <v>22951</v>
      </c>
      <c r="Z1472" t="s">
        <v>22952</v>
      </c>
      <c r="AA1472" t="s">
        <v>22953</v>
      </c>
      <c r="AB1472" t="s">
        <v>22954</v>
      </c>
      <c r="AC1472" t="s">
        <v>74</v>
      </c>
      <c r="AD1472" t="s">
        <v>74</v>
      </c>
      <c r="AE1472" t="s">
        <v>74</v>
      </c>
      <c r="AF1472" t="s">
        <v>74</v>
      </c>
      <c r="AG1472">
        <v>99</v>
      </c>
      <c r="AH1472">
        <v>5</v>
      </c>
      <c r="AI1472">
        <v>5</v>
      </c>
      <c r="AJ1472">
        <v>2</v>
      </c>
      <c r="AK1472">
        <v>2</v>
      </c>
      <c r="AL1472" t="s">
        <v>74</v>
      </c>
      <c r="AM1472" t="s">
        <v>74</v>
      </c>
      <c r="AN1472" t="s">
        <v>74</v>
      </c>
      <c r="AO1472" t="s">
        <v>74</v>
      </c>
      <c r="AP1472" t="s">
        <v>10085</v>
      </c>
      <c r="AQ1472" t="s">
        <v>74</v>
      </c>
      <c r="AR1472" t="s">
        <v>74</v>
      </c>
      <c r="AS1472" t="s">
        <v>74</v>
      </c>
      <c r="AT1472" t="s">
        <v>13657</v>
      </c>
      <c r="AU1472">
        <v>2021</v>
      </c>
      <c r="AV1472">
        <v>24</v>
      </c>
      <c r="AW1472">
        <v>1</v>
      </c>
      <c r="AX1472" t="s">
        <v>74</v>
      </c>
      <c r="AY1472" t="s">
        <v>74</v>
      </c>
      <c r="AZ1472" t="s">
        <v>74</v>
      </c>
      <c r="BA1472" t="s">
        <v>74</v>
      </c>
      <c r="BB1472" t="s">
        <v>74</v>
      </c>
      <c r="BC1472" t="s">
        <v>74</v>
      </c>
      <c r="BD1472">
        <v>101938</v>
      </c>
      <c r="BE1472" t="s">
        <v>22955</v>
      </c>
      <c r="BF1472" t="str">
        <f>HYPERLINK("http://dx.doi.org/10.1016/j.isci.2020.101938","http://dx.doi.org/10.1016/j.isci.2020.101938")</f>
        <v>http://dx.doi.org/10.1016/j.isci.2020.101938</v>
      </c>
      <c r="BG1472" t="s">
        <v>74</v>
      </c>
      <c r="BH1472" t="s">
        <v>74</v>
      </c>
      <c r="BI1472" t="s">
        <v>74</v>
      </c>
      <c r="BJ1472" t="s">
        <v>152</v>
      </c>
      <c r="BK1472" t="s">
        <v>117</v>
      </c>
      <c r="BL1472" t="s">
        <v>153</v>
      </c>
      <c r="BM1472" t="s">
        <v>74</v>
      </c>
      <c r="BN1472">
        <v>33426510</v>
      </c>
      <c r="BO1472" t="s">
        <v>74</v>
      </c>
      <c r="BP1472" t="s">
        <v>74</v>
      </c>
      <c r="BQ1472" t="s">
        <v>74</v>
      </c>
      <c r="BR1472" t="s">
        <v>96</v>
      </c>
      <c r="BS1472" t="s">
        <v>22956</v>
      </c>
      <c r="BT1472" t="str">
        <f>HYPERLINK("https%3A%2F%2Fwww.webofscience.com%2Fwos%2Fwoscc%2Ffull-record%2FWOS:000612996900057","View Full Record in Web of Science")</f>
        <v>View Full Record in Web of Science</v>
      </c>
    </row>
    <row r="1473" spans="1:72" x14ac:dyDescent="0.15">
      <c r="A1473" t="s">
        <v>98</v>
      </c>
      <c r="B1473" t="s">
        <v>23979</v>
      </c>
      <c r="C1473" t="s">
        <v>74</v>
      </c>
      <c r="D1473" t="s">
        <v>74</v>
      </c>
      <c r="E1473" t="s">
        <v>74</v>
      </c>
      <c r="F1473" t="s">
        <v>23980</v>
      </c>
      <c r="G1473" t="s">
        <v>74</v>
      </c>
      <c r="H1473" t="s">
        <v>74</v>
      </c>
      <c r="I1473" t="s">
        <v>23981</v>
      </c>
      <c r="J1473" t="s">
        <v>23982</v>
      </c>
      <c r="K1473" t="s">
        <v>74</v>
      </c>
      <c r="L1473" t="s">
        <v>74</v>
      </c>
      <c r="M1473" t="s">
        <v>74</v>
      </c>
      <c r="N1473" t="s">
        <v>103</v>
      </c>
      <c r="O1473" t="s">
        <v>74</v>
      </c>
      <c r="P1473" t="s">
        <v>74</v>
      </c>
      <c r="Q1473" t="s">
        <v>74</v>
      </c>
      <c r="R1473" t="s">
        <v>74</v>
      </c>
      <c r="S1473" t="s">
        <v>74</v>
      </c>
      <c r="T1473" t="s">
        <v>23983</v>
      </c>
      <c r="U1473" t="s">
        <v>23984</v>
      </c>
      <c r="V1473" t="s">
        <v>23985</v>
      </c>
      <c r="W1473" t="s">
        <v>23986</v>
      </c>
      <c r="X1473" t="s">
        <v>23987</v>
      </c>
      <c r="Y1473" t="s">
        <v>23988</v>
      </c>
      <c r="Z1473" t="s">
        <v>23989</v>
      </c>
      <c r="AA1473" t="s">
        <v>23990</v>
      </c>
      <c r="AB1473" t="s">
        <v>23991</v>
      </c>
      <c r="AC1473" t="s">
        <v>74</v>
      </c>
      <c r="AD1473" t="s">
        <v>74</v>
      </c>
      <c r="AE1473" t="s">
        <v>74</v>
      </c>
      <c r="AF1473" t="s">
        <v>74</v>
      </c>
      <c r="AG1473">
        <v>43</v>
      </c>
      <c r="AH1473">
        <v>5</v>
      </c>
      <c r="AI1473">
        <v>5</v>
      </c>
      <c r="AJ1473">
        <v>3</v>
      </c>
      <c r="AK1473">
        <v>7</v>
      </c>
      <c r="AL1473" t="s">
        <v>74</v>
      </c>
      <c r="AM1473" t="s">
        <v>74</v>
      </c>
      <c r="AN1473" t="s">
        <v>74</v>
      </c>
      <c r="AO1473" t="s">
        <v>23992</v>
      </c>
      <c r="AP1473" t="s">
        <v>74</v>
      </c>
      <c r="AQ1473" t="s">
        <v>74</v>
      </c>
      <c r="AR1473" t="s">
        <v>74</v>
      </c>
      <c r="AS1473" t="s">
        <v>74</v>
      </c>
      <c r="AT1473" t="s">
        <v>74</v>
      </c>
      <c r="AU1473">
        <v>2021</v>
      </c>
      <c r="AV1473">
        <v>17</v>
      </c>
      <c r="AW1473">
        <v>4</v>
      </c>
      <c r="AX1473" t="s">
        <v>74</v>
      </c>
      <c r="AY1473" t="s">
        <v>74</v>
      </c>
      <c r="AZ1473" t="s">
        <v>74</v>
      </c>
      <c r="BA1473" t="s">
        <v>74</v>
      </c>
      <c r="BB1473">
        <v>1061</v>
      </c>
      <c r="BC1473">
        <v>1078</v>
      </c>
      <c r="BD1473" t="s">
        <v>74</v>
      </c>
      <c r="BE1473" t="s">
        <v>23993</v>
      </c>
      <c r="BF1473" t="str">
        <f>HYPERLINK("http://dx.doi.org/10.7150/ijbs.57168","http://dx.doi.org/10.7150/ijbs.57168")</f>
        <v>http://dx.doi.org/10.7150/ijbs.57168</v>
      </c>
      <c r="BG1473" t="s">
        <v>74</v>
      </c>
      <c r="BH1473" t="s">
        <v>74</v>
      </c>
      <c r="BI1473" t="s">
        <v>74</v>
      </c>
      <c r="BJ1473" t="s">
        <v>22787</v>
      </c>
      <c r="BK1473" t="s">
        <v>117</v>
      </c>
      <c r="BL1473" t="s">
        <v>22788</v>
      </c>
      <c r="BM1473" t="s">
        <v>74</v>
      </c>
      <c r="BN1473">
        <v>33867829</v>
      </c>
      <c r="BO1473" t="s">
        <v>74</v>
      </c>
      <c r="BP1473" t="s">
        <v>74</v>
      </c>
      <c r="BQ1473" t="s">
        <v>74</v>
      </c>
      <c r="BR1473" t="s">
        <v>96</v>
      </c>
      <c r="BS1473" t="s">
        <v>23994</v>
      </c>
      <c r="BT1473" t="str">
        <f>HYPERLINK("https%3A%2F%2Fwww.webofscience.com%2Fwos%2Fwoscc%2Ffull-record%2FWOS:000632774700012","View Full Record in Web of Science")</f>
        <v>View Full Record in Web of Science</v>
      </c>
    </row>
    <row r="1474" spans="1:72" x14ac:dyDescent="0.15">
      <c r="A1474" t="s">
        <v>98</v>
      </c>
      <c r="B1474" t="s">
        <v>10105</v>
      </c>
      <c r="C1474" t="s">
        <v>74</v>
      </c>
      <c r="D1474" t="s">
        <v>74</v>
      </c>
      <c r="E1474" t="s">
        <v>74</v>
      </c>
      <c r="F1474" t="s">
        <v>10106</v>
      </c>
      <c r="G1474" t="s">
        <v>74</v>
      </c>
      <c r="H1474" t="s">
        <v>74</v>
      </c>
      <c r="I1474" t="s">
        <v>25157</v>
      </c>
      <c r="J1474" t="s">
        <v>11560</v>
      </c>
      <c r="K1474" t="s">
        <v>74</v>
      </c>
      <c r="L1474" t="s">
        <v>74</v>
      </c>
      <c r="M1474" t="s">
        <v>74</v>
      </c>
      <c r="N1474" t="s">
        <v>103</v>
      </c>
      <c r="O1474" t="s">
        <v>74</v>
      </c>
      <c r="P1474" t="s">
        <v>74</v>
      </c>
      <c r="Q1474" t="s">
        <v>74</v>
      </c>
      <c r="R1474" t="s">
        <v>74</v>
      </c>
      <c r="S1474" t="s">
        <v>74</v>
      </c>
      <c r="T1474" t="s">
        <v>25158</v>
      </c>
      <c r="U1474" t="s">
        <v>25159</v>
      </c>
      <c r="V1474" t="s">
        <v>25160</v>
      </c>
      <c r="W1474" t="s">
        <v>25161</v>
      </c>
      <c r="X1474" t="s">
        <v>10111</v>
      </c>
      <c r="Y1474" t="s">
        <v>25162</v>
      </c>
      <c r="Z1474" t="s">
        <v>10113</v>
      </c>
      <c r="AA1474" t="s">
        <v>74</v>
      </c>
      <c r="AB1474" t="s">
        <v>74</v>
      </c>
      <c r="AC1474" t="s">
        <v>74</v>
      </c>
      <c r="AD1474" t="s">
        <v>74</v>
      </c>
      <c r="AE1474" t="s">
        <v>74</v>
      </c>
      <c r="AF1474" t="s">
        <v>74</v>
      </c>
      <c r="AG1474">
        <v>31</v>
      </c>
      <c r="AH1474">
        <v>5</v>
      </c>
      <c r="AI1474">
        <v>5</v>
      </c>
      <c r="AJ1474">
        <v>4</v>
      </c>
      <c r="AK1474">
        <v>4</v>
      </c>
      <c r="AL1474" t="s">
        <v>74</v>
      </c>
      <c r="AM1474" t="s">
        <v>74</v>
      </c>
      <c r="AN1474" t="s">
        <v>74</v>
      </c>
      <c r="AO1474" t="s">
        <v>74</v>
      </c>
      <c r="AP1474" t="s">
        <v>11567</v>
      </c>
      <c r="AQ1474" t="s">
        <v>74</v>
      </c>
      <c r="AR1474" t="s">
        <v>74</v>
      </c>
      <c r="AS1474" t="s">
        <v>74</v>
      </c>
      <c r="AT1474" t="s">
        <v>74</v>
      </c>
      <c r="AU1474">
        <v>2021</v>
      </c>
      <c r="AV1474">
        <v>3</v>
      </c>
      <c r="AW1474">
        <v>7</v>
      </c>
      <c r="AX1474" t="s">
        <v>74</v>
      </c>
      <c r="AY1474" t="s">
        <v>74</v>
      </c>
      <c r="AZ1474" t="s">
        <v>74</v>
      </c>
      <c r="BA1474" t="s">
        <v>74</v>
      </c>
      <c r="BB1474">
        <v>2331</v>
      </c>
      <c r="BC1474">
        <v>2339</v>
      </c>
      <c r="BD1474" t="s">
        <v>74</v>
      </c>
      <c r="BE1474" t="s">
        <v>25163</v>
      </c>
      <c r="BF1474" t="str">
        <f>HYPERLINK("http://dx.doi.org/10.31635/ccschem.020.202000458","http://dx.doi.org/10.31635/ccschem.020.202000458")</f>
        <v>http://dx.doi.org/10.31635/ccschem.020.202000458</v>
      </c>
      <c r="BG1474" t="s">
        <v>74</v>
      </c>
      <c r="BH1474" t="s">
        <v>74</v>
      </c>
      <c r="BI1474" t="s">
        <v>74</v>
      </c>
      <c r="BJ1474" t="s">
        <v>1047</v>
      </c>
      <c r="BK1474" t="s">
        <v>467</v>
      </c>
      <c r="BL1474" t="s">
        <v>1048</v>
      </c>
      <c r="BM1474" t="s">
        <v>74</v>
      </c>
      <c r="BN1474" t="s">
        <v>74</v>
      </c>
      <c r="BO1474" t="s">
        <v>74</v>
      </c>
      <c r="BP1474" t="s">
        <v>74</v>
      </c>
      <c r="BQ1474" t="s">
        <v>74</v>
      </c>
      <c r="BR1474" t="s">
        <v>96</v>
      </c>
      <c r="BS1474" t="s">
        <v>25164</v>
      </c>
      <c r="BT1474" t="str">
        <f>HYPERLINK("https%3A%2F%2Fwww.webofscience.com%2Fwos%2Fwoscc%2Ffull-record%2FWOS:000794212600025","View Full Record in Web of Science")</f>
        <v>View Full Record in Web of Science</v>
      </c>
    </row>
    <row r="1475" spans="1:72" x14ac:dyDescent="0.15">
      <c r="A1475" t="s">
        <v>98</v>
      </c>
      <c r="B1475" t="s">
        <v>26104</v>
      </c>
      <c r="C1475" t="s">
        <v>74</v>
      </c>
      <c r="D1475" t="s">
        <v>74</v>
      </c>
      <c r="E1475" t="s">
        <v>74</v>
      </c>
      <c r="F1475" t="s">
        <v>26105</v>
      </c>
      <c r="G1475" t="s">
        <v>74</v>
      </c>
      <c r="H1475" t="s">
        <v>74</v>
      </c>
      <c r="I1475" t="s">
        <v>26106</v>
      </c>
      <c r="J1475" t="s">
        <v>3244</v>
      </c>
      <c r="K1475" t="s">
        <v>74</v>
      </c>
      <c r="L1475" t="s">
        <v>74</v>
      </c>
      <c r="M1475" t="s">
        <v>74</v>
      </c>
      <c r="N1475" t="s">
        <v>103</v>
      </c>
      <c r="O1475" t="s">
        <v>74</v>
      </c>
      <c r="P1475" t="s">
        <v>74</v>
      </c>
      <c r="Q1475" t="s">
        <v>74</v>
      </c>
      <c r="R1475" t="s">
        <v>74</v>
      </c>
      <c r="S1475" t="s">
        <v>74</v>
      </c>
      <c r="T1475" t="s">
        <v>26107</v>
      </c>
      <c r="U1475" t="s">
        <v>26108</v>
      </c>
      <c r="V1475" t="s">
        <v>26109</v>
      </c>
      <c r="W1475" t="s">
        <v>26110</v>
      </c>
      <c r="X1475" t="s">
        <v>26111</v>
      </c>
      <c r="Y1475" t="s">
        <v>26112</v>
      </c>
      <c r="Z1475" t="s">
        <v>26113</v>
      </c>
      <c r="AA1475" t="s">
        <v>26114</v>
      </c>
      <c r="AB1475" t="s">
        <v>26115</v>
      </c>
      <c r="AC1475" t="s">
        <v>74</v>
      </c>
      <c r="AD1475" t="s">
        <v>74</v>
      </c>
      <c r="AE1475" t="s">
        <v>74</v>
      </c>
      <c r="AF1475" t="s">
        <v>74</v>
      </c>
      <c r="AG1475">
        <v>52</v>
      </c>
      <c r="AH1475">
        <v>5</v>
      </c>
      <c r="AI1475">
        <v>5</v>
      </c>
      <c r="AJ1475">
        <v>3</v>
      </c>
      <c r="AK1475">
        <v>6</v>
      </c>
      <c r="AL1475" t="s">
        <v>74</v>
      </c>
      <c r="AM1475" t="s">
        <v>74</v>
      </c>
      <c r="AN1475" t="s">
        <v>74</v>
      </c>
      <c r="AO1475" t="s">
        <v>3254</v>
      </c>
      <c r="AP1475" t="s">
        <v>74</v>
      </c>
      <c r="AQ1475" t="s">
        <v>74</v>
      </c>
      <c r="AR1475" t="s">
        <v>74</v>
      </c>
      <c r="AS1475" t="s">
        <v>74</v>
      </c>
      <c r="AT1475" t="s">
        <v>10215</v>
      </c>
      <c r="AU1475">
        <v>2020</v>
      </c>
      <c r="AV1475">
        <v>10</v>
      </c>
      <c r="AW1475" t="s">
        <v>74</v>
      </c>
      <c r="AX1475" t="s">
        <v>74</v>
      </c>
      <c r="AY1475" t="s">
        <v>74</v>
      </c>
      <c r="AZ1475" t="s">
        <v>74</v>
      </c>
      <c r="BA1475" t="s">
        <v>74</v>
      </c>
      <c r="BB1475" t="s">
        <v>74</v>
      </c>
      <c r="BC1475" t="s">
        <v>74</v>
      </c>
      <c r="BD1475">
        <v>588155</v>
      </c>
      <c r="BE1475" t="s">
        <v>26116</v>
      </c>
      <c r="BF1475" t="str">
        <f>HYPERLINK("http://dx.doi.org/10.3389/fcimb.2020.588155","http://dx.doi.org/10.3389/fcimb.2020.588155")</f>
        <v>http://dx.doi.org/10.3389/fcimb.2020.588155</v>
      </c>
      <c r="BG1475" t="s">
        <v>74</v>
      </c>
      <c r="BH1475" t="s">
        <v>74</v>
      </c>
      <c r="BI1475" t="s">
        <v>74</v>
      </c>
      <c r="BJ1475" t="s">
        <v>3257</v>
      </c>
      <c r="BK1475" t="s">
        <v>117</v>
      </c>
      <c r="BL1475" t="s">
        <v>3257</v>
      </c>
      <c r="BM1475" t="s">
        <v>74</v>
      </c>
      <c r="BN1475">
        <v>33117738</v>
      </c>
      <c r="BO1475" t="s">
        <v>74</v>
      </c>
      <c r="BP1475" t="s">
        <v>74</v>
      </c>
      <c r="BQ1475" t="s">
        <v>74</v>
      </c>
      <c r="BR1475" t="s">
        <v>96</v>
      </c>
      <c r="BS1475" t="s">
        <v>26117</v>
      </c>
      <c r="BT1475" t="str">
        <f>HYPERLINK("https%3A%2F%2Fwww.webofscience.com%2Fwos%2Fwoscc%2Ffull-record%2FWOS:000577466000001","View Full Record in Web of Science")</f>
        <v>View Full Record in Web of Science</v>
      </c>
    </row>
    <row r="1476" spans="1:72" x14ac:dyDescent="0.15">
      <c r="A1476" t="s">
        <v>72</v>
      </c>
      <c r="B1476" t="s">
        <v>26991</v>
      </c>
      <c r="C1476" t="s">
        <v>74</v>
      </c>
      <c r="D1476" t="s">
        <v>26992</v>
      </c>
      <c r="E1476" t="s">
        <v>74</v>
      </c>
      <c r="F1476" t="s">
        <v>26993</v>
      </c>
      <c r="G1476" t="s">
        <v>74</v>
      </c>
      <c r="H1476" t="s">
        <v>74</v>
      </c>
      <c r="I1476" t="s">
        <v>26994</v>
      </c>
      <c r="J1476" t="s">
        <v>26995</v>
      </c>
      <c r="K1476" t="s">
        <v>79</v>
      </c>
      <c r="L1476" t="s">
        <v>74</v>
      </c>
      <c r="M1476" t="s">
        <v>74</v>
      </c>
      <c r="N1476" t="s">
        <v>80</v>
      </c>
      <c r="O1476" t="s">
        <v>74</v>
      </c>
      <c r="P1476" t="s">
        <v>74</v>
      </c>
      <c r="Q1476" t="s">
        <v>74</v>
      </c>
      <c r="R1476" t="s">
        <v>74</v>
      </c>
      <c r="S1476" t="s">
        <v>74</v>
      </c>
      <c r="T1476" t="s">
        <v>26996</v>
      </c>
      <c r="U1476" t="s">
        <v>26997</v>
      </c>
      <c r="V1476" t="s">
        <v>26998</v>
      </c>
      <c r="W1476" t="s">
        <v>26999</v>
      </c>
      <c r="X1476" t="s">
        <v>27000</v>
      </c>
      <c r="Y1476" t="s">
        <v>27001</v>
      </c>
      <c r="Z1476" t="s">
        <v>74</v>
      </c>
      <c r="AA1476" t="s">
        <v>27002</v>
      </c>
      <c r="AB1476" t="s">
        <v>27003</v>
      </c>
      <c r="AC1476" t="s">
        <v>74</v>
      </c>
      <c r="AD1476" t="s">
        <v>74</v>
      </c>
      <c r="AE1476" t="s">
        <v>74</v>
      </c>
      <c r="AF1476" t="s">
        <v>74</v>
      </c>
      <c r="AG1476">
        <v>34</v>
      </c>
      <c r="AH1476">
        <v>5</v>
      </c>
      <c r="AI1476">
        <v>5</v>
      </c>
      <c r="AJ1476">
        <v>1</v>
      </c>
      <c r="AK1476">
        <v>4</v>
      </c>
      <c r="AL1476" t="s">
        <v>74</v>
      </c>
      <c r="AM1476" t="s">
        <v>74</v>
      </c>
      <c r="AN1476" t="s">
        <v>74</v>
      </c>
      <c r="AO1476" t="s">
        <v>88</v>
      </c>
      <c r="AP1476" t="s">
        <v>89</v>
      </c>
      <c r="AQ1476" t="s">
        <v>27004</v>
      </c>
      <c r="AR1476" t="s">
        <v>74</v>
      </c>
      <c r="AS1476" t="s">
        <v>74</v>
      </c>
      <c r="AT1476" t="s">
        <v>74</v>
      </c>
      <c r="AU1476">
        <v>2019</v>
      </c>
      <c r="AV1476">
        <v>1881</v>
      </c>
      <c r="AW1476" t="s">
        <v>74</v>
      </c>
      <c r="AX1476" t="s">
        <v>74</v>
      </c>
      <c r="AY1476" t="s">
        <v>74</v>
      </c>
      <c r="AZ1476" t="s">
        <v>74</v>
      </c>
      <c r="BA1476" t="s">
        <v>74</v>
      </c>
      <c r="BB1476">
        <v>253</v>
      </c>
      <c r="BC1476">
        <v>265</v>
      </c>
      <c r="BD1476" t="s">
        <v>74</v>
      </c>
      <c r="BE1476" t="s">
        <v>27005</v>
      </c>
      <c r="BF1476" t="str">
        <f>HYPERLINK("http://dx.doi.org/10.1007/978-1-4939-8876-1_19","http://dx.doi.org/10.1007/978-1-4939-8876-1_19")</f>
        <v>http://dx.doi.org/10.1007/978-1-4939-8876-1_19</v>
      </c>
      <c r="BG1476" t="s">
        <v>27006</v>
      </c>
      <c r="BH1476" t="s">
        <v>74</v>
      </c>
      <c r="BI1476" t="s">
        <v>74</v>
      </c>
      <c r="BJ1476" t="s">
        <v>27007</v>
      </c>
      <c r="BK1476" t="s">
        <v>94</v>
      </c>
      <c r="BL1476" t="s">
        <v>27007</v>
      </c>
      <c r="BM1476" t="s">
        <v>74</v>
      </c>
      <c r="BN1476">
        <v>30350211</v>
      </c>
      <c r="BO1476" t="s">
        <v>74</v>
      </c>
      <c r="BP1476" t="s">
        <v>74</v>
      </c>
      <c r="BQ1476" t="s">
        <v>74</v>
      </c>
      <c r="BR1476" t="s">
        <v>96</v>
      </c>
      <c r="BS1476" t="s">
        <v>27008</v>
      </c>
      <c r="BT1476" t="str">
        <f>HYPERLINK("https%3A%2F%2Fwww.webofscience.com%2Fwos%2Fwoscc%2Ffull-record%2FWOS:000683074300020","View Full Record in Web of Science")</f>
        <v>View Full Record in Web of Science</v>
      </c>
    </row>
    <row r="1477" spans="1:72" x14ac:dyDescent="0.15">
      <c r="A1477" t="s">
        <v>98</v>
      </c>
      <c r="B1477" t="s">
        <v>27237</v>
      </c>
      <c r="C1477" t="s">
        <v>74</v>
      </c>
      <c r="D1477" t="s">
        <v>74</v>
      </c>
      <c r="E1477" t="s">
        <v>74</v>
      </c>
      <c r="F1477" t="s">
        <v>27238</v>
      </c>
      <c r="G1477" t="s">
        <v>74</v>
      </c>
      <c r="H1477" t="s">
        <v>74</v>
      </c>
      <c r="I1477" t="s">
        <v>27239</v>
      </c>
      <c r="J1477" t="s">
        <v>10431</v>
      </c>
      <c r="K1477" t="s">
        <v>74</v>
      </c>
      <c r="L1477" t="s">
        <v>74</v>
      </c>
      <c r="M1477" t="s">
        <v>74</v>
      </c>
      <c r="N1477" t="s">
        <v>103</v>
      </c>
      <c r="O1477" t="s">
        <v>74</v>
      </c>
      <c r="P1477" t="s">
        <v>74</v>
      </c>
      <c r="Q1477" t="s">
        <v>74</v>
      </c>
      <c r="R1477" t="s">
        <v>74</v>
      </c>
      <c r="S1477" t="s">
        <v>74</v>
      </c>
      <c r="T1477" t="s">
        <v>74</v>
      </c>
      <c r="U1477" t="s">
        <v>27240</v>
      </c>
      <c r="V1477" t="s">
        <v>27241</v>
      </c>
      <c r="W1477" t="s">
        <v>27242</v>
      </c>
      <c r="X1477" t="s">
        <v>27243</v>
      </c>
      <c r="Y1477" t="s">
        <v>27244</v>
      </c>
      <c r="Z1477" t="s">
        <v>27245</v>
      </c>
      <c r="AA1477" t="s">
        <v>27246</v>
      </c>
      <c r="AB1477" t="s">
        <v>27247</v>
      </c>
      <c r="AC1477" t="s">
        <v>74</v>
      </c>
      <c r="AD1477" t="s">
        <v>74</v>
      </c>
      <c r="AE1477" t="s">
        <v>74</v>
      </c>
      <c r="AF1477" t="s">
        <v>74</v>
      </c>
      <c r="AG1477">
        <v>50</v>
      </c>
      <c r="AH1477">
        <v>5</v>
      </c>
      <c r="AI1477">
        <v>5</v>
      </c>
      <c r="AJ1477">
        <v>1</v>
      </c>
      <c r="AK1477">
        <v>4</v>
      </c>
      <c r="AL1477" t="s">
        <v>74</v>
      </c>
      <c r="AM1477" t="s">
        <v>74</v>
      </c>
      <c r="AN1477" t="s">
        <v>74</v>
      </c>
      <c r="AO1477" t="s">
        <v>10437</v>
      </c>
      <c r="AP1477" t="s">
        <v>10438</v>
      </c>
      <c r="AQ1477" t="s">
        <v>74</v>
      </c>
      <c r="AR1477" t="s">
        <v>74</v>
      </c>
      <c r="AS1477" t="s">
        <v>74</v>
      </c>
      <c r="AT1477" t="s">
        <v>4446</v>
      </c>
      <c r="AU1477">
        <v>2021</v>
      </c>
      <c r="AV1477">
        <v>5</v>
      </c>
      <c r="AW1477">
        <v>2</v>
      </c>
      <c r="AX1477" t="s">
        <v>74</v>
      </c>
      <c r="AY1477" t="s">
        <v>74</v>
      </c>
      <c r="AZ1477" t="s">
        <v>74</v>
      </c>
      <c r="BA1477" t="s">
        <v>74</v>
      </c>
      <c r="BB1477">
        <v>549</v>
      </c>
      <c r="BC1477">
        <v>564</v>
      </c>
      <c r="BD1477" t="s">
        <v>74</v>
      </c>
      <c r="BE1477" t="s">
        <v>27248</v>
      </c>
      <c r="BF1477" t="str">
        <f>HYPERLINK("http://dx.doi.org/10.1182/bloodadvances.2020002442","http://dx.doi.org/10.1182/bloodadvances.2020002442")</f>
        <v>http://dx.doi.org/10.1182/bloodadvances.2020002442</v>
      </c>
      <c r="BG1477" t="s">
        <v>74</v>
      </c>
      <c r="BH1477" t="s">
        <v>3662</v>
      </c>
      <c r="BI1477" t="s">
        <v>74</v>
      </c>
      <c r="BJ1477" t="s">
        <v>2438</v>
      </c>
      <c r="BK1477" t="s">
        <v>117</v>
      </c>
      <c r="BL1477" t="s">
        <v>2438</v>
      </c>
      <c r="BM1477" t="s">
        <v>74</v>
      </c>
      <c r="BN1477">
        <v>33496751</v>
      </c>
      <c r="BO1477" t="s">
        <v>74</v>
      </c>
      <c r="BP1477" t="s">
        <v>74</v>
      </c>
      <c r="BQ1477" t="s">
        <v>74</v>
      </c>
      <c r="BR1477" t="s">
        <v>96</v>
      </c>
      <c r="BS1477" t="s">
        <v>27249</v>
      </c>
      <c r="BT1477" t="str">
        <f>HYPERLINK("https%3A%2F%2Fwww.webofscience.com%2Fwos%2Fwoscc%2Ffull-record%2FWOS:000613791800021","View Full Record in Web of Science")</f>
        <v>View Full Record in Web of Science</v>
      </c>
    </row>
    <row r="1478" spans="1:72" x14ac:dyDescent="0.15">
      <c r="A1478" t="s">
        <v>98</v>
      </c>
      <c r="B1478" t="s">
        <v>27813</v>
      </c>
      <c r="C1478" t="s">
        <v>74</v>
      </c>
      <c r="D1478" t="s">
        <v>74</v>
      </c>
      <c r="E1478" t="s">
        <v>74</v>
      </c>
      <c r="F1478" t="s">
        <v>27814</v>
      </c>
      <c r="G1478" t="s">
        <v>74</v>
      </c>
      <c r="H1478" t="s">
        <v>74</v>
      </c>
      <c r="I1478" t="s">
        <v>27815</v>
      </c>
      <c r="J1478" t="s">
        <v>8705</v>
      </c>
      <c r="K1478" t="s">
        <v>74</v>
      </c>
      <c r="L1478" t="s">
        <v>74</v>
      </c>
      <c r="M1478" t="s">
        <v>74</v>
      </c>
      <c r="N1478" t="s">
        <v>103</v>
      </c>
      <c r="O1478" t="s">
        <v>74</v>
      </c>
      <c r="P1478" t="s">
        <v>74</v>
      </c>
      <c r="Q1478" t="s">
        <v>74</v>
      </c>
      <c r="R1478" t="s">
        <v>74</v>
      </c>
      <c r="S1478" t="s">
        <v>74</v>
      </c>
      <c r="T1478" t="s">
        <v>27816</v>
      </c>
      <c r="U1478" t="s">
        <v>27817</v>
      </c>
      <c r="V1478" t="s">
        <v>27818</v>
      </c>
      <c r="W1478" t="s">
        <v>27819</v>
      </c>
      <c r="X1478" t="s">
        <v>27820</v>
      </c>
      <c r="Y1478" t="s">
        <v>27821</v>
      </c>
      <c r="Z1478" t="s">
        <v>27822</v>
      </c>
      <c r="AA1478" t="s">
        <v>27823</v>
      </c>
      <c r="AB1478" t="s">
        <v>27824</v>
      </c>
      <c r="AC1478" t="s">
        <v>74</v>
      </c>
      <c r="AD1478" t="s">
        <v>74</v>
      </c>
      <c r="AE1478" t="s">
        <v>74</v>
      </c>
      <c r="AF1478" t="s">
        <v>74</v>
      </c>
      <c r="AG1478">
        <v>226</v>
      </c>
      <c r="AH1478">
        <v>5</v>
      </c>
      <c r="AI1478">
        <v>5</v>
      </c>
      <c r="AJ1478">
        <v>3</v>
      </c>
      <c r="AK1478">
        <v>8</v>
      </c>
      <c r="AL1478" t="s">
        <v>74</v>
      </c>
      <c r="AM1478" t="s">
        <v>74</v>
      </c>
      <c r="AN1478" t="s">
        <v>74</v>
      </c>
      <c r="AO1478" t="s">
        <v>8713</v>
      </c>
      <c r="AP1478" t="s">
        <v>8714</v>
      </c>
      <c r="AQ1478" t="s">
        <v>74</v>
      </c>
      <c r="AR1478" t="s">
        <v>74</v>
      </c>
      <c r="AS1478" t="s">
        <v>74</v>
      </c>
      <c r="AT1478" t="s">
        <v>114</v>
      </c>
      <c r="AU1478">
        <v>2022</v>
      </c>
      <c r="AV1478">
        <v>59</v>
      </c>
      <c r="AW1478">
        <v>1</v>
      </c>
      <c r="AX1478" t="s">
        <v>74</v>
      </c>
      <c r="AY1478" t="s">
        <v>74</v>
      </c>
      <c r="AZ1478" t="s">
        <v>74</v>
      </c>
      <c r="BA1478" t="s">
        <v>74</v>
      </c>
      <c r="BB1478">
        <v>620</v>
      </c>
      <c r="BC1478">
        <v>642</v>
      </c>
      <c r="BD1478" t="s">
        <v>74</v>
      </c>
      <c r="BE1478" t="s">
        <v>27825</v>
      </c>
      <c r="BF1478" t="str">
        <f>HYPERLINK("http://dx.doi.org/10.1007/s12035-021-02596-3","http://dx.doi.org/10.1007/s12035-021-02596-3")</f>
        <v>http://dx.doi.org/10.1007/s12035-021-02596-3</v>
      </c>
      <c r="BG1478" t="s">
        <v>74</v>
      </c>
      <c r="BH1478" t="s">
        <v>3026</v>
      </c>
      <c r="BI1478" t="s">
        <v>74</v>
      </c>
      <c r="BJ1478" t="s">
        <v>652</v>
      </c>
      <c r="BK1478" t="s">
        <v>117</v>
      </c>
      <c r="BL1478" t="s">
        <v>653</v>
      </c>
      <c r="BM1478" t="s">
        <v>74</v>
      </c>
      <c r="BN1478">
        <v>34750787</v>
      </c>
      <c r="BO1478" t="s">
        <v>74</v>
      </c>
      <c r="BP1478" t="s">
        <v>74</v>
      </c>
      <c r="BQ1478" t="s">
        <v>74</v>
      </c>
      <c r="BR1478" t="s">
        <v>96</v>
      </c>
      <c r="BS1478" t="s">
        <v>27826</v>
      </c>
      <c r="BT1478" t="str">
        <f>HYPERLINK("https%3A%2F%2Fwww.webofscience.com%2Fwos%2Fwoscc%2Ffull-record%2FWOS:000715674700001","View Full Record in Web of Science")</f>
        <v>View Full Record in Web of Science</v>
      </c>
    </row>
    <row r="1479" spans="1:72" x14ac:dyDescent="0.15">
      <c r="A1479" t="s">
        <v>98</v>
      </c>
      <c r="B1479" t="s">
        <v>28147</v>
      </c>
      <c r="C1479" t="s">
        <v>74</v>
      </c>
      <c r="D1479" t="s">
        <v>74</v>
      </c>
      <c r="E1479" t="s">
        <v>74</v>
      </c>
      <c r="F1479" t="s">
        <v>28148</v>
      </c>
      <c r="G1479" t="s">
        <v>74</v>
      </c>
      <c r="H1479" t="s">
        <v>74</v>
      </c>
      <c r="I1479" t="s">
        <v>28149</v>
      </c>
      <c r="J1479" t="s">
        <v>2410</v>
      </c>
      <c r="K1479" t="s">
        <v>74</v>
      </c>
      <c r="L1479" t="s">
        <v>74</v>
      </c>
      <c r="M1479" t="s">
        <v>74</v>
      </c>
      <c r="N1479" t="s">
        <v>103</v>
      </c>
      <c r="O1479" t="s">
        <v>74</v>
      </c>
      <c r="P1479" t="s">
        <v>74</v>
      </c>
      <c r="Q1479" t="s">
        <v>74</v>
      </c>
      <c r="R1479" t="s">
        <v>74</v>
      </c>
      <c r="S1479" t="s">
        <v>74</v>
      </c>
      <c r="T1479" t="s">
        <v>28150</v>
      </c>
      <c r="U1479" t="s">
        <v>28151</v>
      </c>
      <c r="V1479" t="s">
        <v>28152</v>
      </c>
      <c r="W1479" t="s">
        <v>28153</v>
      </c>
      <c r="X1479" t="s">
        <v>28154</v>
      </c>
      <c r="Y1479" t="s">
        <v>28155</v>
      </c>
      <c r="Z1479" t="s">
        <v>28156</v>
      </c>
      <c r="AA1479" t="s">
        <v>28157</v>
      </c>
      <c r="AB1479" t="s">
        <v>28158</v>
      </c>
      <c r="AC1479" t="s">
        <v>74</v>
      </c>
      <c r="AD1479" t="s">
        <v>74</v>
      </c>
      <c r="AE1479" t="s">
        <v>74</v>
      </c>
      <c r="AF1479" t="s">
        <v>74</v>
      </c>
      <c r="AG1479">
        <v>95</v>
      </c>
      <c r="AH1479">
        <v>5</v>
      </c>
      <c r="AI1479">
        <v>5</v>
      </c>
      <c r="AJ1479">
        <v>11</v>
      </c>
      <c r="AK1479">
        <v>28</v>
      </c>
      <c r="AL1479" t="s">
        <v>74</v>
      </c>
      <c r="AM1479" t="s">
        <v>74</v>
      </c>
      <c r="AN1479" t="s">
        <v>74</v>
      </c>
      <c r="AO1479" t="s">
        <v>2418</v>
      </c>
      <c r="AP1479" t="s">
        <v>2419</v>
      </c>
      <c r="AQ1479" t="s">
        <v>74</v>
      </c>
      <c r="AR1479" t="s">
        <v>74</v>
      </c>
      <c r="AS1479" t="s">
        <v>74</v>
      </c>
      <c r="AT1479" t="s">
        <v>599</v>
      </c>
      <c r="AU1479">
        <v>2022</v>
      </c>
      <c r="AV1479">
        <v>524</v>
      </c>
      <c r="AW1479" t="s">
        <v>74</v>
      </c>
      <c r="AX1479" t="s">
        <v>74</v>
      </c>
      <c r="AY1479" t="s">
        <v>74</v>
      </c>
      <c r="AZ1479" t="s">
        <v>74</v>
      </c>
      <c r="BA1479" t="s">
        <v>74</v>
      </c>
      <c r="BB1479">
        <v>91</v>
      </c>
      <c r="BC1479">
        <v>102</v>
      </c>
      <c r="BD1479" t="s">
        <v>74</v>
      </c>
      <c r="BE1479" t="s">
        <v>28159</v>
      </c>
      <c r="BF1479" t="str">
        <f>HYPERLINK("http://dx.doi.org/10.1016/j.canlet.2021.10.013","http://dx.doi.org/10.1016/j.canlet.2021.10.013")</f>
        <v>http://dx.doi.org/10.1016/j.canlet.2021.10.013</v>
      </c>
      <c r="BG1479" t="s">
        <v>74</v>
      </c>
      <c r="BH1479" t="s">
        <v>1967</v>
      </c>
      <c r="BI1479" t="s">
        <v>74</v>
      </c>
      <c r="BJ1479" t="s">
        <v>267</v>
      </c>
      <c r="BK1479" t="s">
        <v>117</v>
      </c>
      <c r="BL1479" t="s">
        <v>267</v>
      </c>
      <c r="BM1479" t="s">
        <v>74</v>
      </c>
      <c r="BN1479">
        <v>34656690</v>
      </c>
      <c r="BO1479" t="s">
        <v>74</v>
      </c>
      <c r="BP1479" t="s">
        <v>74</v>
      </c>
      <c r="BQ1479" t="s">
        <v>74</v>
      </c>
      <c r="BR1479" t="s">
        <v>96</v>
      </c>
      <c r="BS1479" t="s">
        <v>28160</v>
      </c>
      <c r="BT1479" t="str">
        <f>HYPERLINK("https%3A%2F%2Fwww.webofscience.com%2Fwos%2Fwoscc%2Ffull-record%2FWOS:000712464800002","View Full Record in Web of Science")</f>
        <v>View Full Record in Web of Science</v>
      </c>
    </row>
    <row r="1480" spans="1:72" x14ac:dyDescent="0.15">
      <c r="A1480" t="s">
        <v>98</v>
      </c>
      <c r="B1480" t="s">
        <v>29277</v>
      </c>
      <c r="C1480" t="s">
        <v>74</v>
      </c>
      <c r="D1480" t="s">
        <v>74</v>
      </c>
      <c r="E1480" t="s">
        <v>74</v>
      </c>
      <c r="F1480" t="s">
        <v>29278</v>
      </c>
      <c r="G1480" t="s">
        <v>74</v>
      </c>
      <c r="H1480" t="s">
        <v>74</v>
      </c>
      <c r="I1480" t="s">
        <v>29279</v>
      </c>
      <c r="J1480" t="s">
        <v>29280</v>
      </c>
      <c r="K1480" t="s">
        <v>74</v>
      </c>
      <c r="L1480" t="s">
        <v>74</v>
      </c>
      <c r="M1480" t="s">
        <v>74</v>
      </c>
      <c r="N1480" t="s">
        <v>103</v>
      </c>
      <c r="O1480" t="s">
        <v>74</v>
      </c>
      <c r="P1480" t="s">
        <v>74</v>
      </c>
      <c r="Q1480" t="s">
        <v>74</v>
      </c>
      <c r="R1480" t="s">
        <v>74</v>
      </c>
      <c r="S1480" t="s">
        <v>74</v>
      </c>
      <c r="T1480" t="s">
        <v>29281</v>
      </c>
      <c r="U1480" t="s">
        <v>29282</v>
      </c>
      <c r="V1480" t="s">
        <v>29283</v>
      </c>
      <c r="W1480" t="s">
        <v>29284</v>
      </c>
      <c r="X1480" t="s">
        <v>29285</v>
      </c>
      <c r="Y1480" t="s">
        <v>29286</v>
      </c>
      <c r="Z1480" t="s">
        <v>29287</v>
      </c>
      <c r="AA1480" t="s">
        <v>74</v>
      </c>
      <c r="AB1480" t="s">
        <v>74</v>
      </c>
      <c r="AC1480" t="s">
        <v>74</v>
      </c>
      <c r="AD1480" t="s">
        <v>74</v>
      </c>
      <c r="AE1480" t="s">
        <v>74</v>
      </c>
      <c r="AF1480" t="s">
        <v>74</v>
      </c>
      <c r="AG1480">
        <v>48</v>
      </c>
      <c r="AH1480">
        <v>5</v>
      </c>
      <c r="AI1480">
        <v>5</v>
      </c>
      <c r="AJ1480">
        <v>2</v>
      </c>
      <c r="AK1480">
        <v>16</v>
      </c>
      <c r="AL1480" t="s">
        <v>74</v>
      </c>
      <c r="AM1480" t="s">
        <v>74</v>
      </c>
      <c r="AN1480" t="s">
        <v>74</v>
      </c>
      <c r="AO1480" t="s">
        <v>29288</v>
      </c>
      <c r="AP1480" t="s">
        <v>29289</v>
      </c>
      <c r="AQ1480" t="s">
        <v>74</v>
      </c>
      <c r="AR1480" t="s">
        <v>74</v>
      </c>
      <c r="AS1480" t="s">
        <v>74</v>
      </c>
      <c r="AT1480" t="s">
        <v>230</v>
      </c>
      <c r="AU1480">
        <v>2020</v>
      </c>
      <c r="AV1480">
        <v>63</v>
      </c>
      <c r="AW1480">
        <v>8</v>
      </c>
      <c r="AX1480" t="s">
        <v>74</v>
      </c>
      <c r="AY1480" t="s">
        <v>74</v>
      </c>
      <c r="AZ1480" t="s">
        <v>447</v>
      </c>
      <c r="BA1480" t="s">
        <v>74</v>
      </c>
      <c r="BB1480">
        <v>1201</v>
      </c>
      <c r="BC1480">
        <v>1212</v>
      </c>
      <c r="BD1480" t="s">
        <v>74</v>
      </c>
      <c r="BE1480" t="s">
        <v>29290</v>
      </c>
      <c r="BF1480" t="str">
        <f>HYPERLINK("http://dx.doi.org/10.1007/s11427-019-9667-0","http://dx.doi.org/10.1007/s11427-019-9667-0")</f>
        <v>http://dx.doi.org/10.1007/s11427-019-9667-0</v>
      </c>
      <c r="BG1480" t="s">
        <v>74</v>
      </c>
      <c r="BH1480" t="s">
        <v>74</v>
      </c>
      <c r="BI1480" t="s">
        <v>74</v>
      </c>
      <c r="BJ1480" t="s">
        <v>1643</v>
      </c>
      <c r="BK1480" t="s">
        <v>117</v>
      </c>
      <c r="BL1480" t="s">
        <v>1644</v>
      </c>
      <c r="BM1480" t="s">
        <v>74</v>
      </c>
      <c r="BN1480">
        <v>32170623</v>
      </c>
      <c r="BO1480" t="s">
        <v>74</v>
      </c>
      <c r="BP1480" t="s">
        <v>74</v>
      </c>
      <c r="BQ1480" t="s">
        <v>74</v>
      </c>
      <c r="BR1480" t="s">
        <v>96</v>
      </c>
      <c r="BS1480" t="s">
        <v>29291</v>
      </c>
      <c r="BT1480" t="str">
        <f>HYPERLINK("https%3A%2F%2Fwww.webofscience.com%2Fwos%2Fwoscc%2Ffull-record%2FWOS:000549600600008","View Full Record in Web of Science")</f>
        <v>View Full Record in Web of Science</v>
      </c>
    </row>
    <row r="1481" spans="1:72" x14ac:dyDescent="0.15">
      <c r="A1481" t="s">
        <v>98</v>
      </c>
      <c r="B1481" t="s">
        <v>29453</v>
      </c>
      <c r="C1481" t="s">
        <v>74</v>
      </c>
      <c r="D1481" t="s">
        <v>74</v>
      </c>
      <c r="E1481" t="s">
        <v>74</v>
      </c>
      <c r="F1481" t="s">
        <v>29454</v>
      </c>
      <c r="G1481" t="s">
        <v>74</v>
      </c>
      <c r="H1481" t="s">
        <v>74</v>
      </c>
      <c r="I1481" t="s">
        <v>29455</v>
      </c>
      <c r="J1481" t="s">
        <v>24800</v>
      </c>
      <c r="K1481" t="s">
        <v>74</v>
      </c>
      <c r="L1481" t="s">
        <v>74</v>
      </c>
      <c r="M1481" t="s">
        <v>74</v>
      </c>
      <c r="N1481" t="s">
        <v>103</v>
      </c>
      <c r="O1481" t="s">
        <v>74</v>
      </c>
      <c r="P1481" t="s">
        <v>74</v>
      </c>
      <c r="Q1481" t="s">
        <v>74</v>
      </c>
      <c r="R1481" t="s">
        <v>74</v>
      </c>
      <c r="S1481" t="s">
        <v>74</v>
      </c>
      <c r="T1481" t="s">
        <v>29456</v>
      </c>
      <c r="U1481" t="s">
        <v>29457</v>
      </c>
      <c r="V1481" t="s">
        <v>29458</v>
      </c>
      <c r="W1481" t="s">
        <v>29459</v>
      </c>
      <c r="X1481" t="s">
        <v>29460</v>
      </c>
      <c r="Y1481" t="s">
        <v>29461</v>
      </c>
      <c r="Z1481" t="s">
        <v>29462</v>
      </c>
      <c r="AA1481" t="s">
        <v>74</v>
      </c>
      <c r="AB1481" t="s">
        <v>74</v>
      </c>
      <c r="AC1481" t="s">
        <v>74</v>
      </c>
      <c r="AD1481" t="s">
        <v>74</v>
      </c>
      <c r="AE1481" t="s">
        <v>74</v>
      </c>
      <c r="AF1481" t="s">
        <v>74</v>
      </c>
      <c r="AG1481">
        <v>84</v>
      </c>
      <c r="AH1481">
        <v>5</v>
      </c>
      <c r="AI1481">
        <v>5</v>
      </c>
      <c r="AJ1481">
        <v>1</v>
      </c>
      <c r="AK1481">
        <v>15</v>
      </c>
      <c r="AL1481" t="s">
        <v>74</v>
      </c>
      <c r="AM1481" t="s">
        <v>74</v>
      </c>
      <c r="AN1481" t="s">
        <v>74</v>
      </c>
      <c r="AO1481" t="s">
        <v>24810</v>
      </c>
      <c r="AP1481" t="s">
        <v>29463</v>
      </c>
      <c r="AQ1481" t="s">
        <v>74</v>
      </c>
      <c r="AR1481" t="s">
        <v>74</v>
      </c>
      <c r="AS1481" t="s">
        <v>74</v>
      </c>
      <c r="AT1481" t="s">
        <v>531</v>
      </c>
      <c r="AU1481">
        <v>2019</v>
      </c>
      <c r="AV1481">
        <v>126</v>
      </c>
      <c r="AW1481" t="s">
        <v>74</v>
      </c>
      <c r="AX1481" t="s">
        <v>74</v>
      </c>
      <c r="AY1481" t="s">
        <v>74</v>
      </c>
      <c r="AZ1481" t="s">
        <v>74</v>
      </c>
      <c r="BA1481" t="s">
        <v>74</v>
      </c>
      <c r="BB1481">
        <v>18</v>
      </c>
      <c r="BC1481">
        <v>26</v>
      </c>
      <c r="BD1481" t="s">
        <v>74</v>
      </c>
      <c r="BE1481" t="s">
        <v>29464</v>
      </c>
      <c r="BF1481" t="str">
        <f>HYPERLINK("http://dx.doi.org/10.1016/j.bone.2019.03.032","http://dx.doi.org/10.1016/j.bone.2019.03.032")</f>
        <v>http://dx.doi.org/10.1016/j.bone.2019.03.032</v>
      </c>
      <c r="BG1481" t="s">
        <v>74</v>
      </c>
      <c r="BH1481" t="s">
        <v>74</v>
      </c>
      <c r="BI1481" t="s">
        <v>74</v>
      </c>
      <c r="BJ1481" t="s">
        <v>3599</v>
      </c>
      <c r="BK1481" t="s">
        <v>117</v>
      </c>
      <c r="BL1481" t="s">
        <v>3599</v>
      </c>
      <c r="BM1481" t="s">
        <v>74</v>
      </c>
      <c r="BN1481">
        <v>30954730</v>
      </c>
      <c r="BO1481" t="s">
        <v>74</v>
      </c>
      <c r="BP1481" t="s">
        <v>74</v>
      </c>
      <c r="BQ1481" t="s">
        <v>74</v>
      </c>
      <c r="BR1481" t="s">
        <v>96</v>
      </c>
      <c r="BS1481" t="s">
        <v>29465</v>
      </c>
      <c r="BT1481" t="str">
        <f>HYPERLINK("https%3A%2F%2Fwww.webofscience.com%2Fwos%2Fwoscc%2Ffull-record%2FWOS:000477790000004","View Full Record in Web of Science")</f>
        <v>View Full Record in Web of Science</v>
      </c>
    </row>
    <row r="1482" spans="1:72" x14ac:dyDescent="0.15">
      <c r="A1482" t="s">
        <v>98</v>
      </c>
      <c r="B1482" t="s">
        <v>29698</v>
      </c>
      <c r="C1482" t="s">
        <v>74</v>
      </c>
      <c r="D1482" t="s">
        <v>74</v>
      </c>
      <c r="E1482" t="s">
        <v>74</v>
      </c>
      <c r="F1482" t="s">
        <v>29699</v>
      </c>
      <c r="G1482" t="s">
        <v>74</v>
      </c>
      <c r="H1482" t="s">
        <v>74</v>
      </c>
      <c r="I1482" t="s">
        <v>29700</v>
      </c>
      <c r="J1482" t="s">
        <v>1123</v>
      </c>
      <c r="K1482" t="s">
        <v>74</v>
      </c>
      <c r="L1482" t="s">
        <v>74</v>
      </c>
      <c r="M1482" t="s">
        <v>74</v>
      </c>
      <c r="N1482" t="s">
        <v>103</v>
      </c>
      <c r="O1482" t="s">
        <v>74</v>
      </c>
      <c r="P1482" t="s">
        <v>74</v>
      </c>
      <c r="Q1482" t="s">
        <v>74</v>
      </c>
      <c r="R1482" t="s">
        <v>74</v>
      </c>
      <c r="S1482" t="s">
        <v>74</v>
      </c>
      <c r="T1482" t="s">
        <v>29701</v>
      </c>
      <c r="U1482" t="s">
        <v>29702</v>
      </c>
      <c r="V1482" t="s">
        <v>29703</v>
      </c>
      <c r="W1482" t="s">
        <v>29704</v>
      </c>
      <c r="X1482" t="s">
        <v>29705</v>
      </c>
      <c r="Y1482" t="s">
        <v>29706</v>
      </c>
      <c r="Z1482" t="s">
        <v>29707</v>
      </c>
      <c r="AA1482" t="s">
        <v>29708</v>
      </c>
      <c r="AB1482" t="s">
        <v>29709</v>
      </c>
      <c r="AC1482" t="s">
        <v>74</v>
      </c>
      <c r="AD1482" t="s">
        <v>74</v>
      </c>
      <c r="AE1482" t="s">
        <v>74</v>
      </c>
      <c r="AF1482" t="s">
        <v>74</v>
      </c>
      <c r="AG1482">
        <v>52</v>
      </c>
      <c r="AH1482">
        <v>5</v>
      </c>
      <c r="AI1482">
        <v>5</v>
      </c>
      <c r="AJ1482">
        <v>26</v>
      </c>
      <c r="AK1482">
        <v>82</v>
      </c>
      <c r="AL1482" t="s">
        <v>74</v>
      </c>
      <c r="AM1482" t="s">
        <v>74</v>
      </c>
      <c r="AN1482" t="s">
        <v>74</v>
      </c>
      <c r="AO1482" t="s">
        <v>1132</v>
      </c>
      <c r="AP1482" t="s">
        <v>1133</v>
      </c>
      <c r="AQ1482" t="s">
        <v>74</v>
      </c>
      <c r="AR1482" t="s">
        <v>74</v>
      </c>
      <c r="AS1482" t="s">
        <v>74</v>
      </c>
      <c r="AT1482" t="s">
        <v>4965</v>
      </c>
      <c r="AU1482">
        <v>2022</v>
      </c>
      <c r="AV1482">
        <v>197</v>
      </c>
      <c r="AW1482" t="s">
        <v>74</v>
      </c>
      <c r="AX1482" t="s">
        <v>74</v>
      </c>
      <c r="AY1482" t="s">
        <v>74</v>
      </c>
      <c r="AZ1482" t="s">
        <v>74</v>
      </c>
      <c r="BA1482" t="s">
        <v>74</v>
      </c>
      <c r="BB1482" t="s">
        <v>74</v>
      </c>
      <c r="BC1482" t="s">
        <v>74</v>
      </c>
      <c r="BD1482">
        <v>113753</v>
      </c>
      <c r="BE1482" t="s">
        <v>29710</v>
      </c>
      <c r="BF1482" t="str">
        <f>HYPERLINK("http://dx.doi.org/10.1016/j.bios.2021.113753","http://dx.doi.org/10.1016/j.bios.2021.113753")</f>
        <v>http://dx.doi.org/10.1016/j.bios.2021.113753</v>
      </c>
      <c r="BG1482" t="s">
        <v>74</v>
      </c>
      <c r="BH1482" t="s">
        <v>3026</v>
      </c>
      <c r="BI1482" t="s">
        <v>74</v>
      </c>
      <c r="BJ1482" t="s">
        <v>1137</v>
      </c>
      <c r="BK1482" t="s">
        <v>117</v>
      </c>
      <c r="BL1482" t="s">
        <v>1138</v>
      </c>
      <c r="BM1482" t="s">
        <v>74</v>
      </c>
      <c r="BN1482">
        <v>34741958</v>
      </c>
      <c r="BO1482" t="s">
        <v>74</v>
      </c>
      <c r="BP1482" t="s">
        <v>74</v>
      </c>
      <c r="BQ1482" t="s">
        <v>74</v>
      </c>
      <c r="BR1482" t="s">
        <v>96</v>
      </c>
      <c r="BS1482" t="s">
        <v>29711</v>
      </c>
      <c r="BT1482" t="str">
        <f>HYPERLINK("https%3A%2F%2Fwww.webofscience.com%2Fwos%2Fwoscc%2Ffull-record%2FWOS:000719370300008","View Full Record in Web of Science")</f>
        <v>View Full Record in Web of Science</v>
      </c>
    </row>
    <row r="1483" spans="1:72" x14ac:dyDescent="0.15">
      <c r="A1483" t="s">
        <v>72</v>
      </c>
      <c r="B1483" t="s">
        <v>29981</v>
      </c>
      <c r="C1483" t="s">
        <v>74</v>
      </c>
      <c r="D1483" t="s">
        <v>29263</v>
      </c>
      <c r="E1483" t="s">
        <v>74</v>
      </c>
      <c r="F1483" t="s">
        <v>29982</v>
      </c>
      <c r="G1483" t="s">
        <v>74</v>
      </c>
      <c r="H1483" t="s">
        <v>74</v>
      </c>
      <c r="I1483" t="s">
        <v>29983</v>
      </c>
      <c r="J1483" t="s">
        <v>29266</v>
      </c>
      <c r="K1483" t="s">
        <v>79</v>
      </c>
      <c r="L1483" t="s">
        <v>74</v>
      </c>
      <c r="M1483" t="s">
        <v>74</v>
      </c>
      <c r="N1483" t="s">
        <v>80</v>
      </c>
      <c r="O1483" t="s">
        <v>74</v>
      </c>
      <c r="P1483" t="s">
        <v>74</v>
      </c>
      <c r="Q1483" t="s">
        <v>74</v>
      </c>
      <c r="R1483" t="s">
        <v>74</v>
      </c>
      <c r="S1483" t="s">
        <v>74</v>
      </c>
      <c r="T1483" t="s">
        <v>29984</v>
      </c>
      <c r="U1483" t="s">
        <v>29985</v>
      </c>
      <c r="V1483" t="s">
        <v>29986</v>
      </c>
      <c r="W1483" t="s">
        <v>29987</v>
      </c>
      <c r="X1483" t="s">
        <v>29988</v>
      </c>
      <c r="Y1483" t="s">
        <v>29989</v>
      </c>
      <c r="Z1483" t="s">
        <v>74</v>
      </c>
      <c r="AA1483" t="s">
        <v>74</v>
      </c>
      <c r="AB1483" t="s">
        <v>74</v>
      </c>
      <c r="AC1483" t="s">
        <v>74</v>
      </c>
      <c r="AD1483" t="s">
        <v>74</v>
      </c>
      <c r="AE1483" t="s">
        <v>74</v>
      </c>
      <c r="AF1483" t="s">
        <v>74</v>
      </c>
      <c r="AG1483">
        <v>24</v>
      </c>
      <c r="AH1483">
        <v>5</v>
      </c>
      <c r="AI1483">
        <v>6</v>
      </c>
      <c r="AJ1483">
        <v>0</v>
      </c>
      <c r="AK1483">
        <v>2</v>
      </c>
      <c r="AL1483" t="s">
        <v>74</v>
      </c>
      <c r="AM1483" t="s">
        <v>74</v>
      </c>
      <c r="AN1483" t="s">
        <v>74</v>
      </c>
      <c r="AO1483" t="s">
        <v>88</v>
      </c>
      <c r="AP1483" t="s">
        <v>74</v>
      </c>
      <c r="AQ1483" t="s">
        <v>29273</v>
      </c>
      <c r="AR1483" t="s">
        <v>74</v>
      </c>
      <c r="AS1483" t="s">
        <v>74</v>
      </c>
      <c r="AT1483" t="s">
        <v>74</v>
      </c>
      <c r="AU1483">
        <v>2016</v>
      </c>
      <c r="AV1483">
        <v>1448</v>
      </c>
      <c r="AW1483" t="s">
        <v>74</v>
      </c>
      <c r="AX1483" t="s">
        <v>74</v>
      </c>
      <c r="AY1483" t="s">
        <v>74</v>
      </c>
      <c r="AZ1483" t="s">
        <v>74</v>
      </c>
      <c r="BA1483" t="s">
        <v>74</v>
      </c>
      <c r="BB1483">
        <v>159</v>
      </c>
      <c r="BC1483">
        <v>173</v>
      </c>
      <c r="BD1483" t="s">
        <v>74</v>
      </c>
      <c r="BE1483" t="s">
        <v>29990</v>
      </c>
      <c r="BF1483" t="str">
        <f>HYPERLINK("http://dx.doi.org/10.1007/978-1-4939-3753-0_12","http://dx.doi.org/10.1007/978-1-4939-3753-0_12")</f>
        <v>http://dx.doi.org/10.1007/978-1-4939-3753-0_12</v>
      </c>
      <c r="BG1483" t="s">
        <v>29275</v>
      </c>
      <c r="BH1483" t="s">
        <v>74</v>
      </c>
      <c r="BI1483" t="s">
        <v>74</v>
      </c>
      <c r="BJ1483" t="s">
        <v>8267</v>
      </c>
      <c r="BK1483" t="s">
        <v>94</v>
      </c>
      <c r="BL1483" t="s">
        <v>950</v>
      </c>
      <c r="BM1483" t="s">
        <v>74</v>
      </c>
      <c r="BN1483">
        <v>27317180</v>
      </c>
      <c r="BO1483" t="s">
        <v>74</v>
      </c>
      <c r="BP1483" t="s">
        <v>74</v>
      </c>
      <c r="BQ1483" t="s">
        <v>74</v>
      </c>
      <c r="BR1483" t="s">
        <v>96</v>
      </c>
      <c r="BS1483" t="s">
        <v>29991</v>
      </c>
      <c r="BT1483" t="str">
        <f>HYPERLINK("https%3A%2F%2Fwww.webofscience.com%2Fwos%2Fwoscc%2Ffull-record%2FWOS:000386788700013","View Full Record in Web of Science")</f>
        <v>View Full Record in Web of Science</v>
      </c>
    </row>
    <row r="1484" spans="1:72" x14ac:dyDescent="0.15">
      <c r="A1484" t="s">
        <v>98</v>
      </c>
      <c r="B1484" t="s">
        <v>469</v>
      </c>
      <c r="C1484" t="s">
        <v>74</v>
      </c>
      <c r="D1484" t="s">
        <v>74</v>
      </c>
      <c r="E1484" t="s">
        <v>74</v>
      </c>
      <c r="F1484" t="s">
        <v>470</v>
      </c>
      <c r="G1484" t="s">
        <v>74</v>
      </c>
      <c r="H1484" t="s">
        <v>74</v>
      </c>
      <c r="I1484" t="s">
        <v>471</v>
      </c>
      <c r="J1484" t="s">
        <v>272</v>
      </c>
      <c r="K1484" t="s">
        <v>74</v>
      </c>
      <c r="L1484" t="s">
        <v>74</v>
      </c>
      <c r="M1484" t="s">
        <v>74</v>
      </c>
      <c r="N1484" t="s">
        <v>103</v>
      </c>
      <c r="O1484" t="s">
        <v>74</v>
      </c>
      <c r="P1484" t="s">
        <v>74</v>
      </c>
      <c r="Q1484" t="s">
        <v>74</v>
      </c>
      <c r="R1484" t="s">
        <v>74</v>
      </c>
      <c r="S1484" t="s">
        <v>74</v>
      </c>
      <c r="T1484" t="s">
        <v>472</v>
      </c>
      <c r="U1484" t="s">
        <v>74</v>
      </c>
      <c r="V1484" t="s">
        <v>473</v>
      </c>
      <c r="W1484" t="s">
        <v>474</v>
      </c>
      <c r="X1484" t="s">
        <v>204</v>
      </c>
      <c r="Y1484" t="s">
        <v>475</v>
      </c>
      <c r="Z1484" t="s">
        <v>476</v>
      </c>
      <c r="AA1484" t="s">
        <v>477</v>
      </c>
      <c r="AB1484" t="s">
        <v>478</v>
      </c>
      <c r="AC1484" t="s">
        <v>74</v>
      </c>
      <c r="AD1484" t="s">
        <v>74</v>
      </c>
      <c r="AE1484" t="s">
        <v>74</v>
      </c>
      <c r="AF1484" t="s">
        <v>74</v>
      </c>
      <c r="AG1484">
        <v>63</v>
      </c>
      <c r="AH1484">
        <v>4</v>
      </c>
      <c r="AI1484">
        <v>4</v>
      </c>
      <c r="AJ1484">
        <v>1</v>
      </c>
      <c r="AK1484">
        <v>4</v>
      </c>
      <c r="AL1484" t="s">
        <v>74</v>
      </c>
      <c r="AM1484" t="s">
        <v>74</v>
      </c>
      <c r="AN1484" t="s">
        <v>74</v>
      </c>
      <c r="AO1484" t="s">
        <v>74</v>
      </c>
      <c r="AP1484" t="s">
        <v>282</v>
      </c>
      <c r="AQ1484" t="s">
        <v>74</v>
      </c>
      <c r="AR1484" t="s">
        <v>74</v>
      </c>
      <c r="AS1484" t="s">
        <v>74</v>
      </c>
      <c r="AT1484" t="s">
        <v>132</v>
      </c>
      <c r="AU1484">
        <v>2021</v>
      </c>
      <c r="AV1484">
        <v>12</v>
      </c>
      <c r="AW1484">
        <v>4</v>
      </c>
      <c r="AX1484" t="s">
        <v>74</v>
      </c>
      <c r="AY1484" t="s">
        <v>74</v>
      </c>
      <c r="AZ1484" t="s">
        <v>74</v>
      </c>
      <c r="BA1484" t="s">
        <v>74</v>
      </c>
      <c r="BB1484" t="s">
        <v>74</v>
      </c>
      <c r="BC1484" t="s">
        <v>74</v>
      </c>
      <c r="BD1484">
        <v>522</v>
      </c>
      <c r="BE1484" t="s">
        <v>479</v>
      </c>
      <c r="BF1484" t="str">
        <f>HYPERLINK("http://dx.doi.org/10.3390/genes12040522","http://dx.doi.org/10.3390/genes12040522")</f>
        <v>http://dx.doi.org/10.3390/genes12040522</v>
      </c>
      <c r="BG1484" t="s">
        <v>74</v>
      </c>
      <c r="BH1484" t="s">
        <v>74</v>
      </c>
      <c r="BI1484" t="s">
        <v>74</v>
      </c>
      <c r="BJ1484" t="s">
        <v>285</v>
      </c>
      <c r="BK1484" t="s">
        <v>117</v>
      </c>
      <c r="BL1484" t="s">
        <v>285</v>
      </c>
      <c r="BM1484" t="s">
        <v>74</v>
      </c>
      <c r="BN1484">
        <v>33918465</v>
      </c>
      <c r="BO1484" t="s">
        <v>74</v>
      </c>
      <c r="BP1484" t="s">
        <v>74</v>
      </c>
      <c r="BQ1484" t="s">
        <v>74</v>
      </c>
      <c r="BR1484" t="s">
        <v>96</v>
      </c>
      <c r="BS1484" t="s">
        <v>480</v>
      </c>
      <c r="BT1484" t="str">
        <f>HYPERLINK("https%3A%2F%2Fwww.webofscience.com%2Fwos%2Fwoscc%2Ffull-record%2FWOS:000643026900001","View Full Record in Web of Science")</f>
        <v>View Full Record in Web of Science</v>
      </c>
    </row>
    <row r="1485" spans="1:72" x14ac:dyDescent="0.15">
      <c r="A1485" t="s">
        <v>98</v>
      </c>
      <c r="B1485" t="s">
        <v>1120</v>
      </c>
      <c r="C1485" t="s">
        <v>74</v>
      </c>
      <c r="D1485" t="s">
        <v>74</v>
      </c>
      <c r="E1485" t="s">
        <v>74</v>
      </c>
      <c r="F1485" t="s">
        <v>1121</v>
      </c>
      <c r="G1485" t="s">
        <v>74</v>
      </c>
      <c r="H1485" t="s">
        <v>74</v>
      </c>
      <c r="I1485" t="s">
        <v>1122</v>
      </c>
      <c r="J1485" t="s">
        <v>1123</v>
      </c>
      <c r="K1485" t="s">
        <v>74</v>
      </c>
      <c r="L1485" t="s">
        <v>74</v>
      </c>
      <c r="M1485" t="s">
        <v>74</v>
      </c>
      <c r="N1485" t="s">
        <v>103</v>
      </c>
      <c r="O1485" t="s">
        <v>74</v>
      </c>
      <c r="P1485" t="s">
        <v>74</v>
      </c>
      <c r="Q1485" t="s">
        <v>74</v>
      </c>
      <c r="R1485" t="s">
        <v>74</v>
      </c>
      <c r="S1485" t="s">
        <v>74</v>
      </c>
      <c r="T1485" t="s">
        <v>1124</v>
      </c>
      <c r="U1485" t="s">
        <v>1125</v>
      </c>
      <c r="V1485" t="s">
        <v>1126</v>
      </c>
      <c r="W1485" t="s">
        <v>1127</v>
      </c>
      <c r="X1485" t="s">
        <v>1128</v>
      </c>
      <c r="Y1485" t="s">
        <v>1129</v>
      </c>
      <c r="Z1485" t="s">
        <v>1130</v>
      </c>
      <c r="AA1485" t="s">
        <v>74</v>
      </c>
      <c r="AB1485" t="s">
        <v>1131</v>
      </c>
      <c r="AC1485" t="s">
        <v>74</v>
      </c>
      <c r="AD1485" t="s">
        <v>74</v>
      </c>
      <c r="AE1485" t="s">
        <v>74</v>
      </c>
      <c r="AF1485" t="s">
        <v>74</v>
      </c>
      <c r="AG1485">
        <v>38</v>
      </c>
      <c r="AH1485">
        <v>4</v>
      </c>
      <c r="AI1485">
        <v>4</v>
      </c>
      <c r="AJ1485">
        <v>15</v>
      </c>
      <c r="AK1485">
        <v>38</v>
      </c>
      <c r="AL1485" t="s">
        <v>74</v>
      </c>
      <c r="AM1485" t="s">
        <v>74</v>
      </c>
      <c r="AN1485" t="s">
        <v>74</v>
      </c>
      <c r="AO1485" t="s">
        <v>1132</v>
      </c>
      <c r="AP1485" t="s">
        <v>1133</v>
      </c>
      <c r="AQ1485" t="s">
        <v>74</v>
      </c>
      <c r="AR1485" t="s">
        <v>74</v>
      </c>
      <c r="AS1485" t="s">
        <v>74</v>
      </c>
      <c r="AT1485" t="s">
        <v>1134</v>
      </c>
      <c r="AU1485">
        <v>2021</v>
      </c>
      <c r="AV1485">
        <v>192</v>
      </c>
      <c r="AW1485" t="s">
        <v>74</v>
      </c>
      <c r="AX1485" t="s">
        <v>74</v>
      </c>
      <c r="AY1485" t="s">
        <v>74</v>
      </c>
      <c r="AZ1485" t="s">
        <v>74</v>
      </c>
      <c r="BA1485" t="s">
        <v>74</v>
      </c>
      <c r="BB1485" t="s">
        <v>74</v>
      </c>
      <c r="BC1485" t="s">
        <v>74</v>
      </c>
      <c r="BD1485">
        <v>113502</v>
      </c>
      <c r="BE1485" t="s">
        <v>1135</v>
      </c>
      <c r="BF1485" t="str">
        <f>HYPERLINK("http://dx.doi.org/10.1016/j.bios.2021.113502","http://dx.doi.org/10.1016/j.bios.2021.113502")</f>
        <v>http://dx.doi.org/10.1016/j.bios.2021.113502</v>
      </c>
      <c r="BG1485" t="s">
        <v>74</v>
      </c>
      <c r="BH1485" t="s">
        <v>1136</v>
      </c>
      <c r="BI1485" t="s">
        <v>74</v>
      </c>
      <c r="BJ1485" t="s">
        <v>1137</v>
      </c>
      <c r="BK1485" t="s">
        <v>117</v>
      </c>
      <c r="BL1485" t="s">
        <v>1138</v>
      </c>
      <c r="BM1485" t="s">
        <v>74</v>
      </c>
      <c r="BN1485">
        <v>34298496</v>
      </c>
      <c r="BO1485" t="s">
        <v>74</v>
      </c>
      <c r="BP1485" t="s">
        <v>74</v>
      </c>
      <c r="BQ1485" t="s">
        <v>74</v>
      </c>
      <c r="BR1485" t="s">
        <v>96</v>
      </c>
      <c r="BS1485" t="s">
        <v>1139</v>
      </c>
      <c r="BT1485" t="str">
        <f>HYPERLINK("https%3A%2F%2Fwww.webofscience.com%2Fwos%2Fwoscc%2Ffull-record%2FWOS:000704056300003","View Full Record in Web of Science")</f>
        <v>View Full Record in Web of Science</v>
      </c>
    </row>
    <row r="1486" spans="1:72" x14ac:dyDescent="0.15">
      <c r="A1486" t="s">
        <v>98</v>
      </c>
      <c r="B1486" t="s">
        <v>1412</v>
      </c>
      <c r="C1486" t="s">
        <v>74</v>
      </c>
      <c r="D1486" t="s">
        <v>74</v>
      </c>
      <c r="E1486" t="s">
        <v>74</v>
      </c>
      <c r="F1486" t="s">
        <v>1413</v>
      </c>
      <c r="G1486" t="s">
        <v>74</v>
      </c>
      <c r="H1486" t="s">
        <v>74</v>
      </c>
      <c r="I1486" t="s">
        <v>1414</v>
      </c>
      <c r="J1486" t="s">
        <v>1415</v>
      </c>
      <c r="K1486" t="s">
        <v>74</v>
      </c>
      <c r="L1486" t="s">
        <v>74</v>
      </c>
      <c r="M1486" t="s">
        <v>74</v>
      </c>
      <c r="N1486" t="s">
        <v>103</v>
      </c>
      <c r="O1486" t="s">
        <v>74</v>
      </c>
      <c r="P1486" t="s">
        <v>74</v>
      </c>
      <c r="Q1486" t="s">
        <v>74</v>
      </c>
      <c r="R1486" t="s">
        <v>74</v>
      </c>
      <c r="S1486" t="s">
        <v>74</v>
      </c>
      <c r="T1486" t="s">
        <v>1416</v>
      </c>
      <c r="U1486" t="s">
        <v>1417</v>
      </c>
      <c r="V1486" t="s">
        <v>1418</v>
      </c>
      <c r="W1486" t="s">
        <v>1419</v>
      </c>
      <c r="X1486" t="s">
        <v>1420</v>
      </c>
      <c r="Y1486" t="s">
        <v>1421</v>
      </c>
      <c r="Z1486" t="s">
        <v>1422</v>
      </c>
      <c r="AA1486" t="s">
        <v>1423</v>
      </c>
      <c r="AB1486" t="s">
        <v>1424</v>
      </c>
      <c r="AC1486" t="s">
        <v>74</v>
      </c>
      <c r="AD1486" t="s">
        <v>74</v>
      </c>
      <c r="AE1486" t="s">
        <v>74</v>
      </c>
      <c r="AF1486" t="s">
        <v>74</v>
      </c>
      <c r="AG1486">
        <v>95</v>
      </c>
      <c r="AH1486">
        <v>4</v>
      </c>
      <c r="AI1486">
        <v>4</v>
      </c>
      <c r="AJ1486">
        <v>1</v>
      </c>
      <c r="AK1486">
        <v>24</v>
      </c>
      <c r="AL1486" t="s">
        <v>74</v>
      </c>
      <c r="AM1486" t="s">
        <v>74</v>
      </c>
      <c r="AN1486" t="s">
        <v>74</v>
      </c>
      <c r="AO1486" t="s">
        <v>1425</v>
      </c>
      <c r="AP1486" t="s">
        <v>1426</v>
      </c>
      <c r="AQ1486" t="s">
        <v>74</v>
      </c>
      <c r="AR1486" t="s">
        <v>74</v>
      </c>
      <c r="AS1486" t="s">
        <v>74</v>
      </c>
      <c r="AT1486" t="s">
        <v>74</v>
      </c>
      <c r="AU1486">
        <v>2016</v>
      </c>
      <c r="AV1486">
        <v>16</v>
      </c>
      <c r="AW1486">
        <v>1</v>
      </c>
      <c r="AX1486" t="s">
        <v>74</v>
      </c>
      <c r="AY1486" t="s">
        <v>74</v>
      </c>
      <c r="AZ1486" t="s">
        <v>74</v>
      </c>
      <c r="BA1486" t="s">
        <v>74</v>
      </c>
      <c r="BB1486">
        <v>34</v>
      </c>
      <c r="BC1486">
        <v>42</v>
      </c>
      <c r="BD1486" t="s">
        <v>74</v>
      </c>
      <c r="BE1486" t="s">
        <v>1427</v>
      </c>
      <c r="BF1486" t="str">
        <f>HYPERLINK("http://dx.doi.org/10.2174/1568009615666150923115439","http://dx.doi.org/10.2174/1568009615666150923115439")</f>
        <v>http://dx.doi.org/10.2174/1568009615666150923115439</v>
      </c>
      <c r="BG1486" t="s">
        <v>74</v>
      </c>
      <c r="BH1486" t="s">
        <v>74</v>
      </c>
      <c r="BI1486" t="s">
        <v>74</v>
      </c>
      <c r="BJ1486" t="s">
        <v>267</v>
      </c>
      <c r="BK1486" t="s">
        <v>117</v>
      </c>
      <c r="BL1486" t="s">
        <v>267</v>
      </c>
      <c r="BM1486" t="s">
        <v>74</v>
      </c>
      <c r="BN1486">
        <v>26412464</v>
      </c>
      <c r="BO1486" t="s">
        <v>74</v>
      </c>
      <c r="BP1486" t="s">
        <v>74</v>
      </c>
      <c r="BQ1486" t="s">
        <v>74</v>
      </c>
      <c r="BR1486" t="s">
        <v>96</v>
      </c>
      <c r="BS1486" t="s">
        <v>1428</v>
      </c>
      <c r="BT1486" t="str">
        <f>HYPERLINK("https%3A%2F%2Fwww.webofscience.com%2Fwos%2Fwoscc%2Ffull-record%2FWOS:000366900100003","View Full Record in Web of Science")</f>
        <v>View Full Record in Web of Science</v>
      </c>
    </row>
    <row r="1487" spans="1:72" x14ac:dyDescent="0.15">
      <c r="A1487" t="s">
        <v>98</v>
      </c>
      <c r="B1487" t="s">
        <v>1955</v>
      </c>
      <c r="C1487" t="s">
        <v>74</v>
      </c>
      <c r="D1487" t="s">
        <v>74</v>
      </c>
      <c r="E1487" t="s">
        <v>74</v>
      </c>
      <c r="F1487" t="s">
        <v>1956</v>
      </c>
      <c r="G1487" t="s">
        <v>74</v>
      </c>
      <c r="H1487" t="s">
        <v>74</v>
      </c>
      <c r="I1487" t="s">
        <v>1957</v>
      </c>
      <c r="J1487" t="s">
        <v>1649</v>
      </c>
      <c r="K1487" t="s">
        <v>74</v>
      </c>
      <c r="L1487" t="s">
        <v>74</v>
      </c>
      <c r="M1487" t="s">
        <v>74</v>
      </c>
      <c r="N1487" t="s">
        <v>103</v>
      </c>
      <c r="O1487" t="s">
        <v>74</v>
      </c>
      <c r="P1487" t="s">
        <v>74</v>
      </c>
      <c r="Q1487" t="s">
        <v>74</v>
      </c>
      <c r="R1487" t="s">
        <v>74</v>
      </c>
      <c r="S1487" t="s">
        <v>74</v>
      </c>
      <c r="T1487" t="s">
        <v>1958</v>
      </c>
      <c r="U1487" t="s">
        <v>1959</v>
      </c>
      <c r="V1487" t="s">
        <v>1960</v>
      </c>
      <c r="W1487" t="s">
        <v>1961</v>
      </c>
      <c r="X1487" t="s">
        <v>1882</v>
      </c>
      <c r="Y1487" t="s">
        <v>1962</v>
      </c>
      <c r="Z1487" t="s">
        <v>1963</v>
      </c>
      <c r="AA1487" t="s">
        <v>74</v>
      </c>
      <c r="AB1487" t="s">
        <v>1964</v>
      </c>
      <c r="AC1487" t="s">
        <v>74</v>
      </c>
      <c r="AD1487" t="s">
        <v>74</v>
      </c>
      <c r="AE1487" t="s">
        <v>74</v>
      </c>
      <c r="AF1487" t="s">
        <v>74</v>
      </c>
      <c r="AG1487">
        <v>26</v>
      </c>
      <c r="AH1487">
        <v>4</v>
      </c>
      <c r="AI1487">
        <v>4</v>
      </c>
      <c r="AJ1487">
        <v>19</v>
      </c>
      <c r="AK1487">
        <v>49</v>
      </c>
      <c r="AL1487" t="s">
        <v>74</v>
      </c>
      <c r="AM1487" t="s">
        <v>74</v>
      </c>
      <c r="AN1487" t="s">
        <v>74</v>
      </c>
      <c r="AO1487" t="s">
        <v>1659</v>
      </c>
      <c r="AP1487" t="s">
        <v>1660</v>
      </c>
      <c r="AQ1487" t="s">
        <v>74</v>
      </c>
      <c r="AR1487" t="s">
        <v>74</v>
      </c>
      <c r="AS1487" t="s">
        <v>74</v>
      </c>
      <c r="AT1487" t="s">
        <v>1965</v>
      </c>
      <c r="AU1487">
        <v>2021</v>
      </c>
      <c r="AV1487">
        <v>21</v>
      </c>
      <c r="AW1487">
        <v>20</v>
      </c>
      <c r="AX1487" t="s">
        <v>74</v>
      </c>
      <c r="AY1487" t="s">
        <v>74</v>
      </c>
      <c r="AZ1487" t="s">
        <v>74</v>
      </c>
      <c r="BA1487" t="s">
        <v>74</v>
      </c>
      <c r="BB1487">
        <v>8563</v>
      </c>
      <c r="BC1487">
        <v>8570</v>
      </c>
      <c r="BD1487" t="s">
        <v>74</v>
      </c>
      <c r="BE1487" t="s">
        <v>1966</v>
      </c>
      <c r="BF1487" t="str">
        <f>HYPERLINK("http://dx.doi.org/10.1021/acs.nanolett.1c01817","http://dx.doi.org/10.1021/acs.nanolett.1c01817")</f>
        <v>http://dx.doi.org/10.1021/acs.nanolett.1c01817</v>
      </c>
      <c r="BG1487" t="s">
        <v>74</v>
      </c>
      <c r="BH1487" t="s">
        <v>1967</v>
      </c>
      <c r="BI1487" t="s">
        <v>74</v>
      </c>
      <c r="BJ1487" t="s">
        <v>250</v>
      </c>
      <c r="BK1487" t="s">
        <v>117</v>
      </c>
      <c r="BL1487" t="s">
        <v>251</v>
      </c>
      <c r="BM1487" t="s">
        <v>74</v>
      </c>
      <c r="BN1487">
        <v>34647460</v>
      </c>
      <c r="BO1487" t="s">
        <v>74</v>
      </c>
      <c r="BP1487" t="s">
        <v>74</v>
      </c>
      <c r="BQ1487" t="s">
        <v>74</v>
      </c>
      <c r="BR1487" t="s">
        <v>96</v>
      </c>
      <c r="BS1487" t="s">
        <v>1968</v>
      </c>
      <c r="BT1487" t="str">
        <f>HYPERLINK("https%3A%2F%2Fwww.webofscience.com%2Fwos%2Fwoscc%2Ffull-record%2FWOS:000713060900005","View Full Record in Web of Science")</f>
        <v>View Full Record in Web of Science</v>
      </c>
    </row>
    <row r="1488" spans="1:72" x14ac:dyDescent="0.15">
      <c r="A1488" t="s">
        <v>98</v>
      </c>
      <c r="B1488" t="s">
        <v>2150</v>
      </c>
      <c r="C1488" t="s">
        <v>74</v>
      </c>
      <c r="D1488" t="s">
        <v>74</v>
      </c>
      <c r="E1488" t="s">
        <v>74</v>
      </c>
      <c r="F1488" t="s">
        <v>2151</v>
      </c>
      <c r="G1488" t="s">
        <v>74</v>
      </c>
      <c r="H1488" t="s">
        <v>74</v>
      </c>
      <c r="I1488" t="s">
        <v>2152</v>
      </c>
      <c r="J1488" t="s">
        <v>817</v>
      </c>
      <c r="K1488" t="s">
        <v>74</v>
      </c>
      <c r="L1488" t="s">
        <v>74</v>
      </c>
      <c r="M1488" t="s">
        <v>74</v>
      </c>
      <c r="N1488" t="s">
        <v>103</v>
      </c>
      <c r="O1488" t="s">
        <v>74</v>
      </c>
      <c r="P1488" t="s">
        <v>74</v>
      </c>
      <c r="Q1488" t="s">
        <v>74</v>
      </c>
      <c r="R1488" t="s">
        <v>74</v>
      </c>
      <c r="S1488" t="s">
        <v>74</v>
      </c>
      <c r="T1488" t="s">
        <v>2153</v>
      </c>
      <c r="U1488" t="s">
        <v>2154</v>
      </c>
      <c r="V1488" t="s">
        <v>2155</v>
      </c>
      <c r="W1488" t="s">
        <v>2156</v>
      </c>
      <c r="X1488" t="s">
        <v>2157</v>
      </c>
      <c r="Y1488" t="s">
        <v>2158</v>
      </c>
      <c r="Z1488" t="s">
        <v>2159</v>
      </c>
      <c r="AA1488" t="s">
        <v>2160</v>
      </c>
      <c r="AB1488" t="s">
        <v>2161</v>
      </c>
      <c r="AC1488" t="s">
        <v>74</v>
      </c>
      <c r="AD1488" t="s">
        <v>74</v>
      </c>
      <c r="AE1488" t="s">
        <v>74</v>
      </c>
      <c r="AF1488" t="s">
        <v>74</v>
      </c>
      <c r="AG1488">
        <v>57</v>
      </c>
      <c r="AH1488">
        <v>4</v>
      </c>
      <c r="AI1488">
        <v>6</v>
      </c>
      <c r="AJ1488">
        <v>2</v>
      </c>
      <c r="AK1488">
        <v>5</v>
      </c>
      <c r="AL1488" t="s">
        <v>74</v>
      </c>
      <c r="AM1488" t="s">
        <v>74</v>
      </c>
      <c r="AN1488" t="s">
        <v>74</v>
      </c>
      <c r="AO1488" t="s">
        <v>74</v>
      </c>
      <c r="AP1488" t="s">
        <v>827</v>
      </c>
      <c r="AQ1488" t="s">
        <v>74</v>
      </c>
      <c r="AR1488" t="s">
        <v>74</v>
      </c>
      <c r="AS1488" t="s">
        <v>74</v>
      </c>
      <c r="AT1488" t="s">
        <v>967</v>
      </c>
      <c r="AU1488">
        <v>2020</v>
      </c>
      <c r="AV1488">
        <v>21</v>
      </c>
      <c r="AW1488">
        <v>23</v>
      </c>
      <c r="AX1488" t="s">
        <v>74</v>
      </c>
      <c r="AY1488" t="s">
        <v>74</v>
      </c>
      <c r="AZ1488" t="s">
        <v>74</v>
      </c>
      <c r="BA1488" t="s">
        <v>74</v>
      </c>
      <c r="BB1488" t="s">
        <v>74</v>
      </c>
      <c r="BC1488" t="s">
        <v>74</v>
      </c>
      <c r="BD1488">
        <v>9083</v>
      </c>
      <c r="BE1488" t="s">
        <v>2162</v>
      </c>
      <c r="BF1488" t="str">
        <f>HYPERLINK("http://dx.doi.org/10.3390/ijms21239083","http://dx.doi.org/10.3390/ijms21239083")</f>
        <v>http://dx.doi.org/10.3390/ijms21239083</v>
      </c>
      <c r="BG1488" t="s">
        <v>74</v>
      </c>
      <c r="BH1488" t="s">
        <v>74</v>
      </c>
      <c r="BI1488" t="s">
        <v>74</v>
      </c>
      <c r="BJ1488" t="s">
        <v>830</v>
      </c>
      <c r="BK1488" t="s">
        <v>117</v>
      </c>
      <c r="BL1488" t="s">
        <v>831</v>
      </c>
      <c r="BM1488" t="s">
        <v>74</v>
      </c>
      <c r="BN1488">
        <v>33260345</v>
      </c>
      <c r="BO1488" t="s">
        <v>74</v>
      </c>
      <c r="BP1488" t="s">
        <v>74</v>
      </c>
      <c r="BQ1488" t="s">
        <v>74</v>
      </c>
      <c r="BR1488" t="s">
        <v>96</v>
      </c>
      <c r="BS1488" t="s">
        <v>2163</v>
      </c>
      <c r="BT1488" t="str">
        <f>HYPERLINK("https%3A%2F%2Fwww.webofscience.com%2Fwos%2Fwoscc%2Ffull-record%2FWOS:000597589700001","View Full Record in Web of Science")</f>
        <v>View Full Record in Web of Science</v>
      </c>
    </row>
    <row r="1489" spans="1:72" x14ac:dyDescent="0.15">
      <c r="A1489" t="s">
        <v>98</v>
      </c>
      <c r="B1489" t="s">
        <v>2278</v>
      </c>
      <c r="C1489" t="s">
        <v>74</v>
      </c>
      <c r="D1489" t="s">
        <v>74</v>
      </c>
      <c r="E1489" t="s">
        <v>74</v>
      </c>
      <c r="F1489" t="s">
        <v>2279</v>
      </c>
      <c r="G1489" t="s">
        <v>74</v>
      </c>
      <c r="H1489" t="s">
        <v>74</v>
      </c>
      <c r="I1489" t="s">
        <v>2280</v>
      </c>
      <c r="J1489" t="s">
        <v>2281</v>
      </c>
      <c r="K1489" t="s">
        <v>74</v>
      </c>
      <c r="L1489" t="s">
        <v>74</v>
      </c>
      <c r="M1489" t="s">
        <v>74</v>
      </c>
      <c r="N1489" t="s">
        <v>103</v>
      </c>
      <c r="O1489" t="s">
        <v>74</v>
      </c>
      <c r="P1489" t="s">
        <v>74</v>
      </c>
      <c r="Q1489" t="s">
        <v>74</v>
      </c>
      <c r="R1489" t="s">
        <v>74</v>
      </c>
      <c r="S1489" t="s">
        <v>74</v>
      </c>
      <c r="T1489" t="s">
        <v>2282</v>
      </c>
      <c r="U1489" t="s">
        <v>2283</v>
      </c>
      <c r="V1489" t="s">
        <v>2284</v>
      </c>
      <c r="W1489" t="s">
        <v>2285</v>
      </c>
      <c r="X1489" t="s">
        <v>2286</v>
      </c>
      <c r="Y1489" t="s">
        <v>2287</v>
      </c>
      <c r="Z1489" t="s">
        <v>2288</v>
      </c>
      <c r="AA1489" t="s">
        <v>74</v>
      </c>
      <c r="AB1489" t="s">
        <v>2289</v>
      </c>
      <c r="AC1489" t="s">
        <v>74</v>
      </c>
      <c r="AD1489" t="s">
        <v>74</v>
      </c>
      <c r="AE1489" t="s">
        <v>74</v>
      </c>
      <c r="AF1489" t="s">
        <v>74</v>
      </c>
      <c r="AG1489">
        <v>191</v>
      </c>
      <c r="AH1489">
        <v>4</v>
      </c>
      <c r="AI1489">
        <v>4</v>
      </c>
      <c r="AJ1489">
        <v>1</v>
      </c>
      <c r="AK1489">
        <v>5</v>
      </c>
      <c r="AL1489" t="s">
        <v>74</v>
      </c>
      <c r="AM1489" t="s">
        <v>74</v>
      </c>
      <c r="AN1489" t="s">
        <v>74</v>
      </c>
      <c r="AO1489" t="s">
        <v>2290</v>
      </c>
      <c r="AP1489" t="s">
        <v>2291</v>
      </c>
      <c r="AQ1489" t="s">
        <v>74</v>
      </c>
      <c r="AR1489" t="s">
        <v>74</v>
      </c>
      <c r="AS1489" t="s">
        <v>74</v>
      </c>
      <c r="AT1489" t="s">
        <v>1570</v>
      </c>
      <c r="AU1489">
        <v>2020</v>
      </c>
      <c r="AV1489">
        <v>25</v>
      </c>
      <c r="AW1489" t="s">
        <v>74</v>
      </c>
      <c r="AX1489" t="s">
        <v>74</v>
      </c>
      <c r="AY1489" t="s">
        <v>74</v>
      </c>
      <c r="AZ1489" t="s">
        <v>74</v>
      </c>
      <c r="BA1489" t="s">
        <v>74</v>
      </c>
      <c r="BB1489">
        <v>1022</v>
      </c>
      <c r="BC1489">
        <v>1057</v>
      </c>
      <c r="BD1489" t="s">
        <v>2292</v>
      </c>
      <c r="BE1489" t="s">
        <v>2293</v>
      </c>
      <c r="BF1489" t="str">
        <f>HYPERLINK("http://dx.doi.org/10.2741/4846","http://dx.doi.org/10.2741/4846")</f>
        <v>http://dx.doi.org/10.2741/4846</v>
      </c>
      <c r="BG1489" t="s">
        <v>74</v>
      </c>
      <c r="BH1489" t="s">
        <v>74</v>
      </c>
      <c r="BI1489" t="s">
        <v>74</v>
      </c>
      <c r="BJ1489" t="s">
        <v>498</v>
      </c>
      <c r="BK1489" t="s">
        <v>117</v>
      </c>
      <c r="BL1489" t="s">
        <v>498</v>
      </c>
      <c r="BM1489" t="s">
        <v>74</v>
      </c>
      <c r="BN1489">
        <v>32114423</v>
      </c>
      <c r="BO1489" t="s">
        <v>74</v>
      </c>
      <c r="BP1489" t="s">
        <v>74</v>
      </c>
      <c r="BQ1489" t="s">
        <v>74</v>
      </c>
      <c r="BR1489" t="s">
        <v>96</v>
      </c>
      <c r="BS1489" t="s">
        <v>2294</v>
      </c>
      <c r="BT1489" t="str">
        <f>HYPERLINK("https%3A%2F%2Fwww.webofscience.com%2Fwos%2Fwoscc%2Ffull-record%2FWOS:000563769600002","View Full Record in Web of Science")</f>
        <v>View Full Record in Web of Science</v>
      </c>
    </row>
    <row r="1490" spans="1:72" x14ac:dyDescent="0.15">
      <c r="A1490" t="s">
        <v>98</v>
      </c>
      <c r="B1490" t="s">
        <v>2310</v>
      </c>
      <c r="C1490" t="s">
        <v>74</v>
      </c>
      <c r="D1490" t="s">
        <v>74</v>
      </c>
      <c r="E1490" t="s">
        <v>74</v>
      </c>
      <c r="F1490" t="s">
        <v>2311</v>
      </c>
      <c r="G1490" t="s">
        <v>74</v>
      </c>
      <c r="H1490" t="s">
        <v>74</v>
      </c>
      <c r="I1490" t="s">
        <v>2312</v>
      </c>
      <c r="J1490" t="s">
        <v>1123</v>
      </c>
      <c r="K1490" t="s">
        <v>74</v>
      </c>
      <c r="L1490" t="s">
        <v>74</v>
      </c>
      <c r="M1490" t="s">
        <v>74</v>
      </c>
      <c r="N1490" t="s">
        <v>103</v>
      </c>
      <c r="O1490" t="s">
        <v>74</v>
      </c>
      <c r="P1490" t="s">
        <v>74</v>
      </c>
      <c r="Q1490" t="s">
        <v>74</v>
      </c>
      <c r="R1490" t="s">
        <v>74</v>
      </c>
      <c r="S1490" t="s">
        <v>74</v>
      </c>
      <c r="T1490" t="s">
        <v>2313</v>
      </c>
      <c r="U1490" t="s">
        <v>2314</v>
      </c>
      <c r="V1490" t="s">
        <v>2315</v>
      </c>
      <c r="W1490" t="s">
        <v>2316</v>
      </c>
      <c r="X1490" t="s">
        <v>2317</v>
      </c>
      <c r="Y1490" t="s">
        <v>2318</v>
      </c>
      <c r="Z1490" t="s">
        <v>2319</v>
      </c>
      <c r="AA1490" t="s">
        <v>74</v>
      </c>
      <c r="AB1490" t="s">
        <v>2320</v>
      </c>
      <c r="AC1490" t="s">
        <v>74</v>
      </c>
      <c r="AD1490" t="s">
        <v>74</v>
      </c>
      <c r="AE1490" t="s">
        <v>74</v>
      </c>
      <c r="AF1490" t="s">
        <v>74</v>
      </c>
      <c r="AG1490">
        <v>36</v>
      </c>
      <c r="AH1490">
        <v>4</v>
      </c>
      <c r="AI1490">
        <v>4</v>
      </c>
      <c r="AJ1490">
        <v>22</v>
      </c>
      <c r="AK1490">
        <v>72</v>
      </c>
      <c r="AL1490" t="s">
        <v>74</v>
      </c>
      <c r="AM1490" t="s">
        <v>74</v>
      </c>
      <c r="AN1490" t="s">
        <v>74</v>
      </c>
      <c r="AO1490" t="s">
        <v>1132</v>
      </c>
      <c r="AP1490" t="s">
        <v>1133</v>
      </c>
      <c r="AQ1490" t="s">
        <v>74</v>
      </c>
      <c r="AR1490" t="s">
        <v>74</v>
      </c>
      <c r="AS1490" t="s">
        <v>74</v>
      </c>
      <c r="AT1490" t="s">
        <v>2321</v>
      </c>
      <c r="AU1490">
        <v>2021</v>
      </c>
      <c r="AV1490">
        <v>194</v>
      </c>
      <c r="AW1490" t="s">
        <v>74</v>
      </c>
      <c r="AX1490" t="s">
        <v>74</v>
      </c>
      <c r="AY1490" t="s">
        <v>74</v>
      </c>
      <c r="AZ1490" t="s">
        <v>74</v>
      </c>
      <c r="BA1490" t="s">
        <v>74</v>
      </c>
      <c r="BB1490" t="s">
        <v>74</v>
      </c>
      <c r="BC1490" t="s">
        <v>74</v>
      </c>
      <c r="BD1490">
        <v>113585</v>
      </c>
      <c r="BE1490" t="s">
        <v>2322</v>
      </c>
      <c r="BF1490" t="str">
        <f>HYPERLINK("http://dx.doi.org/10.1016/j.bios.2021.113585","http://dx.doi.org/10.1016/j.bios.2021.113585")</f>
        <v>http://dx.doi.org/10.1016/j.bios.2021.113585</v>
      </c>
      <c r="BG1490" t="s">
        <v>74</v>
      </c>
      <c r="BH1490" t="s">
        <v>395</v>
      </c>
      <c r="BI1490" t="s">
        <v>74</v>
      </c>
      <c r="BJ1490" t="s">
        <v>1137</v>
      </c>
      <c r="BK1490" t="s">
        <v>117</v>
      </c>
      <c r="BL1490" t="s">
        <v>1138</v>
      </c>
      <c r="BM1490" t="s">
        <v>74</v>
      </c>
      <c r="BN1490">
        <v>34517262</v>
      </c>
      <c r="BO1490" t="s">
        <v>74</v>
      </c>
      <c r="BP1490" t="s">
        <v>74</v>
      </c>
      <c r="BQ1490" t="s">
        <v>74</v>
      </c>
      <c r="BR1490" t="s">
        <v>96</v>
      </c>
      <c r="BS1490" t="s">
        <v>2323</v>
      </c>
      <c r="BT1490" t="str">
        <f>HYPERLINK("https%3A%2F%2Fwww.webofscience.com%2Fwos%2Fwoscc%2Ffull-record%2FWOS:000697624400001","View Full Record in Web of Science")</f>
        <v>View Full Record in Web of Science</v>
      </c>
    </row>
    <row r="1491" spans="1:72" x14ac:dyDescent="0.15">
      <c r="A1491" t="s">
        <v>98</v>
      </c>
      <c r="B1491" t="s">
        <v>2860</v>
      </c>
      <c r="C1491" t="s">
        <v>74</v>
      </c>
      <c r="D1491" t="s">
        <v>74</v>
      </c>
      <c r="E1491" t="s">
        <v>74</v>
      </c>
      <c r="F1491" t="s">
        <v>2861</v>
      </c>
      <c r="G1491" t="s">
        <v>74</v>
      </c>
      <c r="H1491" t="s">
        <v>74</v>
      </c>
      <c r="I1491" t="s">
        <v>2862</v>
      </c>
      <c r="J1491" t="s">
        <v>2863</v>
      </c>
      <c r="K1491" t="s">
        <v>74</v>
      </c>
      <c r="L1491" t="s">
        <v>74</v>
      </c>
      <c r="M1491" t="s">
        <v>74</v>
      </c>
      <c r="N1491" t="s">
        <v>103</v>
      </c>
      <c r="O1491" t="s">
        <v>74</v>
      </c>
      <c r="P1491" t="s">
        <v>74</v>
      </c>
      <c r="Q1491" t="s">
        <v>74</v>
      </c>
      <c r="R1491" t="s">
        <v>74</v>
      </c>
      <c r="S1491" t="s">
        <v>74</v>
      </c>
      <c r="T1491" t="s">
        <v>2864</v>
      </c>
      <c r="U1491" t="s">
        <v>2865</v>
      </c>
      <c r="V1491" t="s">
        <v>2866</v>
      </c>
      <c r="W1491" t="s">
        <v>2867</v>
      </c>
      <c r="X1491" t="s">
        <v>2868</v>
      </c>
      <c r="Y1491" t="s">
        <v>2869</v>
      </c>
      <c r="Z1491" t="s">
        <v>2870</v>
      </c>
      <c r="AA1491" t="s">
        <v>74</v>
      </c>
      <c r="AB1491" t="s">
        <v>74</v>
      </c>
      <c r="AC1491" t="s">
        <v>74</v>
      </c>
      <c r="AD1491" t="s">
        <v>74</v>
      </c>
      <c r="AE1491" t="s">
        <v>74</v>
      </c>
      <c r="AF1491" t="s">
        <v>74</v>
      </c>
      <c r="AG1491">
        <v>24</v>
      </c>
      <c r="AH1491">
        <v>4</v>
      </c>
      <c r="AI1491">
        <v>4</v>
      </c>
      <c r="AJ1491">
        <v>4</v>
      </c>
      <c r="AK1491">
        <v>10</v>
      </c>
      <c r="AL1491" t="s">
        <v>74</v>
      </c>
      <c r="AM1491" t="s">
        <v>74</v>
      </c>
      <c r="AN1491" t="s">
        <v>74</v>
      </c>
      <c r="AO1491" t="s">
        <v>2871</v>
      </c>
      <c r="AP1491" t="s">
        <v>2872</v>
      </c>
      <c r="AQ1491" t="s">
        <v>74</v>
      </c>
      <c r="AR1491" t="s">
        <v>74</v>
      </c>
      <c r="AS1491" t="s">
        <v>74</v>
      </c>
      <c r="AT1491" t="s">
        <v>319</v>
      </c>
      <c r="AU1491">
        <v>2021</v>
      </c>
      <c r="AV1491">
        <v>32</v>
      </c>
      <c r="AW1491" t="s">
        <v>2873</v>
      </c>
      <c r="AX1491" t="s">
        <v>74</v>
      </c>
      <c r="AY1491" t="s">
        <v>74</v>
      </c>
      <c r="AZ1491" t="s">
        <v>74</v>
      </c>
      <c r="BA1491" t="s">
        <v>74</v>
      </c>
      <c r="BB1491">
        <v>1457</v>
      </c>
      <c r="BC1491">
        <v>1470</v>
      </c>
      <c r="BD1491" t="s">
        <v>74</v>
      </c>
      <c r="BE1491" t="s">
        <v>2874</v>
      </c>
      <c r="BF1491" t="str">
        <f>HYPERLINK("http://dx.doi.org/10.1089/hum.2021.122","http://dx.doi.org/10.1089/hum.2021.122")</f>
        <v>http://dx.doi.org/10.1089/hum.2021.122</v>
      </c>
      <c r="BG1491" t="s">
        <v>74</v>
      </c>
      <c r="BH1491" t="s">
        <v>74</v>
      </c>
      <c r="BI1491" t="s">
        <v>74</v>
      </c>
      <c r="BJ1491" t="s">
        <v>2875</v>
      </c>
      <c r="BK1491" t="s">
        <v>117</v>
      </c>
      <c r="BL1491" t="s">
        <v>2876</v>
      </c>
      <c r="BM1491" t="s">
        <v>74</v>
      </c>
      <c r="BN1491">
        <v>34445894</v>
      </c>
      <c r="BO1491" t="s">
        <v>74</v>
      </c>
      <c r="BP1491" t="s">
        <v>74</v>
      </c>
      <c r="BQ1491" t="s">
        <v>74</v>
      </c>
      <c r="BR1491" t="s">
        <v>96</v>
      </c>
      <c r="BS1491" t="s">
        <v>2877</v>
      </c>
      <c r="BT1491" t="str">
        <f>HYPERLINK("https%3A%2F%2Fwww.webofscience.com%2Fwos%2Fwoscc%2Ffull-record%2FWOS:000733060200010","View Full Record in Web of Science")</f>
        <v>View Full Record in Web of Science</v>
      </c>
    </row>
    <row r="1492" spans="1:72" x14ac:dyDescent="0.15">
      <c r="A1492" t="s">
        <v>98</v>
      </c>
      <c r="B1492" t="s">
        <v>3378</v>
      </c>
      <c r="C1492" t="s">
        <v>74</v>
      </c>
      <c r="D1492" t="s">
        <v>74</v>
      </c>
      <c r="E1492" t="s">
        <v>74</v>
      </c>
      <c r="F1492" t="s">
        <v>3379</v>
      </c>
      <c r="G1492" t="s">
        <v>74</v>
      </c>
      <c r="H1492" t="s">
        <v>74</v>
      </c>
      <c r="I1492" t="s">
        <v>3380</v>
      </c>
      <c r="J1492" t="s">
        <v>3381</v>
      </c>
      <c r="K1492" t="s">
        <v>74</v>
      </c>
      <c r="L1492" t="s">
        <v>74</v>
      </c>
      <c r="M1492" t="s">
        <v>74</v>
      </c>
      <c r="N1492" t="s">
        <v>103</v>
      </c>
      <c r="O1492" t="s">
        <v>74</v>
      </c>
      <c r="P1492" t="s">
        <v>74</v>
      </c>
      <c r="Q1492" t="s">
        <v>74</v>
      </c>
      <c r="R1492" t="s">
        <v>74</v>
      </c>
      <c r="S1492" t="s">
        <v>74</v>
      </c>
      <c r="T1492" t="s">
        <v>3382</v>
      </c>
      <c r="U1492" t="s">
        <v>3383</v>
      </c>
      <c r="V1492" t="s">
        <v>3384</v>
      </c>
      <c r="W1492" t="s">
        <v>3385</v>
      </c>
      <c r="X1492" t="s">
        <v>3386</v>
      </c>
      <c r="Y1492" t="s">
        <v>3387</v>
      </c>
      <c r="Z1492" t="s">
        <v>1166</v>
      </c>
      <c r="AA1492" t="s">
        <v>74</v>
      </c>
      <c r="AB1492" t="s">
        <v>74</v>
      </c>
      <c r="AC1492" t="s">
        <v>74</v>
      </c>
      <c r="AD1492" t="s">
        <v>74</v>
      </c>
      <c r="AE1492" t="s">
        <v>74</v>
      </c>
      <c r="AF1492" t="s">
        <v>74</v>
      </c>
      <c r="AG1492">
        <v>32</v>
      </c>
      <c r="AH1492">
        <v>4</v>
      </c>
      <c r="AI1492">
        <v>4</v>
      </c>
      <c r="AJ1492">
        <v>0</v>
      </c>
      <c r="AK1492">
        <v>1</v>
      </c>
      <c r="AL1492" t="s">
        <v>74</v>
      </c>
      <c r="AM1492" t="s">
        <v>74</v>
      </c>
      <c r="AN1492" t="s">
        <v>74</v>
      </c>
      <c r="AO1492" t="s">
        <v>3388</v>
      </c>
      <c r="AP1492" t="s">
        <v>3389</v>
      </c>
      <c r="AQ1492" t="s">
        <v>74</v>
      </c>
      <c r="AR1492" t="s">
        <v>74</v>
      </c>
      <c r="AS1492" t="s">
        <v>74</v>
      </c>
      <c r="AT1492" t="s">
        <v>114</v>
      </c>
      <c r="AU1492">
        <v>2021</v>
      </c>
      <c r="AV1492">
        <v>10</v>
      </c>
      <c r="AW1492">
        <v>1</v>
      </c>
      <c r="AX1492" t="s">
        <v>74</v>
      </c>
      <c r="AY1492" t="s">
        <v>74</v>
      </c>
      <c r="AZ1492" t="s">
        <v>74</v>
      </c>
      <c r="BA1492" t="s">
        <v>74</v>
      </c>
      <c r="BB1492">
        <v>104</v>
      </c>
      <c r="BC1492" t="s">
        <v>3390</v>
      </c>
      <c r="BD1492" t="s">
        <v>74</v>
      </c>
      <c r="BE1492" t="s">
        <v>3391</v>
      </c>
      <c r="BF1492" t="str">
        <f>HYPERLINK("http://dx.doi.org/10.21037/tlcr-20-888","http://dx.doi.org/10.21037/tlcr-20-888")</f>
        <v>http://dx.doi.org/10.21037/tlcr-20-888</v>
      </c>
      <c r="BG1492" t="s">
        <v>74</v>
      </c>
      <c r="BH1492" t="s">
        <v>74</v>
      </c>
      <c r="BI1492" t="s">
        <v>74</v>
      </c>
      <c r="BJ1492" t="s">
        <v>1539</v>
      </c>
      <c r="BK1492" t="s">
        <v>117</v>
      </c>
      <c r="BL1492" t="s">
        <v>1539</v>
      </c>
      <c r="BM1492" t="s">
        <v>74</v>
      </c>
      <c r="BN1492">
        <v>33569297</v>
      </c>
      <c r="BO1492" t="s">
        <v>74</v>
      </c>
      <c r="BP1492" t="s">
        <v>74</v>
      </c>
      <c r="BQ1492" t="s">
        <v>74</v>
      </c>
      <c r="BR1492" t="s">
        <v>96</v>
      </c>
      <c r="BS1492" t="s">
        <v>3392</v>
      </c>
      <c r="BT1492" t="str">
        <f>HYPERLINK("https%3A%2F%2Fwww.webofscience.com%2Fwos%2Fwoscc%2Ffull-record%2FWOS:000723882000012","View Full Record in Web of Science")</f>
        <v>View Full Record in Web of Science</v>
      </c>
    </row>
    <row r="1493" spans="1:72" x14ac:dyDescent="0.15">
      <c r="A1493" t="s">
        <v>98</v>
      </c>
      <c r="B1493" t="s">
        <v>3519</v>
      </c>
      <c r="C1493" t="s">
        <v>74</v>
      </c>
      <c r="D1493" t="s">
        <v>74</v>
      </c>
      <c r="E1493" t="s">
        <v>74</v>
      </c>
      <c r="F1493" t="s">
        <v>3520</v>
      </c>
      <c r="G1493" t="s">
        <v>74</v>
      </c>
      <c r="H1493" t="s">
        <v>74</v>
      </c>
      <c r="I1493" t="s">
        <v>3521</v>
      </c>
      <c r="J1493" t="s">
        <v>325</v>
      </c>
      <c r="K1493" t="s">
        <v>74</v>
      </c>
      <c r="L1493" t="s">
        <v>74</v>
      </c>
      <c r="M1493" t="s">
        <v>74</v>
      </c>
      <c r="N1493" t="s">
        <v>103</v>
      </c>
      <c r="O1493" t="s">
        <v>74</v>
      </c>
      <c r="P1493" t="s">
        <v>74</v>
      </c>
      <c r="Q1493" t="s">
        <v>74</v>
      </c>
      <c r="R1493" t="s">
        <v>74</v>
      </c>
      <c r="S1493" t="s">
        <v>74</v>
      </c>
      <c r="T1493" t="s">
        <v>3522</v>
      </c>
      <c r="U1493" t="s">
        <v>3523</v>
      </c>
      <c r="V1493" t="s">
        <v>3524</v>
      </c>
      <c r="W1493" t="s">
        <v>3525</v>
      </c>
      <c r="X1493" t="s">
        <v>3526</v>
      </c>
      <c r="Y1493" t="s">
        <v>3527</v>
      </c>
      <c r="Z1493" t="s">
        <v>3528</v>
      </c>
      <c r="AA1493" t="s">
        <v>74</v>
      </c>
      <c r="AB1493" t="s">
        <v>74</v>
      </c>
      <c r="AC1493" t="s">
        <v>74</v>
      </c>
      <c r="AD1493" t="s">
        <v>74</v>
      </c>
      <c r="AE1493" t="s">
        <v>74</v>
      </c>
      <c r="AF1493" t="s">
        <v>74</v>
      </c>
      <c r="AG1493">
        <v>40</v>
      </c>
      <c r="AH1493">
        <v>4</v>
      </c>
      <c r="AI1493">
        <v>4</v>
      </c>
      <c r="AJ1493">
        <v>0</v>
      </c>
      <c r="AK1493">
        <v>6</v>
      </c>
      <c r="AL1493" t="s">
        <v>74</v>
      </c>
      <c r="AM1493" t="s">
        <v>74</v>
      </c>
      <c r="AN1493" t="s">
        <v>74</v>
      </c>
      <c r="AO1493" t="s">
        <v>333</v>
      </c>
      <c r="AP1493" t="s">
        <v>334</v>
      </c>
      <c r="AQ1493" t="s">
        <v>74</v>
      </c>
      <c r="AR1493" t="s">
        <v>74</v>
      </c>
      <c r="AS1493" t="s">
        <v>74</v>
      </c>
      <c r="AT1493" t="s">
        <v>211</v>
      </c>
      <c r="AU1493">
        <v>2017</v>
      </c>
      <c r="AV1493">
        <v>36</v>
      </c>
      <c r="AW1493">
        <v>11</v>
      </c>
      <c r="AX1493" t="s">
        <v>74</v>
      </c>
      <c r="AY1493" t="s">
        <v>74</v>
      </c>
      <c r="AZ1493" t="s">
        <v>74</v>
      </c>
      <c r="BA1493" t="s">
        <v>74</v>
      </c>
      <c r="BB1493">
        <v>909</v>
      </c>
      <c r="BC1493">
        <v>921</v>
      </c>
      <c r="BD1493" t="s">
        <v>74</v>
      </c>
      <c r="BE1493" t="s">
        <v>3529</v>
      </c>
      <c r="BF1493" t="str">
        <f>HYPERLINK("http://dx.doi.org/10.1089/dna.2017.3847","http://dx.doi.org/10.1089/dna.2017.3847")</f>
        <v>http://dx.doi.org/10.1089/dna.2017.3847</v>
      </c>
      <c r="BG1493" t="s">
        <v>74</v>
      </c>
      <c r="BH1493" t="s">
        <v>74</v>
      </c>
      <c r="BI1493" t="s">
        <v>74</v>
      </c>
      <c r="BJ1493" t="s">
        <v>338</v>
      </c>
      <c r="BK1493" t="s">
        <v>117</v>
      </c>
      <c r="BL1493" t="s">
        <v>338</v>
      </c>
      <c r="BM1493" t="s">
        <v>74</v>
      </c>
      <c r="BN1493">
        <v>29040005</v>
      </c>
      <c r="BO1493" t="s">
        <v>74</v>
      </c>
      <c r="BP1493" t="s">
        <v>74</v>
      </c>
      <c r="BQ1493" t="s">
        <v>74</v>
      </c>
      <c r="BR1493" t="s">
        <v>96</v>
      </c>
      <c r="BS1493" t="s">
        <v>3530</v>
      </c>
      <c r="BT1493" t="str">
        <f>HYPERLINK("https%3A%2F%2Fwww.webofscience.com%2Fwos%2Fwoscc%2Ffull-record%2FWOS:000415091900005","View Full Record in Web of Science")</f>
        <v>View Full Record in Web of Science</v>
      </c>
    </row>
    <row r="1494" spans="1:72" x14ac:dyDescent="0.15">
      <c r="A1494" t="s">
        <v>98</v>
      </c>
      <c r="B1494" t="s">
        <v>3567</v>
      </c>
      <c r="C1494" t="s">
        <v>74</v>
      </c>
      <c r="D1494" t="s">
        <v>74</v>
      </c>
      <c r="E1494" t="s">
        <v>74</v>
      </c>
      <c r="F1494" t="s">
        <v>3568</v>
      </c>
      <c r="G1494" t="s">
        <v>74</v>
      </c>
      <c r="H1494" t="s">
        <v>74</v>
      </c>
      <c r="I1494" t="s">
        <v>3569</v>
      </c>
      <c r="J1494" t="s">
        <v>3570</v>
      </c>
      <c r="K1494" t="s">
        <v>74</v>
      </c>
      <c r="L1494" t="s">
        <v>74</v>
      </c>
      <c r="M1494" t="s">
        <v>74</v>
      </c>
      <c r="N1494" t="s">
        <v>103</v>
      </c>
      <c r="O1494" t="s">
        <v>74</v>
      </c>
      <c r="P1494" t="s">
        <v>74</v>
      </c>
      <c r="Q1494" t="s">
        <v>74</v>
      </c>
      <c r="R1494" t="s">
        <v>74</v>
      </c>
      <c r="S1494" t="s">
        <v>74</v>
      </c>
      <c r="T1494" t="s">
        <v>3571</v>
      </c>
      <c r="U1494" t="s">
        <v>3572</v>
      </c>
      <c r="V1494" t="s">
        <v>3573</v>
      </c>
      <c r="W1494" t="s">
        <v>3574</v>
      </c>
      <c r="X1494" t="s">
        <v>3575</v>
      </c>
      <c r="Y1494" t="s">
        <v>3576</v>
      </c>
      <c r="Z1494" t="s">
        <v>3577</v>
      </c>
      <c r="AA1494" t="s">
        <v>3578</v>
      </c>
      <c r="AB1494" t="s">
        <v>3579</v>
      </c>
      <c r="AC1494" t="s">
        <v>74</v>
      </c>
      <c r="AD1494" t="s">
        <v>74</v>
      </c>
      <c r="AE1494" t="s">
        <v>74</v>
      </c>
      <c r="AF1494" t="s">
        <v>74</v>
      </c>
      <c r="AG1494">
        <v>46</v>
      </c>
      <c r="AH1494">
        <v>4</v>
      </c>
      <c r="AI1494">
        <v>3</v>
      </c>
      <c r="AJ1494">
        <v>32</v>
      </c>
      <c r="AK1494">
        <v>56</v>
      </c>
      <c r="AL1494" t="s">
        <v>74</v>
      </c>
      <c r="AM1494" t="s">
        <v>74</v>
      </c>
      <c r="AN1494" t="s">
        <v>74</v>
      </c>
      <c r="AO1494" t="s">
        <v>3580</v>
      </c>
      <c r="AP1494" t="s">
        <v>3581</v>
      </c>
      <c r="AQ1494" t="s">
        <v>74</v>
      </c>
      <c r="AR1494" t="s">
        <v>74</v>
      </c>
      <c r="AS1494" t="s">
        <v>74</v>
      </c>
      <c r="AT1494" t="s">
        <v>283</v>
      </c>
      <c r="AU1494">
        <v>2022</v>
      </c>
      <c r="AV1494">
        <v>92</v>
      </c>
      <c r="AW1494" t="s">
        <v>74</v>
      </c>
      <c r="AX1494" t="s">
        <v>74</v>
      </c>
      <c r="AY1494" t="s">
        <v>74</v>
      </c>
      <c r="AZ1494" t="s">
        <v>74</v>
      </c>
      <c r="BA1494" t="s">
        <v>74</v>
      </c>
      <c r="BB1494" t="s">
        <v>74</v>
      </c>
      <c r="BC1494" t="s">
        <v>74</v>
      </c>
      <c r="BD1494">
        <v>106781</v>
      </c>
      <c r="BE1494" t="s">
        <v>3582</v>
      </c>
      <c r="BF1494" t="str">
        <f>HYPERLINK("http://dx.doi.org/10.1016/j.nanoen.2021.106781","http://dx.doi.org/10.1016/j.nanoen.2021.106781")</f>
        <v>http://dx.doi.org/10.1016/j.nanoen.2021.106781</v>
      </c>
      <c r="BG1494" t="s">
        <v>74</v>
      </c>
      <c r="BH1494" t="s">
        <v>2718</v>
      </c>
      <c r="BI1494" t="s">
        <v>74</v>
      </c>
      <c r="BJ1494" t="s">
        <v>3583</v>
      </c>
      <c r="BK1494" t="s">
        <v>117</v>
      </c>
      <c r="BL1494" t="s">
        <v>251</v>
      </c>
      <c r="BM1494" t="s">
        <v>74</v>
      </c>
      <c r="BN1494" t="s">
        <v>74</v>
      </c>
      <c r="BO1494" t="s">
        <v>74</v>
      </c>
      <c r="BP1494" t="s">
        <v>74</v>
      </c>
      <c r="BQ1494" t="s">
        <v>74</v>
      </c>
      <c r="BR1494" t="s">
        <v>96</v>
      </c>
      <c r="BS1494" t="s">
        <v>3584</v>
      </c>
      <c r="BT1494" t="str">
        <f>HYPERLINK("https%3A%2F%2Fwww.webofscience.com%2Fwos%2Fwoscc%2Ffull-record%2FWOS:000726773700001","View Full Record in Web of Science")</f>
        <v>View Full Record in Web of Science</v>
      </c>
    </row>
    <row r="1495" spans="1:72" x14ac:dyDescent="0.15">
      <c r="A1495" t="s">
        <v>98</v>
      </c>
      <c r="B1495" t="s">
        <v>3647</v>
      </c>
      <c r="C1495" t="s">
        <v>74</v>
      </c>
      <c r="D1495" t="s">
        <v>74</v>
      </c>
      <c r="E1495" t="s">
        <v>74</v>
      </c>
      <c r="F1495" t="s">
        <v>3648</v>
      </c>
      <c r="G1495" t="s">
        <v>74</v>
      </c>
      <c r="H1495" t="s">
        <v>74</v>
      </c>
      <c r="I1495" t="s">
        <v>3649</v>
      </c>
      <c r="J1495" t="s">
        <v>3650</v>
      </c>
      <c r="K1495" t="s">
        <v>74</v>
      </c>
      <c r="L1495" t="s">
        <v>74</v>
      </c>
      <c r="M1495" t="s">
        <v>74</v>
      </c>
      <c r="N1495" t="s">
        <v>103</v>
      </c>
      <c r="O1495" t="s">
        <v>74</v>
      </c>
      <c r="P1495" t="s">
        <v>74</v>
      </c>
      <c r="Q1495" t="s">
        <v>74</v>
      </c>
      <c r="R1495" t="s">
        <v>74</v>
      </c>
      <c r="S1495" t="s">
        <v>74</v>
      </c>
      <c r="T1495" t="s">
        <v>3651</v>
      </c>
      <c r="U1495" t="s">
        <v>3652</v>
      </c>
      <c r="V1495" t="s">
        <v>3653</v>
      </c>
      <c r="W1495" t="s">
        <v>3654</v>
      </c>
      <c r="X1495" t="s">
        <v>3655</v>
      </c>
      <c r="Y1495" t="s">
        <v>3656</v>
      </c>
      <c r="Z1495" t="s">
        <v>3657</v>
      </c>
      <c r="AA1495" t="s">
        <v>74</v>
      </c>
      <c r="AB1495" t="s">
        <v>3658</v>
      </c>
      <c r="AC1495" t="s">
        <v>74</v>
      </c>
      <c r="AD1495" t="s">
        <v>74</v>
      </c>
      <c r="AE1495" t="s">
        <v>74</v>
      </c>
      <c r="AF1495" t="s">
        <v>74</v>
      </c>
      <c r="AG1495">
        <v>38</v>
      </c>
      <c r="AH1495">
        <v>4</v>
      </c>
      <c r="AI1495">
        <v>4</v>
      </c>
      <c r="AJ1495">
        <v>31</v>
      </c>
      <c r="AK1495">
        <v>66</v>
      </c>
      <c r="AL1495" t="s">
        <v>74</v>
      </c>
      <c r="AM1495" t="s">
        <v>74</v>
      </c>
      <c r="AN1495" t="s">
        <v>74</v>
      </c>
      <c r="AO1495" t="s">
        <v>74</v>
      </c>
      <c r="AP1495" t="s">
        <v>3659</v>
      </c>
      <c r="AQ1495" t="s">
        <v>74</v>
      </c>
      <c r="AR1495" t="s">
        <v>74</v>
      </c>
      <c r="AS1495" t="s">
        <v>74</v>
      </c>
      <c r="AT1495" t="s">
        <v>3660</v>
      </c>
      <c r="AU1495">
        <v>2021</v>
      </c>
      <c r="AV1495">
        <v>329</v>
      </c>
      <c r="AW1495" t="s">
        <v>74</v>
      </c>
      <c r="AX1495" t="s">
        <v>74</v>
      </c>
      <c r="AY1495" t="s">
        <v>74</v>
      </c>
      <c r="AZ1495" t="s">
        <v>74</v>
      </c>
      <c r="BA1495" t="s">
        <v>74</v>
      </c>
      <c r="BB1495" t="s">
        <v>74</v>
      </c>
      <c r="BC1495" t="s">
        <v>74</v>
      </c>
      <c r="BD1495">
        <v>129136</v>
      </c>
      <c r="BE1495" t="s">
        <v>3661</v>
      </c>
      <c r="BF1495" t="str">
        <f>HYPERLINK("http://dx.doi.org/10.1016/j.snb.2020.129136","http://dx.doi.org/10.1016/j.snb.2020.129136")</f>
        <v>http://dx.doi.org/10.1016/j.snb.2020.129136</v>
      </c>
      <c r="BG1495" t="s">
        <v>74</v>
      </c>
      <c r="BH1495" t="s">
        <v>3662</v>
      </c>
      <c r="BI1495" t="s">
        <v>74</v>
      </c>
      <c r="BJ1495" t="s">
        <v>3663</v>
      </c>
      <c r="BK1495" t="s">
        <v>117</v>
      </c>
      <c r="BL1495" t="s">
        <v>3664</v>
      </c>
      <c r="BM1495" t="s">
        <v>74</v>
      </c>
      <c r="BN1495" t="s">
        <v>74</v>
      </c>
      <c r="BO1495" t="s">
        <v>74</v>
      </c>
      <c r="BP1495" t="s">
        <v>74</v>
      </c>
      <c r="BQ1495" t="s">
        <v>74</v>
      </c>
      <c r="BR1495" t="s">
        <v>96</v>
      </c>
      <c r="BS1495" t="s">
        <v>3665</v>
      </c>
      <c r="BT1495" t="str">
        <f>HYPERLINK("https%3A%2F%2Fwww.webofscience.com%2Fwos%2Fwoscc%2Ffull-record%2FWOS:000612073100004","View Full Record in Web of Science")</f>
        <v>View Full Record in Web of Science</v>
      </c>
    </row>
    <row r="1496" spans="1:72" x14ac:dyDescent="0.15">
      <c r="A1496" t="s">
        <v>98</v>
      </c>
      <c r="B1496" t="s">
        <v>4058</v>
      </c>
      <c r="C1496" t="s">
        <v>74</v>
      </c>
      <c r="D1496" t="s">
        <v>74</v>
      </c>
      <c r="E1496" t="s">
        <v>74</v>
      </c>
      <c r="F1496" t="s">
        <v>4059</v>
      </c>
      <c r="G1496" t="s">
        <v>74</v>
      </c>
      <c r="H1496" t="s">
        <v>74</v>
      </c>
      <c r="I1496" t="s">
        <v>4060</v>
      </c>
      <c r="J1496" t="s">
        <v>4061</v>
      </c>
      <c r="K1496" t="s">
        <v>74</v>
      </c>
      <c r="L1496" t="s">
        <v>74</v>
      </c>
      <c r="M1496" t="s">
        <v>74</v>
      </c>
      <c r="N1496" t="s">
        <v>103</v>
      </c>
      <c r="O1496" t="s">
        <v>74</v>
      </c>
      <c r="P1496" t="s">
        <v>74</v>
      </c>
      <c r="Q1496" t="s">
        <v>74</v>
      </c>
      <c r="R1496" t="s">
        <v>74</v>
      </c>
      <c r="S1496" t="s">
        <v>74</v>
      </c>
      <c r="T1496" t="s">
        <v>4062</v>
      </c>
      <c r="U1496" t="s">
        <v>4063</v>
      </c>
      <c r="V1496" t="s">
        <v>4064</v>
      </c>
      <c r="W1496" t="s">
        <v>4065</v>
      </c>
      <c r="X1496" t="s">
        <v>4066</v>
      </c>
      <c r="Y1496" t="s">
        <v>4067</v>
      </c>
      <c r="Z1496" t="s">
        <v>4068</v>
      </c>
      <c r="AA1496" t="s">
        <v>74</v>
      </c>
      <c r="AB1496" t="s">
        <v>4069</v>
      </c>
      <c r="AC1496" t="s">
        <v>74</v>
      </c>
      <c r="AD1496" t="s">
        <v>74</v>
      </c>
      <c r="AE1496" t="s">
        <v>74</v>
      </c>
      <c r="AF1496" t="s">
        <v>74</v>
      </c>
      <c r="AG1496">
        <v>41</v>
      </c>
      <c r="AH1496">
        <v>4</v>
      </c>
      <c r="AI1496">
        <v>4</v>
      </c>
      <c r="AJ1496">
        <v>0</v>
      </c>
      <c r="AK1496">
        <v>6</v>
      </c>
      <c r="AL1496" t="s">
        <v>74</v>
      </c>
      <c r="AM1496" t="s">
        <v>74</v>
      </c>
      <c r="AN1496" t="s">
        <v>74</v>
      </c>
      <c r="AO1496" t="s">
        <v>4070</v>
      </c>
      <c r="AP1496" t="s">
        <v>74</v>
      </c>
      <c r="AQ1496" t="s">
        <v>74</v>
      </c>
      <c r="AR1496" t="s">
        <v>74</v>
      </c>
      <c r="AS1496" t="s">
        <v>74</v>
      </c>
      <c r="AT1496" t="s">
        <v>230</v>
      </c>
      <c r="AU1496">
        <v>2019</v>
      </c>
      <c r="AV1496">
        <v>8</v>
      </c>
      <c r="AW1496">
        <v>8</v>
      </c>
      <c r="AX1496" t="s">
        <v>74</v>
      </c>
      <c r="AY1496" t="s">
        <v>74</v>
      </c>
      <c r="AZ1496" t="s">
        <v>74</v>
      </c>
      <c r="BA1496" t="s">
        <v>74</v>
      </c>
      <c r="BB1496" t="s">
        <v>74</v>
      </c>
      <c r="BC1496" t="s">
        <v>74</v>
      </c>
      <c r="BD1496" t="s">
        <v>4071</v>
      </c>
      <c r="BE1496" t="s">
        <v>4072</v>
      </c>
      <c r="BF1496" t="str">
        <f>HYPERLINK("http://dx.doi.org/10.1002/mbo3.808","http://dx.doi.org/10.1002/mbo3.808")</f>
        <v>http://dx.doi.org/10.1002/mbo3.808</v>
      </c>
      <c r="BG1496" t="s">
        <v>74</v>
      </c>
      <c r="BH1496" t="s">
        <v>74</v>
      </c>
      <c r="BI1496" t="s">
        <v>74</v>
      </c>
      <c r="BJ1496" t="s">
        <v>898</v>
      </c>
      <c r="BK1496" t="s">
        <v>117</v>
      </c>
      <c r="BL1496" t="s">
        <v>898</v>
      </c>
      <c r="BM1496" t="s">
        <v>74</v>
      </c>
      <c r="BN1496">
        <v>30793504</v>
      </c>
      <c r="BO1496" t="s">
        <v>74</v>
      </c>
      <c r="BP1496" t="s">
        <v>74</v>
      </c>
      <c r="BQ1496" t="s">
        <v>74</v>
      </c>
      <c r="BR1496" t="s">
        <v>96</v>
      </c>
      <c r="BS1496" t="s">
        <v>4073</v>
      </c>
      <c r="BT1496" t="str">
        <f>HYPERLINK("https%3A%2F%2Fwww.webofscience.com%2Fwos%2Fwoscc%2Ffull-record%2FWOS:000481526900002","View Full Record in Web of Science")</f>
        <v>View Full Record in Web of Science</v>
      </c>
    </row>
    <row r="1497" spans="1:72" x14ac:dyDescent="0.15">
      <c r="A1497" t="s">
        <v>98</v>
      </c>
      <c r="B1497" t="s">
        <v>4277</v>
      </c>
      <c r="C1497" t="s">
        <v>74</v>
      </c>
      <c r="D1497" t="s">
        <v>74</v>
      </c>
      <c r="E1497" t="s">
        <v>74</v>
      </c>
      <c r="F1497" t="s">
        <v>4278</v>
      </c>
      <c r="G1497" t="s">
        <v>74</v>
      </c>
      <c r="H1497" t="s">
        <v>74</v>
      </c>
      <c r="I1497" t="s">
        <v>4279</v>
      </c>
      <c r="J1497" t="s">
        <v>2995</v>
      </c>
      <c r="K1497" t="s">
        <v>74</v>
      </c>
      <c r="L1497" t="s">
        <v>74</v>
      </c>
      <c r="M1497" t="s">
        <v>74</v>
      </c>
      <c r="N1497" t="s">
        <v>103</v>
      </c>
      <c r="O1497" t="s">
        <v>74</v>
      </c>
      <c r="P1497" t="s">
        <v>74</v>
      </c>
      <c r="Q1497" t="s">
        <v>74</v>
      </c>
      <c r="R1497" t="s">
        <v>74</v>
      </c>
      <c r="S1497" t="s">
        <v>74</v>
      </c>
      <c r="T1497" t="s">
        <v>4280</v>
      </c>
      <c r="U1497" t="s">
        <v>4281</v>
      </c>
      <c r="V1497" t="s">
        <v>4282</v>
      </c>
      <c r="W1497" t="s">
        <v>4283</v>
      </c>
      <c r="X1497" t="s">
        <v>4284</v>
      </c>
      <c r="Y1497" t="s">
        <v>4285</v>
      </c>
      <c r="Z1497" t="s">
        <v>4286</v>
      </c>
      <c r="AA1497" t="s">
        <v>74</v>
      </c>
      <c r="AB1497" t="s">
        <v>4287</v>
      </c>
      <c r="AC1497" t="s">
        <v>74</v>
      </c>
      <c r="AD1497" t="s">
        <v>74</v>
      </c>
      <c r="AE1497" t="s">
        <v>74</v>
      </c>
      <c r="AF1497" t="s">
        <v>74</v>
      </c>
      <c r="AG1497">
        <v>140</v>
      </c>
      <c r="AH1497">
        <v>4</v>
      </c>
      <c r="AI1497">
        <v>4</v>
      </c>
      <c r="AJ1497">
        <v>1</v>
      </c>
      <c r="AK1497">
        <v>3</v>
      </c>
      <c r="AL1497" t="s">
        <v>74</v>
      </c>
      <c r="AM1497" t="s">
        <v>74</v>
      </c>
      <c r="AN1497" t="s">
        <v>74</v>
      </c>
      <c r="AO1497" t="s">
        <v>3006</v>
      </c>
      <c r="AP1497" t="s">
        <v>3007</v>
      </c>
      <c r="AQ1497" t="s">
        <v>74</v>
      </c>
      <c r="AR1497" t="s">
        <v>74</v>
      </c>
      <c r="AS1497" t="s">
        <v>74</v>
      </c>
      <c r="AT1497" t="s">
        <v>4288</v>
      </c>
      <c r="AU1497">
        <v>2022</v>
      </c>
      <c r="AV1497">
        <v>98</v>
      </c>
      <c r="AW1497">
        <v>3</v>
      </c>
      <c r="AX1497" t="s">
        <v>74</v>
      </c>
      <c r="AY1497" t="s">
        <v>74</v>
      </c>
      <c r="AZ1497" t="s">
        <v>447</v>
      </c>
      <c r="BA1497" t="s">
        <v>74</v>
      </c>
      <c r="BB1497">
        <v>410</v>
      </c>
      <c r="BC1497">
        <v>420</v>
      </c>
      <c r="BD1497" t="s">
        <v>74</v>
      </c>
      <c r="BE1497" t="s">
        <v>4289</v>
      </c>
      <c r="BF1497" t="str">
        <f>HYPERLINK("http://dx.doi.org/10.1080/09553002.2021.1980630","http://dx.doi.org/10.1080/09553002.2021.1980630")</f>
        <v>http://dx.doi.org/10.1080/09553002.2021.1980630</v>
      </c>
      <c r="BG1497" t="s">
        <v>74</v>
      </c>
      <c r="BH1497" t="s">
        <v>1967</v>
      </c>
      <c r="BI1497" t="s">
        <v>74</v>
      </c>
      <c r="BJ1497" t="s">
        <v>3009</v>
      </c>
      <c r="BK1497" t="s">
        <v>117</v>
      </c>
      <c r="BL1497" t="s">
        <v>3010</v>
      </c>
      <c r="BM1497" t="s">
        <v>74</v>
      </c>
      <c r="BN1497">
        <v>34662248</v>
      </c>
      <c r="BO1497" t="s">
        <v>74</v>
      </c>
      <c r="BP1497" t="s">
        <v>74</v>
      </c>
      <c r="BQ1497" t="s">
        <v>74</v>
      </c>
      <c r="BR1497" t="s">
        <v>96</v>
      </c>
      <c r="BS1497" t="s">
        <v>4290</v>
      </c>
      <c r="BT1497" t="str">
        <f>HYPERLINK("https%3A%2F%2Fwww.webofscience.com%2Fwos%2Fwoscc%2Ffull-record%2FWOS:000709674900001","View Full Record in Web of Science")</f>
        <v>View Full Record in Web of Science</v>
      </c>
    </row>
    <row r="1498" spans="1:72" x14ac:dyDescent="0.15">
      <c r="A1498" t="s">
        <v>98</v>
      </c>
      <c r="B1498" t="s">
        <v>4449</v>
      </c>
      <c r="C1498" t="s">
        <v>74</v>
      </c>
      <c r="D1498" t="s">
        <v>74</v>
      </c>
      <c r="E1498" t="s">
        <v>74</v>
      </c>
      <c r="F1498" t="s">
        <v>4450</v>
      </c>
      <c r="G1498" t="s">
        <v>74</v>
      </c>
      <c r="H1498" t="s">
        <v>74</v>
      </c>
      <c r="I1498" t="s">
        <v>4451</v>
      </c>
      <c r="J1498" t="s">
        <v>4452</v>
      </c>
      <c r="K1498" t="s">
        <v>74</v>
      </c>
      <c r="L1498" t="s">
        <v>74</v>
      </c>
      <c r="M1498" t="s">
        <v>74</v>
      </c>
      <c r="N1498" t="s">
        <v>103</v>
      </c>
      <c r="O1498" t="s">
        <v>74</v>
      </c>
      <c r="P1498" t="s">
        <v>74</v>
      </c>
      <c r="Q1498" t="s">
        <v>74</v>
      </c>
      <c r="R1498" t="s">
        <v>74</v>
      </c>
      <c r="S1498" t="s">
        <v>74</v>
      </c>
      <c r="T1498" t="s">
        <v>4453</v>
      </c>
      <c r="U1498" t="s">
        <v>4454</v>
      </c>
      <c r="V1498" t="s">
        <v>4455</v>
      </c>
      <c r="W1498" t="s">
        <v>4456</v>
      </c>
      <c r="X1498" t="s">
        <v>4457</v>
      </c>
      <c r="Y1498" t="s">
        <v>4458</v>
      </c>
      <c r="Z1498" t="s">
        <v>4459</v>
      </c>
      <c r="AA1498" t="s">
        <v>4460</v>
      </c>
      <c r="AB1498" t="s">
        <v>4461</v>
      </c>
      <c r="AC1498" t="s">
        <v>74</v>
      </c>
      <c r="AD1498" t="s">
        <v>74</v>
      </c>
      <c r="AE1498" t="s">
        <v>74</v>
      </c>
      <c r="AF1498" t="s">
        <v>74</v>
      </c>
      <c r="AG1498">
        <v>60</v>
      </c>
      <c r="AH1498">
        <v>4</v>
      </c>
      <c r="AI1498">
        <v>5</v>
      </c>
      <c r="AJ1498">
        <v>1</v>
      </c>
      <c r="AK1498">
        <v>4</v>
      </c>
      <c r="AL1498" t="s">
        <v>74</v>
      </c>
      <c r="AM1498" t="s">
        <v>74</v>
      </c>
      <c r="AN1498" t="s">
        <v>74</v>
      </c>
      <c r="AO1498" t="s">
        <v>4462</v>
      </c>
      <c r="AP1498" t="s">
        <v>74</v>
      </c>
      <c r="AQ1498" t="s">
        <v>74</v>
      </c>
      <c r="AR1498" t="s">
        <v>74</v>
      </c>
      <c r="AS1498" t="s">
        <v>74</v>
      </c>
      <c r="AT1498" t="s">
        <v>4038</v>
      </c>
      <c r="AU1498">
        <v>2021</v>
      </c>
      <c r="AV1498">
        <v>22</v>
      </c>
      <c r="AW1498">
        <v>1</v>
      </c>
      <c r="AX1498" t="s">
        <v>74</v>
      </c>
      <c r="AY1498" t="s">
        <v>74</v>
      </c>
      <c r="AZ1498" t="s">
        <v>74</v>
      </c>
      <c r="BA1498" t="s">
        <v>74</v>
      </c>
      <c r="BB1498" t="s">
        <v>74</v>
      </c>
      <c r="BC1498" t="s">
        <v>74</v>
      </c>
      <c r="BD1498">
        <v>425</v>
      </c>
      <c r="BE1498" t="s">
        <v>4463</v>
      </c>
      <c r="BF1498" t="str">
        <f>HYPERLINK("http://dx.doi.org/10.1186/s12864-021-07733-9","http://dx.doi.org/10.1186/s12864-021-07733-9")</f>
        <v>http://dx.doi.org/10.1186/s12864-021-07733-9</v>
      </c>
      <c r="BG1498" t="s">
        <v>74</v>
      </c>
      <c r="BH1498" t="s">
        <v>74</v>
      </c>
      <c r="BI1498" t="s">
        <v>74</v>
      </c>
      <c r="BJ1498" t="s">
        <v>4464</v>
      </c>
      <c r="BK1498" t="s">
        <v>117</v>
      </c>
      <c r="BL1498" t="s">
        <v>4464</v>
      </c>
      <c r="BM1498" t="s">
        <v>74</v>
      </c>
      <c r="BN1498">
        <v>34103018</v>
      </c>
      <c r="BO1498" t="s">
        <v>74</v>
      </c>
      <c r="BP1498" t="s">
        <v>74</v>
      </c>
      <c r="BQ1498" t="s">
        <v>74</v>
      </c>
      <c r="BR1498" t="s">
        <v>96</v>
      </c>
      <c r="BS1498" t="s">
        <v>4465</v>
      </c>
      <c r="BT1498" t="str">
        <f>HYPERLINK("https%3A%2F%2Fwww.webofscience.com%2Fwos%2Fwoscc%2Ffull-record%2FWOS:000659215600001","View Full Record in Web of Science")</f>
        <v>View Full Record in Web of Science</v>
      </c>
    </row>
    <row r="1499" spans="1:72" x14ac:dyDescent="0.15">
      <c r="A1499" t="s">
        <v>98</v>
      </c>
      <c r="B1499" t="s">
        <v>4715</v>
      </c>
      <c r="C1499" t="s">
        <v>74</v>
      </c>
      <c r="D1499" t="s">
        <v>74</v>
      </c>
      <c r="E1499" t="s">
        <v>74</v>
      </c>
      <c r="F1499" t="s">
        <v>4716</v>
      </c>
      <c r="G1499" t="s">
        <v>74</v>
      </c>
      <c r="H1499" t="s">
        <v>74</v>
      </c>
      <c r="I1499" t="s">
        <v>4717</v>
      </c>
      <c r="J1499" t="s">
        <v>3650</v>
      </c>
      <c r="K1499" t="s">
        <v>74</v>
      </c>
      <c r="L1499" t="s">
        <v>74</v>
      </c>
      <c r="M1499" t="s">
        <v>74</v>
      </c>
      <c r="N1499" t="s">
        <v>103</v>
      </c>
      <c r="O1499" t="s">
        <v>74</v>
      </c>
      <c r="P1499" t="s">
        <v>74</v>
      </c>
      <c r="Q1499" t="s">
        <v>74</v>
      </c>
      <c r="R1499" t="s">
        <v>74</v>
      </c>
      <c r="S1499" t="s">
        <v>74</v>
      </c>
      <c r="T1499" t="s">
        <v>4718</v>
      </c>
      <c r="U1499" t="s">
        <v>4719</v>
      </c>
      <c r="V1499" t="s">
        <v>4720</v>
      </c>
      <c r="W1499" t="s">
        <v>4721</v>
      </c>
      <c r="X1499" t="s">
        <v>4722</v>
      </c>
      <c r="Y1499" t="s">
        <v>4723</v>
      </c>
      <c r="Z1499" t="s">
        <v>4724</v>
      </c>
      <c r="AA1499" t="s">
        <v>4725</v>
      </c>
      <c r="AB1499" t="s">
        <v>4726</v>
      </c>
      <c r="AC1499" t="s">
        <v>74</v>
      </c>
      <c r="AD1499" t="s">
        <v>74</v>
      </c>
      <c r="AE1499" t="s">
        <v>74</v>
      </c>
      <c r="AF1499" t="s">
        <v>74</v>
      </c>
      <c r="AG1499">
        <v>41</v>
      </c>
      <c r="AH1499">
        <v>4</v>
      </c>
      <c r="AI1499">
        <v>4</v>
      </c>
      <c r="AJ1499">
        <v>56</v>
      </c>
      <c r="AK1499">
        <v>113</v>
      </c>
      <c r="AL1499" t="s">
        <v>74</v>
      </c>
      <c r="AM1499" t="s">
        <v>74</v>
      </c>
      <c r="AN1499" t="s">
        <v>74</v>
      </c>
      <c r="AO1499" t="s">
        <v>74</v>
      </c>
      <c r="AP1499" t="s">
        <v>3659</v>
      </c>
      <c r="AQ1499" t="s">
        <v>74</v>
      </c>
      <c r="AR1499" t="s">
        <v>74</v>
      </c>
      <c r="AS1499" t="s">
        <v>74</v>
      </c>
      <c r="AT1499" t="s">
        <v>2321</v>
      </c>
      <c r="AU1499">
        <v>2021</v>
      </c>
      <c r="AV1499">
        <v>349</v>
      </c>
      <c r="AW1499" t="s">
        <v>74</v>
      </c>
      <c r="AX1499" t="s">
        <v>74</v>
      </c>
      <c r="AY1499" t="s">
        <v>74</v>
      </c>
      <c r="AZ1499" t="s">
        <v>74</v>
      </c>
      <c r="BA1499" t="s">
        <v>74</v>
      </c>
      <c r="BB1499" t="s">
        <v>74</v>
      </c>
      <c r="BC1499" t="s">
        <v>74</v>
      </c>
      <c r="BD1499">
        <v>130765</v>
      </c>
      <c r="BE1499" t="s">
        <v>4727</v>
      </c>
      <c r="BF1499" t="str">
        <f>HYPERLINK("http://dx.doi.org/10.1016/j.snb.2021.130765","http://dx.doi.org/10.1016/j.snb.2021.130765")</f>
        <v>http://dx.doi.org/10.1016/j.snb.2021.130765</v>
      </c>
      <c r="BG1499" t="s">
        <v>74</v>
      </c>
      <c r="BH1499" t="s">
        <v>395</v>
      </c>
      <c r="BI1499" t="s">
        <v>74</v>
      </c>
      <c r="BJ1499" t="s">
        <v>3663</v>
      </c>
      <c r="BK1499" t="s">
        <v>117</v>
      </c>
      <c r="BL1499" t="s">
        <v>3664</v>
      </c>
      <c r="BM1499" t="s">
        <v>74</v>
      </c>
      <c r="BN1499" t="s">
        <v>74</v>
      </c>
      <c r="BO1499" t="s">
        <v>74</v>
      </c>
      <c r="BP1499" t="s">
        <v>74</v>
      </c>
      <c r="BQ1499" t="s">
        <v>74</v>
      </c>
      <c r="BR1499" t="s">
        <v>96</v>
      </c>
      <c r="BS1499" t="s">
        <v>4728</v>
      </c>
      <c r="BT1499" t="str">
        <f>HYPERLINK("https%3A%2F%2Fwww.webofscience.com%2Fwos%2Fwoscc%2Ffull-record%2FWOS:000707350700009","View Full Record in Web of Science")</f>
        <v>View Full Record in Web of Science</v>
      </c>
    </row>
    <row r="1500" spans="1:72" x14ac:dyDescent="0.15">
      <c r="A1500" t="s">
        <v>98</v>
      </c>
      <c r="B1500" t="s">
        <v>5749</v>
      </c>
      <c r="C1500" t="s">
        <v>74</v>
      </c>
      <c r="D1500" t="s">
        <v>74</v>
      </c>
      <c r="E1500" t="s">
        <v>74</v>
      </c>
      <c r="F1500" t="s">
        <v>5750</v>
      </c>
      <c r="G1500" t="s">
        <v>74</v>
      </c>
      <c r="H1500" t="s">
        <v>74</v>
      </c>
      <c r="I1500" t="s">
        <v>5751</v>
      </c>
      <c r="J1500" t="s">
        <v>817</v>
      </c>
      <c r="K1500" t="s">
        <v>74</v>
      </c>
      <c r="L1500" t="s">
        <v>74</v>
      </c>
      <c r="M1500" t="s">
        <v>74</v>
      </c>
      <c r="N1500" t="s">
        <v>103</v>
      </c>
      <c r="O1500" t="s">
        <v>74</v>
      </c>
      <c r="P1500" t="s">
        <v>74</v>
      </c>
      <c r="Q1500" t="s">
        <v>74</v>
      </c>
      <c r="R1500" t="s">
        <v>74</v>
      </c>
      <c r="S1500" t="s">
        <v>74</v>
      </c>
      <c r="T1500" t="s">
        <v>5752</v>
      </c>
      <c r="U1500" t="s">
        <v>5753</v>
      </c>
      <c r="V1500" t="s">
        <v>5754</v>
      </c>
      <c r="W1500" t="s">
        <v>5755</v>
      </c>
      <c r="X1500" t="s">
        <v>5756</v>
      </c>
      <c r="Y1500" t="s">
        <v>5757</v>
      </c>
      <c r="Z1500" t="s">
        <v>5758</v>
      </c>
      <c r="AA1500" t="s">
        <v>5759</v>
      </c>
      <c r="AB1500" t="s">
        <v>5760</v>
      </c>
      <c r="AC1500" t="s">
        <v>74</v>
      </c>
      <c r="AD1500" t="s">
        <v>74</v>
      </c>
      <c r="AE1500" t="s">
        <v>74</v>
      </c>
      <c r="AF1500" t="s">
        <v>74</v>
      </c>
      <c r="AG1500">
        <v>63</v>
      </c>
      <c r="AH1500">
        <v>4</v>
      </c>
      <c r="AI1500">
        <v>4</v>
      </c>
      <c r="AJ1500">
        <v>3</v>
      </c>
      <c r="AK1500">
        <v>5</v>
      </c>
      <c r="AL1500" t="s">
        <v>74</v>
      </c>
      <c r="AM1500" t="s">
        <v>74</v>
      </c>
      <c r="AN1500" t="s">
        <v>74</v>
      </c>
      <c r="AO1500" t="s">
        <v>74</v>
      </c>
      <c r="AP1500" t="s">
        <v>827</v>
      </c>
      <c r="AQ1500" t="s">
        <v>74</v>
      </c>
      <c r="AR1500" t="s">
        <v>74</v>
      </c>
      <c r="AS1500" t="s">
        <v>74</v>
      </c>
      <c r="AT1500" t="s">
        <v>614</v>
      </c>
      <c r="AU1500">
        <v>2021</v>
      </c>
      <c r="AV1500">
        <v>22</v>
      </c>
      <c r="AW1500">
        <v>13</v>
      </c>
      <c r="AX1500" t="s">
        <v>74</v>
      </c>
      <c r="AY1500" t="s">
        <v>74</v>
      </c>
      <c r="AZ1500" t="s">
        <v>74</v>
      </c>
      <c r="BA1500" t="s">
        <v>74</v>
      </c>
      <c r="BB1500" t="s">
        <v>74</v>
      </c>
      <c r="BC1500" t="s">
        <v>74</v>
      </c>
      <c r="BD1500">
        <v>7099</v>
      </c>
      <c r="BE1500" t="s">
        <v>5761</v>
      </c>
      <c r="BF1500" t="str">
        <f>HYPERLINK("http://dx.doi.org/10.3390/ijms22137099","http://dx.doi.org/10.3390/ijms22137099")</f>
        <v>http://dx.doi.org/10.3390/ijms22137099</v>
      </c>
      <c r="BG1500" t="s">
        <v>74</v>
      </c>
      <c r="BH1500" t="s">
        <v>74</v>
      </c>
      <c r="BI1500" t="s">
        <v>74</v>
      </c>
      <c r="BJ1500" t="s">
        <v>830</v>
      </c>
      <c r="BK1500" t="s">
        <v>117</v>
      </c>
      <c r="BL1500" t="s">
        <v>831</v>
      </c>
      <c r="BM1500" t="s">
        <v>74</v>
      </c>
      <c r="BN1500">
        <v>34281154</v>
      </c>
      <c r="BO1500" t="s">
        <v>74</v>
      </c>
      <c r="BP1500" t="s">
        <v>74</v>
      </c>
      <c r="BQ1500" t="s">
        <v>74</v>
      </c>
      <c r="BR1500" t="s">
        <v>96</v>
      </c>
      <c r="BS1500" t="s">
        <v>5762</v>
      </c>
      <c r="BT1500" t="str">
        <f>HYPERLINK("https%3A%2F%2Fwww.webofscience.com%2Fwos%2Fwoscc%2Ffull-record%2FWOS:000671971000001","View Full Record in Web of Science")</f>
        <v>View Full Record in Web of Science</v>
      </c>
    </row>
    <row r="1501" spans="1:72" x14ac:dyDescent="0.15">
      <c r="A1501" t="s">
        <v>98</v>
      </c>
      <c r="B1501" t="s">
        <v>5808</v>
      </c>
      <c r="C1501" t="s">
        <v>74</v>
      </c>
      <c r="D1501" t="s">
        <v>74</v>
      </c>
      <c r="E1501" t="s">
        <v>74</v>
      </c>
      <c r="F1501" t="s">
        <v>5809</v>
      </c>
      <c r="G1501" t="s">
        <v>74</v>
      </c>
      <c r="H1501" t="s">
        <v>74</v>
      </c>
      <c r="I1501" t="s">
        <v>5810</v>
      </c>
      <c r="J1501" t="s">
        <v>5811</v>
      </c>
      <c r="K1501" t="s">
        <v>74</v>
      </c>
      <c r="L1501" t="s">
        <v>74</v>
      </c>
      <c r="M1501" t="s">
        <v>74</v>
      </c>
      <c r="N1501" t="s">
        <v>103</v>
      </c>
      <c r="O1501" t="s">
        <v>74</v>
      </c>
      <c r="P1501" t="s">
        <v>74</v>
      </c>
      <c r="Q1501" t="s">
        <v>74</v>
      </c>
      <c r="R1501" t="s">
        <v>74</v>
      </c>
      <c r="S1501" t="s">
        <v>74</v>
      </c>
      <c r="T1501" t="s">
        <v>5812</v>
      </c>
      <c r="U1501" t="s">
        <v>5813</v>
      </c>
      <c r="V1501" t="s">
        <v>5814</v>
      </c>
      <c r="W1501" t="s">
        <v>5815</v>
      </c>
      <c r="X1501" t="s">
        <v>5816</v>
      </c>
      <c r="Y1501" t="s">
        <v>5817</v>
      </c>
      <c r="Z1501" t="s">
        <v>5818</v>
      </c>
      <c r="AA1501" t="s">
        <v>5819</v>
      </c>
      <c r="AB1501" t="s">
        <v>5820</v>
      </c>
      <c r="AC1501" t="s">
        <v>74</v>
      </c>
      <c r="AD1501" t="s">
        <v>74</v>
      </c>
      <c r="AE1501" t="s">
        <v>74</v>
      </c>
      <c r="AF1501" t="s">
        <v>74</v>
      </c>
      <c r="AG1501">
        <v>183</v>
      </c>
      <c r="AH1501">
        <v>4</v>
      </c>
      <c r="AI1501">
        <v>4</v>
      </c>
      <c r="AJ1501">
        <v>0</v>
      </c>
      <c r="AK1501">
        <v>0</v>
      </c>
      <c r="AL1501" t="s">
        <v>74</v>
      </c>
      <c r="AM1501" t="s">
        <v>74</v>
      </c>
      <c r="AN1501" t="s">
        <v>74</v>
      </c>
      <c r="AO1501" t="s">
        <v>5821</v>
      </c>
      <c r="AP1501" t="s">
        <v>5822</v>
      </c>
      <c r="AQ1501" t="s">
        <v>74</v>
      </c>
      <c r="AR1501" t="s">
        <v>74</v>
      </c>
      <c r="AS1501" t="s">
        <v>74</v>
      </c>
      <c r="AT1501" t="s">
        <v>5823</v>
      </c>
      <c r="AU1501">
        <v>2021</v>
      </c>
      <c r="AV1501">
        <v>172</v>
      </c>
      <c r="AW1501" t="s">
        <v>74</v>
      </c>
      <c r="AX1501" t="s">
        <v>74</v>
      </c>
      <c r="AY1501" t="s">
        <v>74</v>
      </c>
      <c r="AZ1501" t="s">
        <v>74</v>
      </c>
      <c r="BA1501" t="s">
        <v>74</v>
      </c>
      <c r="BB1501">
        <v>508</v>
      </c>
      <c r="BC1501">
        <v>520</v>
      </c>
      <c r="BD1501" t="s">
        <v>74</v>
      </c>
      <c r="BE1501" t="s">
        <v>5824</v>
      </c>
      <c r="BF1501" t="str">
        <f>HYPERLINK("http://dx.doi.org/10.1016/j.freeradbiomed.2021.06.030","http://dx.doi.org/10.1016/j.freeradbiomed.2021.06.030")</f>
        <v>http://dx.doi.org/10.1016/j.freeradbiomed.2021.06.030</v>
      </c>
      <c r="BG1501" t="s">
        <v>74</v>
      </c>
      <c r="BH1501" t="s">
        <v>1136</v>
      </c>
      <c r="BI1501" t="s">
        <v>74</v>
      </c>
      <c r="BJ1501" t="s">
        <v>5825</v>
      </c>
      <c r="BK1501" t="s">
        <v>117</v>
      </c>
      <c r="BL1501" t="s">
        <v>5825</v>
      </c>
      <c r="BM1501" t="s">
        <v>74</v>
      </c>
      <c r="BN1501">
        <v>34214634</v>
      </c>
      <c r="BO1501" t="s">
        <v>74</v>
      </c>
      <c r="BP1501" t="s">
        <v>74</v>
      </c>
      <c r="BQ1501" t="s">
        <v>74</v>
      </c>
      <c r="BR1501" t="s">
        <v>96</v>
      </c>
      <c r="BS1501" t="s">
        <v>5826</v>
      </c>
      <c r="BT1501" t="str">
        <f>HYPERLINK("https%3A%2F%2Fwww.webofscience.com%2Fwos%2Fwoscc%2Ffull-record%2FWOS:000685098300001","View Full Record in Web of Science")</f>
        <v>View Full Record in Web of Science</v>
      </c>
    </row>
    <row r="1502" spans="1:72" x14ac:dyDescent="0.15">
      <c r="A1502" t="s">
        <v>98</v>
      </c>
      <c r="B1502" t="s">
        <v>6121</v>
      </c>
      <c r="C1502" t="s">
        <v>74</v>
      </c>
      <c r="D1502" t="s">
        <v>74</v>
      </c>
      <c r="E1502" t="s">
        <v>74</v>
      </c>
      <c r="F1502" t="s">
        <v>6122</v>
      </c>
      <c r="G1502" t="s">
        <v>74</v>
      </c>
      <c r="H1502" t="s">
        <v>74</v>
      </c>
      <c r="I1502" t="s">
        <v>6123</v>
      </c>
      <c r="J1502" t="s">
        <v>272</v>
      </c>
      <c r="K1502" t="s">
        <v>74</v>
      </c>
      <c r="L1502" t="s">
        <v>74</v>
      </c>
      <c r="M1502" t="s">
        <v>74</v>
      </c>
      <c r="N1502" t="s">
        <v>103</v>
      </c>
      <c r="O1502" t="s">
        <v>74</v>
      </c>
      <c r="P1502" t="s">
        <v>74</v>
      </c>
      <c r="Q1502" t="s">
        <v>74</v>
      </c>
      <c r="R1502" t="s">
        <v>74</v>
      </c>
      <c r="S1502" t="s">
        <v>74</v>
      </c>
      <c r="T1502" t="s">
        <v>6124</v>
      </c>
      <c r="U1502" t="s">
        <v>6125</v>
      </c>
      <c r="V1502" t="s">
        <v>6126</v>
      </c>
      <c r="W1502" t="s">
        <v>6127</v>
      </c>
      <c r="X1502" t="s">
        <v>6128</v>
      </c>
      <c r="Y1502" t="s">
        <v>6129</v>
      </c>
      <c r="Z1502" t="s">
        <v>6130</v>
      </c>
      <c r="AA1502" t="s">
        <v>6131</v>
      </c>
      <c r="AB1502" t="s">
        <v>6132</v>
      </c>
      <c r="AC1502" t="s">
        <v>74</v>
      </c>
      <c r="AD1502" t="s">
        <v>74</v>
      </c>
      <c r="AE1502" t="s">
        <v>74</v>
      </c>
      <c r="AF1502" t="s">
        <v>74</v>
      </c>
      <c r="AG1502">
        <v>74</v>
      </c>
      <c r="AH1502">
        <v>4</v>
      </c>
      <c r="AI1502">
        <v>4</v>
      </c>
      <c r="AJ1502">
        <v>3</v>
      </c>
      <c r="AK1502">
        <v>6</v>
      </c>
      <c r="AL1502" t="s">
        <v>74</v>
      </c>
      <c r="AM1502" t="s">
        <v>74</v>
      </c>
      <c r="AN1502" t="s">
        <v>74</v>
      </c>
      <c r="AO1502" t="s">
        <v>74</v>
      </c>
      <c r="AP1502" t="s">
        <v>282</v>
      </c>
      <c r="AQ1502" t="s">
        <v>74</v>
      </c>
      <c r="AR1502" t="s">
        <v>74</v>
      </c>
      <c r="AS1502" t="s">
        <v>74</v>
      </c>
      <c r="AT1502" t="s">
        <v>189</v>
      </c>
      <c r="AU1502">
        <v>2021</v>
      </c>
      <c r="AV1502">
        <v>12</v>
      </c>
      <c r="AW1502">
        <v>10</v>
      </c>
      <c r="AX1502" t="s">
        <v>74</v>
      </c>
      <c r="AY1502" t="s">
        <v>74</v>
      </c>
      <c r="AZ1502" t="s">
        <v>74</v>
      </c>
      <c r="BA1502" t="s">
        <v>74</v>
      </c>
      <c r="BB1502" t="s">
        <v>74</v>
      </c>
      <c r="BC1502" t="s">
        <v>74</v>
      </c>
      <c r="BD1502">
        <v>1636</v>
      </c>
      <c r="BE1502" t="s">
        <v>6133</v>
      </c>
      <c r="BF1502" t="str">
        <f>HYPERLINK("http://dx.doi.org/10.3390/genes12101636","http://dx.doi.org/10.3390/genes12101636")</f>
        <v>http://dx.doi.org/10.3390/genes12101636</v>
      </c>
      <c r="BG1502" t="s">
        <v>74</v>
      </c>
      <c r="BH1502" t="s">
        <v>74</v>
      </c>
      <c r="BI1502" t="s">
        <v>74</v>
      </c>
      <c r="BJ1502" t="s">
        <v>285</v>
      </c>
      <c r="BK1502" t="s">
        <v>117</v>
      </c>
      <c r="BL1502" t="s">
        <v>285</v>
      </c>
      <c r="BM1502" t="s">
        <v>74</v>
      </c>
      <c r="BN1502">
        <v>34681030</v>
      </c>
      <c r="BO1502" t="s">
        <v>74</v>
      </c>
      <c r="BP1502" t="s">
        <v>74</v>
      </c>
      <c r="BQ1502" t="s">
        <v>74</v>
      </c>
      <c r="BR1502" t="s">
        <v>96</v>
      </c>
      <c r="BS1502" t="s">
        <v>6134</v>
      </c>
      <c r="BT1502" t="str">
        <f>HYPERLINK("https%3A%2F%2Fwww.webofscience.com%2Fwos%2Fwoscc%2Ffull-record%2FWOS:000716111300001","View Full Record in Web of Science")</f>
        <v>View Full Record in Web of Science</v>
      </c>
    </row>
    <row r="1503" spans="1:72" x14ac:dyDescent="0.15">
      <c r="A1503" t="s">
        <v>98</v>
      </c>
      <c r="B1503" t="s">
        <v>6450</v>
      </c>
      <c r="C1503" t="s">
        <v>74</v>
      </c>
      <c r="D1503" t="s">
        <v>74</v>
      </c>
      <c r="E1503" t="s">
        <v>74</v>
      </c>
      <c r="F1503" t="s">
        <v>6451</v>
      </c>
      <c r="G1503" t="s">
        <v>74</v>
      </c>
      <c r="H1503" t="s">
        <v>74</v>
      </c>
      <c r="I1503" t="s">
        <v>6452</v>
      </c>
      <c r="J1503" t="s">
        <v>1827</v>
      </c>
      <c r="K1503" t="s">
        <v>74</v>
      </c>
      <c r="L1503" t="s">
        <v>74</v>
      </c>
      <c r="M1503" t="s">
        <v>74</v>
      </c>
      <c r="N1503" t="s">
        <v>103</v>
      </c>
      <c r="O1503" t="s">
        <v>74</v>
      </c>
      <c r="P1503" t="s">
        <v>74</v>
      </c>
      <c r="Q1503" t="s">
        <v>74</v>
      </c>
      <c r="R1503" t="s">
        <v>74</v>
      </c>
      <c r="S1503" t="s">
        <v>74</v>
      </c>
      <c r="T1503" t="s">
        <v>6453</v>
      </c>
      <c r="U1503" t="s">
        <v>6454</v>
      </c>
      <c r="V1503" t="s">
        <v>6455</v>
      </c>
      <c r="W1503" t="s">
        <v>6456</v>
      </c>
      <c r="X1503" t="s">
        <v>6457</v>
      </c>
      <c r="Y1503" t="s">
        <v>6458</v>
      </c>
      <c r="Z1503" t="s">
        <v>6459</v>
      </c>
      <c r="AA1503" t="s">
        <v>6460</v>
      </c>
      <c r="AB1503" t="s">
        <v>6461</v>
      </c>
      <c r="AC1503" t="s">
        <v>74</v>
      </c>
      <c r="AD1503" t="s">
        <v>74</v>
      </c>
      <c r="AE1503" t="s">
        <v>74</v>
      </c>
      <c r="AF1503" t="s">
        <v>74</v>
      </c>
      <c r="AG1503">
        <v>29</v>
      </c>
      <c r="AH1503">
        <v>4</v>
      </c>
      <c r="AI1503">
        <v>4</v>
      </c>
      <c r="AJ1503">
        <v>5</v>
      </c>
      <c r="AK1503">
        <v>8</v>
      </c>
      <c r="AL1503" t="s">
        <v>74</v>
      </c>
      <c r="AM1503" t="s">
        <v>74</v>
      </c>
      <c r="AN1503" t="s">
        <v>74</v>
      </c>
      <c r="AO1503" t="s">
        <v>74</v>
      </c>
      <c r="AP1503" t="s">
        <v>1836</v>
      </c>
      <c r="AQ1503" t="s">
        <v>74</v>
      </c>
      <c r="AR1503" t="s">
        <v>74</v>
      </c>
      <c r="AS1503" t="s">
        <v>74</v>
      </c>
      <c r="AT1503" t="s">
        <v>531</v>
      </c>
      <c r="AU1503">
        <v>2021</v>
      </c>
      <c r="AV1503">
        <v>10</v>
      </c>
      <c r="AW1503">
        <v>9</v>
      </c>
      <c r="AX1503" t="s">
        <v>74</v>
      </c>
      <c r="AY1503" t="s">
        <v>74</v>
      </c>
      <c r="AZ1503" t="s">
        <v>74</v>
      </c>
      <c r="BA1503" t="s">
        <v>74</v>
      </c>
      <c r="BB1503" t="s">
        <v>74</v>
      </c>
      <c r="BC1503" t="s">
        <v>74</v>
      </c>
      <c r="BD1503">
        <v>2372</v>
      </c>
      <c r="BE1503" t="s">
        <v>6462</v>
      </c>
      <c r="BF1503" t="str">
        <f>HYPERLINK("http://dx.doi.org/10.3390/cells10092372","http://dx.doi.org/10.3390/cells10092372")</f>
        <v>http://dx.doi.org/10.3390/cells10092372</v>
      </c>
      <c r="BG1503" t="s">
        <v>74</v>
      </c>
      <c r="BH1503" t="s">
        <v>74</v>
      </c>
      <c r="BI1503" t="s">
        <v>74</v>
      </c>
      <c r="BJ1503" t="s">
        <v>135</v>
      </c>
      <c r="BK1503" t="s">
        <v>117</v>
      </c>
      <c r="BL1503" t="s">
        <v>135</v>
      </c>
      <c r="BM1503" t="s">
        <v>74</v>
      </c>
      <c r="BN1503">
        <v>34572021</v>
      </c>
      <c r="BO1503" t="s">
        <v>74</v>
      </c>
      <c r="BP1503" t="s">
        <v>74</v>
      </c>
      <c r="BQ1503" t="s">
        <v>74</v>
      </c>
      <c r="BR1503" t="s">
        <v>96</v>
      </c>
      <c r="BS1503" t="s">
        <v>6463</v>
      </c>
      <c r="BT1503" t="str">
        <f>HYPERLINK("https%3A%2F%2Fwww.webofscience.com%2Fwos%2Fwoscc%2Ffull-record%2FWOS:000699411900001","View Full Record in Web of Science")</f>
        <v>View Full Record in Web of Science</v>
      </c>
    </row>
    <row r="1504" spans="1:72" x14ac:dyDescent="0.15">
      <c r="A1504" t="s">
        <v>98</v>
      </c>
      <c r="B1504" t="s">
        <v>6583</v>
      </c>
      <c r="C1504" t="s">
        <v>74</v>
      </c>
      <c r="D1504" t="s">
        <v>74</v>
      </c>
      <c r="E1504" t="s">
        <v>74</v>
      </c>
      <c r="F1504" t="s">
        <v>6584</v>
      </c>
      <c r="G1504" t="s">
        <v>74</v>
      </c>
      <c r="H1504" t="s">
        <v>74</v>
      </c>
      <c r="I1504" t="s">
        <v>6585</v>
      </c>
      <c r="J1504" t="s">
        <v>1860</v>
      </c>
      <c r="K1504" t="s">
        <v>74</v>
      </c>
      <c r="L1504" t="s">
        <v>74</v>
      </c>
      <c r="M1504" t="s">
        <v>74</v>
      </c>
      <c r="N1504" t="s">
        <v>103</v>
      </c>
      <c r="O1504" t="s">
        <v>74</v>
      </c>
      <c r="P1504" t="s">
        <v>74</v>
      </c>
      <c r="Q1504" t="s">
        <v>74</v>
      </c>
      <c r="R1504" t="s">
        <v>74</v>
      </c>
      <c r="S1504" t="s">
        <v>74</v>
      </c>
      <c r="T1504" t="s">
        <v>6586</v>
      </c>
      <c r="U1504" t="s">
        <v>6587</v>
      </c>
      <c r="V1504" t="s">
        <v>6588</v>
      </c>
      <c r="W1504" t="s">
        <v>6589</v>
      </c>
      <c r="X1504" t="s">
        <v>6590</v>
      </c>
      <c r="Y1504" t="s">
        <v>6591</v>
      </c>
      <c r="Z1504" t="s">
        <v>6592</v>
      </c>
      <c r="AA1504" t="s">
        <v>74</v>
      </c>
      <c r="AB1504" t="s">
        <v>6593</v>
      </c>
      <c r="AC1504" t="s">
        <v>74</v>
      </c>
      <c r="AD1504" t="s">
        <v>74</v>
      </c>
      <c r="AE1504" t="s">
        <v>74</v>
      </c>
      <c r="AF1504" t="s">
        <v>74</v>
      </c>
      <c r="AG1504">
        <v>36</v>
      </c>
      <c r="AH1504">
        <v>4</v>
      </c>
      <c r="AI1504">
        <v>4</v>
      </c>
      <c r="AJ1504">
        <v>4</v>
      </c>
      <c r="AK1504">
        <v>35</v>
      </c>
      <c r="AL1504" t="s">
        <v>74</v>
      </c>
      <c r="AM1504" t="s">
        <v>74</v>
      </c>
      <c r="AN1504" t="s">
        <v>74</v>
      </c>
      <c r="AO1504" t="s">
        <v>1870</v>
      </c>
      <c r="AP1504" t="s">
        <v>1871</v>
      </c>
      <c r="AQ1504" t="s">
        <v>74</v>
      </c>
      <c r="AR1504" t="s">
        <v>74</v>
      </c>
      <c r="AS1504" t="s">
        <v>74</v>
      </c>
      <c r="AT1504" t="s">
        <v>2530</v>
      </c>
      <c r="AU1504">
        <v>2020</v>
      </c>
      <c r="AV1504">
        <v>1138</v>
      </c>
      <c r="AW1504" t="s">
        <v>74</v>
      </c>
      <c r="AX1504" t="s">
        <v>74</v>
      </c>
      <c r="AY1504" t="s">
        <v>74</v>
      </c>
      <c r="AZ1504" t="s">
        <v>74</v>
      </c>
      <c r="BA1504" t="s">
        <v>74</v>
      </c>
      <c r="BB1504">
        <v>132</v>
      </c>
      <c r="BC1504">
        <v>140</v>
      </c>
      <c r="BD1504" t="s">
        <v>74</v>
      </c>
      <c r="BE1504" t="s">
        <v>6594</v>
      </c>
      <c r="BF1504" t="str">
        <f>HYPERLINK("http://dx.doi.org/10.1016/j.aca.2020.08.053","http://dx.doi.org/10.1016/j.aca.2020.08.053")</f>
        <v>http://dx.doi.org/10.1016/j.aca.2020.08.053</v>
      </c>
      <c r="BG1504" t="s">
        <v>74</v>
      </c>
      <c r="BH1504" t="s">
        <v>74</v>
      </c>
      <c r="BI1504" t="s">
        <v>74</v>
      </c>
      <c r="BJ1504" t="s">
        <v>1118</v>
      </c>
      <c r="BK1504" t="s">
        <v>117</v>
      </c>
      <c r="BL1504" t="s">
        <v>1048</v>
      </c>
      <c r="BM1504" t="s">
        <v>74</v>
      </c>
      <c r="BN1504">
        <v>33161974</v>
      </c>
      <c r="BO1504" t="s">
        <v>74</v>
      </c>
      <c r="BP1504" t="s">
        <v>74</v>
      </c>
      <c r="BQ1504" t="s">
        <v>74</v>
      </c>
      <c r="BR1504" t="s">
        <v>96</v>
      </c>
      <c r="BS1504" t="s">
        <v>6595</v>
      </c>
      <c r="BT1504" t="str">
        <f>HYPERLINK("https%3A%2F%2Fwww.webofscience.com%2Fwos%2Fwoscc%2Ffull-record%2FWOS:000595500300015","View Full Record in Web of Science")</f>
        <v>View Full Record in Web of Science</v>
      </c>
    </row>
    <row r="1505" spans="1:72" x14ac:dyDescent="0.15">
      <c r="A1505" t="s">
        <v>98</v>
      </c>
      <c r="B1505" t="s">
        <v>7127</v>
      </c>
      <c r="C1505" t="s">
        <v>74</v>
      </c>
      <c r="D1505" t="s">
        <v>74</v>
      </c>
      <c r="E1505" t="s">
        <v>74</v>
      </c>
      <c r="F1505" t="s">
        <v>7128</v>
      </c>
      <c r="G1505" t="s">
        <v>74</v>
      </c>
      <c r="H1505" t="s">
        <v>74</v>
      </c>
      <c r="I1505" t="s">
        <v>7129</v>
      </c>
      <c r="J1505" t="s">
        <v>2105</v>
      </c>
      <c r="K1505" t="s">
        <v>74</v>
      </c>
      <c r="L1505" t="s">
        <v>74</v>
      </c>
      <c r="M1505" t="s">
        <v>74</v>
      </c>
      <c r="N1505" t="s">
        <v>103</v>
      </c>
      <c r="O1505" t="s">
        <v>74</v>
      </c>
      <c r="P1505" t="s">
        <v>74</v>
      </c>
      <c r="Q1505" t="s">
        <v>74</v>
      </c>
      <c r="R1505" t="s">
        <v>74</v>
      </c>
      <c r="S1505" t="s">
        <v>74</v>
      </c>
      <c r="T1505" t="s">
        <v>7130</v>
      </c>
      <c r="U1505" t="s">
        <v>74</v>
      </c>
      <c r="V1505" t="s">
        <v>7131</v>
      </c>
      <c r="W1505" t="s">
        <v>7132</v>
      </c>
      <c r="X1505" t="s">
        <v>7133</v>
      </c>
      <c r="Y1505" t="s">
        <v>7134</v>
      </c>
      <c r="Z1505" t="s">
        <v>7135</v>
      </c>
      <c r="AA1505" t="s">
        <v>7136</v>
      </c>
      <c r="AB1505" t="s">
        <v>74</v>
      </c>
      <c r="AC1505" t="s">
        <v>74</v>
      </c>
      <c r="AD1505" t="s">
        <v>74</v>
      </c>
      <c r="AE1505" t="s">
        <v>74</v>
      </c>
      <c r="AF1505" t="s">
        <v>74</v>
      </c>
      <c r="AG1505">
        <v>50</v>
      </c>
      <c r="AH1505">
        <v>4</v>
      </c>
      <c r="AI1505">
        <v>4</v>
      </c>
      <c r="AJ1505">
        <v>2</v>
      </c>
      <c r="AK1505">
        <v>4</v>
      </c>
      <c r="AL1505" t="s">
        <v>74</v>
      </c>
      <c r="AM1505" t="s">
        <v>74</v>
      </c>
      <c r="AN1505" t="s">
        <v>74</v>
      </c>
      <c r="AO1505" t="s">
        <v>2115</v>
      </c>
      <c r="AP1505" t="s">
        <v>74</v>
      </c>
      <c r="AQ1505" t="s">
        <v>74</v>
      </c>
      <c r="AR1505" t="s">
        <v>74</v>
      </c>
      <c r="AS1505" t="s">
        <v>74</v>
      </c>
      <c r="AT1505" t="s">
        <v>7137</v>
      </c>
      <c r="AU1505">
        <v>2021</v>
      </c>
      <c r="AV1505">
        <v>10</v>
      </c>
      <c r="AW1505" t="s">
        <v>74</v>
      </c>
      <c r="AX1505" t="s">
        <v>74</v>
      </c>
      <c r="AY1505" t="s">
        <v>74</v>
      </c>
      <c r="AZ1505" t="s">
        <v>74</v>
      </c>
      <c r="BA1505" t="s">
        <v>74</v>
      </c>
      <c r="BB1505" t="s">
        <v>74</v>
      </c>
      <c r="BC1505" t="s">
        <v>74</v>
      </c>
      <c r="BD1505">
        <v>602763</v>
      </c>
      <c r="BE1505" t="s">
        <v>7138</v>
      </c>
      <c r="BF1505" t="str">
        <f>HYPERLINK("http://dx.doi.org/10.3389/fonc.2020.602763","http://dx.doi.org/10.3389/fonc.2020.602763")</f>
        <v>http://dx.doi.org/10.3389/fonc.2020.602763</v>
      </c>
      <c r="BG1505" t="s">
        <v>74</v>
      </c>
      <c r="BH1505" t="s">
        <v>74</v>
      </c>
      <c r="BI1505" t="s">
        <v>74</v>
      </c>
      <c r="BJ1505" t="s">
        <v>267</v>
      </c>
      <c r="BK1505" t="s">
        <v>117</v>
      </c>
      <c r="BL1505" t="s">
        <v>267</v>
      </c>
      <c r="BM1505" t="s">
        <v>74</v>
      </c>
      <c r="BN1505">
        <v>33738245</v>
      </c>
      <c r="BO1505" t="s">
        <v>74</v>
      </c>
      <c r="BP1505" t="s">
        <v>74</v>
      </c>
      <c r="BQ1505" t="s">
        <v>74</v>
      </c>
      <c r="BR1505" t="s">
        <v>96</v>
      </c>
      <c r="BS1505" t="s">
        <v>7139</v>
      </c>
      <c r="BT1505" t="str">
        <f>HYPERLINK("https%3A%2F%2Fwww.webofscience.com%2Fwos%2Fwoscc%2Ffull-record%2FWOS:000629295500001","View Full Record in Web of Science")</f>
        <v>View Full Record in Web of Science</v>
      </c>
    </row>
    <row r="1506" spans="1:72" x14ac:dyDescent="0.15">
      <c r="A1506" t="s">
        <v>98</v>
      </c>
      <c r="B1506" t="s">
        <v>7403</v>
      </c>
      <c r="C1506" t="s">
        <v>74</v>
      </c>
      <c r="D1506" t="s">
        <v>74</v>
      </c>
      <c r="E1506" t="s">
        <v>74</v>
      </c>
      <c r="F1506" t="s">
        <v>7404</v>
      </c>
      <c r="G1506" t="s">
        <v>74</v>
      </c>
      <c r="H1506" t="s">
        <v>74</v>
      </c>
      <c r="I1506" t="s">
        <v>7405</v>
      </c>
      <c r="J1506" t="s">
        <v>7406</v>
      </c>
      <c r="K1506" t="s">
        <v>74</v>
      </c>
      <c r="L1506" t="s">
        <v>74</v>
      </c>
      <c r="M1506" t="s">
        <v>74</v>
      </c>
      <c r="N1506" t="s">
        <v>103</v>
      </c>
      <c r="O1506" t="s">
        <v>74</v>
      </c>
      <c r="P1506" t="s">
        <v>74</v>
      </c>
      <c r="Q1506" t="s">
        <v>74</v>
      </c>
      <c r="R1506" t="s">
        <v>74</v>
      </c>
      <c r="S1506" t="s">
        <v>74</v>
      </c>
      <c r="T1506" t="s">
        <v>7407</v>
      </c>
      <c r="U1506" t="s">
        <v>7408</v>
      </c>
      <c r="V1506" t="s">
        <v>7409</v>
      </c>
      <c r="W1506" t="s">
        <v>7410</v>
      </c>
      <c r="X1506" t="s">
        <v>1673</v>
      </c>
      <c r="Y1506" t="s">
        <v>7411</v>
      </c>
      <c r="Z1506" t="s">
        <v>7412</v>
      </c>
      <c r="AA1506" t="s">
        <v>7413</v>
      </c>
      <c r="AB1506" t="s">
        <v>7414</v>
      </c>
      <c r="AC1506" t="s">
        <v>74</v>
      </c>
      <c r="AD1506" t="s">
        <v>74</v>
      </c>
      <c r="AE1506" t="s">
        <v>74</v>
      </c>
      <c r="AF1506" t="s">
        <v>74</v>
      </c>
      <c r="AG1506">
        <v>40</v>
      </c>
      <c r="AH1506">
        <v>4</v>
      </c>
      <c r="AI1506">
        <v>4</v>
      </c>
      <c r="AJ1506">
        <v>0</v>
      </c>
      <c r="AK1506">
        <v>4</v>
      </c>
      <c r="AL1506" t="s">
        <v>74</v>
      </c>
      <c r="AM1506" t="s">
        <v>74</v>
      </c>
      <c r="AN1506" t="s">
        <v>74</v>
      </c>
      <c r="AO1506" t="s">
        <v>7415</v>
      </c>
      <c r="AP1506" t="s">
        <v>74</v>
      </c>
      <c r="AQ1506" t="s">
        <v>74</v>
      </c>
      <c r="AR1506" t="s">
        <v>74</v>
      </c>
      <c r="AS1506" t="s">
        <v>74</v>
      </c>
      <c r="AT1506" t="s">
        <v>531</v>
      </c>
      <c r="AU1506">
        <v>2021</v>
      </c>
      <c r="AV1506">
        <v>30</v>
      </c>
      <c r="AW1506" t="s">
        <v>74</v>
      </c>
      <c r="AX1506" t="s">
        <v>74</v>
      </c>
      <c r="AY1506" t="s">
        <v>74</v>
      </c>
      <c r="AZ1506" t="s">
        <v>74</v>
      </c>
      <c r="BA1506" t="s">
        <v>74</v>
      </c>
      <c r="BB1506">
        <v>61</v>
      </c>
      <c r="BC1506">
        <v>69</v>
      </c>
      <c r="BD1506" t="s">
        <v>74</v>
      </c>
      <c r="BE1506" t="s">
        <v>7416</v>
      </c>
      <c r="BF1506" t="str">
        <f>HYPERLINK("http://dx.doi.org/10.1016/j.jot.2021.08.003","http://dx.doi.org/10.1016/j.jot.2021.08.003")</f>
        <v>http://dx.doi.org/10.1016/j.jot.2021.08.003</v>
      </c>
      <c r="BG1506" t="s">
        <v>74</v>
      </c>
      <c r="BH1506" t="s">
        <v>395</v>
      </c>
      <c r="BI1506" t="s">
        <v>74</v>
      </c>
      <c r="BJ1506" t="s">
        <v>974</v>
      </c>
      <c r="BK1506" t="s">
        <v>117</v>
      </c>
      <c r="BL1506" t="s">
        <v>974</v>
      </c>
      <c r="BM1506" t="s">
        <v>74</v>
      </c>
      <c r="BN1506">
        <v>34611515</v>
      </c>
      <c r="BO1506" t="s">
        <v>74</v>
      </c>
      <c r="BP1506" t="s">
        <v>74</v>
      </c>
      <c r="BQ1506" t="s">
        <v>74</v>
      </c>
      <c r="BR1506" t="s">
        <v>96</v>
      </c>
      <c r="BS1506" t="s">
        <v>7417</v>
      </c>
      <c r="BT1506" t="str">
        <f>HYPERLINK("https%3A%2F%2Fwww.webofscience.com%2Fwos%2Fwoscc%2Ffull-record%2FWOS:000709573100007","View Full Record in Web of Science")</f>
        <v>View Full Record in Web of Science</v>
      </c>
    </row>
    <row r="1507" spans="1:72" x14ac:dyDescent="0.15">
      <c r="A1507" t="s">
        <v>98</v>
      </c>
      <c r="B1507" t="s">
        <v>8382</v>
      </c>
      <c r="C1507" t="s">
        <v>74</v>
      </c>
      <c r="D1507" t="s">
        <v>74</v>
      </c>
      <c r="E1507" t="s">
        <v>74</v>
      </c>
      <c r="F1507" t="s">
        <v>8383</v>
      </c>
      <c r="G1507" t="s">
        <v>74</v>
      </c>
      <c r="H1507" t="s">
        <v>74</v>
      </c>
      <c r="I1507" t="s">
        <v>8384</v>
      </c>
      <c r="J1507" t="s">
        <v>8385</v>
      </c>
      <c r="K1507" t="s">
        <v>74</v>
      </c>
      <c r="L1507" t="s">
        <v>74</v>
      </c>
      <c r="M1507" t="s">
        <v>74</v>
      </c>
      <c r="N1507" t="s">
        <v>103</v>
      </c>
      <c r="O1507" t="s">
        <v>74</v>
      </c>
      <c r="P1507" t="s">
        <v>74</v>
      </c>
      <c r="Q1507" t="s">
        <v>74</v>
      </c>
      <c r="R1507" t="s">
        <v>74</v>
      </c>
      <c r="S1507" t="s">
        <v>74</v>
      </c>
      <c r="T1507" t="s">
        <v>8386</v>
      </c>
      <c r="U1507" t="s">
        <v>8387</v>
      </c>
      <c r="V1507" t="s">
        <v>8388</v>
      </c>
      <c r="W1507" t="s">
        <v>8389</v>
      </c>
      <c r="X1507" t="s">
        <v>8390</v>
      </c>
      <c r="Y1507" t="s">
        <v>8391</v>
      </c>
      <c r="Z1507" t="s">
        <v>8392</v>
      </c>
      <c r="AA1507" t="s">
        <v>8393</v>
      </c>
      <c r="AB1507" t="s">
        <v>8394</v>
      </c>
      <c r="AC1507" t="s">
        <v>74</v>
      </c>
      <c r="AD1507" t="s">
        <v>74</v>
      </c>
      <c r="AE1507" t="s">
        <v>74</v>
      </c>
      <c r="AF1507" t="s">
        <v>74</v>
      </c>
      <c r="AG1507">
        <v>59</v>
      </c>
      <c r="AH1507">
        <v>4</v>
      </c>
      <c r="AI1507">
        <v>5</v>
      </c>
      <c r="AJ1507">
        <v>2</v>
      </c>
      <c r="AK1507">
        <v>12</v>
      </c>
      <c r="AL1507" t="s">
        <v>74</v>
      </c>
      <c r="AM1507" t="s">
        <v>74</v>
      </c>
      <c r="AN1507" t="s">
        <v>74</v>
      </c>
      <c r="AO1507" t="s">
        <v>8395</v>
      </c>
      <c r="AP1507" t="s">
        <v>8396</v>
      </c>
      <c r="AQ1507" t="s">
        <v>74</v>
      </c>
      <c r="AR1507" t="s">
        <v>74</v>
      </c>
      <c r="AS1507" t="s">
        <v>74</v>
      </c>
      <c r="AT1507" t="s">
        <v>283</v>
      </c>
      <c r="AU1507">
        <v>2021</v>
      </c>
      <c r="AV1507">
        <v>36</v>
      </c>
      <c r="AW1507">
        <v>1</v>
      </c>
      <c r="AX1507" t="s">
        <v>74</v>
      </c>
      <c r="AY1507" t="s">
        <v>74</v>
      </c>
      <c r="AZ1507" t="s">
        <v>74</v>
      </c>
      <c r="BA1507" t="s">
        <v>74</v>
      </c>
      <c r="BB1507">
        <v>12</v>
      </c>
      <c r="BC1507">
        <v>24</v>
      </c>
      <c r="BD1507" t="s">
        <v>74</v>
      </c>
      <c r="BE1507" t="s">
        <v>8397</v>
      </c>
      <c r="BF1507" t="str">
        <f>HYPERLINK("http://dx.doi.org/10.1111/omi.12318","http://dx.doi.org/10.1111/omi.12318")</f>
        <v>http://dx.doi.org/10.1111/omi.12318</v>
      </c>
      <c r="BG1507" t="s">
        <v>74</v>
      </c>
      <c r="BH1507" t="s">
        <v>304</v>
      </c>
      <c r="BI1507" t="s">
        <v>74</v>
      </c>
      <c r="BJ1507" t="s">
        <v>8398</v>
      </c>
      <c r="BK1507" t="s">
        <v>117</v>
      </c>
      <c r="BL1507" t="s">
        <v>8398</v>
      </c>
      <c r="BM1507" t="s">
        <v>74</v>
      </c>
      <c r="BN1507">
        <v>33040492</v>
      </c>
      <c r="BO1507" t="s">
        <v>74</v>
      </c>
      <c r="BP1507" t="s">
        <v>74</v>
      </c>
      <c r="BQ1507" t="s">
        <v>74</v>
      </c>
      <c r="BR1507" t="s">
        <v>96</v>
      </c>
      <c r="BS1507" t="s">
        <v>8399</v>
      </c>
      <c r="BT1507" t="str">
        <f>HYPERLINK("https%3A%2F%2Fwww.webofscience.com%2Fwos%2Fwoscc%2Ffull-record%2FWOS:000595230300001","View Full Record in Web of Science")</f>
        <v>View Full Record in Web of Science</v>
      </c>
    </row>
    <row r="1508" spans="1:72" x14ac:dyDescent="0.15">
      <c r="A1508" t="s">
        <v>98</v>
      </c>
      <c r="B1508" t="s">
        <v>8451</v>
      </c>
      <c r="C1508" t="s">
        <v>74</v>
      </c>
      <c r="D1508" t="s">
        <v>74</v>
      </c>
      <c r="E1508" t="s">
        <v>74</v>
      </c>
      <c r="F1508" t="s">
        <v>8452</v>
      </c>
      <c r="G1508" t="s">
        <v>74</v>
      </c>
      <c r="H1508" t="s">
        <v>74</v>
      </c>
      <c r="I1508" t="s">
        <v>8453</v>
      </c>
      <c r="J1508" t="s">
        <v>8454</v>
      </c>
      <c r="K1508" t="s">
        <v>74</v>
      </c>
      <c r="L1508" t="s">
        <v>74</v>
      </c>
      <c r="M1508" t="s">
        <v>74</v>
      </c>
      <c r="N1508" t="s">
        <v>103</v>
      </c>
      <c r="O1508" t="s">
        <v>74</v>
      </c>
      <c r="P1508" t="s">
        <v>74</v>
      </c>
      <c r="Q1508" t="s">
        <v>74</v>
      </c>
      <c r="R1508" t="s">
        <v>74</v>
      </c>
      <c r="S1508" t="s">
        <v>74</v>
      </c>
      <c r="T1508" t="s">
        <v>8455</v>
      </c>
      <c r="U1508" t="s">
        <v>8456</v>
      </c>
      <c r="V1508" t="s">
        <v>8457</v>
      </c>
      <c r="W1508" t="s">
        <v>8458</v>
      </c>
      <c r="X1508" t="s">
        <v>8459</v>
      </c>
      <c r="Y1508" t="s">
        <v>8460</v>
      </c>
      <c r="Z1508" t="s">
        <v>4648</v>
      </c>
      <c r="AA1508" t="s">
        <v>8461</v>
      </c>
      <c r="AB1508" t="s">
        <v>8462</v>
      </c>
      <c r="AC1508" t="s">
        <v>74</v>
      </c>
      <c r="AD1508" t="s">
        <v>74</v>
      </c>
      <c r="AE1508" t="s">
        <v>74</v>
      </c>
      <c r="AF1508" t="s">
        <v>74</v>
      </c>
      <c r="AG1508">
        <v>65</v>
      </c>
      <c r="AH1508">
        <v>4</v>
      </c>
      <c r="AI1508">
        <v>4</v>
      </c>
      <c r="AJ1508">
        <v>2</v>
      </c>
      <c r="AK1508">
        <v>13</v>
      </c>
      <c r="AL1508" t="s">
        <v>74</v>
      </c>
      <c r="AM1508" t="s">
        <v>74</v>
      </c>
      <c r="AN1508" t="s">
        <v>74</v>
      </c>
      <c r="AO1508" t="s">
        <v>8463</v>
      </c>
      <c r="AP1508" t="s">
        <v>8464</v>
      </c>
      <c r="AQ1508" t="s">
        <v>74</v>
      </c>
      <c r="AR1508" t="s">
        <v>74</v>
      </c>
      <c r="AS1508" t="s">
        <v>74</v>
      </c>
      <c r="AT1508" t="s">
        <v>211</v>
      </c>
      <c r="AU1508">
        <v>2021</v>
      </c>
      <c r="AV1508">
        <v>143</v>
      </c>
      <c r="AW1508" t="s">
        <v>74</v>
      </c>
      <c r="AX1508" t="s">
        <v>74</v>
      </c>
      <c r="AY1508" t="s">
        <v>74</v>
      </c>
      <c r="AZ1508" t="s">
        <v>74</v>
      </c>
      <c r="BA1508" t="s">
        <v>74</v>
      </c>
      <c r="BB1508" t="s">
        <v>74</v>
      </c>
      <c r="BC1508" t="s">
        <v>74</v>
      </c>
      <c r="BD1508">
        <v>112220</v>
      </c>
      <c r="BE1508" t="s">
        <v>8465</v>
      </c>
      <c r="BF1508" t="str">
        <f>HYPERLINK("http://dx.doi.org/10.1016/j.biopha.2021.112220","http://dx.doi.org/10.1016/j.biopha.2021.112220")</f>
        <v>http://dx.doi.org/10.1016/j.biopha.2021.112220</v>
      </c>
      <c r="BG1508" t="s">
        <v>74</v>
      </c>
      <c r="BH1508" t="s">
        <v>395</v>
      </c>
      <c r="BI1508" t="s">
        <v>74</v>
      </c>
      <c r="BJ1508" t="s">
        <v>191</v>
      </c>
      <c r="BK1508" t="s">
        <v>117</v>
      </c>
      <c r="BL1508" t="s">
        <v>192</v>
      </c>
      <c r="BM1508" t="s">
        <v>74</v>
      </c>
      <c r="BN1508">
        <v>34649349</v>
      </c>
      <c r="BO1508" t="s">
        <v>74</v>
      </c>
      <c r="BP1508" t="s">
        <v>74</v>
      </c>
      <c r="BQ1508" t="s">
        <v>74</v>
      </c>
      <c r="BR1508" t="s">
        <v>96</v>
      </c>
      <c r="BS1508" t="s">
        <v>8466</v>
      </c>
      <c r="BT1508" t="str">
        <f>HYPERLINK("https%3A%2F%2Fwww.webofscience.com%2Fwos%2Fwoscc%2Ffull-record%2FWOS:000704949500003","View Full Record in Web of Science")</f>
        <v>View Full Record in Web of Science</v>
      </c>
    </row>
    <row r="1509" spans="1:72" x14ac:dyDescent="0.15">
      <c r="A1509" t="s">
        <v>98</v>
      </c>
      <c r="B1509" t="s">
        <v>8777</v>
      </c>
      <c r="C1509" t="s">
        <v>74</v>
      </c>
      <c r="D1509" t="s">
        <v>74</v>
      </c>
      <c r="E1509" t="s">
        <v>74</v>
      </c>
      <c r="F1509" t="s">
        <v>8778</v>
      </c>
      <c r="G1509" t="s">
        <v>74</v>
      </c>
      <c r="H1509" t="s">
        <v>74</v>
      </c>
      <c r="I1509" t="s">
        <v>8779</v>
      </c>
      <c r="J1509" t="s">
        <v>8780</v>
      </c>
      <c r="K1509" t="s">
        <v>74</v>
      </c>
      <c r="L1509" t="s">
        <v>74</v>
      </c>
      <c r="M1509" t="s">
        <v>74</v>
      </c>
      <c r="N1509" t="s">
        <v>103</v>
      </c>
      <c r="O1509" t="s">
        <v>74</v>
      </c>
      <c r="P1509" t="s">
        <v>74</v>
      </c>
      <c r="Q1509" t="s">
        <v>74</v>
      </c>
      <c r="R1509" t="s">
        <v>74</v>
      </c>
      <c r="S1509" t="s">
        <v>74</v>
      </c>
      <c r="T1509" t="s">
        <v>8781</v>
      </c>
      <c r="U1509" t="s">
        <v>8782</v>
      </c>
      <c r="V1509" t="s">
        <v>8783</v>
      </c>
      <c r="W1509" t="s">
        <v>8784</v>
      </c>
      <c r="X1509" t="s">
        <v>8785</v>
      </c>
      <c r="Y1509" t="s">
        <v>8786</v>
      </c>
      <c r="Z1509" t="s">
        <v>8787</v>
      </c>
      <c r="AA1509" t="s">
        <v>74</v>
      </c>
      <c r="AB1509" t="s">
        <v>8788</v>
      </c>
      <c r="AC1509" t="s">
        <v>74</v>
      </c>
      <c r="AD1509" t="s">
        <v>74</v>
      </c>
      <c r="AE1509" t="s">
        <v>74</v>
      </c>
      <c r="AF1509" t="s">
        <v>74</v>
      </c>
      <c r="AG1509">
        <v>49</v>
      </c>
      <c r="AH1509">
        <v>4</v>
      </c>
      <c r="AI1509">
        <v>4</v>
      </c>
      <c r="AJ1509">
        <v>1</v>
      </c>
      <c r="AK1509">
        <v>5</v>
      </c>
      <c r="AL1509" t="s">
        <v>74</v>
      </c>
      <c r="AM1509" t="s">
        <v>74</v>
      </c>
      <c r="AN1509" t="s">
        <v>74</v>
      </c>
      <c r="AO1509" t="s">
        <v>74</v>
      </c>
      <c r="AP1509" t="s">
        <v>8789</v>
      </c>
      <c r="AQ1509" t="s">
        <v>74</v>
      </c>
      <c r="AR1509" t="s">
        <v>74</v>
      </c>
      <c r="AS1509" t="s">
        <v>74</v>
      </c>
      <c r="AT1509" t="s">
        <v>283</v>
      </c>
      <c r="AU1509">
        <v>2021</v>
      </c>
      <c r="AV1509">
        <v>11</v>
      </c>
      <c r="AW1509">
        <v>2</v>
      </c>
      <c r="AX1509" t="s">
        <v>74</v>
      </c>
      <c r="AY1509" t="s">
        <v>74</v>
      </c>
      <c r="AZ1509" t="s">
        <v>74</v>
      </c>
      <c r="BA1509" t="s">
        <v>74</v>
      </c>
      <c r="BB1509" t="s">
        <v>74</v>
      </c>
      <c r="BC1509" t="s">
        <v>74</v>
      </c>
      <c r="BD1509">
        <v>77</v>
      </c>
      <c r="BE1509" t="s">
        <v>8790</v>
      </c>
      <c r="BF1509" t="str">
        <f>HYPERLINK("http://dx.doi.org/10.3390/jpm11020077","http://dx.doi.org/10.3390/jpm11020077")</f>
        <v>http://dx.doi.org/10.3390/jpm11020077</v>
      </c>
      <c r="BG1509" t="s">
        <v>74</v>
      </c>
      <c r="BH1509" t="s">
        <v>74</v>
      </c>
      <c r="BI1509" t="s">
        <v>74</v>
      </c>
      <c r="BJ1509" t="s">
        <v>8791</v>
      </c>
      <c r="BK1509" t="s">
        <v>117</v>
      </c>
      <c r="BL1509" t="s">
        <v>8792</v>
      </c>
      <c r="BM1509" t="s">
        <v>74</v>
      </c>
      <c r="BN1509">
        <v>33525618</v>
      </c>
      <c r="BO1509" t="s">
        <v>74</v>
      </c>
      <c r="BP1509" t="s">
        <v>74</v>
      </c>
      <c r="BQ1509" t="s">
        <v>74</v>
      </c>
      <c r="BR1509" t="s">
        <v>96</v>
      </c>
      <c r="BS1509" t="s">
        <v>8793</v>
      </c>
      <c r="BT1509" t="str">
        <f>HYPERLINK("https%3A%2F%2Fwww.webofscience.com%2Fwos%2Fwoscc%2Ffull-record%2FWOS:000622686500001","View Full Record in Web of Science")</f>
        <v>View Full Record in Web of Science</v>
      </c>
    </row>
    <row r="1510" spans="1:72" x14ac:dyDescent="0.15">
      <c r="A1510" t="s">
        <v>98</v>
      </c>
      <c r="B1510" t="s">
        <v>9118</v>
      </c>
      <c r="C1510" t="s">
        <v>74</v>
      </c>
      <c r="D1510" t="s">
        <v>74</v>
      </c>
      <c r="E1510" t="s">
        <v>74</v>
      </c>
      <c r="F1510" t="s">
        <v>9119</v>
      </c>
      <c r="G1510" t="s">
        <v>74</v>
      </c>
      <c r="H1510" t="s">
        <v>74</v>
      </c>
      <c r="I1510" t="s">
        <v>9120</v>
      </c>
      <c r="J1510" t="s">
        <v>9121</v>
      </c>
      <c r="K1510" t="s">
        <v>74</v>
      </c>
      <c r="L1510" t="s">
        <v>74</v>
      </c>
      <c r="M1510" t="s">
        <v>74</v>
      </c>
      <c r="N1510" t="s">
        <v>103</v>
      </c>
      <c r="O1510" t="s">
        <v>74</v>
      </c>
      <c r="P1510" t="s">
        <v>74</v>
      </c>
      <c r="Q1510" t="s">
        <v>74</v>
      </c>
      <c r="R1510" t="s">
        <v>74</v>
      </c>
      <c r="S1510" t="s">
        <v>74</v>
      </c>
      <c r="T1510" t="s">
        <v>9122</v>
      </c>
      <c r="U1510" t="s">
        <v>9123</v>
      </c>
      <c r="V1510" t="s">
        <v>9124</v>
      </c>
      <c r="W1510" t="s">
        <v>9125</v>
      </c>
      <c r="X1510" t="s">
        <v>9126</v>
      </c>
      <c r="Y1510" t="s">
        <v>9127</v>
      </c>
      <c r="Z1510" t="s">
        <v>9128</v>
      </c>
      <c r="AA1510" t="s">
        <v>74</v>
      </c>
      <c r="AB1510" t="s">
        <v>9129</v>
      </c>
      <c r="AC1510" t="s">
        <v>74</v>
      </c>
      <c r="AD1510" t="s">
        <v>74</v>
      </c>
      <c r="AE1510" t="s">
        <v>74</v>
      </c>
      <c r="AF1510" t="s">
        <v>74</v>
      </c>
      <c r="AG1510">
        <v>47</v>
      </c>
      <c r="AH1510">
        <v>4</v>
      </c>
      <c r="AI1510">
        <v>4</v>
      </c>
      <c r="AJ1510">
        <v>1</v>
      </c>
      <c r="AK1510">
        <v>2</v>
      </c>
      <c r="AL1510" t="s">
        <v>74</v>
      </c>
      <c r="AM1510" t="s">
        <v>74</v>
      </c>
      <c r="AN1510" t="s">
        <v>74</v>
      </c>
      <c r="AO1510" t="s">
        <v>74</v>
      </c>
      <c r="AP1510" t="s">
        <v>9130</v>
      </c>
      <c r="AQ1510" t="s">
        <v>74</v>
      </c>
      <c r="AR1510" t="s">
        <v>74</v>
      </c>
      <c r="AS1510" t="s">
        <v>74</v>
      </c>
      <c r="AT1510" t="s">
        <v>3144</v>
      </c>
      <c r="AU1510">
        <v>2020</v>
      </c>
      <c r="AV1510">
        <v>14</v>
      </c>
      <c r="AW1510" t="s">
        <v>74</v>
      </c>
      <c r="AX1510" t="s">
        <v>74</v>
      </c>
      <c r="AY1510" t="s">
        <v>74</v>
      </c>
      <c r="AZ1510" t="s">
        <v>74</v>
      </c>
      <c r="BA1510" t="s">
        <v>74</v>
      </c>
      <c r="BB1510" t="s">
        <v>74</v>
      </c>
      <c r="BC1510" t="s">
        <v>74</v>
      </c>
      <c r="BD1510">
        <v>540</v>
      </c>
      <c r="BE1510" t="s">
        <v>9131</v>
      </c>
      <c r="BF1510" t="str">
        <f>HYPERLINK("http://dx.doi.org/10.3389/fnins.2020.00540","http://dx.doi.org/10.3389/fnins.2020.00540")</f>
        <v>http://dx.doi.org/10.3389/fnins.2020.00540</v>
      </c>
      <c r="BG1510" t="s">
        <v>74</v>
      </c>
      <c r="BH1510" t="s">
        <v>74</v>
      </c>
      <c r="BI1510" t="s">
        <v>74</v>
      </c>
      <c r="BJ1510" t="s">
        <v>652</v>
      </c>
      <c r="BK1510" t="s">
        <v>117</v>
      </c>
      <c r="BL1510" t="s">
        <v>653</v>
      </c>
      <c r="BM1510" t="s">
        <v>74</v>
      </c>
      <c r="BN1510">
        <v>32595443</v>
      </c>
      <c r="BO1510" t="s">
        <v>74</v>
      </c>
      <c r="BP1510" t="s">
        <v>74</v>
      </c>
      <c r="BQ1510" t="s">
        <v>74</v>
      </c>
      <c r="BR1510" t="s">
        <v>96</v>
      </c>
      <c r="BS1510" t="s">
        <v>9132</v>
      </c>
      <c r="BT1510" t="str">
        <f>HYPERLINK("https%3A%2F%2Fwww.webofscience.com%2Fwos%2Fwoscc%2Ffull-record%2FWOS:000543818500001","View Full Record in Web of Science")</f>
        <v>View Full Record in Web of Science</v>
      </c>
    </row>
    <row r="1511" spans="1:72" x14ac:dyDescent="0.15">
      <c r="A1511" t="s">
        <v>98</v>
      </c>
      <c r="B1511" t="s">
        <v>9834</v>
      </c>
      <c r="C1511" t="s">
        <v>74</v>
      </c>
      <c r="D1511" t="s">
        <v>74</v>
      </c>
      <c r="E1511" t="s">
        <v>74</v>
      </c>
      <c r="F1511" t="s">
        <v>9835</v>
      </c>
      <c r="G1511" t="s">
        <v>74</v>
      </c>
      <c r="H1511" t="s">
        <v>74</v>
      </c>
      <c r="I1511" t="s">
        <v>9836</v>
      </c>
      <c r="J1511" t="s">
        <v>3864</v>
      </c>
      <c r="K1511" t="s">
        <v>74</v>
      </c>
      <c r="L1511" t="s">
        <v>74</v>
      </c>
      <c r="M1511" t="s">
        <v>74</v>
      </c>
      <c r="N1511" t="s">
        <v>103</v>
      </c>
      <c r="O1511" t="s">
        <v>74</v>
      </c>
      <c r="P1511" t="s">
        <v>74</v>
      </c>
      <c r="Q1511" t="s">
        <v>74</v>
      </c>
      <c r="R1511" t="s">
        <v>74</v>
      </c>
      <c r="S1511" t="s">
        <v>74</v>
      </c>
      <c r="T1511" t="s">
        <v>9837</v>
      </c>
      <c r="U1511" t="s">
        <v>9838</v>
      </c>
      <c r="V1511" t="s">
        <v>9839</v>
      </c>
      <c r="W1511" t="s">
        <v>9840</v>
      </c>
      <c r="X1511" t="s">
        <v>9841</v>
      </c>
      <c r="Y1511" t="s">
        <v>9842</v>
      </c>
      <c r="Z1511" t="s">
        <v>9843</v>
      </c>
      <c r="AA1511" t="s">
        <v>74</v>
      </c>
      <c r="AB1511" t="s">
        <v>74</v>
      </c>
      <c r="AC1511" t="s">
        <v>74</v>
      </c>
      <c r="AD1511" t="s">
        <v>74</v>
      </c>
      <c r="AE1511" t="s">
        <v>74</v>
      </c>
      <c r="AF1511" t="s">
        <v>74</v>
      </c>
      <c r="AG1511">
        <v>65</v>
      </c>
      <c r="AH1511">
        <v>4</v>
      </c>
      <c r="AI1511">
        <v>4</v>
      </c>
      <c r="AJ1511">
        <v>8</v>
      </c>
      <c r="AK1511">
        <v>8</v>
      </c>
      <c r="AL1511" t="s">
        <v>74</v>
      </c>
      <c r="AM1511" t="s">
        <v>74</v>
      </c>
      <c r="AN1511" t="s">
        <v>74</v>
      </c>
      <c r="AO1511" t="s">
        <v>74</v>
      </c>
      <c r="AP1511" t="s">
        <v>3874</v>
      </c>
      <c r="AQ1511" t="s">
        <v>74</v>
      </c>
      <c r="AR1511" t="s">
        <v>74</v>
      </c>
      <c r="AS1511" t="s">
        <v>74</v>
      </c>
      <c r="AT1511" t="s">
        <v>1408</v>
      </c>
      <c r="AU1511">
        <v>2022</v>
      </c>
      <c r="AV1511">
        <v>20</v>
      </c>
      <c r="AW1511">
        <v>1</v>
      </c>
      <c r="AX1511" t="s">
        <v>74</v>
      </c>
      <c r="AY1511" t="s">
        <v>74</v>
      </c>
      <c r="AZ1511" t="s">
        <v>74</v>
      </c>
      <c r="BA1511" t="s">
        <v>74</v>
      </c>
      <c r="BB1511" t="s">
        <v>74</v>
      </c>
      <c r="BC1511" t="s">
        <v>74</v>
      </c>
      <c r="BD1511">
        <v>135</v>
      </c>
      <c r="BE1511" t="s">
        <v>9844</v>
      </c>
      <c r="BF1511" t="str">
        <f>HYPERLINK("http://dx.doi.org/10.1186/s12951-022-01347-3","http://dx.doi.org/10.1186/s12951-022-01347-3")</f>
        <v>http://dx.doi.org/10.1186/s12951-022-01347-3</v>
      </c>
      <c r="BG1511" t="s">
        <v>74</v>
      </c>
      <c r="BH1511" t="s">
        <v>74</v>
      </c>
      <c r="BI1511" t="s">
        <v>74</v>
      </c>
      <c r="BJ1511" t="s">
        <v>3877</v>
      </c>
      <c r="BK1511" t="s">
        <v>117</v>
      </c>
      <c r="BL1511" t="s">
        <v>3878</v>
      </c>
      <c r="BM1511" t="s">
        <v>74</v>
      </c>
      <c r="BN1511">
        <v>35292020</v>
      </c>
      <c r="BO1511" t="s">
        <v>74</v>
      </c>
      <c r="BP1511" t="s">
        <v>74</v>
      </c>
      <c r="BQ1511" t="s">
        <v>74</v>
      </c>
      <c r="BR1511" t="s">
        <v>96</v>
      </c>
      <c r="BS1511" t="s">
        <v>9845</v>
      </c>
      <c r="BT1511" t="str">
        <f>HYPERLINK("https%3A%2F%2Fwww.webofscience.com%2Fwos%2Fwoscc%2Ffull-record%2FWOS:000769513100003","View Full Record in Web of Science")</f>
        <v>View Full Record in Web of Science</v>
      </c>
    </row>
    <row r="1512" spans="1:72" x14ac:dyDescent="0.15">
      <c r="A1512" t="s">
        <v>98</v>
      </c>
      <c r="B1512" t="s">
        <v>9846</v>
      </c>
      <c r="C1512" t="s">
        <v>74</v>
      </c>
      <c r="D1512" t="s">
        <v>74</v>
      </c>
      <c r="E1512" t="s">
        <v>74</v>
      </c>
      <c r="F1512" t="s">
        <v>9847</v>
      </c>
      <c r="G1512" t="s">
        <v>74</v>
      </c>
      <c r="H1512" t="s">
        <v>74</v>
      </c>
      <c r="I1512" t="s">
        <v>9848</v>
      </c>
      <c r="J1512" t="s">
        <v>9849</v>
      </c>
      <c r="K1512" t="s">
        <v>74</v>
      </c>
      <c r="L1512" t="s">
        <v>74</v>
      </c>
      <c r="M1512" t="s">
        <v>74</v>
      </c>
      <c r="N1512" t="s">
        <v>103</v>
      </c>
      <c r="O1512" t="s">
        <v>74</v>
      </c>
      <c r="P1512" t="s">
        <v>74</v>
      </c>
      <c r="Q1512" t="s">
        <v>74</v>
      </c>
      <c r="R1512" t="s">
        <v>74</v>
      </c>
      <c r="S1512" t="s">
        <v>74</v>
      </c>
      <c r="T1512" t="s">
        <v>74</v>
      </c>
      <c r="U1512" t="s">
        <v>9850</v>
      </c>
      <c r="V1512" t="s">
        <v>9851</v>
      </c>
      <c r="W1512" t="s">
        <v>9852</v>
      </c>
      <c r="X1512" t="s">
        <v>9853</v>
      </c>
      <c r="Y1512" t="s">
        <v>9854</v>
      </c>
      <c r="Z1512" t="s">
        <v>9855</v>
      </c>
      <c r="AA1512" t="s">
        <v>9856</v>
      </c>
      <c r="AB1512" t="s">
        <v>9857</v>
      </c>
      <c r="AC1512" t="s">
        <v>74</v>
      </c>
      <c r="AD1512" t="s">
        <v>74</v>
      </c>
      <c r="AE1512" t="s">
        <v>74</v>
      </c>
      <c r="AF1512" t="s">
        <v>74</v>
      </c>
      <c r="AG1512">
        <v>35</v>
      </c>
      <c r="AH1512">
        <v>4</v>
      </c>
      <c r="AI1512">
        <v>4</v>
      </c>
      <c r="AJ1512">
        <v>3</v>
      </c>
      <c r="AK1512">
        <v>18</v>
      </c>
      <c r="AL1512" t="s">
        <v>74</v>
      </c>
      <c r="AM1512" t="s">
        <v>74</v>
      </c>
      <c r="AN1512" t="s">
        <v>74</v>
      </c>
      <c r="AO1512" t="s">
        <v>9858</v>
      </c>
      <c r="AP1512" t="s">
        <v>9859</v>
      </c>
      <c r="AQ1512" t="s">
        <v>74</v>
      </c>
      <c r="AR1512" t="s">
        <v>74</v>
      </c>
      <c r="AS1512" t="s">
        <v>74</v>
      </c>
      <c r="AT1512" t="s">
        <v>335</v>
      </c>
      <c r="AU1512">
        <v>2020</v>
      </c>
      <c r="AV1512">
        <v>5</v>
      </c>
      <c r="AW1512">
        <v>9</v>
      </c>
      <c r="AX1512" t="s">
        <v>74</v>
      </c>
      <c r="AY1512" t="s">
        <v>74</v>
      </c>
      <c r="AZ1512" t="s">
        <v>74</v>
      </c>
      <c r="BA1512" t="s">
        <v>74</v>
      </c>
      <c r="BB1512">
        <v>1317</v>
      </c>
      <c r="BC1512">
        <v>1323</v>
      </c>
      <c r="BD1512" t="s">
        <v>74</v>
      </c>
      <c r="BE1512" t="s">
        <v>9860</v>
      </c>
      <c r="BF1512" t="str">
        <f>HYPERLINK("http://dx.doi.org/10.1039/d0nh00258e","http://dx.doi.org/10.1039/d0nh00258e")</f>
        <v>http://dx.doi.org/10.1039/d0nh00258e</v>
      </c>
      <c r="BG1512" t="s">
        <v>74</v>
      </c>
      <c r="BH1512" t="s">
        <v>74</v>
      </c>
      <c r="BI1512" t="s">
        <v>74</v>
      </c>
      <c r="BJ1512" t="s">
        <v>9406</v>
      </c>
      <c r="BK1512" t="s">
        <v>117</v>
      </c>
      <c r="BL1512" t="s">
        <v>1275</v>
      </c>
      <c r="BM1512" t="s">
        <v>74</v>
      </c>
      <c r="BN1512">
        <v>32530449</v>
      </c>
      <c r="BO1512" t="s">
        <v>74</v>
      </c>
      <c r="BP1512" t="s">
        <v>74</v>
      </c>
      <c r="BQ1512" t="s">
        <v>74</v>
      </c>
      <c r="BR1512" t="s">
        <v>96</v>
      </c>
      <c r="BS1512" t="s">
        <v>9861</v>
      </c>
      <c r="BT1512" t="str">
        <f>HYPERLINK("https%3A%2F%2Fwww.webofscience.com%2Fwos%2Fwoscc%2Ffull-record%2FWOS:000562279500008","View Full Record in Web of Science")</f>
        <v>View Full Record in Web of Science</v>
      </c>
    </row>
    <row r="1513" spans="1:72" x14ac:dyDescent="0.15">
      <c r="A1513" t="s">
        <v>98</v>
      </c>
      <c r="B1513" t="s">
        <v>10036</v>
      </c>
      <c r="C1513" t="s">
        <v>74</v>
      </c>
      <c r="D1513" t="s">
        <v>74</v>
      </c>
      <c r="E1513" t="s">
        <v>74</v>
      </c>
      <c r="F1513" t="s">
        <v>10037</v>
      </c>
      <c r="G1513" t="s">
        <v>74</v>
      </c>
      <c r="H1513" t="s">
        <v>74</v>
      </c>
      <c r="I1513" t="s">
        <v>10038</v>
      </c>
      <c r="J1513" t="s">
        <v>1562</v>
      </c>
      <c r="K1513" t="s">
        <v>74</v>
      </c>
      <c r="L1513" t="s">
        <v>74</v>
      </c>
      <c r="M1513" t="s">
        <v>74</v>
      </c>
      <c r="N1513" t="s">
        <v>103</v>
      </c>
      <c r="O1513" t="s">
        <v>74</v>
      </c>
      <c r="P1513" t="s">
        <v>74</v>
      </c>
      <c r="Q1513" t="s">
        <v>74</v>
      </c>
      <c r="R1513" t="s">
        <v>74</v>
      </c>
      <c r="S1513" t="s">
        <v>74</v>
      </c>
      <c r="T1513" t="s">
        <v>74</v>
      </c>
      <c r="U1513" t="s">
        <v>10039</v>
      </c>
      <c r="V1513" t="s">
        <v>10040</v>
      </c>
      <c r="W1513" t="s">
        <v>10041</v>
      </c>
      <c r="X1513" t="s">
        <v>10042</v>
      </c>
      <c r="Y1513" t="s">
        <v>10043</v>
      </c>
      <c r="Z1513" t="s">
        <v>10044</v>
      </c>
      <c r="AA1513" t="s">
        <v>74</v>
      </c>
      <c r="AB1513" t="s">
        <v>10045</v>
      </c>
      <c r="AC1513" t="s">
        <v>74</v>
      </c>
      <c r="AD1513" t="s">
        <v>74</v>
      </c>
      <c r="AE1513" t="s">
        <v>74</v>
      </c>
      <c r="AF1513" t="s">
        <v>74</v>
      </c>
      <c r="AG1513">
        <v>37</v>
      </c>
      <c r="AH1513">
        <v>4</v>
      </c>
      <c r="AI1513">
        <v>4</v>
      </c>
      <c r="AJ1513">
        <v>2</v>
      </c>
      <c r="AK1513">
        <v>9</v>
      </c>
      <c r="AL1513" t="s">
        <v>74</v>
      </c>
      <c r="AM1513" t="s">
        <v>74</v>
      </c>
      <c r="AN1513" t="s">
        <v>74</v>
      </c>
      <c r="AO1513" t="s">
        <v>1569</v>
      </c>
      <c r="AP1513" t="s">
        <v>74</v>
      </c>
      <c r="AQ1513" t="s">
        <v>74</v>
      </c>
      <c r="AR1513" t="s">
        <v>74</v>
      </c>
      <c r="AS1513" t="s">
        <v>74</v>
      </c>
      <c r="AT1513" t="s">
        <v>10046</v>
      </c>
      <c r="AU1513">
        <v>2021</v>
      </c>
      <c r="AV1513">
        <v>36</v>
      </c>
      <c r="AW1513">
        <v>7</v>
      </c>
      <c r="AX1513" t="s">
        <v>74</v>
      </c>
      <c r="AY1513" t="s">
        <v>74</v>
      </c>
      <c r="AZ1513" t="s">
        <v>74</v>
      </c>
      <c r="BA1513" t="s">
        <v>74</v>
      </c>
      <c r="BB1513" t="s">
        <v>74</v>
      </c>
      <c r="BC1513" t="s">
        <v>74</v>
      </c>
      <c r="BD1513">
        <v>109549</v>
      </c>
      <c r="BE1513" t="s">
        <v>10047</v>
      </c>
      <c r="BF1513" t="str">
        <f>HYPERLINK("http://dx.doi.org/10.1016/j.celrep.2021.109549","http://dx.doi.org/10.1016/j.celrep.2021.109549")</f>
        <v>http://dx.doi.org/10.1016/j.celrep.2021.109549</v>
      </c>
      <c r="BG1513" t="s">
        <v>74</v>
      </c>
      <c r="BH1513" t="s">
        <v>1663</v>
      </c>
      <c r="BI1513" t="s">
        <v>74</v>
      </c>
      <c r="BJ1513" t="s">
        <v>135</v>
      </c>
      <c r="BK1513" t="s">
        <v>117</v>
      </c>
      <c r="BL1513" t="s">
        <v>135</v>
      </c>
      <c r="BM1513" t="s">
        <v>74</v>
      </c>
      <c r="BN1513">
        <v>34407412</v>
      </c>
      <c r="BO1513" t="s">
        <v>74</v>
      </c>
      <c r="BP1513" t="s">
        <v>74</v>
      </c>
      <c r="BQ1513" t="s">
        <v>74</v>
      </c>
      <c r="BR1513" t="s">
        <v>96</v>
      </c>
      <c r="BS1513" t="s">
        <v>10048</v>
      </c>
      <c r="BT1513" t="str">
        <f>HYPERLINK("https%3A%2F%2Fwww.webofscience.com%2Fwos%2Fwoscc%2Ffull-record%2FWOS:000686356500014","View Full Record in Web of Science")</f>
        <v>View Full Record in Web of Science</v>
      </c>
    </row>
    <row r="1514" spans="1:72" x14ac:dyDescent="0.15">
      <c r="A1514" t="s">
        <v>98</v>
      </c>
      <c r="B1514" t="s">
        <v>11363</v>
      </c>
      <c r="C1514" t="s">
        <v>74</v>
      </c>
      <c r="D1514" t="s">
        <v>74</v>
      </c>
      <c r="E1514" t="s">
        <v>74</v>
      </c>
      <c r="F1514" t="s">
        <v>11364</v>
      </c>
      <c r="G1514" t="s">
        <v>74</v>
      </c>
      <c r="H1514" t="s">
        <v>74</v>
      </c>
      <c r="I1514" t="s">
        <v>11365</v>
      </c>
      <c r="J1514" t="s">
        <v>11366</v>
      </c>
      <c r="K1514" t="s">
        <v>74</v>
      </c>
      <c r="L1514" t="s">
        <v>74</v>
      </c>
      <c r="M1514" t="s">
        <v>74</v>
      </c>
      <c r="N1514" t="s">
        <v>103</v>
      </c>
      <c r="O1514" t="s">
        <v>74</v>
      </c>
      <c r="P1514" t="s">
        <v>74</v>
      </c>
      <c r="Q1514" t="s">
        <v>74</v>
      </c>
      <c r="R1514" t="s">
        <v>74</v>
      </c>
      <c r="S1514" t="s">
        <v>74</v>
      </c>
      <c r="T1514" t="s">
        <v>11367</v>
      </c>
      <c r="U1514" t="s">
        <v>11368</v>
      </c>
      <c r="V1514" t="s">
        <v>11369</v>
      </c>
      <c r="W1514" t="s">
        <v>11370</v>
      </c>
      <c r="X1514" t="s">
        <v>11371</v>
      </c>
      <c r="Y1514" t="s">
        <v>11372</v>
      </c>
      <c r="Z1514" t="s">
        <v>11373</v>
      </c>
      <c r="AA1514" t="s">
        <v>11374</v>
      </c>
      <c r="AB1514" t="s">
        <v>11375</v>
      </c>
      <c r="AC1514" t="s">
        <v>74</v>
      </c>
      <c r="AD1514" t="s">
        <v>74</v>
      </c>
      <c r="AE1514" t="s">
        <v>74</v>
      </c>
      <c r="AF1514" t="s">
        <v>74</v>
      </c>
      <c r="AG1514">
        <v>58</v>
      </c>
      <c r="AH1514">
        <v>4</v>
      </c>
      <c r="AI1514">
        <v>4</v>
      </c>
      <c r="AJ1514">
        <v>1</v>
      </c>
      <c r="AK1514">
        <v>3</v>
      </c>
      <c r="AL1514" t="s">
        <v>74</v>
      </c>
      <c r="AM1514" t="s">
        <v>74</v>
      </c>
      <c r="AN1514" t="s">
        <v>74</v>
      </c>
      <c r="AO1514" t="s">
        <v>11376</v>
      </c>
      <c r="AP1514" t="s">
        <v>11377</v>
      </c>
      <c r="AQ1514" t="s">
        <v>74</v>
      </c>
      <c r="AR1514" t="s">
        <v>74</v>
      </c>
      <c r="AS1514" t="s">
        <v>74</v>
      </c>
      <c r="AT1514" t="s">
        <v>74</v>
      </c>
      <c r="AU1514">
        <v>2017</v>
      </c>
      <c r="AV1514">
        <v>55</v>
      </c>
      <c r="AW1514">
        <v>2</v>
      </c>
      <c r="AX1514" t="s">
        <v>74</v>
      </c>
      <c r="AY1514" t="s">
        <v>74</v>
      </c>
      <c r="AZ1514" t="s">
        <v>74</v>
      </c>
      <c r="BA1514" t="s">
        <v>74</v>
      </c>
      <c r="BB1514">
        <v>62</v>
      </c>
      <c r="BC1514">
        <v>73</v>
      </c>
      <c r="BD1514" t="s">
        <v>74</v>
      </c>
      <c r="BE1514" t="s">
        <v>11378</v>
      </c>
      <c r="BF1514" t="str">
        <f>HYPERLINK("http://dx.doi.org/10.5603/FHC.a2017.0010","http://dx.doi.org/10.5603/FHC.a2017.0010")</f>
        <v>http://dx.doi.org/10.5603/FHC.a2017.0010</v>
      </c>
      <c r="BG1514" t="s">
        <v>74</v>
      </c>
      <c r="BH1514" t="s">
        <v>74</v>
      </c>
      <c r="BI1514" t="s">
        <v>74</v>
      </c>
      <c r="BJ1514" t="s">
        <v>498</v>
      </c>
      <c r="BK1514" t="s">
        <v>117</v>
      </c>
      <c r="BL1514" t="s">
        <v>498</v>
      </c>
      <c r="BM1514" t="s">
        <v>74</v>
      </c>
      <c r="BN1514">
        <v>28636071</v>
      </c>
      <c r="BO1514" t="s">
        <v>74</v>
      </c>
      <c r="BP1514" t="s">
        <v>74</v>
      </c>
      <c r="BQ1514" t="s">
        <v>74</v>
      </c>
      <c r="BR1514" t="s">
        <v>96</v>
      </c>
      <c r="BS1514" t="s">
        <v>11379</v>
      </c>
      <c r="BT1514" t="str">
        <f>HYPERLINK("https%3A%2F%2Fwww.webofscience.com%2Fwos%2Fwoscc%2Ffull-record%2FWOS:000406232700003","View Full Record in Web of Science")</f>
        <v>View Full Record in Web of Science</v>
      </c>
    </row>
    <row r="1515" spans="1:72" x14ac:dyDescent="0.15">
      <c r="A1515" t="s">
        <v>98</v>
      </c>
      <c r="B1515" t="s">
        <v>11853</v>
      </c>
      <c r="C1515" t="s">
        <v>74</v>
      </c>
      <c r="D1515" t="s">
        <v>74</v>
      </c>
      <c r="E1515" t="s">
        <v>74</v>
      </c>
      <c r="F1515" t="s">
        <v>11854</v>
      </c>
      <c r="G1515" t="s">
        <v>74</v>
      </c>
      <c r="H1515" t="s">
        <v>74</v>
      </c>
      <c r="I1515" t="s">
        <v>11855</v>
      </c>
      <c r="J1515" t="s">
        <v>4030</v>
      </c>
      <c r="K1515" t="s">
        <v>74</v>
      </c>
      <c r="L1515" t="s">
        <v>74</v>
      </c>
      <c r="M1515" t="s">
        <v>74</v>
      </c>
      <c r="N1515" t="s">
        <v>103</v>
      </c>
      <c r="O1515" t="s">
        <v>74</v>
      </c>
      <c r="P1515" t="s">
        <v>74</v>
      </c>
      <c r="Q1515" t="s">
        <v>74</v>
      </c>
      <c r="R1515" t="s">
        <v>74</v>
      </c>
      <c r="S1515" t="s">
        <v>74</v>
      </c>
      <c r="T1515" t="s">
        <v>11856</v>
      </c>
      <c r="U1515" t="s">
        <v>11857</v>
      </c>
      <c r="V1515" t="s">
        <v>11858</v>
      </c>
      <c r="W1515" t="s">
        <v>11859</v>
      </c>
      <c r="X1515" t="s">
        <v>11860</v>
      </c>
      <c r="Y1515" t="s">
        <v>11861</v>
      </c>
      <c r="Z1515" t="s">
        <v>11862</v>
      </c>
      <c r="AA1515" t="s">
        <v>74</v>
      </c>
      <c r="AB1515" t="s">
        <v>11863</v>
      </c>
      <c r="AC1515" t="s">
        <v>74</v>
      </c>
      <c r="AD1515" t="s">
        <v>74</v>
      </c>
      <c r="AE1515" t="s">
        <v>74</v>
      </c>
      <c r="AF1515" t="s">
        <v>74</v>
      </c>
      <c r="AG1515">
        <v>59</v>
      </c>
      <c r="AH1515">
        <v>4</v>
      </c>
      <c r="AI1515">
        <v>4</v>
      </c>
      <c r="AJ1515">
        <v>3</v>
      </c>
      <c r="AK1515">
        <v>9</v>
      </c>
      <c r="AL1515" t="s">
        <v>74</v>
      </c>
      <c r="AM1515" t="s">
        <v>74</v>
      </c>
      <c r="AN1515" t="s">
        <v>74</v>
      </c>
      <c r="AO1515" t="s">
        <v>4037</v>
      </c>
      <c r="AP1515" t="s">
        <v>74</v>
      </c>
      <c r="AQ1515" t="s">
        <v>74</v>
      </c>
      <c r="AR1515" t="s">
        <v>74</v>
      </c>
      <c r="AS1515" t="s">
        <v>74</v>
      </c>
      <c r="AT1515" t="s">
        <v>9170</v>
      </c>
      <c r="AU1515">
        <v>2020</v>
      </c>
      <c r="AV1515">
        <v>8</v>
      </c>
      <c r="AW1515" t="s">
        <v>74</v>
      </c>
      <c r="AX1515" t="s">
        <v>74</v>
      </c>
      <c r="AY1515" t="s">
        <v>74</v>
      </c>
      <c r="AZ1515" t="s">
        <v>74</v>
      </c>
      <c r="BA1515" t="s">
        <v>74</v>
      </c>
      <c r="BB1515" t="s">
        <v>74</v>
      </c>
      <c r="BC1515" t="s">
        <v>74</v>
      </c>
      <c r="BD1515">
        <v>581157</v>
      </c>
      <c r="BE1515" t="s">
        <v>11864</v>
      </c>
      <c r="BF1515" t="str">
        <f>HYPERLINK("http://dx.doi.org/10.3389/fbioe.2020.581157","http://dx.doi.org/10.3389/fbioe.2020.581157")</f>
        <v>http://dx.doi.org/10.3389/fbioe.2020.581157</v>
      </c>
      <c r="BG1515" t="s">
        <v>74</v>
      </c>
      <c r="BH1515" t="s">
        <v>74</v>
      </c>
      <c r="BI1515" t="s">
        <v>74</v>
      </c>
      <c r="BJ1515" t="s">
        <v>4040</v>
      </c>
      <c r="BK1515" t="s">
        <v>117</v>
      </c>
      <c r="BL1515" t="s">
        <v>3878</v>
      </c>
      <c r="BM1515" t="s">
        <v>74</v>
      </c>
      <c r="BN1515">
        <v>33224932</v>
      </c>
      <c r="BO1515" t="s">
        <v>74</v>
      </c>
      <c r="BP1515" t="s">
        <v>74</v>
      </c>
      <c r="BQ1515" t="s">
        <v>74</v>
      </c>
      <c r="BR1515" t="s">
        <v>96</v>
      </c>
      <c r="BS1515" t="s">
        <v>11865</v>
      </c>
      <c r="BT1515" t="str">
        <f>HYPERLINK("https%3A%2F%2Fwww.webofscience.com%2Fwos%2Fwoscc%2Ffull-record%2FWOS:000591595400001","View Full Record in Web of Science")</f>
        <v>View Full Record in Web of Science</v>
      </c>
    </row>
    <row r="1516" spans="1:72" x14ac:dyDescent="0.15">
      <c r="A1516" t="s">
        <v>98</v>
      </c>
      <c r="B1516" t="s">
        <v>12153</v>
      </c>
      <c r="C1516" t="s">
        <v>74</v>
      </c>
      <c r="D1516" t="s">
        <v>74</v>
      </c>
      <c r="E1516" t="s">
        <v>74</v>
      </c>
      <c r="F1516" t="s">
        <v>12154</v>
      </c>
      <c r="G1516" t="s">
        <v>74</v>
      </c>
      <c r="H1516" t="s">
        <v>74</v>
      </c>
      <c r="I1516" t="s">
        <v>12155</v>
      </c>
      <c r="J1516" t="s">
        <v>12156</v>
      </c>
      <c r="K1516" t="s">
        <v>74</v>
      </c>
      <c r="L1516" t="s">
        <v>74</v>
      </c>
      <c r="M1516" t="s">
        <v>74</v>
      </c>
      <c r="N1516" t="s">
        <v>103</v>
      </c>
      <c r="O1516" t="s">
        <v>74</v>
      </c>
      <c r="P1516" t="s">
        <v>74</v>
      </c>
      <c r="Q1516" t="s">
        <v>74</v>
      </c>
      <c r="R1516" t="s">
        <v>74</v>
      </c>
      <c r="S1516" t="s">
        <v>74</v>
      </c>
      <c r="T1516" t="s">
        <v>12157</v>
      </c>
      <c r="U1516" t="s">
        <v>12158</v>
      </c>
      <c r="V1516" t="s">
        <v>12159</v>
      </c>
      <c r="W1516" t="s">
        <v>12160</v>
      </c>
      <c r="X1516" t="s">
        <v>12161</v>
      </c>
      <c r="Y1516" t="s">
        <v>12162</v>
      </c>
      <c r="Z1516" t="s">
        <v>12163</v>
      </c>
      <c r="AA1516" t="s">
        <v>74</v>
      </c>
      <c r="AB1516" t="s">
        <v>74</v>
      </c>
      <c r="AC1516" t="s">
        <v>74</v>
      </c>
      <c r="AD1516" t="s">
        <v>74</v>
      </c>
      <c r="AE1516" t="s">
        <v>74</v>
      </c>
      <c r="AF1516" t="s">
        <v>74</v>
      </c>
      <c r="AG1516">
        <v>26</v>
      </c>
      <c r="AH1516">
        <v>4</v>
      </c>
      <c r="AI1516">
        <v>4</v>
      </c>
      <c r="AJ1516">
        <v>0</v>
      </c>
      <c r="AK1516">
        <v>10</v>
      </c>
      <c r="AL1516" t="s">
        <v>74</v>
      </c>
      <c r="AM1516" t="s">
        <v>74</v>
      </c>
      <c r="AN1516" t="s">
        <v>74</v>
      </c>
      <c r="AO1516" t="s">
        <v>12164</v>
      </c>
      <c r="AP1516" t="s">
        <v>12165</v>
      </c>
      <c r="AQ1516" t="s">
        <v>74</v>
      </c>
      <c r="AR1516" t="s">
        <v>74</v>
      </c>
      <c r="AS1516" t="s">
        <v>74</v>
      </c>
      <c r="AT1516" t="s">
        <v>599</v>
      </c>
      <c r="AU1516">
        <v>2020</v>
      </c>
      <c r="AV1516">
        <v>386</v>
      </c>
      <c r="AW1516">
        <v>1</v>
      </c>
      <c r="AX1516" t="s">
        <v>74</v>
      </c>
      <c r="AY1516" t="s">
        <v>74</v>
      </c>
      <c r="AZ1516" t="s">
        <v>74</v>
      </c>
      <c r="BA1516" t="s">
        <v>74</v>
      </c>
      <c r="BB1516" t="s">
        <v>74</v>
      </c>
      <c r="BC1516" t="s">
        <v>74</v>
      </c>
      <c r="BD1516">
        <v>111690</v>
      </c>
      <c r="BE1516" t="s">
        <v>12166</v>
      </c>
      <c r="BF1516" t="str">
        <f>HYPERLINK("http://dx.doi.org/10.1016/j.yexcr.2019.111690","http://dx.doi.org/10.1016/j.yexcr.2019.111690")</f>
        <v>http://dx.doi.org/10.1016/j.yexcr.2019.111690</v>
      </c>
      <c r="BG1516" t="s">
        <v>74</v>
      </c>
      <c r="BH1516" t="s">
        <v>74</v>
      </c>
      <c r="BI1516" t="s">
        <v>74</v>
      </c>
      <c r="BJ1516" t="s">
        <v>848</v>
      </c>
      <c r="BK1516" t="s">
        <v>117</v>
      </c>
      <c r="BL1516" t="s">
        <v>848</v>
      </c>
      <c r="BM1516" t="s">
        <v>74</v>
      </c>
      <c r="BN1516">
        <v>31678172</v>
      </c>
      <c r="BO1516" t="s">
        <v>74</v>
      </c>
      <c r="BP1516" t="s">
        <v>74</v>
      </c>
      <c r="BQ1516" t="s">
        <v>74</v>
      </c>
      <c r="BR1516" t="s">
        <v>96</v>
      </c>
      <c r="BS1516" t="s">
        <v>12167</v>
      </c>
      <c r="BT1516" t="str">
        <f>HYPERLINK("https%3A%2F%2Fwww.webofscience.com%2Fwos%2Fwoscc%2Ffull-record%2FWOS:000507428500009","View Full Record in Web of Science")</f>
        <v>View Full Record in Web of Science</v>
      </c>
    </row>
    <row r="1517" spans="1:72" x14ac:dyDescent="0.15">
      <c r="A1517" t="s">
        <v>98</v>
      </c>
      <c r="B1517" t="s">
        <v>12391</v>
      </c>
      <c r="C1517" t="s">
        <v>74</v>
      </c>
      <c r="D1517" t="s">
        <v>74</v>
      </c>
      <c r="E1517" t="s">
        <v>74</v>
      </c>
      <c r="F1517" t="s">
        <v>12392</v>
      </c>
      <c r="G1517" t="s">
        <v>74</v>
      </c>
      <c r="H1517" t="s">
        <v>74</v>
      </c>
      <c r="I1517" t="s">
        <v>12393</v>
      </c>
      <c r="J1517" t="s">
        <v>5025</v>
      </c>
      <c r="K1517" t="s">
        <v>74</v>
      </c>
      <c r="L1517" t="s">
        <v>74</v>
      </c>
      <c r="M1517" t="s">
        <v>74</v>
      </c>
      <c r="N1517" t="s">
        <v>103</v>
      </c>
      <c r="O1517" t="s">
        <v>74</v>
      </c>
      <c r="P1517" t="s">
        <v>74</v>
      </c>
      <c r="Q1517" t="s">
        <v>74</v>
      </c>
      <c r="R1517" t="s">
        <v>74</v>
      </c>
      <c r="S1517" t="s">
        <v>74</v>
      </c>
      <c r="T1517" t="s">
        <v>12394</v>
      </c>
      <c r="U1517" t="s">
        <v>12395</v>
      </c>
      <c r="V1517" t="s">
        <v>12396</v>
      </c>
      <c r="W1517" t="s">
        <v>12397</v>
      </c>
      <c r="X1517" t="s">
        <v>12398</v>
      </c>
      <c r="Y1517" t="s">
        <v>12399</v>
      </c>
      <c r="Z1517" t="s">
        <v>12400</v>
      </c>
      <c r="AA1517" t="s">
        <v>12401</v>
      </c>
      <c r="AB1517" t="s">
        <v>12402</v>
      </c>
      <c r="AC1517" t="s">
        <v>74</v>
      </c>
      <c r="AD1517" t="s">
        <v>74</v>
      </c>
      <c r="AE1517" t="s">
        <v>74</v>
      </c>
      <c r="AF1517" t="s">
        <v>74</v>
      </c>
      <c r="AG1517">
        <v>40</v>
      </c>
      <c r="AH1517">
        <v>4</v>
      </c>
      <c r="AI1517">
        <v>4</v>
      </c>
      <c r="AJ1517">
        <v>4</v>
      </c>
      <c r="AK1517">
        <v>7</v>
      </c>
      <c r="AL1517" t="s">
        <v>74</v>
      </c>
      <c r="AM1517" t="s">
        <v>74</v>
      </c>
      <c r="AN1517" t="s">
        <v>74</v>
      </c>
      <c r="AO1517" t="s">
        <v>74</v>
      </c>
      <c r="AP1517" t="s">
        <v>5035</v>
      </c>
      <c r="AQ1517" t="s">
        <v>74</v>
      </c>
      <c r="AR1517" t="s">
        <v>74</v>
      </c>
      <c r="AS1517" t="s">
        <v>74</v>
      </c>
      <c r="AT1517" t="s">
        <v>531</v>
      </c>
      <c r="AU1517">
        <v>2020</v>
      </c>
      <c r="AV1517">
        <v>9</v>
      </c>
      <c r="AW1517">
        <v>9</v>
      </c>
      <c r="AX1517" t="s">
        <v>74</v>
      </c>
      <c r="AY1517" t="s">
        <v>74</v>
      </c>
      <c r="AZ1517" t="s">
        <v>74</v>
      </c>
      <c r="BA1517" t="s">
        <v>74</v>
      </c>
      <c r="BB1517" t="s">
        <v>74</v>
      </c>
      <c r="BC1517" t="s">
        <v>74</v>
      </c>
      <c r="BD1517">
        <v>2930</v>
      </c>
      <c r="BE1517" t="s">
        <v>12403</v>
      </c>
      <c r="BF1517" t="str">
        <f>HYPERLINK("http://dx.doi.org/10.3390/jcm9092930","http://dx.doi.org/10.3390/jcm9092930")</f>
        <v>http://dx.doi.org/10.3390/jcm9092930</v>
      </c>
      <c r="BG1517" t="s">
        <v>74</v>
      </c>
      <c r="BH1517" t="s">
        <v>74</v>
      </c>
      <c r="BI1517" t="s">
        <v>74</v>
      </c>
      <c r="BJ1517" t="s">
        <v>2564</v>
      </c>
      <c r="BK1517" t="s">
        <v>117</v>
      </c>
      <c r="BL1517" t="s">
        <v>2565</v>
      </c>
      <c r="BM1517" t="s">
        <v>74</v>
      </c>
      <c r="BN1517">
        <v>32932765</v>
      </c>
      <c r="BO1517" t="s">
        <v>74</v>
      </c>
      <c r="BP1517" t="s">
        <v>74</v>
      </c>
      <c r="BQ1517" t="s">
        <v>74</v>
      </c>
      <c r="BR1517" t="s">
        <v>96</v>
      </c>
      <c r="BS1517" t="s">
        <v>12404</v>
      </c>
      <c r="BT1517" t="str">
        <f>HYPERLINK("https%3A%2F%2Fwww.webofscience.com%2Fwos%2Fwoscc%2Ffull-record%2FWOS:000580270100001","View Full Record in Web of Science")</f>
        <v>View Full Record in Web of Science</v>
      </c>
    </row>
    <row r="1518" spans="1:72" x14ac:dyDescent="0.15">
      <c r="A1518" t="s">
        <v>98</v>
      </c>
      <c r="B1518" t="s">
        <v>13328</v>
      </c>
      <c r="C1518" t="s">
        <v>74</v>
      </c>
      <c r="D1518" t="s">
        <v>74</v>
      </c>
      <c r="E1518" t="s">
        <v>74</v>
      </c>
      <c r="F1518" t="s">
        <v>13329</v>
      </c>
      <c r="G1518" t="s">
        <v>74</v>
      </c>
      <c r="H1518" t="s">
        <v>74</v>
      </c>
      <c r="I1518" t="s">
        <v>13330</v>
      </c>
      <c r="J1518" t="s">
        <v>140</v>
      </c>
      <c r="K1518" t="s">
        <v>74</v>
      </c>
      <c r="L1518" t="s">
        <v>74</v>
      </c>
      <c r="M1518" t="s">
        <v>74</v>
      </c>
      <c r="N1518" t="s">
        <v>103</v>
      </c>
      <c r="O1518" t="s">
        <v>74</v>
      </c>
      <c r="P1518" t="s">
        <v>74</v>
      </c>
      <c r="Q1518" t="s">
        <v>74</v>
      </c>
      <c r="R1518" t="s">
        <v>74</v>
      </c>
      <c r="S1518" t="s">
        <v>74</v>
      </c>
      <c r="T1518" t="s">
        <v>74</v>
      </c>
      <c r="U1518" t="s">
        <v>13331</v>
      </c>
      <c r="V1518" t="s">
        <v>13332</v>
      </c>
      <c r="W1518" t="s">
        <v>13333</v>
      </c>
      <c r="X1518" t="s">
        <v>13334</v>
      </c>
      <c r="Y1518" t="s">
        <v>13335</v>
      </c>
      <c r="Z1518" t="s">
        <v>13336</v>
      </c>
      <c r="AA1518" t="s">
        <v>13337</v>
      </c>
      <c r="AB1518" t="s">
        <v>74</v>
      </c>
      <c r="AC1518" t="s">
        <v>74</v>
      </c>
      <c r="AD1518" t="s">
        <v>74</v>
      </c>
      <c r="AE1518" t="s">
        <v>74</v>
      </c>
      <c r="AF1518" t="s">
        <v>74</v>
      </c>
      <c r="AG1518">
        <v>66</v>
      </c>
      <c r="AH1518">
        <v>4</v>
      </c>
      <c r="AI1518">
        <v>4</v>
      </c>
      <c r="AJ1518">
        <v>1</v>
      </c>
      <c r="AK1518">
        <v>3</v>
      </c>
      <c r="AL1518" t="s">
        <v>74</v>
      </c>
      <c r="AM1518" t="s">
        <v>74</v>
      </c>
      <c r="AN1518" t="s">
        <v>74</v>
      </c>
      <c r="AO1518" t="s">
        <v>149</v>
      </c>
      <c r="AP1518" t="s">
        <v>74</v>
      </c>
      <c r="AQ1518" t="s">
        <v>74</v>
      </c>
      <c r="AR1518" t="s">
        <v>74</v>
      </c>
      <c r="AS1518" t="s">
        <v>74</v>
      </c>
      <c r="AT1518" t="s">
        <v>4254</v>
      </c>
      <c r="AU1518">
        <v>2021</v>
      </c>
      <c r="AV1518">
        <v>11</v>
      </c>
      <c r="AW1518">
        <v>1</v>
      </c>
      <c r="AX1518" t="s">
        <v>74</v>
      </c>
      <c r="AY1518" t="s">
        <v>74</v>
      </c>
      <c r="AZ1518" t="s">
        <v>74</v>
      </c>
      <c r="BA1518" t="s">
        <v>74</v>
      </c>
      <c r="BB1518" t="s">
        <v>74</v>
      </c>
      <c r="BC1518" t="s">
        <v>74</v>
      </c>
      <c r="BD1518">
        <v>21848</v>
      </c>
      <c r="BE1518" t="s">
        <v>13338</v>
      </c>
      <c r="BF1518" t="str">
        <f>HYPERLINK("http://dx.doi.org/10.1038/s41598-021-01318-y","http://dx.doi.org/10.1038/s41598-021-01318-y")</f>
        <v>http://dx.doi.org/10.1038/s41598-021-01318-y</v>
      </c>
      <c r="BG1518" t="s">
        <v>74</v>
      </c>
      <c r="BH1518" t="s">
        <v>74</v>
      </c>
      <c r="BI1518" t="s">
        <v>74</v>
      </c>
      <c r="BJ1518" t="s">
        <v>152</v>
      </c>
      <c r="BK1518" t="s">
        <v>3223</v>
      </c>
      <c r="BL1518" t="s">
        <v>153</v>
      </c>
      <c r="BM1518" t="s">
        <v>74</v>
      </c>
      <c r="BN1518">
        <v>34750393</v>
      </c>
      <c r="BO1518" t="s">
        <v>74</v>
      </c>
      <c r="BP1518" t="s">
        <v>74</v>
      </c>
      <c r="BQ1518" t="s">
        <v>74</v>
      </c>
      <c r="BR1518" t="s">
        <v>96</v>
      </c>
      <c r="BS1518" t="s">
        <v>13339</v>
      </c>
      <c r="BT1518" t="str">
        <f>HYPERLINK("https%3A%2F%2Fwww.webofscience.com%2Fwos%2Fwoscc%2Ffull-record%2FWOS:000716101700052","View Full Record in Web of Science")</f>
        <v>View Full Record in Web of Science</v>
      </c>
    </row>
    <row r="1519" spans="1:72" x14ac:dyDescent="0.15">
      <c r="A1519" t="s">
        <v>98</v>
      </c>
      <c r="B1519" t="s">
        <v>13478</v>
      </c>
      <c r="C1519" t="s">
        <v>74</v>
      </c>
      <c r="D1519" t="s">
        <v>74</v>
      </c>
      <c r="E1519" t="s">
        <v>74</v>
      </c>
      <c r="F1519" t="s">
        <v>13479</v>
      </c>
      <c r="G1519" t="s">
        <v>74</v>
      </c>
      <c r="H1519" t="s">
        <v>74</v>
      </c>
      <c r="I1519" t="s">
        <v>13480</v>
      </c>
      <c r="J1519" t="s">
        <v>4486</v>
      </c>
      <c r="K1519" t="s">
        <v>74</v>
      </c>
      <c r="L1519" t="s">
        <v>74</v>
      </c>
      <c r="M1519" t="s">
        <v>74</v>
      </c>
      <c r="N1519" t="s">
        <v>103</v>
      </c>
      <c r="O1519" t="s">
        <v>74</v>
      </c>
      <c r="P1519" t="s">
        <v>74</v>
      </c>
      <c r="Q1519" t="s">
        <v>74</v>
      </c>
      <c r="R1519" t="s">
        <v>74</v>
      </c>
      <c r="S1519" t="s">
        <v>74</v>
      </c>
      <c r="T1519" t="s">
        <v>74</v>
      </c>
      <c r="U1519" t="s">
        <v>13481</v>
      </c>
      <c r="V1519" t="s">
        <v>13482</v>
      </c>
      <c r="W1519" t="s">
        <v>13483</v>
      </c>
      <c r="X1519" t="s">
        <v>13484</v>
      </c>
      <c r="Y1519" t="s">
        <v>13485</v>
      </c>
      <c r="Z1519" t="s">
        <v>13486</v>
      </c>
      <c r="AA1519" t="s">
        <v>74</v>
      </c>
      <c r="AB1519" t="s">
        <v>13487</v>
      </c>
      <c r="AC1519" t="s">
        <v>74</v>
      </c>
      <c r="AD1519" t="s">
        <v>74</v>
      </c>
      <c r="AE1519" t="s">
        <v>74</v>
      </c>
      <c r="AF1519" t="s">
        <v>74</v>
      </c>
      <c r="AG1519">
        <v>37</v>
      </c>
      <c r="AH1519">
        <v>4</v>
      </c>
      <c r="AI1519">
        <v>4</v>
      </c>
      <c r="AJ1519">
        <v>6</v>
      </c>
      <c r="AK1519">
        <v>20</v>
      </c>
      <c r="AL1519" t="s">
        <v>74</v>
      </c>
      <c r="AM1519" t="s">
        <v>74</v>
      </c>
      <c r="AN1519" t="s">
        <v>74</v>
      </c>
      <c r="AO1519" t="s">
        <v>4493</v>
      </c>
      <c r="AP1519" t="s">
        <v>4494</v>
      </c>
      <c r="AQ1519" t="s">
        <v>74</v>
      </c>
      <c r="AR1519" t="s">
        <v>74</v>
      </c>
      <c r="AS1519" t="s">
        <v>74</v>
      </c>
      <c r="AT1519" t="s">
        <v>13488</v>
      </c>
      <c r="AU1519">
        <v>2021</v>
      </c>
      <c r="AV1519">
        <v>93</v>
      </c>
      <c r="AW1519">
        <v>20</v>
      </c>
      <c r="AX1519" t="s">
        <v>74</v>
      </c>
      <c r="AY1519" t="s">
        <v>74</v>
      </c>
      <c r="AZ1519" t="s">
        <v>74</v>
      </c>
      <c r="BA1519" t="s">
        <v>74</v>
      </c>
      <c r="BB1519">
        <v>7405</v>
      </c>
      <c r="BC1519">
        <v>7412</v>
      </c>
      <c r="BD1519" t="s">
        <v>74</v>
      </c>
      <c r="BE1519" t="s">
        <v>13489</v>
      </c>
      <c r="BF1519" t="str">
        <f>HYPERLINK("http://dx.doi.org/10.1021/acs.analchem.0c02107","http://dx.doi.org/10.1021/acs.analchem.0c02107")</f>
        <v>http://dx.doi.org/10.1021/acs.analchem.0c02107</v>
      </c>
      <c r="BG1519" t="s">
        <v>74</v>
      </c>
      <c r="BH1519" t="s">
        <v>1273</v>
      </c>
      <c r="BI1519" t="s">
        <v>74</v>
      </c>
      <c r="BJ1519" t="s">
        <v>1118</v>
      </c>
      <c r="BK1519" t="s">
        <v>117</v>
      </c>
      <c r="BL1519" t="s">
        <v>1048</v>
      </c>
      <c r="BM1519" t="s">
        <v>74</v>
      </c>
      <c r="BN1519">
        <v>33973465</v>
      </c>
      <c r="BO1519" t="s">
        <v>74</v>
      </c>
      <c r="BP1519" t="s">
        <v>74</v>
      </c>
      <c r="BQ1519" t="s">
        <v>74</v>
      </c>
      <c r="BR1519" t="s">
        <v>96</v>
      </c>
      <c r="BS1519" t="s">
        <v>13490</v>
      </c>
      <c r="BT1519" t="str">
        <f>HYPERLINK("https%3A%2F%2Fwww.webofscience.com%2Fwos%2Fwoscc%2Ffull-record%2FWOS:000656519500005","View Full Record in Web of Science")</f>
        <v>View Full Record in Web of Science</v>
      </c>
    </row>
    <row r="1520" spans="1:72" x14ac:dyDescent="0.15">
      <c r="A1520" t="s">
        <v>98</v>
      </c>
      <c r="B1520" t="s">
        <v>13600</v>
      </c>
      <c r="C1520" t="s">
        <v>74</v>
      </c>
      <c r="D1520" t="s">
        <v>74</v>
      </c>
      <c r="E1520" t="s">
        <v>74</v>
      </c>
      <c r="F1520" t="s">
        <v>13601</v>
      </c>
      <c r="G1520" t="s">
        <v>74</v>
      </c>
      <c r="H1520" t="s">
        <v>74</v>
      </c>
      <c r="I1520" t="s">
        <v>13602</v>
      </c>
      <c r="J1520" t="s">
        <v>10703</v>
      </c>
      <c r="K1520" t="s">
        <v>74</v>
      </c>
      <c r="L1520" t="s">
        <v>74</v>
      </c>
      <c r="M1520" t="s">
        <v>74</v>
      </c>
      <c r="N1520" t="s">
        <v>103</v>
      </c>
      <c r="O1520" t="s">
        <v>74</v>
      </c>
      <c r="P1520" t="s">
        <v>74</v>
      </c>
      <c r="Q1520" t="s">
        <v>74</v>
      </c>
      <c r="R1520" t="s">
        <v>74</v>
      </c>
      <c r="S1520" t="s">
        <v>74</v>
      </c>
      <c r="T1520" t="s">
        <v>13603</v>
      </c>
      <c r="U1520" t="s">
        <v>74</v>
      </c>
      <c r="V1520" t="s">
        <v>13604</v>
      </c>
      <c r="W1520" t="s">
        <v>13605</v>
      </c>
      <c r="X1520" t="s">
        <v>13606</v>
      </c>
      <c r="Y1520" t="s">
        <v>13607</v>
      </c>
      <c r="Z1520" t="s">
        <v>13608</v>
      </c>
      <c r="AA1520" t="s">
        <v>74</v>
      </c>
      <c r="AB1520" t="s">
        <v>13609</v>
      </c>
      <c r="AC1520" t="s">
        <v>74</v>
      </c>
      <c r="AD1520" t="s">
        <v>74</v>
      </c>
      <c r="AE1520" t="s">
        <v>74</v>
      </c>
      <c r="AF1520" t="s">
        <v>74</v>
      </c>
      <c r="AG1520">
        <v>55</v>
      </c>
      <c r="AH1520">
        <v>4</v>
      </c>
      <c r="AI1520">
        <v>4</v>
      </c>
      <c r="AJ1520">
        <v>0</v>
      </c>
      <c r="AK1520">
        <v>2</v>
      </c>
      <c r="AL1520" t="s">
        <v>74</v>
      </c>
      <c r="AM1520" t="s">
        <v>74</v>
      </c>
      <c r="AN1520" t="s">
        <v>74</v>
      </c>
      <c r="AO1520" t="s">
        <v>74</v>
      </c>
      <c r="AP1520" t="s">
        <v>10711</v>
      </c>
      <c r="AQ1520" t="s">
        <v>74</v>
      </c>
      <c r="AR1520" t="s">
        <v>74</v>
      </c>
      <c r="AS1520" t="s">
        <v>74</v>
      </c>
      <c r="AT1520" t="s">
        <v>114</v>
      </c>
      <c r="AU1520">
        <v>2021</v>
      </c>
      <c r="AV1520">
        <v>10</v>
      </c>
      <c r="AW1520">
        <v>1</v>
      </c>
      <c r="AX1520" t="s">
        <v>74</v>
      </c>
      <c r="AY1520" t="s">
        <v>74</v>
      </c>
      <c r="AZ1520" t="s">
        <v>74</v>
      </c>
      <c r="BA1520" t="s">
        <v>74</v>
      </c>
      <c r="BB1520" t="s">
        <v>74</v>
      </c>
      <c r="BC1520" t="s">
        <v>74</v>
      </c>
      <c r="BD1520">
        <v>11</v>
      </c>
      <c r="BE1520" t="s">
        <v>13610</v>
      </c>
      <c r="BF1520" t="str">
        <f>HYPERLINK("http://dx.doi.org/10.3390/biology10010011","http://dx.doi.org/10.3390/biology10010011")</f>
        <v>http://dx.doi.org/10.3390/biology10010011</v>
      </c>
      <c r="BG1520" t="s">
        <v>74</v>
      </c>
      <c r="BH1520" t="s">
        <v>74</v>
      </c>
      <c r="BI1520" t="s">
        <v>74</v>
      </c>
      <c r="BJ1520" t="s">
        <v>1643</v>
      </c>
      <c r="BK1520" t="s">
        <v>117</v>
      </c>
      <c r="BL1520" t="s">
        <v>1644</v>
      </c>
      <c r="BM1520" t="s">
        <v>74</v>
      </c>
      <c r="BN1520">
        <v>33379152</v>
      </c>
      <c r="BO1520" t="s">
        <v>74</v>
      </c>
      <c r="BP1520" t="s">
        <v>74</v>
      </c>
      <c r="BQ1520" t="s">
        <v>74</v>
      </c>
      <c r="BR1520" t="s">
        <v>96</v>
      </c>
      <c r="BS1520" t="s">
        <v>13611</v>
      </c>
      <c r="BT1520" t="str">
        <f>HYPERLINK("https%3A%2F%2Fwww.webofscience.com%2Fwos%2Fwoscc%2Ffull-record%2FWOS:000609766100001","View Full Record in Web of Science")</f>
        <v>View Full Record in Web of Science</v>
      </c>
    </row>
    <row r="1521" spans="1:72" x14ac:dyDescent="0.15">
      <c r="A1521" t="s">
        <v>98</v>
      </c>
      <c r="B1521" t="s">
        <v>14484</v>
      </c>
      <c r="C1521" t="s">
        <v>74</v>
      </c>
      <c r="D1521" t="s">
        <v>74</v>
      </c>
      <c r="E1521" t="s">
        <v>74</v>
      </c>
      <c r="F1521" t="s">
        <v>14485</v>
      </c>
      <c r="G1521" t="s">
        <v>74</v>
      </c>
      <c r="H1521" t="s">
        <v>74</v>
      </c>
      <c r="I1521" t="s">
        <v>14486</v>
      </c>
      <c r="J1521" t="s">
        <v>14487</v>
      </c>
      <c r="K1521" t="s">
        <v>74</v>
      </c>
      <c r="L1521" t="s">
        <v>74</v>
      </c>
      <c r="M1521" t="s">
        <v>74</v>
      </c>
      <c r="N1521" t="s">
        <v>103</v>
      </c>
      <c r="O1521" t="s">
        <v>74</v>
      </c>
      <c r="P1521" t="s">
        <v>74</v>
      </c>
      <c r="Q1521" t="s">
        <v>74</v>
      </c>
      <c r="R1521" t="s">
        <v>74</v>
      </c>
      <c r="S1521" t="s">
        <v>74</v>
      </c>
      <c r="T1521" t="s">
        <v>14488</v>
      </c>
      <c r="U1521" t="s">
        <v>14489</v>
      </c>
      <c r="V1521" t="s">
        <v>14490</v>
      </c>
      <c r="W1521" t="s">
        <v>14491</v>
      </c>
      <c r="X1521" t="s">
        <v>14492</v>
      </c>
      <c r="Y1521" t="s">
        <v>14493</v>
      </c>
      <c r="Z1521" t="s">
        <v>14494</v>
      </c>
      <c r="AA1521" t="s">
        <v>14495</v>
      </c>
      <c r="AB1521" t="s">
        <v>74</v>
      </c>
      <c r="AC1521" t="s">
        <v>74</v>
      </c>
      <c r="AD1521" t="s">
        <v>74</v>
      </c>
      <c r="AE1521" t="s">
        <v>74</v>
      </c>
      <c r="AF1521" t="s">
        <v>74</v>
      </c>
      <c r="AG1521">
        <v>50</v>
      </c>
      <c r="AH1521">
        <v>4</v>
      </c>
      <c r="AI1521">
        <v>4</v>
      </c>
      <c r="AJ1521">
        <v>15</v>
      </c>
      <c r="AK1521">
        <v>30</v>
      </c>
      <c r="AL1521" t="s">
        <v>74</v>
      </c>
      <c r="AM1521" t="s">
        <v>74</v>
      </c>
      <c r="AN1521" t="s">
        <v>74</v>
      </c>
      <c r="AO1521" t="s">
        <v>14496</v>
      </c>
      <c r="AP1521" t="s">
        <v>14497</v>
      </c>
      <c r="AQ1521" t="s">
        <v>74</v>
      </c>
      <c r="AR1521" t="s">
        <v>74</v>
      </c>
      <c r="AS1521" t="s">
        <v>74</v>
      </c>
      <c r="AT1521" t="s">
        <v>114</v>
      </c>
      <c r="AU1521">
        <v>2022</v>
      </c>
      <c r="AV1521">
        <v>209</v>
      </c>
      <c r="AW1521" t="s">
        <v>74</v>
      </c>
      <c r="AX1521">
        <v>2</v>
      </c>
      <c r="AY1521" t="s">
        <v>74</v>
      </c>
      <c r="AZ1521" t="s">
        <v>74</v>
      </c>
      <c r="BA1521" t="s">
        <v>74</v>
      </c>
      <c r="BB1521" t="s">
        <v>74</v>
      </c>
      <c r="BC1521" t="s">
        <v>74</v>
      </c>
      <c r="BD1521">
        <v>112218</v>
      </c>
      <c r="BE1521" t="s">
        <v>14498</v>
      </c>
      <c r="BF1521" t="str">
        <f>HYPERLINK("http://dx.doi.org/10.1016/j.colsurfb.2021.112218","http://dx.doi.org/10.1016/j.colsurfb.2021.112218")</f>
        <v>http://dx.doi.org/10.1016/j.colsurfb.2021.112218</v>
      </c>
      <c r="BG1521" t="s">
        <v>74</v>
      </c>
      <c r="BH1521" t="s">
        <v>3026</v>
      </c>
      <c r="BI1521" t="s">
        <v>74</v>
      </c>
      <c r="BJ1521" t="s">
        <v>14499</v>
      </c>
      <c r="BK1521" t="s">
        <v>117</v>
      </c>
      <c r="BL1521" t="s">
        <v>14500</v>
      </c>
      <c r="BM1521" t="s">
        <v>74</v>
      </c>
      <c r="BN1521">
        <v>34801930</v>
      </c>
      <c r="BO1521" t="s">
        <v>74</v>
      </c>
      <c r="BP1521" t="s">
        <v>74</v>
      </c>
      <c r="BQ1521" t="s">
        <v>74</v>
      </c>
      <c r="BR1521" t="s">
        <v>96</v>
      </c>
      <c r="BS1521" t="s">
        <v>14501</v>
      </c>
      <c r="BT1521" t="str">
        <f>HYPERLINK("https%3A%2F%2Fwww.webofscience.com%2Fwos%2Fwoscc%2Ffull-record%2FWOS:000720947900001","View Full Record in Web of Science")</f>
        <v>View Full Record in Web of Science</v>
      </c>
    </row>
    <row r="1522" spans="1:72" x14ac:dyDescent="0.15">
      <c r="A1522" t="s">
        <v>98</v>
      </c>
      <c r="B1522" t="s">
        <v>14932</v>
      </c>
      <c r="C1522" t="s">
        <v>74</v>
      </c>
      <c r="D1522" t="s">
        <v>74</v>
      </c>
      <c r="E1522" t="s">
        <v>74</v>
      </c>
      <c r="F1522" t="s">
        <v>14933</v>
      </c>
      <c r="G1522" t="s">
        <v>74</v>
      </c>
      <c r="H1522" t="s">
        <v>74</v>
      </c>
      <c r="I1522" t="s">
        <v>14934</v>
      </c>
      <c r="J1522" t="s">
        <v>14935</v>
      </c>
      <c r="K1522" t="s">
        <v>74</v>
      </c>
      <c r="L1522" t="s">
        <v>74</v>
      </c>
      <c r="M1522" t="s">
        <v>74</v>
      </c>
      <c r="N1522" t="s">
        <v>103</v>
      </c>
      <c r="O1522" t="s">
        <v>74</v>
      </c>
      <c r="P1522" t="s">
        <v>74</v>
      </c>
      <c r="Q1522" t="s">
        <v>74</v>
      </c>
      <c r="R1522" t="s">
        <v>74</v>
      </c>
      <c r="S1522" t="s">
        <v>74</v>
      </c>
      <c r="T1522" t="s">
        <v>14936</v>
      </c>
      <c r="U1522" t="s">
        <v>14937</v>
      </c>
      <c r="V1522" t="s">
        <v>14938</v>
      </c>
      <c r="W1522" t="s">
        <v>14939</v>
      </c>
      <c r="X1522" t="s">
        <v>14940</v>
      </c>
      <c r="Y1522" t="s">
        <v>14941</v>
      </c>
      <c r="Z1522" t="s">
        <v>14942</v>
      </c>
      <c r="AA1522" t="s">
        <v>74</v>
      </c>
      <c r="AB1522" t="s">
        <v>14943</v>
      </c>
      <c r="AC1522" t="s">
        <v>74</v>
      </c>
      <c r="AD1522" t="s">
        <v>74</v>
      </c>
      <c r="AE1522" t="s">
        <v>74</v>
      </c>
      <c r="AF1522" t="s">
        <v>74</v>
      </c>
      <c r="AG1522">
        <v>229</v>
      </c>
      <c r="AH1522">
        <v>4</v>
      </c>
      <c r="AI1522">
        <v>4</v>
      </c>
      <c r="AJ1522">
        <v>0</v>
      </c>
      <c r="AK1522">
        <v>0</v>
      </c>
      <c r="AL1522" t="s">
        <v>74</v>
      </c>
      <c r="AM1522" t="s">
        <v>74</v>
      </c>
      <c r="AN1522" t="s">
        <v>74</v>
      </c>
      <c r="AO1522" t="s">
        <v>14944</v>
      </c>
      <c r="AP1522" t="s">
        <v>14945</v>
      </c>
      <c r="AQ1522" t="s">
        <v>74</v>
      </c>
      <c r="AR1522" t="s">
        <v>74</v>
      </c>
      <c r="AS1522" t="s">
        <v>74</v>
      </c>
      <c r="AT1522" t="s">
        <v>170</v>
      </c>
      <c r="AU1522">
        <v>2022</v>
      </c>
      <c r="AV1522">
        <v>164</v>
      </c>
      <c r="AW1522" t="s">
        <v>74</v>
      </c>
      <c r="AX1522" t="s">
        <v>74</v>
      </c>
      <c r="AY1522" t="s">
        <v>74</v>
      </c>
      <c r="AZ1522" t="s">
        <v>74</v>
      </c>
      <c r="BA1522" t="s">
        <v>74</v>
      </c>
      <c r="BB1522" t="s">
        <v>74</v>
      </c>
      <c r="BC1522" t="s">
        <v>74</v>
      </c>
      <c r="BD1522">
        <v>113008</v>
      </c>
      <c r="BE1522" t="s">
        <v>14946</v>
      </c>
      <c r="BF1522" t="str">
        <f>HYPERLINK("http://dx.doi.org/10.1016/j.fct.2022.113008","http://dx.doi.org/10.1016/j.fct.2022.113008")</f>
        <v>http://dx.doi.org/10.1016/j.fct.2022.113008</v>
      </c>
      <c r="BG1522" t="s">
        <v>74</v>
      </c>
      <c r="BH1522" t="s">
        <v>74</v>
      </c>
      <c r="BI1522" t="s">
        <v>74</v>
      </c>
      <c r="BJ1522" t="s">
        <v>14947</v>
      </c>
      <c r="BK1522" t="s">
        <v>117</v>
      </c>
      <c r="BL1522" t="s">
        <v>14947</v>
      </c>
      <c r="BM1522" t="s">
        <v>74</v>
      </c>
      <c r="BN1522">
        <v>35436552</v>
      </c>
      <c r="BO1522" t="s">
        <v>74</v>
      </c>
      <c r="BP1522" t="s">
        <v>74</v>
      </c>
      <c r="BQ1522" t="s">
        <v>74</v>
      </c>
      <c r="BR1522" t="s">
        <v>96</v>
      </c>
      <c r="BS1522" t="s">
        <v>14948</v>
      </c>
      <c r="BT1522" t="str">
        <f>HYPERLINK("https%3A%2F%2Fwww.webofscience.com%2Fwos%2Fwoscc%2Ffull-record%2FWOS:000829861300004","View Full Record in Web of Science")</f>
        <v>View Full Record in Web of Science</v>
      </c>
    </row>
    <row r="1523" spans="1:72" x14ac:dyDescent="0.15">
      <c r="A1523" t="s">
        <v>98</v>
      </c>
      <c r="B1523" t="s">
        <v>16020</v>
      </c>
      <c r="C1523" t="s">
        <v>74</v>
      </c>
      <c r="D1523" t="s">
        <v>74</v>
      </c>
      <c r="E1523" t="s">
        <v>74</v>
      </c>
      <c r="F1523" t="s">
        <v>16020</v>
      </c>
      <c r="G1523" t="s">
        <v>74</v>
      </c>
      <c r="H1523" t="s">
        <v>74</v>
      </c>
      <c r="I1523" t="s">
        <v>16021</v>
      </c>
      <c r="J1523" t="s">
        <v>325</v>
      </c>
      <c r="K1523" t="s">
        <v>74</v>
      </c>
      <c r="L1523" t="s">
        <v>74</v>
      </c>
      <c r="M1523" t="s">
        <v>74</v>
      </c>
      <c r="N1523" t="s">
        <v>103</v>
      </c>
      <c r="O1523" t="s">
        <v>74</v>
      </c>
      <c r="P1523" t="s">
        <v>74</v>
      </c>
      <c r="Q1523" t="s">
        <v>74</v>
      </c>
      <c r="R1523" t="s">
        <v>74</v>
      </c>
      <c r="S1523" t="s">
        <v>74</v>
      </c>
      <c r="T1523" t="s">
        <v>74</v>
      </c>
      <c r="U1523" t="s">
        <v>16022</v>
      </c>
      <c r="V1523" t="s">
        <v>16023</v>
      </c>
      <c r="W1523" t="s">
        <v>16024</v>
      </c>
      <c r="X1523" t="s">
        <v>16025</v>
      </c>
      <c r="Y1523" t="s">
        <v>16026</v>
      </c>
      <c r="Z1523" t="s">
        <v>74</v>
      </c>
      <c r="AA1523" t="s">
        <v>16027</v>
      </c>
      <c r="AB1523" t="s">
        <v>74</v>
      </c>
      <c r="AC1523" t="s">
        <v>74</v>
      </c>
      <c r="AD1523" t="s">
        <v>74</v>
      </c>
      <c r="AE1523" t="s">
        <v>74</v>
      </c>
      <c r="AF1523" t="s">
        <v>74</v>
      </c>
      <c r="AG1523">
        <v>26</v>
      </c>
      <c r="AH1523">
        <v>4</v>
      </c>
      <c r="AI1523">
        <v>7</v>
      </c>
      <c r="AJ1523">
        <v>0</v>
      </c>
      <c r="AK1523">
        <v>0</v>
      </c>
      <c r="AL1523" t="s">
        <v>74</v>
      </c>
      <c r="AM1523" t="s">
        <v>74</v>
      </c>
      <c r="AN1523" t="s">
        <v>74</v>
      </c>
      <c r="AO1523" t="s">
        <v>333</v>
      </c>
      <c r="AP1523" t="s">
        <v>74</v>
      </c>
      <c r="AQ1523" t="s">
        <v>74</v>
      </c>
      <c r="AR1523" t="s">
        <v>74</v>
      </c>
      <c r="AS1523" t="s">
        <v>74</v>
      </c>
      <c r="AT1523" t="s">
        <v>531</v>
      </c>
      <c r="AU1523">
        <v>2001</v>
      </c>
      <c r="AV1523">
        <v>20</v>
      </c>
      <c r="AW1523">
        <v>9</v>
      </c>
      <c r="AX1523" t="s">
        <v>74</v>
      </c>
      <c r="AY1523" t="s">
        <v>74</v>
      </c>
      <c r="AZ1523" t="s">
        <v>74</v>
      </c>
      <c r="BA1523" t="s">
        <v>74</v>
      </c>
      <c r="BB1523">
        <v>595</v>
      </c>
      <c r="BC1523">
        <v>601</v>
      </c>
      <c r="BD1523" t="s">
        <v>74</v>
      </c>
      <c r="BE1523" t="s">
        <v>16028</v>
      </c>
      <c r="BF1523" t="str">
        <f>HYPERLINK("http://dx.doi.org/10.1089/104454901317095016","http://dx.doi.org/10.1089/104454901317095016")</f>
        <v>http://dx.doi.org/10.1089/104454901317095016</v>
      </c>
      <c r="BG1523" t="s">
        <v>74</v>
      </c>
      <c r="BH1523" t="s">
        <v>74</v>
      </c>
      <c r="BI1523" t="s">
        <v>74</v>
      </c>
      <c r="BJ1523" t="s">
        <v>338</v>
      </c>
      <c r="BK1523" t="s">
        <v>117</v>
      </c>
      <c r="BL1523" t="s">
        <v>338</v>
      </c>
      <c r="BM1523" t="s">
        <v>74</v>
      </c>
      <c r="BN1523">
        <v>11747611</v>
      </c>
      <c r="BO1523" t="s">
        <v>74</v>
      </c>
      <c r="BP1523" t="s">
        <v>74</v>
      </c>
      <c r="BQ1523" t="s">
        <v>74</v>
      </c>
      <c r="BR1523" t="s">
        <v>96</v>
      </c>
      <c r="BS1523" t="s">
        <v>16029</v>
      </c>
      <c r="BT1523" t="str">
        <f>HYPERLINK("https%3A%2F%2Fwww.webofscience.com%2Fwos%2Fwoscc%2Ffull-record%2FWOS:000172031000008","View Full Record in Web of Science")</f>
        <v>View Full Record in Web of Science</v>
      </c>
    </row>
    <row r="1524" spans="1:72" x14ac:dyDescent="0.15">
      <c r="A1524" t="s">
        <v>98</v>
      </c>
      <c r="B1524" t="s">
        <v>16486</v>
      </c>
      <c r="C1524" t="s">
        <v>74</v>
      </c>
      <c r="D1524" t="s">
        <v>74</v>
      </c>
      <c r="E1524" t="s">
        <v>74</v>
      </c>
      <c r="F1524" t="s">
        <v>16487</v>
      </c>
      <c r="G1524" t="s">
        <v>74</v>
      </c>
      <c r="H1524" t="s">
        <v>74</v>
      </c>
      <c r="I1524" t="s">
        <v>16488</v>
      </c>
      <c r="J1524" t="s">
        <v>1073</v>
      </c>
      <c r="K1524" t="s">
        <v>74</v>
      </c>
      <c r="L1524" t="s">
        <v>74</v>
      </c>
      <c r="M1524" t="s">
        <v>74</v>
      </c>
      <c r="N1524" t="s">
        <v>103</v>
      </c>
      <c r="O1524" t="s">
        <v>74</v>
      </c>
      <c r="P1524" t="s">
        <v>74</v>
      </c>
      <c r="Q1524" t="s">
        <v>74</v>
      </c>
      <c r="R1524" t="s">
        <v>74</v>
      </c>
      <c r="S1524" t="s">
        <v>74</v>
      </c>
      <c r="T1524" t="s">
        <v>74</v>
      </c>
      <c r="U1524" t="s">
        <v>16489</v>
      </c>
      <c r="V1524" t="s">
        <v>16490</v>
      </c>
      <c r="W1524" t="s">
        <v>16491</v>
      </c>
      <c r="X1524" t="s">
        <v>16492</v>
      </c>
      <c r="Y1524" t="s">
        <v>16493</v>
      </c>
      <c r="Z1524" t="s">
        <v>16494</v>
      </c>
      <c r="AA1524" t="s">
        <v>16495</v>
      </c>
      <c r="AB1524" t="s">
        <v>16496</v>
      </c>
      <c r="AC1524" t="s">
        <v>74</v>
      </c>
      <c r="AD1524" t="s">
        <v>74</v>
      </c>
      <c r="AE1524" t="s">
        <v>74</v>
      </c>
      <c r="AF1524" t="s">
        <v>74</v>
      </c>
      <c r="AG1524">
        <v>74</v>
      </c>
      <c r="AH1524">
        <v>4</v>
      </c>
      <c r="AI1524">
        <v>4</v>
      </c>
      <c r="AJ1524">
        <v>0</v>
      </c>
      <c r="AK1524">
        <v>0</v>
      </c>
      <c r="AL1524" t="s">
        <v>74</v>
      </c>
      <c r="AM1524" t="s">
        <v>74</v>
      </c>
      <c r="AN1524" t="s">
        <v>74</v>
      </c>
      <c r="AO1524" t="s">
        <v>1082</v>
      </c>
      <c r="AP1524" t="s">
        <v>74</v>
      </c>
      <c r="AQ1524" t="s">
        <v>74</v>
      </c>
      <c r="AR1524" t="s">
        <v>74</v>
      </c>
      <c r="AS1524" t="s">
        <v>74</v>
      </c>
      <c r="AT1524" t="s">
        <v>4559</v>
      </c>
      <c r="AU1524">
        <v>2020</v>
      </c>
      <c r="AV1524">
        <v>15</v>
      </c>
      <c r="AW1524">
        <v>11</v>
      </c>
      <c r="AX1524" t="s">
        <v>74</v>
      </c>
      <c r="AY1524" t="s">
        <v>74</v>
      </c>
      <c r="AZ1524" t="s">
        <v>74</v>
      </c>
      <c r="BA1524" t="s">
        <v>74</v>
      </c>
      <c r="BB1524" t="s">
        <v>74</v>
      </c>
      <c r="BC1524" t="s">
        <v>74</v>
      </c>
      <c r="BD1524" t="s">
        <v>16497</v>
      </c>
      <c r="BE1524" t="s">
        <v>16498</v>
      </c>
      <c r="BF1524" t="str">
        <f>HYPERLINK("http://dx.doi.org/10.1371/journal.pone.0242276","http://dx.doi.org/10.1371/journal.pone.0242276")</f>
        <v>http://dx.doi.org/10.1371/journal.pone.0242276</v>
      </c>
      <c r="BG1524" t="s">
        <v>74</v>
      </c>
      <c r="BH1524" t="s">
        <v>74</v>
      </c>
      <c r="BI1524" t="s">
        <v>74</v>
      </c>
      <c r="BJ1524" t="s">
        <v>152</v>
      </c>
      <c r="BK1524" t="s">
        <v>117</v>
      </c>
      <c r="BL1524" t="s">
        <v>153</v>
      </c>
      <c r="BM1524" t="s">
        <v>74</v>
      </c>
      <c r="BN1524">
        <v>33196678</v>
      </c>
      <c r="BO1524" t="s">
        <v>74</v>
      </c>
      <c r="BP1524" t="s">
        <v>74</v>
      </c>
      <c r="BQ1524" t="s">
        <v>74</v>
      </c>
      <c r="BR1524" t="s">
        <v>96</v>
      </c>
      <c r="BS1524" t="s">
        <v>16499</v>
      </c>
      <c r="BT1524" t="str">
        <f>HYPERLINK("https%3A%2F%2Fwww.webofscience.com%2Fwos%2Fwoscc%2Ffull-record%2FWOS:000595266800001","View Full Record in Web of Science")</f>
        <v>View Full Record in Web of Science</v>
      </c>
    </row>
    <row r="1525" spans="1:72" x14ac:dyDescent="0.15">
      <c r="A1525" t="s">
        <v>98</v>
      </c>
      <c r="B1525" t="s">
        <v>16559</v>
      </c>
      <c r="C1525" t="s">
        <v>74</v>
      </c>
      <c r="D1525" t="s">
        <v>74</v>
      </c>
      <c r="E1525" t="s">
        <v>74</v>
      </c>
      <c r="F1525" t="s">
        <v>16560</v>
      </c>
      <c r="G1525" t="s">
        <v>74</v>
      </c>
      <c r="H1525" t="s">
        <v>74</v>
      </c>
      <c r="I1525" t="s">
        <v>16561</v>
      </c>
      <c r="J1525" t="s">
        <v>1073</v>
      </c>
      <c r="K1525" t="s">
        <v>74</v>
      </c>
      <c r="L1525" t="s">
        <v>74</v>
      </c>
      <c r="M1525" t="s">
        <v>74</v>
      </c>
      <c r="N1525" t="s">
        <v>103</v>
      </c>
      <c r="O1525" t="s">
        <v>74</v>
      </c>
      <c r="P1525" t="s">
        <v>74</v>
      </c>
      <c r="Q1525" t="s">
        <v>74</v>
      </c>
      <c r="R1525" t="s">
        <v>74</v>
      </c>
      <c r="S1525" t="s">
        <v>74</v>
      </c>
      <c r="T1525" t="s">
        <v>74</v>
      </c>
      <c r="U1525" t="s">
        <v>16562</v>
      </c>
      <c r="V1525" t="s">
        <v>16563</v>
      </c>
      <c r="W1525" t="s">
        <v>16564</v>
      </c>
      <c r="X1525" t="s">
        <v>16565</v>
      </c>
      <c r="Y1525" t="s">
        <v>16566</v>
      </c>
      <c r="Z1525" t="s">
        <v>16567</v>
      </c>
      <c r="AA1525" t="s">
        <v>16568</v>
      </c>
      <c r="AB1525" t="s">
        <v>74</v>
      </c>
      <c r="AC1525" t="s">
        <v>74</v>
      </c>
      <c r="AD1525" t="s">
        <v>74</v>
      </c>
      <c r="AE1525" t="s">
        <v>74</v>
      </c>
      <c r="AF1525" t="s">
        <v>74</v>
      </c>
      <c r="AG1525">
        <v>33</v>
      </c>
      <c r="AH1525">
        <v>4</v>
      </c>
      <c r="AI1525">
        <v>4</v>
      </c>
      <c r="AJ1525">
        <v>1</v>
      </c>
      <c r="AK1525">
        <v>3</v>
      </c>
      <c r="AL1525" t="s">
        <v>74</v>
      </c>
      <c r="AM1525" t="s">
        <v>74</v>
      </c>
      <c r="AN1525" t="s">
        <v>74</v>
      </c>
      <c r="AO1525" t="s">
        <v>1082</v>
      </c>
      <c r="AP1525" t="s">
        <v>74</v>
      </c>
      <c r="AQ1525" t="s">
        <v>74</v>
      </c>
      <c r="AR1525" t="s">
        <v>74</v>
      </c>
      <c r="AS1525" t="s">
        <v>74</v>
      </c>
      <c r="AT1525" t="s">
        <v>10215</v>
      </c>
      <c r="AU1525">
        <v>2017</v>
      </c>
      <c r="AV1525">
        <v>12</v>
      </c>
      <c r="AW1525">
        <v>10</v>
      </c>
      <c r="AX1525" t="s">
        <v>74</v>
      </c>
      <c r="AY1525" t="s">
        <v>74</v>
      </c>
      <c r="AZ1525" t="s">
        <v>74</v>
      </c>
      <c r="BA1525" t="s">
        <v>74</v>
      </c>
      <c r="BB1525" t="s">
        <v>74</v>
      </c>
      <c r="BC1525" t="s">
        <v>74</v>
      </c>
      <c r="BD1525" t="s">
        <v>16569</v>
      </c>
      <c r="BE1525" t="s">
        <v>16570</v>
      </c>
      <c r="BF1525" t="str">
        <f>HYPERLINK("http://dx.doi.org/10.1371/journal.pone.0185630","http://dx.doi.org/10.1371/journal.pone.0185630")</f>
        <v>http://dx.doi.org/10.1371/journal.pone.0185630</v>
      </c>
      <c r="BG1525" t="s">
        <v>74</v>
      </c>
      <c r="BH1525" t="s">
        <v>74</v>
      </c>
      <c r="BI1525" t="s">
        <v>74</v>
      </c>
      <c r="BJ1525" t="s">
        <v>152</v>
      </c>
      <c r="BK1525" t="s">
        <v>117</v>
      </c>
      <c r="BL1525" t="s">
        <v>153</v>
      </c>
      <c r="BM1525" t="s">
        <v>74</v>
      </c>
      <c r="BN1525">
        <v>28968422</v>
      </c>
      <c r="BO1525" t="s">
        <v>74</v>
      </c>
      <c r="BP1525" t="s">
        <v>74</v>
      </c>
      <c r="BQ1525" t="s">
        <v>74</v>
      </c>
      <c r="BR1525" t="s">
        <v>96</v>
      </c>
      <c r="BS1525" t="s">
        <v>16571</v>
      </c>
      <c r="BT1525" t="str">
        <f>HYPERLINK("https%3A%2F%2Fwww.webofscience.com%2Fwos%2Fwoscc%2Ffull-record%2FWOS:000412029600032","View Full Record in Web of Science")</f>
        <v>View Full Record in Web of Science</v>
      </c>
    </row>
    <row r="1526" spans="1:72" x14ac:dyDescent="0.15">
      <c r="A1526" t="s">
        <v>98</v>
      </c>
      <c r="B1526" t="s">
        <v>17293</v>
      </c>
      <c r="C1526" t="s">
        <v>74</v>
      </c>
      <c r="D1526" t="s">
        <v>74</v>
      </c>
      <c r="E1526" t="s">
        <v>74</v>
      </c>
      <c r="F1526" t="s">
        <v>17294</v>
      </c>
      <c r="G1526" t="s">
        <v>74</v>
      </c>
      <c r="H1526" t="s">
        <v>74</v>
      </c>
      <c r="I1526" t="s">
        <v>17295</v>
      </c>
      <c r="J1526" t="s">
        <v>638</v>
      </c>
      <c r="K1526" t="s">
        <v>74</v>
      </c>
      <c r="L1526" t="s">
        <v>74</v>
      </c>
      <c r="M1526" t="s">
        <v>74</v>
      </c>
      <c r="N1526" t="s">
        <v>103</v>
      </c>
      <c r="O1526" t="s">
        <v>74</v>
      </c>
      <c r="P1526" t="s">
        <v>74</v>
      </c>
      <c r="Q1526" t="s">
        <v>74</v>
      </c>
      <c r="R1526" t="s">
        <v>74</v>
      </c>
      <c r="S1526" t="s">
        <v>74</v>
      </c>
      <c r="T1526" t="s">
        <v>17296</v>
      </c>
      <c r="U1526" t="s">
        <v>17297</v>
      </c>
      <c r="V1526" t="s">
        <v>17298</v>
      </c>
      <c r="W1526" t="s">
        <v>17299</v>
      </c>
      <c r="X1526" t="s">
        <v>17300</v>
      </c>
      <c r="Y1526" t="s">
        <v>17301</v>
      </c>
      <c r="Z1526" t="s">
        <v>17302</v>
      </c>
      <c r="AA1526" t="s">
        <v>74</v>
      </c>
      <c r="AB1526" t="s">
        <v>17303</v>
      </c>
      <c r="AC1526" t="s">
        <v>74</v>
      </c>
      <c r="AD1526" t="s">
        <v>74</v>
      </c>
      <c r="AE1526" t="s">
        <v>74</v>
      </c>
      <c r="AF1526" t="s">
        <v>74</v>
      </c>
      <c r="AG1526">
        <v>41</v>
      </c>
      <c r="AH1526">
        <v>4</v>
      </c>
      <c r="AI1526">
        <v>4</v>
      </c>
      <c r="AJ1526">
        <v>0</v>
      </c>
      <c r="AK1526">
        <v>2</v>
      </c>
      <c r="AL1526" t="s">
        <v>74</v>
      </c>
      <c r="AM1526" t="s">
        <v>74</v>
      </c>
      <c r="AN1526" t="s">
        <v>74</v>
      </c>
      <c r="AO1526" t="s">
        <v>648</v>
      </c>
      <c r="AP1526" t="s">
        <v>649</v>
      </c>
      <c r="AQ1526" t="s">
        <v>74</v>
      </c>
      <c r="AR1526" t="s">
        <v>74</v>
      </c>
      <c r="AS1526" t="s">
        <v>74</v>
      </c>
      <c r="AT1526" t="s">
        <v>16081</v>
      </c>
      <c r="AU1526">
        <v>2020</v>
      </c>
      <c r="AV1526">
        <v>40</v>
      </c>
      <c r="AW1526">
        <v>44</v>
      </c>
      <c r="AX1526" t="s">
        <v>74</v>
      </c>
      <c r="AY1526" t="s">
        <v>74</v>
      </c>
      <c r="AZ1526" t="s">
        <v>74</v>
      </c>
      <c r="BA1526" t="s">
        <v>74</v>
      </c>
      <c r="BB1526">
        <v>8426</v>
      </c>
      <c r="BC1526">
        <v>8437</v>
      </c>
      <c r="BD1526" t="s">
        <v>74</v>
      </c>
      <c r="BE1526" t="s">
        <v>17304</v>
      </c>
      <c r="BF1526" t="str">
        <f>HYPERLINK("http://dx.doi.org/10.1523/JNEUROSCI.3029-19.2020","http://dx.doi.org/10.1523/JNEUROSCI.3029-19.2020")</f>
        <v>http://dx.doi.org/10.1523/JNEUROSCI.3029-19.2020</v>
      </c>
      <c r="BG1526" t="s">
        <v>74</v>
      </c>
      <c r="BH1526" t="s">
        <v>74</v>
      </c>
      <c r="BI1526" t="s">
        <v>74</v>
      </c>
      <c r="BJ1526" t="s">
        <v>652</v>
      </c>
      <c r="BK1526" t="s">
        <v>117</v>
      </c>
      <c r="BL1526" t="s">
        <v>653</v>
      </c>
      <c r="BM1526" t="s">
        <v>74</v>
      </c>
      <c r="BN1526">
        <v>32989096</v>
      </c>
      <c r="BO1526" t="s">
        <v>74</v>
      </c>
      <c r="BP1526" t="s">
        <v>74</v>
      </c>
      <c r="BQ1526" t="s">
        <v>74</v>
      </c>
      <c r="BR1526" t="s">
        <v>96</v>
      </c>
      <c r="BS1526" t="s">
        <v>17305</v>
      </c>
      <c r="BT1526" t="str">
        <f>HYPERLINK("https%3A%2F%2Fwww.webofscience.com%2Fwos%2Fwoscc%2Ffull-record%2FWOS:000582798900003","View Full Record in Web of Science")</f>
        <v>View Full Record in Web of Science</v>
      </c>
    </row>
    <row r="1527" spans="1:72" x14ac:dyDescent="0.15">
      <c r="A1527" t="s">
        <v>98</v>
      </c>
      <c r="B1527" t="s">
        <v>17361</v>
      </c>
      <c r="C1527" t="s">
        <v>74</v>
      </c>
      <c r="D1527" t="s">
        <v>74</v>
      </c>
      <c r="E1527" t="s">
        <v>74</v>
      </c>
      <c r="F1527" t="s">
        <v>17362</v>
      </c>
      <c r="G1527" t="s">
        <v>74</v>
      </c>
      <c r="H1527" t="s">
        <v>74</v>
      </c>
      <c r="I1527" t="s">
        <v>17363</v>
      </c>
      <c r="J1527" t="s">
        <v>12341</v>
      </c>
      <c r="K1527" t="s">
        <v>74</v>
      </c>
      <c r="L1527" t="s">
        <v>74</v>
      </c>
      <c r="M1527" t="s">
        <v>74</v>
      </c>
      <c r="N1527" t="s">
        <v>103</v>
      </c>
      <c r="O1527" t="s">
        <v>74</v>
      </c>
      <c r="P1527" t="s">
        <v>74</v>
      </c>
      <c r="Q1527" t="s">
        <v>74</v>
      </c>
      <c r="R1527" t="s">
        <v>74</v>
      </c>
      <c r="S1527" t="s">
        <v>74</v>
      </c>
      <c r="T1527" t="s">
        <v>17364</v>
      </c>
      <c r="U1527" t="s">
        <v>74</v>
      </c>
      <c r="V1527" t="s">
        <v>17365</v>
      </c>
      <c r="W1527" t="s">
        <v>17366</v>
      </c>
      <c r="X1527" t="s">
        <v>12346</v>
      </c>
      <c r="Y1527" t="s">
        <v>17367</v>
      </c>
      <c r="Z1527" t="s">
        <v>12348</v>
      </c>
      <c r="AA1527" t="s">
        <v>74</v>
      </c>
      <c r="AB1527" t="s">
        <v>17368</v>
      </c>
      <c r="AC1527" t="s">
        <v>74</v>
      </c>
      <c r="AD1527" t="s">
        <v>74</v>
      </c>
      <c r="AE1527" t="s">
        <v>74</v>
      </c>
      <c r="AF1527" t="s">
        <v>74</v>
      </c>
      <c r="AG1527">
        <v>30</v>
      </c>
      <c r="AH1527">
        <v>4</v>
      </c>
      <c r="AI1527">
        <v>4</v>
      </c>
      <c r="AJ1527">
        <v>0</v>
      </c>
      <c r="AK1527">
        <v>2</v>
      </c>
      <c r="AL1527" t="s">
        <v>74</v>
      </c>
      <c r="AM1527" t="s">
        <v>74</v>
      </c>
      <c r="AN1527" t="s">
        <v>74</v>
      </c>
      <c r="AO1527" t="s">
        <v>74</v>
      </c>
      <c r="AP1527" t="s">
        <v>12350</v>
      </c>
      <c r="AQ1527" t="s">
        <v>74</v>
      </c>
      <c r="AR1527" t="s">
        <v>74</v>
      </c>
      <c r="AS1527" t="s">
        <v>74</v>
      </c>
      <c r="AT1527" t="s">
        <v>3875</v>
      </c>
      <c r="AU1527">
        <v>2021</v>
      </c>
      <c r="AV1527">
        <v>21</v>
      </c>
      <c r="AW1527">
        <v>1</v>
      </c>
      <c r="AX1527" t="s">
        <v>74</v>
      </c>
      <c r="AY1527" t="s">
        <v>74</v>
      </c>
      <c r="AZ1527" t="s">
        <v>74</v>
      </c>
      <c r="BA1527" t="s">
        <v>74</v>
      </c>
      <c r="BB1527" t="s">
        <v>74</v>
      </c>
      <c r="BC1527" t="s">
        <v>74</v>
      </c>
      <c r="BD1527">
        <v>50</v>
      </c>
      <c r="BE1527" t="s">
        <v>17369</v>
      </c>
      <c r="BF1527" t="str">
        <f>HYPERLINK("http://dx.doi.org/10.1186/s12935-021-01761-x","http://dx.doi.org/10.1186/s12935-021-01761-x")</f>
        <v>http://dx.doi.org/10.1186/s12935-021-01761-x</v>
      </c>
      <c r="BG1527" t="s">
        <v>74</v>
      </c>
      <c r="BH1527" t="s">
        <v>74</v>
      </c>
      <c r="BI1527" t="s">
        <v>74</v>
      </c>
      <c r="BJ1527" t="s">
        <v>267</v>
      </c>
      <c r="BK1527" t="s">
        <v>117</v>
      </c>
      <c r="BL1527" t="s">
        <v>267</v>
      </c>
      <c r="BM1527" t="s">
        <v>74</v>
      </c>
      <c r="BN1527">
        <v>33435996</v>
      </c>
      <c r="BO1527" t="s">
        <v>74</v>
      </c>
      <c r="BP1527" t="s">
        <v>74</v>
      </c>
      <c r="BQ1527" t="s">
        <v>74</v>
      </c>
      <c r="BR1527" t="s">
        <v>96</v>
      </c>
      <c r="BS1527" t="s">
        <v>17370</v>
      </c>
      <c r="BT1527" t="str">
        <f>HYPERLINK("https%3A%2F%2Fwww.webofscience.com%2Fwos%2Fwoscc%2Ffull-record%2FWOS:000609505200003","View Full Record in Web of Science")</f>
        <v>View Full Record in Web of Science</v>
      </c>
    </row>
    <row r="1528" spans="1:72" x14ac:dyDescent="0.15">
      <c r="A1528" t="s">
        <v>98</v>
      </c>
      <c r="B1528" t="s">
        <v>17646</v>
      </c>
      <c r="C1528" t="s">
        <v>74</v>
      </c>
      <c r="D1528" t="s">
        <v>74</v>
      </c>
      <c r="E1528" t="s">
        <v>74</v>
      </c>
      <c r="F1528" t="s">
        <v>17647</v>
      </c>
      <c r="G1528" t="s">
        <v>74</v>
      </c>
      <c r="H1528" t="s">
        <v>74</v>
      </c>
      <c r="I1528" t="s">
        <v>17648</v>
      </c>
      <c r="J1528" t="s">
        <v>17649</v>
      </c>
      <c r="K1528" t="s">
        <v>74</v>
      </c>
      <c r="L1528" t="s">
        <v>74</v>
      </c>
      <c r="M1528" t="s">
        <v>74</v>
      </c>
      <c r="N1528" t="s">
        <v>103</v>
      </c>
      <c r="O1528" t="s">
        <v>74</v>
      </c>
      <c r="P1528" t="s">
        <v>74</v>
      </c>
      <c r="Q1528" t="s">
        <v>74</v>
      </c>
      <c r="R1528" t="s">
        <v>74</v>
      </c>
      <c r="S1528" t="s">
        <v>74</v>
      </c>
      <c r="T1528" t="s">
        <v>17650</v>
      </c>
      <c r="U1528" t="s">
        <v>17651</v>
      </c>
      <c r="V1528" t="s">
        <v>17652</v>
      </c>
      <c r="W1528" t="s">
        <v>17653</v>
      </c>
      <c r="X1528" t="s">
        <v>17654</v>
      </c>
      <c r="Y1528" t="s">
        <v>17655</v>
      </c>
      <c r="Z1528" t="s">
        <v>17656</v>
      </c>
      <c r="AA1528" t="s">
        <v>17657</v>
      </c>
      <c r="AB1528" t="s">
        <v>17658</v>
      </c>
      <c r="AC1528" t="s">
        <v>74</v>
      </c>
      <c r="AD1528" t="s">
        <v>74</v>
      </c>
      <c r="AE1528" t="s">
        <v>74</v>
      </c>
      <c r="AF1528" t="s">
        <v>74</v>
      </c>
      <c r="AG1528">
        <v>45</v>
      </c>
      <c r="AH1528">
        <v>4</v>
      </c>
      <c r="AI1528">
        <v>4</v>
      </c>
      <c r="AJ1528">
        <v>4</v>
      </c>
      <c r="AK1528">
        <v>6</v>
      </c>
      <c r="AL1528" t="s">
        <v>74</v>
      </c>
      <c r="AM1528" t="s">
        <v>74</v>
      </c>
      <c r="AN1528" t="s">
        <v>74</v>
      </c>
      <c r="AO1528" t="s">
        <v>17659</v>
      </c>
      <c r="AP1528" t="s">
        <v>17660</v>
      </c>
      <c r="AQ1528" t="s">
        <v>74</v>
      </c>
      <c r="AR1528" t="s">
        <v>74</v>
      </c>
      <c r="AS1528" t="s">
        <v>74</v>
      </c>
      <c r="AT1528" t="s">
        <v>132</v>
      </c>
      <c r="AU1528">
        <v>2020</v>
      </c>
      <c r="AV1528">
        <v>209</v>
      </c>
      <c r="AW1528">
        <v>2</v>
      </c>
      <c r="AX1528" t="s">
        <v>74</v>
      </c>
      <c r="AY1528" t="s">
        <v>74</v>
      </c>
      <c r="AZ1528" t="s">
        <v>74</v>
      </c>
      <c r="BA1528" t="s">
        <v>74</v>
      </c>
      <c r="BB1528">
        <v>189</v>
      </c>
      <c r="BC1528">
        <v>199</v>
      </c>
      <c r="BD1528" t="s">
        <v>74</v>
      </c>
      <c r="BE1528" t="s">
        <v>17661</v>
      </c>
      <c r="BF1528" t="str">
        <f>HYPERLINK("http://dx.doi.org/10.1007/s00430-020-00662-6","http://dx.doi.org/10.1007/s00430-020-00662-6")</f>
        <v>http://dx.doi.org/10.1007/s00430-020-00662-6</v>
      </c>
      <c r="BG1528" t="s">
        <v>74</v>
      </c>
      <c r="BH1528" t="s">
        <v>17662</v>
      </c>
      <c r="BI1528" t="s">
        <v>74</v>
      </c>
      <c r="BJ1528" t="s">
        <v>3257</v>
      </c>
      <c r="BK1528" t="s">
        <v>117</v>
      </c>
      <c r="BL1528" t="s">
        <v>3257</v>
      </c>
      <c r="BM1528" t="s">
        <v>74</v>
      </c>
      <c r="BN1528">
        <v>32040616</v>
      </c>
      <c r="BO1528" t="s">
        <v>74</v>
      </c>
      <c r="BP1528" t="s">
        <v>74</v>
      </c>
      <c r="BQ1528" t="s">
        <v>74</v>
      </c>
      <c r="BR1528" t="s">
        <v>96</v>
      </c>
      <c r="BS1528" t="s">
        <v>17663</v>
      </c>
      <c r="BT1528" t="str">
        <f>HYPERLINK("https%3A%2F%2Fwww.webofscience.com%2Fwos%2Fwoscc%2Ffull-record%2FWOS:000516007200001","View Full Record in Web of Science")</f>
        <v>View Full Record in Web of Science</v>
      </c>
    </row>
    <row r="1529" spans="1:72" x14ac:dyDescent="0.15">
      <c r="A1529" t="s">
        <v>98</v>
      </c>
      <c r="B1529" t="s">
        <v>17969</v>
      </c>
      <c r="C1529" t="s">
        <v>74</v>
      </c>
      <c r="D1529" t="s">
        <v>74</v>
      </c>
      <c r="E1529" t="s">
        <v>74</v>
      </c>
      <c r="F1529" t="s">
        <v>17970</v>
      </c>
      <c r="G1529" t="s">
        <v>74</v>
      </c>
      <c r="H1529" t="s">
        <v>74</v>
      </c>
      <c r="I1529" t="s">
        <v>17971</v>
      </c>
      <c r="J1529" t="s">
        <v>17972</v>
      </c>
      <c r="K1529" t="s">
        <v>74</v>
      </c>
      <c r="L1529" t="s">
        <v>74</v>
      </c>
      <c r="M1529" t="s">
        <v>74</v>
      </c>
      <c r="N1529" t="s">
        <v>103</v>
      </c>
      <c r="O1529" t="s">
        <v>74</v>
      </c>
      <c r="P1529" t="s">
        <v>74</v>
      </c>
      <c r="Q1529" t="s">
        <v>74</v>
      </c>
      <c r="R1529" t="s">
        <v>74</v>
      </c>
      <c r="S1529" t="s">
        <v>74</v>
      </c>
      <c r="T1529" t="s">
        <v>17973</v>
      </c>
      <c r="U1529" t="s">
        <v>17974</v>
      </c>
      <c r="V1529" t="s">
        <v>17975</v>
      </c>
      <c r="W1529" t="s">
        <v>17976</v>
      </c>
      <c r="X1529" t="s">
        <v>17977</v>
      </c>
      <c r="Y1529" t="s">
        <v>17978</v>
      </c>
      <c r="Z1529" t="s">
        <v>17979</v>
      </c>
      <c r="AA1529" t="s">
        <v>74</v>
      </c>
      <c r="AB1529" t="s">
        <v>74</v>
      </c>
      <c r="AC1529" t="s">
        <v>74</v>
      </c>
      <c r="AD1529" t="s">
        <v>74</v>
      </c>
      <c r="AE1529" t="s">
        <v>74</v>
      </c>
      <c r="AF1529" t="s">
        <v>74</v>
      </c>
      <c r="AG1529">
        <v>52</v>
      </c>
      <c r="AH1529">
        <v>4</v>
      </c>
      <c r="AI1529">
        <v>4</v>
      </c>
      <c r="AJ1529">
        <v>6</v>
      </c>
      <c r="AK1529">
        <v>19</v>
      </c>
      <c r="AL1529" t="s">
        <v>74</v>
      </c>
      <c r="AM1529" t="s">
        <v>74</v>
      </c>
      <c r="AN1529" t="s">
        <v>74</v>
      </c>
      <c r="AO1529" t="s">
        <v>17980</v>
      </c>
      <c r="AP1529" t="s">
        <v>17981</v>
      </c>
      <c r="AQ1529" t="s">
        <v>74</v>
      </c>
      <c r="AR1529" t="s">
        <v>74</v>
      </c>
      <c r="AS1529" t="s">
        <v>74</v>
      </c>
      <c r="AT1529" t="s">
        <v>74</v>
      </c>
      <c r="AU1529">
        <v>2021</v>
      </c>
      <c r="AV1529">
        <v>21</v>
      </c>
      <c r="AW1529">
        <v>14</v>
      </c>
      <c r="AX1529" t="s">
        <v>74</v>
      </c>
      <c r="AY1529" t="s">
        <v>74</v>
      </c>
      <c r="AZ1529" t="s">
        <v>74</v>
      </c>
      <c r="BA1529" t="s">
        <v>74</v>
      </c>
      <c r="BB1529">
        <v>1224</v>
      </c>
      <c r="BC1529">
        <v>1234</v>
      </c>
      <c r="BD1529" t="s">
        <v>74</v>
      </c>
      <c r="BE1529" t="s">
        <v>17982</v>
      </c>
      <c r="BF1529" t="str">
        <f>HYPERLINK("http://dx.doi.org/10.2174/1568026621666210612032004","http://dx.doi.org/10.2174/1568026621666210612032004")</f>
        <v>http://dx.doi.org/10.2174/1568026621666210612032004</v>
      </c>
      <c r="BG1529" t="s">
        <v>74</v>
      </c>
      <c r="BH1529" t="s">
        <v>74</v>
      </c>
      <c r="BI1529" t="s">
        <v>74</v>
      </c>
      <c r="BJ1529" t="s">
        <v>10245</v>
      </c>
      <c r="BK1529" t="s">
        <v>117</v>
      </c>
      <c r="BL1529" t="s">
        <v>533</v>
      </c>
      <c r="BM1529" t="s">
        <v>74</v>
      </c>
      <c r="BN1529">
        <v>34126903</v>
      </c>
      <c r="BO1529" t="s">
        <v>74</v>
      </c>
      <c r="BP1529" t="s">
        <v>74</v>
      </c>
      <c r="BQ1529" t="s">
        <v>74</v>
      </c>
      <c r="BR1529" t="s">
        <v>96</v>
      </c>
      <c r="BS1529" t="s">
        <v>17983</v>
      </c>
      <c r="BT1529" t="str">
        <f>HYPERLINK("https%3A%2F%2Fwww.webofscience.com%2Fwos%2Fwoscc%2Ffull-record%2FWOS:000697020400003","View Full Record in Web of Science")</f>
        <v>View Full Record in Web of Science</v>
      </c>
    </row>
    <row r="1530" spans="1:72" x14ac:dyDescent="0.15">
      <c r="A1530" t="s">
        <v>98</v>
      </c>
      <c r="B1530" t="s">
        <v>19514</v>
      </c>
      <c r="C1530" t="s">
        <v>74</v>
      </c>
      <c r="D1530" t="s">
        <v>74</v>
      </c>
      <c r="E1530" t="s">
        <v>74</v>
      </c>
      <c r="F1530" t="s">
        <v>19515</v>
      </c>
      <c r="G1530" t="s">
        <v>74</v>
      </c>
      <c r="H1530" t="s">
        <v>74</v>
      </c>
      <c r="I1530" t="s">
        <v>19516</v>
      </c>
      <c r="J1530" t="s">
        <v>13190</v>
      </c>
      <c r="K1530" t="s">
        <v>74</v>
      </c>
      <c r="L1530" t="s">
        <v>74</v>
      </c>
      <c r="M1530" t="s">
        <v>74</v>
      </c>
      <c r="N1530" t="s">
        <v>103</v>
      </c>
      <c r="O1530" t="s">
        <v>74</v>
      </c>
      <c r="P1530" t="s">
        <v>74</v>
      </c>
      <c r="Q1530" t="s">
        <v>74</v>
      </c>
      <c r="R1530" t="s">
        <v>74</v>
      </c>
      <c r="S1530" t="s">
        <v>74</v>
      </c>
      <c r="T1530" t="s">
        <v>19517</v>
      </c>
      <c r="U1530" t="s">
        <v>19518</v>
      </c>
      <c r="V1530" t="s">
        <v>19519</v>
      </c>
      <c r="W1530" t="s">
        <v>19520</v>
      </c>
      <c r="X1530" t="s">
        <v>19521</v>
      </c>
      <c r="Y1530" t="s">
        <v>19522</v>
      </c>
      <c r="Z1530" t="s">
        <v>19523</v>
      </c>
      <c r="AA1530" t="s">
        <v>74</v>
      </c>
      <c r="AB1530" t="s">
        <v>19524</v>
      </c>
      <c r="AC1530" t="s">
        <v>74</v>
      </c>
      <c r="AD1530" t="s">
        <v>74</v>
      </c>
      <c r="AE1530" t="s">
        <v>74</v>
      </c>
      <c r="AF1530" t="s">
        <v>74</v>
      </c>
      <c r="AG1530">
        <v>31</v>
      </c>
      <c r="AH1530">
        <v>4</v>
      </c>
      <c r="AI1530">
        <v>4</v>
      </c>
      <c r="AJ1530">
        <v>0</v>
      </c>
      <c r="AK1530">
        <v>9</v>
      </c>
      <c r="AL1530" t="s">
        <v>74</v>
      </c>
      <c r="AM1530" t="s">
        <v>74</v>
      </c>
      <c r="AN1530" t="s">
        <v>74</v>
      </c>
      <c r="AO1530" t="s">
        <v>13200</v>
      </c>
      <c r="AP1530" t="s">
        <v>13201</v>
      </c>
      <c r="AQ1530" t="s">
        <v>74</v>
      </c>
      <c r="AR1530" t="s">
        <v>74</v>
      </c>
      <c r="AS1530" t="s">
        <v>74</v>
      </c>
      <c r="AT1530" t="s">
        <v>1116</v>
      </c>
      <c r="AU1530">
        <v>2017</v>
      </c>
      <c r="AV1530">
        <v>113</v>
      </c>
      <c r="AW1530" t="s">
        <v>74</v>
      </c>
      <c r="AX1530" t="s">
        <v>74</v>
      </c>
      <c r="AY1530" t="s">
        <v>74</v>
      </c>
      <c r="AZ1530" t="s">
        <v>74</v>
      </c>
      <c r="BA1530" t="s">
        <v>74</v>
      </c>
      <c r="BB1530">
        <v>120</v>
      </c>
      <c r="BC1530">
        <v>126</v>
      </c>
      <c r="BD1530" t="s">
        <v>74</v>
      </c>
      <c r="BE1530" t="s">
        <v>19525</v>
      </c>
      <c r="BF1530" t="str">
        <f>HYPERLINK("http://dx.doi.org/10.1016/j.ymeth.2016.11.015","http://dx.doi.org/10.1016/j.ymeth.2016.11.015")</f>
        <v>http://dx.doi.org/10.1016/j.ymeth.2016.11.015</v>
      </c>
      <c r="BG1530" t="s">
        <v>74</v>
      </c>
      <c r="BH1530" t="s">
        <v>74</v>
      </c>
      <c r="BI1530" t="s">
        <v>74</v>
      </c>
      <c r="BJ1530" t="s">
        <v>93</v>
      </c>
      <c r="BK1530" t="s">
        <v>117</v>
      </c>
      <c r="BL1530" t="s">
        <v>95</v>
      </c>
      <c r="BM1530" t="s">
        <v>74</v>
      </c>
      <c r="BN1530">
        <v>27887986</v>
      </c>
      <c r="BO1530" t="s">
        <v>74</v>
      </c>
      <c r="BP1530" t="s">
        <v>74</v>
      </c>
      <c r="BQ1530" t="s">
        <v>74</v>
      </c>
      <c r="BR1530" t="s">
        <v>96</v>
      </c>
      <c r="BS1530" t="s">
        <v>19526</v>
      </c>
      <c r="BT1530" t="str">
        <f>HYPERLINK("https%3A%2F%2Fwww.webofscience.com%2Fwos%2Fwoscc%2Ffull-record%2FWOS:000393014400014","View Full Record in Web of Science")</f>
        <v>View Full Record in Web of Science</v>
      </c>
    </row>
    <row r="1531" spans="1:72" x14ac:dyDescent="0.15">
      <c r="A1531" t="s">
        <v>98</v>
      </c>
      <c r="B1531" t="s">
        <v>19629</v>
      </c>
      <c r="C1531" t="s">
        <v>74</v>
      </c>
      <c r="D1531" t="s">
        <v>74</v>
      </c>
      <c r="E1531" t="s">
        <v>74</v>
      </c>
      <c r="F1531" t="s">
        <v>19630</v>
      </c>
      <c r="G1531" t="s">
        <v>74</v>
      </c>
      <c r="H1531" t="s">
        <v>74</v>
      </c>
      <c r="I1531" t="s">
        <v>19631</v>
      </c>
      <c r="J1531" t="s">
        <v>5493</v>
      </c>
      <c r="K1531" t="s">
        <v>74</v>
      </c>
      <c r="L1531" t="s">
        <v>74</v>
      </c>
      <c r="M1531" t="s">
        <v>74</v>
      </c>
      <c r="N1531" t="s">
        <v>103</v>
      </c>
      <c r="O1531" t="s">
        <v>74</v>
      </c>
      <c r="P1531" t="s">
        <v>74</v>
      </c>
      <c r="Q1531" t="s">
        <v>74</v>
      </c>
      <c r="R1531" t="s">
        <v>74</v>
      </c>
      <c r="S1531" t="s">
        <v>74</v>
      </c>
      <c r="T1531" t="s">
        <v>19632</v>
      </c>
      <c r="U1531" t="s">
        <v>19633</v>
      </c>
      <c r="V1531" t="s">
        <v>19634</v>
      </c>
      <c r="W1531" t="s">
        <v>19635</v>
      </c>
      <c r="X1531" t="s">
        <v>19636</v>
      </c>
      <c r="Y1531" t="s">
        <v>3539</v>
      </c>
      <c r="Z1531" t="s">
        <v>19637</v>
      </c>
      <c r="AA1531" t="s">
        <v>1151</v>
      </c>
      <c r="AB1531" t="s">
        <v>1152</v>
      </c>
      <c r="AC1531" t="s">
        <v>74</v>
      </c>
      <c r="AD1531" t="s">
        <v>74</v>
      </c>
      <c r="AE1531" t="s">
        <v>74</v>
      </c>
      <c r="AF1531" t="s">
        <v>74</v>
      </c>
      <c r="AG1531">
        <v>170</v>
      </c>
      <c r="AH1531">
        <v>4</v>
      </c>
      <c r="AI1531">
        <v>4</v>
      </c>
      <c r="AJ1531">
        <v>0</v>
      </c>
      <c r="AK1531">
        <v>1</v>
      </c>
      <c r="AL1531" t="s">
        <v>74</v>
      </c>
      <c r="AM1531" t="s">
        <v>74</v>
      </c>
      <c r="AN1531" t="s">
        <v>74</v>
      </c>
      <c r="AO1531" t="s">
        <v>74</v>
      </c>
      <c r="AP1531" t="s">
        <v>5503</v>
      </c>
      <c r="AQ1531" t="s">
        <v>74</v>
      </c>
      <c r="AR1531" t="s">
        <v>74</v>
      </c>
      <c r="AS1531" t="s">
        <v>74</v>
      </c>
      <c r="AT1531" t="s">
        <v>230</v>
      </c>
      <c r="AU1531">
        <v>2020</v>
      </c>
      <c r="AV1531">
        <v>12</v>
      </c>
      <c r="AW1531">
        <v>8</v>
      </c>
      <c r="AX1531" t="s">
        <v>74</v>
      </c>
      <c r="AY1531" t="s">
        <v>74</v>
      </c>
      <c r="AZ1531" t="s">
        <v>74</v>
      </c>
      <c r="BA1531" t="s">
        <v>74</v>
      </c>
      <c r="BB1531" t="s">
        <v>74</v>
      </c>
      <c r="BC1531" t="s">
        <v>74</v>
      </c>
      <c r="BD1531">
        <v>885</v>
      </c>
      <c r="BE1531" t="s">
        <v>19638</v>
      </c>
      <c r="BF1531" t="str">
        <f>HYPERLINK("http://dx.doi.org/10.3390/v12080885","http://dx.doi.org/10.3390/v12080885")</f>
        <v>http://dx.doi.org/10.3390/v12080885</v>
      </c>
      <c r="BG1531" t="s">
        <v>74</v>
      </c>
      <c r="BH1531" t="s">
        <v>74</v>
      </c>
      <c r="BI1531" t="s">
        <v>74</v>
      </c>
      <c r="BJ1531" t="s">
        <v>932</v>
      </c>
      <c r="BK1531" t="s">
        <v>117</v>
      </c>
      <c r="BL1531" t="s">
        <v>932</v>
      </c>
      <c r="BM1531" t="s">
        <v>74</v>
      </c>
      <c r="BN1531">
        <v>32823598</v>
      </c>
      <c r="BO1531" t="s">
        <v>74</v>
      </c>
      <c r="BP1531" t="s">
        <v>74</v>
      </c>
      <c r="BQ1531" t="s">
        <v>74</v>
      </c>
      <c r="BR1531" t="s">
        <v>96</v>
      </c>
      <c r="BS1531" t="s">
        <v>19639</v>
      </c>
      <c r="BT1531" t="str">
        <f>HYPERLINK("https%3A%2F%2Fwww.webofscience.com%2Fwos%2Fwoscc%2Ffull-record%2FWOS:000578980600001","View Full Record in Web of Science")</f>
        <v>View Full Record in Web of Science</v>
      </c>
    </row>
    <row r="1532" spans="1:72" x14ac:dyDescent="0.15">
      <c r="A1532" t="s">
        <v>98</v>
      </c>
      <c r="B1532" t="s">
        <v>19796</v>
      </c>
      <c r="C1532" t="s">
        <v>74</v>
      </c>
      <c r="D1532" t="s">
        <v>74</v>
      </c>
      <c r="E1532" t="s">
        <v>74</v>
      </c>
      <c r="F1532" t="s">
        <v>19797</v>
      </c>
      <c r="G1532" t="s">
        <v>74</v>
      </c>
      <c r="H1532" t="s">
        <v>74</v>
      </c>
      <c r="I1532" t="s">
        <v>19798</v>
      </c>
      <c r="J1532" t="s">
        <v>9651</v>
      </c>
      <c r="K1532" t="s">
        <v>74</v>
      </c>
      <c r="L1532" t="s">
        <v>74</v>
      </c>
      <c r="M1532" t="s">
        <v>74</v>
      </c>
      <c r="N1532" t="s">
        <v>103</v>
      </c>
      <c r="O1532" t="s">
        <v>74</v>
      </c>
      <c r="P1532" t="s">
        <v>74</v>
      </c>
      <c r="Q1532" t="s">
        <v>74</v>
      </c>
      <c r="R1532" t="s">
        <v>74</v>
      </c>
      <c r="S1532" t="s">
        <v>74</v>
      </c>
      <c r="T1532" t="s">
        <v>74</v>
      </c>
      <c r="U1532" t="s">
        <v>19799</v>
      </c>
      <c r="V1532" t="s">
        <v>19800</v>
      </c>
      <c r="W1532" t="s">
        <v>19801</v>
      </c>
      <c r="X1532" t="s">
        <v>19802</v>
      </c>
      <c r="Y1532" t="s">
        <v>19803</v>
      </c>
      <c r="Z1532" t="s">
        <v>17211</v>
      </c>
      <c r="AA1532" t="s">
        <v>19804</v>
      </c>
      <c r="AB1532" t="s">
        <v>19805</v>
      </c>
      <c r="AC1532" t="s">
        <v>74</v>
      </c>
      <c r="AD1532" t="s">
        <v>74</v>
      </c>
      <c r="AE1532" t="s">
        <v>74</v>
      </c>
      <c r="AF1532" t="s">
        <v>74</v>
      </c>
      <c r="AG1532">
        <v>192</v>
      </c>
      <c r="AH1532">
        <v>4</v>
      </c>
      <c r="AI1532">
        <v>4</v>
      </c>
      <c r="AJ1532">
        <v>20</v>
      </c>
      <c r="AK1532">
        <v>37</v>
      </c>
      <c r="AL1532" t="s">
        <v>74</v>
      </c>
      <c r="AM1532" t="s">
        <v>74</v>
      </c>
      <c r="AN1532" t="s">
        <v>74</v>
      </c>
      <c r="AO1532" t="s">
        <v>9658</v>
      </c>
      <c r="AP1532" t="s">
        <v>9659</v>
      </c>
      <c r="AQ1532" t="s">
        <v>74</v>
      </c>
      <c r="AR1532" t="s">
        <v>74</v>
      </c>
      <c r="AS1532" t="s">
        <v>74</v>
      </c>
      <c r="AT1532" t="s">
        <v>19806</v>
      </c>
      <c r="AU1532">
        <v>2021</v>
      </c>
      <c r="AV1532">
        <v>57</v>
      </c>
      <c r="AW1532">
        <v>95</v>
      </c>
      <c r="AX1532" t="s">
        <v>74</v>
      </c>
      <c r="AY1532" t="s">
        <v>74</v>
      </c>
      <c r="AZ1532" t="s">
        <v>74</v>
      </c>
      <c r="BA1532" t="s">
        <v>74</v>
      </c>
      <c r="BB1532">
        <v>12725</v>
      </c>
      <c r="BC1532">
        <v>12740</v>
      </c>
      <c r="BD1532" t="s">
        <v>74</v>
      </c>
      <c r="BE1532" t="s">
        <v>19807</v>
      </c>
      <c r="BF1532" t="str">
        <f>HYPERLINK("http://dx.doi.org/10.1039/d1cc04311k","http://dx.doi.org/10.1039/d1cc04311k")</f>
        <v>http://dx.doi.org/10.1039/d1cc04311k</v>
      </c>
      <c r="BG1532" t="s">
        <v>74</v>
      </c>
      <c r="BH1532" t="s">
        <v>1967</v>
      </c>
      <c r="BI1532" t="s">
        <v>74</v>
      </c>
      <c r="BJ1532" t="s">
        <v>1047</v>
      </c>
      <c r="BK1532" t="s">
        <v>117</v>
      </c>
      <c r="BL1532" t="s">
        <v>1048</v>
      </c>
      <c r="BM1532" t="s">
        <v>74</v>
      </c>
      <c r="BN1532">
        <v>34750602</v>
      </c>
      <c r="BO1532" t="s">
        <v>74</v>
      </c>
      <c r="BP1532" t="s">
        <v>74</v>
      </c>
      <c r="BQ1532" t="s">
        <v>74</v>
      </c>
      <c r="BR1532" t="s">
        <v>96</v>
      </c>
      <c r="BS1532" t="s">
        <v>19808</v>
      </c>
      <c r="BT1532" t="str">
        <f>HYPERLINK("https%3A%2F%2Fwww.webofscience.com%2Fwos%2Fwoscc%2Ffull-record%2FWOS:000715929300001","View Full Record in Web of Science")</f>
        <v>View Full Record in Web of Science</v>
      </c>
    </row>
    <row r="1533" spans="1:72" x14ac:dyDescent="0.15">
      <c r="A1533" t="s">
        <v>98</v>
      </c>
      <c r="B1533" t="s">
        <v>20177</v>
      </c>
      <c r="C1533" t="s">
        <v>74</v>
      </c>
      <c r="D1533" t="s">
        <v>74</v>
      </c>
      <c r="E1533" t="s">
        <v>74</v>
      </c>
      <c r="F1533" t="s">
        <v>20178</v>
      </c>
      <c r="G1533" t="s">
        <v>74</v>
      </c>
      <c r="H1533" t="s">
        <v>74</v>
      </c>
      <c r="I1533" t="s">
        <v>20179</v>
      </c>
      <c r="J1533" t="s">
        <v>20180</v>
      </c>
      <c r="K1533" t="s">
        <v>74</v>
      </c>
      <c r="L1533" t="s">
        <v>74</v>
      </c>
      <c r="M1533" t="s">
        <v>74</v>
      </c>
      <c r="N1533" t="s">
        <v>103</v>
      </c>
      <c r="O1533" t="s">
        <v>74</v>
      </c>
      <c r="P1533" t="s">
        <v>74</v>
      </c>
      <c r="Q1533" t="s">
        <v>74</v>
      </c>
      <c r="R1533" t="s">
        <v>74</v>
      </c>
      <c r="S1533" t="s">
        <v>74</v>
      </c>
      <c r="T1533" t="s">
        <v>20181</v>
      </c>
      <c r="U1533" t="s">
        <v>20182</v>
      </c>
      <c r="V1533" t="s">
        <v>20183</v>
      </c>
      <c r="W1533" t="s">
        <v>20184</v>
      </c>
      <c r="X1533" t="s">
        <v>241</v>
      </c>
      <c r="Y1533" t="s">
        <v>20185</v>
      </c>
      <c r="Z1533" t="s">
        <v>20186</v>
      </c>
      <c r="AA1533" t="s">
        <v>20187</v>
      </c>
      <c r="AB1533" t="s">
        <v>74</v>
      </c>
      <c r="AC1533" t="s">
        <v>74</v>
      </c>
      <c r="AD1533" t="s">
        <v>74</v>
      </c>
      <c r="AE1533" t="s">
        <v>74</v>
      </c>
      <c r="AF1533" t="s">
        <v>74</v>
      </c>
      <c r="AG1533">
        <v>61</v>
      </c>
      <c r="AH1533">
        <v>4</v>
      </c>
      <c r="AI1533">
        <v>4</v>
      </c>
      <c r="AJ1533">
        <v>1</v>
      </c>
      <c r="AK1533">
        <v>3</v>
      </c>
      <c r="AL1533" t="s">
        <v>74</v>
      </c>
      <c r="AM1533" t="s">
        <v>74</v>
      </c>
      <c r="AN1533" t="s">
        <v>74</v>
      </c>
      <c r="AO1533" t="s">
        <v>20188</v>
      </c>
      <c r="AP1533" t="s">
        <v>20189</v>
      </c>
      <c r="AQ1533" t="s">
        <v>74</v>
      </c>
      <c r="AR1533" t="s">
        <v>74</v>
      </c>
      <c r="AS1533" t="s">
        <v>74</v>
      </c>
      <c r="AT1533" t="s">
        <v>189</v>
      </c>
      <c r="AU1533">
        <v>2020</v>
      </c>
      <c r="AV1533">
        <v>199</v>
      </c>
      <c r="AW1533" t="s">
        <v>74</v>
      </c>
      <c r="AX1533" t="s">
        <v>74</v>
      </c>
      <c r="AY1533" t="s">
        <v>74</v>
      </c>
      <c r="AZ1533" t="s">
        <v>74</v>
      </c>
      <c r="BA1533" t="s">
        <v>74</v>
      </c>
      <c r="BB1533" t="s">
        <v>74</v>
      </c>
      <c r="BC1533" t="s">
        <v>74</v>
      </c>
      <c r="BD1533">
        <v>108141</v>
      </c>
      <c r="BE1533" t="s">
        <v>20190</v>
      </c>
      <c r="BF1533" t="str">
        <f>HYPERLINK("http://dx.doi.org/10.1016/j.exer.2020.108141","http://dx.doi.org/10.1016/j.exer.2020.108141")</f>
        <v>http://dx.doi.org/10.1016/j.exer.2020.108141</v>
      </c>
      <c r="BG1533" t="s">
        <v>74</v>
      </c>
      <c r="BH1533" t="s">
        <v>74</v>
      </c>
      <c r="BI1533" t="s">
        <v>74</v>
      </c>
      <c r="BJ1533" t="s">
        <v>9337</v>
      </c>
      <c r="BK1533" t="s">
        <v>117</v>
      </c>
      <c r="BL1533" t="s">
        <v>9337</v>
      </c>
      <c r="BM1533" t="s">
        <v>74</v>
      </c>
      <c r="BN1533">
        <v>32721427</v>
      </c>
      <c r="BO1533" t="s">
        <v>74</v>
      </c>
      <c r="BP1533" t="s">
        <v>74</v>
      </c>
      <c r="BQ1533" t="s">
        <v>74</v>
      </c>
      <c r="BR1533" t="s">
        <v>96</v>
      </c>
      <c r="BS1533" t="s">
        <v>20191</v>
      </c>
      <c r="BT1533" t="str">
        <f>HYPERLINK("https%3A%2F%2Fwww.webofscience.com%2Fwos%2Fwoscc%2Ffull-record%2FWOS:000582245300001","View Full Record in Web of Science")</f>
        <v>View Full Record in Web of Science</v>
      </c>
    </row>
    <row r="1534" spans="1:72" x14ac:dyDescent="0.15">
      <c r="A1534" t="s">
        <v>98</v>
      </c>
      <c r="B1534" t="s">
        <v>20219</v>
      </c>
      <c r="C1534" t="s">
        <v>74</v>
      </c>
      <c r="D1534" t="s">
        <v>74</v>
      </c>
      <c r="E1534" t="s">
        <v>74</v>
      </c>
      <c r="F1534" t="s">
        <v>20220</v>
      </c>
      <c r="G1534" t="s">
        <v>74</v>
      </c>
      <c r="H1534" t="s">
        <v>74</v>
      </c>
      <c r="I1534" t="s">
        <v>20221</v>
      </c>
      <c r="J1534" t="s">
        <v>1123</v>
      </c>
      <c r="K1534" t="s">
        <v>74</v>
      </c>
      <c r="L1534" t="s">
        <v>74</v>
      </c>
      <c r="M1534" t="s">
        <v>74</v>
      </c>
      <c r="N1534" t="s">
        <v>103</v>
      </c>
      <c r="O1534" t="s">
        <v>74</v>
      </c>
      <c r="P1534" t="s">
        <v>74</v>
      </c>
      <c r="Q1534" t="s">
        <v>74</v>
      </c>
      <c r="R1534" t="s">
        <v>74</v>
      </c>
      <c r="S1534" t="s">
        <v>74</v>
      </c>
      <c r="T1534" t="s">
        <v>20222</v>
      </c>
      <c r="U1534" t="s">
        <v>20223</v>
      </c>
      <c r="V1534" t="s">
        <v>20224</v>
      </c>
      <c r="W1534" t="s">
        <v>20225</v>
      </c>
      <c r="X1534" t="s">
        <v>20226</v>
      </c>
      <c r="Y1534" t="s">
        <v>20227</v>
      </c>
      <c r="Z1534" t="s">
        <v>20228</v>
      </c>
      <c r="AA1534" t="s">
        <v>20229</v>
      </c>
      <c r="AB1534" t="s">
        <v>20230</v>
      </c>
      <c r="AC1534" t="s">
        <v>74</v>
      </c>
      <c r="AD1534" t="s">
        <v>74</v>
      </c>
      <c r="AE1534" t="s">
        <v>74</v>
      </c>
      <c r="AF1534" t="s">
        <v>74</v>
      </c>
      <c r="AG1534">
        <v>38</v>
      </c>
      <c r="AH1534">
        <v>4</v>
      </c>
      <c r="AI1534">
        <v>3</v>
      </c>
      <c r="AJ1534">
        <v>54</v>
      </c>
      <c r="AK1534">
        <v>64</v>
      </c>
      <c r="AL1534" t="s">
        <v>74</v>
      </c>
      <c r="AM1534" t="s">
        <v>74</v>
      </c>
      <c r="AN1534" t="s">
        <v>74</v>
      </c>
      <c r="AO1534" t="s">
        <v>1132</v>
      </c>
      <c r="AP1534" t="s">
        <v>1133</v>
      </c>
      <c r="AQ1534" t="s">
        <v>74</v>
      </c>
      <c r="AR1534" t="s">
        <v>74</v>
      </c>
      <c r="AS1534" t="s">
        <v>74</v>
      </c>
      <c r="AT1534" t="s">
        <v>1570</v>
      </c>
      <c r="AU1534">
        <v>2022</v>
      </c>
      <c r="AV1534">
        <v>199</v>
      </c>
      <c r="AW1534" t="s">
        <v>74</v>
      </c>
      <c r="AX1534" t="s">
        <v>74</v>
      </c>
      <c r="AY1534" t="s">
        <v>74</v>
      </c>
      <c r="AZ1534" t="s">
        <v>74</v>
      </c>
      <c r="BA1534" t="s">
        <v>74</v>
      </c>
      <c r="BB1534" t="s">
        <v>74</v>
      </c>
      <c r="BC1534" t="s">
        <v>74</v>
      </c>
      <c r="BD1534">
        <v>113872</v>
      </c>
      <c r="BE1534" t="s">
        <v>20231</v>
      </c>
      <c r="BF1534" t="str">
        <f>HYPERLINK("http://dx.doi.org/10.1016/j.bios.2021.113872","http://dx.doi.org/10.1016/j.bios.2021.113872")</f>
        <v>http://dx.doi.org/10.1016/j.bios.2021.113872</v>
      </c>
      <c r="BG1534" t="s">
        <v>74</v>
      </c>
      <c r="BH1534" t="s">
        <v>74</v>
      </c>
      <c r="BI1534" t="s">
        <v>74</v>
      </c>
      <c r="BJ1534" t="s">
        <v>1137</v>
      </c>
      <c r="BK1534" t="s">
        <v>117</v>
      </c>
      <c r="BL1534" t="s">
        <v>1138</v>
      </c>
      <c r="BM1534" t="s">
        <v>74</v>
      </c>
      <c r="BN1534">
        <v>34902643</v>
      </c>
      <c r="BO1534" t="s">
        <v>74</v>
      </c>
      <c r="BP1534" t="s">
        <v>74</v>
      </c>
      <c r="BQ1534" t="s">
        <v>74</v>
      </c>
      <c r="BR1534" t="s">
        <v>96</v>
      </c>
      <c r="BS1534" t="s">
        <v>20232</v>
      </c>
      <c r="BT1534" t="str">
        <f>HYPERLINK("https%3A%2F%2Fwww.webofscience.com%2Fwos%2Fwoscc%2Ffull-record%2FWOS:000782663000003","View Full Record in Web of Science")</f>
        <v>View Full Record in Web of Science</v>
      </c>
    </row>
    <row r="1535" spans="1:72" x14ac:dyDescent="0.15">
      <c r="A1535" t="s">
        <v>98</v>
      </c>
      <c r="B1535" t="s">
        <v>21604</v>
      </c>
      <c r="C1535" t="s">
        <v>74</v>
      </c>
      <c r="D1535" t="s">
        <v>74</v>
      </c>
      <c r="E1535" t="s">
        <v>74</v>
      </c>
      <c r="F1535" t="s">
        <v>21605</v>
      </c>
      <c r="G1535" t="s">
        <v>74</v>
      </c>
      <c r="H1535" t="s">
        <v>74</v>
      </c>
      <c r="I1535" t="s">
        <v>21606</v>
      </c>
      <c r="J1535" t="s">
        <v>21607</v>
      </c>
      <c r="K1535" t="s">
        <v>74</v>
      </c>
      <c r="L1535" t="s">
        <v>74</v>
      </c>
      <c r="M1535" t="s">
        <v>74</v>
      </c>
      <c r="N1535" t="s">
        <v>2996</v>
      </c>
      <c r="O1535" t="s">
        <v>74</v>
      </c>
      <c r="P1535" t="s">
        <v>74</v>
      </c>
      <c r="Q1535" t="s">
        <v>74</v>
      </c>
      <c r="R1535" t="s">
        <v>74</v>
      </c>
      <c r="S1535" t="s">
        <v>74</v>
      </c>
      <c r="T1535" t="s">
        <v>74</v>
      </c>
      <c r="U1535" t="s">
        <v>74</v>
      </c>
      <c r="V1535" t="s">
        <v>21608</v>
      </c>
      <c r="W1535" t="s">
        <v>21609</v>
      </c>
      <c r="X1535" t="s">
        <v>21610</v>
      </c>
      <c r="Y1535" t="s">
        <v>21611</v>
      </c>
      <c r="Z1535" t="s">
        <v>21612</v>
      </c>
      <c r="AA1535" t="s">
        <v>21613</v>
      </c>
      <c r="AB1535" t="s">
        <v>21614</v>
      </c>
      <c r="AC1535" t="s">
        <v>74</v>
      </c>
      <c r="AD1535" t="s">
        <v>74</v>
      </c>
      <c r="AE1535" t="s">
        <v>74</v>
      </c>
      <c r="AF1535" t="s">
        <v>74</v>
      </c>
      <c r="AG1535">
        <v>50</v>
      </c>
      <c r="AH1535">
        <v>4</v>
      </c>
      <c r="AI1535">
        <v>4</v>
      </c>
      <c r="AJ1535">
        <v>0</v>
      </c>
      <c r="AK1535">
        <v>5</v>
      </c>
      <c r="AL1535" t="s">
        <v>74</v>
      </c>
      <c r="AM1535" t="s">
        <v>74</v>
      </c>
      <c r="AN1535" t="s">
        <v>74</v>
      </c>
      <c r="AO1535" t="s">
        <v>74</v>
      </c>
      <c r="AP1535" t="s">
        <v>21615</v>
      </c>
      <c r="AQ1535" t="s">
        <v>74</v>
      </c>
      <c r="AR1535" t="s">
        <v>74</v>
      </c>
      <c r="AS1535" t="s">
        <v>74</v>
      </c>
      <c r="AT1535" t="s">
        <v>74</v>
      </c>
      <c r="AU1535" t="s">
        <v>74</v>
      </c>
      <c r="AV1535" t="s">
        <v>74</v>
      </c>
      <c r="AW1535" t="s">
        <v>74</v>
      </c>
      <c r="AX1535" t="s">
        <v>74</v>
      </c>
      <c r="AY1535" t="s">
        <v>74</v>
      </c>
      <c r="AZ1535" t="s">
        <v>74</v>
      </c>
      <c r="BA1535" t="s">
        <v>74</v>
      </c>
      <c r="BB1535" t="s">
        <v>74</v>
      </c>
      <c r="BC1535" t="s">
        <v>74</v>
      </c>
      <c r="BD1535" t="s">
        <v>74</v>
      </c>
      <c r="BE1535" t="s">
        <v>21616</v>
      </c>
      <c r="BF1535" t="str">
        <f>HYPERLINK("http://dx.doi.org/10.1002/hep4.1709","http://dx.doi.org/10.1002/hep4.1709")</f>
        <v>http://dx.doi.org/10.1002/hep4.1709</v>
      </c>
      <c r="BG1535" t="s">
        <v>74</v>
      </c>
      <c r="BH1535" t="s">
        <v>2607</v>
      </c>
      <c r="BI1535" t="s">
        <v>74</v>
      </c>
      <c r="BJ1535" t="s">
        <v>633</v>
      </c>
      <c r="BK1535" t="s">
        <v>117</v>
      </c>
      <c r="BL1535" t="s">
        <v>633</v>
      </c>
      <c r="BM1535" t="s">
        <v>74</v>
      </c>
      <c r="BN1535">
        <v>34278172</v>
      </c>
      <c r="BO1535" t="s">
        <v>74</v>
      </c>
      <c r="BP1535" t="s">
        <v>74</v>
      </c>
      <c r="BQ1535" t="s">
        <v>74</v>
      </c>
      <c r="BR1535" t="s">
        <v>96</v>
      </c>
      <c r="BS1535" t="s">
        <v>21617</v>
      </c>
      <c r="BT1535" t="str">
        <f>HYPERLINK("https%3A%2F%2Fwww.webofscience.com%2Fwos%2Fwoscc%2Ffull-record%2FWOS:000635186700001","View Full Record in Web of Science")</f>
        <v>View Full Record in Web of Science</v>
      </c>
    </row>
    <row r="1536" spans="1:72" x14ac:dyDescent="0.15">
      <c r="A1536" t="s">
        <v>72</v>
      </c>
      <c r="B1536" t="s">
        <v>22008</v>
      </c>
      <c r="C1536" t="s">
        <v>74</v>
      </c>
      <c r="D1536" t="s">
        <v>22009</v>
      </c>
      <c r="E1536" t="s">
        <v>74</v>
      </c>
      <c r="F1536" t="s">
        <v>22010</v>
      </c>
      <c r="G1536" t="s">
        <v>74</v>
      </c>
      <c r="H1536" t="s">
        <v>74</v>
      </c>
      <c r="I1536" t="s">
        <v>22011</v>
      </c>
      <c r="J1536" t="s">
        <v>22012</v>
      </c>
      <c r="K1536" t="s">
        <v>79</v>
      </c>
      <c r="L1536" t="s">
        <v>74</v>
      </c>
      <c r="M1536" t="s">
        <v>74</v>
      </c>
      <c r="N1536" t="s">
        <v>80</v>
      </c>
      <c r="O1536" t="s">
        <v>74</v>
      </c>
      <c r="P1536" t="s">
        <v>74</v>
      </c>
      <c r="Q1536" t="s">
        <v>74</v>
      </c>
      <c r="R1536" t="s">
        <v>74</v>
      </c>
      <c r="S1536" t="s">
        <v>74</v>
      </c>
      <c r="T1536" t="s">
        <v>22013</v>
      </c>
      <c r="U1536" t="s">
        <v>22014</v>
      </c>
      <c r="V1536" t="s">
        <v>22015</v>
      </c>
      <c r="W1536" t="s">
        <v>22016</v>
      </c>
      <c r="X1536" t="s">
        <v>22017</v>
      </c>
      <c r="Y1536" t="s">
        <v>22018</v>
      </c>
      <c r="Z1536" t="s">
        <v>74</v>
      </c>
      <c r="AA1536" t="s">
        <v>74</v>
      </c>
      <c r="AB1536" t="s">
        <v>74</v>
      </c>
      <c r="AC1536" t="s">
        <v>74</v>
      </c>
      <c r="AD1536" t="s">
        <v>74</v>
      </c>
      <c r="AE1536" t="s">
        <v>74</v>
      </c>
      <c r="AF1536" t="s">
        <v>74</v>
      </c>
      <c r="AG1536">
        <v>61</v>
      </c>
      <c r="AH1536">
        <v>4</v>
      </c>
      <c r="AI1536">
        <v>4</v>
      </c>
      <c r="AJ1536">
        <v>2</v>
      </c>
      <c r="AK1536">
        <v>9</v>
      </c>
      <c r="AL1536" t="s">
        <v>74</v>
      </c>
      <c r="AM1536" t="s">
        <v>74</v>
      </c>
      <c r="AN1536" t="s">
        <v>74</v>
      </c>
      <c r="AO1536" t="s">
        <v>88</v>
      </c>
      <c r="AP1536" t="s">
        <v>89</v>
      </c>
      <c r="AQ1536" t="s">
        <v>22019</v>
      </c>
      <c r="AR1536" t="s">
        <v>74</v>
      </c>
      <c r="AS1536" t="s">
        <v>74</v>
      </c>
      <c r="AT1536" t="s">
        <v>74</v>
      </c>
      <c r="AU1536">
        <v>2019</v>
      </c>
      <c r="AV1536">
        <v>2003</v>
      </c>
      <c r="AW1536" t="s">
        <v>74</v>
      </c>
      <c r="AX1536" t="s">
        <v>74</v>
      </c>
      <c r="AY1536" t="s">
        <v>74</v>
      </c>
      <c r="AZ1536" t="s">
        <v>74</v>
      </c>
      <c r="BA1536" t="s">
        <v>74</v>
      </c>
      <c r="BB1536">
        <v>31</v>
      </c>
      <c r="BC1536">
        <v>52</v>
      </c>
      <c r="BD1536" t="s">
        <v>74</v>
      </c>
      <c r="BE1536" t="s">
        <v>22020</v>
      </c>
      <c r="BF1536" t="str">
        <f>HYPERLINK("http://dx.doi.org/10.1007/978-1-4939-9512-7_2","http://dx.doi.org/10.1007/978-1-4939-9512-7_2")</f>
        <v>http://dx.doi.org/10.1007/978-1-4939-9512-7_2</v>
      </c>
      <c r="BG1536" t="s">
        <v>22021</v>
      </c>
      <c r="BH1536" t="s">
        <v>74</v>
      </c>
      <c r="BI1536" t="s">
        <v>74</v>
      </c>
      <c r="BJ1536" t="s">
        <v>93</v>
      </c>
      <c r="BK1536" t="s">
        <v>94</v>
      </c>
      <c r="BL1536" t="s">
        <v>95</v>
      </c>
      <c r="BM1536" t="s">
        <v>74</v>
      </c>
      <c r="BN1536">
        <v>31218612</v>
      </c>
      <c r="BO1536" t="s">
        <v>74</v>
      </c>
      <c r="BP1536" t="s">
        <v>74</v>
      </c>
      <c r="BQ1536" t="s">
        <v>74</v>
      </c>
      <c r="BR1536" t="s">
        <v>96</v>
      </c>
      <c r="BS1536" t="s">
        <v>22022</v>
      </c>
      <c r="BT1536" t="str">
        <f>HYPERLINK("https%3A%2F%2Fwww.webofscience.com%2Fwos%2Fwoscc%2Ffull-record%2FWOS:000487551000003","View Full Record in Web of Science")</f>
        <v>View Full Record in Web of Science</v>
      </c>
    </row>
    <row r="1537" spans="1:72" x14ac:dyDescent="0.15">
      <c r="A1537" t="s">
        <v>98</v>
      </c>
      <c r="B1537" t="s">
        <v>22818</v>
      </c>
      <c r="C1537" t="s">
        <v>74</v>
      </c>
      <c r="D1537" t="s">
        <v>74</v>
      </c>
      <c r="E1537" t="s">
        <v>74</v>
      </c>
      <c r="F1537" t="s">
        <v>22819</v>
      </c>
      <c r="G1537" t="s">
        <v>74</v>
      </c>
      <c r="H1537" t="s">
        <v>74</v>
      </c>
      <c r="I1537" t="s">
        <v>22820</v>
      </c>
      <c r="J1537" t="s">
        <v>140</v>
      </c>
      <c r="K1537" t="s">
        <v>74</v>
      </c>
      <c r="L1537" t="s">
        <v>74</v>
      </c>
      <c r="M1537" t="s">
        <v>74</v>
      </c>
      <c r="N1537" t="s">
        <v>103</v>
      </c>
      <c r="O1537" t="s">
        <v>74</v>
      </c>
      <c r="P1537" t="s">
        <v>74</v>
      </c>
      <c r="Q1537" t="s">
        <v>74</v>
      </c>
      <c r="R1537" t="s">
        <v>74</v>
      </c>
      <c r="S1537" t="s">
        <v>74</v>
      </c>
      <c r="T1537" t="s">
        <v>74</v>
      </c>
      <c r="U1537" t="s">
        <v>22821</v>
      </c>
      <c r="V1537" t="s">
        <v>22822</v>
      </c>
      <c r="W1537" t="s">
        <v>22823</v>
      </c>
      <c r="X1537" t="s">
        <v>22824</v>
      </c>
      <c r="Y1537" t="s">
        <v>22825</v>
      </c>
      <c r="Z1537" t="s">
        <v>22826</v>
      </c>
      <c r="AA1537" t="s">
        <v>22827</v>
      </c>
      <c r="AB1537" t="s">
        <v>22828</v>
      </c>
      <c r="AC1537" t="s">
        <v>74</v>
      </c>
      <c r="AD1537" t="s">
        <v>74</v>
      </c>
      <c r="AE1537" t="s">
        <v>74</v>
      </c>
      <c r="AF1537" t="s">
        <v>74</v>
      </c>
      <c r="AG1537">
        <v>61</v>
      </c>
      <c r="AH1537">
        <v>4</v>
      </c>
      <c r="AI1537">
        <v>4</v>
      </c>
      <c r="AJ1537">
        <v>0</v>
      </c>
      <c r="AK1537">
        <v>0</v>
      </c>
      <c r="AL1537" t="s">
        <v>74</v>
      </c>
      <c r="AM1537" t="s">
        <v>74</v>
      </c>
      <c r="AN1537" t="s">
        <v>74</v>
      </c>
      <c r="AO1537" t="s">
        <v>149</v>
      </c>
      <c r="AP1537" t="s">
        <v>74</v>
      </c>
      <c r="AQ1537" t="s">
        <v>74</v>
      </c>
      <c r="AR1537" t="s">
        <v>74</v>
      </c>
      <c r="AS1537" t="s">
        <v>74</v>
      </c>
      <c r="AT1537" t="s">
        <v>2420</v>
      </c>
      <c r="AU1537">
        <v>2020</v>
      </c>
      <c r="AV1537">
        <v>10</v>
      </c>
      <c r="AW1537">
        <v>1</v>
      </c>
      <c r="AX1537" t="s">
        <v>74</v>
      </c>
      <c r="AY1537" t="s">
        <v>74</v>
      </c>
      <c r="AZ1537" t="s">
        <v>74</v>
      </c>
      <c r="BA1537" t="s">
        <v>74</v>
      </c>
      <c r="BB1537" t="s">
        <v>74</v>
      </c>
      <c r="BC1537" t="s">
        <v>74</v>
      </c>
      <c r="BD1537">
        <v>15841</v>
      </c>
      <c r="BE1537" t="s">
        <v>22829</v>
      </c>
      <c r="BF1537" t="str">
        <f>HYPERLINK("http://dx.doi.org/10.1038/s41598-020-72959-8","http://dx.doi.org/10.1038/s41598-020-72959-8")</f>
        <v>http://dx.doi.org/10.1038/s41598-020-72959-8</v>
      </c>
      <c r="BG1537" t="s">
        <v>74</v>
      </c>
      <c r="BH1537" t="s">
        <v>74</v>
      </c>
      <c r="BI1537" t="s">
        <v>74</v>
      </c>
      <c r="BJ1537" t="s">
        <v>152</v>
      </c>
      <c r="BK1537" t="s">
        <v>117</v>
      </c>
      <c r="BL1537" t="s">
        <v>153</v>
      </c>
      <c r="BM1537" t="s">
        <v>74</v>
      </c>
      <c r="BN1537">
        <v>32985598</v>
      </c>
      <c r="BO1537" t="s">
        <v>74</v>
      </c>
      <c r="BP1537" t="s">
        <v>74</v>
      </c>
      <c r="BQ1537" t="s">
        <v>74</v>
      </c>
      <c r="BR1537" t="s">
        <v>96</v>
      </c>
      <c r="BS1537" t="s">
        <v>22830</v>
      </c>
      <c r="BT1537" t="str">
        <f>HYPERLINK("https%3A%2F%2Fwww.webofscience.com%2Fwos%2Fwoscc%2Ffull-record%2FWOS:000577327200016","View Full Record in Web of Science")</f>
        <v>View Full Record in Web of Science</v>
      </c>
    </row>
    <row r="1538" spans="1:72" x14ac:dyDescent="0.15">
      <c r="A1538" t="s">
        <v>98</v>
      </c>
      <c r="B1538" t="s">
        <v>23071</v>
      </c>
      <c r="C1538" t="s">
        <v>74</v>
      </c>
      <c r="D1538" t="s">
        <v>74</v>
      </c>
      <c r="E1538" t="s">
        <v>74</v>
      </c>
      <c r="F1538" t="s">
        <v>23072</v>
      </c>
      <c r="G1538" t="s">
        <v>74</v>
      </c>
      <c r="H1538" t="s">
        <v>74</v>
      </c>
      <c r="I1538" t="s">
        <v>23073</v>
      </c>
      <c r="J1538" t="s">
        <v>23074</v>
      </c>
      <c r="K1538" t="s">
        <v>74</v>
      </c>
      <c r="L1538" t="s">
        <v>74</v>
      </c>
      <c r="M1538" t="s">
        <v>74</v>
      </c>
      <c r="N1538" t="s">
        <v>103</v>
      </c>
      <c r="O1538" t="s">
        <v>74</v>
      </c>
      <c r="P1538" t="s">
        <v>74</v>
      </c>
      <c r="Q1538" t="s">
        <v>74</v>
      </c>
      <c r="R1538" t="s">
        <v>74</v>
      </c>
      <c r="S1538" t="s">
        <v>74</v>
      </c>
      <c r="T1538" t="s">
        <v>23075</v>
      </c>
      <c r="U1538" t="s">
        <v>23076</v>
      </c>
      <c r="V1538" t="s">
        <v>23077</v>
      </c>
      <c r="W1538" t="s">
        <v>23078</v>
      </c>
      <c r="X1538" t="s">
        <v>3249</v>
      </c>
      <c r="Y1538" t="s">
        <v>23079</v>
      </c>
      <c r="Z1538" t="s">
        <v>23080</v>
      </c>
      <c r="AA1538" t="s">
        <v>23081</v>
      </c>
      <c r="AB1538" t="s">
        <v>23082</v>
      </c>
      <c r="AC1538" t="s">
        <v>74</v>
      </c>
      <c r="AD1538" t="s">
        <v>74</v>
      </c>
      <c r="AE1538" t="s">
        <v>74</v>
      </c>
      <c r="AF1538" t="s">
        <v>74</v>
      </c>
      <c r="AG1538">
        <v>92</v>
      </c>
      <c r="AH1538">
        <v>4</v>
      </c>
      <c r="AI1538">
        <v>4</v>
      </c>
      <c r="AJ1538">
        <v>0</v>
      </c>
      <c r="AK1538">
        <v>22</v>
      </c>
      <c r="AL1538" t="s">
        <v>74</v>
      </c>
      <c r="AM1538" t="s">
        <v>74</v>
      </c>
      <c r="AN1538" t="s">
        <v>74</v>
      </c>
      <c r="AO1538" t="s">
        <v>23083</v>
      </c>
      <c r="AP1538" t="s">
        <v>23084</v>
      </c>
      <c r="AQ1538" t="s">
        <v>74</v>
      </c>
      <c r="AR1538" t="s">
        <v>74</v>
      </c>
      <c r="AS1538" t="s">
        <v>74</v>
      </c>
      <c r="AT1538" t="s">
        <v>967</v>
      </c>
      <c r="AU1538">
        <v>2018</v>
      </c>
      <c r="AV1538">
        <v>111</v>
      </c>
      <c r="AW1538">
        <v>12</v>
      </c>
      <c r="AX1538" t="s">
        <v>74</v>
      </c>
      <c r="AY1538" t="s">
        <v>74</v>
      </c>
      <c r="AZ1538" t="s">
        <v>74</v>
      </c>
      <c r="BA1538" t="s">
        <v>74</v>
      </c>
      <c r="BB1538">
        <v>2413</v>
      </c>
      <c r="BC1538">
        <v>2424</v>
      </c>
      <c r="BD1538" t="s">
        <v>74</v>
      </c>
      <c r="BE1538" t="s">
        <v>23085</v>
      </c>
      <c r="BF1538" t="str">
        <f>HYPERLINK("http://dx.doi.org/10.1007/s10482-018-1130-9","http://dx.doi.org/10.1007/s10482-018-1130-9")</f>
        <v>http://dx.doi.org/10.1007/s10482-018-1130-9</v>
      </c>
      <c r="BG1538" t="s">
        <v>74</v>
      </c>
      <c r="BH1538" t="s">
        <v>74</v>
      </c>
      <c r="BI1538" t="s">
        <v>74</v>
      </c>
      <c r="BJ1538" t="s">
        <v>898</v>
      </c>
      <c r="BK1538" t="s">
        <v>117</v>
      </c>
      <c r="BL1538" t="s">
        <v>898</v>
      </c>
      <c r="BM1538" t="s">
        <v>74</v>
      </c>
      <c r="BN1538">
        <v>30019154</v>
      </c>
      <c r="BO1538" t="s">
        <v>74</v>
      </c>
      <c r="BP1538" t="s">
        <v>74</v>
      </c>
      <c r="BQ1538" t="s">
        <v>74</v>
      </c>
      <c r="BR1538" t="s">
        <v>96</v>
      </c>
      <c r="BS1538" t="s">
        <v>23086</v>
      </c>
      <c r="BT1538" t="str">
        <f>HYPERLINK("https%3A%2F%2Fwww.webofscience.com%2Fwos%2Fwoscc%2Ffull-record%2FWOS:000452358200017","View Full Record in Web of Science")</f>
        <v>View Full Record in Web of Science</v>
      </c>
    </row>
    <row r="1539" spans="1:72" x14ac:dyDescent="0.15">
      <c r="A1539" t="s">
        <v>98</v>
      </c>
      <c r="B1539" t="s">
        <v>23485</v>
      </c>
      <c r="C1539" t="s">
        <v>74</v>
      </c>
      <c r="D1539" t="s">
        <v>74</v>
      </c>
      <c r="E1539" t="s">
        <v>74</v>
      </c>
      <c r="F1539" t="s">
        <v>23486</v>
      </c>
      <c r="G1539" t="s">
        <v>74</v>
      </c>
      <c r="H1539" t="s">
        <v>74</v>
      </c>
      <c r="I1539" t="s">
        <v>23487</v>
      </c>
      <c r="J1539" t="s">
        <v>2536</v>
      </c>
      <c r="K1539" t="s">
        <v>74</v>
      </c>
      <c r="L1539" t="s">
        <v>74</v>
      </c>
      <c r="M1539" t="s">
        <v>74</v>
      </c>
      <c r="N1539" t="s">
        <v>103</v>
      </c>
      <c r="O1539" t="s">
        <v>74</v>
      </c>
      <c r="P1539" t="s">
        <v>74</v>
      </c>
      <c r="Q1539" t="s">
        <v>74</v>
      </c>
      <c r="R1539" t="s">
        <v>74</v>
      </c>
      <c r="S1539" t="s">
        <v>74</v>
      </c>
      <c r="T1539" t="s">
        <v>23488</v>
      </c>
      <c r="U1539" t="s">
        <v>23489</v>
      </c>
      <c r="V1539" t="s">
        <v>23490</v>
      </c>
      <c r="W1539" t="s">
        <v>23491</v>
      </c>
      <c r="X1539" t="s">
        <v>23492</v>
      </c>
      <c r="Y1539" t="s">
        <v>23493</v>
      </c>
      <c r="Z1539" t="s">
        <v>23494</v>
      </c>
      <c r="AA1539" t="s">
        <v>74</v>
      </c>
      <c r="AB1539" t="s">
        <v>23495</v>
      </c>
      <c r="AC1539" t="s">
        <v>74</v>
      </c>
      <c r="AD1539" t="s">
        <v>74</v>
      </c>
      <c r="AE1539" t="s">
        <v>74</v>
      </c>
      <c r="AF1539" t="s">
        <v>74</v>
      </c>
      <c r="AG1539">
        <v>46</v>
      </c>
      <c r="AH1539">
        <v>4</v>
      </c>
      <c r="AI1539">
        <v>4</v>
      </c>
      <c r="AJ1539">
        <v>2</v>
      </c>
      <c r="AK1539">
        <v>18</v>
      </c>
      <c r="AL1539" t="s">
        <v>74</v>
      </c>
      <c r="AM1539" t="s">
        <v>74</v>
      </c>
      <c r="AN1539" t="s">
        <v>74</v>
      </c>
      <c r="AO1539" t="s">
        <v>2544</v>
      </c>
      <c r="AP1539" t="s">
        <v>2545</v>
      </c>
      <c r="AQ1539" t="s">
        <v>74</v>
      </c>
      <c r="AR1539" t="s">
        <v>74</v>
      </c>
      <c r="AS1539" t="s">
        <v>74</v>
      </c>
      <c r="AT1539" t="s">
        <v>170</v>
      </c>
      <c r="AU1539">
        <v>2020</v>
      </c>
      <c r="AV1539">
        <v>94</v>
      </c>
      <c r="AW1539">
        <v>11</v>
      </c>
      <c r="AX1539" t="s">
        <v>74</v>
      </c>
      <c r="AY1539" t="s">
        <v>74</v>
      </c>
      <c r="AZ1539" t="s">
        <v>74</v>
      </c>
      <c r="BA1539" t="s">
        <v>74</v>
      </c>
      <c r="BB1539" t="s">
        <v>74</v>
      </c>
      <c r="BC1539" t="s">
        <v>74</v>
      </c>
      <c r="BD1539" t="s">
        <v>23496</v>
      </c>
      <c r="BE1539" t="s">
        <v>23497</v>
      </c>
      <c r="BF1539" t="str">
        <f>HYPERLINK("http://dx.doi.org/10.1128/JVI.01800-19","http://dx.doi.org/10.1128/JVI.01800-19")</f>
        <v>http://dx.doi.org/10.1128/JVI.01800-19</v>
      </c>
      <c r="BG1539" t="s">
        <v>74</v>
      </c>
      <c r="BH1539" t="s">
        <v>74</v>
      </c>
      <c r="BI1539" t="s">
        <v>74</v>
      </c>
      <c r="BJ1539" t="s">
        <v>932</v>
      </c>
      <c r="BK1539" t="s">
        <v>117</v>
      </c>
      <c r="BL1539" t="s">
        <v>932</v>
      </c>
      <c r="BM1539" t="s">
        <v>74</v>
      </c>
      <c r="BN1539">
        <v>32188736</v>
      </c>
      <c r="BO1539" t="s">
        <v>74</v>
      </c>
      <c r="BP1539" t="s">
        <v>74</v>
      </c>
      <c r="BQ1539" t="s">
        <v>74</v>
      </c>
      <c r="BR1539" t="s">
        <v>96</v>
      </c>
      <c r="BS1539" t="s">
        <v>23498</v>
      </c>
      <c r="BT1539" t="str">
        <f>HYPERLINK("https%3A%2F%2Fwww.webofscience.com%2Fwos%2Fwoscc%2Ffull-record%2FWOS:000534602800019","View Full Record in Web of Science")</f>
        <v>View Full Record in Web of Science</v>
      </c>
    </row>
    <row r="1540" spans="1:72" x14ac:dyDescent="0.15">
      <c r="A1540" t="s">
        <v>98</v>
      </c>
      <c r="B1540" t="s">
        <v>23702</v>
      </c>
      <c r="C1540" t="s">
        <v>74</v>
      </c>
      <c r="D1540" t="s">
        <v>74</v>
      </c>
      <c r="E1540" t="s">
        <v>74</v>
      </c>
      <c r="F1540" t="s">
        <v>23703</v>
      </c>
      <c r="G1540" t="s">
        <v>74</v>
      </c>
      <c r="H1540" t="s">
        <v>74</v>
      </c>
      <c r="I1540" t="s">
        <v>23704</v>
      </c>
      <c r="J1540" t="s">
        <v>23705</v>
      </c>
      <c r="K1540" t="s">
        <v>74</v>
      </c>
      <c r="L1540" t="s">
        <v>74</v>
      </c>
      <c r="M1540" t="s">
        <v>74</v>
      </c>
      <c r="N1540" t="s">
        <v>2996</v>
      </c>
      <c r="O1540" t="s">
        <v>74</v>
      </c>
      <c r="P1540" t="s">
        <v>74</v>
      </c>
      <c r="Q1540" t="s">
        <v>74</v>
      </c>
      <c r="R1540" t="s">
        <v>74</v>
      </c>
      <c r="S1540" t="s">
        <v>74</v>
      </c>
      <c r="T1540" t="s">
        <v>23706</v>
      </c>
      <c r="U1540" t="s">
        <v>23707</v>
      </c>
      <c r="V1540" t="s">
        <v>23708</v>
      </c>
      <c r="W1540" t="s">
        <v>23709</v>
      </c>
      <c r="X1540" t="s">
        <v>23710</v>
      </c>
      <c r="Y1540" t="s">
        <v>23711</v>
      </c>
      <c r="Z1540" t="s">
        <v>23712</v>
      </c>
      <c r="AA1540" t="s">
        <v>74</v>
      </c>
      <c r="AB1540" t="s">
        <v>74</v>
      </c>
      <c r="AC1540" t="s">
        <v>74</v>
      </c>
      <c r="AD1540" t="s">
        <v>74</v>
      </c>
      <c r="AE1540" t="s">
        <v>74</v>
      </c>
      <c r="AF1540" t="s">
        <v>74</v>
      </c>
      <c r="AG1540">
        <v>145</v>
      </c>
      <c r="AH1540">
        <v>4</v>
      </c>
      <c r="AI1540">
        <v>4</v>
      </c>
      <c r="AJ1540">
        <v>4</v>
      </c>
      <c r="AK1540">
        <v>4</v>
      </c>
      <c r="AL1540" t="s">
        <v>74</v>
      </c>
      <c r="AM1540" t="s">
        <v>74</v>
      </c>
      <c r="AN1540" t="s">
        <v>74</v>
      </c>
      <c r="AO1540" t="s">
        <v>23713</v>
      </c>
      <c r="AP1540" t="s">
        <v>23714</v>
      </c>
      <c r="AQ1540" t="s">
        <v>74</v>
      </c>
      <c r="AR1540" t="s">
        <v>74</v>
      </c>
      <c r="AS1540" t="s">
        <v>74</v>
      </c>
      <c r="AT1540" t="s">
        <v>74</v>
      </c>
      <c r="AU1540" t="s">
        <v>74</v>
      </c>
      <c r="AV1540" t="s">
        <v>74</v>
      </c>
      <c r="AW1540" t="s">
        <v>74</v>
      </c>
      <c r="AX1540" t="s">
        <v>74</v>
      </c>
      <c r="AY1540" t="s">
        <v>74</v>
      </c>
      <c r="AZ1540" t="s">
        <v>74</v>
      </c>
      <c r="BA1540" t="s">
        <v>74</v>
      </c>
      <c r="BB1540" t="s">
        <v>74</v>
      </c>
      <c r="BC1540" t="s">
        <v>74</v>
      </c>
      <c r="BD1540" t="s">
        <v>74</v>
      </c>
      <c r="BE1540" t="s">
        <v>23715</v>
      </c>
      <c r="BF1540" t="str">
        <f>HYPERLINK("http://dx.doi.org/10.1080/14737159.2022.2016395","http://dx.doi.org/10.1080/14737159.2022.2016395")</f>
        <v>http://dx.doi.org/10.1080/14737159.2022.2016395</v>
      </c>
      <c r="BG1540" t="s">
        <v>74</v>
      </c>
      <c r="BH1540" t="s">
        <v>5553</v>
      </c>
      <c r="BI1540" t="s">
        <v>74</v>
      </c>
      <c r="BJ1540" t="s">
        <v>20694</v>
      </c>
      <c r="BK1540" t="s">
        <v>117</v>
      </c>
      <c r="BL1540" t="s">
        <v>20694</v>
      </c>
      <c r="BM1540" t="s">
        <v>74</v>
      </c>
      <c r="BN1540">
        <v>34882522</v>
      </c>
      <c r="BO1540" t="s">
        <v>74</v>
      </c>
      <c r="BP1540" t="s">
        <v>74</v>
      </c>
      <c r="BQ1540" t="s">
        <v>74</v>
      </c>
      <c r="BR1540" t="s">
        <v>96</v>
      </c>
      <c r="BS1540" t="s">
        <v>23716</v>
      </c>
      <c r="BT1540" t="str">
        <f>HYPERLINK("https%3A%2F%2Fwww.webofscience.com%2Fwos%2Fwoscc%2Ffull-record%2FWOS:000740893200001","View Full Record in Web of Science")</f>
        <v>View Full Record in Web of Science</v>
      </c>
    </row>
    <row r="1541" spans="1:72" x14ac:dyDescent="0.15">
      <c r="A1541" t="s">
        <v>98</v>
      </c>
      <c r="B1541" t="s">
        <v>23770</v>
      </c>
      <c r="C1541" t="s">
        <v>74</v>
      </c>
      <c r="D1541" t="s">
        <v>74</v>
      </c>
      <c r="E1541" t="s">
        <v>74</v>
      </c>
      <c r="F1541" t="s">
        <v>23771</v>
      </c>
      <c r="G1541" t="s">
        <v>74</v>
      </c>
      <c r="H1541" t="s">
        <v>74</v>
      </c>
      <c r="I1541" t="s">
        <v>23772</v>
      </c>
      <c r="J1541" t="s">
        <v>2410</v>
      </c>
      <c r="K1541" t="s">
        <v>74</v>
      </c>
      <c r="L1541" t="s">
        <v>74</v>
      </c>
      <c r="M1541" t="s">
        <v>74</v>
      </c>
      <c r="N1541" t="s">
        <v>103</v>
      </c>
      <c r="O1541" t="s">
        <v>74</v>
      </c>
      <c r="P1541" t="s">
        <v>74</v>
      </c>
      <c r="Q1541" t="s">
        <v>74</v>
      </c>
      <c r="R1541" t="s">
        <v>74</v>
      </c>
      <c r="S1541" t="s">
        <v>74</v>
      </c>
      <c r="T1541" t="s">
        <v>23773</v>
      </c>
      <c r="U1541" t="s">
        <v>23774</v>
      </c>
      <c r="V1541" t="s">
        <v>23775</v>
      </c>
      <c r="W1541" t="s">
        <v>23776</v>
      </c>
      <c r="X1541" t="s">
        <v>14151</v>
      </c>
      <c r="Y1541" t="s">
        <v>23777</v>
      </c>
      <c r="Z1541" t="s">
        <v>23778</v>
      </c>
      <c r="AA1541" t="s">
        <v>23779</v>
      </c>
      <c r="AB1541" t="s">
        <v>23780</v>
      </c>
      <c r="AC1541" t="s">
        <v>74</v>
      </c>
      <c r="AD1541" t="s">
        <v>74</v>
      </c>
      <c r="AE1541" t="s">
        <v>74</v>
      </c>
      <c r="AF1541" t="s">
        <v>74</v>
      </c>
      <c r="AG1541">
        <v>167</v>
      </c>
      <c r="AH1541">
        <v>4</v>
      </c>
      <c r="AI1541">
        <v>4</v>
      </c>
      <c r="AJ1541">
        <v>6</v>
      </c>
      <c r="AK1541">
        <v>12</v>
      </c>
      <c r="AL1541" t="s">
        <v>74</v>
      </c>
      <c r="AM1541" t="s">
        <v>74</v>
      </c>
      <c r="AN1541" t="s">
        <v>74</v>
      </c>
      <c r="AO1541" t="s">
        <v>2418</v>
      </c>
      <c r="AP1541" t="s">
        <v>2419</v>
      </c>
      <c r="AQ1541" t="s">
        <v>74</v>
      </c>
      <c r="AR1541" t="s">
        <v>74</v>
      </c>
      <c r="AS1541" t="s">
        <v>74</v>
      </c>
      <c r="AT1541" t="s">
        <v>599</v>
      </c>
      <c r="AU1541">
        <v>2022</v>
      </c>
      <c r="AV1541">
        <v>524</v>
      </c>
      <c r="AW1541" t="s">
        <v>74</v>
      </c>
      <c r="AX1541" t="s">
        <v>74</v>
      </c>
      <c r="AY1541" t="s">
        <v>74</v>
      </c>
      <c r="AZ1541" t="s">
        <v>74</v>
      </c>
      <c r="BA1541" t="s">
        <v>74</v>
      </c>
      <c r="BB1541">
        <v>57</v>
      </c>
      <c r="BC1541">
        <v>69</v>
      </c>
      <c r="BD1541" t="s">
        <v>74</v>
      </c>
      <c r="BE1541" t="s">
        <v>23781</v>
      </c>
      <c r="BF1541" t="str">
        <f>HYPERLINK("http://dx.doi.org/10.1016/j.canlet.2021.10.011","http://dx.doi.org/10.1016/j.canlet.2021.10.011")</f>
        <v>http://dx.doi.org/10.1016/j.canlet.2021.10.011</v>
      </c>
      <c r="BG1541" t="s">
        <v>74</v>
      </c>
      <c r="BH1541" t="s">
        <v>1967</v>
      </c>
      <c r="BI1541" t="s">
        <v>74</v>
      </c>
      <c r="BJ1541" t="s">
        <v>267</v>
      </c>
      <c r="BK1541" t="s">
        <v>117</v>
      </c>
      <c r="BL1541" t="s">
        <v>267</v>
      </c>
      <c r="BM1541" t="s">
        <v>74</v>
      </c>
      <c r="BN1541">
        <v>34656688</v>
      </c>
      <c r="BO1541" t="s">
        <v>74</v>
      </c>
      <c r="BP1541" t="s">
        <v>74</v>
      </c>
      <c r="BQ1541" t="s">
        <v>74</v>
      </c>
      <c r="BR1541" t="s">
        <v>96</v>
      </c>
      <c r="BS1541" t="s">
        <v>23782</v>
      </c>
      <c r="BT1541" t="str">
        <f>HYPERLINK("https%3A%2F%2Fwww.webofscience.com%2Fwos%2Fwoscc%2Ffull-record%2FWOS:000708796000002","View Full Record in Web of Science")</f>
        <v>View Full Record in Web of Science</v>
      </c>
    </row>
    <row r="1542" spans="1:72" x14ac:dyDescent="0.15">
      <c r="A1542" t="s">
        <v>98</v>
      </c>
      <c r="B1542" t="s">
        <v>24957</v>
      </c>
      <c r="C1542" t="s">
        <v>74</v>
      </c>
      <c r="D1542" t="s">
        <v>74</v>
      </c>
      <c r="E1542" t="s">
        <v>74</v>
      </c>
      <c r="F1542" t="s">
        <v>24958</v>
      </c>
      <c r="G1542" t="s">
        <v>74</v>
      </c>
      <c r="H1542" t="s">
        <v>74</v>
      </c>
      <c r="I1542" t="s">
        <v>24959</v>
      </c>
      <c r="J1542" t="s">
        <v>16103</v>
      </c>
      <c r="K1542" t="s">
        <v>74</v>
      </c>
      <c r="L1542" t="s">
        <v>74</v>
      </c>
      <c r="M1542" t="s">
        <v>74</v>
      </c>
      <c r="N1542" t="s">
        <v>103</v>
      </c>
      <c r="O1542" t="s">
        <v>74</v>
      </c>
      <c r="P1542" t="s">
        <v>74</v>
      </c>
      <c r="Q1542" t="s">
        <v>74</v>
      </c>
      <c r="R1542" t="s">
        <v>74</v>
      </c>
      <c r="S1542" t="s">
        <v>74</v>
      </c>
      <c r="T1542" t="s">
        <v>74</v>
      </c>
      <c r="U1542" t="s">
        <v>24960</v>
      </c>
      <c r="V1542" t="s">
        <v>24961</v>
      </c>
      <c r="W1542" t="s">
        <v>24962</v>
      </c>
      <c r="X1542" t="s">
        <v>24963</v>
      </c>
      <c r="Y1542" t="s">
        <v>24964</v>
      </c>
      <c r="Z1542" t="s">
        <v>24965</v>
      </c>
      <c r="AA1542" t="s">
        <v>24966</v>
      </c>
      <c r="AB1542" t="s">
        <v>24967</v>
      </c>
      <c r="AC1542" t="s">
        <v>74</v>
      </c>
      <c r="AD1542" t="s">
        <v>74</v>
      </c>
      <c r="AE1542" t="s">
        <v>74</v>
      </c>
      <c r="AF1542" t="s">
        <v>74</v>
      </c>
      <c r="AG1542">
        <v>67</v>
      </c>
      <c r="AH1542">
        <v>4</v>
      </c>
      <c r="AI1542">
        <v>4</v>
      </c>
      <c r="AJ1542">
        <v>3</v>
      </c>
      <c r="AK1542">
        <v>21</v>
      </c>
      <c r="AL1542" t="s">
        <v>74</v>
      </c>
      <c r="AM1542" t="s">
        <v>74</v>
      </c>
      <c r="AN1542" t="s">
        <v>74</v>
      </c>
      <c r="AO1542" t="s">
        <v>16110</v>
      </c>
      <c r="AP1542" t="s">
        <v>74</v>
      </c>
      <c r="AQ1542" t="s">
        <v>74</v>
      </c>
      <c r="AR1542" t="s">
        <v>74</v>
      </c>
      <c r="AS1542" t="s">
        <v>74</v>
      </c>
      <c r="AT1542" t="s">
        <v>74</v>
      </c>
      <c r="AU1542">
        <v>2018</v>
      </c>
      <c r="AV1542">
        <v>8</v>
      </c>
      <c r="AW1542">
        <v>35</v>
      </c>
      <c r="AX1542" t="s">
        <v>74</v>
      </c>
      <c r="AY1542" t="s">
        <v>74</v>
      </c>
      <c r="AZ1542" t="s">
        <v>74</v>
      </c>
      <c r="BA1542" t="s">
        <v>74</v>
      </c>
      <c r="BB1542">
        <v>19651</v>
      </c>
      <c r="BC1542">
        <v>19658</v>
      </c>
      <c r="BD1542" t="s">
        <v>74</v>
      </c>
      <c r="BE1542" t="s">
        <v>24968</v>
      </c>
      <c r="BF1542" t="str">
        <f>HYPERLINK("http://dx.doi.org/10.1039/c8ra03496f","http://dx.doi.org/10.1039/c8ra03496f")</f>
        <v>http://dx.doi.org/10.1039/c8ra03496f</v>
      </c>
      <c r="BG1542" t="s">
        <v>74</v>
      </c>
      <c r="BH1542" t="s">
        <v>74</v>
      </c>
      <c r="BI1542" t="s">
        <v>74</v>
      </c>
      <c r="BJ1542" t="s">
        <v>1047</v>
      </c>
      <c r="BK1542" t="s">
        <v>117</v>
      </c>
      <c r="BL1542" t="s">
        <v>1048</v>
      </c>
      <c r="BM1542" t="s">
        <v>74</v>
      </c>
      <c r="BN1542">
        <v>35540964</v>
      </c>
      <c r="BO1542" t="s">
        <v>74</v>
      </c>
      <c r="BP1542" t="s">
        <v>74</v>
      </c>
      <c r="BQ1542" t="s">
        <v>74</v>
      </c>
      <c r="BR1542" t="s">
        <v>96</v>
      </c>
      <c r="BS1542" t="s">
        <v>24969</v>
      </c>
      <c r="BT1542" t="str">
        <f>HYPERLINK("https%3A%2F%2Fwww.webofscience.com%2Fwos%2Fwoscc%2Ffull-record%2FWOS:000434261100038","View Full Record in Web of Science")</f>
        <v>View Full Record in Web of Science</v>
      </c>
    </row>
    <row r="1543" spans="1:72" x14ac:dyDescent="0.15">
      <c r="A1543" t="s">
        <v>98</v>
      </c>
      <c r="B1543" t="s">
        <v>25643</v>
      </c>
      <c r="C1543" t="s">
        <v>74</v>
      </c>
      <c r="D1543" t="s">
        <v>74</v>
      </c>
      <c r="E1543" t="s">
        <v>74</v>
      </c>
      <c r="F1543" t="s">
        <v>25644</v>
      </c>
      <c r="G1543" t="s">
        <v>74</v>
      </c>
      <c r="H1543" t="s">
        <v>74</v>
      </c>
      <c r="I1543" t="s">
        <v>25645</v>
      </c>
      <c r="J1543" t="s">
        <v>1346</v>
      </c>
      <c r="K1543" t="s">
        <v>74</v>
      </c>
      <c r="L1543" t="s">
        <v>74</v>
      </c>
      <c r="M1543" t="s">
        <v>74</v>
      </c>
      <c r="N1543" t="s">
        <v>103</v>
      </c>
      <c r="O1543" t="s">
        <v>74</v>
      </c>
      <c r="P1543" t="s">
        <v>74</v>
      </c>
      <c r="Q1543" t="s">
        <v>74</v>
      </c>
      <c r="R1543" t="s">
        <v>74</v>
      </c>
      <c r="S1543" t="s">
        <v>74</v>
      </c>
      <c r="T1543" t="s">
        <v>25646</v>
      </c>
      <c r="U1543" t="s">
        <v>25647</v>
      </c>
      <c r="V1543" t="s">
        <v>25648</v>
      </c>
      <c r="W1543" t="s">
        <v>25649</v>
      </c>
      <c r="X1543" t="s">
        <v>25650</v>
      </c>
      <c r="Y1543" t="s">
        <v>25651</v>
      </c>
      <c r="Z1543" t="s">
        <v>25652</v>
      </c>
      <c r="AA1543" t="s">
        <v>25653</v>
      </c>
      <c r="AB1543" t="s">
        <v>25654</v>
      </c>
      <c r="AC1543" t="s">
        <v>74</v>
      </c>
      <c r="AD1543" t="s">
        <v>74</v>
      </c>
      <c r="AE1543" t="s">
        <v>74</v>
      </c>
      <c r="AF1543" t="s">
        <v>74</v>
      </c>
      <c r="AG1543">
        <v>62</v>
      </c>
      <c r="AH1543">
        <v>4</v>
      </c>
      <c r="AI1543">
        <v>4</v>
      </c>
      <c r="AJ1543">
        <v>1</v>
      </c>
      <c r="AK1543">
        <v>6</v>
      </c>
      <c r="AL1543" t="s">
        <v>74</v>
      </c>
      <c r="AM1543" t="s">
        <v>74</v>
      </c>
      <c r="AN1543" t="s">
        <v>74</v>
      </c>
      <c r="AO1543" t="s">
        <v>1355</v>
      </c>
      <c r="AP1543" t="s">
        <v>1356</v>
      </c>
      <c r="AQ1543" t="s">
        <v>74</v>
      </c>
      <c r="AR1543" t="s">
        <v>74</v>
      </c>
      <c r="AS1543" t="s">
        <v>74</v>
      </c>
      <c r="AT1543" t="s">
        <v>531</v>
      </c>
      <c r="AU1543">
        <v>2020</v>
      </c>
      <c r="AV1543">
        <v>235</v>
      </c>
      <c r="AW1543">
        <v>9</v>
      </c>
      <c r="AX1543" t="s">
        <v>74</v>
      </c>
      <c r="AY1543" t="s">
        <v>74</v>
      </c>
      <c r="AZ1543" t="s">
        <v>74</v>
      </c>
      <c r="BA1543" t="s">
        <v>74</v>
      </c>
      <c r="BB1543">
        <v>6167</v>
      </c>
      <c r="BC1543">
        <v>6182</v>
      </c>
      <c r="BD1543" t="s">
        <v>74</v>
      </c>
      <c r="BE1543" t="s">
        <v>25655</v>
      </c>
      <c r="BF1543" t="str">
        <f>HYPERLINK("http://dx.doi.org/10.1002/jcp.29545","http://dx.doi.org/10.1002/jcp.29545")</f>
        <v>http://dx.doi.org/10.1002/jcp.29545</v>
      </c>
      <c r="BG1543" t="s">
        <v>74</v>
      </c>
      <c r="BH1543" t="s">
        <v>4780</v>
      </c>
      <c r="BI1543" t="s">
        <v>74</v>
      </c>
      <c r="BJ1543" t="s">
        <v>1359</v>
      </c>
      <c r="BK1543" t="s">
        <v>117</v>
      </c>
      <c r="BL1543" t="s">
        <v>1359</v>
      </c>
      <c r="BM1543" t="s">
        <v>74</v>
      </c>
      <c r="BN1543">
        <v>31975386</v>
      </c>
      <c r="BO1543" t="s">
        <v>74</v>
      </c>
      <c r="BP1543" t="s">
        <v>74</v>
      </c>
      <c r="BQ1543" t="s">
        <v>74</v>
      </c>
      <c r="BR1543" t="s">
        <v>96</v>
      </c>
      <c r="BS1543" t="s">
        <v>25656</v>
      </c>
      <c r="BT1543" t="str">
        <f>HYPERLINK("https%3A%2F%2Fwww.webofscience.com%2Fwos%2Fwoscc%2Ffull-record%2FWOS:000508957600001","View Full Record in Web of Science")</f>
        <v>View Full Record in Web of Science</v>
      </c>
    </row>
    <row r="1544" spans="1:72" x14ac:dyDescent="0.15">
      <c r="A1544" t="s">
        <v>98</v>
      </c>
      <c r="B1544" t="s">
        <v>26172</v>
      </c>
      <c r="C1544" t="s">
        <v>74</v>
      </c>
      <c r="D1544" t="s">
        <v>74</v>
      </c>
      <c r="E1544" t="s">
        <v>74</v>
      </c>
      <c r="F1544" t="s">
        <v>26173</v>
      </c>
      <c r="G1544" t="s">
        <v>74</v>
      </c>
      <c r="H1544" t="s">
        <v>74</v>
      </c>
      <c r="I1544" t="s">
        <v>26174</v>
      </c>
      <c r="J1544" t="s">
        <v>236</v>
      </c>
      <c r="K1544" t="s">
        <v>74</v>
      </c>
      <c r="L1544" t="s">
        <v>74</v>
      </c>
      <c r="M1544" t="s">
        <v>74</v>
      </c>
      <c r="N1544" t="s">
        <v>103</v>
      </c>
      <c r="O1544" t="s">
        <v>74</v>
      </c>
      <c r="P1544" t="s">
        <v>74</v>
      </c>
      <c r="Q1544" t="s">
        <v>74</v>
      </c>
      <c r="R1544" t="s">
        <v>74</v>
      </c>
      <c r="S1544" t="s">
        <v>74</v>
      </c>
      <c r="T1544" t="s">
        <v>26175</v>
      </c>
      <c r="U1544" t="s">
        <v>26176</v>
      </c>
      <c r="V1544" t="s">
        <v>26177</v>
      </c>
      <c r="W1544" t="s">
        <v>26178</v>
      </c>
      <c r="X1544" t="s">
        <v>26179</v>
      </c>
      <c r="Y1544" t="s">
        <v>26180</v>
      </c>
      <c r="Z1544" t="s">
        <v>26181</v>
      </c>
      <c r="AA1544" t="s">
        <v>26182</v>
      </c>
      <c r="AB1544" t="s">
        <v>26183</v>
      </c>
      <c r="AC1544" t="s">
        <v>74</v>
      </c>
      <c r="AD1544" t="s">
        <v>74</v>
      </c>
      <c r="AE1544" t="s">
        <v>74</v>
      </c>
      <c r="AF1544" t="s">
        <v>74</v>
      </c>
      <c r="AG1544">
        <v>69</v>
      </c>
      <c r="AH1544">
        <v>4</v>
      </c>
      <c r="AI1544">
        <v>4</v>
      </c>
      <c r="AJ1544">
        <v>7</v>
      </c>
      <c r="AK1544">
        <v>43</v>
      </c>
      <c r="AL1544" t="s">
        <v>74</v>
      </c>
      <c r="AM1544" t="s">
        <v>74</v>
      </c>
      <c r="AN1544" t="s">
        <v>74</v>
      </c>
      <c r="AO1544" t="s">
        <v>246</v>
      </c>
      <c r="AP1544" t="s">
        <v>247</v>
      </c>
      <c r="AQ1544" t="s">
        <v>74</v>
      </c>
      <c r="AR1544" t="s">
        <v>74</v>
      </c>
      <c r="AS1544" t="s">
        <v>74</v>
      </c>
      <c r="AT1544" t="s">
        <v>170</v>
      </c>
      <c r="AU1544">
        <v>2021</v>
      </c>
      <c r="AV1544">
        <v>17</v>
      </c>
      <c r="AW1544">
        <v>23</v>
      </c>
      <c r="AX1544" t="s">
        <v>74</v>
      </c>
      <c r="AY1544" t="s">
        <v>74</v>
      </c>
      <c r="AZ1544" t="s">
        <v>74</v>
      </c>
      <c r="BA1544" t="s">
        <v>74</v>
      </c>
      <c r="BB1544" t="s">
        <v>74</v>
      </c>
      <c r="BC1544" t="s">
        <v>74</v>
      </c>
      <c r="BD1544">
        <v>2100797</v>
      </c>
      <c r="BE1544" t="s">
        <v>26184</v>
      </c>
      <c r="BF1544" t="str">
        <f>HYPERLINK("http://dx.doi.org/10.1002/smll.202100797","http://dx.doi.org/10.1002/smll.202100797")</f>
        <v>http://dx.doi.org/10.1002/smll.202100797</v>
      </c>
      <c r="BG1544" t="s">
        <v>74</v>
      </c>
      <c r="BH1544" t="s">
        <v>1273</v>
      </c>
      <c r="BI1544" t="s">
        <v>74</v>
      </c>
      <c r="BJ1544" t="s">
        <v>250</v>
      </c>
      <c r="BK1544" t="s">
        <v>117</v>
      </c>
      <c r="BL1544" t="s">
        <v>251</v>
      </c>
      <c r="BM1544" t="s">
        <v>74</v>
      </c>
      <c r="BN1544">
        <v>33978996</v>
      </c>
      <c r="BO1544" t="s">
        <v>74</v>
      </c>
      <c r="BP1544" t="s">
        <v>74</v>
      </c>
      <c r="BQ1544" t="s">
        <v>74</v>
      </c>
      <c r="BR1544" t="s">
        <v>96</v>
      </c>
      <c r="BS1544" t="s">
        <v>26185</v>
      </c>
      <c r="BT1544" t="str">
        <f>HYPERLINK("https%3A%2F%2Fwww.webofscience.com%2Fwos%2Fwoscc%2Ffull-record%2FWOS:000649400300001","View Full Record in Web of Science")</f>
        <v>View Full Record in Web of Science</v>
      </c>
    </row>
    <row r="1545" spans="1:72" x14ac:dyDescent="0.15">
      <c r="A1545" t="s">
        <v>98</v>
      </c>
      <c r="B1545" t="s">
        <v>26514</v>
      </c>
      <c r="C1545" t="s">
        <v>74</v>
      </c>
      <c r="D1545" t="s">
        <v>74</v>
      </c>
      <c r="E1545" t="s">
        <v>74</v>
      </c>
      <c r="F1545" t="s">
        <v>26515</v>
      </c>
      <c r="G1545" t="s">
        <v>74</v>
      </c>
      <c r="H1545" t="s">
        <v>74</v>
      </c>
      <c r="I1545" t="s">
        <v>26516</v>
      </c>
      <c r="J1545" t="s">
        <v>11245</v>
      </c>
      <c r="K1545" t="s">
        <v>74</v>
      </c>
      <c r="L1545" t="s">
        <v>74</v>
      </c>
      <c r="M1545" t="s">
        <v>74</v>
      </c>
      <c r="N1545" t="s">
        <v>103</v>
      </c>
      <c r="O1545" t="s">
        <v>74</v>
      </c>
      <c r="P1545" t="s">
        <v>74</v>
      </c>
      <c r="Q1545" t="s">
        <v>74</v>
      </c>
      <c r="R1545" t="s">
        <v>74</v>
      </c>
      <c r="S1545" t="s">
        <v>74</v>
      </c>
      <c r="T1545" t="s">
        <v>26517</v>
      </c>
      <c r="U1545" t="s">
        <v>26518</v>
      </c>
      <c r="V1545" t="s">
        <v>26519</v>
      </c>
      <c r="W1545" t="s">
        <v>26520</v>
      </c>
      <c r="X1545" t="s">
        <v>26521</v>
      </c>
      <c r="Y1545" t="s">
        <v>26522</v>
      </c>
      <c r="Z1545" t="s">
        <v>26523</v>
      </c>
      <c r="AA1545" t="s">
        <v>26524</v>
      </c>
      <c r="AB1545" t="s">
        <v>26525</v>
      </c>
      <c r="AC1545" t="s">
        <v>74</v>
      </c>
      <c r="AD1545" t="s">
        <v>74</v>
      </c>
      <c r="AE1545" t="s">
        <v>74</v>
      </c>
      <c r="AF1545" t="s">
        <v>74</v>
      </c>
      <c r="AG1545">
        <v>38</v>
      </c>
      <c r="AH1545">
        <v>4</v>
      </c>
      <c r="AI1545">
        <v>6</v>
      </c>
      <c r="AJ1545">
        <v>1</v>
      </c>
      <c r="AK1545">
        <v>3</v>
      </c>
      <c r="AL1545" t="s">
        <v>74</v>
      </c>
      <c r="AM1545" t="s">
        <v>74</v>
      </c>
      <c r="AN1545" t="s">
        <v>74</v>
      </c>
      <c r="AO1545" t="s">
        <v>11254</v>
      </c>
      <c r="AP1545" t="s">
        <v>11255</v>
      </c>
      <c r="AQ1545" t="s">
        <v>74</v>
      </c>
      <c r="AR1545" t="s">
        <v>74</v>
      </c>
      <c r="AS1545" t="s">
        <v>74</v>
      </c>
      <c r="AT1545" t="s">
        <v>283</v>
      </c>
      <c r="AU1545">
        <v>2019</v>
      </c>
      <c r="AV1545">
        <v>51</v>
      </c>
      <c r="AW1545">
        <v>2</v>
      </c>
      <c r="AX1545" t="s">
        <v>74</v>
      </c>
      <c r="AY1545" t="s">
        <v>74</v>
      </c>
      <c r="AZ1545" t="s">
        <v>74</v>
      </c>
      <c r="BA1545" t="s">
        <v>74</v>
      </c>
      <c r="BB1545">
        <v>180</v>
      </c>
      <c r="BC1545">
        <v>184</v>
      </c>
      <c r="BD1545" t="s">
        <v>74</v>
      </c>
      <c r="BE1545" t="s">
        <v>26526</v>
      </c>
      <c r="BF1545" t="str">
        <f>HYPERLINK("http://dx.doi.org/10.1097/SHK.0000000000001149","http://dx.doi.org/10.1097/SHK.0000000000001149")</f>
        <v>http://dx.doi.org/10.1097/SHK.0000000000001149</v>
      </c>
      <c r="BG1545" t="s">
        <v>74</v>
      </c>
      <c r="BH1545" t="s">
        <v>74</v>
      </c>
      <c r="BI1545" t="s">
        <v>74</v>
      </c>
      <c r="BJ1545" t="s">
        <v>11257</v>
      </c>
      <c r="BK1545" t="s">
        <v>117</v>
      </c>
      <c r="BL1545" t="s">
        <v>11258</v>
      </c>
      <c r="BM1545" t="s">
        <v>74</v>
      </c>
      <c r="BN1545">
        <v>29621120</v>
      </c>
      <c r="BO1545" t="s">
        <v>74</v>
      </c>
      <c r="BP1545" t="s">
        <v>74</v>
      </c>
      <c r="BQ1545" t="s">
        <v>74</v>
      </c>
      <c r="BR1545" t="s">
        <v>96</v>
      </c>
      <c r="BS1545" t="s">
        <v>26527</v>
      </c>
      <c r="BT1545" t="str">
        <f>HYPERLINK("https%3A%2F%2Fwww.webofscience.com%2Fwos%2Fwoscc%2Ffull-record%2FWOS:000462688400007","View Full Record in Web of Science")</f>
        <v>View Full Record in Web of Science</v>
      </c>
    </row>
    <row r="1546" spans="1:72" x14ac:dyDescent="0.15">
      <c r="A1546" t="s">
        <v>98</v>
      </c>
      <c r="B1546" t="s">
        <v>26758</v>
      </c>
      <c r="C1546" t="s">
        <v>74</v>
      </c>
      <c r="D1546" t="s">
        <v>74</v>
      </c>
      <c r="E1546" t="s">
        <v>74</v>
      </c>
      <c r="F1546" t="s">
        <v>26759</v>
      </c>
      <c r="G1546" t="s">
        <v>74</v>
      </c>
      <c r="H1546" t="s">
        <v>74</v>
      </c>
      <c r="I1546" t="s">
        <v>26760</v>
      </c>
      <c r="J1546" t="s">
        <v>140</v>
      </c>
      <c r="K1546" t="s">
        <v>74</v>
      </c>
      <c r="L1546" t="s">
        <v>74</v>
      </c>
      <c r="M1546" t="s">
        <v>74</v>
      </c>
      <c r="N1546" t="s">
        <v>103</v>
      </c>
      <c r="O1546" t="s">
        <v>74</v>
      </c>
      <c r="P1546" t="s">
        <v>74</v>
      </c>
      <c r="Q1546" t="s">
        <v>74</v>
      </c>
      <c r="R1546" t="s">
        <v>74</v>
      </c>
      <c r="S1546" t="s">
        <v>74</v>
      </c>
      <c r="T1546" t="s">
        <v>74</v>
      </c>
      <c r="U1546" t="s">
        <v>26761</v>
      </c>
      <c r="V1546" t="s">
        <v>26762</v>
      </c>
      <c r="W1546" t="s">
        <v>26763</v>
      </c>
      <c r="X1546" t="s">
        <v>26764</v>
      </c>
      <c r="Y1546" t="s">
        <v>26765</v>
      </c>
      <c r="Z1546" t="s">
        <v>26766</v>
      </c>
      <c r="AA1546" t="s">
        <v>74</v>
      </c>
      <c r="AB1546" t="s">
        <v>26767</v>
      </c>
      <c r="AC1546" t="s">
        <v>74</v>
      </c>
      <c r="AD1546" t="s">
        <v>74</v>
      </c>
      <c r="AE1546" t="s">
        <v>74</v>
      </c>
      <c r="AF1546" t="s">
        <v>74</v>
      </c>
      <c r="AG1546">
        <v>54</v>
      </c>
      <c r="AH1546">
        <v>4</v>
      </c>
      <c r="AI1546">
        <v>4</v>
      </c>
      <c r="AJ1546">
        <v>0</v>
      </c>
      <c r="AK1546">
        <v>7</v>
      </c>
      <c r="AL1546" t="s">
        <v>74</v>
      </c>
      <c r="AM1546" t="s">
        <v>74</v>
      </c>
      <c r="AN1546" t="s">
        <v>74</v>
      </c>
      <c r="AO1546" t="s">
        <v>149</v>
      </c>
      <c r="AP1546" t="s">
        <v>74</v>
      </c>
      <c r="AQ1546" t="s">
        <v>74</v>
      </c>
      <c r="AR1546" t="s">
        <v>74</v>
      </c>
      <c r="AS1546" t="s">
        <v>74</v>
      </c>
      <c r="AT1546" t="s">
        <v>26768</v>
      </c>
      <c r="AU1546">
        <v>2018</v>
      </c>
      <c r="AV1546">
        <v>8</v>
      </c>
      <c r="AW1546" t="s">
        <v>74</v>
      </c>
      <c r="AX1546" t="s">
        <v>74</v>
      </c>
      <c r="AY1546" t="s">
        <v>74</v>
      </c>
      <c r="AZ1546" t="s">
        <v>74</v>
      </c>
      <c r="BA1546" t="s">
        <v>74</v>
      </c>
      <c r="BB1546" t="s">
        <v>74</v>
      </c>
      <c r="BC1546" t="s">
        <v>74</v>
      </c>
      <c r="BD1546">
        <v>12271</v>
      </c>
      <c r="BE1546" t="s">
        <v>26769</v>
      </c>
      <c r="BF1546" t="str">
        <f>HYPERLINK("http://dx.doi.org/10.1038/s41598-018-29924-3","http://dx.doi.org/10.1038/s41598-018-29924-3")</f>
        <v>http://dx.doi.org/10.1038/s41598-018-29924-3</v>
      </c>
      <c r="BG1546" t="s">
        <v>74</v>
      </c>
      <c r="BH1546" t="s">
        <v>74</v>
      </c>
      <c r="BI1546" t="s">
        <v>74</v>
      </c>
      <c r="BJ1546" t="s">
        <v>152</v>
      </c>
      <c r="BK1546" t="s">
        <v>117</v>
      </c>
      <c r="BL1546" t="s">
        <v>153</v>
      </c>
      <c r="BM1546" t="s">
        <v>74</v>
      </c>
      <c r="BN1546">
        <v>30115978</v>
      </c>
      <c r="BO1546" t="s">
        <v>74</v>
      </c>
      <c r="BP1546" t="s">
        <v>74</v>
      </c>
      <c r="BQ1546" t="s">
        <v>74</v>
      </c>
      <c r="BR1546" t="s">
        <v>96</v>
      </c>
      <c r="BS1546" t="s">
        <v>26770</v>
      </c>
      <c r="BT1546" t="str">
        <f>HYPERLINK("https%3A%2F%2Fwww.webofscience.com%2Fwos%2Fwoscc%2Ffull-record%2FWOS:000441775900035","View Full Record in Web of Science")</f>
        <v>View Full Record in Web of Science</v>
      </c>
    </row>
    <row r="1547" spans="1:72" x14ac:dyDescent="0.15">
      <c r="A1547" t="s">
        <v>98</v>
      </c>
      <c r="B1547" t="s">
        <v>26771</v>
      </c>
      <c r="C1547" t="s">
        <v>74</v>
      </c>
      <c r="D1547" t="s">
        <v>74</v>
      </c>
      <c r="E1547" t="s">
        <v>74</v>
      </c>
      <c r="F1547" t="s">
        <v>26772</v>
      </c>
      <c r="G1547" t="s">
        <v>74</v>
      </c>
      <c r="H1547" t="s">
        <v>74</v>
      </c>
      <c r="I1547" t="s">
        <v>26773</v>
      </c>
      <c r="J1547" t="s">
        <v>3650</v>
      </c>
      <c r="K1547" t="s">
        <v>74</v>
      </c>
      <c r="L1547" t="s">
        <v>74</v>
      </c>
      <c r="M1547" t="s">
        <v>74</v>
      </c>
      <c r="N1547" t="s">
        <v>103</v>
      </c>
      <c r="O1547" t="s">
        <v>74</v>
      </c>
      <c r="P1547" t="s">
        <v>74</v>
      </c>
      <c r="Q1547" t="s">
        <v>74</v>
      </c>
      <c r="R1547" t="s">
        <v>74</v>
      </c>
      <c r="S1547" t="s">
        <v>74</v>
      </c>
      <c r="T1547" t="s">
        <v>26774</v>
      </c>
      <c r="U1547" t="s">
        <v>26775</v>
      </c>
      <c r="V1547" t="s">
        <v>26776</v>
      </c>
      <c r="W1547" t="s">
        <v>26777</v>
      </c>
      <c r="X1547" t="s">
        <v>26778</v>
      </c>
      <c r="Y1547" t="s">
        <v>26779</v>
      </c>
      <c r="Z1547" t="s">
        <v>26780</v>
      </c>
      <c r="AA1547" t="s">
        <v>74</v>
      </c>
      <c r="AB1547" t="s">
        <v>26781</v>
      </c>
      <c r="AC1547" t="s">
        <v>74</v>
      </c>
      <c r="AD1547" t="s">
        <v>74</v>
      </c>
      <c r="AE1547" t="s">
        <v>74</v>
      </c>
      <c r="AF1547" t="s">
        <v>74</v>
      </c>
      <c r="AG1547">
        <v>43</v>
      </c>
      <c r="AH1547">
        <v>4</v>
      </c>
      <c r="AI1547">
        <v>4</v>
      </c>
      <c r="AJ1547">
        <v>2</v>
      </c>
      <c r="AK1547">
        <v>14</v>
      </c>
      <c r="AL1547" t="s">
        <v>74</v>
      </c>
      <c r="AM1547" t="s">
        <v>74</v>
      </c>
      <c r="AN1547" t="s">
        <v>74</v>
      </c>
      <c r="AO1547" t="s">
        <v>74</v>
      </c>
      <c r="AP1547" t="s">
        <v>3659</v>
      </c>
      <c r="AQ1547" t="s">
        <v>74</v>
      </c>
      <c r="AR1547" t="s">
        <v>74</v>
      </c>
      <c r="AS1547" t="s">
        <v>74</v>
      </c>
      <c r="AT1547" t="s">
        <v>1408</v>
      </c>
      <c r="AU1547">
        <v>2021</v>
      </c>
      <c r="AV1547">
        <v>331</v>
      </c>
      <c r="AW1547" t="s">
        <v>74</v>
      </c>
      <c r="AX1547" t="s">
        <v>74</v>
      </c>
      <c r="AY1547" t="s">
        <v>74</v>
      </c>
      <c r="AZ1547" t="s">
        <v>74</v>
      </c>
      <c r="BA1547" t="s">
        <v>74</v>
      </c>
      <c r="BB1547" t="s">
        <v>74</v>
      </c>
      <c r="BC1547" t="s">
        <v>74</v>
      </c>
      <c r="BD1547">
        <v>129323</v>
      </c>
      <c r="BE1547" t="s">
        <v>26782</v>
      </c>
      <c r="BF1547" t="str">
        <f>HYPERLINK("http://dx.doi.org/10.1016/j.snb.2020.129323","http://dx.doi.org/10.1016/j.snb.2020.129323")</f>
        <v>http://dx.doi.org/10.1016/j.snb.2020.129323</v>
      </c>
      <c r="BG1547" t="s">
        <v>74</v>
      </c>
      <c r="BH1547" t="s">
        <v>3662</v>
      </c>
      <c r="BI1547" t="s">
        <v>74</v>
      </c>
      <c r="BJ1547" t="s">
        <v>3663</v>
      </c>
      <c r="BK1547" t="s">
        <v>117</v>
      </c>
      <c r="BL1547" t="s">
        <v>3664</v>
      </c>
      <c r="BM1547" t="s">
        <v>74</v>
      </c>
      <c r="BN1547" t="s">
        <v>74</v>
      </c>
      <c r="BO1547" t="s">
        <v>74</v>
      </c>
      <c r="BP1547" t="s">
        <v>74</v>
      </c>
      <c r="BQ1547" t="s">
        <v>74</v>
      </c>
      <c r="BR1547" t="s">
        <v>96</v>
      </c>
      <c r="BS1547" t="s">
        <v>26783</v>
      </c>
      <c r="BT1547" t="str">
        <f>HYPERLINK("https%3A%2F%2Fwww.webofscience.com%2Fwos%2Fwoscc%2Ffull-record%2FWOS:000618767400001","View Full Record in Web of Science")</f>
        <v>View Full Record in Web of Science</v>
      </c>
    </row>
    <row r="1548" spans="1:72" x14ac:dyDescent="0.15">
      <c r="A1548" t="s">
        <v>98</v>
      </c>
      <c r="B1548" t="s">
        <v>27472</v>
      </c>
      <c r="C1548" t="s">
        <v>74</v>
      </c>
      <c r="D1548" t="s">
        <v>74</v>
      </c>
      <c r="E1548" t="s">
        <v>74</v>
      </c>
      <c r="F1548" t="s">
        <v>27473</v>
      </c>
      <c r="G1548" t="s">
        <v>74</v>
      </c>
      <c r="H1548" t="s">
        <v>74</v>
      </c>
      <c r="I1548" t="s">
        <v>27474</v>
      </c>
      <c r="J1548" t="s">
        <v>12984</v>
      </c>
      <c r="K1548" t="s">
        <v>74</v>
      </c>
      <c r="L1548" t="s">
        <v>74</v>
      </c>
      <c r="M1548" t="s">
        <v>74</v>
      </c>
      <c r="N1548" t="s">
        <v>103</v>
      </c>
      <c r="O1548" t="s">
        <v>74</v>
      </c>
      <c r="P1548" t="s">
        <v>74</v>
      </c>
      <c r="Q1548" t="s">
        <v>74</v>
      </c>
      <c r="R1548" t="s">
        <v>74</v>
      </c>
      <c r="S1548" t="s">
        <v>74</v>
      </c>
      <c r="T1548" t="s">
        <v>74</v>
      </c>
      <c r="U1548" t="s">
        <v>27475</v>
      </c>
      <c r="V1548" t="s">
        <v>27476</v>
      </c>
      <c r="W1548" t="s">
        <v>27477</v>
      </c>
      <c r="X1548" t="s">
        <v>27478</v>
      </c>
      <c r="Y1548" t="s">
        <v>27479</v>
      </c>
      <c r="Z1548" t="s">
        <v>27480</v>
      </c>
      <c r="AA1548" t="s">
        <v>74</v>
      </c>
      <c r="AB1548" t="s">
        <v>27481</v>
      </c>
      <c r="AC1548" t="s">
        <v>74</v>
      </c>
      <c r="AD1548" t="s">
        <v>74</v>
      </c>
      <c r="AE1548" t="s">
        <v>74</v>
      </c>
      <c r="AF1548" t="s">
        <v>74</v>
      </c>
      <c r="AG1548">
        <v>71</v>
      </c>
      <c r="AH1548">
        <v>4</v>
      </c>
      <c r="AI1548">
        <v>5</v>
      </c>
      <c r="AJ1548">
        <v>0</v>
      </c>
      <c r="AK1548">
        <v>1</v>
      </c>
      <c r="AL1548" t="s">
        <v>74</v>
      </c>
      <c r="AM1548" t="s">
        <v>74</v>
      </c>
      <c r="AN1548" t="s">
        <v>74</v>
      </c>
      <c r="AO1548" t="s">
        <v>12992</v>
      </c>
      <c r="AP1548" t="s">
        <v>12993</v>
      </c>
      <c r="AQ1548" t="s">
        <v>74</v>
      </c>
      <c r="AR1548" t="s">
        <v>74</v>
      </c>
      <c r="AS1548" t="s">
        <v>74</v>
      </c>
      <c r="AT1548" t="s">
        <v>132</v>
      </c>
      <c r="AU1548">
        <v>2021</v>
      </c>
      <c r="AV1548">
        <v>17</v>
      </c>
      <c r="AW1548">
        <v>4</v>
      </c>
      <c r="AX1548" t="s">
        <v>74</v>
      </c>
      <c r="AY1548" t="s">
        <v>74</v>
      </c>
      <c r="AZ1548" t="s">
        <v>74</v>
      </c>
      <c r="BA1548" t="s">
        <v>74</v>
      </c>
      <c r="BB1548" t="s">
        <v>74</v>
      </c>
      <c r="BC1548" t="s">
        <v>74</v>
      </c>
      <c r="BD1548" t="s">
        <v>27482</v>
      </c>
      <c r="BE1548" t="s">
        <v>27483</v>
      </c>
      <c r="BF1548" t="str">
        <f>HYPERLINK("http://dx.doi.org/10.1371/journal.ppat.1009434","http://dx.doi.org/10.1371/journal.ppat.1009434")</f>
        <v>http://dx.doi.org/10.1371/journal.ppat.1009434</v>
      </c>
      <c r="BG1548" t="s">
        <v>74</v>
      </c>
      <c r="BH1548" t="s">
        <v>74</v>
      </c>
      <c r="BI1548" t="s">
        <v>74</v>
      </c>
      <c r="BJ1548" t="s">
        <v>12996</v>
      </c>
      <c r="BK1548" t="s">
        <v>117</v>
      </c>
      <c r="BL1548" t="s">
        <v>12996</v>
      </c>
      <c r="BM1548" t="s">
        <v>74</v>
      </c>
      <c r="BN1548">
        <v>33878123</v>
      </c>
      <c r="BO1548" t="s">
        <v>74</v>
      </c>
      <c r="BP1548" t="s">
        <v>74</v>
      </c>
      <c r="BQ1548" t="s">
        <v>74</v>
      </c>
      <c r="BR1548" t="s">
        <v>96</v>
      </c>
      <c r="BS1548" t="s">
        <v>27484</v>
      </c>
      <c r="BT1548" t="str">
        <f>HYPERLINK("https%3A%2F%2Fwww.webofscience.com%2Fwos%2Fwoscc%2Ffull-record%2FWOS:000642143200003","View Full Record in Web of Science")</f>
        <v>View Full Record in Web of Science</v>
      </c>
    </row>
    <row r="1549" spans="1:72" x14ac:dyDescent="0.15">
      <c r="A1549" t="s">
        <v>98</v>
      </c>
      <c r="B1549" t="s">
        <v>27530</v>
      </c>
      <c r="C1549" t="s">
        <v>74</v>
      </c>
      <c r="D1549" t="s">
        <v>74</v>
      </c>
      <c r="E1549" t="s">
        <v>74</v>
      </c>
      <c r="F1549" t="s">
        <v>27531</v>
      </c>
      <c r="G1549" t="s">
        <v>74</v>
      </c>
      <c r="H1549" t="s">
        <v>74</v>
      </c>
      <c r="I1549" t="s">
        <v>27532</v>
      </c>
      <c r="J1549" t="s">
        <v>27533</v>
      </c>
      <c r="K1549" t="s">
        <v>74</v>
      </c>
      <c r="L1549" t="s">
        <v>74</v>
      </c>
      <c r="M1549" t="s">
        <v>74</v>
      </c>
      <c r="N1549" t="s">
        <v>103</v>
      </c>
      <c r="O1549" t="s">
        <v>74</v>
      </c>
      <c r="P1549" t="s">
        <v>74</v>
      </c>
      <c r="Q1549" t="s">
        <v>74</v>
      </c>
      <c r="R1549" t="s">
        <v>74</v>
      </c>
      <c r="S1549" t="s">
        <v>74</v>
      </c>
      <c r="T1549" t="s">
        <v>27534</v>
      </c>
      <c r="U1549" t="s">
        <v>27535</v>
      </c>
      <c r="V1549" t="s">
        <v>27536</v>
      </c>
      <c r="W1549" t="s">
        <v>27537</v>
      </c>
      <c r="X1549" t="s">
        <v>27538</v>
      </c>
      <c r="Y1549" t="s">
        <v>27539</v>
      </c>
      <c r="Z1549" t="s">
        <v>27540</v>
      </c>
      <c r="AA1549" t="s">
        <v>74</v>
      </c>
      <c r="AB1549" t="s">
        <v>74</v>
      </c>
      <c r="AC1549" t="s">
        <v>74</v>
      </c>
      <c r="AD1549" t="s">
        <v>74</v>
      </c>
      <c r="AE1549" t="s">
        <v>74</v>
      </c>
      <c r="AF1549" t="s">
        <v>74</v>
      </c>
      <c r="AG1549">
        <v>39</v>
      </c>
      <c r="AH1549">
        <v>4</v>
      </c>
      <c r="AI1549">
        <v>4</v>
      </c>
      <c r="AJ1549">
        <v>1</v>
      </c>
      <c r="AK1549">
        <v>3</v>
      </c>
      <c r="AL1549" t="s">
        <v>74</v>
      </c>
      <c r="AM1549" t="s">
        <v>74</v>
      </c>
      <c r="AN1549" t="s">
        <v>74</v>
      </c>
      <c r="AO1549" t="s">
        <v>27541</v>
      </c>
      <c r="AP1549" t="s">
        <v>27542</v>
      </c>
      <c r="AQ1549" t="s">
        <v>74</v>
      </c>
      <c r="AR1549" t="s">
        <v>74</v>
      </c>
      <c r="AS1549" t="s">
        <v>74</v>
      </c>
      <c r="AT1549" t="s">
        <v>614</v>
      </c>
      <c r="AU1549">
        <v>2020</v>
      </c>
      <c r="AV1549">
        <v>56</v>
      </c>
      <c r="AW1549">
        <v>7</v>
      </c>
      <c r="AX1549" t="s">
        <v>74</v>
      </c>
      <c r="AY1549" t="s">
        <v>74</v>
      </c>
      <c r="AZ1549" t="s">
        <v>74</v>
      </c>
      <c r="BA1549" t="s">
        <v>74</v>
      </c>
      <c r="BB1549" t="s">
        <v>74</v>
      </c>
      <c r="BC1549" t="s">
        <v>74</v>
      </c>
      <c r="BD1549">
        <v>340</v>
      </c>
      <c r="BE1549" t="s">
        <v>27543</v>
      </c>
      <c r="BF1549" t="str">
        <f>HYPERLINK("http://dx.doi.org/10.3390/medicina56070340","http://dx.doi.org/10.3390/medicina56070340")</f>
        <v>http://dx.doi.org/10.3390/medicina56070340</v>
      </c>
      <c r="BG1549" t="s">
        <v>74</v>
      </c>
      <c r="BH1549" t="s">
        <v>74</v>
      </c>
      <c r="BI1549" t="s">
        <v>74</v>
      </c>
      <c r="BJ1549" t="s">
        <v>2564</v>
      </c>
      <c r="BK1549" t="s">
        <v>117</v>
      </c>
      <c r="BL1549" t="s">
        <v>2565</v>
      </c>
      <c r="BM1549" t="s">
        <v>74</v>
      </c>
      <c r="BN1549">
        <v>32659906</v>
      </c>
      <c r="BO1549" t="s">
        <v>74</v>
      </c>
      <c r="BP1549" t="s">
        <v>74</v>
      </c>
      <c r="BQ1549" t="s">
        <v>74</v>
      </c>
      <c r="BR1549" t="s">
        <v>96</v>
      </c>
      <c r="BS1549" t="s">
        <v>27544</v>
      </c>
      <c r="BT1549" t="str">
        <f>HYPERLINK("https%3A%2F%2Fwww.webofscience.com%2Fwos%2Fwoscc%2Ffull-record%2FWOS:000554128600001","View Full Record in Web of Science")</f>
        <v>View Full Record in Web of Science</v>
      </c>
    </row>
    <row r="1550" spans="1:72" x14ac:dyDescent="0.15">
      <c r="A1550" t="s">
        <v>98</v>
      </c>
      <c r="B1550" t="s">
        <v>27564</v>
      </c>
      <c r="C1550" t="s">
        <v>74</v>
      </c>
      <c r="D1550" t="s">
        <v>74</v>
      </c>
      <c r="E1550" t="s">
        <v>74</v>
      </c>
      <c r="F1550" t="s">
        <v>27565</v>
      </c>
      <c r="G1550" t="s">
        <v>74</v>
      </c>
      <c r="H1550" t="s">
        <v>74</v>
      </c>
      <c r="I1550" t="s">
        <v>27566</v>
      </c>
      <c r="J1550" t="s">
        <v>15253</v>
      </c>
      <c r="K1550" t="s">
        <v>74</v>
      </c>
      <c r="L1550" t="s">
        <v>74</v>
      </c>
      <c r="M1550" t="s">
        <v>74</v>
      </c>
      <c r="N1550" t="s">
        <v>103</v>
      </c>
      <c r="O1550" t="s">
        <v>74</v>
      </c>
      <c r="P1550" t="s">
        <v>74</v>
      </c>
      <c r="Q1550" t="s">
        <v>74</v>
      </c>
      <c r="R1550" t="s">
        <v>74</v>
      </c>
      <c r="S1550" t="s">
        <v>74</v>
      </c>
      <c r="T1550" t="s">
        <v>27567</v>
      </c>
      <c r="U1550" t="s">
        <v>27568</v>
      </c>
      <c r="V1550" t="s">
        <v>27569</v>
      </c>
      <c r="W1550" t="s">
        <v>27570</v>
      </c>
      <c r="X1550" t="s">
        <v>74</v>
      </c>
      <c r="Y1550" t="s">
        <v>27571</v>
      </c>
      <c r="Z1550" t="s">
        <v>27572</v>
      </c>
      <c r="AA1550" t="s">
        <v>74</v>
      </c>
      <c r="AB1550" t="s">
        <v>74</v>
      </c>
      <c r="AC1550" t="s">
        <v>74</v>
      </c>
      <c r="AD1550" t="s">
        <v>74</v>
      </c>
      <c r="AE1550" t="s">
        <v>74</v>
      </c>
      <c r="AF1550" t="s">
        <v>74</v>
      </c>
      <c r="AG1550">
        <v>41</v>
      </c>
      <c r="AH1550">
        <v>4</v>
      </c>
      <c r="AI1550">
        <v>4</v>
      </c>
      <c r="AJ1550">
        <v>4</v>
      </c>
      <c r="AK1550">
        <v>5</v>
      </c>
      <c r="AL1550" t="s">
        <v>74</v>
      </c>
      <c r="AM1550" t="s">
        <v>74</v>
      </c>
      <c r="AN1550" t="s">
        <v>74</v>
      </c>
      <c r="AO1550" t="s">
        <v>15261</v>
      </c>
      <c r="AP1550" t="s">
        <v>74</v>
      </c>
      <c r="AQ1550" t="s">
        <v>74</v>
      </c>
      <c r="AR1550" t="s">
        <v>74</v>
      </c>
      <c r="AS1550" t="s">
        <v>74</v>
      </c>
      <c r="AT1550" t="s">
        <v>74</v>
      </c>
      <c r="AU1550">
        <v>2020</v>
      </c>
      <c r="AV1550">
        <v>12</v>
      </c>
      <c r="AW1550" t="s">
        <v>74</v>
      </c>
      <c r="AX1550" t="s">
        <v>74</v>
      </c>
      <c r="AY1550" t="s">
        <v>74</v>
      </c>
      <c r="AZ1550" t="s">
        <v>74</v>
      </c>
      <c r="BA1550" t="s">
        <v>74</v>
      </c>
      <c r="BB1550">
        <v>7961</v>
      </c>
      <c r="BC1550">
        <v>7972</v>
      </c>
      <c r="BD1550" t="s">
        <v>74</v>
      </c>
      <c r="BE1550" t="s">
        <v>27573</v>
      </c>
      <c r="BF1550" t="str">
        <f>HYPERLINK("http://dx.doi.org/10.2147/CMAR.S254310","http://dx.doi.org/10.2147/CMAR.S254310")</f>
        <v>http://dx.doi.org/10.2147/CMAR.S254310</v>
      </c>
      <c r="BG1550" t="s">
        <v>74</v>
      </c>
      <c r="BH1550" t="s">
        <v>74</v>
      </c>
      <c r="BI1550" t="s">
        <v>74</v>
      </c>
      <c r="BJ1550" t="s">
        <v>267</v>
      </c>
      <c r="BK1550" t="s">
        <v>117</v>
      </c>
      <c r="BL1550" t="s">
        <v>267</v>
      </c>
      <c r="BM1550" t="s">
        <v>74</v>
      </c>
      <c r="BN1550">
        <v>32943930</v>
      </c>
      <c r="BO1550" t="s">
        <v>74</v>
      </c>
      <c r="BP1550" t="s">
        <v>74</v>
      </c>
      <c r="BQ1550" t="s">
        <v>74</v>
      </c>
      <c r="BR1550" t="s">
        <v>96</v>
      </c>
      <c r="BS1550" t="s">
        <v>27574</v>
      </c>
      <c r="BT1550" t="str">
        <f>HYPERLINK("https%3A%2F%2Fwww.webofscience.com%2Fwos%2Fwoscc%2Ffull-record%2FWOS:000577377100001","View Full Record in Web of Science")</f>
        <v>View Full Record in Web of Science</v>
      </c>
    </row>
    <row r="1551" spans="1:72" x14ac:dyDescent="0.15">
      <c r="A1551" t="s">
        <v>98</v>
      </c>
      <c r="B1551" t="s">
        <v>27839</v>
      </c>
      <c r="C1551" t="s">
        <v>74</v>
      </c>
      <c r="D1551" t="s">
        <v>74</v>
      </c>
      <c r="E1551" t="s">
        <v>74</v>
      </c>
      <c r="F1551" t="s">
        <v>27839</v>
      </c>
      <c r="G1551" t="s">
        <v>74</v>
      </c>
      <c r="H1551" t="s">
        <v>74</v>
      </c>
      <c r="I1551" t="s">
        <v>27840</v>
      </c>
      <c r="J1551" t="s">
        <v>27841</v>
      </c>
      <c r="K1551" t="s">
        <v>74</v>
      </c>
      <c r="L1551" t="s">
        <v>74</v>
      </c>
      <c r="M1551" t="s">
        <v>74</v>
      </c>
      <c r="N1551" t="s">
        <v>103</v>
      </c>
      <c r="O1551" t="s">
        <v>74</v>
      </c>
      <c r="P1551" t="s">
        <v>74</v>
      </c>
      <c r="Q1551" t="s">
        <v>74</v>
      </c>
      <c r="R1551" t="s">
        <v>74</v>
      </c>
      <c r="S1551" t="s">
        <v>74</v>
      </c>
      <c r="T1551" t="s">
        <v>27842</v>
      </c>
      <c r="U1551" t="s">
        <v>27843</v>
      </c>
      <c r="V1551" t="s">
        <v>27844</v>
      </c>
      <c r="W1551" t="s">
        <v>74</v>
      </c>
      <c r="X1551" t="s">
        <v>74</v>
      </c>
      <c r="Y1551" t="s">
        <v>27845</v>
      </c>
      <c r="Z1551" t="s">
        <v>74</v>
      </c>
      <c r="AA1551" t="s">
        <v>74</v>
      </c>
      <c r="AB1551" t="s">
        <v>27846</v>
      </c>
      <c r="AC1551" t="s">
        <v>74</v>
      </c>
      <c r="AD1551" t="s">
        <v>74</v>
      </c>
      <c r="AE1551" t="s">
        <v>74</v>
      </c>
      <c r="AF1551" t="s">
        <v>74</v>
      </c>
      <c r="AG1551">
        <v>17</v>
      </c>
      <c r="AH1551">
        <v>4</v>
      </c>
      <c r="AI1551">
        <v>4</v>
      </c>
      <c r="AJ1551">
        <v>0</v>
      </c>
      <c r="AK1551">
        <v>2</v>
      </c>
      <c r="AL1551" t="s">
        <v>74</v>
      </c>
      <c r="AM1551" t="s">
        <v>74</v>
      </c>
      <c r="AN1551" t="s">
        <v>74</v>
      </c>
      <c r="AO1551" t="s">
        <v>27847</v>
      </c>
      <c r="AP1551" t="s">
        <v>74</v>
      </c>
      <c r="AQ1551" t="s">
        <v>74</v>
      </c>
      <c r="AR1551" t="s">
        <v>74</v>
      </c>
      <c r="AS1551" t="s">
        <v>74</v>
      </c>
      <c r="AT1551" t="s">
        <v>20814</v>
      </c>
      <c r="AU1551">
        <v>1995</v>
      </c>
      <c r="AV1551">
        <v>186</v>
      </c>
      <c r="AW1551">
        <v>1</v>
      </c>
      <c r="AX1551" t="s">
        <v>74</v>
      </c>
      <c r="AY1551" t="s">
        <v>74</v>
      </c>
      <c r="AZ1551" t="s">
        <v>74</v>
      </c>
      <c r="BA1551" t="s">
        <v>74</v>
      </c>
      <c r="BB1551">
        <v>65</v>
      </c>
      <c r="BC1551">
        <v>70</v>
      </c>
      <c r="BD1551" t="s">
        <v>74</v>
      </c>
      <c r="BE1551" t="s">
        <v>27848</v>
      </c>
      <c r="BF1551" t="str">
        <f>HYPERLINK("http://dx.doi.org/10.1016/0022-1759(95)00134-V","http://dx.doi.org/10.1016/0022-1759(95)00134-V")</f>
        <v>http://dx.doi.org/10.1016/0022-1759(95)00134-V</v>
      </c>
      <c r="BG1551" t="s">
        <v>74</v>
      </c>
      <c r="BH1551" t="s">
        <v>74</v>
      </c>
      <c r="BI1551" t="s">
        <v>74</v>
      </c>
      <c r="BJ1551" t="s">
        <v>27849</v>
      </c>
      <c r="BK1551" t="s">
        <v>117</v>
      </c>
      <c r="BL1551" t="s">
        <v>3346</v>
      </c>
      <c r="BM1551" t="s">
        <v>74</v>
      </c>
      <c r="BN1551">
        <v>7561149</v>
      </c>
      <c r="BO1551" t="s">
        <v>74</v>
      </c>
      <c r="BP1551" t="s">
        <v>74</v>
      </c>
      <c r="BQ1551" t="s">
        <v>74</v>
      </c>
      <c r="BR1551" t="s">
        <v>96</v>
      </c>
      <c r="BS1551" t="s">
        <v>27850</v>
      </c>
      <c r="BT1551" t="str">
        <f>HYPERLINK("https%3A%2F%2Fwww.webofscience.com%2Fwos%2Fwoscc%2Ffull-record%2FWOS:A1995TA53200007","View Full Record in Web of Science")</f>
        <v>View Full Record in Web of Science</v>
      </c>
    </row>
    <row r="1552" spans="1:72" x14ac:dyDescent="0.15">
      <c r="A1552" t="s">
        <v>98</v>
      </c>
      <c r="B1552" t="s">
        <v>27990</v>
      </c>
      <c r="C1552" t="s">
        <v>74</v>
      </c>
      <c r="D1552" t="s">
        <v>74</v>
      </c>
      <c r="E1552" t="s">
        <v>74</v>
      </c>
      <c r="F1552" t="s">
        <v>27991</v>
      </c>
      <c r="G1552" t="s">
        <v>74</v>
      </c>
      <c r="H1552" t="s">
        <v>74</v>
      </c>
      <c r="I1552" t="s">
        <v>27992</v>
      </c>
      <c r="J1552" t="s">
        <v>27993</v>
      </c>
      <c r="K1552" t="s">
        <v>74</v>
      </c>
      <c r="L1552" t="s">
        <v>74</v>
      </c>
      <c r="M1552" t="s">
        <v>74</v>
      </c>
      <c r="N1552" t="s">
        <v>103</v>
      </c>
      <c r="O1552" t="s">
        <v>74</v>
      </c>
      <c r="P1552" t="s">
        <v>74</v>
      </c>
      <c r="Q1552" t="s">
        <v>74</v>
      </c>
      <c r="R1552" t="s">
        <v>74</v>
      </c>
      <c r="S1552" t="s">
        <v>74</v>
      </c>
      <c r="T1552" t="s">
        <v>27994</v>
      </c>
      <c r="U1552" t="s">
        <v>27995</v>
      </c>
      <c r="V1552" t="s">
        <v>27996</v>
      </c>
      <c r="W1552" t="s">
        <v>27997</v>
      </c>
      <c r="X1552" t="s">
        <v>27998</v>
      </c>
      <c r="Y1552" t="s">
        <v>27999</v>
      </c>
      <c r="Z1552" t="s">
        <v>28000</v>
      </c>
      <c r="AA1552" t="s">
        <v>28001</v>
      </c>
      <c r="AB1552" t="s">
        <v>28002</v>
      </c>
      <c r="AC1552" t="s">
        <v>74</v>
      </c>
      <c r="AD1552" t="s">
        <v>74</v>
      </c>
      <c r="AE1552" t="s">
        <v>74</v>
      </c>
      <c r="AF1552" t="s">
        <v>74</v>
      </c>
      <c r="AG1552">
        <v>21</v>
      </c>
      <c r="AH1552">
        <v>4</v>
      </c>
      <c r="AI1552">
        <v>4</v>
      </c>
      <c r="AJ1552">
        <v>0</v>
      </c>
      <c r="AK1552">
        <v>1</v>
      </c>
      <c r="AL1552" t="s">
        <v>74</v>
      </c>
      <c r="AM1552" t="s">
        <v>74</v>
      </c>
      <c r="AN1552" t="s">
        <v>74</v>
      </c>
      <c r="AO1552" t="s">
        <v>28003</v>
      </c>
      <c r="AP1552" t="s">
        <v>28004</v>
      </c>
      <c r="AQ1552" t="s">
        <v>74</v>
      </c>
      <c r="AR1552" t="s">
        <v>74</v>
      </c>
      <c r="AS1552" t="s">
        <v>74</v>
      </c>
      <c r="AT1552" t="s">
        <v>283</v>
      </c>
      <c r="AU1552">
        <v>2018</v>
      </c>
      <c r="AV1552">
        <v>80</v>
      </c>
      <c r="AW1552">
        <v>2</v>
      </c>
      <c r="AX1552" t="s">
        <v>74</v>
      </c>
      <c r="AY1552" t="s">
        <v>74</v>
      </c>
      <c r="AZ1552" t="s">
        <v>74</v>
      </c>
      <c r="BA1552" t="s">
        <v>74</v>
      </c>
      <c r="BB1552">
        <v>190</v>
      </c>
      <c r="BC1552">
        <v>196</v>
      </c>
      <c r="BD1552" t="s">
        <v>74</v>
      </c>
      <c r="BE1552" t="s">
        <v>28005</v>
      </c>
      <c r="BF1552" t="str">
        <f>HYPERLINK("http://dx.doi.org/10.1292/jvms.17-0466","http://dx.doi.org/10.1292/jvms.17-0466")</f>
        <v>http://dx.doi.org/10.1292/jvms.17-0466</v>
      </c>
      <c r="BG1552" t="s">
        <v>74</v>
      </c>
      <c r="BH1552" t="s">
        <v>74</v>
      </c>
      <c r="BI1552" t="s">
        <v>74</v>
      </c>
      <c r="BJ1552" t="s">
        <v>1341</v>
      </c>
      <c r="BK1552" t="s">
        <v>117</v>
      </c>
      <c r="BL1552" t="s">
        <v>1341</v>
      </c>
      <c r="BM1552" t="s">
        <v>74</v>
      </c>
      <c r="BN1552">
        <v>29311492</v>
      </c>
      <c r="BO1552" t="s">
        <v>74</v>
      </c>
      <c r="BP1552" t="s">
        <v>74</v>
      </c>
      <c r="BQ1552" t="s">
        <v>74</v>
      </c>
      <c r="BR1552" t="s">
        <v>96</v>
      </c>
      <c r="BS1552" t="s">
        <v>28006</v>
      </c>
      <c r="BT1552" t="str">
        <f>HYPERLINK("https%3A%2F%2Fwww.webofscience.com%2Fwos%2Fwoscc%2Ffull-record%2FWOS:000426479100001","View Full Record in Web of Science")</f>
        <v>View Full Record in Web of Science</v>
      </c>
    </row>
    <row r="1553" spans="1:72" x14ac:dyDescent="0.15">
      <c r="A1553" t="s">
        <v>98</v>
      </c>
      <c r="B1553" t="s">
        <v>28324</v>
      </c>
      <c r="C1553" t="s">
        <v>74</v>
      </c>
      <c r="D1553" t="s">
        <v>74</v>
      </c>
      <c r="E1553" t="s">
        <v>74</v>
      </c>
      <c r="F1553" t="s">
        <v>28325</v>
      </c>
      <c r="G1553" t="s">
        <v>74</v>
      </c>
      <c r="H1553" t="s">
        <v>74</v>
      </c>
      <c r="I1553" t="s">
        <v>28326</v>
      </c>
      <c r="J1553" t="s">
        <v>28327</v>
      </c>
      <c r="K1553" t="s">
        <v>74</v>
      </c>
      <c r="L1553" t="s">
        <v>74</v>
      </c>
      <c r="M1553" t="s">
        <v>74</v>
      </c>
      <c r="N1553" t="s">
        <v>103</v>
      </c>
      <c r="O1553" t="s">
        <v>74</v>
      </c>
      <c r="P1553" t="s">
        <v>74</v>
      </c>
      <c r="Q1553" t="s">
        <v>74</v>
      </c>
      <c r="R1553" t="s">
        <v>74</v>
      </c>
      <c r="S1553" t="s">
        <v>74</v>
      </c>
      <c r="T1553" t="s">
        <v>74</v>
      </c>
      <c r="U1553" t="s">
        <v>28328</v>
      </c>
      <c r="V1553" t="s">
        <v>28329</v>
      </c>
      <c r="W1553" t="s">
        <v>28330</v>
      </c>
      <c r="X1553" t="s">
        <v>28331</v>
      </c>
      <c r="Y1553" t="s">
        <v>28332</v>
      </c>
      <c r="Z1553" t="s">
        <v>28333</v>
      </c>
      <c r="AA1553" t="s">
        <v>12467</v>
      </c>
      <c r="AB1553" t="s">
        <v>28334</v>
      </c>
      <c r="AC1553" t="s">
        <v>74</v>
      </c>
      <c r="AD1553" t="s">
        <v>74</v>
      </c>
      <c r="AE1553" t="s">
        <v>74</v>
      </c>
      <c r="AF1553" t="s">
        <v>74</v>
      </c>
      <c r="AG1553">
        <v>29</v>
      </c>
      <c r="AH1553">
        <v>4</v>
      </c>
      <c r="AI1553">
        <v>4</v>
      </c>
      <c r="AJ1553">
        <v>1</v>
      </c>
      <c r="AK1553">
        <v>12</v>
      </c>
      <c r="AL1553" t="s">
        <v>74</v>
      </c>
      <c r="AM1553" t="s">
        <v>74</v>
      </c>
      <c r="AN1553" t="s">
        <v>74</v>
      </c>
      <c r="AO1553" t="s">
        <v>28335</v>
      </c>
      <c r="AP1553" t="s">
        <v>74</v>
      </c>
      <c r="AQ1553" t="s">
        <v>74</v>
      </c>
      <c r="AR1553" t="s">
        <v>74</v>
      </c>
      <c r="AS1553" t="s">
        <v>74</v>
      </c>
      <c r="AT1553" t="s">
        <v>20012</v>
      </c>
      <c r="AU1553">
        <v>2020</v>
      </c>
      <c r="AV1553">
        <v>59</v>
      </c>
      <c r="AW1553">
        <v>22</v>
      </c>
      <c r="AX1553" t="s">
        <v>74</v>
      </c>
      <c r="AY1553" t="s">
        <v>74</v>
      </c>
      <c r="AZ1553" t="s">
        <v>74</v>
      </c>
      <c r="BA1553" t="s">
        <v>74</v>
      </c>
      <c r="BB1553">
        <v>10464</v>
      </c>
      <c r="BC1553">
        <v>10468</v>
      </c>
      <c r="BD1553" t="s">
        <v>74</v>
      </c>
      <c r="BE1553" t="s">
        <v>28336</v>
      </c>
      <c r="BF1553" t="str">
        <f>HYPERLINK("http://dx.doi.org/10.1021/acs.iecr.0c00620","http://dx.doi.org/10.1021/acs.iecr.0c00620")</f>
        <v>http://dx.doi.org/10.1021/acs.iecr.0c00620</v>
      </c>
      <c r="BG1553" t="s">
        <v>74</v>
      </c>
      <c r="BH1553" t="s">
        <v>74</v>
      </c>
      <c r="BI1553" t="s">
        <v>74</v>
      </c>
      <c r="BJ1553" t="s">
        <v>26170</v>
      </c>
      <c r="BK1553" t="s">
        <v>117</v>
      </c>
      <c r="BL1553" t="s">
        <v>7748</v>
      </c>
      <c r="BM1553" t="s">
        <v>74</v>
      </c>
      <c r="BN1553" t="s">
        <v>74</v>
      </c>
      <c r="BO1553" t="s">
        <v>74</v>
      </c>
      <c r="BP1553" t="s">
        <v>74</v>
      </c>
      <c r="BQ1553" t="s">
        <v>74</v>
      </c>
      <c r="BR1553" t="s">
        <v>96</v>
      </c>
      <c r="BS1553" t="s">
        <v>28337</v>
      </c>
      <c r="BT1553" t="str">
        <f>HYPERLINK("https%3A%2F%2Fwww.webofscience.com%2Fwos%2Fwoscc%2Ffull-record%2FWOS:000538521200020","View Full Record in Web of Science")</f>
        <v>View Full Record in Web of Science</v>
      </c>
    </row>
    <row r="1554" spans="1:72" x14ac:dyDescent="0.15">
      <c r="A1554" t="s">
        <v>98</v>
      </c>
      <c r="B1554" t="s">
        <v>28446</v>
      </c>
      <c r="C1554" t="s">
        <v>74</v>
      </c>
      <c r="D1554" t="s">
        <v>74</v>
      </c>
      <c r="E1554" t="s">
        <v>74</v>
      </c>
      <c r="F1554" t="s">
        <v>28447</v>
      </c>
      <c r="G1554" t="s">
        <v>74</v>
      </c>
      <c r="H1554" t="s">
        <v>74</v>
      </c>
      <c r="I1554" t="s">
        <v>28448</v>
      </c>
      <c r="J1554" t="s">
        <v>23434</v>
      </c>
      <c r="K1554" t="s">
        <v>74</v>
      </c>
      <c r="L1554" t="s">
        <v>74</v>
      </c>
      <c r="M1554" t="s">
        <v>74</v>
      </c>
      <c r="N1554" t="s">
        <v>103</v>
      </c>
      <c r="O1554" t="s">
        <v>74</v>
      </c>
      <c r="P1554" t="s">
        <v>74</v>
      </c>
      <c r="Q1554" t="s">
        <v>74</v>
      </c>
      <c r="R1554" t="s">
        <v>74</v>
      </c>
      <c r="S1554" t="s">
        <v>74</v>
      </c>
      <c r="T1554" t="s">
        <v>74</v>
      </c>
      <c r="U1554" t="s">
        <v>28449</v>
      </c>
      <c r="V1554" t="s">
        <v>28450</v>
      </c>
      <c r="W1554" t="s">
        <v>28451</v>
      </c>
      <c r="X1554" t="s">
        <v>28452</v>
      </c>
      <c r="Y1554" t="s">
        <v>28453</v>
      </c>
      <c r="Z1554" t="s">
        <v>28454</v>
      </c>
      <c r="AA1554" t="s">
        <v>28455</v>
      </c>
      <c r="AB1554" t="s">
        <v>28456</v>
      </c>
      <c r="AC1554" t="s">
        <v>74</v>
      </c>
      <c r="AD1554" t="s">
        <v>74</v>
      </c>
      <c r="AE1554" t="s">
        <v>74</v>
      </c>
      <c r="AF1554" t="s">
        <v>74</v>
      </c>
      <c r="AG1554">
        <v>56</v>
      </c>
      <c r="AH1554">
        <v>4</v>
      </c>
      <c r="AI1554">
        <v>4</v>
      </c>
      <c r="AJ1554">
        <v>3</v>
      </c>
      <c r="AK1554">
        <v>9</v>
      </c>
      <c r="AL1554" t="s">
        <v>74</v>
      </c>
      <c r="AM1554" t="s">
        <v>74</v>
      </c>
      <c r="AN1554" t="s">
        <v>74</v>
      </c>
      <c r="AO1554" t="s">
        <v>23443</v>
      </c>
      <c r="AP1554" t="s">
        <v>74</v>
      </c>
      <c r="AQ1554" t="s">
        <v>74</v>
      </c>
      <c r="AR1554" t="s">
        <v>74</v>
      </c>
      <c r="AS1554" t="s">
        <v>74</v>
      </c>
      <c r="AT1554" t="s">
        <v>6391</v>
      </c>
      <c r="AU1554">
        <v>2019</v>
      </c>
      <c r="AV1554">
        <v>1</v>
      </c>
      <c r="AW1554">
        <v>6</v>
      </c>
      <c r="AX1554" t="s">
        <v>74</v>
      </c>
      <c r="AY1554" t="s">
        <v>74</v>
      </c>
      <c r="AZ1554" t="s">
        <v>74</v>
      </c>
      <c r="BA1554" t="s">
        <v>74</v>
      </c>
      <c r="BB1554">
        <v>2216</v>
      </c>
      <c r="BC1554">
        <v>2228</v>
      </c>
      <c r="BD1554" t="s">
        <v>74</v>
      </c>
      <c r="BE1554" t="s">
        <v>28457</v>
      </c>
      <c r="BF1554" t="str">
        <f>HYPERLINK("http://dx.doi.org/10.1039/c9na00078j","http://dx.doi.org/10.1039/c9na00078j")</f>
        <v>http://dx.doi.org/10.1039/c9na00078j</v>
      </c>
      <c r="BG1554" t="s">
        <v>74</v>
      </c>
      <c r="BH1554" t="s">
        <v>74</v>
      </c>
      <c r="BI1554" t="s">
        <v>74</v>
      </c>
      <c r="BJ1554" t="s">
        <v>1274</v>
      </c>
      <c r="BK1554" t="s">
        <v>117</v>
      </c>
      <c r="BL1554" t="s">
        <v>1275</v>
      </c>
      <c r="BM1554" t="s">
        <v>74</v>
      </c>
      <c r="BN1554" t="s">
        <v>74</v>
      </c>
      <c r="BO1554" t="s">
        <v>74</v>
      </c>
      <c r="BP1554" t="s">
        <v>74</v>
      </c>
      <c r="BQ1554" t="s">
        <v>74</v>
      </c>
      <c r="BR1554" t="s">
        <v>96</v>
      </c>
      <c r="BS1554" t="s">
        <v>28458</v>
      </c>
      <c r="BT1554" t="str">
        <f>HYPERLINK("https%3A%2F%2Fwww.webofscience.com%2Fwos%2Fwoscc%2Ffull-record%2FWOS:000472766100011","View Full Record in Web of Science")</f>
        <v>View Full Record in Web of Science</v>
      </c>
    </row>
    <row r="1555" spans="1:72" x14ac:dyDescent="0.15">
      <c r="A1555" t="s">
        <v>98</v>
      </c>
      <c r="B1555" t="s">
        <v>29027</v>
      </c>
      <c r="C1555" t="s">
        <v>74</v>
      </c>
      <c r="D1555" t="s">
        <v>74</v>
      </c>
      <c r="E1555" t="s">
        <v>74</v>
      </c>
      <c r="F1555" t="s">
        <v>29028</v>
      </c>
      <c r="G1555" t="s">
        <v>74</v>
      </c>
      <c r="H1555" t="s">
        <v>74</v>
      </c>
      <c r="I1555" t="s">
        <v>29029</v>
      </c>
      <c r="J1555" t="s">
        <v>1073</v>
      </c>
      <c r="K1555" t="s">
        <v>74</v>
      </c>
      <c r="L1555" t="s">
        <v>74</v>
      </c>
      <c r="M1555" t="s">
        <v>74</v>
      </c>
      <c r="N1555" t="s">
        <v>103</v>
      </c>
      <c r="O1555" t="s">
        <v>74</v>
      </c>
      <c r="P1555" t="s">
        <v>74</v>
      </c>
      <c r="Q1555" t="s">
        <v>74</v>
      </c>
      <c r="R1555" t="s">
        <v>74</v>
      </c>
      <c r="S1555" t="s">
        <v>74</v>
      </c>
      <c r="T1555" t="s">
        <v>74</v>
      </c>
      <c r="U1555" t="s">
        <v>29030</v>
      </c>
      <c r="V1555" t="s">
        <v>29031</v>
      </c>
      <c r="W1555" t="s">
        <v>29032</v>
      </c>
      <c r="X1555" t="s">
        <v>29033</v>
      </c>
      <c r="Y1555" t="s">
        <v>29034</v>
      </c>
      <c r="Z1555" t="s">
        <v>29035</v>
      </c>
      <c r="AA1555" t="s">
        <v>29036</v>
      </c>
      <c r="AB1555" t="s">
        <v>29037</v>
      </c>
      <c r="AC1555" t="s">
        <v>74</v>
      </c>
      <c r="AD1555" t="s">
        <v>74</v>
      </c>
      <c r="AE1555" t="s">
        <v>74</v>
      </c>
      <c r="AF1555" t="s">
        <v>74</v>
      </c>
      <c r="AG1555">
        <v>33</v>
      </c>
      <c r="AH1555">
        <v>4</v>
      </c>
      <c r="AI1555">
        <v>4</v>
      </c>
      <c r="AJ1555">
        <v>0</v>
      </c>
      <c r="AK1555">
        <v>0</v>
      </c>
      <c r="AL1555" t="s">
        <v>74</v>
      </c>
      <c r="AM1555" t="s">
        <v>74</v>
      </c>
      <c r="AN1555" t="s">
        <v>74</v>
      </c>
      <c r="AO1555" t="s">
        <v>1082</v>
      </c>
      <c r="AP1555" t="s">
        <v>74</v>
      </c>
      <c r="AQ1555" t="s">
        <v>74</v>
      </c>
      <c r="AR1555" t="s">
        <v>74</v>
      </c>
      <c r="AS1555" t="s">
        <v>74</v>
      </c>
      <c r="AT1555" t="s">
        <v>2686</v>
      </c>
      <c r="AU1555">
        <v>2020</v>
      </c>
      <c r="AV1555">
        <v>15</v>
      </c>
      <c r="AW1555">
        <v>8</v>
      </c>
      <c r="AX1555" t="s">
        <v>74</v>
      </c>
      <c r="AY1555" t="s">
        <v>74</v>
      </c>
      <c r="AZ1555" t="s">
        <v>74</v>
      </c>
      <c r="BA1555" t="s">
        <v>74</v>
      </c>
      <c r="BB1555" t="s">
        <v>74</v>
      </c>
      <c r="BC1555" t="s">
        <v>74</v>
      </c>
      <c r="BD1555" t="s">
        <v>29038</v>
      </c>
      <c r="BE1555" t="s">
        <v>29039</v>
      </c>
      <c r="BF1555" t="str">
        <f>HYPERLINK("http://dx.doi.org/10.1371/journal.pone.0236228","http://dx.doi.org/10.1371/journal.pone.0236228")</f>
        <v>http://dx.doi.org/10.1371/journal.pone.0236228</v>
      </c>
      <c r="BG1555" t="s">
        <v>74</v>
      </c>
      <c r="BH1555" t="s">
        <v>74</v>
      </c>
      <c r="BI1555" t="s">
        <v>74</v>
      </c>
      <c r="BJ1555" t="s">
        <v>152</v>
      </c>
      <c r="BK1555" t="s">
        <v>117</v>
      </c>
      <c r="BL1555" t="s">
        <v>153</v>
      </c>
      <c r="BM1555" t="s">
        <v>74</v>
      </c>
      <c r="BN1555">
        <v>32866177</v>
      </c>
      <c r="BO1555" t="s">
        <v>74</v>
      </c>
      <c r="BP1555" t="s">
        <v>74</v>
      </c>
      <c r="BQ1555" t="s">
        <v>74</v>
      </c>
      <c r="BR1555" t="s">
        <v>96</v>
      </c>
      <c r="BS1555" t="s">
        <v>29040</v>
      </c>
      <c r="BT1555" t="str">
        <f>HYPERLINK("https%3A%2F%2Fwww.webofscience.com%2Fwos%2Fwoscc%2Ffull-record%2FWOS:000567946300023","View Full Record in Web of Science")</f>
        <v>View Full Record in Web of Science</v>
      </c>
    </row>
    <row r="1556" spans="1:72" x14ac:dyDescent="0.15">
      <c r="A1556" t="s">
        <v>98</v>
      </c>
      <c r="B1556" t="s">
        <v>29415</v>
      </c>
      <c r="C1556" t="s">
        <v>74</v>
      </c>
      <c r="D1556" t="s">
        <v>74</v>
      </c>
      <c r="E1556" t="s">
        <v>74</v>
      </c>
      <c r="F1556" t="s">
        <v>29416</v>
      </c>
      <c r="G1556" t="s">
        <v>74</v>
      </c>
      <c r="H1556" t="s">
        <v>74</v>
      </c>
      <c r="I1556" t="s">
        <v>29417</v>
      </c>
      <c r="J1556" t="s">
        <v>12815</v>
      </c>
      <c r="K1556" t="s">
        <v>74</v>
      </c>
      <c r="L1556" t="s">
        <v>74</v>
      </c>
      <c r="M1556" t="s">
        <v>74</v>
      </c>
      <c r="N1556" t="s">
        <v>103</v>
      </c>
      <c r="O1556" t="s">
        <v>74</v>
      </c>
      <c r="P1556" t="s">
        <v>74</v>
      </c>
      <c r="Q1556" t="s">
        <v>74</v>
      </c>
      <c r="R1556" t="s">
        <v>74</v>
      </c>
      <c r="S1556" t="s">
        <v>74</v>
      </c>
      <c r="T1556" t="s">
        <v>29418</v>
      </c>
      <c r="U1556" t="s">
        <v>29419</v>
      </c>
      <c r="V1556" t="s">
        <v>29420</v>
      </c>
      <c r="W1556" t="s">
        <v>29421</v>
      </c>
      <c r="X1556" t="s">
        <v>29422</v>
      </c>
      <c r="Y1556" t="s">
        <v>29423</v>
      </c>
      <c r="Z1556" t="s">
        <v>29424</v>
      </c>
      <c r="AA1556" t="s">
        <v>29425</v>
      </c>
      <c r="AB1556" t="s">
        <v>29426</v>
      </c>
      <c r="AC1556" t="s">
        <v>74</v>
      </c>
      <c r="AD1556" t="s">
        <v>74</v>
      </c>
      <c r="AE1556" t="s">
        <v>74</v>
      </c>
      <c r="AF1556" t="s">
        <v>74</v>
      </c>
      <c r="AG1556">
        <v>43</v>
      </c>
      <c r="AH1556">
        <v>4</v>
      </c>
      <c r="AI1556">
        <v>4</v>
      </c>
      <c r="AJ1556">
        <v>6</v>
      </c>
      <c r="AK1556">
        <v>26</v>
      </c>
      <c r="AL1556" t="s">
        <v>74</v>
      </c>
      <c r="AM1556" t="s">
        <v>74</v>
      </c>
      <c r="AN1556" t="s">
        <v>74</v>
      </c>
      <c r="AO1556" t="s">
        <v>12825</v>
      </c>
      <c r="AP1556" t="s">
        <v>12826</v>
      </c>
      <c r="AQ1556" t="s">
        <v>74</v>
      </c>
      <c r="AR1556" t="s">
        <v>74</v>
      </c>
      <c r="AS1556" t="s">
        <v>74</v>
      </c>
      <c r="AT1556" t="s">
        <v>132</v>
      </c>
      <c r="AU1556">
        <v>2021</v>
      </c>
      <c r="AV1556">
        <v>10</v>
      </c>
      <c r="AW1556">
        <v>8</v>
      </c>
      <c r="AX1556" t="s">
        <v>74</v>
      </c>
      <c r="AY1556" t="s">
        <v>74</v>
      </c>
      <c r="AZ1556" t="s">
        <v>74</v>
      </c>
      <c r="BA1556" t="s">
        <v>74</v>
      </c>
      <c r="BB1556" t="s">
        <v>74</v>
      </c>
      <c r="BC1556" t="s">
        <v>74</v>
      </c>
      <c r="BD1556">
        <v>2002118</v>
      </c>
      <c r="BE1556" t="s">
        <v>29427</v>
      </c>
      <c r="BF1556" t="str">
        <f>HYPERLINK("http://dx.doi.org/10.1002/adhm.202002118","http://dx.doi.org/10.1002/adhm.202002118")</f>
        <v>http://dx.doi.org/10.1002/adhm.202002118</v>
      </c>
      <c r="BG1556" t="s">
        <v>74</v>
      </c>
      <c r="BH1556" t="s">
        <v>3662</v>
      </c>
      <c r="BI1556" t="s">
        <v>74</v>
      </c>
      <c r="BJ1556" t="s">
        <v>12828</v>
      </c>
      <c r="BK1556" t="s">
        <v>117</v>
      </c>
      <c r="BL1556" t="s">
        <v>12829</v>
      </c>
      <c r="BM1556" t="s">
        <v>74</v>
      </c>
      <c r="BN1556">
        <v>33434393</v>
      </c>
      <c r="BO1556" t="s">
        <v>74</v>
      </c>
      <c r="BP1556" t="s">
        <v>74</v>
      </c>
      <c r="BQ1556" t="s">
        <v>74</v>
      </c>
      <c r="BR1556" t="s">
        <v>96</v>
      </c>
      <c r="BS1556" t="s">
        <v>29428</v>
      </c>
      <c r="BT1556" t="str">
        <f>HYPERLINK("https%3A%2F%2Fwww.webofscience.com%2Fwos%2Fwoscc%2Ffull-record%2FWOS:000606960100001","View Full Record in Web of Science")</f>
        <v>View Full Record in Web of Science</v>
      </c>
    </row>
    <row r="1557" spans="1:72" x14ac:dyDescent="0.15">
      <c r="A1557" t="s">
        <v>98</v>
      </c>
      <c r="B1557" t="s">
        <v>29510</v>
      </c>
      <c r="C1557" t="s">
        <v>74</v>
      </c>
      <c r="D1557" t="s">
        <v>74</v>
      </c>
      <c r="E1557" t="s">
        <v>74</v>
      </c>
      <c r="F1557" t="s">
        <v>29511</v>
      </c>
      <c r="G1557" t="s">
        <v>74</v>
      </c>
      <c r="H1557" t="s">
        <v>74</v>
      </c>
      <c r="I1557" t="s">
        <v>29512</v>
      </c>
      <c r="J1557" t="s">
        <v>7944</v>
      </c>
      <c r="K1557" t="s">
        <v>74</v>
      </c>
      <c r="L1557" t="s">
        <v>74</v>
      </c>
      <c r="M1557" t="s">
        <v>74</v>
      </c>
      <c r="N1557" t="s">
        <v>103</v>
      </c>
      <c r="O1557" t="s">
        <v>74</v>
      </c>
      <c r="P1557" t="s">
        <v>74</v>
      </c>
      <c r="Q1557" t="s">
        <v>74</v>
      </c>
      <c r="R1557" t="s">
        <v>74</v>
      </c>
      <c r="S1557" t="s">
        <v>74</v>
      </c>
      <c r="T1557" t="s">
        <v>29513</v>
      </c>
      <c r="U1557" t="s">
        <v>29514</v>
      </c>
      <c r="V1557" t="s">
        <v>29515</v>
      </c>
      <c r="W1557" t="s">
        <v>29516</v>
      </c>
      <c r="X1557" t="s">
        <v>29517</v>
      </c>
      <c r="Y1557" t="s">
        <v>29518</v>
      </c>
      <c r="Z1557" t="s">
        <v>29519</v>
      </c>
      <c r="AA1557" t="s">
        <v>74</v>
      </c>
      <c r="AB1557" t="s">
        <v>29520</v>
      </c>
      <c r="AC1557" t="s">
        <v>74</v>
      </c>
      <c r="AD1557" t="s">
        <v>74</v>
      </c>
      <c r="AE1557" t="s">
        <v>74</v>
      </c>
      <c r="AF1557" t="s">
        <v>74</v>
      </c>
      <c r="AG1557">
        <v>50</v>
      </c>
      <c r="AH1557">
        <v>4</v>
      </c>
      <c r="AI1557">
        <v>4</v>
      </c>
      <c r="AJ1557">
        <v>2</v>
      </c>
      <c r="AK1557">
        <v>24</v>
      </c>
      <c r="AL1557" t="s">
        <v>74</v>
      </c>
      <c r="AM1557" t="s">
        <v>74</v>
      </c>
      <c r="AN1557" t="s">
        <v>74</v>
      </c>
      <c r="AO1557" t="s">
        <v>7954</v>
      </c>
      <c r="AP1557" t="s">
        <v>7955</v>
      </c>
      <c r="AQ1557" t="s">
        <v>74</v>
      </c>
      <c r="AR1557" t="s">
        <v>74</v>
      </c>
      <c r="AS1557" t="s">
        <v>74</v>
      </c>
      <c r="AT1557" t="s">
        <v>6666</v>
      </c>
      <c r="AU1557">
        <v>2020</v>
      </c>
      <c r="AV1557">
        <v>31</v>
      </c>
      <c r="AW1557">
        <v>2</v>
      </c>
      <c r="AX1557" t="s">
        <v>74</v>
      </c>
      <c r="AY1557" t="s">
        <v>74</v>
      </c>
      <c r="AZ1557" t="s">
        <v>74</v>
      </c>
      <c r="BA1557" t="s">
        <v>74</v>
      </c>
      <c r="BB1557">
        <v>258</v>
      </c>
      <c r="BC1557">
        <v>264</v>
      </c>
      <c r="BD1557" t="s">
        <v>74</v>
      </c>
      <c r="BE1557" t="s">
        <v>29521</v>
      </c>
      <c r="BF1557" t="str">
        <f>HYPERLINK("http://dx.doi.org/10.1080/09537104.2019.1609666","http://dx.doi.org/10.1080/09537104.2019.1609666")</f>
        <v>http://dx.doi.org/10.1080/09537104.2019.1609666</v>
      </c>
      <c r="BG1557" t="s">
        <v>74</v>
      </c>
      <c r="BH1557" t="s">
        <v>29522</v>
      </c>
      <c r="BI1557" t="s">
        <v>74</v>
      </c>
      <c r="BJ1557" t="s">
        <v>7957</v>
      </c>
      <c r="BK1557" t="s">
        <v>117</v>
      </c>
      <c r="BL1557" t="s">
        <v>7957</v>
      </c>
      <c r="BM1557" t="s">
        <v>74</v>
      </c>
      <c r="BN1557">
        <v>31057000</v>
      </c>
      <c r="BO1557" t="s">
        <v>74</v>
      </c>
      <c r="BP1557" t="s">
        <v>74</v>
      </c>
      <c r="BQ1557" t="s">
        <v>74</v>
      </c>
      <c r="BR1557" t="s">
        <v>96</v>
      </c>
      <c r="BS1557" t="s">
        <v>29523</v>
      </c>
      <c r="BT1557" t="str">
        <f>HYPERLINK("https%3A%2F%2Fwww.webofscience.com%2Fwos%2Fwoscc%2Ffull-record%2FWOS:000470504100001","View Full Record in Web of Science")</f>
        <v>View Full Record in Web of Science</v>
      </c>
    </row>
    <row r="1558" spans="1:72" x14ac:dyDescent="0.15">
      <c r="A1558" t="s">
        <v>4291</v>
      </c>
      <c r="B1558" t="s">
        <v>29549</v>
      </c>
      <c r="C1558" t="s">
        <v>74</v>
      </c>
      <c r="D1558" t="s">
        <v>29550</v>
      </c>
      <c r="E1558" t="s">
        <v>74</v>
      </c>
      <c r="F1558" t="s">
        <v>29551</v>
      </c>
      <c r="G1558" t="s">
        <v>74</v>
      </c>
      <c r="H1558" t="s">
        <v>74</v>
      </c>
      <c r="I1558" t="s">
        <v>29552</v>
      </c>
      <c r="J1558" t="s">
        <v>29553</v>
      </c>
      <c r="K1558" t="s">
        <v>74</v>
      </c>
      <c r="L1558" t="s">
        <v>74</v>
      </c>
      <c r="M1558" t="s">
        <v>74</v>
      </c>
      <c r="N1558" t="s">
        <v>80</v>
      </c>
      <c r="O1558" t="s">
        <v>74</v>
      </c>
      <c r="P1558" t="s">
        <v>74</v>
      </c>
      <c r="Q1558" t="s">
        <v>74</v>
      </c>
      <c r="R1558" t="s">
        <v>74</v>
      </c>
      <c r="S1558" t="s">
        <v>74</v>
      </c>
      <c r="T1558" t="s">
        <v>29554</v>
      </c>
      <c r="U1558" t="s">
        <v>29555</v>
      </c>
      <c r="V1558" t="s">
        <v>29556</v>
      </c>
      <c r="W1558" t="s">
        <v>29557</v>
      </c>
      <c r="X1558" t="s">
        <v>29558</v>
      </c>
      <c r="Y1558" t="s">
        <v>29559</v>
      </c>
      <c r="Z1558" t="s">
        <v>29560</v>
      </c>
      <c r="AA1558" t="s">
        <v>74</v>
      </c>
      <c r="AB1558" t="s">
        <v>74</v>
      </c>
      <c r="AC1558" t="s">
        <v>74</v>
      </c>
      <c r="AD1558" t="s">
        <v>74</v>
      </c>
      <c r="AE1558" t="s">
        <v>74</v>
      </c>
      <c r="AF1558" t="s">
        <v>74</v>
      </c>
      <c r="AG1558">
        <v>170</v>
      </c>
      <c r="AH1558">
        <v>4</v>
      </c>
      <c r="AI1558">
        <v>4</v>
      </c>
      <c r="AJ1558">
        <v>0</v>
      </c>
      <c r="AK1558">
        <v>4</v>
      </c>
      <c r="AL1558" t="s">
        <v>74</v>
      </c>
      <c r="AM1558" t="s">
        <v>74</v>
      </c>
      <c r="AN1558" t="s">
        <v>74</v>
      </c>
      <c r="AO1558" t="s">
        <v>74</v>
      </c>
      <c r="AP1558" t="s">
        <v>74</v>
      </c>
      <c r="AQ1558" t="s">
        <v>29561</v>
      </c>
      <c r="AR1558" t="s">
        <v>74</v>
      </c>
      <c r="AS1558" t="s">
        <v>74</v>
      </c>
      <c r="AT1558" t="s">
        <v>74</v>
      </c>
      <c r="AU1558">
        <v>2015</v>
      </c>
      <c r="AV1558" t="s">
        <v>74</v>
      </c>
      <c r="AW1558" t="s">
        <v>74</v>
      </c>
      <c r="AX1558" t="s">
        <v>74</v>
      </c>
      <c r="AY1558" t="s">
        <v>74</v>
      </c>
      <c r="AZ1558" t="s">
        <v>74</v>
      </c>
      <c r="BA1558" t="s">
        <v>74</v>
      </c>
      <c r="BB1558">
        <v>71</v>
      </c>
      <c r="BC1558">
        <v>115</v>
      </c>
      <c r="BD1558" t="s">
        <v>74</v>
      </c>
      <c r="BE1558" t="s">
        <v>29562</v>
      </c>
      <c r="BF1558" t="str">
        <f>HYPERLINK("http://dx.doi.org/10.3920/978-90-8686-792-9_4","http://dx.doi.org/10.3920/978-90-8686-792-9_4")</f>
        <v>http://dx.doi.org/10.3920/978-90-8686-792-9_4</v>
      </c>
      <c r="BG1558" t="s">
        <v>29563</v>
      </c>
      <c r="BH1558" t="s">
        <v>74</v>
      </c>
      <c r="BI1558" t="s">
        <v>74</v>
      </c>
      <c r="BJ1558" t="s">
        <v>6668</v>
      </c>
      <c r="BK1558" t="s">
        <v>94</v>
      </c>
      <c r="BL1558" t="s">
        <v>6669</v>
      </c>
      <c r="BM1558" t="s">
        <v>74</v>
      </c>
      <c r="BN1558" t="s">
        <v>74</v>
      </c>
      <c r="BO1558" t="s">
        <v>74</v>
      </c>
      <c r="BP1558" t="s">
        <v>74</v>
      </c>
      <c r="BQ1558" t="s">
        <v>74</v>
      </c>
      <c r="BR1558" t="s">
        <v>96</v>
      </c>
      <c r="BS1558" t="s">
        <v>29564</v>
      </c>
      <c r="BT1558" t="str">
        <f>HYPERLINK("https%3A%2F%2Fwww.webofscience.com%2Fwos%2Fwoscc%2Ffull-record%2FWOS:000385728900004","View Full Record in Web of Science")</f>
        <v>View Full Record in Web of Science</v>
      </c>
    </row>
    <row r="1559" spans="1:72" x14ac:dyDescent="0.15">
      <c r="A1559" t="s">
        <v>4291</v>
      </c>
      <c r="B1559" t="s">
        <v>29805</v>
      </c>
      <c r="C1559" t="s">
        <v>74</v>
      </c>
      <c r="D1559" t="s">
        <v>29806</v>
      </c>
      <c r="E1559" t="s">
        <v>74</v>
      </c>
      <c r="F1559" t="s">
        <v>29807</v>
      </c>
      <c r="G1559" t="s">
        <v>74</v>
      </c>
      <c r="H1559" t="s">
        <v>74</v>
      </c>
      <c r="I1559" t="s">
        <v>29808</v>
      </c>
      <c r="J1559" t="s">
        <v>29809</v>
      </c>
      <c r="K1559" t="s">
        <v>74</v>
      </c>
      <c r="L1559" t="s">
        <v>74</v>
      </c>
      <c r="M1559" t="s">
        <v>74</v>
      </c>
      <c r="N1559" t="s">
        <v>80</v>
      </c>
      <c r="O1559" t="s">
        <v>74</v>
      </c>
      <c r="P1559" t="s">
        <v>74</v>
      </c>
      <c r="Q1559" t="s">
        <v>74</v>
      </c>
      <c r="R1559" t="s">
        <v>74</v>
      </c>
      <c r="S1559" t="s">
        <v>74</v>
      </c>
      <c r="T1559" t="s">
        <v>74</v>
      </c>
      <c r="U1559" t="s">
        <v>29810</v>
      </c>
      <c r="V1559" t="s">
        <v>74</v>
      </c>
      <c r="W1559" t="s">
        <v>29811</v>
      </c>
      <c r="X1559" t="s">
        <v>29812</v>
      </c>
      <c r="Y1559" t="s">
        <v>29813</v>
      </c>
      <c r="Z1559" t="s">
        <v>74</v>
      </c>
      <c r="AA1559" t="s">
        <v>74</v>
      </c>
      <c r="AB1559" t="s">
        <v>74</v>
      </c>
      <c r="AC1559" t="s">
        <v>74</v>
      </c>
      <c r="AD1559" t="s">
        <v>74</v>
      </c>
      <c r="AE1559" t="s">
        <v>74</v>
      </c>
      <c r="AF1559" t="s">
        <v>74</v>
      </c>
      <c r="AG1559">
        <v>46</v>
      </c>
      <c r="AH1559">
        <v>4</v>
      </c>
      <c r="AI1559">
        <v>4</v>
      </c>
      <c r="AJ1559">
        <v>0</v>
      </c>
      <c r="AK1559">
        <v>1</v>
      </c>
      <c r="AL1559" t="s">
        <v>74</v>
      </c>
      <c r="AM1559" t="s">
        <v>74</v>
      </c>
      <c r="AN1559" t="s">
        <v>74</v>
      </c>
      <c r="AO1559" t="s">
        <v>74</v>
      </c>
      <c r="AP1559" t="s">
        <v>74</v>
      </c>
      <c r="AQ1559" t="s">
        <v>29814</v>
      </c>
      <c r="AR1559" t="s">
        <v>74</v>
      </c>
      <c r="AS1559" t="s">
        <v>74</v>
      </c>
      <c r="AT1559" t="s">
        <v>74</v>
      </c>
      <c r="AU1559">
        <v>2020</v>
      </c>
      <c r="AV1559" t="s">
        <v>74</v>
      </c>
      <c r="AW1559" t="s">
        <v>74</v>
      </c>
      <c r="AX1559" t="s">
        <v>74</v>
      </c>
      <c r="AY1559" t="s">
        <v>74</v>
      </c>
      <c r="AZ1559" t="s">
        <v>74</v>
      </c>
      <c r="BA1559" t="s">
        <v>74</v>
      </c>
      <c r="BB1559">
        <v>3</v>
      </c>
      <c r="BC1559">
        <v>21</v>
      </c>
      <c r="BD1559" t="s">
        <v>74</v>
      </c>
      <c r="BE1559" t="s">
        <v>29815</v>
      </c>
      <c r="BF1559" t="str">
        <f>HYPERLINK("http://dx.doi.org/10.1016/B978-0-12-813886-1.00001-2","http://dx.doi.org/10.1016/B978-0-12-813886-1.00001-2")</f>
        <v>http://dx.doi.org/10.1016/B978-0-12-813886-1.00001-2</v>
      </c>
      <c r="BG1559" t="s">
        <v>29816</v>
      </c>
      <c r="BH1559" t="s">
        <v>74</v>
      </c>
      <c r="BI1559" t="s">
        <v>74</v>
      </c>
      <c r="BJ1559" t="s">
        <v>29817</v>
      </c>
      <c r="BK1559" t="s">
        <v>94</v>
      </c>
      <c r="BL1559" t="s">
        <v>29818</v>
      </c>
      <c r="BM1559" t="s">
        <v>74</v>
      </c>
      <c r="BN1559" t="s">
        <v>74</v>
      </c>
      <c r="BO1559" t="s">
        <v>74</v>
      </c>
      <c r="BP1559" t="s">
        <v>74</v>
      </c>
      <c r="BQ1559" t="s">
        <v>74</v>
      </c>
      <c r="BR1559" t="s">
        <v>96</v>
      </c>
      <c r="BS1559" t="s">
        <v>29819</v>
      </c>
      <c r="BT1559" t="str">
        <f>HYPERLINK("https%3A%2F%2Fwww.webofscience.com%2Fwos%2Fwoscc%2Ffull-record%2FWOS:000555694200002","View Full Record in Web of Science")</f>
        <v>View Full Record in Web of Science</v>
      </c>
    </row>
    <row r="1560" spans="1:72" x14ac:dyDescent="0.15">
      <c r="A1560" t="s">
        <v>98</v>
      </c>
      <c r="B1560" t="s">
        <v>29845</v>
      </c>
      <c r="C1560" t="s">
        <v>74</v>
      </c>
      <c r="D1560" t="s">
        <v>74</v>
      </c>
      <c r="E1560" t="s">
        <v>74</v>
      </c>
      <c r="F1560" t="s">
        <v>29846</v>
      </c>
      <c r="G1560" t="s">
        <v>74</v>
      </c>
      <c r="H1560" t="s">
        <v>74</v>
      </c>
      <c r="I1560" t="s">
        <v>29847</v>
      </c>
      <c r="J1560" t="s">
        <v>29848</v>
      </c>
      <c r="K1560" t="s">
        <v>74</v>
      </c>
      <c r="L1560" t="s">
        <v>74</v>
      </c>
      <c r="M1560" t="s">
        <v>74</v>
      </c>
      <c r="N1560" t="s">
        <v>103</v>
      </c>
      <c r="O1560" t="s">
        <v>74</v>
      </c>
      <c r="P1560" t="s">
        <v>74</v>
      </c>
      <c r="Q1560" t="s">
        <v>74</v>
      </c>
      <c r="R1560" t="s">
        <v>74</v>
      </c>
      <c r="S1560" t="s">
        <v>74</v>
      </c>
      <c r="T1560" t="s">
        <v>29849</v>
      </c>
      <c r="U1560" t="s">
        <v>29850</v>
      </c>
      <c r="V1560" t="s">
        <v>29851</v>
      </c>
      <c r="W1560" t="s">
        <v>29852</v>
      </c>
      <c r="X1560" t="s">
        <v>74</v>
      </c>
      <c r="Y1560" t="s">
        <v>29853</v>
      </c>
      <c r="Z1560" t="s">
        <v>29854</v>
      </c>
      <c r="AA1560" t="s">
        <v>29855</v>
      </c>
      <c r="AB1560" t="s">
        <v>74</v>
      </c>
      <c r="AC1560" t="s">
        <v>74</v>
      </c>
      <c r="AD1560" t="s">
        <v>74</v>
      </c>
      <c r="AE1560" t="s">
        <v>74</v>
      </c>
      <c r="AF1560" t="s">
        <v>74</v>
      </c>
      <c r="AG1560">
        <v>33</v>
      </c>
      <c r="AH1560">
        <v>4</v>
      </c>
      <c r="AI1560">
        <v>4</v>
      </c>
      <c r="AJ1560">
        <v>0</v>
      </c>
      <c r="AK1560">
        <v>7</v>
      </c>
      <c r="AL1560" t="s">
        <v>74</v>
      </c>
      <c r="AM1560" t="s">
        <v>74</v>
      </c>
      <c r="AN1560" t="s">
        <v>74</v>
      </c>
      <c r="AO1560" t="s">
        <v>29856</v>
      </c>
      <c r="AP1560" t="s">
        <v>29857</v>
      </c>
      <c r="AQ1560" t="s">
        <v>74</v>
      </c>
      <c r="AR1560" t="s">
        <v>74</v>
      </c>
      <c r="AS1560" t="s">
        <v>74</v>
      </c>
      <c r="AT1560" t="s">
        <v>967</v>
      </c>
      <c r="AU1560">
        <v>2011</v>
      </c>
      <c r="AV1560">
        <v>20</v>
      </c>
      <c r="AW1560">
        <v>4</v>
      </c>
      <c r="AX1560" t="s">
        <v>74</v>
      </c>
      <c r="AY1560" t="s">
        <v>74</v>
      </c>
      <c r="AZ1560" t="s">
        <v>74</v>
      </c>
      <c r="BA1560" t="s">
        <v>74</v>
      </c>
      <c r="BB1560">
        <v>242</v>
      </c>
      <c r="BC1560">
        <v>248</v>
      </c>
      <c r="BD1560" t="s">
        <v>74</v>
      </c>
      <c r="BE1560" t="s">
        <v>29858</v>
      </c>
      <c r="BF1560" t="str">
        <f>HYPERLINK("http://dx.doi.org/10.1097/PDM.0b013e31821bbb1e","http://dx.doi.org/10.1097/PDM.0b013e31821bbb1e")</f>
        <v>http://dx.doi.org/10.1097/PDM.0b013e31821bbb1e</v>
      </c>
      <c r="BG1560" t="s">
        <v>74</v>
      </c>
      <c r="BH1560" t="s">
        <v>74</v>
      </c>
      <c r="BI1560" t="s">
        <v>74</v>
      </c>
      <c r="BJ1560" t="s">
        <v>29859</v>
      </c>
      <c r="BK1560" t="s">
        <v>117</v>
      </c>
      <c r="BL1560" t="s">
        <v>29859</v>
      </c>
      <c r="BM1560" t="s">
        <v>74</v>
      </c>
      <c r="BN1560">
        <v>22089352</v>
      </c>
      <c r="BO1560" t="s">
        <v>74</v>
      </c>
      <c r="BP1560" t="s">
        <v>74</v>
      </c>
      <c r="BQ1560" t="s">
        <v>74</v>
      </c>
      <c r="BR1560" t="s">
        <v>96</v>
      </c>
      <c r="BS1560" t="s">
        <v>29860</v>
      </c>
      <c r="BT1560" t="str">
        <f>HYPERLINK("https%3A%2F%2Fwww.webofscience.com%2Fwos%2Fwoscc%2Ffull-record%2FWOS:000297253000008","View Full Record in Web of Science")</f>
        <v>View Full Record in Web of Science</v>
      </c>
    </row>
    <row r="1561" spans="1:72" x14ac:dyDescent="0.15">
      <c r="A1561" t="s">
        <v>98</v>
      </c>
      <c r="B1561" t="s">
        <v>30158</v>
      </c>
      <c r="C1561" t="s">
        <v>74</v>
      </c>
      <c r="D1561" t="s">
        <v>74</v>
      </c>
      <c r="E1561" t="s">
        <v>74</v>
      </c>
      <c r="F1561" t="s">
        <v>30159</v>
      </c>
      <c r="G1561" t="s">
        <v>74</v>
      </c>
      <c r="H1561" t="s">
        <v>74</v>
      </c>
      <c r="I1561" t="s">
        <v>30160</v>
      </c>
      <c r="J1561" t="s">
        <v>30161</v>
      </c>
      <c r="K1561" t="s">
        <v>74</v>
      </c>
      <c r="L1561" t="s">
        <v>74</v>
      </c>
      <c r="M1561" t="s">
        <v>74</v>
      </c>
      <c r="N1561" t="s">
        <v>103</v>
      </c>
      <c r="O1561" t="s">
        <v>74</v>
      </c>
      <c r="P1561" t="s">
        <v>74</v>
      </c>
      <c r="Q1561" t="s">
        <v>74</v>
      </c>
      <c r="R1561" t="s">
        <v>74</v>
      </c>
      <c r="S1561" t="s">
        <v>74</v>
      </c>
      <c r="T1561" t="s">
        <v>74</v>
      </c>
      <c r="U1561" t="s">
        <v>30162</v>
      </c>
      <c r="V1561" t="s">
        <v>30163</v>
      </c>
      <c r="W1561" t="s">
        <v>30164</v>
      </c>
      <c r="X1561" t="s">
        <v>30165</v>
      </c>
      <c r="Y1561" t="s">
        <v>30166</v>
      </c>
      <c r="Z1561" t="s">
        <v>30167</v>
      </c>
      <c r="AA1561" t="s">
        <v>74</v>
      </c>
      <c r="AB1561" t="s">
        <v>30168</v>
      </c>
      <c r="AC1561" t="s">
        <v>74</v>
      </c>
      <c r="AD1561" t="s">
        <v>74</v>
      </c>
      <c r="AE1561" t="s">
        <v>74</v>
      </c>
      <c r="AF1561" t="s">
        <v>74</v>
      </c>
      <c r="AG1561">
        <v>35</v>
      </c>
      <c r="AH1561">
        <v>4</v>
      </c>
      <c r="AI1561">
        <v>4</v>
      </c>
      <c r="AJ1561">
        <v>0</v>
      </c>
      <c r="AK1561">
        <v>4</v>
      </c>
      <c r="AL1561" t="s">
        <v>74</v>
      </c>
      <c r="AM1561" t="s">
        <v>74</v>
      </c>
      <c r="AN1561" t="s">
        <v>74</v>
      </c>
      <c r="AO1561" t="s">
        <v>30169</v>
      </c>
      <c r="AP1561" t="s">
        <v>30170</v>
      </c>
      <c r="AQ1561" t="s">
        <v>74</v>
      </c>
      <c r="AR1561" t="s">
        <v>74</v>
      </c>
      <c r="AS1561" t="s">
        <v>74</v>
      </c>
      <c r="AT1561" t="s">
        <v>565</v>
      </c>
      <c r="AU1561">
        <v>2014</v>
      </c>
      <c r="AV1561">
        <v>34</v>
      </c>
      <c r="AW1561">
        <v>3</v>
      </c>
      <c r="AX1561" t="s">
        <v>74</v>
      </c>
      <c r="AY1561" t="s">
        <v>74</v>
      </c>
      <c r="AZ1561" t="s">
        <v>74</v>
      </c>
      <c r="BA1561" t="s">
        <v>74</v>
      </c>
      <c r="BB1561">
        <v>251</v>
      </c>
      <c r="BC1561">
        <v>258</v>
      </c>
      <c r="BD1561" t="s">
        <v>74</v>
      </c>
      <c r="BE1561" t="s">
        <v>30171</v>
      </c>
      <c r="BF1561" t="str">
        <f>HYPERLINK("http://dx.doi.org/10.1002/pd.4300","http://dx.doi.org/10.1002/pd.4300")</f>
        <v>http://dx.doi.org/10.1002/pd.4300</v>
      </c>
      <c r="BG1561" t="s">
        <v>74</v>
      </c>
      <c r="BH1561" t="s">
        <v>74</v>
      </c>
      <c r="BI1561" t="s">
        <v>74</v>
      </c>
      <c r="BJ1561" t="s">
        <v>30172</v>
      </c>
      <c r="BK1561" t="s">
        <v>117</v>
      </c>
      <c r="BL1561" t="s">
        <v>30172</v>
      </c>
      <c r="BM1561" t="s">
        <v>74</v>
      </c>
      <c r="BN1561">
        <v>24352757</v>
      </c>
      <c r="BO1561" t="s">
        <v>74</v>
      </c>
      <c r="BP1561" t="s">
        <v>74</v>
      </c>
      <c r="BQ1561" t="s">
        <v>74</v>
      </c>
      <c r="BR1561" t="s">
        <v>96</v>
      </c>
      <c r="BS1561" t="s">
        <v>30173</v>
      </c>
      <c r="BT1561" t="str">
        <f>HYPERLINK("https%3A%2F%2Fwww.webofscience.com%2Fwos%2Fwoscc%2Ffull-record%2FWOS:000333020300008","View Full Record in Web of Science")</f>
        <v>View Full Record in Web of Science</v>
      </c>
    </row>
    <row r="1562" spans="1:72" x14ac:dyDescent="0.15">
      <c r="A1562" t="s">
        <v>98</v>
      </c>
      <c r="B1562" t="s">
        <v>752</v>
      </c>
      <c r="C1562" t="s">
        <v>74</v>
      </c>
      <c r="D1562" t="s">
        <v>74</v>
      </c>
      <c r="E1562" t="s">
        <v>74</v>
      </c>
      <c r="F1562" t="s">
        <v>753</v>
      </c>
      <c r="G1562" t="s">
        <v>74</v>
      </c>
      <c r="H1562" t="s">
        <v>74</v>
      </c>
      <c r="I1562" t="s">
        <v>754</v>
      </c>
      <c r="J1562" t="s">
        <v>123</v>
      </c>
      <c r="K1562" t="s">
        <v>74</v>
      </c>
      <c r="L1562" t="s">
        <v>74</v>
      </c>
      <c r="M1562" t="s">
        <v>74</v>
      </c>
      <c r="N1562" t="s">
        <v>103</v>
      </c>
      <c r="O1562" t="s">
        <v>74</v>
      </c>
      <c r="P1562" t="s">
        <v>74</v>
      </c>
      <c r="Q1562" t="s">
        <v>74</v>
      </c>
      <c r="R1562" t="s">
        <v>74</v>
      </c>
      <c r="S1562" t="s">
        <v>74</v>
      </c>
      <c r="T1562" t="s">
        <v>755</v>
      </c>
      <c r="U1562" t="s">
        <v>74</v>
      </c>
      <c r="V1562" t="s">
        <v>756</v>
      </c>
      <c r="W1562" t="s">
        <v>757</v>
      </c>
      <c r="X1562" t="s">
        <v>758</v>
      </c>
      <c r="Y1562" t="s">
        <v>759</v>
      </c>
      <c r="Z1562" t="s">
        <v>760</v>
      </c>
      <c r="AA1562" t="s">
        <v>761</v>
      </c>
      <c r="AB1562" t="s">
        <v>762</v>
      </c>
      <c r="AC1562" t="s">
        <v>74</v>
      </c>
      <c r="AD1562" t="s">
        <v>74</v>
      </c>
      <c r="AE1562" t="s">
        <v>74</v>
      </c>
      <c r="AF1562" t="s">
        <v>74</v>
      </c>
      <c r="AG1562">
        <v>30</v>
      </c>
      <c r="AH1562">
        <v>3</v>
      </c>
      <c r="AI1562">
        <v>3</v>
      </c>
      <c r="AJ1562">
        <v>3</v>
      </c>
      <c r="AK1562">
        <v>8</v>
      </c>
      <c r="AL1562" t="s">
        <v>74</v>
      </c>
      <c r="AM1562" t="s">
        <v>74</v>
      </c>
      <c r="AN1562" t="s">
        <v>74</v>
      </c>
      <c r="AO1562" t="s">
        <v>74</v>
      </c>
      <c r="AP1562" t="s">
        <v>131</v>
      </c>
      <c r="AQ1562" t="s">
        <v>74</v>
      </c>
      <c r="AR1562" t="s">
        <v>74</v>
      </c>
      <c r="AS1562" t="s">
        <v>74</v>
      </c>
      <c r="AT1562" t="s">
        <v>189</v>
      </c>
      <c r="AU1562">
        <v>2021</v>
      </c>
      <c r="AV1562">
        <v>10</v>
      </c>
      <c r="AW1562">
        <v>12</v>
      </c>
      <c r="AX1562" t="s">
        <v>74</v>
      </c>
      <c r="AY1562" t="s">
        <v>74</v>
      </c>
      <c r="AZ1562" t="s">
        <v>74</v>
      </c>
      <c r="BA1562" t="s">
        <v>74</v>
      </c>
      <c r="BB1562" t="s">
        <v>74</v>
      </c>
      <c r="BC1562" t="s">
        <v>74</v>
      </c>
      <c r="BD1562" t="s">
        <v>763</v>
      </c>
      <c r="BE1562" t="s">
        <v>764</v>
      </c>
      <c r="BF1562" t="str">
        <f>HYPERLINK("http://dx.doi.org/10.1002/jev2.12142","http://dx.doi.org/10.1002/jev2.12142")</f>
        <v>http://dx.doi.org/10.1002/jev2.12142</v>
      </c>
      <c r="BG1562" t="s">
        <v>74</v>
      </c>
      <c r="BH1562" t="s">
        <v>74</v>
      </c>
      <c r="BI1562" t="s">
        <v>74</v>
      </c>
      <c r="BJ1562" t="s">
        <v>135</v>
      </c>
      <c r="BK1562" t="s">
        <v>117</v>
      </c>
      <c r="BL1562" t="s">
        <v>135</v>
      </c>
      <c r="BM1562" t="s">
        <v>74</v>
      </c>
      <c r="BN1562">
        <v>34595842</v>
      </c>
      <c r="BO1562" t="s">
        <v>74</v>
      </c>
      <c r="BP1562" t="s">
        <v>74</v>
      </c>
      <c r="BQ1562" t="s">
        <v>74</v>
      </c>
      <c r="BR1562" t="s">
        <v>96</v>
      </c>
      <c r="BS1562" t="s">
        <v>765</v>
      </c>
      <c r="BT1562" t="str">
        <f>HYPERLINK("https%3A%2F%2Fwww.webofscience.com%2Fwos%2Fwoscc%2Ffull-record%2FWOS:000702270100001","View Full Record in Web of Science")</f>
        <v>View Full Record in Web of Science</v>
      </c>
    </row>
    <row r="1563" spans="1:72" x14ac:dyDescent="0.15">
      <c r="A1563" t="s">
        <v>98</v>
      </c>
      <c r="B1563" t="s">
        <v>1015</v>
      </c>
      <c r="C1563" t="s">
        <v>74</v>
      </c>
      <c r="D1563" t="s">
        <v>74</v>
      </c>
      <c r="E1563" t="s">
        <v>74</v>
      </c>
      <c r="F1563" t="s">
        <v>1016</v>
      </c>
      <c r="G1563" t="s">
        <v>74</v>
      </c>
      <c r="H1563" t="s">
        <v>74</v>
      </c>
      <c r="I1563" t="s">
        <v>1017</v>
      </c>
      <c r="J1563" t="s">
        <v>1018</v>
      </c>
      <c r="K1563" t="s">
        <v>74</v>
      </c>
      <c r="L1563" t="s">
        <v>74</v>
      </c>
      <c r="M1563" t="s">
        <v>74</v>
      </c>
      <c r="N1563" t="s">
        <v>103</v>
      </c>
      <c r="O1563" t="s">
        <v>74</v>
      </c>
      <c r="P1563" t="s">
        <v>74</v>
      </c>
      <c r="Q1563" t="s">
        <v>74</v>
      </c>
      <c r="R1563" t="s">
        <v>74</v>
      </c>
      <c r="S1563" t="s">
        <v>74</v>
      </c>
      <c r="T1563" t="s">
        <v>1019</v>
      </c>
      <c r="U1563" t="s">
        <v>1020</v>
      </c>
      <c r="V1563" t="s">
        <v>1021</v>
      </c>
      <c r="W1563" t="s">
        <v>1022</v>
      </c>
      <c r="X1563" t="s">
        <v>1023</v>
      </c>
      <c r="Y1563" t="s">
        <v>1024</v>
      </c>
      <c r="Z1563" t="s">
        <v>1025</v>
      </c>
      <c r="AA1563" t="s">
        <v>1026</v>
      </c>
      <c r="AB1563" t="s">
        <v>1027</v>
      </c>
      <c r="AC1563" t="s">
        <v>74</v>
      </c>
      <c r="AD1563" t="s">
        <v>74</v>
      </c>
      <c r="AE1563" t="s">
        <v>74</v>
      </c>
      <c r="AF1563" t="s">
        <v>74</v>
      </c>
      <c r="AG1563">
        <v>19</v>
      </c>
      <c r="AH1563">
        <v>3</v>
      </c>
      <c r="AI1563">
        <v>3</v>
      </c>
      <c r="AJ1563">
        <v>2</v>
      </c>
      <c r="AK1563">
        <v>4</v>
      </c>
      <c r="AL1563" t="s">
        <v>74</v>
      </c>
      <c r="AM1563" t="s">
        <v>74</v>
      </c>
      <c r="AN1563" t="s">
        <v>74</v>
      </c>
      <c r="AO1563" t="s">
        <v>74</v>
      </c>
      <c r="AP1563" t="s">
        <v>1028</v>
      </c>
      <c r="AQ1563" t="s">
        <v>74</v>
      </c>
      <c r="AR1563" t="s">
        <v>74</v>
      </c>
      <c r="AS1563" t="s">
        <v>74</v>
      </c>
      <c r="AT1563" t="s">
        <v>1029</v>
      </c>
      <c r="AU1563">
        <v>2021</v>
      </c>
      <c r="AV1563">
        <v>26</v>
      </c>
      <c r="AW1563">
        <v>9</v>
      </c>
      <c r="AX1563" t="s">
        <v>74</v>
      </c>
      <c r="AY1563" t="s">
        <v>74</v>
      </c>
      <c r="AZ1563" t="s">
        <v>74</v>
      </c>
      <c r="BA1563" t="s">
        <v>74</v>
      </c>
      <c r="BB1563" t="s">
        <v>74</v>
      </c>
      <c r="BC1563" t="s">
        <v>74</v>
      </c>
      <c r="BD1563">
        <v>2499</v>
      </c>
      <c r="BE1563" t="s">
        <v>1030</v>
      </c>
      <c r="BF1563" t="str">
        <f>HYPERLINK("http://dx.doi.org/10.3390/molecules26092499","http://dx.doi.org/10.3390/molecules26092499")</f>
        <v>http://dx.doi.org/10.3390/molecules26092499</v>
      </c>
      <c r="BG1563" t="s">
        <v>74</v>
      </c>
      <c r="BH1563" t="s">
        <v>74</v>
      </c>
      <c r="BI1563" t="s">
        <v>74</v>
      </c>
      <c r="BJ1563" t="s">
        <v>830</v>
      </c>
      <c r="BK1563" t="s">
        <v>117</v>
      </c>
      <c r="BL1563" t="s">
        <v>831</v>
      </c>
      <c r="BM1563" t="s">
        <v>74</v>
      </c>
      <c r="BN1563">
        <v>33922925</v>
      </c>
      <c r="BO1563" t="s">
        <v>74</v>
      </c>
      <c r="BP1563" t="s">
        <v>74</v>
      </c>
      <c r="BQ1563" t="s">
        <v>74</v>
      </c>
      <c r="BR1563" t="s">
        <v>96</v>
      </c>
      <c r="BS1563" t="s">
        <v>1031</v>
      </c>
      <c r="BT1563" t="str">
        <f>HYPERLINK("https%3A%2F%2Fwww.webofscience.com%2Fwos%2Fwoscc%2Ffull-record%2FWOS:000650724100001","View Full Record in Web of Science")</f>
        <v>View Full Record in Web of Science</v>
      </c>
    </row>
    <row r="1564" spans="1:72" x14ac:dyDescent="0.15">
      <c r="A1564" t="s">
        <v>98</v>
      </c>
      <c r="B1564" t="s">
        <v>1839</v>
      </c>
      <c r="C1564" t="s">
        <v>74</v>
      </c>
      <c r="D1564" t="s">
        <v>74</v>
      </c>
      <c r="E1564" t="s">
        <v>74</v>
      </c>
      <c r="F1564" t="s">
        <v>1840</v>
      </c>
      <c r="G1564" t="s">
        <v>74</v>
      </c>
      <c r="H1564" t="s">
        <v>74</v>
      </c>
      <c r="I1564" t="s">
        <v>1841</v>
      </c>
      <c r="J1564" t="s">
        <v>1842</v>
      </c>
      <c r="K1564" t="s">
        <v>74</v>
      </c>
      <c r="L1564" t="s">
        <v>74</v>
      </c>
      <c r="M1564" t="s">
        <v>74</v>
      </c>
      <c r="N1564" t="s">
        <v>103</v>
      </c>
      <c r="O1564" t="s">
        <v>74</v>
      </c>
      <c r="P1564" t="s">
        <v>74</v>
      </c>
      <c r="Q1564" t="s">
        <v>74</v>
      </c>
      <c r="R1564" t="s">
        <v>74</v>
      </c>
      <c r="S1564" t="s">
        <v>74</v>
      </c>
      <c r="T1564" t="s">
        <v>1843</v>
      </c>
      <c r="U1564" t="s">
        <v>1844</v>
      </c>
      <c r="V1564" t="s">
        <v>1845</v>
      </c>
      <c r="W1564" t="s">
        <v>1846</v>
      </c>
      <c r="X1564" t="s">
        <v>1847</v>
      </c>
      <c r="Y1564" t="s">
        <v>1848</v>
      </c>
      <c r="Z1564" t="s">
        <v>1849</v>
      </c>
      <c r="AA1564" t="s">
        <v>1850</v>
      </c>
      <c r="AB1564" t="s">
        <v>1851</v>
      </c>
      <c r="AC1564" t="s">
        <v>74</v>
      </c>
      <c r="AD1564" t="s">
        <v>74</v>
      </c>
      <c r="AE1564" t="s">
        <v>74</v>
      </c>
      <c r="AF1564" t="s">
        <v>74</v>
      </c>
      <c r="AG1564">
        <v>37</v>
      </c>
      <c r="AH1564">
        <v>3</v>
      </c>
      <c r="AI1564">
        <v>4</v>
      </c>
      <c r="AJ1564">
        <v>1</v>
      </c>
      <c r="AK1564">
        <v>9</v>
      </c>
      <c r="AL1564" t="s">
        <v>74</v>
      </c>
      <c r="AM1564" t="s">
        <v>74</v>
      </c>
      <c r="AN1564" t="s">
        <v>74</v>
      </c>
      <c r="AO1564" t="s">
        <v>1852</v>
      </c>
      <c r="AP1564" t="s">
        <v>1853</v>
      </c>
      <c r="AQ1564" t="s">
        <v>74</v>
      </c>
      <c r="AR1564" t="s">
        <v>74</v>
      </c>
      <c r="AS1564" t="s">
        <v>74</v>
      </c>
      <c r="AT1564" t="s">
        <v>531</v>
      </c>
      <c r="AU1564">
        <v>2019</v>
      </c>
      <c r="AV1564">
        <v>28</v>
      </c>
      <c r="AW1564">
        <v>9</v>
      </c>
      <c r="AX1564" t="s">
        <v>74</v>
      </c>
      <c r="AY1564" t="s">
        <v>74</v>
      </c>
      <c r="AZ1564" t="s">
        <v>74</v>
      </c>
      <c r="BA1564" t="s">
        <v>74</v>
      </c>
      <c r="BB1564">
        <v>1066</v>
      </c>
      <c r="BC1564">
        <v>1073</v>
      </c>
      <c r="BD1564" t="s">
        <v>74</v>
      </c>
      <c r="BE1564" t="s">
        <v>1854</v>
      </c>
      <c r="BF1564" t="str">
        <f>HYPERLINK("http://dx.doi.org/10.1111/exd.14015","http://dx.doi.org/10.1111/exd.14015")</f>
        <v>http://dx.doi.org/10.1111/exd.14015</v>
      </c>
      <c r="BG1564" t="s">
        <v>74</v>
      </c>
      <c r="BH1564" t="s">
        <v>74</v>
      </c>
      <c r="BI1564" t="s">
        <v>74</v>
      </c>
      <c r="BJ1564" t="s">
        <v>1855</v>
      </c>
      <c r="BK1564" t="s">
        <v>117</v>
      </c>
      <c r="BL1564" t="s">
        <v>1855</v>
      </c>
      <c r="BM1564" t="s">
        <v>74</v>
      </c>
      <c r="BN1564">
        <v>31373041</v>
      </c>
      <c r="BO1564" t="s">
        <v>74</v>
      </c>
      <c r="BP1564" t="s">
        <v>74</v>
      </c>
      <c r="BQ1564" t="s">
        <v>74</v>
      </c>
      <c r="BR1564" t="s">
        <v>96</v>
      </c>
      <c r="BS1564" t="s">
        <v>1856</v>
      </c>
      <c r="BT1564" t="str">
        <f>HYPERLINK("https%3A%2F%2Fwww.webofscience.com%2Fwos%2Fwoscc%2Ffull-record%2FWOS:000484460700011","View Full Record in Web of Science")</f>
        <v>View Full Record in Web of Science</v>
      </c>
    </row>
    <row r="1565" spans="1:72" x14ac:dyDescent="0.15">
      <c r="A1565" t="s">
        <v>98</v>
      </c>
      <c r="B1565" t="s">
        <v>2230</v>
      </c>
      <c r="C1565" t="s">
        <v>74</v>
      </c>
      <c r="D1565" t="s">
        <v>74</v>
      </c>
      <c r="E1565" t="s">
        <v>74</v>
      </c>
      <c r="F1565" t="s">
        <v>2231</v>
      </c>
      <c r="G1565" t="s">
        <v>74</v>
      </c>
      <c r="H1565" t="s">
        <v>74</v>
      </c>
      <c r="I1565" t="s">
        <v>2232</v>
      </c>
      <c r="J1565" t="s">
        <v>2233</v>
      </c>
      <c r="K1565" t="s">
        <v>74</v>
      </c>
      <c r="L1565" t="s">
        <v>74</v>
      </c>
      <c r="M1565" t="s">
        <v>74</v>
      </c>
      <c r="N1565" t="s">
        <v>103</v>
      </c>
      <c r="O1565" t="s">
        <v>74</v>
      </c>
      <c r="P1565" t="s">
        <v>74</v>
      </c>
      <c r="Q1565" t="s">
        <v>74</v>
      </c>
      <c r="R1565" t="s">
        <v>74</v>
      </c>
      <c r="S1565" t="s">
        <v>74</v>
      </c>
      <c r="T1565" t="s">
        <v>2234</v>
      </c>
      <c r="U1565" t="s">
        <v>2235</v>
      </c>
      <c r="V1565" t="s">
        <v>2236</v>
      </c>
      <c r="W1565" t="s">
        <v>2237</v>
      </c>
      <c r="X1565" t="s">
        <v>2238</v>
      </c>
      <c r="Y1565" t="s">
        <v>2239</v>
      </c>
      <c r="Z1565" t="s">
        <v>2240</v>
      </c>
      <c r="AA1565" t="s">
        <v>1287</v>
      </c>
      <c r="AB1565" t="s">
        <v>74</v>
      </c>
      <c r="AC1565" t="s">
        <v>74</v>
      </c>
      <c r="AD1565" t="s">
        <v>74</v>
      </c>
      <c r="AE1565" t="s">
        <v>74</v>
      </c>
      <c r="AF1565" t="s">
        <v>74</v>
      </c>
      <c r="AG1565">
        <v>139</v>
      </c>
      <c r="AH1565">
        <v>3</v>
      </c>
      <c r="AI1565">
        <v>3</v>
      </c>
      <c r="AJ1565">
        <v>17</v>
      </c>
      <c r="AK1565">
        <v>19</v>
      </c>
      <c r="AL1565" t="s">
        <v>74</v>
      </c>
      <c r="AM1565" t="s">
        <v>74</v>
      </c>
      <c r="AN1565" t="s">
        <v>74</v>
      </c>
      <c r="AO1565" t="s">
        <v>74</v>
      </c>
      <c r="AP1565" t="s">
        <v>2241</v>
      </c>
      <c r="AQ1565" t="s">
        <v>74</v>
      </c>
      <c r="AR1565" t="s">
        <v>74</v>
      </c>
      <c r="AS1565" t="s">
        <v>74</v>
      </c>
      <c r="AT1565" t="s">
        <v>114</v>
      </c>
      <c r="AU1565">
        <v>2022</v>
      </c>
      <c r="AV1565">
        <v>13</v>
      </c>
      <c r="AW1565">
        <v>1</v>
      </c>
      <c r="AX1565" t="s">
        <v>74</v>
      </c>
      <c r="AY1565" t="s">
        <v>74</v>
      </c>
      <c r="AZ1565" t="s">
        <v>74</v>
      </c>
      <c r="BA1565" t="s">
        <v>74</v>
      </c>
      <c r="BB1565" t="s">
        <v>74</v>
      </c>
      <c r="BC1565" t="s">
        <v>74</v>
      </c>
      <c r="BD1565">
        <v>139</v>
      </c>
      <c r="BE1565" t="s">
        <v>2242</v>
      </c>
      <c r="BF1565" t="str">
        <f>HYPERLINK("http://dx.doi.org/10.3390/mi13010139","http://dx.doi.org/10.3390/mi13010139")</f>
        <v>http://dx.doi.org/10.3390/mi13010139</v>
      </c>
      <c r="BG1565" t="s">
        <v>74</v>
      </c>
      <c r="BH1565" t="s">
        <v>74</v>
      </c>
      <c r="BI1565" t="s">
        <v>74</v>
      </c>
      <c r="BJ1565" t="s">
        <v>2243</v>
      </c>
      <c r="BK1565" t="s">
        <v>117</v>
      </c>
      <c r="BL1565" t="s">
        <v>2244</v>
      </c>
      <c r="BM1565" t="s">
        <v>74</v>
      </c>
      <c r="BN1565">
        <v>35056304</v>
      </c>
      <c r="BO1565" t="s">
        <v>74</v>
      </c>
      <c r="BP1565" t="s">
        <v>74</v>
      </c>
      <c r="BQ1565" t="s">
        <v>74</v>
      </c>
      <c r="BR1565" t="s">
        <v>96</v>
      </c>
      <c r="BS1565" t="s">
        <v>2245</v>
      </c>
      <c r="BT1565" t="str">
        <f>HYPERLINK("https%3A%2F%2Fwww.webofscience.com%2Fwos%2Fwoscc%2Ffull-record%2FWOS:000747108500001","View Full Record in Web of Science")</f>
        <v>View Full Record in Web of Science</v>
      </c>
    </row>
    <row r="1566" spans="1:72" x14ac:dyDescent="0.15">
      <c r="A1566" t="s">
        <v>72</v>
      </c>
      <c r="B1566" t="s">
        <v>2942</v>
      </c>
      <c r="C1566" t="s">
        <v>74</v>
      </c>
      <c r="D1566" t="s">
        <v>2943</v>
      </c>
      <c r="E1566" t="s">
        <v>74</v>
      </c>
      <c r="F1566" t="s">
        <v>2944</v>
      </c>
      <c r="G1566" t="s">
        <v>74</v>
      </c>
      <c r="H1566" t="s">
        <v>74</v>
      </c>
      <c r="I1566" t="s">
        <v>2945</v>
      </c>
      <c r="J1566" t="s">
        <v>2946</v>
      </c>
      <c r="K1566" t="s">
        <v>2947</v>
      </c>
      <c r="L1566" t="s">
        <v>74</v>
      </c>
      <c r="M1566" t="s">
        <v>74</v>
      </c>
      <c r="N1566" t="s">
        <v>80</v>
      </c>
      <c r="O1566" t="s">
        <v>74</v>
      </c>
      <c r="P1566" t="s">
        <v>74</v>
      </c>
      <c r="Q1566" t="s">
        <v>74</v>
      </c>
      <c r="R1566" t="s">
        <v>74</v>
      </c>
      <c r="S1566" t="s">
        <v>74</v>
      </c>
      <c r="T1566" t="s">
        <v>2948</v>
      </c>
      <c r="U1566" t="s">
        <v>2949</v>
      </c>
      <c r="V1566" t="s">
        <v>2950</v>
      </c>
      <c r="W1566" t="s">
        <v>2951</v>
      </c>
      <c r="X1566" t="s">
        <v>2952</v>
      </c>
      <c r="Y1566" t="s">
        <v>2953</v>
      </c>
      <c r="Z1566" t="s">
        <v>74</v>
      </c>
      <c r="AA1566" t="s">
        <v>74</v>
      </c>
      <c r="AB1566" t="s">
        <v>74</v>
      </c>
      <c r="AC1566" t="s">
        <v>74</v>
      </c>
      <c r="AD1566" t="s">
        <v>74</v>
      </c>
      <c r="AE1566" t="s">
        <v>74</v>
      </c>
      <c r="AF1566" t="s">
        <v>74</v>
      </c>
      <c r="AG1566">
        <v>241</v>
      </c>
      <c r="AH1566">
        <v>3</v>
      </c>
      <c r="AI1566">
        <v>3</v>
      </c>
      <c r="AJ1566">
        <v>6</v>
      </c>
      <c r="AK1566">
        <v>12</v>
      </c>
      <c r="AL1566" t="s">
        <v>74</v>
      </c>
      <c r="AM1566" t="s">
        <v>74</v>
      </c>
      <c r="AN1566" t="s">
        <v>74</v>
      </c>
      <c r="AO1566" t="s">
        <v>2954</v>
      </c>
      <c r="AP1566" t="s">
        <v>2955</v>
      </c>
      <c r="AQ1566" t="s">
        <v>2956</v>
      </c>
      <c r="AR1566" t="s">
        <v>74</v>
      </c>
      <c r="AS1566" t="s">
        <v>74</v>
      </c>
      <c r="AT1566" t="s">
        <v>74</v>
      </c>
      <c r="AU1566">
        <v>2021</v>
      </c>
      <c r="AV1566">
        <v>1275</v>
      </c>
      <c r="AW1566" t="s">
        <v>74</v>
      </c>
      <c r="AX1566" t="s">
        <v>74</v>
      </c>
      <c r="AY1566" t="s">
        <v>74</v>
      </c>
      <c r="AZ1566" t="s">
        <v>74</v>
      </c>
      <c r="BA1566" t="s">
        <v>74</v>
      </c>
      <c r="BB1566">
        <v>101</v>
      </c>
      <c r="BC1566">
        <v>131</v>
      </c>
      <c r="BD1566" t="s">
        <v>74</v>
      </c>
      <c r="BE1566" t="s">
        <v>2957</v>
      </c>
      <c r="BF1566" t="str">
        <f>HYPERLINK("http://dx.doi.org/10.1007/978-3-030-49844-3_4","http://dx.doi.org/10.1007/978-3-030-49844-3_4")</f>
        <v>http://dx.doi.org/10.1007/978-3-030-49844-3_4</v>
      </c>
      <c r="BG1566" t="s">
        <v>2958</v>
      </c>
      <c r="BH1566" t="s">
        <v>74</v>
      </c>
      <c r="BI1566" t="s">
        <v>74</v>
      </c>
      <c r="BJ1566" t="s">
        <v>2959</v>
      </c>
      <c r="BK1566" t="s">
        <v>2960</v>
      </c>
      <c r="BL1566" t="s">
        <v>2961</v>
      </c>
      <c r="BM1566" t="s">
        <v>74</v>
      </c>
      <c r="BN1566">
        <v>33539013</v>
      </c>
      <c r="BO1566" t="s">
        <v>74</v>
      </c>
      <c r="BP1566" t="s">
        <v>74</v>
      </c>
      <c r="BQ1566" t="s">
        <v>74</v>
      </c>
      <c r="BR1566" t="s">
        <v>96</v>
      </c>
      <c r="BS1566" t="s">
        <v>2962</v>
      </c>
      <c r="BT1566" t="str">
        <f>HYPERLINK("https%3A%2F%2Fwww.webofscience.com%2Fwos%2Fwoscc%2Ffull-record%2FWOS:000624289200004","View Full Record in Web of Science")</f>
        <v>View Full Record in Web of Science</v>
      </c>
    </row>
    <row r="1567" spans="1:72" x14ac:dyDescent="0.15">
      <c r="A1567" t="s">
        <v>98</v>
      </c>
      <c r="B1567" t="s">
        <v>3101</v>
      </c>
      <c r="C1567" t="s">
        <v>74</v>
      </c>
      <c r="D1567" t="s">
        <v>74</v>
      </c>
      <c r="E1567" t="s">
        <v>74</v>
      </c>
      <c r="F1567" t="s">
        <v>3102</v>
      </c>
      <c r="G1567" t="s">
        <v>74</v>
      </c>
      <c r="H1567" t="s">
        <v>74</v>
      </c>
      <c r="I1567" t="s">
        <v>3103</v>
      </c>
      <c r="J1567" t="s">
        <v>3104</v>
      </c>
      <c r="K1567" t="s">
        <v>74</v>
      </c>
      <c r="L1567" t="s">
        <v>74</v>
      </c>
      <c r="M1567" t="s">
        <v>74</v>
      </c>
      <c r="N1567" t="s">
        <v>103</v>
      </c>
      <c r="O1567" t="s">
        <v>74</v>
      </c>
      <c r="P1567" t="s">
        <v>74</v>
      </c>
      <c r="Q1567" t="s">
        <v>74</v>
      </c>
      <c r="R1567" t="s">
        <v>74</v>
      </c>
      <c r="S1567" t="s">
        <v>74</v>
      </c>
      <c r="T1567" t="s">
        <v>3105</v>
      </c>
      <c r="U1567" t="s">
        <v>3106</v>
      </c>
      <c r="V1567" t="s">
        <v>3107</v>
      </c>
      <c r="W1567" t="s">
        <v>3108</v>
      </c>
      <c r="X1567" t="s">
        <v>3109</v>
      </c>
      <c r="Y1567" t="s">
        <v>3110</v>
      </c>
      <c r="Z1567" t="s">
        <v>3111</v>
      </c>
      <c r="AA1567" t="s">
        <v>74</v>
      </c>
      <c r="AB1567" t="s">
        <v>74</v>
      </c>
      <c r="AC1567" t="s">
        <v>74</v>
      </c>
      <c r="AD1567" t="s">
        <v>74</v>
      </c>
      <c r="AE1567" t="s">
        <v>74</v>
      </c>
      <c r="AF1567" t="s">
        <v>74</v>
      </c>
      <c r="AG1567">
        <v>47</v>
      </c>
      <c r="AH1567">
        <v>3</v>
      </c>
      <c r="AI1567">
        <v>3</v>
      </c>
      <c r="AJ1567">
        <v>2</v>
      </c>
      <c r="AK1567">
        <v>9</v>
      </c>
      <c r="AL1567" t="s">
        <v>74</v>
      </c>
      <c r="AM1567" t="s">
        <v>74</v>
      </c>
      <c r="AN1567" t="s">
        <v>74</v>
      </c>
      <c r="AO1567" t="s">
        <v>3112</v>
      </c>
      <c r="AP1567" t="s">
        <v>3113</v>
      </c>
      <c r="AQ1567" t="s">
        <v>74</v>
      </c>
      <c r="AR1567" t="s">
        <v>74</v>
      </c>
      <c r="AS1567" t="s">
        <v>74</v>
      </c>
      <c r="AT1567" t="s">
        <v>967</v>
      </c>
      <c r="AU1567">
        <v>2020</v>
      </c>
      <c r="AV1567">
        <v>16</v>
      </c>
      <c r="AW1567">
        <v>6</v>
      </c>
      <c r="AX1567" t="s">
        <v>74</v>
      </c>
      <c r="AY1567" t="s">
        <v>74</v>
      </c>
      <c r="AZ1567" t="s">
        <v>74</v>
      </c>
      <c r="BA1567" t="s">
        <v>74</v>
      </c>
      <c r="BB1567">
        <v>1343</v>
      </c>
      <c r="BC1567">
        <v>1355</v>
      </c>
      <c r="BD1567" t="s">
        <v>74</v>
      </c>
      <c r="BE1567" t="s">
        <v>3114</v>
      </c>
      <c r="BF1567" t="str">
        <f>HYPERLINK("http://dx.doi.org/10.1007/s12015-020-10035-4","http://dx.doi.org/10.1007/s12015-020-10035-4")</f>
        <v>http://dx.doi.org/10.1007/s12015-020-10035-4</v>
      </c>
      <c r="BG1567" t="s">
        <v>74</v>
      </c>
      <c r="BH1567" t="s">
        <v>1479</v>
      </c>
      <c r="BI1567" t="s">
        <v>74</v>
      </c>
      <c r="BJ1567" t="s">
        <v>3115</v>
      </c>
      <c r="BK1567" t="s">
        <v>117</v>
      </c>
      <c r="BL1567" t="s">
        <v>3116</v>
      </c>
      <c r="BM1567" t="s">
        <v>74</v>
      </c>
      <c r="BN1567">
        <v>32880856</v>
      </c>
      <c r="BO1567" t="s">
        <v>74</v>
      </c>
      <c r="BP1567" t="s">
        <v>74</v>
      </c>
      <c r="BQ1567" t="s">
        <v>74</v>
      </c>
      <c r="BR1567" t="s">
        <v>96</v>
      </c>
      <c r="BS1567" t="s">
        <v>3117</v>
      </c>
      <c r="BT1567" t="str">
        <f>HYPERLINK("https%3A%2F%2Fwww.webofscience.com%2Fwos%2Fwoscc%2Ffull-record%2FWOS:000565828800002","View Full Record in Web of Science")</f>
        <v>View Full Record in Web of Science</v>
      </c>
    </row>
    <row r="1568" spans="1:72" x14ac:dyDescent="0.15">
      <c r="A1568" t="s">
        <v>98</v>
      </c>
      <c r="B1568" t="s">
        <v>3948</v>
      </c>
      <c r="C1568" t="s">
        <v>74</v>
      </c>
      <c r="D1568" t="s">
        <v>74</v>
      </c>
      <c r="E1568" t="s">
        <v>74</v>
      </c>
      <c r="F1568" t="s">
        <v>3949</v>
      </c>
      <c r="G1568" t="s">
        <v>74</v>
      </c>
      <c r="H1568" t="s">
        <v>74</v>
      </c>
      <c r="I1568" t="s">
        <v>3950</v>
      </c>
      <c r="J1568" t="s">
        <v>658</v>
      </c>
      <c r="K1568" t="s">
        <v>74</v>
      </c>
      <c r="L1568" t="s">
        <v>74</v>
      </c>
      <c r="M1568" t="s">
        <v>74</v>
      </c>
      <c r="N1568" t="s">
        <v>103</v>
      </c>
      <c r="O1568" t="s">
        <v>74</v>
      </c>
      <c r="P1568" t="s">
        <v>74</v>
      </c>
      <c r="Q1568" t="s">
        <v>74</v>
      </c>
      <c r="R1568" t="s">
        <v>74</v>
      </c>
      <c r="S1568" t="s">
        <v>74</v>
      </c>
      <c r="T1568" t="s">
        <v>3951</v>
      </c>
      <c r="U1568" t="s">
        <v>3952</v>
      </c>
      <c r="V1568" t="s">
        <v>3953</v>
      </c>
      <c r="W1568" t="s">
        <v>3954</v>
      </c>
      <c r="X1568" t="s">
        <v>3955</v>
      </c>
      <c r="Y1568" t="s">
        <v>3956</v>
      </c>
      <c r="Z1568" t="s">
        <v>3957</v>
      </c>
      <c r="AA1568" t="s">
        <v>3958</v>
      </c>
      <c r="AB1568" t="s">
        <v>3959</v>
      </c>
      <c r="AC1568" t="s">
        <v>74</v>
      </c>
      <c r="AD1568" t="s">
        <v>74</v>
      </c>
      <c r="AE1568" t="s">
        <v>74</v>
      </c>
      <c r="AF1568" t="s">
        <v>74</v>
      </c>
      <c r="AG1568">
        <v>72</v>
      </c>
      <c r="AH1568">
        <v>3</v>
      </c>
      <c r="AI1568">
        <v>3</v>
      </c>
      <c r="AJ1568">
        <v>10</v>
      </c>
      <c r="AK1568">
        <v>10</v>
      </c>
      <c r="AL1568" t="s">
        <v>74</v>
      </c>
      <c r="AM1568" t="s">
        <v>74</v>
      </c>
      <c r="AN1568" t="s">
        <v>74</v>
      </c>
      <c r="AO1568" t="s">
        <v>668</v>
      </c>
      <c r="AP1568" t="s">
        <v>3960</v>
      </c>
      <c r="AQ1568" t="s">
        <v>74</v>
      </c>
      <c r="AR1568" t="s">
        <v>74</v>
      </c>
      <c r="AS1568" t="s">
        <v>74</v>
      </c>
      <c r="AT1568" t="s">
        <v>3961</v>
      </c>
      <c r="AU1568">
        <v>2022</v>
      </c>
      <c r="AV1568">
        <v>119</v>
      </c>
      <c r="AW1568">
        <v>17</v>
      </c>
      <c r="AX1568" t="s">
        <v>74</v>
      </c>
      <c r="AY1568" t="s">
        <v>74</v>
      </c>
      <c r="AZ1568" t="s">
        <v>74</v>
      </c>
      <c r="BA1568" t="s">
        <v>74</v>
      </c>
      <c r="BB1568" t="s">
        <v>74</v>
      </c>
      <c r="BC1568" t="s">
        <v>74</v>
      </c>
      <c r="BD1568" t="s">
        <v>3962</v>
      </c>
      <c r="BE1568" t="s">
        <v>3963</v>
      </c>
      <c r="BF1568" t="str">
        <f>HYPERLINK("http://dx.doi.org/10.1073/pnas.2107394119","http://dx.doi.org/10.1073/pnas.2107394119")</f>
        <v>http://dx.doi.org/10.1073/pnas.2107394119</v>
      </c>
      <c r="BG1568" t="s">
        <v>74</v>
      </c>
      <c r="BH1568" t="s">
        <v>74</v>
      </c>
      <c r="BI1568" t="s">
        <v>74</v>
      </c>
      <c r="BJ1568" t="s">
        <v>152</v>
      </c>
      <c r="BK1568" t="s">
        <v>117</v>
      </c>
      <c r="BL1568" t="s">
        <v>153</v>
      </c>
      <c r="BM1568" t="s">
        <v>74</v>
      </c>
      <c r="BN1568">
        <v>35439048</v>
      </c>
      <c r="BO1568" t="s">
        <v>74</v>
      </c>
      <c r="BP1568" t="s">
        <v>74</v>
      </c>
      <c r="BQ1568" t="s">
        <v>74</v>
      </c>
      <c r="BR1568" t="s">
        <v>96</v>
      </c>
      <c r="BS1568" t="s">
        <v>3964</v>
      </c>
      <c r="BT1568" t="str">
        <f>HYPERLINK("https%3A%2F%2Fwww.webofscience.com%2Fwos%2Fwoscc%2Ffull-record%2FWOS:000796327900015","View Full Record in Web of Science")</f>
        <v>View Full Record in Web of Science</v>
      </c>
    </row>
    <row r="1569" spans="1:72" x14ac:dyDescent="0.15">
      <c r="A1569" t="s">
        <v>98</v>
      </c>
      <c r="B1569" t="s">
        <v>4011</v>
      </c>
      <c r="C1569" t="s">
        <v>74</v>
      </c>
      <c r="D1569" t="s">
        <v>74</v>
      </c>
      <c r="E1569" t="s">
        <v>74</v>
      </c>
      <c r="F1569" t="s">
        <v>4012</v>
      </c>
      <c r="G1569" t="s">
        <v>74</v>
      </c>
      <c r="H1569" t="s">
        <v>74</v>
      </c>
      <c r="I1569" t="s">
        <v>4013</v>
      </c>
      <c r="J1569" t="s">
        <v>4014</v>
      </c>
      <c r="K1569" t="s">
        <v>74</v>
      </c>
      <c r="L1569" t="s">
        <v>74</v>
      </c>
      <c r="M1569" t="s">
        <v>74</v>
      </c>
      <c r="N1569" t="s">
        <v>103</v>
      </c>
      <c r="O1569" t="s">
        <v>74</v>
      </c>
      <c r="P1569" t="s">
        <v>74</v>
      </c>
      <c r="Q1569" t="s">
        <v>74</v>
      </c>
      <c r="R1569" t="s">
        <v>74</v>
      </c>
      <c r="S1569" t="s">
        <v>74</v>
      </c>
      <c r="T1569" t="s">
        <v>4015</v>
      </c>
      <c r="U1569" t="s">
        <v>4016</v>
      </c>
      <c r="V1569" t="s">
        <v>4017</v>
      </c>
      <c r="W1569" t="s">
        <v>4018</v>
      </c>
      <c r="X1569" t="s">
        <v>4019</v>
      </c>
      <c r="Y1569" t="s">
        <v>4020</v>
      </c>
      <c r="Z1569" t="s">
        <v>4021</v>
      </c>
      <c r="AA1569" t="s">
        <v>74</v>
      </c>
      <c r="AB1569" t="s">
        <v>4022</v>
      </c>
      <c r="AC1569" t="s">
        <v>74</v>
      </c>
      <c r="AD1569" t="s">
        <v>74</v>
      </c>
      <c r="AE1569" t="s">
        <v>74</v>
      </c>
      <c r="AF1569" t="s">
        <v>74</v>
      </c>
      <c r="AG1569">
        <v>51</v>
      </c>
      <c r="AH1569">
        <v>3</v>
      </c>
      <c r="AI1569">
        <v>3</v>
      </c>
      <c r="AJ1569">
        <v>4</v>
      </c>
      <c r="AK1569">
        <v>14</v>
      </c>
      <c r="AL1569" t="s">
        <v>74</v>
      </c>
      <c r="AM1569" t="s">
        <v>74</v>
      </c>
      <c r="AN1569" t="s">
        <v>74</v>
      </c>
      <c r="AO1569" t="s">
        <v>74</v>
      </c>
      <c r="AP1569" t="s">
        <v>4023</v>
      </c>
      <c r="AQ1569" t="s">
        <v>74</v>
      </c>
      <c r="AR1569" t="s">
        <v>74</v>
      </c>
      <c r="AS1569" t="s">
        <v>74</v>
      </c>
      <c r="AT1569" t="s">
        <v>4024</v>
      </c>
      <c r="AU1569">
        <v>2020</v>
      </c>
      <c r="AV1569">
        <v>7</v>
      </c>
      <c r="AW1569" t="s">
        <v>74</v>
      </c>
      <c r="AX1569" t="s">
        <v>74</v>
      </c>
      <c r="AY1569" t="s">
        <v>74</v>
      </c>
      <c r="AZ1569" t="s">
        <v>74</v>
      </c>
      <c r="BA1569" t="s">
        <v>74</v>
      </c>
      <c r="BB1569" t="s">
        <v>74</v>
      </c>
      <c r="BC1569" t="s">
        <v>74</v>
      </c>
      <c r="BD1569">
        <v>585276</v>
      </c>
      <c r="BE1569" t="s">
        <v>4025</v>
      </c>
      <c r="BF1569" t="str">
        <f>HYPERLINK("http://dx.doi.org/10.3389/fvets.2020.585276","http://dx.doi.org/10.3389/fvets.2020.585276")</f>
        <v>http://dx.doi.org/10.3389/fvets.2020.585276</v>
      </c>
      <c r="BG1569" t="s">
        <v>74</v>
      </c>
      <c r="BH1569" t="s">
        <v>74</v>
      </c>
      <c r="BI1569" t="s">
        <v>74</v>
      </c>
      <c r="BJ1569" t="s">
        <v>1341</v>
      </c>
      <c r="BK1569" t="s">
        <v>117</v>
      </c>
      <c r="BL1569" t="s">
        <v>1341</v>
      </c>
      <c r="BM1569" t="s">
        <v>74</v>
      </c>
      <c r="BN1569">
        <v>33263017</v>
      </c>
      <c r="BO1569" t="s">
        <v>74</v>
      </c>
      <c r="BP1569" t="s">
        <v>74</v>
      </c>
      <c r="BQ1569" t="s">
        <v>74</v>
      </c>
      <c r="BR1569" t="s">
        <v>96</v>
      </c>
      <c r="BS1569" t="s">
        <v>4026</v>
      </c>
      <c r="BT1569" t="str">
        <f>HYPERLINK("https%3A%2F%2Fwww.webofscience.com%2Fwos%2Fwoscc%2Ffull-record%2FWOS:000591903200001","View Full Record in Web of Science")</f>
        <v>View Full Record in Web of Science</v>
      </c>
    </row>
    <row r="1570" spans="1:72" x14ac:dyDescent="0.15">
      <c r="A1570" t="s">
        <v>98</v>
      </c>
      <c r="B1570" t="s">
        <v>4027</v>
      </c>
      <c r="C1570" t="s">
        <v>74</v>
      </c>
      <c r="D1570" t="s">
        <v>74</v>
      </c>
      <c r="E1570" t="s">
        <v>74</v>
      </c>
      <c r="F1570" t="s">
        <v>4028</v>
      </c>
      <c r="G1570" t="s">
        <v>74</v>
      </c>
      <c r="H1570" t="s">
        <v>74</v>
      </c>
      <c r="I1570" t="s">
        <v>4029</v>
      </c>
      <c r="J1570" t="s">
        <v>4030</v>
      </c>
      <c r="K1570" t="s">
        <v>74</v>
      </c>
      <c r="L1570" t="s">
        <v>74</v>
      </c>
      <c r="M1570" t="s">
        <v>74</v>
      </c>
      <c r="N1570" t="s">
        <v>103</v>
      </c>
      <c r="O1570" t="s">
        <v>74</v>
      </c>
      <c r="P1570" t="s">
        <v>74</v>
      </c>
      <c r="Q1570" t="s">
        <v>74</v>
      </c>
      <c r="R1570" t="s">
        <v>74</v>
      </c>
      <c r="S1570" t="s">
        <v>74</v>
      </c>
      <c r="T1570" t="s">
        <v>4031</v>
      </c>
      <c r="U1570" t="s">
        <v>4032</v>
      </c>
      <c r="V1570" t="s">
        <v>4033</v>
      </c>
      <c r="W1570" t="s">
        <v>4034</v>
      </c>
      <c r="X1570" t="s">
        <v>4035</v>
      </c>
      <c r="Y1570" t="s">
        <v>4036</v>
      </c>
      <c r="Z1570" t="s">
        <v>1621</v>
      </c>
      <c r="AA1570" t="s">
        <v>74</v>
      </c>
      <c r="AB1570" t="s">
        <v>74</v>
      </c>
      <c r="AC1570" t="s">
        <v>74</v>
      </c>
      <c r="AD1570" t="s">
        <v>74</v>
      </c>
      <c r="AE1570" t="s">
        <v>74</v>
      </c>
      <c r="AF1570" t="s">
        <v>74</v>
      </c>
      <c r="AG1570">
        <v>35</v>
      </c>
      <c r="AH1570">
        <v>3</v>
      </c>
      <c r="AI1570">
        <v>3</v>
      </c>
      <c r="AJ1570">
        <v>1</v>
      </c>
      <c r="AK1570">
        <v>5</v>
      </c>
      <c r="AL1570" t="s">
        <v>74</v>
      </c>
      <c r="AM1570" t="s">
        <v>74</v>
      </c>
      <c r="AN1570" t="s">
        <v>74</v>
      </c>
      <c r="AO1570" t="s">
        <v>4037</v>
      </c>
      <c r="AP1570" t="s">
        <v>74</v>
      </c>
      <c r="AQ1570" t="s">
        <v>74</v>
      </c>
      <c r="AR1570" t="s">
        <v>74</v>
      </c>
      <c r="AS1570" t="s">
        <v>74</v>
      </c>
      <c r="AT1570" t="s">
        <v>4038</v>
      </c>
      <c r="AU1570">
        <v>2021</v>
      </c>
      <c r="AV1570">
        <v>9</v>
      </c>
      <c r="AW1570" t="s">
        <v>74</v>
      </c>
      <c r="AX1570" t="s">
        <v>74</v>
      </c>
      <c r="AY1570" t="s">
        <v>74</v>
      </c>
      <c r="AZ1570" t="s">
        <v>74</v>
      </c>
      <c r="BA1570" t="s">
        <v>74</v>
      </c>
      <c r="BB1570" t="s">
        <v>74</v>
      </c>
      <c r="BC1570" t="s">
        <v>74</v>
      </c>
      <c r="BD1570">
        <v>686510</v>
      </c>
      <c r="BE1570" t="s">
        <v>4039</v>
      </c>
      <c r="BF1570" t="str">
        <f>HYPERLINK("http://dx.doi.org/10.3389/fbioe.2021.686510","http://dx.doi.org/10.3389/fbioe.2021.686510")</f>
        <v>http://dx.doi.org/10.3389/fbioe.2021.686510</v>
      </c>
      <c r="BG1570" t="s">
        <v>74</v>
      </c>
      <c r="BH1570" t="s">
        <v>74</v>
      </c>
      <c r="BI1570" t="s">
        <v>74</v>
      </c>
      <c r="BJ1570" t="s">
        <v>4040</v>
      </c>
      <c r="BK1570" t="s">
        <v>117</v>
      </c>
      <c r="BL1570" t="s">
        <v>3878</v>
      </c>
      <c r="BM1570" t="s">
        <v>74</v>
      </c>
      <c r="BN1570">
        <v>34178970</v>
      </c>
      <c r="BO1570" t="s">
        <v>74</v>
      </c>
      <c r="BP1570" t="s">
        <v>74</v>
      </c>
      <c r="BQ1570" t="s">
        <v>74</v>
      </c>
      <c r="BR1570" t="s">
        <v>96</v>
      </c>
      <c r="BS1570" t="s">
        <v>4041</v>
      </c>
      <c r="BT1570" t="str">
        <f>HYPERLINK("https%3A%2F%2Fwww.webofscience.com%2Fwos%2Fwoscc%2Ffull-record%2FWOS:000664508700001","View Full Record in Web of Science")</f>
        <v>View Full Record in Web of Science</v>
      </c>
    </row>
    <row r="1571" spans="1:72" x14ac:dyDescent="0.15">
      <c r="A1571" t="s">
        <v>98</v>
      </c>
      <c r="B1571" t="s">
        <v>4483</v>
      </c>
      <c r="C1571" t="s">
        <v>74</v>
      </c>
      <c r="D1571" t="s">
        <v>74</v>
      </c>
      <c r="E1571" t="s">
        <v>74</v>
      </c>
      <c r="F1571" t="s">
        <v>4484</v>
      </c>
      <c r="G1571" t="s">
        <v>74</v>
      </c>
      <c r="H1571" t="s">
        <v>74</v>
      </c>
      <c r="I1571" t="s">
        <v>4485</v>
      </c>
      <c r="J1571" t="s">
        <v>4486</v>
      </c>
      <c r="K1571" t="s">
        <v>74</v>
      </c>
      <c r="L1571" t="s">
        <v>74</v>
      </c>
      <c r="M1571" t="s">
        <v>74</v>
      </c>
      <c r="N1571" t="s">
        <v>103</v>
      </c>
      <c r="O1571" t="s">
        <v>74</v>
      </c>
      <c r="P1571" t="s">
        <v>74</v>
      </c>
      <c r="Q1571" t="s">
        <v>74</v>
      </c>
      <c r="R1571" t="s">
        <v>74</v>
      </c>
      <c r="S1571" t="s">
        <v>74</v>
      </c>
      <c r="T1571" t="s">
        <v>74</v>
      </c>
      <c r="U1571" t="s">
        <v>74</v>
      </c>
      <c r="V1571" t="s">
        <v>4487</v>
      </c>
      <c r="W1571" t="s">
        <v>4488</v>
      </c>
      <c r="X1571" t="s">
        <v>4489</v>
      </c>
      <c r="Y1571" t="s">
        <v>4490</v>
      </c>
      <c r="Z1571" t="s">
        <v>1112</v>
      </c>
      <c r="AA1571" t="s">
        <v>4491</v>
      </c>
      <c r="AB1571" t="s">
        <v>4492</v>
      </c>
      <c r="AC1571" t="s">
        <v>74</v>
      </c>
      <c r="AD1571" t="s">
        <v>74</v>
      </c>
      <c r="AE1571" t="s">
        <v>74</v>
      </c>
      <c r="AF1571" t="s">
        <v>74</v>
      </c>
      <c r="AG1571">
        <v>20</v>
      </c>
      <c r="AH1571">
        <v>3</v>
      </c>
      <c r="AI1571">
        <v>3</v>
      </c>
      <c r="AJ1571">
        <v>11</v>
      </c>
      <c r="AK1571">
        <v>35</v>
      </c>
      <c r="AL1571" t="s">
        <v>74</v>
      </c>
      <c r="AM1571" t="s">
        <v>74</v>
      </c>
      <c r="AN1571" t="s">
        <v>74</v>
      </c>
      <c r="AO1571" t="s">
        <v>4493</v>
      </c>
      <c r="AP1571" t="s">
        <v>4494</v>
      </c>
      <c r="AQ1571" t="s">
        <v>74</v>
      </c>
      <c r="AR1571" t="s">
        <v>74</v>
      </c>
      <c r="AS1571" t="s">
        <v>74</v>
      </c>
      <c r="AT1571" t="s">
        <v>4495</v>
      </c>
      <c r="AU1571">
        <v>2021</v>
      </c>
      <c r="AV1571">
        <v>93</v>
      </c>
      <c r="AW1571">
        <v>13</v>
      </c>
      <c r="AX1571" t="s">
        <v>74</v>
      </c>
      <c r="AY1571" t="s">
        <v>74</v>
      </c>
      <c r="AZ1571" t="s">
        <v>74</v>
      </c>
      <c r="BA1571" t="s">
        <v>74</v>
      </c>
      <c r="BB1571">
        <v>5476</v>
      </c>
      <c r="BC1571">
        <v>5483</v>
      </c>
      <c r="BD1571" t="s">
        <v>74</v>
      </c>
      <c r="BE1571" t="s">
        <v>4496</v>
      </c>
      <c r="BF1571" t="str">
        <f>HYPERLINK("http://dx.doi.org/10.1021/acs.analchem.0c05194","http://dx.doi.org/10.1021/acs.analchem.0c05194")</f>
        <v>http://dx.doi.org/10.1021/acs.analchem.0c05194</v>
      </c>
      <c r="BG1571" t="s">
        <v>74</v>
      </c>
      <c r="BH1571" t="s">
        <v>2607</v>
      </c>
      <c r="BI1571" t="s">
        <v>74</v>
      </c>
      <c r="BJ1571" t="s">
        <v>1118</v>
      </c>
      <c r="BK1571" t="s">
        <v>117</v>
      </c>
      <c r="BL1571" t="s">
        <v>1048</v>
      </c>
      <c r="BM1571" t="s">
        <v>74</v>
      </c>
      <c r="BN1571">
        <v>33769802</v>
      </c>
      <c r="BO1571" t="s">
        <v>74</v>
      </c>
      <c r="BP1571" t="s">
        <v>74</v>
      </c>
      <c r="BQ1571" t="s">
        <v>74</v>
      </c>
      <c r="BR1571" t="s">
        <v>96</v>
      </c>
      <c r="BS1571" t="s">
        <v>4497</v>
      </c>
      <c r="BT1571" t="str">
        <f>HYPERLINK("https%3A%2F%2Fwww.webofscience.com%2Fwos%2Fwoscc%2Ffull-record%2FWOS:000638986400018","View Full Record in Web of Science")</f>
        <v>View Full Record in Web of Science</v>
      </c>
    </row>
    <row r="1572" spans="1:72" x14ac:dyDescent="0.15">
      <c r="A1572" t="s">
        <v>98</v>
      </c>
      <c r="B1572" t="s">
        <v>4498</v>
      </c>
      <c r="C1572" t="s">
        <v>74</v>
      </c>
      <c r="D1572" t="s">
        <v>74</v>
      </c>
      <c r="E1572" t="s">
        <v>74</v>
      </c>
      <c r="F1572" t="s">
        <v>4499</v>
      </c>
      <c r="G1572" t="s">
        <v>74</v>
      </c>
      <c r="H1572" t="s">
        <v>74</v>
      </c>
      <c r="I1572" t="s">
        <v>4500</v>
      </c>
      <c r="J1572" t="s">
        <v>4501</v>
      </c>
      <c r="K1572" t="s">
        <v>74</v>
      </c>
      <c r="L1572" t="s">
        <v>74</v>
      </c>
      <c r="M1572" t="s">
        <v>74</v>
      </c>
      <c r="N1572" t="s">
        <v>103</v>
      </c>
      <c r="O1572" t="s">
        <v>74</v>
      </c>
      <c r="P1572" t="s">
        <v>74</v>
      </c>
      <c r="Q1572" t="s">
        <v>74</v>
      </c>
      <c r="R1572" t="s">
        <v>74</v>
      </c>
      <c r="S1572" t="s">
        <v>74</v>
      </c>
      <c r="T1572" t="s">
        <v>4502</v>
      </c>
      <c r="U1572" t="s">
        <v>4503</v>
      </c>
      <c r="V1572" t="s">
        <v>4504</v>
      </c>
      <c r="W1572" t="s">
        <v>4505</v>
      </c>
      <c r="X1572" t="s">
        <v>4506</v>
      </c>
      <c r="Y1572" t="s">
        <v>4507</v>
      </c>
      <c r="Z1572" t="s">
        <v>4508</v>
      </c>
      <c r="AA1572" t="s">
        <v>4509</v>
      </c>
      <c r="AB1572" t="s">
        <v>4510</v>
      </c>
      <c r="AC1572" t="s">
        <v>74</v>
      </c>
      <c r="AD1572" t="s">
        <v>74</v>
      </c>
      <c r="AE1572" t="s">
        <v>74</v>
      </c>
      <c r="AF1572" t="s">
        <v>74</v>
      </c>
      <c r="AG1572">
        <v>74</v>
      </c>
      <c r="AH1572">
        <v>3</v>
      </c>
      <c r="AI1572">
        <v>3</v>
      </c>
      <c r="AJ1572">
        <v>1</v>
      </c>
      <c r="AK1572">
        <v>7</v>
      </c>
      <c r="AL1572" t="s">
        <v>74</v>
      </c>
      <c r="AM1572" t="s">
        <v>74</v>
      </c>
      <c r="AN1572" t="s">
        <v>74</v>
      </c>
      <c r="AO1572" t="s">
        <v>4511</v>
      </c>
      <c r="AP1572" t="s">
        <v>4512</v>
      </c>
      <c r="AQ1572" t="s">
        <v>74</v>
      </c>
      <c r="AR1572" t="s">
        <v>74</v>
      </c>
      <c r="AS1572" t="s">
        <v>74</v>
      </c>
      <c r="AT1572" t="s">
        <v>114</v>
      </c>
      <c r="AU1572">
        <v>2021</v>
      </c>
      <c r="AV1572">
        <v>88</v>
      </c>
      <c r="AW1572">
        <v>1</v>
      </c>
      <c r="AX1572" t="s">
        <v>74</v>
      </c>
      <c r="AY1572" t="s">
        <v>74</v>
      </c>
      <c r="AZ1572" t="s">
        <v>74</v>
      </c>
      <c r="BA1572" t="s">
        <v>74</v>
      </c>
      <c r="BB1572">
        <v>96</v>
      </c>
      <c r="BC1572">
        <v>112</v>
      </c>
      <c r="BD1572" t="s">
        <v>74</v>
      </c>
      <c r="BE1572" t="s">
        <v>4513</v>
      </c>
      <c r="BF1572" t="str">
        <f>HYPERLINK("http://dx.doi.org/10.1002/mrd.23445","http://dx.doi.org/10.1002/mrd.23445")</f>
        <v>http://dx.doi.org/10.1002/mrd.23445</v>
      </c>
      <c r="BG1572" t="s">
        <v>74</v>
      </c>
      <c r="BH1572" t="s">
        <v>304</v>
      </c>
      <c r="BI1572" t="s">
        <v>74</v>
      </c>
      <c r="BJ1572" t="s">
        <v>4514</v>
      </c>
      <c r="BK1572" t="s">
        <v>117</v>
      </c>
      <c r="BL1572" t="s">
        <v>4514</v>
      </c>
      <c r="BM1572" t="s">
        <v>74</v>
      </c>
      <c r="BN1572">
        <v>33345401</v>
      </c>
      <c r="BO1572" t="s">
        <v>74</v>
      </c>
      <c r="BP1572" t="s">
        <v>74</v>
      </c>
      <c r="BQ1572" t="s">
        <v>74</v>
      </c>
      <c r="BR1572" t="s">
        <v>96</v>
      </c>
      <c r="BS1572" t="s">
        <v>4515</v>
      </c>
      <c r="BT1572" t="str">
        <f>HYPERLINK("https%3A%2F%2Fwww.webofscience.com%2Fwos%2Fwoscc%2Ffull-record%2FWOS:000600354900001","View Full Record in Web of Science")</f>
        <v>View Full Record in Web of Science</v>
      </c>
    </row>
    <row r="1573" spans="1:72" x14ac:dyDescent="0.15">
      <c r="A1573" t="s">
        <v>98</v>
      </c>
      <c r="B1573" t="s">
        <v>4612</v>
      </c>
      <c r="C1573" t="s">
        <v>74</v>
      </c>
      <c r="D1573" t="s">
        <v>74</v>
      </c>
      <c r="E1573" t="s">
        <v>74</v>
      </c>
      <c r="F1573" t="s">
        <v>4613</v>
      </c>
      <c r="G1573" t="s">
        <v>74</v>
      </c>
      <c r="H1573" t="s">
        <v>74</v>
      </c>
      <c r="I1573" t="s">
        <v>4614</v>
      </c>
      <c r="J1573" t="s">
        <v>817</v>
      </c>
      <c r="K1573" t="s">
        <v>74</v>
      </c>
      <c r="L1573" t="s">
        <v>74</v>
      </c>
      <c r="M1573" t="s">
        <v>74</v>
      </c>
      <c r="N1573" t="s">
        <v>103</v>
      </c>
      <c r="O1573" t="s">
        <v>74</v>
      </c>
      <c r="P1573" t="s">
        <v>74</v>
      </c>
      <c r="Q1573" t="s">
        <v>74</v>
      </c>
      <c r="R1573" t="s">
        <v>74</v>
      </c>
      <c r="S1573" t="s">
        <v>74</v>
      </c>
      <c r="T1573" t="s">
        <v>4615</v>
      </c>
      <c r="U1573" t="s">
        <v>4616</v>
      </c>
      <c r="V1573" t="s">
        <v>4617</v>
      </c>
      <c r="W1573" t="s">
        <v>4618</v>
      </c>
      <c r="X1573" t="s">
        <v>4619</v>
      </c>
      <c r="Y1573" t="s">
        <v>4620</v>
      </c>
      <c r="Z1573" t="s">
        <v>4621</v>
      </c>
      <c r="AA1573" t="s">
        <v>4622</v>
      </c>
      <c r="AB1573" t="s">
        <v>4623</v>
      </c>
      <c r="AC1573" t="s">
        <v>74</v>
      </c>
      <c r="AD1573" t="s">
        <v>74</v>
      </c>
      <c r="AE1573" t="s">
        <v>74</v>
      </c>
      <c r="AF1573" t="s">
        <v>74</v>
      </c>
      <c r="AG1573">
        <v>114</v>
      </c>
      <c r="AH1573">
        <v>3</v>
      </c>
      <c r="AI1573">
        <v>3</v>
      </c>
      <c r="AJ1573">
        <v>8</v>
      </c>
      <c r="AK1573">
        <v>11</v>
      </c>
      <c r="AL1573" t="s">
        <v>74</v>
      </c>
      <c r="AM1573" t="s">
        <v>74</v>
      </c>
      <c r="AN1573" t="s">
        <v>74</v>
      </c>
      <c r="AO1573" t="s">
        <v>74</v>
      </c>
      <c r="AP1573" t="s">
        <v>827</v>
      </c>
      <c r="AQ1573" t="s">
        <v>74</v>
      </c>
      <c r="AR1573" t="s">
        <v>74</v>
      </c>
      <c r="AS1573" t="s">
        <v>74</v>
      </c>
      <c r="AT1573" t="s">
        <v>967</v>
      </c>
      <c r="AU1573">
        <v>2021</v>
      </c>
      <c r="AV1573">
        <v>22</v>
      </c>
      <c r="AW1573">
        <v>23</v>
      </c>
      <c r="AX1573" t="s">
        <v>74</v>
      </c>
      <c r="AY1573" t="s">
        <v>74</v>
      </c>
      <c r="AZ1573" t="s">
        <v>74</v>
      </c>
      <c r="BA1573" t="s">
        <v>74</v>
      </c>
      <c r="BB1573" t="s">
        <v>74</v>
      </c>
      <c r="BC1573" t="s">
        <v>74</v>
      </c>
      <c r="BD1573">
        <v>12759</v>
      </c>
      <c r="BE1573" t="s">
        <v>4624</v>
      </c>
      <c r="BF1573" t="str">
        <f>HYPERLINK("http://dx.doi.org/10.3390/ijms222312759","http://dx.doi.org/10.3390/ijms222312759")</f>
        <v>http://dx.doi.org/10.3390/ijms222312759</v>
      </c>
      <c r="BG1573" t="s">
        <v>74</v>
      </c>
      <c r="BH1573" t="s">
        <v>74</v>
      </c>
      <c r="BI1573" t="s">
        <v>74</v>
      </c>
      <c r="BJ1573" t="s">
        <v>830</v>
      </c>
      <c r="BK1573" t="s">
        <v>117</v>
      </c>
      <c r="BL1573" t="s">
        <v>831</v>
      </c>
      <c r="BM1573" t="s">
        <v>74</v>
      </c>
      <c r="BN1573">
        <v>34884564</v>
      </c>
      <c r="BO1573" t="s">
        <v>74</v>
      </c>
      <c r="BP1573" t="s">
        <v>74</v>
      </c>
      <c r="BQ1573" t="s">
        <v>74</v>
      </c>
      <c r="BR1573" t="s">
        <v>96</v>
      </c>
      <c r="BS1573" t="s">
        <v>4625</v>
      </c>
      <c r="BT1573" t="str">
        <f>HYPERLINK("https%3A%2F%2Fwww.webofscience.com%2Fwos%2Fwoscc%2Ffull-record%2FWOS:000735647100001","View Full Record in Web of Science")</f>
        <v>View Full Record in Web of Science</v>
      </c>
    </row>
    <row r="1574" spans="1:72" x14ac:dyDescent="0.15">
      <c r="A1574" t="s">
        <v>98</v>
      </c>
      <c r="B1574" t="s">
        <v>6252</v>
      </c>
      <c r="C1574" t="s">
        <v>74</v>
      </c>
      <c r="D1574" t="s">
        <v>74</v>
      </c>
      <c r="E1574" t="s">
        <v>74</v>
      </c>
      <c r="F1574" t="s">
        <v>6253</v>
      </c>
      <c r="G1574" t="s">
        <v>74</v>
      </c>
      <c r="H1574" t="s">
        <v>74</v>
      </c>
      <c r="I1574" t="s">
        <v>6254</v>
      </c>
      <c r="J1574" t="s">
        <v>6255</v>
      </c>
      <c r="K1574" t="s">
        <v>74</v>
      </c>
      <c r="L1574" t="s">
        <v>74</v>
      </c>
      <c r="M1574" t="s">
        <v>74</v>
      </c>
      <c r="N1574" t="s">
        <v>103</v>
      </c>
      <c r="O1574" t="s">
        <v>74</v>
      </c>
      <c r="P1574" t="s">
        <v>74</v>
      </c>
      <c r="Q1574" t="s">
        <v>74</v>
      </c>
      <c r="R1574" t="s">
        <v>74</v>
      </c>
      <c r="S1574" t="s">
        <v>74</v>
      </c>
      <c r="T1574" t="s">
        <v>6256</v>
      </c>
      <c r="U1574" t="s">
        <v>6257</v>
      </c>
      <c r="V1574" t="s">
        <v>6258</v>
      </c>
      <c r="W1574" t="s">
        <v>6259</v>
      </c>
      <c r="X1574" t="s">
        <v>6260</v>
      </c>
      <c r="Y1574" t="s">
        <v>6261</v>
      </c>
      <c r="Z1574" t="s">
        <v>6262</v>
      </c>
      <c r="AA1574" t="s">
        <v>6263</v>
      </c>
      <c r="AB1574" t="s">
        <v>6264</v>
      </c>
      <c r="AC1574" t="s">
        <v>74</v>
      </c>
      <c r="AD1574" t="s">
        <v>74</v>
      </c>
      <c r="AE1574" t="s">
        <v>74</v>
      </c>
      <c r="AF1574" t="s">
        <v>74</v>
      </c>
      <c r="AG1574">
        <v>41</v>
      </c>
      <c r="AH1574">
        <v>3</v>
      </c>
      <c r="AI1574">
        <v>4</v>
      </c>
      <c r="AJ1574">
        <v>0</v>
      </c>
      <c r="AK1574">
        <v>5</v>
      </c>
      <c r="AL1574" t="s">
        <v>74</v>
      </c>
      <c r="AM1574" t="s">
        <v>74</v>
      </c>
      <c r="AN1574" t="s">
        <v>74</v>
      </c>
      <c r="AO1574" t="s">
        <v>6265</v>
      </c>
      <c r="AP1574" t="s">
        <v>6266</v>
      </c>
      <c r="AQ1574" t="s">
        <v>74</v>
      </c>
      <c r="AR1574" t="s">
        <v>74</v>
      </c>
      <c r="AS1574" t="s">
        <v>74</v>
      </c>
      <c r="AT1574" t="s">
        <v>283</v>
      </c>
      <c r="AU1574">
        <v>2021</v>
      </c>
      <c r="AV1574">
        <v>28</v>
      </c>
      <c r="AW1574">
        <v>2</v>
      </c>
      <c r="AX1574" t="s">
        <v>74</v>
      </c>
      <c r="AY1574" t="s">
        <v>74</v>
      </c>
      <c r="AZ1574" t="s">
        <v>74</v>
      </c>
      <c r="BA1574" t="s">
        <v>74</v>
      </c>
      <c r="BB1574">
        <v>562</v>
      </c>
      <c r="BC1574">
        <v>569</v>
      </c>
      <c r="BD1574" t="s">
        <v>74</v>
      </c>
      <c r="BE1574" t="s">
        <v>6267</v>
      </c>
      <c r="BF1574" t="str">
        <f>HYPERLINK("http://dx.doi.org/10.1007/s43032-020-00321-4","http://dx.doi.org/10.1007/s43032-020-00321-4")</f>
        <v>http://dx.doi.org/10.1007/s43032-020-00321-4</v>
      </c>
      <c r="BG1574" t="s">
        <v>74</v>
      </c>
      <c r="BH1574" t="s">
        <v>1479</v>
      </c>
      <c r="BI1574" t="s">
        <v>74</v>
      </c>
      <c r="BJ1574" t="s">
        <v>6268</v>
      </c>
      <c r="BK1574" t="s">
        <v>117</v>
      </c>
      <c r="BL1574" t="s">
        <v>6268</v>
      </c>
      <c r="BM1574" t="s">
        <v>74</v>
      </c>
      <c r="BN1574">
        <v>32968935</v>
      </c>
      <c r="BO1574" t="s">
        <v>74</v>
      </c>
      <c r="BP1574" t="s">
        <v>74</v>
      </c>
      <c r="BQ1574" t="s">
        <v>74</v>
      </c>
      <c r="BR1574" t="s">
        <v>96</v>
      </c>
      <c r="BS1574" t="s">
        <v>6269</v>
      </c>
      <c r="BT1574" t="str">
        <f>HYPERLINK("https%3A%2F%2Fwww.webofscience.com%2Fwos%2Fwoscc%2Ffull-record%2FWOS:000572325200002","View Full Record in Web of Science")</f>
        <v>View Full Record in Web of Science</v>
      </c>
    </row>
    <row r="1575" spans="1:72" x14ac:dyDescent="0.15">
      <c r="A1575" t="s">
        <v>98</v>
      </c>
      <c r="B1575" t="s">
        <v>7035</v>
      </c>
      <c r="C1575" t="s">
        <v>74</v>
      </c>
      <c r="D1575" t="s">
        <v>74</v>
      </c>
      <c r="E1575" t="s">
        <v>74</v>
      </c>
      <c r="F1575" t="s">
        <v>7036</v>
      </c>
      <c r="G1575" t="s">
        <v>74</v>
      </c>
      <c r="H1575" t="s">
        <v>74</v>
      </c>
      <c r="I1575" t="s">
        <v>7037</v>
      </c>
      <c r="J1575" t="s">
        <v>325</v>
      </c>
      <c r="K1575" t="s">
        <v>74</v>
      </c>
      <c r="L1575" t="s">
        <v>74</v>
      </c>
      <c r="M1575" t="s">
        <v>74</v>
      </c>
      <c r="N1575" t="s">
        <v>103</v>
      </c>
      <c r="O1575" t="s">
        <v>74</v>
      </c>
      <c r="P1575" t="s">
        <v>74</v>
      </c>
      <c r="Q1575" t="s">
        <v>74</v>
      </c>
      <c r="R1575" t="s">
        <v>74</v>
      </c>
      <c r="S1575" t="s">
        <v>74</v>
      </c>
      <c r="T1575" t="s">
        <v>7038</v>
      </c>
      <c r="U1575" t="s">
        <v>7039</v>
      </c>
      <c r="V1575" t="s">
        <v>7040</v>
      </c>
      <c r="W1575" t="s">
        <v>7041</v>
      </c>
      <c r="X1575" t="s">
        <v>74</v>
      </c>
      <c r="Y1575" t="s">
        <v>7042</v>
      </c>
      <c r="Z1575" t="s">
        <v>7043</v>
      </c>
      <c r="AA1575" t="s">
        <v>74</v>
      </c>
      <c r="AB1575" t="s">
        <v>7044</v>
      </c>
      <c r="AC1575" t="s">
        <v>74</v>
      </c>
      <c r="AD1575" t="s">
        <v>74</v>
      </c>
      <c r="AE1575" t="s">
        <v>74</v>
      </c>
      <c r="AF1575" t="s">
        <v>74</v>
      </c>
      <c r="AG1575">
        <v>113</v>
      </c>
      <c r="AH1575">
        <v>3</v>
      </c>
      <c r="AI1575">
        <v>3</v>
      </c>
      <c r="AJ1575">
        <v>10</v>
      </c>
      <c r="AK1575">
        <v>22</v>
      </c>
      <c r="AL1575" t="s">
        <v>74</v>
      </c>
      <c r="AM1575" t="s">
        <v>74</v>
      </c>
      <c r="AN1575" t="s">
        <v>74</v>
      </c>
      <c r="AO1575" t="s">
        <v>333</v>
      </c>
      <c r="AP1575" t="s">
        <v>334</v>
      </c>
      <c r="AQ1575" t="s">
        <v>74</v>
      </c>
      <c r="AR1575" t="s">
        <v>74</v>
      </c>
      <c r="AS1575" t="s">
        <v>74</v>
      </c>
      <c r="AT1575" t="s">
        <v>335</v>
      </c>
      <c r="AU1575">
        <v>2021</v>
      </c>
      <c r="AV1575">
        <v>40</v>
      </c>
      <c r="AW1575">
        <v>9</v>
      </c>
      <c r="AX1575" t="s">
        <v>74</v>
      </c>
      <c r="AY1575" t="s">
        <v>74</v>
      </c>
      <c r="AZ1575" t="s">
        <v>74</v>
      </c>
      <c r="BA1575" t="s">
        <v>74</v>
      </c>
      <c r="BB1575">
        <v>1131</v>
      </c>
      <c r="BC1575">
        <v>1143</v>
      </c>
      <c r="BD1575" t="s">
        <v>74</v>
      </c>
      <c r="BE1575" t="s">
        <v>7045</v>
      </c>
      <c r="BF1575" t="str">
        <f>HYPERLINK("http://dx.doi.org/10.1089/dna.2021.0087","http://dx.doi.org/10.1089/dna.2021.0087")</f>
        <v>http://dx.doi.org/10.1089/dna.2021.0087</v>
      </c>
      <c r="BG1575" t="s">
        <v>74</v>
      </c>
      <c r="BH1575" t="s">
        <v>1663</v>
      </c>
      <c r="BI1575" t="s">
        <v>74</v>
      </c>
      <c r="BJ1575" t="s">
        <v>338</v>
      </c>
      <c r="BK1575" t="s">
        <v>117</v>
      </c>
      <c r="BL1575" t="s">
        <v>338</v>
      </c>
      <c r="BM1575" t="s">
        <v>74</v>
      </c>
      <c r="BN1575">
        <v>34370602</v>
      </c>
      <c r="BO1575" t="s">
        <v>74</v>
      </c>
      <c r="BP1575" t="s">
        <v>74</v>
      </c>
      <c r="BQ1575" t="s">
        <v>74</v>
      </c>
      <c r="BR1575" t="s">
        <v>96</v>
      </c>
      <c r="BS1575" t="s">
        <v>7046</v>
      </c>
      <c r="BT1575" t="str">
        <f>HYPERLINK("https%3A%2F%2Fwww.webofscience.com%2Fwos%2Fwoscc%2Ffull-record%2FWOS:000683078100001","View Full Record in Web of Science")</f>
        <v>View Full Record in Web of Science</v>
      </c>
    </row>
    <row r="1576" spans="1:72" x14ac:dyDescent="0.15">
      <c r="A1576" t="s">
        <v>98</v>
      </c>
      <c r="B1576" t="s">
        <v>7274</v>
      </c>
      <c r="C1576" t="s">
        <v>74</v>
      </c>
      <c r="D1576" t="s">
        <v>74</v>
      </c>
      <c r="E1576" t="s">
        <v>74</v>
      </c>
      <c r="F1576" t="s">
        <v>7275</v>
      </c>
      <c r="G1576" t="s">
        <v>74</v>
      </c>
      <c r="H1576" t="s">
        <v>74</v>
      </c>
      <c r="I1576" t="s">
        <v>7276</v>
      </c>
      <c r="J1576" t="s">
        <v>4486</v>
      </c>
      <c r="K1576" t="s">
        <v>74</v>
      </c>
      <c r="L1576" t="s">
        <v>74</v>
      </c>
      <c r="M1576" t="s">
        <v>74</v>
      </c>
      <c r="N1576" t="s">
        <v>103</v>
      </c>
      <c r="O1576" t="s">
        <v>74</v>
      </c>
      <c r="P1576" t="s">
        <v>74</v>
      </c>
      <c r="Q1576" t="s">
        <v>74</v>
      </c>
      <c r="R1576" t="s">
        <v>74</v>
      </c>
      <c r="S1576" t="s">
        <v>74</v>
      </c>
      <c r="T1576" t="s">
        <v>74</v>
      </c>
      <c r="U1576" t="s">
        <v>7277</v>
      </c>
      <c r="V1576" t="s">
        <v>7278</v>
      </c>
      <c r="W1576" t="s">
        <v>7279</v>
      </c>
      <c r="X1576" t="s">
        <v>7280</v>
      </c>
      <c r="Y1576" t="s">
        <v>7281</v>
      </c>
      <c r="Z1576" t="s">
        <v>7282</v>
      </c>
      <c r="AA1576" t="s">
        <v>74</v>
      </c>
      <c r="AB1576" t="s">
        <v>7283</v>
      </c>
      <c r="AC1576" t="s">
        <v>74</v>
      </c>
      <c r="AD1576" t="s">
        <v>74</v>
      </c>
      <c r="AE1576" t="s">
        <v>74</v>
      </c>
      <c r="AF1576" t="s">
        <v>74</v>
      </c>
      <c r="AG1576">
        <v>34</v>
      </c>
      <c r="AH1576">
        <v>3</v>
      </c>
      <c r="AI1576">
        <v>3</v>
      </c>
      <c r="AJ1576">
        <v>13</v>
      </c>
      <c r="AK1576">
        <v>52</v>
      </c>
      <c r="AL1576" t="s">
        <v>74</v>
      </c>
      <c r="AM1576" t="s">
        <v>74</v>
      </c>
      <c r="AN1576" t="s">
        <v>74</v>
      </c>
      <c r="AO1576" t="s">
        <v>4493</v>
      </c>
      <c r="AP1576" t="s">
        <v>4494</v>
      </c>
      <c r="AQ1576" t="s">
        <v>74</v>
      </c>
      <c r="AR1576" t="s">
        <v>74</v>
      </c>
      <c r="AS1576" t="s">
        <v>74</v>
      </c>
      <c r="AT1576" t="s">
        <v>7284</v>
      </c>
      <c r="AU1576">
        <v>2021</v>
      </c>
      <c r="AV1576">
        <v>93</v>
      </c>
      <c r="AW1576">
        <v>28</v>
      </c>
      <c r="AX1576" t="s">
        <v>74</v>
      </c>
      <c r="AY1576" t="s">
        <v>74</v>
      </c>
      <c r="AZ1576" t="s">
        <v>74</v>
      </c>
      <c r="BA1576" t="s">
        <v>74</v>
      </c>
      <c r="BB1576">
        <v>9860</v>
      </c>
      <c r="BC1576">
        <v>9868</v>
      </c>
      <c r="BD1576" t="s">
        <v>74</v>
      </c>
      <c r="BE1576" t="s">
        <v>7285</v>
      </c>
      <c r="BF1576" t="str">
        <f>HYPERLINK("http://dx.doi.org/10.1021/acs.analchem.1c01712","http://dx.doi.org/10.1021/acs.analchem.1c01712")</f>
        <v>http://dx.doi.org/10.1021/acs.analchem.1c01712</v>
      </c>
      <c r="BG1576" t="s">
        <v>74</v>
      </c>
      <c r="BH1576" t="s">
        <v>1136</v>
      </c>
      <c r="BI1576" t="s">
        <v>74</v>
      </c>
      <c r="BJ1576" t="s">
        <v>1118</v>
      </c>
      <c r="BK1576" t="s">
        <v>117</v>
      </c>
      <c r="BL1576" t="s">
        <v>1048</v>
      </c>
      <c r="BM1576" t="s">
        <v>74</v>
      </c>
      <c r="BN1576">
        <v>34247486</v>
      </c>
      <c r="BO1576" t="s">
        <v>74</v>
      </c>
      <c r="BP1576" t="s">
        <v>74</v>
      </c>
      <c r="BQ1576" t="s">
        <v>74</v>
      </c>
      <c r="BR1576" t="s">
        <v>96</v>
      </c>
      <c r="BS1576" t="s">
        <v>7286</v>
      </c>
      <c r="BT1576" t="str">
        <f>HYPERLINK("https%3A%2F%2Fwww.webofscience.com%2Fwos%2Fwoscc%2Ffull-record%2FWOS:000677481700025","View Full Record in Web of Science")</f>
        <v>View Full Record in Web of Science</v>
      </c>
    </row>
    <row r="1577" spans="1:72" x14ac:dyDescent="0.15">
      <c r="A1577" t="s">
        <v>98</v>
      </c>
      <c r="B1577" t="s">
        <v>7436</v>
      </c>
      <c r="C1577" t="s">
        <v>74</v>
      </c>
      <c r="D1577" t="s">
        <v>74</v>
      </c>
      <c r="E1577" t="s">
        <v>74</v>
      </c>
      <c r="F1577" t="s">
        <v>7437</v>
      </c>
      <c r="G1577" t="s">
        <v>74</v>
      </c>
      <c r="H1577" t="s">
        <v>74</v>
      </c>
      <c r="I1577" t="s">
        <v>7438</v>
      </c>
      <c r="J1577" t="s">
        <v>7439</v>
      </c>
      <c r="K1577" t="s">
        <v>74</v>
      </c>
      <c r="L1577" t="s">
        <v>74</v>
      </c>
      <c r="M1577" t="s">
        <v>74</v>
      </c>
      <c r="N1577" t="s">
        <v>103</v>
      </c>
      <c r="O1577" t="s">
        <v>74</v>
      </c>
      <c r="P1577" t="s">
        <v>74</v>
      </c>
      <c r="Q1577" t="s">
        <v>74</v>
      </c>
      <c r="R1577" t="s">
        <v>74</v>
      </c>
      <c r="S1577" t="s">
        <v>74</v>
      </c>
      <c r="T1577" t="s">
        <v>7440</v>
      </c>
      <c r="U1577" t="s">
        <v>7441</v>
      </c>
      <c r="V1577" t="s">
        <v>7442</v>
      </c>
      <c r="W1577" t="s">
        <v>7443</v>
      </c>
      <c r="X1577" t="s">
        <v>7444</v>
      </c>
      <c r="Y1577" t="s">
        <v>7445</v>
      </c>
      <c r="Z1577" t="s">
        <v>7446</v>
      </c>
      <c r="AA1577" t="s">
        <v>74</v>
      </c>
      <c r="AB1577" t="s">
        <v>7447</v>
      </c>
      <c r="AC1577" t="s">
        <v>74</v>
      </c>
      <c r="AD1577" t="s">
        <v>74</v>
      </c>
      <c r="AE1577" t="s">
        <v>74</v>
      </c>
      <c r="AF1577" t="s">
        <v>74</v>
      </c>
      <c r="AG1577">
        <v>58</v>
      </c>
      <c r="AH1577">
        <v>3</v>
      </c>
      <c r="AI1577">
        <v>3</v>
      </c>
      <c r="AJ1577">
        <v>0</v>
      </c>
      <c r="AK1577">
        <v>5</v>
      </c>
      <c r="AL1577" t="s">
        <v>74</v>
      </c>
      <c r="AM1577" t="s">
        <v>74</v>
      </c>
      <c r="AN1577" t="s">
        <v>74</v>
      </c>
      <c r="AO1577" t="s">
        <v>7448</v>
      </c>
      <c r="AP1577" t="s">
        <v>7449</v>
      </c>
      <c r="AQ1577" t="s">
        <v>74</v>
      </c>
      <c r="AR1577" t="s">
        <v>74</v>
      </c>
      <c r="AS1577" t="s">
        <v>74</v>
      </c>
      <c r="AT1577" t="s">
        <v>170</v>
      </c>
      <c r="AU1577">
        <v>2021</v>
      </c>
      <c r="AV1577">
        <v>71</v>
      </c>
      <c r="AW1577">
        <v>6</v>
      </c>
      <c r="AX1577" t="s">
        <v>74</v>
      </c>
      <c r="AY1577" t="s">
        <v>74</v>
      </c>
      <c r="AZ1577" t="s">
        <v>74</v>
      </c>
      <c r="BA1577" t="s">
        <v>74</v>
      </c>
      <c r="BB1577">
        <v>1156</v>
      </c>
      <c r="BC1577">
        <v>1167</v>
      </c>
      <c r="BD1577" t="s">
        <v>74</v>
      </c>
      <c r="BE1577" t="s">
        <v>7450</v>
      </c>
      <c r="BF1577" t="str">
        <f>HYPERLINK("http://dx.doi.org/10.1007/s12031-020-01738-x","http://dx.doi.org/10.1007/s12031-020-01738-x")</f>
        <v>http://dx.doi.org/10.1007/s12031-020-01738-x</v>
      </c>
      <c r="BG1577" t="s">
        <v>74</v>
      </c>
      <c r="BH1577" t="s">
        <v>7451</v>
      </c>
      <c r="BI1577" t="s">
        <v>74</v>
      </c>
      <c r="BJ1577" t="s">
        <v>7452</v>
      </c>
      <c r="BK1577" t="s">
        <v>117</v>
      </c>
      <c r="BL1577" t="s">
        <v>7453</v>
      </c>
      <c r="BM1577" t="s">
        <v>74</v>
      </c>
      <c r="BN1577">
        <v>33231813</v>
      </c>
      <c r="BO1577" t="s">
        <v>74</v>
      </c>
      <c r="BP1577" t="s">
        <v>74</v>
      </c>
      <c r="BQ1577" t="s">
        <v>74</v>
      </c>
      <c r="BR1577" t="s">
        <v>96</v>
      </c>
      <c r="BS1577" t="s">
        <v>7454</v>
      </c>
      <c r="BT1577" t="str">
        <f>HYPERLINK("https%3A%2F%2Fwww.webofscience.com%2Fwos%2Fwoscc%2Ffull-record%2FWOS:000592141300001","View Full Record in Web of Science")</f>
        <v>View Full Record in Web of Science</v>
      </c>
    </row>
    <row r="1578" spans="1:72" x14ac:dyDescent="0.15">
      <c r="A1578" t="s">
        <v>98</v>
      </c>
      <c r="B1578" t="s">
        <v>7527</v>
      </c>
      <c r="C1578" t="s">
        <v>74</v>
      </c>
      <c r="D1578" t="s">
        <v>74</v>
      </c>
      <c r="E1578" t="s">
        <v>74</v>
      </c>
      <c r="F1578" t="s">
        <v>7528</v>
      </c>
      <c r="G1578" t="s">
        <v>74</v>
      </c>
      <c r="H1578" t="s">
        <v>74</v>
      </c>
      <c r="I1578" t="s">
        <v>7529</v>
      </c>
      <c r="J1578" t="s">
        <v>1484</v>
      </c>
      <c r="K1578" t="s">
        <v>74</v>
      </c>
      <c r="L1578" t="s">
        <v>74</v>
      </c>
      <c r="M1578" t="s">
        <v>74</v>
      </c>
      <c r="N1578" t="s">
        <v>103</v>
      </c>
      <c r="O1578" t="s">
        <v>74</v>
      </c>
      <c r="P1578" t="s">
        <v>74</v>
      </c>
      <c r="Q1578" t="s">
        <v>74</v>
      </c>
      <c r="R1578" t="s">
        <v>74</v>
      </c>
      <c r="S1578" t="s">
        <v>74</v>
      </c>
      <c r="T1578" t="s">
        <v>7530</v>
      </c>
      <c r="U1578" t="s">
        <v>74</v>
      </c>
      <c r="V1578" t="s">
        <v>7531</v>
      </c>
      <c r="W1578" t="s">
        <v>7532</v>
      </c>
      <c r="X1578" t="s">
        <v>2854</v>
      </c>
      <c r="Y1578" t="s">
        <v>1490</v>
      </c>
      <c r="Z1578" t="s">
        <v>7533</v>
      </c>
      <c r="AA1578" t="s">
        <v>7534</v>
      </c>
      <c r="AB1578" t="s">
        <v>7535</v>
      </c>
      <c r="AC1578" t="s">
        <v>74</v>
      </c>
      <c r="AD1578" t="s">
        <v>74</v>
      </c>
      <c r="AE1578" t="s">
        <v>74</v>
      </c>
      <c r="AF1578" t="s">
        <v>74</v>
      </c>
      <c r="AG1578">
        <v>34</v>
      </c>
      <c r="AH1578">
        <v>3</v>
      </c>
      <c r="AI1578">
        <v>3</v>
      </c>
      <c r="AJ1578">
        <v>0</v>
      </c>
      <c r="AK1578">
        <v>0</v>
      </c>
      <c r="AL1578" t="s">
        <v>74</v>
      </c>
      <c r="AM1578" t="s">
        <v>74</v>
      </c>
      <c r="AN1578" t="s">
        <v>74</v>
      </c>
      <c r="AO1578" t="s">
        <v>74</v>
      </c>
      <c r="AP1578" t="s">
        <v>1494</v>
      </c>
      <c r="AQ1578" t="s">
        <v>74</v>
      </c>
      <c r="AR1578" t="s">
        <v>74</v>
      </c>
      <c r="AS1578" t="s">
        <v>74</v>
      </c>
      <c r="AT1578" t="s">
        <v>132</v>
      </c>
      <c r="AU1578">
        <v>2021</v>
      </c>
      <c r="AV1578">
        <v>9</v>
      </c>
      <c r="AW1578">
        <v>4</v>
      </c>
      <c r="AX1578" t="s">
        <v>74</v>
      </c>
      <c r="AY1578" t="s">
        <v>74</v>
      </c>
      <c r="AZ1578" t="s">
        <v>74</v>
      </c>
      <c r="BA1578" t="s">
        <v>74</v>
      </c>
      <c r="BB1578" t="s">
        <v>74</v>
      </c>
      <c r="BC1578" t="s">
        <v>74</v>
      </c>
      <c r="BD1578">
        <v>373</v>
      </c>
      <c r="BE1578" t="s">
        <v>7536</v>
      </c>
      <c r="BF1578" t="str">
        <f>HYPERLINK("http://dx.doi.org/10.3390/vaccines9040373","http://dx.doi.org/10.3390/vaccines9040373")</f>
        <v>http://dx.doi.org/10.3390/vaccines9040373</v>
      </c>
      <c r="BG1578" t="s">
        <v>74</v>
      </c>
      <c r="BH1578" t="s">
        <v>74</v>
      </c>
      <c r="BI1578" t="s">
        <v>74</v>
      </c>
      <c r="BJ1578" t="s">
        <v>1496</v>
      </c>
      <c r="BK1578" t="s">
        <v>117</v>
      </c>
      <c r="BL1578" t="s">
        <v>1497</v>
      </c>
      <c r="BM1578" t="s">
        <v>74</v>
      </c>
      <c r="BN1578">
        <v>33921215</v>
      </c>
      <c r="BO1578" t="s">
        <v>74</v>
      </c>
      <c r="BP1578" t="s">
        <v>74</v>
      </c>
      <c r="BQ1578" t="s">
        <v>74</v>
      </c>
      <c r="BR1578" t="s">
        <v>96</v>
      </c>
      <c r="BS1578" t="s">
        <v>7537</v>
      </c>
      <c r="BT1578" t="str">
        <f>HYPERLINK("https%3A%2F%2Fwww.webofscience.com%2Fwos%2Fwoscc%2Ffull-record%2FWOS:000643787600001","View Full Record in Web of Science")</f>
        <v>View Full Record in Web of Science</v>
      </c>
    </row>
    <row r="1579" spans="1:72" x14ac:dyDescent="0.15">
      <c r="A1579" t="s">
        <v>98</v>
      </c>
      <c r="B1579" t="s">
        <v>7796</v>
      </c>
      <c r="C1579" t="s">
        <v>74</v>
      </c>
      <c r="D1579" t="s">
        <v>74</v>
      </c>
      <c r="E1579" t="s">
        <v>74</v>
      </c>
      <c r="F1579" t="s">
        <v>7797</v>
      </c>
      <c r="G1579" t="s">
        <v>74</v>
      </c>
      <c r="H1579" t="s">
        <v>74</v>
      </c>
      <c r="I1579" t="s">
        <v>7798</v>
      </c>
      <c r="J1579" t="s">
        <v>140</v>
      </c>
      <c r="K1579" t="s">
        <v>74</v>
      </c>
      <c r="L1579" t="s">
        <v>74</v>
      </c>
      <c r="M1579" t="s">
        <v>74</v>
      </c>
      <c r="N1579" t="s">
        <v>103</v>
      </c>
      <c r="O1579" t="s">
        <v>74</v>
      </c>
      <c r="P1579" t="s">
        <v>74</v>
      </c>
      <c r="Q1579" t="s">
        <v>74</v>
      </c>
      <c r="R1579" t="s">
        <v>74</v>
      </c>
      <c r="S1579" t="s">
        <v>74</v>
      </c>
      <c r="T1579" t="s">
        <v>74</v>
      </c>
      <c r="U1579" t="s">
        <v>74</v>
      </c>
      <c r="V1579" t="s">
        <v>7799</v>
      </c>
      <c r="W1579" t="s">
        <v>7800</v>
      </c>
      <c r="X1579" t="s">
        <v>7801</v>
      </c>
      <c r="Y1579" t="s">
        <v>7802</v>
      </c>
      <c r="Z1579" t="s">
        <v>7803</v>
      </c>
      <c r="AA1579" t="s">
        <v>7804</v>
      </c>
      <c r="AB1579" t="s">
        <v>7805</v>
      </c>
      <c r="AC1579" t="s">
        <v>74</v>
      </c>
      <c r="AD1579" t="s">
        <v>74</v>
      </c>
      <c r="AE1579" t="s">
        <v>74</v>
      </c>
      <c r="AF1579" t="s">
        <v>74</v>
      </c>
      <c r="AG1579">
        <v>46</v>
      </c>
      <c r="AH1579">
        <v>3</v>
      </c>
      <c r="AI1579">
        <v>3</v>
      </c>
      <c r="AJ1579">
        <v>1</v>
      </c>
      <c r="AK1579">
        <v>2</v>
      </c>
      <c r="AL1579" t="s">
        <v>74</v>
      </c>
      <c r="AM1579" t="s">
        <v>74</v>
      </c>
      <c r="AN1579" t="s">
        <v>74</v>
      </c>
      <c r="AO1579" t="s">
        <v>149</v>
      </c>
      <c r="AP1579" t="s">
        <v>74</v>
      </c>
      <c r="AQ1579" t="s">
        <v>74</v>
      </c>
      <c r="AR1579" t="s">
        <v>74</v>
      </c>
      <c r="AS1579" t="s">
        <v>74</v>
      </c>
      <c r="AT1579" t="s">
        <v>6666</v>
      </c>
      <c r="AU1579">
        <v>2021</v>
      </c>
      <c r="AV1579">
        <v>11</v>
      </c>
      <c r="AW1579">
        <v>1</v>
      </c>
      <c r="AX1579" t="s">
        <v>74</v>
      </c>
      <c r="AY1579" t="s">
        <v>74</v>
      </c>
      <c r="AZ1579" t="s">
        <v>74</v>
      </c>
      <c r="BA1579" t="s">
        <v>74</v>
      </c>
      <c r="BB1579" t="s">
        <v>74</v>
      </c>
      <c r="BC1579" t="s">
        <v>74</v>
      </c>
      <c r="BD1579">
        <v>4016</v>
      </c>
      <c r="BE1579" t="s">
        <v>7806</v>
      </c>
      <c r="BF1579" t="str">
        <f>HYPERLINK("http://dx.doi.org/10.1038/s41598-021-83436-1","http://dx.doi.org/10.1038/s41598-021-83436-1")</f>
        <v>http://dx.doi.org/10.1038/s41598-021-83436-1</v>
      </c>
      <c r="BG1579" t="s">
        <v>74</v>
      </c>
      <c r="BH1579" t="s">
        <v>74</v>
      </c>
      <c r="BI1579" t="s">
        <v>74</v>
      </c>
      <c r="BJ1579" t="s">
        <v>152</v>
      </c>
      <c r="BK1579" t="s">
        <v>117</v>
      </c>
      <c r="BL1579" t="s">
        <v>153</v>
      </c>
      <c r="BM1579" t="s">
        <v>74</v>
      </c>
      <c r="BN1579">
        <v>33597619</v>
      </c>
      <c r="BO1579" t="s">
        <v>74</v>
      </c>
      <c r="BP1579" t="s">
        <v>74</v>
      </c>
      <c r="BQ1579" t="s">
        <v>74</v>
      </c>
      <c r="BR1579" t="s">
        <v>96</v>
      </c>
      <c r="BS1579" t="s">
        <v>7807</v>
      </c>
      <c r="BT1579" t="str">
        <f>HYPERLINK("https%3A%2F%2Fwww.webofscience.com%2Fwos%2Fwoscc%2Ffull-record%2FWOS:000621344600041","View Full Record in Web of Science")</f>
        <v>View Full Record in Web of Science</v>
      </c>
    </row>
    <row r="1580" spans="1:72" x14ac:dyDescent="0.15">
      <c r="A1580" t="s">
        <v>98</v>
      </c>
      <c r="B1580" t="s">
        <v>8009</v>
      </c>
      <c r="C1580" t="s">
        <v>74</v>
      </c>
      <c r="D1580" t="s">
        <v>74</v>
      </c>
      <c r="E1580" t="s">
        <v>74</v>
      </c>
      <c r="F1580" t="s">
        <v>8010</v>
      </c>
      <c r="G1580" t="s">
        <v>74</v>
      </c>
      <c r="H1580" t="s">
        <v>74</v>
      </c>
      <c r="I1580" t="s">
        <v>8011</v>
      </c>
      <c r="J1580" t="s">
        <v>6012</v>
      </c>
      <c r="K1580" t="s">
        <v>74</v>
      </c>
      <c r="L1580" t="s">
        <v>74</v>
      </c>
      <c r="M1580" t="s">
        <v>74</v>
      </c>
      <c r="N1580" t="s">
        <v>103</v>
      </c>
      <c r="O1580" t="s">
        <v>74</v>
      </c>
      <c r="P1580" t="s">
        <v>74</v>
      </c>
      <c r="Q1580" t="s">
        <v>74</v>
      </c>
      <c r="R1580" t="s">
        <v>74</v>
      </c>
      <c r="S1580" t="s">
        <v>74</v>
      </c>
      <c r="T1580" t="s">
        <v>8012</v>
      </c>
      <c r="U1580" t="s">
        <v>74</v>
      </c>
      <c r="V1580" t="s">
        <v>8013</v>
      </c>
      <c r="W1580" t="s">
        <v>8014</v>
      </c>
      <c r="X1580" t="s">
        <v>8015</v>
      </c>
      <c r="Y1580" t="s">
        <v>8016</v>
      </c>
      <c r="Z1580" t="s">
        <v>8017</v>
      </c>
      <c r="AA1580" t="s">
        <v>74</v>
      </c>
      <c r="AB1580" t="s">
        <v>8018</v>
      </c>
      <c r="AC1580" t="s">
        <v>74</v>
      </c>
      <c r="AD1580" t="s">
        <v>74</v>
      </c>
      <c r="AE1580" t="s">
        <v>74</v>
      </c>
      <c r="AF1580" t="s">
        <v>74</v>
      </c>
      <c r="AG1580">
        <v>55</v>
      </c>
      <c r="AH1580">
        <v>3</v>
      </c>
      <c r="AI1580">
        <v>3</v>
      </c>
      <c r="AJ1580">
        <v>0</v>
      </c>
      <c r="AK1580">
        <v>2</v>
      </c>
      <c r="AL1580" t="s">
        <v>74</v>
      </c>
      <c r="AM1580" t="s">
        <v>74</v>
      </c>
      <c r="AN1580" t="s">
        <v>74</v>
      </c>
      <c r="AO1580" t="s">
        <v>6020</v>
      </c>
      <c r="AP1580" t="s">
        <v>6021</v>
      </c>
      <c r="AQ1580" t="s">
        <v>74</v>
      </c>
      <c r="AR1580" t="s">
        <v>74</v>
      </c>
      <c r="AS1580" t="s">
        <v>74</v>
      </c>
      <c r="AT1580" t="s">
        <v>132</v>
      </c>
      <c r="AU1580">
        <v>2021</v>
      </c>
      <c r="AV1580">
        <v>1865</v>
      </c>
      <c r="AW1580">
        <v>4</v>
      </c>
      <c r="AX1580" t="s">
        <v>74</v>
      </c>
      <c r="AY1580" t="s">
        <v>74</v>
      </c>
      <c r="AZ1580" t="s">
        <v>447</v>
      </c>
      <c r="BA1580" t="s">
        <v>74</v>
      </c>
      <c r="BB1580" t="s">
        <v>74</v>
      </c>
      <c r="BC1580" t="s">
        <v>74</v>
      </c>
      <c r="BD1580">
        <v>129798</v>
      </c>
      <c r="BE1580" t="s">
        <v>8019</v>
      </c>
      <c r="BF1580" t="str">
        <f>HYPERLINK("http://dx.doi.org/10.1016/j.bbagen.2020.129798","http://dx.doi.org/10.1016/j.bbagen.2020.129798")</f>
        <v>http://dx.doi.org/10.1016/j.bbagen.2020.129798</v>
      </c>
      <c r="BG1580" t="s">
        <v>74</v>
      </c>
      <c r="BH1580" t="s">
        <v>1557</v>
      </c>
      <c r="BI1580" t="s">
        <v>74</v>
      </c>
      <c r="BJ1580" t="s">
        <v>2845</v>
      </c>
      <c r="BK1580" t="s">
        <v>117</v>
      </c>
      <c r="BL1580" t="s">
        <v>2845</v>
      </c>
      <c r="BM1580" t="s">
        <v>74</v>
      </c>
      <c r="BN1580">
        <v>33217521</v>
      </c>
      <c r="BO1580" t="s">
        <v>74</v>
      </c>
      <c r="BP1580" t="s">
        <v>74</v>
      </c>
      <c r="BQ1580" t="s">
        <v>74</v>
      </c>
      <c r="BR1580" t="s">
        <v>96</v>
      </c>
      <c r="BS1580" t="s">
        <v>8020</v>
      </c>
      <c r="BT1580" t="str">
        <f>HYPERLINK("https%3A%2F%2Fwww.webofscience.com%2Fwos%2Fwoscc%2Ffull-record%2FWOS:000637333900013","View Full Record in Web of Science")</f>
        <v>View Full Record in Web of Science</v>
      </c>
    </row>
    <row r="1581" spans="1:72" x14ac:dyDescent="0.15">
      <c r="A1581" t="s">
        <v>98</v>
      </c>
      <c r="B1581" t="s">
        <v>8040</v>
      </c>
      <c r="C1581" t="s">
        <v>74</v>
      </c>
      <c r="D1581" t="s">
        <v>74</v>
      </c>
      <c r="E1581" t="s">
        <v>74</v>
      </c>
      <c r="F1581" t="s">
        <v>8041</v>
      </c>
      <c r="G1581" t="s">
        <v>74</v>
      </c>
      <c r="H1581" t="s">
        <v>74</v>
      </c>
      <c r="I1581" t="s">
        <v>8042</v>
      </c>
      <c r="J1581" t="s">
        <v>2105</v>
      </c>
      <c r="K1581" t="s">
        <v>74</v>
      </c>
      <c r="L1581" t="s">
        <v>74</v>
      </c>
      <c r="M1581" t="s">
        <v>74</v>
      </c>
      <c r="N1581" t="s">
        <v>103</v>
      </c>
      <c r="O1581" t="s">
        <v>74</v>
      </c>
      <c r="P1581" t="s">
        <v>74</v>
      </c>
      <c r="Q1581" t="s">
        <v>74</v>
      </c>
      <c r="R1581" t="s">
        <v>74</v>
      </c>
      <c r="S1581" t="s">
        <v>74</v>
      </c>
      <c r="T1581" t="s">
        <v>8043</v>
      </c>
      <c r="U1581" t="s">
        <v>8044</v>
      </c>
      <c r="V1581" t="s">
        <v>8045</v>
      </c>
      <c r="W1581" t="s">
        <v>8046</v>
      </c>
      <c r="X1581" t="s">
        <v>8047</v>
      </c>
      <c r="Y1581" t="s">
        <v>8048</v>
      </c>
      <c r="Z1581" t="s">
        <v>8049</v>
      </c>
      <c r="AA1581" t="s">
        <v>74</v>
      </c>
      <c r="AB1581" t="s">
        <v>74</v>
      </c>
      <c r="AC1581" t="s">
        <v>74</v>
      </c>
      <c r="AD1581" t="s">
        <v>74</v>
      </c>
      <c r="AE1581" t="s">
        <v>74</v>
      </c>
      <c r="AF1581" t="s">
        <v>74</v>
      </c>
      <c r="AG1581">
        <v>31</v>
      </c>
      <c r="AH1581">
        <v>3</v>
      </c>
      <c r="AI1581">
        <v>4</v>
      </c>
      <c r="AJ1581">
        <v>2</v>
      </c>
      <c r="AK1581">
        <v>13</v>
      </c>
      <c r="AL1581" t="s">
        <v>74</v>
      </c>
      <c r="AM1581" t="s">
        <v>74</v>
      </c>
      <c r="AN1581" t="s">
        <v>74</v>
      </c>
      <c r="AO1581" t="s">
        <v>2115</v>
      </c>
      <c r="AP1581" t="s">
        <v>74</v>
      </c>
      <c r="AQ1581" t="s">
        <v>74</v>
      </c>
      <c r="AR1581" t="s">
        <v>74</v>
      </c>
      <c r="AS1581" t="s">
        <v>74</v>
      </c>
      <c r="AT1581" t="s">
        <v>8050</v>
      </c>
      <c r="AU1581">
        <v>2020</v>
      </c>
      <c r="AV1581">
        <v>10</v>
      </c>
      <c r="AW1581" t="s">
        <v>74</v>
      </c>
      <c r="AX1581" t="s">
        <v>74</v>
      </c>
      <c r="AY1581" t="s">
        <v>74</v>
      </c>
      <c r="AZ1581" t="s">
        <v>74</v>
      </c>
      <c r="BA1581" t="s">
        <v>74</v>
      </c>
      <c r="BB1581" t="s">
        <v>74</v>
      </c>
      <c r="BC1581" t="s">
        <v>74</v>
      </c>
      <c r="BD1581">
        <v>558106</v>
      </c>
      <c r="BE1581" t="s">
        <v>8051</v>
      </c>
      <c r="BF1581" t="str">
        <f>HYPERLINK("http://dx.doi.org/10.3389/fonc.2020.558106","http://dx.doi.org/10.3389/fonc.2020.558106")</f>
        <v>http://dx.doi.org/10.3389/fonc.2020.558106</v>
      </c>
      <c r="BG1581" t="s">
        <v>74</v>
      </c>
      <c r="BH1581" t="s">
        <v>74</v>
      </c>
      <c r="BI1581" t="s">
        <v>74</v>
      </c>
      <c r="BJ1581" t="s">
        <v>267</v>
      </c>
      <c r="BK1581" t="s">
        <v>117</v>
      </c>
      <c r="BL1581" t="s">
        <v>267</v>
      </c>
      <c r="BM1581" t="s">
        <v>74</v>
      </c>
      <c r="BN1581">
        <v>33042841</v>
      </c>
      <c r="BO1581" t="s">
        <v>74</v>
      </c>
      <c r="BP1581" t="s">
        <v>74</v>
      </c>
      <c r="BQ1581" t="s">
        <v>74</v>
      </c>
      <c r="BR1581" t="s">
        <v>96</v>
      </c>
      <c r="BS1581" t="s">
        <v>8052</v>
      </c>
      <c r="BT1581" t="str">
        <f>HYPERLINK("https%3A%2F%2Fwww.webofscience.com%2Fwos%2Fwoscc%2Ffull-record%2FWOS:000575939400001","View Full Record in Web of Science")</f>
        <v>View Full Record in Web of Science</v>
      </c>
    </row>
    <row r="1582" spans="1:72" x14ac:dyDescent="0.15">
      <c r="A1582" t="s">
        <v>98</v>
      </c>
      <c r="B1582" t="s">
        <v>8312</v>
      </c>
      <c r="C1582" t="s">
        <v>74</v>
      </c>
      <c r="D1582" t="s">
        <v>74</v>
      </c>
      <c r="E1582" t="s">
        <v>74</v>
      </c>
      <c r="F1582" t="s">
        <v>8313</v>
      </c>
      <c r="G1582" t="s">
        <v>74</v>
      </c>
      <c r="H1582" t="s">
        <v>74</v>
      </c>
      <c r="I1582" t="s">
        <v>8314</v>
      </c>
      <c r="J1582" t="s">
        <v>8315</v>
      </c>
      <c r="K1582" t="s">
        <v>74</v>
      </c>
      <c r="L1582" t="s">
        <v>74</v>
      </c>
      <c r="M1582" t="s">
        <v>74</v>
      </c>
      <c r="N1582" t="s">
        <v>103</v>
      </c>
      <c r="O1582" t="s">
        <v>74</v>
      </c>
      <c r="P1582" t="s">
        <v>74</v>
      </c>
      <c r="Q1582" t="s">
        <v>74</v>
      </c>
      <c r="R1582" t="s">
        <v>74</v>
      </c>
      <c r="S1582" t="s">
        <v>74</v>
      </c>
      <c r="T1582" t="s">
        <v>8316</v>
      </c>
      <c r="U1582" t="s">
        <v>8317</v>
      </c>
      <c r="V1582" t="s">
        <v>8318</v>
      </c>
      <c r="W1582" t="s">
        <v>8319</v>
      </c>
      <c r="X1582" t="s">
        <v>74</v>
      </c>
      <c r="Y1582" t="s">
        <v>8320</v>
      </c>
      <c r="Z1582" t="s">
        <v>8321</v>
      </c>
      <c r="AA1582" t="s">
        <v>74</v>
      </c>
      <c r="AB1582" t="s">
        <v>74</v>
      </c>
      <c r="AC1582" t="s">
        <v>74</v>
      </c>
      <c r="AD1582" t="s">
        <v>74</v>
      </c>
      <c r="AE1582" t="s">
        <v>74</v>
      </c>
      <c r="AF1582" t="s">
        <v>74</v>
      </c>
      <c r="AG1582">
        <v>150</v>
      </c>
      <c r="AH1582">
        <v>3</v>
      </c>
      <c r="AI1582">
        <v>3</v>
      </c>
      <c r="AJ1582">
        <v>1</v>
      </c>
      <c r="AK1582">
        <v>4</v>
      </c>
      <c r="AL1582" t="s">
        <v>74</v>
      </c>
      <c r="AM1582" t="s">
        <v>74</v>
      </c>
      <c r="AN1582" t="s">
        <v>74</v>
      </c>
      <c r="AO1582" t="s">
        <v>8322</v>
      </c>
      <c r="AP1582" t="s">
        <v>8323</v>
      </c>
      <c r="AQ1582" t="s">
        <v>74</v>
      </c>
      <c r="AR1582" t="s">
        <v>74</v>
      </c>
      <c r="AS1582" t="s">
        <v>74</v>
      </c>
      <c r="AT1582" t="s">
        <v>283</v>
      </c>
      <c r="AU1582">
        <v>2018</v>
      </c>
      <c r="AV1582">
        <v>42</v>
      </c>
      <c r="AW1582" t="s">
        <v>1694</v>
      </c>
      <c r="AX1582" t="s">
        <v>74</v>
      </c>
      <c r="AY1582" t="s">
        <v>74</v>
      </c>
      <c r="AZ1582" t="s">
        <v>74</v>
      </c>
      <c r="BA1582" t="s">
        <v>74</v>
      </c>
      <c r="BB1582">
        <v>9</v>
      </c>
      <c r="BC1582">
        <v>22</v>
      </c>
      <c r="BD1582" t="s">
        <v>74</v>
      </c>
      <c r="BE1582" t="s">
        <v>8324</v>
      </c>
      <c r="BF1582" t="str">
        <f>HYPERLINK("http://dx.doi.org/10.1515/labmed-2017-0065","http://dx.doi.org/10.1515/labmed-2017-0065")</f>
        <v>http://dx.doi.org/10.1515/labmed-2017-0065</v>
      </c>
      <c r="BG1582" t="s">
        <v>74</v>
      </c>
      <c r="BH1582" t="s">
        <v>74</v>
      </c>
      <c r="BI1582" t="s">
        <v>74</v>
      </c>
      <c r="BJ1582" t="s">
        <v>2773</v>
      </c>
      <c r="BK1582" t="s">
        <v>117</v>
      </c>
      <c r="BL1582" t="s">
        <v>2773</v>
      </c>
      <c r="BM1582" t="s">
        <v>74</v>
      </c>
      <c r="BN1582" t="s">
        <v>74</v>
      </c>
      <c r="BO1582" t="s">
        <v>74</v>
      </c>
      <c r="BP1582" t="s">
        <v>74</v>
      </c>
      <c r="BQ1582" t="s">
        <v>74</v>
      </c>
      <c r="BR1582" t="s">
        <v>96</v>
      </c>
      <c r="BS1582" t="s">
        <v>8325</v>
      </c>
      <c r="BT1582" t="str">
        <f>HYPERLINK("https%3A%2F%2Fwww.webofscience.com%2Fwos%2Fwoscc%2Ffull-record%2FWOS:000429039300002","View Full Record in Web of Science")</f>
        <v>View Full Record in Web of Science</v>
      </c>
    </row>
    <row r="1583" spans="1:72" x14ac:dyDescent="0.15">
      <c r="A1583" t="s">
        <v>98</v>
      </c>
      <c r="B1583" t="s">
        <v>9133</v>
      </c>
      <c r="C1583" t="s">
        <v>74</v>
      </c>
      <c r="D1583" t="s">
        <v>74</v>
      </c>
      <c r="E1583" t="s">
        <v>74</v>
      </c>
      <c r="F1583" t="s">
        <v>9134</v>
      </c>
      <c r="G1583" t="s">
        <v>74</v>
      </c>
      <c r="H1583" t="s">
        <v>74</v>
      </c>
      <c r="I1583" t="s">
        <v>9135</v>
      </c>
      <c r="J1583" t="s">
        <v>9136</v>
      </c>
      <c r="K1583" t="s">
        <v>74</v>
      </c>
      <c r="L1583" t="s">
        <v>74</v>
      </c>
      <c r="M1583" t="s">
        <v>74</v>
      </c>
      <c r="N1583" t="s">
        <v>103</v>
      </c>
      <c r="O1583" t="s">
        <v>74</v>
      </c>
      <c r="P1583" t="s">
        <v>74</v>
      </c>
      <c r="Q1583" t="s">
        <v>74</v>
      </c>
      <c r="R1583" t="s">
        <v>74</v>
      </c>
      <c r="S1583" t="s">
        <v>74</v>
      </c>
      <c r="T1583" t="s">
        <v>9137</v>
      </c>
      <c r="U1583" t="s">
        <v>9138</v>
      </c>
      <c r="V1583" t="s">
        <v>9139</v>
      </c>
      <c r="W1583" t="s">
        <v>9140</v>
      </c>
      <c r="X1583" t="s">
        <v>9141</v>
      </c>
      <c r="Y1583" t="s">
        <v>9142</v>
      </c>
      <c r="Z1583" t="s">
        <v>9143</v>
      </c>
      <c r="AA1583" t="s">
        <v>74</v>
      </c>
      <c r="AB1583" t="s">
        <v>74</v>
      </c>
      <c r="AC1583" t="s">
        <v>74</v>
      </c>
      <c r="AD1583" t="s">
        <v>74</v>
      </c>
      <c r="AE1583" t="s">
        <v>74</v>
      </c>
      <c r="AF1583" t="s">
        <v>74</v>
      </c>
      <c r="AG1583">
        <v>23</v>
      </c>
      <c r="AH1583">
        <v>3</v>
      </c>
      <c r="AI1583">
        <v>3</v>
      </c>
      <c r="AJ1583">
        <v>0</v>
      </c>
      <c r="AK1583">
        <v>3</v>
      </c>
      <c r="AL1583" t="s">
        <v>74</v>
      </c>
      <c r="AM1583" t="s">
        <v>74</v>
      </c>
      <c r="AN1583" t="s">
        <v>74</v>
      </c>
      <c r="AO1583" t="s">
        <v>9144</v>
      </c>
      <c r="AP1583" t="s">
        <v>9145</v>
      </c>
      <c r="AQ1583" t="s">
        <v>74</v>
      </c>
      <c r="AR1583" t="s">
        <v>74</v>
      </c>
      <c r="AS1583" t="s">
        <v>74</v>
      </c>
      <c r="AT1583" t="s">
        <v>967</v>
      </c>
      <c r="AU1583">
        <v>2016</v>
      </c>
      <c r="AV1583">
        <v>50</v>
      </c>
      <c r="AW1583">
        <v>4</v>
      </c>
      <c r="AX1583" t="s">
        <v>74</v>
      </c>
      <c r="AY1583" t="s">
        <v>74</v>
      </c>
      <c r="AZ1583" t="s">
        <v>74</v>
      </c>
      <c r="BA1583" t="s">
        <v>74</v>
      </c>
      <c r="BB1583">
        <v>783</v>
      </c>
      <c r="BC1583">
        <v>790</v>
      </c>
      <c r="BD1583" t="s">
        <v>74</v>
      </c>
      <c r="BE1583" t="s">
        <v>74</v>
      </c>
      <c r="BF1583" t="s">
        <v>74</v>
      </c>
      <c r="BG1583" t="s">
        <v>74</v>
      </c>
      <c r="BH1583" t="s">
        <v>74</v>
      </c>
      <c r="BI1583" t="s">
        <v>74</v>
      </c>
      <c r="BJ1583" t="s">
        <v>2773</v>
      </c>
      <c r="BK1583" t="s">
        <v>117</v>
      </c>
      <c r="BL1583" t="s">
        <v>2773</v>
      </c>
      <c r="BM1583" t="s">
        <v>74</v>
      </c>
      <c r="BN1583" t="s">
        <v>74</v>
      </c>
      <c r="BO1583" t="s">
        <v>74</v>
      </c>
      <c r="BP1583" t="s">
        <v>74</v>
      </c>
      <c r="BQ1583" t="s">
        <v>74</v>
      </c>
      <c r="BR1583" t="s">
        <v>96</v>
      </c>
      <c r="BS1583" t="s">
        <v>9146</v>
      </c>
      <c r="BT1583" t="str">
        <f>HYPERLINK("https%3A%2F%2Fwww.webofscience.com%2Fwos%2Fwoscc%2Ffull-record%2FWOS:000401465000028","View Full Record in Web of Science")</f>
        <v>View Full Record in Web of Science</v>
      </c>
    </row>
    <row r="1584" spans="1:72" x14ac:dyDescent="0.15">
      <c r="A1584" t="s">
        <v>98</v>
      </c>
      <c r="B1584" t="s">
        <v>9252</v>
      </c>
      <c r="C1584" t="s">
        <v>74</v>
      </c>
      <c r="D1584" t="s">
        <v>74</v>
      </c>
      <c r="E1584" t="s">
        <v>74</v>
      </c>
      <c r="F1584" t="s">
        <v>9253</v>
      </c>
      <c r="G1584" t="s">
        <v>74</v>
      </c>
      <c r="H1584" t="s">
        <v>74</v>
      </c>
      <c r="I1584" t="s">
        <v>9254</v>
      </c>
      <c r="J1584" t="s">
        <v>7216</v>
      </c>
      <c r="K1584" t="s">
        <v>74</v>
      </c>
      <c r="L1584" t="s">
        <v>74</v>
      </c>
      <c r="M1584" t="s">
        <v>74</v>
      </c>
      <c r="N1584" t="s">
        <v>103</v>
      </c>
      <c r="O1584" t="s">
        <v>74</v>
      </c>
      <c r="P1584" t="s">
        <v>74</v>
      </c>
      <c r="Q1584" t="s">
        <v>74</v>
      </c>
      <c r="R1584" t="s">
        <v>74</v>
      </c>
      <c r="S1584" t="s">
        <v>74</v>
      </c>
      <c r="T1584" t="s">
        <v>9255</v>
      </c>
      <c r="U1584" t="s">
        <v>9256</v>
      </c>
      <c r="V1584" t="s">
        <v>9257</v>
      </c>
      <c r="W1584" t="s">
        <v>9258</v>
      </c>
      <c r="X1584" t="s">
        <v>9259</v>
      </c>
      <c r="Y1584" t="s">
        <v>9260</v>
      </c>
      <c r="Z1584" t="s">
        <v>9261</v>
      </c>
      <c r="AA1584" t="s">
        <v>74</v>
      </c>
      <c r="AB1584" t="s">
        <v>74</v>
      </c>
      <c r="AC1584" t="s">
        <v>74</v>
      </c>
      <c r="AD1584" t="s">
        <v>74</v>
      </c>
      <c r="AE1584" t="s">
        <v>74</v>
      </c>
      <c r="AF1584" t="s">
        <v>74</v>
      </c>
      <c r="AG1584">
        <v>32</v>
      </c>
      <c r="AH1584">
        <v>3</v>
      </c>
      <c r="AI1584">
        <v>4</v>
      </c>
      <c r="AJ1584">
        <v>1</v>
      </c>
      <c r="AK1584">
        <v>6</v>
      </c>
      <c r="AL1584" t="s">
        <v>74</v>
      </c>
      <c r="AM1584" t="s">
        <v>74</v>
      </c>
      <c r="AN1584" t="s">
        <v>74</v>
      </c>
      <c r="AO1584" t="s">
        <v>7223</v>
      </c>
      <c r="AP1584" t="s">
        <v>7224</v>
      </c>
      <c r="AQ1584" t="s">
        <v>74</v>
      </c>
      <c r="AR1584" t="s">
        <v>74</v>
      </c>
      <c r="AS1584" t="s">
        <v>74</v>
      </c>
      <c r="AT1584" t="s">
        <v>211</v>
      </c>
      <c r="AU1584">
        <v>2017</v>
      </c>
      <c r="AV1584">
        <v>38</v>
      </c>
      <c r="AW1584">
        <v>5</v>
      </c>
      <c r="AX1584" t="s">
        <v>74</v>
      </c>
      <c r="AY1584" t="s">
        <v>74</v>
      </c>
      <c r="AZ1584" t="s">
        <v>74</v>
      </c>
      <c r="BA1584" t="s">
        <v>74</v>
      </c>
      <c r="BB1584">
        <v>3278</v>
      </c>
      <c r="BC1584">
        <v>3284</v>
      </c>
      <c r="BD1584" t="s">
        <v>74</v>
      </c>
      <c r="BE1584" t="s">
        <v>9262</v>
      </c>
      <c r="BF1584" t="str">
        <f>HYPERLINK("http://dx.doi.org/10.3892/or.2017.5966","http://dx.doi.org/10.3892/or.2017.5966")</f>
        <v>http://dx.doi.org/10.3892/or.2017.5966</v>
      </c>
      <c r="BG1584" t="s">
        <v>74</v>
      </c>
      <c r="BH1584" t="s">
        <v>74</v>
      </c>
      <c r="BI1584" t="s">
        <v>74</v>
      </c>
      <c r="BJ1584" t="s">
        <v>267</v>
      </c>
      <c r="BK1584" t="s">
        <v>117</v>
      </c>
      <c r="BL1584" t="s">
        <v>267</v>
      </c>
      <c r="BM1584" t="s">
        <v>74</v>
      </c>
      <c r="BN1584">
        <v>29048642</v>
      </c>
      <c r="BO1584" t="s">
        <v>74</v>
      </c>
      <c r="BP1584" t="s">
        <v>74</v>
      </c>
      <c r="BQ1584" t="s">
        <v>74</v>
      </c>
      <c r="BR1584" t="s">
        <v>96</v>
      </c>
      <c r="BS1584" t="s">
        <v>9263</v>
      </c>
      <c r="BT1584" t="str">
        <f>HYPERLINK("https%3A%2F%2Fwww.webofscience.com%2Fwos%2Fwoscc%2Ffull-record%2FWOS:000414021300078","View Full Record in Web of Science")</f>
        <v>View Full Record in Web of Science</v>
      </c>
    </row>
    <row r="1585" spans="1:72" x14ac:dyDescent="0.15">
      <c r="A1585" t="s">
        <v>98</v>
      </c>
      <c r="B1585" t="s">
        <v>9636</v>
      </c>
      <c r="C1585" t="s">
        <v>74</v>
      </c>
      <c r="D1585" t="s">
        <v>74</v>
      </c>
      <c r="E1585" t="s">
        <v>74</v>
      </c>
      <c r="F1585" t="s">
        <v>9637</v>
      </c>
      <c r="G1585" t="s">
        <v>74</v>
      </c>
      <c r="H1585" t="s">
        <v>74</v>
      </c>
      <c r="I1585" t="s">
        <v>9638</v>
      </c>
      <c r="J1585" t="s">
        <v>1827</v>
      </c>
      <c r="K1585" t="s">
        <v>74</v>
      </c>
      <c r="L1585" t="s">
        <v>74</v>
      </c>
      <c r="M1585" t="s">
        <v>74</v>
      </c>
      <c r="N1585" t="s">
        <v>103</v>
      </c>
      <c r="O1585" t="s">
        <v>74</v>
      </c>
      <c r="P1585" t="s">
        <v>74</v>
      </c>
      <c r="Q1585" t="s">
        <v>74</v>
      </c>
      <c r="R1585" t="s">
        <v>74</v>
      </c>
      <c r="S1585" t="s">
        <v>74</v>
      </c>
      <c r="T1585" t="s">
        <v>9639</v>
      </c>
      <c r="U1585" t="s">
        <v>9640</v>
      </c>
      <c r="V1585" t="s">
        <v>9641</v>
      </c>
      <c r="W1585" t="s">
        <v>9642</v>
      </c>
      <c r="X1585" t="s">
        <v>9643</v>
      </c>
      <c r="Y1585" t="s">
        <v>9644</v>
      </c>
      <c r="Z1585" t="s">
        <v>9645</v>
      </c>
      <c r="AA1585" t="s">
        <v>74</v>
      </c>
      <c r="AB1585" t="s">
        <v>74</v>
      </c>
      <c r="AC1585" t="s">
        <v>74</v>
      </c>
      <c r="AD1585" t="s">
        <v>74</v>
      </c>
      <c r="AE1585" t="s">
        <v>74</v>
      </c>
      <c r="AF1585" t="s">
        <v>74</v>
      </c>
      <c r="AG1585">
        <v>216</v>
      </c>
      <c r="AH1585">
        <v>3</v>
      </c>
      <c r="AI1585">
        <v>3</v>
      </c>
      <c r="AJ1585">
        <v>7</v>
      </c>
      <c r="AK1585">
        <v>7</v>
      </c>
      <c r="AL1585" t="s">
        <v>74</v>
      </c>
      <c r="AM1585" t="s">
        <v>74</v>
      </c>
      <c r="AN1585" t="s">
        <v>74</v>
      </c>
      <c r="AO1585" t="s">
        <v>74</v>
      </c>
      <c r="AP1585" t="s">
        <v>1836</v>
      </c>
      <c r="AQ1585" t="s">
        <v>74</v>
      </c>
      <c r="AR1585" t="s">
        <v>74</v>
      </c>
      <c r="AS1585" t="s">
        <v>74</v>
      </c>
      <c r="AT1585" t="s">
        <v>114</v>
      </c>
      <c r="AU1585">
        <v>2022</v>
      </c>
      <c r="AV1585">
        <v>11</v>
      </c>
      <c r="AW1585">
        <v>1</v>
      </c>
      <c r="AX1585" t="s">
        <v>74</v>
      </c>
      <c r="AY1585" t="s">
        <v>74</v>
      </c>
      <c r="AZ1585" t="s">
        <v>74</v>
      </c>
      <c r="BA1585" t="s">
        <v>74</v>
      </c>
      <c r="BB1585" t="s">
        <v>74</v>
      </c>
      <c r="BC1585" t="s">
        <v>74</v>
      </c>
      <c r="BD1585">
        <v>115</v>
      </c>
      <c r="BE1585" t="s">
        <v>9646</v>
      </c>
      <c r="BF1585" t="str">
        <f>HYPERLINK("http://dx.doi.org/10.3390/cells11010115","http://dx.doi.org/10.3390/cells11010115")</f>
        <v>http://dx.doi.org/10.3390/cells11010115</v>
      </c>
      <c r="BG1585" t="s">
        <v>74</v>
      </c>
      <c r="BH1585" t="s">
        <v>74</v>
      </c>
      <c r="BI1585" t="s">
        <v>74</v>
      </c>
      <c r="BJ1585" t="s">
        <v>135</v>
      </c>
      <c r="BK1585" t="s">
        <v>117</v>
      </c>
      <c r="BL1585" t="s">
        <v>135</v>
      </c>
      <c r="BM1585" t="s">
        <v>74</v>
      </c>
      <c r="BN1585">
        <v>35011677</v>
      </c>
      <c r="BO1585" t="s">
        <v>74</v>
      </c>
      <c r="BP1585" t="s">
        <v>74</v>
      </c>
      <c r="BQ1585" t="s">
        <v>74</v>
      </c>
      <c r="BR1585" t="s">
        <v>96</v>
      </c>
      <c r="BS1585" t="s">
        <v>9647</v>
      </c>
      <c r="BT1585" t="str">
        <f>HYPERLINK("https%3A%2F%2Fwww.webofscience.com%2Fwos%2Fwoscc%2Ffull-record%2FWOS:000752894500001","View Full Record in Web of Science")</f>
        <v>View Full Record in Web of Science</v>
      </c>
    </row>
    <row r="1586" spans="1:72" x14ac:dyDescent="0.15">
      <c r="A1586" t="s">
        <v>98</v>
      </c>
      <c r="B1586" t="s">
        <v>9676</v>
      </c>
      <c r="C1586" t="s">
        <v>74</v>
      </c>
      <c r="D1586" t="s">
        <v>74</v>
      </c>
      <c r="E1586" t="s">
        <v>74</v>
      </c>
      <c r="F1586" t="s">
        <v>9677</v>
      </c>
      <c r="G1586" t="s">
        <v>74</v>
      </c>
      <c r="H1586" t="s">
        <v>9678</v>
      </c>
      <c r="I1586" t="s">
        <v>9679</v>
      </c>
      <c r="J1586" t="s">
        <v>9680</v>
      </c>
      <c r="K1586" t="s">
        <v>74</v>
      </c>
      <c r="L1586" t="s">
        <v>74</v>
      </c>
      <c r="M1586" t="s">
        <v>74</v>
      </c>
      <c r="N1586" t="s">
        <v>103</v>
      </c>
      <c r="O1586" t="s">
        <v>74</v>
      </c>
      <c r="P1586" t="s">
        <v>74</v>
      </c>
      <c r="Q1586" t="s">
        <v>74</v>
      </c>
      <c r="R1586" t="s">
        <v>74</v>
      </c>
      <c r="S1586" t="s">
        <v>74</v>
      </c>
      <c r="T1586" t="s">
        <v>9681</v>
      </c>
      <c r="U1586" t="s">
        <v>9682</v>
      </c>
      <c r="V1586" t="s">
        <v>9683</v>
      </c>
      <c r="W1586" t="s">
        <v>9684</v>
      </c>
      <c r="X1586" t="s">
        <v>9685</v>
      </c>
      <c r="Y1586" t="s">
        <v>9686</v>
      </c>
      <c r="Z1586" t="s">
        <v>9687</v>
      </c>
      <c r="AA1586" t="s">
        <v>9688</v>
      </c>
      <c r="AB1586" t="s">
        <v>9689</v>
      </c>
      <c r="AC1586" t="s">
        <v>74</v>
      </c>
      <c r="AD1586" t="s">
        <v>74</v>
      </c>
      <c r="AE1586" t="s">
        <v>74</v>
      </c>
      <c r="AF1586" t="s">
        <v>74</v>
      </c>
      <c r="AG1586">
        <v>22</v>
      </c>
      <c r="AH1586">
        <v>3</v>
      </c>
      <c r="AI1586">
        <v>3</v>
      </c>
      <c r="AJ1586">
        <v>1</v>
      </c>
      <c r="AK1586">
        <v>3</v>
      </c>
      <c r="AL1586" t="s">
        <v>74</v>
      </c>
      <c r="AM1586" t="s">
        <v>74</v>
      </c>
      <c r="AN1586" t="s">
        <v>74</v>
      </c>
      <c r="AO1586" t="s">
        <v>9690</v>
      </c>
      <c r="AP1586" t="s">
        <v>9691</v>
      </c>
      <c r="AQ1586" t="s">
        <v>74</v>
      </c>
      <c r="AR1586" t="s">
        <v>74</v>
      </c>
      <c r="AS1586" t="s">
        <v>74</v>
      </c>
      <c r="AT1586" t="s">
        <v>531</v>
      </c>
      <c r="AU1586">
        <v>2021</v>
      </c>
      <c r="AV1586">
        <v>162</v>
      </c>
      <c r="AW1586">
        <v>3</v>
      </c>
      <c r="AX1586" t="s">
        <v>74</v>
      </c>
      <c r="AY1586" t="s">
        <v>74</v>
      </c>
      <c r="AZ1586" t="s">
        <v>74</v>
      </c>
      <c r="BA1586" t="s">
        <v>74</v>
      </c>
      <c r="BB1586">
        <v>720</v>
      </c>
      <c r="BC1586">
        <v>727</v>
      </c>
      <c r="BD1586" t="s">
        <v>74</v>
      </c>
      <c r="BE1586" t="s">
        <v>9692</v>
      </c>
      <c r="BF1586" t="str">
        <f>HYPERLINK("http://dx.doi.org/10.1016/j.ygyno.2021.06.028","http://dx.doi.org/10.1016/j.ygyno.2021.06.028")</f>
        <v>http://dx.doi.org/10.1016/j.ygyno.2021.06.028</v>
      </c>
      <c r="BG1586" t="s">
        <v>74</v>
      </c>
      <c r="BH1586" t="s">
        <v>1663</v>
      </c>
      <c r="BI1586" t="s">
        <v>74</v>
      </c>
      <c r="BJ1586" t="s">
        <v>9693</v>
      </c>
      <c r="BK1586" t="s">
        <v>117</v>
      </c>
      <c r="BL1586" t="s">
        <v>9693</v>
      </c>
      <c r="BM1586" t="s">
        <v>74</v>
      </c>
      <c r="BN1586">
        <v>34454680</v>
      </c>
      <c r="BO1586" t="s">
        <v>74</v>
      </c>
      <c r="BP1586" t="s">
        <v>74</v>
      </c>
      <c r="BQ1586" t="s">
        <v>74</v>
      </c>
      <c r="BR1586" t="s">
        <v>96</v>
      </c>
      <c r="BS1586" t="s">
        <v>9694</v>
      </c>
      <c r="BT1586" t="str">
        <f>HYPERLINK("https%3A%2F%2Fwww.webofscience.com%2Fwos%2Fwoscc%2Ffull-record%2FWOS:000690807800030","View Full Record in Web of Science")</f>
        <v>View Full Record in Web of Science</v>
      </c>
    </row>
    <row r="1587" spans="1:72" x14ac:dyDescent="0.15">
      <c r="A1587" t="s">
        <v>98</v>
      </c>
      <c r="B1587" t="s">
        <v>10248</v>
      </c>
      <c r="C1587" t="s">
        <v>74</v>
      </c>
      <c r="D1587" t="s">
        <v>74</v>
      </c>
      <c r="E1587" t="s">
        <v>74</v>
      </c>
      <c r="F1587" t="s">
        <v>10249</v>
      </c>
      <c r="G1587" t="s">
        <v>74</v>
      </c>
      <c r="H1587" t="s">
        <v>74</v>
      </c>
      <c r="I1587" t="s">
        <v>10250</v>
      </c>
      <c r="J1587" t="s">
        <v>10251</v>
      </c>
      <c r="K1587" t="s">
        <v>74</v>
      </c>
      <c r="L1587" t="s">
        <v>74</v>
      </c>
      <c r="M1587" t="s">
        <v>74</v>
      </c>
      <c r="N1587" t="s">
        <v>103</v>
      </c>
      <c r="O1587" t="s">
        <v>74</v>
      </c>
      <c r="P1587" t="s">
        <v>74</v>
      </c>
      <c r="Q1587" t="s">
        <v>74</v>
      </c>
      <c r="R1587" t="s">
        <v>74</v>
      </c>
      <c r="S1587" t="s">
        <v>74</v>
      </c>
      <c r="T1587" t="s">
        <v>10252</v>
      </c>
      <c r="U1587" t="s">
        <v>10253</v>
      </c>
      <c r="V1587" t="s">
        <v>10254</v>
      </c>
      <c r="W1587" t="s">
        <v>10255</v>
      </c>
      <c r="X1587" t="s">
        <v>10256</v>
      </c>
      <c r="Y1587" t="s">
        <v>10257</v>
      </c>
      <c r="Z1587" t="s">
        <v>10258</v>
      </c>
      <c r="AA1587" t="s">
        <v>74</v>
      </c>
      <c r="AB1587" t="s">
        <v>74</v>
      </c>
      <c r="AC1587" t="s">
        <v>74</v>
      </c>
      <c r="AD1587" t="s">
        <v>74</v>
      </c>
      <c r="AE1587" t="s">
        <v>74</v>
      </c>
      <c r="AF1587" t="s">
        <v>74</v>
      </c>
      <c r="AG1587">
        <v>53</v>
      </c>
      <c r="AH1587">
        <v>3</v>
      </c>
      <c r="AI1587">
        <v>3</v>
      </c>
      <c r="AJ1587">
        <v>1</v>
      </c>
      <c r="AK1587">
        <v>8</v>
      </c>
      <c r="AL1587" t="s">
        <v>74</v>
      </c>
      <c r="AM1587" t="s">
        <v>74</v>
      </c>
      <c r="AN1587" t="s">
        <v>74</v>
      </c>
      <c r="AO1587" t="s">
        <v>10259</v>
      </c>
      <c r="AP1587" t="s">
        <v>10260</v>
      </c>
      <c r="AQ1587" t="s">
        <v>74</v>
      </c>
      <c r="AR1587" t="s">
        <v>74</v>
      </c>
      <c r="AS1587" t="s">
        <v>74</v>
      </c>
      <c r="AT1587" t="s">
        <v>10261</v>
      </c>
      <c r="AU1587">
        <v>2019</v>
      </c>
      <c r="AV1587">
        <v>49</v>
      </c>
      <c r="AW1587">
        <v>3</v>
      </c>
      <c r="AX1587" t="s">
        <v>74</v>
      </c>
      <c r="AY1587" t="s">
        <v>74</v>
      </c>
      <c r="AZ1587" t="s">
        <v>74</v>
      </c>
      <c r="BA1587" t="s">
        <v>74</v>
      </c>
      <c r="BB1587">
        <v>385</v>
      </c>
      <c r="BC1587">
        <v>392</v>
      </c>
      <c r="BD1587" t="s">
        <v>74</v>
      </c>
      <c r="BE1587" t="s">
        <v>74</v>
      </c>
      <c r="BF1587" t="s">
        <v>74</v>
      </c>
      <c r="BG1587" t="s">
        <v>74</v>
      </c>
      <c r="BH1587" t="s">
        <v>74</v>
      </c>
      <c r="BI1587" t="s">
        <v>74</v>
      </c>
      <c r="BJ1587" t="s">
        <v>2773</v>
      </c>
      <c r="BK1587" t="s">
        <v>117</v>
      </c>
      <c r="BL1587" t="s">
        <v>2773</v>
      </c>
      <c r="BM1587" t="s">
        <v>74</v>
      </c>
      <c r="BN1587">
        <v>31308040</v>
      </c>
      <c r="BO1587" t="s">
        <v>74</v>
      </c>
      <c r="BP1587" t="s">
        <v>74</v>
      </c>
      <c r="BQ1587" t="s">
        <v>74</v>
      </c>
      <c r="BR1587" t="s">
        <v>96</v>
      </c>
      <c r="BS1587" t="s">
        <v>10262</v>
      </c>
      <c r="BT1587" t="str">
        <f>HYPERLINK("https%3A%2F%2Fwww.webofscience.com%2Fwos%2Fwoscc%2Ffull-record%2FWOS:000503158400016","View Full Record in Web of Science")</f>
        <v>View Full Record in Web of Science</v>
      </c>
    </row>
    <row r="1588" spans="1:72" x14ac:dyDescent="0.15">
      <c r="A1588" t="s">
        <v>98</v>
      </c>
      <c r="B1588" t="s">
        <v>10514</v>
      </c>
      <c r="C1588" t="s">
        <v>74</v>
      </c>
      <c r="D1588" t="s">
        <v>74</v>
      </c>
      <c r="E1588" t="s">
        <v>74</v>
      </c>
      <c r="F1588" t="s">
        <v>10515</v>
      </c>
      <c r="G1588" t="s">
        <v>74</v>
      </c>
      <c r="H1588" t="s">
        <v>74</v>
      </c>
      <c r="I1588" t="s">
        <v>10516</v>
      </c>
      <c r="J1588" t="s">
        <v>538</v>
      </c>
      <c r="K1588" t="s">
        <v>74</v>
      </c>
      <c r="L1588" t="s">
        <v>74</v>
      </c>
      <c r="M1588" t="s">
        <v>74</v>
      </c>
      <c r="N1588" t="s">
        <v>103</v>
      </c>
      <c r="O1588" t="s">
        <v>74</v>
      </c>
      <c r="P1588" t="s">
        <v>74</v>
      </c>
      <c r="Q1588" t="s">
        <v>74</v>
      </c>
      <c r="R1588" t="s">
        <v>74</v>
      </c>
      <c r="S1588" t="s">
        <v>74</v>
      </c>
      <c r="T1588" t="s">
        <v>10517</v>
      </c>
      <c r="U1588" t="s">
        <v>10518</v>
      </c>
      <c r="V1588" t="s">
        <v>10519</v>
      </c>
      <c r="W1588" t="s">
        <v>10520</v>
      </c>
      <c r="X1588" t="s">
        <v>10521</v>
      </c>
      <c r="Y1588" t="s">
        <v>10522</v>
      </c>
      <c r="Z1588" t="s">
        <v>10523</v>
      </c>
      <c r="AA1588" t="s">
        <v>10524</v>
      </c>
      <c r="AB1588" t="s">
        <v>10525</v>
      </c>
      <c r="AC1588" t="s">
        <v>74</v>
      </c>
      <c r="AD1588" t="s">
        <v>74</v>
      </c>
      <c r="AE1588" t="s">
        <v>74</v>
      </c>
      <c r="AF1588" t="s">
        <v>74</v>
      </c>
      <c r="AG1588">
        <v>70</v>
      </c>
      <c r="AH1588">
        <v>3</v>
      </c>
      <c r="AI1588">
        <v>3</v>
      </c>
      <c r="AJ1588">
        <v>3</v>
      </c>
      <c r="AK1588">
        <v>16</v>
      </c>
      <c r="AL1588" t="s">
        <v>74</v>
      </c>
      <c r="AM1588" t="s">
        <v>74</v>
      </c>
      <c r="AN1588" t="s">
        <v>74</v>
      </c>
      <c r="AO1588" t="s">
        <v>547</v>
      </c>
      <c r="AP1588" t="s">
        <v>548</v>
      </c>
      <c r="AQ1588" t="s">
        <v>74</v>
      </c>
      <c r="AR1588" t="s">
        <v>74</v>
      </c>
      <c r="AS1588" t="s">
        <v>74</v>
      </c>
      <c r="AT1588" t="s">
        <v>283</v>
      </c>
      <c r="AU1588">
        <v>2021</v>
      </c>
      <c r="AV1588">
        <v>161</v>
      </c>
      <c r="AW1588" t="s">
        <v>74</v>
      </c>
      <c r="AX1588" t="s">
        <v>74</v>
      </c>
      <c r="AY1588" t="s">
        <v>74</v>
      </c>
      <c r="AZ1588" t="s">
        <v>74</v>
      </c>
      <c r="BA1588" t="s">
        <v>74</v>
      </c>
      <c r="BB1588">
        <v>26</v>
      </c>
      <c r="BC1588">
        <v>40</v>
      </c>
      <c r="BD1588" t="s">
        <v>74</v>
      </c>
      <c r="BE1588" t="s">
        <v>10526</v>
      </c>
      <c r="BF1588" t="str">
        <f>HYPERLINK("http://dx.doi.org/10.1016/j.theriogenology.2020.11.015","http://dx.doi.org/10.1016/j.theriogenology.2020.11.015")</f>
        <v>http://dx.doi.org/10.1016/j.theriogenology.2020.11.015</v>
      </c>
      <c r="BG1588" t="s">
        <v>74</v>
      </c>
      <c r="BH1588" t="s">
        <v>74</v>
      </c>
      <c r="BI1588" t="s">
        <v>74</v>
      </c>
      <c r="BJ1588" t="s">
        <v>551</v>
      </c>
      <c r="BK1588" t="s">
        <v>117</v>
      </c>
      <c r="BL1588" t="s">
        <v>551</v>
      </c>
      <c r="BM1588" t="s">
        <v>74</v>
      </c>
      <c r="BN1588">
        <v>33278692</v>
      </c>
      <c r="BO1588" t="s">
        <v>74</v>
      </c>
      <c r="BP1588" t="s">
        <v>74</v>
      </c>
      <c r="BQ1588" t="s">
        <v>74</v>
      </c>
      <c r="BR1588" t="s">
        <v>96</v>
      </c>
      <c r="BS1588" t="s">
        <v>10527</v>
      </c>
      <c r="BT1588" t="str">
        <f>HYPERLINK("https%3A%2F%2Fwww.webofscience.com%2Fwos%2Fwoscc%2Ffull-record%2FWOS:000608745000004","View Full Record in Web of Science")</f>
        <v>View Full Record in Web of Science</v>
      </c>
    </row>
    <row r="1589" spans="1:72" x14ac:dyDescent="0.15">
      <c r="A1589" t="s">
        <v>98</v>
      </c>
      <c r="B1589" t="s">
        <v>11532</v>
      </c>
      <c r="C1589" t="s">
        <v>74</v>
      </c>
      <c r="D1589" t="s">
        <v>74</v>
      </c>
      <c r="E1589" t="s">
        <v>74</v>
      </c>
      <c r="F1589" t="s">
        <v>11533</v>
      </c>
      <c r="G1589" t="s">
        <v>74</v>
      </c>
      <c r="H1589" t="s">
        <v>74</v>
      </c>
      <c r="I1589" t="s">
        <v>11534</v>
      </c>
      <c r="J1589" t="s">
        <v>4486</v>
      </c>
      <c r="K1589" t="s">
        <v>74</v>
      </c>
      <c r="L1589" t="s">
        <v>74</v>
      </c>
      <c r="M1589" t="s">
        <v>74</v>
      </c>
      <c r="N1589" t="s">
        <v>103</v>
      </c>
      <c r="O1589" t="s">
        <v>74</v>
      </c>
      <c r="P1589" t="s">
        <v>74</v>
      </c>
      <c r="Q1589" t="s">
        <v>74</v>
      </c>
      <c r="R1589" t="s">
        <v>74</v>
      </c>
      <c r="S1589" t="s">
        <v>74</v>
      </c>
      <c r="T1589" t="s">
        <v>74</v>
      </c>
      <c r="U1589" t="s">
        <v>11535</v>
      </c>
      <c r="V1589" t="s">
        <v>11536</v>
      </c>
      <c r="W1589" t="s">
        <v>11537</v>
      </c>
      <c r="X1589" t="s">
        <v>11538</v>
      </c>
      <c r="Y1589" t="s">
        <v>11539</v>
      </c>
      <c r="Z1589" t="s">
        <v>11540</v>
      </c>
      <c r="AA1589" t="s">
        <v>74</v>
      </c>
      <c r="AB1589" t="s">
        <v>11541</v>
      </c>
      <c r="AC1589" t="s">
        <v>74</v>
      </c>
      <c r="AD1589" t="s">
        <v>74</v>
      </c>
      <c r="AE1589" t="s">
        <v>74</v>
      </c>
      <c r="AF1589" t="s">
        <v>74</v>
      </c>
      <c r="AG1589">
        <v>39</v>
      </c>
      <c r="AH1589">
        <v>3</v>
      </c>
      <c r="AI1589">
        <v>3</v>
      </c>
      <c r="AJ1589">
        <v>74</v>
      </c>
      <c r="AK1589">
        <v>74</v>
      </c>
      <c r="AL1589" t="s">
        <v>74</v>
      </c>
      <c r="AM1589" t="s">
        <v>74</v>
      </c>
      <c r="AN1589" t="s">
        <v>74</v>
      </c>
      <c r="AO1589" t="s">
        <v>4493</v>
      </c>
      <c r="AP1589" t="s">
        <v>4494</v>
      </c>
      <c r="AQ1589" t="s">
        <v>74</v>
      </c>
      <c r="AR1589" t="s">
        <v>74</v>
      </c>
      <c r="AS1589" t="s">
        <v>74</v>
      </c>
      <c r="AT1589" t="s">
        <v>11542</v>
      </c>
      <c r="AU1589">
        <v>2022</v>
      </c>
      <c r="AV1589">
        <v>94</v>
      </c>
      <c r="AW1589">
        <v>12</v>
      </c>
      <c r="AX1589" t="s">
        <v>74</v>
      </c>
      <c r="AY1589" t="s">
        <v>74</v>
      </c>
      <c r="AZ1589" t="s">
        <v>74</v>
      </c>
      <c r="BA1589" t="s">
        <v>74</v>
      </c>
      <c r="BB1589">
        <v>5055</v>
      </c>
      <c r="BC1589">
        <v>5061</v>
      </c>
      <c r="BD1589" t="s">
        <v>74</v>
      </c>
      <c r="BE1589" t="s">
        <v>11543</v>
      </c>
      <c r="BF1589" t="str">
        <f>HYPERLINK("http://dx.doi.org/10.1021/acs.analchem.1c05222","http://dx.doi.org/10.1021/acs.analchem.1c05222")</f>
        <v>http://dx.doi.org/10.1021/acs.analchem.1c05222</v>
      </c>
      <c r="BG1589" t="s">
        <v>74</v>
      </c>
      <c r="BH1589" t="s">
        <v>74</v>
      </c>
      <c r="BI1589" t="s">
        <v>74</v>
      </c>
      <c r="BJ1589" t="s">
        <v>1118</v>
      </c>
      <c r="BK1589" t="s">
        <v>117</v>
      </c>
      <c r="BL1589" t="s">
        <v>1048</v>
      </c>
      <c r="BM1589" t="s">
        <v>74</v>
      </c>
      <c r="BN1589">
        <v>35290034</v>
      </c>
      <c r="BO1589" t="s">
        <v>74</v>
      </c>
      <c r="BP1589" t="s">
        <v>74</v>
      </c>
      <c r="BQ1589" t="s">
        <v>74</v>
      </c>
      <c r="BR1589" t="s">
        <v>96</v>
      </c>
      <c r="BS1589" t="s">
        <v>11544</v>
      </c>
      <c r="BT1589" t="str">
        <f>HYPERLINK("https%3A%2F%2Fwww.webofscience.com%2Fwos%2Fwoscc%2Ffull-record%2FWOS:000779305600022","View Full Record in Web of Science")</f>
        <v>View Full Record in Web of Science</v>
      </c>
    </row>
    <row r="1590" spans="1:72" x14ac:dyDescent="0.15">
      <c r="A1590" t="s">
        <v>98</v>
      </c>
      <c r="B1590" t="s">
        <v>12771</v>
      </c>
      <c r="C1590" t="s">
        <v>74</v>
      </c>
      <c r="D1590" t="s">
        <v>74</v>
      </c>
      <c r="E1590" t="s">
        <v>74</v>
      </c>
      <c r="F1590" t="s">
        <v>12772</v>
      </c>
      <c r="G1590" t="s">
        <v>74</v>
      </c>
      <c r="H1590" t="s">
        <v>74</v>
      </c>
      <c r="I1590" t="s">
        <v>12773</v>
      </c>
      <c r="J1590" t="s">
        <v>12341</v>
      </c>
      <c r="K1590" t="s">
        <v>74</v>
      </c>
      <c r="L1590" t="s">
        <v>74</v>
      </c>
      <c r="M1590" t="s">
        <v>74</v>
      </c>
      <c r="N1590" t="s">
        <v>103</v>
      </c>
      <c r="O1590" t="s">
        <v>74</v>
      </c>
      <c r="P1590" t="s">
        <v>74</v>
      </c>
      <c r="Q1590" t="s">
        <v>74</v>
      </c>
      <c r="R1590" t="s">
        <v>74</v>
      </c>
      <c r="S1590" t="s">
        <v>74</v>
      </c>
      <c r="T1590" t="s">
        <v>12774</v>
      </c>
      <c r="U1590" t="s">
        <v>74</v>
      </c>
      <c r="V1590" t="s">
        <v>12775</v>
      </c>
      <c r="W1590" t="s">
        <v>12776</v>
      </c>
      <c r="X1590" t="s">
        <v>12777</v>
      </c>
      <c r="Y1590" t="s">
        <v>12778</v>
      </c>
      <c r="Z1590" t="s">
        <v>12779</v>
      </c>
      <c r="AA1590" t="s">
        <v>74</v>
      </c>
      <c r="AB1590" t="s">
        <v>74</v>
      </c>
      <c r="AC1590" t="s">
        <v>74</v>
      </c>
      <c r="AD1590" t="s">
        <v>74</v>
      </c>
      <c r="AE1590" t="s">
        <v>74</v>
      </c>
      <c r="AF1590" t="s">
        <v>74</v>
      </c>
      <c r="AG1590">
        <v>46</v>
      </c>
      <c r="AH1590">
        <v>3</v>
      </c>
      <c r="AI1590">
        <v>3</v>
      </c>
      <c r="AJ1590">
        <v>3</v>
      </c>
      <c r="AK1590">
        <v>9</v>
      </c>
      <c r="AL1590" t="s">
        <v>74</v>
      </c>
      <c r="AM1590" t="s">
        <v>74</v>
      </c>
      <c r="AN1590" t="s">
        <v>74</v>
      </c>
      <c r="AO1590" t="s">
        <v>74</v>
      </c>
      <c r="AP1590" t="s">
        <v>12350</v>
      </c>
      <c r="AQ1590" t="s">
        <v>74</v>
      </c>
      <c r="AR1590" t="s">
        <v>74</v>
      </c>
      <c r="AS1590" t="s">
        <v>74</v>
      </c>
      <c r="AT1590" t="s">
        <v>1807</v>
      </c>
      <c r="AU1590">
        <v>2021</v>
      </c>
      <c r="AV1590">
        <v>21</v>
      </c>
      <c r="AW1590">
        <v>1</v>
      </c>
      <c r="AX1590" t="s">
        <v>74</v>
      </c>
      <c r="AY1590" t="s">
        <v>74</v>
      </c>
      <c r="AZ1590" t="s">
        <v>74</v>
      </c>
      <c r="BA1590" t="s">
        <v>74</v>
      </c>
      <c r="BB1590" t="s">
        <v>74</v>
      </c>
      <c r="BC1590" t="s">
        <v>74</v>
      </c>
      <c r="BD1590">
        <v>185</v>
      </c>
      <c r="BE1590" t="s">
        <v>12780</v>
      </c>
      <c r="BF1590" t="str">
        <f>HYPERLINK("http://dx.doi.org/10.1186/s12935-021-01881-4","http://dx.doi.org/10.1186/s12935-021-01881-4")</f>
        <v>http://dx.doi.org/10.1186/s12935-021-01881-4</v>
      </c>
      <c r="BG1590" t="s">
        <v>74</v>
      </c>
      <c r="BH1590" t="s">
        <v>74</v>
      </c>
      <c r="BI1590" t="s">
        <v>74</v>
      </c>
      <c r="BJ1590" t="s">
        <v>267</v>
      </c>
      <c r="BK1590" t="s">
        <v>117</v>
      </c>
      <c r="BL1590" t="s">
        <v>267</v>
      </c>
      <c r="BM1590" t="s">
        <v>74</v>
      </c>
      <c r="BN1590">
        <v>33789676</v>
      </c>
      <c r="BO1590" t="s">
        <v>74</v>
      </c>
      <c r="BP1590" t="s">
        <v>74</v>
      </c>
      <c r="BQ1590" t="s">
        <v>74</v>
      </c>
      <c r="BR1590" t="s">
        <v>96</v>
      </c>
      <c r="BS1590" t="s">
        <v>12781</v>
      </c>
      <c r="BT1590" t="str">
        <f>HYPERLINK("https%3A%2F%2Fwww.webofscience.com%2Fwos%2Fwoscc%2Ffull-record%2FWOS:000636450600001","View Full Record in Web of Science")</f>
        <v>View Full Record in Web of Science</v>
      </c>
    </row>
    <row r="1591" spans="1:72" x14ac:dyDescent="0.15">
      <c r="A1591" t="s">
        <v>98</v>
      </c>
      <c r="B1591" t="s">
        <v>12998</v>
      </c>
      <c r="C1591" t="s">
        <v>74</v>
      </c>
      <c r="D1591" t="s">
        <v>74</v>
      </c>
      <c r="E1591" t="s">
        <v>74</v>
      </c>
      <c r="F1591" t="s">
        <v>12999</v>
      </c>
      <c r="G1591" t="s">
        <v>74</v>
      </c>
      <c r="H1591" t="s">
        <v>74</v>
      </c>
      <c r="I1591" t="s">
        <v>13000</v>
      </c>
      <c r="J1591" t="s">
        <v>2051</v>
      </c>
      <c r="K1591" t="s">
        <v>74</v>
      </c>
      <c r="L1591" t="s">
        <v>74</v>
      </c>
      <c r="M1591" t="s">
        <v>74</v>
      </c>
      <c r="N1591" t="s">
        <v>103</v>
      </c>
      <c r="O1591" t="s">
        <v>74</v>
      </c>
      <c r="P1591" t="s">
        <v>74</v>
      </c>
      <c r="Q1591" t="s">
        <v>74</v>
      </c>
      <c r="R1591" t="s">
        <v>74</v>
      </c>
      <c r="S1591" t="s">
        <v>74</v>
      </c>
      <c r="T1591" t="s">
        <v>13001</v>
      </c>
      <c r="U1591" t="s">
        <v>13002</v>
      </c>
      <c r="V1591" t="s">
        <v>13003</v>
      </c>
      <c r="W1591" t="s">
        <v>13004</v>
      </c>
      <c r="X1591" t="s">
        <v>13005</v>
      </c>
      <c r="Y1591" t="s">
        <v>13006</v>
      </c>
      <c r="Z1591" t="s">
        <v>13007</v>
      </c>
      <c r="AA1591" t="s">
        <v>74</v>
      </c>
      <c r="AB1591" t="s">
        <v>9274</v>
      </c>
      <c r="AC1591" t="s">
        <v>74</v>
      </c>
      <c r="AD1591" t="s">
        <v>74</v>
      </c>
      <c r="AE1591" t="s">
        <v>74</v>
      </c>
      <c r="AF1591" t="s">
        <v>74</v>
      </c>
      <c r="AG1591">
        <v>42</v>
      </c>
      <c r="AH1591">
        <v>3</v>
      </c>
      <c r="AI1591">
        <v>3</v>
      </c>
      <c r="AJ1591">
        <v>1</v>
      </c>
      <c r="AK1591">
        <v>3</v>
      </c>
      <c r="AL1591" t="s">
        <v>74</v>
      </c>
      <c r="AM1591" t="s">
        <v>74</v>
      </c>
      <c r="AN1591" t="s">
        <v>74</v>
      </c>
      <c r="AO1591" t="s">
        <v>2061</v>
      </c>
      <c r="AP1591" t="s">
        <v>74</v>
      </c>
      <c r="AQ1591" t="s">
        <v>74</v>
      </c>
      <c r="AR1591" t="s">
        <v>74</v>
      </c>
      <c r="AS1591" t="s">
        <v>74</v>
      </c>
      <c r="AT1591" t="s">
        <v>13008</v>
      </c>
      <c r="AU1591">
        <v>2019</v>
      </c>
      <c r="AV1591">
        <v>10</v>
      </c>
      <c r="AW1591" t="s">
        <v>74</v>
      </c>
      <c r="AX1591" t="s">
        <v>74</v>
      </c>
      <c r="AY1591" t="s">
        <v>74</v>
      </c>
      <c r="AZ1591" t="s">
        <v>74</v>
      </c>
      <c r="BA1591" t="s">
        <v>74</v>
      </c>
      <c r="BB1591" t="s">
        <v>74</v>
      </c>
      <c r="BC1591" t="s">
        <v>74</v>
      </c>
      <c r="BD1591">
        <v>2391</v>
      </c>
      <c r="BE1591" t="s">
        <v>13009</v>
      </c>
      <c r="BF1591" t="str">
        <f>HYPERLINK("http://dx.doi.org/10.3389/fimmu.2019.02391","http://dx.doi.org/10.3389/fimmu.2019.02391")</f>
        <v>http://dx.doi.org/10.3389/fimmu.2019.02391</v>
      </c>
      <c r="BG1591" t="s">
        <v>74</v>
      </c>
      <c r="BH1591" t="s">
        <v>74</v>
      </c>
      <c r="BI1591" t="s">
        <v>74</v>
      </c>
      <c r="BJ1591" t="s">
        <v>2064</v>
      </c>
      <c r="BK1591" t="s">
        <v>117</v>
      </c>
      <c r="BL1591" t="s">
        <v>2064</v>
      </c>
      <c r="BM1591" t="s">
        <v>74</v>
      </c>
      <c r="BN1591">
        <v>31681284</v>
      </c>
      <c r="BO1591" t="s">
        <v>74</v>
      </c>
      <c r="BP1591" t="s">
        <v>74</v>
      </c>
      <c r="BQ1591" t="s">
        <v>74</v>
      </c>
      <c r="BR1591" t="s">
        <v>96</v>
      </c>
      <c r="BS1591" t="s">
        <v>13010</v>
      </c>
      <c r="BT1591" t="str">
        <f>HYPERLINK("https%3A%2F%2Fwww.webofscience.com%2Fwos%2Fwoscc%2Ffull-record%2FWOS:000497317900001","View Full Record in Web of Science")</f>
        <v>View Full Record in Web of Science</v>
      </c>
    </row>
    <row r="1592" spans="1:72" x14ac:dyDescent="0.15">
      <c r="A1592" t="s">
        <v>98</v>
      </c>
      <c r="B1592" t="s">
        <v>13161</v>
      </c>
      <c r="C1592" t="s">
        <v>74</v>
      </c>
      <c r="D1592" t="s">
        <v>74</v>
      </c>
      <c r="E1592" t="s">
        <v>74</v>
      </c>
      <c r="F1592" t="s">
        <v>13162</v>
      </c>
      <c r="G1592" t="s">
        <v>74</v>
      </c>
      <c r="H1592" t="s">
        <v>74</v>
      </c>
      <c r="I1592" t="s">
        <v>13163</v>
      </c>
      <c r="J1592" t="s">
        <v>13164</v>
      </c>
      <c r="K1592" t="s">
        <v>74</v>
      </c>
      <c r="L1592" t="s">
        <v>74</v>
      </c>
      <c r="M1592" t="s">
        <v>74</v>
      </c>
      <c r="N1592" t="s">
        <v>103</v>
      </c>
      <c r="O1592" t="s">
        <v>74</v>
      </c>
      <c r="P1592" t="s">
        <v>74</v>
      </c>
      <c r="Q1592" t="s">
        <v>74</v>
      </c>
      <c r="R1592" t="s">
        <v>74</v>
      </c>
      <c r="S1592" t="s">
        <v>74</v>
      </c>
      <c r="T1592" t="s">
        <v>74</v>
      </c>
      <c r="U1592" t="s">
        <v>13165</v>
      </c>
      <c r="V1592" t="s">
        <v>13166</v>
      </c>
      <c r="W1592" t="s">
        <v>13167</v>
      </c>
      <c r="X1592" t="s">
        <v>13168</v>
      </c>
      <c r="Y1592" t="s">
        <v>13169</v>
      </c>
      <c r="Z1592" t="s">
        <v>13170</v>
      </c>
      <c r="AA1592" t="s">
        <v>74</v>
      </c>
      <c r="AB1592" t="s">
        <v>74</v>
      </c>
      <c r="AC1592" t="s">
        <v>74</v>
      </c>
      <c r="AD1592" t="s">
        <v>74</v>
      </c>
      <c r="AE1592" t="s">
        <v>74</v>
      </c>
      <c r="AF1592" t="s">
        <v>74</v>
      </c>
      <c r="AG1592">
        <v>41</v>
      </c>
      <c r="AH1592">
        <v>3</v>
      </c>
      <c r="AI1592">
        <v>3</v>
      </c>
      <c r="AJ1592">
        <v>11</v>
      </c>
      <c r="AK1592">
        <v>15</v>
      </c>
      <c r="AL1592" t="s">
        <v>74</v>
      </c>
      <c r="AM1592" t="s">
        <v>74</v>
      </c>
      <c r="AN1592" t="s">
        <v>74</v>
      </c>
      <c r="AO1592" t="s">
        <v>13171</v>
      </c>
      <c r="AP1592" t="s">
        <v>74</v>
      </c>
      <c r="AQ1592" t="s">
        <v>74</v>
      </c>
      <c r="AR1592" t="s">
        <v>74</v>
      </c>
      <c r="AS1592" t="s">
        <v>74</v>
      </c>
      <c r="AT1592" t="s">
        <v>13172</v>
      </c>
      <c r="AU1592">
        <v>2022</v>
      </c>
      <c r="AV1592">
        <v>38</v>
      </c>
      <c r="AW1592">
        <v>1</v>
      </c>
      <c r="AX1592" t="s">
        <v>74</v>
      </c>
      <c r="AY1592" t="s">
        <v>74</v>
      </c>
      <c r="AZ1592" t="s">
        <v>74</v>
      </c>
      <c r="BA1592" t="s">
        <v>74</v>
      </c>
      <c r="BB1592">
        <v>299</v>
      </c>
      <c r="BC1592">
        <v>308</v>
      </c>
      <c r="BD1592" t="s">
        <v>74</v>
      </c>
      <c r="BE1592" t="s">
        <v>13173</v>
      </c>
      <c r="BF1592" t="str">
        <f>HYPERLINK("http://dx.doi.org/10.1021/acs.langmuir.1c02500","http://dx.doi.org/10.1021/acs.langmuir.1c02500")</f>
        <v>http://dx.doi.org/10.1021/acs.langmuir.1c02500</v>
      </c>
      <c r="BG1592" t="s">
        <v>74</v>
      </c>
      <c r="BH1592" t="s">
        <v>74</v>
      </c>
      <c r="BI1592" t="s">
        <v>74</v>
      </c>
      <c r="BJ1592" t="s">
        <v>13174</v>
      </c>
      <c r="BK1592" t="s">
        <v>117</v>
      </c>
      <c r="BL1592" t="s">
        <v>7990</v>
      </c>
      <c r="BM1592" t="s">
        <v>74</v>
      </c>
      <c r="BN1592">
        <v>34936368</v>
      </c>
      <c r="BO1592" t="s">
        <v>74</v>
      </c>
      <c r="BP1592" t="s">
        <v>74</v>
      </c>
      <c r="BQ1592" t="s">
        <v>74</v>
      </c>
      <c r="BR1592" t="s">
        <v>96</v>
      </c>
      <c r="BS1592" t="s">
        <v>13175</v>
      </c>
      <c r="BT1592" t="str">
        <f>HYPERLINK("https%3A%2F%2Fwww.webofscience.com%2Fwos%2Fwoscc%2Ffull-record%2FWOS:000759480200031","View Full Record in Web of Science")</f>
        <v>View Full Record in Web of Science</v>
      </c>
    </row>
    <row r="1593" spans="1:72" x14ac:dyDescent="0.15">
      <c r="A1593" t="s">
        <v>98</v>
      </c>
      <c r="B1593" t="s">
        <v>13774</v>
      </c>
      <c r="C1593" t="s">
        <v>74</v>
      </c>
      <c r="D1593" t="s">
        <v>74</v>
      </c>
      <c r="E1593" t="s">
        <v>74</v>
      </c>
      <c r="F1593" t="s">
        <v>13775</v>
      </c>
      <c r="G1593" t="s">
        <v>74</v>
      </c>
      <c r="H1593" t="s">
        <v>74</v>
      </c>
      <c r="I1593" t="s">
        <v>13776</v>
      </c>
      <c r="J1593" t="s">
        <v>13777</v>
      </c>
      <c r="K1593" t="s">
        <v>74</v>
      </c>
      <c r="L1593" t="s">
        <v>74</v>
      </c>
      <c r="M1593" t="s">
        <v>74</v>
      </c>
      <c r="N1593" t="s">
        <v>103</v>
      </c>
      <c r="O1593" t="s">
        <v>74</v>
      </c>
      <c r="P1593" t="s">
        <v>74</v>
      </c>
      <c r="Q1593" t="s">
        <v>74</v>
      </c>
      <c r="R1593" t="s">
        <v>74</v>
      </c>
      <c r="S1593" t="s">
        <v>74</v>
      </c>
      <c r="T1593" t="s">
        <v>13778</v>
      </c>
      <c r="U1593" t="s">
        <v>13779</v>
      </c>
      <c r="V1593" t="s">
        <v>13780</v>
      </c>
      <c r="W1593" t="s">
        <v>13781</v>
      </c>
      <c r="X1593" t="s">
        <v>13782</v>
      </c>
      <c r="Y1593" t="s">
        <v>13783</v>
      </c>
      <c r="Z1593" t="s">
        <v>13784</v>
      </c>
      <c r="AA1593" t="s">
        <v>13785</v>
      </c>
      <c r="AB1593" t="s">
        <v>13786</v>
      </c>
      <c r="AC1593" t="s">
        <v>74</v>
      </c>
      <c r="AD1593" t="s">
        <v>74</v>
      </c>
      <c r="AE1593" t="s">
        <v>74</v>
      </c>
      <c r="AF1593" t="s">
        <v>74</v>
      </c>
      <c r="AG1593">
        <v>75</v>
      </c>
      <c r="AH1593">
        <v>3</v>
      </c>
      <c r="AI1593">
        <v>3</v>
      </c>
      <c r="AJ1593">
        <v>0</v>
      </c>
      <c r="AK1593">
        <v>6</v>
      </c>
      <c r="AL1593" t="s">
        <v>74</v>
      </c>
      <c r="AM1593" t="s">
        <v>74</v>
      </c>
      <c r="AN1593" t="s">
        <v>74</v>
      </c>
      <c r="AO1593" t="s">
        <v>13787</v>
      </c>
      <c r="AP1593" t="s">
        <v>13788</v>
      </c>
      <c r="AQ1593" t="s">
        <v>74</v>
      </c>
      <c r="AR1593" t="s">
        <v>74</v>
      </c>
      <c r="AS1593" t="s">
        <v>74</v>
      </c>
      <c r="AT1593" t="s">
        <v>8524</v>
      </c>
      <c r="AU1593">
        <v>2021</v>
      </c>
      <c r="AV1593">
        <v>344</v>
      </c>
      <c r="AW1593" t="s">
        <v>74</v>
      </c>
      <c r="AX1593" t="s">
        <v>74</v>
      </c>
      <c r="AY1593" t="s">
        <v>74</v>
      </c>
      <c r="AZ1593" t="s">
        <v>74</v>
      </c>
      <c r="BA1593" t="s">
        <v>74</v>
      </c>
      <c r="BB1593" t="s">
        <v>74</v>
      </c>
      <c r="BC1593" t="s">
        <v>74</v>
      </c>
      <c r="BD1593">
        <v>109497</v>
      </c>
      <c r="BE1593" t="s">
        <v>13789</v>
      </c>
      <c r="BF1593" t="str">
        <f>HYPERLINK("http://dx.doi.org/10.1016/j.cbi.2021.109497","http://dx.doi.org/10.1016/j.cbi.2021.109497")</f>
        <v>http://dx.doi.org/10.1016/j.cbi.2021.109497</v>
      </c>
      <c r="BG1593" t="s">
        <v>74</v>
      </c>
      <c r="BH1593" t="s">
        <v>1273</v>
      </c>
      <c r="BI1593" t="s">
        <v>74</v>
      </c>
      <c r="BJ1593" t="s">
        <v>13790</v>
      </c>
      <c r="BK1593" t="s">
        <v>117</v>
      </c>
      <c r="BL1593" t="s">
        <v>13790</v>
      </c>
      <c r="BM1593" t="s">
        <v>74</v>
      </c>
      <c r="BN1593">
        <v>33991505</v>
      </c>
      <c r="BO1593" t="s">
        <v>74</v>
      </c>
      <c r="BP1593" t="s">
        <v>74</v>
      </c>
      <c r="BQ1593" t="s">
        <v>74</v>
      </c>
      <c r="BR1593" t="s">
        <v>96</v>
      </c>
      <c r="BS1593" t="s">
        <v>13791</v>
      </c>
      <c r="BT1593" t="str">
        <f>HYPERLINK("https%3A%2F%2Fwww.webofscience.com%2Fwos%2Fwoscc%2Ffull-record%2FWOS:000670220100002","View Full Record in Web of Science")</f>
        <v>View Full Record in Web of Science</v>
      </c>
    </row>
    <row r="1594" spans="1:72" x14ac:dyDescent="0.15">
      <c r="A1594" t="s">
        <v>98</v>
      </c>
      <c r="B1594" t="s">
        <v>14143</v>
      </c>
      <c r="C1594" t="s">
        <v>74</v>
      </c>
      <c r="D1594" t="s">
        <v>74</v>
      </c>
      <c r="E1594" t="s">
        <v>74</v>
      </c>
      <c r="F1594" t="s">
        <v>14144</v>
      </c>
      <c r="G1594" t="s">
        <v>74</v>
      </c>
      <c r="H1594" t="s">
        <v>74</v>
      </c>
      <c r="I1594" t="s">
        <v>14145</v>
      </c>
      <c r="J1594" t="s">
        <v>14146</v>
      </c>
      <c r="K1594" t="s">
        <v>74</v>
      </c>
      <c r="L1594" t="s">
        <v>74</v>
      </c>
      <c r="M1594" t="s">
        <v>74</v>
      </c>
      <c r="N1594" t="s">
        <v>103</v>
      </c>
      <c r="O1594" t="s">
        <v>74</v>
      </c>
      <c r="P1594" t="s">
        <v>74</v>
      </c>
      <c r="Q1594" t="s">
        <v>74</v>
      </c>
      <c r="R1594" t="s">
        <v>74</v>
      </c>
      <c r="S1594" t="s">
        <v>74</v>
      </c>
      <c r="T1594" t="s">
        <v>14147</v>
      </c>
      <c r="U1594" t="s">
        <v>14148</v>
      </c>
      <c r="V1594" t="s">
        <v>14149</v>
      </c>
      <c r="W1594" t="s">
        <v>14150</v>
      </c>
      <c r="X1594" t="s">
        <v>14151</v>
      </c>
      <c r="Y1594" t="s">
        <v>14152</v>
      </c>
      <c r="Z1594" t="s">
        <v>14153</v>
      </c>
      <c r="AA1594" t="s">
        <v>14154</v>
      </c>
      <c r="AB1594" t="s">
        <v>14155</v>
      </c>
      <c r="AC1594" t="s">
        <v>74</v>
      </c>
      <c r="AD1594" t="s">
        <v>74</v>
      </c>
      <c r="AE1594" t="s">
        <v>74</v>
      </c>
      <c r="AF1594" t="s">
        <v>74</v>
      </c>
      <c r="AG1594">
        <v>36</v>
      </c>
      <c r="AH1594">
        <v>3</v>
      </c>
      <c r="AI1594">
        <v>3</v>
      </c>
      <c r="AJ1594">
        <v>0</v>
      </c>
      <c r="AK1594">
        <v>1</v>
      </c>
      <c r="AL1594" t="s">
        <v>74</v>
      </c>
      <c r="AM1594" t="s">
        <v>74</v>
      </c>
      <c r="AN1594" t="s">
        <v>74</v>
      </c>
      <c r="AO1594" t="s">
        <v>14156</v>
      </c>
      <c r="AP1594" t="s">
        <v>14157</v>
      </c>
      <c r="AQ1594" t="s">
        <v>74</v>
      </c>
      <c r="AR1594" t="s">
        <v>74</v>
      </c>
      <c r="AS1594" t="s">
        <v>74</v>
      </c>
      <c r="AT1594" t="s">
        <v>531</v>
      </c>
      <c r="AU1594">
        <v>2021</v>
      </c>
      <c r="AV1594">
        <v>15</v>
      </c>
      <c r="AW1594">
        <v>9</v>
      </c>
      <c r="AX1594" t="s">
        <v>74</v>
      </c>
      <c r="AY1594" t="s">
        <v>74</v>
      </c>
      <c r="AZ1594" t="s">
        <v>74</v>
      </c>
      <c r="BA1594" t="s">
        <v>74</v>
      </c>
      <c r="BB1594">
        <v>2423</v>
      </c>
      <c r="BC1594">
        <v>2438</v>
      </c>
      <c r="BD1594" t="s">
        <v>74</v>
      </c>
      <c r="BE1594" t="s">
        <v>14158</v>
      </c>
      <c r="BF1594" t="str">
        <f>HYPERLINK("http://dx.doi.org/10.1002/1878-0261.12976","http://dx.doi.org/10.1002/1878-0261.12976")</f>
        <v>http://dx.doi.org/10.1002/1878-0261.12976</v>
      </c>
      <c r="BG1594" t="s">
        <v>74</v>
      </c>
      <c r="BH1594" t="s">
        <v>1273</v>
      </c>
      <c r="BI1594" t="s">
        <v>74</v>
      </c>
      <c r="BJ1594" t="s">
        <v>267</v>
      </c>
      <c r="BK1594" t="s">
        <v>117</v>
      </c>
      <c r="BL1594" t="s">
        <v>267</v>
      </c>
      <c r="BM1594" t="s">
        <v>74</v>
      </c>
      <c r="BN1594">
        <v>33942501</v>
      </c>
      <c r="BO1594" t="s">
        <v>74</v>
      </c>
      <c r="BP1594" t="s">
        <v>74</v>
      </c>
      <c r="BQ1594" t="s">
        <v>74</v>
      </c>
      <c r="BR1594" t="s">
        <v>96</v>
      </c>
      <c r="BS1594" t="s">
        <v>14159</v>
      </c>
      <c r="BT1594" t="str">
        <f>HYPERLINK("https%3A%2F%2Fwww.webofscience.com%2Fwos%2Fwoscc%2Ffull-record%2FWOS:000652361600001","View Full Record in Web of Science")</f>
        <v>View Full Record in Web of Science</v>
      </c>
    </row>
    <row r="1595" spans="1:72" x14ac:dyDescent="0.15">
      <c r="A1595" t="s">
        <v>98</v>
      </c>
      <c r="B1595" t="s">
        <v>15154</v>
      </c>
      <c r="C1595" t="s">
        <v>74</v>
      </c>
      <c r="D1595" t="s">
        <v>74</v>
      </c>
      <c r="E1595" t="s">
        <v>74</v>
      </c>
      <c r="F1595" t="s">
        <v>15155</v>
      </c>
      <c r="G1595" t="s">
        <v>74</v>
      </c>
      <c r="H1595" t="s">
        <v>74</v>
      </c>
      <c r="I1595" t="s">
        <v>15156</v>
      </c>
      <c r="J1595" t="s">
        <v>9977</v>
      </c>
      <c r="K1595" t="s">
        <v>74</v>
      </c>
      <c r="L1595" t="s">
        <v>74</v>
      </c>
      <c r="M1595" t="s">
        <v>74</v>
      </c>
      <c r="N1595" t="s">
        <v>103</v>
      </c>
      <c r="O1595" t="s">
        <v>74</v>
      </c>
      <c r="P1595" t="s">
        <v>74</v>
      </c>
      <c r="Q1595" t="s">
        <v>74</v>
      </c>
      <c r="R1595" t="s">
        <v>74</v>
      </c>
      <c r="S1595" t="s">
        <v>74</v>
      </c>
      <c r="T1595" t="s">
        <v>15157</v>
      </c>
      <c r="U1595" t="s">
        <v>15158</v>
      </c>
      <c r="V1595" t="s">
        <v>15159</v>
      </c>
      <c r="W1595" t="s">
        <v>15160</v>
      </c>
      <c r="X1595" t="s">
        <v>15161</v>
      </c>
      <c r="Y1595" t="s">
        <v>15162</v>
      </c>
      <c r="Z1595" t="s">
        <v>15163</v>
      </c>
      <c r="AA1595" t="s">
        <v>15164</v>
      </c>
      <c r="AB1595" t="s">
        <v>15165</v>
      </c>
      <c r="AC1595" t="s">
        <v>74</v>
      </c>
      <c r="AD1595" t="s">
        <v>74</v>
      </c>
      <c r="AE1595" t="s">
        <v>74</v>
      </c>
      <c r="AF1595" t="s">
        <v>74</v>
      </c>
      <c r="AG1595">
        <v>71</v>
      </c>
      <c r="AH1595">
        <v>3</v>
      </c>
      <c r="AI1595">
        <v>3</v>
      </c>
      <c r="AJ1595">
        <v>1</v>
      </c>
      <c r="AK1595">
        <v>12</v>
      </c>
      <c r="AL1595" t="s">
        <v>74</v>
      </c>
      <c r="AM1595" t="s">
        <v>74</v>
      </c>
      <c r="AN1595" t="s">
        <v>74</v>
      </c>
      <c r="AO1595" t="s">
        <v>74</v>
      </c>
      <c r="AP1595" t="s">
        <v>9986</v>
      </c>
      <c r="AQ1595" t="s">
        <v>74</v>
      </c>
      <c r="AR1595" t="s">
        <v>74</v>
      </c>
      <c r="AS1595" t="s">
        <v>74</v>
      </c>
      <c r="AT1595" t="s">
        <v>211</v>
      </c>
      <c r="AU1595">
        <v>2020</v>
      </c>
      <c r="AV1595">
        <v>8</v>
      </c>
      <c r="AW1595">
        <v>11</v>
      </c>
      <c r="AX1595" t="s">
        <v>74</v>
      </c>
      <c r="AY1595" t="s">
        <v>74</v>
      </c>
      <c r="AZ1595" t="s">
        <v>74</v>
      </c>
      <c r="BA1595" t="s">
        <v>74</v>
      </c>
      <c r="BB1595" t="s">
        <v>74</v>
      </c>
      <c r="BC1595" t="s">
        <v>74</v>
      </c>
      <c r="BD1595">
        <v>1826</v>
      </c>
      <c r="BE1595" t="s">
        <v>15166</v>
      </c>
      <c r="BF1595" t="str">
        <f>HYPERLINK("http://dx.doi.org/10.3390/microorganisms8111826","http://dx.doi.org/10.3390/microorganisms8111826")</f>
        <v>http://dx.doi.org/10.3390/microorganisms8111826</v>
      </c>
      <c r="BG1595" t="s">
        <v>74</v>
      </c>
      <c r="BH1595" t="s">
        <v>74</v>
      </c>
      <c r="BI1595" t="s">
        <v>74</v>
      </c>
      <c r="BJ1595" t="s">
        <v>898</v>
      </c>
      <c r="BK1595" t="s">
        <v>117</v>
      </c>
      <c r="BL1595" t="s">
        <v>898</v>
      </c>
      <c r="BM1595" t="s">
        <v>74</v>
      </c>
      <c r="BN1595">
        <v>33228110</v>
      </c>
      <c r="BO1595" t="s">
        <v>74</v>
      </c>
      <c r="BP1595" t="s">
        <v>74</v>
      </c>
      <c r="BQ1595" t="s">
        <v>74</v>
      </c>
      <c r="BR1595" t="s">
        <v>96</v>
      </c>
      <c r="BS1595" t="s">
        <v>15167</v>
      </c>
      <c r="BT1595" t="str">
        <f>HYPERLINK("https%3A%2F%2Fwww.webofscience.com%2Fwos%2Fwoscc%2Ffull-record%2FWOS:000593211000001","View Full Record in Web of Science")</f>
        <v>View Full Record in Web of Science</v>
      </c>
    </row>
    <row r="1596" spans="1:72" x14ac:dyDescent="0.15">
      <c r="A1596" t="s">
        <v>98</v>
      </c>
      <c r="B1596" t="s">
        <v>15335</v>
      </c>
      <c r="C1596" t="s">
        <v>74</v>
      </c>
      <c r="D1596" t="s">
        <v>74</v>
      </c>
      <c r="E1596" t="s">
        <v>74</v>
      </c>
      <c r="F1596" t="s">
        <v>15336</v>
      </c>
      <c r="G1596" t="s">
        <v>74</v>
      </c>
      <c r="H1596" t="s">
        <v>74</v>
      </c>
      <c r="I1596" t="s">
        <v>15337</v>
      </c>
      <c r="J1596" t="s">
        <v>15338</v>
      </c>
      <c r="K1596" t="s">
        <v>74</v>
      </c>
      <c r="L1596" t="s">
        <v>74</v>
      </c>
      <c r="M1596" t="s">
        <v>74</v>
      </c>
      <c r="N1596" t="s">
        <v>103</v>
      </c>
      <c r="O1596" t="s">
        <v>74</v>
      </c>
      <c r="P1596" t="s">
        <v>74</v>
      </c>
      <c r="Q1596" t="s">
        <v>74</v>
      </c>
      <c r="R1596" t="s">
        <v>74</v>
      </c>
      <c r="S1596" t="s">
        <v>74</v>
      </c>
      <c r="T1596" t="s">
        <v>15339</v>
      </c>
      <c r="U1596" t="s">
        <v>15340</v>
      </c>
      <c r="V1596" t="s">
        <v>15341</v>
      </c>
      <c r="W1596" t="s">
        <v>15342</v>
      </c>
      <c r="X1596" t="s">
        <v>15343</v>
      </c>
      <c r="Y1596" t="s">
        <v>15344</v>
      </c>
      <c r="Z1596" t="s">
        <v>15345</v>
      </c>
      <c r="AA1596" t="s">
        <v>74</v>
      </c>
      <c r="AB1596" t="s">
        <v>74</v>
      </c>
      <c r="AC1596" t="s">
        <v>74</v>
      </c>
      <c r="AD1596" t="s">
        <v>74</v>
      </c>
      <c r="AE1596" t="s">
        <v>74</v>
      </c>
      <c r="AF1596" t="s">
        <v>74</v>
      </c>
      <c r="AG1596">
        <v>62</v>
      </c>
      <c r="AH1596">
        <v>3</v>
      </c>
      <c r="AI1596">
        <v>3</v>
      </c>
      <c r="AJ1596">
        <v>4</v>
      </c>
      <c r="AK1596">
        <v>6</v>
      </c>
      <c r="AL1596" t="s">
        <v>74</v>
      </c>
      <c r="AM1596" t="s">
        <v>74</v>
      </c>
      <c r="AN1596" t="s">
        <v>74</v>
      </c>
      <c r="AO1596" t="s">
        <v>15346</v>
      </c>
      <c r="AP1596" t="s">
        <v>74</v>
      </c>
      <c r="AQ1596" t="s">
        <v>74</v>
      </c>
      <c r="AR1596" t="s">
        <v>74</v>
      </c>
      <c r="AS1596" t="s">
        <v>74</v>
      </c>
      <c r="AT1596" t="s">
        <v>114</v>
      </c>
      <c r="AU1596">
        <v>2022</v>
      </c>
      <c r="AV1596">
        <v>70</v>
      </c>
      <c r="AW1596">
        <v>1</v>
      </c>
      <c r="AX1596" t="s">
        <v>74</v>
      </c>
      <c r="AY1596" t="s">
        <v>74</v>
      </c>
      <c r="AZ1596" t="s">
        <v>74</v>
      </c>
      <c r="BA1596" t="s">
        <v>74</v>
      </c>
      <c r="BB1596" t="s">
        <v>74</v>
      </c>
      <c r="BC1596" t="s">
        <v>74</v>
      </c>
      <c r="BD1596">
        <v>103315</v>
      </c>
      <c r="BE1596" t="s">
        <v>15347</v>
      </c>
      <c r="BF1596" t="str">
        <f>HYPERLINK("http://dx.doi.org/10.1016/j.retram.2021.103315","http://dx.doi.org/10.1016/j.retram.2021.103315")</f>
        <v>http://dx.doi.org/10.1016/j.retram.2021.103315</v>
      </c>
      <c r="BG1596" t="s">
        <v>74</v>
      </c>
      <c r="BH1596" t="s">
        <v>74</v>
      </c>
      <c r="BI1596" t="s">
        <v>74</v>
      </c>
      <c r="BJ1596" t="s">
        <v>795</v>
      </c>
      <c r="BK1596" t="s">
        <v>117</v>
      </c>
      <c r="BL1596" t="s">
        <v>796</v>
      </c>
      <c r="BM1596" t="s">
        <v>74</v>
      </c>
      <c r="BN1596">
        <v>34837760</v>
      </c>
      <c r="BO1596" t="s">
        <v>74</v>
      </c>
      <c r="BP1596" t="s">
        <v>74</v>
      </c>
      <c r="BQ1596" t="s">
        <v>74</v>
      </c>
      <c r="BR1596" t="s">
        <v>96</v>
      </c>
      <c r="BS1596" t="s">
        <v>15348</v>
      </c>
      <c r="BT1596" t="str">
        <f>HYPERLINK("https%3A%2F%2Fwww.webofscience.com%2Fwos%2Fwoscc%2Ffull-record%2FWOS:000778720100002","View Full Record in Web of Science")</f>
        <v>View Full Record in Web of Science</v>
      </c>
    </row>
    <row r="1597" spans="1:72" x14ac:dyDescent="0.15">
      <c r="A1597" t="s">
        <v>98</v>
      </c>
      <c r="B1597" t="s">
        <v>15425</v>
      </c>
      <c r="C1597" t="s">
        <v>74</v>
      </c>
      <c r="D1597" t="s">
        <v>74</v>
      </c>
      <c r="E1597" t="s">
        <v>74</v>
      </c>
      <c r="F1597" t="s">
        <v>15426</v>
      </c>
      <c r="G1597" t="s">
        <v>74</v>
      </c>
      <c r="H1597" t="s">
        <v>74</v>
      </c>
      <c r="I1597" t="s">
        <v>15427</v>
      </c>
      <c r="J1597" t="s">
        <v>15428</v>
      </c>
      <c r="K1597" t="s">
        <v>74</v>
      </c>
      <c r="L1597" t="s">
        <v>74</v>
      </c>
      <c r="M1597" t="s">
        <v>74</v>
      </c>
      <c r="N1597" t="s">
        <v>103</v>
      </c>
      <c r="O1597" t="s">
        <v>74</v>
      </c>
      <c r="P1597" t="s">
        <v>74</v>
      </c>
      <c r="Q1597" t="s">
        <v>74</v>
      </c>
      <c r="R1597" t="s">
        <v>74</v>
      </c>
      <c r="S1597" t="s">
        <v>74</v>
      </c>
      <c r="T1597" t="s">
        <v>15429</v>
      </c>
      <c r="U1597" t="s">
        <v>15430</v>
      </c>
      <c r="V1597" t="s">
        <v>15431</v>
      </c>
      <c r="W1597" t="s">
        <v>15432</v>
      </c>
      <c r="X1597" t="s">
        <v>241</v>
      </c>
      <c r="Y1597" t="s">
        <v>15433</v>
      </c>
      <c r="Z1597" t="s">
        <v>15434</v>
      </c>
      <c r="AA1597" t="s">
        <v>74</v>
      </c>
      <c r="AB1597" t="s">
        <v>74</v>
      </c>
      <c r="AC1597" t="s">
        <v>74</v>
      </c>
      <c r="AD1597" t="s">
        <v>74</v>
      </c>
      <c r="AE1597" t="s">
        <v>74</v>
      </c>
      <c r="AF1597" t="s">
        <v>74</v>
      </c>
      <c r="AG1597">
        <v>53</v>
      </c>
      <c r="AH1597">
        <v>3</v>
      </c>
      <c r="AI1597">
        <v>3</v>
      </c>
      <c r="AJ1597">
        <v>0</v>
      </c>
      <c r="AK1597">
        <v>11</v>
      </c>
      <c r="AL1597" t="s">
        <v>74</v>
      </c>
      <c r="AM1597" t="s">
        <v>74</v>
      </c>
      <c r="AN1597" t="s">
        <v>74</v>
      </c>
      <c r="AO1597" t="s">
        <v>15435</v>
      </c>
      <c r="AP1597" t="s">
        <v>15436</v>
      </c>
      <c r="AQ1597" t="s">
        <v>74</v>
      </c>
      <c r="AR1597" t="s">
        <v>74</v>
      </c>
      <c r="AS1597" t="s">
        <v>74</v>
      </c>
      <c r="AT1597" t="s">
        <v>967</v>
      </c>
      <c r="AU1597">
        <v>2019</v>
      </c>
      <c r="AV1597">
        <v>34</v>
      </c>
      <c r="AW1597">
        <v>6</v>
      </c>
      <c r="AX1597" t="s">
        <v>74</v>
      </c>
      <c r="AY1597" t="s">
        <v>74</v>
      </c>
      <c r="AZ1597" t="s">
        <v>74</v>
      </c>
      <c r="BA1597" t="s">
        <v>74</v>
      </c>
      <c r="BB1597">
        <v>712</v>
      </c>
      <c r="BC1597">
        <v>721</v>
      </c>
      <c r="BD1597" t="s">
        <v>74</v>
      </c>
      <c r="BE1597" t="s">
        <v>15437</v>
      </c>
      <c r="BF1597" t="str">
        <f>HYPERLINK("http://dx.doi.org/10.1007/s12250-019-00147-8","http://dx.doi.org/10.1007/s12250-019-00147-8")</f>
        <v>http://dx.doi.org/10.1007/s12250-019-00147-8</v>
      </c>
      <c r="BG1597" t="s">
        <v>74</v>
      </c>
      <c r="BH1597" t="s">
        <v>74</v>
      </c>
      <c r="BI1597" t="s">
        <v>74</v>
      </c>
      <c r="BJ1597" t="s">
        <v>932</v>
      </c>
      <c r="BK1597" t="s">
        <v>117</v>
      </c>
      <c r="BL1597" t="s">
        <v>932</v>
      </c>
      <c r="BM1597" t="s">
        <v>74</v>
      </c>
      <c r="BN1597">
        <v>31292829</v>
      </c>
      <c r="BO1597" t="s">
        <v>74</v>
      </c>
      <c r="BP1597" t="s">
        <v>74</v>
      </c>
      <c r="BQ1597" t="s">
        <v>74</v>
      </c>
      <c r="BR1597" t="s">
        <v>96</v>
      </c>
      <c r="BS1597" t="s">
        <v>15438</v>
      </c>
      <c r="BT1597" t="str">
        <f>HYPERLINK("https%3A%2F%2Fwww.webofscience.com%2Fwos%2Fwoscc%2Ffull-record%2FWOS:000500088400011","View Full Record in Web of Science")</f>
        <v>View Full Record in Web of Science</v>
      </c>
    </row>
    <row r="1598" spans="1:72" x14ac:dyDescent="0.15">
      <c r="A1598" t="s">
        <v>98</v>
      </c>
      <c r="B1598" t="s">
        <v>15583</v>
      </c>
      <c r="C1598" t="s">
        <v>74</v>
      </c>
      <c r="D1598" t="s">
        <v>74</v>
      </c>
      <c r="E1598" t="s">
        <v>74</v>
      </c>
      <c r="F1598" t="s">
        <v>15583</v>
      </c>
      <c r="G1598" t="s">
        <v>74</v>
      </c>
      <c r="H1598" t="s">
        <v>74</v>
      </c>
      <c r="I1598" t="s">
        <v>15584</v>
      </c>
      <c r="J1598" t="s">
        <v>15585</v>
      </c>
      <c r="K1598" t="s">
        <v>74</v>
      </c>
      <c r="L1598" t="s">
        <v>74</v>
      </c>
      <c r="M1598" t="s">
        <v>74</v>
      </c>
      <c r="N1598" t="s">
        <v>103</v>
      </c>
      <c r="O1598" t="s">
        <v>74</v>
      </c>
      <c r="P1598" t="s">
        <v>74</v>
      </c>
      <c r="Q1598" t="s">
        <v>74</v>
      </c>
      <c r="R1598" t="s">
        <v>74</v>
      </c>
      <c r="S1598" t="s">
        <v>74</v>
      </c>
      <c r="T1598" t="s">
        <v>74</v>
      </c>
      <c r="U1598" t="s">
        <v>15586</v>
      </c>
      <c r="V1598" t="s">
        <v>15587</v>
      </c>
      <c r="W1598" t="s">
        <v>15588</v>
      </c>
      <c r="X1598" t="s">
        <v>15589</v>
      </c>
      <c r="Y1598" t="s">
        <v>15590</v>
      </c>
      <c r="Z1598" t="s">
        <v>74</v>
      </c>
      <c r="AA1598" t="s">
        <v>74</v>
      </c>
      <c r="AB1598" t="s">
        <v>74</v>
      </c>
      <c r="AC1598" t="s">
        <v>74</v>
      </c>
      <c r="AD1598" t="s">
        <v>74</v>
      </c>
      <c r="AE1598" t="s">
        <v>74</v>
      </c>
      <c r="AF1598" t="s">
        <v>74</v>
      </c>
      <c r="AG1598">
        <v>30</v>
      </c>
      <c r="AH1598">
        <v>3</v>
      </c>
      <c r="AI1598">
        <v>3</v>
      </c>
      <c r="AJ1598">
        <v>0</v>
      </c>
      <c r="AK1598">
        <v>0</v>
      </c>
      <c r="AL1598" t="s">
        <v>74</v>
      </c>
      <c r="AM1598" t="s">
        <v>74</v>
      </c>
      <c r="AN1598" t="s">
        <v>74</v>
      </c>
      <c r="AO1598" t="s">
        <v>15591</v>
      </c>
      <c r="AP1598" t="s">
        <v>74</v>
      </c>
      <c r="AQ1598" t="s">
        <v>74</v>
      </c>
      <c r="AR1598" t="s">
        <v>74</v>
      </c>
      <c r="AS1598" t="s">
        <v>74</v>
      </c>
      <c r="AT1598" t="s">
        <v>74</v>
      </c>
      <c r="AU1598">
        <v>1997</v>
      </c>
      <c r="AV1598">
        <v>119</v>
      </c>
      <c r="AW1598">
        <v>3</v>
      </c>
      <c r="AX1598" t="s">
        <v>74</v>
      </c>
      <c r="AY1598" t="s">
        <v>74</v>
      </c>
      <c r="AZ1598" t="s">
        <v>74</v>
      </c>
      <c r="BA1598" t="s">
        <v>74</v>
      </c>
      <c r="BB1598">
        <v>247</v>
      </c>
      <c r="BC1598">
        <v>259</v>
      </c>
      <c r="BD1598" t="s">
        <v>74</v>
      </c>
      <c r="BE1598" t="s">
        <v>15592</v>
      </c>
      <c r="BF1598" t="str">
        <f>HYPERLINK("http://dx.doi.org/10.1006/jsbi.1997.3876","http://dx.doi.org/10.1006/jsbi.1997.3876")</f>
        <v>http://dx.doi.org/10.1006/jsbi.1997.3876</v>
      </c>
      <c r="BG1598" t="s">
        <v>74</v>
      </c>
      <c r="BH1598" t="s">
        <v>74</v>
      </c>
      <c r="BI1598" t="s">
        <v>74</v>
      </c>
      <c r="BJ1598" t="s">
        <v>4275</v>
      </c>
      <c r="BK1598" t="s">
        <v>117</v>
      </c>
      <c r="BL1598" t="s">
        <v>4275</v>
      </c>
      <c r="BM1598" t="s">
        <v>74</v>
      </c>
      <c r="BN1598">
        <v>9245765</v>
      </c>
      <c r="BO1598" t="s">
        <v>74</v>
      </c>
      <c r="BP1598" t="s">
        <v>74</v>
      </c>
      <c r="BQ1598" t="s">
        <v>74</v>
      </c>
      <c r="BR1598" t="s">
        <v>96</v>
      </c>
      <c r="BS1598" t="s">
        <v>15593</v>
      </c>
      <c r="BT1598" t="str">
        <f>HYPERLINK("https%3A%2F%2Fwww.webofscience.com%2Fwos%2Fwoscc%2Ffull-record%2FWOS:A1997XP43500002","View Full Record in Web of Science")</f>
        <v>View Full Record in Web of Science</v>
      </c>
    </row>
    <row r="1599" spans="1:72" x14ac:dyDescent="0.15">
      <c r="A1599" t="s">
        <v>98</v>
      </c>
      <c r="B1599" t="s">
        <v>15927</v>
      </c>
      <c r="C1599" t="s">
        <v>74</v>
      </c>
      <c r="D1599" t="s">
        <v>74</v>
      </c>
      <c r="E1599" t="s">
        <v>74</v>
      </c>
      <c r="F1599" t="s">
        <v>15928</v>
      </c>
      <c r="G1599" t="s">
        <v>74</v>
      </c>
      <c r="H1599" t="s">
        <v>74</v>
      </c>
      <c r="I1599" t="s">
        <v>15929</v>
      </c>
      <c r="J1599" t="s">
        <v>140</v>
      </c>
      <c r="K1599" t="s">
        <v>74</v>
      </c>
      <c r="L1599" t="s">
        <v>74</v>
      </c>
      <c r="M1599" t="s">
        <v>74</v>
      </c>
      <c r="N1599" t="s">
        <v>103</v>
      </c>
      <c r="O1599" t="s">
        <v>74</v>
      </c>
      <c r="P1599" t="s">
        <v>74</v>
      </c>
      <c r="Q1599" t="s">
        <v>74</v>
      </c>
      <c r="R1599" t="s">
        <v>74</v>
      </c>
      <c r="S1599" t="s">
        <v>74</v>
      </c>
      <c r="T1599" t="s">
        <v>74</v>
      </c>
      <c r="U1599" t="s">
        <v>15930</v>
      </c>
      <c r="V1599" t="s">
        <v>15931</v>
      </c>
      <c r="W1599" t="s">
        <v>15932</v>
      </c>
      <c r="X1599" t="s">
        <v>15933</v>
      </c>
      <c r="Y1599" t="s">
        <v>15934</v>
      </c>
      <c r="Z1599" t="s">
        <v>15935</v>
      </c>
      <c r="AA1599" t="s">
        <v>15936</v>
      </c>
      <c r="AB1599" t="s">
        <v>15937</v>
      </c>
      <c r="AC1599" t="s">
        <v>74</v>
      </c>
      <c r="AD1599" t="s">
        <v>74</v>
      </c>
      <c r="AE1599" t="s">
        <v>74</v>
      </c>
      <c r="AF1599" t="s">
        <v>74</v>
      </c>
      <c r="AG1599">
        <v>83</v>
      </c>
      <c r="AH1599">
        <v>3</v>
      </c>
      <c r="AI1599">
        <v>3</v>
      </c>
      <c r="AJ1599">
        <v>0</v>
      </c>
      <c r="AK1599">
        <v>6</v>
      </c>
      <c r="AL1599" t="s">
        <v>74</v>
      </c>
      <c r="AM1599" t="s">
        <v>74</v>
      </c>
      <c r="AN1599" t="s">
        <v>74</v>
      </c>
      <c r="AO1599" t="s">
        <v>149</v>
      </c>
      <c r="AP1599" t="s">
        <v>74</v>
      </c>
      <c r="AQ1599" t="s">
        <v>74</v>
      </c>
      <c r="AR1599" t="s">
        <v>74</v>
      </c>
      <c r="AS1599" t="s">
        <v>74</v>
      </c>
      <c r="AT1599" t="s">
        <v>6249</v>
      </c>
      <c r="AU1599">
        <v>2021</v>
      </c>
      <c r="AV1599">
        <v>11</v>
      </c>
      <c r="AW1599">
        <v>1</v>
      </c>
      <c r="AX1599" t="s">
        <v>74</v>
      </c>
      <c r="AY1599" t="s">
        <v>74</v>
      </c>
      <c r="AZ1599" t="s">
        <v>74</v>
      </c>
      <c r="BA1599" t="s">
        <v>74</v>
      </c>
      <c r="BB1599" t="s">
        <v>74</v>
      </c>
      <c r="BC1599" t="s">
        <v>74</v>
      </c>
      <c r="BD1599">
        <v>3326</v>
      </c>
      <c r="BE1599" t="s">
        <v>15938</v>
      </c>
      <c r="BF1599" t="str">
        <f>HYPERLINK("http://dx.doi.org/10.1038/s41598-021-82451-6","http://dx.doi.org/10.1038/s41598-021-82451-6")</f>
        <v>http://dx.doi.org/10.1038/s41598-021-82451-6</v>
      </c>
      <c r="BG1599" t="s">
        <v>74</v>
      </c>
      <c r="BH1599" t="s">
        <v>74</v>
      </c>
      <c r="BI1599" t="s">
        <v>74</v>
      </c>
      <c r="BJ1599" t="s">
        <v>152</v>
      </c>
      <c r="BK1599" t="s">
        <v>117</v>
      </c>
      <c r="BL1599" t="s">
        <v>153</v>
      </c>
      <c r="BM1599" t="s">
        <v>74</v>
      </c>
      <c r="BN1599">
        <v>33558596</v>
      </c>
      <c r="BO1599" t="s">
        <v>74</v>
      </c>
      <c r="BP1599" t="s">
        <v>74</v>
      </c>
      <c r="BQ1599" t="s">
        <v>74</v>
      </c>
      <c r="BR1599" t="s">
        <v>96</v>
      </c>
      <c r="BS1599" t="s">
        <v>15939</v>
      </c>
      <c r="BT1599" t="str">
        <f>HYPERLINK("https%3A%2F%2Fwww.webofscience.com%2Fwos%2Fwoscc%2Ffull-record%2FWOS:000617646300011","View Full Record in Web of Science")</f>
        <v>View Full Record in Web of Science</v>
      </c>
    </row>
    <row r="1600" spans="1:72" x14ac:dyDescent="0.15">
      <c r="A1600" t="s">
        <v>98</v>
      </c>
      <c r="B1600" t="s">
        <v>16208</v>
      </c>
      <c r="C1600" t="s">
        <v>74</v>
      </c>
      <c r="D1600" t="s">
        <v>74</v>
      </c>
      <c r="E1600" t="s">
        <v>74</v>
      </c>
      <c r="F1600" t="s">
        <v>16209</v>
      </c>
      <c r="G1600" t="s">
        <v>74</v>
      </c>
      <c r="H1600" t="s">
        <v>74</v>
      </c>
      <c r="I1600" t="s">
        <v>16210</v>
      </c>
      <c r="J1600" t="s">
        <v>7488</v>
      </c>
      <c r="K1600" t="s">
        <v>74</v>
      </c>
      <c r="L1600" t="s">
        <v>74</v>
      </c>
      <c r="M1600" t="s">
        <v>74</v>
      </c>
      <c r="N1600" t="s">
        <v>103</v>
      </c>
      <c r="O1600" t="s">
        <v>74</v>
      </c>
      <c r="P1600" t="s">
        <v>74</v>
      </c>
      <c r="Q1600" t="s">
        <v>74</v>
      </c>
      <c r="R1600" t="s">
        <v>74</v>
      </c>
      <c r="S1600" t="s">
        <v>74</v>
      </c>
      <c r="T1600" t="s">
        <v>16211</v>
      </c>
      <c r="U1600" t="s">
        <v>16212</v>
      </c>
      <c r="V1600" t="s">
        <v>16213</v>
      </c>
      <c r="W1600" t="s">
        <v>16214</v>
      </c>
      <c r="X1600" t="s">
        <v>16215</v>
      </c>
      <c r="Y1600" t="s">
        <v>16216</v>
      </c>
      <c r="Z1600" t="s">
        <v>12914</v>
      </c>
      <c r="AA1600" t="s">
        <v>12915</v>
      </c>
      <c r="AB1600" t="s">
        <v>12916</v>
      </c>
      <c r="AC1600" t="s">
        <v>74</v>
      </c>
      <c r="AD1600" t="s">
        <v>74</v>
      </c>
      <c r="AE1600" t="s">
        <v>74</v>
      </c>
      <c r="AF1600" t="s">
        <v>74</v>
      </c>
      <c r="AG1600">
        <v>64</v>
      </c>
      <c r="AH1600">
        <v>3</v>
      </c>
      <c r="AI1600">
        <v>3</v>
      </c>
      <c r="AJ1600">
        <v>1</v>
      </c>
      <c r="AK1600">
        <v>8</v>
      </c>
      <c r="AL1600" t="s">
        <v>74</v>
      </c>
      <c r="AM1600" t="s">
        <v>74</v>
      </c>
      <c r="AN1600" t="s">
        <v>74</v>
      </c>
      <c r="AO1600" t="s">
        <v>7496</v>
      </c>
      <c r="AP1600" t="s">
        <v>74</v>
      </c>
      <c r="AQ1600" t="s">
        <v>74</v>
      </c>
      <c r="AR1600" t="s">
        <v>74</v>
      </c>
      <c r="AS1600" t="s">
        <v>74</v>
      </c>
      <c r="AT1600" t="s">
        <v>967</v>
      </c>
      <c r="AU1600">
        <v>2020</v>
      </c>
      <c r="AV1600">
        <v>149</v>
      </c>
      <c r="AW1600" t="s">
        <v>74</v>
      </c>
      <c r="AX1600" t="s">
        <v>74</v>
      </c>
      <c r="AY1600" t="s">
        <v>74</v>
      </c>
      <c r="AZ1600" t="s">
        <v>74</v>
      </c>
      <c r="BA1600" t="s">
        <v>74</v>
      </c>
      <c r="BB1600" t="s">
        <v>74</v>
      </c>
      <c r="BC1600" t="s">
        <v>74</v>
      </c>
      <c r="BD1600">
        <v>104260</v>
      </c>
      <c r="BE1600" t="s">
        <v>16217</v>
      </c>
      <c r="BF1600" t="str">
        <f>HYPERLINK("http://dx.doi.org/10.1016/j.micpath.2020.104260","http://dx.doi.org/10.1016/j.micpath.2020.104260")</f>
        <v>http://dx.doi.org/10.1016/j.micpath.2020.104260</v>
      </c>
      <c r="BG1600" t="s">
        <v>74</v>
      </c>
      <c r="BH1600" t="s">
        <v>74</v>
      </c>
      <c r="BI1600" t="s">
        <v>74</v>
      </c>
      <c r="BJ1600" t="s">
        <v>3257</v>
      </c>
      <c r="BK1600" t="s">
        <v>117</v>
      </c>
      <c r="BL1600" t="s">
        <v>3257</v>
      </c>
      <c r="BM1600" t="s">
        <v>74</v>
      </c>
      <c r="BN1600">
        <v>32554054</v>
      </c>
      <c r="BO1600" t="s">
        <v>74</v>
      </c>
      <c r="BP1600" t="s">
        <v>74</v>
      </c>
      <c r="BQ1600" t="s">
        <v>74</v>
      </c>
      <c r="BR1600" t="s">
        <v>96</v>
      </c>
      <c r="BS1600" t="s">
        <v>16218</v>
      </c>
      <c r="BT1600" t="str">
        <f>HYPERLINK("https%3A%2F%2Fwww.webofscience.com%2Fwos%2Fwoscc%2Ffull-record%2FWOS:000599710800007","View Full Record in Web of Science")</f>
        <v>View Full Record in Web of Science</v>
      </c>
    </row>
    <row r="1601" spans="1:72" x14ac:dyDescent="0.15">
      <c r="A1601" t="s">
        <v>98</v>
      </c>
      <c r="B1601" t="s">
        <v>16572</v>
      </c>
      <c r="C1601" t="s">
        <v>74</v>
      </c>
      <c r="D1601" t="s">
        <v>74</v>
      </c>
      <c r="E1601" t="s">
        <v>74</v>
      </c>
      <c r="F1601" t="s">
        <v>16573</v>
      </c>
      <c r="G1601" t="s">
        <v>74</v>
      </c>
      <c r="H1601" t="s">
        <v>74</v>
      </c>
      <c r="I1601" t="s">
        <v>16574</v>
      </c>
      <c r="J1601" t="s">
        <v>16575</v>
      </c>
      <c r="K1601" t="s">
        <v>74</v>
      </c>
      <c r="L1601" t="s">
        <v>74</v>
      </c>
      <c r="M1601" t="s">
        <v>74</v>
      </c>
      <c r="N1601" t="s">
        <v>103</v>
      </c>
      <c r="O1601" t="s">
        <v>74</v>
      </c>
      <c r="P1601" t="s">
        <v>74</v>
      </c>
      <c r="Q1601" t="s">
        <v>74</v>
      </c>
      <c r="R1601" t="s">
        <v>74</v>
      </c>
      <c r="S1601" t="s">
        <v>74</v>
      </c>
      <c r="T1601" t="s">
        <v>16576</v>
      </c>
      <c r="U1601" t="s">
        <v>16577</v>
      </c>
      <c r="V1601" t="s">
        <v>16578</v>
      </c>
      <c r="W1601" t="s">
        <v>16579</v>
      </c>
      <c r="X1601" t="s">
        <v>16580</v>
      </c>
      <c r="Y1601" t="s">
        <v>16581</v>
      </c>
      <c r="Z1601" t="s">
        <v>16582</v>
      </c>
      <c r="AA1601" t="s">
        <v>16583</v>
      </c>
      <c r="AB1601" t="s">
        <v>16584</v>
      </c>
      <c r="AC1601" t="s">
        <v>74</v>
      </c>
      <c r="AD1601" t="s">
        <v>74</v>
      </c>
      <c r="AE1601" t="s">
        <v>74</v>
      </c>
      <c r="AF1601" t="s">
        <v>74</v>
      </c>
      <c r="AG1601">
        <v>18</v>
      </c>
      <c r="AH1601">
        <v>3</v>
      </c>
      <c r="AI1601">
        <v>3</v>
      </c>
      <c r="AJ1601">
        <v>0</v>
      </c>
      <c r="AK1601">
        <v>22</v>
      </c>
      <c r="AL1601" t="s">
        <v>74</v>
      </c>
      <c r="AM1601" t="s">
        <v>74</v>
      </c>
      <c r="AN1601" t="s">
        <v>74</v>
      </c>
      <c r="AO1601" t="s">
        <v>16585</v>
      </c>
      <c r="AP1601" t="s">
        <v>16586</v>
      </c>
      <c r="AQ1601" t="s">
        <v>74</v>
      </c>
      <c r="AR1601" t="s">
        <v>74</v>
      </c>
      <c r="AS1601" t="s">
        <v>74</v>
      </c>
      <c r="AT1601" t="s">
        <v>114</v>
      </c>
      <c r="AU1601">
        <v>2014</v>
      </c>
      <c r="AV1601">
        <v>48</v>
      </c>
      <c r="AW1601">
        <v>1</v>
      </c>
      <c r="AX1601" t="s">
        <v>74</v>
      </c>
      <c r="AY1601" t="s">
        <v>74</v>
      </c>
      <c r="AZ1601" t="s">
        <v>74</v>
      </c>
      <c r="BA1601" t="s">
        <v>74</v>
      </c>
      <c r="BB1601">
        <v>99</v>
      </c>
      <c r="BC1601">
        <v>104</v>
      </c>
      <c r="BD1601" t="s">
        <v>74</v>
      </c>
      <c r="BE1601" t="s">
        <v>16587</v>
      </c>
      <c r="BF1601" t="str">
        <f>HYPERLINK("http://dx.doi.org/10.1134/S0026893313060095","http://dx.doi.org/10.1134/S0026893313060095")</f>
        <v>http://dx.doi.org/10.1134/S0026893313060095</v>
      </c>
      <c r="BG1601" t="s">
        <v>74</v>
      </c>
      <c r="BH1601" t="s">
        <v>74</v>
      </c>
      <c r="BI1601" t="s">
        <v>74</v>
      </c>
      <c r="BJ1601" t="s">
        <v>95</v>
      </c>
      <c r="BK1601" t="s">
        <v>117</v>
      </c>
      <c r="BL1601" t="s">
        <v>95</v>
      </c>
      <c r="BM1601" t="s">
        <v>74</v>
      </c>
      <c r="BN1601" t="s">
        <v>74</v>
      </c>
      <c r="BO1601" t="s">
        <v>74</v>
      </c>
      <c r="BP1601" t="s">
        <v>74</v>
      </c>
      <c r="BQ1601" t="s">
        <v>74</v>
      </c>
      <c r="BR1601" t="s">
        <v>96</v>
      </c>
      <c r="BS1601" t="s">
        <v>16588</v>
      </c>
      <c r="BT1601" t="str">
        <f>HYPERLINK("https%3A%2F%2Fwww.webofscience.com%2Fwos%2Fwoscc%2Ffull-record%2FWOS:000332024300012","View Full Record in Web of Science")</f>
        <v>View Full Record in Web of Science</v>
      </c>
    </row>
    <row r="1602" spans="1:72" x14ac:dyDescent="0.15">
      <c r="A1602" t="s">
        <v>98</v>
      </c>
      <c r="B1602" t="s">
        <v>17064</v>
      </c>
      <c r="C1602" t="s">
        <v>74</v>
      </c>
      <c r="D1602" t="s">
        <v>74</v>
      </c>
      <c r="E1602" t="s">
        <v>74</v>
      </c>
      <c r="F1602" t="s">
        <v>17065</v>
      </c>
      <c r="G1602" t="s">
        <v>74</v>
      </c>
      <c r="H1602" t="s">
        <v>74</v>
      </c>
      <c r="I1602" t="s">
        <v>17066</v>
      </c>
      <c r="J1602" t="s">
        <v>7572</v>
      </c>
      <c r="K1602" t="s">
        <v>74</v>
      </c>
      <c r="L1602" t="s">
        <v>74</v>
      </c>
      <c r="M1602" t="s">
        <v>74</v>
      </c>
      <c r="N1602" t="s">
        <v>103</v>
      </c>
      <c r="O1602" t="s">
        <v>74</v>
      </c>
      <c r="P1602" t="s">
        <v>74</v>
      </c>
      <c r="Q1602" t="s">
        <v>74</v>
      </c>
      <c r="R1602" t="s">
        <v>74</v>
      </c>
      <c r="S1602" t="s">
        <v>74</v>
      </c>
      <c r="T1602" t="s">
        <v>74</v>
      </c>
      <c r="U1602" t="s">
        <v>17067</v>
      </c>
      <c r="V1602" t="s">
        <v>17068</v>
      </c>
      <c r="W1602" t="s">
        <v>17069</v>
      </c>
      <c r="X1602" t="s">
        <v>17070</v>
      </c>
      <c r="Y1602" t="s">
        <v>17071</v>
      </c>
      <c r="Z1602" t="s">
        <v>17072</v>
      </c>
      <c r="AA1602" t="s">
        <v>74</v>
      </c>
      <c r="AB1602" t="s">
        <v>17073</v>
      </c>
      <c r="AC1602" t="s">
        <v>74</v>
      </c>
      <c r="AD1602" t="s">
        <v>74</v>
      </c>
      <c r="AE1602" t="s">
        <v>74</v>
      </c>
      <c r="AF1602" t="s">
        <v>74</v>
      </c>
      <c r="AG1602">
        <v>55</v>
      </c>
      <c r="AH1602">
        <v>3</v>
      </c>
      <c r="AI1602">
        <v>3</v>
      </c>
      <c r="AJ1602">
        <v>4</v>
      </c>
      <c r="AK1602">
        <v>19</v>
      </c>
      <c r="AL1602" t="s">
        <v>74</v>
      </c>
      <c r="AM1602" t="s">
        <v>74</v>
      </c>
      <c r="AN1602" t="s">
        <v>74</v>
      </c>
      <c r="AO1602" t="s">
        <v>7581</v>
      </c>
      <c r="AP1602" t="s">
        <v>7582</v>
      </c>
      <c r="AQ1602" t="s">
        <v>74</v>
      </c>
      <c r="AR1602" t="s">
        <v>74</v>
      </c>
      <c r="AS1602" t="s">
        <v>74</v>
      </c>
      <c r="AT1602" t="s">
        <v>283</v>
      </c>
      <c r="AU1602">
        <v>2021</v>
      </c>
      <c r="AV1602">
        <v>23</v>
      </c>
      <c r="AW1602">
        <v>2</v>
      </c>
      <c r="AX1602" t="s">
        <v>74</v>
      </c>
      <c r="AY1602" t="s">
        <v>74</v>
      </c>
      <c r="AZ1602" t="s">
        <v>74</v>
      </c>
      <c r="BA1602" t="s">
        <v>74</v>
      </c>
      <c r="BB1602">
        <v>1009</v>
      </c>
      <c r="BC1602">
        <v>1019</v>
      </c>
      <c r="BD1602" t="s">
        <v>74</v>
      </c>
      <c r="BE1602" t="s">
        <v>17074</v>
      </c>
      <c r="BF1602" t="str">
        <f>HYPERLINK("http://dx.doi.org/10.1111/1462-2920.15278","http://dx.doi.org/10.1111/1462-2920.15278")</f>
        <v>http://dx.doi.org/10.1111/1462-2920.15278</v>
      </c>
      <c r="BG1602" t="s">
        <v>74</v>
      </c>
      <c r="BH1602" t="s">
        <v>973</v>
      </c>
      <c r="BI1602" t="s">
        <v>74</v>
      </c>
      <c r="BJ1602" t="s">
        <v>898</v>
      </c>
      <c r="BK1602" t="s">
        <v>117</v>
      </c>
      <c r="BL1602" t="s">
        <v>898</v>
      </c>
      <c r="BM1602" t="s">
        <v>74</v>
      </c>
      <c r="BN1602">
        <v>33048442</v>
      </c>
      <c r="BO1602" t="s">
        <v>74</v>
      </c>
      <c r="BP1602" t="s">
        <v>74</v>
      </c>
      <c r="BQ1602" t="s">
        <v>74</v>
      </c>
      <c r="BR1602" t="s">
        <v>96</v>
      </c>
      <c r="BS1602" t="s">
        <v>17075</v>
      </c>
      <c r="BT1602" t="str">
        <f>HYPERLINK("https%3A%2F%2Fwww.webofscience.com%2Fwos%2Fwoscc%2Ffull-record%2FWOS:000580754800001","View Full Record in Web of Science")</f>
        <v>View Full Record in Web of Science</v>
      </c>
    </row>
    <row r="1603" spans="1:72" x14ac:dyDescent="0.15">
      <c r="A1603" t="s">
        <v>98</v>
      </c>
      <c r="B1603" t="s">
        <v>17664</v>
      </c>
      <c r="C1603" t="s">
        <v>74</v>
      </c>
      <c r="D1603" t="s">
        <v>74</v>
      </c>
      <c r="E1603" t="s">
        <v>74</v>
      </c>
      <c r="F1603" t="s">
        <v>17665</v>
      </c>
      <c r="G1603" t="s">
        <v>74</v>
      </c>
      <c r="H1603" t="s">
        <v>74</v>
      </c>
      <c r="I1603" t="s">
        <v>17666</v>
      </c>
      <c r="J1603" t="s">
        <v>17667</v>
      </c>
      <c r="K1603" t="s">
        <v>74</v>
      </c>
      <c r="L1603" t="s">
        <v>74</v>
      </c>
      <c r="M1603" t="s">
        <v>74</v>
      </c>
      <c r="N1603" t="s">
        <v>103</v>
      </c>
      <c r="O1603" t="s">
        <v>74</v>
      </c>
      <c r="P1603" t="s">
        <v>74</v>
      </c>
      <c r="Q1603" t="s">
        <v>74</v>
      </c>
      <c r="R1603" t="s">
        <v>74</v>
      </c>
      <c r="S1603" t="s">
        <v>74</v>
      </c>
      <c r="T1603" t="s">
        <v>17668</v>
      </c>
      <c r="U1603" t="s">
        <v>17669</v>
      </c>
      <c r="V1603" t="s">
        <v>17670</v>
      </c>
      <c r="W1603" t="s">
        <v>17671</v>
      </c>
      <c r="X1603" t="s">
        <v>17672</v>
      </c>
      <c r="Y1603" t="s">
        <v>17673</v>
      </c>
      <c r="Z1603" t="s">
        <v>17674</v>
      </c>
      <c r="AA1603" t="s">
        <v>17675</v>
      </c>
      <c r="AB1603" t="s">
        <v>17676</v>
      </c>
      <c r="AC1603" t="s">
        <v>74</v>
      </c>
      <c r="AD1603" t="s">
        <v>74</v>
      </c>
      <c r="AE1603" t="s">
        <v>74</v>
      </c>
      <c r="AF1603" t="s">
        <v>74</v>
      </c>
      <c r="AG1603">
        <v>38</v>
      </c>
      <c r="AH1603">
        <v>3</v>
      </c>
      <c r="AI1603">
        <v>3</v>
      </c>
      <c r="AJ1603">
        <v>0</v>
      </c>
      <c r="AK1603">
        <v>0</v>
      </c>
      <c r="AL1603" t="s">
        <v>74</v>
      </c>
      <c r="AM1603" t="s">
        <v>74</v>
      </c>
      <c r="AN1603" t="s">
        <v>74</v>
      </c>
      <c r="AO1603" t="s">
        <v>17677</v>
      </c>
      <c r="AP1603" t="s">
        <v>17678</v>
      </c>
      <c r="AQ1603" t="s">
        <v>74</v>
      </c>
      <c r="AR1603" t="s">
        <v>74</v>
      </c>
      <c r="AS1603" t="s">
        <v>74</v>
      </c>
      <c r="AT1603" t="s">
        <v>283</v>
      </c>
      <c r="AU1603">
        <v>2017</v>
      </c>
      <c r="AV1603">
        <v>23</v>
      </c>
      <c r="AW1603">
        <v>2</v>
      </c>
      <c r="AX1603" t="s">
        <v>74</v>
      </c>
      <c r="AY1603" t="s">
        <v>74</v>
      </c>
      <c r="AZ1603" t="s">
        <v>74</v>
      </c>
      <c r="BA1603" t="s">
        <v>74</v>
      </c>
      <c r="BB1603">
        <v>196</v>
      </c>
      <c r="BC1603">
        <v>205</v>
      </c>
      <c r="BD1603" t="s">
        <v>74</v>
      </c>
      <c r="BE1603" t="s">
        <v>17679</v>
      </c>
      <c r="BF1603" t="str">
        <f>HYPERLINK("http://dx.doi.org/10.1177/1753425916684201","http://dx.doi.org/10.1177/1753425916684201")</f>
        <v>http://dx.doi.org/10.1177/1753425916684201</v>
      </c>
      <c r="BG1603" t="s">
        <v>74</v>
      </c>
      <c r="BH1603" t="s">
        <v>74</v>
      </c>
      <c r="BI1603" t="s">
        <v>74</v>
      </c>
      <c r="BJ1603" t="s">
        <v>17680</v>
      </c>
      <c r="BK1603" t="s">
        <v>117</v>
      </c>
      <c r="BL1603" t="s">
        <v>17681</v>
      </c>
      <c r="BM1603" t="s">
        <v>74</v>
      </c>
      <c r="BN1603">
        <v>28024455</v>
      </c>
      <c r="BO1603" t="s">
        <v>74</v>
      </c>
      <c r="BP1603" t="s">
        <v>74</v>
      </c>
      <c r="BQ1603" t="s">
        <v>74</v>
      </c>
      <c r="BR1603" t="s">
        <v>96</v>
      </c>
      <c r="BS1603" t="s">
        <v>17682</v>
      </c>
      <c r="BT1603" t="str">
        <f>HYPERLINK("https%3A%2F%2Fwww.webofscience.com%2Fwos%2Fwoscc%2Ffull-record%2FWOS:000398223400009","View Full Record in Web of Science")</f>
        <v>View Full Record in Web of Science</v>
      </c>
    </row>
    <row r="1604" spans="1:72" x14ac:dyDescent="0.15">
      <c r="A1604" t="s">
        <v>98</v>
      </c>
      <c r="B1604" t="s">
        <v>17888</v>
      </c>
      <c r="C1604" t="s">
        <v>74</v>
      </c>
      <c r="D1604" t="s">
        <v>74</v>
      </c>
      <c r="E1604" t="s">
        <v>74</v>
      </c>
      <c r="F1604" t="s">
        <v>17889</v>
      </c>
      <c r="G1604" t="s">
        <v>74</v>
      </c>
      <c r="H1604" t="s">
        <v>74</v>
      </c>
      <c r="I1604" t="s">
        <v>17890</v>
      </c>
      <c r="J1604" t="s">
        <v>17891</v>
      </c>
      <c r="K1604" t="s">
        <v>74</v>
      </c>
      <c r="L1604" t="s">
        <v>74</v>
      </c>
      <c r="M1604" t="s">
        <v>74</v>
      </c>
      <c r="N1604" t="s">
        <v>980</v>
      </c>
      <c r="O1604" t="s">
        <v>17892</v>
      </c>
      <c r="P1604" t="s">
        <v>17893</v>
      </c>
      <c r="Q1604" t="s">
        <v>17894</v>
      </c>
      <c r="R1604" t="s">
        <v>74</v>
      </c>
      <c r="S1604" t="s">
        <v>74</v>
      </c>
      <c r="T1604" t="s">
        <v>17895</v>
      </c>
      <c r="U1604" t="s">
        <v>17896</v>
      </c>
      <c r="V1604" t="s">
        <v>17897</v>
      </c>
      <c r="W1604" t="s">
        <v>17898</v>
      </c>
      <c r="X1604" t="s">
        <v>17899</v>
      </c>
      <c r="Y1604" t="s">
        <v>17900</v>
      </c>
      <c r="Z1604" t="s">
        <v>17901</v>
      </c>
      <c r="AA1604" t="s">
        <v>17902</v>
      </c>
      <c r="AB1604" t="s">
        <v>17903</v>
      </c>
      <c r="AC1604" t="s">
        <v>74</v>
      </c>
      <c r="AD1604" t="s">
        <v>74</v>
      </c>
      <c r="AE1604" t="s">
        <v>74</v>
      </c>
      <c r="AF1604" t="s">
        <v>74</v>
      </c>
      <c r="AG1604">
        <v>84</v>
      </c>
      <c r="AH1604">
        <v>3</v>
      </c>
      <c r="AI1604">
        <v>3</v>
      </c>
      <c r="AJ1604">
        <v>0</v>
      </c>
      <c r="AK1604">
        <v>11</v>
      </c>
      <c r="AL1604" t="s">
        <v>74</v>
      </c>
      <c r="AM1604" t="s">
        <v>74</v>
      </c>
      <c r="AN1604" t="s">
        <v>74</v>
      </c>
      <c r="AO1604" t="s">
        <v>17904</v>
      </c>
      <c r="AP1604" t="s">
        <v>17905</v>
      </c>
      <c r="AQ1604" t="s">
        <v>74</v>
      </c>
      <c r="AR1604" t="s">
        <v>74</v>
      </c>
      <c r="AS1604" t="s">
        <v>74</v>
      </c>
      <c r="AT1604" t="s">
        <v>74</v>
      </c>
      <c r="AU1604">
        <v>2018</v>
      </c>
      <c r="AV1604">
        <v>30</v>
      </c>
      <c r="AW1604">
        <v>1</v>
      </c>
      <c r="AX1604" t="s">
        <v>74</v>
      </c>
      <c r="AY1604" t="s">
        <v>74</v>
      </c>
      <c r="AZ1604" t="s">
        <v>74</v>
      </c>
      <c r="BA1604" t="s">
        <v>74</v>
      </c>
      <c r="BB1604">
        <v>64</v>
      </c>
      <c r="BC1604">
        <v>72</v>
      </c>
      <c r="BD1604" t="s">
        <v>74</v>
      </c>
      <c r="BE1604" t="s">
        <v>17906</v>
      </c>
      <c r="BF1604" t="str">
        <f>HYPERLINK("http://dx.doi.org/10.1071/RD17348","http://dx.doi.org/10.1071/RD17348")</f>
        <v>http://dx.doi.org/10.1071/RD17348</v>
      </c>
      <c r="BG1604" t="s">
        <v>74</v>
      </c>
      <c r="BH1604" t="s">
        <v>74</v>
      </c>
      <c r="BI1604" t="s">
        <v>74</v>
      </c>
      <c r="BJ1604" t="s">
        <v>17907</v>
      </c>
      <c r="BK1604" t="s">
        <v>997</v>
      </c>
      <c r="BL1604" t="s">
        <v>17907</v>
      </c>
      <c r="BM1604" t="s">
        <v>74</v>
      </c>
      <c r="BN1604">
        <v>29539304</v>
      </c>
      <c r="BO1604" t="s">
        <v>74</v>
      </c>
      <c r="BP1604" t="s">
        <v>74</v>
      </c>
      <c r="BQ1604" t="s">
        <v>74</v>
      </c>
      <c r="BR1604" t="s">
        <v>96</v>
      </c>
      <c r="BS1604" t="s">
        <v>17908</v>
      </c>
      <c r="BT1604" t="str">
        <f>HYPERLINK("https%3A%2F%2Fwww.webofscience.com%2Fwos%2Fwoscc%2Ffull-record%2FWOS:000416975900007","View Full Record in Web of Science")</f>
        <v>View Full Record in Web of Science</v>
      </c>
    </row>
    <row r="1605" spans="1:72" x14ac:dyDescent="0.15">
      <c r="A1605" t="s">
        <v>98</v>
      </c>
      <c r="B1605" t="s">
        <v>18335</v>
      </c>
      <c r="C1605" t="s">
        <v>74</v>
      </c>
      <c r="D1605" t="s">
        <v>74</v>
      </c>
      <c r="E1605" t="s">
        <v>74</v>
      </c>
      <c r="F1605" t="s">
        <v>18336</v>
      </c>
      <c r="G1605" t="s">
        <v>74</v>
      </c>
      <c r="H1605" t="s">
        <v>74</v>
      </c>
      <c r="I1605" t="s">
        <v>18337</v>
      </c>
      <c r="J1605" t="s">
        <v>3864</v>
      </c>
      <c r="K1605" t="s">
        <v>74</v>
      </c>
      <c r="L1605" t="s">
        <v>74</v>
      </c>
      <c r="M1605" t="s">
        <v>74</v>
      </c>
      <c r="N1605" t="s">
        <v>103</v>
      </c>
      <c r="O1605" t="s">
        <v>74</v>
      </c>
      <c r="P1605" t="s">
        <v>74</v>
      </c>
      <c r="Q1605" t="s">
        <v>74</v>
      </c>
      <c r="R1605" t="s">
        <v>74</v>
      </c>
      <c r="S1605" t="s">
        <v>74</v>
      </c>
      <c r="T1605" t="s">
        <v>18338</v>
      </c>
      <c r="U1605" t="s">
        <v>18339</v>
      </c>
      <c r="V1605" t="s">
        <v>18340</v>
      </c>
      <c r="W1605" t="s">
        <v>18341</v>
      </c>
      <c r="X1605" t="s">
        <v>18342</v>
      </c>
      <c r="Y1605" t="s">
        <v>18343</v>
      </c>
      <c r="Z1605" t="s">
        <v>18344</v>
      </c>
      <c r="AA1605" t="s">
        <v>74</v>
      </c>
      <c r="AB1605" t="s">
        <v>18345</v>
      </c>
      <c r="AC1605" t="s">
        <v>74</v>
      </c>
      <c r="AD1605" t="s">
        <v>74</v>
      </c>
      <c r="AE1605" t="s">
        <v>74</v>
      </c>
      <c r="AF1605" t="s">
        <v>74</v>
      </c>
      <c r="AG1605">
        <v>39</v>
      </c>
      <c r="AH1605">
        <v>3</v>
      </c>
      <c r="AI1605">
        <v>3</v>
      </c>
      <c r="AJ1605">
        <v>48</v>
      </c>
      <c r="AK1605">
        <v>64</v>
      </c>
      <c r="AL1605" t="s">
        <v>74</v>
      </c>
      <c r="AM1605" t="s">
        <v>74</v>
      </c>
      <c r="AN1605" t="s">
        <v>74</v>
      </c>
      <c r="AO1605" t="s">
        <v>74</v>
      </c>
      <c r="AP1605" t="s">
        <v>3874</v>
      </c>
      <c r="AQ1605" t="s">
        <v>74</v>
      </c>
      <c r="AR1605" t="s">
        <v>74</v>
      </c>
      <c r="AS1605" t="s">
        <v>74</v>
      </c>
      <c r="AT1605" t="s">
        <v>9786</v>
      </c>
      <c r="AU1605">
        <v>2021</v>
      </c>
      <c r="AV1605">
        <v>19</v>
      </c>
      <c r="AW1605">
        <v>1</v>
      </c>
      <c r="AX1605" t="s">
        <v>74</v>
      </c>
      <c r="AY1605" t="s">
        <v>74</v>
      </c>
      <c r="AZ1605" t="s">
        <v>74</v>
      </c>
      <c r="BA1605" t="s">
        <v>74</v>
      </c>
      <c r="BB1605" t="s">
        <v>74</v>
      </c>
      <c r="BC1605" t="s">
        <v>74</v>
      </c>
      <c r="BD1605">
        <v>450</v>
      </c>
      <c r="BE1605" t="s">
        <v>18346</v>
      </c>
      <c r="BF1605" t="str">
        <f>HYPERLINK("http://dx.doi.org/10.1186/s12951-021-01210-x","http://dx.doi.org/10.1186/s12951-021-01210-x")</f>
        <v>http://dx.doi.org/10.1186/s12951-021-01210-x</v>
      </c>
      <c r="BG1605" t="s">
        <v>74</v>
      </c>
      <c r="BH1605" t="s">
        <v>74</v>
      </c>
      <c r="BI1605" t="s">
        <v>74</v>
      </c>
      <c r="BJ1605" t="s">
        <v>3877</v>
      </c>
      <c r="BK1605" t="s">
        <v>117</v>
      </c>
      <c r="BL1605" t="s">
        <v>3878</v>
      </c>
      <c r="BM1605" t="s">
        <v>74</v>
      </c>
      <c r="BN1605">
        <v>34952586</v>
      </c>
      <c r="BO1605" t="s">
        <v>74</v>
      </c>
      <c r="BP1605" t="s">
        <v>74</v>
      </c>
      <c r="BQ1605" t="s">
        <v>74</v>
      </c>
      <c r="BR1605" t="s">
        <v>96</v>
      </c>
      <c r="BS1605" t="s">
        <v>18347</v>
      </c>
      <c r="BT1605" t="str">
        <f>HYPERLINK("https%3A%2F%2Fwww.webofscience.com%2Fwos%2Fwoscc%2Ffull-record%2FWOS:000734031900003","View Full Record in Web of Science")</f>
        <v>View Full Record in Web of Science</v>
      </c>
    </row>
    <row r="1606" spans="1:72" x14ac:dyDescent="0.15">
      <c r="A1606" t="s">
        <v>98</v>
      </c>
      <c r="B1606" t="s">
        <v>18439</v>
      </c>
      <c r="C1606" t="s">
        <v>74</v>
      </c>
      <c r="D1606" t="s">
        <v>74</v>
      </c>
      <c r="E1606" t="s">
        <v>74</v>
      </c>
      <c r="F1606" t="s">
        <v>18440</v>
      </c>
      <c r="G1606" t="s">
        <v>74</v>
      </c>
      <c r="H1606" t="s">
        <v>74</v>
      </c>
      <c r="I1606" t="s">
        <v>18441</v>
      </c>
      <c r="J1606" t="s">
        <v>18442</v>
      </c>
      <c r="K1606" t="s">
        <v>74</v>
      </c>
      <c r="L1606" t="s">
        <v>74</v>
      </c>
      <c r="M1606" t="s">
        <v>74</v>
      </c>
      <c r="N1606" t="s">
        <v>103</v>
      </c>
      <c r="O1606" t="s">
        <v>74</v>
      </c>
      <c r="P1606" t="s">
        <v>74</v>
      </c>
      <c r="Q1606" t="s">
        <v>74</v>
      </c>
      <c r="R1606" t="s">
        <v>74</v>
      </c>
      <c r="S1606" t="s">
        <v>74</v>
      </c>
      <c r="T1606" t="s">
        <v>18443</v>
      </c>
      <c r="U1606" t="s">
        <v>18444</v>
      </c>
      <c r="V1606" t="s">
        <v>18445</v>
      </c>
      <c r="W1606" t="s">
        <v>18446</v>
      </c>
      <c r="X1606" t="s">
        <v>5267</v>
      </c>
      <c r="Y1606" t="s">
        <v>18447</v>
      </c>
      <c r="Z1606" t="s">
        <v>18448</v>
      </c>
      <c r="AA1606" t="s">
        <v>74</v>
      </c>
      <c r="AB1606" t="s">
        <v>74</v>
      </c>
      <c r="AC1606" t="s">
        <v>74</v>
      </c>
      <c r="AD1606" t="s">
        <v>74</v>
      </c>
      <c r="AE1606" t="s">
        <v>74</v>
      </c>
      <c r="AF1606" t="s">
        <v>74</v>
      </c>
      <c r="AG1606">
        <v>178</v>
      </c>
      <c r="AH1606">
        <v>3</v>
      </c>
      <c r="AI1606">
        <v>3</v>
      </c>
      <c r="AJ1606">
        <v>8</v>
      </c>
      <c r="AK1606">
        <v>15</v>
      </c>
      <c r="AL1606" t="s">
        <v>74</v>
      </c>
      <c r="AM1606" t="s">
        <v>74</v>
      </c>
      <c r="AN1606" t="s">
        <v>74</v>
      </c>
      <c r="AO1606" t="s">
        <v>18449</v>
      </c>
      <c r="AP1606" t="s">
        <v>74</v>
      </c>
      <c r="AQ1606" t="s">
        <v>74</v>
      </c>
      <c r="AR1606" t="s">
        <v>74</v>
      </c>
      <c r="AS1606" t="s">
        <v>74</v>
      </c>
      <c r="AT1606" t="s">
        <v>211</v>
      </c>
      <c r="AU1606">
        <v>2021</v>
      </c>
      <c r="AV1606">
        <v>15</v>
      </c>
      <c r="AW1606" t="s">
        <v>74</v>
      </c>
      <c r="AX1606" t="s">
        <v>74</v>
      </c>
      <c r="AY1606" t="s">
        <v>74</v>
      </c>
      <c r="AZ1606" t="s">
        <v>74</v>
      </c>
      <c r="BA1606" t="s">
        <v>74</v>
      </c>
      <c r="BB1606" t="s">
        <v>74</v>
      </c>
      <c r="BC1606" t="s">
        <v>74</v>
      </c>
      <c r="BD1606">
        <v>100343</v>
      </c>
      <c r="BE1606" t="s">
        <v>18450</v>
      </c>
      <c r="BF1606" t="str">
        <f>HYPERLINK("http://dx.doi.org/10.1016/j.ynstr.2021.100343","http://dx.doi.org/10.1016/j.ynstr.2021.100343")</f>
        <v>http://dx.doi.org/10.1016/j.ynstr.2021.100343</v>
      </c>
      <c r="BG1606" t="s">
        <v>74</v>
      </c>
      <c r="BH1606" t="s">
        <v>3810</v>
      </c>
      <c r="BI1606" t="s">
        <v>74</v>
      </c>
      <c r="BJ1606" t="s">
        <v>652</v>
      </c>
      <c r="BK1606" t="s">
        <v>3223</v>
      </c>
      <c r="BL1606" t="s">
        <v>653</v>
      </c>
      <c r="BM1606" t="s">
        <v>74</v>
      </c>
      <c r="BN1606">
        <v>34141833</v>
      </c>
      <c r="BO1606" t="s">
        <v>74</v>
      </c>
      <c r="BP1606" t="s">
        <v>74</v>
      </c>
      <c r="BQ1606" t="s">
        <v>74</v>
      </c>
      <c r="BR1606" t="s">
        <v>96</v>
      </c>
      <c r="BS1606" t="s">
        <v>18451</v>
      </c>
      <c r="BT1606" t="str">
        <f>HYPERLINK("https%3A%2F%2Fwww.webofscience.com%2Fwos%2Fwoscc%2Ffull-record%2FWOS:000702921700006","View Full Record in Web of Science")</f>
        <v>View Full Record in Web of Science</v>
      </c>
    </row>
    <row r="1607" spans="1:72" x14ac:dyDescent="0.15">
      <c r="A1607" t="s">
        <v>98</v>
      </c>
      <c r="B1607" t="s">
        <v>18452</v>
      </c>
      <c r="C1607" t="s">
        <v>74</v>
      </c>
      <c r="D1607" t="s">
        <v>74</v>
      </c>
      <c r="E1607" t="s">
        <v>74</v>
      </c>
      <c r="F1607" t="s">
        <v>18453</v>
      </c>
      <c r="G1607" t="s">
        <v>74</v>
      </c>
      <c r="H1607" t="s">
        <v>74</v>
      </c>
      <c r="I1607" t="s">
        <v>18454</v>
      </c>
      <c r="J1607" t="s">
        <v>18455</v>
      </c>
      <c r="K1607" t="s">
        <v>74</v>
      </c>
      <c r="L1607" t="s">
        <v>74</v>
      </c>
      <c r="M1607" t="s">
        <v>74</v>
      </c>
      <c r="N1607" t="s">
        <v>103</v>
      </c>
      <c r="O1607" t="s">
        <v>74</v>
      </c>
      <c r="P1607" t="s">
        <v>74</v>
      </c>
      <c r="Q1607" t="s">
        <v>74</v>
      </c>
      <c r="R1607" t="s">
        <v>74</v>
      </c>
      <c r="S1607" t="s">
        <v>74</v>
      </c>
      <c r="T1607" t="s">
        <v>18456</v>
      </c>
      <c r="U1607" t="s">
        <v>18457</v>
      </c>
      <c r="V1607" t="s">
        <v>18458</v>
      </c>
      <c r="W1607" t="s">
        <v>18459</v>
      </c>
      <c r="X1607" t="s">
        <v>18460</v>
      </c>
      <c r="Y1607" t="s">
        <v>18461</v>
      </c>
      <c r="Z1607" t="s">
        <v>18462</v>
      </c>
      <c r="AA1607" t="s">
        <v>18463</v>
      </c>
      <c r="AB1607" t="s">
        <v>18464</v>
      </c>
      <c r="AC1607" t="s">
        <v>74</v>
      </c>
      <c r="AD1607" t="s">
        <v>74</v>
      </c>
      <c r="AE1607" t="s">
        <v>74</v>
      </c>
      <c r="AF1607" t="s">
        <v>74</v>
      </c>
      <c r="AG1607">
        <v>63</v>
      </c>
      <c r="AH1607">
        <v>3</v>
      </c>
      <c r="AI1607">
        <v>3</v>
      </c>
      <c r="AJ1607">
        <v>2</v>
      </c>
      <c r="AK1607">
        <v>2</v>
      </c>
      <c r="AL1607" t="s">
        <v>74</v>
      </c>
      <c r="AM1607" t="s">
        <v>74</v>
      </c>
      <c r="AN1607" t="s">
        <v>74</v>
      </c>
      <c r="AO1607" t="s">
        <v>74</v>
      </c>
      <c r="AP1607" t="s">
        <v>18465</v>
      </c>
      <c r="AQ1607" t="s">
        <v>74</v>
      </c>
      <c r="AR1607" t="s">
        <v>74</v>
      </c>
      <c r="AS1607" t="s">
        <v>74</v>
      </c>
      <c r="AT1607" t="s">
        <v>16439</v>
      </c>
      <c r="AU1607">
        <v>2022</v>
      </c>
      <c r="AV1607">
        <v>21</v>
      </c>
      <c r="AW1607">
        <v>1</v>
      </c>
      <c r="AX1607" t="s">
        <v>74</v>
      </c>
      <c r="AY1607" t="s">
        <v>74</v>
      </c>
      <c r="AZ1607" t="s">
        <v>74</v>
      </c>
      <c r="BA1607" t="s">
        <v>74</v>
      </c>
      <c r="BB1607" t="s">
        <v>74</v>
      </c>
      <c r="BC1607" t="s">
        <v>74</v>
      </c>
      <c r="BD1607">
        <v>31</v>
      </c>
      <c r="BE1607" t="s">
        <v>18466</v>
      </c>
      <c r="BF1607" t="str">
        <f>HYPERLINK("http://dx.doi.org/10.1186/s12933-022-01458-z","http://dx.doi.org/10.1186/s12933-022-01458-z")</f>
        <v>http://dx.doi.org/10.1186/s12933-022-01458-z</v>
      </c>
      <c r="BG1607" t="s">
        <v>74</v>
      </c>
      <c r="BH1607" t="s">
        <v>74</v>
      </c>
      <c r="BI1607" t="s">
        <v>74</v>
      </c>
      <c r="BJ1607" t="s">
        <v>18467</v>
      </c>
      <c r="BK1607" t="s">
        <v>117</v>
      </c>
      <c r="BL1607" t="s">
        <v>18468</v>
      </c>
      <c r="BM1607" t="s">
        <v>74</v>
      </c>
      <c r="BN1607">
        <v>35209901</v>
      </c>
      <c r="BO1607" t="s">
        <v>74</v>
      </c>
      <c r="BP1607" t="s">
        <v>74</v>
      </c>
      <c r="BQ1607" t="s">
        <v>74</v>
      </c>
      <c r="BR1607" t="s">
        <v>96</v>
      </c>
      <c r="BS1607" t="s">
        <v>18469</v>
      </c>
      <c r="BT1607" t="str">
        <f>HYPERLINK("https%3A%2F%2Fwww.webofscience.com%2Fwos%2Fwoscc%2Ffull-record%2FWOS:000761286400002","View Full Record in Web of Science")</f>
        <v>View Full Record in Web of Science</v>
      </c>
    </row>
    <row r="1608" spans="1:72" x14ac:dyDescent="0.15">
      <c r="A1608" t="s">
        <v>98</v>
      </c>
      <c r="B1608" t="s">
        <v>19075</v>
      </c>
      <c r="C1608" t="s">
        <v>74</v>
      </c>
      <c r="D1608" t="s">
        <v>74</v>
      </c>
      <c r="E1608" t="s">
        <v>74</v>
      </c>
      <c r="F1608" t="s">
        <v>19076</v>
      </c>
      <c r="G1608" t="s">
        <v>74</v>
      </c>
      <c r="H1608" t="s">
        <v>74</v>
      </c>
      <c r="I1608" t="s">
        <v>19077</v>
      </c>
      <c r="J1608" t="s">
        <v>782</v>
      </c>
      <c r="K1608" t="s">
        <v>74</v>
      </c>
      <c r="L1608" t="s">
        <v>74</v>
      </c>
      <c r="M1608" t="s">
        <v>74</v>
      </c>
      <c r="N1608" t="s">
        <v>103</v>
      </c>
      <c r="O1608" t="s">
        <v>74</v>
      </c>
      <c r="P1608" t="s">
        <v>74</v>
      </c>
      <c r="Q1608" t="s">
        <v>74</v>
      </c>
      <c r="R1608" t="s">
        <v>74</v>
      </c>
      <c r="S1608" t="s">
        <v>74</v>
      </c>
      <c r="T1608" t="s">
        <v>74</v>
      </c>
      <c r="U1608" t="s">
        <v>19078</v>
      </c>
      <c r="V1608" t="s">
        <v>19079</v>
      </c>
      <c r="W1608" t="s">
        <v>19080</v>
      </c>
      <c r="X1608" t="s">
        <v>19081</v>
      </c>
      <c r="Y1608" t="s">
        <v>19082</v>
      </c>
      <c r="Z1608" t="s">
        <v>19083</v>
      </c>
      <c r="AA1608" t="s">
        <v>19084</v>
      </c>
      <c r="AB1608" t="s">
        <v>19085</v>
      </c>
      <c r="AC1608" t="s">
        <v>74</v>
      </c>
      <c r="AD1608" t="s">
        <v>74</v>
      </c>
      <c r="AE1608" t="s">
        <v>74</v>
      </c>
      <c r="AF1608" t="s">
        <v>74</v>
      </c>
      <c r="AG1608">
        <v>52</v>
      </c>
      <c r="AH1608">
        <v>3</v>
      </c>
      <c r="AI1608">
        <v>3</v>
      </c>
      <c r="AJ1608">
        <v>1</v>
      </c>
      <c r="AK1608">
        <v>3</v>
      </c>
      <c r="AL1608" t="s">
        <v>74</v>
      </c>
      <c r="AM1608" t="s">
        <v>74</v>
      </c>
      <c r="AN1608" t="s">
        <v>74</v>
      </c>
      <c r="AO1608" t="s">
        <v>792</v>
      </c>
      <c r="AP1608" t="s">
        <v>793</v>
      </c>
      <c r="AQ1608" t="s">
        <v>74</v>
      </c>
      <c r="AR1608" t="s">
        <v>74</v>
      </c>
      <c r="AS1608" t="s">
        <v>74</v>
      </c>
      <c r="AT1608" t="s">
        <v>211</v>
      </c>
      <c r="AU1608">
        <v>2020</v>
      </c>
      <c r="AV1608">
        <v>144</v>
      </c>
      <c r="AW1608" t="s">
        <v>74</v>
      </c>
      <c r="AX1608" t="s">
        <v>74</v>
      </c>
      <c r="AY1608" t="s">
        <v>74</v>
      </c>
      <c r="AZ1608" t="s">
        <v>74</v>
      </c>
      <c r="BA1608" t="s">
        <v>74</v>
      </c>
      <c r="BB1608" t="s">
        <v>74</v>
      </c>
      <c r="BC1608" t="s">
        <v>74</v>
      </c>
      <c r="BD1608">
        <v>109979</v>
      </c>
      <c r="BE1608" t="s">
        <v>19086</v>
      </c>
      <c r="BF1608" t="str">
        <f>HYPERLINK("http://dx.doi.org/10.1016/j.mehy.2020.109979","http://dx.doi.org/10.1016/j.mehy.2020.109979")</f>
        <v>http://dx.doi.org/10.1016/j.mehy.2020.109979</v>
      </c>
      <c r="BG1608" t="s">
        <v>74</v>
      </c>
      <c r="BH1608" t="s">
        <v>74</v>
      </c>
      <c r="BI1608" t="s">
        <v>74</v>
      </c>
      <c r="BJ1608" t="s">
        <v>795</v>
      </c>
      <c r="BK1608" t="s">
        <v>117</v>
      </c>
      <c r="BL1608" t="s">
        <v>796</v>
      </c>
      <c r="BM1608" t="s">
        <v>74</v>
      </c>
      <c r="BN1608">
        <v>32570162</v>
      </c>
      <c r="BO1608" t="s">
        <v>74</v>
      </c>
      <c r="BP1608" t="s">
        <v>74</v>
      </c>
      <c r="BQ1608" t="s">
        <v>74</v>
      </c>
      <c r="BR1608" t="s">
        <v>96</v>
      </c>
      <c r="BS1608" t="s">
        <v>19087</v>
      </c>
      <c r="BT1608" t="str">
        <f>HYPERLINK("https%3A%2F%2Fwww.webofscience.com%2Fwos%2Fwoscc%2Ffull-record%2FWOS:000669488400026","View Full Record in Web of Science")</f>
        <v>View Full Record in Web of Science</v>
      </c>
    </row>
    <row r="1609" spans="1:72" x14ac:dyDescent="0.15">
      <c r="A1609" t="s">
        <v>98</v>
      </c>
      <c r="B1609" t="s">
        <v>19110</v>
      </c>
      <c r="C1609" t="s">
        <v>74</v>
      </c>
      <c r="D1609" t="s">
        <v>74</v>
      </c>
      <c r="E1609" t="s">
        <v>74</v>
      </c>
      <c r="F1609" t="s">
        <v>19111</v>
      </c>
      <c r="G1609" t="s">
        <v>74</v>
      </c>
      <c r="H1609" t="s">
        <v>74</v>
      </c>
      <c r="I1609" t="s">
        <v>19112</v>
      </c>
      <c r="J1609" t="s">
        <v>10092</v>
      </c>
      <c r="K1609" t="s">
        <v>74</v>
      </c>
      <c r="L1609" t="s">
        <v>74</v>
      </c>
      <c r="M1609" t="s">
        <v>74</v>
      </c>
      <c r="N1609" t="s">
        <v>103</v>
      </c>
      <c r="O1609" t="s">
        <v>74</v>
      </c>
      <c r="P1609" t="s">
        <v>74</v>
      </c>
      <c r="Q1609" t="s">
        <v>74</v>
      </c>
      <c r="R1609" t="s">
        <v>74</v>
      </c>
      <c r="S1609" t="s">
        <v>74</v>
      </c>
      <c r="T1609" t="s">
        <v>19113</v>
      </c>
      <c r="U1609" t="s">
        <v>19114</v>
      </c>
      <c r="V1609" t="s">
        <v>19115</v>
      </c>
      <c r="W1609" t="s">
        <v>19116</v>
      </c>
      <c r="X1609" t="s">
        <v>19117</v>
      </c>
      <c r="Y1609" t="s">
        <v>19118</v>
      </c>
      <c r="Z1609" t="s">
        <v>19119</v>
      </c>
      <c r="AA1609" t="s">
        <v>74</v>
      </c>
      <c r="AB1609" t="s">
        <v>74</v>
      </c>
      <c r="AC1609" t="s">
        <v>74</v>
      </c>
      <c r="AD1609" t="s">
        <v>74</v>
      </c>
      <c r="AE1609" t="s">
        <v>74</v>
      </c>
      <c r="AF1609" t="s">
        <v>74</v>
      </c>
      <c r="AG1609">
        <v>44</v>
      </c>
      <c r="AH1609">
        <v>3</v>
      </c>
      <c r="AI1609">
        <v>3</v>
      </c>
      <c r="AJ1609">
        <v>24</v>
      </c>
      <c r="AK1609">
        <v>57</v>
      </c>
      <c r="AL1609" t="s">
        <v>74</v>
      </c>
      <c r="AM1609" t="s">
        <v>74</v>
      </c>
      <c r="AN1609" t="s">
        <v>74</v>
      </c>
      <c r="AO1609" t="s">
        <v>10101</v>
      </c>
      <c r="AP1609" t="s">
        <v>10102</v>
      </c>
      <c r="AQ1609" t="s">
        <v>74</v>
      </c>
      <c r="AR1609" t="s">
        <v>74</v>
      </c>
      <c r="AS1609" t="s">
        <v>74</v>
      </c>
      <c r="AT1609" t="s">
        <v>531</v>
      </c>
      <c r="AU1609">
        <v>2021</v>
      </c>
      <c r="AV1609">
        <v>168</v>
      </c>
      <c r="AW1609" t="s">
        <v>74</v>
      </c>
      <c r="AX1609" t="s">
        <v>74</v>
      </c>
      <c r="AY1609" t="s">
        <v>74</v>
      </c>
      <c r="AZ1609" t="s">
        <v>74</v>
      </c>
      <c r="BA1609" t="s">
        <v>74</v>
      </c>
      <c r="BB1609" t="s">
        <v>74</v>
      </c>
      <c r="BC1609" t="s">
        <v>74</v>
      </c>
      <c r="BD1609">
        <v>106455</v>
      </c>
      <c r="BE1609" t="s">
        <v>19120</v>
      </c>
      <c r="BF1609" t="str">
        <f>HYPERLINK("http://dx.doi.org/10.1016/j.microc.2021.106455","http://dx.doi.org/10.1016/j.microc.2021.106455")</f>
        <v>http://dx.doi.org/10.1016/j.microc.2021.106455</v>
      </c>
      <c r="BG1609" t="s">
        <v>74</v>
      </c>
      <c r="BH1609" t="s">
        <v>3810</v>
      </c>
      <c r="BI1609" t="s">
        <v>74</v>
      </c>
      <c r="BJ1609" t="s">
        <v>1118</v>
      </c>
      <c r="BK1609" t="s">
        <v>117</v>
      </c>
      <c r="BL1609" t="s">
        <v>1048</v>
      </c>
      <c r="BM1609" t="s">
        <v>74</v>
      </c>
      <c r="BN1609" t="s">
        <v>74</v>
      </c>
      <c r="BO1609" t="s">
        <v>74</v>
      </c>
      <c r="BP1609" t="s">
        <v>74</v>
      </c>
      <c r="BQ1609" t="s">
        <v>74</v>
      </c>
      <c r="BR1609" t="s">
        <v>96</v>
      </c>
      <c r="BS1609" t="s">
        <v>19121</v>
      </c>
      <c r="BT1609" t="str">
        <f>HYPERLINK("https%3A%2F%2Fwww.webofscience.com%2Fwos%2Fwoscc%2Ffull-record%2FWOS:000672853600015","View Full Record in Web of Science")</f>
        <v>View Full Record in Web of Science</v>
      </c>
    </row>
    <row r="1610" spans="1:72" x14ac:dyDescent="0.15">
      <c r="A1610" t="s">
        <v>98</v>
      </c>
      <c r="B1610" t="s">
        <v>19381</v>
      </c>
      <c r="C1610" t="s">
        <v>74</v>
      </c>
      <c r="D1610" t="s">
        <v>74</v>
      </c>
      <c r="E1610" t="s">
        <v>74</v>
      </c>
      <c r="F1610" t="s">
        <v>19382</v>
      </c>
      <c r="G1610" t="s">
        <v>74</v>
      </c>
      <c r="H1610" t="s">
        <v>74</v>
      </c>
      <c r="I1610" t="s">
        <v>19383</v>
      </c>
      <c r="J1610" t="s">
        <v>19384</v>
      </c>
      <c r="K1610" t="s">
        <v>74</v>
      </c>
      <c r="L1610" t="s">
        <v>74</v>
      </c>
      <c r="M1610" t="s">
        <v>74</v>
      </c>
      <c r="N1610" t="s">
        <v>980</v>
      </c>
      <c r="O1610" t="s">
        <v>19385</v>
      </c>
      <c r="P1610" t="s">
        <v>19386</v>
      </c>
      <c r="Q1610" t="s">
        <v>19387</v>
      </c>
      <c r="R1610" t="s">
        <v>74</v>
      </c>
      <c r="S1610" t="s">
        <v>19388</v>
      </c>
      <c r="T1610" t="s">
        <v>19389</v>
      </c>
      <c r="U1610" t="s">
        <v>19390</v>
      </c>
      <c r="V1610" t="s">
        <v>19391</v>
      </c>
      <c r="W1610" t="s">
        <v>19392</v>
      </c>
      <c r="X1610" t="s">
        <v>19393</v>
      </c>
      <c r="Y1610" t="s">
        <v>19394</v>
      </c>
      <c r="Z1610" t="s">
        <v>19395</v>
      </c>
      <c r="AA1610" t="s">
        <v>19396</v>
      </c>
      <c r="AB1610" t="s">
        <v>19397</v>
      </c>
      <c r="AC1610" t="s">
        <v>74</v>
      </c>
      <c r="AD1610" t="s">
        <v>74</v>
      </c>
      <c r="AE1610" t="s">
        <v>74</v>
      </c>
      <c r="AF1610" t="s">
        <v>74</v>
      </c>
      <c r="AG1610">
        <v>29</v>
      </c>
      <c r="AH1610">
        <v>3</v>
      </c>
      <c r="AI1610">
        <v>4</v>
      </c>
      <c r="AJ1610">
        <v>0</v>
      </c>
      <c r="AK1610">
        <v>4</v>
      </c>
      <c r="AL1610" t="s">
        <v>74</v>
      </c>
      <c r="AM1610" t="s">
        <v>74</v>
      </c>
      <c r="AN1610" t="s">
        <v>74</v>
      </c>
      <c r="AO1610" t="s">
        <v>19398</v>
      </c>
      <c r="AP1610" t="s">
        <v>19399</v>
      </c>
      <c r="AQ1610" t="s">
        <v>74</v>
      </c>
      <c r="AR1610" t="s">
        <v>74</v>
      </c>
      <c r="AS1610" t="s">
        <v>74</v>
      </c>
      <c r="AT1610" t="s">
        <v>614</v>
      </c>
      <c r="AU1610">
        <v>2018</v>
      </c>
      <c r="AV1610">
        <v>115</v>
      </c>
      <c r="AW1610">
        <v>1</v>
      </c>
      <c r="AX1610" t="s">
        <v>74</v>
      </c>
      <c r="AY1610" t="s">
        <v>74</v>
      </c>
      <c r="AZ1610" t="s">
        <v>74</v>
      </c>
      <c r="BA1610" t="s">
        <v>74</v>
      </c>
      <c r="BB1610">
        <v>114</v>
      </c>
      <c r="BC1610">
        <v>120</v>
      </c>
      <c r="BD1610" t="s">
        <v>74</v>
      </c>
      <c r="BE1610" t="s">
        <v>19400</v>
      </c>
      <c r="BF1610" t="str">
        <f>HYPERLINK("http://dx.doi.org/10.1097/HP.0000000000000867","http://dx.doi.org/10.1097/HP.0000000000000867")</f>
        <v>http://dx.doi.org/10.1097/HP.0000000000000867</v>
      </c>
      <c r="BG1610" t="s">
        <v>74</v>
      </c>
      <c r="BH1610" t="s">
        <v>74</v>
      </c>
      <c r="BI1610" t="s">
        <v>74</v>
      </c>
      <c r="BJ1610" t="s">
        <v>19401</v>
      </c>
      <c r="BK1610" t="s">
        <v>997</v>
      </c>
      <c r="BL1610" t="s">
        <v>19402</v>
      </c>
      <c r="BM1610" t="s">
        <v>74</v>
      </c>
      <c r="BN1610">
        <v>29787437</v>
      </c>
      <c r="BO1610" t="s">
        <v>74</v>
      </c>
      <c r="BP1610" t="s">
        <v>74</v>
      </c>
      <c r="BQ1610" t="s">
        <v>74</v>
      </c>
      <c r="BR1610" t="s">
        <v>96</v>
      </c>
      <c r="BS1610" t="s">
        <v>19403</v>
      </c>
      <c r="BT1610" t="str">
        <f>HYPERLINK("https%3A%2F%2Fwww.webofscience.com%2Fwos%2Fwoscc%2Ffull-record%2FWOS:000434256100014","View Full Record in Web of Science")</f>
        <v>View Full Record in Web of Science</v>
      </c>
    </row>
    <row r="1611" spans="1:72" x14ac:dyDescent="0.15">
      <c r="A1611" t="s">
        <v>98</v>
      </c>
      <c r="B1611" t="s">
        <v>20032</v>
      </c>
      <c r="C1611" t="s">
        <v>74</v>
      </c>
      <c r="D1611" t="s">
        <v>74</v>
      </c>
      <c r="E1611" t="s">
        <v>74</v>
      </c>
      <c r="F1611" t="s">
        <v>20033</v>
      </c>
      <c r="G1611" t="s">
        <v>74</v>
      </c>
      <c r="H1611" t="s">
        <v>74</v>
      </c>
      <c r="I1611" t="s">
        <v>20034</v>
      </c>
      <c r="J1611" t="s">
        <v>14768</v>
      </c>
      <c r="K1611" t="s">
        <v>74</v>
      </c>
      <c r="L1611" t="s">
        <v>74</v>
      </c>
      <c r="M1611" t="s">
        <v>74</v>
      </c>
      <c r="N1611" t="s">
        <v>103</v>
      </c>
      <c r="O1611" t="s">
        <v>74</v>
      </c>
      <c r="P1611" t="s">
        <v>74</v>
      </c>
      <c r="Q1611" t="s">
        <v>74</v>
      </c>
      <c r="R1611" t="s">
        <v>74</v>
      </c>
      <c r="S1611" t="s">
        <v>74</v>
      </c>
      <c r="T1611" t="s">
        <v>20035</v>
      </c>
      <c r="U1611" t="s">
        <v>74</v>
      </c>
      <c r="V1611" t="s">
        <v>20036</v>
      </c>
      <c r="W1611" t="s">
        <v>20037</v>
      </c>
      <c r="X1611" t="s">
        <v>20038</v>
      </c>
      <c r="Y1611" t="s">
        <v>20039</v>
      </c>
      <c r="Z1611" t="s">
        <v>20040</v>
      </c>
      <c r="AA1611" t="s">
        <v>74</v>
      </c>
      <c r="AB1611" t="s">
        <v>74</v>
      </c>
      <c r="AC1611" t="s">
        <v>74</v>
      </c>
      <c r="AD1611" t="s">
        <v>74</v>
      </c>
      <c r="AE1611" t="s">
        <v>74</v>
      </c>
      <c r="AF1611" t="s">
        <v>74</v>
      </c>
      <c r="AG1611">
        <v>49</v>
      </c>
      <c r="AH1611">
        <v>3</v>
      </c>
      <c r="AI1611">
        <v>3</v>
      </c>
      <c r="AJ1611">
        <v>0</v>
      </c>
      <c r="AK1611">
        <v>4</v>
      </c>
      <c r="AL1611" t="s">
        <v>74</v>
      </c>
      <c r="AM1611" t="s">
        <v>74</v>
      </c>
      <c r="AN1611" t="s">
        <v>74</v>
      </c>
      <c r="AO1611" t="s">
        <v>14778</v>
      </c>
      <c r="AP1611" t="s">
        <v>74</v>
      </c>
      <c r="AQ1611" t="s">
        <v>74</v>
      </c>
      <c r="AR1611" t="s">
        <v>74</v>
      </c>
      <c r="AS1611" t="s">
        <v>74</v>
      </c>
      <c r="AT1611" t="s">
        <v>74</v>
      </c>
      <c r="AU1611">
        <v>2021</v>
      </c>
      <c r="AV1611">
        <v>13</v>
      </c>
      <c r="AW1611">
        <v>3</v>
      </c>
      <c r="AX1611" t="s">
        <v>74</v>
      </c>
      <c r="AY1611" t="s">
        <v>74</v>
      </c>
      <c r="AZ1611" t="s">
        <v>74</v>
      </c>
      <c r="BA1611" t="s">
        <v>74</v>
      </c>
      <c r="BB1611">
        <v>935</v>
      </c>
      <c r="BC1611">
        <v>951</v>
      </c>
      <c r="BD1611" t="s">
        <v>74</v>
      </c>
      <c r="BE1611" t="s">
        <v>74</v>
      </c>
      <c r="BF1611" t="s">
        <v>74</v>
      </c>
      <c r="BG1611" t="s">
        <v>74</v>
      </c>
      <c r="BH1611" t="s">
        <v>74</v>
      </c>
      <c r="BI1611" t="s">
        <v>74</v>
      </c>
      <c r="BJ1611" t="s">
        <v>4129</v>
      </c>
      <c r="BK1611" t="s">
        <v>117</v>
      </c>
      <c r="BL1611" t="s">
        <v>4130</v>
      </c>
      <c r="BM1611" t="s">
        <v>74</v>
      </c>
      <c r="BN1611">
        <v>33841631</v>
      </c>
      <c r="BO1611" t="s">
        <v>74</v>
      </c>
      <c r="BP1611" t="s">
        <v>74</v>
      </c>
      <c r="BQ1611" t="s">
        <v>74</v>
      </c>
      <c r="BR1611" t="s">
        <v>96</v>
      </c>
      <c r="BS1611" t="s">
        <v>20041</v>
      </c>
      <c r="BT1611" t="str">
        <f>HYPERLINK("https%3A%2F%2Fwww.webofscience.com%2Fwos%2Fwoscc%2Ffull-record%2FWOS:000631871900008","View Full Record in Web of Science")</f>
        <v>View Full Record in Web of Science</v>
      </c>
    </row>
    <row r="1612" spans="1:72" x14ac:dyDescent="0.15">
      <c r="A1612" t="s">
        <v>98</v>
      </c>
      <c r="B1612" t="s">
        <v>20098</v>
      </c>
      <c r="C1612" t="s">
        <v>74</v>
      </c>
      <c r="D1612" t="s">
        <v>74</v>
      </c>
      <c r="E1612" t="s">
        <v>74</v>
      </c>
      <c r="F1612" t="s">
        <v>20099</v>
      </c>
      <c r="G1612" t="s">
        <v>74</v>
      </c>
      <c r="H1612" t="s">
        <v>74</v>
      </c>
      <c r="I1612" t="s">
        <v>20100</v>
      </c>
      <c r="J1612" t="s">
        <v>20101</v>
      </c>
      <c r="K1612" t="s">
        <v>74</v>
      </c>
      <c r="L1612" t="s">
        <v>74</v>
      </c>
      <c r="M1612" t="s">
        <v>74</v>
      </c>
      <c r="N1612" t="s">
        <v>103</v>
      </c>
      <c r="O1612" t="s">
        <v>74</v>
      </c>
      <c r="P1612" t="s">
        <v>74</v>
      </c>
      <c r="Q1612" t="s">
        <v>74</v>
      </c>
      <c r="R1612" t="s">
        <v>74</v>
      </c>
      <c r="S1612" t="s">
        <v>74</v>
      </c>
      <c r="T1612" t="s">
        <v>20102</v>
      </c>
      <c r="U1612" t="s">
        <v>20103</v>
      </c>
      <c r="V1612" t="s">
        <v>20104</v>
      </c>
      <c r="W1612" t="s">
        <v>20105</v>
      </c>
      <c r="X1612" t="s">
        <v>20106</v>
      </c>
      <c r="Y1612" t="s">
        <v>20107</v>
      </c>
      <c r="Z1612" t="s">
        <v>20108</v>
      </c>
      <c r="AA1612" t="s">
        <v>74</v>
      </c>
      <c r="AB1612" t="s">
        <v>74</v>
      </c>
      <c r="AC1612" t="s">
        <v>74</v>
      </c>
      <c r="AD1612" t="s">
        <v>74</v>
      </c>
      <c r="AE1612" t="s">
        <v>74</v>
      </c>
      <c r="AF1612" t="s">
        <v>74</v>
      </c>
      <c r="AG1612">
        <v>35</v>
      </c>
      <c r="AH1612">
        <v>3</v>
      </c>
      <c r="AI1612">
        <v>3</v>
      </c>
      <c r="AJ1612">
        <v>1</v>
      </c>
      <c r="AK1612">
        <v>6</v>
      </c>
      <c r="AL1612" t="s">
        <v>74</v>
      </c>
      <c r="AM1612" t="s">
        <v>74</v>
      </c>
      <c r="AN1612" t="s">
        <v>74</v>
      </c>
      <c r="AO1612" t="s">
        <v>20109</v>
      </c>
      <c r="AP1612" t="s">
        <v>20110</v>
      </c>
      <c r="AQ1612" t="s">
        <v>74</v>
      </c>
      <c r="AR1612" t="s">
        <v>74</v>
      </c>
      <c r="AS1612" t="s">
        <v>74</v>
      </c>
      <c r="AT1612" t="s">
        <v>531</v>
      </c>
      <c r="AU1612">
        <v>2017</v>
      </c>
      <c r="AV1612">
        <v>63</v>
      </c>
      <c r="AW1612">
        <v>9</v>
      </c>
      <c r="AX1612" t="s">
        <v>74</v>
      </c>
      <c r="AY1612" t="s">
        <v>74</v>
      </c>
      <c r="AZ1612" t="s">
        <v>74</v>
      </c>
      <c r="BA1612" t="s">
        <v>74</v>
      </c>
      <c r="BB1612">
        <v>780</v>
      </c>
      <c r="BC1612">
        <v>787</v>
      </c>
      <c r="BD1612" t="s">
        <v>74</v>
      </c>
      <c r="BE1612" t="s">
        <v>20111</v>
      </c>
      <c r="BF1612" t="str">
        <f>HYPERLINK("http://dx.doi.org/10.1139/cjm-2017-0244","http://dx.doi.org/10.1139/cjm-2017-0244")</f>
        <v>http://dx.doi.org/10.1139/cjm-2017-0244</v>
      </c>
      <c r="BG1612" t="s">
        <v>74</v>
      </c>
      <c r="BH1612" t="s">
        <v>74</v>
      </c>
      <c r="BI1612" t="s">
        <v>74</v>
      </c>
      <c r="BJ1612" t="s">
        <v>20112</v>
      </c>
      <c r="BK1612" t="s">
        <v>117</v>
      </c>
      <c r="BL1612" t="s">
        <v>20112</v>
      </c>
      <c r="BM1612" t="s">
        <v>74</v>
      </c>
      <c r="BN1612">
        <v>28609638</v>
      </c>
      <c r="BO1612" t="s">
        <v>74</v>
      </c>
      <c r="BP1612" t="s">
        <v>74</v>
      </c>
      <c r="BQ1612" t="s">
        <v>74</v>
      </c>
      <c r="BR1612" t="s">
        <v>96</v>
      </c>
      <c r="BS1612" t="s">
        <v>20113</v>
      </c>
      <c r="BT1612" t="str">
        <f>HYPERLINK("https%3A%2F%2Fwww.webofscience.com%2Fwos%2Fwoscc%2Ffull-record%2FWOS:000435584900004","View Full Record in Web of Science")</f>
        <v>View Full Record in Web of Science</v>
      </c>
    </row>
    <row r="1613" spans="1:72" x14ac:dyDescent="0.15">
      <c r="A1613" t="s">
        <v>98</v>
      </c>
      <c r="B1613" t="s">
        <v>20130</v>
      </c>
      <c r="C1613" t="s">
        <v>74</v>
      </c>
      <c r="D1613" t="s">
        <v>74</v>
      </c>
      <c r="E1613" t="s">
        <v>74</v>
      </c>
      <c r="F1613" t="s">
        <v>20131</v>
      </c>
      <c r="G1613" t="s">
        <v>74</v>
      </c>
      <c r="H1613" t="s">
        <v>74</v>
      </c>
      <c r="I1613" t="s">
        <v>20132</v>
      </c>
      <c r="J1613" t="s">
        <v>12425</v>
      </c>
      <c r="K1613" t="s">
        <v>74</v>
      </c>
      <c r="L1613" t="s">
        <v>74</v>
      </c>
      <c r="M1613" t="s">
        <v>74</v>
      </c>
      <c r="N1613" t="s">
        <v>103</v>
      </c>
      <c r="O1613" t="s">
        <v>74</v>
      </c>
      <c r="P1613" t="s">
        <v>74</v>
      </c>
      <c r="Q1613" t="s">
        <v>74</v>
      </c>
      <c r="R1613" t="s">
        <v>74</v>
      </c>
      <c r="S1613" t="s">
        <v>74</v>
      </c>
      <c r="T1613" t="s">
        <v>20133</v>
      </c>
      <c r="U1613" t="s">
        <v>20134</v>
      </c>
      <c r="V1613" t="s">
        <v>20135</v>
      </c>
      <c r="W1613" t="s">
        <v>20136</v>
      </c>
      <c r="X1613" t="s">
        <v>20137</v>
      </c>
      <c r="Y1613" t="s">
        <v>20138</v>
      </c>
      <c r="Z1613" t="s">
        <v>20139</v>
      </c>
      <c r="AA1613" t="s">
        <v>20140</v>
      </c>
      <c r="AB1613" t="s">
        <v>20141</v>
      </c>
      <c r="AC1613" t="s">
        <v>74</v>
      </c>
      <c r="AD1613" t="s">
        <v>74</v>
      </c>
      <c r="AE1613" t="s">
        <v>74</v>
      </c>
      <c r="AF1613" t="s">
        <v>74</v>
      </c>
      <c r="AG1613">
        <v>41</v>
      </c>
      <c r="AH1613">
        <v>3</v>
      </c>
      <c r="AI1613">
        <v>3</v>
      </c>
      <c r="AJ1613">
        <v>0</v>
      </c>
      <c r="AK1613">
        <v>2</v>
      </c>
      <c r="AL1613" t="s">
        <v>74</v>
      </c>
      <c r="AM1613" t="s">
        <v>74</v>
      </c>
      <c r="AN1613" t="s">
        <v>74</v>
      </c>
      <c r="AO1613" t="s">
        <v>12434</v>
      </c>
      <c r="AP1613" t="s">
        <v>12435</v>
      </c>
      <c r="AQ1613" t="s">
        <v>74</v>
      </c>
      <c r="AR1613" t="s">
        <v>74</v>
      </c>
      <c r="AS1613" t="s">
        <v>74</v>
      </c>
      <c r="AT1613" t="s">
        <v>15855</v>
      </c>
      <c r="AU1613">
        <v>2020</v>
      </c>
      <c r="AV1613">
        <v>17</v>
      </c>
      <c r="AW1613">
        <v>2</v>
      </c>
      <c r="AX1613" t="s">
        <v>74</v>
      </c>
      <c r="AY1613" t="s">
        <v>74</v>
      </c>
      <c r="AZ1613" t="s">
        <v>74</v>
      </c>
      <c r="BA1613" t="s">
        <v>74</v>
      </c>
      <c r="BB1613">
        <v>117</v>
      </c>
      <c r="BC1613">
        <v>130</v>
      </c>
      <c r="BD1613" t="s">
        <v>74</v>
      </c>
      <c r="BE1613" t="s">
        <v>20142</v>
      </c>
      <c r="BF1613" t="str">
        <f>HYPERLINK("http://dx.doi.org/10.21873/cgp.20172","http://dx.doi.org/10.21873/cgp.20172")</f>
        <v>http://dx.doi.org/10.21873/cgp.20172</v>
      </c>
      <c r="BG1613" t="s">
        <v>74</v>
      </c>
      <c r="BH1613" t="s">
        <v>74</v>
      </c>
      <c r="BI1613" t="s">
        <v>74</v>
      </c>
      <c r="BJ1613" t="s">
        <v>12437</v>
      </c>
      <c r="BK1613" t="s">
        <v>117</v>
      </c>
      <c r="BL1613" t="s">
        <v>12437</v>
      </c>
      <c r="BM1613" t="s">
        <v>74</v>
      </c>
      <c r="BN1613">
        <v>32108034</v>
      </c>
      <c r="BO1613" t="s">
        <v>74</v>
      </c>
      <c r="BP1613" t="s">
        <v>74</v>
      </c>
      <c r="BQ1613" t="s">
        <v>74</v>
      </c>
      <c r="BR1613" t="s">
        <v>96</v>
      </c>
      <c r="BS1613" t="s">
        <v>20143</v>
      </c>
      <c r="BT1613" t="str">
        <f>HYPERLINK("https%3A%2F%2Fwww.webofscience.com%2Fwos%2Fwoscc%2Ffull-record%2FWOS:000517985400002","View Full Record in Web of Science")</f>
        <v>View Full Record in Web of Science</v>
      </c>
    </row>
    <row r="1614" spans="1:72" x14ac:dyDescent="0.15">
      <c r="A1614" t="s">
        <v>98</v>
      </c>
      <c r="B1614" t="s">
        <v>20381</v>
      </c>
      <c r="C1614" t="s">
        <v>74</v>
      </c>
      <c r="D1614" t="s">
        <v>74</v>
      </c>
      <c r="E1614" t="s">
        <v>74</v>
      </c>
      <c r="F1614" t="s">
        <v>20382</v>
      </c>
      <c r="G1614" t="s">
        <v>74</v>
      </c>
      <c r="H1614" t="s">
        <v>74</v>
      </c>
      <c r="I1614" t="s">
        <v>20383</v>
      </c>
      <c r="J1614" t="s">
        <v>1528</v>
      </c>
      <c r="K1614" t="s">
        <v>74</v>
      </c>
      <c r="L1614" t="s">
        <v>74</v>
      </c>
      <c r="M1614" t="s">
        <v>74</v>
      </c>
      <c r="N1614" t="s">
        <v>103</v>
      </c>
      <c r="O1614" t="s">
        <v>74</v>
      </c>
      <c r="P1614" t="s">
        <v>74</v>
      </c>
      <c r="Q1614" t="s">
        <v>74</v>
      </c>
      <c r="R1614" t="s">
        <v>74</v>
      </c>
      <c r="S1614" t="s">
        <v>74</v>
      </c>
      <c r="T1614" t="s">
        <v>20384</v>
      </c>
      <c r="U1614" t="s">
        <v>74</v>
      </c>
      <c r="V1614" t="s">
        <v>20385</v>
      </c>
      <c r="W1614" t="s">
        <v>20386</v>
      </c>
      <c r="X1614" t="s">
        <v>4123</v>
      </c>
      <c r="Y1614" t="s">
        <v>20387</v>
      </c>
      <c r="Z1614" t="s">
        <v>20388</v>
      </c>
      <c r="AA1614" t="s">
        <v>74</v>
      </c>
      <c r="AB1614" t="s">
        <v>20389</v>
      </c>
      <c r="AC1614" t="s">
        <v>74</v>
      </c>
      <c r="AD1614" t="s">
        <v>74</v>
      </c>
      <c r="AE1614" t="s">
        <v>74</v>
      </c>
      <c r="AF1614" t="s">
        <v>74</v>
      </c>
      <c r="AG1614">
        <v>34</v>
      </c>
      <c r="AH1614">
        <v>3</v>
      </c>
      <c r="AI1614">
        <v>3</v>
      </c>
      <c r="AJ1614">
        <v>2</v>
      </c>
      <c r="AK1614">
        <v>3</v>
      </c>
      <c r="AL1614" t="s">
        <v>74</v>
      </c>
      <c r="AM1614" t="s">
        <v>74</v>
      </c>
      <c r="AN1614" t="s">
        <v>74</v>
      </c>
      <c r="AO1614" t="s">
        <v>1536</v>
      </c>
      <c r="AP1614" t="s">
        <v>1537</v>
      </c>
      <c r="AQ1614" t="s">
        <v>74</v>
      </c>
      <c r="AR1614" t="s">
        <v>74</v>
      </c>
      <c r="AS1614" t="s">
        <v>74</v>
      </c>
      <c r="AT1614" t="s">
        <v>1029</v>
      </c>
      <c r="AU1614">
        <v>2021</v>
      </c>
      <c r="AV1614">
        <v>12</v>
      </c>
      <c r="AW1614">
        <v>10</v>
      </c>
      <c r="AX1614" t="s">
        <v>74</v>
      </c>
      <c r="AY1614" t="s">
        <v>74</v>
      </c>
      <c r="AZ1614" t="s">
        <v>74</v>
      </c>
      <c r="BA1614" t="s">
        <v>74</v>
      </c>
      <c r="BB1614">
        <v>1549</v>
      </c>
      <c r="BC1614">
        <v>1557</v>
      </c>
      <c r="BD1614" t="s">
        <v>74</v>
      </c>
      <c r="BE1614" t="s">
        <v>20390</v>
      </c>
      <c r="BF1614" t="str">
        <f>HYPERLINK("http://dx.doi.org/10.1111/1759-7714.13939","http://dx.doi.org/10.1111/1759-7714.13939")</f>
        <v>http://dx.doi.org/10.1111/1759-7714.13939</v>
      </c>
      <c r="BG1614" t="s">
        <v>74</v>
      </c>
      <c r="BH1614" t="s">
        <v>2607</v>
      </c>
      <c r="BI1614" t="s">
        <v>74</v>
      </c>
      <c r="BJ1614" t="s">
        <v>1539</v>
      </c>
      <c r="BK1614" t="s">
        <v>117</v>
      </c>
      <c r="BL1614" t="s">
        <v>1539</v>
      </c>
      <c r="BM1614" t="s">
        <v>74</v>
      </c>
      <c r="BN1614">
        <v>33759399</v>
      </c>
      <c r="BO1614" t="s">
        <v>74</v>
      </c>
      <c r="BP1614" t="s">
        <v>74</v>
      </c>
      <c r="BQ1614" t="s">
        <v>74</v>
      </c>
      <c r="BR1614" t="s">
        <v>96</v>
      </c>
      <c r="BS1614" t="s">
        <v>20391</v>
      </c>
      <c r="BT1614" t="str">
        <f>HYPERLINK("https%3A%2F%2Fwww.webofscience.com%2Fwos%2Fwoscc%2Ffull-record%2FWOS:000631632500001","View Full Record in Web of Science")</f>
        <v>View Full Record in Web of Science</v>
      </c>
    </row>
    <row r="1615" spans="1:72" x14ac:dyDescent="0.15">
      <c r="A1615" t="s">
        <v>98</v>
      </c>
      <c r="B1615" t="s">
        <v>20530</v>
      </c>
      <c r="C1615" t="s">
        <v>74</v>
      </c>
      <c r="D1615" t="s">
        <v>74</v>
      </c>
      <c r="E1615" t="s">
        <v>74</v>
      </c>
      <c r="F1615" t="s">
        <v>20531</v>
      </c>
      <c r="G1615" t="s">
        <v>74</v>
      </c>
      <c r="H1615" t="s">
        <v>74</v>
      </c>
      <c r="I1615" t="s">
        <v>20532</v>
      </c>
      <c r="J1615" t="s">
        <v>7588</v>
      </c>
      <c r="K1615" t="s">
        <v>74</v>
      </c>
      <c r="L1615" t="s">
        <v>74</v>
      </c>
      <c r="M1615" t="s">
        <v>74</v>
      </c>
      <c r="N1615" t="s">
        <v>103</v>
      </c>
      <c r="O1615" t="s">
        <v>74</v>
      </c>
      <c r="P1615" t="s">
        <v>74</v>
      </c>
      <c r="Q1615" t="s">
        <v>74</v>
      </c>
      <c r="R1615" t="s">
        <v>74</v>
      </c>
      <c r="S1615" t="s">
        <v>74</v>
      </c>
      <c r="T1615" t="s">
        <v>74</v>
      </c>
      <c r="U1615" t="s">
        <v>20533</v>
      </c>
      <c r="V1615" t="s">
        <v>20534</v>
      </c>
      <c r="W1615" t="s">
        <v>20535</v>
      </c>
      <c r="X1615" t="s">
        <v>20536</v>
      </c>
      <c r="Y1615" t="s">
        <v>20537</v>
      </c>
      <c r="Z1615" t="s">
        <v>20538</v>
      </c>
      <c r="AA1615" t="s">
        <v>20539</v>
      </c>
      <c r="AB1615" t="s">
        <v>20540</v>
      </c>
      <c r="AC1615" t="s">
        <v>74</v>
      </c>
      <c r="AD1615" t="s">
        <v>74</v>
      </c>
      <c r="AE1615" t="s">
        <v>74</v>
      </c>
      <c r="AF1615" t="s">
        <v>74</v>
      </c>
      <c r="AG1615">
        <v>76</v>
      </c>
      <c r="AH1615">
        <v>3</v>
      </c>
      <c r="AI1615">
        <v>3</v>
      </c>
      <c r="AJ1615">
        <v>35</v>
      </c>
      <c r="AK1615">
        <v>97</v>
      </c>
      <c r="AL1615" t="s">
        <v>74</v>
      </c>
      <c r="AM1615" t="s">
        <v>74</v>
      </c>
      <c r="AN1615" t="s">
        <v>74</v>
      </c>
      <c r="AO1615" t="s">
        <v>7597</v>
      </c>
      <c r="AP1615" t="s">
        <v>7598</v>
      </c>
      <c r="AQ1615" t="s">
        <v>74</v>
      </c>
      <c r="AR1615" t="s">
        <v>74</v>
      </c>
      <c r="AS1615" t="s">
        <v>74</v>
      </c>
      <c r="AT1615" t="s">
        <v>283</v>
      </c>
      <c r="AU1615">
        <v>2022</v>
      </c>
      <c r="AV1615">
        <v>16</v>
      </c>
      <c r="AW1615">
        <v>2</v>
      </c>
      <c r="AX1615" t="s">
        <v>74</v>
      </c>
      <c r="AY1615" t="s">
        <v>74</v>
      </c>
      <c r="AZ1615" t="s">
        <v>74</v>
      </c>
      <c r="BA1615" t="s">
        <v>74</v>
      </c>
      <c r="BB1615">
        <v>543</v>
      </c>
      <c r="BC1615">
        <v>554</v>
      </c>
      <c r="BD1615" t="s">
        <v>74</v>
      </c>
      <c r="BE1615" t="s">
        <v>20541</v>
      </c>
      <c r="BF1615" t="str">
        <f>HYPERLINK("http://dx.doi.org/10.1038/s41396-021-01095-6","http://dx.doi.org/10.1038/s41396-021-01095-6")</f>
        <v>http://dx.doi.org/10.1038/s41396-021-01095-6</v>
      </c>
      <c r="BG1615" t="s">
        <v>74</v>
      </c>
      <c r="BH1615" t="s">
        <v>395</v>
      </c>
      <c r="BI1615" t="s">
        <v>74</v>
      </c>
      <c r="BJ1615" t="s">
        <v>7600</v>
      </c>
      <c r="BK1615" t="s">
        <v>117</v>
      </c>
      <c r="BL1615" t="s">
        <v>7601</v>
      </c>
      <c r="BM1615" t="s">
        <v>74</v>
      </c>
      <c r="BN1615">
        <v>34465899</v>
      </c>
      <c r="BO1615" t="s">
        <v>74</v>
      </c>
      <c r="BP1615" t="s">
        <v>74</v>
      </c>
      <c r="BQ1615" t="s">
        <v>74</v>
      </c>
      <c r="BR1615" t="s">
        <v>96</v>
      </c>
      <c r="BS1615" t="s">
        <v>20542</v>
      </c>
      <c r="BT1615" t="str">
        <f>HYPERLINK("https%3A%2F%2Fwww.webofscience.com%2Fwos%2Fwoscc%2Ffull-record%2FWOS:000691710200001","View Full Record in Web of Science")</f>
        <v>View Full Record in Web of Science</v>
      </c>
    </row>
    <row r="1616" spans="1:72" x14ac:dyDescent="0.15">
      <c r="A1616" t="s">
        <v>98</v>
      </c>
      <c r="B1616" t="s">
        <v>20592</v>
      </c>
      <c r="C1616" t="s">
        <v>74</v>
      </c>
      <c r="D1616" t="s">
        <v>74</v>
      </c>
      <c r="E1616" t="s">
        <v>74</v>
      </c>
      <c r="F1616" t="s">
        <v>20593</v>
      </c>
      <c r="G1616" t="s">
        <v>74</v>
      </c>
      <c r="H1616" t="s">
        <v>74</v>
      </c>
      <c r="I1616" t="s">
        <v>20594</v>
      </c>
      <c r="J1616" t="s">
        <v>20595</v>
      </c>
      <c r="K1616" t="s">
        <v>74</v>
      </c>
      <c r="L1616" t="s">
        <v>74</v>
      </c>
      <c r="M1616" t="s">
        <v>74</v>
      </c>
      <c r="N1616" t="s">
        <v>103</v>
      </c>
      <c r="O1616" t="s">
        <v>74</v>
      </c>
      <c r="P1616" t="s">
        <v>74</v>
      </c>
      <c r="Q1616" t="s">
        <v>74</v>
      </c>
      <c r="R1616" t="s">
        <v>74</v>
      </c>
      <c r="S1616" t="s">
        <v>74</v>
      </c>
      <c r="T1616" t="s">
        <v>74</v>
      </c>
      <c r="U1616" t="s">
        <v>20596</v>
      </c>
      <c r="V1616" t="s">
        <v>20597</v>
      </c>
      <c r="W1616" t="s">
        <v>20598</v>
      </c>
      <c r="X1616" t="s">
        <v>20599</v>
      </c>
      <c r="Y1616" t="s">
        <v>20600</v>
      </c>
      <c r="Z1616" t="s">
        <v>20601</v>
      </c>
      <c r="AA1616" t="s">
        <v>74</v>
      </c>
      <c r="AB1616" t="s">
        <v>20602</v>
      </c>
      <c r="AC1616" t="s">
        <v>74</v>
      </c>
      <c r="AD1616" t="s">
        <v>74</v>
      </c>
      <c r="AE1616" t="s">
        <v>74</v>
      </c>
      <c r="AF1616" t="s">
        <v>74</v>
      </c>
      <c r="AG1616">
        <v>67</v>
      </c>
      <c r="AH1616">
        <v>3</v>
      </c>
      <c r="AI1616">
        <v>3</v>
      </c>
      <c r="AJ1616">
        <v>18</v>
      </c>
      <c r="AK1616">
        <v>18</v>
      </c>
      <c r="AL1616" t="s">
        <v>74</v>
      </c>
      <c r="AM1616" t="s">
        <v>74</v>
      </c>
      <c r="AN1616" t="s">
        <v>74</v>
      </c>
      <c r="AO1616" t="s">
        <v>20603</v>
      </c>
      <c r="AP1616" t="s">
        <v>20604</v>
      </c>
      <c r="AQ1616" t="s">
        <v>74</v>
      </c>
      <c r="AR1616" t="s">
        <v>74</v>
      </c>
      <c r="AS1616" t="s">
        <v>74</v>
      </c>
      <c r="AT1616" t="s">
        <v>1937</v>
      </c>
      <c r="AU1616">
        <v>2022</v>
      </c>
      <c r="AV1616">
        <v>55</v>
      </c>
      <c r="AW1616">
        <v>5</v>
      </c>
      <c r="AX1616" t="s">
        <v>74</v>
      </c>
      <c r="AY1616" t="s">
        <v>74</v>
      </c>
      <c r="AZ1616" t="s">
        <v>74</v>
      </c>
      <c r="BA1616" t="s">
        <v>74</v>
      </c>
      <c r="BB1616">
        <v>847</v>
      </c>
      <c r="BC1616" t="s">
        <v>3390</v>
      </c>
      <c r="BD1616" t="s">
        <v>74</v>
      </c>
      <c r="BE1616" t="s">
        <v>20605</v>
      </c>
      <c r="BF1616" t="str">
        <f>HYPERLINK("http://dx.doi.org/10.1016/j.immuni.2022.04.006","http://dx.doi.org/10.1016/j.immuni.2022.04.006")</f>
        <v>http://dx.doi.org/10.1016/j.immuni.2022.04.006</v>
      </c>
      <c r="BG1616" t="s">
        <v>74</v>
      </c>
      <c r="BH1616" t="s">
        <v>74</v>
      </c>
      <c r="BI1616" t="s">
        <v>74</v>
      </c>
      <c r="BJ1616" t="s">
        <v>2064</v>
      </c>
      <c r="BK1616" t="s">
        <v>117</v>
      </c>
      <c r="BL1616" t="s">
        <v>2064</v>
      </c>
      <c r="BM1616" t="s">
        <v>74</v>
      </c>
      <c r="BN1616">
        <v>35545033</v>
      </c>
      <c r="BO1616" t="s">
        <v>74</v>
      </c>
      <c r="BP1616" t="s">
        <v>74</v>
      </c>
      <c r="BQ1616" t="s">
        <v>74</v>
      </c>
      <c r="BR1616" t="s">
        <v>96</v>
      </c>
      <c r="BS1616" t="s">
        <v>20606</v>
      </c>
      <c r="BT1616" t="str">
        <f>HYPERLINK("https%3A%2F%2Fwww.webofscience.com%2Fwos%2Fwoscc%2Ffull-record%2FWOS:000802171100010","View Full Record in Web of Science")</f>
        <v>View Full Record in Web of Science</v>
      </c>
    </row>
    <row r="1617" spans="1:72" x14ac:dyDescent="0.15">
      <c r="A1617" t="s">
        <v>98</v>
      </c>
      <c r="B1617" t="s">
        <v>20986</v>
      </c>
      <c r="C1617" t="s">
        <v>74</v>
      </c>
      <c r="D1617" t="s">
        <v>74</v>
      </c>
      <c r="E1617" t="s">
        <v>74</v>
      </c>
      <c r="F1617" t="s">
        <v>20987</v>
      </c>
      <c r="G1617" t="s">
        <v>74</v>
      </c>
      <c r="H1617" t="s">
        <v>74</v>
      </c>
      <c r="I1617" t="s">
        <v>20988</v>
      </c>
      <c r="J1617" t="s">
        <v>903</v>
      </c>
      <c r="K1617" t="s">
        <v>74</v>
      </c>
      <c r="L1617" t="s">
        <v>74</v>
      </c>
      <c r="M1617" t="s">
        <v>74</v>
      </c>
      <c r="N1617" t="s">
        <v>103</v>
      </c>
      <c r="O1617" t="s">
        <v>74</v>
      </c>
      <c r="P1617" t="s">
        <v>74</v>
      </c>
      <c r="Q1617" t="s">
        <v>74</v>
      </c>
      <c r="R1617" t="s">
        <v>74</v>
      </c>
      <c r="S1617" t="s">
        <v>74</v>
      </c>
      <c r="T1617" t="s">
        <v>20989</v>
      </c>
      <c r="U1617" t="s">
        <v>20990</v>
      </c>
      <c r="V1617" t="s">
        <v>20991</v>
      </c>
      <c r="W1617" t="s">
        <v>20992</v>
      </c>
      <c r="X1617" t="s">
        <v>20993</v>
      </c>
      <c r="Y1617" t="s">
        <v>20994</v>
      </c>
      <c r="Z1617" t="s">
        <v>20995</v>
      </c>
      <c r="AA1617" t="s">
        <v>74</v>
      </c>
      <c r="AB1617" t="s">
        <v>20996</v>
      </c>
      <c r="AC1617" t="s">
        <v>74</v>
      </c>
      <c r="AD1617" t="s">
        <v>74</v>
      </c>
      <c r="AE1617" t="s">
        <v>74</v>
      </c>
      <c r="AF1617" t="s">
        <v>74</v>
      </c>
      <c r="AG1617">
        <v>91</v>
      </c>
      <c r="AH1617">
        <v>3</v>
      </c>
      <c r="AI1617">
        <v>3</v>
      </c>
      <c r="AJ1617">
        <v>4</v>
      </c>
      <c r="AK1617">
        <v>4</v>
      </c>
      <c r="AL1617" t="s">
        <v>74</v>
      </c>
      <c r="AM1617" t="s">
        <v>74</v>
      </c>
      <c r="AN1617" t="s">
        <v>74</v>
      </c>
      <c r="AO1617" t="s">
        <v>74</v>
      </c>
      <c r="AP1617" t="s">
        <v>913</v>
      </c>
      <c r="AQ1617" t="s">
        <v>74</v>
      </c>
      <c r="AR1617" t="s">
        <v>74</v>
      </c>
      <c r="AS1617" t="s">
        <v>74</v>
      </c>
      <c r="AT1617" t="s">
        <v>565</v>
      </c>
      <c r="AU1617">
        <v>2022</v>
      </c>
      <c r="AV1617">
        <v>14</v>
      </c>
      <c r="AW1617">
        <v>5</v>
      </c>
      <c r="AX1617" t="s">
        <v>74</v>
      </c>
      <c r="AY1617" t="s">
        <v>74</v>
      </c>
      <c r="AZ1617" t="s">
        <v>74</v>
      </c>
      <c r="BA1617" t="s">
        <v>74</v>
      </c>
      <c r="BB1617" t="s">
        <v>74</v>
      </c>
      <c r="BC1617" t="s">
        <v>74</v>
      </c>
      <c r="BD1617">
        <v>1139</v>
      </c>
      <c r="BE1617" t="s">
        <v>20997</v>
      </c>
      <c r="BF1617" t="str">
        <f>HYPERLINK("http://dx.doi.org/10.3390/cancers14051139","http://dx.doi.org/10.3390/cancers14051139")</f>
        <v>http://dx.doi.org/10.3390/cancers14051139</v>
      </c>
      <c r="BG1617" t="s">
        <v>74</v>
      </c>
      <c r="BH1617" t="s">
        <v>74</v>
      </c>
      <c r="BI1617" t="s">
        <v>74</v>
      </c>
      <c r="BJ1617" t="s">
        <v>267</v>
      </c>
      <c r="BK1617" t="s">
        <v>117</v>
      </c>
      <c r="BL1617" t="s">
        <v>267</v>
      </c>
      <c r="BM1617" t="s">
        <v>74</v>
      </c>
      <c r="BN1617">
        <v>35267452</v>
      </c>
      <c r="BO1617" t="s">
        <v>74</v>
      </c>
      <c r="BP1617" t="s">
        <v>74</v>
      </c>
      <c r="BQ1617" t="s">
        <v>74</v>
      </c>
      <c r="BR1617" t="s">
        <v>96</v>
      </c>
      <c r="BS1617" t="s">
        <v>20998</v>
      </c>
      <c r="BT1617" t="str">
        <f>HYPERLINK("https%3A%2F%2Fwww.webofscience.com%2Fwos%2Fwoscc%2Ffull-record%2FWOS:000775638400001","View Full Record in Web of Science")</f>
        <v>View Full Record in Web of Science</v>
      </c>
    </row>
    <row r="1618" spans="1:72" x14ac:dyDescent="0.15">
      <c r="A1618" t="s">
        <v>98</v>
      </c>
      <c r="B1618" t="s">
        <v>21179</v>
      </c>
      <c r="C1618" t="s">
        <v>74</v>
      </c>
      <c r="D1618" t="s">
        <v>74</v>
      </c>
      <c r="E1618" t="s">
        <v>74</v>
      </c>
      <c r="F1618" t="s">
        <v>21180</v>
      </c>
      <c r="G1618" t="s">
        <v>74</v>
      </c>
      <c r="H1618" t="s">
        <v>74</v>
      </c>
      <c r="I1618" t="s">
        <v>21181</v>
      </c>
      <c r="J1618" t="s">
        <v>6193</v>
      </c>
      <c r="K1618" t="s">
        <v>74</v>
      </c>
      <c r="L1618" t="s">
        <v>74</v>
      </c>
      <c r="M1618" t="s">
        <v>74</v>
      </c>
      <c r="N1618" t="s">
        <v>103</v>
      </c>
      <c r="O1618" t="s">
        <v>74</v>
      </c>
      <c r="P1618" t="s">
        <v>74</v>
      </c>
      <c r="Q1618" t="s">
        <v>74</v>
      </c>
      <c r="R1618" t="s">
        <v>74</v>
      </c>
      <c r="S1618" t="s">
        <v>74</v>
      </c>
      <c r="T1618" t="s">
        <v>21182</v>
      </c>
      <c r="U1618" t="s">
        <v>21183</v>
      </c>
      <c r="V1618" t="s">
        <v>21184</v>
      </c>
      <c r="W1618" t="s">
        <v>21185</v>
      </c>
      <c r="X1618" t="s">
        <v>21186</v>
      </c>
      <c r="Y1618" t="s">
        <v>21187</v>
      </c>
      <c r="Z1618" t="s">
        <v>21188</v>
      </c>
      <c r="AA1618" t="s">
        <v>74</v>
      </c>
      <c r="AB1618" t="s">
        <v>74</v>
      </c>
      <c r="AC1618" t="s">
        <v>74</v>
      </c>
      <c r="AD1618" t="s">
        <v>74</v>
      </c>
      <c r="AE1618" t="s">
        <v>74</v>
      </c>
      <c r="AF1618" t="s">
        <v>74</v>
      </c>
      <c r="AG1618">
        <v>41</v>
      </c>
      <c r="AH1618">
        <v>3</v>
      </c>
      <c r="AI1618">
        <v>3</v>
      </c>
      <c r="AJ1618">
        <v>0</v>
      </c>
      <c r="AK1618">
        <v>12</v>
      </c>
      <c r="AL1618" t="s">
        <v>74</v>
      </c>
      <c r="AM1618" t="s">
        <v>74</v>
      </c>
      <c r="AN1618" t="s">
        <v>74</v>
      </c>
      <c r="AO1618" t="s">
        <v>6203</v>
      </c>
      <c r="AP1618" t="s">
        <v>6204</v>
      </c>
      <c r="AQ1618" t="s">
        <v>74</v>
      </c>
      <c r="AR1618" t="s">
        <v>74</v>
      </c>
      <c r="AS1618" t="s">
        <v>74</v>
      </c>
      <c r="AT1618" t="s">
        <v>114</v>
      </c>
      <c r="AU1618">
        <v>2019</v>
      </c>
      <c r="AV1618">
        <v>54</v>
      </c>
      <c r="AW1618">
        <v>1</v>
      </c>
      <c r="AX1618" t="s">
        <v>74</v>
      </c>
      <c r="AY1618" t="s">
        <v>74</v>
      </c>
      <c r="AZ1618" t="s">
        <v>74</v>
      </c>
      <c r="BA1618" t="s">
        <v>74</v>
      </c>
      <c r="BB1618">
        <v>229</v>
      </c>
      <c r="BC1618">
        <v>238</v>
      </c>
      <c r="BD1618" t="s">
        <v>74</v>
      </c>
      <c r="BE1618" t="s">
        <v>21189</v>
      </c>
      <c r="BF1618" t="str">
        <f>HYPERLINK("http://dx.doi.org/10.3892/ijo.2018.4620","http://dx.doi.org/10.3892/ijo.2018.4620")</f>
        <v>http://dx.doi.org/10.3892/ijo.2018.4620</v>
      </c>
      <c r="BG1618" t="s">
        <v>74</v>
      </c>
      <c r="BH1618" t="s">
        <v>74</v>
      </c>
      <c r="BI1618" t="s">
        <v>74</v>
      </c>
      <c r="BJ1618" t="s">
        <v>267</v>
      </c>
      <c r="BK1618" t="s">
        <v>117</v>
      </c>
      <c r="BL1618" t="s">
        <v>267</v>
      </c>
      <c r="BM1618" t="s">
        <v>74</v>
      </c>
      <c r="BN1618">
        <v>30387839</v>
      </c>
      <c r="BO1618" t="s">
        <v>74</v>
      </c>
      <c r="BP1618" t="s">
        <v>74</v>
      </c>
      <c r="BQ1618" t="s">
        <v>74</v>
      </c>
      <c r="BR1618" t="s">
        <v>96</v>
      </c>
      <c r="BS1618" t="s">
        <v>21190</v>
      </c>
      <c r="BT1618" t="str">
        <f>HYPERLINK("https%3A%2F%2Fwww.webofscience.com%2Fwos%2Fwoscc%2Ffull-record%2FWOS:000451845400020","View Full Record in Web of Science")</f>
        <v>View Full Record in Web of Science</v>
      </c>
    </row>
    <row r="1619" spans="1:72" x14ac:dyDescent="0.15">
      <c r="A1619" t="s">
        <v>98</v>
      </c>
      <c r="B1619" t="s">
        <v>21246</v>
      </c>
      <c r="C1619" t="s">
        <v>74</v>
      </c>
      <c r="D1619" t="s">
        <v>74</v>
      </c>
      <c r="E1619" t="s">
        <v>74</v>
      </c>
      <c r="F1619" t="s">
        <v>21247</v>
      </c>
      <c r="G1619" t="s">
        <v>74</v>
      </c>
      <c r="H1619" t="s">
        <v>74</v>
      </c>
      <c r="I1619" t="s">
        <v>21248</v>
      </c>
      <c r="J1619" t="s">
        <v>903</v>
      </c>
      <c r="K1619" t="s">
        <v>74</v>
      </c>
      <c r="L1619" t="s">
        <v>74</v>
      </c>
      <c r="M1619" t="s">
        <v>74</v>
      </c>
      <c r="N1619" t="s">
        <v>103</v>
      </c>
      <c r="O1619" t="s">
        <v>74</v>
      </c>
      <c r="P1619" t="s">
        <v>74</v>
      </c>
      <c r="Q1619" t="s">
        <v>74</v>
      </c>
      <c r="R1619" t="s">
        <v>74</v>
      </c>
      <c r="S1619" t="s">
        <v>74</v>
      </c>
      <c r="T1619" t="s">
        <v>21249</v>
      </c>
      <c r="U1619" t="s">
        <v>74</v>
      </c>
      <c r="V1619" t="s">
        <v>21250</v>
      </c>
      <c r="W1619" t="s">
        <v>21251</v>
      </c>
      <c r="X1619" t="s">
        <v>21252</v>
      </c>
      <c r="Y1619" t="s">
        <v>21253</v>
      </c>
      <c r="Z1619" t="s">
        <v>21254</v>
      </c>
      <c r="AA1619" t="s">
        <v>74</v>
      </c>
      <c r="AB1619" t="s">
        <v>21255</v>
      </c>
      <c r="AC1619" t="s">
        <v>74</v>
      </c>
      <c r="AD1619" t="s">
        <v>74</v>
      </c>
      <c r="AE1619" t="s">
        <v>74</v>
      </c>
      <c r="AF1619" t="s">
        <v>74</v>
      </c>
      <c r="AG1619">
        <v>51</v>
      </c>
      <c r="AH1619">
        <v>3</v>
      </c>
      <c r="AI1619">
        <v>3</v>
      </c>
      <c r="AJ1619">
        <v>0</v>
      </c>
      <c r="AK1619">
        <v>2</v>
      </c>
      <c r="AL1619" t="s">
        <v>74</v>
      </c>
      <c r="AM1619" t="s">
        <v>74</v>
      </c>
      <c r="AN1619" t="s">
        <v>74</v>
      </c>
      <c r="AO1619" t="s">
        <v>74</v>
      </c>
      <c r="AP1619" t="s">
        <v>913</v>
      </c>
      <c r="AQ1619" t="s">
        <v>74</v>
      </c>
      <c r="AR1619" t="s">
        <v>74</v>
      </c>
      <c r="AS1619" t="s">
        <v>74</v>
      </c>
      <c r="AT1619" t="s">
        <v>565</v>
      </c>
      <c r="AU1619">
        <v>2021</v>
      </c>
      <c r="AV1619">
        <v>13</v>
      </c>
      <c r="AW1619">
        <v>6</v>
      </c>
      <c r="AX1619" t="s">
        <v>74</v>
      </c>
      <c r="AY1619" t="s">
        <v>74</v>
      </c>
      <c r="AZ1619" t="s">
        <v>74</v>
      </c>
      <c r="BA1619" t="s">
        <v>74</v>
      </c>
      <c r="BB1619" t="s">
        <v>74</v>
      </c>
      <c r="BC1619" t="s">
        <v>74</v>
      </c>
      <c r="BD1619">
        <v>1227</v>
      </c>
      <c r="BE1619" t="s">
        <v>21256</v>
      </c>
      <c r="BF1619" t="str">
        <f>HYPERLINK("http://dx.doi.org/10.3390/cancers13061227","http://dx.doi.org/10.3390/cancers13061227")</f>
        <v>http://dx.doi.org/10.3390/cancers13061227</v>
      </c>
      <c r="BG1619" t="s">
        <v>74</v>
      </c>
      <c r="BH1619" t="s">
        <v>74</v>
      </c>
      <c r="BI1619" t="s">
        <v>74</v>
      </c>
      <c r="BJ1619" t="s">
        <v>267</v>
      </c>
      <c r="BK1619" t="s">
        <v>117</v>
      </c>
      <c r="BL1619" t="s">
        <v>267</v>
      </c>
      <c r="BM1619" t="s">
        <v>74</v>
      </c>
      <c r="BN1619">
        <v>33799709</v>
      </c>
      <c r="BO1619" t="s">
        <v>74</v>
      </c>
      <c r="BP1619" t="s">
        <v>74</v>
      </c>
      <c r="BQ1619" t="s">
        <v>74</v>
      </c>
      <c r="BR1619" t="s">
        <v>96</v>
      </c>
      <c r="BS1619" t="s">
        <v>21257</v>
      </c>
      <c r="BT1619" t="str">
        <f>HYPERLINK("https%3A%2F%2Fwww.webofscience.com%2Fwos%2Fwoscc%2Ffull-record%2FWOS:000634356500001","View Full Record in Web of Science")</f>
        <v>View Full Record in Web of Science</v>
      </c>
    </row>
    <row r="1620" spans="1:72" x14ac:dyDescent="0.15">
      <c r="A1620" t="s">
        <v>98</v>
      </c>
      <c r="B1620" t="s">
        <v>21386</v>
      </c>
      <c r="C1620" t="s">
        <v>74</v>
      </c>
      <c r="D1620" t="s">
        <v>74</v>
      </c>
      <c r="E1620" t="s">
        <v>74</v>
      </c>
      <c r="F1620" t="s">
        <v>21387</v>
      </c>
      <c r="G1620" t="s">
        <v>74</v>
      </c>
      <c r="H1620" t="s">
        <v>74</v>
      </c>
      <c r="I1620" t="s">
        <v>21388</v>
      </c>
      <c r="J1620" t="s">
        <v>21389</v>
      </c>
      <c r="K1620" t="s">
        <v>74</v>
      </c>
      <c r="L1620" t="s">
        <v>74</v>
      </c>
      <c r="M1620" t="s">
        <v>74</v>
      </c>
      <c r="N1620" t="s">
        <v>103</v>
      </c>
      <c r="O1620" t="s">
        <v>74</v>
      </c>
      <c r="P1620" t="s">
        <v>74</v>
      </c>
      <c r="Q1620" t="s">
        <v>74</v>
      </c>
      <c r="R1620" t="s">
        <v>74</v>
      </c>
      <c r="S1620" t="s">
        <v>74</v>
      </c>
      <c r="T1620" t="s">
        <v>21390</v>
      </c>
      <c r="U1620" t="s">
        <v>21391</v>
      </c>
      <c r="V1620" t="s">
        <v>21392</v>
      </c>
      <c r="W1620" t="s">
        <v>21393</v>
      </c>
      <c r="X1620" t="s">
        <v>21394</v>
      </c>
      <c r="Y1620" t="s">
        <v>21395</v>
      </c>
      <c r="Z1620" t="s">
        <v>21396</v>
      </c>
      <c r="AA1620" t="s">
        <v>74</v>
      </c>
      <c r="AB1620" t="s">
        <v>21397</v>
      </c>
      <c r="AC1620" t="s">
        <v>74</v>
      </c>
      <c r="AD1620" t="s">
        <v>74</v>
      </c>
      <c r="AE1620" t="s">
        <v>74</v>
      </c>
      <c r="AF1620" t="s">
        <v>74</v>
      </c>
      <c r="AG1620">
        <v>97</v>
      </c>
      <c r="AH1620">
        <v>3</v>
      </c>
      <c r="AI1620">
        <v>3</v>
      </c>
      <c r="AJ1620">
        <v>6</v>
      </c>
      <c r="AK1620">
        <v>12</v>
      </c>
      <c r="AL1620" t="s">
        <v>74</v>
      </c>
      <c r="AM1620" t="s">
        <v>74</v>
      </c>
      <c r="AN1620" t="s">
        <v>74</v>
      </c>
      <c r="AO1620" t="s">
        <v>21398</v>
      </c>
      <c r="AP1620" t="s">
        <v>21399</v>
      </c>
      <c r="AQ1620" t="s">
        <v>74</v>
      </c>
      <c r="AR1620" t="s">
        <v>74</v>
      </c>
      <c r="AS1620" t="s">
        <v>74</v>
      </c>
      <c r="AT1620" t="s">
        <v>15855</v>
      </c>
      <c r="AU1620">
        <v>2021</v>
      </c>
      <c r="AV1620" t="s">
        <v>21400</v>
      </c>
      <c r="AW1620" t="s">
        <v>74</v>
      </c>
      <c r="AX1620" t="s">
        <v>74</v>
      </c>
      <c r="AY1620" t="s">
        <v>74</v>
      </c>
      <c r="AZ1620" t="s">
        <v>447</v>
      </c>
      <c r="BA1620" t="s">
        <v>74</v>
      </c>
      <c r="BB1620" t="s">
        <v>74</v>
      </c>
      <c r="BC1620" t="s">
        <v>74</v>
      </c>
      <c r="BD1620">
        <v>101731</v>
      </c>
      <c r="BE1620" t="s">
        <v>21401</v>
      </c>
      <c r="BF1620" t="str">
        <f>HYPERLINK("http://dx.doi.org/10.1016/j.bpg.2021.101731","http://dx.doi.org/10.1016/j.bpg.2021.101731")</f>
        <v>http://dx.doi.org/10.1016/j.bpg.2021.101731</v>
      </c>
      <c r="BG1620" t="s">
        <v>74</v>
      </c>
      <c r="BH1620" t="s">
        <v>1273</v>
      </c>
      <c r="BI1620" t="s">
        <v>74</v>
      </c>
      <c r="BJ1620" t="s">
        <v>633</v>
      </c>
      <c r="BK1620" t="s">
        <v>117</v>
      </c>
      <c r="BL1620" t="s">
        <v>633</v>
      </c>
      <c r="BM1620" t="s">
        <v>74</v>
      </c>
      <c r="BN1620">
        <v>33975677</v>
      </c>
      <c r="BO1620" t="s">
        <v>74</v>
      </c>
      <c r="BP1620" t="s">
        <v>74</v>
      </c>
      <c r="BQ1620" t="s">
        <v>74</v>
      </c>
      <c r="BR1620" t="s">
        <v>96</v>
      </c>
      <c r="BS1620" t="s">
        <v>21402</v>
      </c>
      <c r="BT1620" t="str">
        <f>HYPERLINK("https%3A%2F%2Fwww.webofscience.com%2Fwos%2Fwoscc%2Ffull-record%2FWOS:000648871800004","View Full Record in Web of Science")</f>
        <v>View Full Record in Web of Science</v>
      </c>
    </row>
    <row r="1621" spans="1:72" x14ac:dyDescent="0.15">
      <c r="A1621" t="s">
        <v>98</v>
      </c>
      <c r="B1621" t="s">
        <v>21589</v>
      </c>
      <c r="C1621" t="s">
        <v>74</v>
      </c>
      <c r="D1621" t="s">
        <v>74</v>
      </c>
      <c r="E1621" t="s">
        <v>74</v>
      </c>
      <c r="F1621" t="s">
        <v>21590</v>
      </c>
      <c r="G1621" t="s">
        <v>74</v>
      </c>
      <c r="H1621" t="s">
        <v>74</v>
      </c>
      <c r="I1621" t="s">
        <v>21591</v>
      </c>
      <c r="J1621" t="s">
        <v>21592</v>
      </c>
      <c r="K1621" t="s">
        <v>74</v>
      </c>
      <c r="L1621" t="s">
        <v>74</v>
      </c>
      <c r="M1621" t="s">
        <v>74</v>
      </c>
      <c r="N1621" t="s">
        <v>103</v>
      </c>
      <c r="O1621" t="s">
        <v>74</v>
      </c>
      <c r="P1621" t="s">
        <v>74</v>
      </c>
      <c r="Q1621" t="s">
        <v>74</v>
      </c>
      <c r="R1621" t="s">
        <v>74</v>
      </c>
      <c r="S1621" t="s">
        <v>74</v>
      </c>
      <c r="T1621" t="s">
        <v>21593</v>
      </c>
      <c r="U1621" t="s">
        <v>21594</v>
      </c>
      <c r="V1621" t="s">
        <v>21595</v>
      </c>
      <c r="W1621" t="s">
        <v>21596</v>
      </c>
      <c r="X1621" t="s">
        <v>21597</v>
      </c>
      <c r="Y1621" t="s">
        <v>21598</v>
      </c>
      <c r="Z1621" t="s">
        <v>21599</v>
      </c>
      <c r="AA1621" t="s">
        <v>21600</v>
      </c>
      <c r="AB1621" t="s">
        <v>21601</v>
      </c>
      <c r="AC1621" t="s">
        <v>74</v>
      </c>
      <c r="AD1621" t="s">
        <v>74</v>
      </c>
      <c r="AE1621" t="s">
        <v>74</v>
      </c>
      <c r="AF1621" t="s">
        <v>74</v>
      </c>
      <c r="AG1621">
        <v>56</v>
      </c>
      <c r="AH1621">
        <v>3</v>
      </c>
      <c r="AI1621">
        <v>3</v>
      </c>
      <c r="AJ1621">
        <v>0</v>
      </c>
      <c r="AK1621">
        <v>4</v>
      </c>
      <c r="AL1621" t="s">
        <v>74</v>
      </c>
      <c r="AM1621" t="s">
        <v>74</v>
      </c>
      <c r="AN1621" t="s">
        <v>74</v>
      </c>
      <c r="AO1621" t="s">
        <v>21602</v>
      </c>
      <c r="AP1621" t="s">
        <v>74</v>
      </c>
      <c r="AQ1621" t="s">
        <v>74</v>
      </c>
      <c r="AR1621" t="s">
        <v>74</v>
      </c>
      <c r="AS1621" t="s">
        <v>74</v>
      </c>
      <c r="AT1621" t="s">
        <v>74</v>
      </c>
      <c r="AU1621">
        <v>2017</v>
      </c>
      <c r="AV1621">
        <v>58</v>
      </c>
      <c r="AW1621">
        <v>2</v>
      </c>
      <c r="AX1621" t="s">
        <v>74</v>
      </c>
      <c r="AY1621" t="s">
        <v>74</v>
      </c>
      <c r="AZ1621" t="s">
        <v>74</v>
      </c>
      <c r="BA1621" t="s">
        <v>74</v>
      </c>
      <c r="BB1621">
        <v>445</v>
      </c>
      <c r="BC1621">
        <v>455</v>
      </c>
      <c r="BD1621" t="s">
        <v>74</v>
      </c>
      <c r="BE1621" t="s">
        <v>74</v>
      </c>
      <c r="BF1621" t="s">
        <v>74</v>
      </c>
      <c r="BG1621" t="s">
        <v>74</v>
      </c>
      <c r="BH1621" t="s">
        <v>74</v>
      </c>
      <c r="BI1621" t="s">
        <v>74</v>
      </c>
      <c r="BJ1621" t="s">
        <v>2083</v>
      </c>
      <c r="BK1621" t="s">
        <v>117</v>
      </c>
      <c r="BL1621" t="s">
        <v>2083</v>
      </c>
      <c r="BM1621" t="s">
        <v>74</v>
      </c>
      <c r="BN1621">
        <v>28730229</v>
      </c>
      <c r="BO1621" t="s">
        <v>74</v>
      </c>
      <c r="BP1621" t="s">
        <v>74</v>
      </c>
      <c r="BQ1621" t="s">
        <v>74</v>
      </c>
      <c r="BR1621" t="s">
        <v>96</v>
      </c>
      <c r="BS1621" t="s">
        <v>21603</v>
      </c>
      <c r="BT1621" t="str">
        <f>HYPERLINK("https%3A%2F%2Fwww.webofscience.com%2Fwos%2Fwoscc%2Ffull-record%2FWOS:000406647000014","View Full Record in Web of Science")</f>
        <v>View Full Record in Web of Science</v>
      </c>
    </row>
    <row r="1622" spans="1:72" x14ac:dyDescent="0.15">
      <c r="A1622" t="s">
        <v>98</v>
      </c>
      <c r="B1622" t="s">
        <v>21993</v>
      </c>
      <c r="C1622" t="s">
        <v>74</v>
      </c>
      <c r="D1622" t="s">
        <v>74</v>
      </c>
      <c r="E1622" t="s">
        <v>74</v>
      </c>
      <c r="F1622" t="s">
        <v>21994</v>
      </c>
      <c r="G1622" t="s">
        <v>74</v>
      </c>
      <c r="H1622" t="s">
        <v>74</v>
      </c>
      <c r="I1622" t="s">
        <v>21995</v>
      </c>
      <c r="J1622" t="s">
        <v>21996</v>
      </c>
      <c r="K1622" t="s">
        <v>74</v>
      </c>
      <c r="L1622" t="s">
        <v>74</v>
      </c>
      <c r="M1622" t="s">
        <v>74</v>
      </c>
      <c r="N1622" t="s">
        <v>103</v>
      </c>
      <c r="O1622" t="s">
        <v>74</v>
      </c>
      <c r="P1622" t="s">
        <v>74</v>
      </c>
      <c r="Q1622" t="s">
        <v>74</v>
      </c>
      <c r="R1622" t="s">
        <v>74</v>
      </c>
      <c r="S1622" t="s">
        <v>74</v>
      </c>
      <c r="T1622" t="s">
        <v>21997</v>
      </c>
      <c r="U1622" t="s">
        <v>21998</v>
      </c>
      <c r="V1622" t="s">
        <v>21999</v>
      </c>
      <c r="W1622" t="s">
        <v>22000</v>
      </c>
      <c r="X1622" t="s">
        <v>22001</v>
      </c>
      <c r="Y1622" t="s">
        <v>22002</v>
      </c>
      <c r="Z1622" t="s">
        <v>22003</v>
      </c>
      <c r="AA1622" t="s">
        <v>74</v>
      </c>
      <c r="AB1622" t="s">
        <v>74</v>
      </c>
      <c r="AC1622" t="s">
        <v>74</v>
      </c>
      <c r="AD1622" t="s">
        <v>74</v>
      </c>
      <c r="AE1622" t="s">
        <v>74</v>
      </c>
      <c r="AF1622" t="s">
        <v>74</v>
      </c>
      <c r="AG1622">
        <v>98</v>
      </c>
      <c r="AH1622">
        <v>3</v>
      </c>
      <c r="AI1622">
        <v>3</v>
      </c>
      <c r="AJ1622">
        <v>1</v>
      </c>
      <c r="AK1622">
        <v>5</v>
      </c>
      <c r="AL1622" t="s">
        <v>74</v>
      </c>
      <c r="AM1622" t="s">
        <v>74</v>
      </c>
      <c r="AN1622" t="s">
        <v>74</v>
      </c>
      <c r="AO1622" t="s">
        <v>22004</v>
      </c>
      <c r="AP1622" t="s">
        <v>74</v>
      </c>
      <c r="AQ1622" t="s">
        <v>74</v>
      </c>
      <c r="AR1622" t="s">
        <v>74</v>
      </c>
      <c r="AS1622" t="s">
        <v>74</v>
      </c>
      <c r="AT1622" t="s">
        <v>9336</v>
      </c>
      <c r="AU1622">
        <v>2021</v>
      </c>
      <c r="AV1622">
        <v>6</v>
      </c>
      <c r="AW1622">
        <v>1</v>
      </c>
      <c r="AX1622" t="s">
        <v>74</v>
      </c>
      <c r="AY1622" t="s">
        <v>74</v>
      </c>
      <c r="AZ1622" t="s">
        <v>74</v>
      </c>
      <c r="BA1622" t="s">
        <v>74</v>
      </c>
      <c r="BB1622" t="s">
        <v>74</v>
      </c>
      <c r="BC1622" t="s">
        <v>74</v>
      </c>
      <c r="BD1622" t="s">
        <v>22005</v>
      </c>
      <c r="BE1622" t="s">
        <v>22006</v>
      </c>
      <c r="BF1622" t="str">
        <f>HYPERLINK("http://dx.doi.org/10.1128/mSystems.01175-20","http://dx.doi.org/10.1128/mSystems.01175-20")</f>
        <v>http://dx.doi.org/10.1128/mSystems.01175-20</v>
      </c>
      <c r="BG1622" t="s">
        <v>74</v>
      </c>
      <c r="BH1622" t="s">
        <v>74</v>
      </c>
      <c r="BI1622" t="s">
        <v>74</v>
      </c>
      <c r="BJ1622" t="s">
        <v>898</v>
      </c>
      <c r="BK1622" t="s">
        <v>117</v>
      </c>
      <c r="BL1622" t="s">
        <v>898</v>
      </c>
      <c r="BM1622" t="s">
        <v>74</v>
      </c>
      <c r="BN1622">
        <v>33436517</v>
      </c>
      <c r="BO1622" t="s">
        <v>74</v>
      </c>
      <c r="BP1622" t="s">
        <v>74</v>
      </c>
      <c r="BQ1622" t="s">
        <v>74</v>
      </c>
      <c r="BR1622" t="s">
        <v>96</v>
      </c>
      <c r="BS1622" t="s">
        <v>22007</v>
      </c>
      <c r="BT1622" t="str">
        <f>HYPERLINK("https%3A%2F%2Fwww.webofscience.com%2Fwos%2Fwoscc%2Ffull-record%2FWOS:000608439400008","View Full Record in Web of Science")</f>
        <v>View Full Record in Web of Science</v>
      </c>
    </row>
    <row r="1623" spans="1:72" x14ac:dyDescent="0.15">
      <c r="A1623" t="s">
        <v>98</v>
      </c>
      <c r="B1623" t="s">
        <v>23316</v>
      </c>
      <c r="C1623" t="s">
        <v>74</v>
      </c>
      <c r="D1623" t="s">
        <v>74</v>
      </c>
      <c r="E1623" t="s">
        <v>74</v>
      </c>
      <c r="F1623" t="s">
        <v>23317</v>
      </c>
      <c r="G1623" t="s">
        <v>74</v>
      </c>
      <c r="H1623" t="s">
        <v>74</v>
      </c>
      <c r="I1623" t="s">
        <v>23318</v>
      </c>
      <c r="J1623" t="s">
        <v>658</v>
      </c>
      <c r="K1623" t="s">
        <v>74</v>
      </c>
      <c r="L1623" t="s">
        <v>74</v>
      </c>
      <c r="M1623" t="s">
        <v>74</v>
      </c>
      <c r="N1623" t="s">
        <v>103</v>
      </c>
      <c r="O1623" t="s">
        <v>74</v>
      </c>
      <c r="P1623" t="s">
        <v>74</v>
      </c>
      <c r="Q1623" t="s">
        <v>74</v>
      </c>
      <c r="R1623" t="s">
        <v>74</v>
      </c>
      <c r="S1623" t="s">
        <v>74</v>
      </c>
      <c r="T1623" t="s">
        <v>23319</v>
      </c>
      <c r="U1623" t="s">
        <v>23320</v>
      </c>
      <c r="V1623" t="s">
        <v>23321</v>
      </c>
      <c r="W1623" t="s">
        <v>23322</v>
      </c>
      <c r="X1623" t="s">
        <v>23323</v>
      </c>
      <c r="Y1623" t="s">
        <v>23324</v>
      </c>
      <c r="Z1623" t="s">
        <v>23325</v>
      </c>
      <c r="AA1623" t="s">
        <v>74</v>
      </c>
      <c r="AB1623" t="s">
        <v>23326</v>
      </c>
      <c r="AC1623" t="s">
        <v>74</v>
      </c>
      <c r="AD1623" t="s">
        <v>74</v>
      </c>
      <c r="AE1623" t="s">
        <v>74</v>
      </c>
      <c r="AF1623" t="s">
        <v>74</v>
      </c>
      <c r="AG1623">
        <v>56</v>
      </c>
      <c r="AH1623">
        <v>3</v>
      </c>
      <c r="AI1623">
        <v>3</v>
      </c>
      <c r="AJ1623">
        <v>1</v>
      </c>
      <c r="AK1623">
        <v>5</v>
      </c>
      <c r="AL1623" t="s">
        <v>74</v>
      </c>
      <c r="AM1623" t="s">
        <v>74</v>
      </c>
      <c r="AN1623" t="s">
        <v>74</v>
      </c>
      <c r="AO1623" t="s">
        <v>668</v>
      </c>
      <c r="AP1623" t="s">
        <v>74</v>
      </c>
      <c r="AQ1623" t="s">
        <v>74</v>
      </c>
      <c r="AR1623" t="s">
        <v>74</v>
      </c>
      <c r="AS1623" t="s">
        <v>74</v>
      </c>
      <c r="AT1623" t="s">
        <v>9936</v>
      </c>
      <c r="AU1623">
        <v>2021</v>
      </c>
      <c r="AV1623">
        <v>118</v>
      </c>
      <c r="AW1623">
        <v>42</v>
      </c>
      <c r="AX1623" t="s">
        <v>74</v>
      </c>
      <c r="AY1623" t="s">
        <v>74</v>
      </c>
      <c r="AZ1623" t="s">
        <v>74</v>
      </c>
      <c r="BA1623" t="s">
        <v>74</v>
      </c>
      <c r="BB1623" t="s">
        <v>74</v>
      </c>
      <c r="BC1623" t="s">
        <v>74</v>
      </c>
      <c r="BD1623" t="s">
        <v>23327</v>
      </c>
      <c r="BE1623" t="s">
        <v>23328</v>
      </c>
      <c r="BF1623" t="str">
        <f>HYPERLINK("http://dx.doi.org/10.1073/pnas.2107900118","http://dx.doi.org/10.1073/pnas.2107900118")</f>
        <v>http://dx.doi.org/10.1073/pnas.2107900118</v>
      </c>
      <c r="BG1623" t="s">
        <v>74</v>
      </c>
      <c r="BH1623" t="s">
        <v>74</v>
      </c>
      <c r="BI1623" t="s">
        <v>74</v>
      </c>
      <c r="BJ1623" t="s">
        <v>152</v>
      </c>
      <c r="BK1623" t="s">
        <v>117</v>
      </c>
      <c r="BL1623" t="s">
        <v>153</v>
      </c>
      <c r="BM1623" t="s">
        <v>74</v>
      </c>
      <c r="BN1623">
        <v>34649994</v>
      </c>
      <c r="BO1623" t="s">
        <v>74</v>
      </c>
      <c r="BP1623" t="s">
        <v>74</v>
      </c>
      <c r="BQ1623" t="s">
        <v>74</v>
      </c>
      <c r="BR1623" t="s">
        <v>96</v>
      </c>
      <c r="BS1623" t="s">
        <v>23329</v>
      </c>
      <c r="BT1623" t="str">
        <f>HYPERLINK("https%3A%2F%2Fwww.webofscience.com%2Fwos%2Fwoscc%2Ffull-record%2FWOS:000710710200001","View Full Record in Web of Science")</f>
        <v>View Full Record in Web of Science</v>
      </c>
    </row>
    <row r="1624" spans="1:72" x14ac:dyDescent="0.15">
      <c r="A1624" t="s">
        <v>98</v>
      </c>
      <c r="B1624" t="s">
        <v>24203</v>
      </c>
      <c r="C1624" t="s">
        <v>74</v>
      </c>
      <c r="D1624" t="s">
        <v>74</v>
      </c>
      <c r="E1624" t="s">
        <v>74</v>
      </c>
      <c r="F1624" t="s">
        <v>24204</v>
      </c>
      <c r="G1624" t="s">
        <v>74</v>
      </c>
      <c r="H1624" t="s">
        <v>74</v>
      </c>
      <c r="I1624" t="s">
        <v>24205</v>
      </c>
      <c r="J1624" t="s">
        <v>13317</v>
      </c>
      <c r="K1624" t="s">
        <v>74</v>
      </c>
      <c r="L1624" t="s">
        <v>74</v>
      </c>
      <c r="M1624" t="s">
        <v>74</v>
      </c>
      <c r="N1624" t="s">
        <v>103</v>
      </c>
      <c r="O1624" t="s">
        <v>74</v>
      </c>
      <c r="P1624" t="s">
        <v>74</v>
      </c>
      <c r="Q1624" t="s">
        <v>74</v>
      </c>
      <c r="R1624" t="s">
        <v>74</v>
      </c>
      <c r="S1624" t="s">
        <v>74</v>
      </c>
      <c r="T1624" t="s">
        <v>24206</v>
      </c>
      <c r="U1624" t="s">
        <v>24207</v>
      </c>
      <c r="V1624" t="s">
        <v>24208</v>
      </c>
      <c r="W1624" t="s">
        <v>24209</v>
      </c>
      <c r="X1624" t="s">
        <v>24210</v>
      </c>
      <c r="Y1624" t="s">
        <v>24211</v>
      </c>
      <c r="Z1624" t="s">
        <v>24212</v>
      </c>
      <c r="AA1624" t="s">
        <v>24213</v>
      </c>
      <c r="AB1624" t="s">
        <v>24214</v>
      </c>
      <c r="AC1624" t="s">
        <v>74</v>
      </c>
      <c r="AD1624" t="s">
        <v>74</v>
      </c>
      <c r="AE1624" t="s">
        <v>74</v>
      </c>
      <c r="AF1624" t="s">
        <v>74</v>
      </c>
      <c r="AG1624">
        <v>65</v>
      </c>
      <c r="AH1624">
        <v>3</v>
      </c>
      <c r="AI1624">
        <v>4</v>
      </c>
      <c r="AJ1624">
        <v>0</v>
      </c>
      <c r="AK1624">
        <v>5</v>
      </c>
      <c r="AL1624" t="s">
        <v>74</v>
      </c>
      <c r="AM1624" t="s">
        <v>74</v>
      </c>
      <c r="AN1624" t="s">
        <v>74</v>
      </c>
      <c r="AO1624" t="s">
        <v>13325</v>
      </c>
      <c r="AP1624" t="s">
        <v>21344</v>
      </c>
      <c r="AQ1624" t="s">
        <v>74</v>
      </c>
      <c r="AR1624" t="s">
        <v>74</v>
      </c>
      <c r="AS1624" t="s">
        <v>74</v>
      </c>
      <c r="AT1624" t="s">
        <v>614</v>
      </c>
      <c r="AU1624">
        <v>2019</v>
      </c>
      <c r="AV1624">
        <v>366</v>
      </c>
      <c r="AW1624">
        <v>14</v>
      </c>
      <c r="AX1624" t="s">
        <v>74</v>
      </c>
      <c r="AY1624" t="s">
        <v>74</v>
      </c>
      <c r="AZ1624" t="s">
        <v>74</v>
      </c>
      <c r="BA1624" t="s">
        <v>74</v>
      </c>
      <c r="BB1624" t="s">
        <v>74</v>
      </c>
      <c r="BC1624" t="s">
        <v>74</v>
      </c>
      <c r="BD1624" t="s">
        <v>24215</v>
      </c>
      <c r="BE1624" t="s">
        <v>24216</v>
      </c>
      <c r="BF1624" t="str">
        <f>HYPERLINK("http://dx.doi.org/10.1093/femsle/fnz177","http://dx.doi.org/10.1093/femsle/fnz177")</f>
        <v>http://dx.doi.org/10.1093/femsle/fnz177</v>
      </c>
      <c r="BG1624" t="s">
        <v>74</v>
      </c>
      <c r="BH1624" t="s">
        <v>74</v>
      </c>
      <c r="BI1624" t="s">
        <v>74</v>
      </c>
      <c r="BJ1624" t="s">
        <v>898</v>
      </c>
      <c r="BK1624" t="s">
        <v>117</v>
      </c>
      <c r="BL1624" t="s">
        <v>898</v>
      </c>
      <c r="BM1624" t="s">
        <v>74</v>
      </c>
      <c r="BN1624">
        <v>31397847</v>
      </c>
      <c r="BO1624" t="s">
        <v>74</v>
      </c>
      <c r="BP1624" t="s">
        <v>74</v>
      </c>
      <c r="BQ1624" t="s">
        <v>74</v>
      </c>
      <c r="BR1624" t="s">
        <v>96</v>
      </c>
      <c r="BS1624" t="s">
        <v>24217</v>
      </c>
      <c r="BT1624" t="str">
        <f>HYPERLINK("https%3A%2F%2Fwww.webofscience.com%2Fwos%2Fwoscc%2Ffull-record%2FWOS:000493066300011","View Full Record in Web of Science")</f>
        <v>View Full Record in Web of Science</v>
      </c>
    </row>
    <row r="1625" spans="1:72" x14ac:dyDescent="0.15">
      <c r="A1625" t="s">
        <v>98</v>
      </c>
      <c r="B1625" t="s">
        <v>24500</v>
      </c>
      <c r="C1625" t="s">
        <v>74</v>
      </c>
      <c r="D1625" t="s">
        <v>74</v>
      </c>
      <c r="E1625" t="s">
        <v>74</v>
      </c>
      <c r="F1625" t="s">
        <v>24501</v>
      </c>
      <c r="G1625" t="s">
        <v>74</v>
      </c>
      <c r="H1625" t="s">
        <v>74</v>
      </c>
      <c r="I1625" t="s">
        <v>24502</v>
      </c>
      <c r="J1625" t="s">
        <v>24503</v>
      </c>
      <c r="K1625" t="s">
        <v>74</v>
      </c>
      <c r="L1625" t="s">
        <v>74</v>
      </c>
      <c r="M1625" t="s">
        <v>74</v>
      </c>
      <c r="N1625" t="s">
        <v>103</v>
      </c>
      <c r="O1625" t="s">
        <v>74</v>
      </c>
      <c r="P1625" t="s">
        <v>74</v>
      </c>
      <c r="Q1625" t="s">
        <v>74</v>
      </c>
      <c r="R1625" t="s">
        <v>74</v>
      </c>
      <c r="S1625" t="s">
        <v>74</v>
      </c>
      <c r="T1625" t="s">
        <v>24504</v>
      </c>
      <c r="U1625" t="s">
        <v>24505</v>
      </c>
      <c r="V1625" t="s">
        <v>24506</v>
      </c>
      <c r="W1625" t="s">
        <v>24507</v>
      </c>
      <c r="X1625" t="s">
        <v>24508</v>
      </c>
      <c r="Y1625" t="s">
        <v>24509</v>
      </c>
      <c r="Z1625" t="s">
        <v>24510</v>
      </c>
      <c r="AA1625" t="s">
        <v>24511</v>
      </c>
      <c r="AB1625" t="s">
        <v>24512</v>
      </c>
      <c r="AC1625" t="s">
        <v>74</v>
      </c>
      <c r="AD1625" t="s">
        <v>74</v>
      </c>
      <c r="AE1625" t="s">
        <v>74</v>
      </c>
      <c r="AF1625" t="s">
        <v>74</v>
      </c>
      <c r="AG1625">
        <v>28</v>
      </c>
      <c r="AH1625">
        <v>3</v>
      </c>
      <c r="AI1625">
        <v>3</v>
      </c>
      <c r="AJ1625">
        <v>0</v>
      </c>
      <c r="AK1625">
        <v>5</v>
      </c>
      <c r="AL1625" t="s">
        <v>74</v>
      </c>
      <c r="AM1625" t="s">
        <v>74</v>
      </c>
      <c r="AN1625" t="s">
        <v>74</v>
      </c>
      <c r="AO1625" t="s">
        <v>24513</v>
      </c>
      <c r="AP1625" t="s">
        <v>24514</v>
      </c>
      <c r="AQ1625" t="s">
        <v>74</v>
      </c>
      <c r="AR1625" t="s">
        <v>74</v>
      </c>
      <c r="AS1625" t="s">
        <v>74</v>
      </c>
      <c r="AT1625" t="s">
        <v>6360</v>
      </c>
      <c r="AU1625">
        <v>2018</v>
      </c>
      <c r="AV1625">
        <v>66</v>
      </c>
      <c r="AW1625">
        <v>5</v>
      </c>
      <c r="AX1625" t="s">
        <v>74</v>
      </c>
      <c r="AY1625" t="s">
        <v>74</v>
      </c>
      <c r="AZ1625" t="s">
        <v>74</v>
      </c>
      <c r="BA1625" t="s">
        <v>74</v>
      </c>
      <c r="BB1625">
        <v>853</v>
      </c>
      <c r="BC1625">
        <v>860</v>
      </c>
      <c r="BD1625" t="s">
        <v>74</v>
      </c>
      <c r="BE1625" t="s">
        <v>24515</v>
      </c>
      <c r="BF1625" t="str">
        <f>HYPERLINK("http://dx.doi.org/10.31925/farmacia.2018.5.16","http://dx.doi.org/10.31925/farmacia.2018.5.16")</f>
        <v>http://dx.doi.org/10.31925/farmacia.2018.5.16</v>
      </c>
      <c r="BG1625" t="s">
        <v>74</v>
      </c>
      <c r="BH1625" t="s">
        <v>74</v>
      </c>
      <c r="BI1625" t="s">
        <v>74</v>
      </c>
      <c r="BJ1625" t="s">
        <v>533</v>
      </c>
      <c r="BK1625" t="s">
        <v>117</v>
      </c>
      <c r="BL1625" t="s">
        <v>533</v>
      </c>
      <c r="BM1625" t="s">
        <v>74</v>
      </c>
      <c r="BN1625" t="s">
        <v>74</v>
      </c>
      <c r="BO1625" t="s">
        <v>74</v>
      </c>
      <c r="BP1625" t="s">
        <v>74</v>
      </c>
      <c r="BQ1625" t="s">
        <v>74</v>
      </c>
      <c r="BR1625" t="s">
        <v>96</v>
      </c>
      <c r="BS1625" t="s">
        <v>24516</v>
      </c>
      <c r="BT1625" t="str">
        <f>HYPERLINK("https%3A%2F%2Fwww.webofscience.com%2Fwos%2Fwoscc%2Ffull-record%2FWOS:000447181100016","View Full Record in Web of Science")</f>
        <v>View Full Record in Web of Science</v>
      </c>
    </row>
    <row r="1626" spans="1:72" x14ac:dyDescent="0.15">
      <c r="A1626" t="s">
        <v>98</v>
      </c>
      <c r="B1626" t="s">
        <v>24764</v>
      </c>
      <c r="C1626" t="s">
        <v>74</v>
      </c>
      <c r="D1626" t="s">
        <v>74</v>
      </c>
      <c r="E1626" t="s">
        <v>74</v>
      </c>
      <c r="F1626" t="s">
        <v>24765</v>
      </c>
      <c r="G1626" t="s">
        <v>74</v>
      </c>
      <c r="H1626" t="s">
        <v>74</v>
      </c>
      <c r="I1626" t="s">
        <v>24766</v>
      </c>
      <c r="J1626" t="s">
        <v>24767</v>
      </c>
      <c r="K1626" t="s">
        <v>74</v>
      </c>
      <c r="L1626" t="s">
        <v>74</v>
      </c>
      <c r="M1626" t="s">
        <v>74</v>
      </c>
      <c r="N1626" t="s">
        <v>103</v>
      </c>
      <c r="O1626" t="s">
        <v>74</v>
      </c>
      <c r="P1626" t="s">
        <v>74</v>
      </c>
      <c r="Q1626" t="s">
        <v>74</v>
      </c>
      <c r="R1626" t="s">
        <v>74</v>
      </c>
      <c r="S1626" t="s">
        <v>74</v>
      </c>
      <c r="T1626" t="s">
        <v>24768</v>
      </c>
      <c r="U1626" t="s">
        <v>24769</v>
      </c>
      <c r="V1626" t="s">
        <v>24770</v>
      </c>
      <c r="W1626" t="s">
        <v>24771</v>
      </c>
      <c r="X1626" t="s">
        <v>24772</v>
      </c>
      <c r="Y1626" t="s">
        <v>24773</v>
      </c>
      <c r="Z1626" t="s">
        <v>24774</v>
      </c>
      <c r="AA1626" t="s">
        <v>74</v>
      </c>
      <c r="AB1626" t="s">
        <v>74</v>
      </c>
      <c r="AC1626" t="s">
        <v>74</v>
      </c>
      <c r="AD1626" t="s">
        <v>74</v>
      </c>
      <c r="AE1626" t="s">
        <v>74</v>
      </c>
      <c r="AF1626" t="s">
        <v>74</v>
      </c>
      <c r="AG1626">
        <v>32</v>
      </c>
      <c r="AH1626">
        <v>3</v>
      </c>
      <c r="AI1626">
        <v>3</v>
      </c>
      <c r="AJ1626">
        <v>1</v>
      </c>
      <c r="AK1626">
        <v>36</v>
      </c>
      <c r="AL1626" t="s">
        <v>74</v>
      </c>
      <c r="AM1626" t="s">
        <v>74</v>
      </c>
      <c r="AN1626" t="s">
        <v>74</v>
      </c>
      <c r="AO1626" t="s">
        <v>24775</v>
      </c>
      <c r="AP1626" t="s">
        <v>24776</v>
      </c>
      <c r="AQ1626" t="s">
        <v>74</v>
      </c>
      <c r="AR1626" t="s">
        <v>74</v>
      </c>
      <c r="AS1626" t="s">
        <v>74</v>
      </c>
      <c r="AT1626" t="s">
        <v>170</v>
      </c>
      <c r="AU1626">
        <v>2014</v>
      </c>
      <c r="AV1626">
        <v>29</v>
      </c>
      <c r="AW1626">
        <v>3</v>
      </c>
      <c r="AX1626" t="s">
        <v>74</v>
      </c>
      <c r="AY1626" t="s">
        <v>74</v>
      </c>
      <c r="AZ1626" t="s">
        <v>74</v>
      </c>
      <c r="BA1626" t="s">
        <v>74</v>
      </c>
      <c r="BB1626">
        <v>635</v>
      </c>
      <c r="BC1626">
        <v>642</v>
      </c>
      <c r="BD1626" t="s">
        <v>74</v>
      </c>
      <c r="BE1626" t="s">
        <v>24777</v>
      </c>
      <c r="BF1626" t="str">
        <f>HYPERLINK("http://dx.doi.org/10.1007/s11595-014-0970-z","http://dx.doi.org/10.1007/s11595-014-0970-z")</f>
        <v>http://dx.doi.org/10.1007/s11595-014-0970-z</v>
      </c>
      <c r="BG1626" t="s">
        <v>74</v>
      </c>
      <c r="BH1626" t="s">
        <v>74</v>
      </c>
      <c r="BI1626" t="s">
        <v>74</v>
      </c>
      <c r="BJ1626" t="s">
        <v>9772</v>
      </c>
      <c r="BK1626" t="s">
        <v>117</v>
      </c>
      <c r="BL1626" t="s">
        <v>3946</v>
      </c>
      <c r="BM1626" t="s">
        <v>74</v>
      </c>
      <c r="BN1626" t="s">
        <v>74</v>
      </c>
      <c r="BO1626" t="s">
        <v>74</v>
      </c>
      <c r="BP1626" t="s">
        <v>74</v>
      </c>
      <c r="BQ1626" t="s">
        <v>74</v>
      </c>
      <c r="BR1626" t="s">
        <v>96</v>
      </c>
      <c r="BS1626" t="s">
        <v>24778</v>
      </c>
      <c r="BT1626" t="str">
        <f>HYPERLINK("https%3A%2F%2Fwww.webofscience.com%2Fwos%2Fwoscc%2Ffull-record%2FWOS:000340854900039","View Full Record in Web of Science")</f>
        <v>View Full Record in Web of Science</v>
      </c>
    </row>
    <row r="1627" spans="1:72" x14ac:dyDescent="0.15">
      <c r="A1627" t="s">
        <v>72</v>
      </c>
      <c r="B1627" t="s">
        <v>25112</v>
      </c>
      <c r="C1627" t="s">
        <v>74</v>
      </c>
      <c r="D1627" t="s">
        <v>10966</v>
      </c>
      <c r="E1627" t="s">
        <v>74</v>
      </c>
      <c r="F1627" t="s">
        <v>25113</v>
      </c>
      <c r="G1627" t="s">
        <v>74</v>
      </c>
      <c r="H1627" t="s">
        <v>74</v>
      </c>
      <c r="I1627" t="s">
        <v>25114</v>
      </c>
      <c r="J1627" t="s">
        <v>10969</v>
      </c>
      <c r="K1627" t="s">
        <v>10970</v>
      </c>
      <c r="L1627" t="s">
        <v>74</v>
      </c>
      <c r="M1627" t="s">
        <v>74</v>
      </c>
      <c r="N1627" t="s">
        <v>80</v>
      </c>
      <c r="O1627" t="s">
        <v>74</v>
      </c>
      <c r="P1627" t="s">
        <v>74</v>
      </c>
      <c r="Q1627" t="s">
        <v>74</v>
      </c>
      <c r="R1627" t="s">
        <v>74</v>
      </c>
      <c r="S1627" t="s">
        <v>74</v>
      </c>
      <c r="T1627" t="s">
        <v>25115</v>
      </c>
      <c r="U1627" t="s">
        <v>25116</v>
      </c>
      <c r="V1627" t="s">
        <v>25117</v>
      </c>
      <c r="W1627" t="s">
        <v>25118</v>
      </c>
      <c r="X1627" t="s">
        <v>25119</v>
      </c>
      <c r="Y1627" t="s">
        <v>25120</v>
      </c>
      <c r="Z1627" t="s">
        <v>25121</v>
      </c>
      <c r="AA1627" t="s">
        <v>74</v>
      </c>
      <c r="AB1627" t="s">
        <v>74</v>
      </c>
      <c r="AC1627" t="s">
        <v>74</v>
      </c>
      <c r="AD1627" t="s">
        <v>74</v>
      </c>
      <c r="AE1627" t="s">
        <v>74</v>
      </c>
      <c r="AF1627" t="s">
        <v>74</v>
      </c>
      <c r="AG1627">
        <v>150</v>
      </c>
      <c r="AH1627">
        <v>3</v>
      </c>
      <c r="AI1627">
        <v>3</v>
      </c>
      <c r="AJ1627">
        <v>25</v>
      </c>
      <c r="AK1627">
        <v>43</v>
      </c>
      <c r="AL1627" t="s">
        <v>74</v>
      </c>
      <c r="AM1627" t="s">
        <v>74</v>
      </c>
      <c r="AN1627" t="s">
        <v>74</v>
      </c>
      <c r="AO1627" t="s">
        <v>10980</v>
      </c>
      <c r="AP1627" t="s">
        <v>10981</v>
      </c>
      <c r="AQ1627" t="s">
        <v>74</v>
      </c>
      <c r="AR1627" t="s">
        <v>74</v>
      </c>
      <c r="AS1627" t="s">
        <v>74</v>
      </c>
      <c r="AT1627" t="s">
        <v>74</v>
      </c>
      <c r="AU1627">
        <v>2021</v>
      </c>
      <c r="AV1627">
        <v>14</v>
      </c>
      <c r="AW1627" t="s">
        <v>74</v>
      </c>
      <c r="AX1627" t="s">
        <v>74</v>
      </c>
      <c r="AY1627" t="s">
        <v>74</v>
      </c>
      <c r="AZ1627" t="s">
        <v>74</v>
      </c>
      <c r="BA1627" t="s">
        <v>74</v>
      </c>
      <c r="BB1627">
        <v>231</v>
      </c>
      <c r="BC1627">
        <v>255</v>
      </c>
      <c r="BD1627" t="s">
        <v>74</v>
      </c>
      <c r="BE1627" t="s">
        <v>25122</v>
      </c>
      <c r="BF1627" t="str">
        <f>HYPERLINK("http://dx.doi.org/10.1146/annurev-anchem-091520-101759","http://dx.doi.org/10.1146/annurev-anchem-091520-101759")</f>
        <v>http://dx.doi.org/10.1146/annurev-anchem-091520-101759</v>
      </c>
      <c r="BG1627" t="s">
        <v>74</v>
      </c>
      <c r="BH1627" t="s">
        <v>74</v>
      </c>
      <c r="BI1627" t="s">
        <v>74</v>
      </c>
      <c r="BJ1627" t="s">
        <v>10983</v>
      </c>
      <c r="BK1627" t="s">
        <v>2960</v>
      </c>
      <c r="BL1627" t="s">
        <v>10984</v>
      </c>
      <c r="BM1627" t="s">
        <v>74</v>
      </c>
      <c r="BN1627">
        <v>33950741</v>
      </c>
      <c r="BO1627" t="s">
        <v>74</v>
      </c>
      <c r="BP1627" t="s">
        <v>74</v>
      </c>
      <c r="BQ1627" t="s">
        <v>74</v>
      </c>
      <c r="BR1627" t="s">
        <v>96</v>
      </c>
      <c r="BS1627" t="s">
        <v>25123</v>
      </c>
      <c r="BT1627" t="str">
        <f>HYPERLINK("https%3A%2F%2Fwww.webofscience.com%2Fwos%2Fwoscc%2Ffull-record%2FWOS:000684016900011","View Full Record in Web of Science")</f>
        <v>View Full Record in Web of Science</v>
      </c>
    </row>
    <row r="1628" spans="1:72" x14ac:dyDescent="0.15">
      <c r="A1628" t="s">
        <v>98</v>
      </c>
      <c r="B1628" t="s">
        <v>25178</v>
      </c>
      <c r="C1628" t="s">
        <v>74</v>
      </c>
      <c r="D1628" t="s">
        <v>74</v>
      </c>
      <c r="E1628" t="s">
        <v>74</v>
      </c>
      <c r="F1628" t="s">
        <v>25179</v>
      </c>
      <c r="G1628" t="s">
        <v>74</v>
      </c>
      <c r="H1628" t="s">
        <v>74</v>
      </c>
      <c r="I1628" t="s">
        <v>25180</v>
      </c>
      <c r="J1628" t="s">
        <v>4332</v>
      </c>
      <c r="K1628" t="s">
        <v>74</v>
      </c>
      <c r="L1628" t="s">
        <v>74</v>
      </c>
      <c r="M1628" t="s">
        <v>74</v>
      </c>
      <c r="N1628" t="s">
        <v>103</v>
      </c>
      <c r="O1628" t="s">
        <v>74</v>
      </c>
      <c r="P1628" t="s">
        <v>74</v>
      </c>
      <c r="Q1628" t="s">
        <v>74</v>
      </c>
      <c r="R1628" t="s">
        <v>74</v>
      </c>
      <c r="S1628" t="s">
        <v>74</v>
      </c>
      <c r="T1628" t="s">
        <v>25181</v>
      </c>
      <c r="U1628" t="s">
        <v>25182</v>
      </c>
      <c r="V1628" t="s">
        <v>25183</v>
      </c>
      <c r="W1628" t="s">
        <v>25184</v>
      </c>
      <c r="X1628" t="s">
        <v>25185</v>
      </c>
      <c r="Y1628" t="s">
        <v>25186</v>
      </c>
      <c r="Z1628" t="s">
        <v>25187</v>
      </c>
      <c r="AA1628" t="s">
        <v>74</v>
      </c>
      <c r="AB1628" t="s">
        <v>74</v>
      </c>
      <c r="AC1628" t="s">
        <v>74</v>
      </c>
      <c r="AD1628" t="s">
        <v>74</v>
      </c>
      <c r="AE1628" t="s">
        <v>74</v>
      </c>
      <c r="AF1628" t="s">
        <v>74</v>
      </c>
      <c r="AG1628">
        <v>40</v>
      </c>
      <c r="AH1628">
        <v>3</v>
      </c>
      <c r="AI1628">
        <v>3</v>
      </c>
      <c r="AJ1628">
        <v>2</v>
      </c>
      <c r="AK1628">
        <v>6</v>
      </c>
      <c r="AL1628" t="s">
        <v>74</v>
      </c>
      <c r="AM1628" t="s">
        <v>74</v>
      </c>
      <c r="AN1628" t="s">
        <v>74</v>
      </c>
      <c r="AO1628" t="s">
        <v>74</v>
      </c>
      <c r="AP1628" t="s">
        <v>4342</v>
      </c>
      <c r="AQ1628" t="s">
        <v>74</v>
      </c>
      <c r="AR1628" t="s">
        <v>74</v>
      </c>
      <c r="AS1628" t="s">
        <v>74</v>
      </c>
      <c r="AT1628" t="s">
        <v>3299</v>
      </c>
      <c r="AU1628">
        <v>2021</v>
      </c>
      <c r="AV1628">
        <v>40</v>
      </c>
      <c r="AW1628">
        <v>1</v>
      </c>
      <c r="AX1628" t="s">
        <v>74</v>
      </c>
      <c r="AY1628" t="s">
        <v>74</v>
      </c>
      <c r="AZ1628" t="s">
        <v>74</v>
      </c>
      <c r="BA1628" t="s">
        <v>74</v>
      </c>
      <c r="BB1628" t="s">
        <v>74</v>
      </c>
      <c r="BC1628" t="s">
        <v>74</v>
      </c>
      <c r="BD1628">
        <v>306</v>
      </c>
      <c r="BE1628" t="s">
        <v>25188</v>
      </c>
      <c r="BF1628" t="str">
        <f>HYPERLINK("http://dx.doi.org/10.1186/s13046-021-02084-5","http://dx.doi.org/10.1186/s13046-021-02084-5")</f>
        <v>http://dx.doi.org/10.1186/s13046-021-02084-5</v>
      </c>
      <c r="BG1628" t="s">
        <v>74</v>
      </c>
      <c r="BH1628" t="s">
        <v>74</v>
      </c>
      <c r="BI1628" t="s">
        <v>74</v>
      </c>
      <c r="BJ1628" t="s">
        <v>267</v>
      </c>
      <c r="BK1628" t="s">
        <v>117</v>
      </c>
      <c r="BL1628" t="s">
        <v>267</v>
      </c>
      <c r="BM1628" t="s">
        <v>74</v>
      </c>
      <c r="BN1628">
        <v>34587992</v>
      </c>
      <c r="BO1628" t="s">
        <v>74</v>
      </c>
      <c r="BP1628" t="s">
        <v>74</v>
      </c>
      <c r="BQ1628" t="s">
        <v>74</v>
      </c>
      <c r="BR1628" t="s">
        <v>96</v>
      </c>
      <c r="BS1628" t="s">
        <v>25189</v>
      </c>
      <c r="BT1628" t="str">
        <f>HYPERLINK("https%3A%2F%2Fwww.webofscience.com%2Fwos%2Fwoscc%2Ffull-record%2FWOS:000701794900001","View Full Record in Web of Science")</f>
        <v>View Full Record in Web of Science</v>
      </c>
    </row>
    <row r="1629" spans="1:72" x14ac:dyDescent="0.15">
      <c r="A1629" t="s">
        <v>98</v>
      </c>
      <c r="B1629" t="s">
        <v>25190</v>
      </c>
      <c r="C1629" t="s">
        <v>74</v>
      </c>
      <c r="D1629" t="s">
        <v>74</v>
      </c>
      <c r="E1629" t="s">
        <v>74</v>
      </c>
      <c r="F1629" t="s">
        <v>25191</v>
      </c>
      <c r="G1629" t="s">
        <v>74</v>
      </c>
      <c r="H1629" t="s">
        <v>74</v>
      </c>
      <c r="I1629" t="s">
        <v>25192</v>
      </c>
      <c r="J1629" t="s">
        <v>1562</v>
      </c>
      <c r="K1629" t="s">
        <v>74</v>
      </c>
      <c r="L1629" t="s">
        <v>74</v>
      </c>
      <c r="M1629" t="s">
        <v>74</v>
      </c>
      <c r="N1629" t="s">
        <v>103</v>
      </c>
      <c r="O1629" t="s">
        <v>74</v>
      </c>
      <c r="P1629" t="s">
        <v>74</v>
      </c>
      <c r="Q1629" t="s">
        <v>74</v>
      </c>
      <c r="R1629" t="s">
        <v>74</v>
      </c>
      <c r="S1629" t="s">
        <v>74</v>
      </c>
      <c r="T1629" t="s">
        <v>74</v>
      </c>
      <c r="U1629" t="s">
        <v>25193</v>
      </c>
      <c r="V1629" t="s">
        <v>25194</v>
      </c>
      <c r="W1629" t="s">
        <v>25195</v>
      </c>
      <c r="X1629" t="s">
        <v>25196</v>
      </c>
      <c r="Y1629" t="s">
        <v>25197</v>
      </c>
      <c r="Z1629" t="s">
        <v>25198</v>
      </c>
      <c r="AA1629" t="s">
        <v>25199</v>
      </c>
      <c r="AB1629" t="s">
        <v>25200</v>
      </c>
      <c r="AC1629" t="s">
        <v>74</v>
      </c>
      <c r="AD1629" t="s">
        <v>74</v>
      </c>
      <c r="AE1629" t="s">
        <v>74</v>
      </c>
      <c r="AF1629" t="s">
        <v>74</v>
      </c>
      <c r="AG1629">
        <v>96</v>
      </c>
      <c r="AH1629">
        <v>3</v>
      </c>
      <c r="AI1629">
        <v>3</v>
      </c>
      <c r="AJ1629">
        <v>2</v>
      </c>
      <c r="AK1629">
        <v>6</v>
      </c>
      <c r="AL1629" t="s">
        <v>74</v>
      </c>
      <c r="AM1629" t="s">
        <v>74</v>
      </c>
      <c r="AN1629" t="s">
        <v>74</v>
      </c>
      <c r="AO1629" t="s">
        <v>1569</v>
      </c>
      <c r="AP1629" t="s">
        <v>74</v>
      </c>
      <c r="AQ1629" t="s">
        <v>74</v>
      </c>
      <c r="AR1629" t="s">
        <v>74</v>
      </c>
      <c r="AS1629" t="s">
        <v>74</v>
      </c>
      <c r="AT1629" t="s">
        <v>21220</v>
      </c>
      <c r="AU1629">
        <v>2021</v>
      </c>
      <c r="AV1629">
        <v>37</v>
      </c>
      <c r="AW1629">
        <v>1</v>
      </c>
      <c r="AX1629" t="s">
        <v>74</v>
      </c>
      <c r="AY1629" t="s">
        <v>74</v>
      </c>
      <c r="AZ1629" t="s">
        <v>74</v>
      </c>
      <c r="BA1629" t="s">
        <v>74</v>
      </c>
      <c r="BB1629" t="s">
        <v>74</v>
      </c>
      <c r="BC1629" t="s">
        <v>74</v>
      </c>
      <c r="BD1629">
        <v>109787</v>
      </c>
      <c r="BE1629" t="s">
        <v>25201</v>
      </c>
      <c r="BF1629" t="str">
        <f>HYPERLINK("http://dx.doi.org/10.1016/j.celrep.2021.109787","http://dx.doi.org/10.1016/j.celrep.2021.109787")</f>
        <v>http://dx.doi.org/10.1016/j.celrep.2021.109787</v>
      </c>
      <c r="BG1629" t="s">
        <v>74</v>
      </c>
      <c r="BH1629" t="s">
        <v>1967</v>
      </c>
      <c r="BI1629" t="s">
        <v>74</v>
      </c>
      <c r="BJ1629" t="s">
        <v>135</v>
      </c>
      <c r="BK1629" t="s">
        <v>117</v>
      </c>
      <c r="BL1629" t="s">
        <v>135</v>
      </c>
      <c r="BM1629" t="s">
        <v>74</v>
      </c>
      <c r="BN1629">
        <v>34610313</v>
      </c>
      <c r="BO1629" t="s">
        <v>74</v>
      </c>
      <c r="BP1629" t="s">
        <v>74</v>
      </c>
      <c r="BQ1629" t="s">
        <v>74</v>
      </c>
      <c r="BR1629" t="s">
        <v>96</v>
      </c>
      <c r="BS1629" t="s">
        <v>25202</v>
      </c>
      <c r="BT1629" t="str">
        <f>HYPERLINK("https%3A%2F%2Fwww.webofscience.com%2Fwos%2Fwoscc%2Ffull-record%2FWOS:000704665900017","View Full Record in Web of Science")</f>
        <v>View Full Record in Web of Science</v>
      </c>
    </row>
    <row r="1630" spans="1:72" x14ac:dyDescent="0.15">
      <c r="A1630" t="s">
        <v>98</v>
      </c>
      <c r="B1630" t="s">
        <v>25563</v>
      </c>
      <c r="C1630" t="s">
        <v>74</v>
      </c>
      <c r="D1630" t="s">
        <v>74</v>
      </c>
      <c r="E1630" t="s">
        <v>74</v>
      </c>
      <c r="F1630" t="s">
        <v>25564</v>
      </c>
      <c r="G1630" t="s">
        <v>74</v>
      </c>
      <c r="H1630" t="s">
        <v>74</v>
      </c>
      <c r="I1630" t="s">
        <v>25565</v>
      </c>
      <c r="J1630" t="s">
        <v>3669</v>
      </c>
      <c r="K1630" t="s">
        <v>74</v>
      </c>
      <c r="L1630" t="s">
        <v>74</v>
      </c>
      <c r="M1630" t="s">
        <v>74</v>
      </c>
      <c r="N1630" t="s">
        <v>103</v>
      </c>
      <c r="O1630" t="s">
        <v>74</v>
      </c>
      <c r="P1630" t="s">
        <v>74</v>
      </c>
      <c r="Q1630" t="s">
        <v>74</v>
      </c>
      <c r="R1630" t="s">
        <v>74</v>
      </c>
      <c r="S1630" t="s">
        <v>74</v>
      </c>
      <c r="T1630" t="s">
        <v>25566</v>
      </c>
      <c r="U1630" t="s">
        <v>25567</v>
      </c>
      <c r="V1630" t="s">
        <v>25568</v>
      </c>
      <c r="W1630" t="s">
        <v>25569</v>
      </c>
      <c r="X1630" t="s">
        <v>25570</v>
      </c>
      <c r="Y1630" t="s">
        <v>25571</v>
      </c>
      <c r="Z1630" t="s">
        <v>25572</v>
      </c>
      <c r="AA1630" t="s">
        <v>74</v>
      </c>
      <c r="AB1630" t="s">
        <v>74</v>
      </c>
      <c r="AC1630" t="s">
        <v>74</v>
      </c>
      <c r="AD1630" t="s">
        <v>74</v>
      </c>
      <c r="AE1630" t="s">
        <v>74</v>
      </c>
      <c r="AF1630" t="s">
        <v>74</v>
      </c>
      <c r="AG1630">
        <v>34</v>
      </c>
      <c r="AH1630">
        <v>3</v>
      </c>
      <c r="AI1630">
        <v>3</v>
      </c>
      <c r="AJ1630">
        <v>1</v>
      </c>
      <c r="AK1630">
        <v>8</v>
      </c>
      <c r="AL1630" t="s">
        <v>74</v>
      </c>
      <c r="AM1630" t="s">
        <v>74</v>
      </c>
      <c r="AN1630" t="s">
        <v>74</v>
      </c>
      <c r="AO1630" t="s">
        <v>3677</v>
      </c>
      <c r="AP1630" t="s">
        <v>3678</v>
      </c>
      <c r="AQ1630" t="s">
        <v>74</v>
      </c>
      <c r="AR1630" t="s">
        <v>74</v>
      </c>
      <c r="AS1630" t="s">
        <v>74</v>
      </c>
      <c r="AT1630" t="s">
        <v>132</v>
      </c>
      <c r="AU1630">
        <v>2020</v>
      </c>
      <c r="AV1630">
        <v>9</v>
      </c>
      <c r="AW1630">
        <v>4</v>
      </c>
      <c r="AX1630" t="s">
        <v>74</v>
      </c>
      <c r="AY1630" t="s">
        <v>74</v>
      </c>
      <c r="AZ1630" t="s">
        <v>74</v>
      </c>
      <c r="BA1630" t="s">
        <v>74</v>
      </c>
      <c r="BB1630">
        <v>2576</v>
      </c>
      <c r="BC1630" t="s">
        <v>3390</v>
      </c>
      <c r="BD1630" t="s">
        <v>74</v>
      </c>
      <c r="BE1630" t="s">
        <v>25573</v>
      </c>
      <c r="BF1630" t="str">
        <f>HYPERLINK("http://dx.doi.org/10.21037/tcr.2020.02.68","http://dx.doi.org/10.21037/tcr.2020.02.68")</f>
        <v>http://dx.doi.org/10.21037/tcr.2020.02.68</v>
      </c>
      <c r="BG1630" t="s">
        <v>74</v>
      </c>
      <c r="BH1630" t="s">
        <v>74</v>
      </c>
      <c r="BI1630" t="s">
        <v>74</v>
      </c>
      <c r="BJ1630" t="s">
        <v>267</v>
      </c>
      <c r="BK1630" t="s">
        <v>117</v>
      </c>
      <c r="BL1630" t="s">
        <v>267</v>
      </c>
      <c r="BM1630" t="s">
        <v>74</v>
      </c>
      <c r="BN1630">
        <v>35117617</v>
      </c>
      <c r="BO1630" t="s">
        <v>74</v>
      </c>
      <c r="BP1630" t="s">
        <v>74</v>
      </c>
      <c r="BQ1630" t="s">
        <v>74</v>
      </c>
      <c r="BR1630" t="s">
        <v>96</v>
      </c>
      <c r="BS1630" t="s">
        <v>25574</v>
      </c>
      <c r="BT1630" t="str">
        <f>HYPERLINK("https%3A%2F%2Fwww.webofscience.com%2Fwos%2Fwoscc%2Ffull-record%2FWOS:000530914200046","View Full Record in Web of Science")</f>
        <v>View Full Record in Web of Science</v>
      </c>
    </row>
    <row r="1631" spans="1:72" x14ac:dyDescent="0.15">
      <c r="A1631" t="s">
        <v>98</v>
      </c>
      <c r="B1631" t="s">
        <v>26228</v>
      </c>
      <c r="C1631" t="s">
        <v>74</v>
      </c>
      <c r="D1631" t="s">
        <v>74</v>
      </c>
      <c r="E1631" t="s">
        <v>74</v>
      </c>
      <c r="F1631" t="s">
        <v>26229</v>
      </c>
      <c r="G1631" t="s">
        <v>74</v>
      </c>
      <c r="H1631" t="s">
        <v>74</v>
      </c>
      <c r="I1631" t="s">
        <v>26230</v>
      </c>
      <c r="J1631" t="s">
        <v>26231</v>
      </c>
      <c r="K1631" t="s">
        <v>74</v>
      </c>
      <c r="L1631" t="s">
        <v>74</v>
      </c>
      <c r="M1631" t="s">
        <v>74</v>
      </c>
      <c r="N1631" t="s">
        <v>103</v>
      </c>
      <c r="O1631" t="s">
        <v>74</v>
      </c>
      <c r="P1631" t="s">
        <v>74</v>
      </c>
      <c r="Q1631" t="s">
        <v>74</v>
      </c>
      <c r="R1631" t="s">
        <v>74</v>
      </c>
      <c r="S1631" t="s">
        <v>74</v>
      </c>
      <c r="T1631" t="s">
        <v>26232</v>
      </c>
      <c r="U1631" t="s">
        <v>26233</v>
      </c>
      <c r="V1631" t="s">
        <v>26234</v>
      </c>
      <c r="W1631" t="s">
        <v>26235</v>
      </c>
      <c r="X1631" t="s">
        <v>26236</v>
      </c>
      <c r="Y1631" t="s">
        <v>26237</v>
      </c>
      <c r="Z1631" t="s">
        <v>26238</v>
      </c>
      <c r="AA1631" t="s">
        <v>26239</v>
      </c>
      <c r="AB1631" t="s">
        <v>26240</v>
      </c>
      <c r="AC1631" t="s">
        <v>74</v>
      </c>
      <c r="AD1631" t="s">
        <v>74</v>
      </c>
      <c r="AE1631" t="s">
        <v>74</v>
      </c>
      <c r="AF1631" t="s">
        <v>74</v>
      </c>
      <c r="AG1631">
        <v>38</v>
      </c>
      <c r="AH1631">
        <v>3</v>
      </c>
      <c r="AI1631">
        <v>3</v>
      </c>
      <c r="AJ1631">
        <v>0</v>
      </c>
      <c r="AK1631">
        <v>4</v>
      </c>
      <c r="AL1631" t="s">
        <v>74</v>
      </c>
      <c r="AM1631" t="s">
        <v>74</v>
      </c>
      <c r="AN1631" t="s">
        <v>74</v>
      </c>
      <c r="AO1631" t="s">
        <v>26241</v>
      </c>
      <c r="AP1631" t="s">
        <v>74</v>
      </c>
      <c r="AQ1631" t="s">
        <v>74</v>
      </c>
      <c r="AR1631" t="s">
        <v>74</v>
      </c>
      <c r="AS1631" t="s">
        <v>74</v>
      </c>
      <c r="AT1631" t="s">
        <v>114</v>
      </c>
      <c r="AU1631">
        <v>2012</v>
      </c>
      <c r="AV1631">
        <v>40</v>
      </c>
      <c r="AW1631">
        <v>1</v>
      </c>
      <c r="AX1631" t="s">
        <v>74</v>
      </c>
      <c r="AY1631" t="s">
        <v>74</v>
      </c>
      <c r="AZ1631" t="s">
        <v>74</v>
      </c>
      <c r="BA1631" t="s">
        <v>74</v>
      </c>
      <c r="BB1631">
        <v>15</v>
      </c>
      <c r="BC1631">
        <v>20</v>
      </c>
      <c r="BD1631" t="s">
        <v>74</v>
      </c>
      <c r="BE1631" t="s">
        <v>26242</v>
      </c>
      <c r="BF1631" t="str">
        <f>HYPERLINK("http://dx.doi.org/10.1016/j.biologicals.2011.11.005","http://dx.doi.org/10.1016/j.biologicals.2011.11.005")</f>
        <v>http://dx.doi.org/10.1016/j.biologicals.2011.11.005</v>
      </c>
      <c r="BG1631" t="s">
        <v>74</v>
      </c>
      <c r="BH1631" t="s">
        <v>74</v>
      </c>
      <c r="BI1631" t="s">
        <v>74</v>
      </c>
      <c r="BJ1631" t="s">
        <v>26243</v>
      </c>
      <c r="BK1631" t="s">
        <v>117</v>
      </c>
      <c r="BL1631" t="s">
        <v>26244</v>
      </c>
      <c r="BM1631" t="s">
        <v>74</v>
      </c>
      <c r="BN1631">
        <v>22192456</v>
      </c>
      <c r="BO1631" t="s">
        <v>74</v>
      </c>
      <c r="BP1631" t="s">
        <v>74</v>
      </c>
      <c r="BQ1631" t="s">
        <v>74</v>
      </c>
      <c r="BR1631" t="s">
        <v>96</v>
      </c>
      <c r="BS1631" t="s">
        <v>26245</v>
      </c>
      <c r="BT1631" t="str">
        <f>HYPERLINK("https%3A%2F%2Fwww.webofscience.com%2Fwos%2Fwoscc%2Ffull-record%2FWOS:000300806700003","View Full Record in Web of Science")</f>
        <v>View Full Record in Web of Science</v>
      </c>
    </row>
    <row r="1632" spans="1:72" x14ac:dyDescent="0.15">
      <c r="A1632" t="s">
        <v>98</v>
      </c>
      <c r="B1632" t="s">
        <v>26653</v>
      </c>
      <c r="C1632" t="s">
        <v>74</v>
      </c>
      <c r="D1632" t="s">
        <v>74</v>
      </c>
      <c r="E1632" t="s">
        <v>74</v>
      </c>
      <c r="F1632" t="s">
        <v>26654</v>
      </c>
      <c r="G1632" t="s">
        <v>74</v>
      </c>
      <c r="H1632" t="s">
        <v>74</v>
      </c>
      <c r="I1632" t="s">
        <v>26655</v>
      </c>
      <c r="J1632" t="s">
        <v>1073</v>
      </c>
      <c r="K1632" t="s">
        <v>74</v>
      </c>
      <c r="L1632" t="s">
        <v>74</v>
      </c>
      <c r="M1632" t="s">
        <v>74</v>
      </c>
      <c r="N1632" t="s">
        <v>103</v>
      </c>
      <c r="O1632" t="s">
        <v>74</v>
      </c>
      <c r="P1632" t="s">
        <v>74</v>
      </c>
      <c r="Q1632" t="s">
        <v>74</v>
      </c>
      <c r="R1632" t="s">
        <v>74</v>
      </c>
      <c r="S1632" t="s">
        <v>74</v>
      </c>
      <c r="T1632" t="s">
        <v>74</v>
      </c>
      <c r="U1632" t="s">
        <v>26656</v>
      </c>
      <c r="V1632" t="s">
        <v>26657</v>
      </c>
      <c r="W1632" t="s">
        <v>26658</v>
      </c>
      <c r="X1632" t="s">
        <v>26659</v>
      </c>
      <c r="Y1632" t="s">
        <v>26660</v>
      </c>
      <c r="Z1632" t="s">
        <v>26661</v>
      </c>
      <c r="AA1632" t="s">
        <v>74</v>
      </c>
      <c r="AB1632" t="s">
        <v>26662</v>
      </c>
      <c r="AC1632" t="s">
        <v>74</v>
      </c>
      <c r="AD1632" t="s">
        <v>74</v>
      </c>
      <c r="AE1632" t="s">
        <v>74</v>
      </c>
      <c r="AF1632" t="s">
        <v>74</v>
      </c>
      <c r="AG1632">
        <v>42</v>
      </c>
      <c r="AH1632">
        <v>3</v>
      </c>
      <c r="AI1632">
        <v>3</v>
      </c>
      <c r="AJ1632">
        <v>0</v>
      </c>
      <c r="AK1632">
        <v>7</v>
      </c>
      <c r="AL1632" t="s">
        <v>74</v>
      </c>
      <c r="AM1632" t="s">
        <v>74</v>
      </c>
      <c r="AN1632" t="s">
        <v>74</v>
      </c>
      <c r="AO1632" t="s">
        <v>1082</v>
      </c>
      <c r="AP1632" t="s">
        <v>74</v>
      </c>
      <c r="AQ1632" t="s">
        <v>74</v>
      </c>
      <c r="AR1632" t="s">
        <v>74</v>
      </c>
      <c r="AS1632" t="s">
        <v>74</v>
      </c>
      <c r="AT1632" t="s">
        <v>5804</v>
      </c>
      <c r="AU1632">
        <v>2016</v>
      </c>
      <c r="AV1632">
        <v>11</v>
      </c>
      <c r="AW1632">
        <v>3</v>
      </c>
      <c r="AX1632" t="s">
        <v>74</v>
      </c>
      <c r="AY1632" t="s">
        <v>74</v>
      </c>
      <c r="AZ1632" t="s">
        <v>74</v>
      </c>
      <c r="BA1632" t="s">
        <v>74</v>
      </c>
      <c r="BB1632" t="s">
        <v>74</v>
      </c>
      <c r="BC1632" t="s">
        <v>74</v>
      </c>
      <c r="BD1632" t="s">
        <v>26663</v>
      </c>
      <c r="BE1632" t="s">
        <v>26664</v>
      </c>
      <c r="BF1632" t="str">
        <f>HYPERLINK("http://dx.doi.org/10.1371/journal.pone.0150677","http://dx.doi.org/10.1371/journal.pone.0150677")</f>
        <v>http://dx.doi.org/10.1371/journal.pone.0150677</v>
      </c>
      <c r="BG1632" t="s">
        <v>74</v>
      </c>
      <c r="BH1632" t="s">
        <v>74</v>
      </c>
      <c r="BI1632" t="s">
        <v>74</v>
      </c>
      <c r="BJ1632" t="s">
        <v>152</v>
      </c>
      <c r="BK1632" t="s">
        <v>117</v>
      </c>
      <c r="BL1632" t="s">
        <v>153</v>
      </c>
      <c r="BM1632" t="s">
        <v>74</v>
      </c>
      <c r="BN1632">
        <v>26954233</v>
      </c>
      <c r="BO1632" t="s">
        <v>74</v>
      </c>
      <c r="BP1632" t="s">
        <v>74</v>
      </c>
      <c r="BQ1632" t="s">
        <v>74</v>
      </c>
      <c r="BR1632" t="s">
        <v>96</v>
      </c>
      <c r="BS1632" t="s">
        <v>26665</v>
      </c>
      <c r="BT1632" t="str">
        <f>HYPERLINK("https%3A%2F%2Fwww.webofscience.com%2Fwos%2Fwoscc%2Ffull-record%2FWOS:000371991300041","View Full Record in Web of Science")</f>
        <v>View Full Record in Web of Science</v>
      </c>
    </row>
    <row r="1633" spans="1:72" x14ac:dyDescent="0.15">
      <c r="A1633" t="s">
        <v>98</v>
      </c>
      <c r="B1633" t="s">
        <v>26679</v>
      </c>
      <c r="C1633" t="s">
        <v>74</v>
      </c>
      <c r="D1633" t="s">
        <v>74</v>
      </c>
      <c r="E1633" t="s">
        <v>74</v>
      </c>
      <c r="F1633" t="s">
        <v>26680</v>
      </c>
      <c r="G1633" t="s">
        <v>74</v>
      </c>
      <c r="H1633" t="s">
        <v>74</v>
      </c>
      <c r="I1633" t="s">
        <v>26681</v>
      </c>
      <c r="J1633" t="s">
        <v>4486</v>
      </c>
      <c r="K1633" t="s">
        <v>74</v>
      </c>
      <c r="L1633" t="s">
        <v>74</v>
      </c>
      <c r="M1633" t="s">
        <v>74</v>
      </c>
      <c r="N1633" t="s">
        <v>103</v>
      </c>
      <c r="O1633" t="s">
        <v>74</v>
      </c>
      <c r="P1633" t="s">
        <v>74</v>
      </c>
      <c r="Q1633" t="s">
        <v>74</v>
      </c>
      <c r="R1633" t="s">
        <v>74</v>
      </c>
      <c r="S1633" t="s">
        <v>74</v>
      </c>
      <c r="T1633" t="s">
        <v>74</v>
      </c>
      <c r="U1633" t="s">
        <v>26682</v>
      </c>
      <c r="V1633" t="s">
        <v>26683</v>
      </c>
      <c r="W1633" t="s">
        <v>26684</v>
      </c>
      <c r="X1633" t="s">
        <v>26685</v>
      </c>
      <c r="Y1633" t="s">
        <v>26686</v>
      </c>
      <c r="Z1633" t="s">
        <v>13470</v>
      </c>
      <c r="AA1633" t="s">
        <v>26687</v>
      </c>
      <c r="AB1633" t="s">
        <v>26688</v>
      </c>
      <c r="AC1633" t="s">
        <v>74</v>
      </c>
      <c r="AD1633" t="s">
        <v>74</v>
      </c>
      <c r="AE1633" t="s">
        <v>74</v>
      </c>
      <c r="AF1633" t="s">
        <v>74</v>
      </c>
      <c r="AG1633">
        <v>45</v>
      </c>
      <c r="AH1633">
        <v>3</v>
      </c>
      <c r="AI1633">
        <v>3</v>
      </c>
      <c r="AJ1633">
        <v>6</v>
      </c>
      <c r="AK1633">
        <v>28</v>
      </c>
      <c r="AL1633" t="s">
        <v>74</v>
      </c>
      <c r="AM1633" t="s">
        <v>74</v>
      </c>
      <c r="AN1633" t="s">
        <v>74</v>
      </c>
      <c r="AO1633" t="s">
        <v>4493</v>
      </c>
      <c r="AP1633" t="s">
        <v>4494</v>
      </c>
      <c r="AQ1633" t="s">
        <v>74</v>
      </c>
      <c r="AR1633" t="s">
        <v>74</v>
      </c>
      <c r="AS1633" t="s">
        <v>74</v>
      </c>
      <c r="AT1633" t="s">
        <v>26689</v>
      </c>
      <c r="AU1633">
        <v>2021</v>
      </c>
      <c r="AV1633">
        <v>93</v>
      </c>
      <c r="AW1633">
        <v>2</v>
      </c>
      <c r="AX1633" t="s">
        <v>74</v>
      </c>
      <c r="AY1633" t="s">
        <v>74</v>
      </c>
      <c r="AZ1633" t="s">
        <v>74</v>
      </c>
      <c r="BA1633" t="s">
        <v>74</v>
      </c>
      <c r="BB1633">
        <v>1100</v>
      </c>
      <c r="BC1633">
        <v>1109</v>
      </c>
      <c r="BD1633" t="s">
        <v>74</v>
      </c>
      <c r="BE1633" t="s">
        <v>26690</v>
      </c>
      <c r="BF1633" t="str">
        <f>HYPERLINK("http://dx.doi.org/10.1021/acs.analchem.0c04152","http://dx.doi.org/10.1021/acs.analchem.0c04152")</f>
        <v>http://dx.doi.org/10.1021/acs.analchem.0c04152</v>
      </c>
      <c r="BG1633" t="s">
        <v>74</v>
      </c>
      <c r="BH1633" t="s">
        <v>74</v>
      </c>
      <c r="BI1633" t="s">
        <v>74</v>
      </c>
      <c r="BJ1633" t="s">
        <v>1118</v>
      </c>
      <c r="BK1633" t="s">
        <v>117</v>
      </c>
      <c r="BL1633" t="s">
        <v>1048</v>
      </c>
      <c r="BM1633" t="s">
        <v>74</v>
      </c>
      <c r="BN1633">
        <v>33337853</v>
      </c>
      <c r="BO1633" t="s">
        <v>74</v>
      </c>
      <c r="BP1633" t="s">
        <v>74</v>
      </c>
      <c r="BQ1633" t="s">
        <v>74</v>
      </c>
      <c r="BR1633" t="s">
        <v>96</v>
      </c>
      <c r="BS1633" t="s">
        <v>26691</v>
      </c>
      <c r="BT1633" t="str">
        <f>HYPERLINK("https%3A%2F%2Fwww.webofscience.com%2Fwos%2Fwoscc%2Ffull-record%2FWOS:000612336200056","View Full Record in Web of Science")</f>
        <v>View Full Record in Web of Science</v>
      </c>
    </row>
    <row r="1634" spans="1:72" x14ac:dyDescent="0.15">
      <c r="A1634" t="s">
        <v>98</v>
      </c>
      <c r="B1634" t="s">
        <v>26830</v>
      </c>
      <c r="C1634" t="s">
        <v>74</v>
      </c>
      <c r="D1634" t="s">
        <v>74</v>
      </c>
      <c r="E1634" t="s">
        <v>74</v>
      </c>
      <c r="F1634" t="s">
        <v>26831</v>
      </c>
      <c r="G1634" t="s">
        <v>74</v>
      </c>
      <c r="H1634" t="s">
        <v>74</v>
      </c>
      <c r="I1634" t="s">
        <v>26832</v>
      </c>
      <c r="J1634" t="s">
        <v>140</v>
      </c>
      <c r="K1634" t="s">
        <v>74</v>
      </c>
      <c r="L1634" t="s">
        <v>74</v>
      </c>
      <c r="M1634" t="s">
        <v>74</v>
      </c>
      <c r="N1634" t="s">
        <v>103</v>
      </c>
      <c r="O1634" t="s">
        <v>74</v>
      </c>
      <c r="P1634" t="s">
        <v>74</v>
      </c>
      <c r="Q1634" t="s">
        <v>74</v>
      </c>
      <c r="R1634" t="s">
        <v>74</v>
      </c>
      <c r="S1634" t="s">
        <v>74</v>
      </c>
      <c r="T1634" t="s">
        <v>74</v>
      </c>
      <c r="U1634" t="s">
        <v>26833</v>
      </c>
      <c r="V1634" t="s">
        <v>26834</v>
      </c>
      <c r="W1634" t="s">
        <v>26835</v>
      </c>
      <c r="X1634" t="s">
        <v>26836</v>
      </c>
      <c r="Y1634" t="s">
        <v>26837</v>
      </c>
      <c r="Z1634" t="s">
        <v>26838</v>
      </c>
      <c r="AA1634" t="s">
        <v>74</v>
      </c>
      <c r="AB1634" t="s">
        <v>74</v>
      </c>
      <c r="AC1634" t="s">
        <v>74</v>
      </c>
      <c r="AD1634" t="s">
        <v>74</v>
      </c>
      <c r="AE1634" t="s">
        <v>74</v>
      </c>
      <c r="AF1634" t="s">
        <v>74</v>
      </c>
      <c r="AG1634">
        <v>51</v>
      </c>
      <c r="AH1634">
        <v>3</v>
      </c>
      <c r="AI1634">
        <v>3</v>
      </c>
      <c r="AJ1634">
        <v>1</v>
      </c>
      <c r="AK1634">
        <v>12</v>
      </c>
      <c r="AL1634" t="s">
        <v>74</v>
      </c>
      <c r="AM1634" t="s">
        <v>74</v>
      </c>
      <c r="AN1634" t="s">
        <v>74</v>
      </c>
      <c r="AO1634" t="s">
        <v>149</v>
      </c>
      <c r="AP1634" t="s">
        <v>74</v>
      </c>
      <c r="AQ1634" t="s">
        <v>74</v>
      </c>
      <c r="AR1634" t="s">
        <v>74</v>
      </c>
      <c r="AS1634" t="s">
        <v>74</v>
      </c>
      <c r="AT1634" t="s">
        <v>19806</v>
      </c>
      <c r="AU1634">
        <v>2017</v>
      </c>
      <c r="AV1634">
        <v>7</v>
      </c>
      <c r="AW1634" t="s">
        <v>74</v>
      </c>
      <c r="AX1634" t="s">
        <v>74</v>
      </c>
      <c r="AY1634" t="s">
        <v>74</v>
      </c>
      <c r="AZ1634" t="s">
        <v>74</v>
      </c>
      <c r="BA1634" t="s">
        <v>74</v>
      </c>
      <c r="BB1634" t="s">
        <v>74</v>
      </c>
      <c r="BC1634" t="s">
        <v>74</v>
      </c>
      <c r="BD1634">
        <v>16686</v>
      </c>
      <c r="BE1634" t="s">
        <v>26839</v>
      </c>
      <c r="BF1634" t="str">
        <f>HYPERLINK("http://dx.doi.org/10.1038/s41598-017-16960-8","http://dx.doi.org/10.1038/s41598-017-16960-8")</f>
        <v>http://dx.doi.org/10.1038/s41598-017-16960-8</v>
      </c>
      <c r="BG1634" t="s">
        <v>74</v>
      </c>
      <c r="BH1634" t="s">
        <v>74</v>
      </c>
      <c r="BI1634" t="s">
        <v>74</v>
      </c>
      <c r="BJ1634" t="s">
        <v>152</v>
      </c>
      <c r="BK1634" t="s">
        <v>117</v>
      </c>
      <c r="BL1634" t="s">
        <v>153</v>
      </c>
      <c r="BM1634" t="s">
        <v>74</v>
      </c>
      <c r="BN1634">
        <v>29192155</v>
      </c>
      <c r="BO1634" t="s">
        <v>74</v>
      </c>
      <c r="BP1634" t="s">
        <v>74</v>
      </c>
      <c r="BQ1634" t="s">
        <v>74</v>
      </c>
      <c r="BR1634" t="s">
        <v>96</v>
      </c>
      <c r="BS1634" t="s">
        <v>26840</v>
      </c>
      <c r="BT1634" t="str">
        <f>HYPERLINK("https%3A%2F%2Fwww.webofscience.com%2Fwos%2Fwoscc%2Ffull-record%2FWOS:000416891400088","View Full Record in Web of Science")</f>
        <v>View Full Record in Web of Science</v>
      </c>
    </row>
    <row r="1635" spans="1:72" x14ac:dyDescent="0.15">
      <c r="A1635" t="s">
        <v>98</v>
      </c>
      <c r="B1635" t="s">
        <v>28050</v>
      </c>
      <c r="C1635" t="s">
        <v>74</v>
      </c>
      <c r="D1635" t="s">
        <v>74</v>
      </c>
      <c r="E1635" t="s">
        <v>74</v>
      </c>
      <c r="F1635" t="s">
        <v>28051</v>
      </c>
      <c r="G1635" t="s">
        <v>74</v>
      </c>
      <c r="H1635" t="s">
        <v>74</v>
      </c>
      <c r="I1635" t="s">
        <v>28052</v>
      </c>
      <c r="J1635" t="s">
        <v>28053</v>
      </c>
      <c r="K1635" t="s">
        <v>74</v>
      </c>
      <c r="L1635" t="s">
        <v>74</v>
      </c>
      <c r="M1635" t="s">
        <v>74</v>
      </c>
      <c r="N1635" t="s">
        <v>103</v>
      </c>
      <c r="O1635" t="s">
        <v>74</v>
      </c>
      <c r="P1635" t="s">
        <v>74</v>
      </c>
      <c r="Q1635" t="s">
        <v>74</v>
      </c>
      <c r="R1635" t="s">
        <v>74</v>
      </c>
      <c r="S1635" t="s">
        <v>74</v>
      </c>
      <c r="T1635" t="s">
        <v>74</v>
      </c>
      <c r="U1635" t="s">
        <v>28054</v>
      </c>
      <c r="V1635" t="s">
        <v>28055</v>
      </c>
      <c r="W1635" t="s">
        <v>28056</v>
      </c>
      <c r="X1635" t="s">
        <v>28057</v>
      </c>
      <c r="Y1635" t="s">
        <v>28058</v>
      </c>
      <c r="Z1635" t="s">
        <v>28059</v>
      </c>
      <c r="AA1635" t="s">
        <v>74</v>
      </c>
      <c r="AB1635" t="s">
        <v>28060</v>
      </c>
      <c r="AC1635" t="s">
        <v>74</v>
      </c>
      <c r="AD1635" t="s">
        <v>74</v>
      </c>
      <c r="AE1635" t="s">
        <v>74</v>
      </c>
      <c r="AF1635" t="s">
        <v>74</v>
      </c>
      <c r="AG1635">
        <v>43</v>
      </c>
      <c r="AH1635">
        <v>3</v>
      </c>
      <c r="AI1635">
        <v>3</v>
      </c>
      <c r="AJ1635">
        <v>4</v>
      </c>
      <c r="AK1635">
        <v>4</v>
      </c>
      <c r="AL1635" t="s">
        <v>74</v>
      </c>
      <c r="AM1635" t="s">
        <v>74</v>
      </c>
      <c r="AN1635" t="s">
        <v>74</v>
      </c>
      <c r="AO1635" t="s">
        <v>28061</v>
      </c>
      <c r="AP1635" t="s">
        <v>28062</v>
      </c>
      <c r="AQ1635" t="s">
        <v>74</v>
      </c>
      <c r="AR1635" t="s">
        <v>74</v>
      </c>
      <c r="AS1635" t="s">
        <v>74</v>
      </c>
      <c r="AT1635" t="s">
        <v>283</v>
      </c>
      <c r="AU1635">
        <v>2022</v>
      </c>
      <c r="AV1635">
        <v>5</v>
      </c>
      <c r="AW1635">
        <v>1</v>
      </c>
      <c r="AX1635" t="s">
        <v>74</v>
      </c>
      <c r="AY1635" t="s">
        <v>74</v>
      </c>
      <c r="AZ1635" t="s">
        <v>74</v>
      </c>
      <c r="BA1635" t="s">
        <v>74</v>
      </c>
      <c r="BB1635">
        <v>109</v>
      </c>
      <c r="BC1635">
        <v>122</v>
      </c>
      <c r="BD1635" t="s">
        <v>74</v>
      </c>
      <c r="BE1635" t="s">
        <v>28063</v>
      </c>
      <c r="BF1635" t="str">
        <f>HYPERLINK("http://dx.doi.org/10.1089/crispr.2021.0085","http://dx.doi.org/10.1089/crispr.2021.0085")</f>
        <v>http://dx.doi.org/10.1089/crispr.2021.0085</v>
      </c>
      <c r="BG1635" t="s">
        <v>74</v>
      </c>
      <c r="BH1635" t="s">
        <v>1582</v>
      </c>
      <c r="BI1635" t="s">
        <v>74</v>
      </c>
      <c r="BJ1635" t="s">
        <v>285</v>
      </c>
      <c r="BK1635" t="s">
        <v>117</v>
      </c>
      <c r="BL1635" t="s">
        <v>285</v>
      </c>
      <c r="BM1635" t="s">
        <v>74</v>
      </c>
      <c r="BN1635">
        <v>35133877</v>
      </c>
      <c r="BO1635" t="s">
        <v>74</v>
      </c>
      <c r="BP1635" t="s">
        <v>74</v>
      </c>
      <c r="BQ1635" t="s">
        <v>74</v>
      </c>
      <c r="BR1635" t="s">
        <v>96</v>
      </c>
      <c r="BS1635" t="s">
        <v>28064</v>
      </c>
      <c r="BT1635" t="str">
        <f>HYPERLINK("https%3A%2F%2Fwww.webofscience.com%2Fwos%2Fwoscc%2Ffull-record%2FWOS:000752689200001","View Full Record in Web of Science")</f>
        <v>View Full Record in Web of Science</v>
      </c>
    </row>
    <row r="1636" spans="1:72" x14ac:dyDescent="0.15">
      <c r="A1636" t="s">
        <v>98</v>
      </c>
      <c r="B1636" t="s">
        <v>28589</v>
      </c>
      <c r="C1636" t="s">
        <v>74</v>
      </c>
      <c r="D1636" t="s">
        <v>74</v>
      </c>
      <c r="E1636" t="s">
        <v>74</v>
      </c>
      <c r="F1636" t="s">
        <v>28590</v>
      </c>
      <c r="G1636" t="s">
        <v>74</v>
      </c>
      <c r="H1636" t="s">
        <v>74</v>
      </c>
      <c r="I1636" t="s">
        <v>28591</v>
      </c>
      <c r="J1636" t="s">
        <v>11137</v>
      </c>
      <c r="K1636" t="s">
        <v>74</v>
      </c>
      <c r="L1636" t="s">
        <v>74</v>
      </c>
      <c r="M1636" t="s">
        <v>74</v>
      </c>
      <c r="N1636" t="s">
        <v>103</v>
      </c>
      <c r="O1636" t="s">
        <v>74</v>
      </c>
      <c r="P1636" t="s">
        <v>74</v>
      </c>
      <c r="Q1636" t="s">
        <v>74</v>
      </c>
      <c r="R1636" t="s">
        <v>74</v>
      </c>
      <c r="S1636" t="s">
        <v>74</v>
      </c>
      <c r="T1636" t="s">
        <v>28592</v>
      </c>
      <c r="U1636" t="s">
        <v>28593</v>
      </c>
      <c r="V1636" t="s">
        <v>28594</v>
      </c>
      <c r="W1636" t="s">
        <v>28595</v>
      </c>
      <c r="X1636" t="s">
        <v>6049</v>
      </c>
      <c r="Y1636" t="s">
        <v>28596</v>
      </c>
      <c r="Z1636" t="s">
        <v>28597</v>
      </c>
      <c r="AA1636" t="s">
        <v>74</v>
      </c>
      <c r="AB1636" t="s">
        <v>28598</v>
      </c>
      <c r="AC1636" t="s">
        <v>74</v>
      </c>
      <c r="AD1636" t="s">
        <v>74</v>
      </c>
      <c r="AE1636" t="s">
        <v>74</v>
      </c>
      <c r="AF1636" t="s">
        <v>74</v>
      </c>
      <c r="AG1636">
        <v>192</v>
      </c>
      <c r="AH1636">
        <v>3</v>
      </c>
      <c r="AI1636">
        <v>3</v>
      </c>
      <c r="AJ1636">
        <v>0</v>
      </c>
      <c r="AK1636">
        <v>13</v>
      </c>
      <c r="AL1636" t="s">
        <v>74</v>
      </c>
      <c r="AM1636" t="s">
        <v>74</v>
      </c>
      <c r="AN1636" t="s">
        <v>74</v>
      </c>
      <c r="AO1636" t="s">
        <v>74</v>
      </c>
      <c r="AP1636" t="s">
        <v>11145</v>
      </c>
      <c r="AQ1636" t="s">
        <v>74</v>
      </c>
      <c r="AR1636" t="s">
        <v>74</v>
      </c>
      <c r="AS1636" t="s">
        <v>74</v>
      </c>
      <c r="AT1636" t="s">
        <v>6741</v>
      </c>
      <c r="AU1636">
        <v>2020</v>
      </c>
      <c r="AV1636">
        <v>15</v>
      </c>
      <c r="AW1636">
        <v>1</v>
      </c>
      <c r="AX1636" t="s">
        <v>74</v>
      </c>
      <c r="AY1636" t="s">
        <v>74</v>
      </c>
      <c r="AZ1636" t="s">
        <v>74</v>
      </c>
      <c r="BA1636" t="s">
        <v>74</v>
      </c>
      <c r="BB1636" t="s">
        <v>74</v>
      </c>
      <c r="BC1636" t="s">
        <v>74</v>
      </c>
      <c r="BD1636">
        <v>8</v>
      </c>
      <c r="BE1636" t="s">
        <v>28599</v>
      </c>
      <c r="BF1636" t="str">
        <f>HYPERLINK("http://dx.doi.org/10.1186/s13062-020-00260-9","http://dx.doi.org/10.1186/s13062-020-00260-9")</f>
        <v>http://dx.doi.org/10.1186/s13062-020-00260-9</v>
      </c>
      <c r="BG1636" t="s">
        <v>74</v>
      </c>
      <c r="BH1636" t="s">
        <v>74</v>
      </c>
      <c r="BI1636" t="s">
        <v>74</v>
      </c>
      <c r="BJ1636" t="s">
        <v>1643</v>
      </c>
      <c r="BK1636" t="s">
        <v>117</v>
      </c>
      <c r="BL1636" t="s">
        <v>1644</v>
      </c>
      <c r="BM1636" t="s">
        <v>74</v>
      </c>
      <c r="BN1636">
        <v>32345370</v>
      </c>
      <c r="BO1636" t="s">
        <v>74</v>
      </c>
      <c r="BP1636" t="s">
        <v>74</v>
      </c>
      <c r="BQ1636" t="s">
        <v>74</v>
      </c>
      <c r="BR1636" t="s">
        <v>96</v>
      </c>
      <c r="BS1636" t="s">
        <v>28600</v>
      </c>
      <c r="BT1636" t="str">
        <f>HYPERLINK("https%3A%2F%2Fwww.webofscience.com%2Fwos%2Fwoscc%2Ffull-record%2FWOS:000531377000001","View Full Record in Web of Science")</f>
        <v>View Full Record in Web of Science</v>
      </c>
    </row>
    <row r="1637" spans="1:72" x14ac:dyDescent="0.15">
      <c r="A1637" t="s">
        <v>72</v>
      </c>
      <c r="B1637" t="s">
        <v>29262</v>
      </c>
      <c r="C1637" t="s">
        <v>74</v>
      </c>
      <c r="D1637" t="s">
        <v>29263</v>
      </c>
      <c r="E1637" t="s">
        <v>74</v>
      </c>
      <c r="F1637" t="s">
        <v>29264</v>
      </c>
      <c r="G1637" t="s">
        <v>74</v>
      </c>
      <c r="H1637" t="s">
        <v>74</v>
      </c>
      <c r="I1637" t="s">
        <v>29265</v>
      </c>
      <c r="J1637" t="s">
        <v>29266</v>
      </c>
      <c r="K1637" t="s">
        <v>79</v>
      </c>
      <c r="L1637" t="s">
        <v>74</v>
      </c>
      <c r="M1637" t="s">
        <v>74</v>
      </c>
      <c r="N1637" t="s">
        <v>80</v>
      </c>
      <c r="O1637" t="s">
        <v>74</v>
      </c>
      <c r="P1637" t="s">
        <v>74</v>
      </c>
      <c r="Q1637" t="s">
        <v>74</v>
      </c>
      <c r="R1637" t="s">
        <v>74</v>
      </c>
      <c r="S1637" t="s">
        <v>74</v>
      </c>
      <c r="T1637" t="s">
        <v>29267</v>
      </c>
      <c r="U1637" t="s">
        <v>29268</v>
      </c>
      <c r="V1637" t="s">
        <v>29269</v>
      </c>
      <c r="W1637" t="s">
        <v>29270</v>
      </c>
      <c r="X1637" t="s">
        <v>29271</v>
      </c>
      <c r="Y1637" t="s">
        <v>29272</v>
      </c>
      <c r="Z1637" t="s">
        <v>74</v>
      </c>
      <c r="AA1637" t="s">
        <v>74</v>
      </c>
      <c r="AB1637" t="s">
        <v>74</v>
      </c>
      <c r="AC1637" t="s">
        <v>74</v>
      </c>
      <c r="AD1637" t="s">
        <v>74</v>
      </c>
      <c r="AE1637" t="s">
        <v>74</v>
      </c>
      <c r="AF1637" t="s">
        <v>74</v>
      </c>
      <c r="AG1637">
        <v>15</v>
      </c>
      <c r="AH1637">
        <v>3</v>
      </c>
      <c r="AI1637">
        <v>3</v>
      </c>
      <c r="AJ1637">
        <v>0</v>
      </c>
      <c r="AK1637">
        <v>1</v>
      </c>
      <c r="AL1637" t="s">
        <v>74</v>
      </c>
      <c r="AM1637" t="s">
        <v>74</v>
      </c>
      <c r="AN1637" t="s">
        <v>74</v>
      </c>
      <c r="AO1637" t="s">
        <v>88</v>
      </c>
      <c r="AP1637" t="s">
        <v>89</v>
      </c>
      <c r="AQ1637" t="s">
        <v>29273</v>
      </c>
      <c r="AR1637" t="s">
        <v>74</v>
      </c>
      <c r="AS1637" t="s">
        <v>74</v>
      </c>
      <c r="AT1637" t="s">
        <v>74</v>
      </c>
      <c r="AU1637">
        <v>2016</v>
      </c>
      <c r="AV1637">
        <v>1448</v>
      </c>
      <c r="AW1637" t="s">
        <v>74</v>
      </c>
      <c r="AX1637" t="s">
        <v>74</v>
      </c>
      <c r="AY1637" t="s">
        <v>74</v>
      </c>
      <c r="AZ1637" t="s">
        <v>74</v>
      </c>
      <c r="BA1637" t="s">
        <v>74</v>
      </c>
      <c r="BB1637">
        <v>107</v>
      </c>
      <c r="BC1637">
        <v>120</v>
      </c>
      <c r="BD1637" t="s">
        <v>74</v>
      </c>
      <c r="BE1637" t="s">
        <v>29274</v>
      </c>
      <c r="BF1637" t="str">
        <f>HYPERLINK("http://dx.doi.org/10.1007/978-1-4939-3753-0_9","http://dx.doi.org/10.1007/978-1-4939-3753-0_9")</f>
        <v>http://dx.doi.org/10.1007/978-1-4939-3753-0_9</v>
      </c>
      <c r="BG1637" t="s">
        <v>29275</v>
      </c>
      <c r="BH1637" t="s">
        <v>74</v>
      </c>
      <c r="BI1637" t="s">
        <v>74</v>
      </c>
      <c r="BJ1637" t="s">
        <v>8267</v>
      </c>
      <c r="BK1637" t="s">
        <v>94</v>
      </c>
      <c r="BL1637" t="s">
        <v>950</v>
      </c>
      <c r="BM1637" t="s">
        <v>74</v>
      </c>
      <c r="BN1637">
        <v>27317177</v>
      </c>
      <c r="BO1637" t="s">
        <v>74</v>
      </c>
      <c r="BP1637" t="s">
        <v>74</v>
      </c>
      <c r="BQ1637" t="s">
        <v>74</v>
      </c>
      <c r="BR1637" t="s">
        <v>96</v>
      </c>
      <c r="BS1637" t="s">
        <v>29276</v>
      </c>
      <c r="BT1637" t="str">
        <f>HYPERLINK("https%3A%2F%2Fwww.webofscience.com%2Fwos%2Fwoscc%2Ffull-record%2FWOS:000386788700010","View Full Record in Web of Science")</f>
        <v>View Full Record in Web of Science</v>
      </c>
    </row>
    <row r="1638" spans="1:72" x14ac:dyDescent="0.15">
      <c r="A1638" t="s">
        <v>98</v>
      </c>
      <c r="B1638" t="s">
        <v>29712</v>
      </c>
      <c r="C1638" t="s">
        <v>74</v>
      </c>
      <c r="D1638" t="s">
        <v>74</v>
      </c>
      <c r="E1638" t="s">
        <v>74</v>
      </c>
      <c r="F1638" t="s">
        <v>29713</v>
      </c>
      <c r="G1638" t="s">
        <v>74</v>
      </c>
      <c r="H1638" t="s">
        <v>74</v>
      </c>
      <c r="I1638" t="s">
        <v>29714</v>
      </c>
      <c r="J1638" t="s">
        <v>29715</v>
      </c>
      <c r="K1638" t="s">
        <v>74</v>
      </c>
      <c r="L1638" t="s">
        <v>74</v>
      </c>
      <c r="M1638" t="s">
        <v>74</v>
      </c>
      <c r="N1638" t="s">
        <v>103</v>
      </c>
      <c r="O1638" t="s">
        <v>74</v>
      </c>
      <c r="P1638" t="s">
        <v>74</v>
      </c>
      <c r="Q1638" t="s">
        <v>74</v>
      </c>
      <c r="R1638" t="s">
        <v>74</v>
      </c>
      <c r="S1638" t="s">
        <v>74</v>
      </c>
      <c r="T1638" t="s">
        <v>29716</v>
      </c>
      <c r="U1638" t="s">
        <v>29717</v>
      </c>
      <c r="V1638" t="s">
        <v>29718</v>
      </c>
      <c r="W1638" t="s">
        <v>29719</v>
      </c>
      <c r="X1638" t="s">
        <v>29720</v>
      </c>
      <c r="Y1638" t="s">
        <v>29721</v>
      </c>
      <c r="Z1638" t="s">
        <v>29722</v>
      </c>
      <c r="AA1638" t="s">
        <v>29723</v>
      </c>
      <c r="AB1638" t="s">
        <v>29724</v>
      </c>
      <c r="AC1638" t="s">
        <v>74</v>
      </c>
      <c r="AD1638" t="s">
        <v>74</v>
      </c>
      <c r="AE1638" t="s">
        <v>74</v>
      </c>
      <c r="AF1638" t="s">
        <v>74</v>
      </c>
      <c r="AG1638">
        <v>63</v>
      </c>
      <c r="AH1638">
        <v>3</v>
      </c>
      <c r="AI1638">
        <v>3</v>
      </c>
      <c r="AJ1638">
        <v>0</v>
      </c>
      <c r="AK1638">
        <v>1</v>
      </c>
      <c r="AL1638" t="s">
        <v>74</v>
      </c>
      <c r="AM1638" t="s">
        <v>74</v>
      </c>
      <c r="AN1638" t="s">
        <v>74</v>
      </c>
      <c r="AO1638" t="s">
        <v>29725</v>
      </c>
      <c r="AP1638" t="s">
        <v>29726</v>
      </c>
      <c r="AQ1638" t="s">
        <v>74</v>
      </c>
      <c r="AR1638" t="s">
        <v>74</v>
      </c>
      <c r="AS1638" t="s">
        <v>74</v>
      </c>
      <c r="AT1638" t="s">
        <v>531</v>
      </c>
      <c r="AU1638">
        <v>2019</v>
      </c>
      <c r="AV1638">
        <v>11</v>
      </c>
      <c r="AW1638" t="s">
        <v>74</v>
      </c>
      <c r="AX1638" t="s">
        <v>74</v>
      </c>
      <c r="AY1638" t="s">
        <v>74</v>
      </c>
      <c r="AZ1638" t="s">
        <v>74</v>
      </c>
      <c r="BA1638" t="s">
        <v>74</v>
      </c>
      <c r="BB1638" t="s">
        <v>74</v>
      </c>
      <c r="BC1638" t="s">
        <v>74</v>
      </c>
      <c r="BD1638">
        <v>1756287219875578</v>
      </c>
      <c r="BE1638" t="s">
        <v>29727</v>
      </c>
      <c r="BF1638" t="str">
        <f>HYPERLINK("http://dx.doi.org/10.1177/1756287219875578","http://dx.doi.org/10.1177/1756287219875578")</f>
        <v>http://dx.doi.org/10.1177/1756287219875578</v>
      </c>
      <c r="BG1638" t="s">
        <v>74</v>
      </c>
      <c r="BH1638" t="s">
        <v>74</v>
      </c>
      <c r="BI1638" t="s">
        <v>74</v>
      </c>
      <c r="BJ1638" t="s">
        <v>2193</v>
      </c>
      <c r="BK1638" t="s">
        <v>117</v>
      </c>
      <c r="BL1638" t="s">
        <v>2193</v>
      </c>
      <c r="BM1638" t="s">
        <v>74</v>
      </c>
      <c r="BN1638">
        <v>31632463</v>
      </c>
      <c r="BO1638" t="s">
        <v>74</v>
      </c>
      <c r="BP1638" t="s">
        <v>74</v>
      </c>
      <c r="BQ1638" t="s">
        <v>74</v>
      </c>
      <c r="BR1638" t="s">
        <v>96</v>
      </c>
      <c r="BS1638" t="s">
        <v>29728</v>
      </c>
      <c r="BT1638" t="str">
        <f>HYPERLINK("https%3A%2F%2Fwww.webofscience.com%2Fwos%2Fwoscc%2Ffull-record%2FWOS:000487942400001","View Full Record in Web of Science")</f>
        <v>View Full Record in Web of Science</v>
      </c>
    </row>
    <row r="1639" spans="1:72" x14ac:dyDescent="0.15">
      <c r="A1639" t="s">
        <v>98</v>
      </c>
      <c r="B1639" t="s">
        <v>29755</v>
      </c>
      <c r="C1639" t="s">
        <v>74</v>
      </c>
      <c r="D1639" t="s">
        <v>74</v>
      </c>
      <c r="E1639" t="s">
        <v>74</v>
      </c>
      <c r="F1639" t="s">
        <v>29756</v>
      </c>
      <c r="G1639" t="s">
        <v>74</v>
      </c>
      <c r="H1639" t="s">
        <v>74</v>
      </c>
      <c r="I1639" t="s">
        <v>29757</v>
      </c>
      <c r="J1639" t="s">
        <v>4519</v>
      </c>
      <c r="K1639" t="s">
        <v>74</v>
      </c>
      <c r="L1639" t="s">
        <v>74</v>
      </c>
      <c r="M1639" t="s">
        <v>74</v>
      </c>
      <c r="N1639" t="s">
        <v>103</v>
      </c>
      <c r="O1639" t="s">
        <v>74</v>
      </c>
      <c r="P1639" t="s">
        <v>74</v>
      </c>
      <c r="Q1639" t="s">
        <v>74</v>
      </c>
      <c r="R1639" t="s">
        <v>74</v>
      </c>
      <c r="S1639" t="s">
        <v>74</v>
      </c>
      <c r="T1639" t="s">
        <v>74</v>
      </c>
      <c r="U1639" t="s">
        <v>29758</v>
      </c>
      <c r="V1639" t="s">
        <v>29759</v>
      </c>
      <c r="W1639" t="s">
        <v>29760</v>
      </c>
      <c r="X1639" t="s">
        <v>29761</v>
      </c>
      <c r="Y1639" t="s">
        <v>29762</v>
      </c>
      <c r="Z1639" t="s">
        <v>29763</v>
      </c>
      <c r="AA1639" t="s">
        <v>29764</v>
      </c>
      <c r="AB1639" t="s">
        <v>29765</v>
      </c>
      <c r="AC1639" t="s">
        <v>74</v>
      </c>
      <c r="AD1639" t="s">
        <v>74</v>
      </c>
      <c r="AE1639" t="s">
        <v>74</v>
      </c>
      <c r="AF1639" t="s">
        <v>74</v>
      </c>
      <c r="AG1639">
        <v>38</v>
      </c>
      <c r="AH1639">
        <v>3</v>
      </c>
      <c r="AI1639">
        <v>3</v>
      </c>
      <c r="AJ1639">
        <v>2</v>
      </c>
      <c r="AK1639">
        <v>5</v>
      </c>
      <c r="AL1639" t="s">
        <v>74</v>
      </c>
      <c r="AM1639" t="s">
        <v>74</v>
      </c>
      <c r="AN1639" t="s">
        <v>74</v>
      </c>
      <c r="AO1639" t="s">
        <v>4528</v>
      </c>
      <c r="AP1639" t="s">
        <v>4529</v>
      </c>
      <c r="AQ1639" t="s">
        <v>74</v>
      </c>
      <c r="AR1639" t="s">
        <v>74</v>
      </c>
      <c r="AS1639" t="s">
        <v>74</v>
      </c>
      <c r="AT1639" t="s">
        <v>13106</v>
      </c>
      <c r="AU1639">
        <v>2020</v>
      </c>
      <c r="AV1639">
        <v>12</v>
      </c>
      <c r="AW1639">
        <v>35</v>
      </c>
      <c r="AX1639" t="s">
        <v>74</v>
      </c>
      <c r="AY1639" t="s">
        <v>74</v>
      </c>
      <c r="AZ1639" t="s">
        <v>74</v>
      </c>
      <c r="BA1639" t="s">
        <v>74</v>
      </c>
      <c r="BB1639">
        <v>18022</v>
      </c>
      <c r="BC1639">
        <v>18030</v>
      </c>
      <c r="BD1639" t="s">
        <v>74</v>
      </c>
      <c r="BE1639" t="s">
        <v>29766</v>
      </c>
      <c r="BF1639" t="str">
        <f>HYPERLINK("http://dx.doi.org/10.1039/d0nr03784b","http://dx.doi.org/10.1039/d0nr03784b")</f>
        <v>http://dx.doi.org/10.1039/d0nr03784b</v>
      </c>
      <c r="BG1639" t="s">
        <v>74</v>
      </c>
      <c r="BH1639" t="s">
        <v>74</v>
      </c>
      <c r="BI1639" t="s">
        <v>74</v>
      </c>
      <c r="BJ1639" t="s">
        <v>4532</v>
      </c>
      <c r="BK1639" t="s">
        <v>117</v>
      </c>
      <c r="BL1639" t="s">
        <v>251</v>
      </c>
      <c r="BM1639" t="s">
        <v>74</v>
      </c>
      <c r="BN1639">
        <v>32857097</v>
      </c>
      <c r="BO1639" t="s">
        <v>74</v>
      </c>
      <c r="BP1639" t="s">
        <v>74</v>
      </c>
      <c r="BQ1639" t="s">
        <v>74</v>
      </c>
      <c r="BR1639" t="s">
        <v>96</v>
      </c>
      <c r="BS1639" t="s">
        <v>29767</v>
      </c>
      <c r="BT1639" t="str">
        <f>HYPERLINK("https%3A%2F%2Fwww.webofscience.com%2Fwos%2Fwoscc%2Ffull-record%2FWOS:000571342700005","View Full Record in Web of Science")</f>
        <v>View Full Record in Web of Science</v>
      </c>
    </row>
    <row r="1640" spans="1:72" x14ac:dyDescent="0.15">
      <c r="A1640" t="s">
        <v>4291</v>
      </c>
      <c r="B1640" t="s">
        <v>30264</v>
      </c>
      <c r="C1640" t="s">
        <v>74</v>
      </c>
      <c r="D1640" t="s">
        <v>30265</v>
      </c>
      <c r="E1640" t="s">
        <v>74</v>
      </c>
      <c r="F1640" t="s">
        <v>30266</v>
      </c>
      <c r="G1640" t="s">
        <v>74</v>
      </c>
      <c r="H1640" t="s">
        <v>74</v>
      </c>
      <c r="I1640" t="s">
        <v>30267</v>
      </c>
      <c r="J1640" t="s">
        <v>30268</v>
      </c>
      <c r="K1640" t="s">
        <v>74</v>
      </c>
      <c r="L1640" t="s">
        <v>74</v>
      </c>
      <c r="M1640" t="s">
        <v>74</v>
      </c>
      <c r="N1640" t="s">
        <v>80</v>
      </c>
      <c r="O1640" t="s">
        <v>74</v>
      </c>
      <c r="P1640" t="s">
        <v>74</v>
      </c>
      <c r="Q1640" t="s">
        <v>74</v>
      </c>
      <c r="R1640" t="s">
        <v>74</v>
      </c>
      <c r="S1640" t="s">
        <v>74</v>
      </c>
      <c r="T1640" t="s">
        <v>74</v>
      </c>
      <c r="U1640" t="s">
        <v>30269</v>
      </c>
      <c r="V1640" t="s">
        <v>74</v>
      </c>
      <c r="W1640" t="s">
        <v>30270</v>
      </c>
      <c r="X1640" t="s">
        <v>30271</v>
      </c>
      <c r="Y1640" t="s">
        <v>30272</v>
      </c>
      <c r="Z1640" t="s">
        <v>30273</v>
      </c>
      <c r="AA1640" t="s">
        <v>74</v>
      </c>
      <c r="AB1640" t="s">
        <v>30274</v>
      </c>
      <c r="AC1640" t="s">
        <v>74</v>
      </c>
      <c r="AD1640" t="s">
        <v>74</v>
      </c>
      <c r="AE1640" t="s">
        <v>74</v>
      </c>
      <c r="AF1640" t="s">
        <v>74</v>
      </c>
      <c r="AG1640">
        <v>43</v>
      </c>
      <c r="AH1640">
        <v>3</v>
      </c>
      <c r="AI1640">
        <v>3</v>
      </c>
      <c r="AJ1640">
        <v>0</v>
      </c>
      <c r="AK1640">
        <v>6</v>
      </c>
      <c r="AL1640" t="s">
        <v>74</v>
      </c>
      <c r="AM1640" t="s">
        <v>74</v>
      </c>
      <c r="AN1640" t="s">
        <v>74</v>
      </c>
      <c r="AO1640" t="s">
        <v>74</v>
      </c>
      <c r="AP1640" t="s">
        <v>74</v>
      </c>
      <c r="AQ1640" t="s">
        <v>30275</v>
      </c>
      <c r="AR1640" t="s">
        <v>74</v>
      </c>
      <c r="AS1640" t="s">
        <v>74</v>
      </c>
      <c r="AT1640" t="s">
        <v>74</v>
      </c>
      <c r="AU1640">
        <v>2011</v>
      </c>
      <c r="AV1640" t="s">
        <v>74</v>
      </c>
      <c r="AW1640" t="s">
        <v>74</v>
      </c>
      <c r="AX1640" t="s">
        <v>74</v>
      </c>
      <c r="AY1640" t="s">
        <v>74</v>
      </c>
      <c r="AZ1640" t="s">
        <v>74</v>
      </c>
      <c r="BA1640" t="s">
        <v>74</v>
      </c>
      <c r="BB1640">
        <v>421</v>
      </c>
      <c r="BC1640">
        <v>436</v>
      </c>
      <c r="BD1640" t="s">
        <v>74</v>
      </c>
      <c r="BE1640" t="s">
        <v>74</v>
      </c>
      <c r="BF1640" t="s">
        <v>74</v>
      </c>
      <c r="BG1640" t="s">
        <v>30276</v>
      </c>
      <c r="BH1640" t="s">
        <v>74</v>
      </c>
      <c r="BI1640" t="s">
        <v>74</v>
      </c>
      <c r="BJ1640" t="s">
        <v>30277</v>
      </c>
      <c r="BK1640" t="s">
        <v>94</v>
      </c>
      <c r="BL1640" t="s">
        <v>30277</v>
      </c>
      <c r="BM1640" t="s">
        <v>74</v>
      </c>
      <c r="BN1640" t="s">
        <v>74</v>
      </c>
      <c r="BO1640" t="s">
        <v>74</v>
      </c>
      <c r="BP1640" t="s">
        <v>74</v>
      </c>
      <c r="BQ1640" t="s">
        <v>74</v>
      </c>
      <c r="BR1640" t="s">
        <v>96</v>
      </c>
      <c r="BS1640" t="s">
        <v>30278</v>
      </c>
      <c r="BT1640" t="str">
        <f>HYPERLINK("https%3A%2F%2Fwww.webofscience.com%2Fwos%2Fwoscc%2Ffull-record%2FWOS:000297211500021","View Full Record in Web of Science")</f>
        <v>View Full Record in Web of Science</v>
      </c>
    </row>
    <row r="1641" spans="1:72" x14ac:dyDescent="0.15">
      <c r="A1641" t="s">
        <v>98</v>
      </c>
      <c r="B1641" t="s">
        <v>30327</v>
      </c>
      <c r="C1641" t="s">
        <v>74</v>
      </c>
      <c r="D1641" t="s">
        <v>74</v>
      </c>
      <c r="E1641" t="s">
        <v>74</v>
      </c>
      <c r="F1641" t="s">
        <v>30328</v>
      </c>
      <c r="G1641" t="s">
        <v>74</v>
      </c>
      <c r="H1641" t="s">
        <v>74</v>
      </c>
      <c r="I1641" t="s">
        <v>30329</v>
      </c>
      <c r="J1641" t="s">
        <v>2339</v>
      </c>
      <c r="K1641" t="s">
        <v>74</v>
      </c>
      <c r="L1641" t="s">
        <v>74</v>
      </c>
      <c r="M1641" t="s">
        <v>74</v>
      </c>
      <c r="N1641" t="s">
        <v>103</v>
      </c>
      <c r="O1641" t="s">
        <v>74</v>
      </c>
      <c r="P1641" t="s">
        <v>74</v>
      </c>
      <c r="Q1641" t="s">
        <v>74</v>
      </c>
      <c r="R1641" t="s">
        <v>74</v>
      </c>
      <c r="S1641" t="s">
        <v>74</v>
      </c>
      <c r="T1641" t="s">
        <v>30330</v>
      </c>
      <c r="U1641" t="s">
        <v>30331</v>
      </c>
      <c r="V1641" t="s">
        <v>30332</v>
      </c>
      <c r="W1641" t="s">
        <v>30333</v>
      </c>
      <c r="X1641" t="s">
        <v>30334</v>
      </c>
      <c r="Y1641" t="s">
        <v>30335</v>
      </c>
      <c r="Z1641" t="s">
        <v>30336</v>
      </c>
      <c r="AA1641" t="s">
        <v>74</v>
      </c>
      <c r="AB1641" t="s">
        <v>30337</v>
      </c>
      <c r="AC1641" t="s">
        <v>74</v>
      </c>
      <c r="AD1641" t="s">
        <v>74</v>
      </c>
      <c r="AE1641" t="s">
        <v>74</v>
      </c>
      <c r="AF1641" t="s">
        <v>74</v>
      </c>
      <c r="AG1641">
        <v>162</v>
      </c>
      <c r="AH1641">
        <v>3</v>
      </c>
      <c r="AI1641">
        <v>3</v>
      </c>
      <c r="AJ1641">
        <v>2</v>
      </c>
      <c r="AK1641">
        <v>2</v>
      </c>
      <c r="AL1641" t="s">
        <v>74</v>
      </c>
      <c r="AM1641" t="s">
        <v>74</v>
      </c>
      <c r="AN1641" t="s">
        <v>74</v>
      </c>
      <c r="AO1641" t="s">
        <v>2348</v>
      </c>
      <c r="AP1641" t="s">
        <v>2349</v>
      </c>
      <c r="AQ1641" t="s">
        <v>74</v>
      </c>
      <c r="AR1641" t="s">
        <v>74</v>
      </c>
      <c r="AS1641" t="s">
        <v>74</v>
      </c>
      <c r="AT1641" t="s">
        <v>565</v>
      </c>
      <c r="AU1641">
        <v>2022</v>
      </c>
      <c r="AV1641">
        <v>111</v>
      </c>
      <c r="AW1641">
        <v>3</v>
      </c>
      <c r="AX1641" t="s">
        <v>74</v>
      </c>
      <c r="AY1641" t="s">
        <v>74</v>
      </c>
      <c r="AZ1641" t="s">
        <v>74</v>
      </c>
      <c r="BA1641" t="s">
        <v>74</v>
      </c>
      <c r="BB1641">
        <v>519</v>
      </c>
      <c r="BC1641">
        <v>538</v>
      </c>
      <c r="BD1641" t="s">
        <v>74</v>
      </c>
      <c r="BE1641" t="s">
        <v>30338</v>
      </c>
      <c r="BF1641" t="str">
        <f>HYPERLINK("http://dx.doi.org/10.1002/JLB.5HI0321-179RR","http://dx.doi.org/10.1002/JLB.5HI0321-179RR")</f>
        <v>http://dx.doi.org/10.1002/JLB.5HI0321-179RR</v>
      </c>
      <c r="BG1641" t="s">
        <v>74</v>
      </c>
      <c r="BH1641" t="s">
        <v>2718</v>
      </c>
      <c r="BI1641" t="s">
        <v>74</v>
      </c>
      <c r="BJ1641" t="s">
        <v>2351</v>
      </c>
      <c r="BK1641" t="s">
        <v>117</v>
      </c>
      <c r="BL1641" t="s">
        <v>2351</v>
      </c>
      <c r="BM1641" t="s">
        <v>74</v>
      </c>
      <c r="BN1641">
        <v>34889468</v>
      </c>
      <c r="BO1641" t="s">
        <v>74</v>
      </c>
      <c r="BP1641" t="s">
        <v>74</v>
      </c>
      <c r="BQ1641" t="s">
        <v>74</v>
      </c>
      <c r="BR1641" t="s">
        <v>96</v>
      </c>
      <c r="BS1641" t="s">
        <v>30339</v>
      </c>
      <c r="BT1641" t="str">
        <f>HYPERLINK("https%3A%2F%2Fwww.webofscience.com%2Fwos%2Fwoscc%2Ffull-record%2FWOS:000728663700001","View Full Record in Web of Science")</f>
        <v>View Full Record in Web of Science</v>
      </c>
    </row>
    <row r="1642" spans="1:72" x14ac:dyDescent="0.15">
      <c r="A1642" t="s">
        <v>98</v>
      </c>
      <c r="B1642" t="s">
        <v>553</v>
      </c>
      <c r="C1642" t="s">
        <v>74</v>
      </c>
      <c r="D1642" t="s">
        <v>74</v>
      </c>
      <c r="E1642" t="s">
        <v>74</v>
      </c>
      <c r="F1642" t="s">
        <v>554</v>
      </c>
      <c r="G1642" t="s">
        <v>74</v>
      </c>
      <c r="H1642" t="s">
        <v>74</v>
      </c>
      <c r="I1642" t="s">
        <v>555</v>
      </c>
      <c r="J1642" t="s">
        <v>123</v>
      </c>
      <c r="K1642" t="s">
        <v>74</v>
      </c>
      <c r="L1642" t="s">
        <v>74</v>
      </c>
      <c r="M1642" t="s">
        <v>74</v>
      </c>
      <c r="N1642" t="s">
        <v>103</v>
      </c>
      <c r="O1642" t="s">
        <v>74</v>
      </c>
      <c r="P1642" t="s">
        <v>74</v>
      </c>
      <c r="Q1642" t="s">
        <v>74</v>
      </c>
      <c r="R1642" t="s">
        <v>74</v>
      </c>
      <c r="S1642" t="s">
        <v>74</v>
      </c>
      <c r="T1642" t="s">
        <v>556</v>
      </c>
      <c r="U1642" t="s">
        <v>557</v>
      </c>
      <c r="V1642" t="s">
        <v>558</v>
      </c>
      <c r="W1642" t="s">
        <v>559</v>
      </c>
      <c r="X1642" t="s">
        <v>560</v>
      </c>
      <c r="Y1642" t="s">
        <v>561</v>
      </c>
      <c r="Z1642" t="s">
        <v>562</v>
      </c>
      <c r="AA1642" t="s">
        <v>563</v>
      </c>
      <c r="AB1642" t="s">
        <v>564</v>
      </c>
      <c r="AC1642" t="s">
        <v>74</v>
      </c>
      <c r="AD1642" t="s">
        <v>74</v>
      </c>
      <c r="AE1642" t="s">
        <v>74</v>
      </c>
      <c r="AF1642" t="s">
        <v>74</v>
      </c>
      <c r="AG1642">
        <v>50</v>
      </c>
      <c r="AH1642">
        <v>2</v>
      </c>
      <c r="AI1642">
        <v>2</v>
      </c>
      <c r="AJ1642">
        <v>15</v>
      </c>
      <c r="AK1642">
        <v>15</v>
      </c>
      <c r="AL1642" t="s">
        <v>74</v>
      </c>
      <c r="AM1642" t="s">
        <v>74</v>
      </c>
      <c r="AN1642" t="s">
        <v>74</v>
      </c>
      <c r="AO1642" t="s">
        <v>74</v>
      </c>
      <c r="AP1642" t="s">
        <v>131</v>
      </c>
      <c r="AQ1642" t="s">
        <v>74</v>
      </c>
      <c r="AR1642" t="s">
        <v>74</v>
      </c>
      <c r="AS1642" t="s">
        <v>74</v>
      </c>
      <c r="AT1642" t="s">
        <v>565</v>
      </c>
      <c r="AU1642">
        <v>2022</v>
      </c>
      <c r="AV1642">
        <v>11</v>
      </c>
      <c r="AW1642">
        <v>3</v>
      </c>
      <c r="AX1642" t="s">
        <v>74</v>
      </c>
      <c r="AY1642" t="s">
        <v>74</v>
      </c>
      <c r="AZ1642" t="s">
        <v>74</v>
      </c>
      <c r="BA1642" t="s">
        <v>74</v>
      </c>
      <c r="BB1642" t="s">
        <v>74</v>
      </c>
      <c r="BC1642" t="s">
        <v>74</v>
      </c>
      <c r="BD1642" t="s">
        <v>566</v>
      </c>
      <c r="BE1642" t="s">
        <v>567</v>
      </c>
      <c r="BF1642" t="str">
        <f>HYPERLINK("http://dx.doi.org/10.1002/jev2.12205","http://dx.doi.org/10.1002/jev2.12205")</f>
        <v>http://dx.doi.org/10.1002/jev2.12205</v>
      </c>
      <c r="BG1642" t="s">
        <v>74</v>
      </c>
      <c r="BH1642" t="s">
        <v>74</v>
      </c>
      <c r="BI1642" t="s">
        <v>74</v>
      </c>
      <c r="BJ1642" t="s">
        <v>135</v>
      </c>
      <c r="BK1642" t="s">
        <v>117</v>
      </c>
      <c r="BL1642" t="s">
        <v>135</v>
      </c>
      <c r="BM1642" t="s">
        <v>74</v>
      </c>
      <c r="BN1642">
        <v>35289089</v>
      </c>
      <c r="BO1642" t="s">
        <v>74</v>
      </c>
      <c r="BP1642" t="s">
        <v>74</v>
      </c>
      <c r="BQ1642" t="s">
        <v>74</v>
      </c>
      <c r="BR1642" t="s">
        <v>96</v>
      </c>
      <c r="BS1642" t="s">
        <v>568</v>
      </c>
      <c r="BT1642" t="str">
        <f>HYPERLINK("https%3A%2F%2Fwww.webofscience.com%2Fwos%2Fwoscc%2Ffull-record%2FWOS:000768511000001","View Full Record in Web of Science")</f>
        <v>View Full Record in Web of Science</v>
      </c>
    </row>
    <row r="1643" spans="1:72" x14ac:dyDescent="0.15">
      <c r="A1643" t="s">
        <v>98</v>
      </c>
      <c r="B1643" t="s">
        <v>952</v>
      </c>
      <c r="C1643" t="s">
        <v>74</v>
      </c>
      <c r="D1643" t="s">
        <v>74</v>
      </c>
      <c r="E1643" t="s">
        <v>74</v>
      </c>
      <c r="F1643" t="s">
        <v>953</v>
      </c>
      <c r="G1643" t="s">
        <v>74</v>
      </c>
      <c r="H1643" t="s">
        <v>74</v>
      </c>
      <c r="I1643" t="s">
        <v>954</v>
      </c>
      <c r="J1643" t="s">
        <v>955</v>
      </c>
      <c r="K1643" t="s">
        <v>74</v>
      </c>
      <c r="L1643" t="s">
        <v>74</v>
      </c>
      <c r="M1643" t="s">
        <v>74</v>
      </c>
      <c r="N1643" t="s">
        <v>103</v>
      </c>
      <c r="O1643" t="s">
        <v>74</v>
      </c>
      <c r="P1643" t="s">
        <v>74</v>
      </c>
      <c r="Q1643" t="s">
        <v>74</v>
      </c>
      <c r="R1643" t="s">
        <v>74</v>
      </c>
      <c r="S1643" t="s">
        <v>74</v>
      </c>
      <c r="T1643" t="s">
        <v>956</v>
      </c>
      <c r="U1643" t="s">
        <v>957</v>
      </c>
      <c r="V1643" t="s">
        <v>958</v>
      </c>
      <c r="W1643" t="s">
        <v>959</v>
      </c>
      <c r="X1643" t="s">
        <v>960</v>
      </c>
      <c r="Y1643" t="s">
        <v>961</v>
      </c>
      <c r="Z1643" t="s">
        <v>962</v>
      </c>
      <c r="AA1643" t="s">
        <v>963</v>
      </c>
      <c r="AB1643" t="s">
        <v>964</v>
      </c>
      <c r="AC1643" t="s">
        <v>74</v>
      </c>
      <c r="AD1643" t="s">
        <v>74</v>
      </c>
      <c r="AE1643" t="s">
        <v>74</v>
      </c>
      <c r="AF1643" t="s">
        <v>74</v>
      </c>
      <c r="AG1643">
        <v>127</v>
      </c>
      <c r="AH1643">
        <v>2</v>
      </c>
      <c r="AI1643">
        <v>2</v>
      </c>
      <c r="AJ1643">
        <v>1</v>
      </c>
      <c r="AK1643">
        <v>14</v>
      </c>
      <c r="AL1643" t="s">
        <v>74</v>
      </c>
      <c r="AM1643" t="s">
        <v>74</v>
      </c>
      <c r="AN1643" t="s">
        <v>74</v>
      </c>
      <c r="AO1643" t="s">
        <v>965</v>
      </c>
      <c r="AP1643" t="s">
        <v>966</v>
      </c>
      <c r="AQ1643" t="s">
        <v>74</v>
      </c>
      <c r="AR1643" t="s">
        <v>74</v>
      </c>
      <c r="AS1643" t="s">
        <v>74</v>
      </c>
      <c r="AT1643" t="s">
        <v>967</v>
      </c>
      <c r="AU1643">
        <v>2021</v>
      </c>
      <c r="AV1643">
        <v>13</v>
      </c>
      <c r="AW1643" t="s">
        <v>968</v>
      </c>
      <c r="AX1643" t="s">
        <v>74</v>
      </c>
      <c r="AY1643" t="s">
        <v>969</v>
      </c>
      <c r="AZ1643" t="s">
        <v>447</v>
      </c>
      <c r="BA1643" t="s">
        <v>74</v>
      </c>
      <c r="BB1643" t="s">
        <v>970</v>
      </c>
      <c r="BC1643" t="s">
        <v>971</v>
      </c>
      <c r="BD1643">
        <v>1947603520962567</v>
      </c>
      <c r="BE1643" t="s">
        <v>972</v>
      </c>
      <c r="BF1643" t="str">
        <f>HYPERLINK("http://dx.doi.org/10.1177/1947603520962567","http://dx.doi.org/10.1177/1947603520962567")</f>
        <v>http://dx.doi.org/10.1177/1947603520962567</v>
      </c>
      <c r="BG1643" t="s">
        <v>74</v>
      </c>
      <c r="BH1643" t="s">
        <v>973</v>
      </c>
      <c r="BI1643" t="s">
        <v>74</v>
      </c>
      <c r="BJ1643" t="s">
        <v>974</v>
      </c>
      <c r="BK1643" t="s">
        <v>117</v>
      </c>
      <c r="BL1643" t="s">
        <v>974</v>
      </c>
      <c r="BM1643" t="s">
        <v>74</v>
      </c>
      <c r="BN1643">
        <v>33016114</v>
      </c>
      <c r="BO1643" t="s">
        <v>74</v>
      </c>
      <c r="BP1643" t="s">
        <v>74</v>
      </c>
      <c r="BQ1643" t="s">
        <v>74</v>
      </c>
      <c r="BR1643" t="s">
        <v>96</v>
      </c>
      <c r="BS1643" t="s">
        <v>975</v>
      </c>
      <c r="BT1643" t="str">
        <f>HYPERLINK("https%3A%2F%2Fwww.webofscience.com%2Fwos%2Fwoscc%2Ffull-record%2FWOS:000579270600001","View Full Record in Web of Science")</f>
        <v>View Full Record in Web of Science</v>
      </c>
    </row>
    <row r="1644" spans="1:72" x14ac:dyDescent="0.15">
      <c r="A1644" t="s">
        <v>98</v>
      </c>
      <c r="B1644" t="s">
        <v>1050</v>
      </c>
      <c r="C1644" t="s">
        <v>74</v>
      </c>
      <c r="D1644" t="s">
        <v>74</v>
      </c>
      <c r="E1644" t="s">
        <v>74</v>
      </c>
      <c r="F1644" t="s">
        <v>1051</v>
      </c>
      <c r="G1644" t="s">
        <v>74</v>
      </c>
      <c r="H1644" t="s">
        <v>74</v>
      </c>
      <c r="I1644" t="s">
        <v>1052</v>
      </c>
      <c r="J1644" t="s">
        <v>1053</v>
      </c>
      <c r="K1644" t="s">
        <v>74</v>
      </c>
      <c r="L1644" t="s">
        <v>74</v>
      </c>
      <c r="M1644" t="s">
        <v>74</v>
      </c>
      <c r="N1644" t="s">
        <v>103</v>
      </c>
      <c r="O1644" t="s">
        <v>74</v>
      </c>
      <c r="P1644" t="s">
        <v>74</v>
      </c>
      <c r="Q1644" t="s">
        <v>74</v>
      </c>
      <c r="R1644" t="s">
        <v>74</v>
      </c>
      <c r="S1644" t="s">
        <v>74</v>
      </c>
      <c r="T1644" t="s">
        <v>1054</v>
      </c>
      <c r="U1644" t="s">
        <v>1055</v>
      </c>
      <c r="V1644" t="s">
        <v>1056</v>
      </c>
      <c r="W1644" t="s">
        <v>1057</v>
      </c>
      <c r="X1644" t="s">
        <v>1058</v>
      </c>
      <c r="Y1644" t="s">
        <v>1059</v>
      </c>
      <c r="Z1644" t="s">
        <v>1060</v>
      </c>
      <c r="AA1644" t="s">
        <v>1061</v>
      </c>
      <c r="AB1644" t="s">
        <v>1062</v>
      </c>
      <c r="AC1644" t="s">
        <v>74</v>
      </c>
      <c r="AD1644" t="s">
        <v>74</v>
      </c>
      <c r="AE1644" t="s">
        <v>74</v>
      </c>
      <c r="AF1644" t="s">
        <v>74</v>
      </c>
      <c r="AG1644">
        <v>51</v>
      </c>
      <c r="AH1644">
        <v>2</v>
      </c>
      <c r="AI1644">
        <v>2</v>
      </c>
      <c r="AJ1644">
        <v>1</v>
      </c>
      <c r="AK1644">
        <v>11</v>
      </c>
      <c r="AL1644" t="s">
        <v>74</v>
      </c>
      <c r="AM1644" t="s">
        <v>74</v>
      </c>
      <c r="AN1644" t="s">
        <v>74</v>
      </c>
      <c r="AO1644" t="s">
        <v>1063</v>
      </c>
      <c r="AP1644" t="s">
        <v>1064</v>
      </c>
      <c r="AQ1644" t="s">
        <v>74</v>
      </c>
      <c r="AR1644" t="s">
        <v>74</v>
      </c>
      <c r="AS1644" t="s">
        <v>74</v>
      </c>
      <c r="AT1644" t="s">
        <v>614</v>
      </c>
      <c r="AU1644">
        <v>2020</v>
      </c>
      <c r="AV1644">
        <v>34</v>
      </c>
      <c r="AW1644">
        <v>7</v>
      </c>
      <c r="AX1644" t="s">
        <v>74</v>
      </c>
      <c r="AY1644" t="s">
        <v>74</v>
      </c>
      <c r="AZ1644" t="s">
        <v>74</v>
      </c>
      <c r="BA1644" t="s">
        <v>74</v>
      </c>
      <c r="BB1644">
        <v>9297</v>
      </c>
      <c r="BC1644">
        <v>9306</v>
      </c>
      <c r="BD1644" t="s">
        <v>74</v>
      </c>
      <c r="BE1644" t="s">
        <v>1065</v>
      </c>
      <c r="BF1644" t="str">
        <f>HYPERLINK("http://dx.doi.org/10.1096/fj.202000463R","http://dx.doi.org/10.1096/fj.202000463R")</f>
        <v>http://dx.doi.org/10.1096/fj.202000463R</v>
      </c>
      <c r="BG1644" t="s">
        <v>74</v>
      </c>
      <c r="BH1644" t="s">
        <v>1066</v>
      </c>
      <c r="BI1644" t="s">
        <v>74</v>
      </c>
      <c r="BJ1644" t="s">
        <v>1067</v>
      </c>
      <c r="BK1644" t="s">
        <v>117</v>
      </c>
      <c r="BL1644" t="s">
        <v>1068</v>
      </c>
      <c r="BM1644" t="s">
        <v>74</v>
      </c>
      <c r="BN1644">
        <v>32441840</v>
      </c>
      <c r="BO1644" t="s">
        <v>74</v>
      </c>
      <c r="BP1644" t="s">
        <v>74</v>
      </c>
      <c r="BQ1644" t="s">
        <v>74</v>
      </c>
      <c r="BR1644" t="s">
        <v>96</v>
      </c>
      <c r="BS1644" t="s">
        <v>1069</v>
      </c>
      <c r="BT1644" t="str">
        <f>HYPERLINK("https%3A%2F%2Fwww.webofscience.com%2Fwos%2Fwoscc%2Ffull-record%2FWOS:000535411400001","View Full Record in Web of Science")</f>
        <v>View Full Record in Web of Science</v>
      </c>
    </row>
    <row r="1645" spans="1:72" x14ac:dyDescent="0.15">
      <c r="A1645" t="s">
        <v>98</v>
      </c>
      <c r="B1645" t="s">
        <v>1525</v>
      </c>
      <c r="C1645" t="s">
        <v>74</v>
      </c>
      <c r="D1645" t="s">
        <v>74</v>
      </c>
      <c r="E1645" t="s">
        <v>74</v>
      </c>
      <c r="F1645" t="s">
        <v>1526</v>
      </c>
      <c r="G1645" t="s">
        <v>74</v>
      </c>
      <c r="H1645" t="s">
        <v>74</v>
      </c>
      <c r="I1645" t="s">
        <v>1527</v>
      </c>
      <c r="J1645" t="s">
        <v>1528</v>
      </c>
      <c r="K1645" t="s">
        <v>74</v>
      </c>
      <c r="L1645" t="s">
        <v>74</v>
      </c>
      <c r="M1645" t="s">
        <v>74</v>
      </c>
      <c r="N1645" t="s">
        <v>103</v>
      </c>
      <c r="O1645" t="s">
        <v>74</v>
      </c>
      <c r="P1645" t="s">
        <v>74</v>
      </c>
      <c r="Q1645" t="s">
        <v>74</v>
      </c>
      <c r="R1645" t="s">
        <v>74</v>
      </c>
      <c r="S1645" t="s">
        <v>74</v>
      </c>
      <c r="T1645" t="s">
        <v>1529</v>
      </c>
      <c r="U1645" t="s">
        <v>1530</v>
      </c>
      <c r="V1645" t="s">
        <v>1531</v>
      </c>
      <c r="W1645" t="s">
        <v>1532</v>
      </c>
      <c r="X1645" t="s">
        <v>1533</v>
      </c>
      <c r="Y1645" t="s">
        <v>1534</v>
      </c>
      <c r="Z1645" t="s">
        <v>1535</v>
      </c>
      <c r="AA1645" t="s">
        <v>74</v>
      </c>
      <c r="AB1645" t="s">
        <v>74</v>
      </c>
      <c r="AC1645" t="s">
        <v>74</v>
      </c>
      <c r="AD1645" t="s">
        <v>74</v>
      </c>
      <c r="AE1645" t="s">
        <v>74</v>
      </c>
      <c r="AF1645" t="s">
        <v>74</v>
      </c>
      <c r="AG1645">
        <v>20</v>
      </c>
      <c r="AH1645">
        <v>2</v>
      </c>
      <c r="AI1645">
        <v>2</v>
      </c>
      <c r="AJ1645">
        <v>1</v>
      </c>
      <c r="AK1645">
        <v>1</v>
      </c>
      <c r="AL1645" t="s">
        <v>74</v>
      </c>
      <c r="AM1645" t="s">
        <v>74</v>
      </c>
      <c r="AN1645" t="s">
        <v>74</v>
      </c>
      <c r="AO1645" t="s">
        <v>1536</v>
      </c>
      <c r="AP1645" t="s">
        <v>1537</v>
      </c>
      <c r="AQ1645" t="s">
        <v>74</v>
      </c>
      <c r="AR1645" t="s">
        <v>74</v>
      </c>
      <c r="AS1645" t="s">
        <v>74</v>
      </c>
      <c r="AT1645" t="s">
        <v>614</v>
      </c>
      <c r="AU1645">
        <v>2020</v>
      </c>
      <c r="AV1645">
        <v>11</v>
      </c>
      <c r="AW1645">
        <v>7</v>
      </c>
      <c r="AX1645" t="s">
        <v>74</v>
      </c>
      <c r="AY1645" t="s">
        <v>74</v>
      </c>
      <c r="AZ1645" t="s">
        <v>74</v>
      </c>
      <c r="BA1645" t="s">
        <v>74</v>
      </c>
      <c r="BB1645">
        <v>1989</v>
      </c>
      <c r="BC1645">
        <v>1995</v>
      </c>
      <c r="BD1645" t="s">
        <v>74</v>
      </c>
      <c r="BE1645" t="s">
        <v>1538</v>
      </c>
      <c r="BF1645" t="str">
        <f>HYPERLINK("http://dx.doi.org/10.1111/1759-7714.13492","http://dx.doi.org/10.1111/1759-7714.13492")</f>
        <v>http://dx.doi.org/10.1111/1759-7714.13492</v>
      </c>
      <c r="BG1645" t="s">
        <v>74</v>
      </c>
      <c r="BH1645" t="s">
        <v>1066</v>
      </c>
      <c r="BI1645" t="s">
        <v>74</v>
      </c>
      <c r="BJ1645" t="s">
        <v>1539</v>
      </c>
      <c r="BK1645" t="s">
        <v>117</v>
      </c>
      <c r="BL1645" t="s">
        <v>1539</v>
      </c>
      <c r="BM1645" t="s">
        <v>74</v>
      </c>
      <c r="BN1645">
        <v>32468709</v>
      </c>
      <c r="BO1645" t="s">
        <v>74</v>
      </c>
      <c r="BP1645" t="s">
        <v>74</v>
      </c>
      <c r="BQ1645" t="s">
        <v>74</v>
      </c>
      <c r="BR1645" t="s">
        <v>96</v>
      </c>
      <c r="BS1645" t="s">
        <v>1540</v>
      </c>
      <c r="BT1645" t="str">
        <f>HYPERLINK("https%3A%2F%2Fwww.webofscience.com%2Fwos%2Fwoscc%2Ffull-record%2FWOS:000536239300001","View Full Record in Web of Science")</f>
        <v>View Full Record in Web of Science</v>
      </c>
    </row>
    <row r="1646" spans="1:72" x14ac:dyDescent="0.15">
      <c r="A1646" t="s">
        <v>98</v>
      </c>
      <c r="B1646" t="s">
        <v>1681</v>
      </c>
      <c r="C1646" t="s">
        <v>74</v>
      </c>
      <c r="D1646" t="s">
        <v>74</v>
      </c>
      <c r="E1646" t="s">
        <v>74</v>
      </c>
      <c r="F1646" t="s">
        <v>1682</v>
      </c>
      <c r="G1646" t="s">
        <v>74</v>
      </c>
      <c r="H1646" t="s">
        <v>74</v>
      </c>
      <c r="I1646" t="s">
        <v>1683</v>
      </c>
      <c r="J1646" t="s">
        <v>1684</v>
      </c>
      <c r="K1646" t="s">
        <v>74</v>
      </c>
      <c r="L1646" t="s">
        <v>74</v>
      </c>
      <c r="M1646" t="s">
        <v>74</v>
      </c>
      <c r="N1646" t="s">
        <v>103</v>
      </c>
      <c r="O1646" t="s">
        <v>74</v>
      </c>
      <c r="P1646" t="s">
        <v>74</v>
      </c>
      <c r="Q1646" t="s">
        <v>74</v>
      </c>
      <c r="R1646" t="s">
        <v>74</v>
      </c>
      <c r="S1646" t="s">
        <v>74</v>
      </c>
      <c r="T1646" t="s">
        <v>1685</v>
      </c>
      <c r="U1646" t="s">
        <v>1686</v>
      </c>
      <c r="V1646" t="s">
        <v>1687</v>
      </c>
      <c r="W1646" t="s">
        <v>1688</v>
      </c>
      <c r="X1646" t="s">
        <v>1689</v>
      </c>
      <c r="Y1646" t="s">
        <v>1690</v>
      </c>
      <c r="Z1646" t="s">
        <v>1691</v>
      </c>
      <c r="AA1646" t="s">
        <v>74</v>
      </c>
      <c r="AB1646" t="s">
        <v>74</v>
      </c>
      <c r="AC1646" t="s">
        <v>74</v>
      </c>
      <c r="AD1646" t="s">
        <v>74</v>
      </c>
      <c r="AE1646" t="s">
        <v>74</v>
      </c>
      <c r="AF1646" t="s">
        <v>74</v>
      </c>
      <c r="AG1646">
        <v>53</v>
      </c>
      <c r="AH1646">
        <v>2</v>
      </c>
      <c r="AI1646">
        <v>3</v>
      </c>
      <c r="AJ1646">
        <v>1</v>
      </c>
      <c r="AK1646">
        <v>10</v>
      </c>
      <c r="AL1646" t="s">
        <v>74</v>
      </c>
      <c r="AM1646" t="s">
        <v>74</v>
      </c>
      <c r="AN1646" t="s">
        <v>74</v>
      </c>
      <c r="AO1646" t="s">
        <v>1692</v>
      </c>
      <c r="AP1646" t="s">
        <v>1693</v>
      </c>
      <c r="AQ1646" t="s">
        <v>74</v>
      </c>
      <c r="AR1646" t="s">
        <v>74</v>
      </c>
      <c r="AS1646" t="s">
        <v>74</v>
      </c>
      <c r="AT1646" t="s">
        <v>114</v>
      </c>
      <c r="AU1646">
        <v>2019</v>
      </c>
      <c r="AV1646">
        <v>19</v>
      </c>
      <c r="AW1646" t="s">
        <v>1694</v>
      </c>
      <c r="AX1646" t="s">
        <v>74</v>
      </c>
      <c r="AY1646" t="s">
        <v>74</v>
      </c>
      <c r="AZ1646" t="s">
        <v>447</v>
      </c>
      <c r="BA1646" t="s">
        <v>74</v>
      </c>
      <c r="BB1646" t="s">
        <v>74</v>
      </c>
      <c r="BC1646" t="s">
        <v>74</v>
      </c>
      <c r="BD1646">
        <v>1800170</v>
      </c>
      <c r="BE1646" t="s">
        <v>1695</v>
      </c>
      <c r="BF1646" t="str">
        <f>HYPERLINK("http://dx.doi.org/10.1002/pmic.201800170","http://dx.doi.org/10.1002/pmic.201800170")</f>
        <v>http://dx.doi.org/10.1002/pmic.201800170</v>
      </c>
      <c r="BG1646" t="s">
        <v>74</v>
      </c>
      <c r="BH1646" t="s">
        <v>74</v>
      </c>
      <c r="BI1646" t="s">
        <v>74</v>
      </c>
      <c r="BJ1646" t="s">
        <v>93</v>
      </c>
      <c r="BK1646" t="s">
        <v>117</v>
      </c>
      <c r="BL1646" t="s">
        <v>95</v>
      </c>
      <c r="BM1646" t="s">
        <v>74</v>
      </c>
      <c r="BN1646">
        <v>30358122</v>
      </c>
      <c r="BO1646" t="s">
        <v>74</v>
      </c>
      <c r="BP1646" t="s">
        <v>74</v>
      </c>
      <c r="BQ1646" t="s">
        <v>74</v>
      </c>
      <c r="BR1646" t="s">
        <v>96</v>
      </c>
      <c r="BS1646" t="s">
        <v>1696</v>
      </c>
      <c r="BT1646" t="str">
        <f>HYPERLINK("https%3A%2F%2Fwww.webofscience.com%2Fwos%2Fwoscc%2Ffull-record%2FWOS:000456808000014","View Full Record in Web of Science")</f>
        <v>View Full Record in Web of Science</v>
      </c>
    </row>
    <row r="1647" spans="1:72" x14ac:dyDescent="0.15">
      <c r="A1647" t="s">
        <v>98</v>
      </c>
      <c r="B1647" t="s">
        <v>1889</v>
      </c>
      <c r="C1647" t="s">
        <v>74</v>
      </c>
      <c r="D1647" t="s">
        <v>74</v>
      </c>
      <c r="E1647" t="s">
        <v>74</v>
      </c>
      <c r="F1647" t="s">
        <v>1890</v>
      </c>
      <c r="G1647" t="s">
        <v>74</v>
      </c>
      <c r="H1647" t="s">
        <v>74</v>
      </c>
      <c r="I1647" t="s">
        <v>1891</v>
      </c>
      <c r="J1647" t="s">
        <v>1892</v>
      </c>
      <c r="K1647" t="s">
        <v>74</v>
      </c>
      <c r="L1647" t="s">
        <v>74</v>
      </c>
      <c r="M1647" t="s">
        <v>74</v>
      </c>
      <c r="N1647" t="s">
        <v>103</v>
      </c>
      <c r="O1647" t="s">
        <v>74</v>
      </c>
      <c r="P1647" t="s">
        <v>74</v>
      </c>
      <c r="Q1647" t="s">
        <v>74</v>
      </c>
      <c r="R1647" t="s">
        <v>74</v>
      </c>
      <c r="S1647" t="s">
        <v>74</v>
      </c>
      <c r="T1647" t="s">
        <v>1893</v>
      </c>
      <c r="U1647" t="s">
        <v>1894</v>
      </c>
      <c r="V1647" t="s">
        <v>1895</v>
      </c>
      <c r="W1647" t="s">
        <v>1896</v>
      </c>
      <c r="X1647" t="s">
        <v>1897</v>
      </c>
      <c r="Y1647" t="s">
        <v>1898</v>
      </c>
      <c r="Z1647" t="s">
        <v>1899</v>
      </c>
      <c r="AA1647" t="s">
        <v>1287</v>
      </c>
      <c r="AB1647" t="s">
        <v>1900</v>
      </c>
      <c r="AC1647" t="s">
        <v>74</v>
      </c>
      <c r="AD1647" t="s">
        <v>74</v>
      </c>
      <c r="AE1647" t="s">
        <v>74</v>
      </c>
      <c r="AF1647" t="s">
        <v>74</v>
      </c>
      <c r="AG1647">
        <v>50</v>
      </c>
      <c r="AH1647">
        <v>2</v>
      </c>
      <c r="AI1647">
        <v>2</v>
      </c>
      <c r="AJ1647">
        <v>3</v>
      </c>
      <c r="AK1647">
        <v>26</v>
      </c>
      <c r="AL1647" t="s">
        <v>74</v>
      </c>
      <c r="AM1647" t="s">
        <v>74</v>
      </c>
      <c r="AN1647" t="s">
        <v>74</v>
      </c>
      <c r="AO1647" t="s">
        <v>1901</v>
      </c>
      <c r="AP1647" t="s">
        <v>1902</v>
      </c>
      <c r="AQ1647" t="s">
        <v>74</v>
      </c>
      <c r="AR1647" t="s">
        <v>74</v>
      </c>
      <c r="AS1647" t="s">
        <v>74</v>
      </c>
      <c r="AT1647" t="s">
        <v>189</v>
      </c>
      <c r="AU1647">
        <v>2020</v>
      </c>
      <c r="AV1647">
        <v>29</v>
      </c>
      <c r="AW1647">
        <v>5</v>
      </c>
      <c r="AX1647" t="s">
        <v>74</v>
      </c>
      <c r="AY1647" t="s">
        <v>74</v>
      </c>
      <c r="AZ1647" t="s">
        <v>74</v>
      </c>
      <c r="BA1647" t="s">
        <v>74</v>
      </c>
      <c r="BB1647">
        <v>776</v>
      </c>
      <c r="BC1647">
        <v>782</v>
      </c>
      <c r="BD1647" t="s">
        <v>74</v>
      </c>
      <c r="BE1647" t="s">
        <v>1903</v>
      </c>
      <c r="BF1647" t="str">
        <f>HYPERLINK("http://dx.doi.org/10.1109/JMEMS.2020.3006786","http://dx.doi.org/10.1109/JMEMS.2020.3006786")</f>
        <v>http://dx.doi.org/10.1109/JMEMS.2020.3006786</v>
      </c>
      <c r="BG1647" t="s">
        <v>74</v>
      </c>
      <c r="BH1647" t="s">
        <v>74</v>
      </c>
      <c r="BI1647" t="s">
        <v>74</v>
      </c>
      <c r="BJ1647" t="s">
        <v>1904</v>
      </c>
      <c r="BK1647" t="s">
        <v>117</v>
      </c>
      <c r="BL1647" t="s">
        <v>1905</v>
      </c>
      <c r="BM1647" t="s">
        <v>74</v>
      </c>
      <c r="BN1647">
        <v>33519169</v>
      </c>
      <c r="BO1647" t="s">
        <v>74</v>
      </c>
      <c r="BP1647" t="s">
        <v>74</v>
      </c>
      <c r="BQ1647" t="s">
        <v>74</v>
      </c>
      <c r="BR1647" t="s">
        <v>96</v>
      </c>
      <c r="BS1647" t="s">
        <v>1906</v>
      </c>
      <c r="BT1647" t="str">
        <f>HYPERLINK("https%3A%2F%2Fwww.webofscience.com%2Fwos%2Fwoscc%2Ffull-record%2FWOS:000576466500023","View Full Record in Web of Science")</f>
        <v>View Full Record in Web of Science</v>
      </c>
    </row>
    <row r="1648" spans="1:72" x14ac:dyDescent="0.15">
      <c r="A1648" t="s">
        <v>98</v>
      </c>
      <c r="B1648" t="s">
        <v>2018</v>
      </c>
      <c r="C1648" t="s">
        <v>74</v>
      </c>
      <c r="D1648" t="s">
        <v>74</v>
      </c>
      <c r="E1648" t="s">
        <v>74</v>
      </c>
      <c r="F1648" t="s">
        <v>2019</v>
      </c>
      <c r="G1648" t="s">
        <v>74</v>
      </c>
      <c r="H1648" t="s">
        <v>74</v>
      </c>
      <c r="I1648" t="s">
        <v>2020</v>
      </c>
      <c r="J1648" t="s">
        <v>2021</v>
      </c>
      <c r="K1648" t="s">
        <v>74</v>
      </c>
      <c r="L1648" t="s">
        <v>74</v>
      </c>
      <c r="M1648" t="s">
        <v>74</v>
      </c>
      <c r="N1648" t="s">
        <v>103</v>
      </c>
      <c r="O1648" t="s">
        <v>74</v>
      </c>
      <c r="P1648" t="s">
        <v>74</v>
      </c>
      <c r="Q1648" t="s">
        <v>74</v>
      </c>
      <c r="R1648" t="s">
        <v>74</v>
      </c>
      <c r="S1648" t="s">
        <v>74</v>
      </c>
      <c r="T1648" t="s">
        <v>2022</v>
      </c>
      <c r="U1648" t="s">
        <v>2023</v>
      </c>
      <c r="V1648" t="s">
        <v>2024</v>
      </c>
      <c r="W1648" t="s">
        <v>2025</v>
      </c>
      <c r="X1648" t="s">
        <v>2026</v>
      </c>
      <c r="Y1648" t="s">
        <v>2027</v>
      </c>
      <c r="Z1648" t="s">
        <v>2028</v>
      </c>
      <c r="AA1648" t="s">
        <v>74</v>
      </c>
      <c r="AB1648" t="s">
        <v>2029</v>
      </c>
      <c r="AC1648" t="s">
        <v>74</v>
      </c>
      <c r="AD1648" t="s">
        <v>74</v>
      </c>
      <c r="AE1648" t="s">
        <v>74</v>
      </c>
      <c r="AF1648" t="s">
        <v>74</v>
      </c>
      <c r="AG1648">
        <v>47</v>
      </c>
      <c r="AH1648">
        <v>2</v>
      </c>
      <c r="AI1648">
        <v>2</v>
      </c>
      <c r="AJ1648">
        <v>2</v>
      </c>
      <c r="AK1648">
        <v>3</v>
      </c>
      <c r="AL1648" t="s">
        <v>74</v>
      </c>
      <c r="AM1648" t="s">
        <v>74</v>
      </c>
      <c r="AN1648" t="s">
        <v>74</v>
      </c>
      <c r="AO1648" t="s">
        <v>2030</v>
      </c>
      <c r="AP1648" t="s">
        <v>2031</v>
      </c>
      <c r="AQ1648" t="s">
        <v>74</v>
      </c>
      <c r="AR1648" t="s">
        <v>74</v>
      </c>
      <c r="AS1648" t="s">
        <v>74</v>
      </c>
      <c r="AT1648" t="s">
        <v>132</v>
      </c>
      <c r="AU1648">
        <v>2021</v>
      </c>
      <c r="AV1648">
        <v>29</v>
      </c>
      <c r="AW1648">
        <v>2</v>
      </c>
      <c r="AX1648" t="s">
        <v>74</v>
      </c>
      <c r="AY1648" t="s">
        <v>74</v>
      </c>
      <c r="AZ1648" t="s">
        <v>74</v>
      </c>
      <c r="BA1648" t="s">
        <v>74</v>
      </c>
      <c r="BB1648">
        <v>138</v>
      </c>
      <c r="BC1648">
        <v>149</v>
      </c>
      <c r="BD1648" t="s">
        <v>2032</v>
      </c>
      <c r="BE1648" t="s">
        <v>2033</v>
      </c>
      <c r="BF1648" t="str">
        <f>HYPERLINK("http://dx.doi.org/10.1017/S0967199420000593","http://dx.doi.org/10.1017/S0967199420000593")</f>
        <v>http://dx.doi.org/10.1017/S0967199420000593</v>
      </c>
      <c r="BG1648" t="s">
        <v>74</v>
      </c>
      <c r="BH1648" t="s">
        <v>74</v>
      </c>
      <c r="BI1648" t="s">
        <v>74</v>
      </c>
      <c r="BJ1648" t="s">
        <v>2034</v>
      </c>
      <c r="BK1648" t="s">
        <v>117</v>
      </c>
      <c r="BL1648" t="s">
        <v>2034</v>
      </c>
      <c r="BM1648" t="s">
        <v>74</v>
      </c>
      <c r="BN1648">
        <v>33118919</v>
      </c>
      <c r="BO1648" t="s">
        <v>74</v>
      </c>
      <c r="BP1648" t="s">
        <v>74</v>
      </c>
      <c r="BQ1648" t="s">
        <v>74</v>
      </c>
      <c r="BR1648" t="s">
        <v>96</v>
      </c>
      <c r="BS1648" t="s">
        <v>2035</v>
      </c>
      <c r="BT1648" t="str">
        <f>HYPERLINK("https%3A%2F%2Fwww.webofscience.com%2Fwos%2Fwoscc%2Ffull-record%2FWOS:000646755300007","View Full Record in Web of Science")</f>
        <v>View Full Record in Web of Science</v>
      </c>
    </row>
    <row r="1649" spans="1:72" x14ac:dyDescent="0.15">
      <c r="A1649" t="s">
        <v>72</v>
      </c>
      <c r="B1649" t="s">
        <v>2353</v>
      </c>
      <c r="C1649" t="s">
        <v>74</v>
      </c>
      <c r="D1649" t="s">
        <v>2354</v>
      </c>
      <c r="E1649" t="s">
        <v>74</v>
      </c>
      <c r="F1649" t="s">
        <v>2355</v>
      </c>
      <c r="G1649" t="s">
        <v>74</v>
      </c>
      <c r="H1649" t="s">
        <v>74</v>
      </c>
      <c r="I1649" t="s">
        <v>2356</v>
      </c>
      <c r="J1649" t="s">
        <v>2357</v>
      </c>
      <c r="K1649" t="s">
        <v>79</v>
      </c>
      <c r="L1649" t="s">
        <v>74</v>
      </c>
      <c r="M1649" t="s">
        <v>74</v>
      </c>
      <c r="N1649" t="s">
        <v>80</v>
      </c>
      <c r="O1649" t="s">
        <v>74</v>
      </c>
      <c r="P1649" t="s">
        <v>74</v>
      </c>
      <c r="Q1649" t="s">
        <v>74</v>
      </c>
      <c r="R1649" t="s">
        <v>74</v>
      </c>
      <c r="S1649" t="s">
        <v>74</v>
      </c>
      <c r="T1649" t="s">
        <v>2358</v>
      </c>
      <c r="U1649" t="s">
        <v>2359</v>
      </c>
      <c r="V1649" t="s">
        <v>2360</v>
      </c>
      <c r="W1649" t="s">
        <v>2361</v>
      </c>
      <c r="X1649" t="s">
        <v>2362</v>
      </c>
      <c r="Y1649" t="s">
        <v>2363</v>
      </c>
      <c r="Z1649" t="s">
        <v>74</v>
      </c>
      <c r="AA1649" t="s">
        <v>2364</v>
      </c>
      <c r="AB1649" t="s">
        <v>2365</v>
      </c>
      <c r="AC1649" t="s">
        <v>74</v>
      </c>
      <c r="AD1649" t="s">
        <v>74</v>
      </c>
      <c r="AE1649" t="s">
        <v>74</v>
      </c>
      <c r="AF1649" t="s">
        <v>74</v>
      </c>
      <c r="AG1649">
        <v>39</v>
      </c>
      <c r="AH1649">
        <v>2</v>
      </c>
      <c r="AI1649">
        <v>2</v>
      </c>
      <c r="AJ1649">
        <v>1</v>
      </c>
      <c r="AK1649">
        <v>1</v>
      </c>
      <c r="AL1649" t="s">
        <v>74</v>
      </c>
      <c r="AM1649" t="s">
        <v>74</v>
      </c>
      <c r="AN1649" t="s">
        <v>74</v>
      </c>
      <c r="AO1649" t="s">
        <v>88</v>
      </c>
      <c r="AP1649" t="s">
        <v>89</v>
      </c>
      <c r="AQ1649" t="s">
        <v>2366</v>
      </c>
      <c r="AR1649" t="s">
        <v>74</v>
      </c>
      <c r="AS1649" t="s">
        <v>74</v>
      </c>
      <c r="AT1649" t="s">
        <v>74</v>
      </c>
      <c r="AU1649">
        <v>2021</v>
      </c>
      <c r="AV1649">
        <v>2348</v>
      </c>
      <c r="AW1649" t="s">
        <v>74</v>
      </c>
      <c r="AX1649" t="s">
        <v>74</v>
      </c>
      <c r="AY1649" t="s">
        <v>74</v>
      </c>
      <c r="AZ1649" t="s">
        <v>74</v>
      </c>
      <c r="BA1649" t="s">
        <v>74</v>
      </c>
      <c r="BB1649">
        <v>285</v>
      </c>
      <c r="BC1649">
        <v>304</v>
      </c>
      <c r="BD1649" t="s">
        <v>74</v>
      </c>
      <c r="BE1649" t="s">
        <v>2367</v>
      </c>
      <c r="BF1649" t="str">
        <f>HYPERLINK("http://dx.doi.org/10.1007/978-1-0716-1581-2_20","http://dx.doi.org/10.1007/978-1-0716-1581-2_20")</f>
        <v>http://dx.doi.org/10.1007/978-1-0716-1581-2_20</v>
      </c>
      <c r="BG1649" t="s">
        <v>2368</v>
      </c>
      <c r="BH1649" t="s">
        <v>74</v>
      </c>
      <c r="BI1649" t="s">
        <v>74</v>
      </c>
      <c r="BJ1649" t="s">
        <v>356</v>
      </c>
      <c r="BK1649" t="s">
        <v>94</v>
      </c>
      <c r="BL1649" t="s">
        <v>357</v>
      </c>
      <c r="BM1649" t="s">
        <v>74</v>
      </c>
      <c r="BN1649">
        <v>34160815</v>
      </c>
      <c r="BO1649" t="s">
        <v>74</v>
      </c>
      <c r="BP1649" t="s">
        <v>74</v>
      </c>
      <c r="BQ1649" t="s">
        <v>74</v>
      </c>
      <c r="BR1649" t="s">
        <v>96</v>
      </c>
      <c r="BS1649" t="s">
        <v>2369</v>
      </c>
      <c r="BT1649" t="str">
        <f>HYPERLINK("https%3A%2F%2Fwww.webofscience.com%2Fwos%2Fwoscc%2Ffull-record%2FWOS:000684293500021","View Full Record in Web of Science")</f>
        <v>View Full Record in Web of Science</v>
      </c>
    </row>
    <row r="1650" spans="1:72" x14ac:dyDescent="0.15">
      <c r="A1650" t="s">
        <v>98</v>
      </c>
      <c r="B1650" t="s">
        <v>2440</v>
      </c>
      <c r="C1650" t="s">
        <v>74</v>
      </c>
      <c r="D1650" t="s">
        <v>74</v>
      </c>
      <c r="E1650" t="s">
        <v>74</v>
      </c>
      <c r="F1650" t="s">
        <v>2441</v>
      </c>
      <c r="G1650" t="s">
        <v>74</v>
      </c>
      <c r="H1650" t="s">
        <v>74</v>
      </c>
      <c r="I1650" t="s">
        <v>2442</v>
      </c>
      <c r="J1650" t="s">
        <v>1053</v>
      </c>
      <c r="K1650" t="s">
        <v>74</v>
      </c>
      <c r="L1650" t="s">
        <v>74</v>
      </c>
      <c r="M1650" t="s">
        <v>74</v>
      </c>
      <c r="N1650" t="s">
        <v>103</v>
      </c>
      <c r="O1650" t="s">
        <v>74</v>
      </c>
      <c r="P1650" t="s">
        <v>74</v>
      </c>
      <c r="Q1650" t="s">
        <v>74</v>
      </c>
      <c r="R1650" t="s">
        <v>74</v>
      </c>
      <c r="S1650" t="s">
        <v>74</v>
      </c>
      <c r="T1650" t="s">
        <v>2443</v>
      </c>
      <c r="U1650" t="s">
        <v>2444</v>
      </c>
      <c r="V1650" t="s">
        <v>2445</v>
      </c>
      <c r="W1650" t="s">
        <v>2446</v>
      </c>
      <c r="X1650" t="s">
        <v>2447</v>
      </c>
      <c r="Y1650" t="s">
        <v>2448</v>
      </c>
      <c r="Z1650" t="s">
        <v>2449</v>
      </c>
      <c r="AA1650" t="s">
        <v>2450</v>
      </c>
      <c r="AB1650" t="s">
        <v>2451</v>
      </c>
      <c r="AC1650" t="s">
        <v>74</v>
      </c>
      <c r="AD1650" t="s">
        <v>74</v>
      </c>
      <c r="AE1650" t="s">
        <v>74</v>
      </c>
      <c r="AF1650" t="s">
        <v>74</v>
      </c>
      <c r="AG1650">
        <v>36</v>
      </c>
      <c r="AH1650">
        <v>2</v>
      </c>
      <c r="AI1650">
        <v>2</v>
      </c>
      <c r="AJ1650">
        <v>0</v>
      </c>
      <c r="AK1650">
        <v>1</v>
      </c>
      <c r="AL1650" t="s">
        <v>74</v>
      </c>
      <c r="AM1650" t="s">
        <v>74</v>
      </c>
      <c r="AN1650" t="s">
        <v>74</v>
      </c>
      <c r="AO1650" t="s">
        <v>1063</v>
      </c>
      <c r="AP1650" t="s">
        <v>1064</v>
      </c>
      <c r="AQ1650" t="s">
        <v>74</v>
      </c>
      <c r="AR1650" t="s">
        <v>74</v>
      </c>
      <c r="AS1650" t="s">
        <v>74</v>
      </c>
      <c r="AT1650" t="s">
        <v>170</v>
      </c>
      <c r="AU1650">
        <v>2021</v>
      </c>
      <c r="AV1650">
        <v>35</v>
      </c>
      <c r="AW1650">
        <v>6</v>
      </c>
      <c r="AX1650" t="s">
        <v>74</v>
      </c>
      <c r="AY1650" t="s">
        <v>74</v>
      </c>
      <c r="AZ1650" t="s">
        <v>74</v>
      </c>
      <c r="BA1650" t="s">
        <v>74</v>
      </c>
      <c r="BB1650" t="s">
        <v>74</v>
      </c>
      <c r="BC1650" t="s">
        <v>74</v>
      </c>
      <c r="BD1650" t="s">
        <v>2452</v>
      </c>
      <c r="BE1650" t="s">
        <v>2453</v>
      </c>
      <c r="BF1650" t="str">
        <f>HYPERLINK("http://dx.doi.org/10.1096/fj.202002678R","http://dx.doi.org/10.1096/fj.202002678R")</f>
        <v>http://dx.doi.org/10.1096/fj.202002678R</v>
      </c>
      <c r="BG1650" t="s">
        <v>74</v>
      </c>
      <c r="BH1650" t="s">
        <v>74</v>
      </c>
      <c r="BI1650" t="s">
        <v>74</v>
      </c>
      <c r="BJ1650" t="s">
        <v>1067</v>
      </c>
      <c r="BK1650" t="s">
        <v>117</v>
      </c>
      <c r="BL1650" t="s">
        <v>1068</v>
      </c>
      <c r="BM1650" t="s">
        <v>74</v>
      </c>
      <c r="BN1650">
        <v>34042225</v>
      </c>
      <c r="BO1650" t="s">
        <v>74</v>
      </c>
      <c r="BP1650" t="s">
        <v>74</v>
      </c>
      <c r="BQ1650" t="s">
        <v>74</v>
      </c>
      <c r="BR1650" t="s">
        <v>96</v>
      </c>
      <c r="BS1650" t="s">
        <v>2454</v>
      </c>
      <c r="BT1650" t="str">
        <f>HYPERLINK("https%3A%2F%2Fwww.webofscience.com%2Fwos%2Fwoscc%2Ffull-record%2FWOS:000655695900057","View Full Record in Web of Science")</f>
        <v>View Full Record in Web of Science</v>
      </c>
    </row>
    <row r="1651" spans="1:72" x14ac:dyDescent="0.15">
      <c r="A1651" t="s">
        <v>98</v>
      </c>
      <c r="B1651" t="s">
        <v>2491</v>
      </c>
      <c r="C1651" t="s">
        <v>74</v>
      </c>
      <c r="D1651" t="s">
        <v>74</v>
      </c>
      <c r="E1651" t="s">
        <v>74</v>
      </c>
      <c r="F1651" t="s">
        <v>2492</v>
      </c>
      <c r="G1651" t="s">
        <v>74</v>
      </c>
      <c r="H1651" t="s">
        <v>74</v>
      </c>
      <c r="I1651" t="s">
        <v>2493</v>
      </c>
      <c r="J1651" t="s">
        <v>1766</v>
      </c>
      <c r="K1651" t="s">
        <v>74</v>
      </c>
      <c r="L1651" t="s">
        <v>74</v>
      </c>
      <c r="M1651" t="s">
        <v>74</v>
      </c>
      <c r="N1651" t="s">
        <v>103</v>
      </c>
      <c r="O1651" t="s">
        <v>74</v>
      </c>
      <c r="P1651" t="s">
        <v>74</v>
      </c>
      <c r="Q1651" t="s">
        <v>74</v>
      </c>
      <c r="R1651" t="s">
        <v>74</v>
      </c>
      <c r="S1651" t="s">
        <v>74</v>
      </c>
      <c r="T1651" t="s">
        <v>2494</v>
      </c>
      <c r="U1651" t="s">
        <v>2495</v>
      </c>
      <c r="V1651" t="s">
        <v>2496</v>
      </c>
      <c r="W1651" t="s">
        <v>2497</v>
      </c>
      <c r="X1651" t="s">
        <v>2056</v>
      </c>
      <c r="Y1651" t="s">
        <v>2498</v>
      </c>
      <c r="Z1651" t="s">
        <v>2499</v>
      </c>
      <c r="AA1651" t="s">
        <v>2059</v>
      </c>
      <c r="AB1651" t="s">
        <v>2060</v>
      </c>
      <c r="AC1651" t="s">
        <v>74</v>
      </c>
      <c r="AD1651" t="s">
        <v>74</v>
      </c>
      <c r="AE1651" t="s">
        <v>74</v>
      </c>
      <c r="AF1651" t="s">
        <v>74</v>
      </c>
      <c r="AG1651">
        <v>46</v>
      </c>
      <c r="AH1651">
        <v>2</v>
      </c>
      <c r="AI1651">
        <v>2</v>
      </c>
      <c r="AJ1651">
        <v>1</v>
      </c>
      <c r="AK1651">
        <v>3</v>
      </c>
      <c r="AL1651" t="s">
        <v>74</v>
      </c>
      <c r="AM1651" t="s">
        <v>74</v>
      </c>
      <c r="AN1651" t="s">
        <v>74</v>
      </c>
      <c r="AO1651" t="s">
        <v>74</v>
      </c>
      <c r="AP1651" t="s">
        <v>1776</v>
      </c>
      <c r="AQ1651" t="s">
        <v>74</v>
      </c>
      <c r="AR1651" t="s">
        <v>74</v>
      </c>
      <c r="AS1651" t="s">
        <v>74</v>
      </c>
      <c r="AT1651" t="s">
        <v>1029</v>
      </c>
      <c r="AU1651">
        <v>2020</v>
      </c>
      <c r="AV1651">
        <v>8</v>
      </c>
      <c r="AW1651">
        <v>5</v>
      </c>
      <c r="AX1651" t="s">
        <v>74</v>
      </c>
      <c r="AY1651" t="s">
        <v>74</v>
      </c>
      <c r="AZ1651" t="s">
        <v>74</v>
      </c>
      <c r="BA1651" t="s">
        <v>74</v>
      </c>
      <c r="BB1651" t="s">
        <v>74</v>
      </c>
      <c r="BC1651" t="s">
        <v>74</v>
      </c>
      <c r="BD1651">
        <v>98</v>
      </c>
      <c r="BE1651" t="s">
        <v>2500</v>
      </c>
      <c r="BF1651" t="str">
        <f>HYPERLINK("http://dx.doi.org/10.3390/biomedicines8050098","http://dx.doi.org/10.3390/biomedicines8050098")</f>
        <v>http://dx.doi.org/10.3390/biomedicines8050098</v>
      </c>
      <c r="BG1651" t="s">
        <v>74</v>
      </c>
      <c r="BH1651" t="s">
        <v>74</v>
      </c>
      <c r="BI1651" t="s">
        <v>74</v>
      </c>
      <c r="BJ1651" t="s">
        <v>1778</v>
      </c>
      <c r="BK1651" t="s">
        <v>117</v>
      </c>
      <c r="BL1651" t="s">
        <v>1779</v>
      </c>
      <c r="BM1651" t="s">
        <v>74</v>
      </c>
      <c r="BN1651">
        <v>32349226</v>
      </c>
      <c r="BO1651" t="s">
        <v>74</v>
      </c>
      <c r="BP1651" t="s">
        <v>74</v>
      </c>
      <c r="BQ1651" t="s">
        <v>74</v>
      </c>
      <c r="BR1651" t="s">
        <v>96</v>
      </c>
      <c r="BS1651" t="s">
        <v>2501</v>
      </c>
      <c r="BT1651" t="str">
        <f>HYPERLINK("https%3A%2F%2Fwww.webofscience.com%2Fwos%2Fwoscc%2Ffull-record%2FWOS:000540842200034","View Full Record in Web of Science")</f>
        <v>View Full Record in Web of Science</v>
      </c>
    </row>
    <row r="1652" spans="1:72" x14ac:dyDescent="0.15">
      <c r="A1652" t="s">
        <v>98</v>
      </c>
      <c r="B1652" t="s">
        <v>2502</v>
      </c>
      <c r="C1652" t="s">
        <v>74</v>
      </c>
      <c r="D1652" t="s">
        <v>74</v>
      </c>
      <c r="E1652" t="s">
        <v>74</v>
      </c>
      <c r="F1652" t="s">
        <v>2503</v>
      </c>
      <c r="G1652" t="s">
        <v>74</v>
      </c>
      <c r="H1652" t="s">
        <v>74</v>
      </c>
      <c r="I1652" t="s">
        <v>2504</v>
      </c>
      <c r="J1652" t="s">
        <v>2505</v>
      </c>
      <c r="K1652" t="s">
        <v>74</v>
      </c>
      <c r="L1652" t="s">
        <v>74</v>
      </c>
      <c r="M1652" t="s">
        <v>74</v>
      </c>
      <c r="N1652" t="s">
        <v>103</v>
      </c>
      <c r="O1652" t="s">
        <v>74</v>
      </c>
      <c r="P1652" t="s">
        <v>74</v>
      </c>
      <c r="Q1652" t="s">
        <v>74</v>
      </c>
      <c r="R1652" t="s">
        <v>74</v>
      </c>
      <c r="S1652" t="s">
        <v>74</v>
      </c>
      <c r="T1652" t="s">
        <v>2506</v>
      </c>
      <c r="U1652" t="s">
        <v>1036</v>
      </c>
      <c r="V1652" t="s">
        <v>2507</v>
      </c>
      <c r="W1652" t="s">
        <v>2508</v>
      </c>
      <c r="X1652" t="s">
        <v>2509</v>
      </c>
      <c r="Y1652" t="s">
        <v>2510</v>
      </c>
      <c r="Z1652" t="s">
        <v>2511</v>
      </c>
      <c r="AA1652" t="s">
        <v>74</v>
      </c>
      <c r="AB1652" t="s">
        <v>2512</v>
      </c>
      <c r="AC1652" t="s">
        <v>74</v>
      </c>
      <c r="AD1652" t="s">
        <v>74</v>
      </c>
      <c r="AE1652" t="s">
        <v>74</v>
      </c>
      <c r="AF1652" t="s">
        <v>74</v>
      </c>
      <c r="AG1652">
        <v>54</v>
      </c>
      <c r="AH1652">
        <v>2</v>
      </c>
      <c r="AI1652">
        <v>2</v>
      </c>
      <c r="AJ1652">
        <v>2</v>
      </c>
      <c r="AK1652">
        <v>8</v>
      </c>
      <c r="AL1652" t="s">
        <v>74</v>
      </c>
      <c r="AM1652" t="s">
        <v>74</v>
      </c>
      <c r="AN1652" t="s">
        <v>74</v>
      </c>
      <c r="AO1652" t="s">
        <v>2513</v>
      </c>
      <c r="AP1652" t="s">
        <v>2514</v>
      </c>
      <c r="AQ1652" t="s">
        <v>74</v>
      </c>
      <c r="AR1652" t="s">
        <v>74</v>
      </c>
      <c r="AS1652" t="s">
        <v>74</v>
      </c>
      <c r="AT1652" t="s">
        <v>614</v>
      </c>
      <c r="AU1652">
        <v>2021</v>
      </c>
      <c r="AV1652">
        <v>122</v>
      </c>
      <c r="AW1652">
        <v>7</v>
      </c>
      <c r="AX1652" t="s">
        <v>74</v>
      </c>
      <c r="AY1652" t="s">
        <v>74</v>
      </c>
      <c r="AZ1652" t="s">
        <v>74</v>
      </c>
      <c r="BA1652" t="s">
        <v>74</v>
      </c>
      <c r="BB1652">
        <v>760</v>
      </c>
      <c r="BC1652">
        <v>769</v>
      </c>
      <c r="BD1652" t="s">
        <v>74</v>
      </c>
      <c r="BE1652" t="s">
        <v>2515</v>
      </c>
      <c r="BF1652" t="str">
        <f>HYPERLINK("http://dx.doi.org/10.1002/jcb.29904","http://dx.doi.org/10.1002/jcb.29904")</f>
        <v>http://dx.doi.org/10.1002/jcb.29904</v>
      </c>
      <c r="BG1652" t="s">
        <v>74</v>
      </c>
      <c r="BH1652" t="s">
        <v>1557</v>
      </c>
      <c r="BI1652" t="s">
        <v>74</v>
      </c>
      <c r="BJ1652" t="s">
        <v>498</v>
      </c>
      <c r="BK1652" t="s">
        <v>117</v>
      </c>
      <c r="BL1652" t="s">
        <v>498</v>
      </c>
      <c r="BM1652" t="s">
        <v>74</v>
      </c>
      <c r="BN1652">
        <v>33594754</v>
      </c>
      <c r="BO1652" t="s">
        <v>74</v>
      </c>
      <c r="BP1652" t="s">
        <v>74</v>
      </c>
      <c r="BQ1652" t="s">
        <v>74</v>
      </c>
      <c r="BR1652" t="s">
        <v>96</v>
      </c>
      <c r="BS1652" t="s">
        <v>2516</v>
      </c>
      <c r="BT1652" t="str">
        <f>HYPERLINK("https%3A%2F%2Fwww.webofscience.com%2Fwos%2Fwoscc%2Ffull-record%2FWOS:000618560000001","View Full Record in Web of Science")</f>
        <v>View Full Record in Web of Science</v>
      </c>
    </row>
    <row r="1653" spans="1:72" x14ac:dyDescent="0.15">
      <c r="A1653" t="s">
        <v>98</v>
      </c>
      <c r="B1653" t="s">
        <v>2702</v>
      </c>
      <c r="C1653" t="s">
        <v>74</v>
      </c>
      <c r="D1653" t="s">
        <v>74</v>
      </c>
      <c r="E1653" t="s">
        <v>74</v>
      </c>
      <c r="F1653" t="s">
        <v>2703</v>
      </c>
      <c r="G1653" t="s">
        <v>74</v>
      </c>
      <c r="H1653" t="s">
        <v>74</v>
      </c>
      <c r="I1653" t="s">
        <v>2704</v>
      </c>
      <c r="J1653" t="s">
        <v>2705</v>
      </c>
      <c r="K1653" t="s">
        <v>74</v>
      </c>
      <c r="L1653" t="s">
        <v>74</v>
      </c>
      <c r="M1653" t="s">
        <v>74</v>
      </c>
      <c r="N1653" t="s">
        <v>103</v>
      </c>
      <c r="O1653" t="s">
        <v>74</v>
      </c>
      <c r="P1653" t="s">
        <v>74</v>
      </c>
      <c r="Q1653" t="s">
        <v>74</v>
      </c>
      <c r="R1653" t="s">
        <v>74</v>
      </c>
      <c r="S1653" t="s">
        <v>74</v>
      </c>
      <c r="T1653" t="s">
        <v>2706</v>
      </c>
      <c r="U1653" t="s">
        <v>2707</v>
      </c>
      <c r="V1653" t="s">
        <v>2708</v>
      </c>
      <c r="W1653" t="s">
        <v>2709</v>
      </c>
      <c r="X1653" t="s">
        <v>2710</v>
      </c>
      <c r="Y1653" t="s">
        <v>2711</v>
      </c>
      <c r="Z1653" t="s">
        <v>2712</v>
      </c>
      <c r="AA1653" t="s">
        <v>74</v>
      </c>
      <c r="AB1653" t="s">
        <v>2713</v>
      </c>
      <c r="AC1653" t="s">
        <v>74</v>
      </c>
      <c r="AD1653" t="s">
        <v>74</v>
      </c>
      <c r="AE1653" t="s">
        <v>74</v>
      </c>
      <c r="AF1653" t="s">
        <v>74</v>
      </c>
      <c r="AG1653">
        <v>44</v>
      </c>
      <c r="AH1653">
        <v>2</v>
      </c>
      <c r="AI1653">
        <v>2</v>
      </c>
      <c r="AJ1653">
        <v>7</v>
      </c>
      <c r="AK1653">
        <v>13</v>
      </c>
      <c r="AL1653" t="s">
        <v>74</v>
      </c>
      <c r="AM1653" t="s">
        <v>74</v>
      </c>
      <c r="AN1653" t="s">
        <v>74</v>
      </c>
      <c r="AO1653" t="s">
        <v>2714</v>
      </c>
      <c r="AP1653" t="s">
        <v>2715</v>
      </c>
      <c r="AQ1653" t="s">
        <v>74</v>
      </c>
      <c r="AR1653" t="s">
        <v>74</v>
      </c>
      <c r="AS1653" t="s">
        <v>74</v>
      </c>
      <c r="AT1653" t="s">
        <v>2716</v>
      </c>
      <c r="AU1653">
        <v>2022</v>
      </c>
      <c r="AV1653">
        <v>17</v>
      </c>
      <c r="AW1653">
        <v>4</v>
      </c>
      <c r="AX1653" t="s">
        <v>74</v>
      </c>
      <c r="AY1653" t="s">
        <v>74</v>
      </c>
      <c r="AZ1653" t="s">
        <v>74</v>
      </c>
      <c r="BA1653" t="s">
        <v>74</v>
      </c>
      <c r="BB1653" t="s">
        <v>74</v>
      </c>
      <c r="BC1653" t="s">
        <v>74</v>
      </c>
      <c r="BD1653" t="s">
        <v>74</v>
      </c>
      <c r="BE1653" t="s">
        <v>2717</v>
      </c>
      <c r="BF1653" t="str">
        <f>HYPERLINK("http://dx.doi.org/10.1002/cmdc.202100642","http://dx.doi.org/10.1002/cmdc.202100642")</f>
        <v>http://dx.doi.org/10.1002/cmdc.202100642</v>
      </c>
      <c r="BG1653" t="s">
        <v>74</v>
      </c>
      <c r="BH1653" t="s">
        <v>2718</v>
      </c>
      <c r="BI1653" t="s">
        <v>74</v>
      </c>
      <c r="BJ1653" t="s">
        <v>2719</v>
      </c>
      <c r="BK1653" t="s">
        <v>117</v>
      </c>
      <c r="BL1653" t="s">
        <v>533</v>
      </c>
      <c r="BM1653" t="s">
        <v>74</v>
      </c>
      <c r="BN1653">
        <v>34847299</v>
      </c>
      <c r="BO1653" t="s">
        <v>74</v>
      </c>
      <c r="BP1653" t="s">
        <v>74</v>
      </c>
      <c r="BQ1653" t="s">
        <v>74</v>
      </c>
      <c r="BR1653" t="s">
        <v>96</v>
      </c>
      <c r="BS1653" t="s">
        <v>2720</v>
      </c>
      <c r="BT1653" t="str">
        <f>HYPERLINK("https%3A%2F%2Fwww.webofscience.com%2Fwos%2Fwoscc%2Ffull-record%2FWOS:000728441300001","View Full Record in Web of Science")</f>
        <v>View Full Record in Web of Science</v>
      </c>
    </row>
    <row r="1654" spans="1:72" x14ac:dyDescent="0.15">
      <c r="A1654" t="s">
        <v>98</v>
      </c>
      <c r="B1654" t="s">
        <v>2847</v>
      </c>
      <c r="C1654" t="s">
        <v>74</v>
      </c>
      <c r="D1654" t="s">
        <v>74</v>
      </c>
      <c r="E1654" t="s">
        <v>74</v>
      </c>
      <c r="F1654" t="s">
        <v>2848</v>
      </c>
      <c r="G1654" t="s">
        <v>74</v>
      </c>
      <c r="H1654" t="s">
        <v>74</v>
      </c>
      <c r="I1654" t="s">
        <v>2849</v>
      </c>
      <c r="J1654" t="s">
        <v>903</v>
      </c>
      <c r="K1654" t="s">
        <v>74</v>
      </c>
      <c r="L1654" t="s">
        <v>74</v>
      </c>
      <c r="M1654" t="s">
        <v>74</v>
      </c>
      <c r="N1654" t="s">
        <v>103</v>
      </c>
      <c r="O1654" t="s">
        <v>74</v>
      </c>
      <c r="P1654" t="s">
        <v>74</v>
      </c>
      <c r="Q1654" t="s">
        <v>74</v>
      </c>
      <c r="R1654" t="s">
        <v>74</v>
      </c>
      <c r="S1654" t="s">
        <v>74</v>
      </c>
      <c r="T1654" t="s">
        <v>2850</v>
      </c>
      <c r="U1654" t="s">
        <v>2851</v>
      </c>
      <c r="V1654" t="s">
        <v>2852</v>
      </c>
      <c r="W1654" t="s">
        <v>2853</v>
      </c>
      <c r="X1654" t="s">
        <v>2854</v>
      </c>
      <c r="Y1654" t="s">
        <v>1490</v>
      </c>
      <c r="Z1654" t="s">
        <v>2855</v>
      </c>
      <c r="AA1654" t="s">
        <v>2856</v>
      </c>
      <c r="AB1654" t="s">
        <v>2857</v>
      </c>
      <c r="AC1654" t="s">
        <v>74</v>
      </c>
      <c r="AD1654" t="s">
        <v>74</v>
      </c>
      <c r="AE1654" t="s">
        <v>74</v>
      </c>
      <c r="AF1654" t="s">
        <v>74</v>
      </c>
      <c r="AG1654">
        <v>39</v>
      </c>
      <c r="AH1654">
        <v>2</v>
      </c>
      <c r="AI1654">
        <v>2</v>
      </c>
      <c r="AJ1654">
        <v>2</v>
      </c>
      <c r="AK1654">
        <v>3</v>
      </c>
      <c r="AL1654" t="s">
        <v>74</v>
      </c>
      <c r="AM1654" t="s">
        <v>74</v>
      </c>
      <c r="AN1654" t="s">
        <v>74</v>
      </c>
      <c r="AO1654" t="s">
        <v>74</v>
      </c>
      <c r="AP1654" t="s">
        <v>913</v>
      </c>
      <c r="AQ1654" t="s">
        <v>74</v>
      </c>
      <c r="AR1654" t="s">
        <v>74</v>
      </c>
      <c r="AS1654" t="s">
        <v>74</v>
      </c>
      <c r="AT1654" t="s">
        <v>1029</v>
      </c>
      <c r="AU1654">
        <v>2021</v>
      </c>
      <c r="AV1654">
        <v>13</v>
      </c>
      <c r="AW1654">
        <v>9</v>
      </c>
      <c r="AX1654" t="s">
        <v>74</v>
      </c>
      <c r="AY1654" t="s">
        <v>74</v>
      </c>
      <c r="AZ1654" t="s">
        <v>74</v>
      </c>
      <c r="BA1654" t="s">
        <v>74</v>
      </c>
      <c r="BB1654" t="s">
        <v>74</v>
      </c>
      <c r="BC1654" t="s">
        <v>74</v>
      </c>
      <c r="BD1654">
        <v>2263</v>
      </c>
      <c r="BE1654" t="s">
        <v>2858</v>
      </c>
      <c r="BF1654" t="str">
        <f>HYPERLINK("http://dx.doi.org/10.3390/cancers13092263","http://dx.doi.org/10.3390/cancers13092263")</f>
        <v>http://dx.doi.org/10.3390/cancers13092263</v>
      </c>
      <c r="BG1654" t="s">
        <v>74</v>
      </c>
      <c r="BH1654" t="s">
        <v>74</v>
      </c>
      <c r="BI1654" t="s">
        <v>74</v>
      </c>
      <c r="BJ1654" t="s">
        <v>267</v>
      </c>
      <c r="BK1654" t="s">
        <v>117</v>
      </c>
      <c r="BL1654" t="s">
        <v>267</v>
      </c>
      <c r="BM1654" t="s">
        <v>74</v>
      </c>
      <c r="BN1654">
        <v>34066801</v>
      </c>
      <c r="BO1654" t="s">
        <v>74</v>
      </c>
      <c r="BP1654" t="s">
        <v>74</v>
      </c>
      <c r="BQ1654" t="s">
        <v>74</v>
      </c>
      <c r="BR1654" t="s">
        <v>96</v>
      </c>
      <c r="BS1654" t="s">
        <v>2859</v>
      </c>
      <c r="BT1654" t="str">
        <f>HYPERLINK("https%3A%2F%2Fwww.webofscience.com%2Fwos%2Fwoscc%2Ffull-record%2FWOS:000649860700001","View Full Record in Web of Science")</f>
        <v>View Full Record in Web of Science</v>
      </c>
    </row>
    <row r="1655" spans="1:72" x14ac:dyDescent="0.15">
      <c r="A1655" t="s">
        <v>98</v>
      </c>
      <c r="B1655" t="s">
        <v>2992</v>
      </c>
      <c r="C1655" t="s">
        <v>74</v>
      </c>
      <c r="D1655" t="s">
        <v>74</v>
      </c>
      <c r="E1655" t="s">
        <v>74</v>
      </c>
      <c r="F1655" t="s">
        <v>2993</v>
      </c>
      <c r="G1655" t="s">
        <v>74</v>
      </c>
      <c r="H1655" t="s">
        <v>74</v>
      </c>
      <c r="I1655" t="s">
        <v>2994</v>
      </c>
      <c r="J1655" t="s">
        <v>2995</v>
      </c>
      <c r="K1655" t="s">
        <v>74</v>
      </c>
      <c r="L1655" t="s">
        <v>74</v>
      </c>
      <c r="M1655" t="s">
        <v>74</v>
      </c>
      <c r="N1655" t="s">
        <v>2996</v>
      </c>
      <c r="O1655" t="s">
        <v>74</v>
      </c>
      <c r="P1655" t="s">
        <v>74</v>
      </c>
      <c r="Q1655" t="s">
        <v>74</v>
      </c>
      <c r="R1655" t="s">
        <v>74</v>
      </c>
      <c r="S1655" t="s">
        <v>74</v>
      </c>
      <c r="T1655" t="s">
        <v>2997</v>
      </c>
      <c r="U1655" t="s">
        <v>2998</v>
      </c>
      <c r="V1655" t="s">
        <v>2999</v>
      </c>
      <c r="W1655" t="s">
        <v>3000</v>
      </c>
      <c r="X1655" t="s">
        <v>3001</v>
      </c>
      <c r="Y1655" t="s">
        <v>3002</v>
      </c>
      <c r="Z1655" t="s">
        <v>3003</v>
      </c>
      <c r="AA1655" t="s">
        <v>3004</v>
      </c>
      <c r="AB1655" t="s">
        <v>3005</v>
      </c>
      <c r="AC1655" t="s">
        <v>74</v>
      </c>
      <c r="AD1655" t="s">
        <v>74</v>
      </c>
      <c r="AE1655" t="s">
        <v>74</v>
      </c>
      <c r="AF1655" t="s">
        <v>74</v>
      </c>
      <c r="AG1655">
        <v>40</v>
      </c>
      <c r="AH1655">
        <v>2</v>
      </c>
      <c r="AI1655">
        <v>2</v>
      </c>
      <c r="AJ1655">
        <v>1</v>
      </c>
      <c r="AK1655">
        <v>3</v>
      </c>
      <c r="AL1655" t="s">
        <v>74</v>
      </c>
      <c r="AM1655" t="s">
        <v>74</v>
      </c>
      <c r="AN1655" t="s">
        <v>74</v>
      </c>
      <c r="AO1655" t="s">
        <v>3006</v>
      </c>
      <c r="AP1655" t="s">
        <v>3007</v>
      </c>
      <c r="AQ1655" t="s">
        <v>74</v>
      </c>
      <c r="AR1655" t="s">
        <v>74</v>
      </c>
      <c r="AS1655" t="s">
        <v>74</v>
      </c>
      <c r="AT1655" t="s">
        <v>74</v>
      </c>
      <c r="AU1655" t="s">
        <v>74</v>
      </c>
      <c r="AV1655" t="s">
        <v>74</v>
      </c>
      <c r="AW1655" t="s">
        <v>74</v>
      </c>
      <c r="AX1655" t="s">
        <v>74</v>
      </c>
      <c r="AY1655" t="s">
        <v>74</v>
      </c>
      <c r="AZ1655" t="s">
        <v>74</v>
      </c>
      <c r="BA1655" t="s">
        <v>74</v>
      </c>
      <c r="BB1655" t="s">
        <v>74</v>
      </c>
      <c r="BC1655" t="s">
        <v>74</v>
      </c>
      <c r="BD1655" t="s">
        <v>74</v>
      </c>
      <c r="BE1655" t="s">
        <v>3008</v>
      </c>
      <c r="BF1655" t="str">
        <f>HYPERLINK("http://dx.doi.org/10.1080/09553002.2021.1955999","http://dx.doi.org/10.1080/09553002.2021.1955999")</f>
        <v>http://dx.doi.org/10.1080/09553002.2021.1955999</v>
      </c>
      <c r="BG1655" t="s">
        <v>74</v>
      </c>
      <c r="BH1655" t="s">
        <v>1136</v>
      </c>
      <c r="BI1655" t="s">
        <v>74</v>
      </c>
      <c r="BJ1655" t="s">
        <v>3009</v>
      </c>
      <c r="BK1655" t="s">
        <v>117</v>
      </c>
      <c r="BL1655" t="s">
        <v>3010</v>
      </c>
      <c r="BM1655" t="s">
        <v>74</v>
      </c>
      <c r="BN1655">
        <v>34270378</v>
      </c>
      <c r="BO1655" t="s">
        <v>74</v>
      </c>
      <c r="BP1655" t="s">
        <v>74</v>
      </c>
      <c r="BQ1655" t="s">
        <v>74</v>
      </c>
      <c r="BR1655" t="s">
        <v>96</v>
      </c>
      <c r="BS1655" t="s">
        <v>3011</v>
      </c>
      <c r="BT1655" t="str">
        <f>HYPERLINK("https%3A%2F%2Fwww.webofscience.com%2Fwos%2Fwoscc%2Ffull-record%2FWOS:000678919900001","View Full Record in Web of Science")</f>
        <v>View Full Record in Web of Science</v>
      </c>
    </row>
    <row r="1656" spans="1:72" x14ac:dyDescent="0.15">
      <c r="A1656" t="s">
        <v>98</v>
      </c>
      <c r="B1656" t="s">
        <v>3133</v>
      </c>
      <c r="C1656" t="s">
        <v>74</v>
      </c>
      <c r="D1656" t="s">
        <v>74</v>
      </c>
      <c r="E1656" t="s">
        <v>74</v>
      </c>
      <c r="F1656" t="s">
        <v>3134</v>
      </c>
      <c r="G1656" t="s">
        <v>74</v>
      </c>
      <c r="H1656" t="s">
        <v>74</v>
      </c>
      <c r="I1656" t="s">
        <v>3135</v>
      </c>
      <c r="J1656" t="s">
        <v>2105</v>
      </c>
      <c r="K1656" t="s">
        <v>74</v>
      </c>
      <c r="L1656" t="s">
        <v>74</v>
      </c>
      <c r="M1656" t="s">
        <v>74</v>
      </c>
      <c r="N1656" t="s">
        <v>103</v>
      </c>
      <c r="O1656" t="s">
        <v>74</v>
      </c>
      <c r="P1656" t="s">
        <v>74</v>
      </c>
      <c r="Q1656" t="s">
        <v>74</v>
      </c>
      <c r="R1656" t="s">
        <v>74</v>
      </c>
      <c r="S1656" t="s">
        <v>74</v>
      </c>
      <c r="T1656" t="s">
        <v>3136</v>
      </c>
      <c r="U1656" t="s">
        <v>3137</v>
      </c>
      <c r="V1656" t="s">
        <v>3138</v>
      </c>
      <c r="W1656" t="s">
        <v>3139</v>
      </c>
      <c r="X1656" t="s">
        <v>3140</v>
      </c>
      <c r="Y1656" t="s">
        <v>3141</v>
      </c>
      <c r="Z1656" t="s">
        <v>3142</v>
      </c>
      <c r="AA1656" t="s">
        <v>74</v>
      </c>
      <c r="AB1656" t="s">
        <v>3143</v>
      </c>
      <c r="AC1656" t="s">
        <v>74</v>
      </c>
      <c r="AD1656" t="s">
        <v>74</v>
      </c>
      <c r="AE1656" t="s">
        <v>74</v>
      </c>
      <c r="AF1656" t="s">
        <v>74</v>
      </c>
      <c r="AG1656">
        <v>32</v>
      </c>
      <c r="AH1656">
        <v>2</v>
      </c>
      <c r="AI1656">
        <v>2</v>
      </c>
      <c r="AJ1656">
        <v>3</v>
      </c>
      <c r="AK1656">
        <v>9</v>
      </c>
      <c r="AL1656" t="s">
        <v>74</v>
      </c>
      <c r="AM1656" t="s">
        <v>74</v>
      </c>
      <c r="AN1656" t="s">
        <v>74</v>
      </c>
      <c r="AO1656" t="s">
        <v>2115</v>
      </c>
      <c r="AP1656" t="s">
        <v>74</v>
      </c>
      <c r="AQ1656" t="s">
        <v>74</v>
      </c>
      <c r="AR1656" t="s">
        <v>74</v>
      </c>
      <c r="AS1656" t="s">
        <v>74</v>
      </c>
      <c r="AT1656" t="s">
        <v>3144</v>
      </c>
      <c r="AU1656">
        <v>2021</v>
      </c>
      <c r="AV1656">
        <v>11</v>
      </c>
      <c r="AW1656" t="s">
        <v>74</v>
      </c>
      <c r="AX1656" t="s">
        <v>74</v>
      </c>
      <c r="AY1656" t="s">
        <v>74</v>
      </c>
      <c r="AZ1656" t="s">
        <v>74</v>
      </c>
      <c r="BA1656" t="s">
        <v>74</v>
      </c>
      <c r="BB1656" t="s">
        <v>74</v>
      </c>
      <c r="BC1656" t="s">
        <v>74</v>
      </c>
      <c r="BD1656">
        <v>691798</v>
      </c>
      <c r="BE1656" t="s">
        <v>3145</v>
      </c>
      <c r="BF1656" t="str">
        <f>HYPERLINK("http://dx.doi.org/10.3389/fonc.2021.691798","http://dx.doi.org/10.3389/fonc.2021.691798")</f>
        <v>http://dx.doi.org/10.3389/fonc.2021.691798</v>
      </c>
      <c r="BG1656" t="s">
        <v>74</v>
      </c>
      <c r="BH1656" t="s">
        <v>74</v>
      </c>
      <c r="BI1656" t="s">
        <v>74</v>
      </c>
      <c r="BJ1656" t="s">
        <v>267</v>
      </c>
      <c r="BK1656" t="s">
        <v>117</v>
      </c>
      <c r="BL1656" t="s">
        <v>267</v>
      </c>
      <c r="BM1656" t="s">
        <v>74</v>
      </c>
      <c r="BN1656">
        <v>34178690</v>
      </c>
      <c r="BO1656" t="s">
        <v>74</v>
      </c>
      <c r="BP1656" t="s">
        <v>74</v>
      </c>
      <c r="BQ1656" t="s">
        <v>74</v>
      </c>
      <c r="BR1656" t="s">
        <v>96</v>
      </c>
      <c r="BS1656" t="s">
        <v>3146</v>
      </c>
      <c r="BT1656" t="str">
        <f>HYPERLINK("https%3A%2F%2Fwww.webofscience.com%2Fwos%2Fwoscc%2Ffull-record%2FWOS:000665794400001","View Full Record in Web of Science")</f>
        <v>View Full Record in Web of Science</v>
      </c>
    </row>
    <row r="1657" spans="1:72" x14ac:dyDescent="0.15">
      <c r="A1657" t="s">
        <v>98</v>
      </c>
      <c r="B1657" t="s">
        <v>3241</v>
      </c>
      <c r="C1657" t="s">
        <v>74</v>
      </c>
      <c r="D1657" t="s">
        <v>74</v>
      </c>
      <c r="E1657" t="s">
        <v>74</v>
      </c>
      <c r="F1657" t="s">
        <v>3242</v>
      </c>
      <c r="G1657" t="s">
        <v>74</v>
      </c>
      <c r="H1657" t="s">
        <v>74</v>
      </c>
      <c r="I1657" t="s">
        <v>3243</v>
      </c>
      <c r="J1657" t="s">
        <v>3244</v>
      </c>
      <c r="K1657" t="s">
        <v>74</v>
      </c>
      <c r="L1657" t="s">
        <v>74</v>
      </c>
      <c r="M1657" t="s">
        <v>74</v>
      </c>
      <c r="N1657" t="s">
        <v>103</v>
      </c>
      <c r="O1657" t="s">
        <v>74</v>
      </c>
      <c r="P1657" t="s">
        <v>74</v>
      </c>
      <c r="Q1657" t="s">
        <v>74</v>
      </c>
      <c r="R1657" t="s">
        <v>74</v>
      </c>
      <c r="S1657" t="s">
        <v>74</v>
      </c>
      <c r="T1657" t="s">
        <v>3245</v>
      </c>
      <c r="U1657" t="s">
        <v>3246</v>
      </c>
      <c r="V1657" t="s">
        <v>3247</v>
      </c>
      <c r="W1657" t="s">
        <v>3248</v>
      </c>
      <c r="X1657" t="s">
        <v>3249</v>
      </c>
      <c r="Y1657" t="s">
        <v>3250</v>
      </c>
      <c r="Z1657" t="s">
        <v>3251</v>
      </c>
      <c r="AA1657" t="s">
        <v>3252</v>
      </c>
      <c r="AB1657" t="s">
        <v>3253</v>
      </c>
      <c r="AC1657" t="s">
        <v>74</v>
      </c>
      <c r="AD1657" t="s">
        <v>74</v>
      </c>
      <c r="AE1657" t="s">
        <v>74</v>
      </c>
      <c r="AF1657" t="s">
        <v>74</v>
      </c>
      <c r="AG1657">
        <v>48</v>
      </c>
      <c r="AH1657">
        <v>2</v>
      </c>
      <c r="AI1657">
        <v>3</v>
      </c>
      <c r="AJ1657">
        <v>0</v>
      </c>
      <c r="AK1657">
        <v>5</v>
      </c>
      <c r="AL1657" t="s">
        <v>74</v>
      </c>
      <c r="AM1657" t="s">
        <v>74</v>
      </c>
      <c r="AN1657" t="s">
        <v>74</v>
      </c>
      <c r="AO1657" t="s">
        <v>3254</v>
      </c>
      <c r="AP1657" t="s">
        <v>74</v>
      </c>
      <c r="AQ1657" t="s">
        <v>74</v>
      </c>
      <c r="AR1657" t="s">
        <v>74</v>
      </c>
      <c r="AS1657" t="s">
        <v>74</v>
      </c>
      <c r="AT1657" t="s">
        <v>3255</v>
      </c>
      <c r="AU1657">
        <v>2018</v>
      </c>
      <c r="AV1657">
        <v>8</v>
      </c>
      <c r="AW1657" t="s">
        <v>74</v>
      </c>
      <c r="AX1657" t="s">
        <v>74</v>
      </c>
      <c r="AY1657" t="s">
        <v>74</v>
      </c>
      <c r="AZ1657" t="s">
        <v>74</v>
      </c>
      <c r="BA1657" t="s">
        <v>74</v>
      </c>
      <c r="BB1657" t="s">
        <v>74</v>
      </c>
      <c r="BC1657" t="s">
        <v>74</v>
      </c>
      <c r="BD1657">
        <v>412</v>
      </c>
      <c r="BE1657" t="s">
        <v>3256</v>
      </c>
      <c r="BF1657" t="str">
        <f>HYPERLINK("http://dx.doi.org/10.3389/fcimb.2018.00412","http://dx.doi.org/10.3389/fcimb.2018.00412")</f>
        <v>http://dx.doi.org/10.3389/fcimb.2018.00412</v>
      </c>
      <c r="BG1657" t="s">
        <v>74</v>
      </c>
      <c r="BH1657" t="s">
        <v>74</v>
      </c>
      <c r="BI1657" t="s">
        <v>74</v>
      </c>
      <c r="BJ1657" t="s">
        <v>3257</v>
      </c>
      <c r="BK1657" t="s">
        <v>117</v>
      </c>
      <c r="BL1657" t="s">
        <v>3257</v>
      </c>
      <c r="BM1657" t="s">
        <v>74</v>
      </c>
      <c r="BN1657">
        <v>30519544</v>
      </c>
      <c r="BO1657" t="s">
        <v>74</v>
      </c>
      <c r="BP1657" t="s">
        <v>74</v>
      </c>
      <c r="BQ1657" t="s">
        <v>74</v>
      </c>
      <c r="BR1657" t="s">
        <v>96</v>
      </c>
      <c r="BS1657" t="s">
        <v>3258</v>
      </c>
      <c r="BT1657" t="str">
        <f>HYPERLINK("https%3A%2F%2Fwww.webofscience.com%2Fwos%2Fwoscc%2Ffull-record%2FWOS:000450940900001","View Full Record in Web of Science")</f>
        <v>View Full Record in Web of Science</v>
      </c>
    </row>
    <row r="1658" spans="1:72" x14ac:dyDescent="0.15">
      <c r="A1658" t="s">
        <v>98</v>
      </c>
      <c r="B1658" t="s">
        <v>3439</v>
      </c>
      <c r="C1658" t="s">
        <v>74</v>
      </c>
      <c r="D1658" t="s">
        <v>74</v>
      </c>
      <c r="E1658" t="s">
        <v>74</v>
      </c>
      <c r="F1658" t="s">
        <v>3440</v>
      </c>
      <c r="G1658" t="s">
        <v>74</v>
      </c>
      <c r="H1658" t="s">
        <v>74</v>
      </c>
      <c r="I1658" t="s">
        <v>3441</v>
      </c>
      <c r="J1658" t="s">
        <v>3442</v>
      </c>
      <c r="K1658" t="s">
        <v>74</v>
      </c>
      <c r="L1658" t="s">
        <v>74</v>
      </c>
      <c r="M1658" t="s">
        <v>74</v>
      </c>
      <c r="N1658" t="s">
        <v>103</v>
      </c>
      <c r="O1658" t="s">
        <v>74</v>
      </c>
      <c r="P1658" t="s">
        <v>74</v>
      </c>
      <c r="Q1658" t="s">
        <v>74</v>
      </c>
      <c r="R1658" t="s">
        <v>74</v>
      </c>
      <c r="S1658" t="s">
        <v>74</v>
      </c>
      <c r="T1658" t="s">
        <v>3443</v>
      </c>
      <c r="U1658" t="s">
        <v>3444</v>
      </c>
      <c r="V1658" t="s">
        <v>3445</v>
      </c>
      <c r="W1658" t="s">
        <v>3446</v>
      </c>
      <c r="X1658" t="s">
        <v>1368</v>
      </c>
      <c r="Y1658" t="s">
        <v>3447</v>
      </c>
      <c r="Z1658" t="s">
        <v>1370</v>
      </c>
      <c r="AA1658" t="s">
        <v>74</v>
      </c>
      <c r="AB1658" t="s">
        <v>74</v>
      </c>
      <c r="AC1658" t="s">
        <v>74</v>
      </c>
      <c r="AD1658" t="s">
        <v>74</v>
      </c>
      <c r="AE1658" t="s">
        <v>74</v>
      </c>
      <c r="AF1658" t="s">
        <v>74</v>
      </c>
      <c r="AG1658">
        <v>37</v>
      </c>
      <c r="AH1658">
        <v>2</v>
      </c>
      <c r="AI1658">
        <v>2</v>
      </c>
      <c r="AJ1658">
        <v>1</v>
      </c>
      <c r="AK1658">
        <v>7</v>
      </c>
      <c r="AL1658" t="s">
        <v>74</v>
      </c>
      <c r="AM1658" t="s">
        <v>74</v>
      </c>
      <c r="AN1658" t="s">
        <v>74</v>
      </c>
      <c r="AO1658" t="s">
        <v>3448</v>
      </c>
      <c r="AP1658" t="s">
        <v>3449</v>
      </c>
      <c r="AQ1658" t="s">
        <v>74</v>
      </c>
      <c r="AR1658" t="s">
        <v>74</v>
      </c>
      <c r="AS1658" t="s">
        <v>74</v>
      </c>
      <c r="AT1658" t="s">
        <v>565</v>
      </c>
      <c r="AU1658">
        <v>2015</v>
      </c>
      <c r="AV1658">
        <v>20</v>
      </c>
      <c r="AW1658">
        <v>1</v>
      </c>
      <c r="AX1658" t="s">
        <v>74</v>
      </c>
      <c r="AY1658" t="s">
        <v>74</v>
      </c>
      <c r="AZ1658" t="s">
        <v>74</v>
      </c>
      <c r="BA1658" t="s">
        <v>74</v>
      </c>
      <c r="BB1658">
        <v>117</v>
      </c>
      <c r="BC1658">
        <v>129</v>
      </c>
      <c r="BD1658" t="s">
        <v>74</v>
      </c>
      <c r="BE1658" t="s">
        <v>3450</v>
      </c>
      <c r="BF1658" t="str">
        <f>HYPERLINK("http://dx.doi.org/10.1515/cmble-2015-0003","http://dx.doi.org/10.1515/cmble-2015-0003")</f>
        <v>http://dx.doi.org/10.1515/cmble-2015-0003</v>
      </c>
      <c r="BG1658" t="s">
        <v>74</v>
      </c>
      <c r="BH1658" t="s">
        <v>74</v>
      </c>
      <c r="BI1658" t="s">
        <v>74</v>
      </c>
      <c r="BJ1658" t="s">
        <v>498</v>
      </c>
      <c r="BK1658" t="s">
        <v>117</v>
      </c>
      <c r="BL1658" t="s">
        <v>498</v>
      </c>
      <c r="BM1658" t="s">
        <v>74</v>
      </c>
      <c r="BN1658">
        <v>26204397</v>
      </c>
      <c r="BO1658" t="s">
        <v>74</v>
      </c>
      <c r="BP1658" t="s">
        <v>74</v>
      </c>
      <c r="BQ1658" t="s">
        <v>74</v>
      </c>
      <c r="BR1658" t="s">
        <v>96</v>
      </c>
      <c r="BS1658" t="s">
        <v>3451</v>
      </c>
      <c r="BT1658" t="str">
        <f>HYPERLINK("https%3A%2F%2Fwww.webofscience.com%2Fwos%2Fwoscc%2Ffull-record%2FWOS:000355146700008","View Full Record in Web of Science")</f>
        <v>View Full Record in Web of Science</v>
      </c>
    </row>
    <row r="1659" spans="1:72" x14ac:dyDescent="0.15">
      <c r="A1659" t="s">
        <v>72</v>
      </c>
      <c r="B1659" t="s">
        <v>3545</v>
      </c>
      <c r="C1659" t="s">
        <v>74</v>
      </c>
      <c r="D1659" t="s">
        <v>3546</v>
      </c>
      <c r="E1659" t="s">
        <v>74</v>
      </c>
      <c r="F1659" t="s">
        <v>3547</v>
      </c>
      <c r="G1659" t="s">
        <v>74</v>
      </c>
      <c r="H1659" t="s">
        <v>74</v>
      </c>
      <c r="I1659" t="s">
        <v>3548</v>
      </c>
      <c r="J1659" t="s">
        <v>3549</v>
      </c>
      <c r="K1659" t="s">
        <v>2947</v>
      </c>
      <c r="L1659" t="s">
        <v>74</v>
      </c>
      <c r="M1659" t="s">
        <v>74</v>
      </c>
      <c r="N1659" t="s">
        <v>980</v>
      </c>
      <c r="O1659" t="s">
        <v>3550</v>
      </c>
      <c r="P1659" t="s">
        <v>3551</v>
      </c>
      <c r="Q1659" t="s">
        <v>3552</v>
      </c>
      <c r="R1659" t="s">
        <v>74</v>
      </c>
      <c r="S1659" t="s">
        <v>74</v>
      </c>
      <c r="T1659" t="s">
        <v>3553</v>
      </c>
      <c r="U1659" t="s">
        <v>3554</v>
      </c>
      <c r="V1659" t="s">
        <v>3555</v>
      </c>
      <c r="W1659" t="s">
        <v>3556</v>
      </c>
      <c r="X1659" t="s">
        <v>3557</v>
      </c>
      <c r="Y1659" t="s">
        <v>3558</v>
      </c>
      <c r="Z1659" t="s">
        <v>3559</v>
      </c>
      <c r="AA1659" t="s">
        <v>3560</v>
      </c>
      <c r="AB1659" t="s">
        <v>3561</v>
      </c>
      <c r="AC1659" t="s">
        <v>74</v>
      </c>
      <c r="AD1659" t="s">
        <v>74</v>
      </c>
      <c r="AE1659" t="s">
        <v>74</v>
      </c>
      <c r="AF1659" t="s">
        <v>74</v>
      </c>
      <c r="AG1659">
        <v>18</v>
      </c>
      <c r="AH1659">
        <v>2</v>
      </c>
      <c r="AI1659">
        <v>2</v>
      </c>
      <c r="AJ1659">
        <v>0</v>
      </c>
      <c r="AK1659">
        <v>6</v>
      </c>
      <c r="AL1659" t="s">
        <v>74</v>
      </c>
      <c r="AM1659" t="s">
        <v>74</v>
      </c>
      <c r="AN1659" t="s">
        <v>74</v>
      </c>
      <c r="AO1659" t="s">
        <v>2954</v>
      </c>
      <c r="AP1659" t="s">
        <v>74</v>
      </c>
      <c r="AQ1659" t="s">
        <v>3562</v>
      </c>
      <c r="AR1659" t="s">
        <v>74</v>
      </c>
      <c r="AS1659" t="s">
        <v>74</v>
      </c>
      <c r="AT1659" t="s">
        <v>74</v>
      </c>
      <c r="AU1659">
        <v>2016</v>
      </c>
      <c r="AV1659">
        <v>924</v>
      </c>
      <c r="AW1659" t="s">
        <v>74</v>
      </c>
      <c r="AX1659" t="s">
        <v>74</v>
      </c>
      <c r="AY1659" t="s">
        <v>74</v>
      </c>
      <c r="AZ1659" t="s">
        <v>74</v>
      </c>
      <c r="BA1659" t="s">
        <v>74</v>
      </c>
      <c r="BB1659">
        <v>85</v>
      </c>
      <c r="BC1659">
        <v>89</v>
      </c>
      <c r="BD1659" t="s">
        <v>74</v>
      </c>
      <c r="BE1659" t="s">
        <v>3563</v>
      </c>
      <c r="BF1659" t="str">
        <f>HYPERLINK("http://dx.doi.org/10.1007/978-3-319-42044-8_16","http://dx.doi.org/10.1007/978-3-319-42044-8_16")</f>
        <v>http://dx.doi.org/10.1007/978-3-319-42044-8_16</v>
      </c>
      <c r="BG1659" t="s">
        <v>3564</v>
      </c>
      <c r="BH1659" t="s">
        <v>74</v>
      </c>
      <c r="BI1659" t="s">
        <v>74</v>
      </c>
      <c r="BJ1659" t="s">
        <v>2959</v>
      </c>
      <c r="BK1659" t="s">
        <v>3565</v>
      </c>
      <c r="BL1659" t="s">
        <v>2961</v>
      </c>
      <c r="BM1659" t="s">
        <v>74</v>
      </c>
      <c r="BN1659">
        <v>27753024</v>
      </c>
      <c r="BO1659" t="s">
        <v>74</v>
      </c>
      <c r="BP1659" t="s">
        <v>74</v>
      </c>
      <c r="BQ1659" t="s">
        <v>74</v>
      </c>
      <c r="BR1659" t="s">
        <v>96</v>
      </c>
      <c r="BS1659" t="s">
        <v>3566</v>
      </c>
      <c r="BT1659" t="str">
        <f>HYPERLINK("https%3A%2F%2Fwww.webofscience.com%2Fwos%2Fwoscc%2Ffull-record%2FWOS:000401116800017","View Full Record in Web of Science")</f>
        <v>View Full Record in Web of Science</v>
      </c>
    </row>
    <row r="1660" spans="1:72" x14ac:dyDescent="0.15">
      <c r="A1660" t="s">
        <v>98</v>
      </c>
      <c r="B1660" t="s">
        <v>3666</v>
      </c>
      <c r="C1660" t="s">
        <v>74</v>
      </c>
      <c r="D1660" t="s">
        <v>74</v>
      </c>
      <c r="E1660" t="s">
        <v>74</v>
      </c>
      <c r="F1660" t="s">
        <v>3667</v>
      </c>
      <c r="G1660" t="s">
        <v>74</v>
      </c>
      <c r="H1660" t="s">
        <v>74</v>
      </c>
      <c r="I1660" t="s">
        <v>3668</v>
      </c>
      <c r="J1660" t="s">
        <v>3669</v>
      </c>
      <c r="K1660" t="s">
        <v>74</v>
      </c>
      <c r="L1660" t="s">
        <v>74</v>
      </c>
      <c r="M1660" t="s">
        <v>74</v>
      </c>
      <c r="N1660" t="s">
        <v>103</v>
      </c>
      <c r="O1660" t="s">
        <v>74</v>
      </c>
      <c r="P1660" t="s">
        <v>74</v>
      </c>
      <c r="Q1660" t="s">
        <v>74</v>
      </c>
      <c r="R1660" t="s">
        <v>74</v>
      </c>
      <c r="S1660" t="s">
        <v>74</v>
      </c>
      <c r="T1660" t="s">
        <v>3670</v>
      </c>
      <c r="U1660" t="s">
        <v>3671</v>
      </c>
      <c r="V1660" t="s">
        <v>3672</v>
      </c>
      <c r="W1660" t="s">
        <v>3673</v>
      </c>
      <c r="X1660" t="s">
        <v>3674</v>
      </c>
      <c r="Y1660" t="s">
        <v>3675</v>
      </c>
      <c r="Z1660" t="s">
        <v>3676</v>
      </c>
      <c r="AA1660" t="s">
        <v>74</v>
      </c>
      <c r="AB1660" t="s">
        <v>74</v>
      </c>
      <c r="AC1660" t="s">
        <v>74</v>
      </c>
      <c r="AD1660" t="s">
        <v>74</v>
      </c>
      <c r="AE1660" t="s">
        <v>74</v>
      </c>
      <c r="AF1660" t="s">
        <v>74</v>
      </c>
      <c r="AG1660">
        <v>25</v>
      </c>
      <c r="AH1660">
        <v>2</v>
      </c>
      <c r="AI1660">
        <v>2</v>
      </c>
      <c r="AJ1660">
        <v>0</v>
      </c>
      <c r="AK1660">
        <v>11</v>
      </c>
      <c r="AL1660" t="s">
        <v>74</v>
      </c>
      <c r="AM1660" t="s">
        <v>74</v>
      </c>
      <c r="AN1660" t="s">
        <v>74</v>
      </c>
      <c r="AO1660" t="s">
        <v>3677</v>
      </c>
      <c r="AP1660" t="s">
        <v>3678</v>
      </c>
      <c r="AQ1660" t="s">
        <v>74</v>
      </c>
      <c r="AR1660" t="s">
        <v>74</v>
      </c>
      <c r="AS1660" t="s">
        <v>74</v>
      </c>
      <c r="AT1660" t="s">
        <v>189</v>
      </c>
      <c r="AU1660">
        <v>2017</v>
      </c>
      <c r="AV1660">
        <v>6</v>
      </c>
      <c r="AW1660" t="s">
        <v>74</v>
      </c>
      <c r="AX1660" t="s">
        <v>74</v>
      </c>
      <c r="AY1660">
        <v>8</v>
      </c>
      <c r="AZ1660" t="s">
        <v>74</v>
      </c>
      <c r="BA1660" t="s">
        <v>74</v>
      </c>
      <c r="BB1660" t="s">
        <v>3679</v>
      </c>
      <c r="BC1660" t="s">
        <v>3680</v>
      </c>
      <c r="BD1660" t="s">
        <v>74</v>
      </c>
      <c r="BE1660" t="s">
        <v>3681</v>
      </c>
      <c r="BF1660" t="str">
        <f>HYPERLINK("http://dx.doi.org/10.21037/tcr.2017.09.28","http://dx.doi.org/10.21037/tcr.2017.09.28")</f>
        <v>http://dx.doi.org/10.21037/tcr.2017.09.28</v>
      </c>
      <c r="BG1660" t="s">
        <v>74</v>
      </c>
      <c r="BH1660" t="s">
        <v>74</v>
      </c>
      <c r="BI1660" t="s">
        <v>74</v>
      </c>
      <c r="BJ1660" t="s">
        <v>267</v>
      </c>
      <c r="BK1660" t="s">
        <v>117</v>
      </c>
      <c r="BL1660" t="s">
        <v>267</v>
      </c>
      <c r="BM1660" t="s">
        <v>74</v>
      </c>
      <c r="BN1660" t="s">
        <v>74</v>
      </c>
      <c r="BO1660" t="s">
        <v>74</v>
      </c>
      <c r="BP1660" t="s">
        <v>74</v>
      </c>
      <c r="BQ1660" t="s">
        <v>74</v>
      </c>
      <c r="BR1660" t="s">
        <v>96</v>
      </c>
      <c r="BS1660" t="s">
        <v>3682</v>
      </c>
      <c r="BT1660" t="str">
        <f>HYPERLINK("https%3A%2F%2Fwww.webofscience.com%2Fwos%2Fwoscc%2Ffull-record%2FWOS:000413979800012","View Full Record in Web of Science")</f>
        <v>View Full Record in Web of Science</v>
      </c>
    </row>
    <row r="1661" spans="1:72" x14ac:dyDescent="0.15">
      <c r="A1661" t="s">
        <v>98</v>
      </c>
      <c r="B1661" t="s">
        <v>4418</v>
      </c>
      <c r="C1661" t="s">
        <v>74</v>
      </c>
      <c r="D1661" t="s">
        <v>74</v>
      </c>
      <c r="E1661" t="s">
        <v>74</v>
      </c>
      <c r="F1661" t="s">
        <v>4419</v>
      </c>
      <c r="G1661" t="s">
        <v>74</v>
      </c>
      <c r="H1661" t="s">
        <v>74</v>
      </c>
      <c r="I1661" t="s">
        <v>4420</v>
      </c>
      <c r="J1661" t="s">
        <v>4421</v>
      </c>
      <c r="K1661" t="s">
        <v>74</v>
      </c>
      <c r="L1661" t="s">
        <v>74</v>
      </c>
      <c r="M1661" t="s">
        <v>74</v>
      </c>
      <c r="N1661" t="s">
        <v>103</v>
      </c>
      <c r="O1661" t="s">
        <v>74</v>
      </c>
      <c r="P1661" t="s">
        <v>74</v>
      </c>
      <c r="Q1661" t="s">
        <v>74</v>
      </c>
      <c r="R1661" t="s">
        <v>74</v>
      </c>
      <c r="S1661" t="s">
        <v>74</v>
      </c>
      <c r="T1661" t="s">
        <v>4422</v>
      </c>
      <c r="U1661" t="s">
        <v>4423</v>
      </c>
      <c r="V1661" t="s">
        <v>4424</v>
      </c>
      <c r="W1661" t="s">
        <v>4425</v>
      </c>
      <c r="X1661" t="s">
        <v>4426</v>
      </c>
      <c r="Y1661" t="s">
        <v>4427</v>
      </c>
      <c r="Z1661" t="s">
        <v>4428</v>
      </c>
      <c r="AA1661" t="s">
        <v>74</v>
      </c>
      <c r="AB1661" t="s">
        <v>4429</v>
      </c>
      <c r="AC1661" t="s">
        <v>74</v>
      </c>
      <c r="AD1661" t="s">
        <v>74</v>
      </c>
      <c r="AE1661" t="s">
        <v>74</v>
      </c>
      <c r="AF1661" t="s">
        <v>74</v>
      </c>
      <c r="AG1661">
        <v>48</v>
      </c>
      <c r="AH1661">
        <v>2</v>
      </c>
      <c r="AI1661">
        <v>2</v>
      </c>
      <c r="AJ1661">
        <v>51</v>
      </c>
      <c r="AK1661">
        <v>68</v>
      </c>
      <c r="AL1661" t="s">
        <v>74</v>
      </c>
      <c r="AM1661" t="s">
        <v>74</v>
      </c>
      <c r="AN1661" t="s">
        <v>74</v>
      </c>
      <c r="AO1661" t="s">
        <v>4430</v>
      </c>
      <c r="AP1661" t="s">
        <v>4431</v>
      </c>
      <c r="AQ1661" t="s">
        <v>74</v>
      </c>
      <c r="AR1661" t="s">
        <v>74</v>
      </c>
      <c r="AS1661" t="s">
        <v>74</v>
      </c>
      <c r="AT1661" t="s">
        <v>4432</v>
      </c>
      <c r="AU1661">
        <v>2022</v>
      </c>
      <c r="AV1661">
        <v>29</v>
      </c>
      <c r="AW1661">
        <v>1</v>
      </c>
      <c r="AX1661" t="s">
        <v>74</v>
      </c>
      <c r="AY1661" t="s">
        <v>74</v>
      </c>
      <c r="AZ1661" t="s">
        <v>74</v>
      </c>
      <c r="BA1661" t="s">
        <v>74</v>
      </c>
      <c r="BB1661">
        <v>192</v>
      </c>
      <c r="BC1661">
        <v>202</v>
      </c>
      <c r="BD1661" t="s">
        <v>74</v>
      </c>
      <c r="BE1661" t="s">
        <v>4433</v>
      </c>
      <c r="BF1661" t="str">
        <f>HYPERLINK("http://dx.doi.org/10.1080/10717544.2021.2023697","http://dx.doi.org/10.1080/10717544.2021.2023697")</f>
        <v>http://dx.doi.org/10.1080/10717544.2021.2023697</v>
      </c>
      <c r="BG1661" t="s">
        <v>74</v>
      </c>
      <c r="BH1661" t="s">
        <v>74</v>
      </c>
      <c r="BI1661" t="s">
        <v>74</v>
      </c>
      <c r="BJ1661" t="s">
        <v>533</v>
      </c>
      <c r="BK1661" t="s">
        <v>117</v>
      </c>
      <c r="BL1661" t="s">
        <v>533</v>
      </c>
      <c r="BM1661" t="s">
        <v>74</v>
      </c>
      <c r="BN1661">
        <v>34984953</v>
      </c>
      <c r="BO1661" t="s">
        <v>74</v>
      </c>
      <c r="BP1661" t="s">
        <v>74</v>
      </c>
      <c r="BQ1661" t="s">
        <v>74</v>
      </c>
      <c r="BR1661" t="s">
        <v>96</v>
      </c>
      <c r="BS1661" t="s">
        <v>4434</v>
      </c>
      <c r="BT1661" t="str">
        <f>HYPERLINK("https%3A%2F%2Fwww.webofscience.com%2Fwos%2Fwoscc%2Ffull-record%2FWOS:000739359600001","View Full Record in Web of Science")</f>
        <v>View Full Record in Web of Science</v>
      </c>
    </row>
    <row r="1662" spans="1:72" x14ac:dyDescent="0.15">
      <c r="A1662" t="s">
        <v>98</v>
      </c>
      <c r="B1662" t="s">
        <v>4941</v>
      </c>
      <c r="C1662" t="s">
        <v>74</v>
      </c>
      <c r="D1662" t="s">
        <v>74</v>
      </c>
      <c r="E1662" t="s">
        <v>74</v>
      </c>
      <c r="F1662" t="s">
        <v>4942</v>
      </c>
      <c r="G1662" t="s">
        <v>74</v>
      </c>
      <c r="H1662" t="s">
        <v>74</v>
      </c>
      <c r="I1662" t="s">
        <v>4943</v>
      </c>
      <c r="J1662" t="s">
        <v>4391</v>
      </c>
      <c r="K1662" t="s">
        <v>74</v>
      </c>
      <c r="L1662" t="s">
        <v>74</v>
      </c>
      <c r="M1662" t="s">
        <v>74</v>
      </c>
      <c r="N1662" t="s">
        <v>103</v>
      </c>
      <c r="O1662" t="s">
        <v>74</v>
      </c>
      <c r="P1662" t="s">
        <v>74</v>
      </c>
      <c r="Q1662" t="s">
        <v>74</v>
      </c>
      <c r="R1662" t="s">
        <v>74</v>
      </c>
      <c r="S1662" t="s">
        <v>74</v>
      </c>
      <c r="T1662" t="s">
        <v>4944</v>
      </c>
      <c r="U1662" t="s">
        <v>4945</v>
      </c>
      <c r="V1662" t="s">
        <v>4946</v>
      </c>
      <c r="W1662" t="s">
        <v>4947</v>
      </c>
      <c r="X1662" t="s">
        <v>4948</v>
      </c>
      <c r="Y1662" t="s">
        <v>4949</v>
      </c>
      <c r="Z1662" t="s">
        <v>4950</v>
      </c>
      <c r="AA1662" t="s">
        <v>3888</v>
      </c>
      <c r="AB1662" t="s">
        <v>4951</v>
      </c>
      <c r="AC1662" t="s">
        <v>74</v>
      </c>
      <c r="AD1662" t="s">
        <v>74</v>
      </c>
      <c r="AE1662" t="s">
        <v>74</v>
      </c>
      <c r="AF1662" t="s">
        <v>74</v>
      </c>
      <c r="AG1662">
        <v>51</v>
      </c>
      <c r="AH1662">
        <v>2</v>
      </c>
      <c r="AI1662">
        <v>2</v>
      </c>
      <c r="AJ1662">
        <v>6</v>
      </c>
      <c r="AK1662">
        <v>10</v>
      </c>
      <c r="AL1662" t="s">
        <v>74</v>
      </c>
      <c r="AM1662" t="s">
        <v>74</v>
      </c>
      <c r="AN1662" t="s">
        <v>74</v>
      </c>
      <c r="AO1662" t="s">
        <v>74</v>
      </c>
      <c r="AP1662" t="s">
        <v>4401</v>
      </c>
      <c r="AQ1662" t="s">
        <v>74</v>
      </c>
      <c r="AR1662" t="s">
        <v>74</v>
      </c>
      <c r="AS1662" t="s">
        <v>74</v>
      </c>
      <c r="AT1662" t="s">
        <v>4952</v>
      </c>
      <c r="AU1662">
        <v>2021</v>
      </c>
      <c r="AV1662">
        <v>12</v>
      </c>
      <c r="AW1662">
        <v>1</v>
      </c>
      <c r="AX1662" t="s">
        <v>74</v>
      </c>
      <c r="AY1662" t="s">
        <v>74</v>
      </c>
      <c r="AZ1662" t="s">
        <v>74</v>
      </c>
      <c r="BA1662" t="s">
        <v>74</v>
      </c>
      <c r="BB1662" t="s">
        <v>74</v>
      </c>
      <c r="BC1662" t="s">
        <v>74</v>
      </c>
      <c r="BD1662">
        <v>422</v>
      </c>
      <c r="BE1662" t="s">
        <v>4953</v>
      </c>
      <c r="BF1662" t="str">
        <f>HYPERLINK("http://dx.doi.org/10.1186/s13287-021-02504-5","http://dx.doi.org/10.1186/s13287-021-02504-5")</f>
        <v>http://dx.doi.org/10.1186/s13287-021-02504-5</v>
      </c>
      <c r="BG1662" t="s">
        <v>74</v>
      </c>
      <c r="BH1662" t="s">
        <v>74</v>
      </c>
      <c r="BI1662" t="s">
        <v>74</v>
      </c>
      <c r="BJ1662" t="s">
        <v>3115</v>
      </c>
      <c r="BK1662" t="s">
        <v>117</v>
      </c>
      <c r="BL1662" t="s">
        <v>3116</v>
      </c>
      <c r="BM1662" t="s">
        <v>74</v>
      </c>
      <c r="BN1662">
        <v>34294160</v>
      </c>
      <c r="BO1662" t="s">
        <v>74</v>
      </c>
      <c r="BP1662" t="s">
        <v>74</v>
      </c>
      <c r="BQ1662" t="s">
        <v>74</v>
      </c>
      <c r="BR1662" t="s">
        <v>96</v>
      </c>
      <c r="BS1662" t="s">
        <v>4954</v>
      </c>
      <c r="BT1662" t="str">
        <f>HYPERLINK("https%3A%2F%2Fwww.webofscience.com%2Fwos%2Fwoscc%2Ffull-record%2FWOS:000680890400007","View Full Record in Web of Science")</f>
        <v>View Full Record in Web of Science</v>
      </c>
    </row>
    <row r="1663" spans="1:72" x14ac:dyDescent="0.15">
      <c r="A1663" t="s">
        <v>98</v>
      </c>
      <c r="B1663" t="s">
        <v>5477</v>
      </c>
      <c r="C1663" t="s">
        <v>74</v>
      </c>
      <c r="D1663" t="s">
        <v>74</v>
      </c>
      <c r="E1663" t="s">
        <v>74</v>
      </c>
      <c r="F1663" t="s">
        <v>5478</v>
      </c>
      <c r="G1663" t="s">
        <v>74</v>
      </c>
      <c r="H1663" t="s">
        <v>74</v>
      </c>
      <c r="I1663" t="s">
        <v>5479</v>
      </c>
      <c r="J1663" t="s">
        <v>1827</v>
      </c>
      <c r="K1663" t="s">
        <v>74</v>
      </c>
      <c r="L1663" t="s">
        <v>74</v>
      </c>
      <c r="M1663" t="s">
        <v>74</v>
      </c>
      <c r="N1663" t="s">
        <v>103</v>
      </c>
      <c r="O1663" t="s">
        <v>74</v>
      </c>
      <c r="P1663" t="s">
        <v>74</v>
      </c>
      <c r="Q1663" t="s">
        <v>74</v>
      </c>
      <c r="R1663" t="s">
        <v>74</v>
      </c>
      <c r="S1663" t="s">
        <v>74</v>
      </c>
      <c r="T1663" t="s">
        <v>5480</v>
      </c>
      <c r="U1663" t="s">
        <v>5481</v>
      </c>
      <c r="V1663" t="s">
        <v>5482</v>
      </c>
      <c r="W1663" t="s">
        <v>5483</v>
      </c>
      <c r="X1663" t="s">
        <v>5484</v>
      </c>
      <c r="Y1663" t="s">
        <v>5485</v>
      </c>
      <c r="Z1663" t="s">
        <v>5486</v>
      </c>
      <c r="AA1663" t="s">
        <v>74</v>
      </c>
      <c r="AB1663" t="s">
        <v>5487</v>
      </c>
      <c r="AC1663" t="s">
        <v>74</v>
      </c>
      <c r="AD1663" t="s">
        <v>74</v>
      </c>
      <c r="AE1663" t="s">
        <v>74</v>
      </c>
      <c r="AF1663" t="s">
        <v>74</v>
      </c>
      <c r="AG1663">
        <v>65</v>
      </c>
      <c r="AH1663">
        <v>2</v>
      </c>
      <c r="AI1663">
        <v>2</v>
      </c>
      <c r="AJ1663">
        <v>4</v>
      </c>
      <c r="AK1663">
        <v>5</v>
      </c>
      <c r="AL1663" t="s">
        <v>74</v>
      </c>
      <c r="AM1663" t="s">
        <v>74</v>
      </c>
      <c r="AN1663" t="s">
        <v>74</v>
      </c>
      <c r="AO1663" t="s">
        <v>74</v>
      </c>
      <c r="AP1663" t="s">
        <v>1836</v>
      </c>
      <c r="AQ1663" t="s">
        <v>74</v>
      </c>
      <c r="AR1663" t="s">
        <v>74</v>
      </c>
      <c r="AS1663" t="s">
        <v>74</v>
      </c>
      <c r="AT1663" t="s">
        <v>283</v>
      </c>
      <c r="AU1663">
        <v>2022</v>
      </c>
      <c r="AV1663">
        <v>11</v>
      </c>
      <c r="AW1663">
        <v>3</v>
      </c>
      <c r="AX1663" t="s">
        <v>74</v>
      </c>
      <c r="AY1663" t="s">
        <v>74</v>
      </c>
      <c r="AZ1663" t="s">
        <v>74</v>
      </c>
      <c r="BA1663" t="s">
        <v>74</v>
      </c>
      <c r="BB1663" t="s">
        <v>74</v>
      </c>
      <c r="BC1663" t="s">
        <v>74</v>
      </c>
      <c r="BD1663">
        <v>369</v>
      </c>
      <c r="BE1663" t="s">
        <v>5488</v>
      </c>
      <c r="BF1663" t="str">
        <f>HYPERLINK("http://dx.doi.org/10.3390/cells11030369","http://dx.doi.org/10.3390/cells11030369")</f>
        <v>http://dx.doi.org/10.3390/cells11030369</v>
      </c>
      <c r="BG1663" t="s">
        <v>74</v>
      </c>
      <c r="BH1663" t="s">
        <v>74</v>
      </c>
      <c r="BI1663" t="s">
        <v>74</v>
      </c>
      <c r="BJ1663" t="s">
        <v>135</v>
      </c>
      <c r="BK1663" t="s">
        <v>117</v>
      </c>
      <c r="BL1663" t="s">
        <v>135</v>
      </c>
      <c r="BM1663" t="s">
        <v>74</v>
      </c>
      <c r="BN1663">
        <v>35159179</v>
      </c>
      <c r="BO1663" t="s">
        <v>74</v>
      </c>
      <c r="BP1663" t="s">
        <v>74</v>
      </c>
      <c r="BQ1663" t="s">
        <v>74</v>
      </c>
      <c r="BR1663" t="s">
        <v>96</v>
      </c>
      <c r="BS1663" t="s">
        <v>5489</v>
      </c>
      <c r="BT1663" t="str">
        <f>HYPERLINK("https%3A%2F%2Fwww.webofscience.com%2Fwos%2Fwoscc%2Ffull-record%2FWOS:000759619200001","View Full Record in Web of Science")</f>
        <v>View Full Record in Web of Science</v>
      </c>
    </row>
    <row r="1664" spans="1:72" x14ac:dyDescent="0.15">
      <c r="A1664" t="s">
        <v>98</v>
      </c>
      <c r="B1664" t="s">
        <v>5903</v>
      </c>
      <c r="C1664" t="s">
        <v>74</v>
      </c>
      <c r="D1664" t="s">
        <v>74</v>
      </c>
      <c r="E1664" t="s">
        <v>74</v>
      </c>
      <c r="F1664" t="s">
        <v>5904</v>
      </c>
      <c r="G1664" t="s">
        <v>74</v>
      </c>
      <c r="H1664" t="s">
        <v>74</v>
      </c>
      <c r="I1664" t="s">
        <v>5905</v>
      </c>
      <c r="J1664" t="s">
        <v>3732</v>
      </c>
      <c r="K1664" t="s">
        <v>74</v>
      </c>
      <c r="L1664" t="s">
        <v>74</v>
      </c>
      <c r="M1664" t="s">
        <v>74</v>
      </c>
      <c r="N1664" t="s">
        <v>103</v>
      </c>
      <c r="O1664" t="s">
        <v>74</v>
      </c>
      <c r="P1664" t="s">
        <v>74</v>
      </c>
      <c r="Q1664" t="s">
        <v>74</v>
      </c>
      <c r="R1664" t="s">
        <v>74</v>
      </c>
      <c r="S1664" t="s">
        <v>74</v>
      </c>
      <c r="T1664" t="s">
        <v>5906</v>
      </c>
      <c r="U1664" t="s">
        <v>74</v>
      </c>
      <c r="V1664" t="s">
        <v>5907</v>
      </c>
      <c r="W1664" t="s">
        <v>5908</v>
      </c>
      <c r="X1664" t="s">
        <v>5909</v>
      </c>
      <c r="Y1664" t="s">
        <v>5910</v>
      </c>
      <c r="Z1664" t="s">
        <v>5911</v>
      </c>
      <c r="AA1664" t="s">
        <v>74</v>
      </c>
      <c r="AB1664" t="s">
        <v>5912</v>
      </c>
      <c r="AC1664" t="s">
        <v>74</v>
      </c>
      <c r="AD1664" t="s">
        <v>74</v>
      </c>
      <c r="AE1664" t="s">
        <v>74</v>
      </c>
      <c r="AF1664" t="s">
        <v>74</v>
      </c>
      <c r="AG1664">
        <v>53</v>
      </c>
      <c r="AH1664">
        <v>2</v>
      </c>
      <c r="AI1664">
        <v>2</v>
      </c>
      <c r="AJ1664">
        <v>0</v>
      </c>
      <c r="AK1664">
        <v>5</v>
      </c>
      <c r="AL1664" t="s">
        <v>74</v>
      </c>
      <c r="AM1664" t="s">
        <v>74</v>
      </c>
      <c r="AN1664" t="s">
        <v>74</v>
      </c>
      <c r="AO1664" t="s">
        <v>3742</v>
      </c>
      <c r="AP1664" t="s">
        <v>3743</v>
      </c>
      <c r="AQ1664" t="s">
        <v>74</v>
      </c>
      <c r="AR1664" t="s">
        <v>74</v>
      </c>
      <c r="AS1664" t="s">
        <v>74</v>
      </c>
      <c r="AT1664" t="s">
        <v>5913</v>
      </c>
      <c r="AU1664">
        <v>2021</v>
      </c>
      <c r="AV1664">
        <v>16</v>
      </c>
      <c r="AW1664">
        <v>11</v>
      </c>
      <c r="AX1664" t="s">
        <v>74</v>
      </c>
      <c r="AY1664" t="s">
        <v>74</v>
      </c>
      <c r="AZ1664" t="s">
        <v>74</v>
      </c>
      <c r="BA1664" t="s">
        <v>74</v>
      </c>
      <c r="BB1664">
        <v>1187</v>
      </c>
      <c r="BC1664">
        <v>1200</v>
      </c>
      <c r="BD1664" t="s">
        <v>74</v>
      </c>
      <c r="BE1664" t="s">
        <v>5914</v>
      </c>
      <c r="BF1664" t="str">
        <f>HYPERLINK("http://dx.doi.org/10.1080/15592294.2020.1853318","http://dx.doi.org/10.1080/15592294.2020.1853318")</f>
        <v>http://dx.doi.org/10.1080/15592294.2020.1853318</v>
      </c>
      <c r="BG1664" t="s">
        <v>74</v>
      </c>
      <c r="BH1664" t="s">
        <v>304</v>
      </c>
      <c r="BI1664" t="s">
        <v>74</v>
      </c>
      <c r="BJ1664" t="s">
        <v>950</v>
      </c>
      <c r="BK1664" t="s">
        <v>117</v>
      </c>
      <c r="BL1664" t="s">
        <v>950</v>
      </c>
      <c r="BM1664" t="s">
        <v>74</v>
      </c>
      <c r="BN1664">
        <v>33380271</v>
      </c>
      <c r="BO1664" t="s">
        <v>74</v>
      </c>
      <c r="BP1664" t="s">
        <v>74</v>
      </c>
      <c r="BQ1664" t="s">
        <v>74</v>
      </c>
      <c r="BR1664" t="s">
        <v>96</v>
      </c>
      <c r="BS1664" t="s">
        <v>5915</v>
      </c>
      <c r="BT1664" t="str">
        <f>HYPERLINK("https%3A%2F%2Fwww.webofscience.com%2Fwos%2Fwoscc%2Ffull-record%2FWOS:000603837700001","View Full Record in Web of Science")</f>
        <v>View Full Record in Web of Science</v>
      </c>
    </row>
    <row r="1665" spans="1:72" x14ac:dyDescent="0.15">
      <c r="A1665" t="s">
        <v>98</v>
      </c>
      <c r="B1665" t="s">
        <v>5932</v>
      </c>
      <c r="C1665" t="s">
        <v>74</v>
      </c>
      <c r="D1665" t="s">
        <v>74</v>
      </c>
      <c r="E1665" t="s">
        <v>74</v>
      </c>
      <c r="F1665" t="s">
        <v>5933</v>
      </c>
      <c r="G1665" t="s">
        <v>74</v>
      </c>
      <c r="H1665" t="s">
        <v>74</v>
      </c>
      <c r="I1665" t="s">
        <v>5934</v>
      </c>
      <c r="J1665" t="s">
        <v>3732</v>
      </c>
      <c r="K1665" t="s">
        <v>74</v>
      </c>
      <c r="L1665" t="s">
        <v>74</v>
      </c>
      <c r="M1665" t="s">
        <v>74</v>
      </c>
      <c r="N1665" t="s">
        <v>2996</v>
      </c>
      <c r="O1665" t="s">
        <v>74</v>
      </c>
      <c r="P1665" t="s">
        <v>74</v>
      </c>
      <c r="Q1665" t="s">
        <v>74</v>
      </c>
      <c r="R1665" t="s">
        <v>74</v>
      </c>
      <c r="S1665" t="s">
        <v>74</v>
      </c>
      <c r="T1665" t="s">
        <v>5935</v>
      </c>
      <c r="U1665" t="s">
        <v>5936</v>
      </c>
      <c r="V1665" t="s">
        <v>5937</v>
      </c>
      <c r="W1665" t="s">
        <v>5938</v>
      </c>
      <c r="X1665" t="s">
        <v>5939</v>
      </c>
      <c r="Y1665" t="s">
        <v>5940</v>
      </c>
      <c r="Z1665" t="s">
        <v>5941</v>
      </c>
      <c r="AA1665" t="s">
        <v>74</v>
      </c>
      <c r="AB1665" t="s">
        <v>5942</v>
      </c>
      <c r="AC1665" t="s">
        <v>74</v>
      </c>
      <c r="AD1665" t="s">
        <v>74</v>
      </c>
      <c r="AE1665" t="s">
        <v>74</v>
      </c>
      <c r="AF1665" t="s">
        <v>74</v>
      </c>
      <c r="AG1665">
        <v>112</v>
      </c>
      <c r="AH1665">
        <v>2</v>
      </c>
      <c r="AI1665">
        <v>2</v>
      </c>
      <c r="AJ1665">
        <v>10</v>
      </c>
      <c r="AK1665">
        <v>14</v>
      </c>
      <c r="AL1665" t="s">
        <v>74</v>
      </c>
      <c r="AM1665" t="s">
        <v>74</v>
      </c>
      <c r="AN1665" t="s">
        <v>74</v>
      </c>
      <c r="AO1665" t="s">
        <v>3742</v>
      </c>
      <c r="AP1665" t="s">
        <v>3743</v>
      </c>
      <c r="AQ1665" t="s">
        <v>74</v>
      </c>
      <c r="AR1665" t="s">
        <v>74</v>
      </c>
      <c r="AS1665" t="s">
        <v>74</v>
      </c>
      <c r="AT1665" t="s">
        <v>74</v>
      </c>
      <c r="AU1665" t="s">
        <v>74</v>
      </c>
      <c r="AV1665" t="s">
        <v>74</v>
      </c>
      <c r="AW1665" t="s">
        <v>74</v>
      </c>
      <c r="AX1665" t="s">
        <v>74</v>
      </c>
      <c r="AY1665" t="s">
        <v>74</v>
      </c>
      <c r="AZ1665" t="s">
        <v>74</v>
      </c>
      <c r="BA1665" t="s">
        <v>74</v>
      </c>
      <c r="BB1665" t="s">
        <v>74</v>
      </c>
      <c r="BC1665" t="s">
        <v>74</v>
      </c>
      <c r="BD1665" t="s">
        <v>74</v>
      </c>
      <c r="BE1665" t="s">
        <v>5943</v>
      </c>
      <c r="BF1665" t="str">
        <f>HYPERLINK("http://dx.doi.org/10.1080/15592294.2021.1994189","http://dx.doi.org/10.1080/15592294.2021.1994189")</f>
        <v>http://dx.doi.org/10.1080/15592294.2021.1994189</v>
      </c>
      <c r="BG1665" t="s">
        <v>74</v>
      </c>
      <c r="BH1665" t="s">
        <v>3026</v>
      </c>
      <c r="BI1665" t="s">
        <v>74</v>
      </c>
      <c r="BJ1665" t="s">
        <v>950</v>
      </c>
      <c r="BK1665" t="s">
        <v>117</v>
      </c>
      <c r="BL1665" t="s">
        <v>950</v>
      </c>
      <c r="BM1665" t="s">
        <v>74</v>
      </c>
      <c r="BN1665">
        <v>34696694</v>
      </c>
      <c r="BO1665" t="s">
        <v>74</v>
      </c>
      <c r="BP1665" t="s">
        <v>74</v>
      </c>
      <c r="BQ1665" t="s">
        <v>74</v>
      </c>
      <c r="BR1665" t="s">
        <v>96</v>
      </c>
      <c r="BS1665" t="s">
        <v>5944</v>
      </c>
      <c r="BT1665" t="str">
        <f>HYPERLINK("https%3A%2F%2Fwww.webofscience.com%2Fwos%2Fwoscc%2Ffull-record%2FWOS:000713054200001","View Full Record in Web of Science")</f>
        <v>View Full Record in Web of Science</v>
      </c>
    </row>
    <row r="1666" spans="1:72" x14ac:dyDescent="0.15">
      <c r="A1666" t="s">
        <v>98</v>
      </c>
      <c r="B1666" t="s">
        <v>6396</v>
      </c>
      <c r="C1666" t="s">
        <v>74</v>
      </c>
      <c r="D1666" t="s">
        <v>74</v>
      </c>
      <c r="E1666" t="s">
        <v>74</v>
      </c>
      <c r="F1666" t="s">
        <v>6397</v>
      </c>
      <c r="G1666" t="s">
        <v>74</v>
      </c>
      <c r="H1666" t="s">
        <v>74</v>
      </c>
      <c r="I1666" t="s">
        <v>6398</v>
      </c>
      <c r="J1666" t="s">
        <v>4118</v>
      </c>
      <c r="K1666" t="s">
        <v>74</v>
      </c>
      <c r="L1666" t="s">
        <v>74</v>
      </c>
      <c r="M1666" t="s">
        <v>74</v>
      </c>
      <c r="N1666" t="s">
        <v>103</v>
      </c>
      <c r="O1666" t="s">
        <v>74</v>
      </c>
      <c r="P1666" t="s">
        <v>74</v>
      </c>
      <c r="Q1666" t="s">
        <v>74</v>
      </c>
      <c r="R1666" t="s">
        <v>74</v>
      </c>
      <c r="S1666" t="s">
        <v>74</v>
      </c>
      <c r="T1666" t="s">
        <v>6399</v>
      </c>
      <c r="U1666" t="s">
        <v>6400</v>
      </c>
      <c r="V1666" t="s">
        <v>6401</v>
      </c>
      <c r="W1666" t="s">
        <v>6402</v>
      </c>
      <c r="X1666" t="s">
        <v>6403</v>
      </c>
      <c r="Y1666" t="s">
        <v>6404</v>
      </c>
      <c r="Z1666" t="s">
        <v>6405</v>
      </c>
      <c r="AA1666" t="s">
        <v>6406</v>
      </c>
      <c r="AB1666" t="s">
        <v>74</v>
      </c>
      <c r="AC1666" t="s">
        <v>74</v>
      </c>
      <c r="AD1666" t="s">
        <v>74</v>
      </c>
      <c r="AE1666" t="s">
        <v>74</v>
      </c>
      <c r="AF1666" t="s">
        <v>74</v>
      </c>
      <c r="AG1666">
        <v>40</v>
      </c>
      <c r="AH1666">
        <v>2</v>
      </c>
      <c r="AI1666">
        <v>2</v>
      </c>
      <c r="AJ1666">
        <v>1</v>
      </c>
      <c r="AK1666">
        <v>15</v>
      </c>
      <c r="AL1666" t="s">
        <v>74</v>
      </c>
      <c r="AM1666" t="s">
        <v>74</v>
      </c>
      <c r="AN1666" t="s">
        <v>74</v>
      </c>
      <c r="AO1666" t="s">
        <v>4126</v>
      </c>
      <c r="AP1666" t="s">
        <v>4127</v>
      </c>
      <c r="AQ1666" t="s">
        <v>74</v>
      </c>
      <c r="AR1666" t="s">
        <v>74</v>
      </c>
      <c r="AS1666" t="s">
        <v>74</v>
      </c>
      <c r="AT1666" t="s">
        <v>531</v>
      </c>
      <c r="AU1666">
        <v>2020</v>
      </c>
      <c r="AV1666">
        <v>22</v>
      </c>
      <c r="AW1666">
        <v>3</v>
      </c>
      <c r="AX1666" t="s">
        <v>74</v>
      </c>
      <c r="AY1666" t="s">
        <v>74</v>
      </c>
      <c r="AZ1666" t="s">
        <v>74</v>
      </c>
      <c r="BA1666" t="s">
        <v>74</v>
      </c>
      <c r="BB1666">
        <v>2528</v>
      </c>
      <c r="BC1666">
        <v>2536</v>
      </c>
      <c r="BD1666" t="s">
        <v>74</v>
      </c>
      <c r="BE1666" t="s">
        <v>6407</v>
      </c>
      <c r="BF1666" t="str">
        <f>HYPERLINK("http://dx.doi.org/10.3892/mmr.2020.11332","http://dx.doi.org/10.3892/mmr.2020.11332")</f>
        <v>http://dx.doi.org/10.3892/mmr.2020.11332</v>
      </c>
      <c r="BG1666" t="s">
        <v>74</v>
      </c>
      <c r="BH1666" t="s">
        <v>74</v>
      </c>
      <c r="BI1666" t="s">
        <v>74</v>
      </c>
      <c r="BJ1666" t="s">
        <v>4129</v>
      </c>
      <c r="BK1666" t="s">
        <v>117</v>
      </c>
      <c r="BL1666" t="s">
        <v>4130</v>
      </c>
      <c r="BM1666" t="s">
        <v>74</v>
      </c>
      <c r="BN1666">
        <v>32705286</v>
      </c>
      <c r="BO1666" t="s">
        <v>74</v>
      </c>
      <c r="BP1666" t="s">
        <v>74</v>
      </c>
      <c r="BQ1666" t="s">
        <v>74</v>
      </c>
      <c r="BR1666" t="s">
        <v>96</v>
      </c>
      <c r="BS1666" t="s">
        <v>6408</v>
      </c>
      <c r="BT1666" t="str">
        <f>HYPERLINK("https%3A%2F%2Fwww.webofscience.com%2Fwos%2Fwoscc%2Ffull-record%2FWOS:000563936800089","View Full Record in Web of Science")</f>
        <v>View Full Record in Web of Science</v>
      </c>
    </row>
    <row r="1667" spans="1:72" x14ac:dyDescent="0.15">
      <c r="A1667" t="s">
        <v>98</v>
      </c>
      <c r="B1667" t="s">
        <v>6569</v>
      </c>
      <c r="C1667" t="s">
        <v>74</v>
      </c>
      <c r="D1667" t="s">
        <v>74</v>
      </c>
      <c r="E1667" t="s">
        <v>74</v>
      </c>
      <c r="F1667" t="s">
        <v>6570</v>
      </c>
      <c r="G1667" t="s">
        <v>74</v>
      </c>
      <c r="H1667" t="s">
        <v>74</v>
      </c>
      <c r="I1667" t="s">
        <v>6571</v>
      </c>
      <c r="J1667" t="s">
        <v>6572</v>
      </c>
      <c r="K1667" t="s">
        <v>74</v>
      </c>
      <c r="L1667" t="s">
        <v>74</v>
      </c>
      <c r="M1667" t="s">
        <v>74</v>
      </c>
      <c r="N1667" t="s">
        <v>103</v>
      </c>
      <c r="O1667" t="s">
        <v>74</v>
      </c>
      <c r="P1667" t="s">
        <v>74</v>
      </c>
      <c r="Q1667" t="s">
        <v>74</v>
      </c>
      <c r="R1667" t="s">
        <v>74</v>
      </c>
      <c r="S1667" t="s">
        <v>74</v>
      </c>
      <c r="T1667" t="s">
        <v>6573</v>
      </c>
      <c r="U1667" t="s">
        <v>74</v>
      </c>
      <c r="V1667" t="s">
        <v>6574</v>
      </c>
      <c r="W1667" t="s">
        <v>6575</v>
      </c>
      <c r="X1667" t="s">
        <v>6576</v>
      </c>
      <c r="Y1667" t="s">
        <v>6577</v>
      </c>
      <c r="Z1667" t="s">
        <v>6578</v>
      </c>
      <c r="AA1667" t="s">
        <v>74</v>
      </c>
      <c r="AB1667" t="s">
        <v>6579</v>
      </c>
      <c r="AC1667" t="s">
        <v>74</v>
      </c>
      <c r="AD1667" t="s">
        <v>74</v>
      </c>
      <c r="AE1667" t="s">
        <v>74</v>
      </c>
      <c r="AF1667" t="s">
        <v>74</v>
      </c>
      <c r="AG1667">
        <v>23</v>
      </c>
      <c r="AH1667">
        <v>2</v>
      </c>
      <c r="AI1667">
        <v>2</v>
      </c>
      <c r="AJ1667">
        <v>3</v>
      </c>
      <c r="AK1667">
        <v>7</v>
      </c>
      <c r="AL1667" t="s">
        <v>74</v>
      </c>
      <c r="AM1667" t="s">
        <v>74</v>
      </c>
      <c r="AN1667" t="s">
        <v>74</v>
      </c>
      <c r="AO1667" t="s">
        <v>74</v>
      </c>
      <c r="AP1667" t="s">
        <v>6580</v>
      </c>
      <c r="AQ1667" t="s">
        <v>74</v>
      </c>
      <c r="AR1667" t="s">
        <v>74</v>
      </c>
      <c r="AS1667" t="s">
        <v>74</v>
      </c>
      <c r="AT1667" t="s">
        <v>114</v>
      </c>
      <c r="AU1667">
        <v>2021</v>
      </c>
      <c r="AV1667">
        <v>13</v>
      </c>
      <c r="AW1667">
        <v>1</v>
      </c>
      <c r="AX1667" t="s">
        <v>74</v>
      </c>
      <c r="AY1667" t="s">
        <v>74</v>
      </c>
      <c r="AZ1667" t="s">
        <v>74</v>
      </c>
      <c r="BA1667" t="s">
        <v>74</v>
      </c>
      <c r="BB1667" t="s">
        <v>74</v>
      </c>
      <c r="BC1667" t="s">
        <v>74</v>
      </c>
      <c r="BD1667">
        <v>57</v>
      </c>
      <c r="BE1667" t="s">
        <v>6581</v>
      </c>
      <c r="BF1667" t="str">
        <f>HYPERLINK("http://dx.doi.org/10.3390/pharmaceutics13010057","http://dx.doi.org/10.3390/pharmaceutics13010057")</f>
        <v>http://dx.doi.org/10.3390/pharmaceutics13010057</v>
      </c>
      <c r="BG1667" t="s">
        <v>74</v>
      </c>
      <c r="BH1667" t="s">
        <v>74</v>
      </c>
      <c r="BI1667" t="s">
        <v>74</v>
      </c>
      <c r="BJ1667" t="s">
        <v>533</v>
      </c>
      <c r="BK1667" t="s">
        <v>117</v>
      </c>
      <c r="BL1667" t="s">
        <v>533</v>
      </c>
      <c r="BM1667" t="s">
        <v>74</v>
      </c>
      <c r="BN1667">
        <v>33406722</v>
      </c>
      <c r="BO1667" t="s">
        <v>74</v>
      </c>
      <c r="BP1667" t="s">
        <v>74</v>
      </c>
      <c r="BQ1667" t="s">
        <v>74</v>
      </c>
      <c r="BR1667" t="s">
        <v>96</v>
      </c>
      <c r="BS1667" t="s">
        <v>6582</v>
      </c>
      <c r="BT1667" t="str">
        <f>HYPERLINK("https%3A%2F%2Fwww.webofscience.com%2Fwos%2Fwoscc%2Ffull-record%2FWOS:000610714000001","View Full Record in Web of Science")</f>
        <v>View Full Record in Web of Science</v>
      </c>
    </row>
    <row r="1668" spans="1:72" x14ac:dyDescent="0.15">
      <c r="A1668" t="s">
        <v>98</v>
      </c>
      <c r="B1668" t="s">
        <v>6805</v>
      </c>
      <c r="C1668" t="s">
        <v>74</v>
      </c>
      <c r="D1668" t="s">
        <v>74</v>
      </c>
      <c r="E1668" t="s">
        <v>74</v>
      </c>
      <c r="F1668" t="s">
        <v>6806</v>
      </c>
      <c r="G1668" t="s">
        <v>74</v>
      </c>
      <c r="H1668" t="s">
        <v>74</v>
      </c>
      <c r="I1668" t="s">
        <v>6807</v>
      </c>
      <c r="J1668" t="s">
        <v>5523</v>
      </c>
      <c r="K1668" t="s">
        <v>74</v>
      </c>
      <c r="L1668" t="s">
        <v>74</v>
      </c>
      <c r="M1668" t="s">
        <v>74</v>
      </c>
      <c r="N1668" t="s">
        <v>103</v>
      </c>
      <c r="O1668" t="s">
        <v>74</v>
      </c>
      <c r="P1668" t="s">
        <v>74</v>
      </c>
      <c r="Q1668" t="s">
        <v>74</v>
      </c>
      <c r="R1668" t="s">
        <v>74</v>
      </c>
      <c r="S1668" t="s">
        <v>74</v>
      </c>
      <c r="T1668" t="s">
        <v>6808</v>
      </c>
      <c r="U1668" t="s">
        <v>6809</v>
      </c>
      <c r="V1668" t="s">
        <v>6810</v>
      </c>
      <c r="W1668" t="s">
        <v>6811</v>
      </c>
      <c r="X1668" t="s">
        <v>330</v>
      </c>
      <c r="Y1668" t="s">
        <v>6812</v>
      </c>
      <c r="Z1668" t="s">
        <v>6813</v>
      </c>
      <c r="AA1668" t="s">
        <v>6814</v>
      </c>
      <c r="AB1668" t="s">
        <v>6815</v>
      </c>
      <c r="AC1668" t="s">
        <v>74</v>
      </c>
      <c r="AD1668" t="s">
        <v>74</v>
      </c>
      <c r="AE1668" t="s">
        <v>74</v>
      </c>
      <c r="AF1668" t="s">
        <v>74</v>
      </c>
      <c r="AG1668">
        <v>74</v>
      </c>
      <c r="AH1668">
        <v>2</v>
      </c>
      <c r="AI1668">
        <v>2</v>
      </c>
      <c r="AJ1668">
        <v>27</v>
      </c>
      <c r="AK1668">
        <v>27</v>
      </c>
      <c r="AL1668" t="s">
        <v>74</v>
      </c>
      <c r="AM1668" t="s">
        <v>74</v>
      </c>
      <c r="AN1668" t="s">
        <v>74</v>
      </c>
      <c r="AO1668" t="s">
        <v>5531</v>
      </c>
      <c r="AP1668" t="s">
        <v>5532</v>
      </c>
      <c r="AQ1668" t="s">
        <v>74</v>
      </c>
      <c r="AR1668" t="s">
        <v>74</v>
      </c>
      <c r="AS1668" t="s">
        <v>74</v>
      </c>
      <c r="AT1668" t="s">
        <v>6816</v>
      </c>
      <c r="AU1668">
        <v>2022</v>
      </c>
      <c r="AV1668">
        <v>14</v>
      </c>
      <c r="AW1668">
        <v>14</v>
      </c>
      <c r="AX1668" t="s">
        <v>74</v>
      </c>
      <c r="AY1668" t="s">
        <v>74</v>
      </c>
      <c r="AZ1668" t="s">
        <v>74</v>
      </c>
      <c r="BA1668" t="s">
        <v>74</v>
      </c>
      <c r="BB1668">
        <v>16082</v>
      </c>
      <c r="BC1668">
        <v>16099</v>
      </c>
      <c r="BD1668" t="s">
        <v>74</v>
      </c>
      <c r="BE1668" t="s">
        <v>6817</v>
      </c>
      <c r="BF1668" t="str">
        <f>HYPERLINK("http://dx.doi.org/10.1021/acsami.2c02278","http://dx.doi.org/10.1021/acsami.2c02278")</f>
        <v>http://dx.doi.org/10.1021/acsami.2c02278</v>
      </c>
      <c r="BG1668" t="s">
        <v>74</v>
      </c>
      <c r="BH1668" t="s">
        <v>74</v>
      </c>
      <c r="BI1668" t="s">
        <v>74</v>
      </c>
      <c r="BJ1668" t="s">
        <v>5534</v>
      </c>
      <c r="BK1668" t="s">
        <v>117</v>
      </c>
      <c r="BL1668" t="s">
        <v>5535</v>
      </c>
      <c r="BM1668" t="s">
        <v>74</v>
      </c>
      <c r="BN1668">
        <v>35344325</v>
      </c>
      <c r="BO1668" t="s">
        <v>74</v>
      </c>
      <c r="BP1668" t="s">
        <v>74</v>
      </c>
      <c r="BQ1668" t="s">
        <v>74</v>
      </c>
      <c r="BR1668" t="s">
        <v>96</v>
      </c>
      <c r="BS1668" t="s">
        <v>6818</v>
      </c>
      <c r="BT1668" t="str">
        <f>HYPERLINK("https%3A%2F%2Fwww.webofscience.com%2Fwos%2Fwoscc%2Ffull-record%2FWOS:000800533100018","View Full Record in Web of Science")</f>
        <v>View Full Record in Web of Science</v>
      </c>
    </row>
    <row r="1669" spans="1:72" x14ac:dyDescent="0.15">
      <c r="A1669" t="s">
        <v>98</v>
      </c>
      <c r="B1669" t="s">
        <v>7001</v>
      </c>
      <c r="C1669" t="s">
        <v>74</v>
      </c>
      <c r="D1669" t="s">
        <v>74</v>
      </c>
      <c r="E1669" t="s">
        <v>74</v>
      </c>
      <c r="F1669" t="s">
        <v>7002</v>
      </c>
      <c r="G1669" t="s">
        <v>74</v>
      </c>
      <c r="H1669" t="s">
        <v>74</v>
      </c>
      <c r="I1669" t="s">
        <v>7003</v>
      </c>
      <c r="J1669" t="s">
        <v>123</v>
      </c>
      <c r="K1669" t="s">
        <v>74</v>
      </c>
      <c r="L1669" t="s">
        <v>74</v>
      </c>
      <c r="M1669" t="s">
        <v>74</v>
      </c>
      <c r="N1669" t="s">
        <v>103</v>
      </c>
      <c r="O1669" t="s">
        <v>74</v>
      </c>
      <c r="P1669" t="s">
        <v>74</v>
      </c>
      <c r="Q1669" t="s">
        <v>74</v>
      </c>
      <c r="R1669" t="s">
        <v>74</v>
      </c>
      <c r="S1669" t="s">
        <v>74</v>
      </c>
      <c r="T1669" t="s">
        <v>7004</v>
      </c>
      <c r="U1669" t="s">
        <v>7005</v>
      </c>
      <c r="V1669" t="s">
        <v>7006</v>
      </c>
      <c r="W1669" t="s">
        <v>7007</v>
      </c>
      <c r="X1669" t="s">
        <v>7008</v>
      </c>
      <c r="Y1669" t="s">
        <v>7009</v>
      </c>
      <c r="Z1669" t="s">
        <v>7010</v>
      </c>
      <c r="AA1669" t="s">
        <v>7011</v>
      </c>
      <c r="AB1669" t="s">
        <v>7012</v>
      </c>
      <c r="AC1669" t="s">
        <v>74</v>
      </c>
      <c r="AD1669" t="s">
        <v>74</v>
      </c>
      <c r="AE1669" t="s">
        <v>74</v>
      </c>
      <c r="AF1669" t="s">
        <v>74</v>
      </c>
      <c r="AG1669">
        <v>58</v>
      </c>
      <c r="AH1669">
        <v>2</v>
      </c>
      <c r="AI1669">
        <v>2</v>
      </c>
      <c r="AJ1669">
        <v>23</v>
      </c>
      <c r="AK1669">
        <v>25</v>
      </c>
      <c r="AL1669" t="s">
        <v>74</v>
      </c>
      <c r="AM1669" t="s">
        <v>74</v>
      </c>
      <c r="AN1669" t="s">
        <v>74</v>
      </c>
      <c r="AO1669" t="s">
        <v>74</v>
      </c>
      <c r="AP1669" t="s">
        <v>131</v>
      </c>
      <c r="AQ1669" t="s">
        <v>74</v>
      </c>
      <c r="AR1669" t="s">
        <v>74</v>
      </c>
      <c r="AS1669" t="s">
        <v>74</v>
      </c>
      <c r="AT1669" t="s">
        <v>114</v>
      </c>
      <c r="AU1669">
        <v>2022</v>
      </c>
      <c r="AV1669">
        <v>11</v>
      </c>
      <c r="AW1669">
        <v>1</v>
      </c>
      <c r="AX1669" t="s">
        <v>74</v>
      </c>
      <c r="AY1669" t="s">
        <v>74</v>
      </c>
      <c r="AZ1669" t="s">
        <v>74</v>
      </c>
      <c r="BA1669" t="s">
        <v>74</v>
      </c>
      <c r="BB1669" t="s">
        <v>74</v>
      </c>
      <c r="BC1669" t="s">
        <v>74</v>
      </c>
      <c r="BD1669" t="s">
        <v>7013</v>
      </c>
      <c r="BE1669" t="s">
        <v>7014</v>
      </c>
      <c r="BF1669" t="str">
        <f>HYPERLINK("http://dx.doi.org/10.1002/jev2.12189","http://dx.doi.org/10.1002/jev2.12189")</f>
        <v>http://dx.doi.org/10.1002/jev2.12189</v>
      </c>
      <c r="BG1669" t="s">
        <v>74</v>
      </c>
      <c r="BH1669" t="s">
        <v>74</v>
      </c>
      <c r="BI1669" t="s">
        <v>74</v>
      </c>
      <c r="BJ1669" t="s">
        <v>135</v>
      </c>
      <c r="BK1669" t="s">
        <v>117</v>
      </c>
      <c r="BL1669" t="s">
        <v>135</v>
      </c>
      <c r="BM1669" t="s">
        <v>74</v>
      </c>
      <c r="BN1669">
        <v>35064769</v>
      </c>
      <c r="BO1669" t="s">
        <v>74</v>
      </c>
      <c r="BP1669" t="s">
        <v>74</v>
      </c>
      <c r="BQ1669" t="s">
        <v>74</v>
      </c>
      <c r="BR1669" t="s">
        <v>96</v>
      </c>
      <c r="BS1669" t="s">
        <v>7015</v>
      </c>
      <c r="BT1669" t="str">
        <f>HYPERLINK("https%3A%2F%2Fwww.webofscience.com%2Fwos%2Fwoscc%2Ffull-record%2FWOS:000745514500001","View Full Record in Web of Science")</f>
        <v>View Full Record in Web of Science</v>
      </c>
    </row>
    <row r="1670" spans="1:72" x14ac:dyDescent="0.15">
      <c r="A1670" t="s">
        <v>98</v>
      </c>
      <c r="B1670" t="s">
        <v>7662</v>
      </c>
      <c r="C1670" t="s">
        <v>74</v>
      </c>
      <c r="D1670" t="s">
        <v>74</v>
      </c>
      <c r="E1670" t="s">
        <v>74</v>
      </c>
      <c r="F1670" t="s">
        <v>7663</v>
      </c>
      <c r="G1670" t="s">
        <v>74</v>
      </c>
      <c r="H1670" t="s">
        <v>74</v>
      </c>
      <c r="I1670" t="s">
        <v>7664</v>
      </c>
      <c r="J1670" t="s">
        <v>5493</v>
      </c>
      <c r="K1670" t="s">
        <v>74</v>
      </c>
      <c r="L1670" t="s">
        <v>74</v>
      </c>
      <c r="M1670" t="s">
        <v>74</v>
      </c>
      <c r="N1670" t="s">
        <v>103</v>
      </c>
      <c r="O1670" t="s">
        <v>74</v>
      </c>
      <c r="P1670" t="s">
        <v>74</v>
      </c>
      <c r="Q1670" t="s">
        <v>74</v>
      </c>
      <c r="R1670" t="s">
        <v>74</v>
      </c>
      <c r="S1670" t="s">
        <v>74</v>
      </c>
      <c r="T1670" t="s">
        <v>7665</v>
      </c>
      <c r="U1670" t="s">
        <v>7666</v>
      </c>
      <c r="V1670" t="s">
        <v>7667</v>
      </c>
      <c r="W1670" t="s">
        <v>7668</v>
      </c>
      <c r="X1670" t="s">
        <v>74</v>
      </c>
      <c r="Y1670" t="s">
        <v>7669</v>
      </c>
      <c r="Z1670" t="s">
        <v>7670</v>
      </c>
      <c r="AA1670" t="s">
        <v>7671</v>
      </c>
      <c r="AB1670" t="s">
        <v>7672</v>
      </c>
      <c r="AC1670" t="s">
        <v>74</v>
      </c>
      <c r="AD1670" t="s">
        <v>74</v>
      </c>
      <c r="AE1670" t="s">
        <v>74</v>
      </c>
      <c r="AF1670" t="s">
        <v>74</v>
      </c>
      <c r="AG1670">
        <v>38</v>
      </c>
      <c r="AH1670">
        <v>2</v>
      </c>
      <c r="AI1670">
        <v>2</v>
      </c>
      <c r="AJ1670">
        <v>0</v>
      </c>
      <c r="AK1670">
        <v>0</v>
      </c>
      <c r="AL1670" t="s">
        <v>74</v>
      </c>
      <c r="AM1670" t="s">
        <v>74</v>
      </c>
      <c r="AN1670" t="s">
        <v>74</v>
      </c>
      <c r="AO1670" t="s">
        <v>74</v>
      </c>
      <c r="AP1670" t="s">
        <v>5503</v>
      </c>
      <c r="AQ1670" t="s">
        <v>74</v>
      </c>
      <c r="AR1670" t="s">
        <v>74</v>
      </c>
      <c r="AS1670" t="s">
        <v>74</v>
      </c>
      <c r="AT1670" t="s">
        <v>283</v>
      </c>
      <c r="AU1670">
        <v>2022</v>
      </c>
      <c r="AV1670">
        <v>14</v>
      </c>
      <c r="AW1670">
        <v>2</v>
      </c>
      <c r="AX1670" t="s">
        <v>74</v>
      </c>
      <c r="AY1670" t="s">
        <v>74</v>
      </c>
      <c r="AZ1670" t="s">
        <v>74</v>
      </c>
      <c r="BA1670" t="s">
        <v>74</v>
      </c>
      <c r="BB1670" t="s">
        <v>74</v>
      </c>
      <c r="BC1670" t="s">
        <v>74</v>
      </c>
      <c r="BD1670">
        <v>329</v>
      </c>
      <c r="BE1670" t="s">
        <v>7673</v>
      </c>
      <c r="BF1670" t="str">
        <f>HYPERLINK("http://dx.doi.org/10.3390/v14020329","http://dx.doi.org/10.3390/v14020329")</f>
        <v>http://dx.doi.org/10.3390/v14020329</v>
      </c>
      <c r="BG1670" t="s">
        <v>74</v>
      </c>
      <c r="BH1670" t="s">
        <v>74</v>
      </c>
      <c r="BI1670" t="s">
        <v>74</v>
      </c>
      <c r="BJ1670" t="s">
        <v>932</v>
      </c>
      <c r="BK1670" t="s">
        <v>117</v>
      </c>
      <c r="BL1670" t="s">
        <v>932</v>
      </c>
      <c r="BM1670" t="s">
        <v>74</v>
      </c>
      <c r="BN1670">
        <v>35215922</v>
      </c>
      <c r="BO1670" t="s">
        <v>74</v>
      </c>
      <c r="BP1670" t="s">
        <v>74</v>
      </c>
      <c r="BQ1670" t="s">
        <v>74</v>
      </c>
      <c r="BR1670" t="s">
        <v>96</v>
      </c>
      <c r="BS1670" t="s">
        <v>7674</v>
      </c>
      <c r="BT1670" t="str">
        <f>HYPERLINK("https%3A%2F%2Fwww.webofscience.com%2Fwos%2Fwoscc%2Ffull-record%2FWOS:000762478400001","View Full Record in Web of Science")</f>
        <v>View Full Record in Web of Science</v>
      </c>
    </row>
    <row r="1671" spans="1:72" x14ac:dyDescent="0.15">
      <c r="A1671" t="s">
        <v>98</v>
      </c>
      <c r="B1671" t="s">
        <v>7878</v>
      </c>
      <c r="C1671" t="s">
        <v>74</v>
      </c>
      <c r="D1671" t="s">
        <v>74</v>
      </c>
      <c r="E1671" t="s">
        <v>74</v>
      </c>
      <c r="F1671" t="s">
        <v>7879</v>
      </c>
      <c r="G1671" t="s">
        <v>74</v>
      </c>
      <c r="H1671" t="s">
        <v>74</v>
      </c>
      <c r="I1671" t="s">
        <v>7880</v>
      </c>
      <c r="J1671" t="s">
        <v>7881</v>
      </c>
      <c r="K1671" t="s">
        <v>74</v>
      </c>
      <c r="L1671" t="s">
        <v>74</v>
      </c>
      <c r="M1671" t="s">
        <v>74</v>
      </c>
      <c r="N1671" t="s">
        <v>103</v>
      </c>
      <c r="O1671" t="s">
        <v>74</v>
      </c>
      <c r="P1671" t="s">
        <v>74</v>
      </c>
      <c r="Q1671" t="s">
        <v>74</v>
      </c>
      <c r="R1671" t="s">
        <v>74</v>
      </c>
      <c r="S1671" t="s">
        <v>74</v>
      </c>
      <c r="T1671" t="s">
        <v>7882</v>
      </c>
      <c r="U1671" t="s">
        <v>7883</v>
      </c>
      <c r="V1671" t="s">
        <v>7884</v>
      </c>
      <c r="W1671" t="s">
        <v>7885</v>
      </c>
      <c r="X1671" t="s">
        <v>7886</v>
      </c>
      <c r="Y1671" t="s">
        <v>7887</v>
      </c>
      <c r="Z1671" t="s">
        <v>7888</v>
      </c>
      <c r="AA1671" t="s">
        <v>7889</v>
      </c>
      <c r="AB1671" t="s">
        <v>7890</v>
      </c>
      <c r="AC1671" t="s">
        <v>74</v>
      </c>
      <c r="AD1671" t="s">
        <v>74</v>
      </c>
      <c r="AE1671" t="s">
        <v>74</v>
      </c>
      <c r="AF1671" t="s">
        <v>74</v>
      </c>
      <c r="AG1671">
        <v>28</v>
      </c>
      <c r="AH1671">
        <v>2</v>
      </c>
      <c r="AI1671">
        <v>2</v>
      </c>
      <c r="AJ1671">
        <v>2</v>
      </c>
      <c r="AK1671">
        <v>4</v>
      </c>
      <c r="AL1671" t="s">
        <v>74</v>
      </c>
      <c r="AM1671" t="s">
        <v>74</v>
      </c>
      <c r="AN1671" t="s">
        <v>74</v>
      </c>
      <c r="AO1671" t="s">
        <v>74</v>
      </c>
      <c r="AP1671" t="s">
        <v>7891</v>
      </c>
      <c r="AQ1671" t="s">
        <v>74</v>
      </c>
      <c r="AR1671" t="s">
        <v>74</v>
      </c>
      <c r="AS1671" t="s">
        <v>74</v>
      </c>
      <c r="AT1671" t="s">
        <v>230</v>
      </c>
      <c r="AU1671">
        <v>2020</v>
      </c>
      <c r="AV1671">
        <v>4</v>
      </c>
      <c r="AW1671">
        <v>6</v>
      </c>
      <c r="AX1671" t="s">
        <v>74</v>
      </c>
      <c r="AY1671" t="s">
        <v>74</v>
      </c>
      <c r="AZ1671" t="s">
        <v>74</v>
      </c>
      <c r="BA1671" t="s">
        <v>74</v>
      </c>
      <c r="BB1671">
        <v>1053</v>
      </c>
      <c r="BC1671">
        <v>1059</v>
      </c>
      <c r="BD1671" t="s">
        <v>74</v>
      </c>
      <c r="BE1671" t="s">
        <v>7892</v>
      </c>
      <c r="BF1671" t="str">
        <f>HYPERLINK("http://dx.doi.org/10.1002/rth2.12366","http://dx.doi.org/10.1002/rth2.12366")</f>
        <v>http://dx.doi.org/10.1002/rth2.12366</v>
      </c>
      <c r="BG1671" t="s">
        <v>74</v>
      </c>
      <c r="BH1671" t="s">
        <v>7893</v>
      </c>
      <c r="BI1671" t="s">
        <v>74</v>
      </c>
      <c r="BJ1671" t="s">
        <v>584</v>
      </c>
      <c r="BK1671" t="s">
        <v>117</v>
      </c>
      <c r="BL1671" t="s">
        <v>585</v>
      </c>
      <c r="BM1671" t="s">
        <v>74</v>
      </c>
      <c r="BN1671">
        <v>32864556</v>
      </c>
      <c r="BO1671" t="s">
        <v>74</v>
      </c>
      <c r="BP1671" t="s">
        <v>74</v>
      </c>
      <c r="BQ1671" t="s">
        <v>74</v>
      </c>
      <c r="BR1671" t="s">
        <v>96</v>
      </c>
      <c r="BS1671" t="s">
        <v>7894</v>
      </c>
      <c r="BT1671" t="str">
        <f>HYPERLINK("https%3A%2F%2Fwww.webofscience.com%2Fwos%2Fwoscc%2Ffull-record%2FWOS:000547877300001","View Full Record in Web of Science")</f>
        <v>View Full Record in Web of Science</v>
      </c>
    </row>
    <row r="1672" spans="1:72" x14ac:dyDescent="0.15">
      <c r="A1672" t="s">
        <v>98</v>
      </c>
      <c r="B1672" t="s">
        <v>7992</v>
      </c>
      <c r="C1672" t="s">
        <v>74</v>
      </c>
      <c r="D1672" t="s">
        <v>74</v>
      </c>
      <c r="E1672" t="s">
        <v>74</v>
      </c>
      <c r="F1672" t="s">
        <v>7993</v>
      </c>
      <c r="G1672" t="s">
        <v>74</v>
      </c>
      <c r="H1672" t="s">
        <v>74</v>
      </c>
      <c r="I1672" t="s">
        <v>7994</v>
      </c>
      <c r="J1672" t="s">
        <v>7995</v>
      </c>
      <c r="K1672" t="s">
        <v>74</v>
      </c>
      <c r="L1672" t="s">
        <v>74</v>
      </c>
      <c r="M1672" t="s">
        <v>74</v>
      </c>
      <c r="N1672" t="s">
        <v>2996</v>
      </c>
      <c r="O1672" t="s">
        <v>74</v>
      </c>
      <c r="P1672" t="s">
        <v>74</v>
      </c>
      <c r="Q1672" t="s">
        <v>74</v>
      </c>
      <c r="R1672" t="s">
        <v>74</v>
      </c>
      <c r="S1672" t="s">
        <v>74</v>
      </c>
      <c r="T1672" t="s">
        <v>7996</v>
      </c>
      <c r="U1672" t="s">
        <v>7997</v>
      </c>
      <c r="V1672" t="s">
        <v>7998</v>
      </c>
      <c r="W1672" t="s">
        <v>7999</v>
      </c>
      <c r="X1672" t="s">
        <v>8000</v>
      </c>
      <c r="Y1672" t="s">
        <v>8001</v>
      </c>
      <c r="Z1672" t="s">
        <v>8002</v>
      </c>
      <c r="AA1672" t="s">
        <v>8003</v>
      </c>
      <c r="AB1672" t="s">
        <v>8004</v>
      </c>
      <c r="AC1672" t="s">
        <v>74</v>
      </c>
      <c r="AD1672" t="s">
        <v>74</v>
      </c>
      <c r="AE1672" t="s">
        <v>74</v>
      </c>
      <c r="AF1672" t="s">
        <v>74</v>
      </c>
      <c r="AG1672">
        <v>377</v>
      </c>
      <c r="AH1672">
        <v>2</v>
      </c>
      <c r="AI1672">
        <v>2</v>
      </c>
      <c r="AJ1672">
        <v>7</v>
      </c>
      <c r="AK1672">
        <v>7</v>
      </c>
      <c r="AL1672" t="s">
        <v>74</v>
      </c>
      <c r="AM1672" t="s">
        <v>74</v>
      </c>
      <c r="AN1672" t="s">
        <v>74</v>
      </c>
      <c r="AO1672" t="s">
        <v>8005</v>
      </c>
      <c r="AP1672" t="s">
        <v>8006</v>
      </c>
      <c r="AQ1672" t="s">
        <v>74</v>
      </c>
      <c r="AR1672" t="s">
        <v>74</v>
      </c>
      <c r="AS1672" t="s">
        <v>74</v>
      </c>
      <c r="AT1672" t="s">
        <v>74</v>
      </c>
      <c r="AU1672" t="s">
        <v>74</v>
      </c>
      <c r="AV1672" t="s">
        <v>74</v>
      </c>
      <c r="AW1672" t="s">
        <v>74</v>
      </c>
      <c r="AX1672" t="s">
        <v>74</v>
      </c>
      <c r="AY1672" t="s">
        <v>74</v>
      </c>
      <c r="AZ1672" t="s">
        <v>74</v>
      </c>
      <c r="BA1672" t="s">
        <v>74</v>
      </c>
      <c r="BB1672" t="s">
        <v>74</v>
      </c>
      <c r="BC1672" t="s">
        <v>74</v>
      </c>
      <c r="BD1672" t="s">
        <v>74</v>
      </c>
      <c r="BE1672" t="s">
        <v>8007</v>
      </c>
      <c r="BF1672" t="str">
        <f>HYPERLINK("http://dx.doi.org/10.1007/s11095-021-03143-4","http://dx.doi.org/10.1007/s11095-021-03143-4")</f>
        <v>http://dx.doi.org/10.1007/s11095-021-03143-4</v>
      </c>
      <c r="BG1672" t="s">
        <v>74</v>
      </c>
      <c r="BH1672" t="s">
        <v>5553</v>
      </c>
      <c r="BI1672" t="s">
        <v>74</v>
      </c>
      <c r="BJ1672" t="s">
        <v>396</v>
      </c>
      <c r="BK1672" t="s">
        <v>117</v>
      </c>
      <c r="BL1672" t="s">
        <v>397</v>
      </c>
      <c r="BM1672" t="s">
        <v>74</v>
      </c>
      <c r="BN1672">
        <v>35028802</v>
      </c>
      <c r="BO1672" t="s">
        <v>74</v>
      </c>
      <c r="BP1672" t="s">
        <v>74</v>
      </c>
      <c r="BQ1672" t="s">
        <v>74</v>
      </c>
      <c r="BR1672" t="s">
        <v>96</v>
      </c>
      <c r="BS1672" t="s">
        <v>8008</v>
      </c>
      <c r="BT1672" t="str">
        <f>HYPERLINK("https%3A%2F%2Fwww.webofscience.com%2Fwos%2Fwoscc%2Ffull-record%2FWOS:000742263200001","View Full Record in Web of Science")</f>
        <v>View Full Record in Web of Science</v>
      </c>
    </row>
    <row r="1673" spans="1:72" x14ac:dyDescent="0.15">
      <c r="A1673" t="s">
        <v>98</v>
      </c>
      <c r="B1673" t="s">
        <v>8183</v>
      </c>
      <c r="C1673" t="s">
        <v>74</v>
      </c>
      <c r="D1673" t="s">
        <v>74</v>
      </c>
      <c r="E1673" t="s">
        <v>74</v>
      </c>
      <c r="F1673" t="s">
        <v>8184</v>
      </c>
      <c r="G1673" t="s">
        <v>74</v>
      </c>
      <c r="H1673" t="s">
        <v>74</v>
      </c>
      <c r="I1673" t="s">
        <v>8185</v>
      </c>
      <c r="J1673" t="s">
        <v>1972</v>
      </c>
      <c r="K1673" t="s">
        <v>74</v>
      </c>
      <c r="L1673" t="s">
        <v>74</v>
      </c>
      <c r="M1673" t="s">
        <v>74</v>
      </c>
      <c r="N1673" t="s">
        <v>103</v>
      </c>
      <c r="O1673" t="s">
        <v>74</v>
      </c>
      <c r="P1673" t="s">
        <v>74</v>
      </c>
      <c r="Q1673" t="s">
        <v>74</v>
      </c>
      <c r="R1673" t="s">
        <v>74</v>
      </c>
      <c r="S1673" t="s">
        <v>74</v>
      </c>
      <c r="T1673" t="s">
        <v>8186</v>
      </c>
      <c r="U1673" t="s">
        <v>8187</v>
      </c>
      <c r="V1673" t="s">
        <v>8188</v>
      </c>
      <c r="W1673" t="s">
        <v>8189</v>
      </c>
      <c r="X1673" t="s">
        <v>8190</v>
      </c>
      <c r="Y1673" t="s">
        <v>8191</v>
      </c>
      <c r="Z1673" t="s">
        <v>8192</v>
      </c>
      <c r="AA1673" t="s">
        <v>8193</v>
      </c>
      <c r="AB1673" t="s">
        <v>8194</v>
      </c>
      <c r="AC1673" t="s">
        <v>74</v>
      </c>
      <c r="AD1673" t="s">
        <v>74</v>
      </c>
      <c r="AE1673" t="s">
        <v>74</v>
      </c>
      <c r="AF1673" t="s">
        <v>74</v>
      </c>
      <c r="AG1673">
        <v>57</v>
      </c>
      <c r="AH1673">
        <v>2</v>
      </c>
      <c r="AI1673">
        <v>2</v>
      </c>
      <c r="AJ1673">
        <v>3</v>
      </c>
      <c r="AK1673">
        <v>10</v>
      </c>
      <c r="AL1673" t="s">
        <v>74</v>
      </c>
      <c r="AM1673" t="s">
        <v>74</v>
      </c>
      <c r="AN1673" t="s">
        <v>74</v>
      </c>
      <c r="AO1673" t="s">
        <v>1980</v>
      </c>
      <c r="AP1673" t="s">
        <v>1981</v>
      </c>
      <c r="AQ1673" t="s">
        <v>74</v>
      </c>
      <c r="AR1673" t="s">
        <v>74</v>
      </c>
      <c r="AS1673" t="s">
        <v>74</v>
      </c>
      <c r="AT1673" t="s">
        <v>211</v>
      </c>
      <c r="AU1673">
        <v>2021</v>
      </c>
      <c r="AV1673">
        <v>278</v>
      </c>
      <c r="AW1673" t="s">
        <v>74</v>
      </c>
      <c r="AX1673" t="s">
        <v>74</v>
      </c>
      <c r="AY1673" t="s">
        <v>74</v>
      </c>
      <c r="AZ1673" t="s">
        <v>74</v>
      </c>
      <c r="BA1673" t="s">
        <v>74</v>
      </c>
      <c r="BB1673" t="s">
        <v>74</v>
      </c>
      <c r="BC1673" t="s">
        <v>74</v>
      </c>
      <c r="BD1673">
        <v>121158</v>
      </c>
      <c r="BE1673" t="s">
        <v>8195</v>
      </c>
      <c r="BF1673" t="str">
        <f>HYPERLINK("http://dx.doi.org/10.1016/j.biomaterials.2021.121158","http://dx.doi.org/10.1016/j.biomaterials.2021.121158")</f>
        <v>http://dx.doi.org/10.1016/j.biomaterials.2021.121158</v>
      </c>
      <c r="BG1673" t="s">
        <v>74</v>
      </c>
      <c r="BH1673" t="s">
        <v>1967</v>
      </c>
      <c r="BI1673" t="s">
        <v>74</v>
      </c>
      <c r="BJ1673" t="s">
        <v>1983</v>
      </c>
      <c r="BK1673" t="s">
        <v>117</v>
      </c>
      <c r="BL1673" t="s">
        <v>1984</v>
      </c>
      <c r="BM1673" t="s">
        <v>74</v>
      </c>
      <c r="BN1673">
        <v>34619562</v>
      </c>
      <c r="BO1673" t="s">
        <v>74</v>
      </c>
      <c r="BP1673" t="s">
        <v>74</v>
      </c>
      <c r="BQ1673" t="s">
        <v>74</v>
      </c>
      <c r="BR1673" t="s">
        <v>96</v>
      </c>
      <c r="BS1673" t="s">
        <v>8196</v>
      </c>
      <c r="BT1673" t="str">
        <f>HYPERLINK("https%3A%2F%2Fwww.webofscience.com%2Fwos%2Fwoscc%2Ffull-record%2FWOS:000705191900002","View Full Record in Web of Science")</f>
        <v>View Full Record in Web of Science</v>
      </c>
    </row>
    <row r="1674" spans="1:72" x14ac:dyDescent="0.15">
      <c r="A1674" t="s">
        <v>98</v>
      </c>
      <c r="B1674" t="s">
        <v>8400</v>
      </c>
      <c r="C1674" t="s">
        <v>74</v>
      </c>
      <c r="D1674" t="s">
        <v>74</v>
      </c>
      <c r="E1674" t="s">
        <v>74</v>
      </c>
      <c r="F1674" t="s">
        <v>8401</v>
      </c>
      <c r="G1674" t="s">
        <v>74</v>
      </c>
      <c r="H1674" t="s">
        <v>74</v>
      </c>
      <c r="I1674" t="s">
        <v>8402</v>
      </c>
      <c r="J1674" t="s">
        <v>817</v>
      </c>
      <c r="K1674" t="s">
        <v>74</v>
      </c>
      <c r="L1674" t="s">
        <v>74</v>
      </c>
      <c r="M1674" t="s">
        <v>74</v>
      </c>
      <c r="N1674" t="s">
        <v>103</v>
      </c>
      <c r="O1674" t="s">
        <v>74</v>
      </c>
      <c r="P1674" t="s">
        <v>74</v>
      </c>
      <c r="Q1674" t="s">
        <v>74</v>
      </c>
      <c r="R1674" t="s">
        <v>74</v>
      </c>
      <c r="S1674" t="s">
        <v>74</v>
      </c>
      <c r="T1674" t="s">
        <v>8403</v>
      </c>
      <c r="U1674" t="s">
        <v>8404</v>
      </c>
      <c r="V1674" t="s">
        <v>8405</v>
      </c>
      <c r="W1674" t="s">
        <v>8406</v>
      </c>
      <c r="X1674" t="s">
        <v>8407</v>
      </c>
      <c r="Y1674" t="s">
        <v>8408</v>
      </c>
      <c r="Z1674" t="s">
        <v>8409</v>
      </c>
      <c r="AA1674" t="s">
        <v>8410</v>
      </c>
      <c r="AB1674" t="s">
        <v>8411</v>
      </c>
      <c r="AC1674" t="s">
        <v>74</v>
      </c>
      <c r="AD1674" t="s">
        <v>74</v>
      </c>
      <c r="AE1674" t="s">
        <v>74</v>
      </c>
      <c r="AF1674" t="s">
        <v>74</v>
      </c>
      <c r="AG1674">
        <v>36</v>
      </c>
      <c r="AH1674">
        <v>2</v>
      </c>
      <c r="AI1674">
        <v>2</v>
      </c>
      <c r="AJ1674">
        <v>1</v>
      </c>
      <c r="AK1674">
        <v>3</v>
      </c>
      <c r="AL1674" t="s">
        <v>74</v>
      </c>
      <c r="AM1674" t="s">
        <v>74</v>
      </c>
      <c r="AN1674" t="s">
        <v>74</v>
      </c>
      <c r="AO1674" t="s">
        <v>74</v>
      </c>
      <c r="AP1674" t="s">
        <v>827</v>
      </c>
      <c r="AQ1674" t="s">
        <v>74</v>
      </c>
      <c r="AR1674" t="s">
        <v>74</v>
      </c>
      <c r="AS1674" t="s">
        <v>74</v>
      </c>
      <c r="AT1674" t="s">
        <v>170</v>
      </c>
      <c r="AU1674">
        <v>2021</v>
      </c>
      <c r="AV1674">
        <v>22</v>
      </c>
      <c r="AW1674">
        <v>12</v>
      </c>
      <c r="AX1674" t="s">
        <v>74</v>
      </c>
      <c r="AY1674" t="s">
        <v>74</v>
      </c>
      <c r="AZ1674" t="s">
        <v>74</v>
      </c>
      <c r="BA1674" t="s">
        <v>74</v>
      </c>
      <c r="BB1674" t="s">
        <v>74</v>
      </c>
      <c r="BC1674" t="s">
        <v>74</v>
      </c>
      <c r="BD1674">
        <v>6258</v>
      </c>
      <c r="BE1674" t="s">
        <v>8412</v>
      </c>
      <c r="BF1674" t="str">
        <f>HYPERLINK("http://dx.doi.org/10.3390/ijms22126258","http://dx.doi.org/10.3390/ijms22126258")</f>
        <v>http://dx.doi.org/10.3390/ijms22126258</v>
      </c>
      <c r="BG1674" t="s">
        <v>74</v>
      </c>
      <c r="BH1674" t="s">
        <v>74</v>
      </c>
      <c r="BI1674" t="s">
        <v>74</v>
      </c>
      <c r="BJ1674" t="s">
        <v>830</v>
      </c>
      <c r="BK1674" t="s">
        <v>117</v>
      </c>
      <c r="BL1674" t="s">
        <v>831</v>
      </c>
      <c r="BM1674" t="s">
        <v>74</v>
      </c>
      <c r="BN1674">
        <v>34200790</v>
      </c>
      <c r="BO1674" t="s">
        <v>74</v>
      </c>
      <c r="BP1674" t="s">
        <v>74</v>
      </c>
      <c r="BQ1674" t="s">
        <v>74</v>
      </c>
      <c r="BR1674" t="s">
        <v>96</v>
      </c>
      <c r="BS1674" t="s">
        <v>8413</v>
      </c>
      <c r="BT1674" t="str">
        <f>HYPERLINK("https%3A%2F%2Fwww.webofscience.com%2Fwos%2Fwoscc%2Ffull-record%2FWOS:000666445600001","View Full Record in Web of Science")</f>
        <v>View Full Record in Web of Science</v>
      </c>
    </row>
    <row r="1675" spans="1:72" x14ac:dyDescent="0.15">
      <c r="A1675" t="s">
        <v>98</v>
      </c>
      <c r="B1675" t="s">
        <v>8414</v>
      </c>
      <c r="C1675" t="s">
        <v>74</v>
      </c>
      <c r="D1675" t="s">
        <v>74</v>
      </c>
      <c r="E1675" t="s">
        <v>74</v>
      </c>
      <c r="F1675" t="s">
        <v>8415</v>
      </c>
      <c r="G1675" t="s">
        <v>74</v>
      </c>
      <c r="H1675" t="s">
        <v>74</v>
      </c>
      <c r="I1675" t="s">
        <v>8416</v>
      </c>
      <c r="J1675" t="s">
        <v>1432</v>
      </c>
      <c r="K1675" t="s">
        <v>74</v>
      </c>
      <c r="L1675" t="s">
        <v>74</v>
      </c>
      <c r="M1675" t="s">
        <v>74</v>
      </c>
      <c r="N1675" t="s">
        <v>103</v>
      </c>
      <c r="O1675" t="s">
        <v>74</v>
      </c>
      <c r="P1675" t="s">
        <v>74</v>
      </c>
      <c r="Q1675" t="s">
        <v>74</v>
      </c>
      <c r="R1675" t="s">
        <v>74</v>
      </c>
      <c r="S1675" t="s">
        <v>74</v>
      </c>
      <c r="T1675" t="s">
        <v>8417</v>
      </c>
      <c r="U1675" t="s">
        <v>8418</v>
      </c>
      <c r="V1675" t="s">
        <v>8419</v>
      </c>
      <c r="W1675" t="s">
        <v>8420</v>
      </c>
      <c r="X1675" t="s">
        <v>8421</v>
      </c>
      <c r="Y1675" t="s">
        <v>8422</v>
      </c>
      <c r="Z1675" t="s">
        <v>8423</v>
      </c>
      <c r="AA1675" t="s">
        <v>74</v>
      </c>
      <c r="AB1675" t="s">
        <v>74</v>
      </c>
      <c r="AC1675" t="s">
        <v>74</v>
      </c>
      <c r="AD1675" t="s">
        <v>74</v>
      </c>
      <c r="AE1675" t="s">
        <v>74</v>
      </c>
      <c r="AF1675" t="s">
        <v>74</v>
      </c>
      <c r="AG1675">
        <v>141</v>
      </c>
      <c r="AH1675">
        <v>2</v>
      </c>
      <c r="AI1675">
        <v>2</v>
      </c>
      <c r="AJ1675">
        <v>8</v>
      </c>
      <c r="AK1675">
        <v>27</v>
      </c>
      <c r="AL1675" t="s">
        <v>74</v>
      </c>
      <c r="AM1675" t="s">
        <v>74</v>
      </c>
      <c r="AN1675" t="s">
        <v>74</v>
      </c>
      <c r="AO1675" t="s">
        <v>1442</v>
      </c>
      <c r="AP1675" t="s">
        <v>1443</v>
      </c>
      <c r="AQ1675" t="s">
        <v>74</v>
      </c>
      <c r="AR1675" t="s">
        <v>74</v>
      </c>
      <c r="AS1675" t="s">
        <v>74</v>
      </c>
      <c r="AT1675" t="s">
        <v>4965</v>
      </c>
      <c r="AU1675">
        <v>2022</v>
      </c>
      <c r="AV1675">
        <v>28</v>
      </c>
      <c r="AW1675">
        <v>1</v>
      </c>
      <c r="AX1675" t="s">
        <v>74</v>
      </c>
      <c r="AY1675" t="s">
        <v>74</v>
      </c>
      <c r="AZ1675" t="s">
        <v>74</v>
      </c>
      <c r="BA1675" t="s">
        <v>74</v>
      </c>
      <c r="BB1675">
        <v>101</v>
      </c>
      <c r="BC1675">
        <v>113</v>
      </c>
      <c r="BD1675" t="s">
        <v>74</v>
      </c>
      <c r="BE1675" t="s">
        <v>8424</v>
      </c>
      <c r="BF1675" t="str">
        <f>HYPERLINK("http://dx.doi.org/10.1089/ten.teb.2020.0246","http://dx.doi.org/10.1089/ten.teb.2020.0246")</f>
        <v>http://dx.doi.org/10.1089/ten.teb.2020.0246</v>
      </c>
      <c r="BG1675" t="s">
        <v>74</v>
      </c>
      <c r="BH1675" t="s">
        <v>2607</v>
      </c>
      <c r="BI1675" t="s">
        <v>74</v>
      </c>
      <c r="BJ1675" t="s">
        <v>1445</v>
      </c>
      <c r="BK1675" t="s">
        <v>117</v>
      </c>
      <c r="BL1675" t="s">
        <v>1446</v>
      </c>
      <c r="BM1675" t="s">
        <v>74</v>
      </c>
      <c r="BN1675">
        <v>33297857</v>
      </c>
      <c r="BO1675" t="s">
        <v>74</v>
      </c>
      <c r="BP1675" t="s">
        <v>74</v>
      </c>
      <c r="BQ1675" t="s">
        <v>74</v>
      </c>
      <c r="BR1675" t="s">
        <v>96</v>
      </c>
      <c r="BS1675" t="s">
        <v>8425</v>
      </c>
      <c r="BT1675" t="str">
        <f>HYPERLINK("https%3A%2F%2Fwww.webofscience.com%2Fwos%2Fwoscc%2Ffull-record%2FWOS:000628691400001","View Full Record in Web of Science")</f>
        <v>View Full Record in Web of Science</v>
      </c>
    </row>
    <row r="1676" spans="1:72" x14ac:dyDescent="0.15">
      <c r="A1676" t="s">
        <v>72</v>
      </c>
      <c r="B1676" t="s">
        <v>8496</v>
      </c>
      <c r="C1676" t="s">
        <v>74</v>
      </c>
      <c r="D1676" t="s">
        <v>8497</v>
      </c>
      <c r="E1676" t="s">
        <v>74</v>
      </c>
      <c r="F1676" t="s">
        <v>8498</v>
      </c>
      <c r="G1676" t="s">
        <v>74</v>
      </c>
      <c r="H1676" t="s">
        <v>74</v>
      </c>
      <c r="I1676" t="s">
        <v>8499</v>
      </c>
      <c r="J1676" t="s">
        <v>8500</v>
      </c>
      <c r="K1676" t="s">
        <v>79</v>
      </c>
      <c r="L1676" t="s">
        <v>74</v>
      </c>
      <c r="M1676" t="s">
        <v>74</v>
      </c>
      <c r="N1676" t="s">
        <v>80</v>
      </c>
      <c r="O1676" t="s">
        <v>74</v>
      </c>
      <c r="P1676" t="s">
        <v>74</v>
      </c>
      <c r="Q1676" t="s">
        <v>74</v>
      </c>
      <c r="R1676" t="s">
        <v>74</v>
      </c>
      <c r="S1676" t="s">
        <v>74</v>
      </c>
      <c r="T1676" t="s">
        <v>8501</v>
      </c>
      <c r="U1676" t="s">
        <v>8502</v>
      </c>
      <c r="V1676" t="s">
        <v>8503</v>
      </c>
      <c r="W1676" t="s">
        <v>8504</v>
      </c>
      <c r="X1676" t="s">
        <v>8505</v>
      </c>
      <c r="Y1676" t="s">
        <v>8506</v>
      </c>
      <c r="Z1676" t="s">
        <v>74</v>
      </c>
      <c r="AA1676" t="s">
        <v>8507</v>
      </c>
      <c r="AB1676" t="s">
        <v>8508</v>
      </c>
      <c r="AC1676" t="s">
        <v>74</v>
      </c>
      <c r="AD1676" t="s">
        <v>74</v>
      </c>
      <c r="AE1676" t="s">
        <v>74</v>
      </c>
      <c r="AF1676" t="s">
        <v>74</v>
      </c>
      <c r="AG1676">
        <v>10</v>
      </c>
      <c r="AH1676">
        <v>2</v>
      </c>
      <c r="AI1676">
        <v>2</v>
      </c>
      <c r="AJ1676">
        <v>1</v>
      </c>
      <c r="AK1676">
        <v>4</v>
      </c>
      <c r="AL1676" t="s">
        <v>74</v>
      </c>
      <c r="AM1676" t="s">
        <v>74</v>
      </c>
      <c r="AN1676" t="s">
        <v>74</v>
      </c>
      <c r="AO1676" t="s">
        <v>88</v>
      </c>
      <c r="AP1676" t="s">
        <v>89</v>
      </c>
      <c r="AQ1676" t="s">
        <v>8509</v>
      </c>
      <c r="AR1676" t="s">
        <v>74</v>
      </c>
      <c r="AS1676" t="s">
        <v>74</v>
      </c>
      <c r="AT1676" t="s">
        <v>74</v>
      </c>
      <c r="AU1676">
        <v>2018</v>
      </c>
      <c r="AV1676">
        <v>1733</v>
      </c>
      <c r="AW1676" t="s">
        <v>74</v>
      </c>
      <c r="AX1676" t="s">
        <v>74</v>
      </c>
      <c r="AY1676" t="s">
        <v>74</v>
      </c>
      <c r="AZ1676" t="s">
        <v>74</v>
      </c>
      <c r="BA1676" t="s">
        <v>74</v>
      </c>
      <c r="BB1676">
        <v>137</v>
      </c>
      <c r="BC1676">
        <v>143</v>
      </c>
      <c r="BD1676" t="s">
        <v>74</v>
      </c>
      <c r="BE1676" t="s">
        <v>8510</v>
      </c>
      <c r="BF1676" t="str">
        <f>HYPERLINK("http://dx.doi.org/10.1007/978-1-4939-7601-0_11","http://dx.doi.org/10.1007/978-1-4939-7601-0_11")</f>
        <v>http://dx.doi.org/10.1007/978-1-4939-7601-0_11</v>
      </c>
      <c r="BG1676" t="s">
        <v>8511</v>
      </c>
      <c r="BH1676" t="s">
        <v>74</v>
      </c>
      <c r="BI1676" t="s">
        <v>74</v>
      </c>
      <c r="BJ1676" t="s">
        <v>8267</v>
      </c>
      <c r="BK1676" t="s">
        <v>94</v>
      </c>
      <c r="BL1676" t="s">
        <v>950</v>
      </c>
      <c r="BM1676" t="s">
        <v>74</v>
      </c>
      <c r="BN1676">
        <v>29435929</v>
      </c>
      <c r="BO1676" t="s">
        <v>74</v>
      </c>
      <c r="BP1676" t="s">
        <v>74</v>
      </c>
      <c r="BQ1676" t="s">
        <v>74</v>
      </c>
      <c r="BR1676" t="s">
        <v>96</v>
      </c>
      <c r="BS1676" t="s">
        <v>8512</v>
      </c>
      <c r="BT1676" t="str">
        <f>HYPERLINK("https%3A%2F%2Fwww.webofscience.com%2Fwos%2Fwoscc%2Ffull-record%2FWOS:000434110800012","View Full Record in Web of Science")</f>
        <v>View Full Record in Web of Science</v>
      </c>
    </row>
    <row r="1677" spans="1:72" x14ac:dyDescent="0.15">
      <c r="A1677" t="s">
        <v>98</v>
      </c>
      <c r="B1677" t="s">
        <v>8866</v>
      </c>
      <c r="C1677" t="s">
        <v>74</v>
      </c>
      <c r="D1677" t="s">
        <v>74</v>
      </c>
      <c r="E1677" t="s">
        <v>74</v>
      </c>
      <c r="F1677" t="s">
        <v>8867</v>
      </c>
      <c r="G1677" t="s">
        <v>74</v>
      </c>
      <c r="H1677" t="s">
        <v>74</v>
      </c>
      <c r="I1677" t="s">
        <v>8868</v>
      </c>
      <c r="J1677" t="s">
        <v>8869</v>
      </c>
      <c r="K1677" t="s">
        <v>74</v>
      </c>
      <c r="L1677" t="s">
        <v>74</v>
      </c>
      <c r="M1677" t="s">
        <v>74</v>
      </c>
      <c r="N1677" t="s">
        <v>103</v>
      </c>
      <c r="O1677" t="s">
        <v>74</v>
      </c>
      <c r="P1677" t="s">
        <v>74</v>
      </c>
      <c r="Q1677" t="s">
        <v>74</v>
      </c>
      <c r="R1677" t="s">
        <v>74</v>
      </c>
      <c r="S1677" t="s">
        <v>74</v>
      </c>
      <c r="T1677" t="s">
        <v>8870</v>
      </c>
      <c r="U1677" t="s">
        <v>8871</v>
      </c>
      <c r="V1677" t="s">
        <v>8872</v>
      </c>
      <c r="W1677" t="s">
        <v>8873</v>
      </c>
      <c r="X1677" t="s">
        <v>8874</v>
      </c>
      <c r="Y1677" t="s">
        <v>8875</v>
      </c>
      <c r="Z1677" t="s">
        <v>8876</v>
      </c>
      <c r="AA1677" t="s">
        <v>8877</v>
      </c>
      <c r="AB1677" t="s">
        <v>74</v>
      </c>
      <c r="AC1677" t="s">
        <v>74</v>
      </c>
      <c r="AD1677" t="s">
        <v>74</v>
      </c>
      <c r="AE1677" t="s">
        <v>74</v>
      </c>
      <c r="AF1677" t="s">
        <v>74</v>
      </c>
      <c r="AG1677">
        <v>51</v>
      </c>
      <c r="AH1677">
        <v>2</v>
      </c>
      <c r="AI1677">
        <v>2</v>
      </c>
      <c r="AJ1677">
        <v>0</v>
      </c>
      <c r="AK1677">
        <v>3</v>
      </c>
      <c r="AL1677" t="s">
        <v>74</v>
      </c>
      <c r="AM1677" t="s">
        <v>74</v>
      </c>
      <c r="AN1677" t="s">
        <v>74</v>
      </c>
      <c r="AO1677" t="s">
        <v>8878</v>
      </c>
      <c r="AP1677" t="s">
        <v>8879</v>
      </c>
      <c r="AQ1677" t="s">
        <v>74</v>
      </c>
      <c r="AR1677" t="s">
        <v>74</v>
      </c>
      <c r="AS1677" t="s">
        <v>74</v>
      </c>
      <c r="AT1677" t="s">
        <v>189</v>
      </c>
      <c r="AU1677">
        <v>2020</v>
      </c>
      <c r="AV1677">
        <v>25</v>
      </c>
      <c r="AW1677">
        <v>5</v>
      </c>
      <c r="AX1677" t="s">
        <v>74</v>
      </c>
      <c r="AY1677" t="s">
        <v>74</v>
      </c>
      <c r="AZ1677" t="s">
        <v>74</v>
      </c>
      <c r="BA1677" t="s">
        <v>74</v>
      </c>
      <c r="BB1677" t="s">
        <v>74</v>
      </c>
      <c r="BC1677" t="s">
        <v>74</v>
      </c>
      <c r="BD1677" t="s">
        <v>8880</v>
      </c>
      <c r="BE1677" t="s">
        <v>8881</v>
      </c>
      <c r="BF1677" t="str">
        <f>HYPERLINK("http://dx.doi.org/10.1111/hel.12725","http://dx.doi.org/10.1111/hel.12725")</f>
        <v>http://dx.doi.org/10.1111/hel.12725</v>
      </c>
      <c r="BG1677" t="s">
        <v>74</v>
      </c>
      <c r="BH1677" t="s">
        <v>7893</v>
      </c>
      <c r="BI1677" t="s">
        <v>74</v>
      </c>
      <c r="BJ1677" t="s">
        <v>8882</v>
      </c>
      <c r="BK1677" t="s">
        <v>117</v>
      </c>
      <c r="BL1677" t="s">
        <v>8882</v>
      </c>
      <c r="BM1677" t="s">
        <v>74</v>
      </c>
      <c r="BN1677">
        <v>32666589</v>
      </c>
      <c r="BO1677" t="s">
        <v>74</v>
      </c>
      <c r="BP1677" t="s">
        <v>74</v>
      </c>
      <c r="BQ1677" t="s">
        <v>74</v>
      </c>
      <c r="BR1677" t="s">
        <v>96</v>
      </c>
      <c r="BS1677" t="s">
        <v>8883</v>
      </c>
      <c r="BT1677" t="str">
        <f>HYPERLINK("https%3A%2F%2Fwww.webofscience.com%2Fwos%2Fwoscc%2Ffull-record%2FWOS:000548251100001","View Full Record in Web of Science")</f>
        <v>View Full Record in Web of Science</v>
      </c>
    </row>
    <row r="1678" spans="1:72" x14ac:dyDescent="0.15">
      <c r="A1678" t="s">
        <v>98</v>
      </c>
      <c r="B1678" t="s">
        <v>8884</v>
      </c>
      <c r="C1678" t="s">
        <v>74</v>
      </c>
      <c r="D1678" t="s">
        <v>74</v>
      </c>
      <c r="E1678" t="s">
        <v>74</v>
      </c>
      <c r="F1678" t="s">
        <v>8885</v>
      </c>
      <c r="G1678" t="s">
        <v>74</v>
      </c>
      <c r="H1678" t="s">
        <v>74</v>
      </c>
      <c r="I1678" t="s">
        <v>8886</v>
      </c>
      <c r="J1678" t="s">
        <v>8887</v>
      </c>
      <c r="K1678" t="s">
        <v>74</v>
      </c>
      <c r="L1678" t="s">
        <v>74</v>
      </c>
      <c r="M1678" t="s">
        <v>74</v>
      </c>
      <c r="N1678" t="s">
        <v>103</v>
      </c>
      <c r="O1678" t="s">
        <v>74</v>
      </c>
      <c r="P1678" t="s">
        <v>74</v>
      </c>
      <c r="Q1678" t="s">
        <v>74</v>
      </c>
      <c r="R1678" t="s">
        <v>74</v>
      </c>
      <c r="S1678" t="s">
        <v>74</v>
      </c>
      <c r="T1678" t="s">
        <v>74</v>
      </c>
      <c r="U1678" t="s">
        <v>8888</v>
      </c>
      <c r="V1678" t="s">
        <v>8889</v>
      </c>
      <c r="W1678" t="s">
        <v>8890</v>
      </c>
      <c r="X1678" t="s">
        <v>8891</v>
      </c>
      <c r="Y1678" t="s">
        <v>8892</v>
      </c>
      <c r="Z1678" t="s">
        <v>8893</v>
      </c>
      <c r="AA1678" t="s">
        <v>8894</v>
      </c>
      <c r="AB1678" t="s">
        <v>8895</v>
      </c>
      <c r="AC1678" t="s">
        <v>74</v>
      </c>
      <c r="AD1678" t="s">
        <v>74</v>
      </c>
      <c r="AE1678" t="s">
        <v>74</v>
      </c>
      <c r="AF1678" t="s">
        <v>74</v>
      </c>
      <c r="AG1678">
        <v>83</v>
      </c>
      <c r="AH1678">
        <v>2</v>
      </c>
      <c r="AI1678">
        <v>2</v>
      </c>
      <c r="AJ1678">
        <v>0</v>
      </c>
      <c r="AK1678">
        <v>1</v>
      </c>
      <c r="AL1678" t="s">
        <v>74</v>
      </c>
      <c r="AM1678" t="s">
        <v>74</v>
      </c>
      <c r="AN1678" t="s">
        <v>74</v>
      </c>
      <c r="AO1678" t="s">
        <v>8896</v>
      </c>
      <c r="AP1678" t="s">
        <v>8897</v>
      </c>
      <c r="AQ1678" t="s">
        <v>74</v>
      </c>
      <c r="AR1678" t="s">
        <v>74</v>
      </c>
      <c r="AS1678" t="s">
        <v>74</v>
      </c>
      <c r="AT1678" t="s">
        <v>4965</v>
      </c>
      <c r="AU1678">
        <v>2022</v>
      </c>
      <c r="AV1678">
        <v>91</v>
      </c>
      <c r="AW1678">
        <v>3</v>
      </c>
      <c r="AX1678" t="s">
        <v>74</v>
      </c>
      <c r="AY1678" t="s">
        <v>74</v>
      </c>
      <c r="AZ1678" t="s">
        <v>74</v>
      </c>
      <c r="BA1678" t="s">
        <v>74</v>
      </c>
      <c r="BB1678">
        <v>273</v>
      </c>
      <c r="BC1678">
        <v>282</v>
      </c>
      <c r="BD1678" t="s">
        <v>74</v>
      </c>
      <c r="BE1678" t="s">
        <v>8898</v>
      </c>
      <c r="BF1678" t="str">
        <f>HYPERLINK("http://dx.doi.org/10.1016/j.biopsych.2021.08.003","http://dx.doi.org/10.1016/j.biopsych.2021.08.003")</f>
        <v>http://dx.doi.org/10.1016/j.biopsych.2021.08.003</v>
      </c>
      <c r="BG1678" t="s">
        <v>74</v>
      </c>
      <c r="BH1678" t="s">
        <v>2718</v>
      </c>
      <c r="BI1678" t="s">
        <v>74</v>
      </c>
      <c r="BJ1678" t="s">
        <v>8899</v>
      </c>
      <c r="BK1678" t="s">
        <v>3223</v>
      </c>
      <c r="BL1678" t="s">
        <v>8900</v>
      </c>
      <c r="BM1678" t="s">
        <v>74</v>
      </c>
      <c r="BN1678">
        <v>34715991</v>
      </c>
      <c r="BO1678" t="s">
        <v>74</v>
      </c>
      <c r="BP1678" t="s">
        <v>74</v>
      </c>
      <c r="BQ1678" t="s">
        <v>74</v>
      </c>
      <c r="BR1678" t="s">
        <v>96</v>
      </c>
      <c r="BS1678" t="s">
        <v>8901</v>
      </c>
      <c r="BT1678" t="str">
        <f>HYPERLINK("https%3A%2F%2Fwww.webofscience.com%2Fwos%2Fwoscc%2Ffull-record%2FWOS:000746060000008","View Full Record in Web of Science")</f>
        <v>View Full Record in Web of Science</v>
      </c>
    </row>
    <row r="1679" spans="1:72" x14ac:dyDescent="0.15">
      <c r="A1679" t="s">
        <v>98</v>
      </c>
      <c r="B1679" t="s">
        <v>8953</v>
      </c>
      <c r="C1679" t="s">
        <v>74</v>
      </c>
      <c r="D1679" t="s">
        <v>74</v>
      </c>
      <c r="E1679" t="s">
        <v>74</v>
      </c>
      <c r="F1679" t="s">
        <v>8954</v>
      </c>
      <c r="G1679" t="s">
        <v>74</v>
      </c>
      <c r="H1679" t="s">
        <v>74</v>
      </c>
      <c r="I1679" t="s">
        <v>8955</v>
      </c>
      <c r="J1679" t="s">
        <v>8956</v>
      </c>
      <c r="K1679" t="s">
        <v>74</v>
      </c>
      <c r="L1679" t="s">
        <v>74</v>
      </c>
      <c r="M1679" t="s">
        <v>74</v>
      </c>
      <c r="N1679" t="s">
        <v>103</v>
      </c>
      <c r="O1679" t="s">
        <v>74</v>
      </c>
      <c r="P1679" t="s">
        <v>74</v>
      </c>
      <c r="Q1679" t="s">
        <v>74</v>
      </c>
      <c r="R1679" t="s">
        <v>74</v>
      </c>
      <c r="S1679" t="s">
        <v>74</v>
      </c>
      <c r="T1679" t="s">
        <v>74</v>
      </c>
      <c r="U1679" t="s">
        <v>8957</v>
      </c>
      <c r="V1679" t="s">
        <v>8958</v>
      </c>
      <c r="W1679" t="s">
        <v>8959</v>
      </c>
      <c r="X1679" t="s">
        <v>8960</v>
      </c>
      <c r="Y1679" t="s">
        <v>8961</v>
      </c>
      <c r="Z1679" t="s">
        <v>8537</v>
      </c>
      <c r="AA1679" t="s">
        <v>8962</v>
      </c>
      <c r="AB1679" t="s">
        <v>8963</v>
      </c>
      <c r="AC1679" t="s">
        <v>74</v>
      </c>
      <c r="AD1679" t="s">
        <v>74</v>
      </c>
      <c r="AE1679" t="s">
        <v>74</v>
      </c>
      <c r="AF1679" t="s">
        <v>74</v>
      </c>
      <c r="AG1679">
        <v>97</v>
      </c>
      <c r="AH1679">
        <v>2</v>
      </c>
      <c r="AI1679">
        <v>2</v>
      </c>
      <c r="AJ1679">
        <v>3</v>
      </c>
      <c r="AK1679">
        <v>3</v>
      </c>
      <c r="AL1679" t="s">
        <v>74</v>
      </c>
      <c r="AM1679" t="s">
        <v>74</v>
      </c>
      <c r="AN1679" t="s">
        <v>74</v>
      </c>
      <c r="AO1679" t="s">
        <v>74</v>
      </c>
      <c r="AP1679" t="s">
        <v>8964</v>
      </c>
      <c r="AQ1679" t="s">
        <v>74</v>
      </c>
      <c r="AR1679" t="s">
        <v>74</v>
      </c>
      <c r="AS1679" t="s">
        <v>74</v>
      </c>
      <c r="AT1679" t="s">
        <v>7236</v>
      </c>
      <c r="AU1679">
        <v>2021</v>
      </c>
      <c r="AV1679">
        <v>22</v>
      </c>
      <c r="AW1679" t="s">
        <v>74</v>
      </c>
      <c r="AX1679" t="s">
        <v>74</v>
      </c>
      <c r="AY1679" t="s">
        <v>74</v>
      </c>
      <c r="AZ1679" t="s">
        <v>74</v>
      </c>
      <c r="BA1679" t="s">
        <v>74</v>
      </c>
      <c r="BB1679">
        <v>360</v>
      </c>
      <c r="BC1679">
        <v>376</v>
      </c>
      <c r="BD1679" t="s">
        <v>74</v>
      </c>
      <c r="BE1679" t="s">
        <v>8965</v>
      </c>
      <c r="BF1679" t="str">
        <f>HYPERLINK("http://dx.doi.org/10.1016/j.omtm.2021.05.010","http://dx.doi.org/10.1016/j.omtm.2021.05.010")</f>
        <v>http://dx.doi.org/10.1016/j.omtm.2021.05.010</v>
      </c>
      <c r="BG1679" t="s">
        <v>74</v>
      </c>
      <c r="BH1679" t="s">
        <v>1663</v>
      </c>
      <c r="BI1679" t="s">
        <v>74</v>
      </c>
      <c r="BJ1679" t="s">
        <v>795</v>
      </c>
      <c r="BK1679" t="s">
        <v>117</v>
      </c>
      <c r="BL1679" t="s">
        <v>796</v>
      </c>
      <c r="BM1679" t="s">
        <v>74</v>
      </c>
      <c r="BN1679">
        <v>34514028</v>
      </c>
      <c r="BO1679" t="s">
        <v>74</v>
      </c>
      <c r="BP1679" t="s">
        <v>74</v>
      </c>
      <c r="BQ1679" t="s">
        <v>74</v>
      </c>
      <c r="BR1679" t="s">
        <v>96</v>
      </c>
      <c r="BS1679" t="s">
        <v>8966</v>
      </c>
      <c r="BT1679" t="str">
        <f>HYPERLINK("https%3A%2F%2Fwww.webofscience.com%2Fwos%2Fwoscc%2Ffull-record%2FWOS:000695842600031","View Full Record in Web of Science")</f>
        <v>View Full Record in Web of Science</v>
      </c>
    </row>
    <row r="1680" spans="1:72" x14ac:dyDescent="0.15">
      <c r="A1680" t="s">
        <v>98</v>
      </c>
      <c r="B1680" t="s">
        <v>8979</v>
      </c>
      <c r="C1680" t="s">
        <v>74</v>
      </c>
      <c r="D1680" t="s">
        <v>74</v>
      </c>
      <c r="E1680" t="s">
        <v>74</v>
      </c>
      <c r="F1680" t="s">
        <v>8980</v>
      </c>
      <c r="G1680" t="s">
        <v>74</v>
      </c>
      <c r="H1680" t="s">
        <v>74</v>
      </c>
      <c r="I1680" t="s">
        <v>8981</v>
      </c>
      <c r="J1680" t="s">
        <v>903</v>
      </c>
      <c r="K1680" t="s">
        <v>74</v>
      </c>
      <c r="L1680" t="s">
        <v>74</v>
      </c>
      <c r="M1680" t="s">
        <v>74</v>
      </c>
      <c r="N1680" t="s">
        <v>103</v>
      </c>
      <c r="O1680" t="s">
        <v>74</v>
      </c>
      <c r="P1680" t="s">
        <v>74</v>
      </c>
      <c r="Q1680" t="s">
        <v>74</v>
      </c>
      <c r="R1680" t="s">
        <v>74</v>
      </c>
      <c r="S1680" t="s">
        <v>74</v>
      </c>
      <c r="T1680" t="s">
        <v>8982</v>
      </c>
      <c r="U1680" t="s">
        <v>8983</v>
      </c>
      <c r="V1680" t="s">
        <v>8984</v>
      </c>
      <c r="W1680" t="s">
        <v>8985</v>
      </c>
      <c r="X1680" t="s">
        <v>8986</v>
      </c>
      <c r="Y1680" t="s">
        <v>8987</v>
      </c>
      <c r="Z1680" t="s">
        <v>8988</v>
      </c>
      <c r="AA1680" t="s">
        <v>8989</v>
      </c>
      <c r="AB1680" t="s">
        <v>8990</v>
      </c>
      <c r="AC1680" t="s">
        <v>74</v>
      </c>
      <c r="AD1680" t="s">
        <v>74</v>
      </c>
      <c r="AE1680" t="s">
        <v>74</v>
      </c>
      <c r="AF1680" t="s">
        <v>74</v>
      </c>
      <c r="AG1680">
        <v>44</v>
      </c>
      <c r="AH1680">
        <v>2</v>
      </c>
      <c r="AI1680">
        <v>2</v>
      </c>
      <c r="AJ1680">
        <v>1</v>
      </c>
      <c r="AK1680">
        <v>4</v>
      </c>
      <c r="AL1680" t="s">
        <v>74</v>
      </c>
      <c r="AM1680" t="s">
        <v>74</v>
      </c>
      <c r="AN1680" t="s">
        <v>74</v>
      </c>
      <c r="AO1680" t="s">
        <v>74</v>
      </c>
      <c r="AP1680" t="s">
        <v>913</v>
      </c>
      <c r="AQ1680" t="s">
        <v>74</v>
      </c>
      <c r="AR1680" t="s">
        <v>74</v>
      </c>
      <c r="AS1680" t="s">
        <v>74</v>
      </c>
      <c r="AT1680" t="s">
        <v>211</v>
      </c>
      <c r="AU1680">
        <v>2021</v>
      </c>
      <c r="AV1680">
        <v>13</v>
      </c>
      <c r="AW1680">
        <v>21</v>
      </c>
      <c r="AX1680" t="s">
        <v>74</v>
      </c>
      <c r="AY1680" t="s">
        <v>74</v>
      </c>
      <c r="AZ1680" t="s">
        <v>74</v>
      </c>
      <c r="BA1680" t="s">
        <v>74</v>
      </c>
      <c r="BB1680" t="s">
        <v>74</v>
      </c>
      <c r="BC1680" t="s">
        <v>74</v>
      </c>
      <c r="BD1680">
        <v>5369</v>
      </c>
      <c r="BE1680" t="s">
        <v>8991</v>
      </c>
      <c r="BF1680" t="str">
        <f>HYPERLINK("http://dx.doi.org/10.3390/cancers13215369","http://dx.doi.org/10.3390/cancers13215369")</f>
        <v>http://dx.doi.org/10.3390/cancers13215369</v>
      </c>
      <c r="BG1680" t="s">
        <v>74</v>
      </c>
      <c r="BH1680" t="s">
        <v>74</v>
      </c>
      <c r="BI1680" t="s">
        <v>74</v>
      </c>
      <c r="BJ1680" t="s">
        <v>267</v>
      </c>
      <c r="BK1680" t="s">
        <v>117</v>
      </c>
      <c r="BL1680" t="s">
        <v>267</v>
      </c>
      <c r="BM1680" t="s">
        <v>74</v>
      </c>
      <c r="BN1680">
        <v>34771533</v>
      </c>
      <c r="BO1680" t="s">
        <v>74</v>
      </c>
      <c r="BP1680" t="s">
        <v>74</v>
      </c>
      <c r="BQ1680" t="s">
        <v>74</v>
      </c>
      <c r="BR1680" t="s">
        <v>96</v>
      </c>
      <c r="BS1680" t="s">
        <v>8992</v>
      </c>
      <c r="BT1680" t="str">
        <f>HYPERLINK("https%3A%2F%2Fwww.webofscience.com%2Fwos%2Fwoscc%2Ffull-record%2FWOS:000718496000001","View Full Record in Web of Science")</f>
        <v>View Full Record in Web of Science</v>
      </c>
    </row>
    <row r="1681" spans="1:72" x14ac:dyDescent="0.15">
      <c r="A1681" t="s">
        <v>98</v>
      </c>
      <c r="B1681" t="s">
        <v>9037</v>
      </c>
      <c r="C1681" t="s">
        <v>74</v>
      </c>
      <c r="D1681" t="s">
        <v>74</v>
      </c>
      <c r="E1681" t="s">
        <v>74</v>
      </c>
      <c r="F1681" t="s">
        <v>9038</v>
      </c>
      <c r="G1681" t="s">
        <v>74</v>
      </c>
      <c r="H1681" t="s">
        <v>74</v>
      </c>
      <c r="I1681" t="s">
        <v>9039</v>
      </c>
      <c r="J1681" t="s">
        <v>638</v>
      </c>
      <c r="K1681" t="s">
        <v>74</v>
      </c>
      <c r="L1681" t="s">
        <v>74</v>
      </c>
      <c r="M1681" t="s">
        <v>74</v>
      </c>
      <c r="N1681" t="s">
        <v>103</v>
      </c>
      <c r="O1681" t="s">
        <v>74</v>
      </c>
      <c r="P1681" t="s">
        <v>74</v>
      </c>
      <c r="Q1681" t="s">
        <v>74</v>
      </c>
      <c r="R1681" t="s">
        <v>74</v>
      </c>
      <c r="S1681" t="s">
        <v>74</v>
      </c>
      <c r="T1681" t="s">
        <v>9040</v>
      </c>
      <c r="U1681" t="s">
        <v>9041</v>
      </c>
      <c r="V1681" t="s">
        <v>9042</v>
      </c>
      <c r="W1681" t="s">
        <v>9043</v>
      </c>
      <c r="X1681" t="s">
        <v>9044</v>
      </c>
      <c r="Y1681" t="s">
        <v>9045</v>
      </c>
      <c r="Z1681" t="s">
        <v>9046</v>
      </c>
      <c r="AA1681" t="s">
        <v>74</v>
      </c>
      <c r="AB1681" t="s">
        <v>9047</v>
      </c>
      <c r="AC1681" t="s">
        <v>74</v>
      </c>
      <c r="AD1681" t="s">
        <v>74</v>
      </c>
      <c r="AE1681" t="s">
        <v>74</v>
      </c>
      <c r="AF1681" t="s">
        <v>74</v>
      </c>
      <c r="AG1681">
        <v>42</v>
      </c>
      <c r="AH1681">
        <v>2</v>
      </c>
      <c r="AI1681">
        <v>2</v>
      </c>
      <c r="AJ1681">
        <v>4</v>
      </c>
      <c r="AK1681">
        <v>6</v>
      </c>
      <c r="AL1681" t="s">
        <v>74</v>
      </c>
      <c r="AM1681" t="s">
        <v>74</v>
      </c>
      <c r="AN1681" t="s">
        <v>74</v>
      </c>
      <c r="AO1681" t="s">
        <v>648</v>
      </c>
      <c r="AP1681" t="s">
        <v>649</v>
      </c>
      <c r="AQ1681" t="s">
        <v>74</v>
      </c>
      <c r="AR1681" t="s">
        <v>74</v>
      </c>
      <c r="AS1681" t="s">
        <v>74</v>
      </c>
      <c r="AT1681" t="s">
        <v>6741</v>
      </c>
      <c r="AU1681">
        <v>2021</v>
      </c>
      <c r="AV1681">
        <v>41</v>
      </c>
      <c r="AW1681">
        <v>17</v>
      </c>
      <c r="AX1681" t="s">
        <v>74</v>
      </c>
      <c r="AY1681" t="s">
        <v>74</v>
      </c>
      <c r="AZ1681" t="s">
        <v>74</v>
      </c>
      <c r="BA1681" t="s">
        <v>74</v>
      </c>
      <c r="BB1681">
        <v>3799</v>
      </c>
      <c r="BC1681">
        <v>3807</v>
      </c>
      <c r="BD1681" t="s">
        <v>74</v>
      </c>
      <c r="BE1681" t="s">
        <v>9048</v>
      </c>
      <c r="BF1681" t="str">
        <f>HYPERLINK("http://dx.doi.org/10.1523/JNEUROSCI.0766-20.2021","http://dx.doi.org/10.1523/JNEUROSCI.0766-20.2021")</f>
        <v>http://dx.doi.org/10.1523/JNEUROSCI.0766-20.2021</v>
      </c>
      <c r="BG1681" t="s">
        <v>74</v>
      </c>
      <c r="BH1681" t="s">
        <v>74</v>
      </c>
      <c r="BI1681" t="s">
        <v>74</v>
      </c>
      <c r="BJ1681" t="s">
        <v>652</v>
      </c>
      <c r="BK1681" t="s">
        <v>117</v>
      </c>
      <c r="BL1681" t="s">
        <v>653</v>
      </c>
      <c r="BM1681" t="s">
        <v>74</v>
      </c>
      <c r="BN1681">
        <v>33741723</v>
      </c>
      <c r="BO1681" t="s">
        <v>74</v>
      </c>
      <c r="BP1681" t="s">
        <v>74</v>
      </c>
      <c r="BQ1681" t="s">
        <v>74</v>
      </c>
      <c r="BR1681" t="s">
        <v>96</v>
      </c>
      <c r="BS1681" t="s">
        <v>9049</v>
      </c>
      <c r="BT1681" t="str">
        <f>HYPERLINK("https%3A%2F%2Fwww.webofscience.com%2Fwos%2Fwoscc%2Ffull-record%2FWOS:000694859000006","View Full Record in Web of Science")</f>
        <v>View Full Record in Web of Science</v>
      </c>
    </row>
    <row r="1682" spans="1:72" x14ac:dyDescent="0.15">
      <c r="A1682" t="s">
        <v>98</v>
      </c>
      <c r="B1682" t="s">
        <v>9105</v>
      </c>
      <c r="C1682" t="s">
        <v>74</v>
      </c>
      <c r="D1682" t="s">
        <v>74</v>
      </c>
      <c r="E1682" t="s">
        <v>74</v>
      </c>
      <c r="F1682" t="s">
        <v>9106</v>
      </c>
      <c r="G1682" t="s">
        <v>74</v>
      </c>
      <c r="H1682" t="s">
        <v>74</v>
      </c>
      <c r="I1682" t="s">
        <v>9107</v>
      </c>
      <c r="J1682" t="s">
        <v>6885</v>
      </c>
      <c r="K1682" t="s">
        <v>74</v>
      </c>
      <c r="L1682" t="s">
        <v>74</v>
      </c>
      <c r="M1682" t="s">
        <v>74</v>
      </c>
      <c r="N1682" t="s">
        <v>103</v>
      </c>
      <c r="O1682" t="s">
        <v>74</v>
      </c>
      <c r="P1682" t="s">
        <v>74</v>
      </c>
      <c r="Q1682" t="s">
        <v>74</v>
      </c>
      <c r="R1682" t="s">
        <v>74</v>
      </c>
      <c r="S1682" t="s">
        <v>74</v>
      </c>
      <c r="T1682" t="s">
        <v>9108</v>
      </c>
      <c r="U1682" t="s">
        <v>9109</v>
      </c>
      <c r="V1682" t="s">
        <v>9110</v>
      </c>
      <c r="W1682" t="s">
        <v>9111</v>
      </c>
      <c r="X1682" t="s">
        <v>9112</v>
      </c>
      <c r="Y1682" t="s">
        <v>9113</v>
      </c>
      <c r="Z1682" t="s">
        <v>9114</v>
      </c>
      <c r="AA1682" t="s">
        <v>74</v>
      </c>
      <c r="AB1682" t="s">
        <v>74</v>
      </c>
      <c r="AC1682" t="s">
        <v>74</v>
      </c>
      <c r="AD1682" t="s">
        <v>74</v>
      </c>
      <c r="AE1682" t="s">
        <v>74</v>
      </c>
      <c r="AF1682" t="s">
        <v>74</v>
      </c>
      <c r="AG1682">
        <v>48</v>
      </c>
      <c r="AH1682">
        <v>2</v>
      </c>
      <c r="AI1682">
        <v>2</v>
      </c>
      <c r="AJ1682">
        <v>0</v>
      </c>
      <c r="AK1682">
        <v>2</v>
      </c>
      <c r="AL1682" t="s">
        <v>74</v>
      </c>
      <c r="AM1682" t="s">
        <v>74</v>
      </c>
      <c r="AN1682" t="s">
        <v>74</v>
      </c>
      <c r="AO1682" t="s">
        <v>6894</v>
      </c>
      <c r="AP1682" t="s">
        <v>74</v>
      </c>
      <c r="AQ1682" t="s">
        <v>74</v>
      </c>
      <c r="AR1682" t="s">
        <v>74</v>
      </c>
      <c r="AS1682" t="s">
        <v>74</v>
      </c>
      <c r="AT1682" t="s">
        <v>2321</v>
      </c>
      <c r="AU1682">
        <v>2015</v>
      </c>
      <c r="AV1682">
        <v>4</v>
      </c>
      <c r="AW1682" t="s">
        <v>74</v>
      </c>
      <c r="AX1682" t="s">
        <v>74</v>
      </c>
      <c r="AY1682" t="s">
        <v>74</v>
      </c>
      <c r="AZ1682" t="s">
        <v>74</v>
      </c>
      <c r="BA1682" t="s">
        <v>74</v>
      </c>
      <c r="BB1682" t="s">
        <v>74</v>
      </c>
      <c r="BC1682" t="s">
        <v>74</v>
      </c>
      <c r="BD1682" t="s">
        <v>9115</v>
      </c>
      <c r="BE1682" t="s">
        <v>9116</v>
      </c>
      <c r="BF1682" t="str">
        <f>HYPERLINK("http://dx.doi.org/10.1038/mtna.2015.44","http://dx.doi.org/10.1038/mtna.2015.44")</f>
        <v>http://dx.doi.org/10.1038/mtna.2015.44</v>
      </c>
      <c r="BG1682" t="s">
        <v>74</v>
      </c>
      <c r="BH1682" t="s">
        <v>74</v>
      </c>
      <c r="BI1682" t="s">
        <v>74</v>
      </c>
      <c r="BJ1682" t="s">
        <v>795</v>
      </c>
      <c r="BK1682" t="s">
        <v>117</v>
      </c>
      <c r="BL1682" t="s">
        <v>796</v>
      </c>
      <c r="BM1682" t="s">
        <v>74</v>
      </c>
      <c r="BN1682">
        <v>26670278</v>
      </c>
      <c r="BO1682" t="s">
        <v>74</v>
      </c>
      <c r="BP1682" t="s">
        <v>74</v>
      </c>
      <c r="BQ1682" t="s">
        <v>74</v>
      </c>
      <c r="BR1682" t="s">
        <v>96</v>
      </c>
      <c r="BS1682" t="s">
        <v>9117</v>
      </c>
      <c r="BT1682" t="str">
        <f>HYPERLINK("https%3A%2F%2Fwww.webofscience.com%2Fwos%2Fwoscc%2Ffull-record%2FWOS:000368914800002","View Full Record in Web of Science")</f>
        <v>View Full Record in Web of Science</v>
      </c>
    </row>
    <row r="1683" spans="1:72" x14ac:dyDescent="0.15">
      <c r="A1683" t="s">
        <v>98</v>
      </c>
      <c r="B1683" t="s">
        <v>9173</v>
      </c>
      <c r="C1683" t="s">
        <v>74</v>
      </c>
      <c r="D1683" t="s">
        <v>74</v>
      </c>
      <c r="E1683" t="s">
        <v>74</v>
      </c>
      <c r="F1683" t="s">
        <v>9174</v>
      </c>
      <c r="G1683" t="s">
        <v>74</v>
      </c>
      <c r="H1683" t="s">
        <v>74</v>
      </c>
      <c r="I1683" t="s">
        <v>9175</v>
      </c>
      <c r="J1683" t="s">
        <v>140</v>
      </c>
      <c r="K1683" t="s">
        <v>74</v>
      </c>
      <c r="L1683" t="s">
        <v>74</v>
      </c>
      <c r="M1683" t="s">
        <v>74</v>
      </c>
      <c r="N1683" t="s">
        <v>103</v>
      </c>
      <c r="O1683" t="s">
        <v>74</v>
      </c>
      <c r="P1683" t="s">
        <v>74</v>
      </c>
      <c r="Q1683" t="s">
        <v>74</v>
      </c>
      <c r="R1683" t="s">
        <v>74</v>
      </c>
      <c r="S1683" t="s">
        <v>74</v>
      </c>
      <c r="T1683" t="s">
        <v>74</v>
      </c>
      <c r="U1683" t="s">
        <v>9176</v>
      </c>
      <c r="V1683" t="s">
        <v>9177</v>
      </c>
      <c r="W1683" t="s">
        <v>9178</v>
      </c>
      <c r="X1683" t="s">
        <v>9179</v>
      </c>
      <c r="Y1683" t="s">
        <v>9180</v>
      </c>
      <c r="Z1683" t="s">
        <v>9181</v>
      </c>
      <c r="AA1683" t="s">
        <v>9182</v>
      </c>
      <c r="AB1683" t="s">
        <v>9183</v>
      </c>
      <c r="AC1683" t="s">
        <v>74</v>
      </c>
      <c r="AD1683" t="s">
        <v>74</v>
      </c>
      <c r="AE1683" t="s">
        <v>74</v>
      </c>
      <c r="AF1683" t="s">
        <v>74</v>
      </c>
      <c r="AG1683">
        <v>46</v>
      </c>
      <c r="AH1683">
        <v>2</v>
      </c>
      <c r="AI1683">
        <v>2</v>
      </c>
      <c r="AJ1683">
        <v>1</v>
      </c>
      <c r="AK1683">
        <v>6</v>
      </c>
      <c r="AL1683" t="s">
        <v>74</v>
      </c>
      <c r="AM1683" t="s">
        <v>74</v>
      </c>
      <c r="AN1683" t="s">
        <v>74</v>
      </c>
      <c r="AO1683" t="s">
        <v>149</v>
      </c>
      <c r="AP1683" t="s">
        <v>74</v>
      </c>
      <c r="AQ1683" t="s">
        <v>74</v>
      </c>
      <c r="AR1683" t="s">
        <v>74</v>
      </c>
      <c r="AS1683" t="s">
        <v>74</v>
      </c>
      <c r="AT1683" t="s">
        <v>6816</v>
      </c>
      <c r="AU1683">
        <v>2021</v>
      </c>
      <c r="AV1683">
        <v>11</v>
      </c>
      <c r="AW1683">
        <v>1</v>
      </c>
      <c r="AX1683" t="s">
        <v>74</v>
      </c>
      <c r="AY1683" t="s">
        <v>74</v>
      </c>
      <c r="AZ1683" t="s">
        <v>74</v>
      </c>
      <c r="BA1683" t="s">
        <v>74</v>
      </c>
      <c r="BB1683" t="s">
        <v>74</v>
      </c>
      <c r="BC1683" t="s">
        <v>74</v>
      </c>
      <c r="BD1683">
        <v>8085</v>
      </c>
      <c r="BE1683" t="s">
        <v>9184</v>
      </c>
      <c r="BF1683" t="str">
        <f>HYPERLINK("http://dx.doi.org/10.1038/s41598-021-87526-y","http://dx.doi.org/10.1038/s41598-021-87526-y")</f>
        <v>http://dx.doi.org/10.1038/s41598-021-87526-y</v>
      </c>
      <c r="BG1683" t="s">
        <v>74</v>
      </c>
      <c r="BH1683" t="s">
        <v>74</v>
      </c>
      <c r="BI1683" t="s">
        <v>74</v>
      </c>
      <c r="BJ1683" t="s">
        <v>152</v>
      </c>
      <c r="BK1683" t="s">
        <v>117</v>
      </c>
      <c r="BL1683" t="s">
        <v>153</v>
      </c>
      <c r="BM1683" t="s">
        <v>74</v>
      </c>
      <c r="BN1683">
        <v>33850235</v>
      </c>
      <c r="BO1683" t="s">
        <v>74</v>
      </c>
      <c r="BP1683" t="s">
        <v>74</v>
      </c>
      <c r="BQ1683" t="s">
        <v>74</v>
      </c>
      <c r="BR1683" t="s">
        <v>96</v>
      </c>
      <c r="BS1683" t="s">
        <v>9185</v>
      </c>
      <c r="BT1683" t="str">
        <f>HYPERLINK("https%3A%2F%2Fwww.webofscience.com%2Fwos%2Fwoscc%2Ffull-record%2FWOS:000640612400036","View Full Record in Web of Science")</f>
        <v>View Full Record in Web of Science</v>
      </c>
    </row>
    <row r="1684" spans="1:72" x14ac:dyDescent="0.15">
      <c r="A1684" t="s">
        <v>98</v>
      </c>
      <c r="B1684" t="s">
        <v>9264</v>
      </c>
      <c r="C1684" t="s">
        <v>74</v>
      </c>
      <c r="D1684" t="s">
        <v>74</v>
      </c>
      <c r="E1684" t="s">
        <v>74</v>
      </c>
      <c r="F1684" t="s">
        <v>9265</v>
      </c>
      <c r="G1684" t="s">
        <v>74</v>
      </c>
      <c r="H1684" t="s">
        <v>74</v>
      </c>
      <c r="I1684" t="s">
        <v>9266</v>
      </c>
      <c r="J1684" t="s">
        <v>9267</v>
      </c>
      <c r="K1684" t="s">
        <v>74</v>
      </c>
      <c r="L1684" t="s">
        <v>74</v>
      </c>
      <c r="M1684" t="s">
        <v>74</v>
      </c>
      <c r="N1684" t="s">
        <v>103</v>
      </c>
      <c r="O1684" t="s">
        <v>74</v>
      </c>
      <c r="P1684" t="s">
        <v>74</v>
      </c>
      <c r="Q1684" t="s">
        <v>74</v>
      </c>
      <c r="R1684" t="s">
        <v>74</v>
      </c>
      <c r="S1684" t="s">
        <v>74</v>
      </c>
      <c r="T1684" t="s">
        <v>9268</v>
      </c>
      <c r="U1684" t="s">
        <v>74</v>
      </c>
      <c r="V1684" t="s">
        <v>9269</v>
      </c>
      <c r="W1684" t="s">
        <v>9270</v>
      </c>
      <c r="X1684" t="s">
        <v>9271</v>
      </c>
      <c r="Y1684" t="s">
        <v>9272</v>
      </c>
      <c r="Z1684" t="s">
        <v>9273</v>
      </c>
      <c r="AA1684" t="s">
        <v>74</v>
      </c>
      <c r="AB1684" t="s">
        <v>9274</v>
      </c>
      <c r="AC1684" t="s">
        <v>74</v>
      </c>
      <c r="AD1684" t="s">
        <v>74</v>
      </c>
      <c r="AE1684" t="s">
        <v>74</v>
      </c>
      <c r="AF1684" t="s">
        <v>74</v>
      </c>
      <c r="AG1684">
        <v>66</v>
      </c>
      <c r="AH1684">
        <v>2</v>
      </c>
      <c r="AI1684">
        <v>2</v>
      </c>
      <c r="AJ1684">
        <v>0</v>
      </c>
      <c r="AK1684">
        <v>3</v>
      </c>
      <c r="AL1684" t="s">
        <v>74</v>
      </c>
      <c r="AM1684" t="s">
        <v>74</v>
      </c>
      <c r="AN1684" t="s">
        <v>74</v>
      </c>
      <c r="AO1684" t="s">
        <v>9275</v>
      </c>
      <c r="AP1684" t="s">
        <v>9276</v>
      </c>
      <c r="AQ1684" t="s">
        <v>74</v>
      </c>
      <c r="AR1684" t="s">
        <v>74</v>
      </c>
      <c r="AS1684" t="s">
        <v>74</v>
      </c>
      <c r="AT1684" t="s">
        <v>132</v>
      </c>
      <c r="AU1684">
        <v>2021</v>
      </c>
      <c r="AV1684">
        <v>204</v>
      </c>
      <c r="AW1684">
        <v>1</v>
      </c>
      <c r="AX1684" t="s">
        <v>74</v>
      </c>
      <c r="AY1684" t="s">
        <v>74</v>
      </c>
      <c r="AZ1684" t="s">
        <v>74</v>
      </c>
      <c r="BA1684" t="s">
        <v>74</v>
      </c>
      <c r="BB1684">
        <v>64</v>
      </c>
      <c r="BC1684">
        <v>77</v>
      </c>
      <c r="BD1684" t="s">
        <v>74</v>
      </c>
      <c r="BE1684" t="s">
        <v>9277</v>
      </c>
      <c r="BF1684" t="str">
        <f>HYPERLINK("http://dx.doi.org/10.1111/cei.13569","http://dx.doi.org/10.1111/cei.13569")</f>
        <v>http://dx.doi.org/10.1111/cei.13569</v>
      </c>
      <c r="BG1684" t="s">
        <v>74</v>
      </c>
      <c r="BH1684" t="s">
        <v>3662</v>
      </c>
      <c r="BI1684" t="s">
        <v>74</v>
      </c>
      <c r="BJ1684" t="s">
        <v>2064</v>
      </c>
      <c r="BK1684" t="s">
        <v>117</v>
      </c>
      <c r="BL1684" t="s">
        <v>2064</v>
      </c>
      <c r="BM1684" t="s">
        <v>74</v>
      </c>
      <c r="BN1684">
        <v>33354779</v>
      </c>
      <c r="BO1684" t="s">
        <v>74</v>
      </c>
      <c r="BP1684" t="s">
        <v>74</v>
      </c>
      <c r="BQ1684" t="s">
        <v>74</v>
      </c>
      <c r="BR1684" t="s">
        <v>96</v>
      </c>
      <c r="BS1684" t="s">
        <v>9278</v>
      </c>
      <c r="BT1684" t="str">
        <f>HYPERLINK("https%3A%2F%2Fwww.webofscience.com%2Fwos%2Fwoscc%2Ffull-record%2FWOS:000611401400001","View Full Record in Web of Science")</f>
        <v>View Full Record in Web of Science</v>
      </c>
    </row>
    <row r="1685" spans="1:72" x14ac:dyDescent="0.15">
      <c r="A1685" t="s">
        <v>98</v>
      </c>
      <c r="B1685" t="s">
        <v>9515</v>
      </c>
      <c r="C1685" t="s">
        <v>74</v>
      </c>
      <c r="D1685" t="s">
        <v>74</v>
      </c>
      <c r="E1685" t="s">
        <v>74</v>
      </c>
      <c r="F1685" t="s">
        <v>9516</v>
      </c>
      <c r="G1685" t="s">
        <v>74</v>
      </c>
      <c r="H1685" t="s">
        <v>74</v>
      </c>
      <c r="I1685" t="s">
        <v>9517</v>
      </c>
      <c r="J1685" t="s">
        <v>6193</v>
      </c>
      <c r="K1685" t="s">
        <v>74</v>
      </c>
      <c r="L1685" t="s">
        <v>74</v>
      </c>
      <c r="M1685" t="s">
        <v>74</v>
      </c>
      <c r="N1685" t="s">
        <v>103</v>
      </c>
      <c r="O1685" t="s">
        <v>74</v>
      </c>
      <c r="P1685" t="s">
        <v>74</v>
      </c>
      <c r="Q1685" t="s">
        <v>74</v>
      </c>
      <c r="R1685" t="s">
        <v>74</v>
      </c>
      <c r="S1685" t="s">
        <v>74</v>
      </c>
      <c r="T1685" t="s">
        <v>9518</v>
      </c>
      <c r="U1685" t="s">
        <v>9519</v>
      </c>
      <c r="V1685" t="s">
        <v>9520</v>
      </c>
      <c r="W1685" t="s">
        <v>9521</v>
      </c>
      <c r="X1685" t="s">
        <v>9522</v>
      </c>
      <c r="Y1685" t="s">
        <v>9523</v>
      </c>
      <c r="Z1685" t="s">
        <v>9524</v>
      </c>
      <c r="AA1685" t="s">
        <v>74</v>
      </c>
      <c r="AB1685" t="s">
        <v>74</v>
      </c>
      <c r="AC1685" t="s">
        <v>74</v>
      </c>
      <c r="AD1685" t="s">
        <v>74</v>
      </c>
      <c r="AE1685" t="s">
        <v>74</v>
      </c>
      <c r="AF1685" t="s">
        <v>74</v>
      </c>
      <c r="AG1685">
        <v>54</v>
      </c>
      <c r="AH1685">
        <v>2</v>
      </c>
      <c r="AI1685">
        <v>2</v>
      </c>
      <c r="AJ1685">
        <v>0</v>
      </c>
      <c r="AK1685">
        <v>6</v>
      </c>
      <c r="AL1685" t="s">
        <v>74</v>
      </c>
      <c r="AM1685" t="s">
        <v>74</v>
      </c>
      <c r="AN1685" t="s">
        <v>74</v>
      </c>
      <c r="AO1685" t="s">
        <v>6203</v>
      </c>
      <c r="AP1685" t="s">
        <v>6204</v>
      </c>
      <c r="AQ1685" t="s">
        <v>74</v>
      </c>
      <c r="AR1685" t="s">
        <v>74</v>
      </c>
      <c r="AS1685" t="s">
        <v>74</v>
      </c>
      <c r="AT1685" t="s">
        <v>132</v>
      </c>
      <c r="AU1685">
        <v>2020</v>
      </c>
      <c r="AV1685">
        <v>56</v>
      </c>
      <c r="AW1685">
        <v>4</v>
      </c>
      <c r="AX1685" t="s">
        <v>74</v>
      </c>
      <c r="AY1685" t="s">
        <v>74</v>
      </c>
      <c r="AZ1685" t="s">
        <v>74</v>
      </c>
      <c r="BA1685" t="s">
        <v>74</v>
      </c>
      <c r="BB1685">
        <v>957</v>
      </c>
      <c r="BC1685">
        <v>968</v>
      </c>
      <c r="BD1685" t="s">
        <v>74</v>
      </c>
      <c r="BE1685" t="s">
        <v>9525</v>
      </c>
      <c r="BF1685" t="str">
        <f>HYPERLINK("http://dx.doi.org/10.3892/ijo.2020.4980","http://dx.doi.org/10.3892/ijo.2020.4980")</f>
        <v>http://dx.doi.org/10.3892/ijo.2020.4980</v>
      </c>
      <c r="BG1685" t="s">
        <v>74</v>
      </c>
      <c r="BH1685" t="s">
        <v>74</v>
      </c>
      <c r="BI1685" t="s">
        <v>74</v>
      </c>
      <c r="BJ1685" t="s">
        <v>267</v>
      </c>
      <c r="BK1685" t="s">
        <v>117</v>
      </c>
      <c r="BL1685" t="s">
        <v>267</v>
      </c>
      <c r="BM1685" t="s">
        <v>74</v>
      </c>
      <c r="BN1685">
        <v>32319557</v>
      </c>
      <c r="BO1685" t="s">
        <v>74</v>
      </c>
      <c r="BP1685" t="s">
        <v>74</v>
      </c>
      <c r="BQ1685" t="s">
        <v>74</v>
      </c>
      <c r="BR1685" t="s">
        <v>96</v>
      </c>
      <c r="BS1685" t="s">
        <v>9526</v>
      </c>
      <c r="BT1685" t="str">
        <f>HYPERLINK("https%3A%2F%2Fwww.webofscience.com%2Fwos%2Fwoscc%2Ffull-record%2FWOS:000523749200009","View Full Record in Web of Science")</f>
        <v>View Full Record in Web of Science</v>
      </c>
    </row>
    <row r="1686" spans="1:72" x14ac:dyDescent="0.15">
      <c r="A1686" t="s">
        <v>98</v>
      </c>
      <c r="B1686" t="s">
        <v>9527</v>
      </c>
      <c r="C1686" t="s">
        <v>74</v>
      </c>
      <c r="D1686" t="s">
        <v>74</v>
      </c>
      <c r="E1686" t="s">
        <v>74</v>
      </c>
      <c r="F1686" t="s">
        <v>9528</v>
      </c>
      <c r="G1686" t="s">
        <v>74</v>
      </c>
      <c r="H1686" t="s">
        <v>74</v>
      </c>
      <c r="I1686" t="s">
        <v>9529</v>
      </c>
      <c r="J1686" t="s">
        <v>1090</v>
      </c>
      <c r="K1686" t="s">
        <v>74</v>
      </c>
      <c r="L1686" t="s">
        <v>74</v>
      </c>
      <c r="M1686" t="s">
        <v>74</v>
      </c>
      <c r="N1686" t="s">
        <v>103</v>
      </c>
      <c r="O1686" t="s">
        <v>74</v>
      </c>
      <c r="P1686" t="s">
        <v>74</v>
      </c>
      <c r="Q1686" t="s">
        <v>74</v>
      </c>
      <c r="R1686" t="s">
        <v>74</v>
      </c>
      <c r="S1686" t="s">
        <v>74</v>
      </c>
      <c r="T1686" t="s">
        <v>9530</v>
      </c>
      <c r="U1686" t="s">
        <v>9531</v>
      </c>
      <c r="V1686" t="s">
        <v>9532</v>
      </c>
      <c r="W1686" t="s">
        <v>9533</v>
      </c>
      <c r="X1686" t="s">
        <v>9534</v>
      </c>
      <c r="Y1686" t="s">
        <v>9535</v>
      </c>
      <c r="Z1686" t="s">
        <v>3786</v>
      </c>
      <c r="AA1686" t="s">
        <v>74</v>
      </c>
      <c r="AB1686" t="s">
        <v>9536</v>
      </c>
      <c r="AC1686" t="s">
        <v>74</v>
      </c>
      <c r="AD1686" t="s">
        <v>74</v>
      </c>
      <c r="AE1686" t="s">
        <v>74</v>
      </c>
      <c r="AF1686" t="s">
        <v>74</v>
      </c>
      <c r="AG1686">
        <v>37</v>
      </c>
      <c r="AH1686">
        <v>2</v>
      </c>
      <c r="AI1686">
        <v>2</v>
      </c>
      <c r="AJ1686">
        <v>3</v>
      </c>
      <c r="AK1686">
        <v>3</v>
      </c>
      <c r="AL1686" t="s">
        <v>74</v>
      </c>
      <c r="AM1686" t="s">
        <v>74</v>
      </c>
      <c r="AN1686" t="s">
        <v>74</v>
      </c>
      <c r="AO1686" t="s">
        <v>1097</v>
      </c>
      <c r="AP1686" t="s">
        <v>74</v>
      </c>
      <c r="AQ1686" t="s">
        <v>74</v>
      </c>
      <c r="AR1686" t="s">
        <v>74</v>
      </c>
      <c r="AS1686" t="s">
        <v>74</v>
      </c>
      <c r="AT1686" t="s">
        <v>9537</v>
      </c>
      <c r="AU1686">
        <v>2021</v>
      </c>
      <c r="AV1686">
        <v>9</v>
      </c>
      <c r="AW1686" t="s">
        <v>74</v>
      </c>
      <c r="AX1686" t="s">
        <v>74</v>
      </c>
      <c r="AY1686" t="s">
        <v>74</v>
      </c>
      <c r="AZ1686" t="s">
        <v>74</v>
      </c>
      <c r="BA1686" t="s">
        <v>74</v>
      </c>
      <c r="BB1686" t="s">
        <v>74</v>
      </c>
      <c r="BC1686" t="s">
        <v>74</v>
      </c>
      <c r="BD1686">
        <v>724389</v>
      </c>
      <c r="BE1686" t="s">
        <v>9538</v>
      </c>
      <c r="BF1686" t="str">
        <f>HYPERLINK("http://dx.doi.org/10.3389/fcell.2021.724389","http://dx.doi.org/10.3389/fcell.2021.724389")</f>
        <v>http://dx.doi.org/10.3389/fcell.2021.724389</v>
      </c>
      <c r="BG1686" t="s">
        <v>74</v>
      </c>
      <c r="BH1686" t="s">
        <v>74</v>
      </c>
      <c r="BI1686" t="s">
        <v>74</v>
      </c>
      <c r="BJ1686" t="s">
        <v>1100</v>
      </c>
      <c r="BK1686" t="s">
        <v>117</v>
      </c>
      <c r="BL1686" t="s">
        <v>1100</v>
      </c>
      <c r="BM1686" t="s">
        <v>74</v>
      </c>
      <c r="BN1686">
        <v>34692681</v>
      </c>
      <c r="BO1686" t="s">
        <v>74</v>
      </c>
      <c r="BP1686" t="s">
        <v>74</v>
      </c>
      <c r="BQ1686" t="s">
        <v>74</v>
      </c>
      <c r="BR1686" t="s">
        <v>96</v>
      </c>
      <c r="BS1686" t="s">
        <v>9539</v>
      </c>
      <c r="BT1686" t="str">
        <f>HYPERLINK("https%3A%2F%2Fwww.webofscience.com%2Fwos%2Fwoscc%2Ffull-record%2FWOS:000710115500001","View Full Record in Web of Science")</f>
        <v>View Full Record in Web of Science</v>
      </c>
    </row>
    <row r="1687" spans="1:72" x14ac:dyDescent="0.15">
      <c r="A1687" t="s">
        <v>98</v>
      </c>
      <c r="B1687" t="s">
        <v>9554</v>
      </c>
      <c r="C1687" t="s">
        <v>74</v>
      </c>
      <c r="D1687" t="s">
        <v>74</v>
      </c>
      <c r="E1687" t="s">
        <v>74</v>
      </c>
      <c r="F1687" t="s">
        <v>9555</v>
      </c>
      <c r="G1687" t="s">
        <v>74</v>
      </c>
      <c r="H1687" t="s">
        <v>74</v>
      </c>
      <c r="I1687" t="s">
        <v>9556</v>
      </c>
      <c r="J1687" t="s">
        <v>7696</v>
      </c>
      <c r="K1687" t="s">
        <v>74</v>
      </c>
      <c r="L1687" t="s">
        <v>74</v>
      </c>
      <c r="M1687" t="s">
        <v>74</v>
      </c>
      <c r="N1687" t="s">
        <v>103</v>
      </c>
      <c r="O1687" t="s">
        <v>74</v>
      </c>
      <c r="P1687" t="s">
        <v>74</v>
      </c>
      <c r="Q1687" t="s">
        <v>74</v>
      </c>
      <c r="R1687" t="s">
        <v>74</v>
      </c>
      <c r="S1687" t="s">
        <v>74</v>
      </c>
      <c r="T1687" t="s">
        <v>9557</v>
      </c>
      <c r="U1687" t="s">
        <v>9558</v>
      </c>
      <c r="V1687" t="s">
        <v>9559</v>
      </c>
      <c r="W1687" t="s">
        <v>9560</v>
      </c>
      <c r="X1687" t="s">
        <v>9561</v>
      </c>
      <c r="Y1687" t="s">
        <v>9562</v>
      </c>
      <c r="Z1687" t="s">
        <v>9563</v>
      </c>
      <c r="AA1687" t="s">
        <v>9564</v>
      </c>
      <c r="AB1687" t="s">
        <v>9565</v>
      </c>
      <c r="AC1687" t="s">
        <v>74</v>
      </c>
      <c r="AD1687" t="s">
        <v>74</v>
      </c>
      <c r="AE1687" t="s">
        <v>74</v>
      </c>
      <c r="AF1687" t="s">
        <v>74</v>
      </c>
      <c r="AG1687">
        <v>66</v>
      </c>
      <c r="AH1687">
        <v>2</v>
      </c>
      <c r="AI1687">
        <v>2</v>
      </c>
      <c r="AJ1687">
        <v>0</v>
      </c>
      <c r="AK1687">
        <v>14</v>
      </c>
      <c r="AL1687" t="s">
        <v>74</v>
      </c>
      <c r="AM1687" t="s">
        <v>74</v>
      </c>
      <c r="AN1687" t="s">
        <v>74</v>
      </c>
      <c r="AO1687" t="s">
        <v>7704</v>
      </c>
      <c r="AP1687" t="s">
        <v>74</v>
      </c>
      <c r="AQ1687" t="s">
        <v>74</v>
      </c>
      <c r="AR1687" t="s">
        <v>74</v>
      </c>
      <c r="AS1687" t="s">
        <v>74</v>
      </c>
      <c r="AT1687" t="s">
        <v>9566</v>
      </c>
      <c r="AU1687">
        <v>2017</v>
      </c>
      <c r="AV1687">
        <v>56</v>
      </c>
      <c r="AW1687">
        <v>3</v>
      </c>
      <c r="AX1687" t="s">
        <v>74</v>
      </c>
      <c r="AY1687" t="s">
        <v>74</v>
      </c>
      <c r="AZ1687" t="s">
        <v>74</v>
      </c>
      <c r="BA1687" t="s">
        <v>74</v>
      </c>
      <c r="BB1687">
        <v>316</v>
      </c>
      <c r="BC1687">
        <v>325</v>
      </c>
      <c r="BD1687" t="s">
        <v>74</v>
      </c>
      <c r="BE1687" t="s">
        <v>74</v>
      </c>
      <c r="BF1687" t="s">
        <v>74</v>
      </c>
      <c r="BG1687" t="s">
        <v>74</v>
      </c>
      <c r="BH1687" t="s">
        <v>74</v>
      </c>
      <c r="BI1687" t="s">
        <v>74</v>
      </c>
      <c r="BJ1687" t="s">
        <v>898</v>
      </c>
      <c r="BK1687" t="s">
        <v>117</v>
      </c>
      <c r="BL1687" t="s">
        <v>898</v>
      </c>
      <c r="BM1687" t="s">
        <v>74</v>
      </c>
      <c r="BN1687" t="s">
        <v>74</v>
      </c>
      <c r="BO1687" t="s">
        <v>74</v>
      </c>
      <c r="BP1687" t="s">
        <v>74</v>
      </c>
      <c r="BQ1687" t="s">
        <v>74</v>
      </c>
      <c r="BR1687" t="s">
        <v>96</v>
      </c>
      <c r="BS1687" t="s">
        <v>9567</v>
      </c>
      <c r="BT1687" t="str">
        <f>HYPERLINK("https%3A%2F%2Fwww.webofscience.com%2Fwos%2Fwoscc%2Ffull-record%2FWOS:000409157800006","View Full Record in Web of Science")</f>
        <v>View Full Record in Web of Science</v>
      </c>
    </row>
    <row r="1688" spans="1:72" x14ac:dyDescent="0.15">
      <c r="A1688" t="s">
        <v>98</v>
      </c>
      <c r="B1688" t="s">
        <v>9880</v>
      </c>
      <c r="C1688" t="s">
        <v>74</v>
      </c>
      <c r="D1688" t="s">
        <v>74</v>
      </c>
      <c r="E1688" t="s">
        <v>74</v>
      </c>
      <c r="F1688" t="s">
        <v>9881</v>
      </c>
      <c r="G1688" t="s">
        <v>74</v>
      </c>
      <c r="H1688" t="s">
        <v>74</v>
      </c>
      <c r="I1688" t="s">
        <v>9882</v>
      </c>
      <c r="J1688" t="s">
        <v>9883</v>
      </c>
      <c r="K1688" t="s">
        <v>74</v>
      </c>
      <c r="L1688" t="s">
        <v>74</v>
      </c>
      <c r="M1688" t="s">
        <v>74</v>
      </c>
      <c r="N1688" t="s">
        <v>103</v>
      </c>
      <c r="O1688" t="s">
        <v>74</v>
      </c>
      <c r="P1688" t="s">
        <v>74</v>
      </c>
      <c r="Q1688" t="s">
        <v>74</v>
      </c>
      <c r="R1688" t="s">
        <v>74</v>
      </c>
      <c r="S1688" t="s">
        <v>74</v>
      </c>
      <c r="T1688" t="s">
        <v>9884</v>
      </c>
      <c r="U1688" t="s">
        <v>9885</v>
      </c>
      <c r="V1688" t="s">
        <v>9886</v>
      </c>
      <c r="W1688" t="s">
        <v>9887</v>
      </c>
      <c r="X1688" t="s">
        <v>9888</v>
      </c>
      <c r="Y1688" t="s">
        <v>9889</v>
      </c>
      <c r="Z1688" t="s">
        <v>9890</v>
      </c>
      <c r="AA1688" t="s">
        <v>74</v>
      </c>
      <c r="AB1688" t="s">
        <v>9891</v>
      </c>
      <c r="AC1688" t="s">
        <v>74</v>
      </c>
      <c r="AD1688" t="s">
        <v>74</v>
      </c>
      <c r="AE1688" t="s">
        <v>74</v>
      </c>
      <c r="AF1688" t="s">
        <v>74</v>
      </c>
      <c r="AG1688">
        <v>59</v>
      </c>
      <c r="AH1688">
        <v>2</v>
      </c>
      <c r="AI1688">
        <v>2</v>
      </c>
      <c r="AJ1688">
        <v>1</v>
      </c>
      <c r="AK1688">
        <v>8</v>
      </c>
      <c r="AL1688" t="s">
        <v>74</v>
      </c>
      <c r="AM1688" t="s">
        <v>74</v>
      </c>
      <c r="AN1688" t="s">
        <v>74</v>
      </c>
      <c r="AO1688" t="s">
        <v>9892</v>
      </c>
      <c r="AP1688" t="s">
        <v>9893</v>
      </c>
      <c r="AQ1688" t="s">
        <v>74</v>
      </c>
      <c r="AR1688" t="s">
        <v>74</v>
      </c>
      <c r="AS1688" t="s">
        <v>74</v>
      </c>
      <c r="AT1688" t="s">
        <v>170</v>
      </c>
      <c r="AU1688">
        <v>2021</v>
      </c>
      <c r="AV1688">
        <v>29</v>
      </c>
      <c r="AW1688">
        <v>6</v>
      </c>
      <c r="AX1688" t="s">
        <v>74</v>
      </c>
      <c r="AY1688" t="s">
        <v>74</v>
      </c>
      <c r="AZ1688" t="s">
        <v>74</v>
      </c>
      <c r="BA1688" t="s">
        <v>74</v>
      </c>
      <c r="BB1688">
        <v>573</v>
      </c>
      <c r="BC1688">
        <v>584</v>
      </c>
      <c r="BD1688" t="s">
        <v>74</v>
      </c>
      <c r="BE1688" t="s">
        <v>9894</v>
      </c>
      <c r="BF1688" t="str">
        <f>HYPERLINK("http://dx.doi.org/10.1016/j.jagp.2020.10.012","http://dx.doi.org/10.1016/j.jagp.2020.10.012")</f>
        <v>http://dx.doi.org/10.1016/j.jagp.2020.10.012</v>
      </c>
      <c r="BG1688" t="s">
        <v>74</v>
      </c>
      <c r="BH1688" t="s">
        <v>1273</v>
      </c>
      <c r="BI1688" t="s">
        <v>74</v>
      </c>
      <c r="BJ1688" t="s">
        <v>9895</v>
      </c>
      <c r="BK1688" t="s">
        <v>3223</v>
      </c>
      <c r="BL1688" t="s">
        <v>9896</v>
      </c>
      <c r="BM1688" t="s">
        <v>74</v>
      </c>
      <c r="BN1688">
        <v>33160816</v>
      </c>
      <c r="BO1688" t="s">
        <v>74</v>
      </c>
      <c r="BP1688" t="s">
        <v>74</v>
      </c>
      <c r="BQ1688" t="s">
        <v>74</v>
      </c>
      <c r="BR1688" t="s">
        <v>96</v>
      </c>
      <c r="BS1688" t="s">
        <v>9897</v>
      </c>
      <c r="BT1688" t="str">
        <f>HYPERLINK("https%3A%2F%2Fwww.webofscience.com%2Fwos%2Fwoscc%2Ffull-record%2FWOS:000651382700010","View Full Record in Web of Science")</f>
        <v>View Full Record in Web of Science</v>
      </c>
    </row>
    <row r="1689" spans="1:72" x14ac:dyDescent="0.15">
      <c r="A1689" t="s">
        <v>98</v>
      </c>
      <c r="B1689" t="s">
        <v>9924</v>
      </c>
      <c r="C1689" t="s">
        <v>74</v>
      </c>
      <c r="D1689" t="s">
        <v>74</v>
      </c>
      <c r="E1689" t="s">
        <v>74</v>
      </c>
      <c r="F1689" t="s">
        <v>9925</v>
      </c>
      <c r="G1689" t="s">
        <v>74</v>
      </c>
      <c r="H1689" t="s">
        <v>74</v>
      </c>
      <c r="I1689" t="s">
        <v>9926</v>
      </c>
      <c r="J1689" t="s">
        <v>2520</v>
      </c>
      <c r="K1689" t="s">
        <v>74</v>
      </c>
      <c r="L1689" t="s">
        <v>74</v>
      </c>
      <c r="M1689" t="s">
        <v>74</v>
      </c>
      <c r="N1689" t="s">
        <v>103</v>
      </c>
      <c r="O1689" t="s">
        <v>74</v>
      </c>
      <c r="P1689" t="s">
        <v>74</v>
      </c>
      <c r="Q1689" t="s">
        <v>74</v>
      </c>
      <c r="R1689" t="s">
        <v>74</v>
      </c>
      <c r="S1689" t="s">
        <v>74</v>
      </c>
      <c r="T1689" t="s">
        <v>9927</v>
      </c>
      <c r="U1689" t="s">
        <v>9928</v>
      </c>
      <c r="V1689" t="s">
        <v>9929</v>
      </c>
      <c r="W1689" t="s">
        <v>9930</v>
      </c>
      <c r="X1689" t="s">
        <v>9931</v>
      </c>
      <c r="Y1689" t="s">
        <v>9932</v>
      </c>
      <c r="Z1689" t="s">
        <v>9933</v>
      </c>
      <c r="AA1689" t="s">
        <v>9934</v>
      </c>
      <c r="AB1689" t="s">
        <v>9935</v>
      </c>
      <c r="AC1689" t="s">
        <v>74</v>
      </c>
      <c r="AD1689" t="s">
        <v>74</v>
      </c>
      <c r="AE1689" t="s">
        <v>74</v>
      </c>
      <c r="AF1689" t="s">
        <v>74</v>
      </c>
      <c r="AG1689">
        <v>58</v>
      </c>
      <c r="AH1689">
        <v>2</v>
      </c>
      <c r="AI1689">
        <v>2</v>
      </c>
      <c r="AJ1689">
        <v>0</v>
      </c>
      <c r="AK1689">
        <v>7</v>
      </c>
      <c r="AL1689" t="s">
        <v>74</v>
      </c>
      <c r="AM1689" t="s">
        <v>74</v>
      </c>
      <c r="AN1689" t="s">
        <v>74</v>
      </c>
      <c r="AO1689" t="s">
        <v>2529</v>
      </c>
      <c r="AP1689" t="s">
        <v>74</v>
      </c>
      <c r="AQ1689" t="s">
        <v>74</v>
      </c>
      <c r="AR1689" t="s">
        <v>74</v>
      </c>
      <c r="AS1689" t="s">
        <v>74</v>
      </c>
      <c r="AT1689" t="s">
        <v>9936</v>
      </c>
      <c r="AU1689">
        <v>2020</v>
      </c>
      <c r="AV1689">
        <v>11</v>
      </c>
      <c r="AW1689" t="s">
        <v>74</v>
      </c>
      <c r="AX1689" t="s">
        <v>74</v>
      </c>
      <c r="AY1689" t="s">
        <v>74</v>
      </c>
      <c r="AZ1689" t="s">
        <v>74</v>
      </c>
      <c r="BA1689" t="s">
        <v>74</v>
      </c>
      <c r="BB1689" t="s">
        <v>74</v>
      </c>
      <c r="BC1689" t="s">
        <v>74</v>
      </c>
      <c r="BD1689">
        <v>556795</v>
      </c>
      <c r="BE1689" t="s">
        <v>9937</v>
      </c>
      <c r="BF1689" t="str">
        <f>HYPERLINK("http://dx.doi.org/10.3389/fmicb.2020.556795","http://dx.doi.org/10.3389/fmicb.2020.556795")</f>
        <v>http://dx.doi.org/10.3389/fmicb.2020.556795</v>
      </c>
      <c r="BG1689" t="s">
        <v>74</v>
      </c>
      <c r="BH1689" t="s">
        <v>74</v>
      </c>
      <c r="BI1689" t="s">
        <v>74</v>
      </c>
      <c r="BJ1689" t="s">
        <v>898</v>
      </c>
      <c r="BK1689" t="s">
        <v>117</v>
      </c>
      <c r="BL1689" t="s">
        <v>898</v>
      </c>
      <c r="BM1689" t="s">
        <v>74</v>
      </c>
      <c r="BN1689">
        <v>33193138</v>
      </c>
      <c r="BO1689" t="s">
        <v>74</v>
      </c>
      <c r="BP1689" t="s">
        <v>74</v>
      </c>
      <c r="BQ1689" t="s">
        <v>74</v>
      </c>
      <c r="BR1689" t="s">
        <v>96</v>
      </c>
      <c r="BS1689" t="s">
        <v>9938</v>
      </c>
      <c r="BT1689" t="str">
        <f>HYPERLINK("https%3A%2F%2Fwww.webofscience.com%2Fwos%2Fwoscc%2Ffull-record%2FWOS:000583276600001","View Full Record in Web of Science")</f>
        <v>View Full Record in Web of Science</v>
      </c>
    </row>
    <row r="1690" spans="1:72" x14ac:dyDescent="0.15">
      <c r="A1690" t="s">
        <v>98</v>
      </c>
      <c r="B1690" t="s">
        <v>10006</v>
      </c>
      <c r="C1690" t="s">
        <v>74</v>
      </c>
      <c r="D1690" t="s">
        <v>74</v>
      </c>
      <c r="E1690" t="s">
        <v>74</v>
      </c>
      <c r="F1690" t="s">
        <v>10007</v>
      </c>
      <c r="G1690" t="s">
        <v>74</v>
      </c>
      <c r="H1690" t="s">
        <v>74</v>
      </c>
      <c r="I1690" t="s">
        <v>10008</v>
      </c>
      <c r="J1690" t="s">
        <v>4486</v>
      </c>
      <c r="K1690" t="s">
        <v>74</v>
      </c>
      <c r="L1690" t="s">
        <v>74</v>
      </c>
      <c r="M1690" t="s">
        <v>74</v>
      </c>
      <c r="N1690" t="s">
        <v>103</v>
      </c>
      <c r="O1690" t="s">
        <v>74</v>
      </c>
      <c r="P1690" t="s">
        <v>74</v>
      </c>
      <c r="Q1690" t="s">
        <v>74</v>
      </c>
      <c r="R1690" t="s">
        <v>74</v>
      </c>
      <c r="S1690" t="s">
        <v>74</v>
      </c>
      <c r="T1690" t="s">
        <v>74</v>
      </c>
      <c r="U1690" t="s">
        <v>10009</v>
      </c>
      <c r="V1690" t="s">
        <v>10010</v>
      </c>
      <c r="W1690" t="s">
        <v>10011</v>
      </c>
      <c r="X1690" t="s">
        <v>4804</v>
      </c>
      <c r="Y1690" t="s">
        <v>10012</v>
      </c>
      <c r="Z1690" t="s">
        <v>10013</v>
      </c>
      <c r="AA1690" t="s">
        <v>10014</v>
      </c>
      <c r="AB1690" t="s">
        <v>10015</v>
      </c>
      <c r="AC1690" t="s">
        <v>74</v>
      </c>
      <c r="AD1690" t="s">
        <v>74</v>
      </c>
      <c r="AE1690" t="s">
        <v>74</v>
      </c>
      <c r="AF1690" t="s">
        <v>74</v>
      </c>
      <c r="AG1690">
        <v>50</v>
      </c>
      <c r="AH1690">
        <v>2</v>
      </c>
      <c r="AI1690">
        <v>2</v>
      </c>
      <c r="AJ1690">
        <v>108</v>
      </c>
      <c r="AK1690">
        <v>132</v>
      </c>
      <c r="AL1690" t="s">
        <v>74</v>
      </c>
      <c r="AM1690" t="s">
        <v>74</v>
      </c>
      <c r="AN1690" t="s">
        <v>74</v>
      </c>
      <c r="AO1690" t="s">
        <v>4493</v>
      </c>
      <c r="AP1690" t="s">
        <v>4494</v>
      </c>
      <c r="AQ1690" t="s">
        <v>74</v>
      </c>
      <c r="AR1690" t="s">
        <v>74</v>
      </c>
      <c r="AS1690" t="s">
        <v>74</v>
      </c>
      <c r="AT1690" t="s">
        <v>10016</v>
      </c>
      <c r="AU1690">
        <v>2022</v>
      </c>
      <c r="AV1690">
        <v>94</v>
      </c>
      <c r="AW1690">
        <v>2</v>
      </c>
      <c r="AX1690" t="s">
        <v>74</v>
      </c>
      <c r="AY1690" t="s">
        <v>74</v>
      </c>
      <c r="AZ1690" t="s">
        <v>74</v>
      </c>
      <c r="BA1690" t="s">
        <v>74</v>
      </c>
      <c r="BB1690">
        <v>1085</v>
      </c>
      <c r="BC1690">
        <v>1091</v>
      </c>
      <c r="BD1690" t="s">
        <v>74</v>
      </c>
      <c r="BE1690" t="s">
        <v>10017</v>
      </c>
      <c r="BF1690" t="str">
        <f>HYPERLINK("http://dx.doi.org/10.1021/acs.analchem.1c04122","http://dx.doi.org/10.1021/acs.analchem.1c04122")</f>
        <v>http://dx.doi.org/10.1021/acs.analchem.1c04122</v>
      </c>
      <c r="BG1690" t="s">
        <v>74</v>
      </c>
      <c r="BH1690" t="s">
        <v>5553</v>
      </c>
      <c r="BI1690" t="s">
        <v>74</v>
      </c>
      <c r="BJ1690" t="s">
        <v>1118</v>
      </c>
      <c r="BK1690" t="s">
        <v>117</v>
      </c>
      <c r="BL1690" t="s">
        <v>1048</v>
      </c>
      <c r="BM1690" t="s">
        <v>74</v>
      </c>
      <c r="BN1690">
        <v>35042294</v>
      </c>
      <c r="BO1690" t="s">
        <v>74</v>
      </c>
      <c r="BP1690" t="s">
        <v>74</v>
      </c>
      <c r="BQ1690" t="s">
        <v>74</v>
      </c>
      <c r="BR1690" t="s">
        <v>96</v>
      </c>
      <c r="BS1690" t="s">
        <v>10018</v>
      </c>
      <c r="BT1690" t="str">
        <f>HYPERLINK("https%3A%2F%2Fwww.webofscience.com%2Fwos%2Fwoscc%2Ffull-record%2FWOS:000741043400001","View Full Record in Web of Science")</f>
        <v>View Full Record in Web of Science</v>
      </c>
    </row>
    <row r="1691" spans="1:72" x14ac:dyDescent="0.15">
      <c r="A1691" t="s">
        <v>98</v>
      </c>
      <c r="B1691" t="s">
        <v>10294</v>
      </c>
      <c r="C1691" t="s">
        <v>74</v>
      </c>
      <c r="D1691" t="s">
        <v>74</v>
      </c>
      <c r="E1691" t="s">
        <v>74</v>
      </c>
      <c r="F1691" t="s">
        <v>10295</v>
      </c>
      <c r="G1691" t="s">
        <v>74</v>
      </c>
      <c r="H1691" t="s">
        <v>74</v>
      </c>
      <c r="I1691" t="s">
        <v>10296</v>
      </c>
      <c r="J1691" t="s">
        <v>9651</v>
      </c>
      <c r="K1691" t="s">
        <v>74</v>
      </c>
      <c r="L1691" t="s">
        <v>74</v>
      </c>
      <c r="M1691" t="s">
        <v>74</v>
      </c>
      <c r="N1691" t="s">
        <v>103</v>
      </c>
      <c r="O1691" t="s">
        <v>74</v>
      </c>
      <c r="P1691" t="s">
        <v>74</v>
      </c>
      <c r="Q1691" t="s">
        <v>74</v>
      </c>
      <c r="R1691" t="s">
        <v>74</v>
      </c>
      <c r="S1691" t="s">
        <v>74</v>
      </c>
      <c r="T1691" t="s">
        <v>74</v>
      </c>
      <c r="U1691" t="s">
        <v>74</v>
      </c>
      <c r="V1691" t="s">
        <v>10297</v>
      </c>
      <c r="W1691" t="s">
        <v>10298</v>
      </c>
      <c r="X1691" t="s">
        <v>10299</v>
      </c>
      <c r="Y1691" t="s">
        <v>10300</v>
      </c>
      <c r="Z1691" t="s">
        <v>10301</v>
      </c>
      <c r="AA1691" t="s">
        <v>10302</v>
      </c>
      <c r="AB1691" t="s">
        <v>10303</v>
      </c>
      <c r="AC1691" t="s">
        <v>74</v>
      </c>
      <c r="AD1691" t="s">
        <v>74</v>
      </c>
      <c r="AE1691" t="s">
        <v>74</v>
      </c>
      <c r="AF1691" t="s">
        <v>74</v>
      </c>
      <c r="AG1691">
        <v>22</v>
      </c>
      <c r="AH1691">
        <v>2</v>
      </c>
      <c r="AI1691">
        <v>2</v>
      </c>
      <c r="AJ1691">
        <v>9</v>
      </c>
      <c r="AK1691">
        <v>40</v>
      </c>
      <c r="AL1691" t="s">
        <v>74</v>
      </c>
      <c r="AM1691" t="s">
        <v>74</v>
      </c>
      <c r="AN1691" t="s">
        <v>74</v>
      </c>
      <c r="AO1691" t="s">
        <v>9658</v>
      </c>
      <c r="AP1691" t="s">
        <v>9659</v>
      </c>
      <c r="AQ1691" t="s">
        <v>74</v>
      </c>
      <c r="AR1691" t="s">
        <v>74</v>
      </c>
      <c r="AS1691" t="s">
        <v>74</v>
      </c>
      <c r="AT1691" t="s">
        <v>10304</v>
      </c>
      <c r="AU1691">
        <v>2021</v>
      </c>
      <c r="AV1691">
        <v>57</v>
      </c>
      <c r="AW1691">
        <v>29</v>
      </c>
      <c r="AX1691" t="s">
        <v>74</v>
      </c>
      <c r="AY1691" t="s">
        <v>74</v>
      </c>
      <c r="AZ1691" t="s">
        <v>74</v>
      </c>
      <c r="BA1691" t="s">
        <v>74</v>
      </c>
      <c r="BB1691">
        <v>3555</v>
      </c>
      <c r="BC1691">
        <v>3558</v>
      </c>
      <c r="BD1691" t="s">
        <v>74</v>
      </c>
      <c r="BE1691" t="s">
        <v>10305</v>
      </c>
      <c r="BF1691" t="str">
        <f>HYPERLINK("http://dx.doi.org/10.1039/d1cc00168j","http://dx.doi.org/10.1039/d1cc00168j")</f>
        <v>http://dx.doi.org/10.1039/d1cc00168j</v>
      </c>
      <c r="BG1691" t="s">
        <v>74</v>
      </c>
      <c r="BH1691" t="s">
        <v>74</v>
      </c>
      <c r="BI1691" t="s">
        <v>74</v>
      </c>
      <c r="BJ1691" t="s">
        <v>1047</v>
      </c>
      <c r="BK1691" t="s">
        <v>117</v>
      </c>
      <c r="BL1691" t="s">
        <v>1048</v>
      </c>
      <c r="BM1691" t="s">
        <v>74</v>
      </c>
      <c r="BN1691">
        <v>33704314</v>
      </c>
      <c r="BO1691" t="s">
        <v>74</v>
      </c>
      <c r="BP1691" t="s">
        <v>74</v>
      </c>
      <c r="BQ1691" t="s">
        <v>74</v>
      </c>
      <c r="BR1691" t="s">
        <v>96</v>
      </c>
      <c r="BS1691" t="s">
        <v>10306</v>
      </c>
      <c r="BT1691" t="str">
        <f>HYPERLINK("https%3A%2F%2Fwww.webofscience.com%2Fwos%2Fwoscc%2Ffull-record%2FWOS:000637899600003","View Full Record in Web of Science")</f>
        <v>View Full Record in Web of Science</v>
      </c>
    </row>
    <row r="1692" spans="1:72" x14ac:dyDescent="0.15">
      <c r="A1692" t="s">
        <v>98</v>
      </c>
      <c r="B1692" t="s">
        <v>10667</v>
      </c>
      <c r="C1692" t="s">
        <v>74</v>
      </c>
      <c r="D1692" t="s">
        <v>74</v>
      </c>
      <c r="E1692" t="s">
        <v>74</v>
      </c>
      <c r="F1692" t="s">
        <v>10668</v>
      </c>
      <c r="G1692" t="s">
        <v>74</v>
      </c>
      <c r="H1692" t="s">
        <v>74</v>
      </c>
      <c r="I1692" t="s">
        <v>10669</v>
      </c>
      <c r="J1692" t="s">
        <v>10670</v>
      </c>
      <c r="K1692" t="s">
        <v>74</v>
      </c>
      <c r="L1692" t="s">
        <v>74</v>
      </c>
      <c r="M1692" t="s">
        <v>74</v>
      </c>
      <c r="N1692" t="s">
        <v>103</v>
      </c>
      <c r="O1692" t="s">
        <v>74</v>
      </c>
      <c r="P1692" t="s">
        <v>74</v>
      </c>
      <c r="Q1692" t="s">
        <v>74</v>
      </c>
      <c r="R1692" t="s">
        <v>74</v>
      </c>
      <c r="S1692" t="s">
        <v>74</v>
      </c>
      <c r="T1692" t="s">
        <v>10671</v>
      </c>
      <c r="U1692" t="s">
        <v>10672</v>
      </c>
      <c r="V1692" t="s">
        <v>10673</v>
      </c>
      <c r="W1692" t="s">
        <v>10674</v>
      </c>
      <c r="X1692" t="s">
        <v>10675</v>
      </c>
      <c r="Y1692" t="s">
        <v>10676</v>
      </c>
      <c r="Z1692" t="s">
        <v>10677</v>
      </c>
      <c r="AA1692" t="s">
        <v>10678</v>
      </c>
      <c r="AB1692" t="s">
        <v>10679</v>
      </c>
      <c r="AC1692" t="s">
        <v>74</v>
      </c>
      <c r="AD1692" t="s">
        <v>74</v>
      </c>
      <c r="AE1692" t="s">
        <v>74</v>
      </c>
      <c r="AF1692" t="s">
        <v>74</v>
      </c>
      <c r="AG1692">
        <v>61</v>
      </c>
      <c r="AH1692">
        <v>2</v>
      </c>
      <c r="AI1692">
        <v>2</v>
      </c>
      <c r="AJ1692">
        <v>4</v>
      </c>
      <c r="AK1692">
        <v>6</v>
      </c>
      <c r="AL1692" t="s">
        <v>74</v>
      </c>
      <c r="AM1692" t="s">
        <v>74</v>
      </c>
      <c r="AN1692" t="s">
        <v>74</v>
      </c>
      <c r="AO1692" t="s">
        <v>10680</v>
      </c>
      <c r="AP1692" t="s">
        <v>10681</v>
      </c>
      <c r="AQ1692" t="s">
        <v>74</v>
      </c>
      <c r="AR1692" t="s">
        <v>74</v>
      </c>
      <c r="AS1692" t="s">
        <v>74</v>
      </c>
      <c r="AT1692" t="s">
        <v>599</v>
      </c>
      <c r="AU1692">
        <v>2021</v>
      </c>
      <c r="AV1692">
        <v>13</v>
      </c>
      <c r="AW1692">
        <v>1</v>
      </c>
      <c r="AX1692" t="s">
        <v>74</v>
      </c>
      <c r="AY1692" t="s">
        <v>74</v>
      </c>
      <c r="AZ1692" t="s">
        <v>74</v>
      </c>
      <c r="BA1692" t="s">
        <v>74</v>
      </c>
      <c r="BB1692" t="s">
        <v>74</v>
      </c>
      <c r="BC1692" t="s">
        <v>74</v>
      </c>
      <c r="BD1692">
        <v>1993583</v>
      </c>
      <c r="BE1692" t="s">
        <v>10682</v>
      </c>
      <c r="BF1692" t="str">
        <f>HYPERLINK("http://dx.doi.org/10.1080/19490976.2021.1993583","http://dx.doi.org/10.1080/19490976.2021.1993583")</f>
        <v>http://dx.doi.org/10.1080/19490976.2021.1993583</v>
      </c>
      <c r="BG1692" t="s">
        <v>74</v>
      </c>
      <c r="BH1692" t="s">
        <v>74</v>
      </c>
      <c r="BI1692" t="s">
        <v>74</v>
      </c>
      <c r="BJ1692" t="s">
        <v>8882</v>
      </c>
      <c r="BK1692" t="s">
        <v>117</v>
      </c>
      <c r="BL1692" t="s">
        <v>8882</v>
      </c>
      <c r="BM1692" t="s">
        <v>74</v>
      </c>
      <c r="BN1692">
        <v>34747333</v>
      </c>
      <c r="BO1692" t="s">
        <v>74</v>
      </c>
      <c r="BP1692" t="s">
        <v>74</v>
      </c>
      <c r="BQ1692" t="s">
        <v>74</v>
      </c>
      <c r="BR1692" t="s">
        <v>96</v>
      </c>
      <c r="BS1692" t="s">
        <v>10683</v>
      </c>
      <c r="BT1692" t="str">
        <f>HYPERLINK("https%3A%2F%2Fwww.webofscience.com%2Fwos%2Fwoscc%2Ffull-record%2FWOS:000715538700001","View Full Record in Web of Science")</f>
        <v>View Full Record in Web of Science</v>
      </c>
    </row>
    <row r="1693" spans="1:72" x14ac:dyDescent="0.15">
      <c r="A1693" t="s">
        <v>98</v>
      </c>
      <c r="B1693" t="s">
        <v>10757</v>
      </c>
      <c r="C1693" t="s">
        <v>74</v>
      </c>
      <c r="D1693" t="s">
        <v>74</v>
      </c>
      <c r="E1693" t="s">
        <v>74</v>
      </c>
      <c r="F1693" t="s">
        <v>10758</v>
      </c>
      <c r="G1693" t="s">
        <v>74</v>
      </c>
      <c r="H1693" t="s">
        <v>74</v>
      </c>
      <c r="I1693" t="s">
        <v>10759</v>
      </c>
      <c r="J1693" t="s">
        <v>1766</v>
      </c>
      <c r="K1693" t="s">
        <v>74</v>
      </c>
      <c r="L1693" t="s">
        <v>74</v>
      </c>
      <c r="M1693" t="s">
        <v>74</v>
      </c>
      <c r="N1693" t="s">
        <v>103</v>
      </c>
      <c r="O1693" t="s">
        <v>74</v>
      </c>
      <c r="P1693" t="s">
        <v>74</v>
      </c>
      <c r="Q1693" t="s">
        <v>74</v>
      </c>
      <c r="R1693" t="s">
        <v>74</v>
      </c>
      <c r="S1693" t="s">
        <v>74</v>
      </c>
      <c r="T1693" t="s">
        <v>10760</v>
      </c>
      <c r="U1693" t="s">
        <v>10761</v>
      </c>
      <c r="V1693" t="s">
        <v>10762</v>
      </c>
      <c r="W1693" t="s">
        <v>10763</v>
      </c>
      <c r="X1693" t="s">
        <v>10764</v>
      </c>
      <c r="Y1693" t="s">
        <v>10765</v>
      </c>
      <c r="Z1693" t="s">
        <v>10766</v>
      </c>
      <c r="AA1693" t="s">
        <v>10767</v>
      </c>
      <c r="AB1693" t="s">
        <v>10768</v>
      </c>
      <c r="AC1693" t="s">
        <v>74</v>
      </c>
      <c r="AD1693" t="s">
        <v>74</v>
      </c>
      <c r="AE1693" t="s">
        <v>74</v>
      </c>
      <c r="AF1693" t="s">
        <v>74</v>
      </c>
      <c r="AG1693">
        <v>71</v>
      </c>
      <c r="AH1693">
        <v>2</v>
      </c>
      <c r="AI1693">
        <v>2</v>
      </c>
      <c r="AJ1693">
        <v>3</v>
      </c>
      <c r="AK1693">
        <v>3</v>
      </c>
      <c r="AL1693" t="s">
        <v>74</v>
      </c>
      <c r="AM1693" t="s">
        <v>74</v>
      </c>
      <c r="AN1693" t="s">
        <v>74</v>
      </c>
      <c r="AO1693" t="s">
        <v>74</v>
      </c>
      <c r="AP1693" t="s">
        <v>1776</v>
      </c>
      <c r="AQ1693" t="s">
        <v>74</v>
      </c>
      <c r="AR1693" t="s">
        <v>74</v>
      </c>
      <c r="AS1693" t="s">
        <v>74</v>
      </c>
      <c r="AT1693" t="s">
        <v>132</v>
      </c>
      <c r="AU1693">
        <v>2022</v>
      </c>
      <c r="AV1693">
        <v>10</v>
      </c>
      <c r="AW1693">
        <v>4</v>
      </c>
      <c r="AX1693" t="s">
        <v>74</v>
      </c>
      <c r="AY1693" t="s">
        <v>74</v>
      </c>
      <c r="AZ1693" t="s">
        <v>74</v>
      </c>
      <c r="BA1693" t="s">
        <v>74</v>
      </c>
      <c r="BB1693" t="s">
        <v>74</v>
      </c>
      <c r="BC1693" t="s">
        <v>74</v>
      </c>
      <c r="BD1693">
        <v>783</v>
      </c>
      <c r="BE1693" t="s">
        <v>10769</v>
      </c>
      <c r="BF1693" t="str">
        <f>HYPERLINK("http://dx.doi.org/10.3390/biomedicines10040783","http://dx.doi.org/10.3390/biomedicines10040783")</f>
        <v>http://dx.doi.org/10.3390/biomedicines10040783</v>
      </c>
      <c r="BG1693" t="s">
        <v>74</v>
      </c>
      <c r="BH1693" t="s">
        <v>74</v>
      </c>
      <c r="BI1693" t="s">
        <v>74</v>
      </c>
      <c r="BJ1693" t="s">
        <v>1778</v>
      </c>
      <c r="BK1693" t="s">
        <v>117</v>
      </c>
      <c r="BL1693" t="s">
        <v>1779</v>
      </c>
      <c r="BM1693" t="s">
        <v>74</v>
      </c>
      <c r="BN1693">
        <v>35453532</v>
      </c>
      <c r="BO1693" t="s">
        <v>74</v>
      </c>
      <c r="BP1693" t="s">
        <v>74</v>
      </c>
      <c r="BQ1693" t="s">
        <v>74</v>
      </c>
      <c r="BR1693" t="s">
        <v>96</v>
      </c>
      <c r="BS1693" t="s">
        <v>10770</v>
      </c>
      <c r="BT1693" t="str">
        <f>HYPERLINK("https%3A%2F%2Fwww.webofscience.com%2Fwos%2Fwoscc%2Ffull-record%2FWOS:000785177900001","View Full Record in Web of Science")</f>
        <v>View Full Record in Web of Science</v>
      </c>
    </row>
    <row r="1694" spans="1:72" x14ac:dyDescent="0.15">
      <c r="A1694" t="s">
        <v>98</v>
      </c>
      <c r="B1694" t="s">
        <v>11335</v>
      </c>
      <c r="C1694" t="s">
        <v>74</v>
      </c>
      <c r="D1694" t="s">
        <v>74</v>
      </c>
      <c r="E1694" t="s">
        <v>74</v>
      </c>
      <c r="F1694" t="s">
        <v>11336</v>
      </c>
      <c r="G1694" t="s">
        <v>74</v>
      </c>
      <c r="H1694" t="s">
        <v>74</v>
      </c>
      <c r="I1694" t="s">
        <v>11337</v>
      </c>
      <c r="J1694" t="s">
        <v>11338</v>
      </c>
      <c r="K1694" t="s">
        <v>74</v>
      </c>
      <c r="L1694" t="s">
        <v>74</v>
      </c>
      <c r="M1694" t="s">
        <v>74</v>
      </c>
      <c r="N1694" t="s">
        <v>103</v>
      </c>
      <c r="O1694" t="s">
        <v>74</v>
      </c>
      <c r="P1694" t="s">
        <v>74</v>
      </c>
      <c r="Q1694" t="s">
        <v>74</v>
      </c>
      <c r="R1694" t="s">
        <v>74</v>
      </c>
      <c r="S1694" t="s">
        <v>74</v>
      </c>
      <c r="T1694" t="s">
        <v>74</v>
      </c>
      <c r="U1694" t="s">
        <v>11339</v>
      </c>
      <c r="V1694" t="s">
        <v>11340</v>
      </c>
      <c r="W1694" t="s">
        <v>11341</v>
      </c>
      <c r="X1694" t="s">
        <v>11342</v>
      </c>
      <c r="Y1694" t="s">
        <v>11343</v>
      </c>
      <c r="Z1694" t="s">
        <v>11344</v>
      </c>
      <c r="AA1694" t="s">
        <v>11345</v>
      </c>
      <c r="AB1694" t="s">
        <v>74</v>
      </c>
      <c r="AC1694" t="s">
        <v>74</v>
      </c>
      <c r="AD1694" t="s">
        <v>74</v>
      </c>
      <c r="AE1694" t="s">
        <v>74</v>
      </c>
      <c r="AF1694" t="s">
        <v>74</v>
      </c>
      <c r="AG1694">
        <v>43</v>
      </c>
      <c r="AH1694">
        <v>2</v>
      </c>
      <c r="AI1694">
        <v>2</v>
      </c>
      <c r="AJ1694">
        <v>0</v>
      </c>
      <c r="AK1694">
        <v>3</v>
      </c>
      <c r="AL1694" t="s">
        <v>74</v>
      </c>
      <c r="AM1694" t="s">
        <v>74</v>
      </c>
      <c r="AN1694" t="s">
        <v>74</v>
      </c>
      <c r="AO1694" t="s">
        <v>11346</v>
      </c>
      <c r="AP1694" t="s">
        <v>11347</v>
      </c>
      <c r="AQ1694" t="s">
        <v>74</v>
      </c>
      <c r="AR1694" t="s">
        <v>74</v>
      </c>
      <c r="AS1694" t="s">
        <v>74</v>
      </c>
      <c r="AT1694" t="s">
        <v>74</v>
      </c>
      <c r="AU1694">
        <v>2019</v>
      </c>
      <c r="AV1694">
        <v>2019</v>
      </c>
      <c r="AW1694" t="s">
        <v>74</v>
      </c>
      <c r="AX1694" t="s">
        <v>74</v>
      </c>
      <c r="AY1694" t="s">
        <v>74</v>
      </c>
      <c r="AZ1694" t="s">
        <v>74</v>
      </c>
      <c r="BA1694" t="s">
        <v>74</v>
      </c>
      <c r="BB1694" t="s">
        <v>74</v>
      </c>
      <c r="BC1694" t="s">
        <v>74</v>
      </c>
      <c r="BD1694">
        <v>7246479</v>
      </c>
      <c r="BE1694" t="s">
        <v>11348</v>
      </c>
      <c r="BF1694" t="str">
        <f>HYPERLINK("http://dx.doi.org/10.1155/2019/7246479","http://dx.doi.org/10.1155/2019/7246479")</f>
        <v>http://dx.doi.org/10.1155/2019/7246479</v>
      </c>
      <c r="BG1694" t="s">
        <v>74</v>
      </c>
      <c r="BH1694" t="s">
        <v>74</v>
      </c>
      <c r="BI1694" t="s">
        <v>74</v>
      </c>
      <c r="BJ1694" t="s">
        <v>2100</v>
      </c>
      <c r="BK1694" t="s">
        <v>117</v>
      </c>
      <c r="BL1694" t="s">
        <v>135</v>
      </c>
      <c r="BM1694" t="s">
        <v>74</v>
      </c>
      <c r="BN1694">
        <v>30881463</v>
      </c>
      <c r="BO1694" t="s">
        <v>74</v>
      </c>
      <c r="BP1694" t="s">
        <v>74</v>
      </c>
      <c r="BQ1694" t="s">
        <v>74</v>
      </c>
      <c r="BR1694" t="s">
        <v>96</v>
      </c>
      <c r="BS1694" t="s">
        <v>11349</v>
      </c>
      <c r="BT1694" t="str">
        <f>HYPERLINK("https%3A%2F%2Fwww.webofscience.com%2Fwos%2Fwoscc%2Ffull-record%2FWOS:000459102500001","View Full Record in Web of Science")</f>
        <v>View Full Record in Web of Science</v>
      </c>
    </row>
    <row r="1695" spans="1:72" x14ac:dyDescent="0.15">
      <c r="A1695" t="s">
        <v>98</v>
      </c>
      <c r="B1695" t="s">
        <v>11570</v>
      </c>
      <c r="C1695" t="s">
        <v>74</v>
      </c>
      <c r="D1695" t="s">
        <v>74</v>
      </c>
      <c r="E1695" t="s">
        <v>74</v>
      </c>
      <c r="F1695" t="s">
        <v>11571</v>
      </c>
      <c r="G1695" t="s">
        <v>74</v>
      </c>
      <c r="H1695" t="s">
        <v>74</v>
      </c>
      <c r="I1695" t="s">
        <v>11572</v>
      </c>
      <c r="J1695" t="s">
        <v>11573</v>
      </c>
      <c r="K1695" t="s">
        <v>74</v>
      </c>
      <c r="L1695" t="s">
        <v>74</v>
      </c>
      <c r="M1695" t="s">
        <v>74</v>
      </c>
      <c r="N1695" t="s">
        <v>103</v>
      </c>
      <c r="O1695" t="s">
        <v>74</v>
      </c>
      <c r="P1695" t="s">
        <v>74</v>
      </c>
      <c r="Q1695" t="s">
        <v>74</v>
      </c>
      <c r="R1695" t="s">
        <v>74</v>
      </c>
      <c r="S1695" t="s">
        <v>74</v>
      </c>
      <c r="T1695" t="s">
        <v>11574</v>
      </c>
      <c r="U1695" t="s">
        <v>11575</v>
      </c>
      <c r="V1695" t="s">
        <v>11576</v>
      </c>
      <c r="W1695" t="s">
        <v>11577</v>
      </c>
      <c r="X1695" t="s">
        <v>11578</v>
      </c>
      <c r="Y1695" t="s">
        <v>11579</v>
      </c>
      <c r="Z1695" t="s">
        <v>11580</v>
      </c>
      <c r="AA1695" t="s">
        <v>11581</v>
      </c>
      <c r="AB1695" t="s">
        <v>11582</v>
      </c>
      <c r="AC1695" t="s">
        <v>74</v>
      </c>
      <c r="AD1695" t="s">
        <v>74</v>
      </c>
      <c r="AE1695" t="s">
        <v>74</v>
      </c>
      <c r="AF1695" t="s">
        <v>74</v>
      </c>
      <c r="AG1695">
        <v>30</v>
      </c>
      <c r="AH1695">
        <v>2</v>
      </c>
      <c r="AI1695">
        <v>2</v>
      </c>
      <c r="AJ1695">
        <v>3</v>
      </c>
      <c r="AK1695">
        <v>14</v>
      </c>
      <c r="AL1695" t="s">
        <v>74</v>
      </c>
      <c r="AM1695" t="s">
        <v>74</v>
      </c>
      <c r="AN1695" t="s">
        <v>74</v>
      </c>
      <c r="AO1695" t="s">
        <v>11583</v>
      </c>
      <c r="AP1695" t="s">
        <v>11584</v>
      </c>
      <c r="AQ1695" t="s">
        <v>74</v>
      </c>
      <c r="AR1695" t="s">
        <v>74</v>
      </c>
      <c r="AS1695" t="s">
        <v>74</v>
      </c>
      <c r="AT1695" t="s">
        <v>5213</v>
      </c>
      <c r="AU1695">
        <v>2021</v>
      </c>
      <c r="AV1695">
        <v>217</v>
      </c>
      <c r="AW1695" t="s">
        <v>74</v>
      </c>
      <c r="AX1695" t="s">
        <v>74</v>
      </c>
      <c r="AY1695" t="s">
        <v>74</v>
      </c>
      <c r="AZ1695" t="s">
        <v>74</v>
      </c>
      <c r="BA1695" t="s">
        <v>74</v>
      </c>
      <c r="BB1695" t="s">
        <v>74</v>
      </c>
      <c r="BC1695" t="s">
        <v>74</v>
      </c>
      <c r="BD1695">
        <v>104401</v>
      </c>
      <c r="BE1695" t="s">
        <v>11585</v>
      </c>
      <c r="BF1695" t="str">
        <f>HYPERLINK("http://dx.doi.org/10.1016/j.chemolab.2021.104401","http://dx.doi.org/10.1016/j.chemolab.2021.104401")</f>
        <v>http://dx.doi.org/10.1016/j.chemolab.2021.104401</v>
      </c>
      <c r="BG1695" t="s">
        <v>74</v>
      </c>
      <c r="BH1695" t="s">
        <v>1663</v>
      </c>
      <c r="BI1695" t="s">
        <v>74</v>
      </c>
      <c r="BJ1695" t="s">
        <v>11586</v>
      </c>
      <c r="BK1695" t="s">
        <v>117</v>
      </c>
      <c r="BL1695" t="s">
        <v>11587</v>
      </c>
      <c r="BM1695" t="s">
        <v>74</v>
      </c>
      <c r="BN1695" t="s">
        <v>74</v>
      </c>
      <c r="BO1695" t="s">
        <v>74</v>
      </c>
      <c r="BP1695" t="s">
        <v>74</v>
      </c>
      <c r="BQ1695" t="s">
        <v>74</v>
      </c>
      <c r="BR1695" t="s">
        <v>96</v>
      </c>
      <c r="BS1695" t="s">
        <v>11588</v>
      </c>
      <c r="BT1695" t="str">
        <f>HYPERLINK("https%3A%2F%2Fwww.webofscience.com%2Fwos%2Fwoscc%2Ffull-record%2FWOS:000694769500006","View Full Record in Web of Science")</f>
        <v>View Full Record in Web of Science</v>
      </c>
    </row>
    <row r="1696" spans="1:72" x14ac:dyDescent="0.15">
      <c r="A1696" t="s">
        <v>98</v>
      </c>
      <c r="B1696" t="s">
        <v>12512</v>
      </c>
      <c r="C1696" t="s">
        <v>74</v>
      </c>
      <c r="D1696" t="s">
        <v>74</v>
      </c>
      <c r="E1696" t="s">
        <v>74</v>
      </c>
      <c r="F1696" t="s">
        <v>12513</v>
      </c>
      <c r="G1696" t="s">
        <v>74</v>
      </c>
      <c r="H1696" t="s">
        <v>74</v>
      </c>
      <c r="I1696" t="s">
        <v>12514</v>
      </c>
      <c r="J1696" t="s">
        <v>12515</v>
      </c>
      <c r="K1696" t="s">
        <v>74</v>
      </c>
      <c r="L1696" t="s">
        <v>74</v>
      </c>
      <c r="M1696" t="s">
        <v>74</v>
      </c>
      <c r="N1696" t="s">
        <v>103</v>
      </c>
      <c r="O1696" t="s">
        <v>74</v>
      </c>
      <c r="P1696" t="s">
        <v>74</v>
      </c>
      <c r="Q1696" t="s">
        <v>74</v>
      </c>
      <c r="R1696" t="s">
        <v>74</v>
      </c>
      <c r="S1696" t="s">
        <v>74</v>
      </c>
      <c r="T1696" t="s">
        <v>74</v>
      </c>
      <c r="U1696" t="s">
        <v>74</v>
      </c>
      <c r="V1696" t="s">
        <v>12516</v>
      </c>
      <c r="W1696" t="s">
        <v>12517</v>
      </c>
      <c r="X1696" t="s">
        <v>12518</v>
      </c>
      <c r="Y1696" t="s">
        <v>12519</v>
      </c>
      <c r="Z1696" t="s">
        <v>12520</v>
      </c>
      <c r="AA1696" t="s">
        <v>74</v>
      </c>
      <c r="AB1696" t="s">
        <v>74</v>
      </c>
      <c r="AC1696" t="s">
        <v>74</v>
      </c>
      <c r="AD1696" t="s">
        <v>74</v>
      </c>
      <c r="AE1696" t="s">
        <v>74</v>
      </c>
      <c r="AF1696" t="s">
        <v>74</v>
      </c>
      <c r="AG1696">
        <v>16</v>
      </c>
      <c r="AH1696">
        <v>2</v>
      </c>
      <c r="AI1696">
        <v>2</v>
      </c>
      <c r="AJ1696">
        <v>4</v>
      </c>
      <c r="AK1696">
        <v>8</v>
      </c>
      <c r="AL1696" t="s">
        <v>74</v>
      </c>
      <c r="AM1696" t="s">
        <v>74</v>
      </c>
      <c r="AN1696" t="s">
        <v>74</v>
      </c>
      <c r="AO1696" t="s">
        <v>12521</v>
      </c>
      <c r="AP1696" t="s">
        <v>12522</v>
      </c>
      <c r="AQ1696" t="s">
        <v>74</v>
      </c>
      <c r="AR1696" t="s">
        <v>74</v>
      </c>
      <c r="AS1696" t="s">
        <v>74</v>
      </c>
      <c r="AT1696" t="s">
        <v>11206</v>
      </c>
      <c r="AU1696">
        <v>2021</v>
      </c>
      <c r="AV1696">
        <v>13</v>
      </c>
      <c r="AW1696">
        <v>38</v>
      </c>
      <c r="AX1696" t="s">
        <v>74</v>
      </c>
      <c r="AY1696" t="s">
        <v>74</v>
      </c>
      <c r="AZ1696" t="s">
        <v>74</v>
      </c>
      <c r="BA1696" t="s">
        <v>74</v>
      </c>
      <c r="BB1696">
        <v>4437</v>
      </c>
      <c r="BC1696">
        <v>4441</v>
      </c>
      <c r="BD1696" t="s">
        <v>74</v>
      </c>
      <c r="BE1696" t="s">
        <v>12523</v>
      </c>
      <c r="BF1696" t="str">
        <f>HYPERLINK("http://dx.doi.org/10.1039/d1ay01294k","http://dx.doi.org/10.1039/d1ay01294k")</f>
        <v>http://dx.doi.org/10.1039/d1ay01294k</v>
      </c>
      <c r="BG1696" t="s">
        <v>74</v>
      </c>
      <c r="BH1696" t="s">
        <v>1663</v>
      </c>
      <c r="BI1696" t="s">
        <v>74</v>
      </c>
      <c r="BJ1696" t="s">
        <v>12524</v>
      </c>
      <c r="BK1696" t="s">
        <v>117</v>
      </c>
      <c r="BL1696" t="s">
        <v>12525</v>
      </c>
      <c r="BM1696" t="s">
        <v>74</v>
      </c>
      <c r="BN1696">
        <v>34487126</v>
      </c>
      <c r="BO1696" t="s">
        <v>74</v>
      </c>
      <c r="BP1696" t="s">
        <v>74</v>
      </c>
      <c r="BQ1696" t="s">
        <v>74</v>
      </c>
      <c r="BR1696" t="s">
        <v>96</v>
      </c>
      <c r="BS1696" t="s">
        <v>12526</v>
      </c>
      <c r="BT1696" t="str">
        <f>HYPERLINK("https%3A%2F%2Fwww.webofscience.com%2Fwos%2Fwoscc%2Ffull-record%2FWOS:000692804300001","View Full Record in Web of Science")</f>
        <v>View Full Record in Web of Science</v>
      </c>
    </row>
    <row r="1697" spans="1:72" x14ac:dyDescent="0.15">
      <c r="A1697" t="s">
        <v>98</v>
      </c>
      <c r="B1697" t="s">
        <v>12660</v>
      </c>
      <c r="C1697" t="s">
        <v>74</v>
      </c>
      <c r="D1697" t="s">
        <v>74</v>
      </c>
      <c r="E1697" t="s">
        <v>74</v>
      </c>
      <c r="F1697" t="s">
        <v>12661</v>
      </c>
      <c r="G1697" t="s">
        <v>74</v>
      </c>
      <c r="H1697" t="s">
        <v>74</v>
      </c>
      <c r="I1697" t="s">
        <v>12662</v>
      </c>
      <c r="J1697" t="s">
        <v>5540</v>
      </c>
      <c r="K1697" t="s">
        <v>74</v>
      </c>
      <c r="L1697" t="s">
        <v>74</v>
      </c>
      <c r="M1697" t="s">
        <v>74</v>
      </c>
      <c r="N1697" t="s">
        <v>103</v>
      </c>
      <c r="O1697" t="s">
        <v>74</v>
      </c>
      <c r="P1697" t="s">
        <v>74</v>
      </c>
      <c r="Q1697" t="s">
        <v>74</v>
      </c>
      <c r="R1697" t="s">
        <v>74</v>
      </c>
      <c r="S1697" t="s">
        <v>74</v>
      </c>
      <c r="T1697" t="s">
        <v>12663</v>
      </c>
      <c r="U1697" t="s">
        <v>74</v>
      </c>
      <c r="V1697" t="s">
        <v>12664</v>
      </c>
      <c r="W1697" t="s">
        <v>12665</v>
      </c>
      <c r="X1697" t="s">
        <v>12666</v>
      </c>
      <c r="Y1697" t="s">
        <v>12667</v>
      </c>
      <c r="Z1697" t="s">
        <v>12668</v>
      </c>
      <c r="AA1697" t="s">
        <v>74</v>
      </c>
      <c r="AB1697" t="s">
        <v>74</v>
      </c>
      <c r="AC1697" t="s">
        <v>74</v>
      </c>
      <c r="AD1697" t="s">
        <v>74</v>
      </c>
      <c r="AE1697" t="s">
        <v>74</v>
      </c>
      <c r="AF1697" t="s">
        <v>74</v>
      </c>
      <c r="AG1697">
        <v>68</v>
      </c>
      <c r="AH1697">
        <v>2</v>
      </c>
      <c r="AI1697">
        <v>2</v>
      </c>
      <c r="AJ1697">
        <v>8</v>
      </c>
      <c r="AK1697">
        <v>20</v>
      </c>
      <c r="AL1697" t="s">
        <v>74</v>
      </c>
      <c r="AM1697" t="s">
        <v>74</v>
      </c>
      <c r="AN1697" t="s">
        <v>74</v>
      </c>
      <c r="AO1697" t="s">
        <v>5550</v>
      </c>
      <c r="AP1697" t="s">
        <v>5551</v>
      </c>
      <c r="AQ1697" t="s">
        <v>74</v>
      </c>
      <c r="AR1697" t="s">
        <v>74</v>
      </c>
      <c r="AS1697" t="s">
        <v>74</v>
      </c>
      <c r="AT1697" t="s">
        <v>614</v>
      </c>
      <c r="AU1697">
        <v>2021</v>
      </c>
      <c r="AV1697">
        <v>42</v>
      </c>
      <c r="AW1697">
        <v>7</v>
      </c>
      <c r="AX1697" t="s">
        <v>74</v>
      </c>
      <c r="AY1697" t="s">
        <v>74</v>
      </c>
      <c r="AZ1697" t="s">
        <v>74</v>
      </c>
      <c r="BA1697" t="s">
        <v>74</v>
      </c>
      <c r="BB1697">
        <v>1111</v>
      </c>
      <c r="BC1697">
        <v>1123</v>
      </c>
      <c r="BD1697" t="s">
        <v>74</v>
      </c>
      <c r="BE1697" t="s">
        <v>12669</v>
      </c>
      <c r="BF1697" t="str">
        <f>HYPERLINK("http://dx.doi.org/10.1038/s41401-021-00615-6","http://dx.doi.org/10.1038/s41401-021-00615-6")</f>
        <v>http://dx.doi.org/10.1038/s41401-021-00615-6</v>
      </c>
      <c r="BG1697" t="s">
        <v>74</v>
      </c>
      <c r="BH1697" t="s">
        <v>1557</v>
      </c>
      <c r="BI1697" t="s">
        <v>74</v>
      </c>
      <c r="BJ1697" t="s">
        <v>396</v>
      </c>
      <c r="BK1697" t="s">
        <v>117</v>
      </c>
      <c r="BL1697" t="s">
        <v>397</v>
      </c>
      <c r="BM1697" t="s">
        <v>74</v>
      </c>
      <c r="BN1697">
        <v>33637947</v>
      </c>
      <c r="BO1697" t="s">
        <v>74</v>
      </c>
      <c r="BP1697" t="s">
        <v>74</v>
      </c>
      <c r="BQ1697" t="s">
        <v>74</v>
      </c>
      <c r="BR1697" t="s">
        <v>96</v>
      </c>
      <c r="BS1697" t="s">
        <v>12670</v>
      </c>
      <c r="BT1697" t="str">
        <f>HYPERLINK("https%3A%2F%2Fwww.webofscience.com%2Fwos%2Fwoscc%2Ffull-record%2FWOS:000622271300001","View Full Record in Web of Science")</f>
        <v>View Full Record in Web of Science</v>
      </c>
    </row>
    <row r="1698" spans="1:72" x14ac:dyDescent="0.15">
      <c r="A1698" t="s">
        <v>72</v>
      </c>
      <c r="B1698" t="s">
        <v>12715</v>
      </c>
      <c r="C1698" t="s">
        <v>74</v>
      </c>
      <c r="D1698" t="s">
        <v>12716</v>
      </c>
      <c r="E1698" t="s">
        <v>74</v>
      </c>
      <c r="F1698" t="s">
        <v>12717</v>
      </c>
      <c r="G1698" t="s">
        <v>74</v>
      </c>
      <c r="H1698" t="s">
        <v>74</v>
      </c>
      <c r="I1698" t="s">
        <v>12718</v>
      </c>
      <c r="J1698" t="s">
        <v>12719</v>
      </c>
      <c r="K1698" t="s">
        <v>12720</v>
      </c>
      <c r="L1698" t="s">
        <v>74</v>
      </c>
      <c r="M1698" t="s">
        <v>74</v>
      </c>
      <c r="N1698" t="s">
        <v>80</v>
      </c>
      <c r="O1698" t="s">
        <v>74</v>
      </c>
      <c r="P1698" t="s">
        <v>74</v>
      </c>
      <c r="Q1698" t="s">
        <v>74</v>
      </c>
      <c r="R1698" t="s">
        <v>74</v>
      </c>
      <c r="S1698" t="s">
        <v>74</v>
      </c>
      <c r="T1698" t="s">
        <v>12721</v>
      </c>
      <c r="U1698" t="s">
        <v>12722</v>
      </c>
      <c r="V1698" t="s">
        <v>12723</v>
      </c>
      <c r="W1698" t="s">
        <v>12724</v>
      </c>
      <c r="X1698" t="s">
        <v>12725</v>
      </c>
      <c r="Y1698" t="s">
        <v>12726</v>
      </c>
      <c r="Z1698" t="s">
        <v>12727</v>
      </c>
      <c r="AA1698" t="s">
        <v>74</v>
      </c>
      <c r="AB1698" t="s">
        <v>74</v>
      </c>
      <c r="AC1698" t="s">
        <v>74</v>
      </c>
      <c r="AD1698" t="s">
        <v>74</v>
      </c>
      <c r="AE1698" t="s">
        <v>74</v>
      </c>
      <c r="AF1698" t="s">
        <v>74</v>
      </c>
      <c r="AG1698">
        <v>55</v>
      </c>
      <c r="AH1698">
        <v>2</v>
      </c>
      <c r="AI1698">
        <v>2</v>
      </c>
      <c r="AJ1698">
        <v>0</v>
      </c>
      <c r="AK1698">
        <v>0</v>
      </c>
      <c r="AL1698" t="s">
        <v>74</v>
      </c>
      <c r="AM1698" t="s">
        <v>74</v>
      </c>
      <c r="AN1698" t="s">
        <v>74</v>
      </c>
      <c r="AO1698" t="s">
        <v>12728</v>
      </c>
      <c r="AP1698" t="s">
        <v>74</v>
      </c>
      <c r="AQ1698" t="s">
        <v>12729</v>
      </c>
      <c r="AR1698" t="s">
        <v>74</v>
      </c>
      <c r="AS1698" t="s">
        <v>74</v>
      </c>
      <c r="AT1698" t="s">
        <v>74</v>
      </c>
      <c r="AU1698">
        <v>2019</v>
      </c>
      <c r="AV1698">
        <v>18</v>
      </c>
      <c r="AW1698" t="s">
        <v>74</v>
      </c>
      <c r="AX1698" t="s">
        <v>74</v>
      </c>
      <c r="AY1698" t="s">
        <v>74</v>
      </c>
      <c r="AZ1698" t="s">
        <v>74</v>
      </c>
      <c r="BA1698" t="s">
        <v>74</v>
      </c>
      <c r="BB1698">
        <v>107</v>
      </c>
      <c r="BC1698">
        <v>116</v>
      </c>
      <c r="BD1698" t="s">
        <v>74</v>
      </c>
      <c r="BE1698" t="s">
        <v>12730</v>
      </c>
      <c r="BF1698" t="str">
        <f>HYPERLINK("http://dx.doi.org/10.1007/978-3-030-23154-5_8","http://dx.doi.org/10.1007/978-3-030-23154-5_8")</f>
        <v>http://dx.doi.org/10.1007/978-3-030-23154-5_8</v>
      </c>
      <c r="BG1698" t="s">
        <v>12731</v>
      </c>
      <c r="BH1698" t="s">
        <v>74</v>
      </c>
      <c r="BI1698" t="s">
        <v>74</v>
      </c>
      <c r="BJ1698" t="s">
        <v>2959</v>
      </c>
      <c r="BK1698" t="s">
        <v>94</v>
      </c>
      <c r="BL1698" t="s">
        <v>2961</v>
      </c>
      <c r="BM1698" t="s">
        <v>74</v>
      </c>
      <c r="BN1698" t="s">
        <v>74</v>
      </c>
      <c r="BO1698" t="s">
        <v>74</v>
      </c>
      <c r="BP1698" t="s">
        <v>74</v>
      </c>
      <c r="BQ1698" t="s">
        <v>74</v>
      </c>
      <c r="BR1698" t="s">
        <v>96</v>
      </c>
      <c r="BS1698" t="s">
        <v>12732</v>
      </c>
      <c r="BT1698" t="str">
        <f>HYPERLINK("https%3A%2F%2Fwww.webofscience.com%2Fwos%2Fwoscc%2Ffull-record%2FWOS:000566845400009","View Full Record in Web of Science")</f>
        <v>View Full Record in Web of Science</v>
      </c>
    </row>
    <row r="1699" spans="1:72" x14ac:dyDescent="0.15">
      <c r="A1699" t="s">
        <v>98</v>
      </c>
      <c r="B1699" t="s">
        <v>13507</v>
      </c>
      <c r="C1699" t="s">
        <v>74</v>
      </c>
      <c r="D1699" t="s">
        <v>74</v>
      </c>
      <c r="E1699" t="s">
        <v>74</v>
      </c>
      <c r="F1699" t="s">
        <v>13508</v>
      </c>
      <c r="G1699" t="s">
        <v>74</v>
      </c>
      <c r="H1699" t="s">
        <v>74</v>
      </c>
      <c r="I1699" t="s">
        <v>13509</v>
      </c>
      <c r="J1699" t="s">
        <v>13510</v>
      </c>
      <c r="K1699" t="s">
        <v>74</v>
      </c>
      <c r="L1699" t="s">
        <v>74</v>
      </c>
      <c r="M1699" t="s">
        <v>74</v>
      </c>
      <c r="N1699" t="s">
        <v>103</v>
      </c>
      <c r="O1699" t="s">
        <v>74</v>
      </c>
      <c r="P1699" t="s">
        <v>74</v>
      </c>
      <c r="Q1699" t="s">
        <v>74</v>
      </c>
      <c r="R1699" t="s">
        <v>74</v>
      </c>
      <c r="S1699" t="s">
        <v>74</v>
      </c>
      <c r="T1699" t="s">
        <v>13511</v>
      </c>
      <c r="U1699" t="s">
        <v>13512</v>
      </c>
      <c r="V1699" t="s">
        <v>13513</v>
      </c>
      <c r="W1699" t="s">
        <v>13514</v>
      </c>
      <c r="X1699" t="s">
        <v>5738</v>
      </c>
      <c r="Y1699" t="s">
        <v>13515</v>
      </c>
      <c r="Z1699" t="s">
        <v>5740</v>
      </c>
      <c r="AA1699" t="s">
        <v>5741</v>
      </c>
      <c r="AB1699" t="s">
        <v>13516</v>
      </c>
      <c r="AC1699" t="s">
        <v>74</v>
      </c>
      <c r="AD1699" t="s">
        <v>74</v>
      </c>
      <c r="AE1699" t="s">
        <v>74</v>
      </c>
      <c r="AF1699" t="s">
        <v>74</v>
      </c>
      <c r="AG1699">
        <v>55</v>
      </c>
      <c r="AH1699">
        <v>2</v>
      </c>
      <c r="AI1699">
        <v>2</v>
      </c>
      <c r="AJ1699">
        <v>9</v>
      </c>
      <c r="AK1699">
        <v>9</v>
      </c>
      <c r="AL1699" t="s">
        <v>74</v>
      </c>
      <c r="AM1699" t="s">
        <v>74</v>
      </c>
      <c r="AN1699" t="s">
        <v>74</v>
      </c>
      <c r="AO1699" t="s">
        <v>13517</v>
      </c>
      <c r="AP1699" t="s">
        <v>13518</v>
      </c>
      <c r="AQ1699" t="s">
        <v>74</v>
      </c>
      <c r="AR1699" t="s">
        <v>74</v>
      </c>
      <c r="AS1699" t="s">
        <v>74</v>
      </c>
      <c r="AT1699" t="s">
        <v>9418</v>
      </c>
      <c r="AU1699">
        <v>2022</v>
      </c>
      <c r="AV1699">
        <v>152</v>
      </c>
      <c r="AW1699">
        <v>4</v>
      </c>
      <c r="AX1699" t="s">
        <v>74</v>
      </c>
      <c r="AY1699" t="s">
        <v>74</v>
      </c>
      <c r="AZ1699" t="s">
        <v>74</v>
      </c>
      <c r="BA1699" t="s">
        <v>74</v>
      </c>
      <c r="BB1699">
        <v>961</v>
      </c>
      <c r="BC1699">
        <v>970</v>
      </c>
      <c r="BD1699" t="s">
        <v>74</v>
      </c>
      <c r="BE1699" t="s">
        <v>13519</v>
      </c>
      <c r="BF1699" t="str">
        <f>HYPERLINK("http://dx.doi.org/10.1093/jn/nxab452","http://dx.doi.org/10.1093/jn/nxab452")</f>
        <v>http://dx.doi.org/10.1093/jn/nxab452</v>
      </c>
      <c r="BG1699" t="s">
        <v>74</v>
      </c>
      <c r="BH1699" t="s">
        <v>5553</v>
      </c>
      <c r="BI1699" t="s">
        <v>74</v>
      </c>
      <c r="BJ1699" t="s">
        <v>8849</v>
      </c>
      <c r="BK1699" t="s">
        <v>117</v>
      </c>
      <c r="BL1699" t="s">
        <v>8849</v>
      </c>
      <c r="BM1699" t="s">
        <v>74</v>
      </c>
      <c r="BN1699">
        <v>34982830</v>
      </c>
      <c r="BO1699" t="s">
        <v>74</v>
      </c>
      <c r="BP1699" t="s">
        <v>74</v>
      </c>
      <c r="BQ1699" t="s">
        <v>74</v>
      </c>
      <c r="BR1699" t="s">
        <v>96</v>
      </c>
      <c r="BS1699" t="s">
        <v>13520</v>
      </c>
      <c r="BT1699" t="str">
        <f>HYPERLINK("https%3A%2F%2Fwww.webofscience.com%2Fwos%2Fwoscc%2Ffull-record%2FWOS:000767411100001","View Full Record in Web of Science")</f>
        <v>View Full Record in Web of Science</v>
      </c>
    </row>
    <row r="1700" spans="1:72" x14ac:dyDescent="0.15">
      <c r="A1700" t="s">
        <v>98</v>
      </c>
      <c r="B1700" t="s">
        <v>13694</v>
      </c>
      <c r="C1700" t="s">
        <v>74</v>
      </c>
      <c r="D1700" t="s">
        <v>74</v>
      </c>
      <c r="E1700" t="s">
        <v>74</v>
      </c>
      <c r="F1700" t="s">
        <v>13695</v>
      </c>
      <c r="G1700" t="s">
        <v>74</v>
      </c>
      <c r="H1700" t="s">
        <v>74</v>
      </c>
      <c r="I1700" t="s">
        <v>13696</v>
      </c>
      <c r="J1700" t="s">
        <v>13697</v>
      </c>
      <c r="K1700" t="s">
        <v>74</v>
      </c>
      <c r="L1700" t="s">
        <v>74</v>
      </c>
      <c r="M1700" t="s">
        <v>74</v>
      </c>
      <c r="N1700" t="s">
        <v>103</v>
      </c>
      <c r="O1700" t="s">
        <v>74</v>
      </c>
      <c r="P1700" t="s">
        <v>74</v>
      </c>
      <c r="Q1700" t="s">
        <v>74</v>
      </c>
      <c r="R1700" t="s">
        <v>74</v>
      </c>
      <c r="S1700" t="s">
        <v>74</v>
      </c>
      <c r="T1700" t="s">
        <v>13698</v>
      </c>
      <c r="U1700" t="s">
        <v>13699</v>
      </c>
      <c r="V1700" t="s">
        <v>13700</v>
      </c>
      <c r="W1700" t="s">
        <v>13701</v>
      </c>
      <c r="X1700" t="s">
        <v>13702</v>
      </c>
      <c r="Y1700" t="s">
        <v>13703</v>
      </c>
      <c r="Z1700" t="s">
        <v>13704</v>
      </c>
      <c r="AA1700" t="s">
        <v>13705</v>
      </c>
      <c r="AB1700" t="s">
        <v>13706</v>
      </c>
      <c r="AC1700" t="s">
        <v>74</v>
      </c>
      <c r="AD1700" t="s">
        <v>74</v>
      </c>
      <c r="AE1700" t="s">
        <v>74</v>
      </c>
      <c r="AF1700" t="s">
        <v>74</v>
      </c>
      <c r="AG1700">
        <v>63</v>
      </c>
      <c r="AH1700">
        <v>2</v>
      </c>
      <c r="AI1700">
        <v>2</v>
      </c>
      <c r="AJ1700">
        <v>9</v>
      </c>
      <c r="AK1700">
        <v>12</v>
      </c>
      <c r="AL1700" t="s">
        <v>74</v>
      </c>
      <c r="AM1700" t="s">
        <v>74</v>
      </c>
      <c r="AN1700" t="s">
        <v>74</v>
      </c>
      <c r="AO1700" t="s">
        <v>13707</v>
      </c>
      <c r="AP1700" t="s">
        <v>13708</v>
      </c>
      <c r="AQ1700" t="s">
        <v>74</v>
      </c>
      <c r="AR1700" t="s">
        <v>74</v>
      </c>
      <c r="AS1700" t="s">
        <v>74</v>
      </c>
      <c r="AT1700" t="s">
        <v>132</v>
      </c>
      <c r="AU1700">
        <v>2022</v>
      </c>
      <c r="AV1700">
        <v>17</v>
      </c>
      <c r="AW1700">
        <v>4</v>
      </c>
      <c r="AX1700" t="s">
        <v>74</v>
      </c>
      <c r="AY1700" t="s">
        <v>74</v>
      </c>
      <c r="AZ1700" t="s">
        <v>74</v>
      </c>
      <c r="BA1700" t="s">
        <v>74</v>
      </c>
      <c r="BB1700" t="s">
        <v>74</v>
      </c>
      <c r="BC1700" t="s">
        <v>74</v>
      </c>
      <c r="BD1700" t="s">
        <v>13709</v>
      </c>
      <c r="BE1700" t="s">
        <v>13710</v>
      </c>
      <c r="BF1700" t="str">
        <f>HYPERLINK("http://dx.doi.org/10.1002/biot.202100401","http://dx.doi.org/10.1002/biot.202100401")</f>
        <v>http://dx.doi.org/10.1002/biot.202100401</v>
      </c>
      <c r="BG1700" t="s">
        <v>74</v>
      </c>
      <c r="BH1700" t="s">
        <v>5553</v>
      </c>
      <c r="BI1700" t="s">
        <v>74</v>
      </c>
      <c r="BJ1700" t="s">
        <v>13711</v>
      </c>
      <c r="BK1700" t="s">
        <v>117</v>
      </c>
      <c r="BL1700" t="s">
        <v>3175</v>
      </c>
      <c r="BM1700" t="s">
        <v>74</v>
      </c>
      <c r="BN1700">
        <v>34921593</v>
      </c>
      <c r="BO1700" t="s">
        <v>74</v>
      </c>
      <c r="BP1700" t="s">
        <v>74</v>
      </c>
      <c r="BQ1700" t="s">
        <v>74</v>
      </c>
      <c r="BR1700" t="s">
        <v>96</v>
      </c>
      <c r="BS1700" t="s">
        <v>13712</v>
      </c>
      <c r="BT1700" t="str">
        <f>HYPERLINK("https%3A%2F%2Fwww.webofscience.com%2Fwos%2Fwoscc%2Ffull-record%2FWOS:000743097400001","View Full Record in Web of Science")</f>
        <v>View Full Record in Web of Science</v>
      </c>
    </row>
    <row r="1701" spans="1:72" x14ac:dyDescent="0.15">
      <c r="A1701" t="s">
        <v>98</v>
      </c>
      <c r="B1701" t="s">
        <v>14034</v>
      </c>
      <c r="C1701" t="s">
        <v>74</v>
      </c>
      <c r="D1701" t="s">
        <v>74</v>
      </c>
      <c r="E1701" t="s">
        <v>74</v>
      </c>
      <c r="F1701" t="s">
        <v>14035</v>
      </c>
      <c r="G1701" t="s">
        <v>74</v>
      </c>
      <c r="H1701" t="s">
        <v>74</v>
      </c>
      <c r="I1701" t="s">
        <v>14036</v>
      </c>
      <c r="J1701" t="s">
        <v>6853</v>
      </c>
      <c r="K1701" t="s">
        <v>74</v>
      </c>
      <c r="L1701" t="s">
        <v>74</v>
      </c>
      <c r="M1701" t="s">
        <v>74</v>
      </c>
      <c r="N1701" t="s">
        <v>103</v>
      </c>
      <c r="O1701" t="s">
        <v>74</v>
      </c>
      <c r="P1701" t="s">
        <v>74</v>
      </c>
      <c r="Q1701" t="s">
        <v>74</v>
      </c>
      <c r="R1701" t="s">
        <v>74</v>
      </c>
      <c r="S1701" t="s">
        <v>74</v>
      </c>
      <c r="T1701" t="s">
        <v>74</v>
      </c>
      <c r="U1701" t="s">
        <v>14037</v>
      </c>
      <c r="V1701" t="s">
        <v>14038</v>
      </c>
      <c r="W1701" t="s">
        <v>14039</v>
      </c>
      <c r="X1701" t="s">
        <v>14040</v>
      </c>
      <c r="Y1701" t="s">
        <v>14041</v>
      </c>
      <c r="Z1701" t="s">
        <v>14042</v>
      </c>
      <c r="AA1701" t="s">
        <v>74</v>
      </c>
      <c r="AB1701" t="s">
        <v>14043</v>
      </c>
      <c r="AC1701" t="s">
        <v>74</v>
      </c>
      <c r="AD1701" t="s">
        <v>74</v>
      </c>
      <c r="AE1701" t="s">
        <v>74</v>
      </c>
      <c r="AF1701" t="s">
        <v>74</v>
      </c>
      <c r="AG1701">
        <v>75</v>
      </c>
      <c r="AH1701">
        <v>2</v>
      </c>
      <c r="AI1701">
        <v>2</v>
      </c>
      <c r="AJ1701">
        <v>0</v>
      </c>
      <c r="AK1701">
        <v>1</v>
      </c>
      <c r="AL1701" t="s">
        <v>74</v>
      </c>
      <c r="AM1701" t="s">
        <v>74</v>
      </c>
      <c r="AN1701" t="s">
        <v>74</v>
      </c>
      <c r="AO1701" t="s">
        <v>6861</v>
      </c>
      <c r="AP1701" t="s">
        <v>6862</v>
      </c>
      <c r="AQ1701" t="s">
        <v>74</v>
      </c>
      <c r="AR1701" t="s">
        <v>74</v>
      </c>
      <c r="AS1701" t="s">
        <v>74</v>
      </c>
      <c r="AT1701" t="s">
        <v>211</v>
      </c>
      <c r="AU1701">
        <v>2020</v>
      </c>
      <c r="AV1701">
        <v>134</v>
      </c>
      <c r="AW1701">
        <v>22</v>
      </c>
      <c r="AX1701" t="s">
        <v>74</v>
      </c>
      <c r="AY1701" t="s">
        <v>74</v>
      </c>
      <c r="AZ1701" t="s">
        <v>74</v>
      </c>
      <c r="BA1701" t="s">
        <v>74</v>
      </c>
      <c r="BB1701">
        <v>2977</v>
      </c>
      <c r="BC1701">
        <v>2986</v>
      </c>
      <c r="BD1701" t="s">
        <v>74</v>
      </c>
      <c r="BE1701" t="s">
        <v>14044</v>
      </c>
      <c r="BF1701" t="str">
        <f>HYPERLINK("http://dx.doi.org/10.1042/CS20200892","http://dx.doi.org/10.1042/CS20200892")</f>
        <v>http://dx.doi.org/10.1042/CS20200892</v>
      </c>
      <c r="BG1701" t="s">
        <v>74</v>
      </c>
      <c r="BH1701" t="s">
        <v>74</v>
      </c>
      <c r="BI1701" t="s">
        <v>74</v>
      </c>
      <c r="BJ1701" t="s">
        <v>795</v>
      </c>
      <c r="BK1701" t="s">
        <v>117</v>
      </c>
      <c r="BL1701" t="s">
        <v>796</v>
      </c>
      <c r="BM1701" t="s">
        <v>74</v>
      </c>
      <c r="BN1701">
        <v>33210708</v>
      </c>
      <c r="BO1701" t="s">
        <v>74</v>
      </c>
      <c r="BP1701" t="s">
        <v>74</v>
      </c>
      <c r="BQ1701" t="s">
        <v>74</v>
      </c>
      <c r="BR1701" t="s">
        <v>96</v>
      </c>
      <c r="BS1701" t="s">
        <v>14045</v>
      </c>
      <c r="BT1701" t="str">
        <f>HYPERLINK("https%3A%2F%2Fwww.webofscience.com%2Fwos%2Fwoscc%2Ffull-record%2FWOS:000625344200001","View Full Record in Web of Science")</f>
        <v>View Full Record in Web of Science</v>
      </c>
    </row>
    <row r="1702" spans="1:72" x14ac:dyDescent="0.15">
      <c r="A1702" t="s">
        <v>98</v>
      </c>
      <c r="B1702" t="s">
        <v>15264</v>
      </c>
      <c r="C1702" t="s">
        <v>74</v>
      </c>
      <c r="D1702" t="s">
        <v>74</v>
      </c>
      <c r="E1702" t="s">
        <v>74</v>
      </c>
      <c r="F1702" t="s">
        <v>15265</v>
      </c>
      <c r="G1702" t="s">
        <v>74</v>
      </c>
      <c r="H1702" t="s">
        <v>74</v>
      </c>
      <c r="I1702" t="s">
        <v>15266</v>
      </c>
      <c r="J1702" t="s">
        <v>325</v>
      </c>
      <c r="K1702" t="s">
        <v>74</v>
      </c>
      <c r="L1702" t="s">
        <v>74</v>
      </c>
      <c r="M1702" t="s">
        <v>74</v>
      </c>
      <c r="N1702" t="s">
        <v>103</v>
      </c>
      <c r="O1702" t="s">
        <v>74</v>
      </c>
      <c r="P1702" t="s">
        <v>74</v>
      </c>
      <c r="Q1702" t="s">
        <v>74</v>
      </c>
      <c r="R1702" t="s">
        <v>74</v>
      </c>
      <c r="S1702" t="s">
        <v>74</v>
      </c>
      <c r="T1702" t="s">
        <v>15267</v>
      </c>
      <c r="U1702" t="s">
        <v>15268</v>
      </c>
      <c r="V1702" t="s">
        <v>15269</v>
      </c>
      <c r="W1702" t="s">
        <v>15270</v>
      </c>
      <c r="X1702" t="s">
        <v>15271</v>
      </c>
      <c r="Y1702" t="s">
        <v>15272</v>
      </c>
      <c r="Z1702" t="s">
        <v>15273</v>
      </c>
      <c r="AA1702" t="s">
        <v>74</v>
      </c>
      <c r="AB1702" t="s">
        <v>74</v>
      </c>
      <c r="AC1702" t="s">
        <v>74</v>
      </c>
      <c r="AD1702" t="s">
        <v>74</v>
      </c>
      <c r="AE1702" t="s">
        <v>74</v>
      </c>
      <c r="AF1702" t="s">
        <v>74</v>
      </c>
      <c r="AG1702">
        <v>62</v>
      </c>
      <c r="AH1702">
        <v>2</v>
      </c>
      <c r="AI1702">
        <v>2</v>
      </c>
      <c r="AJ1702">
        <v>1</v>
      </c>
      <c r="AK1702">
        <v>9</v>
      </c>
      <c r="AL1702" t="s">
        <v>74</v>
      </c>
      <c r="AM1702" t="s">
        <v>74</v>
      </c>
      <c r="AN1702" t="s">
        <v>74</v>
      </c>
      <c r="AO1702" t="s">
        <v>333</v>
      </c>
      <c r="AP1702" t="s">
        <v>334</v>
      </c>
      <c r="AQ1702" t="s">
        <v>74</v>
      </c>
      <c r="AR1702" t="s">
        <v>74</v>
      </c>
      <c r="AS1702" t="s">
        <v>74</v>
      </c>
      <c r="AT1702" t="s">
        <v>319</v>
      </c>
      <c r="AU1702">
        <v>2020</v>
      </c>
      <c r="AV1702">
        <v>39</v>
      </c>
      <c r="AW1702">
        <v>12</v>
      </c>
      <c r="AX1702" t="s">
        <v>74</v>
      </c>
      <c r="AY1702" t="s">
        <v>74</v>
      </c>
      <c r="AZ1702" t="s">
        <v>74</v>
      </c>
      <c r="BA1702" t="s">
        <v>74</v>
      </c>
      <c r="BB1702">
        <v>2143</v>
      </c>
      <c r="BC1702">
        <v>2153</v>
      </c>
      <c r="BD1702" t="s">
        <v>74</v>
      </c>
      <c r="BE1702" t="s">
        <v>15274</v>
      </c>
      <c r="BF1702" t="str">
        <f>HYPERLINK("http://dx.doi.org/10.1089/dna.2020.5931","http://dx.doi.org/10.1089/dna.2020.5931")</f>
        <v>http://dx.doi.org/10.1089/dna.2020.5931</v>
      </c>
      <c r="BG1702" t="s">
        <v>74</v>
      </c>
      <c r="BH1702" t="s">
        <v>973</v>
      </c>
      <c r="BI1702" t="s">
        <v>74</v>
      </c>
      <c r="BJ1702" t="s">
        <v>338</v>
      </c>
      <c r="BK1702" t="s">
        <v>117</v>
      </c>
      <c r="BL1702" t="s">
        <v>338</v>
      </c>
      <c r="BM1702" t="s">
        <v>74</v>
      </c>
      <c r="BN1702">
        <v>33064572</v>
      </c>
      <c r="BO1702" t="s">
        <v>74</v>
      </c>
      <c r="BP1702" t="s">
        <v>74</v>
      </c>
      <c r="BQ1702" t="s">
        <v>74</v>
      </c>
      <c r="BR1702" t="s">
        <v>96</v>
      </c>
      <c r="BS1702" t="s">
        <v>15275</v>
      </c>
      <c r="BT1702" t="str">
        <f>HYPERLINK("https%3A%2F%2Fwww.webofscience.com%2Fwos%2Fwoscc%2Ffull-record%2FWOS:000581176100001","View Full Record in Web of Science")</f>
        <v>View Full Record in Web of Science</v>
      </c>
    </row>
    <row r="1703" spans="1:72" x14ac:dyDescent="0.15">
      <c r="A1703" t="s">
        <v>98</v>
      </c>
      <c r="B1703" t="s">
        <v>16248</v>
      </c>
      <c r="C1703" t="s">
        <v>74</v>
      </c>
      <c r="D1703" t="s">
        <v>74</v>
      </c>
      <c r="E1703" t="s">
        <v>74</v>
      </c>
      <c r="F1703" t="s">
        <v>16249</v>
      </c>
      <c r="G1703" t="s">
        <v>74</v>
      </c>
      <c r="H1703" t="s">
        <v>74</v>
      </c>
      <c r="I1703" t="s">
        <v>16250</v>
      </c>
      <c r="J1703" t="s">
        <v>16251</v>
      </c>
      <c r="K1703" t="s">
        <v>74</v>
      </c>
      <c r="L1703" t="s">
        <v>74</v>
      </c>
      <c r="M1703" t="s">
        <v>74</v>
      </c>
      <c r="N1703" t="s">
        <v>103</v>
      </c>
      <c r="O1703" t="s">
        <v>74</v>
      </c>
      <c r="P1703" t="s">
        <v>74</v>
      </c>
      <c r="Q1703" t="s">
        <v>74</v>
      </c>
      <c r="R1703" t="s">
        <v>74</v>
      </c>
      <c r="S1703" t="s">
        <v>74</v>
      </c>
      <c r="T1703" t="s">
        <v>74</v>
      </c>
      <c r="U1703" t="s">
        <v>16252</v>
      </c>
      <c r="V1703" t="s">
        <v>16253</v>
      </c>
      <c r="W1703" t="s">
        <v>16254</v>
      </c>
      <c r="X1703" t="s">
        <v>16255</v>
      </c>
      <c r="Y1703" t="s">
        <v>16256</v>
      </c>
      <c r="Z1703" t="s">
        <v>16257</v>
      </c>
      <c r="AA1703" t="s">
        <v>74</v>
      </c>
      <c r="AB1703" t="s">
        <v>16258</v>
      </c>
      <c r="AC1703" t="s">
        <v>74</v>
      </c>
      <c r="AD1703" t="s">
        <v>74</v>
      </c>
      <c r="AE1703" t="s">
        <v>74</v>
      </c>
      <c r="AF1703" t="s">
        <v>74</v>
      </c>
      <c r="AG1703">
        <v>65</v>
      </c>
      <c r="AH1703">
        <v>2</v>
      </c>
      <c r="AI1703">
        <v>2</v>
      </c>
      <c r="AJ1703">
        <v>5</v>
      </c>
      <c r="AK1703">
        <v>8</v>
      </c>
      <c r="AL1703" t="s">
        <v>74</v>
      </c>
      <c r="AM1703" t="s">
        <v>74</v>
      </c>
      <c r="AN1703" t="s">
        <v>74</v>
      </c>
      <c r="AO1703" t="s">
        <v>74</v>
      </c>
      <c r="AP1703" t="s">
        <v>16259</v>
      </c>
      <c r="AQ1703" t="s">
        <v>74</v>
      </c>
      <c r="AR1703" t="s">
        <v>74</v>
      </c>
      <c r="AS1703" t="s">
        <v>74</v>
      </c>
      <c r="AT1703" t="s">
        <v>4343</v>
      </c>
      <c r="AU1703">
        <v>2021</v>
      </c>
      <c r="AV1703">
        <v>6</v>
      </c>
      <c r="AW1703">
        <v>1</v>
      </c>
      <c r="AX1703" t="s">
        <v>74</v>
      </c>
      <c r="AY1703" t="s">
        <v>74</v>
      </c>
      <c r="AZ1703" t="s">
        <v>74</v>
      </c>
      <c r="BA1703" t="s">
        <v>74</v>
      </c>
      <c r="BB1703" t="s">
        <v>74</v>
      </c>
      <c r="BC1703" t="s">
        <v>74</v>
      </c>
      <c r="BD1703">
        <v>48</v>
      </c>
      <c r="BE1703" t="s">
        <v>16260</v>
      </c>
      <c r="BF1703" t="str">
        <f>HYPERLINK("http://dx.doi.org/10.1038/s41525-021-00217-5","http://dx.doi.org/10.1038/s41525-021-00217-5")</f>
        <v>http://dx.doi.org/10.1038/s41525-021-00217-5</v>
      </c>
      <c r="BG1703" t="s">
        <v>74</v>
      </c>
      <c r="BH1703" t="s">
        <v>74</v>
      </c>
      <c r="BI1703" t="s">
        <v>74</v>
      </c>
      <c r="BJ1703" t="s">
        <v>285</v>
      </c>
      <c r="BK1703" t="s">
        <v>117</v>
      </c>
      <c r="BL1703" t="s">
        <v>285</v>
      </c>
      <c r="BM1703" t="s">
        <v>74</v>
      </c>
      <c r="BN1703">
        <v>34127680</v>
      </c>
      <c r="BO1703" t="s">
        <v>74</v>
      </c>
      <c r="BP1703" t="s">
        <v>74</v>
      </c>
      <c r="BQ1703" t="s">
        <v>74</v>
      </c>
      <c r="BR1703" t="s">
        <v>96</v>
      </c>
      <c r="BS1703" t="s">
        <v>16261</v>
      </c>
      <c r="BT1703" t="str">
        <f>HYPERLINK("https%3A%2F%2Fwww.webofscience.com%2Fwos%2Fwoscc%2Ffull-record%2FWOS:000664119500002","View Full Record in Web of Science")</f>
        <v>View Full Record in Web of Science</v>
      </c>
    </row>
    <row r="1704" spans="1:72" x14ac:dyDescent="0.15">
      <c r="A1704" t="s">
        <v>98</v>
      </c>
      <c r="B1704" t="s">
        <v>16324</v>
      </c>
      <c r="C1704" t="s">
        <v>74</v>
      </c>
      <c r="D1704" t="s">
        <v>74</v>
      </c>
      <c r="E1704" t="s">
        <v>74</v>
      </c>
      <c r="F1704" t="s">
        <v>16325</v>
      </c>
      <c r="G1704" t="s">
        <v>74</v>
      </c>
      <c r="H1704" t="s">
        <v>74</v>
      </c>
      <c r="I1704" t="s">
        <v>16326</v>
      </c>
      <c r="J1704" t="s">
        <v>11811</v>
      </c>
      <c r="K1704" t="s">
        <v>74</v>
      </c>
      <c r="L1704" t="s">
        <v>74</v>
      </c>
      <c r="M1704" t="s">
        <v>74</v>
      </c>
      <c r="N1704" t="s">
        <v>103</v>
      </c>
      <c r="O1704" t="s">
        <v>74</v>
      </c>
      <c r="P1704" t="s">
        <v>74</v>
      </c>
      <c r="Q1704" t="s">
        <v>74</v>
      </c>
      <c r="R1704" t="s">
        <v>74</v>
      </c>
      <c r="S1704" t="s">
        <v>74</v>
      </c>
      <c r="T1704" t="s">
        <v>74</v>
      </c>
      <c r="U1704" t="s">
        <v>16327</v>
      </c>
      <c r="V1704" t="s">
        <v>16328</v>
      </c>
      <c r="W1704" t="s">
        <v>16329</v>
      </c>
      <c r="X1704" t="s">
        <v>16330</v>
      </c>
      <c r="Y1704" t="s">
        <v>16331</v>
      </c>
      <c r="Z1704" t="s">
        <v>16332</v>
      </c>
      <c r="AA1704" t="s">
        <v>16333</v>
      </c>
      <c r="AB1704" t="s">
        <v>16334</v>
      </c>
      <c r="AC1704" t="s">
        <v>74</v>
      </c>
      <c r="AD1704" t="s">
        <v>74</v>
      </c>
      <c r="AE1704" t="s">
        <v>74</v>
      </c>
      <c r="AF1704" t="s">
        <v>74</v>
      </c>
      <c r="AG1704">
        <v>31</v>
      </c>
      <c r="AH1704">
        <v>2</v>
      </c>
      <c r="AI1704">
        <v>2</v>
      </c>
      <c r="AJ1704">
        <v>1</v>
      </c>
      <c r="AK1704">
        <v>5</v>
      </c>
      <c r="AL1704" t="s">
        <v>74</v>
      </c>
      <c r="AM1704" t="s">
        <v>74</v>
      </c>
      <c r="AN1704" t="s">
        <v>74</v>
      </c>
      <c r="AO1704" t="s">
        <v>11820</v>
      </c>
      <c r="AP1704" t="s">
        <v>74</v>
      </c>
      <c r="AQ1704" t="s">
        <v>74</v>
      </c>
      <c r="AR1704" t="s">
        <v>74</v>
      </c>
      <c r="AS1704" t="s">
        <v>74</v>
      </c>
      <c r="AT1704" t="s">
        <v>16335</v>
      </c>
      <c r="AU1704">
        <v>2021</v>
      </c>
      <c r="AV1704">
        <v>12</v>
      </c>
      <c r="AW1704">
        <v>4</v>
      </c>
      <c r="AX1704" t="s">
        <v>74</v>
      </c>
      <c r="AY1704" t="s">
        <v>74</v>
      </c>
      <c r="AZ1704" t="s">
        <v>74</v>
      </c>
      <c r="BA1704" t="s">
        <v>74</v>
      </c>
      <c r="BB1704" t="s">
        <v>74</v>
      </c>
      <c r="BC1704" t="s">
        <v>74</v>
      </c>
      <c r="BD1704">
        <v>322</v>
      </c>
      <c r="BE1704" t="s">
        <v>16336</v>
      </c>
      <c r="BF1704" t="str">
        <f>HYPERLINK("http://dx.doi.org/10.1038/s41419-021-03587-x","http://dx.doi.org/10.1038/s41419-021-03587-x")</f>
        <v>http://dx.doi.org/10.1038/s41419-021-03587-x</v>
      </c>
      <c r="BG1704" t="s">
        <v>74</v>
      </c>
      <c r="BH1704" t="s">
        <v>74</v>
      </c>
      <c r="BI1704" t="s">
        <v>74</v>
      </c>
      <c r="BJ1704" t="s">
        <v>135</v>
      </c>
      <c r="BK1704" t="s">
        <v>117</v>
      </c>
      <c r="BL1704" t="s">
        <v>135</v>
      </c>
      <c r="BM1704" t="s">
        <v>74</v>
      </c>
      <c r="BN1704">
        <v>33771977</v>
      </c>
      <c r="BO1704" t="s">
        <v>74</v>
      </c>
      <c r="BP1704" t="s">
        <v>74</v>
      </c>
      <c r="BQ1704" t="s">
        <v>74</v>
      </c>
      <c r="BR1704" t="s">
        <v>96</v>
      </c>
      <c r="BS1704" t="s">
        <v>16337</v>
      </c>
      <c r="BT1704" t="str">
        <f>HYPERLINK("https%3A%2F%2Fwww.webofscience.com%2Fwos%2Fwoscc%2Ffull-record%2FWOS:000681173200001","View Full Record in Web of Science")</f>
        <v>View Full Record in Web of Science</v>
      </c>
    </row>
    <row r="1705" spans="1:72" x14ac:dyDescent="0.15">
      <c r="A1705" t="s">
        <v>98</v>
      </c>
      <c r="B1705" t="s">
        <v>16338</v>
      </c>
      <c r="C1705" t="s">
        <v>74</v>
      </c>
      <c r="D1705" t="s">
        <v>74</v>
      </c>
      <c r="E1705" t="s">
        <v>74</v>
      </c>
      <c r="F1705" t="s">
        <v>16339</v>
      </c>
      <c r="G1705" t="s">
        <v>74</v>
      </c>
      <c r="H1705" t="s">
        <v>74</v>
      </c>
      <c r="I1705" t="s">
        <v>16340</v>
      </c>
      <c r="J1705" t="s">
        <v>16341</v>
      </c>
      <c r="K1705" t="s">
        <v>74</v>
      </c>
      <c r="L1705" t="s">
        <v>74</v>
      </c>
      <c r="M1705" t="s">
        <v>74</v>
      </c>
      <c r="N1705" t="s">
        <v>103</v>
      </c>
      <c r="O1705" t="s">
        <v>74</v>
      </c>
      <c r="P1705" t="s">
        <v>74</v>
      </c>
      <c r="Q1705" t="s">
        <v>74</v>
      </c>
      <c r="R1705" t="s">
        <v>74</v>
      </c>
      <c r="S1705" t="s">
        <v>74</v>
      </c>
      <c r="T1705" t="s">
        <v>16342</v>
      </c>
      <c r="U1705" t="s">
        <v>16343</v>
      </c>
      <c r="V1705" t="s">
        <v>16344</v>
      </c>
      <c r="W1705" t="s">
        <v>16345</v>
      </c>
      <c r="X1705" t="s">
        <v>16346</v>
      </c>
      <c r="Y1705" t="s">
        <v>16347</v>
      </c>
      <c r="Z1705" t="s">
        <v>16348</v>
      </c>
      <c r="AA1705" t="s">
        <v>16349</v>
      </c>
      <c r="AB1705" t="s">
        <v>16350</v>
      </c>
      <c r="AC1705" t="s">
        <v>74</v>
      </c>
      <c r="AD1705" t="s">
        <v>74</v>
      </c>
      <c r="AE1705" t="s">
        <v>74</v>
      </c>
      <c r="AF1705" t="s">
        <v>74</v>
      </c>
      <c r="AG1705">
        <v>42</v>
      </c>
      <c r="AH1705">
        <v>2</v>
      </c>
      <c r="AI1705">
        <v>2</v>
      </c>
      <c r="AJ1705">
        <v>0</v>
      </c>
      <c r="AK1705">
        <v>0</v>
      </c>
      <c r="AL1705" t="s">
        <v>74</v>
      </c>
      <c r="AM1705" t="s">
        <v>74</v>
      </c>
      <c r="AN1705" t="s">
        <v>74</v>
      </c>
      <c r="AO1705" t="s">
        <v>16351</v>
      </c>
      <c r="AP1705" t="s">
        <v>74</v>
      </c>
      <c r="AQ1705" t="s">
        <v>74</v>
      </c>
      <c r="AR1705" t="s">
        <v>74</v>
      </c>
      <c r="AS1705" t="s">
        <v>74</v>
      </c>
      <c r="AT1705" t="s">
        <v>132</v>
      </c>
      <c r="AU1705">
        <v>2017</v>
      </c>
      <c r="AV1705">
        <v>4</v>
      </c>
      <c r="AW1705">
        <v>4</v>
      </c>
      <c r="AX1705" t="s">
        <v>74</v>
      </c>
      <c r="AY1705" t="s">
        <v>74</v>
      </c>
      <c r="AZ1705" t="s">
        <v>74</v>
      </c>
      <c r="BA1705" t="s">
        <v>74</v>
      </c>
      <c r="BB1705" t="s">
        <v>74</v>
      </c>
      <c r="BC1705" t="s">
        <v>74</v>
      </c>
      <c r="BD1705">
        <v>170162</v>
      </c>
      <c r="BE1705" t="s">
        <v>16352</v>
      </c>
      <c r="BF1705" t="str">
        <f>HYPERLINK("http://dx.doi.org/10.1098/rsos.170162","http://dx.doi.org/10.1098/rsos.170162")</f>
        <v>http://dx.doi.org/10.1098/rsos.170162</v>
      </c>
      <c r="BG1705" t="s">
        <v>74</v>
      </c>
      <c r="BH1705" t="s">
        <v>74</v>
      </c>
      <c r="BI1705" t="s">
        <v>74</v>
      </c>
      <c r="BJ1705" t="s">
        <v>152</v>
      </c>
      <c r="BK1705" t="s">
        <v>117</v>
      </c>
      <c r="BL1705" t="s">
        <v>153</v>
      </c>
      <c r="BM1705" t="s">
        <v>74</v>
      </c>
      <c r="BN1705">
        <v>28484642</v>
      </c>
      <c r="BO1705" t="s">
        <v>74</v>
      </c>
      <c r="BP1705" t="s">
        <v>74</v>
      </c>
      <c r="BQ1705" t="s">
        <v>74</v>
      </c>
      <c r="BR1705" t="s">
        <v>96</v>
      </c>
      <c r="BS1705" t="s">
        <v>16353</v>
      </c>
      <c r="BT1705" t="str">
        <f>HYPERLINK("https%3A%2F%2Fwww.webofscience.com%2Fwos%2Fwoscc%2Ffull-record%2FWOS:000400527200042","View Full Record in Web of Science")</f>
        <v>View Full Record in Web of Science</v>
      </c>
    </row>
    <row r="1706" spans="1:72" x14ac:dyDescent="0.15">
      <c r="A1706" t="s">
        <v>98</v>
      </c>
      <c r="B1706" t="s">
        <v>17937</v>
      </c>
      <c r="C1706" t="s">
        <v>74</v>
      </c>
      <c r="D1706" t="s">
        <v>74</v>
      </c>
      <c r="E1706" t="s">
        <v>74</v>
      </c>
      <c r="F1706" t="s">
        <v>17938</v>
      </c>
      <c r="G1706" t="s">
        <v>74</v>
      </c>
      <c r="H1706" t="s">
        <v>74</v>
      </c>
      <c r="I1706" t="s">
        <v>17939</v>
      </c>
      <c r="J1706" t="s">
        <v>7572</v>
      </c>
      <c r="K1706" t="s">
        <v>74</v>
      </c>
      <c r="L1706" t="s">
        <v>74</v>
      </c>
      <c r="M1706" t="s">
        <v>74</v>
      </c>
      <c r="N1706" t="s">
        <v>103</v>
      </c>
      <c r="O1706" t="s">
        <v>74</v>
      </c>
      <c r="P1706" t="s">
        <v>74</v>
      </c>
      <c r="Q1706" t="s">
        <v>74</v>
      </c>
      <c r="R1706" t="s">
        <v>74</v>
      </c>
      <c r="S1706" t="s">
        <v>74</v>
      </c>
      <c r="T1706" t="s">
        <v>74</v>
      </c>
      <c r="U1706" t="s">
        <v>17940</v>
      </c>
      <c r="V1706" t="s">
        <v>17941</v>
      </c>
      <c r="W1706" t="s">
        <v>17942</v>
      </c>
      <c r="X1706" t="s">
        <v>17943</v>
      </c>
      <c r="Y1706" t="s">
        <v>17944</v>
      </c>
      <c r="Z1706" t="s">
        <v>17945</v>
      </c>
      <c r="AA1706" t="s">
        <v>17946</v>
      </c>
      <c r="AB1706" t="s">
        <v>17947</v>
      </c>
      <c r="AC1706" t="s">
        <v>74</v>
      </c>
      <c r="AD1706" t="s">
        <v>74</v>
      </c>
      <c r="AE1706" t="s">
        <v>74</v>
      </c>
      <c r="AF1706" t="s">
        <v>74</v>
      </c>
      <c r="AG1706">
        <v>84</v>
      </c>
      <c r="AH1706">
        <v>2</v>
      </c>
      <c r="AI1706">
        <v>2</v>
      </c>
      <c r="AJ1706">
        <v>0</v>
      </c>
      <c r="AK1706">
        <v>11</v>
      </c>
      <c r="AL1706" t="s">
        <v>74</v>
      </c>
      <c r="AM1706" t="s">
        <v>74</v>
      </c>
      <c r="AN1706" t="s">
        <v>74</v>
      </c>
      <c r="AO1706" t="s">
        <v>7581</v>
      </c>
      <c r="AP1706" t="s">
        <v>7582</v>
      </c>
      <c r="AQ1706" t="s">
        <v>74</v>
      </c>
      <c r="AR1706" t="s">
        <v>74</v>
      </c>
      <c r="AS1706" t="s">
        <v>74</v>
      </c>
      <c r="AT1706" t="s">
        <v>1029</v>
      </c>
      <c r="AU1706">
        <v>2021</v>
      </c>
      <c r="AV1706">
        <v>23</v>
      </c>
      <c r="AW1706">
        <v>5</v>
      </c>
      <c r="AX1706" t="s">
        <v>74</v>
      </c>
      <c r="AY1706" t="s">
        <v>74</v>
      </c>
      <c r="AZ1706" t="s">
        <v>74</v>
      </c>
      <c r="BA1706" t="s">
        <v>74</v>
      </c>
      <c r="BB1706">
        <v>2669</v>
      </c>
      <c r="BC1706">
        <v>2682</v>
      </c>
      <c r="BD1706" t="s">
        <v>74</v>
      </c>
      <c r="BE1706" t="s">
        <v>17948</v>
      </c>
      <c r="BF1706" t="str">
        <f>HYPERLINK("http://dx.doi.org/10.1111/1462-2920.15510","http://dx.doi.org/10.1111/1462-2920.15510")</f>
        <v>http://dx.doi.org/10.1111/1462-2920.15510</v>
      </c>
      <c r="BG1706" t="s">
        <v>74</v>
      </c>
      <c r="BH1706" t="s">
        <v>3345</v>
      </c>
      <c r="BI1706" t="s">
        <v>74</v>
      </c>
      <c r="BJ1706" t="s">
        <v>898</v>
      </c>
      <c r="BK1706" t="s">
        <v>117</v>
      </c>
      <c r="BL1706" t="s">
        <v>898</v>
      </c>
      <c r="BM1706" t="s">
        <v>74</v>
      </c>
      <c r="BN1706">
        <v>33817941</v>
      </c>
      <c r="BO1706" t="s">
        <v>74</v>
      </c>
      <c r="BP1706" t="s">
        <v>74</v>
      </c>
      <c r="BQ1706" t="s">
        <v>74</v>
      </c>
      <c r="BR1706" t="s">
        <v>96</v>
      </c>
      <c r="BS1706" t="s">
        <v>17949</v>
      </c>
      <c r="BT1706" t="str">
        <f>HYPERLINK("https%3A%2F%2Fwww.webofscience.com%2Fwos%2Fwoscc%2Ffull-record%2FWOS:000639325900001","View Full Record in Web of Science")</f>
        <v>View Full Record in Web of Science</v>
      </c>
    </row>
    <row r="1707" spans="1:72" x14ac:dyDescent="0.15">
      <c r="A1707" t="s">
        <v>98</v>
      </c>
      <c r="B1707" t="s">
        <v>18228</v>
      </c>
      <c r="C1707" t="s">
        <v>74</v>
      </c>
      <c r="D1707" t="s">
        <v>74</v>
      </c>
      <c r="E1707" t="s">
        <v>74</v>
      </c>
      <c r="F1707" t="s">
        <v>18229</v>
      </c>
      <c r="G1707" t="s">
        <v>74</v>
      </c>
      <c r="H1707" t="s">
        <v>74</v>
      </c>
      <c r="I1707" t="s">
        <v>18230</v>
      </c>
      <c r="J1707" t="s">
        <v>5139</v>
      </c>
      <c r="K1707" t="s">
        <v>74</v>
      </c>
      <c r="L1707" t="s">
        <v>74</v>
      </c>
      <c r="M1707" t="s">
        <v>74</v>
      </c>
      <c r="N1707" t="s">
        <v>103</v>
      </c>
      <c r="O1707" t="s">
        <v>74</v>
      </c>
      <c r="P1707" t="s">
        <v>74</v>
      </c>
      <c r="Q1707" t="s">
        <v>74</v>
      </c>
      <c r="R1707" t="s">
        <v>74</v>
      </c>
      <c r="S1707" t="s">
        <v>74</v>
      </c>
      <c r="T1707" t="s">
        <v>74</v>
      </c>
      <c r="U1707" t="s">
        <v>18231</v>
      </c>
      <c r="V1707" t="s">
        <v>18232</v>
      </c>
      <c r="W1707" t="s">
        <v>18233</v>
      </c>
      <c r="X1707" t="s">
        <v>18234</v>
      </c>
      <c r="Y1707" t="s">
        <v>18235</v>
      </c>
      <c r="Z1707" t="s">
        <v>18236</v>
      </c>
      <c r="AA1707" t="s">
        <v>74</v>
      </c>
      <c r="AB1707" t="s">
        <v>74</v>
      </c>
      <c r="AC1707" t="s">
        <v>74</v>
      </c>
      <c r="AD1707" t="s">
        <v>74</v>
      </c>
      <c r="AE1707" t="s">
        <v>74</v>
      </c>
      <c r="AF1707" t="s">
        <v>74</v>
      </c>
      <c r="AG1707">
        <v>55</v>
      </c>
      <c r="AH1707">
        <v>2</v>
      </c>
      <c r="AI1707">
        <v>2</v>
      </c>
      <c r="AJ1707">
        <v>3</v>
      </c>
      <c r="AK1707">
        <v>3</v>
      </c>
      <c r="AL1707" t="s">
        <v>74</v>
      </c>
      <c r="AM1707" t="s">
        <v>74</v>
      </c>
      <c r="AN1707" t="s">
        <v>74</v>
      </c>
      <c r="AO1707" t="s">
        <v>74</v>
      </c>
      <c r="AP1707" t="s">
        <v>5148</v>
      </c>
      <c r="AQ1707" t="s">
        <v>74</v>
      </c>
      <c r="AR1707" t="s">
        <v>74</v>
      </c>
      <c r="AS1707" t="s">
        <v>74</v>
      </c>
      <c r="AT1707" t="s">
        <v>2716</v>
      </c>
      <c r="AU1707">
        <v>2022</v>
      </c>
      <c r="AV1707">
        <v>13</v>
      </c>
      <c r="AW1707">
        <v>1</v>
      </c>
      <c r="AX1707" t="s">
        <v>74</v>
      </c>
      <c r="AY1707" t="s">
        <v>74</v>
      </c>
      <c r="AZ1707" t="s">
        <v>74</v>
      </c>
      <c r="BA1707" t="s">
        <v>74</v>
      </c>
      <c r="BB1707" t="s">
        <v>74</v>
      </c>
      <c r="BC1707" t="s">
        <v>74</v>
      </c>
      <c r="BD1707">
        <v>897</v>
      </c>
      <c r="BE1707" t="s">
        <v>18237</v>
      </c>
      <c r="BF1707" t="str">
        <f>HYPERLINK("http://dx.doi.org/10.1038/s41467-022-28438-x","http://dx.doi.org/10.1038/s41467-022-28438-x")</f>
        <v>http://dx.doi.org/10.1038/s41467-022-28438-x</v>
      </c>
      <c r="BG1707" t="s">
        <v>74</v>
      </c>
      <c r="BH1707" t="s">
        <v>74</v>
      </c>
      <c r="BI1707" t="s">
        <v>74</v>
      </c>
      <c r="BJ1707" t="s">
        <v>152</v>
      </c>
      <c r="BK1707" t="s">
        <v>117</v>
      </c>
      <c r="BL1707" t="s">
        <v>153</v>
      </c>
      <c r="BM1707" t="s">
        <v>74</v>
      </c>
      <c r="BN1707">
        <v>35173168</v>
      </c>
      <c r="BO1707" t="s">
        <v>74</v>
      </c>
      <c r="BP1707" t="s">
        <v>74</v>
      </c>
      <c r="BQ1707" t="s">
        <v>74</v>
      </c>
      <c r="BR1707" t="s">
        <v>96</v>
      </c>
      <c r="BS1707" t="s">
        <v>18238</v>
      </c>
      <c r="BT1707" t="str">
        <f>HYPERLINK("https%3A%2F%2Fwww.webofscience.com%2Fwos%2Fwoscc%2Ffull-record%2FWOS:000757370100016","View Full Record in Web of Science")</f>
        <v>View Full Record in Web of Science</v>
      </c>
    </row>
    <row r="1708" spans="1:72" x14ac:dyDescent="0.15">
      <c r="A1708" t="s">
        <v>98</v>
      </c>
      <c r="B1708" t="s">
        <v>18239</v>
      </c>
      <c r="C1708" t="s">
        <v>74</v>
      </c>
      <c r="D1708" t="s">
        <v>74</v>
      </c>
      <c r="E1708" t="s">
        <v>74</v>
      </c>
      <c r="F1708" t="s">
        <v>18240</v>
      </c>
      <c r="G1708" t="s">
        <v>74</v>
      </c>
      <c r="H1708" t="s">
        <v>74</v>
      </c>
      <c r="I1708" t="s">
        <v>18241</v>
      </c>
      <c r="J1708" t="s">
        <v>2298</v>
      </c>
      <c r="K1708" t="s">
        <v>74</v>
      </c>
      <c r="L1708" t="s">
        <v>74</v>
      </c>
      <c r="M1708" t="s">
        <v>74</v>
      </c>
      <c r="N1708" t="s">
        <v>103</v>
      </c>
      <c r="O1708" t="s">
        <v>74</v>
      </c>
      <c r="P1708" t="s">
        <v>74</v>
      </c>
      <c r="Q1708" t="s">
        <v>74</v>
      </c>
      <c r="R1708" t="s">
        <v>74</v>
      </c>
      <c r="S1708" t="s">
        <v>74</v>
      </c>
      <c r="T1708" t="s">
        <v>18242</v>
      </c>
      <c r="U1708" t="s">
        <v>74</v>
      </c>
      <c r="V1708" t="s">
        <v>18243</v>
      </c>
      <c r="W1708" t="s">
        <v>18244</v>
      </c>
      <c r="X1708" t="s">
        <v>18245</v>
      </c>
      <c r="Y1708" t="s">
        <v>18246</v>
      </c>
      <c r="Z1708" t="s">
        <v>18247</v>
      </c>
      <c r="AA1708" t="s">
        <v>74</v>
      </c>
      <c r="AB1708" t="s">
        <v>74</v>
      </c>
      <c r="AC1708" t="s">
        <v>74</v>
      </c>
      <c r="AD1708" t="s">
        <v>74</v>
      </c>
      <c r="AE1708" t="s">
        <v>74</v>
      </c>
      <c r="AF1708" t="s">
        <v>74</v>
      </c>
      <c r="AG1708">
        <v>40</v>
      </c>
      <c r="AH1708">
        <v>2</v>
      </c>
      <c r="AI1708">
        <v>2</v>
      </c>
      <c r="AJ1708">
        <v>0</v>
      </c>
      <c r="AK1708">
        <v>2</v>
      </c>
      <c r="AL1708" t="s">
        <v>74</v>
      </c>
      <c r="AM1708" t="s">
        <v>74</v>
      </c>
      <c r="AN1708" t="s">
        <v>74</v>
      </c>
      <c r="AO1708" t="s">
        <v>2306</v>
      </c>
      <c r="AP1708" t="s">
        <v>2307</v>
      </c>
      <c r="AQ1708" t="s">
        <v>74</v>
      </c>
      <c r="AR1708" t="s">
        <v>74</v>
      </c>
      <c r="AS1708" t="s">
        <v>74</v>
      </c>
      <c r="AT1708" t="s">
        <v>2321</v>
      </c>
      <c r="AU1708">
        <v>2020</v>
      </c>
      <c r="AV1708">
        <v>263</v>
      </c>
      <c r="AW1708" t="s">
        <v>74</v>
      </c>
      <c r="AX1708" t="s">
        <v>74</v>
      </c>
      <c r="AY1708" t="s">
        <v>74</v>
      </c>
      <c r="AZ1708" t="s">
        <v>74</v>
      </c>
      <c r="BA1708" t="s">
        <v>74</v>
      </c>
      <c r="BB1708" t="s">
        <v>74</v>
      </c>
      <c r="BC1708" t="s">
        <v>74</v>
      </c>
      <c r="BD1708">
        <v>118564</v>
      </c>
      <c r="BE1708" t="s">
        <v>18248</v>
      </c>
      <c r="BF1708" t="str">
        <f>HYPERLINK("http://dx.doi.org/10.1016/j.lfs.2020.118564","http://dx.doi.org/10.1016/j.lfs.2020.118564")</f>
        <v>http://dx.doi.org/10.1016/j.lfs.2020.118564</v>
      </c>
      <c r="BG1708" t="s">
        <v>74</v>
      </c>
      <c r="BH1708" t="s">
        <v>74</v>
      </c>
      <c r="BI1708" t="s">
        <v>74</v>
      </c>
      <c r="BJ1708" t="s">
        <v>191</v>
      </c>
      <c r="BK1708" t="s">
        <v>117</v>
      </c>
      <c r="BL1708" t="s">
        <v>192</v>
      </c>
      <c r="BM1708" t="s">
        <v>74</v>
      </c>
      <c r="BN1708">
        <v>33075374</v>
      </c>
      <c r="BO1708" t="s">
        <v>74</v>
      </c>
      <c r="BP1708" t="s">
        <v>74</v>
      </c>
      <c r="BQ1708" t="s">
        <v>74</v>
      </c>
      <c r="BR1708" t="s">
        <v>96</v>
      </c>
      <c r="BS1708" t="s">
        <v>18249</v>
      </c>
      <c r="BT1708" t="str">
        <f>HYPERLINK("https%3A%2F%2Fwww.webofscience.com%2Fwos%2Fwoscc%2Ffull-record%2FWOS:000598134000008","View Full Record in Web of Science")</f>
        <v>View Full Record in Web of Science</v>
      </c>
    </row>
    <row r="1709" spans="1:72" x14ac:dyDescent="0.15">
      <c r="A1709" t="s">
        <v>98</v>
      </c>
      <c r="B1709" t="s">
        <v>18250</v>
      </c>
      <c r="C1709" t="s">
        <v>74</v>
      </c>
      <c r="D1709" t="s">
        <v>74</v>
      </c>
      <c r="E1709" t="s">
        <v>74</v>
      </c>
      <c r="F1709" t="s">
        <v>18251</v>
      </c>
      <c r="G1709" t="s">
        <v>74</v>
      </c>
      <c r="H1709" t="s">
        <v>74</v>
      </c>
      <c r="I1709" t="s">
        <v>18252</v>
      </c>
      <c r="J1709" t="s">
        <v>903</v>
      </c>
      <c r="K1709" t="s">
        <v>74</v>
      </c>
      <c r="L1709" t="s">
        <v>74</v>
      </c>
      <c r="M1709" t="s">
        <v>74</v>
      </c>
      <c r="N1709" t="s">
        <v>103</v>
      </c>
      <c r="O1709" t="s">
        <v>74</v>
      </c>
      <c r="P1709" t="s">
        <v>74</v>
      </c>
      <c r="Q1709" t="s">
        <v>74</v>
      </c>
      <c r="R1709" t="s">
        <v>74</v>
      </c>
      <c r="S1709" t="s">
        <v>74</v>
      </c>
      <c r="T1709" t="s">
        <v>18253</v>
      </c>
      <c r="U1709" t="s">
        <v>18254</v>
      </c>
      <c r="V1709" t="s">
        <v>18255</v>
      </c>
      <c r="W1709" t="s">
        <v>18256</v>
      </c>
      <c r="X1709" t="s">
        <v>18257</v>
      </c>
      <c r="Y1709" t="s">
        <v>18258</v>
      </c>
      <c r="Z1709" t="s">
        <v>18259</v>
      </c>
      <c r="AA1709" t="s">
        <v>74</v>
      </c>
      <c r="AB1709" t="s">
        <v>18260</v>
      </c>
      <c r="AC1709" t="s">
        <v>74</v>
      </c>
      <c r="AD1709" t="s">
        <v>74</v>
      </c>
      <c r="AE1709" t="s">
        <v>74</v>
      </c>
      <c r="AF1709" t="s">
        <v>74</v>
      </c>
      <c r="AG1709">
        <v>44</v>
      </c>
      <c r="AH1709">
        <v>2</v>
      </c>
      <c r="AI1709">
        <v>2</v>
      </c>
      <c r="AJ1709">
        <v>7</v>
      </c>
      <c r="AK1709">
        <v>10</v>
      </c>
      <c r="AL1709" t="s">
        <v>74</v>
      </c>
      <c r="AM1709" t="s">
        <v>74</v>
      </c>
      <c r="AN1709" t="s">
        <v>74</v>
      </c>
      <c r="AO1709" t="s">
        <v>74</v>
      </c>
      <c r="AP1709" t="s">
        <v>913</v>
      </c>
      <c r="AQ1709" t="s">
        <v>74</v>
      </c>
      <c r="AR1709" t="s">
        <v>74</v>
      </c>
      <c r="AS1709" t="s">
        <v>74</v>
      </c>
      <c r="AT1709" t="s">
        <v>211</v>
      </c>
      <c r="AU1709">
        <v>2021</v>
      </c>
      <c r="AV1709">
        <v>13</v>
      </c>
      <c r="AW1709">
        <v>21</v>
      </c>
      <c r="AX1709" t="s">
        <v>74</v>
      </c>
      <c r="AY1709" t="s">
        <v>74</v>
      </c>
      <c r="AZ1709" t="s">
        <v>74</v>
      </c>
      <c r="BA1709" t="s">
        <v>74</v>
      </c>
      <c r="BB1709" t="s">
        <v>74</v>
      </c>
      <c r="BC1709" t="s">
        <v>74</v>
      </c>
      <c r="BD1709">
        <v>5482</v>
      </c>
      <c r="BE1709" t="s">
        <v>18261</v>
      </c>
      <c r="BF1709" t="str">
        <f>HYPERLINK("http://dx.doi.org/10.3390/cancers13215482","http://dx.doi.org/10.3390/cancers13215482")</f>
        <v>http://dx.doi.org/10.3390/cancers13215482</v>
      </c>
      <c r="BG1709" t="s">
        <v>74</v>
      </c>
      <c r="BH1709" t="s">
        <v>74</v>
      </c>
      <c r="BI1709" t="s">
        <v>74</v>
      </c>
      <c r="BJ1709" t="s">
        <v>267</v>
      </c>
      <c r="BK1709" t="s">
        <v>117</v>
      </c>
      <c r="BL1709" t="s">
        <v>267</v>
      </c>
      <c r="BM1709" t="s">
        <v>74</v>
      </c>
      <c r="BN1709">
        <v>34771645</v>
      </c>
      <c r="BO1709" t="s">
        <v>74</v>
      </c>
      <c r="BP1709" t="s">
        <v>74</v>
      </c>
      <c r="BQ1709" t="s">
        <v>74</v>
      </c>
      <c r="BR1709" t="s">
        <v>96</v>
      </c>
      <c r="BS1709" t="s">
        <v>18262</v>
      </c>
      <c r="BT1709" t="str">
        <f>HYPERLINK("https%3A%2F%2Fwww.webofscience.com%2Fwos%2Fwoscc%2Ffull-record%2FWOS:000718347400001","View Full Record in Web of Science")</f>
        <v>View Full Record in Web of Science</v>
      </c>
    </row>
    <row r="1710" spans="1:72" x14ac:dyDescent="0.15">
      <c r="A1710" t="s">
        <v>98</v>
      </c>
      <c r="B1710" t="s">
        <v>18312</v>
      </c>
      <c r="C1710" t="s">
        <v>74</v>
      </c>
      <c r="D1710" t="s">
        <v>74</v>
      </c>
      <c r="E1710" t="s">
        <v>74</v>
      </c>
      <c r="F1710" t="s">
        <v>18313</v>
      </c>
      <c r="G1710" t="s">
        <v>74</v>
      </c>
      <c r="H1710" t="s">
        <v>74</v>
      </c>
      <c r="I1710" t="s">
        <v>18314</v>
      </c>
      <c r="J1710" t="s">
        <v>17730</v>
      </c>
      <c r="K1710" t="s">
        <v>74</v>
      </c>
      <c r="L1710" t="s">
        <v>74</v>
      </c>
      <c r="M1710" t="s">
        <v>74</v>
      </c>
      <c r="N1710" t="s">
        <v>103</v>
      </c>
      <c r="O1710" t="s">
        <v>74</v>
      </c>
      <c r="P1710" t="s">
        <v>74</v>
      </c>
      <c r="Q1710" t="s">
        <v>74</v>
      </c>
      <c r="R1710" t="s">
        <v>74</v>
      </c>
      <c r="S1710" t="s">
        <v>74</v>
      </c>
      <c r="T1710" t="s">
        <v>18315</v>
      </c>
      <c r="U1710" t="s">
        <v>18316</v>
      </c>
      <c r="V1710" t="s">
        <v>18317</v>
      </c>
      <c r="W1710" t="s">
        <v>18318</v>
      </c>
      <c r="X1710" t="s">
        <v>4817</v>
      </c>
      <c r="Y1710" t="s">
        <v>18319</v>
      </c>
      <c r="Z1710" t="s">
        <v>18320</v>
      </c>
      <c r="AA1710" t="s">
        <v>74</v>
      </c>
      <c r="AB1710" t="s">
        <v>74</v>
      </c>
      <c r="AC1710" t="s">
        <v>74</v>
      </c>
      <c r="AD1710" t="s">
        <v>74</v>
      </c>
      <c r="AE1710" t="s">
        <v>74</v>
      </c>
      <c r="AF1710" t="s">
        <v>74</v>
      </c>
      <c r="AG1710">
        <v>35</v>
      </c>
      <c r="AH1710">
        <v>2</v>
      </c>
      <c r="AI1710">
        <v>3</v>
      </c>
      <c r="AJ1710">
        <v>0</v>
      </c>
      <c r="AK1710">
        <v>11</v>
      </c>
      <c r="AL1710" t="s">
        <v>74</v>
      </c>
      <c r="AM1710" t="s">
        <v>74</v>
      </c>
      <c r="AN1710" t="s">
        <v>74</v>
      </c>
      <c r="AO1710" t="s">
        <v>17738</v>
      </c>
      <c r="AP1710" t="s">
        <v>74</v>
      </c>
      <c r="AQ1710" t="s">
        <v>74</v>
      </c>
      <c r="AR1710" t="s">
        <v>74</v>
      </c>
      <c r="AS1710" t="s">
        <v>74</v>
      </c>
      <c r="AT1710" t="s">
        <v>1029</v>
      </c>
      <c r="AU1710">
        <v>2013</v>
      </c>
      <c r="AV1710">
        <v>173</v>
      </c>
      <c r="AW1710">
        <v>2</v>
      </c>
      <c r="AX1710" t="s">
        <v>74</v>
      </c>
      <c r="AY1710" t="s">
        <v>74</v>
      </c>
      <c r="AZ1710" t="s">
        <v>74</v>
      </c>
      <c r="BA1710" t="s">
        <v>74</v>
      </c>
      <c r="BB1710">
        <v>404</v>
      </c>
      <c r="BC1710">
        <v>414</v>
      </c>
      <c r="BD1710" t="s">
        <v>74</v>
      </c>
      <c r="BE1710" t="s">
        <v>18321</v>
      </c>
      <c r="BF1710" t="str">
        <f>HYPERLINK("http://dx.doi.org/10.1016/j.virusres.2012.12.016","http://dx.doi.org/10.1016/j.virusres.2012.12.016")</f>
        <v>http://dx.doi.org/10.1016/j.virusres.2012.12.016</v>
      </c>
      <c r="BG1710" t="s">
        <v>74</v>
      </c>
      <c r="BH1710" t="s">
        <v>74</v>
      </c>
      <c r="BI1710" t="s">
        <v>74</v>
      </c>
      <c r="BJ1710" t="s">
        <v>932</v>
      </c>
      <c r="BK1710" t="s">
        <v>117</v>
      </c>
      <c r="BL1710" t="s">
        <v>932</v>
      </c>
      <c r="BM1710" t="s">
        <v>74</v>
      </c>
      <c r="BN1710">
        <v>23298549</v>
      </c>
      <c r="BO1710" t="s">
        <v>74</v>
      </c>
      <c r="BP1710" t="s">
        <v>74</v>
      </c>
      <c r="BQ1710" t="s">
        <v>74</v>
      </c>
      <c r="BR1710" t="s">
        <v>96</v>
      </c>
      <c r="BS1710" t="s">
        <v>18322</v>
      </c>
      <c r="BT1710" t="str">
        <f>HYPERLINK("https%3A%2F%2Fwww.webofscience.com%2Fwos%2Fwoscc%2Ffull-record%2FWOS:000319242700021","View Full Record in Web of Science")</f>
        <v>View Full Record in Web of Science</v>
      </c>
    </row>
    <row r="1711" spans="1:72" x14ac:dyDescent="0.15">
      <c r="A1711" t="s">
        <v>98</v>
      </c>
      <c r="B1711" t="s">
        <v>18523</v>
      </c>
      <c r="C1711" t="s">
        <v>74</v>
      </c>
      <c r="D1711" t="s">
        <v>74</v>
      </c>
      <c r="E1711" t="s">
        <v>74</v>
      </c>
      <c r="F1711" t="s">
        <v>18524</v>
      </c>
      <c r="G1711" t="s">
        <v>74</v>
      </c>
      <c r="H1711" t="s">
        <v>74</v>
      </c>
      <c r="I1711" t="s">
        <v>18525</v>
      </c>
      <c r="J1711" t="s">
        <v>18526</v>
      </c>
      <c r="K1711" t="s">
        <v>74</v>
      </c>
      <c r="L1711" t="s">
        <v>74</v>
      </c>
      <c r="M1711" t="s">
        <v>74</v>
      </c>
      <c r="N1711" t="s">
        <v>103</v>
      </c>
      <c r="O1711" t="s">
        <v>74</v>
      </c>
      <c r="P1711" t="s">
        <v>74</v>
      </c>
      <c r="Q1711" t="s">
        <v>74</v>
      </c>
      <c r="R1711" t="s">
        <v>74</v>
      </c>
      <c r="S1711" t="s">
        <v>74</v>
      </c>
      <c r="T1711" t="s">
        <v>18527</v>
      </c>
      <c r="U1711" t="s">
        <v>18528</v>
      </c>
      <c r="V1711" t="s">
        <v>18529</v>
      </c>
      <c r="W1711" t="s">
        <v>18530</v>
      </c>
      <c r="X1711" t="s">
        <v>18531</v>
      </c>
      <c r="Y1711" t="s">
        <v>18532</v>
      </c>
      <c r="Z1711" t="s">
        <v>18533</v>
      </c>
      <c r="AA1711" t="s">
        <v>74</v>
      </c>
      <c r="AB1711" t="s">
        <v>74</v>
      </c>
      <c r="AC1711" t="s">
        <v>74</v>
      </c>
      <c r="AD1711" t="s">
        <v>74</v>
      </c>
      <c r="AE1711" t="s">
        <v>74</v>
      </c>
      <c r="AF1711" t="s">
        <v>74</v>
      </c>
      <c r="AG1711">
        <v>45</v>
      </c>
      <c r="AH1711">
        <v>2</v>
      </c>
      <c r="AI1711">
        <v>2</v>
      </c>
      <c r="AJ1711">
        <v>4</v>
      </c>
      <c r="AK1711">
        <v>23</v>
      </c>
      <c r="AL1711" t="s">
        <v>74</v>
      </c>
      <c r="AM1711" t="s">
        <v>74</v>
      </c>
      <c r="AN1711" t="s">
        <v>74</v>
      </c>
      <c r="AO1711" t="s">
        <v>18534</v>
      </c>
      <c r="AP1711" t="s">
        <v>18535</v>
      </c>
      <c r="AQ1711" t="s">
        <v>74</v>
      </c>
      <c r="AR1711" t="s">
        <v>74</v>
      </c>
      <c r="AS1711" t="s">
        <v>74</v>
      </c>
      <c r="AT1711" t="s">
        <v>18093</v>
      </c>
      <c r="AU1711">
        <v>2021</v>
      </c>
      <c r="AV1711">
        <v>25</v>
      </c>
      <c r="AW1711">
        <v>4</v>
      </c>
      <c r="AX1711" t="s">
        <v>74</v>
      </c>
      <c r="AY1711" t="s">
        <v>74</v>
      </c>
      <c r="AZ1711" t="s">
        <v>74</v>
      </c>
      <c r="BA1711" t="s">
        <v>74</v>
      </c>
      <c r="BB1711" t="s">
        <v>74</v>
      </c>
      <c r="BC1711" t="s">
        <v>74</v>
      </c>
      <c r="BD1711">
        <v>33</v>
      </c>
      <c r="BE1711" t="s">
        <v>18536</v>
      </c>
      <c r="BF1711" t="str">
        <f>HYPERLINK("http://dx.doi.org/10.1007/s10404-021-02437-8","http://dx.doi.org/10.1007/s10404-021-02437-8")</f>
        <v>http://dx.doi.org/10.1007/s10404-021-02437-8</v>
      </c>
      <c r="BG1711" t="s">
        <v>74</v>
      </c>
      <c r="BH1711" t="s">
        <v>74</v>
      </c>
      <c r="BI1711" t="s">
        <v>74</v>
      </c>
      <c r="BJ1711" t="s">
        <v>18537</v>
      </c>
      <c r="BK1711" t="s">
        <v>117</v>
      </c>
      <c r="BL1711" t="s">
        <v>18538</v>
      </c>
      <c r="BM1711" t="s">
        <v>74</v>
      </c>
      <c r="BN1711" t="s">
        <v>74</v>
      </c>
      <c r="BO1711" t="s">
        <v>74</v>
      </c>
      <c r="BP1711" t="s">
        <v>74</v>
      </c>
      <c r="BQ1711" t="s">
        <v>74</v>
      </c>
      <c r="BR1711" t="s">
        <v>96</v>
      </c>
      <c r="BS1711" t="s">
        <v>18539</v>
      </c>
      <c r="BT1711" t="str">
        <f>HYPERLINK("https%3A%2F%2Fwww.webofscience.com%2Fwos%2Fwoscc%2Ffull-record%2FWOS:000631156300003","View Full Record in Web of Science")</f>
        <v>View Full Record in Web of Science</v>
      </c>
    </row>
    <row r="1712" spans="1:72" x14ac:dyDescent="0.15">
      <c r="A1712" t="s">
        <v>98</v>
      </c>
      <c r="B1712" t="s">
        <v>18540</v>
      </c>
      <c r="C1712" t="s">
        <v>74</v>
      </c>
      <c r="D1712" t="s">
        <v>74</v>
      </c>
      <c r="E1712" t="s">
        <v>74</v>
      </c>
      <c r="F1712" t="s">
        <v>18541</v>
      </c>
      <c r="G1712" t="s">
        <v>74</v>
      </c>
      <c r="H1712" t="s">
        <v>74</v>
      </c>
      <c r="I1712" t="s">
        <v>18542</v>
      </c>
      <c r="J1712" t="s">
        <v>1123</v>
      </c>
      <c r="K1712" t="s">
        <v>74</v>
      </c>
      <c r="L1712" t="s">
        <v>74</v>
      </c>
      <c r="M1712" t="s">
        <v>74</v>
      </c>
      <c r="N1712" t="s">
        <v>103</v>
      </c>
      <c r="O1712" t="s">
        <v>74</v>
      </c>
      <c r="P1712" t="s">
        <v>74</v>
      </c>
      <c r="Q1712" t="s">
        <v>74</v>
      </c>
      <c r="R1712" t="s">
        <v>74</v>
      </c>
      <c r="S1712" t="s">
        <v>74</v>
      </c>
      <c r="T1712" t="s">
        <v>18543</v>
      </c>
      <c r="U1712" t="s">
        <v>18544</v>
      </c>
      <c r="V1712" t="s">
        <v>18545</v>
      </c>
      <c r="W1712" t="s">
        <v>18546</v>
      </c>
      <c r="X1712" t="s">
        <v>18547</v>
      </c>
      <c r="Y1712" t="s">
        <v>18548</v>
      </c>
      <c r="Z1712" t="s">
        <v>18549</v>
      </c>
      <c r="AA1712" t="s">
        <v>18550</v>
      </c>
      <c r="AB1712" t="s">
        <v>74</v>
      </c>
      <c r="AC1712" t="s">
        <v>74</v>
      </c>
      <c r="AD1712" t="s">
        <v>74</v>
      </c>
      <c r="AE1712" t="s">
        <v>74</v>
      </c>
      <c r="AF1712" t="s">
        <v>74</v>
      </c>
      <c r="AG1712">
        <v>52</v>
      </c>
      <c r="AH1712">
        <v>2</v>
      </c>
      <c r="AI1712">
        <v>2</v>
      </c>
      <c r="AJ1712">
        <v>100</v>
      </c>
      <c r="AK1712">
        <v>128</v>
      </c>
      <c r="AL1712" t="s">
        <v>74</v>
      </c>
      <c r="AM1712" t="s">
        <v>74</v>
      </c>
      <c r="AN1712" t="s">
        <v>74</v>
      </c>
      <c r="AO1712" t="s">
        <v>1132</v>
      </c>
      <c r="AP1712" t="s">
        <v>1133</v>
      </c>
      <c r="AQ1712" t="s">
        <v>74</v>
      </c>
      <c r="AR1712" t="s">
        <v>74</v>
      </c>
      <c r="AS1712" t="s">
        <v>74</v>
      </c>
      <c r="AT1712" t="s">
        <v>1408</v>
      </c>
      <c r="AU1712">
        <v>2022</v>
      </c>
      <c r="AV1712">
        <v>200</v>
      </c>
      <c r="AW1712" t="s">
        <v>74</v>
      </c>
      <c r="AX1712" t="s">
        <v>74</v>
      </c>
      <c r="AY1712" t="s">
        <v>74</v>
      </c>
      <c r="AZ1712" t="s">
        <v>74</v>
      </c>
      <c r="BA1712" t="s">
        <v>74</v>
      </c>
      <c r="BB1712" t="s">
        <v>74</v>
      </c>
      <c r="BC1712" t="s">
        <v>74</v>
      </c>
      <c r="BD1712">
        <v>113902</v>
      </c>
      <c r="BE1712" t="s">
        <v>18551</v>
      </c>
      <c r="BF1712" t="str">
        <f>HYPERLINK("http://dx.doi.org/10.1016/j.bios.2021.113902","http://dx.doi.org/10.1016/j.bios.2021.113902")</f>
        <v>http://dx.doi.org/10.1016/j.bios.2021.113902</v>
      </c>
      <c r="BG1712" t="s">
        <v>74</v>
      </c>
      <c r="BH1712" t="s">
        <v>74</v>
      </c>
      <c r="BI1712" t="s">
        <v>74</v>
      </c>
      <c r="BJ1712" t="s">
        <v>1137</v>
      </c>
      <c r="BK1712" t="s">
        <v>117</v>
      </c>
      <c r="BL1712" t="s">
        <v>1138</v>
      </c>
      <c r="BM1712" t="s">
        <v>74</v>
      </c>
      <c r="BN1712">
        <v>34954570</v>
      </c>
      <c r="BO1712" t="s">
        <v>74</v>
      </c>
      <c r="BP1712" t="s">
        <v>74</v>
      </c>
      <c r="BQ1712" t="s">
        <v>74</v>
      </c>
      <c r="BR1712" t="s">
        <v>96</v>
      </c>
      <c r="BS1712" t="s">
        <v>18552</v>
      </c>
      <c r="BT1712" t="str">
        <f>HYPERLINK("https%3A%2F%2Fwww.webofscience.com%2Fwos%2Fwoscc%2Ffull-record%2FWOS:000772286100006","View Full Record in Web of Science")</f>
        <v>View Full Record in Web of Science</v>
      </c>
    </row>
    <row r="1713" spans="1:72" x14ac:dyDescent="0.15">
      <c r="A1713" t="s">
        <v>98</v>
      </c>
      <c r="B1713" t="s">
        <v>18720</v>
      </c>
      <c r="C1713" t="s">
        <v>74</v>
      </c>
      <c r="D1713" t="s">
        <v>74</v>
      </c>
      <c r="E1713" t="s">
        <v>74</v>
      </c>
      <c r="F1713" t="s">
        <v>18721</v>
      </c>
      <c r="G1713" t="s">
        <v>74</v>
      </c>
      <c r="H1713" t="s">
        <v>74</v>
      </c>
      <c r="I1713" t="s">
        <v>18722</v>
      </c>
      <c r="J1713" t="s">
        <v>903</v>
      </c>
      <c r="K1713" t="s">
        <v>74</v>
      </c>
      <c r="L1713" t="s">
        <v>74</v>
      </c>
      <c r="M1713" t="s">
        <v>74</v>
      </c>
      <c r="N1713" t="s">
        <v>103</v>
      </c>
      <c r="O1713" t="s">
        <v>74</v>
      </c>
      <c r="P1713" t="s">
        <v>74</v>
      </c>
      <c r="Q1713" t="s">
        <v>74</v>
      </c>
      <c r="R1713" t="s">
        <v>74</v>
      </c>
      <c r="S1713" t="s">
        <v>74</v>
      </c>
      <c r="T1713" t="s">
        <v>18723</v>
      </c>
      <c r="U1713" t="s">
        <v>18724</v>
      </c>
      <c r="V1713" t="s">
        <v>18725</v>
      </c>
      <c r="W1713" t="s">
        <v>18726</v>
      </c>
      <c r="X1713" t="s">
        <v>18727</v>
      </c>
      <c r="Y1713" t="s">
        <v>18728</v>
      </c>
      <c r="Z1713" t="s">
        <v>18729</v>
      </c>
      <c r="AA1713" t="s">
        <v>74</v>
      </c>
      <c r="AB1713" t="s">
        <v>18730</v>
      </c>
      <c r="AC1713" t="s">
        <v>74</v>
      </c>
      <c r="AD1713" t="s">
        <v>74</v>
      </c>
      <c r="AE1713" t="s">
        <v>74</v>
      </c>
      <c r="AF1713" t="s">
        <v>74</v>
      </c>
      <c r="AG1713">
        <v>44</v>
      </c>
      <c r="AH1713">
        <v>2</v>
      </c>
      <c r="AI1713">
        <v>2</v>
      </c>
      <c r="AJ1713">
        <v>0</v>
      </c>
      <c r="AK1713">
        <v>0</v>
      </c>
      <c r="AL1713" t="s">
        <v>74</v>
      </c>
      <c r="AM1713" t="s">
        <v>74</v>
      </c>
      <c r="AN1713" t="s">
        <v>74</v>
      </c>
      <c r="AO1713" t="s">
        <v>74</v>
      </c>
      <c r="AP1713" t="s">
        <v>913</v>
      </c>
      <c r="AQ1713" t="s">
        <v>74</v>
      </c>
      <c r="AR1713" t="s">
        <v>74</v>
      </c>
      <c r="AS1713" t="s">
        <v>74</v>
      </c>
      <c r="AT1713" t="s">
        <v>1029</v>
      </c>
      <c r="AU1713">
        <v>2022</v>
      </c>
      <c r="AV1713">
        <v>14</v>
      </c>
      <c r="AW1713">
        <v>9</v>
      </c>
      <c r="AX1713" t="s">
        <v>74</v>
      </c>
      <c r="AY1713" t="s">
        <v>74</v>
      </c>
      <c r="AZ1713" t="s">
        <v>74</v>
      </c>
      <c r="BA1713" t="s">
        <v>74</v>
      </c>
      <c r="BB1713" t="s">
        <v>74</v>
      </c>
      <c r="BC1713" t="s">
        <v>74</v>
      </c>
      <c r="BD1713">
        <v>2061</v>
      </c>
      <c r="BE1713" t="s">
        <v>18731</v>
      </c>
      <c r="BF1713" t="str">
        <f>HYPERLINK("http://dx.doi.org/10.3390/cancers14092061","http://dx.doi.org/10.3390/cancers14092061")</f>
        <v>http://dx.doi.org/10.3390/cancers14092061</v>
      </c>
      <c r="BG1713" t="s">
        <v>74</v>
      </c>
      <c r="BH1713" t="s">
        <v>74</v>
      </c>
      <c r="BI1713" t="s">
        <v>74</v>
      </c>
      <c r="BJ1713" t="s">
        <v>267</v>
      </c>
      <c r="BK1713" t="s">
        <v>117</v>
      </c>
      <c r="BL1713" t="s">
        <v>267</v>
      </c>
      <c r="BM1713" t="s">
        <v>74</v>
      </c>
      <c r="BN1713">
        <v>35565192</v>
      </c>
      <c r="BO1713" t="s">
        <v>74</v>
      </c>
      <c r="BP1713" t="s">
        <v>74</v>
      </c>
      <c r="BQ1713" t="s">
        <v>74</v>
      </c>
      <c r="BR1713" t="s">
        <v>96</v>
      </c>
      <c r="BS1713" t="s">
        <v>18732</v>
      </c>
      <c r="BT1713" t="str">
        <f>HYPERLINK("https%3A%2F%2Fwww.webofscience.com%2Fwos%2Fwoscc%2Ffull-record%2FWOS:000794787700001","View Full Record in Web of Science")</f>
        <v>View Full Record in Web of Science</v>
      </c>
    </row>
    <row r="1714" spans="1:72" x14ac:dyDescent="0.15">
      <c r="A1714" t="s">
        <v>98</v>
      </c>
      <c r="B1714" t="s">
        <v>18748</v>
      </c>
      <c r="C1714" t="s">
        <v>74</v>
      </c>
      <c r="D1714" t="s">
        <v>74</v>
      </c>
      <c r="E1714" t="s">
        <v>74</v>
      </c>
      <c r="F1714" t="s">
        <v>18749</v>
      </c>
      <c r="G1714" t="s">
        <v>74</v>
      </c>
      <c r="H1714" t="s">
        <v>74</v>
      </c>
      <c r="I1714" t="s">
        <v>18750</v>
      </c>
      <c r="J1714" t="s">
        <v>18751</v>
      </c>
      <c r="K1714" t="s">
        <v>74</v>
      </c>
      <c r="L1714" t="s">
        <v>74</v>
      </c>
      <c r="M1714" t="s">
        <v>74</v>
      </c>
      <c r="N1714" t="s">
        <v>103</v>
      </c>
      <c r="O1714" t="s">
        <v>74</v>
      </c>
      <c r="P1714" t="s">
        <v>74</v>
      </c>
      <c r="Q1714" t="s">
        <v>74</v>
      </c>
      <c r="R1714" t="s">
        <v>74</v>
      </c>
      <c r="S1714" t="s">
        <v>74</v>
      </c>
      <c r="T1714" t="s">
        <v>18752</v>
      </c>
      <c r="U1714" t="s">
        <v>74</v>
      </c>
      <c r="V1714" t="s">
        <v>18753</v>
      </c>
      <c r="W1714" t="s">
        <v>18754</v>
      </c>
      <c r="X1714" t="s">
        <v>18755</v>
      </c>
      <c r="Y1714" t="s">
        <v>18756</v>
      </c>
      <c r="Z1714" t="s">
        <v>18757</v>
      </c>
      <c r="AA1714" t="s">
        <v>74</v>
      </c>
      <c r="AB1714" t="s">
        <v>74</v>
      </c>
      <c r="AC1714" t="s">
        <v>74</v>
      </c>
      <c r="AD1714" t="s">
        <v>74</v>
      </c>
      <c r="AE1714" t="s">
        <v>74</v>
      </c>
      <c r="AF1714" t="s">
        <v>74</v>
      </c>
      <c r="AG1714">
        <v>19</v>
      </c>
      <c r="AH1714">
        <v>2</v>
      </c>
      <c r="AI1714">
        <v>2</v>
      </c>
      <c r="AJ1714">
        <v>2</v>
      </c>
      <c r="AK1714">
        <v>5</v>
      </c>
      <c r="AL1714" t="s">
        <v>74</v>
      </c>
      <c r="AM1714" t="s">
        <v>74</v>
      </c>
      <c r="AN1714" t="s">
        <v>74</v>
      </c>
      <c r="AO1714" t="s">
        <v>18758</v>
      </c>
      <c r="AP1714" t="s">
        <v>18759</v>
      </c>
      <c r="AQ1714" t="s">
        <v>74</v>
      </c>
      <c r="AR1714" t="s">
        <v>74</v>
      </c>
      <c r="AS1714" t="s">
        <v>74</v>
      </c>
      <c r="AT1714" t="s">
        <v>9208</v>
      </c>
      <c r="AU1714">
        <v>2020</v>
      </c>
      <c r="AV1714">
        <v>99</v>
      </c>
      <c r="AW1714">
        <v>41</v>
      </c>
      <c r="AX1714" t="s">
        <v>74</v>
      </c>
      <c r="AY1714" t="s">
        <v>74</v>
      </c>
      <c r="AZ1714" t="s">
        <v>74</v>
      </c>
      <c r="BA1714" t="s">
        <v>74</v>
      </c>
      <c r="BB1714" t="s">
        <v>74</v>
      </c>
      <c r="BC1714" t="s">
        <v>74</v>
      </c>
      <c r="BD1714" t="s">
        <v>18760</v>
      </c>
      <c r="BE1714" t="s">
        <v>18761</v>
      </c>
      <c r="BF1714" t="str">
        <f>HYPERLINK("http://dx.doi.org/10.1097/MD.0000000000022594","http://dx.doi.org/10.1097/MD.0000000000022594")</f>
        <v>http://dx.doi.org/10.1097/MD.0000000000022594</v>
      </c>
      <c r="BG1714" t="s">
        <v>74</v>
      </c>
      <c r="BH1714" t="s">
        <v>74</v>
      </c>
      <c r="BI1714" t="s">
        <v>74</v>
      </c>
      <c r="BJ1714" t="s">
        <v>2564</v>
      </c>
      <c r="BK1714" t="s">
        <v>117</v>
      </c>
      <c r="BL1714" t="s">
        <v>2565</v>
      </c>
      <c r="BM1714" t="s">
        <v>74</v>
      </c>
      <c r="BN1714">
        <v>33031312</v>
      </c>
      <c r="BO1714" t="s">
        <v>74</v>
      </c>
      <c r="BP1714" t="s">
        <v>74</v>
      </c>
      <c r="BQ1714" t="s">
        <v>74</v>
      </c>
      <c r="BR1714" t="s">
        <v>96</v>
      </c>
      <c r="BS1714" t="s">
        <v>18762</v>
      </c>
      <c r="BT1714" t="str">
        <f>HYPERLINK("https%3A%2F%2Fwww.webofscience.com%2Fwos%2Fwoscc%2Ffull-record%2FWOS:000579245800059","View Full Record in Web of Science")</f>
        <v>View Full Record in Web of Science</v>
      </c>
    </row>
    <row r="1715" spans="1:72" x14ac:dyDescent="0.15">
      <c r="A1715" t="s">
        <v>98</v>
      </c>
      <c r="B1715" t="s">
        <v>18801</v>
      </c>
      <c r="C1715" t="s">
        <v>74</v>
      </c>
      <c r="D1715" t="s">
        <v>74</v>
      </c>
      <c r="E1715" t="s">
        <v>74</v>
      </c>
      <c r="F1715" t="s">
        <v>18802</v>
      </c>
      <c r="G1715" t="s">
        <v>74</v>
      </c>
      <c r="H1715" t="s">
        <v>74</v>
      </c>
      <c r="I1715" t="s">
        <v>18803</v>
      </c>
      <c r="J1715" t="s">
        <v>12984</v>
      </c>
      <c r="K1715" t="s">
        <v>74</v>
      </c>
      <c r="L1715" t="s">
        <v>74</v>
      </c>
      <c r="M1715" t="s">
        <v>74</v>
      </c>
      <c r="N1715" t="s">
        <v>103</v>
      </c>
      <c r="O1715" t="s">
        <v>74</v>
      </c>
      <c r="P1715" t="s">
        <v>74</v>
      </c>
      <c r="Q1715" t="s">
        <v>74</v>
      </c>
      <c r="R1715" t="s">
        <v>74</v>
      </c>
      <c r="S1715" t="s">
        <v>74</v>
      </c>
      <c r="T1715" t="s">
        <v>74</v>
      </c>
      <c r="U1715" t="s">
        <v>18804</v>
      </c>
      <c r="V1715" t="s">
        <v>18805</v>
      </c>
      <c r="W1715" t="s">
        <v>18806</v>
      </c>
      <c r="X1715" t="s">
        <v>18807</v>
      </c>
      <c r="Y1715" t="s">
        <v>18808</v>
      </c>
      <c r="Z1715" t="s">
        <v>18809</v>
      </c>
      <c r="AA1715" t="s">
        <v>18810</v>
      </c>
      <c r="AB1715" t="s">
        <v>18811</v>
      </c>
      <c r="AC1715" t="s">
        <v>74</v>
      </c>
      <c r="AD1715" t="s">
        <v>74</v>
      </c>
      <c r="AE1715" t="s">
        <v>74</v>
      </c>
      <c r="AF1715" t="s">
        <v>74</v>
      </c>
      <c r="AG1715">
        <v>67</v>
      </c>
      <c r="AH1715">
        <v>2</v>
      </c>
      <c r="AI1715">
        <v>2</v>
      </c>
      <c r="AJ1715">
        <v>5</v>
      </c>
      <c r="AK1715">
        <v>13</v>
      </c>
      <c r="AL1715" t="s">
        <v>74</v>
      </c>
      <c r="AM1715" t="s">
        <v>74</v>
      </c>
      <c r="AN1715" t="s">
        <v>74</v>
      </c>
      <c r="AO1715" t="s">
        <v>12992</v>
      </c>
      <c r="AP1715" t="s">
        <v>12993</v>
      </c>
      <c r="AQ1715" t="s">
        <v>74</v>
      </c>
      <c r="AR1715" t="s">
        <v>74</v>
      </c>
      <c r="AS1715" t="s">
        <v>74</v>
      </c>
      <c r="AT1715" t="s">
        <v>230</v>
      </c>
      <c r="AU1715">
        <v>2021</v>
      </c>
      <c r="AV1715">
        <v>17</v>
      </c>
      <c r="AW1715">
        <v>8</v>
      </c>
      <c r="AX1715" t="s">
        <v>74</v>
      </c>
      <c r="AY1715" t="s">
        <v>74</v>
      </c>
      <c r="AZ1715" t="s">
        <v>74</v>
      </c>
      <c r="BA1715" t="s">
        <v>74</v>
      </c>
      <c r="BB1715" t="s">
        <v>74</v>
      </c>
      <c r="BC1715" t="s">
        <v>74</v>
      </c>
      <c r="BD1715" t="s">
        <v>74</v>
      </c>
      <c r="BE1715" t="s">
        <v>18812</v>
      </c>
      <c r="BF1715" t="str">
        <f>HYPERLINK("http://dx.doi.org/10.1371/journal.ppat.1009425","http://dx.doi.org/10.1371/journal.ppat.1009425")</f>
        <v>http://dx.doi.org/10.1371/journal.ppat.1009425</v>
      </c>
      <c r="BG1715" t="s">
        <v>74</v>
      </c>
      <c r="BH1715" t="s">
        <v>74</v>
      </c>
      <c r="BI1715" t="s">
        <v>74</v>
      </c>
      <c r="BJ1715" t="s">
        <v>12996</v>
      </c>
      <c r="BK1715" t="s">
        <v>117</v>
      </c>
      <c r="BL1715" t="s">
        <v>12996</v>
      </c>
      <c r="BM1715" t="s">
        <v>74</v>
      </c>
      <c r="BN1715">
        <v>34460871</v>
      </c>
      <c r="BO1715" t="s">
        <v>74</v>
      </c>
      <c r="BP1715" t="s">
        <v>74</v>
      </c>
      <c r="BQ1715" t="s">
        <v>74</v>
      </c>
      <c r="BR1715" t="s">
        <v>96</v>
      </c>
      <c r="BS1715" t="s">
        <v>18813</v>
      </c>
      <c r="BT1715" t="str">
        <f>HYPERLINK("https%3A%2F%2Fwww.webofscience.com%2Fwos%2Fwoscc%2Ffull-record%2FWOS:000724026700004","View Full Record in Web of Science")</f>
        <v>View Full Record in Web of Science</v>
      </c>
    </row>
    <row r="1716" spans="1:72" x14ac:dyDescent="0.15">
      <c r="A1716" t="s">
        <v>98</v>
      </c>
      <c r="B1716" t="s">
        <v>18846</v>
      </c>
      <c r="C1716" t="s">
        <v>74</v>
      </c>
      <c r="D1716" t="s">
        <v>74</v>
      </c>
      <c r="E1716" t="s">
        <v>74</v>
      </c>
      <c r="F1716" t="s">
        <v>18847</v>
      </c>
      <c r="G1716" t="s">
        <v>74</v>
      </c>
      <c r="H1716" t="s">
        <v>74</v>
      </c>
      <c r="I1716" t="s">
        <v>18848</v>
      </c>
      <c r="J1716" t="s">
        <v>18849</v>
      </c>
      <c r="K1716" t="s">
        <v>74</v>
      </c>
      <c r="L1716" t="s">
        <v>74</v>
      </c>
      <c r="M1716" t="s">
        <v>74</v>
      </c>
      <c r="N1716" t="s">
        <v>103</v>
      </c>
      <c r="O1716" t="s">
        <v>74</v>
      </c>
      <c r="P1716" t="s">
        <v>74</v>
      </c>
      <c r="Q1716" t="s">
        <v>74</v>
      </c>
      <c r="R1716" t="s">
        <v>74</v>
      </c>
      <c r="S1716" t="s">
        <v>74</v>
      </c>
      <c r="T1716" t="s">
        <v>18850</v>
      </c>
      <c r="U1716" t="s">
        <v>18851</v>
      </c>
      <c r="V1716" t="s">
        <v>18852</v>
      </c>
      <c r="W1716" t="s">
        <v>18853</v>
      </c>
      <c r="X1716" t="s">
        <v>18854</v>
      </c>
      <c r="Y1716" t="s">
        <v>18855</v>
      </c>
      <c r="Z1716" t="s">
        <v>18090</v>
      </c>
      <c r="AA1716" t="s">
        <v>18856</v>
      </c>
      <c r="AB1716" t="s">
        <v>18857</v>
      </c>
      <c r="AC1716" t="s">
        <v>74</v>
      </c>
      <c r="AD1716" t="s">
        <v>74</v>
      </c>
      <c r="AE1716" t="s">
        <v>74</v>
      </c>
      <c r="AF1716" t="s">
        <v>74</v>
      </c>
      <c r="AG1716">
        <v>57</v>
      </c>
      <c r="AH1716">
        <v>2</v>
      </c>
      <c r="AI1716">
        <v>2</v>
      </c>
      <c r="AJ1716">
        <v>0</v>
      </c>
      <c r="AK1716">
        <v>1</v>
      </c>
      <c r="AL1716" t="s">
        <v>74</v>
      </c>
      <c r="AM1716" t="s">
        <v>74</v>
      </c>
      <c r="AN1716" t="s">
        <v>74</v>
      </c>
      <c r="AO1716" t="s">
        <v>18858</v>
      </c>
      <c r="AP1716" t="s">
        <v>18859</v>
      </c>
      <c r="AQ1716" t="s">
        <v>74</v>
      </c>
      <c r="AR1716" t="s">
        <v>74</v>
      </c>
      <c r="AS1716" t="s">
        <v>74</v>
      </c>
      <c r="AT1716" t="s">
        <v>17103</v>
      </c>
      <c r="AU1716">
        <v>2019</v>
      </c>
      <c r="AV1716">
        <v>43</v>
      </c>
      <c r="AW1716">
        <v>1</v>
      </c>
      <c r="AX1716" t="s">
        <v>74</v>
      </c>
      <c r="AY1716" t="s">
        <v>74</v>
      </c>
      <c r="AZ1716" t="s">
        <v>74</v>
      </c>
      <c r="BA1716" t="s">
        <v>74</v>
      </c>
      <c r="BB1716">
        <v>56</v>
      </c>
      <c r="BC1716">
        <v>65</v>
      </c>
      <c r="BD1716" t="s">
        <v>74</v>
      </c>
      <c r="BE1716" t="s">
        <v>18860</v>
      </c>
      <c r="BF1716" t="str">
        <f>HYPERLINK("http://dx.doi.org/10.1080/01913123.2019.1575499","http://dx.doi.org/10.1080/01913123.2019.1575499")</f>
        <v>http://dx.doi.org/10.1080/01913123.2019.1575499</v>
      </c>
      <c r="BG1716" t="s">
        <v>74</v>
      </c>
      <c r="BH1716" t="s">
        <v>74</v>
      </c>
      <c r="BI1716" t="s">
        <v>74</v>
      </c>
      <c r="BJ1716" t="s">
        <v>18861</v>
      </c>
      <c r="BK1716" t="s">
        <v>117</v>
      </c>
      <c r="BL1716" t="s">
        <v>18861</v>
      </c>
      <c r="BM1716" t="s">
        <v>74</v>
      </c>
      <c r="BN1716">
        <v>30758240</v>
      </c>
      <c r="BO1716" t="s">
        <v>74</v>
      </c>
      <c r="BP1716" t="s">
        <v>74</v>
      </c>
      <c r="BQ1716" t="s">
        <v>74</v>
      </c>
      <c r="BR1716" t="s">
        <v>96</v>
      </c>
      <c r="BS1716" t="s">
        <v>18862</v>
      </c>
      <c r="BT1716" t="str">
        <f>HYPERLINK("https%3A%2F%2Fwww.webofscience.com%2Fwos%2Fwoscc%2Ffull-record%2FWOS:000468408400005","View Full Record in Web of Science")</f>
        <v>View Full Record in Web of Science</v>
      </c>
    </row>
    <row r="1717" spans="1:72" x14ac:dyDescent="0.15">
      <c r="A1717" t="s">
        <v>98</v>
      </c>
      <c r="B1717" t="s">
        <v>19226</v>
      </c>
      <c r="C1717" t="s">
        <v>74</v>
      </c>
      <c r="D1717" t="s">
        <v>74</v>
      </c>
      <c r="E1717" t="s">
        <v>74</v>
      </c>
      <c r="F1717" t="s">
        <v>19226</v>
      </c>
      <c r="G1717" t="s">
        <v>74</v>
      </c>
      <c r="H1717" t="s">
        <v>74</v>
      </c>
      <c r="I1717" t="s">
        <v>19227</v>
      </c>
      <c r="J1717" t="s">
        <v>19228</v>
      </c>
      <c r="K1717" t="s">
        <v>74</v>
      </c>
      <c r="L1717" t="s">
        <v>74</v>
      </c>
      <c r="M1717" t="s">
        <v>74</v>
      </c>
      <c r="N1717" t="s">
        <v>103</v>
      </c>
      <c r="O1717" t="s">
        <v>74</v>
      </c>
      <c r="P1717" t="s">
        <v>74</v>
      </c>
      <c r="Q1717" t="s">
        <v>74</v>
      </c>
      <c r="R1717" t="s">
        <v>74</v>
      </c>
      <c r="S1717" t="s">
        <v>74</v>
      </c>
      <c r="T1717" t="s">
        <v>19229</v>
      </c>
      <c r="U1717" t="s">
        <v>19230</v>
      </c>
      <c r="V1717" t="s">
        <v>19231</v>
      </c>
      <c r="W1717" t="s">
        <v>19232</v>
      </c>
      <c r="X1717" t="s">
        <v>19233</v>
      </c>
      <c r="Y1717" t="s">
        <v>74</v>
      </c>
      <c r="Z1717" t="s">
        <v>74</v>
      </c>
      <c r="AA1717" t="s">
        <v>74</v>
      </c>
      <c r="AB1717" t="s">
        <v>74</v>
      </c>
      <c r="AC1717" t="s">
        <v>74</v>
      </c>
      <c r="AD1717" t="s">
        <v>74</v>
      </c>
      <c r="AE1717" t="s">
        <v>74</v>
      </c>
      <c r="AF1717" t="s">
        <v>74</v>
      </c>
      <c r="AG1717">
        <v>30</v>
      </c>
      <c r="AH1717">
        <v>2</v>
      </c>
      <c r="AI1717">
        <v>2</v>
      </c>
      <c r="AJ1717">
        <v>0</v>
      </c>
      <c r="AK1717">
        <v>0</v>
      </c>
      <c r="AL1717" t="s">
        <v>74</v>
      </c>
      <c r="AM1717" t="s">
        <v>74</v>
      </c>
      <c r="AN1717" t="s">
        <v>74</v>
      </c>
      <c r="AO1717" t="s">
        <v>19234</v>
      </c>
      <c r="AP1717" t="s">
        <v>74</v>
      </c>
      <c r="AQ1717" t="s">
        <v>74</v>
      </c>
      <c r="AR1717" t="s">
        <v>74</v>
      </c>
      <c r="AS1717" t="s">
        <v>74</v>
      </c>
      <c r="AT1717" t="s">
        <v>170</v>
      </c>
      <c r="AU1717">
        <v>1997</v>
      </c>
      <c r="AV1717">
        <v>12</v>
      </c>
      <c r="AW1717">
        <v>3</v>
      </c>
      <c r="AX1717" t="s">
        <v>74</v>
      </c>
      <c r="AY1717" t="s">
        <v>74</v>
      </c>
      <c r="AZ1717" t="s">
        <v>74</v>
      </c>
      <c r="BA1717" t="s">
        <v>74</v>
      </c>
      <c r="BB1717">
        <v>155</v>
      </c>
      <c r="BC1717">
        <v>161</v>
      </c>
      <c r="BD1717" t="s">
        <v>74</v>
      </c>
      <c r="BE1717" t="s">
        <v>19235</v>
      </c>
      <c r="BF1717" t="str">
        <f>HYPERLINK("http://dx.doi.org/10.1111/j.1399-302X.1997.tb00372.x","http://dx.doi.org/10.1111/j.1399-302X.1997.tb00372.x")</f>
        <v>http://dx.doi.org/10.1111/j.1399-302X.1997.tb00372.x</v>
      </c>
      <c r="BG1717" t="s">
        <v>74</v>
      </c>
      <c r="BH1717" t="s">
        <v>74</v>
      </c>
      <c r="BI1717" t="s">
        <v>74</v>
      </c>
      <c r="BJ1717" t="s">
        <v>19236</v>
      </c>
      <c r="BK1717" t="s">
        <v>117</v>
      </c>
      <c r="BL1717" t="s">
        <v>19236</v>
      </c>
      <c r="BM1717" t="s">
        <v>74</v>
      </c>
      <c r="BN1717">
        <v>9467401</v>
      </c>
      <c r="BO1717" t="s">
        <v>74</v>
      </c>
      <c r="BP1717" t="s">
        <v>74</v>
      </c>
      <c r="BQ1717" t="s">
        <v>74</v>
      </c>
      <c r="BR1717" t="s">
        <v>96</v>
      </c>
      <c r="BS1717" t="s">
        <v>19237</v>
      </c>
      <c r="BT1717" t="str">
        <f>HYPERLINK("https%3A%2F%2Fwww.webofscience.com%2Fwos%2Fwoscc%2Ffull-record%2FWOS:A1997XC44900005","View Full Record in Web of Science")</f>
        <v>View Full Record in Web of Science</v>
      </c>
    </row>
    <row r="1718" spans="1:72" x14ac:dyDescent="0.15">
      <c r="A1718" t="s">
        <v>98</v>
      </c>
      <c r="B1718" t="s">
        <v>19454</v>
      </c>
      <c r="C1718" t="s">
        <v>74</v>
      </c>
      <c r="D1718" t="s">
        <v>74</v>
      </c>
      <c r="E1718" t="s">
        <v>74</v>
      </c>
      <c r="F1718" t="s">
        <v>19455</v>
      </c>
      <c r="G1718" t="s">
        <v>74</v>
      </c>
      <c r="H1718" t="s">
        <v>74</v>
      </c>
      <c r="I1718" t="s">
        <v>19456</v>
      </c>
      <c r="J1718" t="s">
        <v>19457</v>
      </c>
      <c r="K1718" t="s">
        <v>74</v>
      </c>
      <c r="L1718" t="s">
        <v>74</v>
      </c>
      <c r="M1718" t="s">
        <v>74</v>
      </c>
      <c r="N1718" t="s">
        <v>103</v>
      </c>
      <c r="O1718" t="s">
        <v>74</v>
      </c>
      <c r="P1718" t="s">
        <v>74</v>
      </c>
      <c r="Q1718" t="s">
        <v>74</v>
      </c>
      <c r="R1718" t="s">
        <v>74</v>
      </c>
      <c r="S1718" t="s">
        <v>74</v>
      </c>
      <c r="T1718" t="s">
        <v>19458</v>
      </c>
      <c r="U1718" t="s">
        <v>19459</v>
      </c>
      <c r="V1718" t="s">
        <v>19460</v>
      </c>
      <c r="W1718" t="s">
        <v>19461</v>
      </c>
      <c r="X1718" t="s">
        <v>19462</v>
      </c>
      <c r="Y1718" t="s">
        <v>19463</v>
      </c>
      <c r="Z1718" t="s">
        <v>19464</v>
      </c>
      <c r="AA1718" t="s">
        <v>19465</v>
      </c>
      <c r="AB1718" t="s">
        <v>19466</v>
      </c>
      <c r="AC1718" t="s">
        <v>74</v>
      </c>
      <c r="AD1718" t="s">
        <v>74</v>
      </c>
      <c r="AE1718" t="s">
        <v>74</v>
      </c>
      <c r="AF1718" t="s">
        <v>74</v>
      </c>
      <c r="AG1718">
        <v>47</v>
      </c>
      <c r="AH1718">
        <v>2</v>
      </c>
      <c r="AI1718">
        <v>2</v>
      </c>
      <c r="AJ1718">
        <v>1</v>
      </c>
      <c r="AK1718">
        <v>2</v>
      </c>
      <c r="AL1718" t="s">
        <v>74</v>
      </c>
      <c r="AM1718" t="s">
        <v>74</v>
      </c>
      <c r="AN1718" t="s">
        <v>74</v>
      </c>
      <c r="AO1718" t="s">
        <v>19467</v>
      </c>
      <c r="AP1718" t="s">
        <v>19468</v>
      </c>
      <c r="AQ1718" t="s">
        <v>74</v>
      </c>
      <c r="AR1718" t="s">
        <v>74</v>
      </c>
      <c r="AS1718" t="s">
        <v>74</v>
      </c>
      <c r="AT1718" t="s">
        <v>283</v>
      </c>
      <c r="AU1718">
        <v>2021</v>
      </c>
      <c r="AV1718">
        <v>15</v>
      </c>
      <c r="AW1718">
        <v>1</v>
      </c>
      <c r="AX1718" t="s">
        <v>74</v>
      </c>
      <c r="AY1718" t="s">
        <v>74</v>
      </c>
      <c r="AZ1718" t="s">
        <v>74</v>
      </c>
      <c r="BA1718" t="s">
        <v>74</v>
      </c>
      <c r="BB1718">
        <v>177</v>
      </c>
      <c r="BC1718">
        <v>187</v>
      </c>
      <c r="BD1718" t="s">
        <v>74</v>
      </c>
      <c r="BE1718" t="s">
        <v>19469</v>
      </c>
      <c r="BF1718" t="str">
        <f>HYPERLINK("http://dx.doi.org/10.1109/TBCAS.2021.3060569","http://dx.doi.org/10.1109/TBCAS.2021.3060569")</f>
        <v>http://dx.doi.org/10.1109/TBCAS.2021.3060569</v>
      </c>
      <c r="BG1718" t="s">
        <v>74</v>
      </c>
      <c r="BH1718" t="s">
        <v>74</v>
      </c>
      <c r="BI1718" t="s">
        <v>74</v>
      </c>
      <c r="BJ1718" t="s">
        <v>19470</v>
      </c>
      <c r="BK1718" t="s">
        <v>117</v>
      </c>
      <c r="BL1718" t="s">
        <v>7748</v>
      </c>
      <c r="BM1718" t="s">
        <v>74</v>
      </c>
      <c r="BN1718">
        <v>33606634</v>
      </c>
      <c r="BO1718" t="s">
        <v>74</v>
      </c>
      <c r="BP1718" t="s">
        <v>74</v>
      </c>
      <c r="BQ1718" t="s">
        <v>74</v>
      </c>
      <c r="BR1718" t="s">
        <v>96</v>
      </c>
      <c r="BS1718" t="s">
        <v>19471</v>
      </c>
      <c r="BT1718" t="str">
        <f>HYPERLINK("https%3A%2F%2Fwww.webofscience.com%2Fwos%2Fwoscc%2Ffull-record%2FWOS:000637190200015","View Full Record in Web of Science")</f>
        <v>View Full Record in Web of Science</v>
      </c>
    </row>
    <row r="1719" spans="1:72" x14ac:dyDescent="0.15">
      <c r="A1719" t="s">
        <v>98</v>
      </c>
      <c r="B1719" t="s">
        <v>19678</v>
      </c>
      <c r="C1719" t="s">
        <v>74</v>
      </c>
      <c r="D1719" t="s">
        <v>74</v>
      </c>
      <c r="E1719" t="s">
        <v>74</v>
      </c>
      <c r="F1719" t="s">
        <v>19679</v>
      </c>
      <c r="G1719" t="s">
        <v>74</v>
      </c>
      <c r="H1719" t="s">
        <v>74</v>
      </c>
      <c r="I1719" t="s">
        <v>19680</v>
      </c>
      <c r="J1719" t="s">
        <v>19681</v>
      </c>
      <c r="K1719" t="s">
        <v>74</v>
      </c>
      <c r="L1719" t="s">
        <v>74</v>
      </c>
      <c r="M1719" t="s">
        <v>74</v>
      </c>
      <c r="N1719" t="s">
        <v>103</v>
      </c>
      <c r="O1719" t="s">
        <v>74</v>
      </c>
      <c r="P1719" t="s">
        <v>74</v>
      </c>
      <c r="Q1719" t="s">
        <v>74</v>
      </c>
      <c r="R1719" t="s">
        <v>74</v>
      </c>
      <c r="S1719" t="s">
        <v>74</v>
      </c>
      <c r="T1719" t="s">
        <v>74</v>
      </c>
      <c r="U1719" t="s">
        <v>19682</v>
      </c>
      <c r="V1719" t="s">
        <v>19683</v>
      </c>
      <c r="W1719" t="s">
        <v>19684</v>
      </c>
      <c r="X1719" t="s">
        <v>19685</v>
      </c>
      <c r="Y1719" t="s">
        <v>19686</v>
      </c>
      <c r="Z1719" t="s">
        <v>19687</v>
      </c>
      <c r="AA1719" t="s">
        <v>74</v>
      </c>
      <c r="AB1719" t="s">
        <v>19688</v>
      </c>
      <c r="AC1719" t="s">
        <v>74</v>
      </c>
      <c r="AD1719" t="s">
        <v>74</v>
      </c>
      <c r="AE1719" t="s">
        <v>74</v>
      </c>
      <c r="AF1719" t="s">
        <v>74</v>
      </c>
      <c r="AG1719">
        <v>30</v>
      </c>
      <c r="AH1719">
        <v>2</v>
      </c>
      <c r="AI1719">
        <v>2</v>
      </c>
      <c r="AJ1719">
        <v>1</v>
      </c>
      <c r="AK1719">
        <v>2</v>
      </c>
      <c r="AL1719" t="s">
        <v>74</v>
      </c>
      <c r="AM1719" t="s">
        <v>74</v>
      </c>
      <c r="AN1719" t="s">
        <v>74</v>
      </c>
      <c r="AO1719" t="s">
        <v>19689</v>
      </c>
      <c r="AP1719" t="s">
        <v>19690</v>
      </c>
      <c r="AQ1719" t="s">
        <v>74</v>
      </c>
      <c r="AR1719" t="s">
        <v>74</v>
      </c>
      <c r="AS1719" t="s">
        <v>74</v>
      </c>
      <c r="AT1719" t="s">
        <v>283</v>
      </c>
      <c r="AU1719">
        <v>2021</v>
      </c>
      <c r="AV1719">
        <v>59</v>
      </c>
      <c r="AW1719">
        <v>2</v>
      </c>
      <c r="AX1719" t="s">
        <v>74</v>
      </c>
      <c r="AY1719" t="s">
        <v>74</v>
      </c>
      <c r="AZ1719" t="s">
        <v>74</v>
      </c>
      <c r="BA1719" t="s">
        <v>74</v>
      </c>
      <c r="BB1719">
        <v>167</v>
      </c>
      <c r="BC1719">
        <v>174</v>
      </c>
      <c r="BD1719" t="s">
        <v>74</v>
      </c>
      <c r="BE1719" t="s">
        <v>19691</v>
      </c>
      <c r="BF1719" t="str">
        <f>HYPERLINK("http://dx.doi.org/10.1038/s41393-020-0518-3","http://dx.doi.org/10.1038/s41393-020-0518-3")</f>
        <v>http://dx.doi.org/10.1038/s41393-020-0518-3</v>
      </c>
      <c r="BG1719" t="s">
        <v>74</v>
      </c>
      <c r="BH1719" t="s">
        <v>7893</v>
      </c>
      <c r="BI1719" t="s">
        <v>74</v>
      </c>
      <c r="BJ1719" t="s">
        <v>19692</v>
      </c>
      <c r="BK1719" t="s">
        <v>117</v>
      </c>
      <c r="BL1719" t="s">
        <v>19693</v>
      </c>
      <c r="BM1719" t="s">
        <v>74</v>
      </c>
      <c r="BN1719">
        <v>32651457</v>
      </c>
      <c r="BO1719" t="s">
        <v>74</v>
      </c>
      <c r="BP1719" t="s">
        <v>74</v>
      </c>
      <c r="BQ1719" t="s">
        <v>74</v>
      </c>
      <c r="BR1719" t="s">
        <v>96</v>
      </c>
      <c r="BS1719" t="s">
        <v>19694</v>
      </c>
      <c r="BT1719" t="str">
        <f>HYPERLINK("https%3A%2F%2Fwww.webofscience.com%2Fwos%2Fwoscc%2Ffull-record%2FWOS:000547240600001","View Full Record in Web of Science")</f>
        <v>View Full Record in Web of Science</v>
      </c>
    </row>
    <row r="1720" spans="1:72" x14ac:dyDescent="0.15">
      <c r="A1720" t="s">
        <v>98</v>
      </c>
      <c r="B1720" t="s">
        <v>16771</v>
      </c>
      <c r="C1720" t="s">
        <v>74</v>
      </c>
      <c r="D1720" t="s">
        <v>74</v>
      </c>
      <c r="E1720" t="s">
        <v>74</v>
      </c>
      <c r="F1720" t="s">
        <v>16772</v>
      </c>
      <c r="G1720" t="s">
        <v>74</v>
      </c>
      <c r="H1720" t="s">
        <v>74</v>
      </c>
      <c r="I1720" t="s">
        <v>19881</v>
      </c>
      <c r="J1720" t="s">
        <v>19882</v>
      </c>
      <c r="K1720" t="s">
        <v>74</v>
      </c>
      <c r="L1720" t="s">
        <v>74</v>
      </c>
      <c r="M1720" t="s">
        <v>74</v>
      </c>
      <c r="N1720" t="s">
        <v>103</v>
      </c>
      <c r="O1720" t="s">
        <v>74</v>
      </c>
      <c r="P1720" t="s">
        <v>74</v>
      </c>
      <c r="Q1720" t="s">
        <v>74</v>
      </c>
      <c r="R1720" t="s">
        <v>74</v>
      </c>
      <c r="S1720" t="s">
        <v>74</v>
      </c>
      <c r="T1720" t="s">
        <v>19883</v>
      </c>
      <c r="U1720" t="s">
        <v>19884</v>
      </c>
      <c r="V1720" t="s">
        <v>19885</v>
      </c>
      <c r="W1720" t="s">
        <v>19886</v>
      </c>
      <c r="X1720" t="s">
        <v>19887</v>
      </c>
      <c r="Y1720" t="s">
        <v>19888</v>
      </c>
      <c r="Z1720" t="s">
        <v>19889</v>
      </c>
      <c r="AA1720" t="s">
        <v>74</v>
      </c>
      <c r="AB1720" t="s">
        <v>74</v>
      </c>
      <c r="AC1720" t="s">
        <v>74</v>
      </c>
      <c r="AD1720" t="s">
        <v>74</v>
      </c>
      <c r="AE1720" t="s">
        <v>74</v>
      </c>
      <c r="AF1720" t="s">
        <v>74</v>
      </c>
      <c r="AG1720">
        <v>45</v>
      </c>
      <c r="AH1720">
        <v>2</v>
      </c>
      <c r="AI1720">
        <v>2</v>
      </c>
      <c r="AJ1720">
        <v>0</v>
      </c>
      <c r="AK1720">
        <v>0</v>
      </c>
      <c r="AL1720" t="s">
        <v>74</v>
      </c>
      <c r="AM1720" t="s">
        <v>74</v>
      </c>
      <c r="AN1720" t="s">
        <v>74</v>
      </c>
      <c r="AO1720" t="s">
        <v>19890</v>
      </c>
      <c r="AP1720" t="s">
        <v>19891</v>
      </c>
      <c r="AQ1720" t="s">
        <v>74</v>
      </c>
      <c r="AR1720" t="s">
        <v>74</v>
      </c>
      <c r="AS1720" t="s">
        <v>74</v>
      </c>
      <c r="AT1720" t="s">
        <v>114</v>
      </c>
      <c r="AU1720">
        <v>2022</v>
      </c>
      <c r="AV1720">
        <v>260</v>
      </c>
      <c r="AW1720" t="s">
        <v>74</v>
      </c>
      <c r="AX1720" t="s">
        <v>74</v>
      </c>
      <c r="AY1720" t="s">
        <v>74</v>
      </c>
      <c r="AZ1720" t="s">
        <v>74</v>
      </c>
      <c r="BA1720" t="s">
        <v>74</v>
      </c>
      <c r="BB1720">
        <v>57</v>
      </c>
      <c r="BC1720">
        <v>64</v>
      </c>
      <c r="BD1720" t="s">
        <v>74</v>
      </c>
      <c r="BE1720" t="s">
        <v>19892</v>
      </c>
      <c r="BF1720" t="str">
        <f>HYPERLINK("http://dx.doi.org/10.1016/j.cancergen.2021.07.004","http://dx.doi.org/10.1016/j.cancergen.2021.07.004")</f>
        <v>http://dx.doi.org/10.1016/j.cancergen.2021.07.004</v>
      </c>
      <c r="BG1720" t="s">
        <v>74</v>
      </c>
      <c r="BH1720" t="s">
        <v>74</v>
      </c>
      <c r="BI1720" t="s">
        <v>74</v>
      </c>
      <c r="BJ1720" t="s">
        <v>12437</v>
      </c>
      <c r="BK1720" t="s">
        <v>117</v>
      </c>
      <c r="BL1720" t="s">
        <v>12437</v>
      </c>
      <c r="BM1720" t="s">
        <v>74</v>
      </c>
      <c r="BN1720">
        <v>34426211</v>
      </c>
      <c r="BO1720" t="s">
        <v>74</v>
      </c>
      <c r="BP1720" t="s">
        <v>74</v>
      </c>
      <c r="BQ1720" t="s">
        <v>74</v>
      </c>
      <c r="BR1720" t="s">
        <v>96</v>
      </c>
      <c r="BS1720" t="s">
        <v>19893</v>
      </c>
      <c r="BT1720" t="str">
        <f>HYPERLINK("https%3A%2F%2Fwww.webofscience.com%2Fwos%2Fwoscc%2Ffull-record%2FWOS:000802206800005","View Full Record in Web of Science")</f>
        <v>View Full Record in Web of Science</v>
      </c>
    </row>
    <row r="1721" spans="1:72" x14ac:dyDescent="0.15">
      <c r="A1721" t="s">
        <v>98</v>
      </c>
      <c r="B1721" t="s">
        <v>20114</v>
      </c>
      <c r="C1721" t="s">
        <v>74</v>
      </c>
      <c r="D1721" t="s">
        <v>74</v>
      </c>
      <c r="E1721" t="s">
        <v>74</v>
      </c>
      <c r="F1721" t="s">
        <v>20115</v>
      </c>
      <c r="G1721" t="s">
        <v>74</v>
      </c>
      <c r="H1721" t="s">
        <v>74</v>
      </c>
      <c r="I1721" t="s">
        <v>20116</v>
      </c>
      <c r="J1721" t="s">
        <v>20117</v>
      </c>
      <c r="K1721" t="s">
        <v>74</v>
      </c>
      <c r="L1721" t="s">
        <v>74</v>
      </c>
      <c r="M1721" t="s">
        <v>74</v>
      </c>
      <c r="N1721" t="s">
        <v>103</v>
      </c>
      <c r="O1721" t="s">
        <v>74</v>
      </c>
      <c r="P1721" t="s">
        <v>74</v>
      </c>
      <c r="Q1721" t="s">
        <v>74</v>
      </c>
      <c r="R1721" t="s">
        <v>74</v>
      </c>
      <c r="S1721" t="s">
        <v>74</v>
      </c>
      <c r="T1721" t="s">
        <v>20118</v>
      </c>
      <c r="U1721" t="s">
        <v>74</v>
      </c>
      <c r="V1721" t="s">
        <v>20119</v>
      </c>
      <c r="W1721" t="s">
        <v>20120</v>
      </c>
      <c r="X1721" t="s">
        <v>20121</v>
      </c>
      <c r="Y1721" t="s">
        <v>20122</v>
      </c>
      <c r="Z1721" t="s">
        <v>20123</v>
      </c>
      <c r="AA1721" t="s">
        <v>20124</v>
      </c>
      <c r="AB1721" t="s">
        <v>20125</v>
      </c>
      <c r="AC1721" t="s">
        <v>74</v>
      </c>
      <c r="AD1721" t="s">
        <v>74</v>
      </c>
      <c r="AE1721" t="s">
        <v>74</v>
      </c>
      <c r="AF1721" t="s">
        <v>74</v>
      </c>
      <c r="AG1721">
        <v>36</v>
      </c>
      <c r="AH1721">
        <v>2</v>
      </c>
      <c r="AI1721">
        <v>2</v>
      </c>
      <c r="AJ1721">
        <v>0</v>
      </c>
      <c r="AK1721">
        <v>1</v>
      </c>
      <c r="AL1721" t="s">
        <v>74</v>
      </c>
      <c r="AM1721" t="s">
        <v>74</v>
      </c>
      <c r="AN1721" t="s">
        <v>74</v>
      </c>
      <c r="AO1721" t="s">
        <v>20126</v>
      </c>
      <c r="AP1721" t="s">
        <v>20127</v>
      </c>
      <c r="AQ1721" t="s">
        <v>74</v>
      </c>
      <c r="AR1721" t="s">
        <v>74</v>
      </c>
      <c r="AS1721" t="s">
        <v>74</v>
      </c>
      <c r="AT1721" t="s">
        <v>170</v>
      </c>
      <c r="AU1721">
        <v>2016</v>
      </c>
      <c r="AV1721">
        <v>49</v>
      </c>
      <c r="AW1721">
        <v>2</v>
      </c>
      <c r="AX1721" t="s">
        <v>74</v>
      </c>
      <c r="AY1721" t="s">
        <v>74</v>
      </c>
      <c r="AZ1721" t="s">
        <v>74</v>
      </c>
      <c r="BA1721" t="s">
        <v>74</v>
      </c>
      <c r="BB1721">
        <v>107</v>
      </c>
      <c r="BC1721">
        <v>115</v>
      </c>
      <c r="BD1721" t="s">
        <v>74</v>
      </c>
      <c r="BE1721" t="s">
        <v>20128</v>
      </c>
      <c r="BF1721" t="str">
        <f>HYPERLINK("http://dx.doi.org/10.5115/acb.2016.49.2.107","http://dx.doi.org/10.5115/acb.2016.49.2.107")</f>
        <v>http://dx.doi.org/10.5115/acb.2016.49.2.107</v>
      </c>
      <c r="BG1721" t="s">
        <v>74</v>
      </c>
      <c r="BH1721" t="s">
        <v>74</v>
      </c>
      <c r="BI1721" t="s">
        <v>74</v>
      </c>
      <c r="BJ1721" t="s">
        <v>449</v>
      </c>
      <c r="BK1721" t="s">
        <v>467</v>
      </c>
      <c r="BL1721" t="s">
        <v>449</v>
      </c>
      <c r="BM1721" t="s">
        <v>74</v>
      </c>
      <c r="BN1721">
        <v>27382512</v>
      </c>
      <c r="BO1721" t="s">
        <v>74</v>
      </c>
      <c r="BP1721" t="s">
        <v>74</v>
      </c>
      <c r="BQ1721" t="s">
        <v>74</v>
      </c>
      <c r="BR1721" t="s">
        <v>96</v>
      </c>
      <c r="BS1721" t="s">
        <v>20129</v>
      </c>
      <c r="BT1721" t="str">
        <f>HYPERLINK("https%3A%2F%2Fwww.webofscience.com%2Fwos%2Fwoscc%2Ffull-record%2FWOS:000448070100004","View Full Record in Web of Science")</f>
        <v>View Full Record in Web of Science</v>
      </c>
    </row>
    <row r="1722" spans="1:72" x14ac:dyDescent="0.15">
      <c r="A1722" t="s">
        <v>98</v>
      </c>
      <c r="B1722" t="s">
        <v>20144</v>
      </c>
      <c r="C1722" t="s">
        <v>74</v>
      </c>
      <c r="D1722" t="s">
        <v>74</v>
      </c>
      <c r="E1722" t="s">
        <v>74</v>
      </c>
      <c r="F1722" t="s">
        <v>20145</v>
      </c>
      <c r="G1722" t="s">
        <v>74</v>
      </c>
      <c r="H1722" t="s">
        <v>74</v>
      </c>
      <c r="I1722" t="s">
        <v>20146</v>
      </c>
      <c r="J1722" t="s">
        <v>14823</v>
      </c>
      <c r="K1722" t="s">
        <v>74</v>
      </c>
      <c r="L1722" t="s">
        <v>74</v>
      </c>
      <c r="M1722" t="s">
        <v>74</v>
      </c>
      <c r="N1722" t="s">
        <v>103</v>
      </c>
      <c r="O1722" t="s">
        <v>74</v>
      </c>
      <c r="P1722" t="s">
        <v>74</v>
      </c>
      <c r="Q1722" t="s">
        <v>74</v>
      </c>
      <c r="R1722" t="s">
        <v>74</v>
      </c>
      <c r="S1722" t="s">
        <v>74</v>
      </c>
      <c r="T1722" t="s">
        <v>20147</v>
      </c>
      <c r="U1722" t="s">
        <v>20148</v>
      </c>
      <c r="V1722" t="s">
        <v>20149</v>
      </c>
      <c r="W1722" t="s">
        <v>20150</v>
      </c>
      <c r="X1722" t="s">
        <v>20151</v>
      </c>
      <c r="Y1722" t="s">
        <v>20152</v>
      </c>
      <c r="Z1722" t="s">
        <v>20153</v>
      </c>
      <c r="AA1722" t="s">
        <v>74</v>
      </c>
      <c r="AB1722" t="s">
        <v>20154</v>
      </c>
      <c r="AC1722" t="s">
        <v>74</v>
      </c>
      <c r="AD1722" t="s">
        <v>74</v>
      </c>
      <c r="AE1722" t="s">
        <v>74</v>
      </c>
      <c r="AF1722" t="s">
        <v>74</v>
      </c>
      <c r="AG1722">
        <v>36</v>
      </c>
      <c r="AH1722">
        <v>2</v>
      </c>
      <c r="AI1722">
        <v>2</v>
      </c>
      <c r="AJ1722">
        <v>10</v>
      </c>
      <c r="AK1722">
        <v>10</v>
      </c>
      <c r="AL1722" t="s">
        <v>74</v>
      </c>
      <c r="AM1722" t="s">
        <v>74</v>
      </c>
      <c r="AN1722" t="s">
        <v>74</v>
      </c>
      <c r="AO1722" t="s">
        <v>14831</v>
      </c>
      <c r="AP1722" t="s">
        <v>14832</v>
      </c>
      <c r="AQ1722" t="s">
        <v>74</v>
      </c>
      <c r="AR1722" t="s">
        <v>74</v>
      </c>
      <c r="AS1722" t="s">
        <v>74</v>
      </c>
      <c r="AT1722" t="s">
        <v>170</v>
      </c>
      <c r="AU1722">
        <v>2022</v>
      </c>
      <c r="AV1722">
        <v>33</v>
      </c>
      <c r="AW1722">
        <v>6</v>
      </c>
      <c r="AX1722" t="s">
        <v>74</v>
      </c>
      <c r="AY1722" t="s">
        <v>74</v>
      </c>
      <c r="AZ1722" t="s">
        <v>74</v>
      </c>
      <c r="BA1722" t="s">
        <v>74</v>
      </c>
      <c r="BB1722">
        <v>3183</v>
      </c>
      <c r="BC1722">
        <v>3187</v>
      </c>
      <c r="BD1722" t="s">
        <v>74</v>
      </c>
      <c r="BE1722" t="s">
        <v>20155</v>
      </c>
      <c r="BF1722" t="str">
        <f>HYPERLINK("http://dx.doi.org/10.1016/j.cclet.2021.11.092","http://dx.doi.org/10.1016/j.cclet.2021.11.092")</f>
        <v>http://dx.doi.org/10.1016/j.cclet.2021.11.092</v>
      </c>
      <c r="BG1722" t="s">
        <v>74</v>
      </c>
      <c r="BH1722" t="s">
        <v>74</v>
      </c>
      <c r="BI1722" t="s">
        <v>74</v>
      </c>
      <c r="BJ1722" t="s">
        <v>1047</v>
      </c>
      <c r="BK1722" t="s">
        <v>117</v>
      </c>
      <c r="BL1722" t="s">
        <v>1048</v>
      </c>
      <c r="BM1722" t="s">
        <v>74</v>
      </c>
      <c r="BN1722" t="s">
        <v>74</v>
      </c>
      <c r="BO1722" t="s">
        <v>74</v>
      </c>
      <c r="BP1722" t="s">
        <v>74</v>
      </c>
      <c r="BQ1722" t="s">
        <v>74</v>
      </c>
      <c r="BR1722" t="s">
        <v>96</v>
      </c>
      <c r="BS1722" t="s">
        <v>20156</v>
      </c>
      <c r="BT1722" t="str">
        <f>HYPERLINK("https%3A%2F%2Fwww.webofscience.com%2Fwos%2Fwoscc%2Ffull-record%2FWOS:000800344000069","View Full Record in Web of Science")</f>
        <v>View Full Record in Web of Science</v>
      </c>
    </row>
    <row r="1723" spans="1:72" x14ac:dyDescent="0.15">
      <c r="A1723" t="s">
        <v>72</v>
      </c>
      <c r="B1723" t="s">
        <v>20157</v>
      </c>
      <c r="C1723" t="s">
        <v>74</v>
      </c>
      <c r="D1723" t="s">
        <v>20158</v>
      </c>
      <c r="E1723" t="s">
        <v>74</v>
      </c>
      <c r="F1723" t="s">
        <v>20159</v>
      </c>
      <c r="G1723" t="s">
        <v>74</v>
      </c>
      <c r="H1723" t="s">
        <v>74</v>
      </c>
      <c r="I1723" t="s">
        <v>20160</v>
      </c>
      <c r="J1723" t="s">
        <v>20161</v>
      </c>
      <c r="K1723" t="s">
        <v>20162</v>
      </c>
      <c r="L1723" t="s">
        <v>74</v>
      </c>
      <c r="M1723" t="s">
        <v>74</v>
      </c>
      <c r="N1723" t="s">
        <v>80</v>
      </c>
      <c r="O1723" t="s">
        <v>74</v>
      </c>
      <c r="P1723" t="s">
        <v>74</v>
      </c>
      <c r="Q1723" t="s">
        <v>74</v>
      </c>
      <c r="R1723" t="s">
        <v>74</v>
      </c>
      <c r="S1723" t="s">
        <v>74</v>
      </c>
      <c r="T1723" t="s">
        <v>74</v>
      </c>
      <c r="U1723" t="s">
        <v>20163</v>
      </c>
      <c r="V1723" t="s">
        <v>20164</v>
      </c>
      <c r="W1723" t="s">
        <v>20165</v>
      </c>
      <c r="X1723" t="s">
        <v>20166</v>
      </c>
      <c r="Y1723" t="s">
        <v>20167</v>
      </c>
      <c r="Z1723" t="s">
        <v>20168</v>
      </c>
      <c r="AA1723" t="s">
        <v>74</v>
      </c>
      <c r="AB1723" t="s">
        <v>20169</v>
      </c>
      <c r="AC1723" t="s">
        <v>74</v>
      </c>
      <c r="AD1723" t="s">
        <v>74</v>
      </c>
      <c r="AE1723" t="s">
        <v>74</v>
      </c>
      <c r="AF1723" t="s">
        <v>74</v>
      </c>
      <c r="AG1723">
        <v>61</v>
      </c>
      <c r="AH1723">
        <v>2</v>
      </c>
      <c r="AI1723">
        <v>2</v>
      </c>
      <c r="AJ1723">
        <v>0</v>
      </c>
      <c r="AK1723">
        <v>0</v>
      </c>
      <c r="AL1723" t="s">
        <v>74</v>
      </c>
      <c r="AM1723" t="s">
        <v>74</v>
      </c>
      <c r="AN1723" t="s">
        <v>74</v>
      </c>
      <c r="AO1723" t="s">
        <v>20170</v>
      </c>
      <c r="AP1723" t="s">
        <v>20171</v>
      </c>
      <c r="AQ1723" t="s">
        <v>20172</v>
      </c>
      <c r="AR1723" t="s">
        <v>74</v>
      </c>
      <c r="AS1723" t="s">
        <v>74</v>
      </c>
      <c r="AT1723" t="s">
        <v>74</v>
      </c>
      <c r="AU1723">
        <v>2020</v>
      </c>
      <c r="AV1723">
        <v>28</v>
      </c>
      <c r="AW1723" t="s">
        <v>74</v>
      </c>
      <c r="AX1723" t="s">
        <v>74</v>
      </c>
      <c r="AY1723" t="s">
        <v>74</v>
      </c>
      <c r="AZ1723" t="s">
        <v>74</v>
      </c>
      <c r="BA1723" t="s">
        <v>74</v>
      </c>
      <c r="BB1723">
        <v>145</v>
      </c>
      <c r="BC1723">
        <v>154</v>
      </c>
      <c r="BD1723" t="s">
        <v>74</v>
      </c>
      <c r="BE1723" t="s">
        <v>20173</v>
      </c>
      <c r="BF1723" t="str">
        <f>HYPERLINK("http://dx.doi.org/10.1159/000480171","http://dx.doi.org/10.1159/000480171")</f>
        <v>http://dx.doi.org/10.1159/000480171</v>
      </c>
      <c r="BG1723" t="s">
        <v>20174</v>
      </c>
      <c r="BH1723" t="s">
        <v>74</v>
      </c>
      <c r="BI1723" t="s">
        <v>74</v>
      </c>
      <c r="BJ1723" t="s">
        <v>20175</v>
      </c>
      <c r="BK1723" t="s">
        <v>94</v>
      </c>
      <c r="BL1723" t="s">
        <v>20175</v>
      </c>
      <c r="BM1723" t="s">
        <v>74</v>
      </c>
      <c r="BN1723" t="s">
        <v>74</v>
      </c>
      <c r="BO1723" t="s">
        <v>74</v>
      </c>
      <c r="BP1723" t="s">
        <v>74</v>
      </c>
      <c r="BQ1723" t="s">
        <v>74</v>
      </c>
      <c r="BR1723" t="s">
        <v>96</v>
      </c>
      <c r="BS1723" t="s">
        <v>20176</v>
      </c>
      <c r="BT1723" t="str">
        <f>HYPERLINK("https%3A%2F%2Fwww.webofscience.com%2Fwos%2Fwoscc%2Ffull-record%2FWOS:000626775500013","View Full Record in Web of Science")</f>
        <v>View Full Record in Web of Science</v>
      </c>
    </row>
    <row r="1724" spans="1:72" x14ac:dyDescent="0.15">
      <c r="A1724" t="s">
        <v>72</v>
      </c>
      <c r="B1724" t="s">
        <v>20352</v>
      </c>
      <c r="C1724" t="s">
        <v>74</v>
      </c>
      <c r="D1724" t="s">
        <v>20353</v>
      </c>
      <c r="E1724" t="s">
        <v>74</v>
      </c>
      <c r="F1724" t="s">
        <v>20354</v>
      </c>
      <c r="G1724" t="s">
        <v>74</v>
      </c>
      <c r="H1724" t="s">
        <v>74</v>
      </c>
      <c r="I1724" t="s">
        <v>20355</v>
      </c>
      <c r="J1724" t="s">
        <v>20356</v>
      </c>
      <c r="K1724" t="s">
        <v>79</v>
      </c>
      <c r="L1724" t="s">
        <v>74</v>
      </c>
      <c r="M1724" t="s">
        <v>74</v>
      </c>
      <c r="N1724" t="s">
        <v>80</v>
      </c>
      <c r="O1724" t="s">
        <v>74</v>
      </c>
      <c r="P1724" t="s">
        <v>74</v>
      </c>
      <c r="Q1724" t="s">
        <v>74</v>
      </c>
      <c r="R1724" t="s">
        <v>74</v>
      </c>
      <c r="S1724" t="s">
        <v>74</v>
      </c>
      <c r="T1724" t="s">
        <v>20357</v>
      </c>
      <c r="U1724" t="s">
        <v>20358</v>
      </c>
      <c r="V1724" t="s">
        <v>20359</v>
      </c>
      <c r="W1724" t="s">
        <v>20360</v>
      </c>
      <c r="X1724" t="s">
        <v>74</v>
      </c>
      <c r="Y1724" t="s">
        <v>20361</v>
      </c>
      <c r="Z1724" t="s">
        <v>74</v>
      </c>
      <c r="AA1724" t="s">
        <v>74</v>
      </c>
      <c r="AB1724" t="s">
        <v>20362</v>
      </c>
      <c r="AC1724" t="s">
        <v>74</v>
      </c>
      <c r="AD1724" t="s">
        <v>74</v>
      </c>
      <c r="AE1724" t="s">
        <v>74</v>
      </c>
      <c r="AF1724" t="s">
        <v>74</v>
      </c>
      <c r="AG1724">
        <v>41</v>
      </c>
      <c r="AH1724">
        <v>2</v>
      </c>
      <c r="AI1724">
        <v>2</v>
      </c>
      <c r="AJ1724">
        <v>0</v>
      </c>
      <c r="AK1724">
        <v>2</v>
      </c>
      <c r="AL1724" t="s">
        <v>74</v>
      </c>
      <c r="AM1724" t="s">
        <v>74</v>
      </c>
      <c r="AN1724" t="s">
        <v>74</v>
      </c>
      <c r="AO1724" t="s">
        <v>88</v>
      </c>
      <c r="AP1724" t="s">
        <v>89</v>
      </c>
      <c r="AQ1724" t="s">
        <v>20363</v>
      </c>
      <c r="AR1724" t="s">
        <v>74</v>
      </c>
      <c r="AS1724" t="s">
        <v>74</v>
      </c>
      <c r="AT1724" t="s">
        <v>74</v>
      </c>
      <c r="AU1724">
        <v>2017</v>
      </c>
      <c r="AV1724">
        <v>1537</v>
      </c>
      <c r="AW1724" t="s">
        <v>74</v>
      </c>
      <c r="AX1724" t="s">
        <v>74</v>
      </c>
      <c r="AY1724" t="s">
        <v>74</v>
      </c>
      <c r="AZ1724" t="s">
        <v>74</v>
      </c>
      <c r="BA1724" t="s">
        <v>74</v>
      </c>
      <c r="BB1724">
        <v>3</v>
      </c>
      <c r="BC1724">
        <v>15</v>
      </c>
      <c r="BD1724" t="s">
        <v>74</v>
      </c>
      <c r="BE1724" t="s">
        <v>20364</v>
      </c>
      <c r="BF1724" t="str">
        <f>HYPERLINK("http://dx.doi.org/10.1007/978-1-4939-6685-1_1","http://dx.doi.org/10.1007/978-1-4939-6685-1_1")</f>
        <v>http://dx.doi.org/10.1007/978-1-4939-6685-1_1</v>
      </c>
      <c r="BG1724" t="s">
        <v>20365</v>
      </c>
      <c r="BH1724" t="s">
        <v>74</v>
      </c>
      <c r="BI1724" t="s">
        <v>74</v>
      </c>
      <c r="BJ1724" t="s">
        <v>20366</v>
      </c>
      <c r="BK1724" t="s">
        <v>94</v>
      </c>
      <c r="BL1724" t="s">
        <v>20366</v>
      </c>
      <c r="BM1724" t="s">
        <v>74</v>
      </c>
      <c r="BN1724">
        <v>27924585</v>
      </c>
      <c r="BO1724" t="s">
        <v>74</v>
      </c>
      <c r="BP1724" t="s">
        <v>74</v>
      </c>
      <c r="BQ1724" t="s">
        <v>74</v>
      </c>
      <c r="BR1724" t="s">
        <v>96</v>
      </c>
      <c r="BS1724" t="s">
        <v>20367</v>
      </c>
      <c r="BT1724" t="str">
        <f>HYPERLINK("https%3A%2F%2Fwww.webofscience.com%2Fwos%2Fwoscc%2Ffull-record%2FWOS:000450331200002","View Full Record in Web of Science")</f>
        <v>View Full Record in Web of Science</v>
      </c>
    </row>
    <row r="1725" spans="1:72" x14ac:dyDescent="0.15">
      <c r="A1725" t="s">
        <v>98</v>
      </c>
      <c r="B1725" t="s">
        <v>20502</v>
      </c>
      <c r="C1725" t="s">
        <v>74</v>
      </c>
      <c r="D1725" t="s">
        <v>74</v>
      </c>
      <c r="E1725" t="s">
        <v>74</v>
      </c>
      <c r="F1725" t="s">
        <v>20503</v>
      </c>
      <c r="G1725" t="s">
        <v>74</v>
      </c>
      <c r="H1725" t="s">
        <v>74</v>
      </c>
      <c r="I1725" t="s">
        <v>20504</v>
      </c>
      <c r="J1725" t="s">
        <v>1766</v>
      </c>
      <c r="K1725" t="s">
        <v>74</v>
      </c>
      <c r="L1725" t="s">
        <v>74</v>
      </c>
      <c r="M1725" t="s">
        <v>74</v>
      </c>
      <c r="N1725" t="s">
        <v>103</v>
      </c>
      <c r="O1725" t="s">
        <v>74</v>
      </c>
      <c r="P1725" t="s">
        <v>74</v>
      </c>
      <c r="Q1725" t="s">
        <v>74</v>
      </c>
      <c r="R1725" t="s">
        <v>74</v>
      </c>
      <c r="S1725" t="s">
        <v>74</v>
      </c>
      <c r="T1725" t="s">
        <v>20505</v>
      </c>
      <c r="U1725" t="s">
        <v>20506</v>
      </c>
      <c r="V1725" t="s">
        <v>20507</v>
      </c>
      <c r="W1725" t="s">
        <v>20508</v>
      </c>
      <c r="X1725" t="s">
        <v>20509</v>
      </c>
      <c r="Y1725" t="s">
        <v>20510</v>
      </c>
      <c r="Z1725" t="s">
        <v>20511</v>
      </c>
      <c r="AA1725" t="s">
        <v>20512</v>
      </c>
      <c r="AB1725" t="s">
        <v>20513</v>
      </c>
      <c r="AC1725" t="s">
        <v>74</v>
      </c>
      <c r="AD1725" t="s">
        <v>74</v>
      </c>
      <c r="AE1725" t="s">
        <v>74</v>
      </c>
      <c r="AF1725" t="s">
        <v>74</v>
      </c>
      <c r="AG1725">
        <v>161</v>
      </c>
      <c r="AH1725">
        <v>2</v>
      </c>
      <c r="AI1725">
        <v>2</v>
      </c>
      <c r="AJ1725">
        <v>1</v>
      </c>
      <c r="AK1725">
        <v>1</v>
      </c>
      <c r="AL1725" t="s">
        <v>74</v>
      </c>
      <c r="AM1725" t="s">
        <v>74</v>
      </c>
      <c r="AN1725" t="s">
        <v>74</v>
      </c>
      <c r="AO1725" t="s">
        <v>74</v>
      </c>
      <c r="AP1725" t="s">
        <v>1776</v>
      </c>
      <c r="AQ1725" t="s">
        <v>74</v>
      </c>
      <c r="AR1725" t="s">
        <v>74</v>
      </c>
      <c r="AS1725" t="s">
        <v>74</v>
      </c>
      <c r="AT1725" t="s">
        <v>114</v>
      </c>
      <c r="AU1725">
        <v>2022</v>
      </c>
      <c r="AV1725">
        <v>10</v>
      </c>
      <c r="AW1725">
        <v>1</v>
      </c>
      <c r="AX1725" t="s">
        <v>74</v>
      </c>
      <c r="AY1725" t="s">
        <v>74</v>
      </c>
      <c r="AZ1725" t="s">
        <v>74</v>
      </c>
      <c r="BA1725" t="s">
        <v>74</v>
      </c>
      <c r="BB1725" t="s">
        <v>74</v>
      </c>
      <c r="BC1725" t="s">
        <v>74</v>
      </c>
      <c r="BD1725">
        <v>90</v>
      </c>
      <c r="BE1725" t="s">
        <v>20514</v>
      </c>
      <c r="BF1725" t="str">
        <f>HYPERLINK("http://dx.doi.org/10.3390/biomedicines10010090","http://dx.doi.org/10.3390/biomedicines10010090")</f>
        <v>http://dx.doi.org/10.3390/biomedicines10010090</v>
      </c>
      <c r="BG1725" t="s">
        <v>74</v>
      </c>
      <c r="BH1725" t="s">
        <v>74</v>
      </c>
      <c r="BI1725" t="s">
        <v>74</v>
      </c>
      <c r="BJ1725" t="s">
        <v>1778</v>
      </c>
      <c r="BK1725" t="s">
        <v>117</v>
      </c>
      <c r="BL1725" t="s">
        <v>1779</v>
      </c>
      <c r="BM1725" t="s">
        <v>74</v>
      </c>
      <c r="BN1725">
        <v>35052770</v>
      </c>
      <c r="BO1725" t="s">
        <v>74</v>
      </c>
      <c r="BP1725" t="s">
        <v>74</v>
      </c>
      <c r="BQ1725" t="s">
        <v>74</v>
      </c>
      <c r="BR1725" t="s">
        <v>96</v>
      </c>
      <c r="BS1725" t="s">
        <v>20515</v>
      </c>
      <c r="BT1725" t="str">
        <f>HYPERLINK("https%3A%2F%2Fwww.webofscience.com%2Fwos%2Fwoscc%2Ffull-record%2FWOS:000747525700001","View Full Record in Web of Science")</f>
        <v>View Full Record in Web of Science</v>
      </c>
    </row>
    <row r="1726" spans="1:72" x14ac:dyDescent="0.15">
      <c r="A1726" t="s">
        <v>98</v>
      </c>
      <c r="B1726" t="s">
        <v>20831</v>
      </c>
      <c r="C1726" t="s">
        <v>74</v>
      </c>
      <c r="D1726" t="s">
        <v>74</v>
      </c>
      <c r="E1726" t="s">
        <v>74</v>
      </c>
      <c r="F1726" t="s">
        <v>20832</v>
      </c>
      <c r="G1726" t="s">
        <v>74</v>
      </c>
      <c r="H1726" t="s">
        <v>74</v>
      </c>
      <c r="I1726" t="s">
        <v>20833</v>
      </c>
      <c r="J1726" t="s">
        <v>1860</v>
      </c>
      <c r="K1726" t="s">
        <v>74</v>
      </c>
      <c r="L1726" t="s">
        <v>74</v>
      </c>
      <c r="M1726" t="s">
        <v>74</v>
      </c>
      <c r="N1726" t="s">
        <v>103</v>
      </c>
      <c r="O1726" t="s">
        <v>74</v>
      </c>
      <c r="P1726" t="s">
        <v>74</v>
      </c>
      <c r="Q1726" t="s">
        <v>74</v>
      </c>
      <c r="R1726" t="s">
        <v>74</v>
      </c>
      <c r="S1726" t="s">
        <v>74</v>
      </c>
      <c r="T1726" t="s">
        <v>20834</v>
      </c>
      <c r="U1726" t="s">
        <v>20835</v>
      </c>
      <c r="V1726" t="s">
        <v>20836</v>
      </c>
      <c r="W1726" t="s">
        <v>20837</v>
      </c>
      <c r="X1726" t="s">
        <v>20838</v>
      </c>
      <c r="Y1726" t="s">
        <v>20839</v>
      </c>
      <c r="Z1726" t="s">
        <v>20840</v>
      </c>
      <c r="AA1726" t="s">
        <v>74</v>
      </c>
      <c r="AB1726" t="s">
        <v>20841</v>
      </c>
      <c r="AC1726" t="s">
        <v>74</v>
      </c>
      <c r="AD1726" t="s">
        <v>74</v>
      </c>
      <c r="AE1726" t="s">
        <v>74</v>
      </c>
      <c r="AF1726" t="s">
        <v>74</v>
      </c>
      <c r="AG1726">
        <v>42</v>
      </c>
      <c r="AH1726">
        <v>2</v>
      </c>
      <c r="AI1726">
        <v>2</v>
      </c>
      <c r="AJ1726">
        <v>22</v>
      </c>
      <c r="AK1726">
        <v>27</v>
      </c>
      <c r="AL1726" t="s">
        <v>74</v>
      </c>
      <c r="AM1726" t="s">
        <v>74</v>
      </c>
      <c r="AN1726" t="s">
        <v>74</v>
      </c>
      <c r="AO1726" t="s">
        <v>1870</v>
      </c>
      <c r="AP1726" t="s">
        <v>1871</v>
      </c>
      <c r="AQ1726" t="s">
        <v>74</v>
      </c>
      <c r="AR1726" t="s">
        <v>74</v>
      </c>
      <c r="AS1726" t="s">
        <v>74</v>
      </c>
      <c r="AT1726" t="s">
        <v>4965</v>
      </c>
      <c r="AU1726">
        <v>2022</v>
      </c>
      <c r="AV1726">
        <v>1192</v>
      </c>
      <c r="AW1726" t="s">
        <v>74</v>
      </c>
      <c r="AX1726" t="s">
        <v>74</v>
      </c>
      <c r="AY1726" t="s">
        <v>74</v>
      </c>
      <c r="AZ1726" t="s">
        <v>74</v>
      </c>
      <c r="BA1726" t="s">
        <v>74</v>
      </c>
      <c r="BB1726" t="s">
        <v>74</v>
      </c>
      <c r="BC1726" t="s">
        <v>74</v>
      </c>
      <c r="BD1726">
        <v>339382</v>
      </c>
      <c r="BE1726" t="s">
        <v>20842</v>
      </c>
      <c r="BF1726" t="str">
        <f>HYPERLINK("http://dx.doi.org/10.1016/j.aca.2021.339382","http://dx.doi.org/10.1016/j.aca.2021.339382")</f>
        <v>http://dx.doi.org/10.1016/j.aca.2021.339382</v>
      </c>
      <c r="BG1726" t="s">
        <v>74</v>
      </c>
      <c r="BH1726" t="s">
        <v>2718</v>
      </c>
      <c r="BI1726" t="s">
        <v>74</v>
      </c>
      <c r="BJ1726" t="s">
        <v>1118</v>
      </c>
      <c r="BK1726" t="s">
        <v>117</v>
      </c>
      <c r="BL1726" t="s">
        <v>1048</v>
      </c>
      <c r="BM1726" t="s">
        <v>74</v>
      </c>
      <c r="BN1726">
        <v>35057921</v>
      </c>
      <c r="BO1726" t="s">
        <v>74</v>
      </c>
      <c r="BP1726" t="s">
        <v>74</v>
      </c>
      <c r="BQ1726" t="s">
        <v>74</v>
      </c>
      <c r="BR1726" t="s">
        <v>96</v>
      </c>
      <c r="BS1726" t="s">
        <v>20843</v>
      </c>
      <c r="BT1726" t="str">
        <f>HYPERLINK("https%3A%2F%2Fwww.webofscience.com%2Fwos%2Fwoscc%2Ffull-record%2FWOS:000735770400005","View Full Record in Web of Science")</f>
        <v>View Full Record in Web of Science</v>
      </c>
    </row>
    <row r="1727" spans="1:72" x14ac:dyDescent="0.15">
      <c r="A1727" t="s">
        <v>98</v>
      </c>
      <c r="B1727" t="s">
        <v>20905</v>
      </c>
      <c r="C1727" t="s">
        <v>74</v>
      </c>
      <c r="D1727" t="s">
        <v>74</v>
      </c>
      <c r="E1727" t="s">
        <v>74</v>
      </c>
      <c r="F1727" t="s">
        <v>20906</v>
      </c>
      <c r="G1727" t="s">
        <v>74</v>
      </c>
      <c r="H1727" t="s">
        <v>74</v>
      </c>
      <c r="I1727" t="s">
        <v>20907</v>
      </c>
      <c r="J1727" t="s">
        <v>20908</v>
      </c>
      <c r="K1727" t="s">
        <v>74</v>
      </c>
      <c r="L1727" t="s">
        <v>74</v>
      </c>
      <c r="M1727" t="s">
        <v>74</v>
      </c>
      <c r="N1727" t="s">
        <v>103</v>
      </c>
      <c r="O1727" t="s">
        <v>74</v>
      </c>
      <c r="P1727" t="s">
        <v>74</v>
      </c>
      <c r="Q1727" t="s">
        <v>74</v>
      </c>
      <c r="R1727" t="s">
        <v>74</v>
      </c>
      <c r="S1727" t="s">
        <v>74</v>
      </c>
      <c r="T1727" t="s">
        <v>74</v>
      </c>
      <c r="U1727" t="s">
        <v>74</v>
      </c>
      <c r="V1727" t="s">
        <v>20909</v>
      </c>
      <c r="W1727" t="s">
        <v>20910</v>
      </c>
      <c r="X1727" t="s">
        <v>20911</v>
      </c>
      <c r="Y1727" t="s">
        <v>20912</v>
      </c>
      <c r="Z1727" t="s">
        <v>20913</v>
      </c>
      <c r="AA1727" t="s">
        <v>20914</v>
      </c>
      <c r="AB1727" t="s">
        <v>20915</v>
      </c>
      <c r="AC1727" t="s">
        <v>74</v>
      </c>
      <c r="AD1727" t="s">
        <v>74</v>
      </c>
      <c r="AE1727" t="s">
        <v>74</v>
      </c>
      <c r="AF1727" t="s">
        <v>74</v>
      </c>
      <c r="AG1727">
        <v>31</v>
      </c>
      <c r="AH1727">
        <v>2</v>
      </c>
      <c r="AI1727">
        <v>2</v>
      </c>
      <c r="AJ1727">
        <v>0</v>
      </c>
      <c r="AK1727">
        <v>1</v>
      </c>
      <c r="AL1727" t="s">
        <v>74</v>
      </c>
      <c r="AM1727" t="s">
        <v>74</v>
      </c>
      <c r="AN1727" t="s">
        <v>74</v>
      </c>
      <c r="AO1727" t="s">
        <v>20916</v>
      </c>
      <c r="AP1727" t="s">
        <v>20917</v>
      </c>
      <c r="AQ1727" t="s">
        <v>74</v>
      </c>
      <c r="AR1727" t="s">
        <v>74</v>
      </c>
      <c r="AS1727" t="s">
        <v>74</v>
      </c>
      <c r="AT1727" t="s">
        <v>11542</v>
      </c>
      <c r="AU1727">
        <v>2021</v>
      </c>
      <c r="AV1727">
        <v>2021</v>
      </c>
      <c r="AW1727" t="s">
        <v>74</v>
      </c>
      <c r="AX1727" t="s">
        <v>74</v>
      </c>
      <c r="AY1727" t="s">
        <v>74</v>
      </c>
      <c r="AZ1727" t="s">
        <v>74</v>
      </c>
      <c r="BA1727" t="s">
        <v>74</v>
      </c>
      <c r="BB1727" t="s">
        <v>74</v>
      </c>
      <c r="BC1727" t="s">
        <v>74</v>
      </c>
      <c r="BD1727">
        <v>6678913</v>
      </c>
      <c r="BE1727" t="s">
        <v>20918</v>
      </c>
      <c r="BF1727" t="str">
        <f>HYPERLINK("http://dx.doi.org/10.1155/2021/6678913","http://dx.doi.org/10.1155/2021/6678913")</f>
        <v>http://dx.doi.org/10.1155/2021/6678913</v>
      </c>
      <c r="BG1727" t="s">
        <v>74</v>
      </c>
      <c r="BH1727" t="s">
        <v>74</v>
      </c>
      <c r="BI1727" t="s">
        <v>74</v>
      </c>
      <c r="BJ1727" t="s">
        <v>20919</v>
      </c>
      <c r="BK1727" t="s">
        <v>117</v>
      </c>
      <c r="BL1727" t="s">
        <v>20920</v>
      </c>
      <c r="BM1727" t="s">
        <v>74</v>
      </c>
      <c r="BN1727">
        <v>33855079</v>
      </c>
      <c r="BO1727" t="s">
        <v>74</v>
      </c>
      <c r="BP1727" t="s">
        <v>74</v>
      </c>
      <c r="BQ1727" t="s">
        <v>74</v>
      </c>
      <c r="BR1727" t="s">
        <v>96</v>
      </c>
      <c r="BS1727" t="s">
        <v>20921</v>
      </c>
      <c r="BT1727" t="str">
        <f>HYPERLINK("https%3A%2F%2Fwww.webofscience.com%2Fwos%2Fwoscc%2Ffull-record%2FWOS:000640308600001","View Full Record in Web of Science")</f>
        <v>View Full Record in Web of Science</v>
      </c>
    </row>
    <row r="1728" spans="1:72" x14ac:dyDescent="0.15">
      <c r="A1728" t="s">
        <v>98</v>
      </c>
      <c r="B1728" t="s">
        <v>21157</v>
      </c>
      <c r="C1728" t="s">
        <v>74</v>
      </c>
      <c r="D1728" t="s">
        <v>74</v>
      </c>
      <c r="E1728" t="s">
        <v>74</v>
      </c>
      <c r="F1728" t="s">
        <v>21158</v>
      </c>
      <c r="G1728" t="s">
        <v>74</v>
      </c>
      <c r="H1728" t="s">
        <v>74</v>
      </c>
      <c r="I1728" t="s">
        <v>21159</v>
      </c>
      <c r="J1728" t="s">
        <v>140</v>
      </c>
      <c r="K1728" t="s">
        <v>74</v>
      </c>
      <c r="L1728" t="s">
        <v>74</v>
      </c>
      <c r="M1728" t="s">
        <v>74</v>
      </c>
      <c r="N1728" t="s">
        <v>103</v>
      </c>
      <c r="O1728" t="s">
        <v>74</v>
      </c>
      <c r="P1728" t="s">
        <v>74</v>
      </c>
      <c r="Q1728" t="s">
        <v>74</v>
      </c>
      <c r="R1728" t="s">
        <v>74</v>
      </c>
      <c r="S1728" t="s">
        <v>74</v>
      </c>
      <c r="T1728" t="s">
        <v>74</v>
      </c>
      <c r="U1728" t="s">
        <v>21160</v>
      </c>
      <c r="V1728" t="s">
        <v>21161</v>
      </c>
      <c r="W1728" t="s">
        <v>21162</v>
      </c>
      <c r="X1728" t="s">
        <v>21163</v>
      </c>
      <c r="Y1728" t="s">
        <v>21164</v>
      </c>
      <c r="Z1728" t="s">
        <v>21165</v>
      </c>
      <c r="AA1728" t="s">
        <v>21166</v>
      </c>
      <c r="AB1728" t="s">
        <v>21167</v>
      </c>
      <c r="AC1728" t="s">
        <v>74</v>
      </c>
      <c r="AD1728" t="s">
        <v>74</v>
      </c>
      <c r="AE1728" t="s">
        <v>74</v>
      </c>
      <c r="AF1728" t="s">
        <v>74</v>
      </c>
      <c r="AG1728">
        <v>27</v>
      </c>
      <c r="AH1728">
        <v>2</v>
      </c>
      <c r="AI1728">
        <v>2</v>
      </c>
      <c r="AJ1728">
        <v>2</v>
      </c>
      <c r="AK1728">
        <v>3</v>
      </c>
      <c r="AL1728" t="s">
        <v>74</v>
      </c>
      <c r="AM1728" t="s">
        <v>74</v>
      </c>
      <c r="AN1728" t="s">
        <v>74</v>
      </c>
      <c r="AO1728" t="s">
        <v>149</v>
      </c>
      <c r="AP1728" t="s">
        <v>74</v>
      </c>
      <c r="AQ1728" t="s">
        <v>74</v>
      </c>
      <c r="AR1728" t="s">
        <v>74</v>
      </c>
      <c r="AS1728" t="s">
        <v>74</v>
      </c>
      <c r="AT1728" t="s">
        <v>2530</v>
      </c>
      <c r="AU1728">
        <v>2021</v>
      </c>
      <c r="AV1728">
        <v>11</v>
      </c>
      <c r="AW1728">
        <v>1</v>
      </c>
      <c r="AX1728" t="s">
        <v>74</v>
      </c>
      <c r="AY1728" t="s">
        <v>74</v>
      </c>
      <c r="AZ1728" t="s">
        <v>74</v>
      </c>
      <c r="BA1728" t="s">
        <v>74</v>
      </c>
      <c r="BB1728" t="s">
        <v>74</v>
      </c>
      <c r="BC1728" t="s">
        <v>74</v>
      </c>
      <c r="BD1728">
        <v>22686</v>
      </c>
      <c r="BE1728" t="s">
        <v>21168</v>
      </c>
      <c r="BF1728" t="str">
        <f>HYPERLINK("http://dx.doi.org/10.1038/s41598-021-01668-7","http://dx.doi.org/10.1038/s41598-021-01668-7")</f>
        <v>http://dx.doi.org/10.1038/s41598-021-01668-7</v>
      </c>
      <c r="BG1728" t="s">
        <v>74</v>
      </c>
      <c r="BH1728" t="s">
        <v>74</v>
      </c>
      <c r="BI1728" t="s">
        <v>74</v>
      </c>
      <c r="BJ1728" t="s">
        <v>152</v>
      </c>
      <c r="BK1728" t="s">
        <v>117</v>
      </c>
      <c r="BL1728" t="s">
        <v>153</v>
      </c>
      <c r="BM1728" t="s">
        <v>74</v>
      </c>
      <c r="BN1728">
        <v>34811396</v>
      </c>
      <c r="BO1728" t="s">
        <v>74</v>
      </c>
      <c r="BP1728" t="s">
        <v>74</v>
      </c>
      <c r="BQ1728" t="s">
        <v>74</v>
      </c>
      <c r="BR1728" t="s">
        <v>96</v>
      </c>
      <c r="BS1728" t="s">
        <v>21169</v>
      </c>
      <c r="BT1728" t="str">
        <f>HYPERLINK("https%3A%2F%2Fwww.webofscience.com%2Fwos%2Fwoscc%2Ffull-record%2FWOS:000722270000056","View Full Record in Web of Science")</f>
        <v>View Full Record in Web of Science</v>
      </c>
    </row>
    <row r="1729" spans="1:72" x14ac:dyDescent="0.15">
      <c r="A1729" t="s">
        <v>98</v>
      </c>
      <c r="B1729" t="s">
        <v>21191</v>
      </c>
      <c r="C1729" t="s">
        <v>74</v>
      </c>
      <c r="D1729" t="s">
        <v>74</v>
      </c>
      <c r="E1729" t="s">
        <v>74</v>
      </c>
      <c r="F1729" t="s">
        <v>21192</v>
      </c>
      <c r="G1729" t="s">
        <v>74</v>
      </c>
      <c r="H1729" t="s">
        <v>74</v>
      </c>
      <c r="I1729" t="s">
        <v>21193</v>
      </c>
      <c r="J1729" t="s">
        <v>21194</v>
      </c>
      <c r="K1729" t="s">
        <v>74</v>
      </c>
      <c r="L1729" t="s">
        <v>74</v>
      </c>
      <c r="M1729" t="s">
        <v>74</v>
      </c>
      <c r="N1729" t="s">
        <v>103</v>
      </c>
      <c r="O1729" t="s">
        <v>74</v>
      </c>
      <c r="P1729" t="s">
        <v>74</v>
      </c>
      <c r="Q1729" t="s">
        <v>74</v>
      </c>
      <c r="R1729" t="s">
        <v>74</v>
      </c>
      <c r="S1729" t="s">
        <v>74</v>
      </c>
      <c r="T1729" t="s">
        <v>21195</v>
      </c>
      <c r="U1729" t="s">
        <v>21196</v>
      </c>
      <c r="V1729" t="s">
        <v>21197</v>
      </c>
      <c r="W1729" t="s">
        <v>21198</v>
      </c>
      <c r="X1729" t="s">
        <v>21199</v>
      </c>
      <c r="Y1729" t="s">
        <v>21200</v>
      </c>
      <c r="Z1729" t="s">
        <v>21201</v>
      </c>
      <c r="AA1729" t="s">
        <v>21202</v>
      </c>
      <c r="AB1729" t="s">
        <v>21203</v>
      </c>
      <c r="AC1729" t="s">
        <v>74</v>
      </c>
      <c r="AD1729" t="s">
        <v>74</v>
      </c>
      <c r="AE1729" t="s">
        <v>74</v>
      </c>
      <c r="AF1729" t="s">
        <v>74</v>
      </c>
      <c r="AG1729">
        <v>69</v>
      </c>
      <c r="AH1729">
        <v>2</v>
      </c>
      <c r="AI1729">
        <v>2</v>
      </c>
      <c r="AJ1729">
        <v>8</v>
      </c>
      <c r="AK1729">
        <v>12</v>
      </c>
      <c r="AL1729" t="s">
        <v>74</v>
      </c>
      <c r="AM1729" t="s">
        <v>74</v>
      </c>
      <c r="AN1729" t="s">
        <v>74</v>
      </c>
      <c r="AO1729" t="s">
        <v>21204</v>
      </c>
      <c r="AP1729" t="s">
        <v>74</v>
      </c>
      <c r="AQ1729" t="s">
        <v>74</v>
      </c>
      <c r="AR1729" t="s">
        <v>74</v>
      </c>
      <c r="AS1729" t="s">
        <v>74</v>
      </c>
      <c r="AT1729" t="s">
        <v>21205</v>
      </c>
      <c r="AU1729">
        <v>2021</v>
      </c>
      <c r="AV1729">
        <v>12</v>
      </c>
      <c r="AW1729" t="s">
        <v>74</v>
      </c>
      <c r="AX1729" t="s">
        <v>74</v>
      </c>
      <c r="AY1729" t="s">
        <v>74</v>
      </c>
      <c r="AZ1729" t="s">
        <v>74</v>
      </c>
      <c r="BA1729" t="s">
        <v>74</v>
      </c>
      <c r="BB1729" t="s">
        <v>74</v>
      </c>
      <c r="BC1729" t="s">
        <v>74</v>
      </c>
      <c r="BD1729">
        <v>668937</v>
      </c>
      <c r="BE1729" t="s">
        <v>21206</v>
      </c>
      <c r="BF1729" t="str">
        <f>HYPERLINK("http://dx.doi.org/10.3389/fpls.2021.668937","http://dx.doi.org/10.3389/fpls.2021.668937")</f>
        <v>http://dx.doi.org/10.3389/fpls.2021.668937</v>
      </c>
      <c r="BG1729" t="s">
        <v>74</v>
      </c>
      <c r="BH1729" t="s">
        <v>74</v>
      </c>
      <c r="BI1729" t="s">
        <v>74</v>
      </c>
      <c r="BJ1729" t="s">
        <v>20650</v>
      </c>
      <c r="BK1729" t="s">
        <v>117</v>
      </c>
      <c r="BL1729" t="s">
        <v>20650</v>
      </c>
      <c r="BM1729" t="s">
        <v>74</v>
      </c>
      <c r="BN1729">
        <v>34220891</v>
      </c>
      <c r="BO1729" t="s">
        <v>74</v>
      </c>
      <c r="BP1729" t="s">
        <v>74</v>
      </c>
      <c r="BQ1729" t="s">
        <v>74</v>
      </c>
      <c r="BR1729" t="s">
        <v>96</v>
      </c>
      <c r="BS1729" t="s">
        <v>21207</v>
      </c>
      <c r="BT1729" t="str">
        <f>HYPERLINK("https%3A%2F%2Fwww.webofscience.com%2Fwos%2Fwoscc%2Ffull-record%2FWOS:000668278600001","View Full Record in Web of Science")</f>
        <v>View Full Record in Web of Science</v>
      </c>
    </row>
    <row r="1730" spans="1:72" x14ac:dyDescent="0.15">
      <c r="A1730" t="s">
        <v>98</v>
      </c>
      <c r="B1730" t="s">
        <v>21258</v>
      </c>
      <c r="C1730" t="s">
        <v>74</v>
      </c>
      <c r="D1730" t="s">
        <v>74</v>
      </c>
      <c r="E1730" t="s">
        <v>74</v>
      </c>
      <c r="F1730" t="s">
        <v>21259</v>
      </c>
      <c r="G1730" t="s">
        <v>74</v>
      </c>
      <c r="H1730" t="s">
        <v>74</v>
      </c>
      <c r="I1730" t="s">
        <v>21260</v>
      </c>
      <c r="J1730" t="s">
        <v>3104</v>
      </c>
      <c r="K1730" t="s">
        <v>74</v>
      </c>
      <c r="L1730" t="s">
        <v>74</v>
      </c>
      <c r="M1730" t="s">
        <v>74</v>
      </c>
      <c r="N1730" t="s">
        <v>103</v>
      </c>
      <c r="O1730" t="s">
        <v>74</v>
      </c>
      <c r="P1730" t="s">
        <v>74</v>
      </c>
      <c r="Q1730" t="s">
        <v>74</v>
      </c>
      <c r="R1730" t="s">
        <v>74</v>
      </c>
      <c r="S1730" t="s">
        <v>74</v>
      </c>
      <c r="T1730" t="s">
        <v>21261</v>
      </c>
      <c r="U1730" t="s">
        <v>21262</v>
      </c>
      <c r="V1730" t="s">
        <v>21263</v>
      </c>
      <c r="W1730" t="s">
        <v>21264</v>
      </c>
      <c r="X1730" t="s">
        <v>21265</v>
      </c>
      <c r="Y1730" t="s">
        <v>21266</v>
      </c>
      <c r="Z1730" t="s">
        <v>21267</v>
      </c>
      <c r="AA1730" t="s">
        <v>74</v>
      </c>
      <c r="AB1730" t="s">
        <v>21268</v>
      </c>
      <c r="AC1730" t="s">
        <v>74</v>
      </c>
      <c r="AD1730" t="s">
        <v>74</v>
      </c>
      <c r="AE1730" t="s">
        <v>74</v>
      </c>
      <c r="AF1730" t="s">
        <v>74</v>
      </c>
      <c r="AG1730">
        <v>30</v>
      </c>
      <c r="AH1730">
        <v>2</v>
      </c>
      <c r="AI1730">
        <v>2</v>
      </c>
      <c r="AJ1730">
        <v>0</v>
      </c>
      <c r="AK1730">
        <v>2</v>
      </c>
      <c r="AL1730" t="s">
        <v>74</v>
      </c>
      <c r="AM1730" t="s">
        <v>74</v>
      </c>
      <c r="AN1730" t="s">
        <v>74</v>
      </c>
      <c r="AO1730" t="s">
        <v>3112</v>
      </c>
      <c r="AP1730" t="s">
        <v>3113</v>
      </c>
      <c r="AQ1730" t="s">
        <v>74</v>
      </c>
      <c r="AR1730" t="s">
        <v>74</v>
      </c>
      <c r="AS1730" t="s">
        <v>74</v>
      </c>
      <c r="AT1730" t="s">
        <v>132</v>
      </c>
      <c r="AU1730">
        <v>2021</v>
      </c>
      <c r="AV1730">
        <v>17</v>
      </c>
      <c r="AW1730">
        <v>2</v>
      </c>
      <c r="AX1730" t="s">
        <v>74</v>
      </c>
      <c r="AY1730" t="s">
        <v>74</v>
      </c>
      <c r="AZ1730" t="s">
        <v>447</v>
      </c>
      <c r="BA1730" t="s">
        <v>74</v>
      </c>
      <c r="BB1730">
        <v>662</v>
      </c>
      <c r="BC1730">
        <v>672</v>
      </c>
      <c r="BD1730" t="s">
        <v>74</v>
      </c>
      <c r="BE1730" t="s">
        <v>21269</v>
      </c>
      <c r="BF1730" t="str">
        <f>HYPERLINK("http://dx.doi.org/10.1007/s12015-020-10071-0","http://dx.doi.org/10.1007/s12015-020-10071-0")</f>
        <v>http://dx.doi.org/10.1007/s12015-020-10071-0</v>
      </c>
      <c r="BG1730" t="s">
        <v>74</v>
      </c>
      <c r="BH1730" t="s">
        <v>973</v>
      </c>
      <c r="BI1730" t="s">
        <v>74</v>
      </c>
      <c r="BJ1730" t="s">
        <v>3115</v>
      </c>
      <c r="BK1730" t="s">
        <v>117</v>
      </c>
      <c r="BL1730" t="s">
        <v>3116</v>
      </c>
      <c r="BM1730" t="s">
        <v>74</v>
      </c>
      <c r="BN1730">
        <v>33128169</v>
      </c>
      <c r="BO1730" t="s">
        <v>74</v>
      </c>
      <c r="BP1730" t="s">
        <v>74</v>
      </c>
      <c r="BQ1730" t="s">
        <v>74</v>
      </c>
      <c r="BR1730" t="s">
        <v>96</v>
      </c>
      <c r="BS1730" t="s">
        <v>21270</v>
      </c>
      <c r="BT1730" t="str">
        <f>HYPERLINK("https%3A%2F%2Fwww.webofscience.com%2Fwos%2Fwoscc%2Ffull-record%2FWOS:000585682200001","View Full Record in Web of Science")</f>
        <v>View Full Record in Web of Science</v>
      </c>
    </row>
    <row r="1731" spans="1:72" x14ac:dyDescent="0.15">
      <c r="A1731" t="s">
        <v>98</v>
      </c>
      <c r="B1731" t="s">
        <v>21485</v>
      </c>
      <c r="C1731" t="s">
        <v>74</v>
      </c>
      <c r="D1731" t="s">
        <v>74</v>
      </c>
      <c r="E1731" t="s">
        <v>74</v>
      </c>
      <c r="F1731" t="s">
        <v>21486</v>
      </c>
      <c r="G1731" t="s">
        <v>74</v>
      </c>
      <c r="H1731" t="s">
        <v>74</v>
      </c>
      <c r="I1731" t="s">
        <v>21487</v>
      </c>
      <c r="J1731" t="s">
        <v>16575</v>
      </c>
      <c r="K1731" t="s">
        <v>74</v>
      </c>
      <c r="L1731" t="s">
        <v>74</v>
      </c>
      <c r="M1731" t="s">
        <v>74</v>
      </c>
      <c r="N1731" t="s">
        <v>103</v>
      </c>
      <c r="O1731" t="s">
        <v>74</v>
      </c>
      <c r="P1731" t="s">
        <v>74</v>
      </c>
      <c r="Q1731" t="s">
        <v>74</v>
      </c>
      <c r="R1731" t="s">
        <v>74</v>
      </c>
      <c r="S1731" t="s">
        <v>74</v>
      </c>
      <c r="T1731" t="s">
        <v>21488</v>
      </c>
      <c r="U1731" t="s">
        <v>21489</v>
      </c>
      <c r="V1731" t="s">
        <v>21490</v>
      </c>
      <c r="W1731" t="s">
        <v>21491</v>
      </c>
      <c r="X1731" t="s">
        <v>21492</v>
      </c>
      <c r="Y1731" t="s">
        <v>21493</v>
      </c>
      <c r="Z1731" t="s">
        <v>21494</v>
      </c>
      <c r="AA1731" t="s">
        <v>21495</v>
      </c>
      <c r="AB1731" t="s">
        <v>21496</v>
      </c>
      <c r="AC1731" t="s">
        <v>74</v>
      </c>
      <c r="AD1731" t="s">
        <v>74</v>
      </c>
      <c r="AE1731" t="s">
        <v>74</v>
      </c>
      <c r="AF1731" t="s">
        <v>74</v>
      </c>
      <c r="AG1731">
        <v>36</v>
      </c>
      <c r="AH1731">
        <v>2</v>
      </c>
      <c r="AI1731">
        <v>2</v>
      </c>
      <c r="AJ1731">
        <v>0</v>
      </c>
      <c r="AK1731">
        <v>7</v>
      </c>
      <c r="AL1731" t="s">
        <v>74</v>
      </c>
      <c r="AM1731" t="s">
        <v>74</v>
      </c>
      <c r="AN1731" t="s">
        <v>74</v>
      </c>
      <c r="AO1731" t="s">
        <v>16585</v>
      </c>
      <c r="AP1731" t="s">
        <v>16586</v>
      </c>
      <c r="AQ1731" t="s">
        <v>74</v>
      </c>
      <c r="AR1731" t="s">
        <v>74</v>
      </c>
      <c r="AS1731" t="s">
        <v>74</v>
      </c>
      <c r="AT1731" t="s">
        <v>211</v>
      </c>
      <c r="AU1731">
        <v>2014</v>
      </c>
      <c r="AV1731">
        <v>48</v>
      </c>
      <c r="AW1731">
        <v>6</v>
      </c>
      <c r="AX1731" t="s">
        <v>74</v>
      </c>
      <c r="AY1731" t="s">
        <v>74</v>
      </c>
      <c r="AZ1731" t="s">
        <v>74</v>
      </c>
      <c r="BA1731" t="s">
        <v>74</v>
      </c>
      <c r="BB1731">
        <v>878</v>
      </c>
      <c r="BC1731">
        <v>885</v>
      </c>
      <c r="BD1731" t="s">
        <v>74</v>
      </c>
      <c r="BE1731" t="s">
        <v>21497</v>
      </c>
      <c r="BF1731" t="str">
        <f>HYPERLINK("http://dx.doi.org/10.1134/S0026893314060089","http://dx.doi.org/10.1134/S0026893314060089")</f>
        <v>http://dx.doi.org/10.1134/S0026893314060089</v>
      </c>
      <c r="BG1731" t="s">
        <v>74</v>
      </c>
      <c r="BH1731" t="s">
        <v>74</v>
      </c>
      <c r="BI1731" t="s">
        <v>74</v>
      </c>
      <c r="BJ1731" t="s">
        <v>95</v>
      </c>
      <c r="BK1731" t="s">
        <v>117</v>
      </c>
      <c r="BL1731" t="s">
        <v>95</v>
      </c>
      <c r="BM1731" t="s">
        <v>74</v>
      </c>
      <c r="BN1731" t="s">
        <v>74</v>
      </c>
      <c r="BO1731" t="s">
        <v>74</v>
      </c>
      <c r="BP1731" t="s">
        <v>74</v>
      </c>
      <c r="BQ1731" t="s">
        <v>74</v>
      </c>
      <c r="BR1731" t="s">
        <v>96</v>
      </c>
      <c r="BS1731" t="s">
        <v>21498</v>
      </c>
      <c r="BT1731" t="str">
        <f>HYPERLINK("https%3A%2F%2Fwww.webofscience.com%2Fwos%2Fwoscc%2Ffull-record%2FWOS:000346489400014","View Full Record in Web of Science")</f>
        <v>View Full Record in Web of Science</v>
      </c>
    </row>
    <row r="1732" spans="1:72" x14ac:dyDescent="0.15">
      <c r="A1732" t="s">
        <v>98</v>
      </c>
      <c r="B1732" t="s">
        <v>21562</v>
      </c>
      <c r="C1732" t="s">
        <v>74</v>
      </c>
      <c r="D1732" t="s">
        <v>74</v>
      </c>
      <c r="E1732" t="s">
        <v>74</v>
      </c>
      <c r="F1732" t="s">
        <v>21563</v>
      </c>
      <c r="G1732" t="s">
        <v>74</v>
      </c>
      <c r="H1732" t="s">
        <v>74</v>
      </c>
      <c r="I1732" t="s">
        <v>21564</v>
      </c>
      <c r="J1732" t="s">
        <v>16357</v>
      </c>
      <c r="K1732" t="s">
        <v>74</v>
      </c>
      <c r="L1732" t="s">
        <v>74</v>
      </c>
      <c r="M1732" t="s">
        <v>74</v>
      </c>
      <c r="N1732" t="s">
        <v>103</v>
      </c>
      <c r="O1732" t="s">
        <v>74</v>
      </c>
      <c r="P1732" t="s">
        <v>74</v>
      </c>
      <c r="Q1732" t="s">
        <v>74</v>
      </c>
      <c r="R1732" t="s">
        <v>74</v>
      </c>
      <c r="S1732" t="s">
        <v>74</v>
      </c>
      <c r="T1732" t="s">
        <v>21565</v>
      </c>
      <c r="U1732" t="s">
        <v>21566</v>
      </c>
      <c r="V1732" t="s">
        <v>21567</v>
      </c>
      <c r="W1732" t="s">
        <v>21568</v>
      </c>
      <c r="X1732" t="s">
        <v>21569</v>
      </c>
      <c r="Y1732" t="s">
        <v>21570</v>
      </c>
      <c r="Z1732" t="s">
        <v>21571</v>
      </c>
      <c r="AA1732" t="s">
        <v>21572</v>
      </c>
      <c r="AB1732" t="s">
        <v>21573</v>
      </c>
      <c r="AC1732" t="s">
        <v>74</v>
      </c>
      <c r="AD1732" t="s">
        <v>74</v>
      </c>
      <c r="AE1732" t="s">
        <v>74</v>
      </c>
      <c r="AF1732" t="s">
        <v>74</v>
      </c>
      <c r="AG1732">
        <v>53</v>
      </c>
      <c r="AH1732">
        <v>2</v>
      </c>
      <c r="AI1732">
        <v>2</v>
      </c>
      <c r="AJ1732">
        <v>0</v>
      </c>
      <c r="AK1732">
        <v>1</v>
      </c>
      <c r="AL1732" t="s">
        <v>74</v>
      </c>
      <c r="AM1732" t="s">
        <v>74</v>
      </c>
      <c r="AN1732" t="s">
        <v>74</v>
      </c>
      <c r="AO1732" t="s">
        <v>74</v>
      </c>
      <c r="AP1732" t="s">
        <v>16367</v>
      </c>
      <c r="AQ1732" t="s">
        <v>74</v>
      </c>
      <c r="AR1732" t="s">
        <v>74</v>
      </c>
      <c r="AS1732" t="s">
        <v>74</v>
      </c>
      <c r="AT1732" t="s">
        <v>967</v>
      </c>
      <c r="AU1732">
        <v>2021</v>
      </c>
      <c r="AV1732">
        <v>9</v>
      </c>
      <c r="AW1732">
        <v>4</v>
      </c>
      <c r="AX1732" t="s">
        <v>74</v>
      </c>
      <c r="AY1732" t="s">
        <v>74</v>
      </c>
      <c r="AZ1732" t="s">
        <v>74</v>
      </c>
      <c r="BA1732" t="s">
        <v>74</v>
      </c>
      <c r="BB1732" t="s">
        <v>74</v>
      </c>
      <c r="BC1732" t="s">
        <v>74</v>
      </c>
      <c r="BD1732">
        <v>74</v>
      </c>
      <c r="BE1732" t="s">
        <v>21574</v>
      </c>
      <c r="BF1732" t="str">
        <f>HYPERLINK("http://dx.doi.org/10.3390/diseases9040074","http://dx.doi.org/10.3390/diseases9040074")</f>
        <v>http://dx.doi.org/10.3390/diseases9040074</v>
      </c>
      <c r="BG1732" t="s">
        <v>74</v>
      </c>
      <c r="BH1732" t="s">
        <v>74</v>
      </c>
      <c r="BI1732" t="s">
        <v>74</v>
      </c>
      <c r="BJ1732" t="s">
        <v>795</v>
      </c>
      <c r="BK1732" t="s">
        <v>467</v>
      </c>
      <c r="BL1732" t="s">
        <v>796</v>
      </c>
      <c r="BM1732" t="s">
        <v>74</v>
      </c>
      <c r="BN1732">
        <v>34698165</v>
      </c>
      <c r="BO1732" t="s">
        <v>74</v>
      </c>
      <c r="BP1732" t="s">
        <v>74</v>
      </c>
      <c r="BQ1732" t="s">
        <v>74</v>
      </c>
      <c r="BR1732" t="s">
        <v>96</v>
      </c>
      <c r="BS1732" t="s">
        <v>21575</v>
      </c>
      <c r="BT1732" t="str">
        <f>HYPERLINK("https%3A%2F%2Fwww.webofscience.com%2Fwos%2Fwoscc%2Ffull-record%2FWOS:000735493200001","View Full Record in Web of Science")</f>
        <v>View Full Record in Web of Science</v>
      </c>
    </row>
    <row r="1733" spans="1:72" x14ac:dyDescent="0.15">
      <c r="A1733" t="s">
        <v>98</v>
      </c>
      <c r="B1733" t="s">
        <v>21618</v>
      </c>
      <c r="C1733" t="s">
        <v>74</v>
      </c>
      <c r="D1733" t="s">
        <v>74</v>
      </c>
      <c r="E1733" t="s">
        <v>74</v>
      </c>
      <c r="F1733" t="s">
        <v>21619</v>
      </c>
      <c r="G1733" t="s">
        <v>74</v>
      </c>
      <c r="H1733" t="s">
        <v>74</v>
      </c>
      <c r="I1733" t="s">
        <v>21620</v>
      </c>
      <c r="J1733" t="s">
        <v>21621</v>
      </c>
      <c r="K1733" t="s">
        <v>74</v>
      </c>
      <c r="L1733" t="s">
        <v>74</v>
      </c>
      <c r="M1733" t="s">
        <v>74</v>
      </c>
      <c r="N1733" t="s">
        <v>103</v>
      </c>
      <c r="O1733" t="s">
        <v>74</v>
      </c>
      <c r="P1733" t="s">
        <v>74</v>
      </c>
      <c r="Q1733" t="s">
        <v>74</v>
      </c>
      <c r="R1733" t="s">
        <v>74</v>
      </c>
      <c r="S1733" t="s">
        <v>74</v>
      </c>
      <c r="T1733" t="s">
        <v>21622</v>
      </c>
      <c r="U1733" t="s">
        <v>21623</v>
      </c>
      <c r="V1733" t="s">
        <v>21624</v>
      </c>
      <c r="W1733" t="s">
        <v>21625</v>
      </c>
      <c r="X1733" t="s">
        <v>21626</v>
      </c>
      <c r="Y1733" t="s">
        <v>21627</v>
      </c>
      <c r="Z1733" t="s">
        <v>21628</v>
      </c>
      <c r="AA1733" t="s">
        <v>74</v>
      </c>
      <c r="AB1733" t="s">
        <v>21629</v>
      </c>
      <c r="AC1733" t="s">
        <v>74</v>
      </c>
      <c r="AD1733" t="s">
        <v>74</v>
      </c>
      <c r="AE1733" t="s">
        <v>74</v>
      </c>
      <c r="AF1733" t="s">
        <v>74</v>
      </c>
      <c r="AG1733">
        <v>47</v>
      </c>
      <c r="AH1733">
        <v>2</v>
      </c>
      <c r="AI1733">
        <v>2</v>
      </c>
      <c r="AJ1733">
        <v>1</v>
      </c>
      <c r="AK1733">
        <v>2</v>
      </c>
      <c r="AL1733" t="s">
        <v>74</v>
      </c>
      <c r="AM1733" t="s">
        <v>74</v>
      </c>
      <c r="AN1733" t="s">
        <v>74</v>
      </c>
      <c r="AO1733" t="s">
        <v>21630</v>
      </c>
      <c r="AP1733" t="s">
        <v>21631</v>
      </c>
      <c r="AQ1733" t="s">
        <v>74</v>
      </c>
      <c r="AR1733" t="s">
        <v>74</v>
      </c>
      <c r="AS1733" t="s">
        <v>74</v>
      </c>
      <c r="AT1733" t="s">
        <v>565</v>
      </c>
      <c r="AU1733">
        <v>2022</v>
      </c>
      <c r="AV1733">
        <v>196</v>
      </c>
      <c r="AW1733">
        <v>5</v>
      </c>
      <c r="AX1733" t="s">
        <v>74</v>
      </c>
      <c r="AY1733" t="s">
        <v>74</v>
      </c>
      <c r="AZ1733" t="s">
        <v>74</v>
      </c>
      <c r="BA1733" t="s">
        <v>74</v>
      </c>
      <c r="BB1733">
        <v>1159</v>
      </c>
      <c r="BC1733">
        <v>1169</v>
      </c>
      <c r="BD1733" t="s">
        <v>74</v>
      </c>
      <c r="BE1733" t="s">
        <v>21632</v>
      </c>
      <c r="BF1733" t="str">
        <f>HYPERLINK("http://dx.doi.org/10.1111/bjh.18019","http://dx.doi.org/10.1111/bjh.18019")</f>
        <v>http://dx.doi.org/10.1111/bjh.18019</v>
      </c>
      <c r="BG1733" t="s">
        <v>74</v>
      </c>
      <c r="BH1733" t="s">
        <v>5553</v>
      </c>
      <c r="BI1733" t="s">
        <v>74</v>
      </c>
      <c r="BJ1733" t="s">
        <v>2438</v>
      </c>
      <c r="BK1733" t="s">
        <v>117</v>
      </c>
      <c r="BL1733" t="s">
        <v>2438</v>
      </c>
      <c r="BM1733" t="s">
        <v>74</v>
      </c>
      <c r="BN1733">
        <v>34962643</v>
      </c>
      <c r="BO1733" t="s">
        <v>74</v>
      </c>
      <c r="BP1733" t="s">
        <v>74</v>
      </c>
      <c r="BQ1733" t="s">
        <v>74</v>
      </c>
      <c r="BR1733" t="s">
        <v>96</v>
      </c>
      <c r="BS1733" t="s">
        <v>21633</v>
      </c>
      <c r="BT1733" t="str">
        <f>HYPERLINK("https%3A%2F%2Fwww.webofscience.com%2Fwos%2Fwoscc%2Ffull-record%2FWOS:000739674300001","View Full Record in Web of Science")</f>
        <v>View Full Record in Web of Science</v>
      </c>
    </row>
    <row r="1734" spans="1:72" x14ac:dyDescent="0.15">
      <c r="A1734" t="s">
        <v>98</v>
      </c>
      <c r="B1734" t="s">
        <v>21760</v>
      </c>
      <c r="C1734" t="s">
        <v>74</v>
      </c>
      <c r="D1734" t="s">
        <v>74</v>
      </c>
      <c r="E1734" t="s">
        <v>74</v>
      </c>
      <c r="F1734" t="s">
        <v>21761</v>
      </c>
      <c r="G1734" t="s">
        <v>74</v>
      </c>
      <c r="H1734" t="s">
        <v>74</v>
      </c>
      <c r="I1734" t="s">
        <v>21762</v>
      </c>
      <c r="J1734" t="s">
        <v>1972</v>
      </c>
      <c r="K1734" t="s">
        <v>74</v>
      </c>
      <c r="L1734" t="s">
        <v>74</v>
      </c>
      <c r="M1734" t="s">
        <v>74</v>
      </c>
      <c r="N1734" t="s">
        <v>103</v>
      </c>
      <c r="O1734" t="s">
        <v>74</v>
      </c>
      <c r="P1734" t="s">
        <v>74</v>
      </c>
      <c r="Q1734" t="s">
        <v>74</v>
      </c>
      <c r="R1734" t="s">
        <v>74</v>
      </c>
      <c r="S1734" t="s">
        <v>74</v>
      </c>
      <c r="T1734" t="s">
        <v>21763</v>
      </c>
      <c r="U1734" t="s">
        <v>21764</v>
      </c>
      <c r="V1734" t="s">
        <v>21765</v>
      </c>
      <c r="W1734" t="s">
        <v>21766</v>
      </c>
      <c r="X1734" t="s">
        <v>21767</v>
      </c>
      <c r="Y1734" t="s">
        <v>21768</v>
      </c>
      <c r="Z1734" t="s">
        <v>21769</v>
      </c>
      <c r="AA1734" t="s">
        <v>74</v>
      </c>
      <c r="AB1734" t="s">
        <v>74</v>
      </c>
      <c r="AC1734" t="s">
        <v>74</v>
      </c>
      <c r="AD1734" t="s">
        <v>74</v>
      </c>
      <c r="AE1734" t="s">
        <v>74</v>
      </c>
      <c r="AF1734" t="s">
        <v>74</v>
      </c>
      <c r="AG1734">
        <v>57</v>
      </c>
      <c r="AH1734">
        <v>2</v>
      </c>
      <c r="AI1734">
        <v>2</v>
      </c>
      <c r="AJ1734">
        <v>77</v>
      </c>
      <c r="AK1734">
        <v>77</v>
      </c>
      <c r="AL1734" t="s">
        <v>74</v>
      </c>
      <c r="AM1734" t="s">
        <v>74</v>
      </c>
      <c r="AN1734" t="s">
        <v>74</v>
      </c>
      <c r="AO1734" t="s">
        <v>1980</v>
      </c>
      <c r="AP1734" t="s">
        <v>1981</v>
      </c>
      <c r="AQ1734" t="s">
        <v>74</v>
      </c>
      <c r="AR1734" t="s">
        <v>74</v>
      </c>
      <c r="AS1734" t="s">
        <v>74</v>
      </c>
      <c r="AT1734" t="s">
        <v>132</v>
      </c>
      <c r="AU1734">
        <v>2022</v>
      </c>
      <c r="AV1734">
        <v>283</v>
      </c>
      <c r="AW1734" t="s">
        <v>74</v>
      </c>
      <c r="AX1734" t="s">
        <v>74</v>
      </c>
      <c r="AY1734" t="s">
        <v>74</v>
      </c>
      <c r="AZ1734" t="s">
        <v>74</v>
      </c>
      <c r="BA1734" t="s">
        <v>74</v>
      </c>
      <c r="BB1734" t="s">
        <v>74</v>
      </c>
      <c r="BC1734" t="s">
        <v>74</v>
      </c>
      <c r="BD1734">
        <v>121448</v>
      </c>
      <c r="BE1734" t="s">
        <v>21770</v>
      </c>
      <c r="BF1734" t="str">
        <f>HYPERLINK("http://dx.doi.org/10.1016/j.biomaterials.2022.121448","http://dx.doi.org/10.1016/j.biomaterials.2022.121448")</f>
        <v>http://dx.doi.org/10.1016/j.biomaterials.2022.121448</v>
      </c>
      <c r="BG1734" t="s">
        <v>74</v>
      </c>
      <c r="BH1734" t="s">
        <v>74</v>
      </c>
      <c r="BI1734" t="s">
        <v>74</v>
      </c>
      <c r="BJ1734" t="s">
        <v>1983</v>
      </c>
      <c r="BK1734" t="s">
        <v>117</v>
      </c>
      <c r="BL1734" t="s">
        <v>1984</v>
      </c>
      <c r="BM1734" t="s">
        <v>74</v>
      </c>
      <c r="BN1734">
        <v>35245730</v>
      </c>
      <c r="BO1734" t="s">
        <v>74</v>
      </c>
      <c r="BP1734" t="s">
        <v>74</v>
      </c>
      <c r="BQ1734" t="s">
        <v>74</v>
      </c>
      <c r="BR1734" t="s">
        <v>96</v>
      </c>
      <c r="BS1734" t="s">
        <v>21771</v>
      </c>
      <c r="BT1734" t="str">
        <f>HYPERLINK("https%3A%2F%2Fwww.webofscience.com%2Fwos%2Fwoscc%2Ffull-record%2FWOS:000791702100002","View Full Record in Web of Science")</f>
        <v>View Full Record in Web of Science</v>
      </c>
    </row>
    <row r="1735" spans="1:72" x14ac:dyDescent="0.15">
      <c r="A1735" t="s">
        <v>98</v>
      </c>
      <c r="B1735" t="s">
        <v>21772</v>
      </c>
      <c r="C1735" t="s">
        <v>74</v>
      </c>
      <c r="D1735" t="s">
        <v>74</v>
      </c>
      <c r="E1735" t="s">
        <v>74</v>
      </c>
      <c r="F1735" t="s">
        <v>21773</v>
      </c>
      <c r="G1735" t="s">
        <v>74</v>
      </c>
      <c r="H1735" t="s">
        <v>74</v>
      </c>
      <c r="I1735" t="s">
        <v>21774</v>
      </c>
      <c r="J1735" t="s">
        <v>1798</v>
      </c>
      <c r="K1735" t="s">
        <v>74</v>
      </c>
      <c r="L1735" t="s">
        <v>74</v>
      </c>
      <c r="M1735" t="s">
        <v>74</v>
      </c>
      <c r="N1735" t="s">
        <v>103</v>
      </c>
      <c r="O1735" t="s">
        <v>74</v>
      </c>
      <c r="P1735" t="s">
        <v>74</v>
      </c>
      <c r="Q1735" t="s">
        <v>74</v>
      </c>
      <c r="R1735" t="s">
        <v>74</v>
      </c>
      <c r="S1735" t="s">
        <v>74</v>
      </c>
      <c r="T1735" t="s">
        <v>21775</v>
      </c>
      <c r="U1735" t="s">
        <v>21776</v>
      </c>
      <c r="V1735" t="s">
        <v>21777</v>
      </c>
      <c r="W1735" t="s">
        <v>21778</v>
      </c>
      <c r="X1735" t="s">
        <v>21779</v>
      </c>
      <c r="Y1735" t="s">
        <v>21780</v>
      </c>
      <c r="Z1735" t="s">
        <v>21781</v>
      </c>
      <c r="AA1735" t="s">
        <v>21782</v>
      </c>
      <c r="AB1735" t="s">
        <v>21783</v>
      </c>
      <c r="AC1735" t="s">
        <v>74</v>
      </c>
      <c r="AD1735" t="s">
        <v>74</v>
      </c>
      <c r="AE1735" t="s">
        <v>74</v>
      </c>
      <c r="AF1735" t="s">
        <v>74</v>
      </c>
      <c r="AG1735">
        <v>74</v>
      </c>
      <c r="AH1735">
        <v>2</v>
      </c>
      <c r="AI1735">
        <v>2</v>
      </c>
      <c r="AJ1735">
        <v>6</v>
      </c>
      <c r="AK1735">
        <v>8</v>
      </c>
      <c r="AL1735" t="s">
        <v>74</v>
      </c>
      <c r="AM1735" t="s">
        <v>74</v>
      </c>
      <c r="AN1735" t="s">
        <v>74</v>
      </c>
      <c r="AO1735" t="s">
        <v>74</v>
      </c>
      <c r="AP1735" t="s">
        <v>1806</v>
      </c>
      <c r="AQ1735" t="s">
        <v>74</v>
      </c>
      <c r="AR1735" t="s">
        <v>74</v>
      </c>
      <c r="AS1735" t="s">
        <v>74</v>
      </c>
      <c r="AT1735" t="s">
        <v>5271</v>
      </c>
      <c r="AU1735">
        <v>2021</v>
      </c>
      <c r="AV1735">
        <v>12</v>
      </c>
      <c r="AW1735" t="s">
        <v>74</v>
      </c>
      <c r="AX1735" t="s">
        <v>74</v>
      </c>
      <c r="AY1735" t="s">
        <v>74</v>
      </c>
      <c r="AZ1735" t="s">
        <v>74</v>
      </c>
      <c r="BA1735" t="s">
        <v>74</v>
      </c>
      <c r="BB1735" t="s">
        <v>74</v>
      </c>
      <c r="BC1735" t="s">
        <v>74</v>
      </c>
      <c r="BD1735">
        <v>767112</v>
      </c>
      <c r="BE1735" t="s">
        <v>21784</v>
      </c>
      <c r="BF1735" t="str">
        <f>HYPERLINK("http://dx.doi.org/10.3389/fphys.2021.767112","http://dx.doi.org/10.3389/fphys.2021.767112")</f>
        <v>http://dx.doi.org/10.3389/fphys.2021.767112</v>
      </c>
      <c r="BG1735" t="s">
        <v>74</v>
      </c>
      <c r="BH1735" t="s">
        <v>74</v>
      </c>
      <c r="BI1735" t="s">
        <v>74</v>
      </c>
      <c r="BJ1735" t="s">
        <v>1809</v>
      </c>
      <c r="BK1735" t="s">
        <v>117</v>
      </c>
      <c r="BL1735" t="s">
        <v>1809</v>
      </c>
      <c r="BM1735" t="s">
        <v>74</v>
      </c>
      <c r="BN1735">
        <v>34970155</v>
      </c>
      <c r="BO1735" t="s">
        <v>74</v>
      </c>
      <c r="BP1735" t="s">
        <v>74</v>
      </c>
      <c r="BQ1735" t="s">
        <v>74</v>
      </c>
      <c r="BR1735" t="s">
        <v>96</v>
      </c>
      <c r="BS1735" t="s">
        <v>21785</v>
      </c>
      <c r="BT1735" t="str">
        <f>HYPERLINK("https%3A%2F%2Fwww.webofscience.com%2Fwos%2Fwoscc%2Ffull-record%2FWOS:000737251400001","View Full Record in Web of Science")</f>
        <v>View Full Record in Web of Science</v>
      </c>
    </row>
    <row r="1736" spans="1:72" x14ac:dyDescent="0.15">
      <c r="A1736" t="s">
        <v>98</v>
      </c>
      <c r="B1736" t="s">
        <v>21794</v>
      </c>
      <c r="C1736" t="s">
        <v>74</v>
      </c>
      <c r="D1736" t="s">
        <v>74</v>
      </c>
      <c r="E1736" t="s">
        <v>74</v>
      </c>
      <c r="F1736" t="s">
        <v>21795</v>
      </c>
      <c r="G1736" t="s">
        <v>74</v>
      </c>
      <c r="H1736" t="s">
        <v>74</v>
      </c>
      <c r="I1736" t="s">
        <v>21796</v>
      </c>
      <c r="J1736" t="s">
        <v>3864</v>
      </c>
      <c r="K1736" t="s">
        <v>74</v>
      </c>
      <c r="L1736" t="s">
        <v>74</v>
      </c>
      <c r="M1736" t="s">
        <v>74</v>
      </c>
      <c r="N1736" t="s">
        <v>103</v>
      </c>
      <c r="O1736" t="s">
        <v>74</v>
      </c>
      <c r="P1736" t="s">
        <v>74</v>
      </c>
      <c r="Q1736" t="s">
        <v>74</v>
      </c>
      <c r="R1736" t="s">
        <v>74</v>
      </c>
      <c r="S1736" t="s">
        <v>74</v>
      </c>
      <c r="T1736" t="s">
        <v>21797</v>
      </c>
      <c r="U1736" t="s">
        <v>21798</v>
      </c>
      <c r="V1736" t="s">
        <v>21799</v>
      </c>
      <c r="W1736" t="s">
        <v>21800</v>
      </c>
      <c r="X1736" t="s">
        <v>17774</v>
      </c>
      <c r="Y1736" t="s">
        <v>21801</v>
      </c>
      <c r="Z1736" t="s">
        <v>21802</v>
      </c>
      <c r="AA1736" t="s">
        <v>74</v>
      </c>
      <c r="AB1736" t="s">
        <v>21803</v>
      </c>
      <c r="AC1736" t="s">
        <v>74</v>
      </c>
      <c r="AD1736" t="s">
        <v>74</v>
      </c>
      <c r="AE1736" t="s">
        <v>74</v>
      </c>
      <c r="AF1736" t="s">
        <v>74</v>
      </c>
      <c r="AG1736">
        <v>33</v>
      </c>
      <c r="AH1736">
        <v>2</v>
      </c>
      <c r="AI1736">
        <v>2</v>
      </c>
      <c r="AJ1736">
        <v>29</v>
      </c>
      <c r="AK1736">
        <v>64</v>
      </c>
      <c r="AL1736" t="s">
        <v>74</v>
      </c>
      <c r="AM1736" t="s">
        <v>74</v>
      </c>
      <c r="AN1736" t="s">
        <v>74</v>
      </c>
      <c r="AO1736" t="s">
        <v>74</v>
      </c>
      <c r="AP1736" t="s">
        <v>3874</v>
      </c>
      <c r="AQ1736" t="s">
        <v>74</v>
      </c>
      <c r="AR1736" t="s">
        <v>74</v>
      </c>
      <c r="AS1736" t="s">
        <v>74</v>
      </c>
      <c r="AT1736" t="s">
        <v>19861</v>
      </c>
      <c r="AU1736">
        <v>2021</v>
      </c>
      <c r="AV1736">
        <v>19</v>
      </c>
      <c r="AW1736">
        <v>1</v>
      </c>
      <c r="AX1736" t="s">
        <v>74</v>
      </c>
      <c r="AY1736" t="s">
        <v>74</v>
      </c>
      <c r="AZ1736" t="s">
        <v>74</v>
      </c>
      <c r="BA1736" t="s">
        <v>74</v>
      </c>
      <c r="BB1736" t="s">
        <v>74</v>
      </c>
      <c r="BC1736" t="s">
        <v>74</v>
      </c>
      <c r="BD1736">
        <v>287</v>
      </c>
      <c r="BE1736" t="s">
        <v>21804</v>
      </c>
      <c r="BF1736" t="str">
        <f>HYPERLINK("http://dx.doi.org/10.1186/s12951-021-01039-4","http://dx.doi.org/10.1186/s12951-021-01039-4")</f>
        <v>http://dx.doi.org/10.1186/s12951-021-01039-4</v>
      </c>
      <c r="BG1736" t="s">
        <v>74</v>
      </c>
      <c r="BH1736" t="s">
        <v>74</v>
      </c>
      <c r="BI1736" t="s">
        <v>74</v>
      </c>
      <c r="BJ1736" t="s">
        <v>3877</v>
      </c>
      <c r="BK1736" t="s">
        <v>117</v>
      </c>
      <c r="BL1736" t="s">
        <v>3878</v>
      </c>
      <c r="BM1736" t="s">
        <v>74</v>
      </c>
      <c r="BN1736">
        <v>34565398</v>
      </c>
      <c r="BO1736" t="s">
        <v>74</v>
      </c>
      <c r="BP1736" t="s">
        <v>74</v>
      </c>
      <c r="BQ1736" t="s">
        <v>74</v>
      </c>
      <c r="BR1736" t="s">
        <v>96</v>
      </c>
      <c r="BS1736" t="s">
        <v>21805</v>
      </c>
      <c r="BT1736" t="str">
        <f>HYPERLINK("https%3A%2F%2Fwww.webofscience.com%2Fwos%2Fwoscc%2Ffull-record%2FWOS:000700709200001","View Full Record in Web of Science")</f>
        <v>View Full Record in Web of Science</v>
      </c>
    </row>
    <row r="1737" spans="1:72" x14ac:dyDescent="0.15">
      <c r="A1737" t="s">
        <v>98</v>
      </c>
      <c r="B1737" t="s">
        <v>21806</v>
      </c>
      <c r="C1737" t="s">
        <v>74</v>
      </c>
      <c r="D1737" t="s">
        <v>74</v>
      </c>
      <c r="E1737" t="s">
        <v>74</v>
      </c>
      <c r="F1737" t="s">
        <v>21807</v>
      </c>
      <c r="G1737" t="s">
        <v>74</v>
      </c>
      <c r="H1737" t="s">
        <v>74</v>
      </c>
      <c r="I1737" t="s">
        <v>21808</v>
      </c>
      <c r="J1737" t="s">
        <v>1484</v>
      </c>
      <c r="K1737" t="s">
        <v>74</v>
      </c>
      <c r="L1737" t="s">
        <v>74</v>
      </c>
      <c r="M1737" t="s">
        <v>74</v>
      </c>
      <c r="N1737" t="s">
        <v>103</v>
      </c>
      <c r="O1737" t="s">
        <v>74</v>
      </c>
      <c r="P1737" t="s">
        <v>74</v>
      </c>
      <c r="Q1737" t="s">
        <v>74</v>
      </c>
      <c r="R1737" t="s">
        <v>74</v>
      </c>
      <c r="S1737" t="s">
        <v>74</v>
      </c>
      <c r="T1737" t="s">
        <v>21809</v>
      </c>
      <c r="U1737" t="s">
        <v>21810</v>
      </c>
      <c r="V1737" t="s">
        <v>21811</v>
      </c>
      <c r="W1737" t="s">
        <v>21812</v>
      </c>
      <c r="X1737" t="s">
        <v>21813</v>
      </c>
      <c r="Y1737" t="s">
        <v>21814</v>
      </c>
      <c r="Z1737" t="s">
        <v>21815</v>
      </c>
      <c r="AA1737" t="s">
        <v>21816</v>
      </c>
      <c r="AB1737" t="s">
        <v>21817</v>
      </c>
      <c r="AC1737" t="s">
        <v>74</v>
      </c>
      <c r="AD1737" t="s">
        <v>74</v>
      </c>
      <c r="AE1737" t="s">
        <v>74</v>
      </c>
      <c r="AF1737" t="s">
        <v>74</v>
      </c>
      <c r="AG1737">
        <v>40</v>
      </c>
      <c r="AH1737">
        <v>2</v>
      </c>
      <c r="AI1737">
        <v>2</v>
      </c>
      <c r="AJ1737">
        <v>3</v>
      </c>
      <c r="AK1737">
        <v>3</v>
      </c>
      <c r="AL1737" t="s">
        <v>74</v>
      </c>
      <c r="AM1737" t="s">
        <v>74</v>
      </c>
      <c r="AN1737" t="s">
        <v>74</v>
      </c>
      <c r="AO1737" t="s">
        <v>74</v>
      </c>
      <c r="AP1737" t="s">
        <v>1494</v>
      </c>
      <c r="AQ1737" t="s">
        <v>74</v>
      </c>
      <c r="AR1737" t="s">
        <v>74</v>
      </c>
      <c r="AS1737" t="s">
        <v>74</v>
      </c>
      <c r="AT1737" t="s">
        <v>189</v>
      </c>
      <c r="AU1737">
        <v>2021</v>
      </c>
      <c r="AV1737">
        <v>9</v>
      </c>
      <c r="AW1737">
        <v>10</v>
      </c>
      <c r="AX1737" t="s">
        <v>74</v>
      </c>
      <c r="AY1737" t="s">
        <v>74</v>
      </c>
      <c r="AZ1737" t="s">
        <v>74</v>
      </c>
      <c r="BA1737" t="s">
        <v>74</v>
      </c>
      <c r="BB1737" t="s">
        <v>74</v>
      </c>
      <c r="BC1737" t="s">
        <v>74</v>
      </c>
      <c r="BD1737">
        <v>1154</v>
      </c>
      <c r="BE1737" t="s">
        <v>21818</v>
      </c>
      <c r="BF1737" t="str">
        <f>HYPERLINK("http://dx.doi.org/10.3390/vaccines9101154","http://dx.doi.org/10.3390/vaccines9101154")</f>
        <v>http://dx.doi.org/10.3390/vaccines9101154</v>
      </c>
      <c r="BG1737" t="s">
        <v>74</v>
      </c>
      <c r="BH1737" t="s">
        <v>74</v>
      </c>
      <c r="BI1737" t="s">
        <v>74</v>
      </c>
      <c r="BJ1737" t="s">
        <v>1496</v>
      </c>
      <c r="BK1737" t="s">
        <v>117</v>
      </c>
      <c r="BL1737" t="s">
        <v>1497</v>
      </c>
      <c r="BM1737" t="s">
        <v>74</v>
      </c>
      <c r="BN1737">
        <v>34696262</v>
      </c>
      <c r="BO1737" t="s">
        <v>74</v>
      </c>
      <c r="BP1737" t="s">
        <v>74</v>
      </c>
      <c r="BQ1737" t="s">
        <v>74</v>
      </c>
      <c r="BR1737" t="s">
        <v>96</v>
      </c>
      <c r="BS1737" t="s">
        <v>21819</v>
      </c>
      <c r="BT1737" t="str">
        <f>HYPERLINK("https%3A%2F%2Fwww.webofscience.com%2Fwos%2Fwoscc%2Ffull-record%2FWOS:000714568600001","View Full Record in Web of Science")</f>
        <v>View Full Record in Web of Science</v>
      </c>
    </row>
    <row r="1738" spans="1:72" x14ac:dyDescent="0.15">
      <c r="A1738" t="s">
        <v>98</v>
      </c>
      <c r="B1738" t="s">
        <v>21847</v>
      </c>
      <c r="C1738" t="s">
        <v>74</v>
      </c>
      <c r="D1738" t="s">
        <v>74</v>
      </c>
      <c r="E1738" t="s">
        <v>74</v>
      </c>
      <c r="F1738" t="s">
        <v>21848</v>
      </c>
      <c r="G1738" t="s">
        <v>74</v>
      </c>
      <c r="H1738" t="s">
        <v>74</v>
      </c>
      <c r="I1738" t="s">
        <v>21849</v>
      </c>
      <c r="J1738" t="s">
        <v>1827</v>
      </c>
      <c r="K1738" t="s">
        <v>74</v>
      </c>
      <c r="L1738" t="s">
        <v>74</v>
      </c>
      <c r="M1738" t="s">
        <v>74</v>
      </c>
      <c r="N1738" t="s">
        <v>103</v>
      </c>
      <c r="O1738" t="s">
        <v>74</v>
      </c>
      <c r="P1738" t="s">
        <v>74</v>
      </c>
      <c r="Q1738" t="s">
        <v>74</v>
      </c>
      <c r="R1738" t="s">
        <v>74</v>
      </c>
      <c r="S1738" t="s">
        <v>74</v>
      </c>
      <c r="T1738" t="s">
        <v>21850</v>
      </c>
      <c r="U1738" t="s">
        <v>21851</v>
      </c>
      <c r="V1738" t="s">
        <v>21852</v>
      </c>
      <c r="W1738" t="s">
        <v>21853</v>
      </c>
      <c r="X1738" t="s">
        <v>21854</v>
      </c>
      <c r="Y1738" t="s">
        <v>21855</v>
      </c>
      <c r="Z1738" t="s">
        <v>21856</v>
      </c>
      <c r="AA1738" t="s">
        <v>21857</v>
      </c>
      <c r="AB1738" t="s">
        <v>21858</v>
      </c>
      <c r="AC1738" t="s">
        <v>74</v>
      </c>
      <c r="AD1738" t="s">
        <v>74</v>
      </c>
      <c r="AE1738" t="s">
        <v>74</v>
      </c>
      <c r="AF1738" t="s">
        <v>74</v>
      </c>
      <c r="AG1738">
        <v>62</v>
      </c>
      <c r="AH1738">
        <v>2</v>
      </c>
      <c r="AI1738">
        <v>2</v>
      </c>
      <c r="AJ1738">
        <v>0</v>
      </c>
      <c r="AK1738">
        <v>1</v>
      </c>
      <c r="AL1738" t="s">
        <v>74</v>
      </c>
      <c r="AM1738" t="s">
        <v>74</v>
      </c>
      <c r="AN1738" t="s">
        <v>74</v>
      </c>
      <c r="AO1738" t="s">
        <v>74</v>
      </c>
      <c r="AP1738" t="s">
        <v>1836</v>
      </c>
      <c r="AQ1738" t="s">
        <v>74</v>
      </c>
      <c r="AR1738" t="s">
        <v>74</v>
      </c>
      <c r="AS1738" t="s">
        <v>74</v>
      </c>
      <c r="AT1738" t="s">
        <v>230</v>
      </c>
      <c r="AU1738">
        <v>2020</v>
      </c>
      <c r="AV1738">
        <v>9</v>
      </c>
      <c r="AW1738">
        <v>8</v>
      </c>
      <c r="AX1738" t="s">
        <v>74</v>
      </c>
      <c r="AY1738" t="s">
        <v>74</v>
      </c>
      <c r="AZ1738" t="s">
        <v>74</v>
      </c>
      <c r="BA1738" t="s">
        <v>74</v>
      </c>
      <c r="BB1738" t="s">
        <v>74</v>
      </c>
      <c r="BC1738" t="s">
        <v>74</v>
      </c>
      <c r="BD1738">
        <v>1890</v>
      </c>
      <c r="BE1738" t="s">
        <v>21859</v>
      </c>
      <c r="BF1738" t="str">
        <f>HYPERLINK("http://dx.doi.org/10.3390/cells9081890","http://dx.doi.org/10.3390/cells9081890")</f>
        <v>http://dx.doi.org/10.3390/cells9081890</v>
      </c>
      <c r="BG1738" t="s">
        <v>74</v>
      </c>
      <c r="BH1738" t="s">
        <v>74</v>
      </c>
      <c r="BI1738" t="s">
        <v>74</v>
      </c>
      <c r="BJ1738" t="s">
        <v>135</v>
      </c>
      <c r="BK1738" t="s">
        <v>117</v>
      </c>
      <c r="BL1738" t="s">
        <v>135</v>
      </c>
      <c r="BM1738" t="s">
        <v>74</v>
      </c>
      <c r="BN1738">
        <v>32806709</v>
      </c>
      <c r="BO1738" t="s">
        <v>74</v>
      </c>
      <c r="BP1738" t="s">
        <v>74</v>
      </c>
      <c r="BQ1738" t="s">
        <v>74</v>
      </c>
      <c r="BR1738" t="s">
        <v>96</v>
      </c>
      <c r="BS1738" t="s">
        <v>21860</v>
      </c>
      <c r="BT1738" t="str">
        <f>HYPERLINK("https%3A%2F%2Fwww.webofscience.com%2Fwos%2Fwoscc%2Ffull-record%2FWOS:000565637000001","View Full Record in Web of Science")</f>
        <v>View Full Record in Web of Science</v>
      </c>
    </row>
    <row r="1739" spans="1:72" x14ac:dyDescent="0.15">
      <c r="A1739" t="s">
        <v>98</v>
      </c>
      <c r="B1739" t="s">
        <v>22072</v>
      </c>
      <c r="C1739" t="s">
        <v>74</v>
      </c>
      <c r="D1739" t="s">
        <v>74</v>
      </c>
      <c r="E1739" t="s">
        <v>74</v>
      </c>
      <c r="F1739" t="s">
        <v>22073</v>
      </c>
      <c r="G1739" t="s">
        <v>74</v>
      </c>
      <c r="H1739" t="s">
        <v>74</v>
      </c>
      <c r="I1739" t="s">
        <v>22074</v>
      </c>
      <c r="J1739" t="s">
        <v>10022</v>
      </c>
      <c r="K1739" t="s">
        <v>74</v>
      </c>
      <c r="L1739" t="s">
        <v>74</v>
      </c>
      <c r="M1739" t="s">
        <v>74</v>
      </c>
      <c r="N1739" t="s">
        <v>103</v>
      </c>
      <c r="O1739" t="s">
        <v>74</v>
      </c>
      <c r="P1739" t="s">
        <v>74</v>
      </c>
      <c r="Q1739" t="s">
        <v>74</v>
      </c>
      <c r="R1739" t="s">
        <v>74</v>
      </c>
      <c r="S1739" t="s">
        <v>74</v>
      </c>
      <c r="T1739" t="s">
        <v>22075</v>
      </c>
      <c r="U1739" t="s">
        <v>74</v>
      </c>
      <c r="V1739" t="s">
        <v>22076</v>
      </c>
      <c r="W1739" t="s">
        <v>22077</v>
      </c>
      <c r="X1739" t="s">
        <v>22078</v>
      </c>
      <c r="Y1739" t="s">
        <v>22079</v>
      </c>
      <c r="Z1739" t="s">
        <v>22080</v>
      </c>
      <c r="AA1739" t="s">
        <v>22081</v>
      </c>
      <c r="AB1739" t="s">
        <v>22082</v>
      </c>
      <c r="AC1739" t="s">
        <v>74</v>
      </c>
      <c r="AD1739" t="s">
        <v>74</v>
      </c>
      <c r="AE1739" t="s">
        <v>74</v>
      </c>
      <c r="AF1739" t="s">
        <v>74</v>
      </c>
      <c r="AG1739">
        <v>0</v>
      </c>
      <c r="AH1739">
        <v>2</v>
      </c>
      <c r="AI1739">
        <v>2</v>
      </c>
      <c r="AJ1739">
        <v>0</v>
      </c>
      <c r="AK1739">
        <v>1</v>
      </c>
      <c r="AL1739" t="s">
        <v>74</v>
      </c>
      <c r="AM1739" t="s">
        <v>74</v>
      </c>
      <c r="AN1739" t="s">
        <v>74</v>
      </c>
      <c r="AO1739" t="s">
        <v>10031</v>
      </c>
      <c r="AP1739" t="s">
        <v>10032</v>
      </c>
      <c r="AQ1739" t="s">
        <v>74</v>
      </c>
      <c r="AR1739" t="s">
        <v>74</v>
      </c>
      <c r="AS1739" t="s">
        <v>74</v>
      </c>
      <c r="AT1739" t="s">
        <v>967</v>
      </c>
      <c r="AU1739">
        <v>2017</v>
      </c>
      <c r="AV1739">
        <v>60</v>
      </c>
      <c r="AW1739" t="s">
        <v>74</v>
      </c>
      <c r="AX1739" t="s">
        <v>74</v>
      </c>
      <c r="AY1739">
        <v>1</v>
      </c>
      <c r="AZ1739" t="s">
        <v>74</v>
      </c>
      <c r="BA1739" t="s">
        <v>74</v>
      </c>
      <c r="BB1739" t="s">
        <v>22083</v>
      </c>
      <c r="BC1739" t="s">
        <v>22084</v>
      </c>
      <c r="BD1739" t="s">
        <v>74</v>
      </c>
      <c r="BE1739" t="s">
        <v>22085</v>
      </c>
      <c r="BF1739" t="str">
        <f>HYPERLINK("http://dx.doi.org/10.1016/j.placenta.2017.01.103","http://dx.doi.org/10.1016/j.placenta.2017.01.103")</f>
        <v>http://dx.doi.org/10.1016/j.placenta.2017.01.103</v>
      </c>
      <c r="BG1739" t="s">
        <v>74</v>
      </c>
      <c r="BH1739" t="s">
        <v>74</v>
      </c>
      <c r="BI1739" t="s">
        <v>74</v>
      </c>
      <c r="BJ1739" t="s">
        <v>10034</v>
      </c>
      <c r="BK1739" t="s">
        <v>117</v>
      </c>
      <c r="BL1739" t="s">
        <v>10034</v>
      </c>
      <c r="BM1739" t="s">
        <v>74</v>
      </c>
      <c r="BN1739">
        <v>28108031</v>
      </c>
      <c r="BO1739" t="s">
        <v>74</v>
      </c>
      <c r="BP1739" t="s">
        <v>74</v>
      </c>
      <c r="BQ1739" t="s">
        <v>74</v>
      </c>
      <c r="BR1739" t="s">
        <v>96</v>
      </c>
      <c r="BS1739" t="s">
        <v>22086</v>
      </c>
      <c r="BT1739" t="str">
        <f>HYPERLINK("https%3A%2F%2Fwww.webofscience.com%2Fwos%2Fwoscc%2Ffull-record%2FWOS:000423540400003","View Full Record in Web of Science")</f>
        <v>View Full Record in Web of Science</v>
      </c>
    </row>
    <row r="1740" spans="1:72" x14ac:dyDescent="0.15">
      <c r="A1740" t="s">
        <v>98</v>
      </c>
      <c r="B1740" t="s">
        <v>22298</v>
      </c>
      <c r="C1740" t="s">
        <v>74</v>
      </c>
      <c r="D1740" t="s">
        <v>74</v>
      </c>
      <c r="E1740" t="s">
        <v>74</v>
      </c>
      <c r="F1740" t="s">
        <v>22299</v>
      </c>
      <c r="G1740" t="s">
        <v>74</v>
      </c>
      <c r="H1740" t="s">
        <v>74</v>
      </c>
      <c r="I1740" t="s">
        <v>22300</v>
      </c>
      <c r="J1740" t="s">
        <v>22301</v>
      </c>
      <c r="K1740" t="s">
        <v>74</v>
      </c>
      <c r="L1740" t="s">
        <v>74</v>
      </c>
      <c r="M1740" t="s">
        <v>74</v>
      </c>
      <c r="N1740" t="s">
        <v>103</v>
      </c>
      <c r="O1740" t="s">
        <v>74</v>
      </c>
      <c r="P1740" t="s">
        <v>74</v>
      </c>
      <c r="Q1740" t="s">
        <v>74</v>
      </c>
      <c r="R1740" t="s">
        <v>74</v>
      </c>
      <c r="S1740" t="s">
        <v>74</v>
      </c>
      <c r="T1740" t="s">
        <v>22302</v>
      </c>
      <c r="U1740" t="s">
        <v>22303</v>
      </c>
      <c r="V1740" t="s">
        <v>22304</v>
      </c>
      <c r="W1740" t="s">
        <v>22305</v>
      </c>
      <c r="X1740" t="s">
        <v>74</v>
      </c>
      <c r="Y1740" t="s">
        <v>22306</v>
      </c>
      <c r="Z1740" t="s">
        <v>22307</v>
      </c>
      <c r="AA1740" t="s">
        <v>74</v>
      </c>
      <c r="AB1740" t="s">
        <v>22308</v>
      </c>
      <c r="AC1740" t="s">
        <v>74</v>
      </c>
      <c r="AD1740" t="s">
        <v>74</v>
      </c>
      <c r="AE1740" t="s">
        <v>74</v>
      </c>
      <c r="AF1740" t="s">
        <v>74</v>
      </c>
      <c r="AG1740">
        <v>93</v>
      </c>
      <c r="AH1740">
        <v>2</v>
      </c>
      <c r="AI1740">
        <v>2</v>
      </c>
      <c r="AJ1740">
        <v>4</v>
      </c>
      <c r="AK1740">
        <v>5</v>
      </c>
      <c r="AL1740" t="s">
        <v>74</v>
      </c>
      <c r="AM1740" t="s">
        <v>74</v>
      </c>
      <c r="AN1740" t="s">
        <v>74</v>
      </c>
      <c r="AO1740" t="s">
        <v>74</v>
      </c>
      <c r="AP1740" t="s">
        <v>22309</v>
      </c>
      <c r="AQ1740" t="s">
        <v>74</v>
      </c>
      <c r="AR1740" t="s">
        <v>74</v>
      </c>
      <c r="AS1740" t="s">
        <v>74</v>
      </c>
      <c r="AT1740" t="s">
        <v>967</v>
      </c>
      <c r="AU1740">
        <v>2021</v>
      </c>
      <c r="AV1740">
        <v>18</v>
      </c>
      <c r="AW1740">
        <v>23</v>
      </c>
      <c r="AX1740" t="s">
        <v>74</v>
      </c>
      <c r="AY1740" t="s">
        <v>74</v>
      </c>
      <c r="AZ1740" t="s">
        <v>74</v>
      </c>
      <c r="BA1740" t="s">
        <v>74</v>
      </c>
      <c r="BB1740" t="s">
        <v>74</v>
      </c>
      <c r="BC1740" t="s">
        <v>74</v>
      </c>
      <c r="BD1740">
        <v>12728</v>
      </c>
      <c r="BE1740" t="s">
        <v>22310</v>
      </c>
      <c r="BF1740" t="str">
        <f>HYPERLINK("http://dx.doi.org/10.3390/ijerph182312728","http://dx.doi.org/10.3390/ijerph182312728")</f>
        <v>http://dx.doi.org/10.3390/ijerph182312728</v>
      </c>
      <c r="BG1740" t="s">
        <v>74</v>
      </c>
      <c r="BH1740" t="s">
        <v>74</v>
      </c>
      <c r="BI1740" t="s">
        <v>74</v>
      </c>
      <c r="BJ1740" t="s">
        <v>7180</v>
      </c>
      <c r="BK1740" t="s">
        <v>3223</v>
      </c>
      <c r="BL1740" t="s">
        <v>7181</v>
      </c>
      <c r="BM1740" t="s">
        <v>74</v>
      </c>
      <c r="BN1740">
        <v>34886453</v>
      </c>
      <c r="BO1740" t="s">
        <v>74</v>
      </c>
      <c r="BP1740" t="s">
        <v>74</v>
      </c>
      <c r="BQ1740" t="s">
        <v>74</v>
      </c>
      <c r="BR1740" t="s">
        <v>96</v>
      </c>
      <c r="BS1740" t="s">
        <v>22311</v>
      </c>
      <c r="BT1740" t="str">
        <f>HYPERLINK("https%3A%2F%2Fwww.webofscience.com%2Fwos%2Fwoscc%2Ffull-record%2FWOS:000734944200001","View Full Record in Web of Science")</f>
        <v>View Full Record in Web of Science</v>
      </c>
    </row>
    <row r="1741" spans="1:72" x14ac:dyDescent="0.15">
      <c r="A1741" t="s">
        <v>98</v>
      </c>
      <c r="B1741" t="s">
        <v>22458</v>
      </c>
      <c r="C1741" t="s">
        <v>74</v>
      </c>
      <c r="D1741" t="s">
        <v>74</v>
      </c>
      <c r="E1741" t="s">
        <v>74</v>
      </c>
      <c r="F1741" t="s">
        <v>22459</v>
      </c>
      <c r="G1741" t="s">
        <v>74</v>
      </c>
      <c r="H1741" t="s">
        <v>74</v>
      </c>
      <c r="I1741" t="s">
        <v>22460</v>
      </c>
      <c r="J1741" t="s">
        <v>6885</v>
      </c>
      <c r="K1741" t="s">
        <v>74</v>
      </c>
      <c r="L1741" t="s">
        <v>74</v>
      </c>
      <c r="M1741" t="s">
        <v>74</v>
      </c>
      <c r="N1741" t="s">
        <v>103</v>
      </c>
      <c r="O1741" t="s">
        <v>74</v>
      </c>
      <c r="P1741" t="s">
        <v>74</v>
      </c>
      <c r="Q1741" t="s">
        <v>74</v>
      </c>
      <c r="R1741" t="s">
        <v>74</v>
      </c>
      <c r="S1741" t="s">
        <v>74</v>
      </c>
      <c r="T1741" t="s">
        <v>74</v>
      </c>
      <c r="U1741" t="s">
        <v>22461</v>
      </c>
      <c r="V1741" t="s">
        <v>22462</v>
      </c>
      <c r="W1741" t="s">
        <v>22463</v>
      </c>
      <c r="X1741" t="s">
        <v>22464</v>
      </c>
      <c r="Y1741" t="s">
        <v>22465</v>
      </c>
      <c r="Z1741" t="s">
        <v>22466</v>
      </c>
      <c r="AA1741" t="s">
        <v>22467</v>
      </c>
      <c r="AB1741" t="s">
        <v>22468</v>
      </c>
      <c r="AC1741" t="s">
        <v>74</v>
      </c>
      <c r="AD1741" t="s">
        <v>74</v>
      </c>
      <c r="AE1741" t="s">
        <v>74</v>
      </c>
      <c r="AF1741" t="s">
        <v>74</v>
      </c>
      <c r="AG1741">
        <v>55</v>
      </c>
      <c r="AH1741">
        <v>2</v>
      </c>
      <c r="AI1741">
        <v>2</v>
      </c>
      <c r="AJ1741">
        <v>22</v>
      </c>
      <c r="AK1741">
        <v>24</v>
      </c>
      <c r="AL1741" t="s">
        <v>74</v>
      </c>
      <c r="AM1741" t="s">
        <v>74</v>
      </c>
      <c r="AN1741" t="s">
        <v>74</v>
      </c>
      <c r="AO1741" t="s">
        <v>6894</v>
      </c>
      <c r="AP1741" t="s">
        <v>74</v>
      </c>
      <c r="AQ1741" t="s">
        <v>74</v>
      </c>
      <c r="AR1741" t="s">
        <v>74</v>
      </c>
      <c r="AS1741" t="s">
        <v>74</v>
      </c>
      <c r="AT1741" t="s">
        <v>5804</v>
      </c>
      <c r="AU1741">
        <v>2022</v>
      </c>
      <c r="AV1741">
        <v>27</v>
      </c>
      <c r="AW1741" t="s">
        <v>74</v>
      </c>
      <c r="AX1741" t="s">
        <v>74</v>
      </c>
      <c r="AY1741" t="s">
        <v>74</v>
      </c>
      <c r="AZ1741" t="s">
        <v>74</v>
      </c>
      <c r="BA1741" t="s">
        <v>74</v>
      </c>
      <c r="BB1741">
        <v>611</v>
      </c>
      <c r="BC1741">
        <v>620</v>
      </c>
      <c r="BD1741" t="s">
        <v>74</v>
      </c>
      <c r="BE1741" t="s">
        <v>22469</v>
      </c>
      <c r="BF1741" t="str">
        <f>HYPERLINK("http://dx.doi.org/10.1016/j.omtn.2021.12.029","http://dx.doi.org/10.1016/j.omtn.2021.12.029")</f>
        <v>http://dx.doi.org/10.1016/j.omtn.2021.12.029</v>
      </c>
      <c r="BG1741" t="s">
        <v>74</v>
      </c>
      <c r="BH1741" t="s">
        <v>74</v>
      </c>
      <c r="BI1741" t="s">
        <v>74</v>
      </c>
      <c r="BJ1741" t="s">
        <v>795</v>
      </c>
      <c r="BK1741" t="s">
        <v>117</v>
      </c>
      <c r="BL1741" t="s">
        <v>796</v>
      </c>
      <c r="BM1741" t="s">
        <v>74</v>
      </c>
      <c r="BN1741">
        <v>35036069</v>
      </c>
      <c r="BO1741" t="s">
        <v>74</v>
      </c>
      <c r="BP1741" t="s">
        <v>74</v>
      </c>
      <c r="BQ1741" t="s">
        <v>74</v>
      </c>
      <c r="BR1741" t="s">
        <v>96</v>
      </c>
      <c r="BS1741" t="s">
        <v>22470</v>
      </c>
      <c r="BT1741" t="str">
        <f>HYPERLINK("https%3A%2F%2Fwww.webofscience.com%2Fwos%2Fwoscc%2Ffull-record%2FWOS:000766655800005","View Full Record in Web of Science")</f>
        <v>View Full Record in Web of Science</v>
      </c>
    </row>
    <row r="1742" spans="1:72" x14ac:dyDescent="0.15">
      <c r="A1742" t="s">
        <v>98</v>
      </c>
      <c r="B1742" t="s">
        <v>23209</v>
      </c>
      <c r="C1742" t="s">
        <v>74</v>
      </c>
      <c r="D1742" t="s">
        <v>74</v>
      </c>
      <c r="E1742" t="s">
        <v>74</v>
      </c>
      <c r="F1742" t="s">
        <v>23210</v>
      </c>
      <c r="G1742" t="s">
        <v>74</v>
      </c>
      <c r="H1742" t="s">
        <v>74</v>
      </c>
      <c r="I1742" t="s">
        <v>23211</v>
      </c>
      <c r="J1742" t="s">
        <v>23212</v>
      </c>
      <c r="K1742" t="s">
        <v>74</v>
      </c>
      <c r="L1742" t="s">
        <v>74</v>
      </c>
      <c r="M1742" t="s">
        <v>74</v>
      </c>
      <c r="N1742" t="s">
        <v>103</v>
      </c>
      <c r="O1742" t="s">
        <v>74</v>
      </c>
      <c r="P1742" t="s">
        <v>74</v>
      </c>
      <c r="Q1742" t="s">
        <v>74</v>
      </c>
      <c r="R1742" t="s">
        <v>74</v>
      </c>
      <c r="S1742" t="s">
        <v>74</v>
      </c>
      <c r="T1742" t="s">
        <v>23213</v>
      </c>
      <c r="U1742" t="s">
        <v>23214</v>
      </c>
      <c r="V1742" t="s">
        <v>23215</v>
      </c>
      <c r="W1742" t="s">
        <v>23216</v>
      </c>
      <c r="X1742" t="s">
        <v>23217</v>
      </c>
      <c r="Y1742" t="s">
        <v>23218</v>
      </c>
      <c r="Z1742" t="s">
        <v>23219</v>
      </c>
      <c r="AA1742" t="s">
        <v>74</v>
      </c>
      <c r="AB1742" t="s">
        <v>23220</v>
      </c>
      <c r="AC1742" t="s">
        <v>74</v>
      </c>
      <c r="AD1742" t="s">
        <v>74</v>
      </c>
      <c r="AE1742" t="s">
        <v>74</v>
      </c>
      <c r="AF1742" t="s">
        <v>74</v>
      </c>
      <c r="AG1742">
        <v>46</v>
      </c>
      <c r="AH1742">
        <v>2</v>
      </c>
      <c r="AI1742">
        <v>2</v>
      </c>
      <c r="AJ1742">
        <v>1</v>
      </c>
      <c r="AK1742">
        <v>4</v>
      </c>
      <c r="AL1742" t="s">
        <v>74</v>
      </c>
      <c r="AM1742" t="s">
        <v>74</v>
      </c>
      <c r="AN1742" t="s">
        <v>74</v>
      </c>
      <c r="AO1742" t="s">
        <v>23221</v>
      </c>
      <c r="AP1742" t="s">
        <v>74</v>
      </c>
      <c r="AQ1742" t="s">
        <v>74</v>
      </c>
      <c r="AR1742" t="s">
        <v>74</v>
      </c>
      <c r="AS1742" t="s">
        <v>74</v>
      </c>
      <c r="AT1742" t="s">
        <v>21642</v>
      </c>
      <c r="AU1742">
        <v>2021</v>
      </c>
      <c r="AV1742">
        <v>15</v>
      </c>
      <c r="AW1742" t="s">
        <v>74</v>
      </c>
      <c r="AX1742" t="s">
        <v>74</v>
      </c>
      <c r="AY1742" t="s">
        <v>74</v>
      </c>
      <c r="AZ1742" t="s">
        <v>74</v>
      </c>
      <c r="BA1742" t="s">
        <v>74</v>
      </c>
      <c r="BB1742" t="s">
        <v>74</v>
      </c>
      <c r="BC1742" t="s">
        <v>74</v>
      </c>
      <c r="BD1742">
        <v>661065</v>
      </c>
      <c r="BE1742" t="s">
        <v>23222</v>
      </c>
      <c r="BF1742" t="str">
        <f>HYPERLINK("http://dx.doi.org/10.3389/fnana.2021.661065","http://dx.doi.org/10.3389/fnana.2021.661065")</f>
        <v>http://dx.doi.org/10.3389/fnana.2021.661065</v>
      </c>
      <c r="BG1742" t="s">
        <v>74</v>
      </c>
      <c r="BH1742" t="s">
        <v>74</v>
      </c>
      <c r="BI1742" t="s">
        <v>74</v>
      </c>
      <c r="BJ1742" t="s">
        <v>23223</v>
      </c>
      <c r="BK1742" t="s">
        <v>117</v>
      </c>
      <c r="BL1742" t="s">
        <v>23224</v>
      </c>
      <c r="BM1742" t="s">
        <v>74</v>
      </c>
      <c r="BN1742">
        <v>34248507</v>
      </c>
      <c r="BO1742" t="s">
        <v>74</v>
      </c>
      <c r="BP1742" t="s">
        <v>74</v>
      </c>
      <c r="BQ1742" t="s">
        <v>74</v>
      </c>
      <c r="BR1742" t="s">
        <v>96</v>
      </c>
      <c r="BS1742" t="s">
        <v>23225</v>
      </c>
      <c r="BT1742" t="str">
        <f>HYPERLINK("https%3A%2F%2Fwww.webofscience.com%2Fwos%2Fwoscc%2Ffull-record%2FWOS:000670983400001","View Full Record in Web of Science")</f>
        <v>View Full Record in Web of Science</v>
      </c>
    </row>
    <row r="1743" spans="1:72" x14ac:dyDescent="0.15">
      <c r="A1743" t="s">
        <v>98</v>
      </c>
      <c r="B1743" t="s">
        <v>23330</v>
      </c>
      <c r="C1743" t="s">
        <v>74</v>
      </c>
      <c r="D1743" t="s">
        <v>74</v>
      </c>
      <c r="E1743" t="s">
        <v>74</v>
      </c>
      <c r="F1743" t="s">
        <v>23331</v>
      </c>
      <c r="G1743" t="s">
        <v>74</v>
      </c>
      <c r="H1743" t="s">
        <v>74</v>
      </c>
      <c r="I1743" t="s">
        <v>23332</v>
      </c>
      <c r="J1743" t="s">
        <v>23333</v>
      </c>
      <c r="K1743" t="s">
        <v>74</v>
      </c>
      <c r="L1743" t="s">
        <v>74</v>
      </c>
      <c r="M1743" t="s">
        <v>74</v>
      </c>
      <c r="N1743" t="s">
        <v>103</v>
      </c>
      <c r="O1743" t="s">
        <v>74</v>
      </c>
      <c r="P1743" t="s">
        <v>74</v>
      </c>
      <c r="Q1743" t="s">
        <v>74</v>
      </c>
      <c r="R1743" t="s">
        <v>74</v>
      </c>
      <c r="S1743" t="s">
        <v>74</v>
      </c>
      <c r="T1743" t="s">
        <v>23334</v>
      </c>
      <c r="U1743" t="s">
        <v>23335</v>
      </c>
      <c r="V1743" t="s">
        <v>23336</v>
      </c>
      <c r="W1743" t="s">
        <v>23337</v>
      </c>
      <c r="X1743" t="s">
        <v>74</v>
      </c>
      <c r="Y1743" t="s">
        <v>23338</v>
      </c>
      <c r="Z1743" t="s">
        <v>23339</v>
      </c>
      <c r="AA1743" t="s">
        <v>23340</v>
      </c>
      <c r="AB1743" t="s">
        <v>23341</v>
      </c>
      <c r="AC1743" t="s">
        <v>74</v>
      </c>
      <c r="AD1743" t="s">
        <v>74</v>
      </c>
      <c r="AE1743" t="s">
        <v>74</v>
      </c>
      <c r="AF1743" t="s">
        <v>74</v>
      </c>
      <c r="AG1743">
        <v>28</v>
      </c>
      <c r="AH1743">
        <v>2</v>
      </c>
      <c r="AI1743">
        <v>2</v>
      </c>
      <c r="AJ1743">
        <v>0</v>
      </c>
      <c r="AK1743">
        <v>1</v>
      </c>
      <c r="AL1743" t="s">
        <v>74</v>
      </c>
      <c r="AM1743" t="s">
        <v>74</v>
      </c>
      <c r="AN1743" t="s">
        <v>74</v>
      </c>
      <c r="AO1743" t="s">
        <v>23342</v>
      </c>
      <c r="AP1743" t="s">
        <v>23343</v>
      </c>
      <c r="AQ1743" t="s">
        <v>74</v>
      </c>
      <c r="AR1743" t="s">
        <v>74</v>
      </c>
      <c r="AS1743" t="s">
        <v>74</v>
      </c>
      <c r="AT1743" t="s">
        <v>967</v>
      </c>
      <c r="AU1743">
        <v>2021</v>
      </c>
      <c r="AV1743">
        <v>123</v>
      </c>
      <c r="AW1743" t="s">
        <v>74</v>
      </c>
      <c r="AX1743" t="s">
        <v>74</v>
      </c>
      <c r="AY1743" t="s">
        <v>74</v>
      </c>
      <c r="AZ1743" t="s">
        <v>74</v>
      </c>
      <c r="BA1743" t="s">
        <v>74</v>
      </c>
      <c r="BB1743" t="s">
        <v>74</v>
      </c>
      <c r="BC1743" t="s">
        <v>74</v>
      </c>
      <c r="BD1743">
        <v>105588</v>
      </c>
      <c r="BE1743" t="s">
        <v>23344</v>
      </c>
      <c r="BF1743" t="str">
        <f>HYPERLINK("http://dx.doi.org/10.1016/j.oraloncology.2021.105588","http://dx.doi.org/10.1016/j.oraloncology.2021.105588")</f>
        <v>http://dx.doi.org/10.1016/j.oraloncology.2021.105588</v>
      </c>
      <c r="BG1743" t="s">
        <v>74</v>
      </c>
      <c r="BH1743" t="s">
        <v>1967</v>
      </c>
      <c r="BI1743" t="s">
        <v>74</v>
      </c>
      <c r="BJ1743" t="s">
        <v>23345</v>
      </c>
      <c r="BK1743" t="s">
        <v>117</v>
      </c>
      <c r="BL1743" t="s">
        <v>23345</v>
      </c>
      <c r="BM1743" t="s">
        <v>74</v>
      </c>
      <c r="BN1743">
        <v>34744021</v>
      </c>
      <c r="BO1743" t="s">
        <v>74</v>
      </c>
      <c r="BP1743" t="s">
        <v>74</v>
      </c>
      <c r="BQ1743" t="s">
        <v>74</v>
      </c>
      <c r="BR1743" t="s">
        <v>96</v>
      </c>
      <c r="BS1743" t="s">
        <v>23346</v>
      </c>
      <c r="BT1743" t="str">
        <f>HYPERLINK("https%3A%2F%2Fwww.webofscience.com%2Fwos%2Fwoscc%2Ffull-record%2FWOS:000717525700012","View Full Record in Web of Science")</f>
        <v>View Full Record in Web of Science</v>
      </c>
    </row>
    <row r="1744" spans="1:72" x14ac:dyDescent="0.15">
      <c r="A1744" t="s">
        <v>98</v>
      </c>
      <c r="B1744" t="s">
        <v>23379</v>
      </c>
      <c r="C1744" t="s">
        <v>74</v>
      </c>
      <c r="D1744" t="s">
        <v>74</v>
      </c>
      <c r="E1744" t="s">
        <v>74</v>
      </c>
      <c r="F1744" t="s">
        <v>23380</v>
      </c>
      <c r="G1744" t="s">
        <v>74</v>
      </c>
      <c r="H1744" t="s">
        <v>74</v>
      </c>
      <c r="I1744" t="s">
        <v>23381</v>
      </c>
      <c r="J1744" t="s">
        <v>7406</v>
      </c>
      <c r="K1744" t="s">
        <v>74</v>
      </c>
      <c r="L1744" t="s">
        <v>74</v>
      </c>
      <c r="M1744" t="s">
        <v>74</v>
      </c>
      <c r="N1744" t="s">
        <v>103</v>
      </c>
      <c r="O1744" t="s">
        <v>74</v>
      </c>
      <c r="P1744" t="s">
        <v>74</v>
      </c>
      <c r="Q1744" t="s">
        <v>74</v>
      </c>
      <c r="R1744" t="s">
        <v>74</v>
      </c>
      <c r="S1744" t="s">
        <v>74</v>
      </c>
      <c r="T1744" t="s">
        <v>23382</v>
      </c>
      <c r="U1744" t="s">
        <v>23383</v>
      </c>
      <c r="V1744" t="s">
        <v>23384</v>
      </c>
      <c r="W1744" t="s">
        <v>23385</v>
      </c>
      <c r="X1744" t="s">
        <v>23386</v>
      </c>
      <c r="Y1744" t="s">
        <v>23387</v>
      </c>
      <c r="Z1744" t="s">
        <v>23388</v>
      </c>
      <c r="AA1744" t="s">
        <v>23389</v>
      </c>
      <c r="AB1744" t="s">
        <v>23390</v>
      </c>
      <c r="AC1744" t="s">
        <v>74</v>
      </c>
      <c r="AD1744" t="s">
        <v>74</v>
      </c>
      <c r="AE1744" t="s">
        <v>74</v>
      </c>
      <c r="AF1744" t="s">
        <v>74</v>
      </c>
      <c r="AG1744">
        <v>46</v>
      </c>
      <c r="AH1744">
        <v>2</v>
      </c>
      <c r="AI1744">
        <v>2</v>
      </c>
      <c r="AJ1744">
        <v>2</v>
      </c>
      <c r="AK1744">
        <v>5</v>
      </c>
      <c r="AL1744" t="s">
        <v>74</v>
      </c>
      <c r="AM1744" t="s">
        <v>74</v>
      </c>
      <c r="AN1744" t="s">
        <v>74</v>
      </c>
      <c r="AO1744" t="s">
        <v>7415</v>
      </c>
      <c r="AP1744" t="s">
        <v>74</v>
      </c>
      <c r="AQ1744" t="s">
        <v>74</v>
      </c>
      <c r="AR1744" t="s">
        <v>74</v>
      </c>
      <c r="AS1744" t="s">
        <v>74</v>
      </c>
      <c r="AT1744" t="s">
        <v>211</v>
      </c>
      <c r="AU1744">
        <v>2021</v>
      </c>
      <c r="AV1744">
        <v>31</v>
      </c>
      <c r="AW1744" t="s">
        <v>74</v>
      </c>
      <c r="AX1744" t="s">
        <v>74</v>
      </c>
      <c r="AY1744" t="s">
        <v>74</v>
      </c>
      <c r="AZ1744" t="s">
        <v>74</v>
      </c>
      <c r="BA1744" t="s">
        <v>74</v>
      </c>
      <c r="BB1744">
        <v>10</v>
      </c>
      <c r="BC1744">
        <v>19</v>
      </c>
      <c r="BD1744" t="s">
        <v>74</v>
      </c>
      <c r="BE1744" t="s">
        <v>23391</v>
      </c>
      <c r="BF1744" t="str">
        <f>HYPERLINK("http://dx.doi.org/10.1016/j.jot.2021.09.004","http://dx.doi.org/10.1016/j.jot.2021.09.004")</f>
        <v>http://dx.doi.org/10.1016/j.jot.2021.09.004</v>
      </c>
      <c r="BG1744" t="s">
        <v>74</v>
      </c>
      <c r="BH1744" t="s">
        <v>1967</v>
      </c>
      <c r="BI1744" t="s">
        <v>74</v>
      </c>
      <c r="BJ1744" t="s">
        <v>974</v>
      </c>
      <c r="BK1744" t="s">
        <v>117</v>
      </c>
      <c r="BL1744" t="s">
        <v>974</v>
      </c>
      <c r="BM1744" t="s">
        <v>74</v>
      </c>
      <c r="BN1744">
        <v>34760620</v>
      </c>
      <c r="BO1744" t="s">
        <v>74</v>
      </c>
      <c r="BP1744" t="s">
        <v>74</v>
      </c>
      <c r="BQ1744" t="s">
        <v>74</v>
      </c>
      <c r="BR1744" t="s">
        <v>96</v>
      </c>
      <c r="BS1744" t="s">
        <v>23392</v>
      </c>
      <c r="BT1744" t="str">
        <f>HYPERLINK("https%3A%2F%2Fwww.webofscience.com%2Fwos%2Fwoscc%2Ffull-record%2FWOS:000712049800002","View Full Record in Web of Science")</f>
        <v>View Full Record in Web of Science</v>
      </c>
    </row>
    <row r="1745" spans="1:72" x14ac:dyDescent="0.15">
      <c r="A1745" t="s">
        <v>98</v>
      </c>
      <c r="B1745" t="s">
        <v>23597</v>
      </c>
      <c r="C1745" t="s">
        <v>74</v>
      </c>
      <c r="D1745" t="s">
        <v>74</v>
      </c>
      <c r="E1745" t="s">
        <v>74</v>
      </c>
      <c r="F1745" t="s">
        <v>23598</v>
      </c>
      <c r="G1745" t="s">
        <v>74</v>
      </c>
      <c r="H1745" t="s">
        <v>74</v>
      </c>
      <c r="I1745" t="s">
        <v>23599</v>
      </c>
      <c r="J1745" t="s">
        <v>23600</v>
      </c>
      <c r="K1745" t="s">
        <v>74</v>
      </c>
      <c r="L1745" t="s">
        <v>74</v>
      </c>
      <c r="M1745" t="s">
        <v>74</v>
      </c>
      <c r="N1745" t="s">
        <v>103</v>
      </c>
      <c r="O1745" t="s">
        <v>74</v>
      </c>
      <c r="P1745" t="s">
        <v>74</v>
      </c>
      <c r="Q1745" t="s">
        <v>74</v>
      </c>
      <c r="R1745" t="s">
        <v>74</v>
      </c>
      <c r="S1745" t="s">
        <v>74</v>
      </c>
      <c r="T1745" t="s">
        <v>23601</v>
      </c>
      <c r="U1745" t="s">
        <v>74</v>
      </c>
      <c r="V1745" t="s">
        <v>23602</v>
      </c>
      <c r="W1745" t="s">
        <v>23603</v>
      </c>
      <c r="X1745" t="s">
        <v>23604</v>
      </c>
      <c r="Y1745" t="s">
        <v>23605</v>
      </c>
      <c r="Z1745" t="s">
        <v>23606</v>
      </c>
      <c r="AA1745" t="s">
        <v>23607</v>
      </c>
      <c r="AB1745" t="s">
        <v>23608</v>
      </c>
      <c r="AC1745" t="s">
        <v>74</v>
      </c>
      <c r="AD1745" t="s">
        <v>74</v>
      </c>
      <c r="AE1745" t="s">
        <v>74</v>
      </c>
      <c r="AF1745" t="s">
        <v>74</v>
      </c>
      <c r="AG1745">
        <v>12</v>
      </c>
      <c r="AH1745">
        <v>2</v>
      </c>
      <c r="AI1745">
        <v>2</v>
      </c>
      <c r="AJ1745">
        <v>0</v>
      </c>
      <c r="AK1745">
        <v>1</v>
      </c>
      <c r="AL1745" t="s">
        <v>74</v>
      </c>
      <c r="AM1745" t="s">
        <v>74</v>
      </c>
      <c r="AN1745" t="s">
        <v>74</v>
      </c>
      <c r="AO1745" t="s">
        <v>23609</v>
      </c>
      <c r="AP1745" t="s">
        <v>23610</v>
      </c>
      <c r="AQ1745" t="s">
        <v>74</v>
      </c>
      <c r="AR1745" t="s">
        <v>74</v>
      </c>
      <c r="AS1745" t="s">
        <v>74</v>
      </c>
      <c r="AT1745" t="s">
        <v>614</v>
      </c>
      <c r="AU1745">
        <v>2021</v>
      </c>
      <c r="AV1745">
        <v>11</v>
      </c>
      <c r="AW1745">
        <v>3</v>
      </c>
      <c r="AX1745" t="s">
        <v>74</v>
      </c>
      <c r="AY1745" t="s">
        <v>74</v>
      </c>
      <c r="AZ1745" t="s">
        <v>74</v>
      </c>
      <c r="BA1745" t="s">
        <v>74</v>
      </c>
      <c r="BB1745" t="s">
        <v>74</v>
      </c>
      <c r="BC1745" t="s">
        <v>74</v>
      </c>
      <c r="BD1745" t="s">
        <v>23611</v>
      </c>
      <c r="BE1745" t="s">
        <v>23612</v>
      </c>
      <c r="BF1745" t="str">
        <f>HYPERLINK("http://dx.doi.org/10.5415/apallergy.2021.11.e28","http://dx.doi.org/10.5415/apallergy.2021.11.e28")</f>
        <v>http://dx.doi.org/10.5415/apallergy.2021.11.e28</v>
      </c>
      <c r="BG1745" t="s">
        <v>74</v>
      </c>
      <c r="BH1745" t="s">
        <v>74</v>
      </c>
      <c r="BI1745" t="s">
        <v>74</v>
      </c>
      <c r="BJ1745" t="s">
        <v>23613</v>
      </c>
      <c r="BK1745" t="s">
        <v>467</v>
      </c>
      <c r="BL1745" t="s">
        <v>23613</v>
      </c>
      <c r="BM1745" t="s">
        <v>74</v>
      </c>
      <c r="BN1745">
        <v>34386404</v>
      </c>
      <c r="BO1745" t="s">
        <v>74</v>
      </c>
      <c r="BP1745" t="s">
        <v>74</v>
      </c>
      <c r="BQ1745" t="s">
        <v>74</v>
      </c>
      <c r="BR1745" t="s">
        <v>96</v>
      </c>
      <c r="BS1745" t="s">
        <v>23614</v>
      </c>
      <c r="BT1745" t="str">
        <f>HYPERLINK("https%3A%2F%2Fwww.webofscience.com%2Fwos%2Fwoscc%2Ffull-record%2FWOS:000680842600002","View Full Record in Web of Science")</f>
        <v>View Full Record in Web of Science</v>
      </c>
    </row>
    <row r="1746" spans="1:72" x14ac:dyDescent="0.15">
      <c r="A1746" t="s">
        <v>98</v>
      </c>
      <c r="B1746" t="s">
        <v>24179</v>
      </c>
      <c r="C1746" t="s">
        <v>74</v>
      </c>
      <c r="D1746" t="s">
        <v>74</v>
      </c>
      <c r="E1746" t="s">
        <v>74</v>
      </c>
      <c r="F1746" t="s">
        <v>24180</v>
      </c>
      <c r="G1746" t="s">
        <v>74</v>
      </c>
      <c r="H1746" t="s">
        <v>74</v>
      </c>
      <c r="I1746" t="s">
        <v>24181</v>
      </c>
      <c r="J1746" t="s">
        <v>22759</v>
      </c>
      <c r="K1746" t="s">
        <v>74</v>
      </c>
      <c r="L1746" t="s">
        <v>74</v>
      </c>
      <c r="M1746" t="s">
        <v>74</v>
      </c>
      <c r="N1746" t="s">
        <v>103</v>
      </c>
      <c r="O1746" t="s">
        <v>74</v>
      </c>
      <c r="P1746" t="s">
        <v>74</v>
      </c>
      <c r="Q1746" t="s">
        <v>74</v>
      </c>
      <c r="R1746" t="s">
        <v>74</v>
      </c>
      <c r="S1746" t="s">
        <v>74</v>
      </c>
      <c r="T1746" t="s">
        <v>74</v>
      </c>
      <c r="U1746" t="s">
        <v>24182</v>
      </c>
      <c r="V1746" t="s">
        <v>24183</v>
      </c>
      <c r="W1746" t="s">
        <v>24184</v>
      </c>
      <c r="X1746" t="s">
        <v>24185</v>
      </c>
      <c r="Y1746" t="s">
        <v>24186</v>
      </c>
      <c r="Z1746" t="s">
        <v>24187</v>
      </c>
      <c r="AA1746" t="s">
        <v>24188</v>
      </c>
      <c r="AB1746" t="s">
        <v>24189</v>
      </c>
      <c r="AC1746" t="s">
        <v>74</v>
      </c>
      <c r="AD1746" t="s">
        <v>74</v>
      </c>
      <c r="AE1746" t="s">
        <v>74</v>
      </c>
      <c r="AF1746" t="s">
        <v>74</v>
      </c>
      <c r="AG1746">
        <v>77</v>
      </c>
      <c r="AH1746">
        <v>2</v>
      </c>
      <c r="AI1746">
        <v>2</v>
      </c>
      <c r="AJ1746">
        <v>23</v>
      </c>
      <c r="AK1746">
        <v>60</v>
      </c>
      <c r="AL1746" t="s">
        <v>74</v>
      </c>
      <c r="AM1746" t="s">
        <v>74</v>
      </c>
      <c r="AN1746" t="s">
        <v>74</v>
      </c>
      <c r="AO1746" t="s">
        <v>22767</v>
      </c>
      <c r="AP1746" t="s">
        <v>22768</v>
      </c>
      <c r="AQ1746" t="s">
        <v>74</v>
      </c>
      <c r="AR1746" t="s">
        <v>74</v>
      </c>
      <c r="AS1746" t="s">
        <v>74</v>
      </c>
      <c r="AT1746" t="s">
        <v>9537</v>
      </c>
      <c r="AU1746">
        <v>2021</v>
      </c>
      <c r="AV1746">
        <v>13</v>
      </c>
      <c r="AW1746">
        <v>614</v>
      </c>
      <c r="AX1746" t="s">
        <v>74</v>
      </c>
      <c r="AY1746" t="s">
        <v>74</v>
      </c>
      <c r="AZ1746" t="s">
        <v>74</v>
      </c>
      <c r="BA1746" t="s">
        <v>74</v>
      </c>
      <c r="BB1746" t="s">
        <v>74</v>
      </c>
      <c r="BC1746" t="s">
        <v>74</v>
      </c>
      <c r="BD1746" t="s">
        <v>24190</v>
      </c>
      <c r="BE1746" t="s">
        <v>24191</v>
      </c>
      <c r="BF1746" t="str">
        <f>HYPERLINK("http://dx.doi.org/10.1126/scitranslmed.abd1206","http://dx.doi.org/10.1126/scitranslmed.abd1206")</f>
        <v>http://dx.doi.org/10.1126/scitranslmed.abd1206</v>
      </c>
      <c r="BG1746" t="s">
        <v>74</v>
      </c>
      <c r="BH1746" t="s">
        <v>74</v>
      </c>
      <c r="BI1746" t="s">
        <v>74</v>
      </c>
      <c r="BJ1746" t="s">
        <v>8137</v>
      </c>
      <c r="BK1746" t="s">
        <v>117</v>
      </c>
      <c r="BL1746" t="s">
        <v>3116</v>
      </c>
      <c r="BM1746" t="s">
        <v>74</v>
      </c>
      <c r="BN1746">
        <v>34613814</v>
      </c>
      <c r="BO1746" t="s">
        <v>74</v>
      </c>
      <c r="BP1746" t="s">
        <v>74</v>
      </c>
      <c r="BQ1746" t="s">
        <v>74</v>
      </c>
      <c r="BR1746" t="s">
        <v>96</v>
      </c>
      <c r="BS1746" t="s">
        <v>24192</v>
      </c>
      <c r="BT1746" t="str">
        <f>HYPERLINK("https%3A%2F%2Fwww.webofscience.com%2Fwos%2Fwoscc%2Ffull-record%2FWOS:000704898400002","View Full Record in Web of Science")</f>
        <v>View Full Record in Web of Science</v>
      </c>
    </row>
    <row r="1747" spans="1:72" x14ac:dyDescent="0.15">
      <c r="A1747" t="s">
        <v>98</v>
      </c>
      <c r="B1747" t="s">
        <v>24551</v>
      </c>
      <c r="C1747" t="s">
        <v>74</v>
      </c>
      <c r="D1747" t="s">
        <v>74</v>
      </c>
      <c r="E1747" t="s">
        <v>74</v>
      </c>
      <c r="F1747" t="s">
        <v>24552</v>
      </c>
      <c r="G1747" t="s">
        <v>74</v>
      </c>
      <c r="H1747" t="s">
        <v>74</v>
      </c>
      <c r="I1747" t="s">
        <v>24553</v>
      </c>
      <c r="J1747" t="s">
        <v>21607</v>
      </c>
      <c r="K1747" t="s">
        <v>74</v>
      </c>
      <c r="L1747" t="s">
        <v>74</v>
      </c>
      <c r="M1747" t="s">
        <v>74</v>
      </c>
      <c r="N1747" t="s">
        <v>103</v>
      </c>
      <c r="O1747" t="s">
        <v>74</v>
      </c>
      <c r="P1747" t="s">
        <v>74</v>
      </c>
      <c r="Q1747" t="s">
        <v>74</v>
      </c>
      <c r="R1747" t="s">
        <v>74</v>
      </c>
      <c r="S1747" t="s">
        <v>74</v>
      </c>
      <c r="T1747" t="s">
        <v>74</v>
      </c>
      <c r="U1747" t="s">
        <v>24554</v>
      </c>
      <c r="V1747" t="s">
        <v>24555</v>
      </c>
      <c r="W1747" t="s">
        <v>24556</v>
      </c>
      <c r="X1747" t="s">
        <v>24557</v>
      </c>
      <c r="Y1747" t="s">
        <v>24558</v>
      </c>
      <c r="Z1747" t="s">
        <v>24559</v>
      </c>
      <c r="AA1747" t="s">
        <v>74</v>
      </c>
      <c r="AB1747" t="s">
        <v>24560</v>
      </c>
      <c r="AC1747" t="s">
        <v>74</v>
      </c>
      <c r="AD1747" t="s">
        <v>74</v>
      </c>
      <c r="AE1747" t="s">
        <v>74</v>
      </c>
      <c r="AF1747" t="s">
        <v>74</v>
      </c>
      <c r="AG1747">
        <v>170</v>
      </c>
      <c r="AH1747">
        <v>2</v>
      </c>
      <c r="AI1747">
        <v>2</v>
      </c>
      <c r="AJ1747">
        <v>6</v>
      </c>
      <c r="AK1747">
        <v>10</v>
      </c>
      <c r="AL1747" t="s">
        <v>74</v>
      </c>
      <c r="AM1747" t="s">
        <v>74</v>
      </c>
      <c r="AN1747" t="s">
        <v>74</v>
      </c>
      <c r="AO1747" t="s">
        <v>74</v>
      </c>
      <c r="AP1747" t="s">
        <v>21615</v>
      </c>
      <c r="AQ1747" t="s">
        <v>74</v>
      </c>
      <c r="AR1747" t="s">
        <v>74</v>
      </c>
      <c r="AS1747" t="s">
        <v>74</v>
      </c>
      <c r="AT1747" t="s">
        <v>967</v>
      </c>
      <c r="AU1747">
        <v>2021</v>
      </c>
      <c r="AV1747">
        <v>5</v>
      </c>
      <c r="AW1747">
        <v>12</v>
      </c>
      <c r="AX1747" t="s">
        <v>74</v>
      </c>
      <c r="AY1747" t="s">
        <v>74</v>
      </c>
      <c r="AZ1747" t="s">
        <v>74</v>
      </c>
      <c r="BA1747" t="s">
        <v>74</v>
      </c>
      <c r="BB1747">
        <v>1972</v>
      </c>
      <c r="BC1747">
        <v>1986</v>
      </c>
      <c r="BD1747" t="s">
        <v>74</v>
      </c>
      <c r="BE1747" t="s">
        <v>24561</v>
      </c>
      <c r="BF1747" t="str">
        <f>HYPERLINK("http://dx.doi.org/10.1002/hep4.1823","http://dx.doi.org/10.1002/hep4.1823")</f>
        <v>http://dx.doi.org/10.1002/hep4.1823</v>
      </c>
      <c r="BG1747" t="s">
        <v>74</v>
      </c>
      <c r="BH1747" t="s">
        <v>395</v>
      </c>
      <c r="BI1747" t="s">
        <v>74</v>
      </c>
      <c r="BJ1747" t="s">
        <v>633</v>
      </c>
      <c r="BK1747" t="s">
        <v>117</v>
      </c>
      <c r="BL1747" t="s">
        <v>633</v>
      </c>
      <c r="BM1747" t="s">
        <v>74</v>
      </c>
      <c r="BN1747">
        <v>34533885</v>
      </c>
      <c r="BO1747" t="s">
        <v>74</v>
      </c>
      <c r="BP1747" t="s">
        <v>74</v>
      </c>
      <c r="BQ1747" t="s">
        <v>74</v>
      </c>
      <c r="BR1747" t="s">
        <v>96</v>
      </c>
      <c r="BS1747" t="s">
        <v>24562</v>
      </c>
      <c r="BT1747" t="str">
        <f>HYPERLINK("https%3A%2F%2Fwww.webofscience.com%2Fwos%2Fwoscc%2Ffull-record%2FWOS:000696582800001","View Full Record in Web of Science")</f>
        <v>View Full Record in Web of Science</v>
      </c>
    </row>
    <row r="1748" spans="1:72" x14ac:dyDescent="0.15">
      <c r="A1748" t="s">
        <v>98</v>
      </c>
      <c r="B1748" t="s">
        <v>25037</v>
      </c>
      <c r="C1748" t="s">
        <v>74</v>
      </c>
      <c r="D1748" t="s">
        <v>74</v>
      </c>
      <c r="E1748" t="s">
        <v>74</v>
      </c>
      <c r="F1748" t="s">
        <v>25038</v>
      </c>
      <c r="G1748" t="s">
        <v>74</v>
      </c>
      <c r="H1748" t="s">
        <v>74</v>
      </c>
      <c r="I1748" t="s">
        <v>25039</v>
      </c>
      <c r="J1748" t="s">
        <v>12460</v>
      </c>
      <c r="K1748" t="s">
        <v>74</v>
      </c>
      <c r="L1748" t="s">
        <v>74</v>
      </c>
      <c r="M1748" t="s">
        <v>74</v>
      </c>
      <c r="N1748" t="s">
        <v>103</v>
      </c>
      <c r="O1748" t="s">
        <v>74</v>
      </c>
      <c r="P1748" t="s">
        <v>74</v>
      </c>
      <c r="Q1748" t="s">
        <v>74</v>
      </c>
      <c r="R1748" t="s">
        <v>74</v>
      </c>
      <c r="S1748" t="s">
        <v>74</v>
      </c>
      <c r="T1748" t="s">
        <v>74</v>
      </c>
      <c r="U1748" t="s">
        <v>25040</v>
      </c>
      <c r="V1748" t="s">
        <v>25041</v>
      </c>
      <c r="W1748" t="s">
        <v>25042</v>
      </c>
      <c r="X1748" t="s">
        <v>25043</v>
      </c>
      <c r="Y1748" t="s">
        <v>25044</v>
      </c>
      <c r="Z1748" t="s">
        <v>25045</v>
      </c>
      <c r="AA1748" t="s">
        <v>25046</v>
      </c>
      <c r="AB1748" t="s">
        <v>25047</v>
      </c>
      <c r="AC1748" t="s">
        <v>74</v>
      </c>
      <c r="AD1748" t="s">
        <v>74</v>
      </c>
      <c r="AE1748" t="s">
        <v>74</v>
      </c>
      <c r="AF1748" t="s">
        <v>74</v>
      </c>
      <c r="AG1748">
        <v>216</v>
      </c>
      <c r="AH1748">
        <v>2</v>
      </c>
      <c r="AI1748">
        <v>2</v>
      </c>
      <c r="AJ1748">
        <v>2</v>
      </c>
      <c r="AK1748">
        <v>6</v>
      </c>
      <c r="AL1748" t="s">
        <v>74</v>
      </c>
      <c r="AM1748" t="s">
        <v>74</v>
      </c>
      <c r="AN1748" t="s">
        <v>74</v>
      </c>
      <c r="AO1748" t="s">
        <v>12469</v>
      </c>
      <c r="AP1748" t="s">
        <v>74</v>
      </c>
      <c r="AQ1748" t="s">
        <v>74</v>
      </c>
      <c r="AR1748" t="s">
        <v>74</v>
      </c>
      <c r="AS1748" t="s">
        <v>74</v>
      </c>
      <c r="AT1748" t="s">
        <v>14713</v>
      </c>
      <c r="AU1748">
        <v>2021</v>
      </c>
      <c r="AV1748">
        <v>6</v>
      </c>
      <c r="AW1748">
        <v>19</v>
      </c>
      <c r="AX1748" t="s">
        <v>74</v>
      </c>
      <c r="AY1748" t="s">
        <v>74</v>
      </c>
      <c r="AZ1748" t="s">
        <v>74</v>
      </c>
      <c r="BA1748" t="s">
        <v>74</v>
      </c>
      <c r="BB1748">
        <v>12439</v>
      </c>
      <c r="BC1748">
        <v>12458</v>
      </c>
      <c r="BD1748" t="s">
        <v>74</v>
      </c>
      <c r="BE1748" t="s">
        <v>25048</v>
      </c>
      <c r="BF1748" t="str">
        <f>HYPERLINK("http://dx.doi.org/10.1021/acsomega.0c06030","http://dx.doi.org/10.1021/acsomega.0c06030")</f>
        <v>http://dx.doi.org/10.1021/acsomega.0c06030</v>
      </c>
      <c r="BG1748" t="s">
        <v>74</v>
      </c>
      <c r="BH1748" t="s">
        <v>1273</v>
      </c>
      <c r="BI1748" t="s">
        <v>74</v>
      </c>
      <c r="BJ1748" t="s">
        <v>1047</v>
      </c>
      <c r="BK1748" t="s">
        <v>117</v>
      </c>
      <c r="BL1748" t="s">
        <v>1048</v>
      </c>
      <c r="BM1748" t="s">
        <v>74</v>
      </c>
      <c r="BN1748">
        <v>34056395</v>
      </c>
      <c r="BO1748" t="s">
        <v>74</v>
      </c>
      <c r="BP1748" t="s">
        <v>74</v>
      </c>
      <c r="BQ1748" t="s">
        <v>74</v>
      </c>
      <c r="BR1748" t="s">
        <v>96</v>
      </c>
      <c r="BS1748" t="s">
        <v>25049</v>
      </c>
      <c r="BT1748" t="str">
        <f>HYPERLINK("https%3A%2F%2Fwww.webofscience.com%2Fwos%2Fwoscc%2Ffull-record%2FWOS:000654303500006","View Full Record in Web of Science")</f>
        <v>View Full Record in Web of Science</v>
      </c>
    </row>
    <row r="1749" spans="1:72" x14ac:dyDescent="0.15">
      <c r="A1749" t="s">
        <v>98</v>
      </c>
      <c r="B1749" t="s">
        <v>25084</v>
      </c>
      <c r="C1749" t="s">
        <v>74</v>
      </c>
      <c r="D1749" t="s">
        <v>74</v>
      </c>
      <c r="E1749" t="s">
        <v>74</v>
      </c>
      <c r="F1749" t="s">
        <v>25085</v>
      </c>
      <c r="G1749" t="s">
        <v>74</v>
      </c>
      <c r="H1749" t="s">
        <v>74</v>
      </c>
      <c r="I1749" t="s">
        <v>25086</v>
      </c>
      <c r="J1749" t="s">
        <v>25087</v>
      </c>
      <c r="K1749" t="s">
        <v>74</v>
      </c>
      <c r="L1749" t="s">
        <v>74</v>
      </c>
      <c r="M1749" t="s">
        <v>74</v>
      </c>
      <c r="N1749" t="s">
        <v>103</v>
      </c>
      <c r="O1749" t="s">
        <v>74</v>
      </c>
      <c r="P1749" t="s">
        <v>74</v>
      </c>
      <c r="Q1749" t="s">
        <v>74</v>
      </c>
      <c r="R1749" t="s">
        <v>74</v>
      </c>
      <c r="S1749" t="s">
        <v>74</v>
      </c>
      <c r="T1749" t="s">
        <v>25088</v>
      </c>
      <c r="U1749" t="s">
        <v>25089</v>
      </c>
      <c r="V1749" t="s">
        <v>25090</v>
      </c>
      <c r="W1749" t="s">
        <v>25091</v>
      </c>
      <c r="X1749" t="s">
        <v>25092</v>
      </c>
      <c r="Y1749" t="s">
        <v>25093</v>
      </c>
      <c r="Z1749" t="s">
        <v>25094</v>
      </c>
      <c r="AA1749" t="s">
        <v>74</v>
      </c>
      <c r="AB1749" t="s">
        <v>74</v>
      </c>
      <c r="AC1749" t="s">
        <v>74</v>
      </c>
      <c r="AD1749" t="s">
        <v>74</v>
      </c>
      <c r="AE1749" t="s">
        <v>74</v>
      </c>
      <c r="AF1749" t="s">
        <v>74</v>
      </c>
      <c r="AG1749">
        <v>16</v>
      </c>
      <c r="AH1749">
        <v>2</v>
      </c>
      <c r="AI1749">
        <v>2</v>
      </c>
      <c r="AJ1749">
        <v>0</v>
      </c>
      <c r="AK1749">
        <v>9</v>
      </c>
      <c r="AL1749" t="s">
        <v>74</v>
      </c>
      <c r="AM1749" t="s">
        <v>74</v>
      </c>
      <c r="AN1749" t="s">
        <v>74</v>
      </c>
      <c r="AO1749" t="s">
        <v>25095</v>
      </c>
      <c r="AP1749" t="s">
        <v>25096</v>
      </c>
      <c r="AQ1749" t="s">
        <v>74</v>
      </c>
      <c r="AR1749" t="s">
        <v>74</v>
      </c>
      <c r="AS1749" t="s">
        <v>74</v>
      </c>
      <c r="AT1749" t="s">
        <v>25097</v>
      </c>
      <c r="AU1749">
        <v>2020</v>
      </c>
      <c r="AV1749">
        <v>69</v>
      </c>
      <c r="AW1749">
        <v>1</v>
      </c>
      <c r="AX1749" t="s">
        <v>74</v>
      </c>
      <c r="AY1749" t="s">
        <v>74</v>
      </c>
      <c r="AZ1749" t="s">
        <v>74</v>
      </c>
      <c r="BA1749" t="s">
        <v>74</v>
      </c>
      <c r="BB1749">
        <v>37</v>
      </c>
      <c r="BC1749">
        <v>47</v>
      </c>
      <c r="BD1749" t="s">
        <v>74</v>
      </c>
      <c r="BE1749" t="s">
        <v>25098</v>
      </c>
      <c r="BF1749" t="str">
        <f>HYPERLINK("http://dx.doi.org/10.4103/JASI.JASI_67_19","http://dx.doi.org/10.4103/JASI.JASI_67_19")</f>
        <v>http://dx.doi.org/10.4103/JASI.JASI_67_19</v>
      </c>
      <c r="BG1749" t="s">
        <v>74</v>
      </c>
      <c r="BH1749" t="s">
        <v>74</v>
      </c>
      <c r="BI1749" t="s">
        <v>74</v>
      </c>
      <c r="BJ1749" t="s">
        <v>449</v>
      </c>
      <c r="BK1749" t="s">
        <v>117</v>
      </c>
      <c r="BL1749" t="s">
        <v>449</v>
      </c>
      <c r="BM1749" t="s">
        <v>74</v>
      </c>
      <c r="BN1749" t="s">
        <v>74</v>
      </c>
      <c r="BO1749" t="s">
        <v>74</v>
      </c>
      <c r="BP1749" t="s">
        <v>74</v>
      </c>
      <c r="BQ1749" t="s">
        <v>74</v>
      </c>
      <c r="BR1749" t="s">
        <v>96</v>
      </c>
      <c r="BS1749" t="s">
        <v>25099</v>
      </c>
      <c r="BT1749" t="str">
        <f>HYPERLINK("https%3A%2F%2Fwww.webofscience.com%2Fwos%2Fwoscc%2Ffull-record%2FWOS:000529026300007","View Full Record in Web of Science")</f>
        <v>View Full Record in Web of Science</v>
      </c>
    </row>
    <row r="1750" spans="1:72" x14ac:dyDescent="0.15">
      <c r="A1750" t="s">
        <v>98</v>
      </c>
      <c r="B1750" t="s">
        <v>25914</v>
      </c>
      <c r="C1750" t="s">
        <v>74</v>
      </c>
      <c r="D1750" t="s">
        <v>74</v>
      </c>
      <c r="E1750" t="s">
        <v>74</v>
      </c>
      <c r="F1750" t="s">
        <v>25915</v>
      </c>
      <c r="G1750" t="s">
        <v>74</v>
      </c>
      <c r="H1750" t="s">
        <v>74</v>
      </c>
      <c r="I1750" t="s">
        <v>25916</v>
      </c>
      <c r="J1750" t="s">
        <v>381</v>
      </c>
      <c r="K1750" t="s">
        <v>74</v>
      </c>
      <c r="L1750" t="s">
        <v>74</v>
      </c>
      <c r="M1750" t="s">
        <v>74</v>
      </c>
      <c r="N1750" t="s">
        <v>103</v>
      </c>
      <c r="O1750" t="s">
        <v>74</v>
      </c>
      <c r="P1750" t="s">
        <v>74</v>
      </c>
      <c r="Q1750" t="s">
        <v>74</v>
      </c>
      <c r="R1750" t="s">
        <v>74</v>
      </c>
      <c r="S1750" t="s">
        <v>74</v>
      </c>
      <c r="T1750" t="s">
        <v>25917</v>
      </c>
      <c r="U1750" t="s">
        <v>25918</v>
      </c>
      <c r="V1750" t="s">
        <v>25919</v>
      </c>
      <c r="W1750" t="s">
        <v>25920</v>
      </c>
      <c r="X1750" t="s">
        <v>25921</v>
      </c>
      <c r="Y1750" t="s">
        <v>25922</v>
      </c>
      <c r="Z1750" t="s">
        <v>25923</v>
      </c>
      <c r="AA1750" t="s">
        <v>25924</v>
      </c>
      <c r="AB1750" t="s">
        <v>25925</v>
      </c>
      <c r="AC1750" t="s">
        <v>74</v>
      </c>
      <c r="AD1750" t="s">
        <v>74</v>
      </c>
      <c r="AE1750" t="s">
        <v>74</v>
      </c>
      <c r="AF1750" t="s">
        <v>74</v>
      </c>
      <c r="AG1750">
        <v>53</v>
      </c>
      <c r="AH1750">
        <v>2</v>
      </c>
      <c r="AI1750">
        <v>2</v>
      </c>
      <c r="AJ1750">
        <v>0</v>
      </c>
      <c r="AK1750">
        <v>6</v>
      </c>
      <c r="AL1750" t="s">
        <v>74</v>
      </c>
      <c r="AM1750" t="s">
        <v>74</v>
      </c>
      <c r="AN1750" t="s">
        <v>74</v>
      </c>
      <c r="AO1750" t="s">
        <v>391</v>
      </c>
      <c r="AP1750" t="s">
        <v>392</v>
      </c>
      <c r="AQ1750" t="s">
        <v>74</v>
      </c>
      <c r="AR1750" t="s">
        <v>74</v>
      </c>
      <c r="AS1750" t="s">
        <v>74</v>
      </c>
      <c r="AT1750" t="s">
        <v>25926</v>
      </c>
      <c r="AU1750">
        <v>2021</v>
      </c>
      <c r="AV1750">
        <v>335</v>
      </c>
      <c r="AW1750" t="s">
        <v>74</v>
      </c>
      <c r="AX1750" t="s">
        <v>74</v>
      </c>
      <c r="AY1750" t="s">
        <v>74</v>
      </c>
      <c r="AZ1750" t="s">
        <v>74</v>
      </c>
      <c r="BA1750" t="s">
        <v>74</v>
      </c>
      <c r="BB1750">
        <v>281</v>
      </c>
      <c r="BC1750">
        <v>289</v>
      </c>
      <c r="BD1750" t="s">
        <v>74</v>
      </c>
      <c r="BE1750" t="s">
        <v>25927</v>
      </c>
      <c r="BF1750" t="str">
        <f>HYPERLINK("http://dx.doi.org/10.1016/j.jconrel.2021.05.026","http://dx.doi.org/10.1016/j.jconrel.2021.05.026")</f>
        <v>http://dx.doi.org/10.1016/j.jconrel.2021.05.026</v>
      </c>
      <c r="BG1750" t="s">
        <v>74</v>
      </c>
      <c r="BH1750" t="s">
        <v>1273</v>
      </c>
      <c r="BI1750" t="s">
        <v>74</v>
      </c>
      <c r="BJ1750" t="s">
        <v>396</v>
      </c>
      <c r="BK1750" t="s">
        <v>117</v>
      </c>
      <c r="BL1750" t="s">
        <v>397</v>
      </c>
      <c r="BM1750" t="s">
        <v>74</v>
      </c>
      <c r="BN1750">
        <v>34029631</v>
      </c>
      <c r="BO1750" t="s">
        <v>74</v>
      </c>
      <c r="BP1750" t="s">
        <v>74</v>
      </c>
      <c r="BQ1750" t="s">
        <v>74</v>
      </c>
      <c r="BR1750" t="s">
        <v>96</v>
      </c>
      <c r="BS1750" t="s">
        <v>25928</v>
      </c>
      <c r="BT1750" t="str">
        <f>HYPERLINK("https%3A%2F%2Fwww.webofscience.com%2Fwos%2Fwoscc%2Ffull-record%2FWOS:000669903700006","View Full Record in Web of Science")</f>
        <v>View Full Record in Web of Science</v>
      </c>
    </row>
    <row r="1751" spans="1:72" x14ac:dyDescent="0.15">
      <c r="A1751" t="s">
        <v>98</v>
      </c>
      <c r="B1751" t="s">
        <v>25970</v>
      </c>
      <c r="C1751" t="s">
        <v>74</v>
      </c>
      <c r="D1751" t="s">
        <v>74</v>
      </c>
      <c r="E1751" t="s">
        <v>74</v>
      </c>
      <c r="F1751" t="s">
        <v>25971</v>
      </c>
      <c r="G1751" t="s">
        <v>74</v>
      </c>
      <c r="H1751" t="s">
        <v>74</v>
      </c>
      <c r="I1751" t="s">
        <v>25972</v>
      </c>
      <c r="J1751" t="s">
        <v>25973</v>
      </c>
      <c r="K1751" t="s">
        <v>74</v>
      </c>
      <c r="L1751" t="s">
        <v>74</v>
      </c>
      <c r="M1751" t="s">
        <v>74</v>
      </c>
      <c r="N1751" t="s">
        <v>103</v>
      </c>
      <c r="O1751" t="s">
        <v>74</v>
      </c>
      <c r="P1751" t="s">
        <v>74</v>
      </c>
      <c r="Q1751" t="s">
        <v>74</v>
      </c>
      <c r="R1751" t="s">
        <v>74</v>
      </c>
      <c r="S1751" t="s">
        <v>74</v>
      </c>
      <c r="T1751" t="s">
        <v>25974</v>
      </c>
      <c r="U1751" t="s">
        <v>25975</v>
      </c>
      <c r="V1751" t="s">
        <v>25976</v>
      </c>
      <c r="W1751" t="s">
        <v>25977</v>
      </c>
      <c r="X1751" t="s">
        <v>13280</v>
      </c>
      <c r="Y1751" t="s">
        <v>25978</v>
      </c>
      <c r="Z1751" t="s">
        <v>25979</v>
      </c>
      <c r="AA1751" t="s">
        <v>74</v>
      </c>
      <c r="AB1751" t="s">
        <v>74</v>
      </c>
      <c r="AC1751" t="s">
        <v>74</v>
      </c>
      <c r="AD1751" t="s">
        <v>74</v>
      </c>
      <c r="AE1751" t="s">
        <v>74</v>
      </c>
      <c r="AF1751" t="s">
        <v>74</v>
      </c>
      <c r="AG1751">
        <v>43</v>
      </c>
      <c r="AH1751">
        <v>2</v>
      </c>
      <c r="AI1751">
        <v>2</v>
      </c>
      <c r="AJ1751">
        <v>6</v>
      </c>
      <c r="AK1751">
        <v>6</v>
      </c>
      <c r="AL1751" t="s">
        <v>74</v>
      </c>
      <c r="AM1751" t="s">
        <v>74</v>
      </c>
      <c r="AN1751" t="s">
        <v>74</v>
      </c>
      <c r="AO1751" t="s">
        <v>74</v>
      </c>
      <c r="AP1751" t="s">
        <v>25980</v>
      </c>
      <c r="AQ1751" t="s">
        <v>74</v>
      </c>
      <c r="AR1751" t="s">
        <v>74</v>
      </c>
      <c r="AS1751" t="s">
        <v>74</v>
      </c>
      <c r="AT1751" t="s">
        <v>74</v>
      </c>
      <c r="AU1751">
        <v>2021</v>
      </c>
      <c r="AV1751">
        <v>14</v>
      </c>
      <c r="AW1751" t="s">
        <v>74</v>
      </c>
      <c r="AX1751" t="s">
        <v>74</v>
      </c>
      <c r="AY1751" t="s">
        <v>74</v>
      </c>
      <c r="AZ1751" t="s">
        <v>74</v>
      </c>
      <c r="BA1751" t="s">
        <v>74</v>
      </c>
      <c r="BB1751">
        <v>5489</v>
      </c>
      <c r="BC1751">
        <v>5500</v>
      </c>
      <c r="BD1751" t="s">
        <v>74</v>
      </c>
      <c r="BE1751" t="s">
        <v>25981</v>
      </c>
      <c r="BF1751" t="str">
        <f>HYPERLINK("http://dx.doi.org/10.2147/JIR.S315716","http://dx.doi.org/10.2147/JIR.S315716")</f>
        <v>http://dx.doi.org/10.2147/JIR.S315716</v>
      </c>
      <c r="BG1751" t="s">
        <v>74</v>
      </c>
      <c r="BH1751" t="s">
        <v>74</v>
      </c>
      <c r="BI1751" t="s">
        <v>74</v>
      </c>
      <c r="BJ1751" t="s">
        <v>2064</v>
      </c>
      <c r="BK1751" t="s">
        <v>117</v>
      </c>
      <c r="BL1751" t="s">
        <v>2064</v>
      </c>
      <c r="BM1751" t="s">
        <v>74</v>
      </c>
      <c r="BN1751">
        <v>34720597</v>
      </c>
      <c r="BO1751" t="s">
        <v>74</v>
      </c>
      <c r="BP1751" t="s">
        <v>74</v>
      </c>
      <c r="BQ1751" t="s">
        <v>74</v>
      </c>
      <c r="BR1751" t="s">
        <v>96</v>
      </c>
      <c r="BS1751" t="s">
        <v>25982</v>
      </c>
      <c r="BT1751" t="str">
        <f>HYPERLINK("https%3A%2F%2Fwww.webofscience.com%2Fwos%2Fwoscc%2Ffull-record%2FWOS:000711051500005","View Full Record in Web of Science")</f>
        <v>View Full Record in Web of Science</v>
      </c>
    </row>
    <row r="1752" spans="1:72" x14ac:dyDescent="0.15">
      <c r="A1752" t="s">
        <v>98</v>
      </c>
      <c r="B1752" t="s">
        <v>26215</v>
      </c>
      <c r="C1752" t="s">
        <v>74</v>
      </c>
      <c r="D1752" t="s">
        <v>74</v>
      </c>
      <c r="E1752" t="s">
        <v>74</v>
      </c>
      <c r="F1752" t="s">
        <v>26216</v>
      </c>
      <c r="G1752" t="s">
        <v>74</v>
      </c>
      <c r="H1752" t="s">
        <v>74</v>
      </c>
      <c r="I1752" t="s">
        <v>26217</v>
      </c>
      <c r="J1752" t="s">
        <v>13795</v>
      </c>
      <c r="K1752" t="s">
        <v>74</v>
      </c>
      <c r="L1752" t="s">
        <v>74</v>
      </c>
      <c r="M1752" t="s">
        <v>74</v>
      </c>
      <c r="N1752" t="s">
        <v>103</v>
      </c>
      <c r="O1752" t="s">
        <v>74</v>
      </c>
      <c r="P1752" t="s">
        <v>74</v>
      </c>
      <c r="Q1752" t="s">
        <v>74</v>
      </c>
      <c r="R1752" t="s">
        <v>74</v>
      </c>
      <c r="S1752" t="s">
        <v>74</v>
      </c>
      <c r="T1752" t="s">
        <v>26218</v>
      </c>
      <c r="U1752" t="s">
        <v>26219</v>
      </c>
      <c r="V1752" t="s">
        <v>26220</v>
      </c>
      <c r="W1752" t="s">
        <v>26221</v>
      </c>
      <c r="X1752" t="s">
        <v>9534</v>
      </c>
      <c r="Y1752" t="s">
        <v>26222</v>
      </c>
      <c r="Z1752" t="s">
        <v>26223</v>
      </c>
      <c r="AA1752" t="s">
        <v>74</v>
      </c>
      <c r="AB1752" t="s">
        <v>26224</v>
      </c>
      <c r="AC1752" t="s">
        <v>74</v>
      </c>
      <c r="AD1752" t="s">
        <v>74</v>
      </c>
      <c r="AE1752" t="s">
        <v>74</v>
      </c>
      <c r="AF1752" t="s">
        <v>74</v>
      </c>
      <c r="AG1752">
        <v>45</v>
      </c>
      <c r="AH1752">
        <v>2</v>
      </c>
      <c r="AI1752">
        <v>2</v>
      </c>
      <c r="AJ1752">
        <v>2</v>
      </c>
      <c r="AK1752">
        <v>2</v>
      </c>
      <c r="AL1752" t="s">
        <v>74</v>
      </c>
      <c r="AM1752" t="s">
        <v>74</v>
      </c>
      <c r="AN1752" t="s">
        <v>74</v>
      </c>
      <c r="AO1752" t="s">
        <v>74</v>
      </c>
      <c r="AP1752" t="s">
        <v>13805</v>
      </c>
      <c r="AQ1752" t="s">
        <v>74</v>
      </c>
      <c r="AR1752" t="s">
        <v>74</v>
      </c>
      <c r="AS1752" t="s">
        <v>74</v>
      </c>
      <c r="AT1752" t="s">
        <v>74</v>
      </c>
      <c r="AU1752">
        <v>2021</v>
      </c>
      <c r="AV1752">
        <v>9</v>
      </c>
      <c r="AW1752">
        <v>7</v>
      </c>
      <c r="AX1752" t="s">
        <v>74</v>
      </c>
      <c r="AY1752" t="s">
        <v>74</v>
      </c>
      <c r="AZ1752" t="s">
        <v>74</v>
      </c>
      <c r="BA1752" t="s">
        <v>74</v>
      </c>
      <c r="BB1752" t="s">
        <v>74</v>
      </c>
      <c r="BC1752" t="s">
        <v>74</v>
      </c>
      <c r="BD1752" t="s">
        <v>26225</v>
      </c>
      <c r="BE1752" t="s">
        <v>26226</v>
      </c>
      <c r="BF1752" t="str">
        <f>HYPERLINK("http://dx.doi.org/10.1136/jitc-2021-003212","http://dx.doi.org/10.1136/jitc-2021-003212")</f>
        <v>http://dx.doi.org/10.1136/jitc-2021-003212</v>
      </c>
      <c r="BG1752" t="s">
        <v>74</v>
      </c>
      <c r="BH1752" t="s">
        <v>74</v>
      </c>
      <c r="BI1752" t="s">
        <v>74</v>
      </c>
      <c r="BJ1752" t="s">
        <v>7255</v>
      </c>
      <c r="BK1752" t="s">
        <v>117</v>
      </c>
      <c r="BL1752" t="s">
        <v>7255</v>
      </c>
      <c r="BM1752" t="s">
        <v>74</v>
      </c>
      <c r="BN1752">
        <v>34321277</v>
      </c>
      <c r="BO1752" t="s">
        <v>74</v>
      </c>
      <c r="BP1752" t="s">
        <v>74</v>
      </c>
      <c r="BQ1752" t="s">
        <v>74</v>
      </c>
      <c r="BR1752" t="s">
        <v>96</v>
      </c>
      <c r="BS1752" t="s">
        <v>26227</v>
      </c>
      <c r="BT1752" t="str">
        <f>HYPERLINK("https%3A%2F%2Fwww.webofscience.com%2Fwos%2Fwoscc%2Ffull-record%2FWOS:000691855900004","View Full Record in Web of Science")</f>
        <v>View Full Record in Web of Science</v>
      </c>
    </row>
    <row r="1753" spans="1:72" x14ac:dyDescent="0.15">
      <c r="A1753" t="s">
        <v>98</v>
      </c>
      <c r="B1753" t="s">
        <v>26551</v>
      </c>
      <c r="C1753" t="s">
        <v>74</v>
      </c>
      <c r="D1753" t="s">
        <v>74</v>
      </c>
      <c r="E1753" t="s">
        <v>74</v>
      </c>
      <c r="F1753" t="s">
        <v>26552</v>
      </c>
      <c r="G1753" t="s">
        <v>74</v>
      </c>
      <c r="H1753" t="s">
        <v>74</v>
      </c>
      <c r="I1753" t="s">
        <v>26553</v>
      </c>
      <c r="J1753" t="s">
        <v>18128</v>
      </c>
      <c r="K1753" t="s">
        <v>74</v>
      </c>
      <c r="L1753" t="s">
        <v>74</v>
      </c>
      <c r="M1753" t="s">
        <v>74</v>
      </c>
      <c r="N1753" t="s">
        <v>103</v>
      </c>
      <c r="O1753" t="s">
        <v>74</v>
      </c>
      <c r="P1753" t="s">
        <v>74</v>
      </c>
      <c r="Q1753" t="s">
        <v>74</v>
      </c>
      <c r="R1753" t="s">
        <v>74</v>
      </c>
      <c r="S1753" t="s">
        <v>74</v>
      </c>
      <c r="T1753" t="s">
        <v>26554</v>
      </c>
      <c r="U1753" t="s">
        <v>26555</v>
      </c>
      <c r="V1753" t="s">
        <v>26556</v>
      </c>
      <c r="W1753" t="s">
        <v>26557</v>
      </c>
      <c r="X1753" t="s">
        <v>26558</v>
      </c>
      <c r="Y1753" t="s">
        <v>26559</v>
      </c>
      <c r="Z1753" t="s">
        <v>26560</v>
      </c>
      <c r="AA1753" t="s">
        <v>74</v>
      </c>
      <c r="AB1753" t="s">
        <v>74</v>
      </c>
      <c r="AC1753" t="s">
        <v>74</v>
      </c>
      <c r="AD1753" t="s">
        <v>74</v>
      </c>
      <c r="AE1753" t="s">
        <v>74</v>
      </c>
      <c r="AF1753" t="s">
        <v>74</v>
      </c>
      <c r="AG1753">
        <v>30</v>
      </c>
      <c r="AH1753">
        <v>2</v>
      </c>
      <c r="AI1753">
        <v>2</v>
      </c>
      <c r="AJ1753">
        <v>0</v>
      </c>
      <c r="AK1753">
        <v>4</v>
      </c>
      <c r="AL1753" t="s">
        <v>74</v>
      </c>
      <c r="AM1753" t="s">
        <v>74</v>
      </c>
      <c r="AN1753" t="s">
        <v>74</v>
      </c>
      <c r="AO1753" t="s">
        <v>18135</v>
      </c>
      <c r="AP1753" t="s">
        <v>18136</v>
      </c>
      <c r="AQ1753" t="s">
        <v>74</v>
      </c>
      <c r="AR1753" t="s">
        <v>74</v>
      </c>
      <c r="AS1753" t="s">
        <v>74</v>
      </c>
      <c r="AT1753" t="s">
        <v>14524</v>
      </c>
      <c r="AU1753">
        <v>2011</v>
      </c>
      <c r="AV1753">
        <v>59</v>
      </c>
      <c r="AW1753">
        <v>16</v>
      </c>
      <c r="AX1753" t="s">
        <v>74</v>
      </c>
      <c r="AY1753" t="s">
        <v>74</v>
      </c>
      <c r="AZ1753" t="s">
        <v>74</v>
      </c>
      <c r="BA1753" t="s">
        <v>74</v>
      </c>
      <c r="BB1753">
        <v>9001</v>
      </c>
      <c r="BC1753">
        <v>9010</v>
      </c>
      <c r="BD1753" t="s">
        <v>74</v>
      </c>
      <c r="BE1753" t="s">
        <v>26561</v>
      </c>
      <c r="BF1753" t="str">
        <f>HYPERLINK("http://dx.doi.org/10.1021/jf2016754","http://dx.doi.org/10.1021/jf2016754")</f>
        <v>http://dx.doi.org/10.1021/jf2016754</v>
      </c>
      <c r="BG1753" t="s">
        <v>74</v>
      </c>
      <c r="BH1753" t="s">
        <v>74</v>
      </c>
      <c r="BI1753" t="s">
        <v>74</v>
      </c>
      <c r="BJ1753" t="s">
        <v>18138</v>
      </c>
      <c r="BK1753" t="s">
        <v>117</v>
      </c>
      <c r="BL1753" t="s">
        <v>18139</v>
      </c>
      <c r="BM1753" t="s">
        <v>74</v>
      </c>
      <c r="BN1753">
        <v>21761937</v>
      </c>
      <c r="BO1753" t="s">
        <v>74</v>
      </c>
      <c r="BP1753" t="s">
        <v>74</v>
      </c>
      <c r="BQ1753" t="s">
        <v>74</v>
      </c>
      <c r="BR1753" t="s">
        <v>96</v>
      </c>
      <c r="BS1753" t="s">
        <v>26562</v>
      </c>
      <c r="BT1753" t="str">
        <f>HYPERLINK("https%3A%2F%2Fwww.webofscience.com%2Fwos%2Fwoscc%2Ffull-record%2FWOS:000294076600057","View Full Record in Web of Science")</f>
        <v>View Full Record in Web of Science</v>
      </c>
    </row>
    <row r="1754" spans="1:72" x14ac:dyDescent="0.15">
      <c r="A1754" t="s">
        <v>98</v>
      </c>
      <c r="B1754" t="s">
        <v>26742</v>
      </c>
      <c r="C1754" t="s">
        <v>74</v>
      </c>
      <c r="D1754" t="s">
        <v>74</v>
      </c>
      <c r="E1754" t="s">
        <v>74</v>
      </c>
      <c r="F1754" t="s">
        <v>26743</v>
      </c>
      <c r="G1754" t="s">
        <v>74</v>
      </c>
      <c r="H1754" t="s">
        <v>74</v>
      </c>
      <c r="I1754" t="s">
        <v>26744</v>
      </c>
      <c r="J1754" t="s">
        <v>26745</v>
      </c>
      <c r="K1754" t="s">
        <v>74</v>
      </c>
      <c r="L1754" t="s">
        <v>74</v>
      </c>
      <c r="M1754" t="s">
        <v>74</v>
      </c>
      <c r="N1754" t="s">
        <v>103</v>
      </c>
      <c r="O1754" t="s">
        <v>74</v>
      </c>
      <c r="P1754" t="s">
        <v>74</v>
      </c>
      <c r="Q1754" t="s">
        <v>74</v>
      </c>
      <c r="R1754" t="s">
        <v>74</v>
      </c>
      <c r="S1754" t="s">
        <v>74</v>
      </c>
      <c r="T1754" t="s">
        <v>26746</v>
      </c>
      <c r="U1754" t="s">
        <v>26747</v>
      </c>
      <c r="V1754" t="s">
        <v>26748</v>
      </c>
      <c r="W1754" t="s">
        <v>26749</v>
      </c>
      <c r="X1754" t="s">
        <v>26750</v>
      </c>
      <c r="Y1754" t="s">
        <v>26751</v>
      </c>
      <c r="Z1754" t="s">
        <v>26752</v>
      </c>
      <c r="AA1754" t="s">
        <v>74</v>
      </c>
      <c r="AB1754" t="s">
        <v>74</v>
      </c>
      <c r="AC1754" t="s">
        <v>74</v>
      </c>
      <c r="AD1754" t="s">
        <v>74</v>
      </c>
      <c r="AE1754" t="s">
        <v>74</v>
      </c>
      <c r="AF1754" t="s">
        <v>74</v>
      </c>
      <c r="AG1754">
        <v>126</v>
      </c>
      <c r="AH1754">
        <v>2</v>
      </c>
      <c r="AI1754">
        <v>2</v>
      </c>
      <c r="AJ1754">
        <v>2</v>
      </c>
      <c r="AK1754">
        <v>2</v>
      </c>
      <c r="AL1754" t="s">
        <v>74</v>
      </c>
      <c r="AM1754" t="s">
        <v>74</v>
      </c>
      <c r="AN1754" t="s">
        <v>74</v>
      </c>
      <c r="AO1754" t="s">
        <v>26753</v>
      </c>
      <c r="AP1754" t="s">
        <v>26754</v>
      </c>
      <c r="AQ1754" t="s">
        <v>74</v>
      </c>
      <c r="AR1754" t="s">
        <v>74</v>
      </c>
      <c r="AS1754" t="s">
        <v>74</v>
      </c>
      <c r="AT1754" t="s">
        <v>1029</v>
      </c>
      <c r="AU1754">
        <v>2022</v>
      </c>
      <c r="AV1754">
        <v>51</v>
      </c>
      <c r="AW1754">
        <v>5</v>
      </c>
      <c r="AX1754" t="s">
        <v>74</v>
      </c>
      <c r="AY1754" t="s">
        <v>74</v>
      </c>
      <c r="AZ1754" t="s">
        <v>74</v>
      </c>
      <c r="BA1754" t="s">
        <v>74</v>
      </c>
      <c r="BB1754">
        <v>591</v>
      </c>
      <c r="BC1754">
        <v>601</v>
      </c>
      <c r="BD1754" t="s">
        <v>74</v>
      </c>
      <c r="BE1754" t="s">
        <v>26755</v>
      </c>
      <c r="BF1754" t="str">
        <f>HYPERLINK("http://dx.doi.org/10.1016/j.ijom.2021.08.017","http://dx.doi.org/10.1016/j.ijom.2021.08.017")</f>
        <v>http://dx.doi.org/10.1016/j.ijom.2021.08.017</v>
      </c>
      <c r="BG1754" t="s">
        <v>74</v>
      </c>
      <c r="BH1754" t="s">
        <v>74</v>
      </c>
      <c r="BI1754" t="s">
        <v>74</v>
      </c>
      <c r="BJ1754" t="s">
        <v>26756</v>
      </c>
      <c r="BK1754" t="s">
        <v>117</v>
      </c>
      <c r="BL1754" t="s">
        <v>26756</v>
      </c>
      <c r="BM1754" t="s">
        <v>74</v>
      </c>
      <c r="BN1754">
        <v>34462176</v>
      </c>
      <c r="BO1754" t="s">
        <v>74</v>
      </c>
      <c r="BP1754" t="s">
        <v>74</v>
      </c>
      <c r="BQ1754" t="s">
        <v>74</v>
      </c>
      <c r="BR1754" t="s">
        <v>96</v>
      </c>
      <c r="BS1754" t="s">
        <v>26757</v>
      </c>
      <c r="BT1754" t="str">
        <f>HYPERLINK("https%3A%2F%2Fwww.webofscience.com%2Fwos%2Fwoscc%2Ffull-record%2FWOS:000797961700002","View Full Record in Web of Science")</f>
        <v>View Full Record in Web of Science</v>
      </c>
    </row>
    <row r="1755" spans="1:72" x14ac:dyDescent="0.15">
      <c r="A1755" t="s">
        <v>72</v>
      </c>
      <c r="B1755" t="s">
        <v>26946</v>
      </c>
      <c r="C1755" t="s">
        <v>74</v>
      </c>
      <c r="D1755" t="s">
        <v>26947</v>
      </c>
      <c r="E1755" t="s">
        <v>74</v>
      </c>
      <c r="F1755" t="s">
        <v>26948</v>
      </c>
      <c r="G1755" t="s">
        <v>74</v>
      </c>
      <c r="H1755" t="s">
        <v>74</v>
      </c>
      <c r="I1755" t="s">
        <v>26949</v>
      </c>
      <c r="J1755" t="s">
        <v>26950</v>
      </c>
      <c r="K1755" t="s">
        <v>26951</v>
      </c>
      <c r="L1755" t="s">
        <v>74</v>
      </c>
      <c r="M1755" t="s">
        <v>74</v>
      </c>
      <c r="N1755" t="s">
        <v>80</v>
      </c>
      <c r="O1755" t="s">
        <v>74</v>
      </c>
      <c r="P1755" t="s">
        <v>74</v>
      </c>
      <c r="Q1755" t="s">
        <v>74</v>
      </c>
      <c r="R1755" t="s">
        <v>74</v>
      </c>
      <c r="S1755" t="s">
        <v>74</v>
      </c>
      <c r="T1755" t="s">
        <v>26952</v>
      </c>
      <c r="U1755" t="s">
        <v>26953</v>
      </c>
      <c r="V1755" t="s">
        <v>26954</v>
      </c>
      <c r="W1755" t="s">
        <v>26955</v>
      </c>
      <c r="X1755" t="s">
        <v>26956</v>
      </c>
      <c r="Y1755" t="s">
        <v>26957</v>
      </c>
      <c r="Z1755" t="s">
        <v>26958</v>
      </c>
      <c r="AA1755" t="s">
        <v>74</v>
      </c>
      <c r="AB1755" t="s">
        <v>74</v>
      </c>
      <c r="AC1755" t="s">
        <v>74</v>
      </c>
      <c r="AD1755" t="s">
        <v>74</v>
      </c>
      <c r="AE1755" t="s">
        <v>74</v>
      </c>
      <c r="AF1755" t="s">
        <v>74</v>
      </c>
      <c r="AG1755">
        <v>169</v>
      </c>
      <c r="AH1755">
        <v>2</v>
      </c>
      <c r="AI1755">
        <v>2</v>
      </c>
      <c r="AJ1755">
        <v>0</v>
      </c>
      <c r="AK1755">
        <v>5</v>
      </c>
      <c r="AL1755" t="s">
        <v>74</v>
      </c>
      <c r="AM1755" t="s">
        <v>74</v>
      </c>
      <c r="AN1755" t="s">
        <v>74</v>
      </c>
      <c r="AO1755" t="s">
        <v>26959</v>
      </c>
      <c r="AP1755" t="s">
        <v>74</v>
      </c>
      <c r="AQ1755" t="s">
        <v>26960</v>
      </c>
      <c r="AR1755" t="s">
        <v>74</v>
      </c>
      <c r="AS1755" t="s">
        <v>74</v>
      </c>
      <c r="AT1755" t="s">
        <v>74</v>
      </c>
      <c r="AU1755">
        <v>2017</v>
      </c>
      <c r="AV1755" t="s">
        <v>74</v>
      </c>
      <c r="AW1755" t="s">
        <v>74</v>
      </c>
      <c r="AX1755" t="s">
        <v>74</v>
      </c>
      <c r="AY1755" t="s">
        <v>74</v>
      </c>
      <c r="AZ1755" t="s">
        <v>74</v>
      </c>
      <c r="BA1755" t="s">
        <v>74</v>
      </c>
      <c r="BB1755">
        <v>189</v>
      </c>
      <c r="BC1755">
        <v>220</v>
      </c>
      <c r="BD1755" t="s">
        <v>74</v>
      </c>
      <c r="BE1755" t="s">
        <v>26961</v>
      </c>
      <c r="BF1755" t="str">
        <f>HYPERLINK("http://dx.doi.org/10.1007/978-3-319-55021-3_9","http://dx.doi.org/10.1007/978-3-319-55021-3_9")</f>
        <v>http://dx.doi.org/10.1007/978-3-319-55021-3_9</v>
      </c>
      <c r="BG1755" t="s">
        <v>26962</v>
      </c>
      <c r="BH1755" t="s">
        <v>74</v>
      </c>
      <c r="BI1755" t="s">
        <v>74</v>
      </c>
      <c r="BJ1755" t="s">
        <v>26963</v>
      </c>
      <c r="BK1755" t="s">
        <v>94</v>
      </c>
      <c r="BL1755" t="s">
        <v>26963</v>
      </c>
      <c r="BM1755" t="s">
        <v>74</v>
      </c>
      <c r="BN1755" t="s">
        <v>74</v>
      </c>
      <c r="BO1755" t="s">
        <v>74</v>
      </c>
      <c r="BP1755" t="s">
        <v>74</v>
      </c>
      <c r="BQ1755" t="s">
        <v>74</v>
      </c>
      <c r="BR1755" t="s">
        <v>96</v>
      </c>
      <c r="BS1755" t="s">
        <v>26964</v>
      </c>
      <c r="BT1755" t="str">
        <f>HYPERLINK("https%3A%2F%2Fwww.webofscience.com%2Fwos%2Fwoscc%2Ffull-record%2FWOS:000439792100010","View Full Record in Web of Science")</f>
        <v>View Full Record in Web of Science</v>
      </c>
    </row>
    <row r="1756" spans="1:72" x14ac:dyDescent="0.15">
      <c r="A1756" t="s">
        <v>98</v>
      </c>
      <c r="B1756" t="s">
        <v>27172</v>
      </c>
      <c r="C1756" t="s">
        <v>74</v>
      </c>
      <c r="D1756" t="s">
        <v>74</v>
      </c>
      <c r="E1756" t="s">
        <v>74</v>
      </c>
      <c r="F1756" t="s">
        <v>27173</v>
      </c>
      <c r="G1756" t="s">
        <v>74</v>
      </c>
      <c r="H1756" t="s">
        <v>74</v>
      </c>
      <c r="I1756" t="s">
        <v>27174</v>
      </c>
      <c r="J1756" t="s">
        <v>140</v>
      </c>
      <c r="K1756" t="s">
        <v>74</v>
      </c>
      <c r="L1756" t="s">
        <v>74</v>
      </c>
      <c r="M1756" t="s">
        <v>74</v>
      </c>
      <c r="N1756" t="s">
        <v>103</v>
      </c>
      <c r="O1756" t="s">
        <v>74</v>
      </c>
      <c r="P1756" t="s">
        <v>74</v>
      </c>
      <c r="Q1756" t="s">
        <v>74</v>
      </c>
      <c r="R1756" t="s">
        <v>74</v>
      </c>
      <c r="S1756" t="s">
        <v>74</v>
      </c>
      <c r="T1756" t="s">
        <v>74</v>
      </c>
      <c r="U1756" t="s">
        <v>27175</v>
      </c>
      <c r="V1756" t="s">
        <v>27176</v>
      </c>
      <c r="W1756" t="s">
        <v>27177</v>
      </c>
      <c r="X1756" t="s">
        <v>27178</v>
      </c>
      <c r="Y1756" t="s">
        <v>27179</v>
      </c>
      <c r="Z1756" t="s">
        <v>27180</v>
      </c>
      <c r="AA1756" t="s">
        <v>74</v>
      </c>
      <c r="AB1756" t="s">
        <v>27181</v>
      </c>
      <c r="AC1756" t="s">
        <v>74</v>
      </c>
      <c r="AD1756" t="s">
        <v>74</v>
      </c>
      <c r="AE1756" t="s">
        <v>74</v>
      </c>
      <c r="AF1756" t="s">
        <v>74</v>
      </c>
      <c r="AG1756">
        <v>46</v>
      </c>
      <c r="AH1756">
        <v>2</v>
      </c>
      <c r="AI1756">
        <v>2</v>
      </c>
      <c r="AJ1756">
        <v>0</v>
      </c>
      <c r="AK1756">
        <v>0</v>
      </c>
      <c r="AL1756" t="s">
        <v>74</v>
      </c>
      <c r="AM1756" t="s">
        <v>74</v>
      </c>
      <c r="AN1756" t="s">
        <v>74</v>
      </c>
      <c r="AO1756" t="s">
        <v>149</v>
      </c>
      <c r="AP1756" t="s">
        <v>74</v>
      </c>
      <c r="AQ1756" t="s">
        <v>74</v>
      </c>
      <c r="AR1756" t="s">
        <v>74</v>
      </c>
      <c r="AS1756" t="s">
        <v>74</v>
      </c>
      <c r="AT1756" t="s">
        <v>21220</v>
      </c>
      <c r="AU1756">
        <v>2021</v>
      </c>
      <c r="AV1756">
        <v>11</v>
      </c>
      <c r="AW1756">
        <v>1</v>
      </c>
      <c r="AX1756" t="s">
        <v>74</v>
      </c>
      <c r="AY1756" t="s">
        <v>74</v>
      </c>
      <c r="AZ1756" t="s">
        <v>74</v>
      </c>
      <c r="BA1756" t="s">
        <v>74</v>
      </c>
      <c r="BB1756" t="s">
        <v>74</v>
      </c>
      <c r="BC1756" t="s">
        <v>74</v>
      </c>
      <c r="BD1756">
        <v>19735</v>
      </c>
      <c r="BE1756" t="s">
        <v>27182</v>
      </c>
      <c r="BF1756" t="str">
        <f>HYPERLINK("http://dx.doi.org/10.1038/s41598-021-99140-z","http://dx.doi.org/10.1038/s41598-021-99140-z")</f>
        <v>http://dx.doi.org/10.1038/s41598-021-99140-z</v>
      </c>
      <c r="BG1756" t="s">
        <v>74</v>
      </c>
      <c r="BH1756" t="s">
        <v>74</v>
      </c>
      <c r="BI1756" t="s">
        <v>74</v>
      </c>
      <c r="BJ1756" t="s">
        <v>152</v>
      </c>
      <c r="BK1756" t="s">
        <v>117</v>
      </c>
      <c r="BL1756" t="s">
        <v>153</v>
      </c>
      <c r="BM1756" t="s">
        <v>74</v>
      </c>
      <c r="BN1756">
        <v>34611223</v>
      </c>
      <c r="BO1756" t="s">
        <v>74</v>
      </c>
      <c r="BP1756" t="s">
        <v>74</v>
      </c>
      <c r="BQ1756" t="s">
        <v>74</v>
      </c>
      <c r="BR1756" t="s">
        <v>96</v>
      </c>
      <c r="BS1756" t="s">
        <v>27183</v>
      </c>
      <c r="BT1756" t="str">
        <f>HYPERLINK("https%3A%2F%2Fwww.webofscience.com%2Fwos%2Fwoscc%2Ffull-record%2FWOS:000704088100040","View Full Record in Web of Science")</f>
        <v>View Full Record in Web of Science</v>
      </c>
    </row>
    <row r="1757" spans="1:72" x14ac:dyDescent="0.15">
      <c r="A1757" t="s">
        <v>98</v>
      </c>
      <c r="B1757" t="s">
        <v>27442</v>
      </c>
      <c r="C1757" t="s">
        <v>74</v>
      </c>
      <c r="D1757" t="s">
        <v>74</v>
      </c>
      <c r="E1757" t="s">
        <v>74</v>
      </c>
      <c r="F1757" t="s">
        <v>27443</v>
      </c>
      <c r="G1757" t="s">
        <v>74</v>
      </c>
      <c r="H1757" t="s">
        <v>74</v>
      </c>
      <c r="I1757" t="s">
        <v>27444</v>
      </c>
      <c r="J1757" t="s">
        <v>27445</v>
      </c>
      <c r="K1757" t="s">
        <v>74</v>
      </c>
      <c r="L1757" t="s">
        <v>74</v>
      </c>
      <c r="M1757" t="s">
        <v>74</v>
      </c>
      <c r="N1757" t="s">
        <v>103</v>
      </c>
      <c r="O1757" t="s">
        <v>74</v>
      </c>
      <c r="P1757" t="s">
        <v>74</v>
      </c>
      <c r="Q1757" t="s">
        <v>74</v>
      </c>
      <c r="R1757" t="s">
        <v>74</v>
      </c>
      <c r="S1757" t="s">
        <v>74</v>
      </c>
      <c r="T1757" t="s">
        <v>27446</v>
      </c>
      <c r="U1757" t="s">
        <v>27447</v>
      </c>
      <c r="V1757" t="s">
        <v>27448</v>
      </c>
      <c r="W1757" t="s">
        <v>27449</v>
      </c>
      <c r="X1757" t="s">
        <v>204</v>
      </c>
      <c r="Y1757" t="s">
        <v>27450</v>
      </c>
      <c r="Z1757" t="s">
        <v>27451</v>
      </c>
      <c r="AA1757" t="s">
        <v>27452</v>
      </c>
      <c r="AB1757" t="s">
        <v>27453</v>
      </c>
      <c r="AC1757" t="s">
        <v>74</v>
      </c>
      <c r="AD1757" t="s">
        <v>74</v>
      </c>
      <c r="AE1757" t="s">
        <v>74</v>
      </c>
      <c r="AF1757" t="s">
        <v>74</v>
      </c>
      <c r="AG1757">
        <v>47</v>
      </c>
      <c r="AH1757">
        <v>2</v>
      </c>
      <c r="AI1757">
        <v>2</v>
      </c>
      <c r="AJ1757">
        <v>2</v>
      </c>
      <c r="AK1757">
        <v>7</v>
      </c>
      <c r="AL1757" t="s">
        <v>74</v>
      </c>
      <c r="AM1757" t="s">
        <v>74</v>
      </c>
      <c r="AN1757" t="s">
        <v>74</v>
      </c>
      <c r="AO1757" t="s">
        <v>27454</v>
      </c>
      <c r="AP1757" t="s">
        <v>74</v>
      </c>
      <c r="AQ1757" t="s">
        <v>74</v>
      </c>
      <c r="AR1757" t="s">
        <v>74</v>
      </c>
      <c r="AS1757" t="s">
        <v>74</v>
      </c>
      <c r="AT1757" t="s">
        <v>211</v>
      </c>
      <c r="AU1757">
        <v>2020</v>
      </c>
      <c r="AV1757">
        <v>9</v>
      </c>
      <c r="AW1757">
        <v>11</v>
      </c>
      <c r="AX1757" t="s">
        <v>74</v>
      </c>
      <c r="AY1757" t="s">
        <v>74</v>
      </c>
      <c r="AZ1757" t="s">
        <v>74</v>
      </c>
      <c r="BA1757" t="s">
        <v>74</v>
      </c>
      <c r="BB1757" t="s">
        <v>74</v>
      </c>
      <c r="BC1757" t="s">
        <v>74</v>
      </c>
      <c r="BD1757" t="s">
        <v>27455</v>
      </c>
      <c r="BE1757" t="s">
        <v>27456</v>
      </c>
      <c r="BF1757" t="str">
        <f>HYPERLINK("http://dx.doi.org/10.2196/18291","http://dx.doi.org/10.2196/18291")</f>
        <v>http://dx.doi.org/10.2196/18291</v>
      </c>
      <c r="BG1757" t="s">
        <v>74</v>
      </c>
      <c r="BH1757" t="s">
        <v>74</v>
      </c>
      <c r="BI1757" t="s">
        <v>74</v>
      </c>
      <c r="BJ1757" t="s">
        <v>27457</v>
      </c>
      <c r="BK1757" t="s">
        <v>467</v>
      </c>
      <c r="BL1757" t="s">
        <v>27457</v>
      </c>
      <c r="BM1757" t="s">
        <v>74</v>
      </c>
      <c r="BN1757">
        <v>33141101</v>
      </c>
      <c r="BO1757" t="s">
        <v>74</v>
      </c>
      <c r="BP1757" t="s">
        <v>74</v>
      </c>
      <c r="BQ1757" t="s">
        <v>74</v>
      </c>
      <c r="BR1757" t="s">
        <v>96</v>
      </c>
      <c r="BS1757" t="s">
        <v>27458</v>
      </c>
      <c r="BT1757" t="str">
        <f>HYPERLINK("https%3A%2F%2Fwww.webofscience.com%2Fwos%2Fwoscc%2Ffull-record%2FWOS:000601314500016","View Full Record in Web of Science")</f>
        <v>View Full Record in Web of Science</v>
      </c>
    </row>
    <row r="1758" spans="1:72" x14ac:dyDescent="0.15">
      <c r="A1758" t="s">
        <v>98</v>
      </c>
      <c r="B1758" t="s">
        <v>27790</v>
      </c>
      <c r="C1758" t="s">
        <v>74</v>
      </c>
      <c r="D1758" t="s">
        <v>74</v>
      </c>
      <c r="E1758" t="s">
        <v>74</v>
      </c>
      <c r="F1758" t="s">
        <v>27791</v>
      </c>
      <c r="G1758" t="s">
        <v>74</v>
      </c>
      <c r="H1758" t="s">
        <v>74</v>
      </c>
      <c r="I1758" t="s">
        <v>27792</v>
      </c>
      <c r="J1758" t="s">
        <v>3104</v>
      </c>
      <c r="K1758" t="s">
        <v>74</v>
      </c>
      <c r="L1758" t="s">
        <v>74</v>
      </c>
      <c r="M1758" t="s">
        <v>74</v>
      </c>
      <c r="N1758" t="s">
        <v>2996</v>
      </c>
      <c r="O1758" t="s">
        <v>74</v>
      </c>
      <c r="P1758" t="s">
        <v>74</v>
      </c>
      <c r="Q1758" t="s">
        <v>74</v>
      </c>
      <c r="R1758" t="s">
        <v>74</v>
      </c>
      <c r="S1758" t="s">
        <v>74</v>
      </c>
      <c r="T1758" t="s">
        <v>27793</v>
      </c>
      <c r="U1758" t="s">
        <v>27794</v>
      </c>
      <c r="V1758" t="s">
        <v>27795</v>
      </c>
      <c r="W1758" t="s">
        <v>27796</v>
      </c>
      <c r="X1758" t="s">
        <v>27797</v>
      </c>
      <c r="Y1758" t="s">
        <v>27798</v>
      </c>
      <c r="Z1758" t="s">
        <v>27799</v>
      </c>
      <c r="AA1758" t="s">
        <v>74</v>
      </c>
      <c r="AB1758" t="s">
        <v>27800</v>
      </c>
      <c r="AC1758" t="s">
        <v>74</v>
      </c>
      <c r="AD1758" t="s">
        <v>74</v>
      </c>
      <c r="AE1758" t="s">
        <v>74</v>
      </c>
      <c r="AF1758" t="s">
        <v>74</v>
      </c>
      <c r="AG1758">
        <v>175</v>
      </c>
      <c r="AH1758">
        <v>2</v>
      </c>
      <c r="AI1758">
        <v>2</v>
      </c>
      <c r="AJ1758">
        <v>9</v>
      </c>
      <c r="AK1758">
        <v>11</v>
      </c>
      <c r="AL1758" t="s">
        <v>74</v>
      </c>
      <c r="AM1758" t="s">
        <v>74</v>
      </c>
      <c r="AN1758" t="s">
        <v>74</v>
      </c>
      <c r="AO1758" t="s">
        <v>3112</v>
      </c>
      <c r="AP1758" t="s">
        <v>3113</v>
      </c>
      <c r="AQ1758" t="s">
        <v>74</v>
      </c>
      <c r="AR1758" t="s">
        <v>74</v>
      </c>
      <c r="AS1758" t="s">
        <v>74</v>
      </c>
      <c r="AT1758" t="s">
        <v>74</v>
      </c>
      <c r="AU1758" t="s">
        <v>74</v>
      </c>
      <c r="AV1758" t="s">
        <v>74</v>
      </c>
      <c r="AW1758" t="s">
        <v>74</v>
      </c>
      <c r="AX1758" t="s">
        <v>74</v>
      </c>
      <c r="AY1758" t="s">
        <v>74</v>
      </c>
      <c r="AZ1758" t="s">
        <v>74</v>
      </c>
      <c r="BA1758" t="s">
        <v>74</v>
      </c>
      <c r="BB1758" t="s">
        <v>74</v>
      </c>
      <c r="BC1758" t="s">
        <v>74</v>
      </c>
      <c r="BD1758" t="s">
        <v>74</v>
      </c>
      <c r="BE1758" t="s">
        <v>27801</v>
      </c>
      <c r="BF1758" t="str">
        <f>HYPERLINK("http://dx.doi.org/10.1007/s12015-022-10343-x","http://dx.doi.org/10.1007/s12015-022-10343-x")</f>
        <v>http://dx.doi.org/10.1007/s12015-022-10343-x</v>
      </c>
      <c r="BG1758" t="s">
        <v>74</v>
      </c>
      <c r="BH1758" t="s">
        <v>1582</v>
      </c>
      <c r="BI1758" t="s">
        <v>74</v>
      </c>
      <c r="BJ1758" t="s">
        <v>3115</v>
      </c>
      <c r="BK1758" t="s">
        <v>117</v>
      </c>
      <c r="BL1758" t="s">
        <v>3116</v>
      </c>
      <c r="BM1758" t="s">
        <v>74</v>
      </c>
      <c r="BN1758">
        <v>35103937</v>
      </c>
      <c r="BO1758" t="s">
        <v>74</v>
      </c>
      <c r="BP1758" t="s">
        <v>74</v>
      </c>
      <c r="BQ1758" t="s">
        <v>74</v>
      </c>
      <c r="BR1758" t="s">
        <v>96</v>
      </c>
      <c r="BS1758" t="s">
        <v>27802</v>
      </c>
      <c r="BT1758" t="str">
        <f>HYPERLINK("https%3A%2F%2Fwww.webofscience.com%2Fwos%2Fwoscc%2Ffull-record%2FWOS:000749396300001","View Full Record in Web of Science")</f>
        <v>View Full Record in Web of Science</v>
      </c>
    </row>
    <row r="1759" spans="1:72" x14ac:dyDescent="0.15">
      <c r="A1759" t="s">
        <v>72</v>
      </c>
      <c r="B1759" t="s">
        <v>28291</v>
      </c>
      <c r="C1759" t="s">
        <v>74</v>
      </c>
      <c r="D1759" t="s">
        <v>28292</v>
      </c>
      <c r="E1759" t="s">
        <v>74</v>
      </c>
      <c r="F1759" t="s">
        <v>28293</v>
      </c>
      <c r="G1759" t="s">
        <v>74</v>
      </c>
      <c r="H1759" t="s">
        <v>74</v>
      </c>
      <c r="I1759" t="s">
        <v>28294</v>
      </c>
      <c r="J1759" t="s">
        <v>28295</v>
      </c>
      <c r="K1759" t="s">
        <v>28296</v>
      </c>
      <c r="L1759" t="s">
        <v>74</v>
      </c>
      <c r="M1759" t="s">
        <v>74</v>
      </c>
      <c r="N1759" t="s">
        <v>80</v>
      </c>
      <c r="O1759" t="s">
        <v>74</v>
      </c>
      <c r="P1759" t="s">
        <v>74</v>
      </c>
      <c r="Q1759" t="s">
        <v>74</v>
      </c>
      <c r="R1759" t="s">
        <v>74</v>
      </c>
      <c r="S1759" t="s">
        <v>74</v>
      </c>
      <c r="T1759" t="s">
        <v>28297</v>
      </c>
      <c r="U1759" t="s">
        <v>28298</v>
      </c>
      <c r="V1759" t="s">
        <v>28299</v>
      </c>
      <c r="W1759" t="s">
        <v>28300</v>
      </c>
      <c r="X1759" t="s">
        <v>28301</v>
      </c>
      <c r="Y1759" t="s">
        <v>28302</v>
      </c>
      <c r="Z1759" t="s">
        <v>28303</v>
      </c>
      <c r="AA1759" t="s">
        <v>74</v>
      </c>
      <c r="AB1759" t="s">
        <v>74</v>
      </c>
      <c r="AC1759" t="s">
        <v>74</v>
      </c>
      <c r="AD1759" t="s">
        <v>74</v>
      </c>
      <c r="AE1759" t="s">
        <v>74</v>
      </c>
      <c r="AF1759" t="s">
        <v>74</v>
      </c>
      <c r="AG1759">
        <v>160</v>
      </c>
      <c r="AH1759">
        <v>2</v>
      </c>
      <c r="AI1759">
        <v>2</v>
      </c>
      <c r="AJ1759">
        <v>0</v>
      </c>
      <c r="AK1759">
        <v>4</v>
      </c>
      <c r="AL1759" t="s">
        <v>74</v>
      </c>
      <c r="AM1759" t="s">
        <v>74</v>
      </c>
      <c r="AN1759" t="s">
        <v>74</v>
      </c>
      <c r="AO1759" t="s">
        <v>28304</v>
      </c>
      <c r="AP1759" t="s">
        <v>28305</v>
      </c>
      <c r="AQ1759" t="s">
        <v>28306</v>
      </c>
      <c r="AR1759" t="s">
        <v>74</v>
      </c>
      <c r="AS1759" t="s">
        <v>74</v>
      </c>
      <c r="AT1759" t="s">
        <v>74</v>
      </c>
      <c r="AU1759">
        <v>2018</v>
      </c>
      <c r="AV1759" t="s">
        <v>74</v>
      </c>
      <c r="AW1759" t="s">
        <v>74</v>
      </c>
      <c r="AX1759" t="s">
        <v>74</v>
      </c>
      <c r="AY1759" t="s">
        <v>74</v>
      </c>
      <c r="AZ1759" t="s">
        <v>74</v>
      </c>
      <c r="BA1759" t="s">
        <v>74</v>
      </c>
      <c r="BB1759">
        <v>365</v>
      </c>
      <c r="BC1759">
        <v>385</v>
      </c>
      <c r="BD1759" t="s">
        <v>74</v>
      </c>
      <c r="BE1759" t="s">
        <v>28307</v>
      </c>
      <c r="BF1759" t="str">
        <f>HYPERLINK("http://dx.doi.org/10.1007/978-3-319-89878-0_11","http://dx.doi.org/10.1007/978-3-319-89878-0_11")</f>
        <v>http://dx.doi.org/10.1007/978-3-319-89878-0_11</v>
      </c>
      <c r="BG1759" t="s">
        <v>28308</v>
      </c>
      <c r="BH1759" t="s">
        <v>74</v>
      </c>
      <c r="BI1759" t="s">
        <v>74</v>
      </c>
      <c r="BJ1759" t="s">
        <v>28309</v>
      </c>
      <c r="BK1759" t="s">
        <v>94</v>
      </c>
      <c r="BL1759" t="s">
        <v>28310</v>
      </c>
      <c r="BM1759" t="s">
        <v>74</v>
      </c>
      <c r="BN1759" t="s">
        <v>74</v>
      </c>
      <c r="BO1759" t="s">
        <v>74</v>
      </c>
      <c r="BP1759" t="s">
        <v>74</v>
      </c>
      <c r="BQ1759" t="s">
        <v>74</v>
      </c>
      <c r="BR1759" t="s">
        <v>96</v>
      </c>
      <c r="BS1759" t="s">
        <v>28311</v>
      </c>
      <c r="BT1759" t="str">
        <f>HYPERLINK("https%3A%2F%2Fwww.webofscience.com%2Fwos%2Fwoscc%2Ffull-record%2FWOS:000444887200011","View Full Record in Web of Science")</f>
        <v>View Full Record in Web of Science</v>
      </c>
    </row>
    <row r="1760" spans="1:72" x14ac:dyDescent="0.15">
      <c r="A1760" t="s">
        <v>98</v>
      </c>
      <c r="B1760" t="s">
        <v>28393</v>
      </c>
      <c r="C1760" t="s">
        <v>74</v>
      </c>
      <c r="D1760" t="s">
        <v>74</v>
      </c>
      <c r="E1760" t="s">
        <v>74</v>
      </c>
      <c r="F1760" t="s">
        <v>28394</v>
      </c>
      <c r="G1760" t="s">
        <v>74</v>
      </c>
      <c r="H1760" t="s">
        <v>74</v>
      </c>
      <c r="I1760" t="s">
        <v>28395</v>
      </c>
      <c r="J1760" t="s">
        <v>12328</v>
      </c>
      <c r="K1760" t="s">
        <v>74</v>
      </c>
      <c r="L1760" t="s">
        <v>74</v>
      </c>
      <c r="M1760" t="s">
        <v>74</v>
      </c>
      <c r="N1760" t="s">
        <v>103</v>
      </c>
      <c r="O1760" t="s">
        <v>74</v>
      </c>
      <c r="P1760" t="s">
        <v>74</v>
      </c>
      <c r="Q1760" t="s">
        <v>74</v>
      </c>
      <c r="R1760" t="s">
        <v>74</v>
      </c>
      <c r="S1760" t="s">
        <v>74</v>
      </c>
      <c r="T1760" t="s">
        <v>28396</v>
      </c>
      <c r="U1760" t="s">
        <v>28397</v>
      </c>
      <c r="V1760" t="s">
        <v>28398</v>
      </c>
      <c r="W1760" t="s">
        <v>28399</v>
      </c>
      <c r="X1760" t="s">
        <v>28400</v>
      </c>
      <c r="Y1760" t="s">
        <v>28401</v>
      </c>
      <c r="Z1760" t="s">
        <v>926</v>
      </c>
      <c r="AA1760" t="s">
        <v>28402</v>
      </c>
      <c r="AB1760" t="s">
        <v>28403</v>
      </c>
      <c r="AC1760" t="s">
        <v>74</v>
      </c>
      <c r="AD1760" t="s">
        <v>74</v>
      </c>
      <c r="AE1760" t="s">
        <v>74</v>
      </c>
      <c r="AF1760" t="s">
        <v>74</v>
      </c>
      <c r="AG1760">
        <v>52</v>
      </c>
      <c r="AH1760">
        <v>2</v>
      </c>
      <c r="AI1760">
        <v>2</v>
      </c>
      <c r="AJ1760">
        <v>2</v>
      </c>
      <c r="AK1760">
        <v>5</v>
      </c>
      <c r="AL1760" t="s">
        <v>74</v>
      </c>
      <c r="AM1760" t="s">
        <v>74</v>
      </c>
      <c r="AN1760" t="s">
        <v>74</v>
      </c>
      <c r="AO1760" t="s">
        <v>12335</v>
      </c>
      <c r="AP1760" t="s">
        <v>12336</v>
      </c>
      <c r="AQ1760" t="s">
        <v>74</v>
      </c>
      <c r="AR1760" t="s">
        <v>74</v>
      </c>
      <c r="AS1760" t="s">
        <v>74</v>
      </c>
      <c r="AT1760" t="s">
        <v>967</v>
      </c>
      <c r="AU1760">
        <v>2020</v>
      </c>
      <c r="AV1760">
        <v>133</v>
      </c>
      <c r="AW1760" t="s">
        <v>74</v>
      </c>
      <c r="AX1760" t="s">
        <v>74</v>
      </c>
      <c r="AY1760" t="s">
        <v>74</v>
      </c>
      <c r="AZ1760" t="s">
        <v>74</v>
      </c>
      <c r="BA1760" t="s">
        <v>74</v>
      </c>
      <c r="BB1760" t="s">
        <v>74</v>
      </c>
      <c r="BC1760" t="s">
        <v>74</v>
      </c>
      <c r="BD1760">
        <v>104687</v>
      </c>
      <c r="BE1760" t="s">
        <v>28404</v>
      </c>
      <c r="BF1760" t="str">
        <f>HYPERLINK("http://dx.doi.org/10.1016/j.jcv.2020.104687","http://dx.doi.org/10.1016/j.jcv.2020.104687")</f>
        <v>http://dx.doi.org/10.1016/j.jcv.2020.104687</v>
      </c>
      <c r="BG1760" t="s">
        <v>74</v>
      </c>
      <c r="BH1760" t="s">
        <v>74</v>
      </c>
      <c r="BI1760" t="s">
        <v>74</v>
      </c>
      <c r="BJ1760" t="s">
        <v>932</v>
      </c>
      <c r="BK1760" t="s">
        <v>117</v>
      </c>
      <c r="BL1760" t="s">
        <v>932</v>
      </c>
      <c r="BM1760" t="s">
        <v>74</v>
      </c>
      <c r="BN1760">
        <v>33176237</v>
      </c>
      <c r="BO1760" t="s">
        <v>74</v>
      </c>
      <c r="BP1760" t="s">
        <v>74</v>
      </c>
      <c r="BQ1760" t="s">
        <v>74</v>
      </c>
      <c r="BR1760" t="s">
        <v>96</v>
      </c>
      <c r="BS1760" t="s">
        <v>28405</v>
      </c>
      <c r="BT1760" t="str">
        <f>HYPERLINK("https%3A%2F%2Fwww.webofscience.com%2Fwos%2Fwoscc%2Ffull-record%2FWOS:000598717200016","View Full Record in Web of Science")</f>
        <v>View Full Record in Web of Science</v>
      </c>
    </row>
    <row r="1761" spans="1:72" x14ac:dyDescent="0.15">
      <c r="A1761" t="s">
        <v>98</v>
      </c>
      <c r="B1761" t="s">
        <v>28548</v>
      </c>
      <c r="C1761" t="s">
        <v>74</v>
      </c>
      <c r="D1761" t="s">
        <v>74</v>
      </c>
      <c r="E1761" t="s">
        <v>74</v>
      </c>
      <c r="F1761" t="s">
        <v>28549</v>
      </c>
      <c r="G1761" t="s">
        <v>74</v>
      </c>
      <c r="H1761" t="s">
        <v>74</v>
      </c>
      <c r="I1761" t="s">
        <v>28550</v>
      </c>
      <c r="J1761" t="s">
        <v>28551</v>
      </c>
      <c r="K1761" t="s">
        <v>74</v>
      </c>
      <c r="L1761" t="s">
        <v>74</v>
      </c>
      <c r="M1761" t="s">
        <v>74</v>
      </c>
      <c r="N1761" t="s">
        <v>103</v>
      </c>
      <c r="O1761" t="s">
        <v>74</v>
      </c>
      <c r="P1761" t="s">
        <v>74</v>
      </c>
      <c r="Q1761" t="s">
        <v>74</v>
      </c>
      <c r="R1761" t="s">
        <v>74</v>
      </c>
      <c r="S1761" t="s">
        <v>74</v>
      </c>
      <c r="T1761" t="s">
        <v>28552</v>
      </c>
      <c r="U1761" t="s">
        <v>28553</v>
      </c>
      <c r="V1761" t="s">
        <v>28554</v>
      </c>
      <c r="W1761" t="s">
        <v>28555</v>
      </c>
      <c r="X1761" t="s">
        <v>11765</v>
      </c>
      <c r="Y1761" t="s">
        <v>28556</v>
      </c>
      <c r="Z1761" t="s">
        <v>28557</v>
      </c>
      <c r="AA1761" t="s">
        <v>74</v>
      </c>
      <c r="AB1761" t="s">
        <v>74</v>
      </c>
      <c r="AC1761" t="s">
        <v>74</v>
      </c>
      <c r="AD1761" t="s">
        <v>74</v>
      </c>
      <c r="AE1761" t="s">
        <v>74</v>
      </c>
      <c r="AF1761" t="s">
        <v>74</v>
      </c>
      <c r="AG1761">
        <v>29</v>
      </c>
      <c r="AH1761">
        <v>2</v>
      </c>
      <c r="AI1761">
        <v>2</v>
      </c>
      <c r="AJ1761">
        <v>3</v>
      </c>
      <c r="AK1761">
        <v>3</v>
      </c>
      <c r="AL1761" t="s">
        <v>74</v>
      </c>
      <c r="AM1761" t="s">
        <v>74</v>
      </c>
      <c r="AN1761" t="s">
        <v>74</v>
      </c>
      <c r="AO1761" t="s">
        <v>28558</v>
      </c>
      <c r="AP1761" t="s">
        <v>28559</v>
      </c>
      <c r="AQ1761" t="s">
        <v>74</v>
      </c>
      <c r="AR1761" t="s">
        <v>74</v>
      </c>
      <c r="AS1761" t="s">
        <v>74</v>
      </c>
      <c r="AT1761" t="s">
        <v>1570</v>
      </c>
      <c r="AU1761">
        <v>2022</v>
      </c>
      <c r="AV1761">
        <v>37</v>
      </c>
      <c r="AW1761">
        <v>3</v>
      </c>
      <c r="AX1761" t="s">
        <v>74</v>
      </c>
      <c r="AY1761" t="s">
        <v>74</v>
      </c>
      <c r="AZ1761" t="s">
        <v>74</v>
      </c>
      <c r="BA1761" t="s">
        <v>74</v>
      </c>
      <c r="BB1761">
        <v>612</v>
      </c>
      <c r="BC1761">
        <v>620</v>
      </c>
      <c r="BD1761" t="s">
        <v>74</v>
      </c>
      <c r="BE1761" t="s">
        <v>28560</v>
      </c>
      <c r="BF1761" t="str">
        <f>HYPERLINK("http://dx.doi.org/10.1093/humrep/deab281","http://dx.doi.org/10.1093/humrep/deab281")</f>
        <v>http://dx.doi.org/10.1093/humrep/deab281</v>
      </c>
      <c r="BG1761" t="s">
        <v>74</v>
      </c>
      <c r="BH1761" t="s">
        <v>74</v>
      </c>
      <c r="BI1761" t="s">
        <v>74</v>
      </c>
      <c r="BJ1761" t="s">
        <v>6268</v>
      </c>
      <c r="BK1761" t="s">
        <v>117</v>
      </c>
      <c r="BL1761" t="s">
        <v>6268</v>
      </c>
      <c r="BM1761" t="s">
        <v>74</v>
      </c>
      <c r="BN1761">
        <v>34997960</v>
      </c>
      <c r="BO1761" t="s">
        <v>74</v>
      </c>
      <c r="BP1761" t="s">
        <v>74</v>
      </c>
      <c r="BQ1761" t="s">
        <v>74</v>
      </c>
      <c r="BR1761" t="s">
        <v>96</v>
      </c>
      <c r="BS1761" t="s">
        <v>28561</v>
      </c>
      <c r="BT1761" t="str">
        <f>HYPERLINK("https%3A%2F%2Fwww.webofscience.com%2Fwos%2Fwoscc%2Ffull-record%2FWOS:000763007300021","View Full Record in Web of Science")</f>
        <v>View Full Record in Web of Science</v>
      </c>
    </row>
    <row r="1762" spans="1:72" x14ac:dyDescent="0.15">
      <c r="A1762" t="s">
        <v>98</v>
      </c>
      <c r="B1762" t="s">
        <v>29100</v>
      </c>
      <c r="C1762" t="s">
        <v>74</v>
      </c>
      <c r="D1762" t="s">
        <v>74</v>
      </c>
      <c r="E1762" t="s">
        <v>74</v>
      </c>
      <c r="F1762" t="s">
        <v>29101</v>
      </c>
      <c r="G1762" t="s">
        <v>74</v>
      </c>
      <c r="H1762" t="s">
        <v>74</v>
      </c>
      <c r="I1762" t="s">
        <v>29102</v>
      </c>
      <c r="J1762" t="s">
        <v>1123</v>
      </c>
      <c r="K1762" t="s">
        <v>74</v>
      </c>
      <c r="L1762" t="s">
        <v>74</v>
      </c>
      <c r="M1762" t="s">
        <v>74</v>
      </c>
      <c r="N1762" t="s">
        <v>103</v>
      </c>
      <c r="O1762" t="s">
        <v>74</v>
      </c>
      <c r="P1762" t="s">
        <v>74</v>
      </c>
      <c r="Q1762" t="s">
        <v>74</v>
      </c>
      <c r="R1762" t="s">
        <v>74</v>
      </c>
      <c r="S1762" t="s">
        <v>74</v>
      </c>
      <c r="T1762" t="s">
        <v>29103</v>
      </c>
      <c r="U1762" t="s">
        <v>29104</v>
      </c>
      <c r="V1762" t="s">
        <v>29105</v>
      </c>
      <c r="W1762" t="s">
        <v>29106</v>
      </c>
      <c r="X1762" t="s">
        <v>29107</v>
      </c>
      <c r="Y1762" t="s">
        <v>29108</v>
      </c>
      <c r="Z1762" t="s">
        <v>21883</v>
      </c>
      <c r="AA1762" t="s">
        <v>74</v>
      </c>
      <c r="AB1762" t="s">
        <v>74</v>
      </c>
      <c r="AC1762" t="s">
        <v>74</v>
      </c>
      <c r="AD1762" t="s">
        <v>74</v>
      </c>
      <c r="AE1762" t="s">
        <v>74</v>
      </c>
      <c r="AF1762" t="s">
        <v>74</v>
      </c>
      <c r="AG1762">
        <v>87</v>
      </c>
      <c r="AH1762">
        <v>2</v>
      </c>
      <c r="AI1762">
        <v>2</v>
      </c>
      <c r="AJ1762">
        <v>65</v>
      </c>
      <c r="AK1762">
        <v>65</v>
      </c>
      <c r="AL1762" t="s">
        <v>74</v>
      </c>
      <c r="AM1762" t="s">
        <v>74</v>
      </c>
      <c r="AN1762" t="s">
        <v>74</v>
      </c>
      <c r="AO1762" t="s">
        <v>1132</v>
      </c>
      <c r="AP1762" t="s">
        <v>1133</v>
      </c>
      <c r="AQ1762" t="s">
        <v>74</v>
      </c>
      <c r="AR1762" t="s">
        <v>74</v>
      </c>
      <c r="AS1762" t="s">
        <v>74</v>
      </c>
      <c r="AT1762" t="s">
        <v>6391</v>
      </c>
      <c r="AU1762">
        <v>2022</v>
      </c>
      <c r="AV1762">
        <v>205</v>
      </c>
      <c r="AW1762" t="s">
        <v>74</v>
      </c>
      <c r="AX1762" t="s">
        <v>74</v>
      </c>
      <c r="AY1762" t="s">
        <v>74</v>
      </c>
      <c r="AZ1762" t="s">
        <v>74</v>
      </c>
      <c r="BA1762" t="s">
        <v>74</v>
      </c>
      <c r="BB1762" t="s">
        <v>74</v>
      </c>
      <c r="BC1762" t="s">
        <v>74</v>
      </c>
      <c r="BD1762">
        <v>114116</v>
      </c>
      <c r="BE1762" t="s">
        <v>29109</v>
      </c>
      <c r="BF1762" t="str">
        <f>HYPERLINK("http://dx.doi.org/10.1016/j.bios.2022.114116","http://dx.doi.org/10.1016/j.bios.2022.114116")</f>
        <v>http://dx.doi.org/10.1016/j.bios.2022.114116</v>
      </c>
      <c r="BG1762" t="s">
        <v>74</v>
      </c>
      <c r="BH1762" t="s">
        <v>74</v>
      </c>
      <c r="BI1762" t="s">
        <v>74</v>
      </c>
      <c r="BJ1762" t="s">
        <v>1137</v>
      </c>
      <c r="BK1762" t="s">
        <v>117</v>
      </c>
      <c r="BL1762" t="s">
        <v>1138</v>
      </c>
      <c r="BM1762" t="s">
        <v>74</v>
      </c>
      <c r="BN1762">
        <v>35235898</v>
      </c>
      <c r="BO1762" t="s">
        <v>74</v>
      </c>
      <c r="BP1762" t="s">
        <v>74</v>
      </c>
      <c r="BQ1762" t="s">
        <v>74</v>
      </c>
      <c r="BR1762" t="s">
        <v>96</v>
      </c>
      <c r="BS1762" t="s">
        <v>29110</v>
      </c>
      <c r="BT1762" t="str">
        <f>HYPERLINK("https%3A%2F%2Fwww.webofscience.com%2Fwos%2Fwoscc%2Ffull-record%2FWOS:000820291000007","View Full Record in Web of Science")</f>
        <v>View Full Record in Web of Science</v>
      </c>
    </row>
    <row r="1763" spans="1:72" x14ac:dyDescent="0.15">
      <c r="A1763" t="s">
        <v>98</v>
      </c>
      <c r="B1763" t="s">
        <v>29166</v>
      </c>
      <c r="C1763" t="s">
        <v>74</v>
      </c>
      <c r="D1763" t="s">
        <v>74</v>
      </c>
      <c r="E1763" t="s">
        <v>74</v>
      </c>
      <c r="F1763" t="s">
        <v>29167</v>
      </c>
      <c r="G1763" t="s">
        <v>74</v>
      </c>
      <c r="H1763" t="s">
        <v>74</v>
      </c>
      <c r="I1763" t="s">
        <v>29168</v>
      </c>
      <c r="J1763" t="s">
        <v>10022</v>
      </c>
      <c r="K1763" t="s">
        <v>74</v>
      </c>
      <c r="L1763" t="s">
        <v>74</v>
      </c>
      <c r="M1763" t="s">
        <v>74</v>
      </c>
      <c r="N1763" t="s">
        <v>103</v>
      </c>
      <c r="O1763" t="s">
        <v>74</v>
      </c>
      <c r="P1763" t="s">
        <v>74</v>
      </c>
      <c r="Q1763" t="s">
        <v>74</v>
      </c>
      <c r="R1763" t="s">
        <v>74</v>
      </c>
      <c r="S1763" t="s">
        <v>74</v>
      </c>
      <c r="T1763" t="s">
        <v>29169</v>
      </c>
      <c r="U1763" t="s">
        <v>29170</v>
      </c>
      <c r="V1763" t="s">
        <v>29171</v>
      </c>
      <c r="W1763" t="s">
        <v>29172</v>
      </c>
      <c r="X1763" t="s">
        <v>29173</v>
      </c>
      <c r="Y1763" t="s">
        <v>29174</v>
      </c>
      <c r="Z1763" t="s">
        <v>29175</v>
      </c>
      <c r="AA1763" t="s">
        <v>29176</v>
      </c>
      <c r="AB1763" t="s">
        <v>29177</v>
      </c>
      <c r="AC1763" t="s">
        <v>74</v>
      </c>
      <c r="AD1763" t="s">
        <v>74</v>
      </c>
      <c r="AE1763" t="s">
        <v>74</v>
      </c>
      <c r="AF1763" t="s">
        <v>74</v>
      </c>
      <c r="AG1763">
        <v>63</v>
      </c>
      <c r="AH1763">
        <v>2</v>
      </c>
      <c r="AI1763">
        <v>2</v>
      </c>
      <c r="AJ1763">
        <v>0</v>
      </c>
      <c r="AK1763">
        <v>4</v>
      </c>
      <c r="AL1763" t="s">
        <v>74</v>
      </c>
      <c r="AM1763" t="s">
        <v>74</v>
      </c>
      <c r="AN1763" t="s">
        <v>74</v>
      </c>
      <c r="AO1763" t="s">
        <v>10031</v>
      </c>
      <c r="AP1763" t="s">
        <v>10032</v>
      </c>
      <c r="AQ1763" t="s">
        <v>74</v>
      </c>
      <c r="AR1763" t="s">
        <v>74</v>
      </c>
      <c r="AS1763" t="s">
        <v>74</v>
      </c>
      <c r="AT1763" t="s">
        <v>170</v>
      </c>
      <c r="AU1763">
        <v>2018</v>
      </c>
      <c r="AV1763">
        <v>66</v>
      </c>
      <c r="AW1763" t="s">
        <v>74</v>
      </c>
      <c r="AX1763" t="s">
        <v>74</v>
      </c>
      <c r="AY1763" t="s">
        <v>74</v>
      </c>
      <c r="AZ1763" t="s">
        <v>74</v>
      </c>
      <c r="BA1763" t="s">
        <v>74</v>
      </c>
      <c r="BB1763">
        <v>57</v>
      </c>
      <c r="BC1763">
        <v>64</v>
      </c>
      <c r="BD1763" t="s">
        <v>74</v>
      </c>
      <c r="BE1763" t="s">
        <v>29178</v>
      </c>
      <c r="BF1763" t="str">
        <f>HYPERLINK("http://dx.doi.org/10.1016/j.placenta.2018.05.003","http://dx.doi.org/10.1016/j.placenta.2018.05.003")</f>
        <v>http://dx.doi.org/10.1016/j.placenta.2018.05.003</v>
      </c>
      <c r="BG1763" t="s">
        <v>74</v>
      </c>
      <c r="BH1763" t="s">
        <v>74</v>
      </c>
      <c r="BI1763" t="s">
        <v>74</v>
      </c>
      <c r="BJ1763" t="s">
        <v>10034</v>
      </c>
      <c r="BK1763" t="s">
        <v>117</v>
      </c>
      <c r="BL1763" t="s">
        <v>10034</v>
      </c>
      <c r="BM1763" t="s">
        <v>74</v>
      </c>
      <c r="BN1763">
        <v>29884303</v>
      </c>
      <c r="BO1763" t="s">
        <v>74</v>
      </c>
      <c r="BP1763" t="s">
        <v>74</v>
      </c>
      <c r="BQ1763" t="s">
        <v>74</v>
      </c>
      <c r="BR1763" t="s">
        <v>96</v>
      </c>
      <c r="BS1763" t="s">
        <v>29179</v>
      </c>
      <c r="BT1763" t="str">
        <f>HYPERLINK("https%3A%2F%2Fwww.webofscience.com%2Fwos%2Fwoscc%2Ffull-record%2FWOS:000436435000008","View Full Record in Web of Science")</f>
        <v>View Full Record in Web of Science</v>
      </c>
    </row>
    <row r="1764" spans="1:72" x14ac:dyDescent="0.15">
      <c r="A1764" t="s">
        <v>98</v>
      </c>
      <c r="B1764" t="s">
        <v>29538</v>
      </c>
      <c r="C1764" t="s">
        <v>74</v>
      </c>
      <c r="D1764" t="s">
        <v>74</v>
      </c>
      <c r="E1764" t="s">
        <v>74</v>
      </c>
      <c r="F1764" t="s">
        <v>29539</v>
      </c>
      <c r="G1764" t="s">
        <v>74</v>
      </c>
      <c r="H1764" t="s">
        <v>74</v>
      </c>
      <c r="I1764" t="s">
        <v>29540</v>
      </c>
      <c r="J1764" t="s">
        <v>325</v>
      </c>
      <c r="K1764" t="s">
        <v>74</v>
      </c>
      <c r="L1764" t="s">
        <v>74</v>
      </c>
      <c r="M1764" t="s">
        <v>74</v>
      </c>
      <c r="N1764" t="s">
        <v>103</v>
      </c>
      <c r="O1764" t="s">
        <v>74</v>
      </c>
      <c r="P1764" t="s">
        <v>74</v>
      </c>
      <c r="Q1764" t="s">
        <v>74</v>
      </c>
      <c r="R1764" t="s">
        <v>74</v>
      </c>
      <c r="S1764" t="s">
        <v>74</v>
      </c>
      <c r="T1764" t="s">
        <v>29541</v>
      </c>
      <c r="U1764" t="s">
        <v>29542</v>
      </c>
      <c r="V1764" t="s">
        <v>29543</v>
      </c>
      <c r="W1764" t="s">
        <v>29544</v>
      </c>
      <c r="X1764" t="s">
        <v>26570</v>
      </c>
      <c r="Y1764" t="s">
        <v>29545</v>
      </c>
      <c r="Z1764" t="s">
        <v>29546</v>
      </c>
      <c r="AA1764" t="s">
        <v>74</v>
      </c>
      <c r="AB1764" t="s">
        <v>74</v>
      </c>
      <c r="AC1764" t="s">
        <v>74</v>
      </c>
      <c r="AD1764" t="s">
        <v>74</v>
      </c>
      <c r="AE1764" t="s">
        <v>74</v>
      </c>
      <c r="AF1764" t="s">
        <v>74</v>
      </c>
      <c r="AG1764">
        <v>56</v>
      </c>
      <c r="AH1764">
        <v>2</v>
      </c>
      <c r="AI1764">
        <v>2</v>
      </c>
      <c r="AJ1764">
        <v>1</v>
      </c>
      <c r="AK1764">
        <v>6</v>
      </c>
      <c r="AL1764" t="s">
        <v>74</v>
      </c>
      <c r="AM1764" t="s">
        <v>74</v>
      </c>
      <c r="AN1764" t="s">
        <v>74</v>
      </c>
      <c r="AO1764" t="s">
        <v>333</v>
      </c>
      <c r="AP1764" t="s">
        <v>334</v>
      </c>
      <c r="AQ1764" t="s">
        <v>74</v>
      </c>
      <c r="AR1764" t="s">
        <v>74</v>
      </c>
      <c r="AS1764" t="s">
        <v>74</v>
      </c>
      <c r="AT1764" t="s">
        <v>6391</v>
      </c>
      <c r="AU1764">
        <v>2021</v>
      </c>
      <c r="AV1764">
        <v>40</v>
      </c>
      <c r="AW1764">
        <v>6</v>
      </c>
      <c r="AX1764" t="s">
        <v>74</v>
      </c>
      <c r="AY1764" t="s">
        <v>74</v>
      </c>
      <c r="AZ1764" t="s">
        <v>74</v>
      </c>
      <c r="BA1764" t="s">
        <v>74</v>
      </c>
      <c r="BB1764">
        <v>733</v>
      </c>
      <c r="BC1764">
        <v>739</v>
      </c>
      <c r="BD1764" t="s">
        <v>74</v>
      </c>
      <c r="BE1764" t="s">
        <v>29547</v>
      </c>
      <c r="BF1764" t="str">
        <f>HYPERLINK("http://dx.doi.org/10.1089/dna.2020.6186","http://dx.doi.org/10.1089/dna.2020.6186")</f>
        <v>http://dx.doi.org/10.1089/dna.2020.6186</v>
      </c>
      <c r="BG1764" t="s">
        <v>74</v>
      </c>
      <c r="BH1764" t="s">
        <v>1273</v>
      </c>
      <c r="BI1764" t="s">
        <v>74</v>
      </c>
      <c r="BJ1764" t="s">
        <v>338</v>
      </c>
      <c r="BK1764" t="s">
        <v>117</v>
      </c>
      <c r="BL1764" t="s">
        <v>338</v>
      </c>
      <c r="BM1764" t="s">
        <v>74</v>
      </c>
      <c r="BN1764">
        <v>33989049</v>
      </c>
      <c r="BO1764" t="s">
        <v>74</v>
      </c>
      <c r="BP1764" t="s">
        <v>74</v>
      </c>
      <c r="BQ1764" t="s">
        <v>74</v>
      </c>
      <c r="BR1764" t="s">
        <v>96</v>
      </c>
      <c r="BS1764" t="s">
        <v>29548</v>
      </c>
      <c r="BT1764" t="str">
        <f>HYPERLINK("https%3A%2F%2Fwww.webofscience.com%2Fwos%2Fwoscc%2Ffull-record%2FWOS:000650332200001","View Full Record in Web of Science")</f>
        <v>View Full Record in Web of Science</v>
      </c>
    </row>
    <row r="1765" spans="1:72" x14ac:dyDescent="0.15">
      <c r="A1765" t="s">
        <v>98</v>
      </c>
      <c r="B1765" t="s">
        <v>29606</v>
      </c>
      <c r="C1765" t="s">
        <v>74</v>
      </c>
      <c r="D1765" t="s">
        <v>74</v>
      </c>
      <c r="E1765" t="s">
        <v>74</v>
      </c>
      <c r="F1765" t="s">
        <v>29607</v>
      </c>
      <c r="G1765" t="s">
        <v>74</v>
      </c>
      <c r="H1765" t="s">
        <v>74</v>
      </c>
      <c r="I1765" t="s">
        <v>29608</v>
      </c>
      <c r="J1765" t="s">
        <v>29609</v>
      </c>
      <c r="K1765" t="s">
        <v>74</v>
      </c>
      <c r="L1765" t="s">
        <v>74</v>
      </c>
      <c r="M1765" t="s">
        <v>74</v>
      </c>
      <c r="N1765" t="s">
        <v>103</v>
      </c>
      <c r="O1765" t="s">
        <v>74</v>
      </c>
      <c r="P1765" t="s">
        <v>74</v>
      </c>
      <c r="Q1765" t="s">
        <v>74</v>
      </c>
      <c r="R1765" t="s">
        <v>74</v>
      </c>
      <c r="S1765" t="s">
        <v>74</v>
      </c>
      <c r="T1765" t="s">
        <v>29610</v>
      </c>
      <c r="U1765" t="s">
        <v>29611</v>
      </c>
      <c r="V1765" t="s">
        <v>29612</v>
      </c>
      <c r="W1765" t="s">
        <v>29613</v>
      </c>
      <c r="X1765" t="s">
        <v>29614</v>
      </c>
      <c r="Y1765" t="s">
        <v>29615</v>
      </c>
      <c r="Z1765" t="s">
        <v>29616</v>
      </c>
      <c r="AA1765" t="s">
        <v>29617</v>
      </c>
      <c r="AB1765" t="s">
        <v>29618</v>
      </c>
      <c r="AC1765" t="s">
        <v>74</v>
      </c>
      <c r="AD1765" t="s">
        <v>74</v>
      </c>
      <c r="AE1765" t="s">
        <v>74</v>
      </c>
      <c r="AF1765" t="s">
        <v>74</v>
      </c>
      <c r="AG1765">
        <v>35</v>
      </c>
      <c r="AH1765">
        <v>2</v>
      </c>
      <c r="AI1765">
        <v>3</v>
      </c>
      <c r="AJ1765">
        <v>1</v>
      </c>
      <c r="AK1765">
        <v>6</v>
      </c>
      <c r="AL1765" t="s">
        <v>74</v>
      </c>
      <c r="AM1765" t="s">
        <v>74</v>
      </c>
      <c r="AN1765" t="s">
        <v>74</v>
      </c>
      <c r="AO1765" t="s">
        <v>29619</v>
      </c>
      <c r="AP1765" t="s">
        <v>74</v>
      </c>
      <c r="AQ1765" t="s">
        <v>74</v>
      </c>
      <c r="AR1765" t="s">
        <v>74</v>
      </c>
      <c r="AS1765" t="s">
        <v>74</v>
      </c>
      <c r="AT1765" t="s">
        <v>29620</v>
      </c>
      <c r="AU1765">
        <v>2019</v>
      </c>
      <c r="AV1765">
        <v>20</v>
      </c>
      <c r="AW1765" t="s">
        <v>74</v>
      </c>
      <c r="AX1765" t="s">
        <v>74</v>
      </c>
      <c r="AY1765" t="s">
        <v>74</v>
      </c>
      <c r="AZ1765" t="s">
        <v>74</v>
      </c>
      <c r="BA1765" t="s">
        <v>74</v>
      </c>
      <c r="BB1765" t="s">
        <v>74</v>
      </c>
      <c r="BC1765" t="s">
        <v>74</v>
      </c>
      <c r="BD1765">
        <v>14</v>
      </c>
      <c r="BE1765" t="s">
        <v>29621</v>
      </c>
      <c r="BF1765" t="str">
        <f>HYPERLINK("http://dx.doi.org/10.1186/s12863-018-0704-x","http://dx.doi.org/10.1186/s12863-018-0704-x")</f>
        <v>http://dx.doi.org/10.1186/s12863-018-0704-x</v>
      </c>
      <c r="BG1765" t="s">
        <v>74</v>
      </c>
      <c r="BH1765" t="s">
        <v>74</v>
      </c>
      <c r="BI1765" t="s">
        <v>74</v>
      </c>
      <c r="BJ1765" t="s">
        <v>285</v>
      </c>
      <c r="BK1765" t="s">
        <v>117</v>
      </c>
      <c r="BL1765" t="s">
        <v>285</v>
      </c>
      <c r="BM1765" t="s">
        <v>74</v>
      </c>
      <c r="BN1765">
        <v>30696406</v>
      </c>
      <c r="BO1765" t="s">
        <v>74</v>
      </c>
      <c r="BP1765" t="s">
        <v>74</v>
      </c>
      <c r="BQ1765" t="s">
        <v>74</v>
      </c>
      <c r="BR1765" t="s">
        <v>96</v>
      </c>
      <c r="BS1765" t="s">
        <v>29622</v>
      </c>
      <c r="BT1765" t="str">
        <f>HYPERLINK("https%3A%2F%2Fwww.webofscience.com%2Fwos%2Fwoscc%2Ffull-record%2FWOS:000457103800002","View Full Record in Web of Science")</f>
        <v>View Full Record in Web of Science</v>
      </c>
    </row>
    <row r="1766" spans="1:72" x14ac:dyDescent="0.15">
      <c r="A1766" t="s">
        <v>72</v>
      </c>
      <c r="B1766" t="s">
        <v>30001</v>
      </c>
      <c r="C1766" t="s">
        <v>74</v>
      </c>
      <c r="D1766" t="s">
        <v>30002</v>
      </c>
      <c r="E1766" t="s">
        <v>74</v>
      </c>
      <c r="F1766" t="s">
        <v>30003</v>
      </c>
      <c r="G1766" t="s">
        <v>74</v>
      </c>
      <c r="H1766" t="s">
        <v>74</v>
      </c>
      <c r="I1766" t="s">
        <v>30004</v>
      </c>
      <c r="J1766" t="s">
        <v>30005</v>
      </c>
      <c r="K1766" t="s">
        <v>30006</v>
      </c>
      <c r="L1766" t="s">
        <v>74</v>
      </c>
      <c r="M1766" t="s">
        <v>74</v>
      </c>
      <c r="N1766" t="s">
        <v>80</v>
      </c>
      <c r="O1766" t="s">
        <v>74</v>
      </c>
      <c r="P1766" t="s">
        <v>74</v>
      </c>
      <c r="Q1766" t="s">
        <v>74</v>
      </c>
      <c r="R1766" t="s">
        <v>74</v>
      </c>
      <c r="S1766" t="s">
        <v>74</v>
      </c>
      <c r="T1766" t="s">
        <v>74</v>
      </c>
      <c r="U1766" t="s">
        <v>30007</v>
      </c>
      <c r="V1766" t="s">
        <v>74</v>
      </c>
      <c r="W1766" t="s">
        <v>30008</v>
      </c>
      <c r="X1766" t="s">
        <v>30009</v>
      </c>
      <c r="Y1766" t="s">
        <v>30010</v>
      </c>
      <c r="Z1766" t="s">
        <v>74</v>
      </c>
      <c r="AA1766" t="s">
        <v>74</v>
      </c>
      <c r="AB1766" t="s">
        <v>74</v>
      </c>
      <c r="AC1766" t="s">
        <v>74</v>
      </c>
      <c r="AD1766" t="s">
        <v>74</v>
      </c>
      <c r="AE1766" t="s">
        <v>74</v>
      </c>
      <c r="AF1766" t="s">
        <v>74</v>
      </c>
      <c r="AG1766">
        <v>168</v>
      </c>
      <c r="AH1766">
        <v>2</v>
      </c>
      <c r="AI1766">
        <v>2</v>
      </c>
      <c r="AJ1766">
        <v>0</v>
      </c>
      <c r="AK1766">
        <v>2</v>
      </c>
      <c r="AL1766" t="s">
        <v>74</v>
      </c>
      <c r="AM1766" t="s">
        <v>74</v>
      </c>
      <c r="AN1766" t="s">
        <v>74</v>
      </c>
      <c r="AO1766" t="s">
        <v>30011</v>
      </c>
      <c r="AP1766" t="s">
        <v>74</v>
      </c>
      <c r="AQ1766" t="s">
        <v>30012</v>
      </c>
      <c r="AR1766" t="s">
        <v>74</v>
      </c>
      <c r="AS1766" t="s">
        <v>74</v>
      </c>
      <c r="AT1766" t="s">
        <v>74</v>
      </c>
      <c r="AU1766">
        <v>2020</v>
      </c>
      <c r="AV1766" t="s">
        <v>74</v>
      </c>
      <c r="AW1766" t="s">
        <v>74</v>
      </c>
      <c r="AX1766" t="s">
        <v>74</v>
      </c>
      <c r="AY1766" t="s">
        <v>74</v>
      </c>
      <c r="AZ1766" t="s">
        <v>74</v>
      </c>
      <c r="BA1766" t="s">
        <v>74</v>
      </c>
      <c r="BB1766">
        <v>233</v>
      </c>
      <c r="BC1766">
        <v>259</v>
      </c>
      <c r="BD1766" t="s">
        <v>74</v>
      </c>
      <c r="BE1766" t="s">
        <v>30013</v>
      </c>
      <c r="BF1766" t="str">
        <f>HYPERLINK("http://dx.doi.org/10.1016/B978-0-08-102983-1.00009-0","http://dx.doi.org/10.1016/B978-0-08-102983-1.00009-0")</f>
        <v>http://dx.doi.org/10.1016/B978-0-08-102983-1.00009-0</v>
      </c>
      <c r="BG1766" t="s">
        <v>30014</v>
      </c>
      <c r="BH1766" t="s">
        <v>74</v>
      </c>
      <c r="BI1766" t="s">
        <v>74</v>
      </c>
      <c r="BJ1766" t="s">
        <v>30015</v>
      </c>
      <c r="BK1766" t="s">
        <v>94</v>
      </c>
      <c r="BL1766" t="s">
        <v>30016</v>
      </c>
      <c r="BM1766" t="s">
        <v>74</v>
      </c>
      <c r="BN1766" t="s">
        <v>74</v>
      </c>
      <c r="BO1766" t="s">
        <v>74</v>
      </c>
      <c r="BP1766" t="s">
        <v>74</v>
      </c>
      <c r="BQ1766" t="s">
        <v>74</v>
      </c>
      <c r="BR1766" t="s">
        <v>96</v>
      </c>
      <c r="BS1766" t="s">
        <v>30017</v>
      </c>
      <c r="BT1766" t="str">
        <f>HYPERLINK("https%3A%2F%2Fwww.webofscience.com%2Fwos%2Fwoscc%2Ffull-record%2FWOS:000558253100010","View Full Record in Web of Science")</f>
        <v>View Full Record in Web of Science</v>
      </c>
    </row>
    <row r="1767" spans="1:72" x14ac:dyDescent="0.15">
      <c r="A1767" t="s">
        <v>72</v>
      </c>
      <c r="B1767" t="s">
        <v>30245</v>
      </c>
      <c r="C1767" t="s">
        <v>74</v>
      </c>
      <c r="D1767" t="s">
        <v>30246</v>
      </c>
      <c r="E1767" t="s">
        <v>74</v>
      </c>
      <c r="F1767" t="s">
        <v>30247</v>
      </c>
      <c r="G1767" t="s">
        <v>74</v>
      </c>
      <c r="H1767" t="s">
        <v>74</v>
      </c>
      <c r="I1767" t="s">
        <v>30248</v>
      </c>
      <c r="J1767" t="s">
        <v>30249</v>
      </c>
      <c r="K1767" t="s">
        <v>2947</v>
      </c>
      <c r="L1767" t="s">
        <v>74</v>
      </c>
      <c r="M1767" t="s">
        <v>74</v>
      </c>
      <c r="N1767" t="s">
        <v>80</v>
      </c>
      <c r="O1767" t="s">
        <v>74</v>
      </c>
      <c r="P1767" t="s">
        <v>74</v>
      </c>
      <c r="Q1767" t="s">
        <v>74</v>
      </c>
      <c r="R1767" t="s">
        <v>74</v>
      </c>
      <c r="S1767" t="s">
        <v>74</v>
      </c>
      <c r="T1767" t="s">
        <v>30250</v>
      </c>
      <c r="U1767" t="s">
        <v>30251</v>
      </c>
      <c r="V1767" t="s">
        <v>30252</v>
      </c>
      <c r="W1767" t="s">
        <v>30253</v>
      </c>
      <c r="X1767" t="s">
        <v>30254</v>
      </c>
      <c r="Y1767" t="s">
        <v>30255</v>
      </c>
      <c r="Z1767" t="s">
        <v>30256</v>
      </c>
      <c r="AA1767" t="s">
        <v>30257</v>
      </c>
      <c r="AB1767" t="s">
        <v>74</v>
      </c>
      <c r="AC1767" t="s">
        <v>74</v>
      </c>
      <c r="AD1767" t="s">
        <v>74</v>
      </c>
      <c r="AE1767" t="s">
        <v>74</v>
      </c>
      <c r="AF1767" t="s">
        <v>74</v>
      </c>
      <c r="AG1767">
        <v>87</v>
      </c>
      <c r="AH1767">
        <v>2</v>
      </c>
      <c r="AI1767">
        <v>2</v>
      </c>
      <c r="AJ1767">
        <v>0</v>
      </c>
      <c r="AK1767">
        <v>7</v>
      </c>
      <c r="AL1767" t="s">
        <v>74</v>
      </c>
      <c r="AM1767" t="s">
        <v>74</v>
      </c>
      <c r="AN1767" t="s">
        <v>74</v>
      </c>
      <c r="AO1767" t="s">
        <v>2954</v>
      </c>
      <c r="AP1767" t="s">
        <v>2955</v>
      </c>
      <c r="AQ1767" t="s">
        <v>30258</v>
      </c>
      <c r="AR1767" t="s">
        <v>74</v>
      </c>
      <c r="AS1767" t="s">
        <v>74</v>
      </c>
      <c r="AT1767" t="s">
        <v>74</v>
      </c>
      <c r="AU1767">
        <v>2014</v>
      </c>
      <c r="AV1767">
        <v>844</v>
      </c>
      <c r="AW1767" t="s">
        <v>74</v>
      </c>
      <c r="AX1767" t="s">
        <v>74</v>
      </c>
      <c r="AY1767" t="s">
        <v>74</v>
      </c>
      <c r="AZ1767" t="s">
        <v>74</v>
      </c>
      <c r="BA1767" t="s">
        <v>74</v>
      </c>
      <c r="BB1767">
        <v>85</v>
      </c>
      <c r="BC1767">
        <v>98</v>
      </c>
      <c r="BD1767" t="s">
        <v>74</v>
      </c>
      <c r="BE1767" t="s">
        <v>30259</v>
      </c>
      <c r="BF1767" t="str">
        <f>HYPERLINK("http://dx.doi.org/10.1007/978-1-4939-2095-2_5","http://dx.doi.org/10.1007/978-1-4939-2095-2_5")</f>
        <v>http://dx.doi.org/10.1007/978-1-4939-2095-2_5</v>
      </c>
      <c r="BG1767" t="s">
        <v>30260</v>
      </c>
      <c r="BH1767" t="s">
        <v>74</v>
      </c>
      <c r="BI1767" t="s">
        <v>74</v>
      </c>
      <c r="BJ1767" t="s">
        <v>30261</v>
      </c>
      <c r="BK1767" t="s">
        <v>2960</v>
      </c>
      <c r="BL1767" t="s">
        <v>30262</v>
      </c>
      <c r="BM1767" t="s">
        <v>74</v>
      </c>
      <c r="BN1767">
        <v>25480638</v>
      </c>
      <c r="BO1767" t="s">
        <v>74</v>
      </c>
      <c r="BP1767" t="s">
        <v>74</v>
      </c>
      <c r="BQ1767" t="s">
        <v>74</v>
      </c>
      <c r="BR1767" t="s">
        <v>96</v>
      </c>
      <c r="BS1767" t="s">
        <v>30263</v>
      </c>
      <c r="BT1767" t="str">
        <f>HYPERLINK("https%3A%2F%2Fwww.webofscience.com%2Fwos%2Fwoscc%2Ffull-record%2FWOS:000350414400006","View Full Record in Web of Science")</f>
        <v>View Full Record in Web of Science</v>
      </c>
    </row>
    <row r="1768" spans="1:72" x14ac:dyDescent="0.15">
      <c r="A1768" t="s">
        <v>98</v>
      </c>
      <c r="B1768" t="s">
        <v>30482</v>
      </c>
      <c r="C1768" t="s">
        <v>74</v>
      </c>
      <c r="D1768" t="s">
        <v>74</v>
      </c>
      <c r="E1768" t="s">
        <v>74</v>
      </c>
      <c r="F1768" t="s">
        <v>30483</v>
      </c>
      <c r="G1768" t="s">
        <v>74</v>
      </c>
      <c r="H1768" t="s">
        <v>74</v>
      </c>
      <c r="I1768" t="s">
        <v>30484</v>
      </c>
      <c r="J1768" t="s">
        <v>9651</v>
      </c>
      <c r="K1768" t="s">
        <v>74</v>
      </c>
      <c r="L1768" t="s">
        <v>74</v>
      </c>
      <c r="M1768" t="s">
        <v>74</v>
      </c>
      <c r="N1768" t="s">
        <v>103</v>
      </c>
      <c r="O1768" t="s">
        <v>74</v>
      </c>
      <c r="P1768" t="s">
        <v>74</v>
      </c>
      <c r="Q1768" t="s">
        <v>74</v>
      </c>
      <c r="R1768" t="s">
        <v>74</v>
      </c>
      <c r="S1768" t="s">
        <v>74</v>
      </c>
      <c r="T1768" t="s">
        <v>74</v>
      </c>
      <c r="U1768" t="s">
        <v>30485</v>
      </c>
      <c r="V1768" t="s">
        <v>30486</v>
      </c>
      <c r="W1768" t="s">
        <v>30487</v>
      </c>
      <c r="X1768" t="s">
        <v>30488</v>
      </c>
      <c r="Y1768" t="s">
        <v>30489</v>
      </c>
      <c r="Z1768" t="s">
        <v>30490</v>
      </c>
      <c r="AA1768" t="s">
        <v>30491</v>
      </c>
      <c r="AB1768" t="s">
        <v>8162</v>
      </c>
      <c r="AC1768" t="s">
        <v>74</v>
      </c>
      <c r="AD1768" t="s">
        <v>74</v>
      </c>
      <c r="AE1768" t="s">
        <v>74</v>
      </c>
      <c r="AF1768" t="s">
        <v>74</v>
      </c>
      <c r="AG1768">
        <v>102</v>
      </c>
      <c r="AH1768">
        <v>2</v>
      </c>
      <c r="AI1768">
        <v>2</v>
      </c>
      <c r="AJ1768">
        <v>8</v>
      </c>
      <c r="AK1768">
        <v>11</v>
      </c>
      <c r="AL1768" t="s">
        <v>74</v>
      </c>
      <c r="AM1768" t="s">
        <v>74</v>
      </c>
      <c r="AN1768" t="s">
        <v>74</v>
      </c>
      <c r="AO1768" t="s">
        <v>9658</v>
      </c>
      <c r="AP1768" t="s">
        <v>9659</v>
      </c>
      <c r="AQ1768" t="s">
        <v>74</v>
      </c>
      <c r="AR1768" t="s">
        <v>74</v>
      </c>
      <c r="AS1768" t="s">
        <v>74</v>
      </c>
      <c r="AT1768" t="s">
        <v>30492</v>
      </c>
      <c r="AU1768">
        <v>2021</v>
      </c>
      <c r="AV1768">
        <v>57</v>
      </c>
      <c r="AW1768">
        <v>98</v>
      </c>
      <c r="AX1768" t="s">
        <v>74</v>
      </c>
      <c r="AY1768" t="s">
        <v>74</v>
      </c>
      <c r="AZ1768" t="s">
        <v>74</v>
      </c>
      <c r="BA1768" t="s">
        <v>74</v>
      </c>
      <c r="BB1768">
        <v>13234</v>
      </c>
      <c r="BC1768">
        <v>13245</v>
      </c>
      <c r="BD1768" t="s">
        <v>74</v>
      </c>
      <c r="BE1768" t="s">
        <v>30493</v>
      </c>
      <c r="BF1768" t="str">
        <f>HYPERLINK("http://dx.doi.org/10.1039/d1cc05096f","http://dx.doi.org/10.1039/d1cc05096f")</f>
        <v>http://dx.doi.org/10.1039/d1cc05096f</v>
      </c>
      <c r="BG1768" t="s">
        <v>74</v>
      </c>
      <c r="BH1768" t="s">
        <v>3026</v>
      </c>
      <c r="BI1768" t="s">
        <v>74</v>
      </c>
      <c r="BJ1768" t="s">
        <v>1047</v>
      </c>
      <c r="BK1768" t="s">
        <v>117</v>
      </c>
      <c r="BL1768" t="s">
        <v>1048</v>
      </c>
      <c r="BM1768" t="s">
        <v>74</v>
      </c>
      <c r="BN1768">
        <v>34825908</v>
      </c>
      <c r="BO1768" t="s">
        <v>74</v>
      </c>
      <c r="BP1768" t="s">
        <v>74</v>
      </c>
      <c r="BQ1768" t="s">
        <v>74</v>
      </c>
      <c r="BR1768" t="s">
        <v>96</v>
      </c>
      <c r="BS1768" t="s">
        <v>30494</v>
      </c>
      <c r="BT1768" t="str">
        <f>HYPERLINK("https%3A%2F%2Fwww.webofscience.com%2Fwos%2Fwoscc%2Ffull-record%2FWOS:000722707600001","View Full Record in Web of Science")</f>
        <v>View Full Record in Web of Science</v>
      </c>
    </row>
    <row r="1769" spans="1:72" x14ac:dyDescent="0.15">
      <c r="A1769" t="s">
        <v>98</v>
      </c>
      <c r="B1769" t="s">
        <v>120</v>
      </c>
      <c r="C1769" t="s">
        <v>74</v>
      </c>
      <c r="D1769" t="s">
        <v>74</v>
      </c>
      <c r="E1769" t="s">
        <v>74</v>
      </c>
      <c r="F1769" t="s">
        <v>121</v>
      </c>
      <c r="G1769" t="s">
        <v>74</v>
      </c>
      <c r="H1769" t="s">
        <v>74</v>
      </c>
      <c r="I1769" t="s">
        <v>122</v>
      </c>
      <c r="J1769" t="s">
        <v>123</v>
      </c>
      <c r="K1769" t="s">
        <v>74</v>
      </c>
      <c r="L1769" t="s">
        <v>74</v>
      </c>
      <c r="M1769" t="s">
        <v>74</v>
      </c>
      <c r="N1769" t="s">
        <v>103</v>
      </c>
      <c r="O1769" t="s">
        <v>74</v>
      </c>
      <c r="P1769" t="s">
        <v>74</v>
      </c>
      <c r="Q1769" t="s">
        <v>74</v>
      </c>
      <c r="R1769" t="s">
        <v>74</v>
      </c>
      <c r="S1769" t="s">
        <v>74</v>
      </c>
      <c r="T1769" t="s">
        <v>124</v>
      </c>
      <c r="U1769" t="s">
        <v>125</v>
      </c>
      <c r="V1769" t="s">
        <v>126</v>
      </c>
      <c r="W1769" t="s">
        <v>127</v>
      </c>
      <c r="X1769" t="s">
        <v>128</v>
      </c>
      <c r="Y1769" t="s">
        <v>129</v>
      </c>
      <c r="Z1769" t="s">
        <v>130</v>
      </c>
      <c r="AA1769" t="s">
        <v>74</v>
      </c>
      <c r="AB1769" t="s">
        <v>74</v>
      </c>
      <c r="AC1769" t="s">
        <v>74</v>
      </c>
      <c r="AD1769" t="s">
        <v>74</v>
      </c>
      <c r="AE1769" t="s">
        <v>74</v>
      </c>
      <c r="AF1769" t="s">
        <v>74</v>
      </c>
      <c r="AG1769">
        <v>52</v>
      </c>
      <c r="AH1769">
        <v>1</v>
      </c>
      <c r="AI1769">
        <v>1</v>
      </c>
      <c r="AJ1769">
        <v>27</v>
      </c>
      <c r="AK1769">
        <v>27</v>
      </c>
      <c r="AL1769" t="s">
        <v>74</v>
      </c>
      <c r="AM1769" t="s">
        <v>74</v>
      </c>
      <c r="AN1769" t="s">
        <v>74</v>
      </c>
      <c r="AO1769" t="s">
        <v>74</v>
      </c>
      <c r="AP1769" t="s">
        <v>131</v>
      </c>
      <c r="AQ1769" t="s">
        <v>74</v>
      </c>
      <c r="AR1769" t="s">
        <v>74</v>
      </c>
      <c r="AS1769" t="s">
        <v>74</v>
      </c>
      <c r="AT1769" t="s">
        <v>132</v>
      </c>
      <c r="AU1769">
        <v>2022</v>
      </c>
      <c r="AV1769">
        <v>11</v>
      </c>
      <c r="AW1769">
        <v>4</v>
      </c>
      <c r="AX1769" t="s">
        <v>74</v>
      </c>
      <c r="AY1769" t="s">
        <v>74</v>
      </c>
      <c r="AZ1769" t="s">
        <v>74</v>
      </c>
      <c r="BA1769" t="s">
        <v>74</v>
      </c>
      <c r="BB1769" t="s">
        <v>74</v>
      </c>
      <c r="BC1769" t="s">
        <v>74</v>
      </c>
      <c r="BD1769" t="s">
        <v>133</v>
      </c>
      <c r="BE1769" t="s">
        <v>134</v>
      </c>
      <c r="BF1769" t="str">
        <f>HYPERLINK("http://dx.doi.org/10.1002/jev2.12206","http://dx.doi.org/10.1002/jev2.12206")</f>
        <v>http://dx.doi.org/10.1002/jev2.12206</v>
      </c>
      <c r="BG1769" t="s">
        <v>74</v>
      </c>
      <c r="BH1769" t="s">
        <v>74</v>
      </c>
      <c r="BI1769" t="s">
        <v>74</v>
      </c>
      <c r="BJ1769" t="s">
        <v>135</v>
      </c>
      <c r="BK1769" t="s">
        <v>117</v>
      </c>
      <c r="BL1769" t="s">
        <v>135</v>
      </c>
      <c r="BM1769" t="s">
        <v>74</v>
      </c>
      <c r="BN1769">
        <v>35373518</v>
      </c>
      <c r="BO1769" t="s">
        <v>74</v>
      </c>
      <c r="BP1769" t="s">
        <v>74</v>
      </c>
      <c r="BQ1769" t="s">
        <v>74</v>
      </c>
      <c r="BR1769" t="s">
        <v>96</v>
      </c>
      <c r="BS1769" t="s">
        <v>136</v>
      </c>
      <c r="BT1769" t="str">
        <f>HYPERLINK("https%3A%2F%2Fwww.webofscience.com%2Fwos%2Fwoscc%2Ffull-record%2FWOS:000777720600001","View Full Record in Web of Science")</f>
        <v>View Full Record in Web of Science</v>
      </c>
    </row>
    <row r="1770" spans="1:72" x14ac:dyDescent="0.15">
      <c r="A1770" t="s">
        <v>98</v>
      </c>
      <c r="B1770" t="s">
        <v>415</v>
      </c>
      <c r="C1770" t="s">
        <v>74</v>
      </c>
      <c r="D1770" t="s">
        <v>74</v>
      </c>
      <c r="E1770" t="s">
        <v>74</v>
      </c>
      <c r="F1770" t="s">
        <v>416</v>
      </c>
      <c r="G1770" t="s">
        <v>74</v>
      </c>
      <c r="H1770" t="s">
        <v>74</v>
      </c>
      <c r="I1770" t="s">
        <v>417</v>
      </c>
      <c r="J1770" t="s">
        <v>418</v>
      </c>
      <c r="K1770" t="s">
        <v>74</v>
      </c>
      <c r="L1770" t="s">
        <v>74</v>
      </c>
      <c r="M1770" t="s">
        <v>74</v>
      </c>
      <c r="N1770" t="s">
        <v>103</v>
      </c>
      <c r="O1770" t="s">
        <v>74</v>
      </c>
      <c r="P1770" t="s">
        <v>74</v>
      </c>
      <c r="Q1770" t="s">
        <v>74</v>
      </c>
      <c r="R1770" t="s">
        <v>74</v>
      </c>
      <c r="S1770" t="s">
        <v>74</v>
      </c>
      <c r="T1770" t="s">
        <v>419</v>
      </c>
      <c r="U1770" t="s">
        <v>420</v>
      </c>
      <c r="V1770" t="s">
        <v>421</v>
      </c>
      <c r="W1770" t="s">
        <v>422</v>
      </c>
      <c r="X1770" t="s">
        <v>423</v>
      </c>
      <c r="Y1770" t="s">
        <v>424</v>
      </c>
      <c r="Z1770" t="s">
        <v>425</v>
      </c>
      <c r="AA1770" t="s">
        <v>426</v>
      </c>
      <c r="AB1770" t="s">
        <v>427</v>
      </c>
      <c r="AC1770" t="s">
        <v>74</v>
      </c>
      <c r="AD1770" t="s">
        <v>74</v>
      </c>
      <c r="AE1770" t="s">
        <v>74</v>
      </c>
      <c r="AF1770" t="s">
        <v>74</v>
      </c>
      <c r="AG1770">
        <v>16</v>
      </c>
      <c r="AH1770">
        <v>1</v>
      </c>
      <c r="AI1770">
        <v>1</v>
      </c>
      <c r="AJ1770">
        <v>2</v>
      </c>
      <c r="AK1770">
        <v>25</v>
      </c>
      <c r="AL1770" t="s">
        <v>74</v>
      </c>
      <c r="AM1770" t="s">
        <v>74</v>
      </c>
      <c r="AN1770" t="s">
        <v>74</v>
      </c>
      <c r="AO1770" t="s">
        <v>428</v>
      </c>
      <c r="AP1770" t="s">
        <v>74</v>
      </c>
      <c r="AQ1770" t="s">
        <v>74</v>
      </c>
      <c r="AR1770" t="s">
        <v>74</v>
      </c>
      <c r="AS1770" t="s">
        <v>74</v>
      </c>
      <c r="AT1770" t="s">
        <v>132</v>
      </c>
      <c r="AU1770">
        <v>2020</v>
      </c>
      <c r="AV1770" t="s">
        <v>74</v>
      </c>
      <c r="AW1770">
        <v>158</v>
      </c>
      <c r="AX1770" t="s">
        <v>74</v>
      </c>
      <c r="AY1770" t="s">
        <v>74</v>
      </c>
      <c r="AZ1770" t="s">
        <v>74</v>
      </c>
      <c r="BA1770" t="s">
        <v>74</v>
      </c>
      <c r="BB1770" t="s">
        <v>74</v>
      </c>
      <c r="BC1770" t="s">
        <v>74</v>
      </c>
      <c r="BD1770" t="s">
        <v>429</v>
      </c>
      <c r="BE1770" t="s">
        <v>430</v>
      </c>
      <c r="BF1770" t="str">
        <f>HYPERLINK("http://dx.doi.org/10.3791/61292","http://dx.doi.org/10.3791/61292")</f>
        <v>http://dx.doi.org/10.3791/61292</v>
      </c>
      <c r="BG1770" t="s">
        <v>74</v>
      </c>
      <c r="BH1770" t="s">
        <v>74</v>
      </c>
      <c r="BI1770" t="s">
        <v>74</v>
      </c>
      <c r="BJ1770" t="s">
        <v>152</v>
      </c>
      <c r="BK1770" t="s">
        <v>117</v>
      </c>
      <c r="BL1770" t="s">
        <v>153</v>
      </c>
      <c r="BM1770" t="s">
        <v>74</v>
      </c>
      <c r="BN1770">
        <v>32420990</v>
      </c>
      <c r="BO1770" t="s">
        <v>74</v>
      </c>
      <c r="BP1770" t="s">
        <v>74</v>
      </c>
      <c r="BQ1770" t="s">
        <v>74</v>
      </c>
      <c r="BR1770" t="s">
        <v>96</v>
      </c>
      <c r="BS1770" t="s">
        <v>431</v>
      </c>
      <c r="BT1770" t="str">
        <f>HYPERLINK("https%3A%2F%2Fwww.webofscience.com%2Fwos%2Fwoscc%2Ffull-record%2FWOS:000530896100060","View Full Record in Web of Science")</f>
        <v>View Full Record in Web of Science</v>
      </c>
    </row>
    <row r="1771" spans="1:72" x14ac:dyDescent="0.15">
      <c r="A1771" t="s">
        <v>98</v>
      </c>
      <c r="B1771" t="s">
        <v>1307</v>
      </c>
      <c r="C1771" t="s">
        <v>74</v>
      </c>
      <c r="D1771" t="s">
        <v>74</v>
      </c>
      <c r="E1771" t="s">
        <v>74</v>
      </c>
      <c r="F1771" t="s">
        <v>1308</v>
      </c>
      <c r="G1771" t="s">
        <v>74</v>
      </c>
      <c r="H1771" t="s">
        <v>74</v>
      </c>
      <c r="I1771" t="s">
        <v>1309</v>
      </c>
      <c r="J1771" t="s">
        <v>1310</v>
      </c>
      <c r="K1771" t="s">
        <v>74</v>
      </c>
      <c r="L1771" t="s">
        <v>74</v>
      </c>
      <c r="M1771" t="s">
        <v>74</v>
      </c>
      <c r="N1771" t="s">
        <v>103</v>
      </c>
      <c r="O1771" t="s">
        <v>74</v>
      </c>
      <c r="P1771" t="s">
        <v>74</v>
      </c>
      <c r="Q1771" t="s">
        <v>74</v>
      </c>
      <c r="R1771" t="s">
        <v>74</v>
      </c>
      <c r="S1771" t="s">
        <v>74</v>
      </c>
      <c r="T1771" t="s">
        <v>1311</v>
      </c>
      <c r="U1771" t="s">
        <v>1312</v>
      </c>
      <c r="V1771" t="s">
        <v>1313</v>
      </c>
      <c r="W1771" t="s">
        <v>1314</v>
      </c>
      <c r="X1771" t="s">
        <v>1315</v>
      </c>
      <c r="Y1771" t="s">
        <v>1316</v>
      </c>
      <c r="Z1771" t="s">
        <v>1317</v>
      </c>
      <c r="AA1771" t="s">
        <v>74</v>
      </c>
      <c r="AB1771" t="s">
        <v>1318</v>
      </c>
      <c r="AC1771" t="s">
        <v>74</v>
      </c>
      <c r="AD1771" t="s">
        <v>74</v>
      </c>
      <c r="AE1771" t="s">
        <v>74</v>
      </c>
      <c r="AF1771" t="s">
        <v>74</v>
      </c>
      <c r="AG1771">
        <v>34</v>
      </c>
      <c r="AH1771">
        <v>1</v>
      </c>
      <c r="AI1771">
        <v>1</v>
      </c>
      <c r="AJ1771">
        <v>0</v>
      </c>
      <c r="AK1771">
        <v>9</v>
      </c>
      <c r="AL1771" t="s">
        <v>74</v>
      </c>
      <c r="AM1771" t="s">
        <v>74</v>
      </c>
      <c r="AN1771" t="s">
        <v>74</v>
      </c>
      <c r="AO1771" t="s">
        <v>1319</v>
      </c>
      <c r="AP1771" t="s">
        <v>1320</v>
      </c>
      <c r="AQ1771" t="s">
        <v>74</v>
      </c>
      <c r="AR1771" t="s">
        <v>74</v>
      </c>
      <c r="AS1771" t="s">
        <v>74</v>
      </c>
      <c r="AT1771" t="s">
        <v>1321</v>
      </c>
      <c r="AU1771">
        <v>2020</v>
      </c>
      <c r="AV1771">
        <v>18</v>
      </c>
      <c r="AW1771">
        <v>5</v>
      </c>
      <c r="AX1771" t="s">
        <v>74</v>
      </c>
      <c r="AY1771" t="s">
        <v>74</v>
      </c>
      <c r="AZ1771" t="s">
        <v>74</v>
      </c>
      <c r="BA1771" t="s">
        <v>74</v>
      </c>
      <c r="BB1771">
        <v>462</v>
      </c>
      <c r="BC1771">
        <v>470</v>
      </c>
      <c r="BD1771" t="s">
        <v>74</v>
      </c>
      <c r="BE1771" t="s">
        <v>1322</v>
      </c>
      <c r="BF1771" t="str">
        <f>HYPERLINK("http://dx.doi.org/10.1089/bio.2020.0060","http://dx.doi.org/10.1089/bio.2020.0060")</f>
        <v>http://dx.doi.org/10.1089/bio.2020.0060</v>
      </c>
      <c r="BG1771" t="s">
        <v>74</v>
      </c>
      <c r="BH1771" t="s">
        <v>1323</v>
      </c>
      <c r="BI1771" t="s">
        <v>74</v>
      </c>
      <c r="BJ1771" t="s">
        <v>1324</v>
      </c>
      <c r="BK1771" t="s">
        <v>117</v>
      </c>
      <c r="BL1771" t="s">
        <v>1325</v>
      </c>
      <c r="BM1771" t="s">
        <v>74</v>
      </c>
      <c r="BN1771">
        <v>32856938</v>
      </c>
      <c r="BO1771" t="s">
        <v>74</v>
      </c>
      <c r="BP1771" t="s">
        <v>74</v>
      </c>
      <c r="BQ1771" t="s">
        <v>74</v>
      </c>
      <c r="BR1771" t="s">
        <v>96</v>
      </c>
      <c r="BS1771" t="s">
        <v>1326</v>
      </c>
      <c r="BT1771" t="str">
        <f>HYPERLINK("https%3A%2F%2Fwww.webofscience.com%2Fwos%2Fwoscc%2Ffull-record%2FWOS:000566067300001","View Full Record in Web of Science")</f>
        <v>View Full Record in Web of Science</v>
      </c>
    </row>
    <row r="1772" spans="1:72" x14ac:dyDescent="0.15">
      <c r="A1772" t="s">
        <v>98</v>
      </c>
      <c r="B1772" t="s">
        <v>1907</v>
      </c>
      <c r="C1772" t="s">
        <v>74</v>
      </c>
      <c r="D1772" t="s">
        <v>74</v>
      </c>
      <c r="E1772" t="s">
        <v>74</v>
      </c>
      <c r="F1772" t="s">
        <v>1908</v>
      </c>
      <c r="G1772" t="s">
        <v>74</v>
      </c>
      <c r="H1772" t="s">
        <v>74</v>
      </c>
      <c r="I1772" t="s">
        <v>1909</v>
      </c>
      <c r="J1772" t="s">
        <v>1910</v>
      </c>
      <c r="K1772" t="s">
        <v>74</v>
      </c>
      <c r="L1772" t="s">
        <v>74</v>
      </c>
      <c r="M1772" t="s">
        <v>74</v>
      </c>
      <c r="N1772" t="s">
        <v>103</v>
      </c>
      <c r="O1772" t="s">
        <v>74</v>
      </c>
      <c r="P1772" t="s">
        <v>74</v>
      </c>
      <c r="Q1772" t="s">
        <v>74</v>
      </c>
      <c r="R1772" t="s">
        <v>74</v>
      </c>
      <c r="S1772" t="s">
        <v>74</v>
      </c>
      <c r="T1772" t="s">
        <v>1911</v>
      </c>
      <c r="U1772" t="s">
        <v>1912</v>
      </c>
      <c r="V1772" t="s">
        <v>1913</v>
      </c>
      <c r="W1772" t="s">
        <v>1914</v>
      </c>
      <c r="X1772" t="s">
        <v>1915</v>
      </c>
      <c r="Y1772" t="s">
        <v>1916</v>
      </c>
      <c r="Z1772" t="s">
        <v>1917</v>
      </c>
      <c r="AA1772" t="s">
        <v>74</v>
      </c>
      <c r="AB1772" t="s">
        <v>1918</v>
      </c>
      <c r="AC1772" t="s">
        <v>74</v>
      </c>
      <c r="AD1772" t="s">
        <v>74</v>
      </c>
      <c r="AE1772" t="s">
        <v>74</v>
      </c>
      <c r="AF1772" t="s">
        <v>74</v>
      </c>
      <c r="AG1772">
        <v>25</v>
      </c>
      <c r="AH1772">
        <v>1</v>
      </c>
      <c r="AI1772">
        <v>1</v>
      </c>
      <c r="AJ1772">
        <v>2</v>
      </c>
      <c r="AK1772">
        <v>3</v>
      </c>
      <c r="AL1772" t="s">
        <v>74</v>
      </c>
      <c r="AM1772" t="s">
        <v>74</v>
      </c>
      <c r="AN1772" t="s">
        <v>74</v>
      </c>
      <c r="AO1772" t="s">
        <v>1919</v>
      </c>
      <c r="AP1772" t="s">
        <v>1920</v>
      </c>
      <c r="AQ1772" t="s">
        <v>74</v>
      </c>
      <c r="AR1772" t="s">
        <v>74</v>
      </c>
      <c r="AS1772" t="s">
        <v>74</v>
      </c>
      <c r="AT1772" t="s">
        <v>565</v>
      </c>
      <c r="AU1772">
        <v>2022</v>
      </c>
      <c r="AV1772">
        <v>39</v>
      </c>
      <c r="AW1772">
        <v>3</v>
      </c>
      <c r="AX1772" t="s">
        <v>74</v>
      </c>
      <c r="AY1772" t="s">
        <v>74</v>
      </c>
      <c r="AZ1772" t="s">
        <v>74</v>
      </c>
      <c r="BA1772" t="s">
        <v>74</v>
      </c>
      <c r="BB1772" t="s">
        <v>74</v>
      </c>
      <c r="BC1772" t="s">
        <v>74</v>
      </c>
      <c r="BD1772">
        <v>34</v>
      </c>
      <c r="BE1772" t="s">
        <v>1921</v>
      </c>
      <c r="BF1772" t="str">
        <f>HYPERLINK("http://dx.doi.org/10.1007/s12032-021-01614-7","http://dx.doi.org/10.1007/s12032-021-01614-7")</f>
        <v>http://dx.doi.org/10.1007/s12032-021-01614-7</v>
      </c>
      <c r="BG1772" t="s">
        <v>74</v>
      </c>
      <c r="BH1772" t="s">
        <v>74</v>
      </c>
      <c r="BI1772" t="s">
        <v>74</v>
      </c>
      <c r="BJ1772" t="s">
        <v>267</v>
      </c>
      <c r="BK1772" t="s">
        <v>117</v>
      </c>
      <c r="BL1772" t="s">
        <v>267</v>
      </c>
      <c r="BM1772" t="s">
        <v>74</v>
      </c>
      <c r="BN1772">
        <v>35059876</v>
      </c>
      <c r="BO1772" t="s">
        <v>74</v>
      </c>
      <c r="BP1772" t="s">
        <v>74</v>
      </c>
      <c r="BQ1772" t="s">
        <v>74</v>
      </c>
      <c r="BR1772" t="s">
        <v>96</v>
      </c>
      <c r="BS1772" t="s">
        <v>1922</v>
      </c>
      <c r="BT1772" t="str">
        <f>HYPERLINK("https%3A%2F%2Fwww.webofscience.com%2Fwos%2Fwoscc%2Ffull-record%2FWOS:000745033700007","View Full Record in Web of Science")</f>
        <v>View Full Record in Web of Science</v>
      </c>
    </row>
    <row r="1773" spans="1:72" x14ac:dyDescent="0.15">
      <c r="A1773" t="s">
        <v>98</v>
      </c>
      <c r="B1773" t="s">
        <v>1923</v>
      </c>
      <c r="C1773" t="s">
        <v>74</v>
      </c>
      <c r="D1773" t="s">
        <v>74</v>
      </c>
      <c r="E1773" t="s">
        <v>74</v>
      </c>
      <c r="F1773" t="s">
        <v>1924</v>
      </c>
      <c r="G1773" t="s">
        <v>74</v>
      </c>
      <c r="H1773" t="s">
        <v>74</v>
      </c>
      <c r="I1773" t="s">
        <v>1925</v>
      </c>
      <c r="J1773" t="s">
        <v>1926</v>
      </c>
      <c r="K1773" t="s">
        <v>74</v>
      </c>
      <c r="L1773" t="s">
        <v>74</v>
      </c>
      <c r="M1773" t="s">
        <v>74</v>
      </c>
      <c r="N1773" t="s">
        <v>103</v>
      </c>
      <c r="O1773" t="s">
        <v>74</v>
      </c>
      <c r="P1773" t="s">
        <v>74</v>
      </c>
      <c r="Q1773" t="s">
        <v>74</v>
      </c>
      <c r="R1773" t="s">
        <v>74</v>
      </c>
      <c r="S1773" t="s">
        <v>74</v>
      </c>
      <c r="T1773" t="s">
        <v>1927</v>
      </c>
      <c r="U1773" t="s">
        <v>74</v>
      </c>
      <c r="V1773" t="s">
        <v>1928</v>
      </c>
      <c r="W1773" t="s">
        <v>1929</v>
      </c>
      <c r="X1773" t="s">
        <v>1930</v>
      </c>
      <c r="Y1773" t="s">
        <v>1931</v>
      </c>
      <c r="Z1773" t="s">
        <v>1932</v>
      </c>
      <c r="AA1773" t="s">
        <v>1933</v>
      </c>
      <c r="AB1773" t="s">
        <v>1934</v>
      </c>
      <c r="AC1773" t="s">
        <v>74</v>
      </c>
      <c r="AD1773" t="s">
        <v>74</v>
      </c>
      <c r="AE1773" t="s">
        <v>74</v>
      </c>
      <c r="AF1773" t="s">
        <v>74</v>
      </c>
      <c r="AG1773">
        <v>32</v>
      </c>
      <c r="AH1773">
        <v>1</v>
      </c>
      <c r="AI1773">
        <v>1</v>
      </c>
      <c r="AJ1773">
        <v>9</v>
      </c>
      <c r="AK1773">
        <v>9</v>
      </c>
      <c r="AL1773" t="s">
        <v>74</v>
      </c>
      <c r="AM1773" t="s">
        <v>74</v>
      </c>
      <c r="AN1773" t="s">
        <v>74</v>
      </c>
      <c r="AO1773" t="s">
        <v>1935</v>
      </c>
      <c r="AP1773" t="s">
        <v>1936</v>
      </c>
      <c r="AQ1773" t="s">
        <v>74</v>
      </c>
      <c r="AR1773" t="s">
        <v>74</v>
      </c>
      <c r="AS1773" t="s">
        <v>74</v>
      </c>
      <c r="AT1773" t="s">
        <v>1937</v>
      </c>
      <c r="AU1773">
        <v>2022</v>
      </c>
      <c r="AV1773">
        <v>1670</v>
      </c>
      <c r="AW1773" t="s">
        <v>74</v>
      </c>
      <c r="AX1773" t="s">
        <v>74</v>
      </c>
      <c r="AY1773" t="s">
        <v>74</v>
      </c>
      <c r="AZ1773" t="s">
        <v>74</v>
      </c>
      <c r="BA1773" t="s">
        <v>74</v>
      </c>
      <c r="BB1773" t="s">
        <v>74</v>
      </c>
      <c r="BC1773" t="s">
        <v>74</v>
      </c>
      <c r="BD1773">
        <v>462987</v>
      </c>
      <c r="BE1773" t="s">
        <v>1938</v>
      </c>
      <c r="BF1773" t="str">
        <f>HYPERLINK("http://dx.doi.org/10.1016/j.chroma.2022.462987","http://dx.doi.org/10.1016/j.chroma.2022.462987")</f>
        <v>http://dx.doi.org/10.1016/j.chroma.2022.462987</v>
      </c>
      <c r="BG1773" t="s">
        <v>74</v>
      </c>
      <c r="BH1773" t="s">
        <v>74</v>
      </c>
      <c r="BI1773" t="s">
        <v>74</v>
      </c>
      <c r="BJ1773" t="s">
        <v>1939</v>
      </c>
      <c r="BK1773" t="s">
        <v>117</v>
      </c>
      <c r="BL1773" t="s">
        <v>831</v>
      </c>
      <c r="BM1773" t="s">
        <v>74</v>
      </c>
      <c r="BN1773">
        <v>35367893</v>
      </c>
      <c r="BO1773" t="s">
        <v>74</v>
      </c>
      <c r="BP1773" t="s">
        <v>74</v>
      </c>
      <c r="BQ1773" t="s">
        <v>74</v>
      </c>
      <c r="BR1773" t="s">
        <v>96</v>
      </c>
      <c r="BS1773" t="s">
        <v>1940</v>
      </c>
      <c r="BT1773" t="str">
        <f>HYPERLINK("https%3A%2F%2Fwww.webofscience.com%2Fwos%2Fwoscc%2Ffull-record%2FWOS:000790444300001","View Full Record in Web of Science")</f>
        <v>View Full Record in Web of Science</v>
      </c>
    </row>
    <row r="1774" spans="1:72" x14ac:dyDescent="0.15">
      <c r="A1774" t="s">
        <v>98</v>
      </c>
      <c r="B1774" t="s">
        <v>2549</v>
      </c>
      <c r="C1774" t="s">
        <v>74</v>
      </c>
      <c r="D1774" t="s">
        <v>74</v>
      </c>
      <c r="E1774" t="s">
        <v>74</v>
      </c>
      <c r="F1774" t="s">
        <v>2550</v>
      </c>
      <c r="G1774" t="s">
        <v>74</v>
      </c>
      <c r="H1774" t="s">
        <v>74</v>
      </c>
      <c r="I1774" t="s">
        <v>2551</v>
      </c>
      <c r="J1774" t="s">
        <v>2552</v>
      </c>
      <c r="K1774" t="s">
        <v>74</v>
      </c>
      <c r="L1774" t="s">
        <v>74</v>
      </c>
      <c r="M1774" t="s">
        <v>74</v>
      </c>
      <c r="N1774" t="s">
        <v>103</v>
      </c>
      <c r="O1774" t="s">
        <v>74</v>
      </c>
      <c r="P1774" t="s">
        <v>74</v>
      </c>
      <c r="Q1774" t="s">
        <v>74</v>
      </c>
      <c r="R1774" t="s">
        <v>74</v>
      </c>
      <c r="S1774" t="s">
        <v>74</v>
      </c>
      <c r="T1774" t="s">
        <v>2553</v>
      </c>
      <c r="U1774" t="s">
        <v>2554</v>
      </c>
      <c r="V1774" t="s">
        <v>2555</v>
      </c>
      <c r="W1774" t="s">
        <v>2556</v>
      </c>
      <c r="X1774" t="s">
        <v>2557</v>
      </c>
      <c r="Y1774" t="s">
        <v>2558</v>
      </c>
      <c r="Z1774" t="s">
        <v>2559</v>
      </c>
      <c r="AA1774" t="s">
        <v>2560</v>
      </c>
      <c r="AB1774" t="s">
        <v>2561</v>
      </c>
      <c r="AC1774" t="s">
        <v>74</v>
      </c>
      <c r="AD1774" t="s">
        <v>74</v>
      </c>
      <c r="AE1774" t="s">
        <v>74</v>
      </c>
      <c r="AF1774" t="s">
        <v>74</v>
      </c>
      <c r="AG1774">
        <v>54</v>
      </c>
      <c r="AH1774">
        <v>1</v>
      </c>
      <c r="AI1774">
        <v>1</v>
      </c>
      <c r="AJ1774">
        <v>2</v>
      </c>
      <c r="AK1774">
        <v>2</v>
      </c>
      <c r="AL1774" t="s">
        <v>74</v>
      </c>
      <c r="AM1774" t="s">
        <v>74</v>
      </c>
      <c r="AN1774" t="s">
        <v>74</v>
      </c>
      <c r="AO1774" t="s">
        <v>74</v>
      </c>
      <c r="AP1774" t="s">
        <v>2562</v>
      </c>
      <c r="AQ1774" t="s">
        <v>74</v>
      </c>
      <c r="AR1774" t="s">
        <v>74</v>
      </c>
      <c r="AS1774" t="s">
        <v>74</v>
      </c>
      <c r="AT1774" t="s">
        <v>132</v>
      </c>
      <c r="AU1774">
        <v>2022</v>
      </c>
      <c r="AV1774">
        <v>12</v>
      </c>
      <c r="AW1774">
        <v>4</v>
      </c>
      <c r="AX1774" t="s">
        <v>74</v>
      </c>
      <c r="AY1774" t="s">
        <v>74</v>
      </c>
      <c r="AZ1774" t="s">
        <v>74</v>
      </c>
      <c r="BA1774" t="s">
        <v>74</v>
      </c>
      <c r="BB1774" t="s">
        <v>74</v>
      </c>
      <c r="BC1774" t="s">
        <v>74</v>
      </c>
      <c r="BD1774">
        <v>854</v>
      </c>
      <c r="BE1774" t="s">
        <v>2563</v>
      </c>
      <c r="BF1774" t="str">
        <f>HYPERLINK("http://dx.doi.org/10.3390/diagnostics12040854","http://dx.doi.org/10.3390/diagnostics12040854")</f>
        <v>http://dx.doi.org/10.3390/diagnostics12040854</v>
      </c>
      <c r="BG1774" t="s">
        <v>74</v>
      </c>
      <c r="BH1774" t="s">
        <v>74</v>
      </c>
      <c r="BI1774" t="s">
        <v>74</v>
      </c>
      <c r="BJ1774" t="s">
        <v>2564</v>
      </c>
      <c r="BK1774" t="s">
        <v>117</v>
      </c>
      <c r="BL1774" t="s">
        <v>2565</v>
      </c>
      <c r="BM1774" t="s">
        <v>74</v>
      </c>
      <c r="BN1774">
        <v>35453902</v>
      </c>
      <c r="BO1774" t="s">
        <v>74</v>
      </c>
      <c r="BP1774" t="s">
        <v>74</v>
      </c>
      <c r="BQ1774" t="s">
        <v>74</v>
      </c>
      <c r="BR1774" t="s">
        <v>96</v>
      </c>
      <c r="BS1774" t="s">
        <v>2566</v>
      </c>
      <c r="BT1774" t="str">
        <f>HYPERLINK("https%3A%2F%2Fwww.webofscience.com%2Fwos%2Fwoscc%2Ffull-record%2FWOS:000785521400001","View Full Record in Web of Science")</f>
        <v>View Full Record in Web of Science</v>
      </c>
    </row>
    <row r="1775" spans="1:72" x14ac:dyDescent="0.15">
      <c r="A1775" t="s">
        <v>98</v>
      </c>
      <c r="B1775" t="s">
        <v>2581</v>
      </c>
      <c r="C1775" t="s">
        <v>74</v>
      </c>
      <c r="D1775" t="s">
        <v>74</v>
      </c>
      <c r="E1775" t="s">
        <v>74</v>
      </c>
      <c r="F1775" t="s">
        <v>2582</v>
      </c>
      <c r="G1775" t="s">
        <v>74</v>
      </c>
      <c r="H1775" t="s">
        <v>74</v>
      </c>
      <c r="I1775" t="s">
        <v>2583</v>
      </c>
      <c r="J1775" t="s">
        <v>817</v>
      </c>
      <c r="K1775" t="s">
        <v>74</v>
      </c>
      <c r="L1775" t="s">
        <v>74</v>
      </c>
      <c r="M1775" t="s">
        <v>74</v>
      </c>
      <c r="N1775" t="s">
        <v>103</v>
      </c>
      <c r="O1775" t="s">
        <v>74</v>
      </c>
      <c r="P1775" t="s">
        <v>74</v>
      </c>
      <c r="Q1775" t="s">
        <v>74</v>
      </c>
      <c r="R1775" t="s">
        <v>74</v>
      </c>
      <c r="S1775" t="s">
        <v>74</v>
      </c>
      <c r="T1775" t="s">
        <v>2584</v>
      </c>
      <c r="U1775" t="s">
        <v>2585</v>
      </c>
      <c r="V1775" t="s">
        <v>2586</v>
      </c>
      <c r="W1775" t="s">
        <v>2587</v>
      </c>
      <c r="X1775" t="s">
        <v>2588</v>
      </c>
      <c r="Y1775" t="s">
        <v>2589</v>
      </c>
      <c r="Z1775" t="s">
        <v>2590</v>
      </c>
      <c r="AA1775" t="s">
        <v>2591</v>
      </c>
      <c r="AB1775" t="s">
        <v>2592</v>
      </c>
      <c r="AC1775" t="s">
        <v>74</v>
      </c>
      <c r="AD1775" t="s">
        <v>74</v>
      </c>
      <c r="AE1775" t="s">
        <v>74</v>
      </c>
      <c r="AF1775" t="s">
        <v>74</v>
      </c>
      <c r="AG1775">
        <v>62</v>
      </c>
      <c r="AH1775">
        <v>1</v>
      </c>
      <c r="AI1775">
        <v>1</v>
      </c>
      <c r="AJ1775">
        <v>2</v>
      </c>
      <c r="AK1775">
        <v>2</v>
      </c>
      <c r="AL1775" t="s">
        <v>74</v>
      </c>
      <c r="AM1775" t="s">
        <v>74</v>
      </c>
      <c r="AN1775" t="s">
        <v>74</v>
      </c>
      <c r="AO1775" t="s">
        <v>74</v>
      </c>
      <c r="AP1775" t="s">
        <v>827</v>
      </c>
      <c r="AQ1775" t="s">
        <v>74</v>
      </c>
      <c r="AR1775" t="s">
        <v>74</v>
      </c>
      <c r="AS1775" t="s">
        <v>74</v>
      </c>
      <c r="AT1775" t="s">
        <v>189</v>
      </c>
      <c r="AU1775">
        <v>2021</v>
      </c>
      <c r="AV1775">
        <v>22</v>
      </c>
      <c r="AW1775">
        <v>20</v>
      </c>
      <c r="AX1775" t="s">
        <v>74</v>
      </c>
      <c r="AY1775" t="s">
        <v>74</v>
      </c>
      <c r="AZ1775" t="s">
        <v>74</v>
      </c>
      <c r="BA1775" t="s">
        <v>74</v>
      </c>
      <c r="BB1775" t="s">
        <v>74</v>
      </c>
      <c r="BC1775" t="s">
        <v>74</v>
      </c>
      <c r="BD1775">
        <v>11004</v>
      </c>
      <c r="BE1775" t="s">
        <v>2593</v>
      </c>
      <c r="BF1775" t="str">
        <f>HYPERLINK("http://dx.doi.org/10.3390/ijms222011004","http://dx.doi.org/10.3390/ijms222011004")</f>
        <v>http://dx.doi.org/10.3390/ijms222011004</v>
      </c>
      <c r="BG1775" t="s">
        <v>74</v>
      </c>
      <c r="BH1775" t="s">
        <v>74</v>
      </c>
      <c r="BI1775" t="s">
        <v>74</v>
      </c>
      <c r="BJ1775" t="s">
        <v>830</v>
      </c>
      <c r="BK1775" t="s">
        <v>117</v>
      </c>
      <c r="BL1775" t="s">
        <v>831</v>
      </c>
      <c r="BM1775" t="s">
        <v>74</v>
      </c>
      <c r="BN1775">
        <v>34681663</v>
      </c>
      <c r="BO1775" t="s">
        <v>74</v>
      </c>
      <c r="BP1775" t="s">
        <v>74</v>
      </c>
      <c r="BQ1775" t="s">
        <v>74</v>
      </c>
      <c r="BR1775" t="s">
        <v>96</v>
      </c>
      <c r="BS1775" t="s">
        <v>2594</v>
      </c>
      <c r="BT1775" t="str">
        <f>HYPERLINK("https%3A%2F%2Fwww.webofscience.com%2Fwos%2Fwoscc%2Ffull-record%2FWOS:000746850700001","View Full Record in Web of Science")</f>
        <v>View Full Record in Web of Science</v>
      </c>
    </row>
    <row r="1776" spans="1:72" x14ac:dyDescent="0.15">
      <c r="A1776" t="s">
        <v>98</v>
      </c>
      <c r="B1776" t="s">
        <v>2815</v>
      </c>
      <c r="C1776" t="s">
        <v>74</v>
      </c>
      <c r="D1776" t="s">
        <v>74</v>
      </c>
      <c r="E1776" t="s">
        <v>74</v>
      </c>
      <c r="F1776" t="s">
        <v>2816</v>
      </c>
      <c r="G1776" t="s">
        <v>74</v>
      </c>
      <c r="H1776" t="s">
        <v>74</v>
      </c>
      <c r="I1776" t="s">
        <v>2817</v>
      </c>
      <c r="J1776" t="s">
        <v>2818</v>
      </c>
      <c r="K1776" t="s">
        <v>74</v>
      </c>
      <c r="L1776" t="s">
        <v>74</v>
      </c>
      <c r="M1776" t="s">
        <v>74</v>
      </c>
      <c r="N1776" t="s">
        <v>103</v>
      </c>
      <c r="O1776" t="s">
        <v>74</v>
      </c>
      <c r="P1776" t="s">
        <v>74</v>
      </c>
      <c r="Q1776" t="s">
        <v>74</v>
      </c>
      <c r="R1776" t="s">
        <v>74</v>
      </c>
      <c r="S1776" t="s">
        <v>74</v>
      </c>
      <c r="T1776" t="s">
        <v>2819</v>
      </c>
      <c r="U1776" t="s">
        <v>74</v>
      </c>
      <c r="V1776" t="s">
        <v>2820</v>
      </c>
      <c r="W1776" t="s">
        <v>2821</v>
      </c>
      <c r="X1776" t="s">
        <v>2822</v>
      </c>
      <c r="Y1776" t="s">
        <v>2823</v>
      </c>
      <c r="Z1776" t="s">
        <v>2824</v>
      </c>
      <c r="AA1776" t="s">
        <v>2825</v>
      </c>
      <c r="AB1776" t="s">
        <v>2826</v>
      </c>
      <c r="AC1776" t="s">
        <v>74</v>
      </c>
      <c r="AD1776" t="s">
        <v>74</v>
      </c>
      <c r="AE1776" t="s">
        <v>74</v>
      </c>
      <c r="AF1776" t="s">
        <v>74</v>
      </c>
      <c r="AG1776">
        <v>21</v>
      </c>
      <c r="AH1776">
        <v>1</v>
      </c>
      <c r="AI1776">
        <v>1</v>
      </c>
      <c r="AJ1776">
        <v>3</v>
      </c>
      <c r="AK1776">
        <v>7</v>
      </c>
      <c r="AL1776" t="s">
        <v>74</v>
      </c>
      <c r="AM1776" t="s">
        <v>74</v>
      </c>
      <c r="AN1776" t="s">
        <v>74</v>
      </c>
      <c r="AO1776" t="s">
        <v>74</v>
      </c>
      <c r="AP1776" t="s">
        <v>2827</v>
      </c>
      <c r="AQ1776" t="s">
        <v>74</v>
      </c>
      <c r="AR1776" t="s">
        <v>74</v>
      </c>
      <c r="AS1776" t="s">
        <v>74</v>
      </c>
      <c r="AT1776" t="s">
        <v>283</v>
      </c>
      <c r="AU1776">
        <v>2021</v>
      </c>
      <c r="AV1776">
        <v>14</v>
      </c>
      <c r="AW1776">
        <v>2</v>
      </c>
      <c r="AX1776" t="s">
        <v>74</v>
      </c>
      <c r="AY1776" t="s">
        <v>74</v>
      </c>
      <c r="AZ1776" t="s">
        <v>74</v>
      </c>
      <c r="BA1776" t="s">
        <v>74</v>
      </c>
      <c r="BB1776" t="s">
        <v>74</v>
      </c>
      <c r="BC1776" t="s">
        <v>74</v>
      </c>
      <c r="BD1776">
        <v>128</v>
      </c>
      <c r="BE1776" t="s">
        <v>2828</v>
      </c>
      <c r="BF1776" t="str">
        <f>HYPERLINK("http://dx.doi.org/10.3390/ph14020128","http://dx.doi.org/10.3390/ph14020128")</f>
        <v>http://dx.doi.org/10.3390/ph14020128</v>
      </c>
      <c r="BG1776" t="s">
        <v>74</v>
      </c>
      <c r="BH1776" t="s">
        <v>74</v>
      </c>
      <c r="BI1776" t="s">
        <v>74</v>
      </c>
      <c r="BJ1776" t="s">
        <v>2719</v>
      </c>
      <c r="BK1776" t="s">
        <v>117</v>
      </c>
      <c r="BL1776" t="s">
        <v>533</v>
      </c>
      <c r="BM1776" t="s">
        <v>74</v>
      </c>
      <c r="BN1776">
        <v>33562158</v>
      </c>
      <c r="BO1776" t="s">
        <v>74</v>
      </c>
      <c r="BP1776" t="s">
        <v>74</v>
      </c>
      <c r="BQ1776" t="s">
        <v>74</v>
      </c>
      <c r="BR1776" t="s">
        <v>96</v>
      </c>
      <c r="BS1776" t="s">
        <v>2829</v>
      </c>
      <c r="BT1776" t="str">
        <f>HYPERLINK("https%3A%2F%2Fwww.webofscience.com%2Fwos%2Fwoscc%2Ffull-record%2FWOS:000622957400001","View Full Record in Web of Science")</f>
        <v>View Full Record in Web of Science</v>
      </c>
    </row>
    <row r="1777" spans="1:72" x14ac:dyDescent="0.15">
      <c r="A1777" t="s">
        <v>98</v>
      </c>
      <c r="B1777" t="s">
        <v>3073</v>
      </c>
      <c r="C1777" t="s">
        <v>74</v>
      </c>
      <c r="D1777" t="s">
        <v>74</v>
      </c>
      <c r="E1777" t="s">
        <v>74</v>
      </c>
      <c r="F1777" t="s">
        <v>3074</v>
      </c>
      <c r="G1777" t="s">
        <v>74</v>
      </c>
      <c r="H1777" t="s">
        <v>74</v>
      </c>
      <c r="I1777" t="s">
        <v>3075</v>
      </c>
      <c r="J1777" t="s">
        <v>418</v>
      </c>
      <c r="K1777" t="s">
        <v>74</v>
      </c>
      <c r="L1777" t="s">
        <v>74</v>
      </c>
      <c r="M1777" t="s">
        <v>74</v>
      </c>
      <c r="N1777" t="s">
        <v>103</v>
      </c>
      <c r="O1777" t="s">
        <v>74</v>
      </c>
      <c r="P1777" t="s">
        <v>74</v>
      </c>
      <c r="Q1777" t="s">
        <v>74</v>
      </c>
      <c r="R1777" t="s">
        <v>74</v>
      </c>
      <c r="S1777" t="s">
        <v>74</v>
      </c>
      <c r="T1777" t="s">
        <v>3076</v>
      </c>
      <c r="U1777" t="s">
        <v>3077</v>
      </c>
      <c r="V1777" t="s">
        <v>3078</v>
      </c>
      <c r="W1777" t="s">
        <v>3079</v>
      </c>
      <c r="X1777" t="s">
        <v>3080</v>
      </c>
      <c r="Y1777" t="s">
        <v>3081</v>
      </c>
      <c r="Z1777" t="s">
        <v>3082</v>
      </c>
      <c r="AA1777" t="s">
        <v>3083</v>
      </c>
      <c r="AB1777" t="s">
        <v>3084</v>
      </c>
      <c r="AC1777" t="s">
        <v>74</v>
      </c>
      <c r="AD1777" t="s">
        <v>74</v>
      </c>
      <c r="AE1777" t="s">
        <v>74</v>
      </c>
      <c r="AF1777" t="s">
        <v>74</v>
      </c>
      <c r="AG1777">
        <v>26</v>
      </c>
      <c r="AH1777">
        <v>1</v>
      </c>
      <c r="AI1777">
        <v>1</v>
      </c>
      <c r="AJ1777">
        <v>0</v>
      </c>
      <c r="AK1777">
        <v>1</v>
      </c>
      <c r="AL1777" t="s">
        <v>74</v>
      </c>
      <c r="AM1777" t="s">
        <v>74</v>
      </c>
      <c r="AN1777" t="s">
        <v>74</v>
      </c>
      <c r="AO1777" t="s">
        <v>428</v>
      </c>
      <c r="AP1777" t="s">
        <v>74</v>
      </c>
      <c r="AQ1777" t="s">
        <v>74</v>
      </c>
      <c r="AR1777" t="s">
        <v>74</v>
      </c>
      <c r="AS1777" t="s">
        <v>74</v>
      </c>
      <c r="AT1777" t="s">
        <v>283</v>
      </c>
      <c r="AU1777">
        <v>2020</v>
      </c>
      <c r="AV1777" t="s">
        <v>74</v>
      </c>
      <c r="AW1777">
        <v>156</v>
      </c>
      <c r="AX1777" t="s">
        <v>74</v>
      </c>
      <c r="AY1777" t="s">
        <v>74</v>
      </c>
      <c r="AZ1777" t="s">
        <v>74</v>
      </c>
      <c r="BA1777" t="s">
        <v>74</v>
      </c>
      <c r="BB1777" t="s">
        <v>74</v>
      </c>
      <c r="BC1777" t="s">
        <v>74</v>
      </c>
      <c r="BD1777" t="s">
        <v>3085</v>
      </c>
      <c r="BE1777" t="s">
        <v>3086</v>
      </c>
      <c r="BF1777" t="str">
        <f>HYPERLINK("http://dx.doi.org/10.3791/60705","http://dx.doi.org/10.3791/60705")</f>
        <v>http://dx.doi.org/10.3791/60705</v>
      </c>
      <c r="BG1777" t="s">
        <v>74</v>
      </c>
      <c r="BH1777" t="s">
        <v>74</v>
      </c>
      <c r="BI1777" t="s">
        <v>74</v>
      </c>
      <c r="BJ1777" t="s">
        <v>152</v>
      </c>
      <c r="BK1777" t="s">
        <v>117</v>
      </c>
      <c r="BL1777" t="s">
        <v>153</v>
      </c>
      <c r="BM1777" t="s">
        <v>74</v>
      </c>
      <c r="BN1777">
        <v>32065171</v>
      </c>
      <c r="BO1777" t="s">
        <v>74</v>
      </c>
      <c r="BP1777" t="s">
        <v>74</v>
      </c>
      <c r="BQ1777" t="s">
        <v>74</v>
      </c>
      <c r="BR1777" t="s">
        <v>96</v>
      </c>
      <c r="BS1777" t="s">
        <v>3087</v>
      </c>
      <c r="BT1777" t="str">
        <f>HYPERLINK("https%3A%2F%2Fwww.webofscience.com%2Fwos%2Fwoscc%2Ffull-record%2FWOS:000518403300063","View Full Record in Web of Science")</f>
        <v>View Full Record in Web of Science</v>
      </c>
    </row>
    <row r="1778" spans="1:72" x14ac:dyDescent="0.15">
      <c r="A1778" t="s">
        <v>98</v>
      </c>
      <c r="B1778" t="s">
        <v>3088</v>
      </c>
      <c r="C1778" t="s">
        <v>74</v>
      </c>
      <c r="D1778" t="s">
        <v>74</v>
      </c>
      <c r="E1778" t="s">
        <v>74</v>
      </c>
      <c r="F1778" t="s">
        <v>3089</v>
      </c>
      <c r="G1778" t="s">
        <v>74</v>
      </c>
      <c r="H1778" t="s">
        <v>74</v>
      </c>
      <c r="I1778" t="s">
        <v>3090</v>
      </c>
      <c r="J1778" t="s">
        <v>272</v>
      </c>
      <c r="K1778" t="s">
        <v>74</v>
      </c>
      <c r="L1778" t="s">
        <v>74</v>
      </c>
      <c r="M1778" t="s">
        <v>74</v>
      </c>
      <c r="N1778" t="s">
        <v>103</v>
      </c>
      <c r="O1778" t="s">
        <v>74</v>
      </c>
      <c r="P1778" t="s">
        <v>74</v>
      </c>
      <c r="Q1778" t="s">
        <v>74</v>
      </c>
      <c r="R1778" t="s">
        <v>74</v>
      </c>
      <c r="S1778" t="s">
        <v>74</v>
      </c>
      <c r="T1778" t="s">
        <v>3091</v>
      </c>
      <c r="U1778" t="s">
        <v>3092</v>
      </c>
      <c r="V1778" t="s">
        <v>3093</v>
      </c>
      <c r="W1778" t="s">
        <v>3094</v>
      </c>
      <c r="X1778" t="s">
        <v>3095</v>
      </c>
      <c r="Y1778" t="s">
        <v>3096</v>
      </c>
      <c r="Z1778" t="s">
        <v>3097</v>
      </c>
      <c r="AA1778" t="s">
        <v>74</v>
      </c>
      <c r="AB1778" t="s">
        <v>3098</v>
      </c>
      <c r="AC1778" t="s">
        <v>74</v>
      </c>
      <c r="AD1778" t="s">
        <v>74</v>
      </c>
      <c r="AE1778" t="s">
        <v>74</v>
      </c>
      <c r="AF1778" t="s">
        <v>74</v>
      </c>
      <c r="AG1778">
        <v>31</v>
      </c>
      <c r="AH1778">
        <v>1</v>
      </c>
      <c r="AI1778">
        <v>1</v>
      </c>
      <c r="AJ1778">
        <v>0</v>
      </c>
      <c r="AK1778">
        <v>6</v>
      </c>
      <c r="AL1778" t="s">
        <v>74</v>
      </c>
      <c r="AM1778" t="s">
        <v>74</v>
      </c>
      <c r="AN1778" t="s">
        <v>74</v>
      </c>
      <c r="AO1778" t="s">
        <v>74</v>
      </c>
      <c r="AP1778" t="s">
        <v>282</v>
      </c>
      <c r="AQ1778" t="s">
        <v>74</v>
      </c>
      <c r="AR1778" t="s">
        <v>74</v>
      </c>
      <c r="AS1778" t="s">
        <v>74</v>
      </c>
      <c r="AT1778" t="s">
        <v>230</v>
      </c>
      <c r="AU1778">
        <v>2021</v>
      </c>
      <c r="AV1778">
        <v>12</v>
      </c>
      <c r="AW1778">
        <v>8</v>
      </c>
      <c r="AX1778" t="s">
        <v>74</v>
      </c>
      <c r="AY1778" t="s">
        <v>74</v>
      </c>
      <c r="AZ1778" t="s">
        <v>74</v>
      </c>
      <c r="BA1778" t="s">
        <v>74</v>
      </c>
      <c r="BB1778" t="s">
        <v>74</v>
      </c>
      <c r="BC1778" t="s">
        <v>74</v>
      </c>
      <c r="BD1778">
        <v>1171</v>
      </c>
      <c r="BE1778" t="s">
        <v>3099</v>
      </c>
      <c r="BF1778" t="str">
        <f>HYPERLINK("http://dx.doi.org/10.3390/genes12081171","http://dx.doi.org/10.3390/genes12081171")</f>
        <v>http://dx.doi.org/10.3390/genes12081171</v>
      </c>
      <c r="BG1778" t="s">
        <v>74</v>
      </c>
      <c r="BH1778" t="s">
        <v>74</v>
      </c>
      <c r="BI1778" t="s">
        <v>74</v>
      </c>
      <c r="BJ1778" t="s">
        <v>285</v>
      </c>
      <c r="BK1778" t="s">
        <v>117</v>
      </c>
      <c r="BL1778" t="s">
        <v>285</v>
      </c>
      <c r="BM1778" t="s">
        <v>74</v>
      </c>
      <c r="BN1778">
        <v>34440345</v>
      </c>
      <c r="BO1778" t="s">
        <v>74</v>
      </c>
      <c r="BP1778" t="s">
        <v>74</v>
      </c>
      <c r="BQ1778" t="s">
        <v>74</v>
      </c>
      <c r="BR1778" t="s">
        <v>96</v>
      </c>
      <c r="BS1778" t="s">
        <v>3100</v>
      </c>
      <c r="BT1778" t="str">
        <f>HYPERLINK("https%3A%2F%2Fwww.webofscience.com%2Fwos%2Fwoscc%2Ffull-record%2FWOS:000689122500001","View Full Record in Web of Science")</f>
        <v>View Full Record in Web of Science</v>
      </c>
    </row>
    <row r="1779" spans="1:72" x14ac:dyDescent="0.15">
      <c r="A1779" t="s">
        <v>72</v>
      </c>
      <c r="B1779" t="s">
        <v>1448</v>
      </c>
      <c r="C1779" t="s">
        <v>74</v>
      </c>
      <c r="D1779" t="s">
        <v>3161</v>
      </c>
      <c r="E1779" t="s">
        <v>74</v>
      </c>
      <c r="F1779" t="s">
        <v>1449</v>
      </c>
      <c r="G1779" t="s">
        <v>74</v>
      </c>
      <c r="H1779" t="s">
        <v>74</v>
      </c>
      <c r="I1779" t="s">
        <v>3162</v>
      </c>
      <c r="J1779" t="s">
        <v>3163</v>
      </c>
      <c r="K1779" t="s">
        <v>79</v>
      </c>
      <c r="L1779" t="s">
        <v>74</v>
      </c>
      <c r="M1779" t="s">
        <v>74</v>
      </c>
      <c r="N1779" t="s">
        <v>80</v>
      </c>
      <c r="O1779" t="s">
        <v>74</v>
      </c>
      <c r="P1779" t="s">
        <v>74</v>
      </c>
      <c r="Q1779" t="s">
        <v>74</v>
      </c>
      <c r="R1779" t="s">
        <v>74</v>
      </c>
      <c r="S1779" t="s">
        <v>74</v>
      </c>
      <c r="T1779" t="s">
        <v>3164</v>
      </c>
      <c r="U1779" t="s">
        <v>3165</v>
      </c>
      <c r="V1779" t="s">
        <v>3166</v>
      </c>
      <c r="W1779" t="s">
        <v>3167</v>
      </c>
      <c r="X1779" t="s">
        <v>3168</v>
      </c>
      <c r="Y1779" t="s">
        <v>3169</v>
      </c>
      <c r="Z1779" t="s">
        <v>74</v>
      </c>
      <c r="AA1779" t="s">
        <v>74</v>
      </c>
      <c r="AB1779" t="s">
        <v>3170</v>
      </c>
      <c r="AC1779" t="s">
        <v>74</v>
      </c>
      <c r="AD1779" t="s">
        <v>74</v>
      </c>
      <c r="AE1779" t="s">
        <v>74</v>
      </c>
      <c r="AF1779" t="s">
        <v>74</v>
      </c>
      <c r="AG1779">
        <v>17</v>
      </c>
      <c r="AH1779">
        <v>1</v>
      </c>
      <c r="AI1779">
        <v>1</v>
      </c>
      <c r="AJ1779">
        <v>3</v>
      </c>
      <c r="AK1779">
        <v>11</v>
      </c>
      <c r="AL1779" t="s">
        <v>74</v>
      </c>
      <c r="AM1779" t="s">
        <v>74</v>
      </c>
      <c r="AN1779" t="s">
        <v>74</v>
      </c>
      <c r="AO1779" t="s">
        <v>88</v>
      </c>
      <c r="AP1779" t="s">
        <v>89</v>
      </c>
      <c r="AQ1779" t="s">
        <v>3171</v>
      </c>
      <c r="AR1779" t="s">
        <v>74</v>
      </c>
      <c r="AS1779" t="s">
        <v>74</v>
      </c>
      <c r="AT1779" t="s">
        <v>74</v>
      </c>
      <c r="AU1779">
        <v>2020</v>
      </c>
      <c r="AV1779">
        <v>2075</v>
      </c>
      <c r="AW1779" t="s">
        <v>74</v>
      </c>
      <c r="AX1779" t="s">
        <v>74</v>
      </c>
      <c r="AY1779" t="s">
        <v>74</v>
      </c>
      <c r="AZ1779" t="s">
        <v>74</v>
      </c>
      <c r="BA1779" t="s">
        <v>74</v>
      </c>
      <c r="BB1779">
        <v>209</v>
      </c>
      <c r="BC1779">
        <v>221</v>
      </c>
      <c r="BD1779" t="s">
        <v>74</v>
      </c>
      <c r="BE1779" t="s">
        <v>3172</v>
      </c>
      <c r="BF1779" t="str">
        <f>HYPERLINK("http://dx.doi.org/10.1007/978-1-4939-9877-7_15","http://dx.doi.org/10.1007/978-1-4939-9877-7_15")</f>
        <v>http://dx.doi.org/10.1007/978-1-4939-9877-7_15</v>
      </c>
      <c r="BG1779" t="s">
        <v>3173</v>
      </c>
      <c r="BH1779" t="s">
        <v>74</v>
      </c>
      <c r="BI1779" t="s">
        <v>74</v>
      </c>
      <c r="BJ1779" t="s">
        <v>3174</v>
      </c>
      <c r="BK1779" t="s">
        <v>94</v>
      </c>
      <c r="BL1779" t="s">
        <v>3175</v>
      </c>
      <c r="BM1779" t="s">
        <v>74</v>
      </c>
      <c r="BN1779">
        <v>31584165</v>
      </c>
      <c r="BO1779" t="s">
        <v>74</v>
      </c>
      <c r="BP1779" t="s">
        <v>74</v>
      </c>
      <c r="BQ1779" t="s">
        <v>74</v>
      </c>
      <c r="BR1779" t="s">
        <v>96</v>
      </c>
      <c r="BS1779" t="s">
        <v>3176</v>
      </c>
      <c r="BT1779" t="str">
        <f>HYPERLINK("https%3A%2F%2Fwww.webofscience.com%2Fwos%2Fwoscc%2Ffull-record%2FWOS:000555507400016","View Full Record in Web of Science")</f>
        <v>View Full Record in Web of Science</v>
      </c>
    </row>
    <row r="1780" spans="1:72" x14ac:dyDescent="0.15">
      <c r="A1780" t="s">
        <v>98</v>
      </c>
      <c r="B1780" t="s">
        <v>3177</v>
      </c>
      <c r="C1780" t="s">
        <v>74</v>
      </c>
      <c r="D1780" t="s">
        <v>74</v>
      </c>
      <c r="E1780" t="s">
        <v>74</v>
      </c>
      <c r="F1780" t="s">
        <v>3178</v>
      </c>
      <c r="G1780" t="s">
        <v>74</v>
      </c>
      <c r="H1780" t="s">
        <v>74</v>
      </c>
      <c r="I1780" t="s">
        <v>3179</v>
      </c>
      <c r="J1780" t="s">
        <v>3180</v>
      </c>
      <c r="K1780" t="s">
        <v>74</v>
      </c>
      <c r="L1780" t="s">
        <v>74</v>
      </c>
      <c r="M1780" t="s">
        <v>74</v>
      </c>
      <c r="N1780" t="s">
        <v>103</v>
      </c>
      <c r="O1780" t="s">
        <v>74</v>
      </c>
      <c r="P1780" t="s">
        <v>74</v>
      </c>
      <c r="Q1780" t="s">
        <v>74</v>
      </c>
      <c r="R1780" t="s">
        <v>74</v>
      </c>
      <c r="S1780" t="s">
        <v>74</v>
      </c>
      <c r="T1780" t="s">
        <v>3181</v>
      </c>
      <c r="U1780" t="s">
        <v>3182</v>
      </c>
      <c r="V1780" t="s">
        <v>3183</v>
      </c>
      <c r="W1780" t="s">
        <v>3184</v>
      </c>
      <c r="X1780" t="s">
        <v>3185</v>
      </c>
      <c r="Y1780" t="s">
        <v>3186</v>
      </c>
      <c r="Z1780" t="s">
        <v>3187</v>
      </c>
      <c r="AA1780" t="s">
        <v>3188</v>
      </c>
      <c r="AB1780" t="s">
        <v>3189</v>
      </c>
      <c r="AC1780" t="s">
        <v>74</v>
      </c>
      <c r="AD1780" t="s">
        <v>74</v>
      </c>
      <c r="AE1780" t="s">
        <v>74</v>
      </c>
      <c r="AF1780" t="s">
        <v>74</v>
      </c>
      <c r="AG1780">
        <v>66</v>
      </c>
      <c r="AH1780">
        <v>1</v>
      </c>
      <c r="AI1780">
        <v>1</v>
      </c>
      <c r="AJ1780">
        <v>1</v>
      </c>
      <c r="AK1780">
        <v>5</v>
      </c>
      <c r="AL1780" t="s">
        <v>74</v>
      </c>
      <c r="AM1780" t="s">
        <v>74</v>
      </c>
      <c r="AN1780" t="s">
        <v>74</v>
      </c>
      <c r="AO1780" t="s">
        <v>74</v>
      </c>
      <c r="AP1780" t="s">
        <v>3190</v>
      </c>
      <c r="AQ1780" t="s">
        <v>74</v>
      </c>
      <c r="AR1780" t="s">
        <v>74</v>
      </c>
      <c r="AS1780" t="s">
        <v>74</v>
      </c>
      <c r="AT1780" t="s">
        <v>1029</v>
      </c>
      <c r="AU1780">
        <v>2021</v>
      </c>
      <c r="AV1780">
        <v>10</v>
      </c>
      <c r="AW1780">
        <v>5</v>
      </c>
      <c r="AX1780" t="s">
        <v>74</v>
      </c>
      <c r="AY1780" t="s">
        <v>74</v>
      </c>
      <c r="AZ1780" t="s">
        <v>74</v>
      </c>
      <c r="BA1780" t="s">
        <v>74</v>
      </c>
      <c r="BB1780" t="s">
        <v>74</v>
      </c>
      <c r="BC1780" t="s">
        <v>74</v>
      </c>
      <c r="BD1780">
        <v>526</v>
      </c>
      <c r="BE1780" t="s">
        <v>3191</v>
      </c>
      <c r="BF1780" t="str">
        <f>HYPERLINK("http://dx.doi.org/10.3390/pathogens10050526","http://dx.doi.org/10.3390/pathogens10050526")</f>
        <v>http://dx.doi.org/10.3390/pathogens10050526</v>
      </c>
      <c r="BG1780" t="s">
        <v>74</v>
      </c>
      <c r="BH1780" t="s">
        <v>74</v>
      </c>
      <c r="BI1780" t="s">
        <v>74</v>
      </c>
      <c r="BJ1780" t="s">
        <v>898</v>
      </c>
      <c r="BK1780" t="s">
        <v>117</v>
      </c>
      <c r="BL1780" t="s">
        <v>898</v>
      </c>
      <c r="BM1780" t="s">
        <v>74</v>
      </c>
      <c r="BN1780">
        <v>33925397</v>
      </c>
      <c r="BO1780" t="s">
        <v>74</v>
      </c>
      <c r="BP1780" t="s">
        <v>74</v>
      </c>
      <c r="BQ1780" t="s">
        <v>74</v>
      </c>
      <c r="BR1780" t="s">
        <v>96</v>
      </c>
      <c r="BS1780" t="s">
        <v>3192</v>
      </c>
      <c r="BT1780" t="str">
        <f>HYPERLINK("https%3A%2F%2Fwww.webofscience.com%2Fwos%2Fwoscc%2Ffull-record%2FWOS:000654411000001","View Full Record in Web of Science")</f>
        <v>View Full Record in Web of Science</v>
      </c>
    </row>
    <row r="1781" spans="1:72" x14ac:dyDescent="0.15">
      <c r="A1781" t="s">
        <v>98</v>
      </c>
      <c r="B1781" t="s">
        <v>3893</v>
      </c>
      <c r="C1781" t="s">
        <v>74</v>
      </c>
      <c r="D1781" t="s">
        <v>74</v>
      </c>
      <c r="E1781" t="s">
        <v>74</v>
      </c>
      <c r="F1781" t="s">
        <v>3894</v>
      </c>
      <c r="G1781" t="s">
        <v>74</v>
      </c>
      <c r="H1781" t="s">
        <v>74</v>
      </c>
      <c r="I1781" t="s">
        <v>3895</v>
      </c>
      <c r="J1781" t="s">
        <v>3896</v>
      </c>
      <c r="K1781" t="s">
        <v>74</v>
      </c>
      <c r="L1781" t="s">
        <v>74</v>
      </c>
      <c r="M1781" t="s">
        <v>74</v>
      </c>
      <c r="N1781" t="s">
        <v>980</v>
      </c>
      <c r="O1781" t="s">
        <v>3897</v>
      </c>
      <c r="P1781" t="s">
        <v>3898</v>
      </c>
      <c r="Q1781" t="s">
        <v>3899</v>
      </c>
      <c r="R1781" t="s">
        <v>74</v>
      </c>
      <c r="S1781" t="s">
        <v>3900</v>
      </c>
      <c r="T1781" t="s">
        <v>3901</v>
      </c>
      <c r="U1781" t="s">
        <v>3902</v>
      </c>
      <c r="V1781" t="s">
        <v>3903</v>
      </c>
      <c r="W1781" t="s">
        <v>3904</v>
      </c>
      <c r="X1781" t="s">
        <v>3905</v>
      </c>
      <c r="Y1781" t="s">
        <v>3906</v>
      </c>
      <c r="Z1781" t="s">
        <v>3907</v>
      </c>
      <c r="AA1781" t="s">
        <v>3908</v>
      </c>
      <c r="AB1781" t="s">
        <v>3909</v>
      </c>
      <c r="AC1781" t="s">
        <v>74</v>
      </c>
      <c r="AD1781" t="s">
        <v>74</v>
      </c>
      <c r="AE1781" t="s">
        <v>74</v>
      </c>
      <c r="AF1781" t="s">
        <v>74</v>
      </c>
      <c r="AG1781">
        <v>31</v>
      </c>
      <c r="AH1781">
        <v>1</v>
      </c>
      <c r="AI1781">
        <v>2</v>
      </c>
      <c r="AJ1781">
        <v>2</v>
      </c>
      <c r="AK1781">
        <v>22</v>
      </c>
      <c r="AL1781" t="s">
        <v>74</v>
      </c>
      <c r="AM1781" t="s">
        <v>74</v>
      </c>
      <c r="AN1781" t="s">
        <v>74</v>
      </c>
      <c r="AO1781" t="s">
        <v>3910</v>
      </c>
      <c r="AP1781" t="s">
        <v>3911</v>
      </c>
      <c r="AQ1781" t="s">
        <v>74</v>
      </c>
      <c r="AR1781" t="s">
        <v>74</v>
      </c>
      <c r="AS1781" t="s">
        <v>74</v>
      </c>
      <c r="AT1781" t="s">
        <v>967</v>
      </c>
      <c r="AU1781">
        <v>2017</v>
      </c>
      <c r="AV1781">
        <v>46</v>
      </c>
      <c r="AW1781">
        <v>8</v>
      </c>
      <c r="AX1781" t="s">
        <v>74</v>
      </c>
      <c r="AY1781" t="s">
        <v>74</v>
      </c>
      <c r="AZ1781" t="s">
        <v>447</v>
      </c>
      <c r="BA1781" t="s">
        <v>74</v>
      </c>
      <c r="BB1781">
        <v>803</v>
      </c>
      <c r="BC1781">
        <v>811</v>
      </c>
      <c r="BD1781" t="s">
        <v>74</v>
      </c>
      <c r="BE1781" t="s">
        <v>3912</v>
      </c>
      <c r="BF1781" t="str">
        <f>HYPERLINK("http://dx.doi.org/10.1007/s00249-017-1262-2","http://dx.doi.org/10.1007/s00249-017-1262-2")</f>
        <v>http://dx.doi.org/10.1007/s00249-017-1262-2</v>
      </c>
      <c r="BG1781" t="s">
        <v>74</v>
      </c>
      <c r="BH1781" t="s">
        <v>74</v>
      </c>
      <c r="BI1781" t="s">
        <v>74</v>
      </c>
      <c r="BJ1781" t="s">
        <v>3913</v>
      </c>
      <c r="BK1781" t="s">
        <v>997</v>
      </c>
      <c r="BL1781" t="s">
        <v>3913</v>
      </c>
      <c r="BM1781" t="s">
        <v>74</v>
      </c>
      <c r="BN1781">
        <v>29043382</v>
      </c>
      <c r="BO1781" t="s">
        <v>74</v>
      </c>
      <c r="BP1781" t="s">
        <v>74</v>
      </c>
      <c r="BQ1781" t="s">
        <v>74</v>
      </c>
      <c r="BR1781" t="s">
        <v>96</v>
      </c>
      <c r="BS1781" t="s">
        <v>3914</v>
      </c>
      <c r="BT1781" t="str">
        <f>HYPERLINK("https%3A%2F%2Fwww.webofscience.com%2Fwos%2Fwoscc%2Ffull-record%2FWOS:000415817400011","View Full Record in Web of Science")</f>
        <v>View Full Record in Web of Science</v>
      </c>
    </row>
    <row r="1782" spans="1:72" x14ac:dyDescent="0.15">
      <c r="A1782" t="s">
        <v>98</v>
      </c>
      <c r="B1782" t="s">
        <v>4101</v>
      </c>
      <c r="C1782" t="s">
        <v>74</v>
      </c>
      <c r="D1782" t="s">
        <v>74</v>
      </c>
      <c r="E1782" t="s">
        <v>74</v>
      </c>
      <c r="F1782" t="s">
        <v>4102</v>
      </c>
      <c r="G1782" t="s">
        <v>74</v>
      </c>
      <c r="H1782" t="s">
        <v>74</v>
      </c>
      <c r="I1782" t="s">
        <v>4103</v>
      </c>
      <c r="J1782" t="s">
        <v>2105</v>
      </c>
      <c r="K1782" t="s">
        <v>74</v>
      </c>
      <c r="L1782" t="s">
        <v>74</v>
      </c>
      <c r="M1782" t="s">
        <v>74</v>
      </c>
      <c r="N1782" t="s">
        <v>103</v>
      </c>
      <c r="O1782" t="s">
        <v>74</v>
      </c>
      <c r="P1782" t="s">
        <v>74</v>
      </c>
      <c r="Q1782" t="s">
        <v>74</v>
      </c>
      <c r="R1782" t="s">
        <v>74</v>
      </c>
      <c r="S1782" t="s">
        <v>74</v>
      </c>
      <c r="T1782" t="s">
        <v>4104</v>
      </c>
      <c r="U1782" t="s">
        <v>4105</v>
      </c>
      <c r="V1782" t="s">
        <v>4106</v>
      </c>
      <c r="W1782" t="s">
        <v>4107</v>
      </c>
      <c r="X1782" t="s">
        <v>4108</v>
      </c>
      <c r="Y1782" t="s">
        <v>4109</v>
      </c>
      <c r="Z1782" t="s">
        <v>4110</v>
      </c>
      <c r="AA1782" t="s">
        <v>3475</v>
      </c>
      <c r="AB1782" t="s">
        <v>4111</v>
      </c>
      <c r="AC1782" t="s">
        <v>74</v>
      </c>
      <c r="AD1782" t="s">
        <v>74</v>
      </c>
      <c r="AE1782" t="s">
        <v>74</v>
      </c>
      <c r="AF1782" t="s">
        <v>74</v>
      </c>
      <c r="AG1782">
        <v>38</v>
      </c>
      <c r="AH1782">
        <v>1</v>
      </c>
      <c r="AI1782">
        <v>1</v>
      </c>
      <c r="AJ1782">
        <v>0</v>
      </c>
      <c r="AK1782">
        <v>1</v>
      </c>
      <c r="AL1782" t="s">
        <v>74</v>
      </c>
      <c r="AM1782" t="s">
        <v>74</v>
      </c>
      <c r="AN1782" t="s">
        <v>74</v>
      </c>
      <c r="AO1782" t="s">
        <v>2115</v>
      </c>
      <c r="AP1782" t="s">
        <v>74</v>
      </c>
      <c r="AQ1782" t="s">
        <v>74</v>
      </c>
      <c r="AR1782" t="s">
        <v>74</v>
      </c>
      <c r="AS1782" t="s">
        <v>74</v>
      </c>
      <c r="AT1782" t="s">
        <v>4112</v>
      </c>
      <c r="AU1782">
        <v>2021</v>
      </c>
      <c r="AV1782">
        <v>11</v>
      </c>
      <c r="AW1782" t="s">
        <v>74</v>
      </c>
      <c r="AX1782" t="s">
        <v>74</v>
      </c>
      <c r="AY1782" t="s">
        <v>74</v>
      </c>
      <c r="AZ1782" t="s">
        <v>74</v>
      </c>
      <c r="BA1782" t="s">
        <v>74</v>
      </c>
      <c r="BB1782" t="s">
        <v>74</v>
      </c>
      <c r="BC1782" t="s">
        <v>74</v>
      </c>
      <c r="BD1782">
        <v>715217</v>
      </c>
      <c r="BE1782" t="s">
        <v>4113</v>
      </c>
      <c r="BF1782" t="str">
        <f>HYPERLINK("http://dx.doi.org/10.3389/fonc.2021.715217","http://dx.doi.org/10.3389/fonc.2021.715217")</f>
        <v>http://dx.doi.org/10.3389/fonc.2021.715217</v>
      </c>
      <c r="BG1782" t="s">
        <v>74</v>
      </c>
      <c r="BH1782" t="s">
        <v>74</v>
      </c>
      <c r="BI1782" t="s">
        <v>74</v>
      </c>
      <c r="BJ1782" t="s">
        <v>267</v>
      </c>
      <c r="BK1782" t="s">
        <v>117</v>
      </c>
      <c r="BL1782" t="s">
        <v>267</v>
      </c>
      <c r="BM1782" t="s">
        <v>74</v>
      </c>
      <c r="BN1782">
        <v>34900671</v>
      </c>
      <c r="BO1782" t="s">
        <v>74</v>
      </c>
      <c r="BP1782" t="s">
        <v>74</v>
      </c>
      <c r="BQ1782" t="s">
        <v>74</v>
      </c>
      <c r="BR1782" t="s">
        <v>96</v>
      </c>
      <c r="BS1782" t="s">
        <v>4114</v>
      </c>
      <c r="BT1782" t="str">
        <f>HYPERLINK("https%3A%2F%2Fwww.webofscience.com%2Fwos%2Fwoscc%2Ffull-record%2FWOS:000728893400001","View Full Record in Web of Science")</f>
        <v>View Full Record in Web of Science</v>
      </c>
    </row>
    <row r="1783" spans="1:72" x14ac:dyDescent="0.15">
      <c r="A1783" t="s">
        <v>98</v>
      </c>
      <c r="B1783" t="s">
        <v>4228</v>
      </c>
      <c r="C1783" t="s">
        <v>74</v>
      </c>
      <c r="D1783" t="s">
        <v>74</v>
      </c>
      <c r="E1783" t="s">
        <v>74</v>
      </c>
      <c r="F1783" t="s">
        <v>4229</v>
      </c>
      <c r="G1783" t="s">
        <v>74</v>
      </c>
      <c r="H1783" t="s">
        <v>74</v>
      </c>
      <c r="I1783" t="s">
        <v>4230</v>
      </c>
      <c r="J1783" t="s">
        <v>2105</v>
      </c>
      <c r="K1783" t="s">
        <v>74</v>
      </c>
      <c r="L1783" t="s">
        <v>74</v>
      </c>
      <c r="M1783" t="s">
        <v>74</v>
      </c>
      <c r="N1783" t="s">
        <v>103</v>
      </c>
      <c r="O1783" t="s">
        <v>74</v>
      </c>
      <c r="P1783" t="s">
        <v>74</v>
      </c>
      <c r="Q1783" t="s">
        <v>74</v>
      </c>
      <c r="R1783" t="s">
        <v>74</v>
      </c>
      <c r="S1783" t="s">
        <v>74</v>
      </c>
      <c r="T1783" t="s">
        <v>4231</v>
      </c>
      <c r="U1783" t="s">
        <v>4232</v>
      </c>
      <c r="V1783" t="s">
        <v>4233</v>
      </c>
      <c r="W1783" t="s">
        <v>4234</v>
      </c>
      <c r="X1783" t="s">
        <v>4235</v>
      </c>
      <c r="Y1783" t="s">
        <v>4236</v>
      </c>
      <c r="Z1783" t="s">
        <v>4237</v>
      </c>
      <c r="AA1783" t="s">
        <v>74</v>
      </c>
      <c r="AB1783" t="s">
        <v>4238</v>
      </c>
      <c r="AC1783" t="s">
        <v>74</v>
      </c>
      <c r="AD1783" t="s">
        <v>74</v>
      </c>
      <c r="AE1783" t="s">
        <v>74</v>
      </c>
      <c r="AF1783" t="s">
        <v>74</v>
      </c>
      <c r="AG1783">
        <v>74</v>
      </c>
      <c r="AH1783">
        <v>1</v>
      </c>
      <c r="AI1783">
        <v>1</v>
      </c>
      <c r="AJ1783">
        <v>3</v>
      </c>
      <c r="AK1783">
        <v>3</v>
      </c>
      <c r="AL1783" t="s">
        <v>74</v>
      </c>
      <c r="AM1783" t="s">
        <v>74</v>
      </c>
      <c r="AN1783" t="s">
        <v>74</v>
      </c>
      <c r="AO1783" t="s">
        <v>2115</v>
      </c>
      <c r="AP1783" t="s">
        <v>74</v>
      </c>
      <c r="AQ1783" t="s">
        <v>74</v>
      </c>
      <c r="AR1783" t="s">
        <v>74</v>
      </c>
      <c r="AS1783" t="s">
        <v>74</v>
      </c>
      <c r="AT1783" t="s">
        <v>4239</v>
      </c>
      <c r="AU1783">
        <v>2021</v>
      </c>
      <c r="AV1783">
        <v>11</v>
      </c>
      <c r="AW1783" t="s">
        <v>74</v>
      </c>
      <c r="AX1783" t="s">
        <v>74</v>
      </c>
      <c r="AY1783" t="s">
        <v>74</v>
      </c>
      <c r="AZ1783" t="s">
        <v>74</v>
      </c>
      <c r="BA1783" t="s">
        <v>74</v>
      </c>
      <c r="BB1783" t="s">
        <v>74</v>
      </c>
      <c r="BC1783" t="s">
        <v>74</v>
      </c>
      <c r="BD1783">
        <v>718408</v>
      </c>
      <c r="BE1783" t="s">
        <v>4240</v>
      </c>
      <c r="BF1783" t="str">
        <f>HYPERLINK("http://dx.doi.org/10.3389/fonc.2021.718408","http://dx.doi.org/10.3389/fonc.2021.718408")</f>
        <v>http://dx.doi.org/10.3389/fonc.2021.718408</v>
      </c>
      <c r="BG1783" t="s">
        <v>74</v>
      </c>
      <c r="BH1783" t="s">
        <v>74</v>
      </c>
      <c r="BI1783" t="s">
        <v>74</v>
      </c>
      <c r="BJ1783" t="s">
        <v>267</v>
      </c>
      <c r="BK1783" t="s">
        <v>117</v>
      </c>
      <c r="BL1783" t="s">
        <v>267</v>
      </c>
      <c r="BM1783" t="s">
        <v>74</v>
      </c>
      <c r="BN1783">
        <v>34868914</v>
      </c>
      <c r="BO1783" t="s">
        <v>74</v>
      </c>
      <c r="BP1783" t="s">
        <v>74</v>
      </c>
      <c r="BQ1783" t="s">
        <v>74</v>
      </c>
      <c r="BR1783" t="s">
        <v>96</v>
      </c>
      <c r="BS1783" t="s">
        <v>4241</v>
      </c>
      <c r="BT1783" t="str">
        <f>HYPERLINK("https%3A%2F%2Fwww.webofscience.com%2Fwos%2Fwoscc%2Ffull-record%2FWOS:000741811000001","View Full Record in Web of Science")</f>
        <v>View Full Record in Web of Science</v>
      </c>
    </row>
    <row r="1784" spans="1:72" x14ac:dyDescent="0.15">
      <c r="A1784" t="s">
        <v>98</v>
      </c>
      <c r="B1784" t="s">
        <v>4242</v>
      </c>
      <c r="C1784" t="s">
        <v>74</v>
      </c>
      <c r="D1784" t="s">
        <v>74</v>
      </c>
      <c r="E1784" t="s">
        <v>74</v>
      </c>
      <c r="F1784" t="s">
        <v>4243</v>
      </c>
      <c r="G1784" t="s">
        <v>74</v>
      </c>
      <c r="H1784" t="s">
        <v>74</v>
      </c>
      <c r="I1784" t="s">
        <v>4244</v>
      </c>
      <c r="J1784" t="s">
        <v>3918</v>
      </c>
      <c r="K1784" t="s">
        <v>74</v>
      </c>
      <c r="L1784" t="s">
        <v>74</v>
      </c>
      <c r="M1784" t="s">
        <v>74</v>
      </c>
      <c r="N1784" t="s">
        <v>103</v>
      </c>
      <c r="O1784" t="s">
        <v>74</v>
      </c>
      <c r="P1784" t="s">
        <v>74</v>
      </c>
      <c r="Q1784" t="s">
        <v>74</v>
      </c>
      <c r="R1784" t="s">
        <v>74</v>
      </c>
      <c r="S1784" t="s">
        <v>74</v>
      </c>
      <c r="T1784" t="s">
        <v>4245</v>
      </c>
      <c r="U1784" t="s">
        <v>4246</v>
      </c>
      <c r="V1784" t="s">
        <v>4247</v>
      </c>
      <c r="W1784" t="s">
        <v>4248</v>
      </c>
      <c r="X1784" t="s">
        <v>4249</v>
      </c>
      <c r="Y1784" t="s">
        <v>4250</v>
      </c>
      <c r="Z1784" t="s">
        <v>4251</v>
      </c>
      <c r="AA1784" t="s">
        <v>4252</v>
      </c>
      <c r="AB1784" t="s">
        <v>4253</v>
      </c>
      <c r="AC1784" t="s">
        <v>74</v>
      </c>
      <c r="AD1784" t="s">
        <v>74</v>
      </c>
      <c r="AE1784" t="s">
        <v>74</v>
      </c>
      <c r="AF1784" t="s">
        <v>74</v>
      </c>
      <c r="AG1784">
        <v>46</v>
      </c>
      <c r="AH1784">
        <v>1</v>
      </c>
      <c r="AI1784">
        <v>1</v>
      </c>
      <c r="AJ1784">
        <v>1</v>
      </c>
      <c r="AK1784">
        <v>2</v>
      </c>
      <c r="AL1784" t="s">
        <v>74</v>
      </c>
      <c r="AM1784" t="s">
        <v>74</v>
      </c>
      <c r="AN1784" t="s">
        <v>74</v>
      </c>
      <c r="AO1784" t="s">
        <v>74</v>
      </c>
      <c r="AP1784" t="s">
        <v>3926</v>
      </c>
      <c r="AQ1784" t="s">
        <v>74</v>
      </c>
      <c r="AR1784" t="s">
        <v>74</v>
      </c>
      <c r="AS1784" t="s">
        <v>74</v>
      </c>
      <c r="AT1784" t="s">
        <v>4254</v>
      </c>
      <c r="AU1784">
        <v>2021</v>
      </c>
      <c r="AV1784">
        <v>8</v>
      </c>
      <c r="AW1784" t="s">
        <v>74</v>
      </c>
      <c r="AX1784" t="s">
        <v>74</v>
      </c>
      <c r="AY1784" t="s">
        <v>74</v>
      </c>
      <c r="AZ1784" t="s">
        <v>74</v>
      </c>
      <c r="BA1784" t="s">
        <v>74</v>
      </c>
      <c r="BB1784" t="s">
        <v>74</v>
      </c>
      <c r="BC1784" t="s">
        <v>74</v>
      </c>
      <c r="BD1784">
        <v>732900</v>
      </c>
      <c r="BE1784" t="s">
        <v>4255</v>
      </c>
      <c r="BF1784" t="str">
        <f>HYPERLINK("http://dx.doi.org/10.3389/fmolb.2021.732900","http://dx.doi.org/10.3389/fmolb.2021.732900")</f>
        <v>http://dx.doi.org/10.3389/fmolb.2021.732900</v>
      </c>
      <c r="BG1784" t="s">
        <v>74</v>
      </c>
      <c r="BH1784" t="s">
        <v>74</v>
      </c>
      <c r="BI1784" t="s">
        <v>74</v>
      </c>
      <c r="BJ1784" t="s">
        <v>95</v>
      </c>
      <c r="BK1784" t="s">
        <v>117</v>
      </c>
      <c r="BL1784" t="s">
        <v>95</v>
      </c>
      <c r="BM1784" t="s">
        <v>74</v>
      </c>
      <c r="BN1784">
        <v>34820420</v>
      </c>
      <c r="BO1784" t="s">
        <v>74</v>
      </c>
      <c r="BP1784" t="s">
        <v>74</v>
      </c>
      <c r="BQ1784" t="s">
        <v>74</v>
      </c>
      <c r="BR1784" t="s">
        <v>96</v>
      </c>
      <c r="BS1784" t="s">
        <v>4256</v>
      </c>
      <c r="BT1784" t="str">
        <f>HYPERLINK("https%3A%2F%2Fwww.webofscience.com%2Fwos%2Fwoscc%2Ffull-record%2FWOS:000720771200001","View Full Record in Web of Science")</f>
        <v>View Full Record in Web of Science</v>
      </c>
    </row>
    <row r="1785" spans="1:72" x14ac:dyDescent="0.15">
      <c r="A1785" t="s">
        <v>4291</v>
      </c>
      <c r="B1785" t="s">
        <v>4292</v>
      </c>
      <c r="C1785" t="s">
        <v>74</v>
      </c>
      <c r="D1785" t="s">
        <v>4293</v>
      </c>
      <c r="E1785" t="s">
        <v>74</v>
      </c>
      <c r="F1785" t="s">
        <v>4294</v>
      </c>
      <c r="G1785" t="s">
        <v>74</v>
      </c>
      <c r="H1785" t="s">
        <v>74</v>
      </c>
      <c r="I1785" t="s">
        <v>4295</v>
      </c>
      <c r="J1785" t="s">
        <v>4296</v>
      </c>
      <c r="K1785" t="s">
        <v>4297</v>
      </c>
      <c r="L1785" t="s">
        <v>74</v>
      </c>
      <c r="M1785" t="s">
        <v>74</v>
      </c>
      <c r="N1785" t="s">
        <v>80</v>
      </c>
      <c r="O1785" t="s">
        <v>74</v>
      </c>
      <c r="P1785" t="s">
        <v>74</v>
      </c>
      <c r="Q1785" t="s">
        <v>74</v>
      </c>
      <c r="R1785" t="s">
        <v>74</v>
      </c>
      <c r="S1785" t="s">
        <v>74</v>
      </c>
      <c r="T1785" t="s">
        <v>4298</v>
      </c>
      <c r="U1785" t="s">
        <v>4299</v>
      </c>
      <c r="V1785" t="s">
        <v>4300</v>
      </c>
      <c r="W1785" t="s">
        <v>4301</v>
      </c>
      <c r="X1785" t="s">
        <v>4302</v>
      </c>
      <c r="Y1785" t="s">
        <v>4303</v>
      </c>
      <c r="Z1785" t="s">
        <v>4304</v>
      </c>
      <c r="AA1785" t="s">
        <v>74</v>
      </c>
      <c r="AB1785" t="s">
        <v>74</v>
      </c>
      <c r="AC1785" t="s">
        <v>74</v>
      </c>
      <c r="AD1785" t="s">
        <v>74</v>
      </c>
      <c r="AE1785" t="s">
        <v>74</v>
      </c>
      <c r="AF1785" t="s">
        <v>74</v>
      </c>
      <c r="AG1785">
        <v>140</v>
      </c>
      <c r="AH1785">
        <v>1</v>
      </c>
      <c r="AI1785">
        <v>1</v>
      </c>
      <c r="AJ1785">
        <v>4</v>
      </c>
      <c r="AK1785">
        <v>5</v>
      </c>
      <c r="AL1785" t="s">
        <v>74</v>
      </c>
      <c r="AM1785" t="s">
        <v>74</v>
      </c>
      <c r="AN1785" t="s">
        <v>74</v>
      </c>
      <c r="AO1785" t="s">
        <v>74</v>
      </c>
      <c r="AP1785" t="s">
        <v>74</v>
      </c>
      <c r="AQ1785" t="s">
        <v>4305</v>
      </c>
      <c r="AR1785" t="s">
        <v>74</v>
      </c>
      <c r="AS1785" t="s">
        <v>74</v>
      </c>
      <c r="AT1785" t="s">
        <v>74</v>
      </c>
      <c r="AU1785">
        <v>2020</v>
      </c>
      <c r="AV1785">
        <v>19</v>
      </c>
      <c r="AW1785" t="s">
        <v>74</v>
      </c>
      <c r="AX1785" t="s">
        <v>74</v>
      </c>
      <c r="AY1785" t="s">
        <v>74</v>
      </c>
      <c r="AZ1785" t="s">
        <v>74</v>
      </c>
      <c r="BA1785" t="s">
        <v>74</v>
      </c>
      <c r="BB1785">
        <v>59</v>
      </c>
      <c r="BC1785">
        <v>80</v>
      </c>
      <c r="BD1785" t="s">
        <v>74</v>
      </c>
      <c r="BE1785" t="s">
        <v>4306</v>
      </c>
      <c r="BF1785" t="str">
        <f>HYPERLINK("http://dx.doi.org/10.1007/978-3-030-35358-2_4","http://dx.doi.org/10.1007/978-3-030-35358-2_4")</f>
        <v>http://dx.doi.org/10.1007/978-3-030-35358-2_4</v>
      </c>
      <c r="BG1785" t="s">
        <v>4307</v>
      </c>
      <c r="BH1785" t="s">
        <v>74</v>
      </c>
      <c r="BI1785" t="s">
        <v>74</v>
      </c>
      <c r="BJ1785" t="s">
        <v>4308</v>
      </c>
      <c r="BK1785" t="s">
        <v>94</v>
      </c>
      <c r="BL1785" t="s">
        <v>4309</v>
      </c>
      <c r="BM1785" t="s">
        <v>74</v>
      </c>
      <c r="BN1785" t="s">
        <v>74</v>
      </c>
      <c r="BO1785" t="s">
        <v>74</v>
      </c>
      <c r="BP1785" t="s">
        <v>74</v>
      </c>
      <c r="BQ1785" t="s">
        <v>74</v>
      </c>
      <c r="BR1785" t="s">
        <v>96</v>
      </c>
      <c r="BS1785" t="s">
        <v>4310</v>
      </c>
      <c r="BT1785" t="str">
        <f>HYPERLINK("https%3A%2F%2Fwww.webofscience.com%2Fwos%2Fwoscc%2Ffull-record%2FWOS:000674463100005","View Full Record in Web of Science")</f>
        <v>View Full Record in Web of Science</v>
      </c>
    </row>
    <row r="1786" spans="1:72" x14ac:dyDescent="0.15">
      <c r="A1786" t="s">
        <v>98</v>
      </c>
      <c r="B1786" t="s">
        <v>4968</v>
      </c>
      <c r="C1786" t="s">
        <v>74</v>
      </c>
      <c r="D1786" t="s">
        <v>74</v>
      </c>
      <c r="E1786" t="s">
        <v>74</v>
      </c>
      <c r="F1786" t="s">
        <v>4969</v>
      </c>
      <c r="G1786" t="s">
        <v>74</v>
      </c>
      <c r="H1786" t="s">
        <v>74</v>
      </c>
      <c r="I1786" t="s">
        <v>4970</v>
      </c>
      <c r="J1786" t="s">
        <v>4971</v>
      </c>
      <c r="K1786" t="s">
        <v>74</v>
      </c>
      <c r="L1786" t="s">
        <v>74</v>
      </c>
      <c r="M1786" t="s">
        <v>74</v>
      </c>
      <c r="N1786" t="s">
        <v>103</v>
      </c>
      <c r="O1786" t="s">
        <v>74</v>
      </c>
      <c r="P1786" t="s">
        <v>74</v>
      </c>
      <c r="Q1786" t="s">
        <v>74</v>
      </c>
      <c r="R1786" t="s">
        <v>74</v>
      </c>
      <c r="S1786" t="s">
        <v>74</v>
      </c>
      <c r="T1786" t="s">
        <v>4972</v>
      </c>
      <c r="U1786" t="s">
        <v>4973</v>
      </c>
      <c r="V1786" t="s">
        <v>4974</v>
      </c>
      <c r="W1786" t="s">
        <v>4975</v>
      </c>
      <c r="X1786" t="s">
        <v>128</v>
      </c>
      <c r="Y1786" t="s">
        <v>4976</v>
      </c>
      <c r="Z1786" t="s">
        <v>130</v>
      </c>
      <c r="AA1786" t="s">
        <v>74</v>
      </c>
      <c r="AB1786" t="s">
        <v>74</v>
      </c>
      <c r="AC1786" t="s">
        <v>74</v>
      </c>
      <c r="AD1786" t="s">
        <v>74</v>
      </c>
      <c r="AE1786" t="s">
        <v>74</v>
      </c>
      <c r="AF1786" t="s">
        <v>74</v>
      </c>
      <c r="AG1786">
        <v>39</v>
      </c>
      <c r="AH1786">
        <v>1</v>
      </c>
      <c r="AI1786">
        <v>1</v>
      </c>
      <c r="AJ1786">
        <v>4</v>
      </c>
      <c r="AK1786">
        <v>20</v>
      </c>
      <c r="AL1786" t="s">
        <v>74</v>
      </c>
      <c r="AM1786" t="s">
        <v>74</v>
      </c>
      <c r="AN1786" t="s">
        <v>74</v>
      </c>
      <c r="AO1786" t="s">
        <v>4977</v>
      </c>
      <c r="AP1786" t="s">
        <v>4978</v>
      </c>
      <c r="AQ1786" t="s">
        <v>74</v>
      </c>
      <c r="AR1786" t="s">
        <v>74</v>
      </c>
      <c r="AS1786" t="s">
        <v>74</v>
      </c>
      <c r="AT1786" t="s">
        <v>189</v>
      </c>
      <c r="AU1786">
        <v>2020</v>
      </c>
      <c r="AV1786">
        <v>48</v>
      </c>
      <c r="AW1786">
        <v>10</v>
      </c>
      <c r="AX1786" t="s">
        <v>74</v>
      </c>
      <c r="AY1786" t="s">
        <v>74</v>
      </c>
      <c r="AZ1786" t="s">
        <v>74</v>
      </c>
      <c r="BA1786" t="s">
        <v>74</v>
      </c>
      <c r="BB1786">
        <v>1305</v>
      </c>
      <c r="BC1786">
        <v>1314</v>
      </c>
      <c r="BD1786" t="s">
        <v>74</v>
      </c>
      <c r="BE1786" t="s">
        <v>4979</v>
      </c>
      <c r="BF1786" t="str">
        <f>HYPERLINK("http://dx.doi.org/10.19756/j.issn.0253-3820.201443","http://dx.doi.org/10.19756/j.issn.0253-3820.201443")</f>
        <v>http://dx.doi.org/10.19756/j.issn.0253-3820.201443</v>
      </c>
      <c r="BG1786" t="s">
        <v>74</v>
      </c>
      <c r="BH1786" t="s">
        <v>74</v>
      </c>
      <c r="BI1786" t="s">
        <v>74</v>
      </c>
      <c r="BJ1786" t="s">
        <v>1118</v>
      </c>
      <c r="BK1786" t="s">
        <v>117</v>
      </c>
      <c r="BL1786" t="s">
        <v>1048</v>
      </c>
      <c r="BM1786" t="s">
        <v>74</v>
      </c>
      <c r="BN1786" t="s">
        <v>74</v>
      </c>
      <c r="BO1786" t="s">
        <v>74</v>
      </c>
      <c r="BP1786" t="s">
        <v>74</v>
      </c>
      <c r="BQ1786" t="s">
        <v>74</v>
      </c>
      <c r="BR1786" t="s">
        <v>96</v>
      </c>
      <c r="BS1786" t="s">
        <v>4980</v>
      </c>
      <c r="BT1786" t="str">
        <f>HYPERLINK("https%3A%2F%2Fwww.webofscience.com%2Fwos%2Fwoscc%2Ffull-record%2FWOS:000574774500006","View Full Record in Web of Science")</f>
        <v>View Full Record in Web of Science</v>
      </c>
    </row>
    <row r="1787" spans="1:72" x14ac:dyDescent="0.15">
      <c r="A1787" t="s">
        <v>72</v>
      </c>
      <c r="B1787" t="s">
        <v>5094</v>
      </c>
      <c r="C1787" t="s">
        <v>74</v>
      </c>
      <c r="D1787" t="s">
        <v>5095</v>
      </c>
      <c r="E1787" t="s">
        <v>74</v>
      </c>
      <c r="F1787" t="s">
        <v>5096</v>
      </c>
      <c r="G1787" t="s">
        <v>74</v>
      </c>
      <c r="H1787" t="s">
        <v>74</v>
      </c>
      <c r="I1787" t="s">
        <v>5097</v>
      </c>
      <c r="J1787" t="s">
        <v>5098</v>
      </c>
      <c r="K1787" t="s">
        <v>79</v>
      </c>
      <c r="L1787" t="s">
        <v>74</v>
      </c>
      <c r="M1787" t="s">
        <v>74</v>
      </c>
      <c r="N1787" t="s">
        <v>80</v>
      </c>
      <c r="O1787" t="s">
        <v>74</v>
      </c>
      <c r="P1787" t="s">
        <v>74</v>
      </c>
      <c r="Q1787" t="s">
        <v>74</v>
      </c>
      <c r="R1787" t="s">
        <v>74</v>
      </c>
      <c r="S1787" t="s">
        <v>74</v>
      </c>
      <c r="T1787" t="s">
        <v>5099</v>
      </c>
      <c r="U1787" t="s">
        <v>5100</v>
      </c>
      <c r="V1787" t="s">
        <v>5101</v>
      </c>
      <c r="W1787" t="s">
        <v>5102</v>
      </c>
      <c r="X1787" t="s">
        <v>5103</v>
      </c>
      <c r="Y1787" t="s">
        <v>5104</v>
      </c>
      <c r="Z1787" t="s">
        <v>74</v>
      </c>
      <c r="AA1787" t="s">
        <v>74</v>
      </c>
      <c r="AB1787" t="s">
        <v>5105</v>
      </c>
      <c r="AC1787" t="s">
        <v>74</v>
      </c>
      <c r="AD1787" t="s">
        <v>74</v>
      </c>
      <c r="AE1787" t="s">
        <v>74</v>
      </c>
      <c r="AF1787" t="s">
        <v>74</v>
      </c>
      <c r="AG1787">
        <v>12</v>
      </c>
      <c r="AH1787">
        <v>1</v>
      </c>
      <c r="AI1787">
        <v>1</v>
      </c>
      <c r="AJ1787">
        <v>1</v>
      </c>
      <c r="AK1787">
        <v>2</v>
      </c>
      <c r="AL1787" t="s">
        <v>74</v>
      </c>
      <c r="AM1787" t="s">
        <v>74</v>
      </c>
      <c r="AN1787" t="s">
        <v>74</v>
      </c>
      <c r="AO1787" t="s">
        <v>88</v>
      </c>
      <c r="AP1787" t="s">
        <v>89</v>
      </c>
      <c r="AQ1787" t="s">
        <v>5106</v>
      </c>
      <c r="AR1787" t="s">
        <v>74</v>
      </c>
      <c r="AS1787" t="s">
        <v>74</v>
      </c>
      <c r="AT1787" t="s">
        <v>74</v>
      </c>
      <c r="AU1787">
        <v>2020</v>
      </c>
      <c r="AV1787">
        <v>2088</v>
      </c>
      <c r="AW1787" t="s">
        <v>74</v>
      </c>
      <c r="AX1787" t="s">
        <v>74</v>
      </c>
      <c r="AY1787" t="s">
        <v>74</v>
      </c>
      <c r="AZ1787" t="s">
        <v>74</v>
      </c>
      <c r="BA1787" t="s">
        <v>74</v>
      </c>
      <c r="BB1787">
        <v>205</v>
      </c>
      <c r="BC1787">
        <v>221</v>
      </c>
      <c r="BD1787" t="s">
        <v>74</v>
      </c>
      <c r="BE1787" t="s">
        <v>5107</v>
      </c>
      <c r="BF1787" t="str">
        <f>HYPERLINK("http://dx.doi.org/10.1007/978-1-0716-0159-4_10","http://dx.doi.org/10.1007/978-1-0716-0159-4_10")</f>
        <v>http://dx.doi.org/10.1007/978-1-0716-0159-4_10</v>
      </c>
      <c r="BG1787" t="s">
        <v>5108</v>
      </c>
      <c r="BH1787" t="s">
        <v>74</v>
      </c>
      <c r="BI1787" t="s">
        <v>74</v>
      </c>
      <c r="BJ1787" t="s">
        <v>5109</v>
      </c>
      <c r="BK1787" t="s">
        <v>94</v>
      </c>
      <c r="BL1787" t="s">
        <v>498</v>
      </c>
      <c r="BM1787" t="s">
        <v>74</v>
      </c>
      <c r="BN1787">
        <v>31893376</v>
      </c>
      <c r="BO1787" t="s">
        <v>74</v>
      </c>
      <c r="BP1787" t="s">
        <v>74</v>
      </c>
      <c r="BQ1787" t="s">
        <v>74</v>
      </c>
      <c r="BR1787" t="s">
        <v>96</v>
      </c>
      <c r="BS1787" t="s">
        <v>5110</v>
      </c>
      <c r="BT1787" t="str">
        <f>HYPERLINK("https%3A%2F%2Fwww.webofscience.com%2Fwos%2Fwoscc%2Ffull-record%2FWOS:000672487700011","View Full Record in Web of Science")</f>
        <v>View Full Record in Web of Science</v>
      </c>
    </row>
    <row r="1788" spans="1:72" x14ac:dyDescent="0.15">
      <c r="A1788" t="s">
        <v>98</v>
      </c>
      <c r="B1788" t="s">
        <v>5345</v>
      </c>
      <c r="C1788" t="s">
        <v>74</v>
      </c>
      <c r="D1788" t="s">
        <v>74</v>
      </c>
      <c r="E1788" t="s">
        <v>74</v>
      </c>
      <c r="F1788" t="s">
        <v>5346</v>
      </c>
      <c r="G1788" t="s">
        <v>74</v>
      </c>
      <c r="H1788" t="s">
        <v>74</v>
      </c>
      <c r="I1788" t="s">
        <v>5347</v>
      </c>
      <c r="J1788" t="s">
        <v>2833</v>
      </c>
      <c r="K1788" t="s">
        <v>74</v>
      </c>
      <c r="L1788" t="s">
        <v>74</v>
      </c>
      <c r="M1788" t="s">
        <v>74</v>
      </c>
      <c r="N1788" t="s">
        <v>103</v>
      </c>
      <c r="O1788" t="s">
        <v>74</v>
      </c>
      <c r="P1788" t="s">
        <v>74</v>
      </c>
      <c r="Q1788" t="s">
        <v>74</v>
      </c>
      <c r="R1788" t="s">
        <v>74</v>
      </c>
      <c r="S1788" t="s">
        <v>74</v>
      </c>
      <c r="T1788" t="s">
        <v>5348</v>
      </c>
      <c r="U1788" t="s">
        <v>5349</v>
      </c>
      <c r="V1788" t="s">
        <v>5350</v>
      </c>
      <c r="W1788" t="s">
        <v>5351</v>
      </c>
      <c r="X1788" t="s">
        <v>5352</v>
      </c>
      <c r="Y1788" t="s">
        <v>5353</v>
      </c>
      <c r="Z1788" t="s">
        <v>5354</v>
      </c>
      <c r="AA1788" t="s">
        <v>74</v>
      </c>
      <c r="AB1788" t="s">
        <v>5355</v>
      </c>
      <c r="AC1788" t="s">
        <v>74</v>
      </c>
      <c r="AD1788" t="s">
        <v>74</v>
      </c>
      <c r="AE1788" t="s">
        <v>74</v>
      </c>
      <c r="AF1788" t="s">
        <v>74</v>
      </c>
      <c r="AG1788">
        <v>31</v>
      </c>
      <c r="AH1788">
        <v>1</v>
      </c>
      <c r="AI1788">
        <v>1</v>
      </c>
      <c r="AJ1788">
        <v>3</v>
      </c>
      <c r="AK1788">
        <v>7</v>
      </c>
      <c r="AL1788" t="s">
        <v>74</v>
      </c>
      <c r="AM1788" t="s">
        <v>74</v>
      </c>
      <c r="AN1788" t="s">
        <v>74</v>
      </c>
      <c r="AO1788" t="s">
        <v>2841</v>
      </c>
      <c r="AP1788" t="s">
        <v>2842</v>
      </c>
      <c r="AQ1788" t="s">
        <v>74</v>
      </c>
      <c r="AR1788" t="s">
        <v>74</v>
      </c>
      <c r="AS1788" t="s">
        <v>74</v>
      </c>
      <c r="AT1788" t="s">
        <v>5356</v>
      </c>
      <c r="AU1788">
        <v>2021</v>
      </c>
      <c r="AV1788">
        <v>575</v>
      </c>
      <c r="AW1788" t="s">
        <v>74</v>
      </c>
      <c r="AX1788" t="s">
        <v>74</v>
      </c>
      <c r="AY1788" t="s">
        <v>74</v>
      </c>
      <c r="AZ1788" t="s">
        <v>74</v>
      </c>
      <c r="BA1788" t="s">
        <v>74</v>
      </c>
      <c r="BB1788">
        <v>28</v>
      </c>
      <c r="BC1788">
        <v>35</v>
      </c>
      <c r="BD1788" t="s">
        <v>74</v>
      </c>
      <c r="BE1788" t="s">
        <v>5357</v>
      </c>
      <c r="BF1788" t="str">
        <f>HYPERLINK("http://dx.doi.org/10.1016/j.bbrc.2021.08.046","http://dx.doi.org/10.1016/j.bbrc.2021.08.046")</f>
        <v>http://dx.doi.org/10.1016/j.bbrc.2021.08.046</v>
      </c>
      <c r="BG1788" t="s">
        <v>74</v>
      </c>
      <c r="BH1788" t="s">
        <v>1663</v>
      </c>
      <c r="BI1788" t="s">
        <v>74</v>
      </c>
      <c r="BJ1788" t="s">
        <v>2845</v>
      </c>
      <c r="BK1788" t="s">
        <v>117</v>
      </c>
      <c r="BL1788" t="s">
        <v>2845</v>
      </c>
      <c r="BM1788" t="s">
        <v>74</v>
      </c>
      <c r="BN1788">
        <v>34454177</v>
      </c>
      <c r="BO1788" t="s">
        <v>74</v>
      </c>
      <c r="BP1788" t="s">
        <v>74</v>
      </c>
      <c r="BQ1788" t="s">
        <v>74</v>
      </c>
      <c r="BR1788" t="s">
        <v>96</v>
      </c>
      <c r="BS1788" t="s">
        <v>5358</v>
      </c>
      <c r="BT1788" t="str">
        <f>HYPERLINK("https%3A%2F%2Fwww.webofscience.com%2Fwos%2Fwoscc%2Ffull-record%2FWOS:000690505600003","View Full Record in Web of Science")</f>
        <v>View Full Record in Web of Science</v>
      </c>
    </row>
    <row r="1789" spans="1:72" x14ac:dyDescent="0.15">
      <c r="A1789" t="s">
        <v>98</v>
      </c>
      <c r="B1789" t="s">
        <v>5373</v>
      </c>
      <c r="C1789" t="s">
        <v>74</v>
      </c>
      <c r="D1789" t="s">
        <v>74</v>
      </c>
      <c r="E1789" t="s">
        <v>74</v>
      </c>
      <c r="F1789" t="s">
        <v>5374</v>
      </c>
      <c r="G1789" t="s">
        <v>74</v>
      </c>
      <c r="H1789" t="s">
        <v>74</v>
      </c>
      <c r="I1789" t="s">
        <v>5375</v>
      </c>
      <c r="J1789" t="s">
        <v>1827</v>
      </c>
      <c r="K1789" t="s">
        <v>74</v>
      </c>
      <c r="L1789" t="s">
        <v>74</v>
      </c>
      <c r="M1789" t="s">
        <v>74</v>
      </c>
      <c r="N1789" t="s">
        <v>103</v>
      </c>
      <c r="O1789" t="s">
        <v>74</v>
      </c>
      <c r="P1789" t="s">
        <v>74</v>
      </c>
      <c r="Q1789" t="s">
        <v>74</v>
      </c>
      <c r="R1789" t="s">
        <v>74</v>
      </c>
      <c r="S1789" t="s">
        <v>74</v>
      </c>
      <c r="T1789" t="s">
        <v>5376</v>
      </c>
      <c r="U1789" t="s">
        <v>74</v>
      </c>
      <c r="V1789" t="s">
        <v>5377</v>
      </c>
      <c r="W1789" t="s">
        <v>5378</v>
      </c>
      <c r="X1789" t="s">
        <v>5379</v>
      </c>
      <c r="Y1789" t="s">
        <v>5380</v>
      </c>
      <c r="Z1789" t="s">
        <v>5381</v>
      </c>
      <c r="AA1789" t="s">
        <v>74</v>
      </c>
      <c r="AB1789" t="s">
        <v>5382</v>
      </c>
      <c r="AC1789" t="s">
        <v>74</v>
      </c>
      <c r="AD1789" t="s">
        <v>74</v>
      </c>
      <c r="AE1789" t="s">
        <v>74</v>
      </c>
      <c r="AF1789" t="s">
        <v>74</v>
      </c>
      <c r="AG1789">
        <v>51</v>
      </c>
      <c r="AH1789">
        <v>1</v>
      </c>
      <c r="AI1789">
        <v>1</v>
      </c>
      <c r="AJ1789">
        <v>3</v>
      </c>
      <c r="AK1789">
        <v>7</v>
      </c>
      <c r="AL1789" t="s">
        <v>74</v>
      </c>
      <c r="AM1789" t="s">
        <v>74</v>
      </c>
      <c r="AN1789" t="s">
        <v>74</v>
      </c>
      <c r="AO1789" t="s">
        <v>74</v>
      </c>
      <c r="AP1789" t="s">
        <v>1836</v>
      </c>
      <c r="AQ1789" t="s">
        <v>74</v>
      </c>
      <c r="AR1789" t="s">
        <v>74</v>
      </c>
      <c r="AS1789" t="s">
        <v>74</v>
      </c>
      <c r="AT1789" t="s">
        <v>132</v>
      </c>
      <c r="AU1789">
        <v>2021</v>
      </c>
      <c r="AV1789">
        <v>10</v>
      </c>
      <c r="AW1789">
        <v>4</v>
      </c>
      <c r="AX1789" t="s">
        <v>74</v>
      </c>
      <c r="AY1789" t="s">
        <v>74</v>
      </c>
      <c r="AZ1789" t="s">
        <v>74</v>
      </c>
      <c r="BA1789" t="s">
        <v>74</v>
      </c>
      <c r="BB1789" t="s">
        <v>74</v>
      </c>
      <c r="BC1789" t="s">
        <v>74</v>
      </c>
      <c r="BD1789">
        <v>819</v>
      </c>
      <c r="BE1789" t="s">
        <v>5383</v>
      </c>
      <c r="BF1789" t="str">
        <f>HYPERLINK("http://dx.doi.org/10.3390/cells10040819","http://dx.doi.org/10.3390/cells10040819")</f>
        <v>http://dx.doi.org/10.3390/cells10040819</v>
      </c>
      <c r="BG1789" t="s">
        <v>74</v>
      </c>
      <c r="BH1789" t="s">
        <v>74</v>
      </c>
      <c r="BI1789" t="s">
        <v>74</v>
      </c>
      <c r="BJ1789" t="s">
        <v>135</v>
      </c>
      <c r="BK1789" t="s">
        <v>117</v>
      </c>
      <c r="BL1789" t="s">
        <v>135</v>
      </c>
      <c r="BM1789" t="s">
        <v>74</v>
      </c>
      <c r="BN1789">
        <v>33917426</v>
      </c>
      <c r="BO1789" t="s">
        <v>74</v>
      </c>
      <c r="BP1789" t="s">
        <v>74</v>
      </c>
      <c r="BQ1789" t="s">
        <v>74</v>
      </c>
      <c r="BR1789" t="s">
        <v>96</v>
      </c>
      <c r="BS1789" t="s">
        <v>5384</v>
      </c>
      <c r="BT1789" t="str">
        <f>HYPERLINK("https%3A%2F%2Fwww.webofscience.com%2Fwos%2Fwoscc%2Ffull-record%2FWOS:000642852400001","View Full Record in Web of Science")</f>
        <v>View Full Record in Web of Science</v>
      </c>
    </row>
    <row r="1790" spans="1:72" x14ac:dyDescent="0.15">
      <c r="A1790" t="s">
        <v>98</v>
      </c>
      <c r="B1790" t="s">
        <v>5537</v>
      </c>
      <c r="C1790" t="s">
        <v>74</v>
      </c>
      <c r="D1790" t="s">
        <v>74</v>
      </c>
      <c r="E1790" t="s">
        <v>74</v>
      </c>
      <c r="F1790" t="s">
        <v>5538</v>
      </c>
      <c r="G1790" t="s">
        <v>74</v>
      </c>
      <c r="H1790" t="s">
        <v>74</v>
      </c>
      <c r="I1790" t="s">
        <v>5539</v>
      </c>
      <c r="J1790" t="s">
        <v>5540</v>
      </c>
      <c r="K1790" t="s">
        <v>74</v>
      </c>
      <c r="L1790" t="s">
        <v>74</v>
      </c>
      <c r="M1790" t="s">
        <v>74</v>
      </c>
      <c r="N1790" t="s">
        <v>103</v>
      </c>
      <c r="O1790" t="s">
        <v>74</v>
      </c>
      <c r="P1790" t="s">
        <v>74</v>
      </c>
      <c r="Q1790" t="s">
        <v>74</v>
      </c>
      <c r="R1790" t="s">
        <v>74</v>
      </c>
      <c r="S1790" t="s">
        <v>74</v>
      </c>
      <c r="T1790" t="s">
        <v>5541</v>
      </c>
      <c r="U1790" t="s">
        <v>5542</v>
      </c>
      <c r="V1790" t="s">
        <v>5543</v>
      </c>
      <c r="W1790" t="s">
        <v>5544</v>
      </c>
      <c r="X1790" t="s">
        <v>5545</v>
      </c>
      <c r="Y1790" t="s">
        <v>5546</v>
      </c>
      <c r="Z1790" t="s">
        <v>5547</v>
      </c>
      <c r="AA1790" t="s">
        <v>5548</v>
      </c>
      <c r="AB1790" t="s">
        <v>5549</v>
      </c>
      <c r="AC1790" t="s">
        <v>74</v>
      </c>
      <c r="AD1790" t="s">
        <v>74</v>
      </c>
      <c r="AE1790" t="s">
        <v>74</v>
      </c>
      <c r="AF1790" t="s">
        <v>74</v>
      </c>
      <c r="AG1790">
        <v>39</v>
      </c>
      <c r="AH1790">
        <v>1</v>
      </c>
      <c r="AI1790">
        <v>1</v>
      </c>
      <c r="AJ1790">
        <v>10</v>
      </c>
      <c r="AK1790">
        <v>14</v>
      </c>
      <c r="AL1790" t="s">
        <v>74</v>
      </c>
      <c r="AM1790" t="s">
        <v>74</v>
      </c>
      <c r="AN1790" t="s">
        <v>74</v>
      </c>
      <c r="AO1790" t="s">
        <v>5550</v>
      </c>
      <c r="AP1790" t="s">
        <v>5551</v>
      </c>
      <c r="AQ1790" t="s">
        <v>74</v>
      </c>
      <c r="AR1790" t="s">
        <v>74</v>
      </c>
      <c r="AS1790" t="s">
        <v>74</v>
      </c>
      <c r="AT1790" t="s">
        <v>230</v>
      </c>
      <c r="AU1790">
        <v>2022</v>
      </c>
      <c r="AV1790">
        <v>43</v>
      </c>
      <c r="AW1790">
        <v>8</v>
      </c>
      <c r="AX1790" t="s">
        <v>74</v>
      </c>
      <c r="AY1790" t="s">
        <v>74</v>
      </c>
      <c r="AZ1790" t="s">
        <v>74</v>
      </c>
      <c r="BA1790" t="s">
        <v>74</v>
      </c>
      <c r="BB1790">
        <v>2026</v>
      </c>
      <c r="BC1790">
        <v>2041</v>
      </c>
      <c r="BD1790" t="s">
        <v>74</v>
      </c>
      <c r="BE1790" t="s">
        <v>5552</v>
      </c>
      <c r="BF1790" t="str">
        <f>HYPERLINK("http://dx.doi.org/10.1038/s41401-021-00843-w","http://dx.doi.org/10.1038/s41401-021-00843-w")</f>
        <v>http://dx.doi.org/10.1038/s41401-021-00843-w</v>
      </c>
      <c r="BG1790" t="s">
        <v>74</v>
      </c>
      <c r="BH1790" t="s">
        <v>5553</v>
      </c>
      <c r="BI1790" t="s">
        <v>74</v>
      </c>
      <c r="BJ1790" t="s">
        <v>396</v>
      </c>
      <c r="BK1790" t="s">
        <v>117</v>
      </c>
      <c r="BL1790" t="s">
        <v>397</v>
      </c>
      <c r="BM1790" t="s">
        <v>74</v>
      </c>
      <c r="BN1790">
        <v>35027662</v>
      </c>
      <c r="BO1790" t="s">
        <v>74</v>
      </c>
      <c r="BP1790" t="s">
        <v>74</v>
      </c>
      <c r="BQ1790" t="s">
        <v>74</v>
      </c>
      <c r="BR1790" t="s">
        <v>96</v>
      </c>
      <c r="BS1790" t="s">
        <v>5554</v>
      </c>
      <c r="BT1790" t="str">
        <f>HYPERLINK("https%3A%2F%2Fwww.webofscience.com%2Fwos%2Fwoscc%2Ffull-record%2FWOS:000742317600001","View Full Record in Web of Science")</f>
        <v>View Full Record in Web of Science</v>
      </c>
    </row>
    <row r="1791" spans="1:72" x14ac:dyDescent="0.15">
      <c r="A1791" t="s">
        <v>98</v>
      </c>
      <c r="B1791" t="s">
        <v>5958</v>
      </c>
      <c r="C1791" t="s">
        <v>74</v>
      </c>
      <c r="D1791" t="s">
        <v>74</v>
      </c>
      <c r="E1791" t="s">
        <v>74</v>
      </c>
      <c r="F1791" t="s">
        <v>5959</v>
      </c>
      <c r="G1791" t="s">
        <v>74</v>
      </c>
      <c r="H1791" t="s">
        <v>74</v>
      </c>
      <c r="I1791" t="s">
        <v>5960</v>
      </c>
      <c r="J1791" t="s">
        <v>817</v>
      </c>
      <c r="K1791" t="s">
        <v>74</v>
      </c>
      <c r="L1791" t="s">
        <v>74</v>
      </c>
      <c r="M1791" t="s">
        <v>74</v>
      </c>
      <c r="N1791" t="s">
        <v>103</v>
      </c>
      <c r="O1791" t="s">
        <v>74</v>
      </c>
      <c r="P1791" t="s">
        <v>74</v>
      </c>
      <c r="Q1791" t="s">
        <v>74</v>
      </c>
      <c r="R1791" t="s">
        <v>74</v>
      </c>
      <c r="S1791" t="s">
        <v>74</v>
      </c>
      <c r="T1791" t="s">
        <v>5961</v>
      </c>
      <c r="U1791" t="s">
        <v>5962</v>
      </c>
      <c r="V1791" t="s">
        <v>5963</v>
      </c>
      <c r="W1791" t="s">
        <v>5964</v>
      </c>
      <c r="X1791" t="s">
        <v>5965</v>
      </c>
      <c r="Y1791" t="s">
        <v>5966</v>
      </c>
      <c r="Z1791" t="s">
        <v>5967</v>
      </c>
      <c r="AA1791" t="s">
        <v>74</v>
      </c>
      <c r="AB1791" t="s">
        <v>5968</v>
      </c>
      <c r="AC1791" t="s">
        <v>74</v>
      </c>
      <c r="AD1791" t="s">
        <v>74</v>
      </c>
      <c r="AE1791" t="s">
        <v>74</v>
      </c>
      <c r="AF1791" t="s">
        <v>74</v>
      </c>
      <c r="AG1791">
        <v>34</v>
      </c>
      <c r="AH1791">
        <v>1</v>
      </c>
      <c r="AI1791">
        <v>2</v>
      </c>
      <c r="AJ1791">
        <v>0</v>
      </c>
      <c r="AK1791">
        <v>5</v>
      </c>
      <c r="AL1791" t="s">
        <v>74</v>
      </c>
      <c r="AM1791" t="s">
        <v>74</v>
      </c>
      <c r="AN1791" t="s">
        <v>74</v>
      </c>
      <c r="AO1791" t="s">
        <v>74</v>
      </c>
      <c r="AP1791" t="s">
        <v>827</v>
      </c>
      <c r="AQ1791" t="s">
        <v>74</v>
      </c>
      <c r="AR1791" t="s">
        <v>74</v>
      </c>
      <c r="AS1791" t="s">
        <v>74</v>
      </c>
      <c r="AT1791" t="s">
        <v>1029</v>
      </c>
      <c r="AU1791">
        <v>2021</v>
      </c>
      <c r="AV1791">
        <v>22</v>
      </c>
      <c r="AW1791">
        <v>9</v>
      </c>
      <c r="AX1791" t="s">
        <v>74</v>
      </c>
      <c r="AY1791" t="s">
        <v>74</v>
      </c>
      <c r="AZ1791" t="s">
        <v>74</v>
      </c>
      <c r="BA1791" t="s">
        <v>74</v>
      </c>
      <c r="BB1791" t="s">
        <v>74</v>
      </c>
      <c r="BC1791" t="s">
        <v>74</v>
      </c>
      <c r="BD1791">
        <v>4608</v>
      </c>
      <c r="BE1791" t="s">
        <v>5969</v>
      </c>
      <c r="BF1791" t="str">
        <f>HYPERLINK("http://dx.doi.org/10.3390/ijms22094608","http://dx.doi.org/10.3390/ijms22094608")</f>
        <v>http://dx.doi.org/10.3390/ijms22094608</v>
      </c>
      <c r="BG1791" t="s">
        <v>74</v>
      </c>
      <c r="BH1791" t="s">
        <v>74</v>
      </c>
      <c r="BI1791" t="s">
        <v>74</v>
      </c>
      <c r="BJ1791" t="s">
        <v>830</v>
      </c>
      <c r="BK1791" t="s">
        <v>117</v>
      </c>
      <c r="BL1791" t="s">
        <v>831</v>
      </c>
      <c r="BM1791" t="s">
        <v>74</v>
      </c>
      <c r="BN1791">
        <v>33925708</v>
      </c>
      <c r="BO1791" t="s">
        <v>74</v>
      </c>
      <c r="BP1791" t="s">
        <v>74</v>
      </c>
      <c r="BQ1791" t="s">
        <v>74</v>
      </c>
      <c r="BR1791" t="s">
        <v>96</v>
      </c>
      <c r="BS1791" t="s">
        <v>5970</v>
      </c>
      <c r="BT1791" t="str">
        <f>HYPERLINK("https%3A%2F%2Fwww.webofscience.com%2Fwos%2Fwoscc%2Ffull-record%2FWOS:000650376600001","View Full Record in Web of Science")</f>
        <v>View Full Record in Web of Science</v>
      </c>
    </row>
    <row r="1792" spans="1:72" x14ac:dyDescent="0.15">
      <c r="A1792" t="s">
        <v>98</v>
      </c>
      <c r="B1792" t="s">
        <v>6286</v>
      </c>
      <c r="C1792" t="s">
        <v>74</v>
      </c>
      <c r="D1792" t="s">
        <v>74</v>
      </c>
      <c r="E1792" t="s">
        <v>74</v>
      </c>
      <c r="F1792" t="s">
        <v>6287</v>
      </c>
      <c r="G1792" t="s">
        <v>74</v>
      </c>
      <c r="H1792" t="s">
        <v>74</v>
      </c>
      <c r="I1792" t="s">
        <v>6288</v>
      </c>
      <c r="J1792" t="s">
        <v>1972</v>
      </c>
      <c r="K1792" t="s">
        <v>74</v>
      </c>
      <c r="L1792" t="s">
        <v>74</v>
      </c>
      <c r="M1792" t="s">
        <v>74</v>
      </c>
      <c r="N1792" t="s">
        <v>103</v>
      </c>
      <c r="O1792" t="s">
        <v>74</v>
      </c>
      <c r="P1792" t="s">
        <v>74</v>
      </c>
      <c r="Q1792" t="s">
        <v>74</v>
      </c>
      <c r="R1792" t="s">
        <v>74</v>
      </c>
      <c r="S1792" t="s">
        <v>74</v>
      </c>
      <c r="T1792" t="s">
        <v>6289</v>
      </c>
      <c r="U1792" t="s">
        <v>6290</v>
      </c>
      <c r="V1792" t="s">
        <v>6291</v>
      </c>
      <c r="W1792" t="s">
        <v>6292</v>
      </c>
      <c r="X1792" t="s">
        <v>6293</v>
      </c>
      <c r="Y1792" t="s">
        <v>6294</v>
      </c>
      <c r="Z1792" t="s">
        <v>6295</v>
      </c>
      <c r="AA1792" t="s">
        <v>6296</v>
      </c>
      <c r="AB1792" t="s">
        <v>6297</v>
      </c>
      <c r="AC1792" t="s">
        <v>74</v>
      </c>
      <c r="AD1792" t="s">
        <v>74</v>
      </c>
      <c r="AE1792" t="s">
        <v>74</v>
      </c>
      <c r="AF1792" t="s">
        <v>74</v>
      </c>
      <c r="AG1792">
        <v>65</v>
      </c>
      <c r="AH1792">
        <v>1</v>
      </c>
      <c r="AI1792">
        <v>1</v>
      </c>
      <c r="AJ1792">
        <v>12</v>
      </c>
      <c r="AK1792">
        <v>12</v>
      </c>
      <c r="AL1792" t="s">
        <v>74</v>
      </c>
      <c r="AM1792" t="s">
        <v>74</v>
      </c>
      <c r="AN1792" t="s">
        <v>74</v>
      </c>
      <c r="AO1792" t="s">
        <v>1980</v>
      </c>
      <c r="AP1792" t="s">
        <v>1981</v>
      </c>
      <c r="AQ1792" t="s">
        <v>74</v>
      </c>
      <c r="AR1792" t="s">
        <v>74</v>
      </c>
      <c r="AS1792" t="s">
        <v>74</v>
      </c>
      <c r="AT1792" t="s">
        <v>1029</v>
      </c>
      <c r="AU1792">
        <v>2022</v>
      </c>
      <c r="AV1792">
        <v>284</v>
      </c>
      <c r="AW1792" t="s">
        <v>74</v>
      </c>
      <c r="AX1792" t="s">
        <v>74</v>
      </c>
      <c r="AY1792" t="s">
        <v>74</v>
      </c>
      <c r="AZ1792" t="s">
        <v>74</v>
      </c>
      <c r="BA1792" t="s">
        <v>74</v>
      </c>
      <c r="BB1792" t="s">
        <v>74</v>
      </c>
      <c r="BC1792" t="s">
        <v>74</v>
      </c>
      <c r="BD1792">
        <v>121486</v>
      </c>
      <c r="BE1792" t="s">
        <v>6298</v>
      </c>
      <c r="BF1792" t="str">
        <f>HYPERLINK("http://dx.doi.org/10.1016/j.biomaterials.2022.121486","http://dx.doi.org/10.1016/j.biomaterials.2022.121486")</f>
        <v>http://dx.doi.org/10.1016/j.biomaterials.2022.121486</v>
      </c>
      <c r="BG1792" t="s">
        <v>74</v>
      </c>
      <c r="BH1792" t="s">
        <v>74</v>
      </c>
      <c r="BI1792" t="s">
        <v>74</v>
      </c>
      <c r="BJ1792" t="s">
        <v>1983</v>
      </c>
      <c r="BK1792" t="s">
        <v>117</v>
      </c>
      <c r="BL1792" t="s">
        <v>1984</v>
      </c>
      <c r="BM1792" t="s">
        <v>74</v>
      </c>
      <c r="BN1792">
        <v>35447404</v>
      </c>
      <c r="BO1792" t="s">
        <v>74</v>
      </c>
      <c r="BP1792" t="s">
        <v>74</v>
      </c>
      <c r="BQ1792" t="s">
        <v>74</v>
      </c>
      <c r="BR1792" t="s">
        <v>96</v>
      </c>
      <c r="BS1792" t="s">
        <v>6299</v>
      </c>
      <c r="BT1792" t="str">
        <f>HYPERLINK("https%3A%2F%2Fwww.webofscience.com%2Fwos%2Fwoscc%2Ffull-record%2FWOS:000807679000001","View Full Record in Web of Science")</f>
        <v>View Full Record in Web of Science</v>
      </c>
    </row>
    <row r="1793" spans="1:72" x14ac:dyDescent="0.15">
      <c r="A1793" t="s">
        <v>98</v>
      </c>
      <c r="B1793" t="s">
        <v>6376</v>
      </c>
      <c r="C1793" t="s">
        <v>74</v>
      </c>
      <c r="D1793" t="s">
        <v>74</v>
      </c>
      <c r="E1793" t="s">
        <v>74</v>
      </c>
      <c r="F1793" t="s">
        <v>6377</v>
      </c>
      <c r="G1793" t="s">
        <v>74</v>
      </c>
      <c r="H1793" t="s">
        <v>74</v>
      </c>
      <c r="I1793" t="s">
        <v>6378</v>
      </c>
      <c r="J1793" t="s">
        <v>6379</v>
      </c>
      <c r="K1793" t="s">
        <v>74</v>
      </c>
      <c r="L1793" t="s">
        <v>74</v>
      </c>
      <c r="M1793" t="s">
        <v>74</v>
      </c>
      <c r="N1793" t="s">
        <v>103</v>
      </c>
      <c r="O1793" t="s">
        <v>74</v>
      </c>
      <c r="P1793" t="s">
        <v>74</v>
      </c>
      <c r="Q1793" t="s">
        <v>74</v>
      </c>
      <c r="R1793" t="s">
        <v>74</v>
      </c>
      <c r="S1793" t="s">
        <v>74</v>
      </c>
      <c r="T1793" t="s">
        <v>6380</v>
      </c>
      <c r="U1793" t="s">
        <v>6381</v>
      </c>
      <c r="V1793" t="s">
        <v>6382</v>
      </c>
      <c r="W1793" t="s">
        <v>6383</v>
      </c>
      <c r="X1793" t="s">
        <v>6384</v>
      </c>
      <c r="Y1793" t="s">
        <v>6385</v>
      </c>
      <c r="Z1793" t="s">
        <v>6386</v>
      </c>
      <c r="AA1793" t="s">
        <v>6387</v>
      </c>
      <c r="AB1793" t="s">
        <v>6388</v>
      </c>
      <c r="AC1793" t="s">
        <v>74</v>
      </c>
      <c r="AD1793" t="s">
        <v>74</v>
      </c>
      <c r="AE1793" t="s">
        <v>74</v>
      </c>
      <c r="AF1793" t="s">
        <v>74</v>
      </c>
      <c r="AG1793">
        <v>49</v>
      </c>
      <c r="AH1793">
        <v>1</v>
      </c>
      <c r="AI1793">
        <v>1</v>
      </c>
      <c r="AJ1793">
        <v>8</v>
      </c>
      <c r="AK1793">
        <v>8</v>
      </c>
      <c r="AL1793" t="s">
        <v>74</v>
      </c>
      <c r="AM1793" t="s">
        <v>74</v>
      </c>
      <c r="AN1793" t="s">
        <v>74</v>
      </c>
      <c r="AO1793" t="s">
        <v>6389</v>
      </c>
      <c r="AP1793" t="s">
        <v>6390</v>
      </c>
      <c r="AQ1793" t="s">
        <v>74</v>
      </c>
      <c r="AR1793" t="s">
        <v>74</v>
      </c>
      <c r="AS1793" t="s">
        <v>74</v>
      </c>
      <c r="AT1793" t="s">
        <v>6391</v>
      </c>
      <c r="AU1793">
        <v>2022</v>
      </c>
      <c r="AV1793">
        <v>41</v>
      </c>
      <c r="AW1793">
        <v>11</v>
      </c>
      <c r="AX1793" t="s">
        <v>74</v>
      </c>
      <c r="AY1793" t="s">
        <v>74</v>
      </c>
      <c r="AZ1793" t="s">
        <v>74</v>
      </c>
      <c r="BA1793" t="s">
        <v>74</v>
      </c>
      <c r="BB1793" t="s">
        <v>74</v>
      </c>
      <c r="BC1793" t="s">
        <v>74</v>
      </c>
      <c r="BD1793" t="s">
        <v>6392</v>
      </c>
      <c r="BE1793" t="s">
        <v>6393</v>
      </c>
      <c r="BF1793" t="str">
        <f>HYPERLINK("http://dx.doi.org/10.15252/embj.2021109902","http://dx.doi.org/10.15252/embj.2021109902")</f>
        <v>http://dx.doi.org/10.15252/embj.2021109902</v>
      </c>
      <c r="BG1793" t="s">
        <v>74</v>
      </c>
      <c r="BH1793" t="s">
        <v>6394</v>
      </c>
      <c r="BI1793" t="s">
        <v>74</v>
      </c>
      <c r="BJ1793" t="s">
        <v>498</v>
      </c>
      <c r="BK1793" t="s">
        <v>117</v>
      </c>
      <c r="BL1793" t="s">
        <v>498</v>
      </c>
      <c r="BM1793" t="s">
        <v>74</v>
      </c>
      <c r="BN1793">
        <v>35343600</v>
      </c>
      <c r="BO1793" t="s">
        <v>74</v>
      </c>
      <c r="BP1793" t="s">
        <v>74</v>
      </c>
      <c r="BQ1793" t="s">
        <v>74</v>
      </c>
      <c r="BR1793" t="s">
        <v>96</v>
      </c>
      <c r="BS1793" t="s">
        <v>6395</v>
      </c>
      <c r="BT1793" t="str">
        <f>HYPERLINK("https%3A%2F%2Fwww.webofscience.com%2Fwos%2Fwoscc%2Ffull-record%2FWOS:000773533000001","View Full Record in Web of Science")</f>
        <v>View Full Record in Web of Science</v>
      </c>
    </row>
    <row r="1794" spans="1:72" x14ac:dyDescent="0.15">
      <c r="A1794" t="s">
        <v>98</v>
      </c>
      <c r="B1794" t="s">
        <v>6423</v>
      </c>
      <c r="C1794" t="s">
        <v>74</v>
      </c>
      <c r="D1794" t="s">
        <v>74</v>
      </c>
      <c r="E1794" t="s">
        <v>74</v>
      </c>
      <c r="F1794" t="s">
        <v>6424</v>
      </c>
      <c r="G1794" t="s">
        <v>74</v>
      </c>
      <c r="H1794" t="s">
        <v>74</v>
      </c>
      <c r="I1794" t="s">
        <v>6425</v>
      </c>
      <c r="J1794" t="s">
        <v>6426</v>
      </c>
      <c r="K1794" t="s">
        <v>74</v>
      </c>
      <c r="L1794" t="s">
        <v>74</v>
      </c>
      <c r="M1794" t="s">
        <v>74</v>
      </c>
      <c r="N1794" t="s">
        <v>103</v>
      </c>
      <c r="O1794" t="s">
        <v>74</v>
      </c>
      <c r="P1794" t="s">
        <v>74</v>
      </c>
      <c r="Q1794" t="s">
        <v>74</v>
      </c>
      <c r="R1794" t="s">
        <v>74</v>
      </c>
      <c r="S1794" t="s">
        <v>74</v>
      </c>
      <c r="T1794" t="s">
        <v>6427</v>
      </c>
      <c r="U1794" t="s">
        <v>74</v>
      </c>
      <c r="V1794" t="s">
        <v>6428</v>
      </c>
      <c r="W1794" t="s">
        <v>6429</v>
      </c>
      <c r="X1794" t="s">
        <v>6430</v>
      </c>
      <c r="Y1794" t="s">
        <v>6431</v>
      </c>
      <c r="Z1794" t="s">
        <v>6432</v>
      </c>
      <c r="AA1794" t="s">
        <v>74</v>
      </c>
      <c r="AB1794" t="s">
        <v>74</v>
      </c>
      <c r="AC1794" t="s">
        <v>74</v>
      </c>
      <c r="AD1794" t="s">
        <v>74</v>
      </c>
      <c r="AE1794" t="s">
        <v>74</v>
      </c>
      <c r="AF1794" t="s">
        <v>74</v>
      </c>
      <c r="AG1794">
        <v>26</v>
      </c>
      <c r="AH1794">
        <v>1</v>
      </c>
      <c r="AI1794">
        <v>1</v>
      </c>
      <c r="AJ1794">
        <v>0</v>
      </c>
      <c r="AK1794">
        <v>5</v>
      </c>
      <c r="AL1794" t="s">
        <v>74</v>
      </c>
      <c r="AM1794" t="s">
        <v>74</v>
      </c>
      <c r="AN1794" t="s">
        <v>74</v>
      </c>
      <c r="AO1794" t="s">
        <v>6433</v>
      </c>
      <c r="AP1794" t="s">
        <v>6434</v>
      </c>
      <c r="AQ1794" t="s">
        <v>74</v>
      </c>
      <c r="AR1794" t="s">
        <v>74</v>
      </c>
      <c r="AS1794" t="s">
        <v>74</v>
      </c>
      <c r="AT1794" t="s">
        <v>132</v>
      </c>
      <c r="AU1794">
        <v>2021</v>
      </c>
      <c r="AV1794">
        <v>413</v>
      </c>
      <c r="AW1794">
        <v>9</v>
      </c>
      <c r="AX1794" t="s">
        <v>74</v>
      </c>
      <c r="AY1794" t="s">
        <v>74</v>
      </c>
      <c r="AZ1794" t="s">
        <v>447</v>
      </c>
      <c r="BA1794" t="s">
        <v>74</v>
      </c>
      <c r="BB1794">
        <v>2523</v>
      </c>
      <c r="BC1794">
        <v>2528</v>
      </c>
      <c r="BD1794" t="s">
        <v>74</v>
      </c>
      <c r="BE1794" t="s">
        <v>6435</v>
      </c>
      <c r="BF1794" t="str">
        <f>HYPERLINK("http://dx.doi.org/10.1007/s00216-021-03207-9","http://dx.doi.org/10.1007/s00216-021-03207-9")</f>
        <v>http://dx.doi.org/10.1007/s00216-021-03207-9</v>
      </c>
      <c r="BG1794" t="s">
        <v>74</v>
      </c>
      <c r="BH1794" t="s">
        <v>1557</v>
      </c>
      <c r="BI1794" t="s">
        <v>74</v>
      </c>
      <c r="BJ1794" t="s">
        <v>1939</v>
      </c>
      <c r="BK1794" t="s">
        <v>117</v>
      </c>
      <c r="BL1794" t="s">
        <v>831</v>
      </c>
      <c r="BM1794" t="s">
        <v>74</v>
      </c>
      <c r="BN1794">
        <v>33569647</v>
      </c>
      <c r="BO1794" t="s">
        <v>74</v>
      </c>
      <c r="BP1794" t="s">
        <v>74</v>
      </c>
      <c r="BQ1794" t="s">
        <v>74</v>
      </c>
      <c r="BR1794" t="s">
        <v>96</v>
      </c>
      <c r="BS1794" t="s">
        <v>6436</v>
      </c>
      <c r="BT1794" t="str">
        <f>HYPERLINK("https%3A%2F%2Fwww.webofscience.com%2Fwos%2Fwoscc%2Ffull-record%2FWOS:000616738800001","View Full Record in Web of Science")</f>
        <v>View Full Record in Web of Science</v>
      </c>
    </row>
    <row r="1795" spans="1:72" x14ac:dyDescent="0.15">
      <c r="A1795" t="s">
        <v>98</v>
      </c>
      <c r="B1795" t="s">
        <v>6712</v>
      </c>
      <c r="C1795" t="s">
        <v>74</v>
      </c>
      <c r="D1795" t="s">
        <v>74</v>
      </c>
      <c r="E1795" t="s">
        <v>74</v>
      </c>
      <c r="F1795" t="s">
        <v>6713</v>
      </c>
      <c r="G1795" t="s">
        <v>74</v>
      </c>
      <c r="H1795" t="s">
        <v>74</v>
      </c>
      <c r="I1795" t="s">
        <v>6714</v>
      </c>
      <c r="J1795" t="s">
        <v>6715</v>
      </c>
      <c r="K1795" t="s">
        <v>74</v>
      </c>
      <c r="L1795" t="s">
        <v>74</v>
      </c>
      <c r="M1795" t="s">
        <v>74</v>
      </c>
      <c r="N1795" t="s">
        <v>103</v>
      </c>
      <c r="O1795" t="s">
        <v>74</v>
      </c>
      <c r="P1795" t="s">
        <v>74</v>
      </c>
      <c r="Q1795" t="s">
        <v>74</v>
      </c>
      <c r="R1795" t="s">
        <v>74</v>
      </c>
      <c r="S1795" t="s">
        <v>74</v>
      </c>
      <c r="T1795" t="s">
        <v>6716</v>
      </c>
      <c r="U1795" t="s">
        <v>6717</v>
      </c>
      <c r="V1795" t="s">
        <v>6718</v>
      </c>
      <c r="W1795" t="s">
        <v>6719</v>
      </c>
      <c r="X1795" t="s">
        <v>6720</v>
      </c>
      <c r="Y1795" t="s">
        <v>6721</v>
      </c>
      <c r="Z1795" t="s">
        <v>6722</v>
      </c>
      <c r="AA1795" t="s">
        <v>74</v>
      </c>
      <c r="AB1795" t="s">
        <v>6723</v>
      </c>
      <c r="AC1795" t="s">
        <v>74</v>
      </c>
      <c r="AD1795" t="s">
        <v>74</v>
      </c>
      <c r="AE1795" t="s">
        <v>74</v>
      </c>
      <c r="AF1795" t="s">
        <v>74</v>
      </c>
      <c r="AG1795">
        <v>108</v>
      </c>
      <c r="AH1795">
        <v>1</v>
      </c>
      <c r="AI1795">
        <v>1</v>
      </c>
      <c r="AJ1795">
        <v>8</v>
      </c>
      <c r="AK1795">
        <v>8</v>
      </c>
      <c r="AL1795" t="s">
        <v>74</v>
      </c>
      <c r="AM1795" t="s">
        <v>74</v>
      </c>
      <c r="AN1795" t="s">
        <v>74</v>
      </c>
      <c r="AO1795" t="s">
        <v>74</v>
      </c>
      <c r="AP1795" t="s">
        <v>6724</v>
      </c>
      <c r="AQ1795" t="s">
        <v>74</v>
      </c>
      <c r="AR1795" t="s">
        <v>74</v>
      </c>
      <c r="AS1795" t="s">
        <v>74</v>
      </c>
      <c r="AT1795" t="s">
        <v>565</v>
      </c>
      <c r="AU1795">
        <v>2022</v>
      </c>
      <c r="AV1795">
        <v>11</v>
      </c>
      <c r="AW1795">
        <v>3</v>
      </c>
      <c r="AX1795" t="s">
        <v>74</v>
      </c>
      <c r="AY1795" t="s">
        <v>74</v>
      </c>
      <c r="AZ1795" t="s">
        <v>74</v>
      </c>
      <c r="BA1795" t="s">
        <v>74</v>
      </c>
      <c r="BB1795" t="s">
        <v>74</v>
      </c>
      <c r="BC1795" t="s">
        <v>74</v>
      </c>
      <c r="BD1795">
        <v>464</v>
      </c>
      <c r="BE1795" t="s">
        <v>6725</v>
      </c>
      <c r="BF1795" t="str">
        <f>HYPERLINK("http://dx.doi.org/10.3390/antiox11030464","http://dx.doi.org/10.3390/antiox11030464")</f>
        <v>http://dx.doi.org/10.3390/antiox11030464</v>
      </c>
      <c r="BG1795" t="s">
        <v>74</v>
      </c>
      <c r="BH1795" t="s">
        <v>74</v>
      </c>
      <c r="BI1795" t="s">
        <v>74</v>
      </c>
      <c r="BJ1795" t="s">
        <v>6726</v>
      </c>
      <c r="BK1795" t="s">
        <v>117</v>
      </c>
      <c r="BL1795" t="s">
        <v>6727</v>
      </c>
      <c r="BM1795" t="s">
        <v>74</v>
      </c>
      <c r="BN1795">
        <v>35326114</v>
      </c>
      <c r="BO1795" t="s">
        <v>74</v>
      </c>
      <c r="BP1795" t="s">
        <v>74</v>
      </c>
      <c r="BQ1795" t="s">
        <v>74</v>
      </c>
      <c r="BR1795" t="s">
        <v>96</v>
      </c>
      <c r="BS1795" t="s">
        <v>6728</v>
      </c>
      <c r="BT1795" t="str">
        <f>HYPERLINK("https%3A%2F%2Fwww.webofscience.com%2Fwos%2Fwoscc%2Ffull-record%2FWOS:000776057900001","View Full Record in Web of Science")</f>
        <v>View Full Record in Web of Science</v>
      </c>
    </row>
    <row r="1796" spans="1:72" x14ac:dyDescent="0.15">
      <c r="A1796" t="s">
        <v>98</v>
      </c>
      <c r="B1796" t="s">
        <v>6791</v>
      </c>
      <c r="C1796" t="s">
        <v>74</v>
      </c>
      <c r="D1796" t="s">
        <v>74</v>
      </c>
      <c r="E1796" t="s">
        <v>74</v>
      </c>
      <c r="F1796" t="s">
        <v>6792</v>
      </c>
      <c r="G1796" t="s">
        <v>74</v>
      </c>
      <c r="H1796" t="s">
        <v>74</v>
      </c>
      <c r="I1796" t="s">
        <v>6793</v>
      </c>
      <c r="J1796" t="s">
        <v>6794</v>
      </c>
      <c r="K1796" t="s">
        <v>74</v>
      </c>
      <c r="L1796" t="s">
        <v>74</v>
      </c>
      <c r="M1796" t="s">
        <v>74</v>
      </c>
      <c r="N1796" t="s">
        <v>103</v>
      </c>
      <c r="O1796" t="s">
        <v>74</v>
      </c>
      <c r="P1796" t="s">
        <v>74</v>
      </c>
      <c r="Q1796" t="s">
        <v>74</v>
      </c>
      <c r="R1796" t="s">
        <v>74</v>
      </c>
      <c r="S1796" t="s">
        <v>74</v>
      </c>
      <c r="T1796" t="s">
        <v>6795</v>
      </c>
      <c r="U1796" t="s">
        <v>6796</v>
      </c>
      <c r="V1796" t="s">
        <v>6797</v>
      </c>
      <c r="W1796" t="s">
        <v>6798</v>
      </c>
      <c r="X1796" t="s">
        <v>74</v>
      </c>
      <c r="Y1796" t="s">
        <v>6799</v>
      </c>
      <c r="Z1796" t="s">
        <v>6800</v>
      </c>
      <c r="AA1796" t="s">
        <v>74</v>
      </c>
      <c r="AB1796" t="s">
        <v>74</v>
      </c>
      <c r="AC1796" t="s">
        <v>74</v>
      </c>
      <c r="AD1796" t="s">
        <v>74</v>
      </c>
      <c r="AE1796" t="s">
        <v>74</v>
      </c>
      <c r="AF1796" t="s">
        <v>74</v>
      </c>
      <c r="AG1796">
        <v>67</v>
      </c>
      <c r="AH1796">
        <v>1</v>
      </c>
      <c r="AI1796">
        <v>1</v>
      </c>
      <c r="AJ1796">
        <v>3</v>
      </c>
      <c r="AK1796">
        <v>3</v>
      </c>
      <c r="AL1796" t="s">
        <v>74</v>
      </c>
      <c r="AM1796" t="s">
        <v>74</v>
      </c>
      <c r="AN1796" t="s">
        <v>74</v>
      </c>
      <c r="AO1796" t="s">
        <v>6801</v>
      </c>
      <c r="AP1796" t="s">
        <v>6802</v>
      </c>
      <c r="AQ1796" t="s">
        <v>74</v>
      </c>
      <c r="AR1796" t="s">
        <v>74</v>
      </c>
      <c r="AS1796" t="s">
        <v>74</v>
      </c>
      <c r="AT1796" t="s">
        <v>283</v>
      </c>
      <c r="AU1796">
        <v>2022</v>
      </c>
      <c r="AV1796">
        <v>44</v>
      </c>
      <c r="AW1796">
        <v>2</v>
      </c>
      <c r="AX1796" t="s">
        <v>74</v>
      </c>
      <c r="AY1796" t="s">
        <v>74</v>
      </c>
      <c r="AZ1796" t="s">
        <v>74</v>
      </c>
      <c r="BA1796" t="s">
        <v>74</v>
      </c>
      <c r="BB1796">
        <v>845</v>
      </c>
      <c r="BC1796">
        <v>866</v>
      </c>
      <c r="BD1796" t="s">
        <v>74</v>
      </c>
      <c r="BE1796" t="s">
        <v>6803</v>
      </c>
      <c r="BF1796" t="str">
        <f>HYPERLINK("http://dx.doi.org/10.3390/cimb44020058","http://dx.doi.org/10.3390/cimb44020058")</f>
        <v>http://dx.doi.org/10.3390/cimb44020058</v>
      </c>
      <c r="BG1796" t="s">
        <v>74</v>
      </c>
      <c r="BH1796" t="s">
        <v>74</v>
      </c>
      <c r="BI1796" t="s">
        <v>74</v>
      </c>
      <c r="BJ1796" t="s">
        <v>95</v>
      </c>
      <c r="BK1796" t="s">
        <v>117</v>
      </c>
      <c r="BL1796" t="s">
        <v>95</v>
      </c>
      <c r="BM1796" t="s">
        <v>74</v>
      </c>
      <c r="BN1796">
        <v>35723343</v>
      </c>
      <c r="BO1796" t="s">
        <v>74</v>
      </c>
      <c r="BP1796" t="s">
        <v>74</v>
      </c>
      <c r="BQ1796" t="s">
        <v>74</v>
      </c>
      <c r="BR1796" t="s">
        <v>96</v>
      </c>
      <c r="BS1796" t="s">
        <v>6804</v>
      </c>
      <c r="BT1796" t="str">
        <f>HYPERLINK("https%3A%2F%2Fwww.webofscience.com%2Fwos%2Fwoscc%2Ffull-record%2FWOS:000767172300001","View Full Record in Web of Science")</f>
        <v>View Full Record in Web of Science</v>
      </c>
    </row>
    <row r="1797" spans="1:72" x14ac:dyDescent="0.15">
      <c r="A1797" t="s">
        <v>98</v>
      </c>
      <c r="B1797" t="s">
        <v>6819</v>
      </c>
      <c r="C1797" t="s">
        <v>74</v>
      </c>
      <c r="D1797" t="s">
        <v>74</v>
      </c>
      <c r="E1797" t="s">
        <v>74</v>
      </c>
      <c r="F1797" t="s">
        <v>6820</v>
      </c>
      <c r="G1797" t="s">
        <v>74</v>
      </c>
      <c r="H1797" t="s">
        <v>74</v>
      </c>
      <c r="I1797" t="s">
        <v>6821</v>
      </c>
      <c r="J1797" t="s">
        <v>6822</v>
      </c>
      <c r="K1797" t="s">
        <v>74</v>
      </c>
      <c r="L1797" t="s">
        <v>74</v>
      </c>
      <c r="M1797" t="s">
        <v>74</v>
      </c>
      <c r="N1797" t="s">
        <v>103</v>
      </c>
      <c r="O1797" t="s">
        <v>74</v>
      </c>
      <c r="P1797" t="s">
        <v>74</v>
      </c>
      <c r="Q1797" t="s">
        <v>74</v>
      </c>
      <c r="R1797" t="s">
        <v>74</v>
      </c>
      <c r="S1797" t="s">
        <v>74</v>
      </c>
      <c r="T1797" t="s">
        <v>6823</v>
      </c>
      <c r="U1797" t="s">
        <v>6824</v>
      </c>
      <c r="V1797" t="s">
        <v>6825</v>
      </c>
      <c r="W1797" t="s">
        <v>6826</v>
      </c>
      <c r="X1797" t="s">
        <v>6827</v>
      </c>
      <c r="Y1797" t="s">
        <v>6828</v>
      </c>
      <c r="Z1797" t="s">
        <v>6829</v>
      </c>
      <c r="AA1797" t="s">
        <v>74</v>
      </c>
      <c r="AB1797" t="s">
        <v>6830</v>
      </c>
      <c r="AC1797" t="s">
        <v>74</v>
      </c>
      <c r="AD1797" t="s">
        <v>74</v>
      </c>
      <c r="AE1797" t="s">
        <v>74</v>
      </c>
      <c r="AF1797" t="s">
        <v>74</v>
      </c>
      <c r="AG1797">
        <v>73</v>
      </c>
      <c r="AH1797">
        <v>1</v>
      </c>
      <c r="AI1797">
        <v>1</v>
      </c>
      <c r="AJ1797">
        <v>3</v>
      </c>
      <c r="AK1797">
        <v>3</v>
      </c>
      <c r="AL1797" t="s">
        <v>74</v>
      </c>
      <c r="AM1797" t="s">
        <v>74</v>
      </c>
      <c r="AN1797" t="s">
        <v>74</v>
      </c>
      <c r="AO1797" t="s">
        <v>6831</v>
      </c>
      <c r="AP1797" t="s">
        <v>6832</v>
      </c>
      <c r="AQ1797" t="s">
        <v>74</v>
      </c>
      <c r="AR1797" t="s">
        <v>74</v>
      </c>
      <c r="AS1797" t="s">
        <v>74</v>
      </c>
      <c r="AT1797" t="s">
        <v>230</v>
      </c>
      <c r="AU1797">
        <v>2022</v>
      </c>
      <c r="AV1797">
        <v>257</v>
      </c>
      <c r="AW1797">
        <v>5</v>
      </c>
      <c r="AX1797" t="s">
        <v>74</v>
      </c>
      <c r="AY1797" t="s">
        <v>74</v>
      </c>
      <c r="AZ1797" t="s">
        <v>74</v>
      </c>
      <c r="BA1797" t="s">
        <v>74</v>
      </c>
      <c r="BB1797">
        <v>663</v>
      </c>
      <c r="BC1797">
        <v>673</v>
      </c>
      <c r="BD1797" t="s">
        <v>74</v>
      </c>
      <c r="BE1797" t="s">
        <v>6833</v>
      </c>
      <c r="BF1797" t="str">
        <f>HYPERLINK("http://dx.doi.org/10.1002/path.5920","http://dx.doi.org/10.1002/path.5920")</f>
        <v>http://dx.doi.org/10.1002/path.5920</v>
      </c>
      <c r="BG1797" t="s">
        <v>74</v>
      </c>
      <c r="BH1797" t="s">
        <v>5061</v>
      </c>
      <c r="BI1797" t="s">
        <v>74</v>
      </c>
      <c r="BJ1797" t="s">
        <v>6834</v>
      </c>
      <c r="BK1797" t="s">
        <v>117</v>
      </c>
      <c r="BL1797" t="s">
        <v>6834</v>
      </c>
      <c r="BM1797" t="s">
        <v>74</v>
      </c>
      <c r="BN1797">
        <v>35472162</v>
      </c>
      <c r="BO1797" t="s">
        <v>74</v>
      </c>
      <c r="BP1797" t="s">
        <v>74</v>
      </c>
      <c r="BQ1797" t="s">
        <v>74</v>
      </c>
      <c r="BR1797" t="s">
        <v>96</v>
      </c>
      <c r="BS1797" t="s">
        <v>6835</v>
      </c>
      <c r="BT1797" t="str">
        <f>HYPERLINK("https%3A%2F%2Fwww.webofscience.com%2Fwos%2Fwoscc%2Ffull-record%2FWOS:000809844000001","View Full Record in Web of Science")</f>
        <v>View Full Record in Web of Science</v>
      </c>
    </row>
    <row r="1798" spans="1:72" x14ac:dyDescent="0.15">
      <c r="A1798" t="s">
        <v>98</v>
      </c>
      <c r="B1798" t="s">
        <v>7183</v>
      </c>
      <c r="C1798" t="s">
        <v>74</v>
      </c>
      <c r="D1798" t="s">
        <v>74</v>
      </c>
      <c r="E1798" t="s">
        <v>74</v>
      </c>
      <c r="F1798" t="s">
        <v>7184</v>
      </c>
      <c r="G1798" t="s">
        <v>74</v>
      </c>
      <c r="H1798" t="s">
        <v>74</v>
      </c>
      <c r="I1798" t="s">
        <v>7185</v>
      </c>
      <c r="J1798" t="s">
        <v>7186</v>
      </c>
      <c r="K1798" t="s">
        <v>74</v>
      </c>
      <c r="L1798" t="s">
        <v>74</v>
      </c>
      <c r="M1798" t="s">
        <v>74</v>
      </c>
      <c r="N1798" t="s">
        <v>103</v>
      </c>
      <c r="O1798" t="s">
        <v>74</v>
      </c>
      <c r="P1798" t="s">
        <v>74</v>
      </c>
      <c r="Q1798" t="s">
        <v>74</v>
      </c>
      <c r="R1798" t="s">
        <v>74</v>
      </c>
      <c r="S1798" t="s">
        <v>74</v>
      </c>
      <c r="T1798" t="s">
        <v>7187</v>
      </c>
      <c r="U1798" t="s">
        <v>7188</v>
      </c>
      <c r="V1798" t="s">
        <v>7189</v>
      </c>
      <c r="W1798" t="s">
        <v>7190</v>
      </c>
      <c r="X1798" t="s">
        <v>7191</v>
      </c>
      <c r="Y1798" t="s">
        <v>7192</v>
      </c>
      <c r="Z1798" t="s">
        <v>7193</v>
      </c>
      <c r="AA1798" t="s">
        <v>7194</v>
      </c>
      <c r="AB1798" t="s">
        <v>7195</v>
      </c>
      <c r="AC1798" t="s">
        <v>74</v>
      </c>
      <c r="AD1798" t="s">
        <v>74</v>
      </c>
      <c r="AE1798" t="s">
        <v>74</v>
      </c>
      <c r="AF1798" t="s">
        <v>74</v>
      </c>
      <c r="AG1798">
        <v>102</v>
      </c>
      <c r="AH1798">
        <v>1</v>
      </c>
      <c r="AI1798">
        <v>1</v>
      </c>
      <c r="AJ1798">
        <v>0</v>
      </c>
      <c r="AK1798">
        <v>1</v>
      </c>
      <c r="AL1798" t="s">
        <v>74</v>
      </c>
      <c r="AM1798" t="s">
        <v>74</v>
      </c>
      <c r="AN1798" t="s">
        <v>74</v>
      </c>
      <c r="AO1798" t="s">
        <v>7196</v>
      </c>
      <c r="AP1798" t="s">
        <v>74</v>
      </c>
      <c r="AQ1798" t="s">
        <v>74</v>
      </c>
      <c r="AR1798" t="s">
        <v>74</v>
      </c>
      <c r="AS1798" t="s">
        <v>74</v>
      </c>
      <c r="AT1798" t="s">
        <v>189</v>
      </c>
      <c r="AU1798">
        <v>2020</v>
      </c>
      <c r="AV1798">
        <v>10</v>
      </c>
      <c r="AW1798">
        <v>10</v>
      </c>
      <c r="AX1798" t="s">
        <v>74</v>
      </c>
      <c r="AY1798" t="s">
        <v>74</v>
      </c>
      <c r="AZ1798" t="s">
        <v>74</v>
      </c>
      <c r="BA1798" t="s">
        <v>74</v>
      </c>
      <c r="BB1798">
        <v>2021</v>
      </c>
      <c r="BC1798">
        <v>2039</v>
      </c>
      <c r="BD1798" t="s">
        <v>74</v>
      </c>
      <c r="BE1798" t="s">
        <v>7197</v>
      </c>
      <c r="BF1798" t="str">
        <f>HYPERLINK("http://dx.doi.org/10.1002/2211-5463.12952","http://dx.doi.org/10.1002/2211-5463.12952")</f>
        <v>http://dx.doi.org/10.1002/2211-5463.12952</v>
      </c>
      <c r="BG1798" t="s">
        <v>74</v>
      </c>
      <c r="BH1798" t="s">
        <v>1479</v>
      </c>
      <c r="BI1798" t="s">
        <v>74</v>
      </c>
      <c r="BJ1798" t="s">
        <v>95</v>
      </c>
      <c r="BK1798" t="s">
        <v>117</v>
      </c>
      <c r="BL1798" t="s">
        <v>95</v>
      </c>
      <c r="BM1798" t="s">
        <v>74</v>
      </c>
      <c r="BN1798">
        <v>33017084</v>
      </c>
      <c r="BO1798" t="s">
        <v>74</v>
      </c>
      <c r="BP1798" t="s">
        <v>74</v>
      </c>
      <c r="BQ1798" t="s">
        <v>74</v>
      </c>
      <c r="BR1798" t="s">
        <v>96</v>
      </c>
      <c r="BS1798" t="s">
        <v>7198</v>
      </c>
      <c r="BT1798" t="str">
        <f>HYPERLINK("https%3A%2F%2Fwww.webofscience.com%2Fwos%2Fwoscc%2Ffull-record%2FWOS:000567930700001","View Full Record in Web of Science")</f>
        <v>View Full Record in Web of Science</v>
      </c>
    </row>
    <row r="1799" spans="1:72" x14ac:dyDescent="0.15">
      <c r="A1799" t="s">
        <v>98</v>
      </c>
      <c r="B1799" t="s">
        <v>7693</v>
      </c>
      <c r="C1799" t="s">
        <v>74</v>
      </c>
      <c r="D1799" t="s">
        <v>74</v>
      </c>
      <c r="E1799" t="s">
        <v>74</v>
      </c>
      <c r="F1799" t="s">
        <v>7694</v>
      </c>
      <c r="G1799" t="s">
        <v>74</v>
      </c>
      <c r="H1799" t="s">
        <v>74</v>
      </c>
      <c r="I1799" t="s">
        <v>7695</v>
      </c>
      <c r="J1799" t="s">
        <v>7696</v>
      </c>
      <c r="K1799" t="s">
        <v>74</v>
      </c>
      <c r="L1799" t="s">
        <v>74</v>
      </c>
      <c r="M1799" t="s">
        <v>74</v>
      </c>
      <c r="N1799" t="s">
        <v>103</v>
      </c>
      <c r="O1799" t="s">
        <v>74</v>
      </c>
      <c r="P1799" t="s">
        <v>74</v>
      </c>
      <c r="Q1799" t="s">
        <v>74</v>
      </c>
      <c r="R1799" t="s">
        <v>74</v>
      </c>
      <c r="S1799" t="s">
        <v>74</v>
      </c>
      <c r="T1799" t="s">
        <v>7697</v>
      </c>
      <c r="U1799" t="s">
        <v>7698</v>
      </c>
      <c r="V1799" t="s">
        <v>7699</v>
      </c>
      <c r="W1799" t="s">
        <v>7700</v>
      </c>
      <c r="X1799" t="s">
        <v>7701</v>
      </c>
      <c r="Y1799" t="s">
        <v>7702</v>
      </c>
      <c r="Z1799" t="s">
        <v>7703</v>
      </c>
      <c r="AA1799" t="s">
        <v>74</v>
      </c>
      <c r="AB1799" t="s">
        <v>74</v>
      </c>
      <c r="AC1799" t="s">
        <v>74</v>
      </c>
      <c r="AD1799" t="s">
        <v>74</v>
      </c>
      <c r="AE1799" t="s">
        <v>74</v>
      </c>
      <c r="AF1799" t="s">
        <v>74</v>
      </c>
      <c r="AG1799">
        <v>79</v>
      </c>
      <c r="AH1799">
        <v>1</v>
      </c>
      <c r="AI1799">
        <v>1</v>
      </c>
      <c r="AJ1799">
        <v>0</v>
      </c>
      <c r="AK1799">
        <v>18</v>
      </c>
      <c r="AL1799" t="s">
        <v>74</v>
      </c>
      <c r="AM1799" t="s">
        <v>74</v>
      </c>
      <c r="AN1799" t="s">
        <v>74</v>
      </c>
      <c r="AO1799" t="s">
        <v>7704</v>
      </c>
      <c r="AP1799" t="s">
        <v>7705</v>
      </c>
      <c r="AQ1799" t="s">
        <v>74</v>
      </c>
      <c r="AR1799" t="s">
        <v>74</v>
      </c>
      <c r="AS1799" t="s">
        <v>74</v>
      </c>
      <c r="AT1799" t="s">
        <v>6313</v>
      </c>
      <c r="AU1799">
        <v>2010</v>
      </c>
      <c r="AV1799">
        <v>49</v>
      </c>
      <c r="AW1799">
        <v>4</v>
      </c>
      <c r="AX1799" t="s">
        <v>74</v>
      </c>
      <c r="AY1799" t="s">
        <v>74</v>
      </c>
      <c r="AZ1799" t="s">
        <v>74</v>
      </c>
      <c r="BA1799" t="s">
        <v>74</v>
      </c>
      <c r="BB1799">
        <v>305</v>
      </c>
      <c r="BC1799">
        <v>315</v>
      </c>
      <c r="BD1799" t="s">
        <v>74</v>
      </c>
      <c r="BE1799" t="s">
        <v>74</v>
      </c>
      <c r="BF1799" t="s">
        <v>74</v>
      </c>
      <c r="BG1799" t="s">
        <v>74</v>
      </c>
      <c r="BH1799" t="s">
        <v>74</v>
      </c>
      <c r="BI1799" t="s">
        <v>74</v>
      </c>
      <c r="BJ1799" t="s">
        <v>898</v>
      </c>
      <c r="BK1799" t="s">
        <v>117</v>
      </c>
      <c r="BL1799" t="s">
        <v>898</v>
      </c>
      <c r="BM1799" t="s">
        <v>74</v>
      </c>
      <c r="BN1799" t="s">
        <v>74</v>
      </c>
      <c r="BO1799" t="s">
        <v>74</v>
      </c>
      <c r="BP1799" t="s">
        <v>74</v>
      </c>
      <c r="BQ1799" t="s">
        <v>74</v>
      </c>
      <c r="BR1799" t="s">
        <v>96</v>
      </c>
      <c r="BS1799" t="s">
        <v>7706</v>
      </c>
      <c r="BT1799" t="str">
        <f>HYPERLINK("https%3A%2F%2Fwww.webofscience.com%2Fwos%2Fwoscc%2Ffull-record%2FWOS:000286359100008","View Full Record in Web of Science")</f>
        <v>View Full Record in Web of Science</v>
      </c>
    </row>
    <row r="1800" spans="1:72" x14ac:dyDescent="0.15">
      <c r="A1800" t="s">
        <v>98</v>
      </c>
      <c r="B1800" t="s">
        <v>7707</v>
      </c>
      <c r="C1800" t="s">
        <v>74</v>
      </c>
      <c r="D1800" t="s">
        <v>74</v>
      </c>
      <c r="E1800" t="s">
        <v>74</v>
      </c>
      <c r="F1800" t="s">
        <v>7708</v>
      </c>
      <c r="G1800" t="s">
        <v>74</v>
      </c>
      <c r="H1800" t="s">
        <v>74</v>
      </c>
      <c r="I1800" t="s">
        <v>7709</v>
      </c>
      <c r="J1800" t="s">
        <v>817</v>
      </c>
      <c r="K1800" t="s">
        <v>74</v>
      </c>
      <c r="L1800" t="s">
        <v>74</v>
      </c>
      <c r="M1800" t="s">
        <v>74</v>
      </c>
      <c r="N1800" t="s">
        <v>103</v>
      </c>
      <c r="O1800" t="s">
        <v>74</v>
      </c>
      <c r="P1800" t="s">
        <v>74</v>
      </c>
      <c r="Q1800" t="s">
        <v>74</v>
      </c>
      <c r="R1800" t="s">
        <v>74</v>
      </c>
      <c r="S1800" t="s">
        <v>74</v>
      </c>
      <c r="T1800" t="s">
        <v>7710</v>
      </c>
      <c r="U1800" t="s">
        <v>7711</v>
      </c>
      <c r="V1800" t="s">
        <v>7712</v>
      </c>
      <c r="W1800" t="s">
        <v>7713</v>
      </c>
      <c r="X1800" t="s">
        <v>7714</v>
      </c>
      <c r="Y1800" t="s">
        <v>7715</v>
      </c>
      <c r="Z1800" t="s">
        <v>7716</v>
      </c>
      <c r="AA1800" t="s">
        <v>7717</v>
      </c>
      <c r="AB1800" t="s">
        <v>7718</v>
      </c>
      <c r="AC1800" t="s">
        <v>74</v>
      </c>
      <c r="AD1800" t="s">
        <v>74</v>
      </c>
      <c r="AE1800" t="s">
        <v>74</v>
      </c>
      <c r="AF1800" t="s">
        <v>74</v>
      </c>
      <c r="AG1800">
        <v>38</v>
      </c>
      <c r="AH1800">
        <v>1</v>
      </c>
      <c r="AI1800">
        <v>1</v>
      </c>
      <c r="AJ1800">
        <v>1</v>
      </c>
      <c r="AK1800">
        <v>1</v>
      </c>
      <c r="AL1800" t="s">
        <v>74</v>
      </c>
      <c r="AM1800" t="s">
        <v>74</v>
      </c>
      <c r="AN1800" t="s">
        <v>74</v>
      </c>
      <c r="AO1800" t="s">
        <v>74</v>
      </c>
      <c r="AP1800" t="s">
        <v>827</v>
      </c>
      <c r="AQ1800" t="s">
        <v>74</v>
      </c>
      <c r="AR1800" t="s">
        <v>74</v>
      </c>
      <c r="AS1800" t="s">
        <v>74</v>
      </c>
      <c r="AT1800" t="s">
        <v>132</v>
      </c>
      <c r="AU1800">
        <v>2022</v>
      </c>
      <c r="AV1800">
        <v>23</v>
      </c>
      <c r="AW1800">
        <v>7</v>
      </c>
      <c r="AX1800" t="s">
        <v>74</v>
      </c>
      <c r="AY1800" t="s">
        <v>74</v>
      </c>
      <c r="AZ1800" t="s">
        <v>74</v>
      </c>
      <c r="BA1800" t="s">
        <v>74</v>
      </c>
      <c r="BB1800" t="s">
        <v>74</v>
      </c>
      <c r="BC1800" t="s">
        <v>74</v>
      </c>
      <c r="BD1800">
        <v>3989</v>
      </c>
      <c r="BE1800" t="s">
        <v>7719</v>
      </c>
      <c r="BF1800" t="str">
        <f>HYPERLINK("http://dx.doi.org/10.3390/ijms23073989","http://dx.doi.org/10.3390/ijms23073989")</f>
        <v>http://dx.doi.org/10.3390/ijms23073989</v>
      </c>
      <c r="BG1800" t="s">
        <v>74</v>
      </c>
      <c r="BH1800" t="s">
        <v>74</v>
      </c>
      <c r="BI1800" t="s">
        <v>74</v>
      </c>
      <c r="BJ1800" t="s">
        <v>830</v>
      </c>
      <c r="BK1800" t="s">
        <v>117</v>
      </c>
      <c r="BL1800" t="s">
        <v>831</v>
      </c>
      <c r="BM1800" t="s">
        <v>74</v>
      </c>
      <c r="BN1800">
        <v>35409352</v>
      </c>
      <c r="BO1800" t="s">
        <v>74</v>
      </c>
      <c r="BP1800" t="s">
        <v>74</v>
      </c>
      <c r="BQ1800" t="s">
        <v>74</v>
      </c>
      <c r="BR1800" t="s">
        <v>96</v>
      </c>
      <c r="BS1800" t="s">
        <v>7720</v>
      </c>
      <c r="BT1800" t="str">
        <f>HYPERLINK("https%3A%2F%2Fwww.webofscience.com%2Fwos%2Fwoscc%2Ffull-record%2FWOS:000781574900001","View Full Record in Web of Science")</f>
        <v>View Full Record in Web of Science</v>
      </c>
    </row>
    <row r="1801" spans="1:72" x14ac:dyDescent="0.15">
      <c r="A1801" t="s">
        <v>98</v>
      </c>
      <c r="B1801" t="s">
        <v>7734</v>
      </c>
      <c r="C1801" t="s">
        <v>74</v>
      </c>
      <c r="D1801" t="s">
        <v>74</v>
      </c>
      <c r="E1801" t="s">
        <v>74</v>
      </c>
      <c r="F1801" t="s">
        <v>7735</v>
      </c>
      <c r="G1801" t="s">
        <v>74</v>
      </c>
      <c r="H1801" t="s">
        <v>74</v>
      </c>
      <c r="I1801" t="s">
        <v>7736</v>
      </c>
      <c r="J1801" t="s">
        <v>7737</v>
      </c>
      <c r="K1801" t="s">
        <v>74</v>
      </c>
      <c r="L1801" t="s">
        <v>74</v>
      </c>
      <c r="M1801" t="s">
        <v>74</v>
      </c>
      <c r="N1801" t="s">
        <v>103</v>
      </c>
      <c r="O1801" t="s">
        <v>74</v>
      </c>
      <c r="P1801" t="s">
        <v>74</v>
      </c>
      <c r="Q1801" t="s">
        <v>74</v>
      </c>
      <c r="R1801" t="s">
        <v>74</v>
      </c>
      <c r="S1801" t="s">
        <v>74</v>
      </c>
      <c r="T1801" t="s">
        <v>7738</v>
      </c>
      <c r="U1801" t="s">
        <v>74</v>
      </c>
      <c r="V1801" t="s">
        <v>7739</v>
      </c>
      <c r="W1801" t="s">
        <v>7740</v>
      </c>
      <c r="X1801" t="s">
        <v>7741</v>
      </c>
      <c r="Y1801" t="s">
        <v>7742</v>
      </c>
      <c r="Z1801" t="s">
        <v>7743</v>
      </c>
      <c r="AA1801" t="s">
        <v>74</v>
      </c>
      <c r="AB1801" t="s">
        <v>74</v>
      </c>
      <c r="AC1801" t="s">
        <v>74</v>
      </c>
      <c r="AD1801" t="s">
        <v>74</v>
      </c>
      <c r="AE1801" t="s">
        <v>74</v>
      </c>
      <c r="AF1801" t="s">
        <v>74</v>
      </c>
      <c r="AG1801">
        <v>37</v>
      </c>
      <c r="AH1801">
        <v>1</v>
      </c>
      <c r="AI1801">
        <v>1</v>
      </c>
      <c r="AJ1801">
        <v>73</v>
      </c>
      <c r="AK1801">
        <v>73</v>
      </c>
      <c r="AL1801" t="s">
        <v>74</v>
      </c>
      <c r="AM1801" t="s">
        <v>74</v>
      </c>
      <c r="AN1801" t="s">
        <v>74</v>
      </c>
      <c r="AO1801" t="s">
        <v>7744</v>
      </c>
      <c r="AP1801" t="s">
        <v>7745</v>
      </c>
      <c r="AQ1801" t="s">
        <v>74</v>
      </c>
      <c r="AR1801" t="s">
        <v>74</v>
      </c>
      <c r="AS1801" t="s">
        <v>74</v>
      </c>
      <c r="AT1801" t="s">
        <v>1570</v>
      </c>
      <c r="AU1801">
        <v>2022</v>
      </c>
      <c r="AV1801">
        <v>431</v>
      </c>
      <c r="AW1801" t="s">
        <v>74</v>
      </c>
      <c r="AX1801">
        <v>1</v>
      </c>
      <c r="AY1801" t="s">
        <v>74</v>
      </c>
      <c r="AZ1801" t="s">
        <v>74</v>
      </c>
      <c r="BA1801" t="s">
        <v>74</v>
      </c>
      <c r="BB1801" t="s">
        <v>74</v>
      </c>
      <c r="BC1801" t="s">
        <v>74</v>
      </c>
      <c r="BD1801">
        <v>133849</v>
      </c>
      <c r="BE1801" t="s">
        <v>7746</v>
      </c>
      <c r="BF1801" t="str">
        <f>HYPERLINK("http://dx.doi.org/10.1016/j.cej.2021.133849","http://dx.doi.org/10.1016/j.cej.2021.133849")</f>
        <v>http://dx.doi.org/10.1016/j.cej.2021.133849</v>
      </c>
      <c r="BG1801" t="s">
        <v>74</v>
      </c>
      <c r="BH1801" t="s">
        <v>74</v>
      </c>
      <c r="BI1801" t="s">
        <v>74</v>
      </c>
      <c r="BJ1801" t="s">
        <v>7747</v>
      </c>
      <c r="BK1801" t="s">
        <v>117</v>
      </c>
      <c r="BL1801" t="s">
        <v>7748</v>
      </c>
      <c r="BM1801" t="s">
        <v>74</v>
      </c>
      <c r="BN1801" t="s">
        <v>74</v>
      </c>
      <c r="BO1801" t="s">
        <v>74</v>
      </c>
      <c r="BP1801" t="s">
        <v>74</v>
      </c>
      <c r="BQ1801" t="s">
        <v>74</v>
      </c>
      <c r="BR1801" t="s">
        <v>96</v>
      </c>
      <c r="BS1801" t="s">
        <v>7749</v>
      </c>
      <c r="BT1801" t="str">
        <f>HYPERLINK("https%3A%2F%2Fwww.webofscience.com%2Fwos%2Fwoscc%2Ffull-record%2FWOS:000770311200003","View Full Record in Web of Science")</f>
        <v>View Full Record in Web of Science</v>
      </c>
    </row>
    <row r="1802" spans="1:72" x14ac:dyDescent="0.15">
      <c r="A1802" t="s">
        <v>98</v>
      </c>
      <c r="B1802" t="s">
        <v>7808</v>
      </c>
      <c r="C1802" t="s">
        <v>74</v>
      </c>
      <c r="D1802" t="s">
        <v>74</v>
      </c>
      <c r="E1802" t="s">
        <v>74</v>
      </c>
      <c r="F1802" t="s">
        <v>7809</v>
      </c>
      <c r="G1802" t="s">
        <v>74</v>
      </c>
      <c r="H1802" t="s">
        <v>74</v>
      </c>
      <c r="I1802" t="s">
        <v>7810</v>
      </c>
      <c r="J1802" t="s">
        <v>7811</v>
      </c>
      <c r="K1802" t="s">
        <v>74</v>
      </c>
      <c r="L1802" t="s">
        <v>74</v>
      </c>
      <c r="M1802" t="s">
        <v>74</v>
      </c>
      <c r="N1802" t="s">
        <v>103</v>
      </c>
      <c r="O1802" t="s">
        <v>74</v>
      </c>
      <c r="P1802" t="s">
        <v>74</v>
      </c>
      <c r="Q1802" t="s">
        <v>74</v>
      </c>
      <c r="R1802" t="s">
        <v>74</v>
      </c>
      <c r="S1802" t="s">
        <v>74</v>
      </c>
      <c r="T1802" t="s">
        <v>7812</v>
      </c>
      <c r="U1802" t="s">
        <v>7813</v>
      </c>
      <c r="V1802" t="s">
        <v>7814</v>
      </c>
      <c r="W1802" t="s">
        <v>7815</v>
      </c>
      <c r="X1802" t="s">
        <v>7816</v>
      </c>
      <c r="Y1802" t="s">
        <v>7817</v>
      </c>
      <c r="Z1802" t="s">
        <v>7818</v>
      </c>
      <c r="AA1802" t="s">
        <v>7819</v>
      </c>
      <c r="AB1802" t="s">
        <v>7820</v>
      </c>
      <c r="AC1802" t="s">
        <v>74</v>
      </c>
      <c r="AD1802" t="s">
        <v>74</v>
      </c>
      <c r="AE1802" t="s">
        <v>74</v>
      </c>
      <c r="AF1802" t="s">
        <v>74</v>
      </c>
      <c r="AG1802">
        <v>44</v>
      </c>
      <c r="AH1802">
        <v>1</v>
      </c>
      <c r="AI1802">
        <v>1</v>
      </c>
      <c r="AJ1802">
        <v>1</v>
      </c>
      <c r="AK1802">
        <v>3</v>
      </c>
      <c r="AL1802" t="s">
        <v>74</v>
      </c>
      <c r="AM1802" t="s">
        <v>74</v>
      </c>
      <c r="AN1802" t="s">
        <v>74</v>
      </c>
      <c r="AO1802" t="s">
        <v>7821</v>
      </c>
      <c r="AP1802" t="s">
        <v>7822</v>
      </c>
      <c r="AQ1802" t="s">
        <v>74</v>
      </c>
      <c r="AR1802" t="s">
        <v>74</v>
      </c>
      <c r="AS1802" t="s">
        <v>74</v>
      </c>
      <c r="AT1802" t="s">
        <v>967</v>
      </c>
      <c r="AU1802">
        <v>2021</v>
      </c>
      <c r="AV1802">
        <v>48</v>
      </c>
      <c r="AW1802">
        <v>6</v>
      </c>
      <c r="AX1802" t="s">
        <v>74</v>
      </c>
      <c r="AY1802" t="s">
        <v>74</v>
      </c>
      <c r="AZ1802" t="s">
        <v>74</v>
      </c>
      <c r="BA1802" t="s">
        <v>74</v>
      </c>
      <c r="BB1802" t="s">
        <v>74</v>
      </c>
      <c r="BC1802" t="s">
        <v>74</v>
      </c>
      <c r="BD1802">
        <v>216</v>
      </c>
      <c r="BE1802" t="s">
        <v>7823</v>
      </c>
      <c r="BF1802" t="str">
        <f>HYPERLINK("http://dx.doi.org/10.3892/ijmm.2021.5049","http://dx.doi.org/10.3892/ijmm.2021.5049")</f>
        <v>http://dx.doi.org/10.3892/ijmm.2021.5049</v>
      </c>
      <c r="BG1802" t="s">
        <v>74</v>
      </c>
      <c r="BH1802" t="s">
        <v>74</v>
      </c>
      <c r="BI1802" t="s">
        <v>74</v>
      </c>
      <c r="BJ1802" t="s">
        <v>795</v>
      </c>
      <c r="BK1802" t="s">
        <v>117</v>
      </c>
      <c r="BL1802" t="s">
        <v>796</v>
      </c>
      <c r="BM1802" t="s">
        <v>74</v>
      </c>
      <c r="BN1802">
        <v>34651660</v>
      </c>
      <c r="BO1802" t="s">
        <v>74</v>
      </c>
      <c r="BP1802" t="s">
        <v>74</v>
      </c>
      <c r="BQ1802" t="s">
        <v>74</v>
      </c>
      <c r="BR1802" t="s">
        <v>96</v>
      </c>
      <c r="BS1802" t="s">
        <v>7824</v>
      </c>
      <c r="BT1802" t="str">
        <f>HYPERLINK("https%3A%2F%2Fwww.webofscience.com%2Fwos%2Fwoscc%2Ffull-record%2FWOS:000713665000001","View Full Record in Web of Science")</f>
        <v>View Full Record in Web of Science</v>
      </c>
    </row>
    <row r="1803" spans="1:72" x14ac:dyDescent="0.15">
      <c r="A1803" t="s">
        <v>98</v>
      </c>
      <c r="B1803" t="s">
        <v>7975</v>
      </c>
      <c r="C1803" t="s">
        <v>74</v>
      </c>
      <c r="D1803" t="s">
        <v>74</v>
      </c>
      <c r="E1803" t="s">
        <v>74</v>
      </c>
      <c r="F1803" t="s">
        <v>7976</v>
      </c>
      <c r="G1803" t="s">
        <v>74</v>
      </c>
      <c r="H1803" t="s">
        <v>74</v>
      </c>
      <c r="I1803" t="s">
        <v>7977</v>
      </c>
      <c r="J1803" t="s">
        <v>7978</v>
      </c>
      <c r="K1803" t="s">
        <v>74</v>
      </c>
      <c r="L1803" t="s">
        <v>74</v>
      </c>
      <c r="M1803" t="s">
        <v>74</v>
      </c>
      <c r="N1803" t="s">
        <v>103</v>
      </c>
      <c r="O1803" t="s">
        <v>74</v>
      </c>
      <c r="P1803" t="s">
        <v>74</v>
      </c>
      <c r="Q1803" t="s">
        <v>74</v>
      </c>
      <c r="R1803" t="s">
        <v>74</v>
      </c>
      <c r="S1803" t="s">
        <v>74</v>
      </c>
      <c r="T1803" t="s">
        <v>74</v>
      </c>
      <c r="U1803" t="s">
        <v>7979</v>
      </c>
      <c r="V1803" t="s">
        <v>7980</v>
      </c>
      <c r="W1803" t="s">
        <v>7981</v>
      </c>
      <c r="X1803" t="s">
        <v>7982</v>
      </c>
      <c r="Y1803" t="s">
        <v>7983</v>
      </c>
      <c r="Z1803" t="s">
        <v>7630</v>
      </c>
      <c r="AA1803" t="s">
        <v>74</v>
      </c>
      <c r="AB1803" t="s">
        <v>7984</v>
      </c>
      <c r="AC1803" t="s">
        <v>74</v>
      </c>
      <c r="AD1803" t="s">
        <v>74</v>
      </c>
      <c r="AE1803" t="s">
        <v>74</v>
      </c>
      <c r="AF1803" t="s">
        <v>74</v>
      </c>
      <c r="AG1803">
        <v>50</v>
      </c>
      <c r="AH1803">
        <v>1</v>
      </c>
      <c r="AI1803">
        <v>1</v>
      </c>
      <c r="AJ1803">
        <v>30</v>
      </c>
      <c r="AK1803">
        <v>61</v>
      </c>
      <c r="AL1803" t="s">
        <v>74</v>
      </c>
      <c r="AM1803" t="s">
        <v>74</v>
      </c>
      <c r="AN1803" t="s">
        <v>74</v>
      </c>
      <c r="AO1803" t="s">
        <v>7985</v>
      </c>
      <c r="AP1803" t="s">
        <v>7986</v>
      </c>
      <c r="AQ1803" t="s">
        <v>74</v>
      </c>
      <c r="AR1803" t="s">
        <v>74</v>
      </c>
      <c r="AS1803" t="s">
        <v>74</v>
      </c>
      <c r="AT1803" t="s">
        <v>7987</v>
      </c>
      <c r="AU1803">
        <v>2021</v>
      </c>
      <c r="AV1803">
        <v>8</v>
      </c>
      <c r="AW1803">
        <v>10</v>
      </c>
      <c r="AX1803" t="s">
        <v>74</v>
      </c>
      <c r="AY1803" t="s">
        <v>74</v>
      </c>
      <c r="AZ1803" t="s">
        <v>74</v>
      </c>
      <c r="BA1803" t="s">
        <v>74</v>
      </c>
      <c r="BB1803">
        <v>2771</v>
      </c>
      <c r="BC1803">
        <v>2784</v>
      </c>
      <c r="BD1803" t="s">
        <v>74</v>
      </c>
      <c r="BE1803" t="s">
        <v>7988</v>
      </c>
      <c r="BF1803" t="str">
        <f>HYPERLINK("http://dx.doi.org/10.1039/d1mh00880c","http://dx.doi.org/10.1039/d1mh00880c")</f>
        <v>http://dx.doi.org/10.1039/d1mh00880c</v>
      </c>
      <c r="BG1803" t="s">
        <v>74</v>
      </c>
      <c r="BH1803" t="s">
        <v>1663</v>
      </c>
      <c r="BI1803" t="s">
        <v>74</v>
      </c>
      <c r="BJ1803" t="s">
        <v>7989</v>
      </c>
      <c r="BK1803" t="s">
        <v>117</v>
      </c>
      <c r="BL1803" t="s">
        <v>7990</v>
      </c>
      <c r="BM1803" t="s">
        <v>74</v>
      </c>
      <c r="BN1803">
        <v>34605844</v>
      </c>
      <c r="BO1803" t="s">
        <v>74</v>
      </c>
      <c r="BP1803" t="s">
        <v>74</v>
      </c>
      <c r="BQ1803" t="s">
        <v>74</v>
      </c>
      <c r="BR1803" t="s">
        <v>96</v>
      </c>
      <c r="BS1803" t="s">
        <v>7991</v>
      </c>
      <c r="BT1803" t="str">
        <f>HYPERLINK("https%3A%2F%2Fwww.webofscience.com%2Fwos%2Fwoscc%2Ffull-record%2FWOS:000686298400001","View Full Record in Web of Science")</f>
        <v>View Full Record in Web of Science</v>
      </c>
    </row>
    <row r="1804" spans="1:72" x14ac:dyDescent="0.15">
      <c r="A1804" t="s">
        <v>98</v>
      </c>
      <c r="B1804" t="s">
        <v>8053</v>
      </c>
      <c r="C1804" t="s">
        <v>74</v>
      </c>
      <c r="D1804" t="s">
        <v>74</v>
      </c>
      <c r="E1804" t="s">
        <v>74</v>
      </c>
      <c r="F1804" t="s">
        <v>8054</v>
      </c>
      <c r="G1804" t="s">
        <v>74</v>
      </c>
      <c r="H1804" t="s">
        <v>74</v>
      </c>
      <c r="I1804" t="s">
        <v>8055</v>
      </c>
      <c r="J1804" t="s">
        <v>7216</v>
      </c>
      <c r="K1804" t="s">
        <v>74</v>
      </c>
      <c r="L1804" t="s">
        <v>74</v>
      </c>
      <c r="M1804" t="s">
        <v>74</v>
      </c>
      <c r="N1804" t="s">
        <v>103</v>
      </c>
      <c r="O1804" t="s">
        <v>74</v>
      </c>
      <c r="P1804" t="s">
        <v>74</v>
      </c>
      <c r="Q1804" t="s">
        <v>74</v>
      </c>
      <c r="R1804" t="s">
        <v>74</v>
      </c>
      <c r="S1804" t="s">
        <v>74</v>
      </c>
      <c r="T1804" t="s">
        <v>8056</v>
      </c>
      <c r="U1804" t="s">
        <v>8057</v>
      </c>
      <c r="V1804" t="s">
        <v>8058</v>
      </c>
      <c r="W1804" t="s">
        <v>8059</v>
      </c>
      <c r="X1804" t="s">
        <v>8060</v>
      </c>
      <c r="Y1804" t="s">
        <v>8061</v>
      </c>
      <c r="Z1804" t="s">
        <v>8062</v>
      </c>
      <c r="AA1804" t="s">
        <v>8063</v>
      </c>
      <c r="AB1804" t="s">
        <v>8064</v>
      </c>
      <c r="AC1804" t="s">
        <v>74</v>
      </c>
      <c r="AD1804" t="s">
        <v>74</v>
      </c>
      <c r="AE1804" t="s">
        <v>74</v>
      </c>
      <c r="AF1804" t="s">
        <v>74</v>
      </c>
      <c r="AG1804">
        <v>25</v>
      </c>
      <c r="AH1804">
        <v>1</v>
      </c>
      <c r="AI1804">
        <v>1</v>
      </c>
      <c r="AJ1804">
        <v>0</v>
      </c>
      <c r="AK1804">
        <v>9</v>
      </c>
      <c r="AL1804" t="s">
        <v>74</v>
      </c>
      <c r="AM1804" t="s">
        <v>74</v>
      </c>
      <c r="AN1804" t="s">
        <v>74</v>
      </c>
      <c r="AO1804" t="s">
        <v>7223</v>
      </c>
      <c r="AP1804" t="s">
        <v>7224</v>
      </c>
      <c r="AQ1804" t="s">
        <v>74</v>
      </c>
      <c r="AR1804" t="s">
        <v>74</v>
      </c>
      <c r="AS1804" t="s">
        <v>74</v>
      </c>
      <c r="AT1804" t="s">
        <v>283</v>
      </c>
      <c r="AU1804">
        <v>2016</v>
      </c>
      <c r="AV1804">
        <v>35</v>
      </c>
      <c r="AW1804">
        <v>2</v>
      </c>
      <c r="AX1804" t="s">
        <v>74</v>
      </c>
      <c r="AY1804" t="s">
        <v>74</v>
      </c>
      <c r="AZ1804" t="s">
        <v>74</v>
      </c>
      <c r="BA1804" t="s">
        <v>74</v>
      </c>
      <c r="BB1804">
        <v>749</v>
      </c>
      <c r="BC1804">
        <v>756</v>
      </c>
      <c r="BD1804" t="s">
        <v>74</v>
      </c>
      <c r="BE1804" t="s">
        <v>8065</v>
      </c>
      <c r="BF1804" t="str">
        <f>HYPERLINK("http://dx.doi.org/10.3892/or.2015.4471","http://dx.doi.org/10.3892/or.2015.4471")</f>
        <v>http://dx.doi.org/10.3892/or.2015.4471</v>
      </c>
      <c r="BG1804" t="s">
        <v>74</v>
      </c>
      <c r="BH1804" t="s">
        <v>74</v>
      </c>
      <c r="BI1804" t="s">
        <v>74</v>
      </c>
      <c r="BJ1804" t="s">
        <v>267</v>
      </c>
      <c r="BK1804" t="s">
        <v>117</v>
      </c>
      <c r="BL1804" t="s">
        <v>267</v>
      </c>
      <c r="BM1804" t="s">
        <v>74</v>
      </c>
      <c r="BN1804">
        <v>26718911</v>
      </c>
      <c r="BO1804" t="s">
        <v>74</v>
      </c>
      <c r="BP1804" t="s">
        <v>74</v>
      </c>
      <c r="BQ1804" t="s">
        <v>74</v>
      </c>
      <c r="BR1804" t="s">
        <v>96</v>
      </c>
      <c r="BS1804" t="s">
        <v>8066</v>
      </c>
      <c r="BT1804" t="str">
        <f>HYPERLINK("https%3A%2F%2Fwww.webofscience.com%2Fwos%2Fwoscc%2Ffull-record%2FWOS:000368049600017","View Full Record in Web of Science")</f>
        <v>View Full Record in Web of Science</v>
      </c>
    </row>
    <row r="1805" spans="1:72" x14ac:dyDescent="0.15">
      <c r="A1805" t="s">
        <v>98</v>
      </c>
      <c r="B1805" t="s">
        <v>8095</v>
      </c>
      <c r="C1805" t="s">
        <v>74</v>
      </c>
      <c r="D1805" t="s">
        <v>74</v>
      </c>
      <c r="E1805" t="s">
        <v>74</v>
      </c>
      <c r="F1805" t="s">
        <v>8096</v>
      </c>
      <c r="G1805" t="s">
        <v>74</v>
      </c>
      <c r="H1805" t="s">
        <v>74</v>
      </c>
      <c r="I1805" t="s">
        <v>8097</v>
      </c>
      <c r="J1805" t="s">
        <v>140</v>
      </c>
      <c r="K1805" t="s">
        <v>74</v>
      </c>
      <c r="L1805" t="s">
        <v>74</v>
      </c>
      <c r="M1805" t="s">
        <v>74</v>
      </c>
      <c r="N1805" t="s">
        <v>103</v>
      </c>
      <c r="O1805" t="s">
        <v>74</v>
      </c>
      <c r="P1805" t="s">
        <v>74</v>
      </c>
      <c r="Q1805" t="s">
        <v>74</v>
      </c>
      <c r="R1805" t="s">
        <v>74</v>
      </c>
      <c r="S1805" t="s">
        <v>74</v>
      </c>
      <c r="T1805" t="s">
        <v>74</v>
      </c>
      <c r="U1805" t="s">
        <v>8098</v>
      </c>
      <c r="V1805" t="s">
        <v>8099</v>
      </c>
      <c r="W1805" t="s">
        <v>8100</v>
      </c>
      <c r="X1805" t="s">
        <v>8101</v>
      </c>
      <c r="Y1805" t="s">
        <v>8102</v>
      </c>
      <c r="Z1805" t="s">
        <v>8103</v>
      </c>
      <c r="AA1805" t="s">
        <v>74</v>
      </c>
      <c r="AB1805" t="s">
        <v>74</v>
      </c>
      <c r="AC1805" t="s">
        <v>74</v>
      </c>
      <c r="AD1805" t="s">
        <v>74</v>
      </c>
      <c r="AE1805" t="s">
        <v>74</v>
      </c>
      <c r="AF1805" t="s">
        <v>74</v>
      </c>
      <c r="AG1805">
        <v>55</v>
      </c>
      <c r="AH1805">
        <v>1</v>
      </c>
      <c r="AI1805">
        <v>1</v>
      </c>
      <c r="AJ1805">
        <v>7</v>
      </c>
      <c r="AK1805">
        <v>17</v>
      </c>
      <c r="AL1805" t="s">
        <v>74</v>
      </c>
      <c r="AM1805" t="s">
        <v>74</v>
      </c>
      <c r="AN1805" t="s">
        <v>74</v>
      </c>
      <c r="AO1805" t="s">
        <v>149</v>
      </c>
      <c r="AP1805" t="s">
        <v>74</v>
      </c>
      <c r="AQ1805" t="s">
        <v>74</v>
      </c>
      <c r="AR1805" t="s">
        <v>74</v>
      </c>
      <c r="AS1805" t="s">
        <v>74</v>
      </c>
      <c r="AT1805" t="s">
        <v>4343</v>
      </c>
      <c r="AU1805">
        <v>2021</v>
      </c>
      <c r="AV1805">
        <v>11</v>
      </c>
      <c r="AW1805">
        <v>1</v>
      </c>
      <c r="AX1805" t="s">
        <v>74</v>
      </c>
      <c r="AY1805" t="s">
        <v>74</v>
      </c>
      <c r="AZ1805" t="s">
        <v>74</v>
      </c>
      <c r="BA1805" t="s">
        <v>74</v>
      </c>
      <c r="BB1805" t="s">
        <v>74</v>
      </c>
      <c r="BC1805" t="s">
        <v>74</v>
      </c>
      <c r="BD1805">
        <v>12477</v>
      </c>
      <c r="BE1805" t="s">
        <v>8104</v>
      </c>
      <c r="BF1805" t="str">
        <f>HYPERLINK("http://dx.doi.org/10.1038/s41598-021-92012-6","http://dx.doi.org/10.1038/s41598-021-92012-6")</f>
        <v>http://dx.doi.org/10.1038/s41598-021-92012-6</v>
      </c>
      <c r="BG1805" t="s">
        <v>74</v>
      </c>
      <c r="BH1805" t="s">
        <v>74</v>
      </c>
      <c r="BI1805" t="s">
        <v>74</v>
      </c>
      <c r="BJ1805" t="s">
        <v>152</v>
      </c>
      <c r="BK1805" t="s">
        <v>117</v>
      </c>
      <c r="BL1805" t="s">
        <v>153</v>
      </c>
      <c r="BM1805" t="s">
        <v>74</v>
      </c>
      <c r="BN1805">
        <v>34127763</v>
      </c>
      <c r="BO1805" t="s">
        <v>74</v>
      </c>
      <c r="BP1805" t="s">
        <v>74</v>
      </c>
      <c r="BQ1805" t="s">
        <v>74</v>
      </c>
      <c r="BR1805" t="s">
        <v>96</v>
      </c>
      <c r="BS1805" t="s">
        <v>8105</v>
      </c>
      <c r="BT1805" t="str">
        <f>HYPERLINK("https%3A%2F%2Fwww.webofscience.com%2Fwos%2Fwoscc%2Ffull-record%2FWOS:000696753700063","View Full Record in Web of Science")</f>
        <v>View Full Record in Web of Science</v>
      </c>
    </row>
    <row r="1806" spans="1:72" x14ac:dyDescent="0.15">
      <c r="A1806" t="s">
        <v>98</v>
      </c>
      <c r="B1806" t="s">
        <v>8570</v>
      </c>
      <c r="C1806" t="s">
        <v>74</v>
      </c>
      <c r="D1806" t="s">
        <v>74</v>
      </c>
      <c r="E1806" t="s">
        <v>74</v>
      </c>
      <c r="F1806" t="s">
        <v>8571</v>
      </c>
      <c r="G1806" t="s">
        <v>74</v>
      </c>
      <c r="H1806" t="s">
        <v>74</v>
      </c>
      <c r="I1806" t="s">
        <v>8572</v>
      </c>
      <c r="J1806" t="s">
        <v>3883</v>
      </c>
      <c r="K1806" t="s">
        <v>74</v>
      </c>
      <c r="L1806" t="s">
        <v>74</v>
      </c>
      <c r="M1806" t="s">
        <v>74</v>
      </c>
      <c r="N1806" t="s">
        <v>103</v>
      </c>
      <c r="O1806" t="s">
        <v>74</v>
      </c>
      <c r="P1806" t="s">
        <v>74</v>
      </c>
      <c r="Q1806" t="s">
        <v>74</v>
      </c>
      <c r="R1806" t="s">
        <v>74</v>
      </c>
      <c r="S1806" t="s">
        <v>74</v>
      </c>
      <c r="T1806" t="s">
        <v>8573</v>
      </c>
      <c r="U1806" t="s">
        <v>8574</v>
      </c>
      <c r="V1806" t="s">
        <v>8575</v>
      </c>
      <c r="W1806" t="s">
        <v>8576</v>
      </c>
      <c r="X1806" t="s">
        <v>8577</v>
      </c>
      <c r="Y1806" t="s">
        <v>8578</v>
      </c>
      <c r="Z1806" t="s">
        <v>3251</v>
      </c>
      <c r="AA1806" t="s">
        <v>74</v>
      </c>
      <c r="AB1806" t="s">
        <v>74</v>
      </c>
      <c r="AC1806" t="s">
        <v>74</v>
      </c>
      <c r="AD1806" t="s">
        <v>74</v>
      </c>
      <c r="AE1806" t="s">
        <v>74</v>
      </c>
      <c r="AF1806" t="s">
        <v>74</v>
      </c>
      <c r="AG1806">
        <v>69</v>
      </c>
      <c r="AH1806">
        <v>1</v>
      </c>
      <c r="AI1806">
        <v>1</v>
      </c>
      <c r="AJ1806">
        <v>0</v>
      </c>
      <c r="AK1806">
        <v>1</v>
      </c>
      <c r="AL1806" t="s">
        <v>74</v>
      </c>
      <c r="AM1806" t="s">
        <v>74</v>
      </c>
      <c r="AN1806" t="s">
        <v>74</v>
      </c>
      <c r="AO1806" t="s">
        <v>3889</v>
      </c>
      <c r="AP1806" t="s">
        <v>74</v>
      </c>
      <c r="AQ1806" t="s">
        <v>74</v>
      </c>
      <c r="AR1806" t="s">
        <v>74</v>
      </c>
      <c r="AS1806" t="s">
        <v>74</v>
      </c>
      <c r="AT1806" t="s">
        <v>8579</v>
      </c>
      <c r="AU1806">
        <v>2021</v>
      </c>
      <c r="AV1806">
        <v>8</v>
      </c>
      <c r="AW1806" t="s">
        <v>74</v>
      </c>
      <c r="AX1806" t="s">
        <v>74</v>
      </c>
      <c r="AY1806" t="s">
        <v>74</v>
      </c>
      <c r="AZ1806" t="s">
        <v>74</v>
      </c>
      <c r="BA1806" t="s">
        <v>74</v>
      </c>
      <c r="BB1806" t="s">
        <v>74</v>
      </c>
      <c r="BC1806" t="s">
        <v>74</v>
      </c>
      <c r="BD1806">
        <v>694851</v>
      </c>
      <c r="BE1806" t="s">
        <v>8580</v>
      </c>
      <c r="BF1806" t="str">
        <f>HYPERLINK("http://dx.doi.org/10.3389/fcvm.2021.694851","http://dx.doi.org/10.3389/fcvm.2021.694851")</f>
        <v>http://dx.doi.org/10.3389/fcvm.2021.694851</v>
      </c>
      <c r="BG1806" t="s">
        <v>74</v>
      </c>
      <c r="BH1806" t="s">
        <v>74</v>
      </c>
      <c r="BI1806" t="s">
        <v>74</v>
      </c>
      <c r="BJ1806" t="s">
        <v>3811</v>
      </c>
      <c r="BK1806" t="s">
        <v>117</v>
      </c>
      <c r="BL1806" t="s">
        <v>3812</v>
      </c>
      <c r="BM1806" t="s">
        <v>74</v>
      </c>
      <c r="BN1806">
        <v>34422924</v>
      </c>
      <c r="BO1806" t="s">
        <v>74</v>
      </c>
      <c r="BP1806" t="s">
        <v>74</v>
      </c>
      <c r="BQ1806" t="s">
        <v>74</v>
      </c>
      <c r="BR1806" t="s">
        <v>96</v>
      </c>
      <c r="BS1806" t="s">
        <v>8581</v>
      </c>
      <c r="BT1806" t="str">
        <f>HYPERLINK("https%3A%2F%2Fwww.webofscience.com%2Fwos%2Fwoscc%2Ffull-record%2FWOS:000684979500004","View Full Record in Web of Science")</f>
        <v>View Full Record in Web of Science</v>
      </c>
    </row>
    <row r="1807" spans="1:72" x14ac:dyDescent="0.15">
      <c r="A1807" t="s">
        <v>98</v>
      </c>
      <c r="B1807" t="s">
        <v>8730</v>
      </c>
      <c r="C1807" t="s">
        <v>74</v>
      </c>
      <c r="D1807" t="s">
        <v>74</v>
      </c>
      <c r="E1807" t="s">
        <v>74</v>
      </c>
      <c r="F1807" t="s">
        <v>8731</v>
      </c>
      <c r="G1807" t="s">
        <v>74</v>
      </c>
      <c r="H1807" t="s">
        <v>74</v>
      </c>
      <c r="I1807" t="s">
        <v>8732</v>
      </c>
      <c r="J1807" t="s">
        <v>8733</v>
      </c>
      <c r="K1807" t="s">
        <v>74</v>
      </c>
      <c r="L1807" t="s">
        <v>74</v>
      </c>
      <c r="M1807" t="s">
        <v>74</v>
      </c>
      <c r="N1807" t="s">
        <v>103</v>
      </c>
      <c r="O1807" t="s">
        <v>74</v>
      </c>
      <c r="P1807" t="s">
        <v>74</v>
      </c>
      <c r="Q1807" t="s">
        <v>74</v>
      </c>
      <c r="R1807" t="s">
        <v>74</v>
      </c>
      <c r="S1807" t="s">
        <v>74</v>
      </c>
      <c r="T1807" t="s">
        <v>8734</v>
      </c>
      <c r="U1807" t="s">
        <v>8735</v>
      </c>
      <c r="V1807" t="s">
        <v>8736</v>
      </c>
      <c r="W1807" t="s">
        <v>8737</v>
      </c>
      <c r="X1807" t="s">
        <v>8738</v>
      </c>
      <c r="Y1807" t="s">
        <v>8739</v>
      </c>
      <c r="Z1807" t="s">
        <v>8740</v>
      </c>
      <c r="AA1807" t="s">
        <v>74</v>
      </c>
      <c r="AB1807" t="s">
        <v>74</v>
      </c>
      <c r="AC1807" t="s">
        <v>74</v>
      </c>
      <c r="AD1807" t="s">
        <v>74</v>
      </c>
      <c r="AE1807" t="s">
        <v>74</v>
      </c>
      <c r="AF1807" t="s">
        <v>74</v>
      </c>
      <c r="AG1807">
        <v>52</v>
      </c>
      <c r="AH1807">
        <v>1</v>
      </c>
      <c r="AI1807">
        <v>1</v>
      </c>
      <c r="AJ1807">
        <v>84</v>
      </c>
      <c r="AK1807">
        <v>93</v>
      </c>
      <c r="AL1807" t="s">
        <v>74</v>
      </c>
      <c r="AM1807" t="s">
        <v>74</v>
      </c>
      <c r="AN1807" t="s">
        <v>74</v>
      </c>
      <c r="AO1807" t="s">
        <v>8741</v>
      </c>
      <c r="AP1807" t="s">
        <v>8742</v>
      </c>
      <c r="AQ1807" t="s">
        <v>74</v>
      </c>
      <c r="AR1807" t="s">
        <v>74</v>
      </c>
      <c r="AS1807" t="s">
        <v>74</v>
      </c>
      <c r="AT1807" t="s">
        <v>4822</v>
      </c>
      <c r="AU1807">
        <v>2022</v>
      </c>
      <c r="AV1807">
        <v>612</v>
      </c>
      <c r="AW1807" t="s">
        <v>74</v>
      </c>
      <c r="AX1807" t="s">
        <v>74</v>
      </c>
      <c r="AY1807" t="s">
        <v>74</v>
      </c>
      <c r="AZ1807" t="s">
        <v>74</v>
      </c>
      <c r="BA1807" t="s">
        <v>74</v>
      </c>
      <c r="BB1807">
        <v>424</v>
      </c>
      <c r="BC1807">
        <v>433</v>
      </c>
      <c r="BD1807" t="s">
        <v>74</v>
      </c>
      <c r="BE1807" t="s">
        <v>8743</v>
      </c>
      <c r="BF1807" t="str">
        <f>HYPERLINK("http://dx.doi.org/10.1016/j.jcis.2021.12.133","http://dx.doi.org/10.1016/j.jcis.2021.12.133")</f>
        <v>http://dx.doi.org/10.1016/j.jcis.2021.12.133</v>
      </c>
      <c r="BG1807" t="s">
        <v>74</v>
      </c>
      <c r="BH1807" t="s">
        <v>74</v>
      </c>
      <c r="BI1807" t="s">
        <v>74</v>
      </c>
      <c r="BJ1807" t="s">
        <v>8744</v>
      </c>
      <c r="BK1807" t="s">
        <v>117</v>
      </c>
      <c r="BL1807" t="s">
        <v>1048</v>
      </c>
      <c r="BM1807" t="s">
        <v>74</v>
      </c>
      <c r="BN1807">
        <v>34999547</v>
      </c>
      <c r="BO1807" t="s">
        <v>74</v>
      </c>
      <c r="BP1807" t="s">
        <v>74</v>
      </c>
      <c r="BQ1807" t="s">
        <v>74</v>
      </c>
      <c r="BR1807" t="s">
        <v>96</v>
      </c>
      <c r="BS1807" t="s">
        <v>8745</v>
      </c>
      <c r="BT1807" t="str">
        <f>HYPERLINK("https%3A%2F%2Fwww.webofscience.com%2Fwos%2Fwoscc%2Ffull-record%2FWOS:000750616800006","View Full Record in Web of Science")</f>
        <v>View Full Record in Web of Science</v>
      </c>
    </row>
    <row r="1808" spans="1:72" x14ac:dyDescent="0.15">
      <c r="A1808" t="s">
        <v>98</v>
      </c>
      <c r="B1808" t="s">
        <v>9009</v>
      </c>
      <c r="C1808" t="s">
        <v>74</v>
      </c>
      <c r="D1808" t="s">
        <v>74</v>
      </c>
      <c r="E1808" t="s">
        <v>74</v>
      </c>
      <c r="F1808" t="s">
        <v>9010</v>
      </c>
      <c r="G1808" t="s">
        <v>74</v>
      </c>
      <c r="H1808" t="s">
        <v>74</v>
      </c>
      <c r="I1808" t="s">
        <v>9011</v>
      </c>
      <c r="J1808" t="s">
        <v>8797</v>
      </c>
      <c r="K1808" t="s">
        <v>74</v>
      </c>
      <c r="L1808" t="s">
        <v>74</v>
      </c>
      <c r="M1808" t="s">
        <v>74</v>
      </c>
      <c r="N1808" t="s">
        <v>103</v>
      </c>
      <c r="O1808" t="s">
        <v>74</v>
      </c>
      <c r="P1808" t="s">
        <v>74</v>
      </c>
      <c r="Q1808" t="s">
        <v>74</v>
      </c>
      <c r="R1808" t="s">
        <v>74</v>
      </c>
      <c r="S1808" t="s">
        <v>74</v>
      </c>
      <c r="T1808" t="s">
        <v>9012</v>
      </c>
      <c r="U1808" t="s">
        <v>9013</v>
      </c>
      <c r="V1808" t="s">
        <v>9014</v>
      </c>
      <c r="W1808" t="s">
        <v>9015</v>
      </c>
      <c r="X1808" t="s">
        <v>9016</v>
      </c>
      <c r="Y1808" t="s">
        <v>9017</v>
      </c>
      <c r="Z1808" t="s">
        <v>9018</v>
      </c>
      <c r="AA1808" t="s">
        <v>9019</v>
      </c>
      <c r="AB1808" t="s">
        <v>9020</v>
      </c>
      <c r="AC1808" t="s">
        <v>74</v>
      </c>
      <c r="AD1808" t="s">
        <v>74</v>
      </c>
      <c r="AE1808" t="s">
        <v>74</v>
      </c>
      <c r="AF1808" t="s">
        <v>74</v>
      </c>
      <c r="AG1808">
        <v>47</v>
      </c>
      <c r="AH1808">
        <v>1</v>
      </c>
      <c r="AI1808">
        <v>1</v>
      </c>
      <c r="AJ1808">
        <v>0</v>
      </c>
      <c r="AK1808">
        <v>1</v>
      </c>
      <c r="AL1808" t="s">
        <v>74</v>
      </c>
      <c r="AM1808" t="s">
        <v>74</v>
      </c>
      <c r="AN1808" t="s">
        <v>74</v>
      </c>
      <c r="AO1808" t="s">
        <v>8807</v>
      </c>
      <c r="AP1808" t="s">
        <v>8808</v>
      </c>
      <c r="AQ1808" t="s">
        <v>74</v>
      </c>
      <c r="AR1808" t="s">
        <v>74</v>
      </c>
      <c r="AS1808" t="s">
        <v>74</v>
      </c>
      <c r="AT1808" t="s">
        <v>531</v>
      </c>
      <c r="AU1808">
        <v>2021</v>
      </c>
      <c r="AV1808">
        <v>100</v>
      </c>
      <c r="AW1808">
        <v>9</v>
      </c>
      <c r="AX1808" t="s">
        <v>74</v>
      </c>
      <c r="AY1808" t="s">
        <v>74</v>
      </c>
      <c r="AZ1808" t="s">
        <v>74</v>
      </c>
      <c r="BA1808" t="s">
        <v>74</v>
      </c>
      <c r="BB1808">
        <v>2241</v>
      </c>
      <c r="BC1808">
        <v>2252</v>
      </c>
      <c r="BD1808" t="s">
        <v>74</v>
      </c>
      <c r="BE1808" t="s">
        <v>9021</v>
      </c>
      <c r="BF1808" t="str">
        <f>HYPERLINK("http://dx.doi.org/10.1007/s00277-021-04579-9","http://dx.doi.org/10.1007/s00277-021-04579-9")</f>
        <v>http://dx.doi.org/10.1007/s00277-021-04579-9</v>
      </c>
      <c r="BG1808" t="s">
        <v>74</v>
      </c>
      <c r="BH1808" t="s">
        <v>1136</v>
      </c>
      <c r="BI1808" t="s">
        <v>74</v>
      </c>
      <c r="BJ1808" t="s">
        <v>2438</v>
      </c>
      <c r="BK1808" t="s">
        <v>117</v>
      </c>
      <c r="BL1808" t="s">
        <v>2438</v>
      </c>
      <c r="BM1808" t="s">
        <v>74</v>
      </c>
      <c r="BN1808">
        <v>34236496</v>
      </c>
      <c r="BO1808" t="s">
        <v>74</v>
      </c>
      <c r="BP1808" t="s">
        <v>74</v>
      </c>
      <c r="BQ1808" t="s">
        <v>74</v>
      </c>
      <c r="BR1808" t="s">
        <v>96</v>
      </c>
      <c r="BS1808" t="s">
        <v>9022</v>
      </c>
      <c r="BT1808" t="str">
        <f>HYPERLINK("https%3A%2F%2Fwww.webofscience.com%2Fwos%2Fwoscc%2Ffull-record%2FWOS:000670865600001","View Full Record in Web of Science")</f>
        <v>View Full Record in Web of Science</v>
      </c>
    </row>
    <row r="1809" spans="1:72" x14ac:dyDescent="0.15">
      <c r="A1809" t="s">
        <v>98</v>
      </c>
      <c r="B1809" t="s">
        <v>9862</v>
      </c>
      <c r="C1809" t="s">
        <v>74</v>
      </c>
      <c r="D1809" t="s">
        <v>74</v>
      </c>
      <c r="E1809" t="s">
        <v>74</v>
      </c>
      <c r="F1809" t="s">
        <v>9863</v>
      </c>
      <c r="G1809" t="s">
        <v>74</v>
      </c>
      <c r="H1809" t="s">
        <v>74</v>
      </c>
      <c r="I1809" t="s">
        <v>9864</v>
      </c>
      <c r="J1809" t="s">
        <v>9865</v>
      </c>
      <c r="K1809" t="s">
        <v>74</v>
      </c>
      <c r="L1809" t="s">
        <v>74</v>
      </c>
      <c r="M1809" t="s">
        <v>74</v>
      </c>
      <c r="N1809" t="s">
        <v>103</v>
      </c>
      <c r="O1809" t="s">
        <v>74</v>
      </c>
      <c r="P1809" t="s">
        <v>74</v>
      </c>
      <c r="Q1809" t="s">
        <v>74</v>
      </c>
      <c r="R1809" t="s">
        <v>74</v>
      </c>
      <c r="S1809" t="s">
        <v>74</v>
      </c>
      <c r="T1809" t="s">
        <v>9866</v>
      </c>
      <c r="U1809" t="s">
        <v>9867</v>
      </c>
      <c r="V1809" t="s">
        <v>9868</v>
      </c>
      <c r="W1809" t="s">
        <v>9869</v>
      </c>
      <c r="X1809" t="s">
        <v>9870</v>
      </c>
      <c r="Y1809" t="s">
        <v>9871</v>
      </c>
      <c r="Z1809" t="s">
        <v>9872</v>
      </c>
      <c r="AA1809" t="s">
        <v>9873</v>
      </c>
      <c r="AB1809" t="s">
        <v>9874</v>
      </c>
      <c r="AC1809" t="s">
        <v>74</v>
      </c>
      <c r="AD1809" t="s">
        <v>74</v>
      </c>
      <c r="AE1809" t="s">
        <v>74</v>
      </c>
      <c r="AF1809" t="s">
        <v>74</v>
      </c>
      <c r="AG1809">
        <v>65</v>
      </c>
      <c r="AH1809">
        <v>1</v>
      </c>
      <c r="AI1809">
        <v>1</v>
      </c>
      <c r="AJ1809">
        <v>6</v>
      </c>
      <c r="AK1809">
        <v>6</v>
      </c>
      <c r="AL1809" t="s">
        <v>74</v>
      </c>
      <c r="AM1809" t="s">
        <v>74</v>
      </c>
      <c r="AN1809" t="s">
        <v>74</v>
      </c>
      <c r="AO1809" t="s">
        <v>9875</v>
      </c>
      <c r="AP1809" t="s">
        <v>9876</v>
      </c>
      <c r="AQ1809" t="s">
        <v>74</v>
      </c>
      <c r="AR1809" t="s">
        <v>74</v>
      </c>
      <c r="AS1809" t="s">
        <v>74</v>
      </c>
      <c r="AT1809" t="s">
        <v>1029</v>
      </c>
      <c r="AU1809">
        <v>2022</v>
      </c>
      <c r="AV1809">
        <v>130</v>
      </c>
      <c r="AW1809" t="s">
        <v>74</v>
      </c>
      <c r="AX1809" t="s">
        <v>74</v>
      </c>
      <c r="AY1809" t="s">
        <v>74</v>
      </c>
      <c r="AZ1809" t="s">
        <v>74</v>
      </c>
      <c r="BA1809" t="s">
        <v>74</v>
      </c>
      <c r="BB1809" t="s">
        <v>74</v>
      </c>
      <c r="BC1809" t="s">
        <v>74</v>
      </c>
      <c r="BD1809">
        <v>104368</v>
      </c>
      <c r="BE1809" t="s">
        <v>9877</v>
      </c>
      <c r="BF1809" t="str">
        <f>HYPERLINK("http://dx.doi.org/10.1016/j.dci.2022.104368","http://dx.doi.org/10.1016/j.dci.2022.104368")</f>
        <v>http://dx.doi.org/10.1016/j.dci.2022.104368</v>
      </c>
      <c r="BG1809" t="s">
        <v>74</v>
      </c>
      <c r="BH1809" t="s">
        <v>74</v>
      </c>
      <c r="BI1809" t="s">
        <v>74</v>
      </c>
      <c r="BJ1809" t="s">
        <v>9878</v>
      </c>
      <c r="BK1809" t="s">
        <v>117</v>
      </c>
      <c r="BL1809" t="s">
        <v>9878</v>
      </c>
      <c r="BM1809" t="s">
        <v>74</v>
      </c>
      <c r="BN1809">
        <v>35104460</v>
      </c>
      <c r="BO1809" t="s">
        <v>74</v>
      </c>
      <c r="BP1809" t="s">
        <v>74</v>
      </c>
      <c r="BQ1809" t="s">
        <v>74</v>
      </c>
      <c r="BR1809" t="s">
        <v>96</v>
      </c>
      <c r="BS1809" t="s">
        <v>9879</v>
      </c>
      <c r="BT1809" t="str">
        <f>HYPERLINK("https%3A%2F%2Fwww.webofscience.com%2Fwos%2Fwoscc%2Ffull-record%2FWOS:000791228300004","View Full Record in Web of Science")</f>
        <v>View Full Record in Web of Science</v>
      </c>
    </row>
    <row r="1810" spans="1:72" x14ac:dyDescent="0.15">
      <c r="A1810" t="s">
        <v>98</v>
      </c>
      <c r="B1810" t="s">
        <v>9974</v>
      </c>
      <c r="C1810" t="s">
        <v>74</v>
      </c>
      <c r="D1810" t="s">
        <v>74</v>
      </c>
      <c r="E1810" t="s">
        <v>74</v>
      </c>
      <c r="F1810" t="s">
        <v>9975</v>
      </c>
      <c r="G1810" t="s">
        <v>74</v>
      </c>
      <c r="H1810" t="s">
        <v>74</v>
      </c>
      <c r="I1810" t="s">
        <v>9976</v>
      </c>
      <c r="J1810" t="s">
        <v>9977</v>
      </c>
      <c r="K1810" t="s">
        <v>74</v>
      </c>
      <c r="L1810" t="s">
        <v>74</v>
      </c>
      <c r="M1810" t="s">
        <v>74</v>
      </c>
      <c r="N1810" t="s">
        <v>103</v>
      </c>
      <c r="O1810" t="s">
        <v>74</v>
      </c>
      <c r="P1810" t="s">
        <v>74</v>
      </c>
      <c r="Q1810" t="s">
        <v>74</v>
      </c>
      <c r="R1810" t="s">
        <v>74</v>
      </c>
      <c r="S1810" t="s">
        <v>74</v>
      </c>
      <c r="T1810" t="s">
        <v>9978</v>
      </c>
      <c r="U1810" t="s">
        <v>9979</v>
      </c>
      <c r="V1810" t="s">
        <v>9980</v>
      </c>
      <c r="W1810" t="s">
        <v>9981</v>
      </c>
      <c r="X1810" t="s">
        <v>9982</v>
      </c>
      <c r="Y1810" t="s">
        <v>9983</v>
      </c>
      <c r="Z1810" t="s">
        <v>9984</v>
      </c>
      <c r="AA1810" t="s">
        <v>74</v>
      </c>
      <c r="AB1810" t="s">
        <v>9985</v>
      </c>
      <c r="AC1810" t="s">
        <v>74</v>
      </c>
      <c r="AD1810" t="s">
        <v>74</v>
      </c>
      <c r="AE1810" t="s">
        <v>74</v>
      </c>
      <c r="AF1810" t="s">
        <v>74</v>
      </c>
      <c r="AG1810">
        <v>75</v>
      </c>
      <c r="AH1810">
        <v>1</v>
      </c>
      <c r="AI1810">
        <v>1</v>
      </c>
      <c r="AJ1810">
        <v>2</v>
      </c>
      <c r="AK1810">
        <v>4</v>
      </c>
      <c r="AL1810" t="s">
        <v>74</v>
      </c>
      <c r="AM1810" t="s">
        <v>74</v>
      </c>
      <c r="AN1810" t="s">
        <v>74</v>
      </c>
      <c r="AO1810" t="s">
        <v>74</v>
      </c>
      <c r="AP1810" t="s">
        <v>9986</v>
      </c>
      <c r="AQ1810" t="s">
        <v>74</v>
      </c>
      <c r="AR1810" t="s">
        <v>74</v>
      </c>
      <c r="AS1810" t="s">
        <v>74</v>
      </c>
      <c r="AT1810" t="s">
        <v>170</v>
      </c>
      <c r="AU1810">
        <v>2021</v>
      </c>
      <c r="AV1810">
        <v>9</v>
      </c>
      <c r="AW1810">
        <v>6</v>
      </c>
      <c r="AX1810" t="s">
        <v>74</v>
      </c>
      <c r="AY1810" t="s">
        <v>74</v>
      </c>
      <c r="AZ1810" t="s">
        <v>74</v>
      </c>
      <c r="BA1810" t="s">
        <v>74</v>
      </c>
      <c r="BB1810" t="s">
        <v>74</v>
      </c>
      <c r="BC1810" t="s">
        <v>74</v>
      </c>
      <c r="BD1810">
        <v>1336</v>
      </c>
      <c r="BE1810" t="s">
        <v>9987</v>
      </c>
      <c r="BF1810" t="str">
        <f>HYPERLINK("http://dx.doi.org/10.3390/microorganisms9061336","http://dx.doi.org/10.3390/microorganisms9061336")</f>
        <v>http://dx.doi.org/10.3390/microorganisms9061336</v>
      </c>
      <c r="BG1810" t="s">
        <v>74</v>
      </c>
      <c r="BH1810" t="s">
        <v>74</v>
      </c>
      <c r="BI1810" t="s">
        <v>74</v>
      </c>
      <c r="BJ1810" t="s">
        <v>898</v>
      </c>
      <c r="BK1810" t="s">
        <v>117</v>
      </c>
      <c r="BL1810" t="s">
        <v>898</v>
      </c>
      <c r="BM1810" t="s">
        <v>74</v>
      </c>
      <c r="BN1810">
        <v>34203028</v>
      </c>
      <c r="BO1810" t="s">
        <v>74</v>
      </c>
      <c r="BP1810" t="s">
        <v>74</v>
      </c>
      <c r="BQ1810" t="s">
        <v>74</v>
      </c>
      <c r="BR1810" t="s">
        <v>96</v>
      </c>
      <c r="BS1810" t="s">
        <v>9988</v>
      </c>
      <c r="BT1810" t="str">
        <f>HYPERLINK("https%3A%2F%2Fwww.webofscience.com%2Fwos%2Fwoscc%2Ffull-record%2FWOS:000666764500001","View Full Record in Web of Science")</f>
        <v>View Full Record in Web of Science</v>
      </c>
    </row>
    <row r="1811" spans="1:72" x14ac:dyDescent="0.15">
      <c r="A1811" t="s">
        <v>98</v>
      </c>
      <c r="B1811" t="s">
        <v>10074</v>
      </c>
      <c r="C1811" t="s">
        <v>74</v>
      </c>
      <c r="D1811" t="s">
        <v>74</v>
      </c>
      <c r="E1811" t="s">
        <v>74</v>
      </c>
      <c r="F1811" t="s">
        <v>10075</v>
      </c>
      <c r="G1811" t="s">
        <v>74</v>
      </c>
      <c r="H1811" t="s">
        <v>74</v>
      </c>
      <c r="I1811" t="s">
        <v>10076</v>
      </c>
      <c r="J1811" t="s">
        <v>10077</v>
      </c>
      <c r="K1811" t="s">
        <v>74</v>
      </c>
      <c r="L1811" t="s">
        <v>74</v>
      </c>
      <c r="M1811" t="s">
        <v>74</v>
      </c>
      <c r="N1811" t="s">
        <v>103</v>
      </c>
      <c r="O1811" t="s">
        <v>74</v>
      </c>
      <c r="P1811" t="s">
        <v>74</v>
      </c>
      <c r="Q1811" t="s">
        <v>74</v>
      </c>
      <c r="R1811" t="s">
        <v>74</v>
      </c>
      <c r="S1811" t="s">
        <v>74</v>
      </c>
      <c r="T1811" t="s">
        <v>74</v>
      </c>
      <c r="U1811" t="s">
        <v>10078</v>
      </c>
      <c r="V1811" t="s">
        <v>10079</v>
      </c>
      <c r="W1811" t="s">
        <v>10080</v>
      </c>
      <c r="X1811" t="s">
        <v>10081</v>
      </c>
      <c r="Y1811" t="s">
        <v>10082</v>
      </c>
      <c r="Z1811" t="s">
        <v>10083</v>
      </c>
      <c r="AA1811" t="s">
        <v>74</v>
      </c>
      <c r="AB1811" t="s">
        <v>10084</v>
      </c>
      <c r="AC1811" t="s">
        <v>74</v>
      </c>
      <c r="AD1811" t="s">
        <v>74</v>
      </c>
      <c r="AE1811" t="s">
        <v>74</v>
      </c>
      <c r="AF1811" t="s">
        <v>74</v>
      </c>
      <c r="AG1811">
        <v>41</v>
      </c>
      <c r="AH1811">
        <v>1</v>
      </c>
      <c r="AI1811">
        <v>1</v>
      </c>
      <c r="AJ1811">
        <v>2</v>
      </c>
      <c r="AK1811">
        <v>2</v>
      </c>
      <c r="AL1811" t="s">
        <v>74</v>
      </c>
      <c r="AM1811" t="s">
        <v>74</v>
      </c>
      <c r="AN1811" t="s">
        <v>74</v>
      </c>
      <c r="AO1811" t="s">
        <v>74</v>
      </c>
      <c r="AP1811" t="s">
        <v>10085</v>
      </c>
      <c r="AQ1811" t="s">
        <v>74</v>
      </c>
      <c r="AR1811" t="s">
        <v>74</v>
      </c>
      <c r="AS1811" t="s">
        <v>74</v>
      </c>
      <c r="AT1811" t="s">
        <v>10086</v>
      </c>
      <c r="AU1811">
        <v>2022</v>
      </c>
      <c r="AV1811">
        <v>25</v>
      </c>
      <c r="AW1811">
        <v>6</v>
      </c>
      <c r="AX1811" t="s">
        <v>74</v>
      </c>
      <c r="AY1811" t="s">
        <v>74</v>
      </c>
      <c r="AZ1811" t="s">
        <v>74</v>
      </c>
      <c r="BA1811" t="s">
        <v>74</v>
      </c>
      <c r="BB1811" t="s">
        <v>74</v>
      </c>
      <c r="BC1811" t="s">
        <v>74</v>
      </c>
      <c r="BD1811">
        <v>104414</v>
      </c>
      <c r="BE1811" t="s">
        <v>10087</v>
      </c>
      <c r="BF1811" t="str">
        <f>HYPERLINK("http://dx.doi.org/10.1016/j.isci.2022.104414","http://dx.doi.org/10.1016/j.isci.2022.104414")</f>
        <v>http://dx.doi.org/10.1016/j.isci.2022.104414</v>
      </c>
      <c r="BG1811" t="s">
        <v>74</v>
      </c>
      <c r="BH1811" t="s">
        <v>74</v>
      </c>
      <c r="BI1811" t="s">
        <v>74</v>
      </c>
      <c r="BJ1811" t="s">
        <v>152</v>
      </c>
      <c r="BK1811" t="s">
        <v>117</v>
      </c>
      <c r="BL1811" t="s">
        <v>153</v>
      </c>
      <c r="BM1811" t="s">
        <v>74</v>
      </c>
      <c r="BN1811">
        <v>35663013</v>
      </c>
      <c r="BO1811" t="s">
        <v>74</v>
      </c>
      <c r="BP1811" t="s">
        <v>74</v>
      </c>
      <c r="BQ1811" t="s">
        <v>74</v>
      </c>
      <c r="BR1811" t="s">
        <v>96</v>
      </c>
      <c r="BS1811" t="s">
        <v>10088</v>
      </c>
      <c r="BT1811" t="str">
        <f>HYPERLINK("https%3A%2F%2Fwww.webofscience.com%2Fwos%2Fwoscc%2Ffull-record%2FWOS:000809645900003","View Full Record in Web of Science")</f>
        <v>View Full Record in Web of Science</v>
      </c>
    </row>
    <row r="1812" spans="1:72" x14ac:dyDescent="0.15">
      <c r="A1812" t="s">
        <v>98</v>
      </c>
      <c r="B1812" t="s">
        <v>10089</v>
      </c>
      <c r="C1812" t="s">
        <v>74</v>
      </c>
      <c r="D1812" t="s">
        <v>74</v>
      </c>
      <c r="E1812" t="s">
        <v>74</v>
      </c>
      <c r="F1812" t="s">
        <v>10090</v>
      </c>
      <c r="G1812" t="s">
        <v>74</v>
      </c>
      <c r="H1812" t="s">
        <v>74</v>
      </c>
      <c r="I1812" t="s">
        <v>10091</v>
      </c>
      <c r="J1812" t="s">
        <v>10092</v>
      </c>
      <c r="K1812" t="s">
        <v>74</v>
      </c>
      <c r="L1812" t="s">
        <v>74</v>
      </c>
      <c r="M1812" t="s">
        <v>74</v>
      </c>
      <c r="N1812" t="s">
        <v>103</v>
      </c>
      <c r="O1812" t="s">
        <v>74</v>
      </c>
      <c r="P1812" t="s">
        <v>74</v>
      </c>
      <c r="Q1812" t="s">
        <v>74</v>
      </c>
      <c r="R1812" t="s">
        <v>74</v>
      </c>
      <c r="S1812" t="s">
        <v>74</v>
      </c>
      <c r="T1812" t="s">
        <v>10093</v>
      </c>
      <c r="U1812" t="s">
        <v>10094</v>
      </c>
      <c r="V1812" t="s">
        <v>10095</v>
      </c>
      <c r="W1812" t="s">
        <v>10096</v>
      </c>
      <c r="X1812" t="s">
        <v>10097</v>
      </c>
      <c r="Y1812" t="s">
        <v>10098</v>
      </c>
      <c r="Z1812" t="s">
        <v>10099</v>
      </c>
      <c r="AA1812" t="s">
        <v>74</v>
      </c>
      <c r="AB1812" t="s">
        <v>10100</v>
      </c>
      <c r="AC1812" t="s">
        <v>74</v>
      </c>
      <c r="AD1812" t="s">
        <v>74</v>
      </c>
      <c r="AE1812" t="s">
        <v>74</v>
      </c>
      <c r="AF1812" t="s">
        <v>74</v>
      </c>
      <c r="AG1812">
        <v>41</v>
      </c>
      <c r="AH1812">
        <v>1</v>
      </c>
      <c r="AI1812">
        <v>1</v>
      </c>
      <c r="AJ1812">
        <v>9</v>
      </c>
      <c r="AK1812">
        <v>23</v>
      </c>
      <c r="AL1812" t="s">
        <v>74</v>
      </c>
      <c r="AM1812" t="s">
        <v>74</v>
      </c>
      <c r="AN1812" t="s">
        <v>74</v>
      </c>
      <c r="AO1812" t="s">
        <v>10101</v>
      </c>
      <c r="AP1812" t="s">
        <v>10102</v>
      </c>
      <c r="AQ1812" t="s">
        <v>74</v>
      </c>
      <c r="AR1812" t="s">
        <v>74</v>
      </c>
      <c r="AS1812" t="s">
        <v>74</v>
      </c>
      <c r="AT1812" t="s">
        <v>211</v>
      </c>
      <c r="AU1812">
        <v>2021</v>
      </c>
      <c r="AV1812">
        <v>170</v>
      </c>
      <c r="AW1812" t="s">
        <v>74</v>
      </c>
      <c r="AX1812" t="s">
        <v>74</v>
      </c>
      <c r="AY1812" t="s">
        <v>74</v>
      </c>
      <c r="AZ1812" t="s">
        <v>74</v>
      </c>
      <c r="BA1812" t="s">
        <v>74</v>
      </c>
      <c r="BB1812" t="s">
        <v>74</v>
      </c>
      <c r="BC1812" t="s">
        <v>74</v>
      </c>
      <c r="BD1812">
        <v>106772</v>
      </c>
      <c r="BE1812" t="s">
        <v>10103</v>
      </c>
      <c r="BF1812" t="str">
        <f>HYPERLINK("http://dx.doi.org/10.1016/j.microc.2021.106772","http://dx.doi.org/10.1016/j.microc.2021.106772")</f>
        <v>http://dx.doi.org/10.1016/j.microc.2021.106772</v>
      </c>
      <c r="BG1812" t="s">
        <v>74</v>
      </c>
      <c r="BH1812" t="s">
        <v>1663</v>
      </c>
      <c r="BI1812" t="s">
        <v>74</v>
      </c>
      <c r="BJ1812" t="s">
        <v>1118</v>
      </c>
      <c r="BK1812" t="s">
        <v>117</v>
      </c>
      <c r="BL1812" t="s">
        <v>1048</v>
      </c>
      <c r="BM1812" t="s">
        <v>74</v>
      </c>
      <c r="BN1812" t="s">
        <v>74</v>
      </c>
      <c r="BO1812" t="s">
        <v>74</v>
      </c>
      <c r="BP1812" t="s">
        <v>74</v>
      </c>
      <c r="BQ1812" t="s">
        <v>74</v>
      </c>
      <c r="BR1812" t="s">
        <v>96</v>
      </c>
      <c r="BS1812" t="s">
        <v>10104</v>
      </c>
      <c r="BT1812" t="str">
        <f>HYPERLINK("https%3A%2F%2Fwww.webofscience.com%2Fwos%2Fwoscc%2Ffull-record%2FWOS:000697188400003","View Full Record in Web of Science")</f>
        <v>View Full Record in Web of Science</v>
      </c>
    </row>
    <row r="1813" spans="1:72" x14ac:dyDescent="0.15">
      <c r="A1813" t="s">
        <v>98</v>
      </c>
      <c r="B1813" t="s">
        <v>10307</v>
      </c>
      <c r="C1813" t="s">
        <v>74</v>
      </c>
      <c r="D1813" t="s">
        <v>74</v>
      </c>
      <c r="E1813" t="s">
        <v>74</v>
      </c>
      <c r="F1813" t="s">
        <v>10308</v>
      </c>
      <c r="G1813" t="s">
        <v>74</v>
      </c>
      <c r="H1813" t="s">
        <v>74</v>
      </c>
      <c r="I1813" t="s">
        <v>10309</v>
      </c>
      <c r="J1813" t="s">
        <v>3700</v>
      </c>
      <c r="K1813" t="s">
        <v>74</v>
      </c>
      <c r="L1813" t="s">
        <v>74</v>
      </c>
      <c r="M1813" t="s">
        <v>74</v>
      </c>
      <c r="N1813" t="s">
        <v>103</v>
      </c>
      <c r="O1813" t="s">
        <v>74</v>
      </c>
      <c r="P1813" t="s">
        <v>74</v>
      </c>
      <c r="Q1813" t="s">
        <v>74</v>
      </c>
      <c r="R1813" t="s">
        <v>74</v>
      </c>
      <c r="S1813" t="s">
        <v>74</v>
      </c>
      <c r="T1813" t="s">
        <v>74</v>
      </c>
      <c r="U1813" t="s">
        <v>10310</v>
      </c>
      <c r="V1813" t="s">
        <v>10311</v>
      </c>
      <c r="W1813" t="s">
        <v>10312</v>
      </c>
      <c r="X1813" t="s">
        <v>10313</v>
      </c>
      <c r="Y1813" t="s">
        <v>10314</v>
      </c>
      <c r="Z1813" t="s">
        <v>10315</v>
      </c>
      <c r="AA1813" t="s">
        <v>74</v>
      </c>
      <c r="AB1813" t="s">
        <v>10316</v>
      </c>
      <c r="AC1813" t="s">
        <v>74</v>
      </c>
      <c r="AD1813" t="s">
        <v>74</v>
      </c>
      <c r="AE1813" t="s">
        <v>74</v>
      </c>
      <c r="AF1813" t="s">
        <v>74</v>
      </c>
      <c r="AG1813">
        <v>57</v>
      </c>
      <c r="AH1813">
        <v>1</v>
      </c>
      <c r="AI1813">
        <v>1</v>
      </c>
      <c r="AJ1813">
        <v>2</v>
      </c>
      <c r="AK1813">
        <v>2</v>
      </c>
      <c r="AL1813" t="s">
        <v>74</v>
      </c>
      <c r="AM1813" t="s">
        <v>74</v>
      </c>
      <c r="AN1813" t="s">
        <v>74</v>
      </c>
      <c r="AO1813" t="s">
        <v>74</v>
      </c>
      <c r="AP1813" t="s">
        <v>3711</v>
      </c>
      <c r="AQ1813" t="s">
        <v>74</v>
      </c>
      <c r="AR1813" t="s">
        <v>74</v>
      </c>
      <c r="AS1813" t="s">
        <v>74</v>
      </c>
      <c r="AT1813" t="s">
        <v>189</v>
      </c>
      <c r="AU1813">
        <v>2021</v>
      </c>
      <c r="AV1813">
        <v>297</v>
      </c>
      <c r="AW1813">
        <v>4</v>
      </c>
      <c r="AX1813" t="s">
        <v>74</v>
      </c>
      <c r="AY1813" t="s">
        <v>74</v>
      </c>
      <c r="AZ1813" t="s">
        <v>74</v>
      </c>
      <c r="BA1813" t="s">
        <v>74</v>
      </c>
      <c r="BB1813" t="s">
        <v>74</v>
      </c>
      <c r="BC1813" t="s">
        <v>74</v>
      </c>
      <c r="BD1813">
        <v>101198</v>
      </c>
      <c r="BE1813" t="s">
        <v>10317</v>
      </c>
      <c r="BF1813" t="str">
        <f>HYPERLINK("http://dx.doi.org/10.1016/j.jbc.2021.101198","http://dx.doi.org/10.1016/j.jbc.2021.101198")</f>
        <v>http://dx.doi.org/10.1016/j.jbc.2021.101198</v>
      </c>
      <c r="BG1813" t="s">
        <v>74</v>
      </c>
      <c r="BH1813" t="s">
        <v>74</v>
      </c>
      <c r="BI1813" t="s">
        <v>74</v>
      </c>
      <c r="BJ1813" t="s">
        <v>95</v>
      </c>
      <c r="BK1813" t="s">
        <v>117</v>
      </c>
      <c r="BL1813" t="s">
        <v>95</v>
      </c>
      <c r="BM1813" t="s">
        <v>74</v>
      </c>
      <c r="BN1813">
        <v>34534548</v>
      </c>
      <c r="BO1813" t="s">
        <v>74</v>
      </c>
      <c r="BP1813" t="s">
        <v>74</v>
      </c>
      <c r="BQ1813" t="s">
        <v>74</v>
      </c>
      <c r="BR1813" t="s">
        <v>96</v>
      </c>
      <c r="BS1813" t="s">
        <v>10318</v>
      </c>
      <c r="BT1813" t="str">
        <f>HYPERLINK("https%3A%2F%2Fwww.webofscience.com%2Fwos%2Fwoscc%2Ffull-record%2FWOS:000713003600006","View Full Record in Web of Science")</f>
        <v>View Full Record in Web of Science</v>
      </c>
    </row>
    <row r="1814" spans="1:72" x14ac:dyDescent="0.15">
      <c r="A1814" t="s">
        <v>98</v>
      </c>
      <c r="B1814" t="s">
        <v>10575</v>
      </c>
      <c r="C1814" t="s">
        <v>74</v>
      </c>
      <c r="D1814" t="s">
        <v>74</v>
      </c>
      <c r="E1814" t="s">
        <v>74</v>
      </c>
      <c r="F1814" t="s">
        <v>10576</v>
      </c>
      <c r="G1814" t="s">
        <v>74</v>
      </c>
      <c r="H1814" t="s">
        <v>74</v>
      </c>
      <c r="I1814" t="s">
        <v>10577</v>
      </c>
      <c r="J1814" t="s">
        <v>1860</v>
      </c>
      <c r="K1814" t="s">
        <v>74</v>
      </c>
      <c r="L1814" t="s">
        <v>74</v>
      </c>
      <c r="M1814" t="s">
        <v>74</v>
      </c>
      <c r="N1814" t="s">
        <v>103</v>
      </c>
      <c r="O1814" t="s">
        <v>74</v>
      </c>
      <c r="P1814" t="s">
        <v>74</v>
      </c>
      <c r="Q1814" t="s">
        <v>74</v>
      </c>
      <c r="R1814" t="s">
        <v>74</v>
      </c>
      <c r="S1814" t="s">
        <v>74</v>
      </c>
      <c r="T1814" t="s">
        <v>10578</v>
      </c>
      <c r="U1814" t="s">
        <v>10579</v>
      </c>
      <c r="V1814" t="s">
        <v>10580</v>
      </c>
      <c r="W1814" t="s">
        <v>10581</v>
      </c>
      <c r="X1814" t="s">
        <v>10582</v>
      </c>
      <c r="Y1814" t="s">
        <v>10583</v>
      </c>
      <c r="Z1814" t="s">
        <v>10584</v>
      </c>
      <c r="AA1814" t="s">
        <v>74</v>
      </c>
      <c r="AB1814" t="s">
        <v>74</v>
      </c>
      <c r="AC1814" t="s">
        <v>74</v>
      </c>
      <c r="AD1814" t="s">
        <v>74</v>
      </c>
      <c r="AE1814" t="s">
        <v>74</v>
      </c>
      <c r="AF1814" t="s">
        <v>74</v>
      </c>
      <c r="AG1814">
        <v>50</v>
      </c>
      <c r="AH1814">
        <v>1</v>
      </c>
      <c r="AI1814">
        <v>1</v>
      </c>
      <c r="AJ1814">
        <v>58</v>
      </c>
      <c r="AK1814">
        <v>66</v>
      </c>
      <c r="AL1814" t="s">
        <v>74</v>
      </c>
      <c r="AM1814" t="s">
        <v>74</v>
      </c>
      <c r="AN1814" t="s">
        <v>74</v>
      </c>
      <c r="AO1814" t="s">
        <v>1870</v>
      </c>
      <c r="AP1814" t="s">
        <v>1871</v>
      </c>
      <c r="AQ1814" t="s">
        <v>74</v>
      </c>
      <c r="AR1814" t="s">
        <v>74</v>
      </c>
      <c r="AS1814" t="s">
        <v>74</v>
      </c>
      <c r="AT1814" t="s">
        <v>10585</v>
      </c>
      <c r="AU1814">
        <v>2022</v>
      </c>
      <c r="AV1814">
        <v>1191</v>
      </c>
      <c r="AW1814" t="s">
        <v>74</v>
      </c>
      <c r="AX1814" t="s">
        <v>74</v>
      </c>
      <c r="AY1814" t="s">
        <v>74</v>
      </c>
      <c r="AZ1814" t="s">
        <v>74</v>
      </c>
      <c r="BA1814" t="s">
        <v>74</v>
      </c>
      <c r="BB1814" t="s">
        <v>74</v>
      </c>
      <c r="BC1814" t="s">
        <v>74</v>
      </c>
      <c r="BD1814">
        <v>339279</v>
      </c>
      <c r="BE1814" t="s">
        <v>10586</v>
      </c>
      <c r="BF1814" t="str">
        <f>HYPERLINK("http://dx.doi.org/10.1016/j.aca.2021.339279","http://dx.doi.org/10.1016/j.aca.2021.339279")</f>
        <v>http://dx.doi.org/10.1016/j.aca.2021.339279</v>
      </c>
      <c r="BG1814" t="s">
        <v>74</v>
      </c>
      <c r="BH1814" t="s">
        <v>74</v>
      </c>
      <c r="BI1814" t="s">
        <v>74</v>
      </c>
      <c r="BJ1814" t="s">
        <v>1118</v>
      </c>
      <c r="BK1814" t="s">
        <v>117</v>
      </c>
      <c r="BL1814" t="s">
        <v>1048</v>
      </c>
      <c r="BM1814" t="s">
        <v>74</v>
      </c>
      <c r="BN1814">
        <v>35033266</v>
      </c>
      <c r="BO1814" t="s">
        <v>74</v>
      </c>
      <c r="BP1814" t="s">
        <v>74</v>
      </c>
      <c r="BQ1814" t="s">
        <v>74</v>
      </c>
      <c r="BR1814" t="s">
        <v>96</v>
      </c>
      <c r="BS1814" t="s">
        <v>10587</v>
      </c>
      <c r="BT1814" t="str">
        <f>HYPERLINK("https%3A%2F%2Fwww.webofscience.com%2Fwos%2Fwoscc%2Ffull-record%2FWOS:000752572200006","View Full Record in Web of Science")</f>
        <v>View Full Record in Web of Science</v>
      </c>
    </row>
    <row r="1815" spans="1:72" x14ac:dyDescent="0.15">
      <c r="A1815" t="s">
        <v>98</v>
      </c>
      <c r="B1815" t="s">
        <v>10797</v>
      </c>
      <c r="C1815" t="s">
        <v>74</v>
      </c>
      <c r="D1815" t="s">
        <v>74</v>
      </c>
      <c r="E1815" t="s">
        <v>74</v>
      </c>
      <c r="F1815" t="s">
        <v>10798</v>
      </c>
      <c r="G1815" t="s">
        <v>74</v>
      </c>
      <c r="H1815" t="s">
        <v>74</v>
      </c>
      <c r="I1815" t="s">
        <v>10799</v>
      </c>
      <c r="J1815" t="s">
        <v>10800</v>
      </c>
      <c r="K1815" t="s">
        <v>74</v>
      </c>
      <c r="L1815" t="s">
        <v>74</v>
      </c>
      <c r="M1815" t="s">
        <v>74</v>
      </c>
      <c r="N1815" t="s">
        <v>103</v>
      </c>
      <c r="O1815" t="s">
        <v>74</v>
      </c>
      <c r="P1815" t="s">
        <v>74</v>
      </c>
      <c r="Q1815" t="s">
        <v>74</v>
      </c>
      <c r="R1815" t="s">
        <v>74</v>
      </c>
      <c r="S1815" t="s">
        <v>74</v>
      </c>
      <c r="T1815" t="s">
        <v>10801</v>
      </c>
      <c r="U1815" t="s">
        <v>10802</v>
      </c>
      <c r="V1815" t="s">
        <v>10803</v>
      </c>
      <c r="W1815" t="s">
        <v>10804</v>
      </c>
      <c r="X1815" t="s">
        <v>10805</v>
      </c>
      <c r="Y1815" t="s">
        <v>10806</v>
      </c>
      <c r="Z1815" t="s">
        <v>10807</v>
      </c>
      <c r="AA1815" t="s">
        <v>74</v>
      </c>
      <c r="AB1815" t="s">
        <v>10808</v>
      </c>
      <c r="AC1815" t="s">
        <v>74</v>
      </c>
      <c r="AD1815" t="s">
        <v>74</v>
      </c>
      <c r="AE1815" t="s">
        <v>74</v>
      </c>
      <c r="AF1815" t="s">
        <v>74</v>
      </c>
      <c r="AG1815">
        <v>131</v>
      </c>
      <c r="AH1815">
        <v>1</v>
      </c>
      <c r="AI1815">
        <v>1</v>
      </c>
      <c r="AJ1815">
        <v>6</v>
      </c>
      <c r="AK1815">
        <v>7</v>
      </c>
      <c r="AL1815" t="s">
        <v>74</v>
      </c>
      <c r="AM1815" t="s">
        <v>74</v>
      </c>
      <c r="AN1815" t="s">
        <v>74</v>
      </c>
      <c r="AO1815" t="s">
        <v>10809</v>
      </c>
      <c r="AP1815" t="s">
        <v>10810</v>
      </c>
      <c r="AQ1815" t="s">
        <v>74</v>
      </c>
      <c r="AR1815" t="s">
        <v>74</v>
      </c>
      <c r="AS1815" t="s">
        <v>74</v>
      </c>
      <c r="AT1815" t="s">
        <v>565</v>
      </c>
      <c r="AU1815">
        <v>2022</v>
      </c>
      <c r="AV1815">
        <v>61</v>
      </c>
      <c r="AW1815">
        <v>3</v>
      </c>
      <c r="AX1815" t="s">
        <v>74</v>
      </c>
      <c r="AY1815" t="s">
        <v>74</v>
      </c>
      <c r="AZ1815" t="s">
        <v>74</v>
      </c>
      <c r="BA1815" t="s">
        <v>74</v>
      </c>
      <c r="BB1815">
        <v>269</v>
      </c>
      <c r="BC1815">
        <v>280</v>
      </c>
      <c r="BD1815" t="s">
        <v>74</v>
      </c>
      <c r="BE1815" t="s">
        <v>10811</v>
      </c>
      <c r="BF1815" t="str">
        <f>HYPERLINK("http://dx.doi.org/10.1002/mc.23378","http://dx.doi.org/10.1002/mc.23378")</f>
        <v>http://dx.doi.org/10.1002/mc.23378</v>
      </c>
      <c r="BG1815" t="s">
        <v>74</v>
      </c>
      <c r="BH1815" t="s">
        <v>2718</v>
      </c>
      <c r="BI1815" t="s">
        <v>74</v>
      </c>
      <c r="BJ1815" t="s">
        <v>357</v>
      </c>
      <c r="BK1815" t="s">
        <v>117</v>
      </c>
      <c r="BL1815" t="s">
        <v>357</v>
      </c>
      <c r="BM1815" t="s">
        <v>74</v>
      </c>
      <c r="BN1815">
        <v>34897815</v>
      </c>
      <c r="BO1815" t="s">
        <v>74</v>
      </c>
      <c r="BP1815" t="s">
        <v>74</v>
      </c>
      <c r="BQ1815" t="s">
        <v>74</v>
      </c>
      <c r="BR1815" t="s">
        <v>96</v>
      </c>
      <c r="BS1815" t="s">
        <v>10812</v>
      </c>
      <c r="BT1815" t="str">
        <f>HYPERLINK("https%3A%2F%2Fwww.webofscience.com%2Fwos%2Fwoscc%2Ffull-record%2FWOS:000729321200001","View Full Record in Web of Science")</f>
        <v>View Full Record in Web of Science</v>
      </c>
    </row>
    <row r="1816" spans="1:72" x14ac:dyDescent="0.15">
      <c r="A1816" t="s">
        <v>98</v>
      </c>
      <c r="B1816" t="s">
        <v>11089</v>
      </c>
      <c r="C1816" t="s">
        <v>74</v>
      </c>
      <c r="D1816" t="s">
        <v>74</v>
      </c>
      <c r="E1816" t="s">
        <v>74</v>
      </c>
      <c r="F1816" t="s">
        <v>11090</v>
      </c>
      <c r="G1816" t="s">
        <v>74</v>
      </c>
      <c r="H1816" t="s">
        <v>74</v>
      </c>
      <c r="I1816" t="s">
        <v>11091</v>
      </c>
      <c r="J1816" t="s">
        <v>3780</v>
      </c>
      <c r="K1816" t="s">
        <v>74</v>
      </c>
      <c r="L1816" t="s">
        <v>74</v>
      </c>
      <c r="M1816" t="s">
        <v>74</v>
      </c>
      <c r="N1816" t="s">
        <v>103</v>
      </c>
      <c r="O1816" t="s">
        <v>74</v>
      </c>
      <c r="P1816" t="s">
        <v>74</v>
      </c>
      <c r="Q1816" t="s">
        <v>74</v>
      </c>
      <c r="R1816" t="s">
        <v>74</v>
      </c>
      <c r="S1816" t="s">
        <v>74</v>
      </c>
      <c r="T1816" t="s">
        <v>74</v>
      </c>
      <c r="U1816" t="s">
        <v>11092</v>
      </c>
      <c r="V1816" t="s">
        <v>11093</v>
      </c>
      <c r="W1816" t="s">
        <v>11094</v>
      </c>
      <c r="X1816" t="s">
        <v>11095</v>
      </c>
      <c r="Y1816" t="s">
        <v>11096</v>
      </c>
      <c r="Z1816" t="s">
        <v>11097</v>
      </c>
      <c r="AA1816" t="s">
        <v>11098</v>
      </c>
      <c r="AB1816" t="s">
        <v>11099</v>
      </c>
      <c r="AC1816" t="s">
        <v>74</v>
      </c>
      <c r="AD1816" t="s">
        <v>74</v>
      </c>
      <c r="AE1816" t="s">
        <v>74</v>
      </c>
      <c r="AF1816" t="s">
        <v>74</v>
      </c>
      <c r="AG1816">
        <v>52</v>
      </c>
      <c r="AH1816">
        <v>1</v>
      </c>
      <c r="AI1816">
        <v>1</v>
      </c>
      <c r="AJ1816">
        <v>16</v>
      </c>
      <c r="AK1816">
        <v>32</v>
      </c>
      <c r="AL1816" t="s">
        <v>74</v>
      </c>
      <c r="AM1816" t="s">
        <v>74</v>
      </c>
      <c r="AN1816" t="s">
        <v>74</v>
      </c>
      <c r="AO1816" t="s">
        <v>3787</v>
      </c>
      <c r="AP1816" t="s">
        <v>3788</v>
      </c>
      <c r="AQ1816" t="s">
        <v>74</v>
      </c>
      <c r="AR1816" t="s">
        <v>74</v>
      </c>
      <c r="AS1816" t="s">
        <v>74</v>
      </c>
      <c r="AT1816" t="s">
        <v>4112</v>
      </c>
      <c r="AU1816">
        <v>2021</v>
      </c>
      <c r="AV1816">
        <v>21</v>
      </c>
      <c r="AW1816">
        <v>23</v>
      </c>
      <c r="AX1816" t="s">
        <v>74</v>
      </c>
      <c r="AY1816" t="s">
        <v>74</v>
      </c>
      <c r="AZ1816" t="s">
        <v>74</v>
      </c>
      <c r="BA1816" t="s">
        <v>74</v>
      </c>
      <c r="BB1816">
        <v>4660</v>
      </c>
      <c r="BC1816">
        <v>4671</v>
      </c>
      <c r="BD1816" t="s">
        <v>74</v>
      </c>
      <c r="BE1816" t="s">
        <v>11100</v>
      </c>
      <c r="BF1816" t="str">
        <f>HYPERLINK("http://dx.doi.org/10.1039/d1lc00663k","http://dx.doi.org/10.1039/d1lc00663k")</f>
        <v>http://dx.doi.org/10.1039/d1lc00663k</v>
      </c>
      <c r="BG1816" t="s">
        <v>74</v>
      </c>
      <c r="BH1816" t="s">
        <v>1967</v>
      </c>
      <c r="BI1816" t="s">
        <v>74</v>
      </c>
      <c r="BJ1816" t="s">
        <v>3790</v>
      </c>
      <c r="BK1816" t="s">
        <v>117</v>
      </c>
      <c r="BL1816" t="s">
        <v>3791</v>
      </c>
      <c r="BM1816" t="s">
        <v>74</v>
      </c>
      <c r="BN1816">
        <v>34739016</v>
      </c>
      <c r="BO1816" t="s">
        <v>74</v>
      </c>
      <c r="BP1816" t="s">
        <v>74</v>
      </c>
      <c r="BQ1816" t="s">
        <v>74</v>
      </c>
      <c r="BR1816" t="s">
        <v>96</v>
      </c>
      <c r="BS1816" t="s">
        <v>11101</v>
      </c>
      <c r="BT1816" t="str">
        <f>HYPERLINK("https%3A%2F%2Fwww.webofscience.com%2Fwos%2Fwoscc%2Ffull-record%2FWOS:000714701600001","View Full Record in Web of Science")</f>
        <v>View Full Record in Web of Science</v>
      </c>
    </row>
    <row r="1817" spans="1:72" x14ac:dyDescent="0.15">
      <c r="A1817" t="s">
        <v>98</v>
      </c>
      <c r="B1817" t="s">
        <v>11162</v>
      </c>
      <c r="C1817" t="s">
        <v>74</v>
      </c>
      <c r="D1817" t="s">
        <v>74</v>
      </c>
      <c r="E1817" t="s">
        <v>74</v>
      </c>
      <c r="F1817" t="s">
        <v>11163</v>
      </c>
      <c r="G1817" t="s">
        <v>74</v>
      </c>
      <c r="H1817" t="s">
        <v>74</v>
      </c>
      <c r="I1817" t="s">
        <v>11164</v>
      </c>
      <c r="J1817" t="s">
        <v>4391</v>
      </c>
      <c r="K1817" t="s">
        <v>74</v>
      </c>
      <c r="L1817" t="s">
        <v>74</v>
      </c>
      <c r="M1817" t="s">
        <v>74</v>
      </c>
      <c r="N1817" t="s">
        <v>103</v>
      </c>
      <c r="O1817" t="s">
        <v>74</v>
      </c>
      <c r="P1817" t="s">
        <v>74</v>
      </c>
      <c r="Q1817" t="s">
        <v>74</v>
      </c>
      <c r="R1817" t="s">
        <v>74</v>
      </c>
      <c r="S1817" t="s">
        <v>74</v>
      </c>
      <c r="T1817" t="s">
        <v>11165</v>
      </c>
      <c r="U1817" t="s">
        <v>11166</v>
      </c>
      <c r="V1817" t="s">
        <v>11167</v>
      </c>
      <c r="W1817" t="s">
        <v>11168</v>
      </c>
      <c r="X1817" t="s">
        <v>11169</v>
      </c>
      <c r="Y1817" t="s">
        <v>11170</v>
      </c>
      <c r="Z1817" t="s">
        <v>11171</v>
      </c>
      <c r="AA1817" t="s">
        <v>74</v>
      </c>
      <c r="AB1817" t="s">
        <v>11172</v>
      </c>
      <c r="AC1817" t="s">
        <v>74</v>
      </c>
      <c r="AD1817" t="s">
        <v>74</v>
      </c>
      <c r="AE1817" t="s">
        <v>74</v>
      </c>
      <c r="AF1817" t="s">
        <v>74</v>
      </c>
      <c r="AG1817">
        <v>51</v>
      </c>
      <c r="AH1817">
        <v>1</v>
      </c>
      <c r="AI1817">
        <v>1</v>
      </c>
      <c r="AJ1817">
        <v>0</v>
      </c>
      <c r="AK1817">
        <v>5</v>
      </c>
      <c r="AL1817" t="s">
        <v>74</v>
      </c>
      <c r="AM1817" t="s">
        <v>74</v>
      </c>
      <c r="AN1817" t="s">
        <v>74</v>
      </c>
      <c r="AO1817" t="s">
        <v>74</v>
      </c>
      <c r="AP1817" t="s">
        <v>4401</v>
      </c>
      <c r="AQ1817" t="s">
        <v>74</v>
      </c>
      <c r="AR1817" t="s">
        <v>74</v>
      </c>
      <c r="AS1817" t="s">
        <v>74</v>
      </c>
      <c r="AT1817" t="s">
        <v>11173</v>
      </c>
      <c r="AU1817">
        <v>2021</v>
      </c>
      <c r="AV1817">
        <v>12</v>
      </c>
      <c r="AW1817">
        <v>1</v>
      </c>
      <c r="AX1817" t="s">
        <v>74</v>
      </c>
      <c r="AY1817" t="s">
        <v>74</v>
      </c>
      <c r="AZ1817" t="s">
        <v>74</v>
      </c>
      <c r="BA1817" t="s">
        <v>74</v>
      </c>
      <c r="BB1817" t="s">
        <v>74</v>
      </c>
      <c r="BC1817" t="s">
        <v>74</v>
      </c>
      <c r="BD1817">
        <v>568</v>
      </c>
      <c r="BE1817" t="s">
        <v>11174</v>
      </c>
      <c r="BF1817" t="str">
        <f>HYPERLINK("http://dx.doi.org/10.1186/s13287-021-02641-x","http://dx.doi.org/10.1186/s13287-021-02641-x")</f>
        <v>http://dx.doi.org/10.1186/s13287-021-02641-x</v>
      </c>
      <c r="BG1817" t="s">
        <v>74</v>
      </c>
      <c r="BH1817" t="s">
        <v>74</v>
      </c>
      <c r="BI1817" t="s">
        <v>74</v>
      </c>
      <c r="BJ1817" t="s">
        <v>3115</v>
      </c>
      <c r="BK1817" t="s">
        <v>117</v>
      </c>
      <c r="BL1817" t="s">
        <v>3116</v>
      </c>
      <c r="BM1817" t="s">
        <v>74</v>
      </c>
      <c r="BN1817">
        <v>34772443</v>
      </c>
      <c r="BO1817" t="s">
        <v>74</v>
      </c>
      <c r="BP1817" t="s">
        <v>74</v>
      </c>
      <c r="BQ1817" t="s">
        <v>74</v>
      </c>
      <c r="BR1817" t="s">
        <v>96</v>
      </c>
      <c r="BS1817" t="s">
        <v>11175</v>
      </c>
      <c r="BT1817" t="str">
        <f>HYPERLINK("https%3A%2F%2Fwww.webofscience.com%2Fwos%2Fwoscc%2Ffull-record%2FWOS:000717992400003","View Full Record in Web of Science")</f>
        <v>View Full Record in Web of Science</v>
      </c>
    </row>
    <row r="1818" spans="1:72" x14ac:dyDescent="0.15">
      <c r="A1818" t="s">
        <v>98</v>
      </c>
      <c r="B1818" t="s">
        <v>11557</v>
      </c>
      <c r="C1818" t="s">
        <v>74</v>
      </c>
      <c r="D1818" t="s">
        <v>74</v>
      </c>
      <c r="E1818" t="s">
        <v>74</v>
      </c>
      <c r="F1818" t="s">
        <v>11558</v>
      </c>
      <c r="G1818" t="s">
        <v>74</v>
      </c>
      <c r="H1818" t="s">
        <v>74</v>
      </c>
      <c r="I1818" t="s">
        <v>11559</v>
      </c>
      <c r="J1818" t="s">
        <v>11560</v>
      </c>
      <c r="K1818" t="s">
        <v>74</v>
      </c>
      <c r="L1818" t="s">
        <v>74</v>
      </c>
      <c r="M1818" t="s">
        <v>74</v>
      </c>
      <c r="N1818" t="s">
        <v>103</v>
      </c>
      <c r="O1818" t="s">
        <v>74</v>
      </c>
      <c r="P1818" t="s">
        <v>74</v>
      </c>
      <c r="Q1818" t="s">
        <v>74</v>
      </c>
      <c r="R1818" t="s">
        <v>74</v>
      </c>
      <c r="S1818" t="s">
        <v>74</v>
      </c>
      <c r="T1818" t="s">
        <v>11561</v>
      </c>
      <c r="U1818" t="s">
        <v>11562</v>
      </c>
      <c r="V1818" t="s">
        <v>11563</v>
      </c>
      <c r="W1818" t="s">
        <v>11564</v>
      </c>
      <c r="X1818" t="s">
        <v>11565</v>
      </c>
      <c r="Y1818" t="s">
        <v>11566</v>
      </c>
      <c r="Z1818" t="s">
        <v>8435</v>
      </c>
      <c r="AA1818" t="s">
        <v>74</v>
      </c>
      <c r="AB1818" t="s">
        <v>74</v>
      </c>
      <c r="AC1818" t="s">
        <v>74</v>
      </c>
      <c r="AD1818" t="s">
        <v>74</v>
      </c>
      <c r="AE1818" t="s">
        <v>74</v>
      </c>
      <c r="AF1818" t="s">
        <v>74</v>
      </c>
      <c r="AG1818">
        <v>42</v>
      </c>
      <c r="AH1818">
        <v>1</v>
      </c>
      <c r="AI1818">
        <v>1</v>
      </c>
      <c r="AJ1818">
        <v>4</v>
      </c>
      <c r="AK1818">
        <v>4</v>
      </c>
      <c r="AL1818" t="s">
        <v>74</v>
      </c>
      <c r="AM1818" t="s">
        <v>74</v>
      </c>
      <c r="AN1818" t="s">
        <v>74</v>
      </c>
      <c r="AO1818" t="s">
        <v>74</v>
      </c>
      <c r="AP1818" t="s">
        <v>11567</v>
      </c>
      <c r="AQ1818" t="s">
        <v>74</v>
      </c>
      <c r="AR1818" t="s">
        <v>74</v>
      </c>
      <c r="AS1818" t="s">
        <v>74</v>
      </c>
      <c r="AT1818" t="s">
        <v>74</v>
      </c>
      <c r="AU1818">
        <v>2022</v>
      </c>
      <c r="AV1818">
        <v>4</v>
      </c>
      <c r="AW1818">
        <v>5</v>
      </c>
      <c r="AX1818" t="s">
        <v>74</v>
      </c>
      <c r="AY1818" t="s">
        <v>74</v>
      </c>
      <c r="AZ1818" t="s">
        <v>74</v>
      </c>
      <c r="BA1818" t="s">
        <v>74</v>
      </c>
      <c r="BB1818">
        <v>1597</v>
      </c>
      <c r="BC1818">
        <v>1609</v>
      </c>
      <c r="BD1818" t="s">
        <v>74</v>
      </c>
      <c r="BE1818" t="s">
        <v>11568</v>
      </c>
      <c r="BF1818" t="str">
        <f>HYPERLINK("http://dx.doi.org/10.31635/ccschem.021.202100836","http://dx.doi.org/10.31635/ccschem.021.202100836")</f>
        <v>http://dx.doi.org/10.31635/ccschem.021.202100836</v>
      </c>
      <c r="BG1818" t="s">
        <v>74</v>
      </c>
      <c r="BH1818" t="s">
        <v>74</v>
      </c>
      <c r="BI1818" t="s">
        <v>74</v>
      </c>
      <c r="BJ1818" t="s">
        <v>1047</v>
      </c>
      <c r="BK1818" t="s">
        <v>467</v>
      </c>
      <c r="BL1818" t="s">
        <v>1048</v>
      </c>
      <c r="BM1818" t="s">
        <v>74</v>
      </c>
      <c r="BN1818" t="s">
        <v>74</v>
      </c>
      <c r="BO1818" t="s">
        <v>74</v>
      </c>
      <c r="BP1818" t="s">
        <v>74</v>
      </c>
      <c r="BQ1818" t="s">
        <v>74</v>
      </c>
      <c r="BR1818" t="s">
        <v>96</v>
      </c>
      <c r="BS1818" t="s">
        <v>11569</v>
      </c>
      <c r="BT1818" t="str">
        <f>HYPERLINK("https%3A%2F%2Fwww.webofscience.com%2Fwos%2Fwoscc%2Ffull-record%2FWOS:000794318300015","View Full Record in Web of Science")</f>
        <v>View Full Record in Web of Science</v>
      </c>
    </row>
    <row r="1819" spans="1:72" x14ac:dyDescent="0.15">
      <c r="A1819" t="s">
        <v>98</v>
      </c>
      <c r="B1819" t="s">
        <v>11640</v>
      </c>
      <c r="C1819" t="s">
        <v>74</v>
      </c>
      <c r="D1819" t="s">
        <v>74</v>
      </c>
      <c r="E1819" t="s">
        <v>74</v>
      </c>
      <c r="F1819" t="s">
        <v>11641</v>
      </c>
      <c r="G1819" t="s">
        <v>74</v>
      </c>
      <c r="H1819" t="s">
        <v>74</v>
      </c>
      <c r="I1819" t="s">
        <v>11642</v>
      </c>
      <c r="J1819" t="s">
        <v>11643</v>
      </c>
      <c r="K1819" t="s">
        <v>74</v>
      </c>
      <c r="L1819" t="s">
        <v>74</v>
      </c>
      <c r="M1819" t="s">
        <v>74</v>
      </c>
      <c r="N1819" t="s">
        <v>103</v>
      </c>
      <c r="O1819" t="s">
        <v>74</v>
      </c>
      <c r="P1819" t="s">
        <v>74</v>
      </c>
      <c r="Q1819" t="s">
        <v>74</v>
      </c>
      <c r="R1819" t="s">
        <v>74</v>
      </c>
      <c r="S1819" t="s">
        <v>74</v>
      </c>
      <c r="T1819" t="s">
        <v>11644</v>
      </c>
      <c r="U1819" t="s">
        <v>11645</v>
      </c>
      <c r="V1819" t="s">
        <v>11646</v>
      </c>
      <c r="W1819" t="s">
        <v>11647</v>
      </c>
      <c r="X1819" t="s">
        <v>11648</v>
      </c>
      <c r="Y1819" t="s">
        <v>11649</v>
      </c>
      <c r="Z1819" t="s">
        <v>11650</v>
      </c>
      <c r="AA1819" t="s">
        <v>74</v>
      </c>
      <c r="AB1819" t="s">
        <v>11651</v>
      </c>
      <c r="AC1819" t="s">
        <v>74</v>
      </c>
      <c r="AD1819" t="s">
        <v>74</v>
      </c>
      <c r="AE1819" t="s">
        <v>74</v>
      </c>
      <c r="AF1819" t="s">
        <v>74</v>
      </c>
      <c r="AG1819">
        <v>28</v>
      </c>
      <c r="AH1819">
        <v>1</v>
      </c>
      <c r="AI1819">
        <v>1</v>
      </c>
      <c r="AJ1819">
        <v>2</v>
      </c>
      <c r="AK1819">
        <v>2</v>
      </c>
      <c r="AL1819" t="s">
        <v>74</v>
      </c>
      <c r="AM1819" t="s">
        <v>74</v>
      </c>
      <c r="AN1819" t="s">
        <v>74</v>
      </c>
      <c r="AO1819" t="s">
        <v>11652</v>
      </c>
      <c r="AP1819" t="s">
        <v>11653</v>
      </c>
      <c r="AQ1819" t="s">
        <v>74</v>
      </c>
      <c r="AR1819" t="s">
        <v>74</v>
      </c>
      <c r="AS1819" t="s">
        <v>74</v>
      </c>
      <c r="AT1819" t="s">
        <v>967</v>
      </c>
      <c r="AU1819">
        <v>2021</v>
      </c>
      <c r="AV1819">
        <v>69</v>
      </c>
      <c r="AW1819" t="s">
        <v>74</v>
      </c>
      <c r="AX1819" t="s">
        <v>74</v>
      </c>
      <c r="AY1819" t="s">
        <v>74</v>
      </c>
      <c r="AZ1819" t="s">
        <v>74</v>
      </c>
      <c r="BA1819" t="s">
        <v>74</v>
      </c>
      <c r="BB1819" t="s">
        <v>74</v>
      </c>
      <c r="BC1819" t="s">
        <v>74</v>
      </c>
      <c r="BD1819">
        <v>101480</v>
      </c>
      <c r="BE1819" t="s">
        <v>11654</v>
      </c>
      <c r="BF1819" t="str">
        <f>HYPERLINK("http://dx.doi.org/10.1016/j.trim.2021.101480","http://dx.doi.org/10.1016/j.trim.2021.101480")</f>
        <v>http://dx.doi.org/10.1016/j.trim.2021.101480</v>
      </c>
      <c r="BG1819" t="s">
        <v>74</v>
      </c>
      <c r="BH1819" t="s">
        <v>1967</v>
      </c>
      <c r="BI1819" t="s">
        <v>74</v>
      </c>
      <c r="BJ1819" t="s">
        <v>11655</v>
      </c>
      <c r="BK1819" t="s">
        <v>117</v>
      </c>
      <c r="BL1819" t="s">
        <v>11655</v>
      </c>
      <c r="BM1819" t="s">
        <v>74</v>
      </c>
      <c r="BN1819">
        <v>34619318</v>
      </c>
      <c r="BO1819" t="s">
        <v>74</v>
      </c>
      <c r="BP1819" t="s">
        <v>74</v>
      </c>
      <c r="BQ1819" t="s">
        <v>74</v>
      </c>
      <c r="BR1819" t="s">
        <v>96</v>
      </c>
      <c r="BS1819" t="s">
        <v>11656</v>
      </c>
      <c r="BT1819" t="str">
        <f>HYPERLINK("https%3A%2F%2Fwww.webofscience.com%2Fwos%2Fwoscc%2Ffull-record%2FWOS:000706188200003","View Full Record in Web of Science")</f>
        <v>View Full Record in Web of Science</v>
      </c>
    </row>
    <row r="1820" spans="1:72" x14ac:dyDescent="0.15">
      <c r="A1820" t="s">
        <v>98</v>
      </c>
      <c r="B1820" t="s">
        <v>11716</v>
      </c>
      <c r="C1820" t="s">
        <v>74</v>
      </c>
      <c r="D1820" t="s">
        <v>74</v>
      </c>
      <c r="E1820" t="s">
        <v>74</v>
      </c>
      <c r="F1820" t="s">
        <v>11717</v>
      </c>
      <c r="G1820" t="s">
        <v>74</v>
      </c>
      <c r="H1820" t="s">
        <v>74</v>
      </c>
      <c r="I1820" t="s">
        <v>11718</v>
      </c>
      <c r="J1820" t="s">
        <v>9977</v>
      </c>
      <c r="K1820" t="s">
        <v>74</v>
      </c>
      <c r="L1820" t="s">
        <v>74</v>
      </c>
      <c r="M1820" t="s">
        <v>74</v>
      </c>
      <c r="N1820" t="s">
        <v>103</v>
      </c>
      <c r="O1820" t="s">
        <v>74</v>
      </c>
      <c r="P1820" t="s">
        <v>74</v>
      </c>
      <c r="Q1820" t="s">
        <v>74</v>
      </c>
      <c r="R1820" t="s">
        <v>74</v>
      </c>
      <c r="S1820" t="s">
        <v>74</v>
      </c>
      <c r="T1820" t="s">
        <v>11719</v>
      </c>
      <c r="U1820" t="s">
        <v>11720</v>
      </c>
      <c r="V1820" t="s">
        <v>11721</v>
      </c>
      <c r="W1820" t="s">
        <v>11722</v>
      </c>
      <c r="X1820" t="s">
        <v>11723</v>
      </c>
      <c r="Y1820" t="s">
        <v>11724</v>
      </c>
      <c r="Z1820" t="s">
        <v>11725</v>
      </c>
      <c r="AA1820" t="s">
        <v>74</v>
      </c>
      <c r="AB1820" t="s">
        <v>11726</v>
      </c>
      <c r="AC1820" t="s">
        <v>74</v>
      </c>
      <c r="AD1820" t="s">
        <v>74</v>
      </c>
      <c r="AE1820" t="s">
        <v>74</v>
      </c>
      <c r="AF1820" t="s">
        <v>74</v>
      </c>
      <c r="AG1820">
        <v>69</v>
      </c>
      <c r="AH1820">
        <v>1</v>
      </c>
      <c r="AI1820">
        <v>1</v>
      </c>
      <c r="AJ1820">
        <v>5</v>
      </c>
      <c r="AK1820">
        <v>5</v>
      </c>
      <c r="AL1820" t="s">
        <v>74</v>
      </c>
      <c r="AM1820" t="s">
        <v>74</v>
      </c>
      <c r="AN1820" t="s">
        <v>74</v>
      </c>
      <c r="AO1820" t="s">
        <v>74</v>
      </c>
      <c r="AP1820" t="s">
        <v>9986</v>
      </c>
      <c r="AQ1820" t="s">
        <v>74</v>
      </c>
      <c r="AR1820" t="s">
        <v>74</v>
      </c>
      <c r="AS1820" t="s">
        <v>74</v>
      </c>
      <c r="AT1820" t="s">
        <v>211</v>
      </c>
      <c r="AU1820">
        <v>2021</v>
      </c>
      <c r="AV1820">
        <v>9</v>
      </c>
      <c r="AW1820">
        <v>11</v>
      </c>
      <c r="AX1820" t="s">
        <v>74</v>
      </c>
      <c r="AY1820" t="s">
        <v>74</v>
      </c>
      <c r="AZ1820" t="s">
        <v>74</v>
      </c>
      <c r="BA1820" t="s">
        <v>74</v>
      </c>
      <c r="BB1820" t="s">
        <v>74</v>
      </c>
      <c r="BC1820" t="s">
        <v>74</v>
      </c>
      <c r="BD1820">
        <v>2308</v>
      </c>
      <c r="BE1820" t="s">
        <v>11727</v>
      </c>
      <c r="BF1820" t="str">
        <f>HYPERLINK("http://dx.doi.org/10.3390/microorganisms9112308","http://dx.doi.org/10.3390/microorganisms9112308")</f>
        <v>http://dx.doi.org/10.3390/microorganisms9112308</v>
      </c>
      <c r="BG1820" t="s">
        <v>74</v>
      </c>
      <c r="BH1820" t="s">
        <v>74</v>
      </c>
      <c r="BI1820" t="s">
        <v>74</v>
      </c>
      <c r="BJ1820" t="s">
        <v>898</v>
      </c>
      <c r="BK1820" t="s">
        <v>117</v>
      </c>
      <c r="BL1820" t="s">
        <v>898</v>
      </c>
      <c r="BM1820" t="s">
        <v>74</v>
      </c>
      <c r="BN1820">
        <v>34835434</v>
      </c>
      <c r="BO1820" t="s">
        <v>74</v>
      </c>
      <c r="BP1820" t="s">
        <v>74</v>
      </c>
      <c r="BQ1820" t="s">
        <v>74</v>
      </c>
      <c r="BR1820" t="s">
        <v>96</v>
      </c>
      <c r="BS1820" t="s">
        <v>11728</v>
      </c>
      <c r="BT1820" t="str">
        <f>HYPERLINK("https%3A%2F%2Fwww.webofscience.com%2Fwos%2Fwoscc%2Ffull-record%2FWOS:000728044600001","View Full Record in Web of Science")</f>
        <v>View Full Record in Web of Science</v>
      </c>
    </row>
    <row r="1821" spans="1:72" x14ac:dyDescent="0.15">
      <c r="A1821" t="s">
        <v>98</v>
      </c>
      <c r="B1821" t="s">
        <v>11729</v>
      </c>
      <c r="C1821" t="s">
        <v>74</v>
      </c>
      <c r="D1821" t="s">
        <v>74</v>
      </c>
      <c r="E1821" t="s">
        <v>74</v>
      </c>
      <c r="F1821" t="s">
        <v>11730</v>
      </c>
      <c r="G1821" t="s">
        <v>74</v>
      </c>
      <c r="H1821" t="s">
        <v>74</v>
      </c>
      <c r="I1821" t="s">
        <v>11731</v>
      </c>
      <c r="J1821" t="s">
        <v>817</v>
      </c>
      <c r="K1821" t="s">
        <v>74</v>
      </c>
      <c r="L1821" t="s">
        <v>74</v>
      </c>
      <c r="M1821" t="s">
        <v>74</v>
      </c>
      <c r="N1821" t="s">
        <v>103</v>
      </c>
      <c r="O1821" t="s">
        <v>74</v>
      </c>
      <c r="P1821" t="s">
        <v>74</v>
      </c>
      <c r="Q1821" t="s">
        <v>74</v>
      </c>
      <c r="R1821" t="s">
        <v>74</v>
      </c>
      <c r="S1821" t="s">
        <v>74</v>
      </c>
      <c r="T1821" t="s">
        <v>11732</v>
      </c>
      <c r="U1821" t="s">
        <v>11733</v>
      </c>
      <c r="V1821" t="s">
        <v>11734</v>
      </c>
      <c r="W1821" t="s">
        <v>11735</v>
      </c>
      <c r="X1821" t="s">
        <v>11736</v>
      </c>
      <c r="Y1821" t="s">
        <v>11737</v>
      </c>
      <c r="Z1821" t="s">
        <v>11738</v>
      </c>
      <c r="AA1821" t="s">
        <v>11739</v>
      </c>
      <c r="AB1821" t="s">
        <v>11740</v>
      </c>
      <c r="AC1821" t="s">
        <v>74</v>
      </c>
      <c r="AD1821" t="s">
        <v>74</v>
      </c>
      <c r="AE1821" t="s">
        <v>74</v>
      </c>
      <c r="AF1821" t="s">
        <v>74</v>
      </c>
      <c r="AG1821">
        <v>99</v>
      </c>
      <c r="AH1821">
        <v>1</v>
      </c>
      <c r="AI1821">
        <v>1</v>
      </c>
      <c r="AJ1821">
        <v>2</v>
      </c>
      <c r="AK1821">
        <v>2</v>
      </c>
      <c r="AL1821" t="s">
        <v>74</v>
      </c>
      <c r="AM1821" t="s">
        <v>74</v>
      </c>
      <c r="AN1821" t="s">
        <v>74</v>
      </c>
      <c r="AO1821" t="s">
        <v>74</v>
      </c>
      <c r="AP1821" t="s">
        <v>827</v>
      </c>
      <c r="AQ1821" t="s">
        <v>74</v>
      </c>
      <c r="AR1821" t="s">
        <v>74</v>
      </c>
      <c r="AS1821" t="s">
        <v>74</v>
      </c>
      <c r="AT1821" t="s">
        <v>283</v>
      </c>
      <c r="AU1821">
        <v>2022</v>
      </c>
      <c r="AV1821">
        <v>23</v>
      </c>
      <c r="AW1821">
        <v>4</v>
      </c>
      <c r="AX1821" t="s">
        <v>74</v>
      </c>
      <c r="AY1821" t="s">
        <v>74</v>
      </c>
      <c r="AZ1821" t="s">
        <v>74</v>
      </c>
      <c r="BA1821" t="s">
        <v>74</v>
      </c>
      <c r="BB1821" t="s">
        <v>74</v>
      </c>
      <c r="BC1821" t="s">
        <v>74</v>
      </c>
      <c r="BD1821">
        <v>2169</v>
      </c>
      <c r="BE1821" t="s">
        <v>11741</v>
      </c>
      <c r="BF1821" t="str">
        <f>HYPERLINK("http://dx.doi.org/10.3390/ijms23042169","http://dx.doi.org/10.3390/ijms23042169")</f>
        <v>http://dx.doi.org/10.3390/ijms23042169</v>
      </c>
      <c r="BG1821" t="s">
        <v>74</v>
      </c>
      <c r="BH1821" t="s">
        <v>74</v>
      </c>
      <c r="BI1821" t="s">
        <v>74</v>
      </c>
      <c r="BJ1821" t="s">
        <v>830</v>
      </c>
      <c r="BK1821" t="s">
        <v>117</v>
      </c>
      <c r="BL1821" t="s">
        <v>831</v>
      </c>
      <c r="BM1821" t="s">
        <v>74</v>
      </c>
      <c r="BN1821">
        <v>35216284</v>
      </c>
      <c r="BO1821" t="s">
        <v>74</v>
      </c>
      <c r="BP1821" t="s">
        <v>74</v>
      </c>
      <c r="BQ1821" t="s">
        <v>74</v>
      </c>
      <c r="BR1821" t="s">
        <v>96</v>
      </c>
      <c r="BS1821" t="s">
        <v>11742</v>
      </c>
      <c r="BT1821" t="str">
        <f>HYPERLINK("https%3A%2F%2Fwww.webofscience.com%2Fwos%2Fwoscc%2Ffull-record%2FWOS:000763693300001","View Full Record in Web of Science")</f>
        <v>View Full Record in Web of Science</v>
      </c>
    </row>
    <row r="1822" spans="1:72" x14ac:dyDescent="0.15">
      <c r="A1822" t="s">
        <v>98</v>
      </c>
      <c r="B1822" t="s">
        <v>11964</v>
      </c>
      <c r="C1822" t="s">
        <v>74</v>
      </c>
      <c r="D1822" t="s">
        <v>74</v>
      </c>
      <c r="E1822" t="s">
        <v>74</v>
      </c>
      <c r="F1822" t="s">
        <v>11965</v>
      </c>
      <c r="G1822" t="s">
        <v>74</v>
      </c>
      <c r="H1822" t="s">
        <v>74</v>
      </c>
      <c r="I1822" t="s">
        <v>11966</v>
      </c>
      <c r="J1822" t="s">
        <v>11967</v>
      </c>
      <c r="K1822" t="s">
        <v>74</v>
      </c>
      <c r="L1822" t="s">
        <v>74</v>
      </c>
      <c r="M1822" t="s">
        <v>74</v>
      </c>
      <c r="N1822" t="s">
        <v>103</v>
      </c>
      <c r="O1822" t="s">
        <v>74</v>
      </c>
      <c r="P1822" t="s">
        <v>74</v>
      </c>
      <c r="Q1822" t="s">
        <v>74</v>
      </c>
      <c r="R1822" t="s">
        <v>74</v>
      </c>
      <c r="S1822" t="s">
        <v>74</v>
      </c>
      <c r="T1822" t="s">
        <v>11968</v>
      </c>
      <c r="U1822" t="s">
        <v>74</v>
      </c>
      <c r="V1822" t="s">
        <v>11969</v>
      </c>
      <c r="W1822" t="s">
        <v>11970</v>
      </c>
      <c r="X1822" t="s">
        <v>11971</v>
      </c>
      <c r="Y1822" t="s">
        <v>11972</v>
      </c>
      <c r="Z1822" t="s">
        <v>11973</v>
      </c>
      <c r="AA1822" t="s">
        <v>11974</v>
      </c>
      <c r="AB1822" t="s">
        <v>11975</v>
      </c>
      <c r="AC1822" t="s">
        <v>74</v>
      </c>
      <c r="AD1822" t="s">
        <v>74</v>
      </c>
      <c r="AE1822" t="s">
        <v>74</v>
      </c>
      <c r="AF1822" t="s">
        <v>74</v>
      </c>
      <c r="AG1822">
        <v>20</v>
      </c>
      <c r="AH1822">
        <v>1</v>
      </c>
      <c r="AI1822">
        <v>1</v>
      </c>
      <c r="AJ1822">
        <v>3</v>
      </c>
      <c r="AK1822">
        <v>3</v>
      </c>
      <c r="AL1822" t="s">
        <v>74</v>
      </c>
      <c r="AM1822" t="s">
        <v>74</v>
      </c>
      <c r="AN1822" t="s">
        <v>74</v>
      </c>
      <c r="AO1822" t="s">
        <v>11976</v>
      </c>
      <c r="AP1822" t="s">
        <v>11977</v>
      </c>
      <c r="AQ1822" t="s">
        <v>74</v>
      </c>
      <c r="AR1822" t="s">
        <v>74</v>
      </c>
      <c r="AS1822" t="s">
        <v>74</v>
      </c>
      <c r="AT1822" t="s">
        <v>189</v>
      </c>
      <c r="AU1822">
        <v>2021</v>
      </c>
      <c r="AV1822">
        <v>31</v>
      </c>
      <c r="AW1822">
        <v>5</v>
      </c>
      <c r="AX1822" t="s">
        <v>74</v>
      </c>
      <c r="AY1822" t="s">
        <v>74</v>
      </c>
      <c r="AZ1822" t="s">
        <v>74</v>
      </c>
      <c r="BA1822" t="s">
        <v>74</v>
      </c>
      <c r="BB1822">
        <v>472</v>
      </c>
      <c r="BC1822">
        <v>475</v>
      </c>
      <c r="BD1822" t="s">
        <v>74</v>
      </c>
      <c r="BE1822" t="s">
        <v>11978</v>
      </c>
      <c r="BF1822" t="str">
        <f>HYPERLINK("http://dx.doi.org/10.1097/CMR.0000000000000762","http://dx.doi.org/10.1097/CMR.0000000000000762")</f>
        <v>http://dx.doi.org/10.1097/CMR.0000000000000762</v>
      </c>
      <c r="BG1822" t="s">
        <v>74</v>
      </c>
      <c r="BH1822" t="s">
        <v>74</v>
      </c>
      <c r="BI1822" t="s">
        <v>74</v>
      </c>
      <c r="BJ1822" t="s">
        <v>11979</v>
      </c>
      <c r="BK1822" t="s">
        <v>117</v>
      </c>
      <c r="BL1822" t="s">
        <v>11980</v>
      </c>
      <c r="BM1822" t="s">
        <v>74</v>
      </c>
      <c r="BN1822">
        <v>34284459</v>
      </c>
      <c r="BO1822" t="s">
        <v>74</v>
      </c>
      <c r="BP1822" t="s">
        <v>74</v>
      </c>
      <c r="BQ1822" t="s">
        <v>74</v>
      </c>
      <c r="BR1822" t="s">
        <v>96</v>
      </c>
      <c r="BS1822" t="s">
        <v>11981</v>
      </c>
      <c r="BT1822" t="str">
        <f>HYPERLINK("https%3A%2F%2Fwww.webofscience.com%2Fwos%2Fwoscc%2Ffull-record%2FWOS:000693941000009","View Full Record in Web of Science")</f>
        <v>View Full Record in Web of Science</v>
      </c>
    </row>
    <row r="1823" spans="1:72" x14ac:dyDescent="0.15">
      <c r="A1823" t="s">
        <v>98</v>
      </c>
      <c r="B1823" t="s">
        <v>11982</v>
      </c>
      <c r="C1823" t="s">
        <v>74</v>
      </c>
      <c r="D1823" t="s">
        <v>74</v>
      </c>
      <c r="E1823" t="s">
        <v>74</v>
      </c>
      <c r="F1823" t="s">
        <v>11983</v>
      </c>
      <c r="G1823" t="s">
        <v>74</v>
      </c>
      <c r="H1823" t="s">
        <v>74</v>
      </c>
      <c r="I1823" t="s">
        <v>11984</v>
      </c>
      <c r="J1823" t="s">
        <v>325</v>
      </c>
      <c r="K1823" t="s">
        <v>74</v>
      </c>
      <c r="L1823" t="s">
        <v>74</v>
      </c>
      <c r="M1823" t="s">
        <v>74</v>
      </c>
      <c r="N1823" t="s">
        <v>103</v>
      </c>
      <c r="O1823" t="s">
        <v>74</v>
      </c>
      <c r="P1823" t="s">
        <v>74</v>
      </c>
      <c r="Q1823" t="s">
        <v>74</v>
      </c>
      <c r="R1823" t="s">
        <v>74</v>
      </c>
      <c r="S1823" t="s">
        <v>74</v>
      </c>
      <c r="T1823" t="s">
        <v>11985</v>
      </c>
      <c r="U1823" t="s">
        <v>11986</v>
      </c>
      <c r="V1823" t="s">
        <v>11987</v>
      </c>
      <c r="W1823" t="s">
        <v>11988</v>
      </c>
      <c r="X1823" t="s">
        <v>4962</v>
      </c>
      <c r="Y1823" t="s">
        <v>11989</v>
      </c>
      <c r="Z1823" t="s">
        <v>11990</v>
      </c>
      <c r="AA1823" t="s">
        <v>74</v>
      </c>
      <c r="AB1823" t="s">
        <v>11991</v>
      </c>
      <c r="AC1823" t="s">
        <v>74</v>
      </c>
      <c r="AD1823" t="s">
        <v>74</v>
      </c>
      <c r="AE1823" t="s">
        <v>74</v>
      </c>
      <c r="AF1823" t="s">
        <v>74</v>
      </c>
      <c r="AG1823">
        <v>58</v>
      </c>
      <c r="AH1823">
        <v>1</v>
      </c>
      <c r="AI1823">
        <v>1</v>
      </c>
      <c r="AJ1823">
        <v>1</v>
      </c>
      <c r="AK1823">
        <v>6</v>
      </c>
      <c r="AL1823" t="s">
        <v>74</v>
      </c>
      <c r="AM1823" t="s">
        <v>74</v>
      </c>
      <c r="AN1823" t="s">
        <v>74</v>
      </c>
      <c r="AO1823" t="s">
        <v>333</v>
      </c>
      <c r="AP1823" t="s">
        <v>334</v>
      </c>
      <c r="AQ1823" t="s">
        <v>74</v>
      </c>
      <c r="AR1823" t="s">
        <v>74</v>
      </c>
      <c r="AS1823" t="s">
        <v>74</v>
      </c>
      <c r="AT1823" t="s">
        <v>549</v>
      </c>
      <c r="AU1823">
        <v>2021</v>
      </c>
      <c r="AV1823">
        <v>40</v>
      </c>
      <c r="AW1823">
        <v>7</v>
      </c>
      <c r="AX1823" t="s">
        <v>74</v>
      </c>
      <c r="AY1823" t="s">
        <v>74</v>
      </c>
      <c r="AZ1823" t="s">
        <v>74</v>
      </c>
      <c r="BA1823" t="s">
        <v>74</v>
      </c>
      <c r="BB1823">
        <v>988</v>
      </c>
      <c r="BC1823">
        <v>997</v>
      </c>
      <c r="BD1823" t="s">
        <v>74</v>
      </c>
      <c r="BE1823" t="s">
        <v>11992</v>
      </c>
      <c r="BF1823" t="str">
        <f>HYPERLINK("http://dx.doi.org/10.1089/dna.2020.6298","http://dx.doi.org/10.1089/dna.2020.6298")</f>
        <v>http://dx.doi.org/10.1089/dna.2020.6298</v>
      </c>
      <c r="BG1823" t="s">
        <v>74</v>
      </c>
      <c r="BH1823" t="s">
        <v>1273</v>
      </c>
      <c r="BI1823" t="s">
        <v>74</v>
      </c>
      <c r="BJ1823" t="s">
        <v>338</v>
      </c>
      <c r="BK1823" t="s">
        <v>117</v>
      </c>
      <c r="BL1823" t="s">
        <v>338</v>
      </c>
      <c r="BM1823" t="s">
        <v>74</v>
      </c>
      <c r="BN1823">
        <v>34061659</v>
      </c>
      <c r="BO1823" t="s">
        <v>74</v>
      </c>
      <c r="BP1823" t="s">
        <v>74</v>
      </c>
      <c r="BQ1823" t="s">
        <v>74</v>
      </c>
      <c r="BR1823" t="s">
        <v>96</v>
      </c>
      <c r="BS1823" t="s">
        <v>11993</v>
      </c>
      <c r="BT1823" t="str">
        <f>HYPERLINK("https%3A%2F%2Fwww.webofscience.com%2Fwos%2Fwoscc%2Ffull-record%2FWOS:000656636900001","View Full Record in Web of Science")</f>
        <v>View Full Record in Web of Science</v>
      </c>
    </row>
    <row r="1824" spans="1:72" x14ac:dyDescent="0.15">
      <c r="A1824" t="s">
        <v>98</v>
      </c>
      <c r="B1824" t="s">
        <v>12007</v>
      </c>
      <c r="C1824" t="s">
        <v>74</v>
      </c>
      <c r="D1824" t="s">
        <v>74</v>
      </c>
      <c r="E1824" t="s">
        <v>74</v>
      </c>
      <c r="F1824" t="s">
        <v>12008</v>
      </c>
      <c r="G1824" t="s">
        <v>74</v>
      </c>
      <c r="H1824" t="s">
        <v>74</v>
      </c>
      <c r="I1824" t="s">
        <v>12009</v>
      </c>
      <c r="J1824" t="s">
        <v>3650</v>
      </c>
      <c r="K1824" t="s">
        <v>74</v>
      </c>
      <c r="L1824" t="s">
        <v>74</v>
      </c>
      <c r="M1824" t="s">
        <v>74</v>
      </c>
      <c r="N1824" t="s">
        <v>103</v>
      </c>
      <c r="O1824" t="s">
        <v>74</v>
      </c>
      <c r="P1824" t="s">
        <v>74</v>
      </c>
      <c r="Q1824" t="s">
        <v>74</v>
      </c>
      <c r="R1824" t="s">
        <v>74</v>
      </c>
      <c r="S1824" t="s">
        <v>74</v>
      </c>
      <c r="T1824" t="s">
        <v>12010</v>
      </c>
      <c r="U1824" t="s">
        <v>12011</v>
      </c>
      <c r="V1824" t="s">
        <v>12012</v>
      </c>
      <c r="W1824" t="s">
        <v>12013</v>
      </c>
      <c r="X1824" t="s">
        <v>12014</v>
      </c>
      <c r="Y1824" t="s">
        <v>12015</v>
      </c>
      <c r="Z1824" t="s">
        <v>12016</v>
      </c>
      <c r="AA1824" t="s">
        <v>74</v>
      </c>
      <c r="AB1824" t="s">
        <v>74</v>
      </c>
      <c r="AC1824" t="s">
        <v>74</v>
      </c>
      <c r="AD1824" t="s">
        <v>74</v>
      </c>
      <c r="AE1824" t="s">
        <v>74</v>
      </c>
      <c r="AF1824" t="s">
        <v>74</v>
      </c>
      <c r="AG1824">
        <v>45</v>
      </c>
      <c r="AH1824">
        <v>1</v>
      </c>
      <c r="AI1824">
        <v>1</v>
      </c>
      <c r="AJ1824">
        <v>36</v>
      </c>
      <c r="AK1824">
        <v>45</v>
      </c>
      <c r="AL1824" t="s">
        <v>74</v>
      </c>
      <c r="AM1824" t="s">
        <v>74</v>
      </c>
      <c r="AN1824" t="s">
        <v>74</v>
      </c>
      <c r="AO1824" t="s">
        <v>74</v>
      </c>
      <c r="AP1824" t="s">
        <v>3659</v>
      </c>
      <c r="AQ1824" t="s">
        <v>74</v>
      </c>
      <c r="AR1824" t="s">
        <v>74</v>
      </c>
      <c r="AS1824" t="s">
        <v>74</v>
      </c>
      <c r="AT1824" t="s">
        <v>3660</v>
      </c>
      <c r="AU1824">
        <v>2022</v>
      </c>
      <c r="AV1824">
        <v>353</v>
      </c>
      <c r="AW1824" t="s">
        <v>74</v>
      </c>
      <c r="AX1824" t="s">
        <v>74</v>
      </c>
      <c r="AY1824" t="s">
        <v>74</v>
      </c>
      <c r="AZ1824" t="s">
        <v>74</v>
      </c>
      <c r="BA1824" t="s">
        <v>74</v>
      </c>
      <c r="BB1824" t="s">
        <v>74</v>
      </c>
      <c r="BC1824" t="s">
        <v>74</v>
      </c>
      <c r="BD1824">
        <v>131126</v>
      </c>
      <c r="BE1824" t="s">
        <v>12017</v>
      </c>
      <c r="BF1824" t="str">
        <f>HYPERLINK("http://dx.doi.org/10.1016/j.snb.2021.131126","http://dx.doi.org/10.1016/j.snb.2021.131126")</f>
        <v>http://dx.doi.org/10.1016/j.snb.2021.131126</v>
      </c>
      <c r="BG1824" t="s">
        <v>74</v>
      </c>
      <c r="BH1824" t="s">
        <v>3026</v>
      </c>
      <c r="BI1824" t="s">
        <v>74</v>
      </c>
      <c r="BJ1824" t="s">
        <v>3663</v>
      </c>
      <c r="BK1824" t="s">
        <v>117</v>
      </c>
      <c r="BL1824" t="s">
        <v>3664</v>
      </c>
      <c r="BM1824" t="s">
        <v>74</v>
      </c>
      <c r="BN1824" t="s">
        <v>74</v>
      </c>
      <c r="BO1824" t="s">
        <v>74</v>
      </c>
      <c r="BP1824" t="s">
        <v>74</v>
      </c>
      <c r="BQ1824" t="s">
        <v>74</v>
      </c>
      <c r="BR1824" t="s">
        <v>96</v>
      </c>
      <c r="BS1824" t="s">
        <v>12018</v>
      </c>
      <c r="BT1824" t="str">
        <f>HYPERLINK("https%3A%2F%2Fwww.webofscience.com%2Fwos%2Fwoscc%2Ffull-record%2FWOS:000744546700003","View Full Record in Web of Science")</f>
        <v>View Full Record in Web of Science</v>
      </c>
    </row>
    <row r="1825" spans="1:72" x14ac:dyDescent="0.15">
      <c r="A1825" t="s">
        <v>98</v>
      </c>
      <c r="B1825" t="s">
        <v>12137</v>
      </c>
      <c r="C1825" t="s">
        <v>74</v>
      </c>
      <c r="D1825" t="s">
        <v>74</v>
      </c>
      <c r="E1825" t="s">
        <v>74</v>
      </c>
      <c r="F1825" t="s">
        <v>12138</v>
      </c>
      <c r="G1825" t="s">
        <v>74</v>
      </c>
      <c r="H1825" t="s">
        <v>74</v>
      </c>
      <c r="I1825" t="s">
        <v>12139</v>
      </c>
      <c r="J1825" t="s">
        <v>12140</v>
      </c>
      <c r="K1825" t="s">
        <v>74</v>
      </c>
      <c r="L1825" t="s">
        <v>74</v>
      </c>
      <c r="M1825" t="s">
        <v>74</v>
      </c>
      <c r="N1825" t="s">
        <v>103</v>
      </c>
      <c r="O1825" t="s">
        <v>74</v>
      </c>
      <c r="P1825" t="s">
        <v>74</v>
      </c>
      <c r="Q1825" t="s">
        <v>74</v>
      </c>
      <c r="R1825" t="s">
        <v>74</v>
      </c>
      <c r="S1825" t="s">
        <v>74</v>
      </c>
      <c r="T1825" t="s">
        <v>12141</v>
      </c>
      <c r="U1825" t="s">
        <v>12142</v>
      </c>
      <c r="V1825" t="s">
        <v>12143</v>
      </c>
      <c r="W1825" t="s">
        <v>12144</v>
      </c>
      <c r="X1825" t="s">
        <v>7701</v>
      </c>
      <c r="Y1825" t="s">
        <v>12145</v>
      </c>
      <c r="Z1825" t="s">
        <v>7703</v>
      </c>
      <c r="AA1825" t="s">
        <v>74</v>
      </c>
      <c r="AB1825" t="s">
        <v>12146</v>
      </c>
      <c r="AC1825" t="s">
        <v>74</v>
      </c>
      <c r="AD1825" t="s">
        <v>74</v>
      </c>
      <c r="AE1825" t="s">
        <v>74</v>
      </c>
      <c r="AF1825" t="s">
        <v>74</v>
      </c>
      <c r="AG1825">
        <v>47</v>
      </c>
      <c r="AH1825">
        <v>1</v>
      </c>
      <c r="AI1825">
        <v>1</v>
      </c>
      <c r="AJ1825">
        <v>0</v>
      </c>
      <c r="AK1825">
        <v>5</v>
      </c>
      <c r="AL1825" t="s">
        <v>74</v>
      </c>
      <c r="AM1825" t="s">
        <v>74</v>
      </c>
      <c r="AN1825" t="s">
        <v>74</v>
      </c>
      <c r="AO1825" t="s">
        <v>12147</v>
      </c>
      <c r="AP1825" t="s">
        <v>12148</v>
      </c>
      <c r="AQ1825" t="s">
        <v>74</v>
      </c>
      <c r="AR1825" t="s">
        <v>74</v>
      </c>
      <c r="AS1825" t="s">
        <v>74</v>
      </c>
      <c r="AT1825" t="s">
        <v>74</v>
      </c>
      <c r="AU1825">
        <v>2017</v>
      </c>
      <c r="AV1825">
        <v>34</v>
      </c>
      <c r="AW1825">
        <v>2</v>
      </c>
      <c r="AX1825" t="s">
        <v>74</v>
      </c>
      <c r="AY1825" t="s">
        <v>74</v>
      </c>
      <c r="AZ1825" t="s">
        <v>74</v>
      </c>
      <c r="BA1825" t="s">
        <v>74</v>
      </c>
      <c r="BB1825">
        <v>166</v>
      </c>
      <c r="BC1825">
        <v>175</v>
      </c>
      <c r="BD1825" t="s">
        <v>74</v>
      </c>
      <c r="BE1825" t="s">
        <v>12149</v>
      </c>
      <c r="BF1825" t="str">
        <f>HYPERLINK("http://dx.doi.org/10.1080/01490451.2016.1163625","http://dx.doi.org/10.1080/01490451.2016.1163625")</f>
        <v>http://dx.doi.org/10.1080/01490451.2016.1163625</v>
      </c>
      <c r="BG1825" t="s">
        <v>74</v>
      </c>
      <c r="BH1825" t="s">
        <v>74</v>
      </c>
      <c r="BI1825" t="s">
        <v>74</v>
      </c>
      <c r="BJ1825" t="s">
        <v>12150</v>
      </c>
      <c r="BK1825" t="s">
        <v>117</v>
      </c>
      <c r="BL1825" t="s">
        <v>12151</v>
      </c>
      <c r="BM1825" t="s">
        <v>74</v>
      </c>
      <c r="BN1825" t="s">
        <v>74</v>
      </c>
      <c r="BO1825" t="s">
        <v>74</v>
      </c>
      <c r="BP1825" t="s">
        <v>74</v>
      </c>
      <c r="BQ1825" t="s">
        <v>74</v>
      </c>
      <c r="BR1825" t="s">
        <v>96</v>
      </c>
      <c r="BS1825" t="s">
        <v>12152</v>
      </c>
      <c r="BT1825" t="str">
        <f>HYPERLINK("https%3A%2F%2Fwww.webofscience.com%2Fwos%2Fwoscc%2Ffull-record%2FWOS:000394650300008","View Full Record in Web of Science")</f>
        <v>View Full Record in Web of Science</v>
      </c>
    </row>
    <row r="1826" spans="1:72" x14ac:dyDescent="0.15">
      <c r="A1826" t="s">
        <v>98</v>
      </c>
      <c r="B1826" t="s">
        <v>12637</v>
      </c>
      <c r="C1826" t="s">
        <v>74</v>
      </c>
      <c r="D1826" t="s">
        <v>74</v>
      </c>
      <c r="E1826" t="s">
        <v>74</v>
      </c>
      <c r="F1826" t="s">
        <v>12638</v>
      </c>
      <c r="G1826" t="s">
        <v>74</v>
      </c>
      <c r="H1826" t="s">
        <v>74</v>
      </c>
      <c r="I1826" t="s">
        <v>12639</v>
      </c>
      <c r="J1826" t="s">
        <v>402</v>
      </c>
      <c r="K1826" t="s">
        <v>74</v>
      </c>
      <c r="L1826" t="s">
        <v>74</v>
      </c>
      <c r="M1826" t="s">
        <v>74</v>
      </c>
      <c r="N1826" t="s">
        <v>103</v>
      </c>
      <c r="O1826" t="s">
        <v>74</v>
      </c>
      <c r="P1826" t="s">
        <v>74</v>
      </c>
      <c r="Q1826" t="s">
        <v>74</v>
      </c>
      <c r="R1826" t="s">
        <v>74</v>
      </c>
      <c r="S1826" t="s">
        <v>74</v>
      </c>
      <c r="T1826" t="s">
        <v>12640</v>
      </c>
      <c r="U1826" t="s">
        <v>12641</v>
      </c>
      <c r="V1826" t="s">
        <v>12642</v>
      </c>
      <c r="W1826" t="s">
        <v>12643</v>
      </c>
      <c r="X1826" t="s">
        <v>12644</v>
      </c>
      <c r="Y1826" t="s">
        <v>12645</v>
      </c>
      <c r="Z1826" t="s">
        <v>12646</v>
      </c>
      <c r="AA1826" t="s">
        <v>74</v>
      </c>
      <c r="AB1826" t="s">
        <v>74</v>
      </c>
      <c r="AC1826" t="s">
        <v>74</v>
      </c>
      <c r="AD1826" t="s">
        <v>74</v>
      </c>
      <c r="AE1826" t="s">
        <v>74</v>
      </c>
      <c r="AF1826" t="s">
        <v>74</v>
      </c>
      <c r="AG1826">
        <v>79</v>
      </c>
      <c r="AH1826">
        <v>1</v>
      </c>
      <c r="AI1826">
        <v>1</v>
      </c>
      <c r="AJ1826">
        <v>1</v>
      </c>
      <c r="AK1826">
        <v>23</v>
      </c>
      <c r="AL1826" t="s">
        <v>74</v>
      </c>
      <c r="AM1826" t="s">
        <v>74</v>
      </c>
      <c r="AN1826" t="s">
        <v>74</v>
      </c>
      <c r="AO1826" t="s">
        <v>410</v>
      </c>
      <c r="AP1826" t="s">
        <v>411</v>
      </c>
      <c r="AQ1826" t="s">
        <v>74</v>
      </c>
      <c r="AR1826" t="s">
        <v>74</v>
      </c>
      <c r="AS1826" t="s">
        <v>74</v>
      </c>
      <c r="AT1826" t="s">
        <v>74</v>
      </c>
      <c r="AU1826">
        <v>2011</v>
      </c>
      <c r="AV1826">
        <v>38</v>
      </c>
      <c r="AW1826">
        <v>1</v>
      </c>
      <c r="AX1826" t="s">
        <v>74</v>
      </c>
      <c r="AY1826" t="s">
        <v>74</v>
      </c>
      <c r="AZ1826" t="s">
        <v>74</v>
      </c>
      <c r="BA1826" t="s">
        <v>74</v>
      </c>
      <c r="BB1826">
        <v>3</v>
      </c>
      <c r="BC1826">
        <v>18</v>
      </c>
      <c r="BD1826" t="s">
        <v>74</v>
      </c>
      <c r="BE1826" t="s">
        <v>74</v>
      </c>
      <c r="BF1826" t="s">
        <v>74</v>
      </c>
      <c r="BG1826" t="s">
        <v>74</v>
      </c>
      <c r="BH1826" t="s">
        <v>74</v>
      </c>
      <c r="BI1826" t="s">
        <v>74</v>
      </c>
      <c r="BJ1826" t="s">
        <v>412</v>
      </c>
      <c r="BK1826" t="s">
        <v>117</v>
      </c>
      <c r="BL1826" t="s">
        <v>413</v>
      </c>
      <c r="BM1826" t="s">
        <v>74</v>
      </c>
      <c r="BN1826" t="s">
        <v>74</v>
      </c>
      <c r="BO1826" t="s">
        <v>74</v>
      </c>
      <c r="BP1826" t="s">
        <v>74</v>
      </c>
      <c r="BQ1826" t="s">
        <v>74</v>
      </c>
      <c r="BR1826" t="s">
        <v>96</v>
      </c>
      <c r="BS1826" t="s">
        <v>12647</v>
      </c>
      <c r="BT1826" t="str">
        <f>HYPERLINK("https%3A%2F%2Fwww.webofscience.com%2Fwos%2Fwoscc%2Ffull-record%2FWOS:000288362400001","View Full Record in Web of Science")</f>
        <v>View Full Record in Web of Science</v>
      </c>
    </row>
    <row r="1827" spans="1:72" x14ac:dyDescent="0.15">
      <c r="A1827" t="s">
        <v>98</v>
      </c>
      <c r="B1827" t="s">
        <v>12862</v>
      </c>
      <c r="C1827" t="s">
        <v>74</v>
      </c>
      <c r="D1827" t="s">
        <v>74</v>
      </c>
      <c r="E1827" t="s">
        <v>74</v>
      </c>
      <c r="F1827" t="s">
        <v>12863</v>
      </c>
      <c r="G1827" t="s">
        <v>74</v>
      </c>
      <c r="H1827" t="s">
        <v>74</v>
      </c>
      <c r="I1827" t="s">
        <v>12864</v>
      </c>
      <c r="J1827" t="s">
        <v>12865</v>
      </c>
      <c r="K1827" t="s">
        <v>74</v>
      </c>
      <c r="L1827" t="s">
        <v>74</v>
      </c>
      <c r="M1827" t="s">
        <v>74</v>
      </c>
      <c r="N1827" t="s">
        <v>103</v>
      </c>
      <c r="O1827" t="s">
        <v>74</v>
      </c>
      <c r="P1827" t="s">
        <v>74</v>
      </c>
      <c r="Q1827" t="s">
        <v>74</v>
      </c>
      <c r="R1827" t="s">
        <v>74</v>
      </c>
      <c r="S1827" t="s">
        <v>74</v>
      </c>
      <c r="T1827" t="s">
        <v>12866</v>
      </c>
      <c r="U1827" t="s">
        <v>12867</v>
      </c>
      <c r="V1827" t="s">
        <v>12868</v>
      </c>
      <c r="W1827" t="s">
        <v>12869</v>
      </c>
      <c r="X1827" t="s">
        <v>12870</v>
      </c>
      <c r="Y1827" t="s">
        <v>12871</v>
      </c>
      <c r="Z1827" t="s">
        <v>12872</v>
      </c>
      <c r="AA1827" t="s">
        <v>74</v>
      </c>
      <c r="AB1827" t="s">
        <v>74</v>
      </c>
      <c r="AC1827" t="s">
        <v>74</v>
      </c>
      <c r="AD1827" t="s">
        <v>74</v>
      </c>
      <c r="AE1827" t="s">
        <v>74</v>
      </c>
      <c r="AF1827" t="s">
        <v>74</v>
      </c>
      <c r="AG1827">
        <v>121</v>
      </c>
      <c r="AH1827">
        <v>1</v>
      </c>
      <c r="AI1827">
        <v>1</v>
      </c>
      <c r="AJ1827">
        <v>1</v>
      </c>
      <c r="AK1827">
        <v>5</v>
      </c>
      <c r="AL1827" t="s">
        <v>74</v>
      </c>
      <c r="AM1827" t="s">
        <v>74</v>
      </c>
      <c r="AN1827" t="s">
        <v>74</v>
      </c>
      <c r="AO1827" t="s">
        <v>12873</v>
      </c>
      <c r="AP1827" t="s">
        <v>12874</v>
      </c>
      <c r="AQ1827" t="s">
        <v>74</v>
      </c>
      <c r="AR1827" t="s">
        <v>74</v>
      </c>
      <c r="AS1827" t="s">
        <v>74</v>
      </c>
      <c r="AT1827" t="s">
        <v>283</v>
      </c>
      <c r="AU1827">
        <v>2022</v>
      </c>
      <c r="AV1827">
        <v>477</v>
      </c>
      <c r="AW1827">
        <v>2</v>
      </c>
      <c r="AX1827" t="s">
        <v>74</v>
      </c>
      <c r="AY1827" t="s">
        <v>74</v>
      </c>
      <c r="AZ1827" t="s">
        <v>74</v>
      </c>
      <c r="BA1827" t="s">
        <v>74</v>
      </c>
      <c r="BB1827">
        <v>507</v>
      </c>
      <c r="BC1827">
        <v>524</v>
      </c>
      <c r="BD1827" t="s">
        <v>74</v>
      </c>
      <c r="BE1827" t="s">
        <v>12875</v>
      </c>
      <c r="BF1827" t="str">
        <f>HYPERLINK("http://dx.doi.org/10.1007/s11010-021-04300-4","http://dx.doi.org/10.1007/s11010-021-04300-4")</f>
        <v>http://dx.doi.org/10.1007/s11010-021-04300-4</v>
      </c>
      <c r="BG1827" t="s">
        <v>74</v>
      </c>
      <c r="BH1827" t="s">
        <v>3026</v>
      </c>
      <c r="BI1827" t="s">
        <v>74</v>
      </c>
      <c r="BJ1827" t="s">
        <v>135</v>
      </c>
      <c r="BK1827" t="s">
        <v>117</v>
      </c>
      <c r="BL1827" t="s">
        <v>135</v>
      </c>
      <c r="BM1827" t="s">
        <v>74</v>
      </c>
      <c r="BN1827">
        <v>34796445</v>
      </c>
      <c r="BO1827" t="s">
        <v>74</v>
      </c>
      <c r="BP1827" t="s">
        <v>74</v>
      </c>
      <c r="BQ1827" t="s">
        <v>74</v>
      </c>
      <c r="BR1827" t="s">
        <v>96</v>
      </c>
      <c r="BS1827" t="s">
        <v>12876</v>
      </c>
      <c r="BT1827" t="str">
        <f>HYPERLINK("https%3A%2F%2Fwww.webofscience.com%2Fwos%2Fwoscc%2Ffull-record%2FWOS:000720204800002","View Full Record in Web of Science")</f>
        <v>View Full Record in Web of Science</v>
      </c>
    </row>
    <row r="1828" spans="1:72" x14ac:dyDescent="0.15">
      <c r="A1828" t="s">
        <v>98</v>
      </c>
      <c r="B1828" t="s">
        <v>13219</v>
      </c>
      <c r="C1828" t="s">
        <v>74</v>
      </c>
      <c r="D1828" t="s">
        <v>74</v>
      </c>
      <c r="E1828" t="s">
        <v>74</v>
      </c>
      <c r="F1828" t="s">
        <v>13220</v>
      </c>
      <c r="G1828" t="s">
        <v>74</v>
      </c>
      <c r="H1828" t="s">
        <v>74</v>
      </c>
      <c r="I1828" t="s">
        <v>13221</v>
      </c>
      <c r="J1828" t="s">
        <v>13222</v>
      </c>
      <c r="K1828" t="s">
        <v>74</v>
      </c>
      <c r="L1828" t="s">
        <v>74</v>
      </c>
      <c r="M1828" t="s">
        <v>74</v>
      </c>
      <c r="N1828" t="s">
        <v>103</v>
      </c>
      <c r="O1828" t="s">
        <v>74</v>
      </c>
      <c r="P1828" t="s">
        <v>74</v>
      </c>
      <c r="Q1828" t="s">
        <v>74</v>
      </c>
      <c r="R1828" t="s">
        <v>74</v>
      </c>
      <c r="S1828" t="s">
        <v>74</v>
      </c>
      <c r="T1828" t="s">
        <v>13223</v>
      </c>
      <c r="U1828" t="s">
        <v>13224</v>
      </c>
      <c r="V1828" t="s">
        <v>13225</v>
      </c>
      <c r="W1828" t="s">
        <v>13226</v>
      </c>
      <c r="X1828" t="s">
        <v>13227</v>
      </c>
      <c r="Y1828" t="s">
        <v>13228</v>
      </c>
      <c r="Z1828" t="s">
        <v>13229</v>
      </c>
      <c r="AA1828" t="s">
        <v>13230</v>
      </c>
      <c r="AB1828" t="s">
        <v>13231</v>
      </c>
      <c r="AC1828" t="s">
        <v>74</v>
      </c>
      <c r="AD1828" t="s">
        <v>74</v>
      </c>
      <c r="AE1828" t="s">
        <v>74</v>
      </c>
      <c r="AF1828" t="s">
        <v>74</v>
      </c>
      <c r="AG1828">
        <v>47</v>
      </c>
      <c r="AH1828">
        <v>1</v>
      </c>
      <c r="AI1828">
        <v>1</v>
      </c>
      <c r="AJ1828">
        <v>0</v>
      </c>
      <c r="AK1828">
        <v>12</v>
      </c>
      <c r="AL1828" t="s">
        <v>74</v>
      </c>
      <c r="AM1828" t="s">
        <v>74</v>
      </c>
      <c r="AN1828" t="s">
        <v>74</v>
      </c>
      <c r="AO1828" t="s">
        <v>13232</v>
      </c>
      <c r="AP1828" t="s">
        <v>13233</v>
      </c>
      <c r="AQ1828" t="s">
        <v>74</v>
      </c>
      <c r="AR1828" t="s">
        <v>74</v>
      </c>
      <c r="AS1828" t="s">
        <v>74</v>
      </c>
      <c r="AT1828" t="s">
        <v>170</v>
      </c>
      <c r="AU1828">
        <v>2019</v>
      </c>
      <c r="AV1828">
        <v>57</v>
      </c>
      <c r="AW1828">
        <v>6</v>
      </c>
      <c r="AX1828" t="s">
        <v>74</v>
      </c>
      <c r="AY1828" t="s">
        <v>74</v>
      </c>
      <c r="AZ1828" t="s">
        <v>74</v>
      </c>
      <c r="BA1828" t="s">
        <v>74</v>
      </c>
      <c r="BB1828">
        <v>498</v>
      </c>
      <c r="BC1828">
        <v>508</v>
      </c>
      <c r="BD1828" t="s">
        <v>74</v>
      </c>
      <c r="BE1828" t="s">
        <v>13234</v>
      </c>
      <c r="BF1828" t="str">
        <f>HYPERLINK("http://dx.doi.org/10.1007/s12275-019-8483-2","http://dx.doi.org/10.1007/s12275-019-8483-2")</f>
        <v>http://dx.doi.org/10.1007/s12275-019-8483-2</v>
      </c>
      <c r="BG1828" t="s">
        <v>74</v>
      </c>
      <c r="BH1828" t="s">
        <v>74</v>
      </c>
      <c r="BI1828" t="s">
        <v>74</v>
      </c>
      <c r="BJ1828" t="s">
        <v>898</v>
      </c>
      <c r="BK1828" t="s">
        <v>117</v>
      </c>
      <c r="BL1828" t="s">
        <v>898</v>
      </c>
      <c r="BM1828" t="s">
        <v>74</v>
      </c>
      <c r="BN1828">
        <v>31054137</v>
      </c>
      <c r="BO1828" t="s">
        <v>74</v>
      </c>
      <c r="BP1828" t="s">
        <v>74</v>
      </c>
      <c r="BQ1828" t="s">
        <v>74</v>
      </c>
      <c r="BR1828" t="s">
        <v>96</v>
      </c>
      <c r="BS1828" t="s">
        <v>13235</v>
      </c>
      <c r="BT1828" t="str">
        <f>HYPERLINK("https%3A%2F%2Fwww.webofscience.com%2Fwos%2Fwoscc%2Ffull-record%2FWOS:000469228500009","View Full Record in Web of Science")</f>
        <v>View Full Record in Web of Science</v>
      </c>
    </row>
    <row r="1829" spans="1:72" x14ac:dyDescent="0.15">
      <c r="A1829" t="s">
        <v>98</v>
      </c>
      <c r="B1829" t="s">
        <v>13236</v>
      </c>
      <c r="C1829" t="s">
        <v>74</v>
      </c>
      <c r="D1829" t="s">
        <v>74</v>
      </c>
      <c r="E1829" t="s">
        <v>74</v>
      </c>
      <c r="F1829" t="s">
        <v>13237</v>
      </c>
      <c r="G1829" t="s">
        <v>74</v>
      </c>
      <c r="H1829" t="s">
        <v>74</v>
      </c>
      <c r="I1829" t="s">
        <v>13238</v>
      </c>
      <c r="J1829" t="s">
        <v>3650</v>
      </c>
      <c r="K1829" t="s">
        <v>74</v>
      </c>
      <c r="L1829" t="s">
        <v>74</v>
      </c>
      <c r="M1829" t="s">
        <v>74</v>
      </c>
      <c r="N1829" t="s">
        <v>103</v>
      </c>
      <c r="O1829" t="s">
        <v>74</v>
      </c>
      <c r="P1829" t="s">
        <v>74</v>
      </c>
      <c r="Q1829" t="s">
        <v>74</v>
      </c>
      <c r="R1829" t="s">
        <v>74</v>
      </c>
      <c r="S1829" t="s">
        <v>74</v>
      </c>
      <c r="T1829" t="s">
        <v>13239</v>
      </c>
      <c r="U1829" t="s">
        <v>74</v>
      </c>
      <c r="V1829" t="s">
        <v>13240</v>
      </c>
      <c r="W1829" t="s">
        <v>13241</v>
      </c>
      <c r="X1829" t="s">
        <v>3499</v>
      </c>
      <c r="Y1829" t="s">
        <v>13242</v>
      </c>
      <c r="Z1829" t="s">
        <v>8435</v>
      </c>
      <c r="AA1829" t="s">
        <v>74</v>
      </c>
      <c r="AB1829" t="s">
        <v>74</v>
      </c>
      <c r="AC1829" t="s">
        <v>74</v>
      </c>
      <c r="AD1829" t="s">
        <v>74</v>
      </c>
      <c r="AE1829" t="s">
        <v>74</v>
      </c>
      <c r="AF1829" t="s">
        <v>74</v>
      </c>
      <c r="AG1829">
        <v>37</v>
      </c>
      <c r="AH1829">
        <v>1</v>
      </c>
      <c r="AI1829">
        <v>1</v>
      </c>
      <c r="AJ1829">
        <v>42</v>
      </c>
      <c r="AK1829">
        <v>42</v>
      </c>
      <c r="AL1829" t="s">
        <v>74</v>
      </c>
      <c r="AM1829" t="s">
        <v>74</v>
      </c>
      <c r="AN1829" t="s">
        <v>74</v>
      </c>
      <c r="AO1829" t="s">
        <v>74</v>
      </c>
      <c r="AP1829" t="s">
        <v>3659</v>
      </c>
      <c r="AQ1829" t="s">
        <v>74</v>
      </c>
      <c r="AR1829" t="s">
        <v>74</v>
      </c>
      <c r="AS1829" t="s">
        <v>74</v>
      </c>
      <c r="AT1829" t="s">
        <v>1408</v>
      </c>
      <c r="AU1829">
        <v>2022</v>
      </c>
      <c r="AV1829">
        <v>355</v>
      </c>
      <c r="AW1829" t="s">
        <v>74</v>
      </c>
      <c r="AX1829" t="s">
        <v>74</v>
      </c>
      <c r="AY1829" t="s">
        <v>74</v>
      </c>
      <c r="AZ1829" t="s">
        <v>74</v>
      </c>
      <c r="BA1829" t="s">
        <v>74</v>
      </c>
      <c r="BB1829" t="s">
        <v>74</v>
      </c>
      <c r="BC1829" t="s">
        <v>74</v>
      </c>
      <c r="BD1829">
        <v>131315</v>
      </c>
      <c r="BE1829" t="s">
        <v>13243</v>
      </c>
      <c r="BF1829" t="str">
        <f>HYPERLINK("http://dx.doi.org/10.1016/j.snb.2021.131315","http://dx.doi.org/10.1016/j.snb.2021.131315")</f>
        <v>http://dx.doi.org/10.1016/j.snb.2021.131315</v>
      </c>
      <c r="BG1829" t="s">
        <v>74</v>
      </c>
      <c r="BH1829" t="s">
        <v>74</v>
      </c>
      <c r="BI1829" t="s">
        <v>74</v>
      </c>
      <c r="BJ1829" t="s">
        <v>3663</v>
      </c>
      <c r="BK1829" t="s">
        <v>117</v>
      </c>
      <c r="BL1829" t="s">
        <v>3664</v>
      </c>
      <c r="BM1829" t="s">
        <v>74</v>
      </c>
      <c r="BN1829" t="s">
        <v>74</v>
      </c>
      <c r="BO1829" t="s">
        <v>74</v>
      </c>
      <c r="BP1829" t="s">
        <v>74</v>
      </c>
      <c r="BQ1829" t="s">
        <v>74</v>
      </c>
      <c r="BR1829" t="s">
        <v>96</v>
      </c>
      <c r="BS1829" t="s">
        <v>13244</v>
      </c>
      <c r="BT1829" t="str">
        <f>HYPERLINK("https%3A%2F%2Fwww.webofscience.com%2Fwos%2Fwoscc%2Ffull-record%2FWOS:000752497500007","View Full Record in Web of Science")</f>
        <v>View Full Record in Web of Science</v>
      </c>
    </row>
    <row r="1830" spans="1:72" x14ac:dyDescent="0.15">
      <c r="A1830" t="s">
        <v>98</v>
      </c>
      <c r="B1830" t="s">
        <v>13394</v>
      </c>
      <c r="C1830" t="s">
        <v>74</v>
      </c>
      <c r="D1830" t="s">
        <v>74</v>
      </c>
      <c r="E1830" t="s">
        <v>74</v>
      </c>
      <c r="F1830" t="s">
        <v>13395</v>
      </c>
      <c r="G1830" t="s">
        <v>74</v>
      </c>
      <c r="H1830" t="s">
        <v>74</v>
      </c>
      <c r="I1830" t="s">
        <v>13396</v>
      </c>
      <c r="J1830" t="s">
        <v>4486</v>
      </c>
      <c r="K1830" t="s">
        <v>74</v>
      </c>
      <c r="L1830" t="s">
        <v>74</v>
      </c>
      <c r="M1830" t="s">
        <v>74</v>
      </c>
      <c r="N1830" t="s">
        <v>103</v>
      </c>
      <c r="O1830" t="s">
        <v>74</v>
      </c>
      <c r="P1830" t="s">
        <v>74</v>
      </c>
      <c r="Q1830" t="s">
        <v>74</v>
      </c>
      <c r="R1830" t="s">
        <v>74</v>
      </c>
      <c r="S1830" t="s">
        <v>74</v>
      </c>
      <c r="T1830" t="s">
        <v>74</v>
      </c>
      <c r="U1830" t="s">
        <v>13397</v>
      </c>
      <c r="V1830" t="s">
        <v>13398</v>
      </c>
      <c r="W1830" t="s">
        <v>13399</v>
      </c>
      <c r="X1830" t="s">
        <v>13400</v>
      </c>
      <c r="Y1830" t="s">
        <v>13401</v>
      </c>
      <c r="Z1830" t="s">
        <v>13402</v>
      </c>
      <c r="AA1830" t="s">
        <v>74</v>
      </c>
      <c r="AB1830" t="s">
        <v>13403</v>
      </c>
      <c r="AC1830" t="s">
        <v>74</v>
      </c>
      <c r="AD1830" t="s">
        <v>74</v>
      </c>
      <c r="AE1830" t="s">
        <v>74</v>
      </c>
      <c r="AF1830" t="s">
        <v>74</v>
      </c>
      <c r="AG1830">
        <v>34</v>
      </c>
      <c r="AH1830">
        <v>1</v>
      </c>
      <c r="AI1830">
        <v>2</v>
      </c>
      <c r="AJ1830">
        <v>5</v>
      </c>
      <c r="AK1830">
        <v>30</v>
      </c>
      <c r="AL1830" t="s">
        <v>74</v>
      </c>
      <c r="AM1830" t="s">
        <v>74</v>
      </c>
      <c r="AN1830" t="s">
        <v>74</v>
      </c>
      <c r="AO1830" t="s">
        <v>4493</v>
      </c>
      <c r="AP1830" t="s">
        <v>4494</v>
      </c>
      <c r="AQ1830" t="s">
        <v>74</v>
      </c>
      <c r="AR1830" t="s">
        <v>74</v>
      </c>
      <c r="AS1830" t="s">
        <v>74</v>
      </c>
      <c r="AT1830" t="s">
        <v>10156</v>
      </c>
      <c r="AU1830">
        <v>2021</v>
      </c>
      <c r="AV1830">
        <v>93</v>
      </c>
      <c r="AW1830">
        <v>24</v>
      </c>
      <c r="AX1830" t="s">
        <v>74</v>
      </c>
      <c r="AY1830" t="s">
        <v>74</v>
      </c>
      <c r="AZ1830" t="s">
        <v>74</v>
      </c>
      <c r="BA1830" t="s">
        <v>74</v>
      </c>
      <c r="BB1830">
        <v>8414</v>
      </c>
      <c r="BC1830">
        <v>8422</v>
      </c>
      <c r="BD1830" t="s">
        <v>74</v>
      </c>
      <c r="BE1830" t="s">
        <v>13404</v>
      </c>
      <c r="BF1830" t="str">
        <f>HYPERLINK("http://dx.doi.org/10.1021/acs.analchem.1c00211","http://dx.doi.org/10.1021/acs.analchem.1c00211")</f>
        <v>http://dx.doi.org/10.1021/acs.analchem.1c00211</v>
      </c>
      <c r="BG1830" t="s">
        <v>74</v>
      </c>
      <c r="BH1830" t="s">
        <v>3810</v>
      </c>
      <c r="BI1830" t="s">
        <v>74</v>
      </c>
      <c r="BJ1830" t="s">
        <v>1118</v>
      </c>
      <c r="BK1830" t="s">
        <v>117</v>
      </c>
      <c r="BL1830" t="s">
        <v>1048</v>
      </c>
      <c r="BM1830" t="s">
        <v>74</v>
      </c>
      <c r="BN1830">
        <v>34114453</v>
      </c>
      <c r="BO1830" t="s">
        <v>74</v>
      </c>
      <c r="BP1830" t="s">
        <v>74</v>
      </c>
      <c r="BQ1830" t="s">
        <v>74</v>
      </c>
      <c r="BR1830" t="s">
        <v>96</v>
      </c>
      <c r="BS1830" t="s">
        <v>13405</v>
      </c>
      <c r="BT1830" t="str">
        <f>HYPERLINK("https%3A%2F%2Fwww.webofscience.com%2Fwos%2Fwoscc%2Ffull-record%2FWOS:000665642500007","View Full Record in Web of Science")</f>
        <v>View Full Record in Web of Science</v>
      </c>
    </row>
    <row r="1831" spans="1:72" x14ac:dyDescent="0.15">
      <c r="A1831" t="s">
        <v>98</v>
      </c>
      <c r="B1831" t="s">
        <v>13713</v>
      </c>
      <c r="C1831" t="s">
        <v>74</v>
      </c>
      <c r="D1831" t="s">
        <v>74</v>
      </c>
      <c r="E1831" t="s">
        <v>74</v>
      </c>
      <c r="F1831" t="s">
        <v>13714</v>
      </c>
      <c r="G1831" t="s">
        <v>74</v>
      </c>
      <c r="H1831" t="s">
        <v>74</v>
      </c>
      <c r="I1831" t="s">
        <v>13715</v>
      </c>
      <c r="J1831" t="s">
        <v>13716</v>
      </c>
      <c r="K1831" t="s">
        <v>74</v>
      </c>
      <c r="L1831" t="s">
        <v>74</v>
      </c>
      <c r="M1831" t="s">
        <v>74</v>
      </c>
      <c r="N1831" t="s">
        <v>103</v>
      </c>
      <c r="O1831" t="s">
        <v>74</v>
      </c>
      <c r="P1831" t="s">
        <v>74</v>
      </c>
      <c r="Q1831" t="s">
        <v>74</v>
      </c>
      <c r="R1831" t="s">
        <v>74</v>
      </c>
      <c r="S1831" t="s">
        <v>74</v>
      </c>
      <c r="T1831" t="s">
        <v>74</v>
      </c>
      <c r="U1831" t="s">
        <v>13717</v>
      </c>
      <c r="V1831" t="s">
        <v>13718</v>
      </c>
      <c r="W1831" t="s">
        <v>13719</v>
      </c>
      <c r="X1831" t="s">
        <v>13720</v>
      </c>
      <c r="Y1831" t="s">
        <v>13721</v>
      </c>
      <c r="Z1831" t="s">
        <v>13722</v>
      </c>
      <c r="AA1831" t="s">
        <v>74</v>
      </c>
      <c r="AB1831" t="s">
        <v>74</v>
      </c>
      <c r="AC1831" t="s">
        <v>74</v>
      </c>
      <c r="AD1831" t="s">
        <v>74</v>
      </c>
      <c r="AE1831" t="s">
        <v>74</v>
      </c>
      <c r="AF1831" t="s">
        <v>74</v>
      </c>
      <c r="AG1831">
        <v>46</v>
      </c>
      <c r="AH1831">
        <v>1</v>
      </c>
      <c r="AI1831">
        <v>2</v>
      </c>
      <c r="AJ1831">
        <v>1</v>
      </c>
      <c r="AK1831">
        <v>7</v>
      </c>
      <c r="AL1831" t="s">
        <v>74</v>
      </c>
      <c r="AM1831" t="s">
        <v>74</v>
      </c>
      <c r="AN1831" t="s">
        <v>74</v>
      </c>
      <c r="AO1831" t="s">
        <v>13723</v>
      </c>
      <c r="AP1831" t="s">
        <v>13724</v>
      </c>
      <c r="AQ1831" t="s">
        <v>74</v>
      </c>
      <c r="AR1831" t="s">
        <v>74</v>
      </c>
      <c r="AS1831" t="s">
        <v>74</v>
      </c>
      <c r="AT1831" t="s">
        <v>132</v>
      </c>
      <c r="AU1831">
        <v>2021</v>
      </c>
      <c r="AV1831">
        <v>66</v>
      </c>
      <c r="AW1831">
        <v>2</v>
      </c>
      <c r="AX1831" t="s">
        <v>74</v>
      </c>
      <c r="AY1831" t="s">
        <v>74</v>
      </c>
      <c r="AZ1831" t="s">
        <v>74</v>
      </c>
      <c r="BA1831" t="s">
        <v>74</v>
      </c>
      <c r="BB1831">
        <v>221</v>
      </c>
      <c r="BC1831">
        <v>230</v>
      </c>
      <c r="BD1831" t="s">
        <v>74</v>
      </c>
      <c r="BE1831" t="s">
        <v>13725</v>
      </c>
      <c r="BF1831" t="str">
        <f>HYPERLINK("http://dx.doi.org/10.1007/s12223-020-00836-y","http://dx.doi.org/10.1007/s12223-020-00836-y")</f>
        <v>http://dx.doi.org/10.1007/s12223-020-00836-y</v>
      </c>
      <c r="BG1831" t="s">
        <v>74</v>
      </c>
      <c r="BH1831" t="s">
        <v>7451</v>
      </c>
      <c r="BI1831" t="s">
        <v>74</v>
      </c>
      <c r="BJ1831" t="s">
        <v>1464</v>
      </c>
      <c r="BK1831" t="s">
        <v>117</v>
      </c>
      <c r="BL1831" t="s">
        <v>1464</v>
      </c>
      <c r="BM1831" t="s">
        <v>74</v>
      </c>
      <c r="BN1831">
        <v>33165807</v>
      </c>
      <c r="BO1831" t="s">
        <v>74</v>
      </c>
      <c r="BP1831" t="s">
        <v>74</v>
      </c>
      <c r="BQ1831" t="s">
        <v>74</v>
      </c>
      <c r="BR1831" t="s">
        <v>96</v>
      </c>
      <c r="BS1831" t="s">
        <v>13726</v>
      </c>
      <c r="BT1831" t="str">
        <f>HYPERLINK("https%3A%2F%2Fwww.webofscience.com%2Fwos%2Fwoscc%2Ffull-record%2FWOS:000587979900001","View Full Record in Web of Science")</f>
        <v>View Full Record in Web of Science</v>
      </c>
    </row>
    <row r="1832" spans="1:72" x14ac:dyDescent="0.15">
      <c r="A1832" t="s">
        <v>72</v>
      </c>
      <c r="B1832" t="s">
        <v>13675</v>
      </c>
      <c r="C1832" t="s">
        <v>74</v>
      </c>
      <c r="D1832" t="s">
        <v>13676</v>
      </c>
      <c r="E1832" t="s">
        <v>74</v>
      </c>
      <c r="F1832" t="s">
        <v>13677</v>
      </c>
      <c r="G1832" t="s">
        <v>74</v>
      </c>
      <c r="H1832" t="s">
        <v>74</v>
      </c>
      <c r="I1832" t="s">
        <v>14070</v>
      </c>
      <c r="J1832" t="s">
        <v>14071</v>
      </c>
      <c r="K1832" t="s">
        <v>79</v>
      </c>
      <c r="L1832" t="s">
        <v>74</v>
      </c>
      <c r="M1832" t="s">
        <v>74</v>
      </c>
      <c r="N1832" t="s">
        <v>80</v>
      </c>
      <c r="O1832" t="s">
        <v>74</v>
      </c>
      <c r="P1832" t="s">
        <v>74</v>
      </c>
      <c r="Q1832" t="s">
        <v>74</v>
      </c>
      <c r="R1832" t="s">
        <v>74</v>
      </c>
      <c r="S1832" t="s">
        <v>74</v>
      </c>
      <c r="T1832" t="s">
        <v>13680</v>
      </c>
      <c r="U1832" t="s">
        <v>14072</v>
      </c>
      <c r="V1832" t="s">
        <v>14073</v>
      </c>
      <c r="W1832" t="s">
        <v>14074</v>
      </c>
      <c r="X1832" t="s">
        <v>13684</v>
      </c>
      <c r="Y1832" t="s">
        <v>14075</v>
      </c>
      <c r="Z1832" t="s">
        <v>74</v>
      </c>
      <c r="AA1832" t="s">
        <v>13686</v>
      </c>
      <c r="AB1832" t="s">
        <v>13687</v>
      </c>
      <c r="AC1832" t="s">
        <v>74</v>
      </c>
      <c r="AD1832" t="s">
        <v>74</v>
      </c>
      <c r="AE1832" t="s">
        <v>74</v>
      </c>
      <c r="AF1832" t="s">
        <v>74</v>
      </c>
      <c r="AG1832">
        <v>17</v>
      </c>
      <c r="AH1832">
        <v>1</v>
      </c>
      <c r="AI1832">
        <v>2</v>
      </c>
      <c r="AJ1832">
        <v>1</v>
      </c>
      <c r="AK1832">
        <v>5</v>
      </c>
      <c r="AL1832" t="s">
        <v>74</v>
      </c>
      <c r="AM1832" t="s">
        <v>74</v>
      </c>
      <c r="AN1832" t="s">
        <v>74</v>
      </c>
      <c r="AO1832" t="s">
        <v>88</v>
      </c>
      <c r="AP1832" t="s">
        <v>89</v>
      </c>
      <c r="AQ1832" t="s">
        <v>14076</v>
      </c>
      <c r="AR1832" t="s">
        <v>74</v>
      </c>
      <c r="AS1832" t="s">
        <v>74</v>
      </c>
      <c r="AT1832" t="s">
        <v>74</v>
      </c>
      <c r="AU1832">
        <v>2020</v>
      </c>
      <c r="AV1832">
        <v>2129</v>
      </c>
      <c r="AW1832" t="s">
        <v>74</v>
      </c>
      <c r="AX1832" t="s">
        <v>74</v>
      </c>
      <c r="AY1832" t="s">
        <v>74</v>
      </c>
      <c r="AZ1832" t="s">
        <v>74</v>
      </c>
      <c r="BA1832" t="s">
        <v>74</v>
      </c>
      <c r="BB1832">
        <v>203</v>
      </c>
      <c r="BC1832">
        <v>215</v>
      </c>
      <c r="BD1832" t="s">
        <v>74</v>
      </c>
      <c r="BE1832" t="s">
        <v>14077</v>
      </c>
      <c r="BF1832" t="str">
        <f>HYPERLINK("http://dx.doi.org/10.1007/978-1-0716-0377-2_16","http://dx.doi.org/10.1007/978-1-0716-0377-2_16")</f>
        <v>http://dx.doi.org/10.1007/978-1-0716-0377-2_16</v>
      </c>
      <c r="BG1832" t="s">
        <v>14078</v>
      </c>
      <c r="BH1832" t="s">
        <v>74</v>
      </c>
      <c r="BI1832" t="s">
        <v>74</v>
      </c>
      <c r="BJ1832" t="s">
        <v>14079</v>
      </c>
      <c r="BK1832" t="s">
        <v>94</v>
      </c>
      <c r="BL1832" t="s">
        <v>14079</v>
      </c>
      <c r="BM1832" t="s">
        <v>74</v>
      </c>
      <c r="BN1832">
        <v>32056180</v>
      </c>
      <c r="BO1832" t="s">
        <v>74</v>
      </c>
      <c r="BP1832" t="s">
        <v>74</v>
      </c>
      <c r="BQ1832" t="s">
        <v>74</v>
      </c>
      <c r="BR1832" t="s">
        <v>96</v>
      </c>
      <c r="BS1832" t="s">
        <v>14080</v>
      </c>
      <c r="BT1832" t="str">
        <f>HYPERLINK("https%3A%2F%2Fwww.webofscience.com%2Fwos%2Fwoscc%2Ffull-record%2FWOS:000678137300017","View Full Record in Web of Science")</f>
        <v>View Full Record in Web of Science</v>
      </c>
    </row>
    <row r="1833" spans="1:72" x14ac:dyDescent="0.15">
      <c r="A1833" t="s">
        <v>98</v>
      </c>
      <c r="B1833" t="s">
        <v>14116</v>
      </c>
      <c r="C1833" t="s">
        <v>74</v>
      </c>
      <c r="D1833" t="s">
        <v>74</v>
      </c>
      <c r="E1833" t="s">
        <v>74</v>
      </c>
      <c r="F1833" t="s">
        <v>14117</v>
      </c>
      <c r="G1833" t="s">
        <v>74</v>
      </c>
      <c r="H1833" t="s">
        <v>74</v>
      </c>
      <c r="I1833" t="s">
        <v>14118</v>
      </c>
      <c r="J1833" t="s">
        <v>817</v>
      </c>
      <c r="K1833" t="s">
        <v>74</v>
      </c>
      <c r="L1833" t="s">
        <v>74</v>
      </c>
      <c r="M1833" t="s">
        <v>74</v>
      </c>
      <c r="N1833" t="s">
        <v>103</v>
      </c>
      <c r="O1833" t="s">
        <v>74</v>
      </c>
      <c r="P1833" t="s">
        <v>74</v>
      </c>
      <c r="Q1833" t="s">
        <v>74</v>
      </c>
      <c r="R1833" t="s">
        <v>74</v>
      </c>
      <c r="S1833" t="s">
        <v>74</v>
      </c>
      <c r="T1833" t="s">
        <v>14119</v>
      </c>
      <c r="U1833" t="s">
        <v>14120</v>
      </c>
      <c r="V1833" t="s">
        <v>14121</v>
      </c>
      <c r="W1833" t="s">
        <v>14122</v>
      </c>
      <c r="X1833" t="s">
        <v>14123</v>
      </c>
      <c r="Y1833" t="s">
        <v>14124</v>
      </c>
      <c r="Z1833" t="s">
        <v>14125</v>
      </c>
      <c r="AA1833" t="s">
        <v>74</v>
      </c>
      <c r="AB1833" t="s">
        <v>14126</v>
      </c>
      <c r="AC1833" t="s">
        <v>74</v>
      </c>
      <c r="AD1833" t="s">
        <v>74</v>
      </c>
      <c r="AE1833" t="s">
        <v>74</v>
      </c>
      <c r="AF1833" t="s">
        <v>74</v>
      </c>
      <c r="AG1833">
        <v>35</v>
      </c>
      <c r="AH1833">
        <v>1</v>
      </c>
      <c r="AI1833">
        <v>1</v>
      </c>
      <c r="AJ1833">
        <v>0</v>
      </c>
      <c r="AK1833">
        <v>1</v>
      </c>
      <c r="AL1833" t="s">
        <v>74</v>
      </c>
      <c r="AM1833" t="s">
        <v>74</v>
      </c>
      <c r="AN1833" t="s">
        <v>74</v>
      </c>
      <c r="AO1833" t="s">
        <v>74</v>
      </c>
      <c r="AP1833" t="s">
        <v>827</v>
      </c>
      <c r="AQ1833" t="s">
        <v>74</v>
      </c>
      <c r="AR1833" t="s">
        <v>74</v>
      </c>
      <c r="AS1833" t="s">
        <v>74</v>
      </c>
      <c r="AT1833" t="s">
        <v>531</v>
      </c>
      <c r="AU1833">
        <v>2021</v>
      </c>
      <c r="AV1833">
        <v>22</v>
      </c>
      <c r="AW1833">
        <v>18</v>
      </c>
      <c r="AX1833" t="s">
        <v>74</v>
      </c>
      <c r="AY1833" t="s">
        <v>74</v>
      </c>
      <c r="AZ1833" t="s">
        <v>74</v>
      </c>
      <c r="BA1833" t="s">
        <v>74</v>
      </c>
      <c r="BB1833" t="s">
        <v>74</v>
      </c>
      <c r="BC1833" t="s">
        <v>74</v>
      </c>
      <c r="BD1833">
        <v>9809</v>
      </c>
      <c r="BE1833" t="s">
        <v>14127</v>
      </c>
      <c r="BF1833" t="str">
        <f>HYPERLINK("http://dx.doi.org/10.3390/ijms22189809","http://dx.doi.org/10.3390/ijms22189809")</f>
        <v>http://dx.doi.org/10.3390/ijms22189809</v>
      </c>
      <c r="BG1833" t="s">
        <v>74</v>
      </c>
      <c r="BH1833" t="s">
        <v>74</v>
      </c>
      <c r="BI1833" t="s">
        <v>74</v>
      </c>
      <c r="BJ1833" t="s">
        <v>830</v>
      </c>
      <c r="BK1833" t="s">
        <v>117</v>
      </c>
      <c r="BL1833" t="s">
        <v>831</v>
      </c>
      <c r="BM1833" t="s">
        <v>74</v>
      </c>
      <c r="BN1833">
        <v>34575975</v>
      </c>
      <c r="BO1833" t="s">
        <v>74</v>
      </c>
      <c r="BP1833" t="s">
        <v>74</v>
      </c>
      <c r="BQ1833" t="s">
        <v>74</v>
      </c>
      <c r="BR1833" t="s">
        <v>96</v>
      </c>
      <c r="BS1833" t="s">
        <v>14128</v>
      </c>
      <c r="BT1833" t="str">
        <f>HYPERLINK("https%3A%2F%2Fwww.webofscience.com%2Fwos%2Fwoscc%2Ffull-record%2FWOS:000699823900001","View Full Record in Web of Science")</f>
        <v>View Full Record in Web of Science</v>
      </c>
    </row>
    <row r="1834" spans="1:72" x14ac:dyDescent="0.15">
      <c r="A1834" t="s">
        <v>98</v>
      </c>
      <c r="B1834" t="s">
        <v>14502</v>
      </c>
      <c r="C1834" t="s">
        <v>74</v>
      </c>
      <c r="D1834" t="s">
        <v>74</v>
      </c>
      <c r="E1834" t="s">
        <v>74</v>
      </c>
      <c r="F1834" t="s">
        <v>14503</v>
      </c>
      <c r="G1834" t="s">
        <v>74</v>
      </c>
      <c r="H1834" t="s">
        <v>74</v>
      </c>
      <c r="I1834" t="s">
        <v>14504</v>
      </c>
      <c r="J1834" t="s">
        <v>14215</v>
      </c>
      <c r="K1834" t="s">
        <v>74</v>
      </c>
      <c r="L1834" t="s">
        <v>74</v>
      </c>
      <c r="M1834" t="s">
        <v>74</v>
      </c>
      <c r="N1834" t="s">
        <v>103</v>
      </c>
      <c r="O1834" t="s">
        <v>74</v>
      </c>
      <c r="P1834" t="s">
        <v>74</v>
      </c>
      <c r="Q1834" t="s">
        <v>74</v>
      </c>
      <c r="R1834" t="s">
        <v>74</v>
      </c>
      <c r="S1834" t="s">
        <v>74</v>
      </c>
      <c r="T1834" t="s">
        <v>14505</v>
      </c>
      <c r="U1834" t="s">
        <v>14506</v>
      </c>
      <c r="V1834" t="s">
        <v>14507</v>
      </c>
      <c r="W1834" t="s">
        <v>14508</v>
      </c>
      <c r="X1834" t="s">
        <v>14509</v>
      </c>
      <c r="Y1834" t="s">
        <v>14510</v>
      </c>
      <c r="Z1834" t="s">
        <v>14511</v>
      </c>
      <c r="AA1834" t="s">
        <v>14512</v>
      </c>
      <c r="AB1834" t="s">
        <v>14513</v>
      </c>
      <c r="AC1834" t="s">
        <v>74</v>
      </c>
      <c r="AD1834" t="s">
        <v>74</v>
      </c>
      <c r="AE1834" t="s">
        <v>74</v>
      </c>
      <c r="AF1834" t="s">
        <v>74</v>
      </c>
      <c r="AG1834">
        <v>53</v>
      </c>
      <c r="AH1834">
        <v>1</v>
      </c>
      <c r="AI1834">
        <v>1</v>
      </c>
      <c r="AJ1834">
        <v>0</v>
      </c>
      <c r="AK1834">
        <v>4</v>
      </c>
      <c r="AL1834" t="s">
        <v>74</v>
      </c>
      <c r="AM1834" t="s">
        <v>74</v>
      </c>
      <c r="AN1834" t="s">
        <v>74</v>
      </c>
      <c r="AO1834" t="s">
        <v>14225</v>
      </c>
      <c r="AP1834" t="s">
        <v>74</v>
      </c>
      <c r="AQ1834" t="s">
        <v>74</v>
      </c>
      <c r="AR1834" t="s">
        <v>74</v>
      </c>
      <c r="AS1834" t="s">
        <v>74</v>
      </c>
      <c r="AT1834" t="s">
        <v>4993</v>
      </c>
      <c r="AU1834">
        <v>2021</v>
      </c>
      <c r="AV1834">
        <v>13</v>
      </c>
      <c r="AW1834">
        <v>4</v>
      </c>
      <c r="AX1834" t="s">
        <v>74</v>
      </c>
      <c r="AY1834" t="s">
        <v>74</v>
      </c>
      <c r="AZ1834" t="s">
        <v>74</v>
      </c>
      <c r="BA1834" t="s">
        <v>74</v>
      </c>
      <c r="BB1834">
        <v>4747</v>
      </c>
      <c r="BC1834">
        <v>4777</v>
      </c>
      <c r="BD1834" t="s">
        <v>74</v>
      </c>
      <c r="BE1834" t="s">
        <v>74</v>
      </c>
      <c r="BF1834" t="s">
        <v>74</v>
      </c>
      <c r="BG1834" t="s">
        <v>74</v>
      </c>
      <c r="BH1834" t="s">
        <v>74</v>
      </c>
      <c r="BI1834" t="s">
        <v>74</v>
      </c>
      <c r="BJ1834" t="s">
        <v>305</v>
      </c>
      <c r="BK1834" t="s">
        <v>117</v>
      </c>
      <c r="BL1834" t="s">
        <v>305</v>
      </c>
      <c r="BM1834" t="s">
        <v>74</v>
      </c>
      <c r="BN1834">
        <v>33601339</v>
      </c>
      <c r="BO1834" t="s">
        <v>74</v>
      </c>
      <c r="BP1834" t="s">
        <v>74</v>
      </c>
      <c r="BQ1834" t="s">
        <v>74</v>
      </c>
      <c r="BR1834" t="s">
        <v>96</v>
      </c>
      <c r="BS1834" t="s">
        <v>14514</v>
      </c>
      <c r="BT1834" t="str">
        <f>HYPERLINK("https%3A%2F%2Fwww.webofscience.com%2Fwos%2Fwoscc%2Ffull-record%2FWOS:000624688500002","View Full Record in Web of Science")</f>
        <v>View Full Record in Web of Science</v>
      </c>
    </row>
    <row r="1835" spans="1:72" x14ac:dyDescent="0.15">
      <c r="A1835" t="s">
        <v>98</v>
      </c>
      <c r="B1835" t="s">
        <v>14583</v>
      </c>
      <c r="C1835" t="s">
        <v>74</v>
      </c>
      <c r="D1835" t="s">
        <v>74</v>
      </c>
      <c r="E1835" t="s">
        <v>74</v>
      </c>
      <c r="F1835" t="s">
        <v>14584</v>
      </c>
      <c r="G1835" t="s">
        <v>74</v>
      </c>
      <c r="H1835" t="s">
        <v>74</v>
      </c>
      <c r="I1835" t="s">
        <v>14585</v>
      </c>
      <c r="J1835" t="s">
        <v>3650</v>
      </c>
      <c r="K1835" t="s">
        <v>74</v>
      </c>
      <c r="L1835" t="s">
        <v>74</v>
      </c>
      <c r="M1835" t="s">
        <v>74</v>
      </c>
      <c r="N1835" t="s">
        <v>103</v>
      </c>
      <c r="O1835" t="s">
        <v>74</v>
      </c>
      <c r="P1835" t="s">
        <v>74</v>
      </c>
      <c r="Q1835" t="s">
        <v>74</v>
      </c>
      <c r="R1835" t="s">
        <v>74</v>
      </c>
      <c r="S1835" t="s">
        <v>74</v>
      </c>
      <c r="T1835" t="s">
        <v>14586</v>
      </c>
      <c r="U1835" t="s">
        <v>14587</v>
      </c>
      <c r="V1835" t="s">
        <v>14588</v>
      </c>
      <c r="W1835" t="s">
        <v>14589</v>
      </c>
      <c r="X1835" t="s">
        <v>14590</v>
      </c>
      <c r="Y1835" t="s">
        <v>14591</v>
      </c>
      <c r="Z1835" t="s">
        <v>14592</v>
      </c>
      <c r="AA1835" t="s">
        <v>74</v>
      </c>
      <c r="AB1835" t="s">
        <v>74</v>
      </c>
      <c r="AC1835" t="s">
        <v>74</v>
      </c>
      <c r="AD1835" t="s">
        <v>74</v>
      </c>
      <c r="AE1835" t="s">
        <v>74</v>
      </c>
      <c r="AF1835" t="s">
        <v>74</v>
      </c>
      <c r="AG1835">
        <v>44</v>
      </c>
      <c r="AH1835">
        <v>1</v>
      </c>
      <c r="AI1835">
        <v>1</v>
      </c>
      <c r="AJ1835">
        <v>37</v>
      </c>
      <c r="AK1835">
        <v>117</v>
      </c>
      <c r="AL1835" t="s">
        <v>74</v>
      </c>
      <c r="AM1835" t="s">
        <v>74</v>
      </c>
      <c r="AN1835" t="s">
        <v>74</v>
      </c>
      <c r="AO1835" t="s">
        <v>74</v>
      </c>
      <c r="AP1835" t="s">
        <v>3659</v>
      </c>
      <c r="AQ1835" t="s">
        <v>74</v>
      </c>
      <c r="AR1835" t="s">
        <v>74</v>
      </c>
      <c r="AS1835" t="s">
        <v>74</v>
      </c>
      <c r="AT1835" t="s">
        <v>150</v>
      </c>
      <c r="AU1835">
        <v>2021</v>
      </c>
      <c r="AV1835">
        <v>341</v>
      </c>
      <c r="AW1835" t="s">
        <v>74</v>
      </c>
      <c r="AX1835" t="s">
        <v>74</v>
      </c>
      <c r="AY1835" t="s">
        <v>74</v>
      </c>
      <c r="AZ1835" t="s">
        <v>74</v>
      </c>
      <c r="BA1835" t="s">
        <v>74</v>
      </c>
      <c r="BB1835" t="s">
        <v>74</v>
      </c>
      <c r="BC1835" t="s">
        <v>74</v>
      </c>
      <c r="BD1835">
        <v>130034</v>
      </c>
      <c r="BE1835" t="s">
        <v>14593</v>
      </c>
      <c r="BF1835" t="str">
        <f>HYPERLINK("http://dx.doi.org/10.1016/j.snb.2021.130034","http://dx.doi.org/10.1016/j.snb.2021.130034")</f>
        <v>http://dx.doi.org/10.1016/j.snb.2021.130034</v>
      </c>
      <c r="BG1835" t="s">
        <v>74</v>
      </c>
      <c r="BH1835" t="s">
        <v>3345</v>
      </c>
      <c r="BI1835" t="s">
        <v>74</v>
      </c>
      <c r="BJ1835" t="s">
        <v>3663</v>
      </c>
      <c r="BK1835" t="s">
        <v>117</v>
      </c>
      <c r="BL1835" t="s">
        <v>3664</v>
      </c>
      <c r="BM1835" t="s">
        <v>74</v>
      </c>
      <c r="BN1835" t="s">
        <v>74</v>
      </c>
      <c r="BO1835" t="s">
        <v>74</v>
      </c>
      <c r="BP1835" t="s">
        <v>74</v>
      </c>
      <c r="BQ1835" t="s">
        <v>74</v>
      </c>
      <c r="BR1835" t="s">
        <v>96</v>
      </c>
      <c r="BS1835" t="s">
        <v>14594</v>
      </c>
      <c r="BT1835" t="str">
        <f>HYPERLINK("https%3A%2F%2Fwww.webofscience.com%2Fwos%2Fwoscc%2Ffull-record%2FWOS:000652633000004","View Full Record in Web of Science")</f>
        <v>View Full Record in Web of Science</v>
      </c>
    </row>
    <row r="1836" spans="1:72" x14ac:dyDescent="0.15">
      <c r="A1836" t="s">
        <v>98</v>
      </c>
      <c r="B1836" t="s">
        <v>14608</v>
      </c>
      <c r="C1836" t="s">
        <v>74</v>
      </c>
      <c r="D1836" t="s">
        <v>74</v>
      </c>
      <c r="E1836" t="s">
        <v>74</v>
      </c>
      <c r="F1836" t="s">
        <v>14609</v>
      </c>
      <c r="G1836" t="s">
        <v>74</v>
      </c>
      <c r="H1836" t="s">
        <v>74</v>
      </c>
      <c r="I1836" t="s">
        <v>14610</v>
      </c>
      <c r="J1836" t="s">
        <v>14611</v>
      </c>
      <c r="K1836" t="s">
        <v>74</v>
      </c>
      <c r="L1836" t="s">
        <v>74</v>
      </c>
      <c r="M1836" t="s">
        <v>74</v>
      </c>
      <c r="N1836" t="s">
        <v>103</v>
      </c>
      <c r="O1836" t="s">
        <v>74</v>
      </c>
      <c r="P1836" t="s">
        <v>74</v>
      </c>
      <c r="Q1836" t="s">
        <v>74</v>
      </c>
      <c r="R1836" t="s">
        <v>74</v>
      </c>
      <c r="S1836" t="s">
        <v>74</v>
      </c>
      <c r="T1836" t="s">
        <v>14612</v>
      </c>
      <c r="U1836" t="s">
        <v>14613</v>
      </c>
      <c r="V1836" t="s">
        <v>14614</v>
      </c>
      <c r="W1836" t="s">
        <v>14615</v>
      </c>
      <c r="X1836" t="s">
        <v>14616</v>
      </c>
      <c r="Y1836" t="s">
        <v>14617</v>
      </c>
      <c r="Z1836" t="s">
        <v>14618</v>
      </c>
      <c r="AA1836" t="s">
        <v>74</v>
      </c>
      <c r="AB1836" t="s">
        <v>14619</v>
      </c>
      <c r="AC1836" t="s">
        <v>74</v>
      </c>
      <c r="AD1836" t="s">
        <v>74</v>
      </c>
      <c r="AE1836" t="s">
        <v>74</v>
      </c>
      <c r="AF1836" t="s">
        <v>74</v>
      </c>
      <c r="AG1836">
        <v>61</v>
      </c>
      <c r="AH1836">
        <v>1</v>
      </c>
      <c r="AI1836">
        <v>1</v>
      </c>
      <c r="AJ1836">
        <v>0</v>
      </c>
      <c r="AK1836">
        <v>0</v>
      </c>
      <c r="AL1836" t="s">
        <v>74</v>
      </c>
      <c r="AM1836" t="s">
        <v>74</v>
      </c>
      <c r="AN1836" t="s">
        <v>74</v>
      </c>
      <c r="AO1836" t="s">
        <v>14620</v>
      </c>
      <c r="AP1836" t="s">
        <v>14621</v>
      </c>
      <c r="AQ1836" t="s">
        <v>74</v>
      </c>
      <c r="AR1836" t="s">
        <v>74</v>
      </c>
      <c r="AS1836" t="s">
        <v>74</v>
      </c>
      <c r="AT1836" t="s">
        <v>1321</v>
      </c>
      <c r="AU1836">
        <v>2019</v>
      </c>
      <c r="AV1836">
        <v>138</v>
      </c>
      <c r="AW1836" t="s">
        <v>74</v>
      </c>
      <c r="AX1836" t="s">
        <v>74</v>
      </c>
      <c r="AY1836" t="s">
        <v>74</v>
      </c>
      <c r="AZ1836" t="s">
        <v>74</v>
      </c>
      <c r="BA1836" t="s">
        <v>74</v>
      </c>
      <c r="BB1836">
        <v>996</v>
      </c>
      <c r="BC1836">
        <v>1005</v>
      </c>
      <c r="BD1836" t="s">
        <v>74</v>
      </c>
      <c r="BE1836" t="s">
        <v>14622</v>
      </c>
      <c r="BF1836" t="str">
        <f>HYPERLINK("http://dx.doi.org/10.1016/j.ijbiomac.2019.07.178","http://dx.doi.org/10.1016/j.ijbiomac.2019.07.178")</f>
        <v>http://dx.doi.org/10.1016/j.ijbiomac.2019.07.178</v>
      </c>
      <c r="BG1836" t="s">
        <v>74</v>
      </c>
      <c r="BH1836" t="s">
        <v>74</v>
      </c>
      <c r="BI1836" t="s">
        <v>74</v>
      </c>
      <c r="BJ1836" t="s">
        <v>14623</v>
      </c>
      <c r="BK1836" t="s">
        <v>117</v>
      </c>
      <c r="BL1836" t="s">
        <v>9741</v>
      </c>
      <c r="BM1836" t="s">
        <v>74</v>
      </c>
      <c r="BN1836">
        <v>31356937</v>
      </c>
      <c r="BO1836" t="s">
        <v>74</v>
      </c>
      <c r="BP1836" t="s">
        <v>74</v>
      </c>
      <c r="BQ1836" t="s">
        <v>74</v>
      </c>
      <c r="BR1836" t="s">
        <v>96</v>
      </c>
      <c r="BS1836" t="s">
        <v>14624</v>
      </c>
      <c r="BT1836" t="str">
        <f>HYPERLINK("https%3A%2F%2Fwww.webofscience.com%2Fwos%2Fwoscc%2Ffull-record%2FWOS:000487569000105","View Full Record in Web of Science")</f>
        <v>View Full Record in Web of Science</v>
      </c>
    </row>
    <row r="1837" spans="1:72" x14ac:dyDescent="0.15">
      <c r="A1837" t="s">
        <v>98</v>
      </c>
      <c r="B1837" t="s">
        <v>14820</v>
      </c>
      <c r="C1837" t="s">
        <v>74</v>
      </c>
      <c r="D1837" t="s">
        <v>74</v>
      </c>
      <c r="E1837" t="s">
        <v>74</v>
      </c>
      <c r="F1837" t="s">
        <v>14821</v>
      </c>
      <c r="G1837" t="s">
        <v>74</v>
      </c>
      <c r="H1837" t="s">
        <v>74</v>
      </c>
      <c r="I1837" t="s">
        <v>14822</v>
      </c>
      <c r="J1837" t="s">
        <v>14823</v>
      </c>
      <c r="K1837" t="s">
        <v>74</v>
      </c>
      <c r="L1837" t="s">
        <v>74</v>
      </c>
      <c r="M1837" t="s">
        <v>74</v>
      </c>
      <c r="N1837" t="s">
        <v>103</v>
      </c>
      <c r="O1837" t="s">
        <v>74</v>
      </c>
      <c r="P1837" t="s">
        <v>74</v>
      </c>
      <c r="Q1837" t="s">
        <v>74</v>
      </c>
      <c r="R1837" t="s">
        <v>74</v>
      </c>
      <c r="S1837" t="s">
        <v>74</v>
      </c>
      <c r="T1837" t="s">
        <v>14824</v>
      </c>
      <c r="U1837" t="s">
        <v>14825</v>
      </c>
      <c r="V1837" t="s">
        <v>14826</v>
      </c>
      <c r="W1837" t="s">
        <v>14827</v>
      </c>
      <c r="X1837" t="s">
        <v>14828</v>
      </c>
      <c r="Y1837" t="s">
        <v>14829</v>
      </c>
      <c r="Z1837" t="s">
        <v>14830</v>
      </c>
      <c r="AA1837" t="s">
        <v>74</v>
      </c>
      <c r="AB1837" t="s">
        <v>74</v>
      </c>
      <c r="AC1837" t="s">
        <v>74</v>
      </c>
      <c r="AD1837" t="s">
        <v>74</v>
      </c>
      <c r="AE1837" t="s">
        <v>74</v>
      </c>
      <c r="AF1837" t="s">
        <v>74</v>
      </c>
      <c r="AG1837">
        <v>39</v>
      </c>
      <c r="AH1837">
        <v>1</v>
      </c>
      <c r="AI1837">
        <v>1</v>
      </c>
      <c r="AJ1837">
        <v>42</v>
      </c>
      <c r="AK1837">
        <v>42</v>
      </c>
      <c r="AL1837" t="s">
        <v>74</v>
      </c>
      <c r="AM1837" t="s">
        <v>74</v>
      </c>
      <c r="AN1837" t="s">
        <v>74</v>
      </c>
      <c r="AO1837" t="s">
        <v>14831</v>
      </c>
      <c r="AP1837" t="s">
        <v>14832</v>
      </c>
      <c r="AQ1837" t="s">
        <v>74</v>
      </c>
      <c r="AR1837" t="s">
        <v>74</v>
      </c>
      <c r="AS1837" t="s">
        <v>74</v>
      </c>
      <c r="AT1837" t="s">
        <v>132</v>
      </c>
      <c r="AU1837">
        <v>2022</v>
      </c>
      <c r="AV1837">
        <v>33</v>
      </c>
      <c r="AW1837">
        <v>4</v>
      </c>
      <c r="AX1837" t="s">
        <v>74</v>
      </c>
      <c r="AY1837" t="s">
        <v>74</v>
      </c>
      <c r="AZ1837" t="s">
        <v>74</v>
      </c>
      <c r="BA1837" t="s">
        <v>74</v>
      </c>
      <c r="BB1837">
        <v>2101</v>
      </c>
      <c r="BC1837">
        <v>2104</v>
      </c>
      <c r="BD1837" t="s">
        <v>74</v>
      </c>
      <c r="BE1837" t="s">
        <v>14833</v>
      </c>
      <c r="BF1837" t="str">
        <f>HYPERLINK("http://dx.doi.org/10.1016/j.cclet.2021.08.047","http://dx.doi.org/10.1016/j.cclet.2021.08.047")</f>
        <v>http://dx.doi.org/10.1016/j.cclet.2021.08.047</v>
      </c>
      <c r="BG1837" t="s">
        <v>74</v>
      </c>
      <c r="BH1837" t="s">
        <v>74</v>
      </c>
      <c r="BI1837" t="s">
        <v>74</v>
      </c>
      <c r="BJ1837" t="s">
        <v>1047</v>
      </c>
      <c r="BK1837" t="s">
        <v>117</v>
      </c>
      <c r="BL1837" t="s">
        <v>1048</v>
      </c>
      <c r="BM1837" t="s">
        <v>74</v>
      </c>
      <c r="BN1837" t="s">
        <v>74</v>
      </c>
      <c r="BO1837" t="s">
        <v>74</v>
      </c>
      <c r="BP1837" t="s">
        <v>74</v>
      </c>
      <c r="BQ1837" t="s">
        <v>74</v>
      </c>
      <c r="BR1837" t="s">
        <v>96</v>
      </c>
      <c r="BS1837" t="s">
        <v>14834</v>
      </c>
      <c r="BT1837" t="str">
        <f>HYPERLINK("https%3A%2F%2Fwww.webofscience.com%2Fwos%2Fwoscc%2Ffull-record%2FWOS:000789375500072","View Full Record in Web of Science")</f>
        <v>View Full Record in Web of Science</v>
      </c>
    </row>
    <row r="1838" spans="1:72" x14ac:dyDescent="0.15">
      <c r="A1838" t="s">
        <v>98</v>
      </c>
      <c r="B1838" t="s">
        <v>14912</v>
      </c>
      <c r="C1838" t="s">
        <v>74</v>
      </c>
      <c r="D1838" t="s">
        <v>74</v>
      </c>
      <c r="E1838" t="s">
        <v>74</v>
      </c>
      <c r="F1838" t="s">
        <v>14913</v>
      </c>
      <c r="G1838" t="s">
        <v>74</v>
      </c>
      <c r="H1838" t="s">
        <v>74</v>
      </c>
      <c r="I1838" t="s">
        <v>14914</v>
      </c>
      <c r="J1838" t="s">
        <v>7316</v>
      </c>
      <c r="K1838" t="s">
        <v>74</v>
      </c>
      <c r="L1838" t="s">
        <v>74</v>
      </c>
      <c r="M1838" t="s">
        <v>74</v>
      </c>
      <c r="N1838" t="s">
        <v>103</v>
      </c>
      <c r="O1838" t="s">
        <v>74</v>
      </c>
      <c r="P1838" t="s">
        <v>74</v>
      </c>
      <c r="Q1838" t="s">
        <v>74</v>
      </c>
      <c r="R1838" t="s">
        <v>74</v>
      </c>
      <c r="S1838" t="s">
        <v>74</v>
      </c>
      <c r="T1838" t="s">
        <v>74</v>
      </c>
      <c r="U1838" t="s">
        <v>74</v>
      </c>
      <c r="V1838" t="s">
        <v>14915</v>
      </c>
      <c r="W1838" t="s">
        <v>14916</v>
      </c>
      <c r="X1838" t="s">
        <v>10941</v>
      </c>
      <c r="Y1838" t="s">
        <v>14917</v>
      </c>
      <c r="Z1838" t="s">
        <v>10943</v>
      </c>
      <c r="AA1838" t="s">
        <v>74</v>
      </c>
      <c r="AB1838" t="s">
        <v>10944</v>
      </c>
      <c r="AC1838" t="s">
        <v>74</v>
      </c>
      <c r="AD1838" t="s">
        <v>74</v>
      </c>
      <c r="AE1838" t="s">
        <v>74</v>
      </c>
      <c r="AF1838" t="s">
        <v>74</v>
      </c>
      <c r="AG1838">
        <v>31</v>
      </c>
      <c r="AH1838">
        <v>1</v>
      </c>
      <c r="AI1838">
        <v>1</v>
      </c>
      <c r="AJ1838">
        <v>9</v>
      </c>
      <c r="AK1838">
        <v>32</v>
      </c>
      <c r="AL1838" t="s">
        <v>74</v>
      </c>
      <c r="AM1838" t="s">
        <v>74</v>
      </c>
      <c r="AN1838" t="s">
        <v>74</v>
      </c>
      <c r="AO1838" t="s">
        <v>7324</v>
      </c>
      <c r="AP1838" t="s">
        <v>7325</v>
      </c>
      <c r="AQ1838" t="s">
        <v>74</v>
      </c>
      <c r="AR1838" t="s">
        <v>74</v>
      </c>
      <c r="AS1838" t="s">
        <v>74</v>
      </c>
      <c r="AT1838" t="s">
        <v>14918</v>
      </c>
      <c r="AU1838">
        <v>2021</v>
      </c>
      <c r="AV1838">
        <v>146</v>
      </c>
      <c r="AW1838">
        <v>5</v>
      </c>
      <c r="AX1838" t="s">
        <v>74</v>
      </c>
      <c r="AY1838" t="s">
        <v>74</v>
      </c>
      <c r="AZ1838" t="s">
        <v>74</v>
      </c>
      <c r="BA1838" t="s">
        <v>74</v>
      </c>
      <c r="BB1838">
        <v>1626</v>
      </c>
      <c r="BC1838">
        <v>1632</v>
      </c>
      <c r="BD1838" t="s">
        <v>74</v>
      </c>
      <c r="BE1838" t="s">
        <v>14919</v>
      </c>
      <c r="BF1838" t="str">
        <f>HYPERLINK("http://dx.doi.org/10.1039/d0an02353a","http://dx.doi.org/10.1039/d0an02353a")</f>
        <v>http://dx.doi.org/10.1039/d0an02353a</v>
      </c>
      <c r="BG1838" t="s">
        <v>74</v>
      </c>
      <c r="BH1838" t="s">
        <v>74</v>
      </c>
      <c r="BI1838" t="s">
        <v>74</v>
      </c>
      <c r="BJ1838" t="s">
        <v>1118</v>
      </c>
      <c r="BK1838" t="s">
        <v>117</v>
      </c>
      <c r="BL1838" t="s">
        <v>1048</v>
      </c>
      <c r="BM1838" t="s">
        <v>74</v>
      </c>
      <c r="BN1838">
        <v>33599639</v>
      </c>
      <c r="BO1838" t="s">
        <v>74</v>
      </c>
      <c r="BP1838" t="s">
        <v>74</v>
      </c>
      <c r="BQ1838" t="s">
        <v>74</v>
      </c>
      <c r="BR1838" t="s">
        <v>96</v>
      </c>
      <c r="BS1838" t="s">
        <v>14920</v>
      </c>
      <c r="BT1838" t="str">
        <f>HYPERLINK("https%3A%2F%2Fwww.webofscience.com%2Fwos%2Fwoscc%2Ffull-record%2FWOS:000626184800016","View Full Record in Web of Science")</f>
        <v>View Full Record in Web of Science</v>
      </c>
    </row>
    <row r="1839" spans="1:72" x14ac:dyDescent="0.15">
      <c r="A1839" t="s">
        <v>98</v>
      </c>
      <c r="B1839" t="s">
        <v>14999</v>
      </c>
      <c r="C1839" t="s">
        <v>74</v>
      </c>
      <c r="D1839" t="s">
        <v>74</v>
      </c>
      <c r="E1839" t="s">
        <v>74</v>
      </c>
      <c r="F1839" t="s">
        <v>15000</v>
      </c>
      <c r="G1839" t="s">
        <v>74</v>
      </c>
      <c r="H1839" t="s">
        <v>74</v>
      </c>
      <c r="I1839" t="s">
        <v>15001</v>
      </c>
      <c r="J1839" t="s">
        <v>15002</v>
      </c>
      <c r="K1839" t="s">
        <v>74</v>
      </c>
      <c r="L1839" t="s">
        <v>74</v>
      </c>
      <c r="M1839" t="s">
        <v>74</v>
      </c>
      <c r="N1839" t="s">
        <v>103</v>
      </c>
      <c r="O1839" t="s">
        <v>74</v>
      </c>
      <c r="P1839" t="s">
        <v>74</v>
      </c>
      <c r="Q1839" t="s">
        <v>74</v>
      </c>
      <c r="R1839" t="s">
        <v>74</v>
      </c>
      <c r="S1839" t="s">
        <v>74</v>
      </c>
      <c r="T1839" t="s">
        <v>15003</v>
      </c>
      <c r="U1839" t="s">
        <v>15004</v>
      </c>
      <c r="V1839" t="s">
        <v>15005</v>
      </c>
      <c r="W1839" t="s">
        <v>15006</v>
      </c>
      <c r="X1839" t="s">
        <v>74</v>
      </c>
      <c r="Y1839" t="s">
        <v>15007</v>
      </c>
      <c r="Z1839" t="s">
        <v>15008</v>
      </c>
      <c r="AA1839" t="s">
        <v>74</v>
      </c>
      <c r="AB1839" t="s">
        <v>74</v>
      </c>
      <c r="AC1839" t="s">
        <v>74</v>
      </c>
      <c r="AD1839" t="s">
        <v>74</v>
      </c>
      <c r="AE1839" t="s">
        <v>74</v>
      </c>
      <c r="AF1839" t="s">
        <v>74</v>
      </c>
      <c r="AG1839">
        <v>72</v>
      </c>
      <c r="AH1839">
        <v>1</v>
      </c>
      <c r="AI1839">
        <v>2</v>
      </c>
      <c r="AJ1839">
        <v>1</v>
      </c>
      <c r="AK1839">
        <v>14</v>
      </c>
      <c r="AL1839" t="s">
        <v>74</v>
      </c>
      <c r="AM1839" t="s">
        <v>74</v>
      </c>
      <c r="AN1839" t="s">
        <v>74</v>
      </c>
      <c r="AO1839" t="s">
        <v>15009</v>
      </c>
      <c r="AP1839" t="s">
        <v>74</v>
      </c>
      <c r="AQ1839" t="s">
        <v>74</v>
      </c>
      <c r="AR1839" t="s">
        <v>74</v>
      </c>
      <c r="AS1839" t="s">
        <v>74</v>
      </c>
      <c r="AT1839" t="s">
        <v>211</v>
      </c>
      <c r="AU1839">
        <v>2019</v>
      </c>
      <c r="AV1839">
        <v>46</v>
      </c>
      <c r="AW1839">
        <v>11</v>
      </c>
      <c r="AX1839" t="s">
        <v>74</v>
      </c>
      <c r="AY1839" t="s">
        <v>74</v>
      </c>
      <c r="AZ1839" t="s">
        <v>74</v>
      </c>
      <c r="BA1839" t="s">
        <v>74</v>
      </c>
      <c r="BB1839">
        <v>1073</v>
      </c>
      <c r="BC1839">
        <v>1084</v>
      </c>
      <c r="BD1839" t="s">
        <v>74</v>
      </c>
      <c r="BE1839" t="s">
        <v>15010</v>
      </c>
      <c r="BF1839" t="str">
        <f>HYPERLINK("http://dx.doi.org/10.16476/j.pibb.2019.0110","http://dx.doi.org/10.16476/j.pibb.2019.0110")</f>
        <v>http://dx.doi.org/10.16476/j.pibb.2019.0110</v>
      </c>
      <c r="BG1839" t="s">
        <v>74</v>
      </c>
      <c r="BH1839" t="s">
        <v>74</v>
      </c>
      <c r="BI1839" t="s">
        <v>74</v>
      </c>
      <c r="BJ1839" t="s">
        <v>2845</v>
      </c>
      <c r="BK1839" t="s">
        <v>117</v>
      </c>
      <c r="BL1839" t="s">
        <v>2845</v>
      </c>
      <c r="BM1839" t="s">
        <v>74</v>
      </c>
      <c r="BN1839" t="s">
        <v>74</v>
      </c>
      <c r="BO1839" t="s">
        <v>74</v>
      </c>
      <c r="BP1839" t="s">
        <v>74</v>
      </c>
      <c r="BQ1839" t="s">
        <v>74</v>
      </c>
      <c r="BR1839" t="s">
        <v>96</v>
      </c>
      <c r="BS1839" t="s">
        <v>15011</v>
      </c>
      <c r="BT1839" t="str">
        <f>HYPERLINK("https%3A%2F%2Fwww.webofscience.com%2Fwos%2Fwoscc%2Ffull-record%2FWOS:000498757400005","View Full Record in Web of Science")</f>
        <v>View Full Record in Web of Science</v>
      </c>
    </row>
    <row r="1840" spans="1:72" x14ac:dyDescent="0.15">
      <c r="A1840" t="s">
        <v>4291</v>
      </c>
      <c r="B1840" t="s">
        <v>15118</v>
      </c>
      <c r="C1840" t="s">
        <v>74</v>
      </c>
      <c r="D1840" t="s">
        <v>15119</v>
      </c>
      <c r="E1840" t="s">
        <v>74</v>
      </c>
      <c r="F1840" t="s">
        <v>15120</v>
      </c>
      <c r="G1840" t="s">
        <v>74</v>
      </c>
      <c r="H1840" t="s">
        <v>74</v>
      </c>
      <c r="I1840" t="s">
        <v>15121</v>
      </c>
      <c r="J1840" t="s">
        <v>15122</v>
      </c>
      <c r="K1840" t="s">
        <v>74</v>
      </c>
      <c r="L1840" t="s">
        <v>74</v>
      </c>
      <c r="M1840" t="s">
        <v>74</v>
      </c>
      <c r="N1840" t="s">
        <v>80</v>
      </c>
      <c r="O1840" t="s">
        <v>74</v>
      </c>
      <c r="P1840" t="s">
        <v>74</v>
      </c>
      <c r="Q1840" t="s">
        <v>74</v>
      </c>
      <c r="R1840" t="s">
        <v>74</v>
      </c>
      <c r="S1840" t="s">
        <v>74</v>
      </c>
      <c r="T1840" t="s">
        <v>74</v>
      </c>
      <c r="U1840" t="s">
        <v>15123</v>
      </c>
      <c r="V1840" t="s">
        <v>74</v>
      </c>
      <c r="W1840" t="s">
        <v>15124</v>
      </c>
      <c r="X1840" t="s">
        <v>15125</v>
      </c>
      <c r="Y1840" t="s">
        <v>15126</v>
      </c>
      <c r="Z1840" t="s">
        <v>74</v>
      </c>
      <c r="AA1840" t="s">
        <v>74</v>
      </c>
      <c r="AB1840" t="s">
        <v>11047</v>
      </c>
      <c r="AC1840" t="s">
        <v>74</v>
      </c>
      <c r="AD1840" t="s">
        <v>74</v>
      </c>
      <c r="AE1840" t="s">
        <v>74</v>
      </c>
      <c r="AF1840" t="s">
        <v>74</v>
      </c>
      <c r="AG1840">
        <v>30</v>
      </c>
      <c r="AH1840">
        <v>1</v>
      </c>
      <c r="AI1840">
        <v>1</v>
      </c>
      <c r="AJ1840">
        <v>0</v>
      </c>
      <c r="AK1840">
        <v>2</v>
      </c>
      <c r="AL1840" t="s">
        <v>74</v>
      </c>
      <c r="AM1840" t="s">
        <v>74</v>
      </c>
      <c r="AN1840" t="s">
        <v>74</v>
      </c>
      <c r="AO1840" t="s">
        <v>74</v>
      </c>
      <c r="AP1840" t="s">
        <v>74</v>
      </c>
      <c r="AQ1840" t="s">
        <v>15127</v>
      </c>
      <c r="AR1840" t="s">
        <v>74</v>
      </c>
      <c r="AS1840" t="s">
        <v>74</v>
      </c>
      <c r="AT1840" t="s">
        <v>74</v>
      </c>
      <c r="AU1840">
        <v>2018</v>
      </c>
      <c r="AV1840" t="s">
        <v>74</v>
      </c>
      <c r="AW1840" t="s">
        <v>74</v>
      </c>
      <c r="AX1840" t="s">
        <v>74</v>
      </c>
      <c r="AY1840" t="s">
        <v>74</v>
      </c>
      <c r="AZ1840" t="s">
        <v>74</v>
      </c>
      <c r="BA1840" t="s">
        <v>74</v>
      </c>
      <c r="BB1840">
        <v>59</v>
      </c>
      <c r="BC1840">
        <v>67</v>
      </c>
      <c r="BD1840" t="s">
        <v>74</v>
      </c>
      <c r="BE1840" t="s">
        <v>15128</v>
      </c>
      <c r="BF1840" t="str">
        <f>HYPERLINK("http://dx.doi.org/10.1016/B978-0-12-812774-2.00004-3","http://dx.doi.org/10.1016/B978-0-12-812774-2.00004-3")</f>
        <v>http://dx.doi.org/10.1016/B978-0-12-812774-2.00004-3</v>
      </c>
      <c r="BG1840" t="s">
        <v>74</v>
      </c>
      <c r="BH1840" t="s">
        <v>74</v>
      </c>
      <c r="BI1840" t="s">
        <v>74</v>
      </c>
      <c r="BJ1840" t="s">
        <v>15129</v>
      </c>
      <c r="BK1840" t="s">
        <v>94</v>
      </c>
      <c r="BL1840" t="s">
        <v>15129</v>
      </c>
      <c r="BM1840" t="s">
        <v>74</v>
      </c>
      <c r="BN1840" t="s">
        <v>74</v>
      </c>
      <c r="BO1840" t="s">
        <v>74</v>
      </c>
      <c r="BP1840" t="s">
        <v>74</v>
      </c>
      <c r="BQ1840" t="s">
        <v>74</v>
      </c>
      <c r="BR1840" t="s">
        <v>96</v>
      </c>
      <c r="BS1840" t="s">
        <v>15130</v>
      </c>
      <c r="BT1840" t="str">
        <f>HYPERLINK("https%3A%2F%2Fwww.webofscience.com%2Fwos%2Fwoscc%2Ffull-record%2FWOS:000462786700005","View Full Record in Web of Science")</f>
        <v>View Full Record in Web of Science</v>
      </c>
    </row>
    <row r="1841" spans="1:72" x14ac:dyDescent="0.15">
      <c r="A1841" t="s">
        <v>98</v>
      </c>
      <c r="B1841" t="s">
        <v>15220</v>
      </c>
      <c r="C1841" t="s">
        <v>74</v>
      </c>
      <c r="D1841" t="s">
        <v>74</v>
      </c>
      <c r="E1841" t="s">
        <v>74</v>
      </c>
      <c r="F1841" t="s">
        <v>15221</v>
      </c>
      <c r="G1841" t="s">
        <v>74</v>
      </c>
      <c r="H1841" t="s">
        <v>74</v>
      </c>
      <c r="I1841" t="s">
        <v>15222</v>
      </c>
      <c r="J1841" t="s">
        <v>15223</v>
      </c>
      <c r="K1841" t="s">
        <v>74</v>
      </c>
      <c r="L1841" t="s">
        <v>74</v>
      </c>
      <c r="M1841" t="s">
        <v>74</v>
      </c>
      <c r="N1841" t="s">
        <v>103</v>
      </c>
      <c r="O1841" t="s">
        <v>74</v>
      </c>
      <c r="P1841" t="s">
        <v>74</v>
      </c>
      <c r="Q1841" t="s">
        <v>74</v>
      </c>
      <c r="R1841" t="s">
        <v>74</v>
      </c>
      <c r="S1841" t="s">
        <v>74</v>
      </c>
      <c r="T1841" t="s">
        <v>15224</v>
      </c>
      <c r="U1841" t="s">
        <v>15225</v>
      </c>
      <c r="V1841" t="s">
        <v>15226</v>
      </c>
      <c r="W1841" t="s">
        <v>15227</v>
      </c>
      <c r="X1841" t="s">
        <v>15228</v>
      </c>
      <c r="Y1841" t="s">
        <v>15229</v>
      </c>
      <c r="Z1841" t="s">
        <v>15230</v>
      </c>
      <c r="AA1841" t="s">
        <v>74</v>
      </c>
      <c r="AB1841" t="s">
        <v>74</v>
      </c>
      <c r="AC1841" t="s">
        <v>74</v>
      </c>
      <c r="AD1841" t="s">
        <v>74</v>
      </c>
      <c r="AE1841" t="s">
        <v>74</v>
      </c>
      <c r="AF1841" t="s">
        <v>74</v>
      </c>
      <c r="AG1841">
        <v>30</v>
      </c>
      <c r="AH1841">
        <v>1</v>
      </c>
      <c r="AI1841">
        <v>1</v>
      </c>
      <c r="AJ1841">
        <v>17</v>
      </c>
      <c r="AK1841">
        <v>80</v>
      </c>
      <c r="AL1841" t="s">
        <v>74</v>
      </c>
      <c r="AM1841" t="s">
        <v>74</v>
      </c>
      <c r="AN1841" t="s">
        <v>74</v>
      </c>
      <c r="AO1841" t="s">
        <v>15231</v>
      </c>
      <c r="AP1841" t="s">
        <v>74</v>
      </c>
      <c r="AQ1841" t="s">
        <v>74</v>
      </c>
      <c r="AR1841" t="s">
        <v>74</v>
      </c>
      <c r="AS1841" t="s">
        <v>74</v>
      </c>
      <c r="AT1841" t="s">
        <v>5213</v>
      </c>
      <c r="AU1841">
        <v>2020</v>
      </c>
      <c r="AV1841">
        <v>78</v>
      </c>
      <c r="AW1841">
        <v>10</v>
      </c>
      <c r="AX1841" t="s">
        <v>74</v>
      </c>
      <c r="AY1841" t="s">
        <v>74</v>
      </c>
      <c r="AZ1841" t="s">
        <v>74</v>
      </c>
      <c r="BA1841" t="s">
        <v>74</v>
      </c>
      <c r="BB1841">
        <v>1076</v>
      </c>
      <c r="BC1841">
        <v>1081</v>
      </c>
      <c r="BD1841" t="s">
        <v>74</v>
      </c>
      <c r="BE1841" t="s">
        <v>15232</v>
      </c>
      <c r="BF1841" t="str">
        <f>HYPERLINK("http://dx.doi.org/10.6023/A20060235","http://dx.doi.org/10.6023/A20060235")</f>
        <v>http://dx.doi.org/10.6023/A20060235</v>
      </c>
      <c r="BG1841" t="s">
        <v>74</v>
      </c>
      <c r="BH1841" t="s">
        <v>74</v>
      </c>
      <c r="BI1841" t="s">
        <v>74</v>
      </c>
      <c r="BJ1841" t="s">
        <v>1047</v>
      </c>
      <c r="BK1841" t="s">
        <v>117</v>
      </c>
      <c r="BL1841" t="s">
        <v>1048</v>
      </c>
      <c r="BM1841" t="s">
        <v>74</v>
      </c>
      <c r="BN1841" t="s">
        <v>74</v>
      </c>
      <c r="BO1841" t="s">
        <v>74</v>
      </c>
      <c r="BP1841" t="s">
        <v>74</v>
      </c>
      <c r="BQ1841" t="s">
        <v>74</v>
      </c>
      <c r="BR1841" t="s">
        <v>96</v>
      </c>
      <c r="BS1841" t="s">
        <v>15233</v>
      </c>
      <c r="BT1841" t="str">
        <f>HYPERLINK("https%3A%2F%2Fwww.webofscience.com%2Fwos%2Fwoscc%2Ffull-record%2FWOS:000589508100007","View Full Record in Web of Science")</f>
        <v>View Full Record in Web of Science</v>
      </c>
    </row>
    <row r="1842" spans="1:72" x14ac:dyDescent="0.15">
      <c r="A1842" t="s">
        <v>98</v>
      </c>
      <c r="B1842" t="s">
        <v>15349</v>
      </c>
      <c r="C1842" t="s">
        <v>74</v>
      </c>
      <c r="D1842" t="s">
        <v>74</v>
      </c>
      <c r="E1842" t="s">
        <v>74</v>
      </c>
      <c r="F1842" t="s">
        <v>15350</v>
      </c>
      <c r="G1842" t="s">
        <v>74</v>
      </c>
      <c r="H1842" t="s">
        <v>74</v>
      </c>
      <c r="I1842" t="s">
        <v>15351</v>
      </c>
      <c r="J1842" t="s">
        <v>8780</v>
      </c>
      <c r="K1842" t="s">
        <v>74</v>
      </c>
      <c r="L1842" t="s">
        <v>74</v>
      </c>
      <c r="M1842" t="s">
        <v>74</v>
      </c>
      <c r="N1842" t="s">
        <v>103</v>
      </c>
      <c r="O1842" t="s">
        <v>74</v>
      </c>
      <c r="P1842" t="s">
        <v>74</v>
      </c>
      <c r="Q1842" t="s">
        <v>74</v>
      </c>
      <c r="R1842" t="s">
        <v>74</v>
      </c>
      <c r="S1842" t="s">
        <v>74</v>
      </c>
      <c r="T1842" t="s">
        <v>15352</v>
      </c>
      <c r="U1842" t="s">
        <v>15353</v>
      </c>
      <c r="V1842" t="s">
        <v>15354</v>
      </c>
      <c r="W1842" t="s">
        <v>15355</v>
      </c>
      <c r="X1842" t="s">
        <v>15356</v>
      </c>
      <c r="Y1842" t="s">
        <v>15357</v>
      </c>
      <c r="Z1842" t="s">
        <v>15358</v>
      </c>
      <c r="AA1842" t="s">
        <v>15359</v>
      </c>
      <c r="AB1842" t="s">
        <v>15360</v>
      </c>
      <c r="AC1842" t="s">
        <v>74</v>
      </c>
      <c r="AD1842" t="s">
        <v>74</v>
      </c>
      <c r="AE1842" t="s">
        <v>74</v>
      </c>
      <c r="AF1842" t="s">
        <v>74</v>
      </c>
      <c r="AG1842">
        <v>84</v>
      </c>
      <c r="AH1842">
        <v>1</v>
      </c>
      <c r="AI1842">
        <v>1</v>
      </c>
      <c r="AJ1842">
        <v>7</v>
      </c>
      <c r="AK1842">
        <v>7</v>
      </c>
      <c r="AL1842" t="s">
        <v>74</v>
      </c>
      <c r="AM1842" t="s">
        <v>74</v>
      </c>
      <c r="AN1842" t="s">
        <v>74</v>
      </c>
      <c r="AO1842" t="s">
        <v>74</v>
      </c>
      <c r="AP1842" t="s">
        <v>8789</v>
      </c>
      <c r="AQ1842" t="s">
        <v>74</v>
      </c>
      <c r="AR1842" t="s">
        <v>74</v>
      </c>
      <c r="AS1842" t="s">
        <v>74</v>
      </c>
      <c r="AT1842" t="s">
        <v>283</v>
      </c>
      <c r="AU1842">
        <v>2022</v>
      </c>
      <c r="AV1842">
        <v>12</v>
      </c>
      <c r="AW1842">
        <v>2</v>
      </c>
      <c r="AX1842" t="s">
        <v>74</v>
      </c>
      <c r="AY1842" t="s">
        <v>74</v>
      </c>
      <c r="AZ1842" t="s">
        <v>74</v>
      </c>
      <c r="BA1842" t="s">
        <v>74</v>
      </c>
      <c r="BB1842" t="s">
        <v>74</v>
      </c>
      <c r="BC1842" t="s">
        <v>74</v>
      </c>
      <c r="BD1842">
        <v>215</v>
      </c>
      <c r="BE1842" t="s">
        <v>15361</v>
      </c>
      <c r="BF1842" t="str">
        <f>HYPERLINK("http://dx.doi.org/10.3390/jpm12020215","http://dx.doi.org/10.3390/jpm12020215")</f>
        <v>http://dx.doi.org/10.3390/jpm12020215</v>
      </c>
      <c r="BG1842" t="s">
        <v>74</v>
      </c>
      <c r="BH1842" t="s">
        <v>74</v>
      </c>
      <c r="BI1842" t="s">
        <v>74</v>
      </c>
      <c r="BJ1842" t="s">
        <v>8791</v>
      </c>
      <c r="BK1842" t="s">
        <v>117</v>
      </c>
      <c r="BL1842" t="s">
        <v>8792</v>
      </c>
      <c r="BM1842" t="s">
        <v>74</v>
      </c>
      <c r="BN1842">
        <v>35207703</v>
      </c>
      <c r="BO1842" t="s">
        <v>74</v>
      </c>
      <c r="BP1842" t="s">
        <v>74</v>
      </c>
      <c r="BQ1842" t="s">
        <v>74</v>
      </c>
      <c r="BR1842" t="s">
        <v>96</v>
      </c>
      <c r="BS1842" t="s">
        <v>15362</v>
      </c>
      <c r="BT1842" t="str">
        <f>HYPERLINK("https%3A%2F%2Fwww.webofscience.com%2Fwos%2Fwoscc%2Ffull-record%2FWOS:000762522100001","View Full Record in Web of Science")</f>
        <v>View Full Record in Web of Science</v>
      </c>
    </row>
    <row r="1843" spans="1:72" x14ac:dyDescent="0.15">
      <c r="A1843" t="s">
        <v>98</v>
      </c>
      <c r="B1843" t="s">
        <v>15683</v>
      </c>
      <c r="C1843" t="s">
        <v>74</v>
      </c>
      <c r="D1843" t="s">
        <v>74</v>
      </c>
      <c r="E1843" t="s">
        <v>74</v>
      </c>
      <c r="F1843" t="s">
        <v>15684</v>
      </c>
      <c r="G1843" t="s">
        <v>74</v>
      </c>
      <c r="H1843" t="s">
        <v>74</v>
      </c>
      <c r="I1843" t="s">
        <v>15685</v>
      </c>
      <c r="J1843" t="s">
        <v>10687</v>
      </c>
      <c r="K1843" t="s">
        <v>74</v>
      </c>
      <c r="L1843" t="s">
        <v>74</v>
      </c>
      <c r="M1843" t="s">
        <v>74</v>
      </c>
      <c r="N1843" t="s">
        <v>103</v>
      </c>
      <c r="O1843" t="s">
        <v>74</v>
      </c>
      <c r="P1843" t="s">
        <v>74</v>
      </c>
      <c r="Q1843" t="s">
        <v>74</v>
      </c>
      <c r="R1843" t="s">
        <v>74</v>
      </c>
      <c r="S1843" t="s">
        <v>74</v>
      </c>
      <c r="T1843" t="s">
        <v>15686</v>
      </c>
      <c r="U1843" t="s">
        <v>74</v>
      </c>
      <c r="V1843" t="s">
        <v>15687</v>
      </c>
      <c r="W1843" t="s">
        <v>15688</v>
      </c>
      <c r="X1843" t="s">
        <v>6661</v>
      </c>
      <c r="Y1843" t="s">
        <v>15689</v>
      </c>
      <c r="Z1843" t="s">
        <v>15690</v>
      </c>
      <c r="AA1843" t="s">
        <v>15691</v>
      </c>
      <c r="AB1843" t="s">
        <v>74</v>
      </c>
      <c r="AC1843" t="s">
        <v>74</v>
      </c>
      <c r="AD1843" t="s">
        <v>74</v>
      </c>
      <c r="AE1843" t="s">
        <v>74</v>
      </c>
      <c r="AF1843" t="s">
        <v>74</v>
      </c>
      <c r="AG1843">
        <v>33</v>
      </c>
      <c r="AH1843">
        <v>1</v>
      </c>
      <c r="AI1843">
        <v>2</v>
      </c>
      <c r="AJ1843">
        <v>2</v>
      </c>
      <c r="AK1843">
        <v>11</v>
      </c>
      <c r="AL1843" t="s">
        <v>74</v>
      </c>
      <c r="AM1843" t="s">
        <v>74</v>
      </c>
      <c r="AN1843" t="s">
        <v>74</v>
      </c>
      <c r="AO1843" t="s">
        <v>10695</v>
      </c>
      <c r="AP1843" t="s">
        <v>10696</v>
      </c>
      <c r="AQ1843" t="s">
        <v>74</v>
      </c>
      <c r="AR1843" t="s">
        <v>74</v>
      </c>
      <c r="AS1843" t="s">
        <v>74</v>
      </c>
      <c r="AT1843" t="s">
        <v>189</v>
      </c>
      <c r="AU1843">
        <v>2018</v>
      </c>
      <c r="AV1843">
        <v>224</v>
      </c>
      <c r="AW1843" t="s">
        <v>74</v>
      </c>
      <c r="AX1843" t="s">
        <v>74</v>
      </c>
      <c r="AY1843" t="s">
        <v>74</v>
      </c>
      <c r="AZ1843" t="s">
        <v>74</v>
      </c>
      <c r="BA1843" t="s">
        <v>74</v>
      </c>
      <c r="BB1843">
        <v>50</v>
      </c>
      <c r="BC1843">
        <v>57</v>
      </c>
      <c r="BD1843" t="s">
        <v>74</v>
      </c>
      <c r="BE1843" t="s">
        <v>15692</v>
      </c>
      <c r="BF1843" t="str">
        <f>HYPERLINK("http://dx.doi.org/10.1016/j.vetmic.2018.08.025","http://dx.doi.org/10.1016/j.vetmic.2018.08.025")</f>
        <v>http://dx.doi.org/10.1016/j.vetmic.2018.08.025</v>
      </c>
      <c r="BG1843" t="s">
        <v>74</v>
      </c>
      <c r="BH1843" t="s">
        <v>74</v>
      </c>
      <c r="BI1843" t="s">
        <v>74</v>
      </c>
      <c r="BJ1843" t="s">
        <v>10698</v>
      </c>
      <c r="BK1843" t="s">
        <v>117</v>
      </c>
      <c r="BL1843" t="s">
        <v>10698</v>
      </c>
      <c r="BM1843" t="s">
        <v>74</v>
      </c>
      <c r="BN1843">
        <v>30269790</v>
      </c>
      <c r="BO1843" t="s">
        <v>74</v>
      </c>
      <c r="BP1843" t="s">
        <v>74</v>
      </c>
      <c r="BQ1843" t="s">
        <v>74</v>
      </c>
      <c r="BR1843" t="s">
        <v>96</v>
      </c>
      <c r="BS1843" t="s">
        <v>15693</v>
      </c>
      <c r="BT1843" t="str">
        <f>HYPERLINK("https%3A%2F%2Fwww.webofscience.com%2Fwos%2Fwoscc%2Ffull-record%2FWOS:000447477000008","View Full Record in Web of Science")</f>
        <v>View Full Record in Web of Science</v>
      </c>
    </row>
    <row r="1844" spans="1:72" x14ac:dyDescent="0.15">
      <c r="A1844" t="s">
        <v>98</v>
      </c>
      <c r="B1844" t="s">
        <v>15740</v>
      </c>
      <c r="C1844" t="s">
        <v>74</v>
      </c>
      <c r="D1844" t="s">
        <v>74</v>
      </c>
      <c r="E1844" t="s">
        <v>74</v>
      </c>
      <c r="F1844" t="s">
        <v>15741</v>
      </c>
      <c r="G1844" t="s">
        <v>74</v>
      </c>
      <c r="H1844" t="s">
        <v>74</v>
      </c>
      <c r="I1844" t="s">
        <v>15742</v>
      </c>
      <c r="J1844" t="s">
        <v>1090</v>
      </c>
      <c r="K1844" t="s">
        <v>74</v>
      </c>
      <c r="L1844" t="s">
        <v>74</v>
      </c>
      <c r="M1844" t="s">
        <v>74</v>
      </c>
      <c r="N1844" t="s">
        <v>103</v>
      </c>
      <c r="O1844" t="s">
        <v>74</v>
      </c>
      <c r="P1844" t="s">
        <v>74</v>
      </c>
      <c r="Q1844" t="s">
        <v>74</v>
      </c>
      <c r="R1844" t="s">
        <v>74</v>
      </c>
      <c r="S1844" t="s">
        <v>74</v>
      </c>
      <c r="T1844" t="s">
        <v>15743</v>
      </c>
      <c r="U1844" t="s">
        <v>15744</v>
      </c>
      <c r="V1844" t="s">
        <v>15745</v>
      </c>
      <c r="W1844" t="s">
        <v>15746</v>
      </c>
      <c r="X1844" t="s">
        <v>15747</v>
      </c>
      <c r="Y1844" t="s">
        <v>15748</v>
      </c>
      <c r="Z1844" t="s">
        <v>15749</v>
      </c>
      <c r="AA1844" t="s">
        <v>74</v>
      </c>
      <c r="AB1844" t="s">
        <v>74</v>
      </c>
      <c r="AC1844" t="s">
        <v>74</v>
      </c>
      <c r="AD1844" t="s">
        <v>74</v>
      </c>
      <c r="AE1844" t="s">
        <v>74</v>
      </c>
      <c r="AF1844" t="s">
        <v>74</v>
      </c>
      <c r="AG1844">
        <v>21</v>
      </c>
      <c r="AH1844">
        <v>1</v>
      </c>
      <c r="AI1844">
        <v>1</v>
      </c>
      <c r="AJ1844">
        <v>4</v>
      </c>
      <c r="AK1844">
        <v>5</v>
      </c>
      <c r="AL1844" t="s">
        <v>74</v>
      </c>
      <c r="AM1844" t="s">
        <v>74</v>
      </c>
      <c r="AN1844" t="s">
        <v>74</v>
      </c>
      <c r="AO1844" t="s">
        <v>1097</v>
      </c>
      <c r="AP1844" t="s">
        <v>74</v>
      </c>
      <c r="AQ1844" t="s">
        <v>74</v>
      </c>
      <c r="AR1844" t="s">
        <v>74</v>
      </c>
      <c r="AS1844" t="s">
        <v>74</v>
      </c>
      <c r="AT1844" t="s">
        <v>15750</v>
      </c>
      <c r="AU1844">
        <v>2021</v>
      </c>
      <c r="AV1844">
        <v>9</v>
      </c>
      <c r="AW1844" t="s">
        <v>74</v>
      </c>
      <c r="AX1844" t="s">
        <v>74</v>
      </c>
      <c r="AY1844" t="s">
        <v>74</v>
      </c>
      <c r="AZ1844" t="s">
        <v>74</v>
      </c>
      <c r="BA1844" t="s">
        <v>74</v>
      </c>
      <c r="BB1844" t="s">
        <v>74</v>
      </c>
      <c r="BC1844" t="s">
        <v>74</v>
      </c>
      <c r="BD1844">
        <v>661935</v>
      </c>
      <c r="BE1844" t="s">
        <v>15751</v>
      </c>
      <c r="BF1844" t="str">
        <f>HYPERLINK("http://dx.doi.org/10.3389/fcell.2021.661935","http://dx.doi.org/10.3389/fcell.2021.661935")</f>
        <v>http://dx.doi.org/10.3389/fcell.2021.661935</v>
      </c>
      <c r="BG1844" t="s">
        <v>74</v>
      </c>
      <c r="BH1844" t="s">
        <v>74</v>
      </c>
      <c r="BI1844" t="s">
        <v>74</v>
      </c>
      <c r="BJ1844" t="s">
        <v>1100</v>
      </c>
      <c r="BK1844" t="s">
        <v>117</v>
      </c>
      <c r="BL1844" t="s">
        <v>1100</v>
      </c>
      <c r="BM1844" t="s">
        <v>74</v>
      </c>
      <c r="BN1844">
        <v>34485270</v>
      </c>
      <c r="BO1844" t="s">
        <v>74</v>
      </c>
      <c r="BP1844" t="s">
        <v>74</v>
      </c>
      <c r="BQ1844" t="s">
        <v>74</v>
      </c>
      <c r="BR1844" t="s">
        <v>96</v>
      </c>
      <c r="BS1844" t="s">
        <v>15752</v>
      </c>
      <c r="BT1844" t="str">
        <f>HYPERLINK("https%3A%2F%2Fwww.webofscience.com%2Fwos%2Fwoscc%2Ffull-record%2FWOS:000692317300001","View Full Record in Web of Science")</f>
        <v>View Full Record in Web of Science</v>
      </c>
    </row>
    <row r="1845" spans="1:72" x14ac:dyDescent="0.15">
      <c r="A1845" t="s">
        <v>98</v>
      </c>
      <c r="B1845" t="s">
        <v>16084</v>
      </c>
      <c r="C1845" t="s">
        <v>74</v>
      </c>
      <c r="D1845" t="s">
        <v>74</v>
      </c>
      <c r="E1845" t="s">
        <v>74</v>
      </c>
      <c r="F1845" t="s">
        <v>16085</v>
      </c>
      <c r="G1845" t="s">
        <v>74</v>
      </c>
      <c r="H1845" t="s">
        <v>74</v>
      </c>
      <c r="I1845" t="s">
        <v>16086</v>
      </c>
      <c r="J1845" t="s">
        <v>16087</v>
      </c>
      <c r="K1845" t="s">
        <v>74</v>
      </c>
      <c r="L1845" t="s">
        <v>74</v>
      </c>
      <c r="M1845" t="s">
        <v>74</v>
      </c>
      <c r="N1845" t="s">
        <v>103</v>
      </c>
      <c r="O1845" t="s">
        <v>74</v>
      </c>
      <c r="P1845" t="s">
        <v>74</v>
      </c>
      <c r="Q1845" t="s">
        <v>74</v>
      </c>
      <c r="R1845" t="s">
        <v>74</v>
      </c>
      <c r="S1845" t="s">
        <v>74</v>
      </c>
      <c r="T1845" t="s">
        <v>16088</v>
      </c>
      <c r="U1845" t="s">
        <v>74</v>
      </c>
      <c r="V1845" t="s">
        <v>16089</v>
      </c>
      <c r="W1845" t="s">
        <v>16090</v>
      </c>
      <c r="X1845" t="s">
        <v>16091</v>
      </c>
      <c r="Y1845" t="s">
        <v>16092</v>
      </c>
      <c r="Z1845" t="s">
        <v>16093</v>
      </c>
      <c r="AA1845" t="s">
        <v>16094</v>
      </c>
      <c r="AB1845" t="s">
        <v>16095</v>
      </c>
      <c r="AC1845" t="s">
        <v>74</v>
      </c>
      <c r="AD1845" t="s">
        <v>74</v>
      </c>
      <c r="AE1845" t="s">
        <v>74</v>
      </c>
      <c r="AF1845" t="s">
        <v>74</v>
      </c>
      <c r="AG1845">
        <v>47</v>
      </c>
      <c r="AH1845">
        <v>1</v>
      </c>
      <c r="AI1845">
        <v>1</v>
      </c>
      <c r="AJ1845">
        <v>0</v>
      </c>
      <c r="AK1845">
        <v>4</v>
      </c>
      <c r="AL1845" t="s">
        <v>74</v>
      </c>
      <c r="AM1845" t="s">
        <v>74</v>
      </c>
      <c r="AN1845" t="s">
        <v>74</v>
      </c>
      <c r="AO1845" t="s">
        <v>16096</v>
      </c>
      <c r="AP1845" t="s">
        <v>16097</v>
      </c>
      <c r="AQ1845" t="s">
        <v>74</v>
      </c>
      <c r="AR1845" t="s">
        <v>74</v>
      </c>
      <c r="AS1845" t="s">
        <v>74</v>
      </c>
      <c r="AT1845" t="s">
        <v>565</v>
      </c>
      <c r="AU1845">
        <v>2021</v>
      </c>
      <c r="AV1845">
        <v>11</v>
      </c>
      <c r="AW1845">
        <v>1</v>
      </c>
      <c r="AX1845" t="s">
        <v>74</v>
      </c>
      <c r="AY1845" t="s">
        <v>74</v>
      </c>
      <c r="AZ1845" t="s">
        <v>74</v>
      </c>
      <c r="BA1845" t="s">
        <v>74</v>
      </c>
      <c r="BB1845">
        <v>32</v>
      </c>
      <c r="BC1845">
        <v>38</v>
      </c>
      <c r="BD1845" t="s">
        <v>74</v>
      </c>
      <c r="BE1845" t="s">
        <v>16098</v>
      </c>
      <c r="BF1845" t="str">
        <f>HYPERLINK("http://dx.doi.org/10.21103/Article11(1)_OA6","http://dx.doi.org/10.21103/Article11(1)_OA6")</f>
        <v>http://dx.doi.org/10.21103/Article11(1)_OA6</v>
      </c>
      <c r="BG1845" t="s">
        <v>74</v>
      </c>
      <c r="BH1845" t="s">
        <v>74</v>
      </c>
      <c r="BI1845" t="s">
        <v>74</v>
      </c>
      <c r="BJ1845" t="s">
        <v>795</v>
      </c>
      <c r="BK1845" t="s">
        <v>467</v>
      </c>
      <c r="BL1845" t="s">
        <v>796</v>
      </c>
      <c r="BM1845" t="s">
        <v>74</v>
      </c>
      <c r="BN1845" t="s">
        <v>74</v>
      </c>
      <c r="BO1845" t="s">
        <v>74</v>
      </c>
      <c r="BP1845" t="s">
        <v>74</v>
      </c>
      <c r="BQ1845" t="s">
        <v>74</v>
      </c>
      <c r="BR1845" t="s">
        <v>96</v>
      </c>
      <c r="BS1845" t="s">
        <v>16099</v>
      </c>
      <c r="BT1845" t="str">
        <f>HYPERLINK("https%3A%2F%2Fwww.webofscience.com%2Fwos%2Fwoscc%2Ffull-record%2FWOS:000634017700006","View Full Record in Web of Science")</f>
        <v>View Full Record in Web of Science</v>
      </c>
    </row>
    <row r="1846" spans="1:72" x14ac:dyDescent="0.15">
      <c r="A1846" t="s">
        <v>98</v>
      </c>
      <c r="B1846" t="s">
        <v>16299</v>
      </c>
      <c r="C1846" t="s">
        <v>74</v>
      </c>
      <c r="D1846" t="s">
        <v>74</v>
      </c>
      <c r="E1846" t="s">
        <v>74</v>
      </c>
      <c r="F1846" t="s">
        <v>16300</v>
      </c>
      <c r="G1846" t="s">
        <v>74</v>
      </c>
      <c r="H1846" t="s">
        <v>74</v>
      </c>
      <c r="I1846" t="s">
        <v>16301</v>
      </c>
      <c r="J1846" t="s">
        <v>2520</v>
      </c>
      <c r="K1846" t="s">
        <v>74</v>
      </c>
      <c r="L1846" t="s">
        <v>74</v>
      </c>
      <c r="M1846" t="s">
        <v>74</v>
      </c>
      <c r="N1846" t="s">
        <v>103</v>
      </c>
      <c r="O1846" t="s">
        <v>74</v>
      </c>
      <c r="P1846" t="s">
        <v>74</v>
      </c>
      <c r="Q1846" t="s">
        <v>74</v>
      </c>
      <c r="R1846" t="s">
        <v>74</v>
      </c>
      <c r="S1846" t="s">
        <v>74</v>
      </c>
      <c r="T1846" t="s">
        <v>16302</v>
      </c>
      <c r="U1846" t="s">
        <v>16303</v>
      </c>
      <c r="V1846" t="s">
        <v>16304</v>
      </c>
      <c r="W1846" t="s">
        <v>16305</v>
      </c>
      <c r="X1846" t="s">
        <v>16306</v>
      </c>
      <c r="Y1846" t="s">
        <v>16307</v>
      </c>
      <c r="Z1846" t="s">
        <v>16308</v>
      </c>
      <c r="AA1846" t="s">
        <v>74</v>
      </c>
      <c r="AB1846" t="s">
        <v>16309</v>
      </c>
      <c r="AC1846" t="s">
        <v>74</v>
      </c>
      <c r="AD1846" t="s">
        <v>74</v>
      </c>
      <c r="AE1846" t="s">
        <v>74</v>
      </c>
      <c r="AF1846" t="s">
        <v>74</v>
      </c>
      <c r="AG1846">
        <v>69</v>
      </c>
      <c r="AH1846">
        <v>1</v>
      </c>
      <c r="AI1846">
        <v>1</v>
      </c>
      <c r="AJ1846">
        <v>1</v>
      </c>
      <c r="AK1846">
        <v>1</v>
      </c>
      <c r="AL1846" t="s">
        <v>74</v>
      </c>
      <c r="AM1846" t="s">
        <v>74</v>
      </c>
      <c r="AN1846" t="s">
        <v>74</v>
      </c>
      <c r="AO1846" t="s">
        <v>2529</v>
      </c>
      <c r="AP1846" t="s">
        <v>74</v>
      </c>
      <c r="AQ1846" t="s">
        <v>74</v>
      </c>
      <c r="AR1846" t="s">
        <v>74</v>
      </c>
      <c r="AS1846" t="s">
        <v>74</v>
      </c>
      <c r="AT1846" t="s">
        <v>9936</v>
      </c>
      <c r="AU1846">
        <v>2020</v>
      </c>
      <c r="AV1846">
        <v>11</v>
      </c>
      <c r="AW1846" t="s">
        <v>74</v>
      </c>
      <c r="AX1846" t="s">
        <v>74</v>
      </c>
      <c r="AY1846" t="s">
        <v>74</v>
      </c>
      <c r="AZ1846" t="s">
        <v>74</v>
      </c>
      <c r="BA1846" t="s">
        <v>74</v>
      </c>
      <c r="BB1846" t="s">
        <v>74</v>
      </c>
      <c r="BC1846" t="s">
        <v>74</v>
      </c>
      <c r="BD1846">
        <v>563320</v>
      </c>
      <c r="BE1846" t="s">
        <v>16310</v>
      </c>
      <c r="BF1846" t="str">
        <f>HYPERLINK("http://dx.doi.org/10.3389/fmicb.2020.563320","http://dx.doi.org/10.3389/fmicb.2020.563320")</f>
        <v>http://dx.doi.org/10.3389/fmicb.2020.563320</v>
      </c>
      <c r="BG1846" t="s">
        <v>74</v>
      </c>
      <c r="BH1846" t="s">
        <v>74</v>
      </c>
      <c r="BI1846" t="s">
        <v>74</v>
      </c>
      <c r="BJ1846" t="s">
        <v>898</v>
      </c>
      <c r="BK1846" t="s">
        <v>117</v>
      </c>
      <c r="BL1846" t="s">
        <v>898</v>
      </c>
      <c r="BM1846" t="s">
        <v>74</v>
      </c>
      <c r="BN1846">
        <v>33193149</v>
      </c>
      <c r="BO1846" t="s">
        <v>74</v>
      </c>
      <c r="BP1846" t="s">
        <v>74</v>
      </c>
      <c r="BQ1846" t="s">
        <v>74</v>
      </c>
      <c r="BR1846" t="s">
        <v>96</v>
      </c>
      <c r="BS1846" t="s">
        <v>16311</v>
      </c>
      <c r="BT1846" t="str">
        <f>HYPERLINK("https%3A%2F%2Fwww.webofscience.com%2Fwos%2Fwoscc%2Ffull-record%2FWOS:000583271200001","View Full Record in Web of Science")</f>
        <v>View Full Record in Web of Science</v>
      </c>
    </row>
    <row r="1847" spans="1:72" x14ac:dyDescent="0.15">
      <c r="A1847" t="s">
        <v>98</v>
      </c>
      <c r="B1847" t="s">
        <v>16370</v>
      </c>
      <c r="C1847" t="s">
        <v>74</v>
      </c>
      <c r="D1847" t="s">
        <v>74</v>
      </c>
      <c r="E1847" t="s">
        <v>74</v>
      </c>
      <c r="F1847" t="s">
        <v>16371</v>
      </c>
      <c r="G1847" t="s">
        <v>74</v>
      </c>
      <c r="H1847" t="s">
        <v>74</v>
      </c>
      <c r="I1847" t="s">
        <v>16372</v>
      </c>
      <c r="J1847" t="s">
        <v>12341</v>
      </c>
      <c r="K1847" t="s">
        <v>74</v>
      </c>
      <c r="L1847" t="s">
        <v>74</v>
      </c>
      <c r="M1847" t="s">
        <v>74</v>
      </c>
      <c r="N1847" t="s">
        <v>103</v>
      </c>
      <c r="O1847" t="s">
        <v>74</v>
      </c>
      <c r="P1847" t="s">
        <v>74</v>
      </c>
      <c r="Q1847" t="s">
        <v>74</v>
      </c>
      <c r="R1847" t="s">
        <v>74</v>
      </c>
      <c r="S1847" t="s">
        <v>74</v>
      </c>
      <c r="T1847" t="s">
        <v>16373</v>
      </c>
      <c r="U1847" t="s">
        <v>16374</v>
      </c>
      <c r="V1847" t="s">
        <v>16375</v>
      </c>
      <c r="W1847" t="s">
        <v>16376</v>
      </c>
      <c r="X1847" t="s">
        <v>14262</v>
      </c>
      <c r="Y1847" t="s">
        <v>16377</v>
      </c>
      <c r="Z1847" t="s">
        <v>16378</v>
      </c>
      <c r="AA1847" t="s">
        <v>74</v>
      </c>
      <c r="AB1847" t="s">
        <v>74</v>
      </c>
      <c r="AC1847" t="s">
        <v>74</v>
      </c>
      <c r="AD1847" t="s">
        <v>74</v>
      </c>
      <c r="AE1847" t="s">
        <v>74</v>
      </c>
      <c r="AF1847" t="s">
        <v>74</v>
      </c>
      <c r="AG1847">
        <v>57</v>
      </c>
      <c r="AH1847">
        <v>1</v>
      </c>
      <c r="AI1847">
        <v>1</v>
      </c>
      <c r="AJ1847">
        <v>0</v>
      </c>
      <c r="AK1847">
        <v>0</v>
      </c>
      <c r="AL1847" t="s">
        <v>74</v>
      </c>
      <c r="AM1847" t="s">
        <v>74</v>
      </c>
      <c r="AN1847" t="s">
        <v>74</v>
      </c>
      <c r="AO1847" t="s">
        <v>74</v>
      </c>
      <c r="AP1847" t="s">
        <v>12350</v>
      </c>
      <c r="AQ1847" t="s">
        <v>74</v>
      </c>
      <c r="AR1847" t="s">
        <v>74</v>
      </c>
      <c r="AS1847" t="s">
        <v>74</v>
      </c>
      <c r="AT1847" t="s">
        <v>9006</v>
      </c>
      <c r="AU1847">
        <v>2022</v>
      </c>
      <c r="AV1847">
        <v>22</v>
      </c>
      <c r="AW1847">
        <v>1</v>
      </c>
      <c r="AX1847" t="s">
        <v>74</v>
      </c>
      <c r="AY1847" t="s">
        <v>74</v>
      </c>
      <c r="AZ1847" t="s">
        <v>74</v>
      </c>
      <c r="BA1847" t="s">
        <v>74</v>
      </c>
      <c r="BB1847" t="s">
        <v>74</v>
      </c>
      <c r="BC1847" t="s">
        <v>74</v>
      </c>
      <c r="BD1847">
        <v>16</v>
      </c>
      <c r="BE1847" t="s">
        <v>16379</v>
      </c>
      <c r="BF1847" t="str">
        <f>HYPERLINK("http://dx.doi.org/10.1186/s12935-021-02418-5","http://dx.doi.org/10.1186/s12935-021-02418-5")</f>
        <v>http://dx.doi.org/10.1186/s12935-021-02418-5</v>
      </c>
      <c r="BG1847" t="s">
        <v>74</v>
      </c>
      <c r="BH1847" t="s">
        <v>74</v>
      </c>
      <c r="BI1847" t="s">
        <v>74</v>
      </c>
      <c r="BJ1847" t="s">
        <v>267</v>
      </c>
      <c r="BK1847" t="s">
        <v>117</v>
      </c>
      <c r="BL1847" t="s">
        <v>267</v>
      </c>
      <c r="BM1847" t="s">
        <v>74</v>
      </c>
      <c r="BN1847">
        <v>35012518</v>
      </c>
      <c r="BO1847" t="s">
        <v>74</v>
      </c>
      <c r="BP1847" t="s">
        <v>74</v>
      </c>
      <c r="BQ1847" t="s">
        <v>74</v>
      </c>
      <c r="BR1847" t="s">
        <v>96</v>
      </c>
      <c r="BS1847" t="s">
        <v>16380</v>
      </c>
      <c r="BT1847" t="str">
        <f>HYPERLINK("https%3A%2F%2Fwww.webofscience.com%2Fwos%2Fwoscc%2Ffull-record%2FWOS:000741000100001","View Full Record in Web of Science")</f>
        <v>View Full Record in Web of Science</v>
      </c>
    </row>
    <row r="1848" spans="1:72" x14ac:dyDescent="0.15">
      <c r="A1848" t="s">
        <v>98</v>
      </c>
      <c r="B1848" t="s">
        <v>16381</v>
      </c>
      <c r="C1848" t="s">
        <v>74</v>
      </c>
      <c r="D1848" t="s">
        <v>74</v>
      </c>
      <c r="E1848" t="s">
        <v>74</v>
      </c>
      <c r="F1848" t="s">
        <v>16382</v>
      </c>
      <c r="G1848" t="s">
        <v>74</v>
      </c>
      <c r="H1848" t="s">
        <v>74</v>
      </c>
      <c r="I1848" t="s">
        <v>16383</v>
      </c>
      <c r="J1848" t="s">
        <v>16384</v>
      </c>
      <c r="K1848" t="s">
        <v>74</v>
      </c>
      <c r="L1848" t="s">
        <v>74</v>
      </c>
      <c r="M1848" t="s">
        <v>74</v>
      </c>
      <c r="N1848" t="s">
        <v>103</v>
      </c>
      <c r="O1848" t="s">
        <v>74</v>
      </c>
      <c r="P1848" t="s">
        <v>74</v>
      </c>
      <c r="Q1848" t="s">
        <v>74</v>
      </c>
      <c r="R1848" t="s">
        <v>74</v>
      </c>
      <c r="S1848" t="s">
        <v>74</v>
      </c>
      <c r="T1848" t="s">
        <v>16385</v>
      </c>
      <c r="U1848" t="s">
        <v>16386</v>
      </c>
      <c r="V1848" t="s">
        <v>16387</v>
      </c>
      <c r="W1848" t="s">
        <v>16388</v>
      </c>
      <c r="X1848" t="s">
        <v>16389</v>
      </c>
      <c r="Y1848" t="s">
        <v>16390</v>
      </c>
      <c r="Z1848" t="s">
        <v>16391</v>
      </c>
      <c r="AA1848" t="s">
        <v>16392</v>
      </c>
      <c r="AB1848" t="s">
        <v>16393</v>
      </c>
      <c r="AC1848" t="s">
        <v>74</v>
      </c>
      <c r="AD1848" t="s">
        <v>74</v>
      </c>
      <c r="AE1848" t="s">
        <v>74</v>
      </c>
      <c r="AF1848" t="s">
        <v>74</v>
      </c>
      <c r="AG1848">
        <v>37</v>
      </c>
      <c r="AH1848">
        <v>1</v>
      </c>
      <c r="AI1848">
        <v>1</v>
      </c>
      <c r="AJ1848">
        <v>6</v>
      </c>
      <c r="AK1848">
        <v>7</v>
      </c>
      <c r="AL1848" t="s">
        <v>74</v>
      </c>
      <c r="AM1848" t="s">
        <v>74</v>
      </c>
      <c r="AN1848" t="s">
        <v>74</v>
      </c>
      <c r="AO1848" t="s">
        <v>74</v>
      </c>
      <c r="AP1848" t="s">
        <v>16394</v>
      </c>
      <c r="AQ1848" t="s">
        <v>74</v>
      </c>
      <c r="AR1848" t="s">
        <v>74</v>
      </c>
      <c r="AS1848" t="s">
        <v>74</v>
      </c>
      <c r="AT1848" t="s">
        <v>114</v>
      </c>
      <c r="AU1848">
        <v>2022</v>
      </c>
      <c r="AV1848">
        <v>12</v>
      </c>
      <c r="AW1848">
        <v>1</v>
      </c>
      <c r="AX1848" t="s">
        <v>74</v>
      </c>
      <c r="AY1848" t="s">
        <v>74</v>
      </c>
      <c r="AZ1848" t="s">
        <v>74</v>
      </c>
      <c r="BA1848" t="s">
        <v>74</v>
      </c>
      <c r="BB1848" t="s">
        <v>74</v>
      </c>
      <c r="BC1848" t="s">
        <v>74</v>
      </c>
      <c r="BD1848">
        <v>23</v>
      </c>
      <c r="BE1848" t="s">
        <v>16395</v>
      </c>
      <c r="BF1848" t="str">
        <f>HYPERLINK("http://dx.doi.org/10.3390/bios12010023","http://dx.doi.org/10.3390/bios12010023")</f>
        <v>http://dx.doi.org/10.3390/bios12010023</v>
      </c>
      <c r="BG1848" t="s">
        <v>74</v>
      </c>
      <c r="BH1848" t="s">
        <v>74</v>
      </c>
      <c r="BI1848" t="s">
        <v>74</v>
      </c>
      <c r="BJ1848" t="s">
        <v>16396</v>
      </c>
      <c r="BK1848" t="s">
        <v>117</v>
      </c>
      <c r="BL1848" t="s">
        <v>16397</v>
      </c>
      <c r="BM1848" t="s">
        <v>74</v>
      </c>
      <c r="BN1848">
        <v>35049651</v>
      </c>
      <c r="BO1848" t="s">
        <v>74</v>
      </c>
      <c r="BP1848" t="s">
        <v>74</v>
      </c>
      <c r="BQ1848" t="s">
        <v>74</v>
      </c>
      <c r="BR1848" t="s">
        <v>96</v>
      </c>
      <c r="BS1848" t="s">
        <v>16398</v>
      </c>
      <c r="BT1848" t="str">
        <f>HYPERLINK("https%3A%2F%2Fwww.webofscience.com%2Fwos%2Fwoscc%2Ffull-record%2FWOS:000747127900001","View Full Record in Web of Science")</f>
        <v>View Full Record in Web of Science</v>
      </c>
    </row>
    <row r="1849" spans="1:72" x14ac:dyDescent="0.15">
      <c r="A1849" t="s">
        <v>98</v>
      </c>
      <c r="B1849" t="s">
        <v>16589</v>
      </c>
      <c r="C1849" t="s">
        <v>74</v>
      </c>
      <c r="D1849" t="s">
        <v>74</v>
      </c>
      <c r="E1849" t="s">
        <v>74</v>
      </c>
      <c r="F1849" t="s">
        <v>16590</v>
      </c>
      <c r="G1849" t="s">
        <v>74</v>
      </c>
      <c r="H1849" t="s">
        <v>74</v>
      </c>
      <c r="I1849" t="s">
        <v>16591</v>
      </c>
      <c r="J1849" t="s">
        <v>16592</v>
      </c>
      <c r="K1849" t="s">
        <v>74</v>
      </c>
      <c r="L1849" t="s">
        <v>74</v>
      </c>
      <c r="M1849" t="s">
        <v>74</v>
      </c>
      <c r="N1849" t="s">
        <v>103</v>
      </c>
      <c r="O1849" t="s">
        <v>74</v>
      </c>
      <c r="P1849" t="s">
        <v>74</v>
      </c>
      <c r="Q1849" t="s">
        <v>74</v>
      </c>
      <c r="R1849" t="s">
        <v>74</v>
      </c>
      <c r="S1849" t="s">
        <v>74</v>
      </c>
      <c r="T1849" t="s">
        <v>16593</v>
      </c>
      <c r="U1849" t="s">
        <v>16594</v>
      </c>
      <c r="V1849" t="s">
        <v>16595</v>
      </c>
      <c r="W1849" t="s">
        <v>16596</v>
      </c>
      <c r="X1849" t="s">
        <v>16597</v>
      </c>
      <c r="Y1849" t="s">
        <v>16598</v>
      </c>
      <c r="Z1849" t="s">
        <v>16599</v>
      </c>
      <c r="AA1849" t="s">
        <v>16600</v>
      </c>
      <c r="AB1849" t="s">
        <v>16601</v>
      </c>
      <c r="AC1849" t="s">
        <v>74</v>
      </c>
      <c r="AD1849" t="s">
        <v>74</v>
      </c>
      <c r="AE1849" t="s">
        <v>74</v>
      </c>
      <c r="AF1849" t="s">
        <v>74</v>
      </c>
      <c r="AG1849">
        <v>37</v>
      </c>
      <c r="AH1849">
        <v>1</v>
      </c>
      <c r="AI1849">
        <v>1</v>
      </c>
      <c r="AJ1849">
        <v>4</v>
      </c>
      <c r="AK1849">
        <v>4</v>
      </c>
      <c r="AL1849" t="s">
        <v>74</v>
      </c>
      <c r="AM1849" t="s">
        <v>74</v>
      </c>
      <c r="AN1849" t="s">
        <v>74</v>
      </c>
      <c r="AO1849" t="s">
        <v>74</v>
      </c>
      <c r="AP1849" t="s">
        <v>16602</v>
      </c>
      <c r="AQ1849" t="s">
        <v>74</v>
      </c>
      <c r="AR1849" t="s">
        <v>74</v>
      </c>
      <c r="AS1849" t="s">
        <v>74</v>
      </c>
      <c r="AT1849" t="s">
        <v>211</v>
      </c>
      <c r="AU1849">
        <v>2020</v>
      </c>
      <c r="AV1849">
        <v>10</v>
      </c>
      <c r="AW1849">
        <v>21</v>
      </c>
      <c r="AX1849" t="s">
        <v>74</v>
      </c>
      <c r="AY1849" t="s">
        <v>74</v>
      </c>
      <c r="AZ1849" t="s">
        <v>74</v>
      </c>
      <c r="BA1849" t="s">
        <v>74</v>
      </c>
      <c r="BB1849" t="s">
        <v>74</v>
      </c>
      <c r="BC1849" t="s">
        <v>74</v>
      </c>
      <c r="BD1849">
        <v>7490</v>
      </c>
      <c r="BE1849" t="s">
        <v>16603</v>
      </c>
      <c r="BF1849" t="str">
        <f>HYPERLINK("http://dx.doi.org/10.3390/app10217490","http://dx.doi.org/10.3390/app10217490")</f>
        <v>http://dx.doi.org/10.3390/app10217490</v>
      </c>
      <c r="BG1849" t="s">
        <v>74</v>
      </c>
      <c r="BH1849" t="s">
        <v>74</v>
      </c>
      <c r="BI1849" t="s">
        <v>74</v>
      </c>
      <c r="BJ1849" t="s">
        <v>16604</v>
      </c>
      <c r="BK1849" t="s">
        <v>117</v>
      </c>
      <c r="BL1849" t="s">
        <v>16605</v>
      </c>
      <c r="BM1849" t="s">
        <v>74</v>
      </c>
      <c r="BN1849" t="s">
        <v>74</v>
      </c>
      <c r="BO1849" t="s">
        <v>74</v>
      </c>
      <c r="BP1849" t="s">
        <v>74</v>
      </c>
      <c r="BQ1849" t="s">
        <v>74</v>
      </c>
      <c r="BR1849" t="s">
        <v>96</v>
      </c>
      <c r="BS1849" t="s">
        <v>16606</v>
      </c>
      <c r="BT1849" t="str">
        <f>HYPERLINK("https%3A%2F%2Fwww.webofscience.com%2Fwos%2Fwoscc%2Ffull-record%2FWOS:000589008800001","View Full Record in Web of Science")</f>
        <v>View Full Record in Web of Science</v>
      </c>
    </row>
    <row r="1850" spans="1:72" x14ac:dyDescent="0.15">
      <c r="A1850" t="s">
        <v>98</v>
      </c>
      <c r="B1850" t="s">
        <v>16607</v>
      </c>
      <c r="C1850" t="s">
        <v>74</v>
      </c>
      <c r="D1850" t="s">
        <v>74</v>
      </c>
      <c r="E1850" t="s">
        <v>74</v>
      </c>
      <c r="F1850" t="s">
        <v>16608</v>
      </c>
      <c r="G1850" t="s">
        <v>74</v>
      </c>
      <c r="H1850" t="s">
        <v>74</v>
      </c>
      <c r="I1850" t="s">
        <v>16609</v>
      </c>
      <c r="J1850" t="s">
        <v>1105</v>
      </c>
      <c r="K1850" t="s">
        <v>74</v>
      </c>
      <c r="L1850" t="s">
        <v>74</v>
      </c>
      <c r="M1850" t="s">
        <v>74</v>
      </c>
      <c r="N1850" t="s">
        <v>103</v>
      </c>
      <c r="O1850" t="s">
        <v>74</v>
      </c>
      <c r="P1850" t="s">
        <v>74</v>
      </c>
      <c r="Q1850" t="s">
        <v>74</v>
      </c>
      <c r="R1850" t="s">
        <v>74</v>
      </c>
      <c r="S1850" t="s">
        <v>74</v>
      </c>
      <c r="T1850" t="s">
        <v>16610</v>
      </c>
      <c r="U1850" t="s">
        <v>74</v>
      </c>
      <c r="V1850" t="s">
        <v>16611</v>
      </c>
      <c r="W1850" t="s">
        <v>16612</v>
      </c>
      <c r="X1850" t="s">
        <v>15242</v>
      </c>
      <c r="Y1850" t="s">
        <v>16613</v>
      </c>
      <c r="Z1850" t="s">
        <v>16614</v>
      </c>
      <c r="AA1850" t="s">
        <v>74</v>
      </c>
      <c r="AB1850" t="s">
        <v>74</v>
      </c>
      <c r="AC1850" t="s">
        <v>74</v>
      </c>
      <c r="AD1850" t="s">
        <v>74</v>
      </c>
      <c r="AE1850" t="s">
        <v>74</v>
      </c>
      <c r="AF1850" t="s">
        <v>74</v>
      </c>
      <c r="AG1850">
        <v>33</v>
      </c>
      <c r="AH1850">
        <v>1</v>
      </c>
      <c r="AI1850">
        <v>1</v>
      </c>
      <c r="AJ1850">
        <v>49</v>
      </c>
      <c r="AK1850">
        <v>49</v>
      </c>
      <c r="AL1850" t="s">
        <v>74</v>
      </c>
      <c r="AM1850" t="s">
        <v>74</v>
      </c>
      <c r="AN1850" t="s">
        <v>74</v>
      </c>
      <c r="AO1850" t="s">
        <v>1114</v>
      </c>
      <c r="AP1850" t="s">
        <v>1115</v>
      </c>
      <c r="AQ1850" t="s">
        <v>74</v>
      </c>
      <c r="AR1850" t="s">
        <v>74</v>
      </c>
      <c r="AS1850" t="s">
        <v>74</v>
      </c>
      <c r="AT1850" t="s">
        <v>12712</v>
      </c>
      <c r="AU1850">
        <v>2022</v>
      </c>
      <c r="AV1850">
        <v>242</v>
      </c>
      <c r="AW1850" t="s">
        <v>74</v>
      </c>
      <c r="AX1850" t="s">
        <v>74</v>
      </c>
      <c r="AY1850" t="s">
        <v>74</v>
      </c>
      <c r="AZ1850" t="s">
        <v>74</v>
      </c>
      <c r="BA1850" t="s">
        <v>74</v>
      </c>
      <c r="BB1850" t="s">
        <v>74</v>
      </c>
      <c r="BC1850" t="s">
        <v>74</v>
      </c>
      <c r="BD1850">
        <v>123306</v>
      </c>
      <c r="BE1850" t="s">
        <v>16615</v>
      </c>
      <c r="BF1850" t="str">
        <f>HYPERLINK("http://dx.doi.org/10.1016/j.talanta.2022.123306","http://dx.doi.org/10.1016/j.talanta.2022.123306")</f>
        <v>http://dx.doi.org/10.1016/j.talanta.2022.123306</v>
      </c>
      <c r="BG1850" t="s">
        <v>74</v>
      </c>
      <c r="BH1850" t="s">
        <v>74</v>
      </c>
      <c r="BI1850" t="s">
        <v>74</v>
      </c>
      <c r="BJ1850" t="s">
        <v>1118</v>
      </c>
      <c r="BK1850" t="s">
        <v>117</v>
      </c>
      <c r="BL1850" t="s">
        <v>1048</v>
      </c>
      <c r="BM1850" t="s">
        <v>74</v>
      </c>
      <c r="BN1850">
        <v>35189412</v>
      </c>
      <c r="BO1850" t="s">
        <v>74</v>
      </c>
      <c r="BP1850" t="s">
        <v>74</v>
      </c>
      <c r="BQ1850" t="s">
        <v>74</v>
      </c>
      <c r="BR1850" t="s">
        <v>96</v>
      </c>
      <c r="BS1850" t="s">
        <v>16616</v>
      </c>
      <c r="BT1850" t="str">
        <f>HYPERLINK("https%3A%2F%2Fwww.webofscience.com%2Fwos%2Fwoscc%2Ffull-record%2FWOS:000759331100007","View Full Record in Web of Science")</f>
        <v>View Full Record in Web of Science</v>
      </c>
    </row>
    <row r="1851" spans="1:72" x14ac:dyDescent="0.15">
      <c r="A1851" t="s">
        <v>98</v>
      </c>
      <c r="B1851" t="s">
        <v>16693</v>
      </c>
      <c r="C1851" t="s">
        <v>74</v>
      </c>
      <c r="D1851" t="s">
        <v>74</v>
      </c>
      <c r="E1851" t="s">
        <v>74</v>
      </c>
      <c r="F1851" t="s">
        <v>16694</v>
      </c>
      <c r="G1851" t="s">
        <v>74</v>
      </c>
      <c r="H1851" t="s">
        <v>74</v>
      </c>
      <c r="I1851" t="s">
        <v>16695</v>
      </c>
      <c r="J1851" t="s">
        <v>16696</v>
      </c>
      <c r="K1851" t="s">
        <v>74</v>
      </c>
      <c r="L1851" t="s">
        <v>74</v>
      </c>
      <c r="M1851" t="s">
        <v>74</v>
      </c>
      <c r="N1851" t="s">
        <v>103</v>
      </c>
      <c r="O1851" t="s">
        <v>74</v>
      </c>
      <c r="P1851" t="s">
        <v>74</v>
      </c>
      <c r="Q1851" t="s">
        <v>74</v>
      </c>
      <c r="R1851" t="s">
        <v>74</v>
      </c>
      <c r="S1851" t="s">
        <v>74</v>
      </c>
      <c r="T1851" t="s">
        <v>16697</v>
      </c>
      <c r="U1851" t="s">
        <v>16698</v>
      </c>
      <c r="V1851" t="s">
        <v>16699</v>
      </c>
      <c r="W1851" t="s">
        <v>16700</v>
      </c>
      <c r="X1851" t="s">
        <v>4412</v>
      </c>
      <c r="Y1851" t="s">
        <v>16701</v>
      </c>
      <c r="Z1851" t="s">
        <v>16702</v>
      </c>
      <c r="AA1851" t="s">
        <v>74</v>
      </c>
      <c r="AB1851" t="s">
        <v>74</v>
      </c>
      <c r="AC1851" t="s">
        <v>74</v>
      </c>
      <c r="AD1851" t="s">
        <v>74</v>
      </c>
      <c r="AE1851" t="s">
        <v>74</v>
      </c>
      <c r="AF1851" t="s">
        <v>74</v>
      </c>
      <c r="AG1851">
        <v>19</v>
      </c>
      <c r="AH1851">
        <v>1</v>
      </c>
      <c r="AI1851">
        <v>1</v>
      </c>
      <c r="AJ1851">
        <v>0</v>
      </c>
      <c r="AK1851">
        <v>0</v>
      </c>
      <c r="AL1851" t="s">
        <v>74</v>
      </c>
      <c r="AM1851" t="s">
        <v>74</v>
      </c>
      <c r="AN1851" t="s">
        <v>74</v>
      </c>
      <c r="AO1851" t="s">
        <v>16703</v>
      </c>
      <c r="AP1851" t="s">
        <v>16704</v>
      </c>
      <c r="AQ1851" t="s">
        <v>74</v>
      </c>
      <c r="AR1851" t="s">
        <v>74</v>
      </c>
      <c r="AS1851" t="s">
        <v>74</v>
      </c>
      <c r="AT1851" t="s">
        <v>211</v>
      </c>
      <c r="AU1851">
        <v>2006</v>
      </c>
      <c r="AV1851">
        <v>137</v>
      </c>
      <c r="AW1851">
        <v>2</v>
      </c>
      <c r="AX1851" t="s">
        <v>74</v>
      </c>
      <c r="AY1851" t="s">
        <v>74</v>
      </c>
      <c r="AZ1851" t="s">
        <v>74</v>
      </c>
      <c r="BA1851" t="s">
        <v>74</v>
      </c>
      <c r="BB1851">
        <v>304</v>
      </c>
      <c r="BC1851">
        <v>308</v>
      </c>
      <c r="BD1851" t="s">
        <v>74</v>
      </c>
      <c r="BE1851" t="s">
        <v>16705</v>
      </c>
      <c r="BF1851" t="str">
        <f>HYPERLINK("http://dx.doi.org/10.1016/j.jviromet.2006.07.003","http://dx.doi.org/10.1016/j.jviromet.2006.07.003")</f>
        <v>http://dx.doi.org/10.1016/j.jviromet.2006.07.003</v>
      </c>
      <c r="BG1851" t="s">
        <v>74</v>
      </c>
      <c r="BH1851" t="s">
        <v>74</v>
      </c>
      <c r="BI1851" t="s">
        <v>74</v>
      </c>
      <c r="BJ1851" t="s">
        <v>16706</v>
      </c>
      <c r="BK1851" t="s">
        <v>117</v>
      </c>
      <c r="BL1851" t="s">
        <v>16707</v>
      </c>
      <c r="BM1851" t="s">
        <v>74</v>
      </c>
      <c r="BN1851">
        <v>16920200</v>
      </c>
      <c r="BO1851" t="s">
        <v>74</v>
      </c>
      <c r="BP1851" t="s">
        <v>74</v>
      </c>
      <c r="BQ1851" t="s">
        <v>74</v>
      </c>
      <c r="BR1851" t="s">
        <v>96</v>
      </c>
      <c r="BS1851" t="s">
        <v>16708</v>
      </c>
      <c r="BT1851" t="str">
        <f>HYPERLINK("https%3A%2F%2Fwww.webofscience.com%2Fwos%2Fwoscc%2Ffull-record%2FWOS:000241432400019","View Full Record in Web of Science")</f>
        <v>View Full Record in Web of Science</v>
      </c>
    </row>
    <row r="1852" spans="1:72" x14ac:dyDescent="0.15">
      <c r="A1852" t="s">
        <v>98</v>
      </c>
      <c r="B1852" t="s">
        <v>16898</v>
      </c>
      <c r="C1852" t="s">
        <v>74</v>
      </c>
      <c r="D1852" t="s">
        <v>74</v>
      </c>
      <c r="E1852" t="s">
        <v>74</v>
      </c>
      <c r="F1852" t="s">
        <v>16899</v>
      </c>
      <c r="G1852" t="s">
        <v>74</v>
      </c>
      <c r="H1852" t="s">
        <v>74</v>
      </c>
      <c r="I1852" t="s">
        <v>16900</v>
      </c>
      <c r="J1852" t="s">
        <v>16901</v>
      </c>
      <c r="K1852" t="s">
        <v>74</v>
      </c>
      <c r="L1852" t="s">
        <v>74</v>
      </c>
      <c r="M1852" t="s">
        <v>74</v>
      </c>
      <c r="N1852" t="s">
        <v>103</v>
      </c>
      <c r="O1852" t="s">
        <v>74</v>
      </c>
      <c r="P1852" t="s">
        <v>74</v>
      </c>
      <c r="Q1852" t="s">
        <v>74</v>
      </c>
      <c r="R1852" t="s">
        <v>74</v>
      </c>
      <c r="S1852" t="s">
        <v>74</v>
      </c>
      <c r="T1852" t="s">
        <v>16902</v>
      </c>
      <c r="U1852" t="s">
        <v>74</v>
      </c>
      <c r="V1852" t="s">
        <v>16903</v>
      </c>
      <c r="W1852" t="s">
        <v>16904</v>
      </c>
      <c r="X1852" t="s">
        <v>16905</v>
      </c>
      <c r="Y1852" t="s">
        <v>16906</v>
      </c>
      <c r="Z1852" t="s">
        <v>16907</v>
      </c>
      <c r="AA1852" t="s">
        <v>74</v>
      </c>
      <c r="AB1852" t="s">
        <v>16908</v>
      </c>
      <c r="AC1852" t="s">
        <v>74</v>
      </c>
      <c r="AD1852" t="s">
        <v>74</v>
      </c>
      <c r="AE1852" t="s">
        <v>74</v>
      </c>
      <c r="AF1852" t="s">
        <v>74</v>
      </c>
      <c r="AG1852">
        <v>41</v>
      </c>
      <c r="AH1852">
        <v>1</v>
      </c>
      <c r="AI1852">
        <v>1</v>
      </c>
      <c r="AJ1852">
        <v>15</v>
      </c>
      <c r="AK1852">
        <v>76</v>
      </c>
      <c r="AL1852" t="s">
        <v>74</v>
      </c>
      <c r="AM1852" t="s">
        <v>74</v>
      </c>
      <c r="AN1852" t="s">
        <v>74</v>
      </c>
      <c r="AO1852" t="s">
        <v>16909</v>
      </c>
      <c r="AP1852" t="s">
        <v>16910</v>
      </c>
      <c r="AQ1852" t="s">
        <v>74</v>
      </c>
      <c r="AR1852" t="s">
        <v>74</v>
      </c>
      <c r="AS1852" t="s">
        <v>74</v>
      </c>
      <c r="AT1852" t="s">
        <v>10188</v>
      </c>
      <c r="AU1852">
        <v>2021</v>
      </c>
      <c r="AV1852">
        <v>32</v>
      </c>
      <c r="AW1852">
        <v>29</v>
      </c>
      <c r="AX1852" t="s">
        <v>74</v>
      </c>
      <c r="AY1852" t="s">
        <v>74</v>
      </c>
      <c r="AZ1852" t="s">
        <v>74</v>
      </c>
      <c r="BA1852" t="s">
        <v>74</v>
      </c>
      <c r="BB1852" t="s">
        <v>74</v>
      </c>
      <c r="BC1852" t="s">
        <v>74</v>
      </c>
      <c r="BD1852">
        <v>295507</v>
      </c>
      <c r="BE1852" t="s">
        <v>16911</v>
      </c>
      <c r="BF1852" t="str">
        <f>HYPERLINK("http://dx.doi.org/10.1088/1361-6528/abf510","http://dx.doi.org/10.1088/1361-6528/abf510")</f>
        <v>http://dx.doi.org/10.1088/1361-6528/abf510</v>
      </c>
      <c r="BG1852" t="s">
        <v>74</v>
      </c>
      <c r="BH1852" t="s">
        <v>74</v>
      </c>
      <c r="BI1852" t="s">
        <v>74</v>
      </c>
      <c r="BJ1852" t="s">
        <v>13475</v>
      </c>
      <c r="BK1852" t="s">
        <v>117</v>
      </c>
      <c r="BL1852" t="s">
        <v>13476</v>
      </c>
      <c r="BM1852" t="s">
        <v>74</v>
      </c>
      <c r="BN1852">
        <v>33823494</v>
      </c>
      <c r="BO1852" t="s">
        <v>74</v>
      </c>
      <c r="BP1852" t="s">
        <v>74</v>
      </c>
      <c r="BQ1852" t="s">
        <v>74</v>
      </c>
      <c r="BR1852" t="s">
        <v>96</v>
      </c>
      <c r="BS1852" t="s">
        <v>16912</v>
      </c>
      <c r="BT1852" t="str">
        <f>HYPERLINK("https%3A%2F%2Fwww.webofscience.com%2Fwos%2Fwoscc%2Ffull-record%2FWOS:000646037000001","View Full Record in Web of Science")</f>
        <v>View Full Record in Web of Science</v>
      </c>
    </row>
    <row r="1853" spans="1:72" x14ac:dyDescent="0.15">
      <c r="A1853" t="s">
        <v>98</v>
      </c>
      <c r="B1853" t="s">
        <v>17040</v>
      </c>
      <c r="C1853" t="s">
        <v>74</v>
      </c>
      <c r="D1853" t="s">
        <v>74</v>
      </c>
      <c r="E1853" t="s">
        <v>74</v>
      </c>
      <c r="F1853" t="s">
        <v>17041</v>
      </c>
      <c r="G1853" t="s">
        <v>74</v>
      </c>
      <c r="H1853" t="s">
        <v>74</v>
      </c>
      <c r="I1853" t="s">
        <v>17042</v>
      </c>
      <c r="J1853" t="s">
        <v>2520</v>
      </c>
      <c r="K1853" t="s">
        <v>74</v>
      </c>
      <c r="L1853" t="s">
        <v>74</v>
      </c>
      <c r="M1853" t="s">
        <v>74</v>
      </c>
      <c r="N1853" t="s">
        <v>103</v>
      </c>
      <c r="O1853" t="s">
        <v>74</v>
      </c>
      <c r="P1853" t="s">
        <v>74</v>
      </c>
      <c r="Q1853" t="s">
        <v>74</v>
      </c>
      <c r="R1853" t="s">
        <v>74</v>
      </c>
      <c r="S1853" t="s">
        <v>74</v>
      </c>
      <c r="T1853" t="s">
        <v>17043</v>
      </c>
      <c r="U1853" t="s">
        <v>17044</v>
      </c>
      <c r="V1853" t="s">
        <v>17045</v>
      </c>
      <c r="W1853" t="s">
        <v>17046</v>
      </c>
      <c r="X1853" t="s">
        <v>17047</v>
      </c>
      <c r="Y1853" t="s">
        <v>17048</v>
      </c>
      <c r="Z1853" t="s">
        <v>17049</v>
      </c>
      <c r="AA1853" t="s">
        <v>74</v>
      </c>
      <c r="AB1853" t="s">
        <v>74</v>
      </c>
      <c r="AC1853" t="s">
        <v>74</v>
      </c>
      <c r="AD1853" t="s">
        <v>74</v>
      </c>
      <c r="AE1853" t="s">
        <v>74</v>
      </c>
      <c r="AF1853" t="s">
        <v>74</v>
      </c>
      <c r="AG1853">
        <v>60</v>
      </c>
      <c r="AH1853">
        <v>1</v>
      </c>
      <c r="AI1853">
        <v>2</v>
      </c>
      <c r="AJ1853">
        <v>6</v>
      </c>
      <c r="AK1853">
        <v>14</v>
      </c>
      <c r="AL1853" t="s">
        <v>74</v>
      </c>
      <c r="AM1853" t="s">
        <v>74</v>
      </c>
      <c r="AN1853" t="s">
        <v>74</v>
      </c>
      <c r="AO1853" t="s">
        <v>2529</v>
      </c>
      <c r="AP1853" t="s">
        <v>74</v>
      </c>
      <c r="AQ1853" t="s">
        <v>74</v>
      </c>
      <c r="AR1853" t="s">
        <v>74</v>
      </c>
      <c r="AS1853" t="s">
        <v>74</v>
      </c>
      <c r="AT1853" t="s">
        <v>2321</v>
      </c>
      <c r="AU1853">
        <v>2020</v>
      </c>
      <c r="AV1853">
        <v>11</v>
      </c>
      <c r="AW1853" t="s">
        <v>74</v>
      </c>
      <c r="AX1853" t="s">
        <v>74</v>
      </c>
      <c r="AY1853" t="s">
        <v>74</v>
      </c>
      <c r="AZ1853" t="s">
        <v>74</v>
      </c>
      <c r="BA1853" t="s">
        <v>74</v>
      </c>
      <c r="BB1853" t="s">
        <v>74</v>
      </c>
      <c r="BC1853" t="s">
        <v>74</v>
      </c>
      <c r="BD1853">
        <v>558233</v>
      </c>
      <c r="BE1853" t="s">
        <v>17050</v>
      </c>
      <c r="BF1853" t="str">
        <f>HYPERLINK("http://dx.doi.org/10.3389/fmicb.2020.558233","http://dx.doi.org/10.3389/fmicb.2020.558233")</f>
        <v>http://dx.doi.org/10.3389/fmicb.2020.558233</v>
      </c>
      <c r="BG1853" t="s">
        <v>74</v>
      </c>
      <c r="BH1853" t="s">
        <v>74</v>
      </c>
      <c r="BI1853" t="s">
        <v>74</v>
      </c>
      <c r="BJ1853" t="s">
        <v>898</v>
      </c>
      <c r="BK1853" t="s">
        <v>117</v>
      </c>
      <c r="BL1853" t="s">
        <v>898</v>
      </c>
      <c r="BM1853" t="s">
        <v>74</v>
      </c>
      <c r="BN1853">
        <v>33384665</v>
      </c>
      <c r="BO1853" t="s">
        <v>74</v>
      </c>
      <c r="BP1853" t="s">
        <v>74</v>
      </c>
      <c r="BQ1853" t="s">
        <v>74</v>
      </c>
      <c r="BR1853" t="s">
        <v>96</v>
      </c>
      <c r="BS1853" t="s">
        <v>17051</v>
      </c>
      <c r="BT1853" t="str">
        <f>HYPERLINK("https%3A%2F%2Fwww.webofscience.com%2Fwos%2Fwoscc%2Ffull-record%2FWOS:000603015900001","View Full Record in Web of Science")</f>
        <v>View Full Record in Web of Science</v>
      </c>
    </row>
    <row r="1854" spans="1:72" x14ac:dyDescent="0.15">
      <c r="A1854" t="s">
        <v>98</v>
      </c>
      <c r="B1854" t="s">
        <v>17605</v>
      </c>
      <c r="C1854" t="s">
        <v>74</v>
      </c>
      <c r="D1854" t="s">
        <v>74</v>
      </c>
      <c r="E1854" t="s">
        <v>74</v>
      </c>
      <c r="F1854" t="s">
        <v>17606</v>
      </c>
      <c r="G1854" t="s">
        <v>74</v>
      </c>
      <c r="H1854" t="s">
        <v>74</v>
      </c>
      <c r="I1854" t="s">
        <v>17607</v>
      </c>
      <c r="J1854" t="s">
        <v>2520</v>
      </c>
      <c r="K1854" t="s">
        <v>74</v>
      </c>
      <c r="L1854" t="s">
        <v>74</v>
      </c>
      <c r="M1854" t="s">
        <v>74</v>
      </c>
      <c r="N1854" t="s">
        <v>103</v>
      </c>
      <c r="O1854" t="s">
        <v>74</v>
      </c>
      <c r="P1854" t="s">
        <v>74</v>
      </c>
      <c r="Q1854" t="s">
        <v>74</v>
      </c>
      <c r="R1854" t="s">
        <v>74</v>
      </c>
      <c r="S1854" t="s">
        <v>74</v>
      </c>
      <c r="T1854" t="s">
        <v>17608</v>
      </c>
      <c r="U1854" t="s">
        <v>17609</v>
      </c>
      <c r="V1854" t="s">
        <v>17610</v>
      </c>
      <c r="W1854" t="s">
        <v>17611</v>
      </c>
      <c r="X1854" t="s">
        <v>17612</v>
      </c>
      <c r="Y1854" t="s">
        <v>17613</v>
      </c>
      <c r="Z1854" t="s">
        <v>17614</v>
      </c>
      <c r="AA1854" t="s">
        <v>17615</v>
      </c>
      <c r="AB1854" t="s">
        <v>17616</v>
      </c>
      <c r="AC1854" t="s">
        <v>74</v>
      </c>
      <c r="AD1854" t="s">
        <v>74</v>
      </c>
      <c r="AE1854" t="s">
        <v>74</v>
      </c>
      <c r="AF1854" t="s">
        <v>74</v>
      </c>
      <c r="AG1854">
        <v>79</v>
      </c>
      <c r="AH1854">
        <v>1</v>
      </c>
      <c r="AI1854">
        <v>1</v>
      </c>
      <c r="AJ1854">
        <v>0</v>
      </c>
      <c r="AK1854">
        <v>3</v>
      </c>
      <c r="AL1854" t="s">
        <v>74</v>
      </c>
      <c r="AM1854" t="s">
        <v>74</v>
      </c>
      <c r="AN1854" t="s">
        <v>74</v>
      </c>
      <c r="AO1854" t="s">
        <v>74</v>
      </c>
      <c r="AP1854" t="s">
        <v>2529</v>
      </c>
      <c r="AQ1854" t="s">
        <v>74</v>
      </c>
      <c r="AR1854" t="s">
        <v>74</v>
      </c>
      <c r="AS1854" t="s">
        <v>74</v>
      </c>
      <c r="AT1854" t="s">
        <v>11206</v>
      </c>
      <c r="AU1854">
        <v>2021</v>
      </c>
      <c r="AV1854">
        <v>12</v>
      </c>
      <c r="AW1854" t="s">
        <v>74</v>
      </c>
      <c r="AX1854" t="s">
        <v>74</v>
      </c>
      <c r="AY1854" t="s">
        <v>74</v>
      </c>
      <c r="AZ1854" t="s">
        <v>74</v>
      </c>
      <c r="BA1854" t="s">
        <v>74</v>
      </c>
      <c r="BB1854" t="s">
        <v>74</v>
      </c>
      <c r="BC1854" t="s">
        <v>74</v>
      </c>
      <c r="BD1854">
        <v>713669</v>
      </c>
      <c r="BE1854" t="s">
        <v>17617</v>
      </c>
      <c r="BF1854" t="str">
        <f>HYPERLINK("http://dx.doi.org/10.3389/fmicb.2021.713669","http://dx.doi.org/10.3389/fmicb.2021.713669")</f>
        <v>http://dx.doi.org/10.3389/fmicb.2021.713669</v>
      </c>
      <c r="BG1854" t="s">
        <v>74</v>
      </c>
      <c r="BH1854" t="s">
        <v>74</v>
      </c>
      <c r="BI1854" t="s">
        <v>74</v>
      </c>
      <c r="BJ1854" t="s">
        <v>898</v>
      </c>
      <c r="BK1854" t="s">
        <v>117</v>
      </c>
      <c r="BL1854" t="s">
        <v>898</v>
      </c>
      <c r="BM1854" t="s">
        <v>74</v>
      </c>
      <c r="BN1854">
        <v>34690958</v>
      </c>
      <c r="BO1854" t="s">
        <v>74</v>
      </c>
      <c r="BP1854" t="s">
        <v>74</v>
      </c>
      <c r="BQ1854" t="s">
        <v>74</v>
      </c>
      <c r="BR1854" t="s">
        <v>96</v>
      </c>
      <c r="BS1854" t="s">
        <v>17618</v>
      </c>
      <c r="BT1854" t="str">
        <f>HYPERLINK("https%3A%2F%2Fwww.webofscience.com%2Fwos%2Fwoscc%2Ffull-record%2FWOS:000710797600001","View Full Record in Web of Science")</f>
        <v>View Full Record in Web of Science</v>
      </c>
    </row>
    <row r="1855" spans="1:72" x14ac:dyDescent="0.15">
      <c r="A1855" t="s">
        <v>98</v>
      </c>
      <c r="B1855" t="s">
        <v>17634</v>
      </c>
      <c r="C1855" t="s">
        <v>74</v>
      </c>
      <c r="D1855" t="s">
        <v>74</v>
      </c>
      <c r="E1855" t="s">
        <v>74</v>
      </c>
      <c r="F1855" t="s">
        <v>17635</v>
      </c>
      <c r="G1855" t="s">
        <v>74</v>
      </c>
      <c r="H1855" t="s">
        <v>74</v>
      </c>
      <c r="I1855" t="s">
        <v>17636</v>
      </c>
      <c r="J1855" t="s">
        <v>3669</v>
      </c>
      <c r="K1855" t="s">
        <v>74</v>
      </c>
      <c r="L1855" t="s">
        <v>74</v>
      </c>
      <c r="M1855" t="s">
        <v>74</v>
      </c>
      <c r="N1855" t="s">
        <v>103</v>
      </c>
      <c r="O1855" t="s">
        <v>74</v>
      </c>
      <c r="P1855" t="s">
        <v>74</v>
      </c>
      <c r="Q1855" t="s">
        <v>74</v>
      </c>
      <c r="R1855" t="s">
        <v>74</v>
      </c>
      <c r="S1855" t="s">
        <v>74</v>
      </c>
      <c r="T1855" t="s">
        <v>17637</v>
      </c>
      <c r="U1855" t="s">
        <v>17638</v>
      </c>
      <c r="V1855" t="s">
        <v>17639</v>
      </c>
      <c r="W1855" t="s">
        <v>17640</v>
      </c>
      <c r="X1855" t="s">
        <v>17641</v>
      </c>
      <c r="Y1855" t="s">
        <v>3675</v>
      </c>
      <c r="Z1855" t="s">
        <v>3676</v>
      </c>
      <c r="AA1855" t="s">
        <v>74</v>
      </c>
      <c r="AB1855" t="s">
        <v>74</v>
      </c>
      <c r="AC1855" t="s">
        <v>74</v>
      </c>
      <c r="AD1855" t="s">
        <v>74</v>
      </c>
      <c r="AE1855" t="s">
        <v>74</v>
      </c>
      <c r="AF1855" t="s">
        <v>74</v>
      </c>
      <c r="AG1855">
        <v>36</v>
      </c>
      <c r="AH1855">
        <v>1</v>
      </c>
      <c r="AI1855">
        <v>1</v>
      </c>
      <c r="AJ1855">
        <v>0</v>
      </c>
      <c r="AK1855">
        <v>4</v>
      </c>
      <c r="AL1855" t="s">
        <v>74</v>
      </c>
      <c r="AM1855" t="s">
        <v>74</v>
      </c>
      <c r="AN1855" t="s">
        <v>74</v>
      </c>
      <c r="AO1855" t="s">
        <v>3677</v>
      </c>
      <c r="AP1855" t="s">
        <v>3678</v>
      </c>
      <c r="AQ1855" t="s">
        <v>74</v>
      </c>
      <c r="AR1855" t="s">
        <v>74</v>
      </c>
      <c r="AS1855" t="s">
        <v>74</v>
      </c>
      <c r="AT1855" t="s">
        <v>189</v>
      </c>
      <c r="AU1855">
        <v>2017</v>
      </c>
      <c r="AV1855">
        <v>6</v>
      </c>
      <c r="AW1855" t="s">
        <v>74</v>
      </c>
      <c r="AX1855" t="s">
        <v>74</v>
      </c>
      <c r="AY1855">
        <v>8</v>
      </c>
      <c r="AZ1855" t="s">
        <v>74</v>
      </c>
      <c r="BA1855" t="s">
        <v>74</v>
      </c>
      <c r="BB1855" t="s">
        <v>17642</v>
      </c>
      <c r="BC1855" t="s">
        <v>17643</v>
      </c>
      <c r="BD1855" t="s">
        <v>74</v>
      </c>
      <c r="BE1855" t="s">
        <v>17644</v>
      </c>
      <c r="BF1855" t="str">
        <f>HYPERLINK("http://dx.doi.org/10.21037/tcr.2017.08.14","http://dx.doi.org/10.21037/tcr.2017.08.14")</f>
        <v>http://dx.doi.org/10.21037/tcr.2017.08.14</v>
      </c>
      <c r="BG1855" t="s">
        <v>74</v>
      </c>
      <c r="BH1855" t="s">
        <v>74</v>
      </c>
      <c r="BI1855" t="s">
        <v>74</v>
      </c>
      <c r="BJ1855" t="s">
        <v>267</v>
      </c>
      <c r="BK1855" t="s">
        <v>117</v>
      </c>
      <c r="BL1855" t="s">
        <v>267</v>
      </c>
      <c r="BM1855" t="s">
        <v>74</v>
      </c>
      <c r="BN1855" t="s">
        <v>74</v>
      </c>
      <c r="BO1855" t="s">
        <v>74</v>
      </c>
      <c r="BP1855" t="s">
        <v>74</v>
      </c>
      <c r="BQ1855" t="s">
        <v>74</v>
      </c>
      <c r="BR1855" t="s">
        <v>96</v>
      </c>
      <c r="BS1855" t="s">
        <v>17645</v>
      </c>
      <c r="BT1855" t="str">
        <f>HYPERLINK("https%3A%2F%2Fwww.webofscience.com%2Fwos%2Fwoscc%2Ffull-record%2FWOS:000413979800002","View Full Record in Web of Science")</f>
        <v>View Full Record in Web of Science</v>
      </c>
    </row>
    <row r="1856" spans="1:72" x14ac:dyDescent="0.15">
      <c r="A1856" t="s">
        <v>98</v>
      </c>
      <c r="B1856" t="s">
        <v>18014</v>
      </c>
      <c r="C1856" t="s">
        <v>74</v>
      </c>
      <c r="D1856" t="s">
        <v>74</v>
      </c>
      <c r="E1856" t="s">
        <v>74</v>
      </c>
      <c r="F1856" t="s">
        <v>18015</v>
      </c>
      <c r="G1856" t="s">
        <v>74</v>
      </c>
      <c r="H1856" t="s">
        <v>74</v>
      </c>
      <c r="I1856" t="s">
        <v>18016</v>
      </c>
      <c r="J1856" t="s">
        <v>140</v>
      </c>
      <c r="K1856" t="s">
        <v>74</v>
      </c>
      <c r="L1856" t="s">
        <v>74</v>
      </c>
      <c r="M1856" t="s">
        <v>74</v>
      </c>
      <c r="N1856" t="s">
        <v>103</v>
      </c>
      <c r="O1856" t="s">
        <v>74</v>
      </c>
      <c r="P1856" t="s">
        <v>74</v>
      </c>
      <c r="Q1856" t="s">
        <v>74</v>
      </c>
      <c r="R1856" t="s">
        <v>74</v>
      </c>
      <c r="S1856" t="s">
        <v>74</v>
      </c>
      <c r="T1856" t="s">
        <v>74</v>
      </c>
      <c r="U1856" t="s">
        <v>18017</v>
      </c>
      <c r="V1856" t="s">
        <v>18018</v>
      </c>
      <c r="W1856" t="s">
        <v>18019</v>
      </c>
      <c r="X1856" t="s">
        <v>18020</v>
      </c>
      <c r="Y1856" t="s">
        <v>18021</v>
      </c>
      <c r="Z1856" t="s">
        <v>18022</v>
      </c>
      <c r="AA1856" t="s">
        <v>18023</v>
      </c>
      <c r="AB1856" t="s">
        <v>18024</v>
      </c>
      <c r="AC1856" t="s">
        <v>74</v>
      </c>
      <c r="AD1856" t="s">
        <v>74</v>
      </c>
      <c r="AE1856" t="s">
        <v>74</v>
      </c>
      <c r="AF1856" t="s">
        <v>74</v>
      </c>
      <c r="AG1856">
        <v>62</v>
      </c>
      <c r="AH1856">
        <v>1</v>
      </c>
      <c r="AI1856">
        <v>1</v>
      </c>
      <c r="AJ1856">
        <v>1</v>
      </c>
      <c r="AK1856">
        <v>5</v>
      </c>
      <c r="AL1856" t="s">
        <v>74</v>
      </c>
      <c r="AM1856" t="s">
        <v>74</v>
      </c>
      <c r="AN1856" t="s">
        <v>74</v>
      </c>
      <c r="AO1856" t="s">
        <v>149</v>
      </c>
      <c r="AP1856" t="s">
        <v>74</v>
      </c>
      <c r="AQ1856" t="s">
        <v>74</v>
      </c>
      <c r="AR1856" t="s">
        <v>74</v>
      </c>
      <c r="AS1856" t="s">
        <v>74</v>
      </c>
      <c r="AT1856" t="s">
        <v>10737</v>
      </c>
      <c r="AU1856">
        <v>2021</v>
      </c>
      <c r="AV1856">
        <v>11</v>
      </c>
      <c r="AW1856">
        <v>1</v>
      </c>
      <c r="AX1856" t="s">
        <v>74</v>
      </c>
      <c r="AY1856" t="s">
        <v>74</v>
      </c>
      <c r="AZ1856" t="s">
        <v>74</v>
      </c>
      <c r="BA1856" t="s">
        <v>74</v>
      </c>
      <c r="BB1856" t="s">
        <v>74</v>
      </c>
      <c r="BC1856" t="s">
        <v>74</v>
      </c>
      <c r="BD1856">
        <v>13987</v>
      </c>
      <c r="BE1856" t="s">
        <v>18025</v>
      </c>
      <c r="BF1856" t="str">
        <f>HYPERLINK("http://dx.doi.org/10.1038/s41598-021-93112-z","http://dx.doi.org/10.1038/s41598-021-93112-z")</f>
        <v>http://dx.doi.org/10.1038/s41598-021-93112-z</v>
      </c>
      <c r="BG1856" t="s">
        <v>74</v>
      </c>
      <c r="BH1856" t="s">
        <v>74</v>
      </c>
      <c r="BI1856" t="s">
        <v>74</v>
      </c>
      <c r="BJ1856" t="s">
        <v>152</v>
      </c>
      <c r="BK1856" t="s">
        <v>3223</v>
      </c>
      <c r="BL1856" t="s">
        <v>153</v>
      </c>
      <c r="BM1856" t="s">
        <v>74</v>
      </c>
      <c r="BN1856">
        <v>34234173</v>
      </c>
      <c r="BO1856" t="s">
        <v>74</v>
      </c>
      <c r="BP1856" t="s">
        <v>74</v>
      </c>
      <c r="BQ1856" t="s">
        <v>74</v>
      </c>
      <c r="BR1856" t="s">
        <v>96</v>
      </c>
      <c r="BS1856" t="s">
        <v>18026</v>
      </c>
      <c r="BT1856" t="str">
        <f>HYPERLINK("https%3A%2F%2Fwww.webofscience.com%2Fwos%2Fwoscc%2Ffull-record%2FWOS:000674543000002","View Full Record in Web of Science")</f>
        <v>View Full Record in Web of Science</v>
      </c>
    </row>
    <row r="1857" spans="1:72" x14ac:dyDescent="0.15">
      <c r="A1857" t="s">
        <v>98</v>
      </c>
      <c r="B1857" t="s">
        <v>18176</v>
      </c>
      <c r="C1857" t="s">
        <v>74</v>
      </c>
      <c r="D1857" t="s">
        <v>74</v>
      </c>
      <c r="E1857" t="s">
        <v>74</v>
      </c>
      <c r="F1857" t="s">
        <v>18177</v>
      </c>
      <c r="G1857" t="s">
        <v>74</v>
      </c>
      <c r="H1857" t="s">
        <v>74</v>
      </c>
      <c r="I1857" t="s">
        <v>18178</v>
      </c>
      <c r="J1857" t="s">
        <v>4486</v>
      </c>
      <c r="K1857" t="s">
        <v>74</v>
      </c>
      <c r="L1857" t="s">
        <v>74</v>
      </c>
      <c r="M1857" t="s">
        <v>74</v>
      </c>
      <c r="N1857" t="s">
        <v>103</v>
      </c>
      <c r="O1857" t="s">
        <v>74</v>
      </c>
      <c r="P1857" t="s">
        <v>74</v>
      </c>
      <c r="Q1857" t="s">
        <v>74</v>
      </c>
      <c r="R1857" t="s">
        <v>74</v>
      </c>
      <c r="S1857" t="s">
        <v>74</v>
      </c>
      <c r="T1857" t="s">
        <v>74</v>
      </c>
      <c r="U1857" t="s">
        <v>18179</v>
      </c>
      <c r="V1857" t="s">
        <v>18180</v>
      </c>
      <c r="W1857" t="s">
        <v>18181</v>
      </c>
      <c r="X1857" t="s">
        <v>74</v>
      </c>
      <c r="Y1857" t="s">
        <v>18182</v>
      </c>
      <c r="Z1857" t="s">
        <v>8435</v>
      </c>
      <c r="AA1857" t="s">
        <v>74</v>
      </c>
      <c r="AB1857" t="s">
        <v>18183</v>
      </c>
      <c r="AC1857" t="s">
        <v>74</v>
      </c>
      <c r="AD1857" t="s">
        <v>74</v>
      </c>
      <c r="AE1857" t="s">
        <v>74</v>
      </c>
      <c r="AF1857" t="s">
        <v>74</v>
      </c>
      <c r="AG1857">
        <v>34</v>
      </c>
      <c r="AH1857">
        <v>1</v>
      </c>
      <c r="AI1857">
        <v>1</v>
      </c>
      <c r="AJ1857">
        <v>62</v>
      </c>
      <c r="AK1857">
        <v>68</v>
      </c>
      <c r="AL1857" t="s">
        <v>74</v>
      </c>
      <c r="AM1857" t="s">
        <v>74</v>
      </c>
      <c r="AN1857" t="s">
        <v>74</v>
      </c>
      <c r="AO1857" t="s">
        <v>4493</v>
      </c>
      <c r="AP1857" t="s">
        <v>4494</v>
      </c>
      <c r="AQ1857" t="s">
        <v>74</v>
      </c>
      <c r="AR1857" t="s">
        <v>74</v>
      </c>
      <c r="AS1857" t="s">
        <v>74</v>
      </c>
      <c r="AT1857" t="s">
        <v>4965</v>
      </c>
      <c r="AU1857">
        <v>2022</v>
      </c>
      <c r="AV1857">
        <v>94</v>
      </c>
      <c r="AW1857">
        <v>4</v>
      </c>
      <c r="AX1857" t="s">
        <v>74</v>
      </c>
      <c r="AY1857" t="s">
        <v>74</v>
      </c>
      <c r="AZ1857" t="s">
        <v>74</v>
      </c>
      <c r="BA1857" t="s">
        <v>74</v>
      </c>
      <c r="BB1857">
        <v>2227</v>
      </c>
      <c r="BC1857">
        <v>2235</v>
      </c>
      <c r="BD1857" t="s">
        <v>74</v>
      </c>
      <c r="BE1857" t="s">
        <v>18184</v>
      </c>
      <c r="BF1857" t="str">
        <f>HYPERLINK("http://dx.doi.org/10.1021/acs.analchem.1c04916","http://dx.doi.org/10.1021/acs.analchem.1c04916")</f>
        <v>http://dx.doi.org/10.1021/acs.analchem.1c04916</v>
      </c>
      <c r="BG1857" t="s">
        <v>74</v>
      </c>
      <c r="BH1857" t="s">
        <v>5553</v>
      </c>
      <c r="BI1857" t="s">
        <v>74</v>
      </c>
      <c r="BJ1857" t="s">
        <v>1118</v>
      </c>
      <c r="BK1857" t="s">
        <v>117</v>
      </c>
      <c r="BL1857" t="s">
        <v>1048</v>
      </c>
      <c r="BM1857" t="s">
        <v>74</v>
      </c>
      <c r="BN1857">
        <v>35029990</v>
      </c>
      <c r="BO1857" t="s">
        <v>74</v>
      </c>
      <c r="BP1857" t="s">
        <v>74</v>
      </c>
      <c r="BQ1857" t="s">
        <v>74</v>
      </c>
      <c r="BR1857" t="s">
        <v>96</v>
      </c>
      <c r="BS1857" t="s">
        <v>18185</v>
      </c>
      <c r="BT1857" t="str">
        <f>HYPERLINK("https%3A%2F%2Fwww.webofscience.com%2Fwos%2Fwoscc%2Ffull-record%2FWOS:000768213600001","View Full Record in Web of Science")</f>
        <v>View Full Record in Web of Science</v>
      </c>
    </row>
    <row r="1858" spans="1:72" x14ac:dyDescent="0.15">
      <c r="A1858" t="s">
        <v>98</v>
      </c>
      <c r="B1858" t="s">
        <v>18360</v>
      </c>
      <c r="C1858" t="s">
        <v>74</v>
      </c>
      <c r="D1858" t="s">
        <v>74</v>
      </c>
      <c r="E1858" t="s">
        <v>74</v>
      </c>
      <c r="F1858" t="s">
        <v>18361</v>
      </c>
      <c r="G1858" t="s">
        <v>74</v>
      </c>
      <c r="H1858" t="s">
        <v>74</v>
      </c>
      <c r="I1858" t="s">
        <v>18362</v>
      </c>
      <c r="J1858" t="s">
        <v>18363</v>
      </c>
      <c r="K1858" t="s">
        <v>74</v>
      </c>
      <c r="L1858" t="s">
        <v>74</v>
      </c>
      <c r="M1858" t="s">
        <v>74</v>
      </c>
      <c r="N1858" t="s">
        <v>103</v>
      </c>
      <c r="O1858" t="s">
        <v>74</v>
      </c>
      <c r="P1858" t="s">
        <v>74</v>
      </c>
      <c r="Q1858" t="s">
        <v>74</v>
      </c>
      <c r="R1858" t="s">
        <v>74</v>
      </c>
      <c r="S1858" t="s">
        <v>74</v>
      </c>
      <c r="T1858" t="s">
        <v>18364</v>
      </c>
      <c r="U1858" t="s">
        <v>18365</v>
      </c>
      <c r="V1858" t="s">
        <v>18366</v>
      </c>
      <c r="W1858" t="s">
        <v>18367</v>
      </c>
      <c r="X1858" t="s">
        <v>18368</v>
      </c>
      <c r="Y1858" t="s">
        <v>18369</v>
      </c>
      <c r="Z1858" t="s">
        <v>18370</v>
      </c>
      <c r="AA1858" t="s">
        <v>18371</v>
      </c>
      <c r="AB1858" t="s">
        <v>18372</v>
      </c>
      <c r="AC1858" t="s">
        <v>74</v>
      </c>
      <c r="AD1858" t="s">
        <v>74</v>
      </c>
      <c r="AE1858" t="s">
        <v>74</v>
      </c>
      <c r="AF1858" t="s">
        <v>74</v>
      </c>
      <c r="AG1858">
        <v>40</v>
      </c>
      <c r="AH1858">
        <v>1</v>
      </c>
      <c r="AI1858">
        <v>1</v>
      </c>
      <c r="AJ1858">
        <v>1</v>
      </c>
      <c r="AK1858">
        <v>1</v>
      </c>
      <c r="AL1858" t="s">
        <v>74</v>
      </c>
      <c r="AM1858" t="s">
        <v>74</v>
      </c>
      <c r="AN1858" t="s">
        <v>74</v>
      </c>
      <c r="AO1858" t="s">
        <v>18373</v>
      </c>
      <c r="AP1858" t="s">
        <v>18374</v>
      </c>
      <c r="AQ1858" t="s">
        <v>74</v>
      </c>
      <c r="AR1858" t="s">
        <v>74</v>
      </c>
      <c r="AS1858" t="s">
        <v>74</v>
      </c>
      <c r="AT1858" t="s">
        <v>132</v>
      </c>
      <c r="AU1858">
        <v>2022</v>
      </c>
      <c r="AV1858">
        <v>16</v>
      </c>
      <c r="AW1858">
        <v>4</v>
      </c>
      <c r="AX1858" t="s">
        <v>74</v>
      </c>
      <c r="AY1858" t="s">
        <v>74</v>
      </c>
      <c r="AZ1858" t="s">
        <v>74</v>
      </c>
      <c r="BA1858" t="s">
        <v>74</v>
      </c>
      <c r="BB1858">
        <v>396</v>
      </c>
      <c r="BC1858">
        <v>408</v>
      </c>
      <c r="BD1858" t="s">
        <v>74</v>
      </c>
      <c r="BE1858" t="s">
        <v>18375</v>
      </c>
      <c r="BF1858" t="str">
        <f>HYPERLINK("http://dx.doi.org/10.1002/term.3289","http://dx.doi.org/10.1002/term.3289")</f>
        <v>http://dx.doi.org/10.1002/term.3289</v>
      </c>
      <c r="BG1858" t="s">
        <v>74</v>
      </c>
      <c r="BH1858" t="s">
        <v>1582</v>
      </c>
      <c r="BI1858" t="s">
        <v>74</v>
      </c>
      <c r="BJ1858" t="s">
        <v>18376</v>
      </c>
      <c r="BK1858" t="s">
        <v>117</v>
      </c>
      <c r="BL1858" t="s">
        <v>18377</v>
      </c>
      <c r="BM1858" t="s">
        <v>74</v>
      </c>
      <c r="BN1858">
        <v>35142442</v>
      </c>
      <c r="BO1858" t="s">
        <v>74</v>
      </c>
      <c r="BP1858" t="s">
        <v>74</v>
      </c>
      <c r="BQ1858" t="s">
        <v>74</v>
      </c>
      <c r="BR1858" t="s">
        <v>96</v>
      </c>
      <c r="BS1858" t="s">
        <v>18378</v>
      </c>
      <c r="BT1858" t="str">
        <f>HYPERLINK("https%3A%2F%2Fwww.webofscience.com%2Fwos%2Fwoscc%2Ffull-record%2FWOS:000753461100001","View Full Record in Web of Science")</f>
        <v>View Full Record in Web of Science</v>
      </c>
    </row>
    <row r="1859" spans="1:72" x14ac:dyDescent="0.15">
      <c r="A1859" t="s">
        <v>98</v>
      </c>
      <c r="B1859" t="s">
        <v>18863</v>
      </c>
      <c r="C1859" t="s">
        <v>74</v>
      </c>
      <c r="D1859" t="s">
        <v>74</v>
      </c>
      <c r="E1859" t="s">
        <v>74</v>
      </c>
      <c r="F1859" t="s">
        <v>18864</v>
      </c>
      <c r="G1859" t="s">
        <v>74</v>
      </c>
      <c r="H1859" t="s">
        <v>74</v>
      </c>
      <c r="I1859" t="s">
        <v>18865</v>
      </c>
      <c r="J1859" t="s">
        <v>3700</v>
      </c>
      <c r="K1859" t="s">
        <v>74</v>
      </c>
      <c r="L1859" t="s">
        <v>74</v>
      </c>
      <c r="M1859" t="s">
        <v>74</v>
      </c>
      <c r="N1859" t="s">
        <v>103</v>
      </c>
      <c r="O1859" t="s">
        <v>74</v>
      </c>
      <c r="P1859" t="s">
        <v>74</v>
      </c>
      <c r="Q1859" t="s">
        <v>74</v>
      </c>
      <c r="R1859" t="s">
        <v>74</v>
      </c>
      <c r="S1859" t="s">
        <v>74</v>
      </c>
      <c r="T1859" t="s">
        <v>74</v>
      </c>
      <c r="U1859" t="s">
        <v>18866</v>
      </c>
      <c r="V1859" t="s">
        <v>18867</v>
      </c>
      <c r="W1859" t="s">
        <v>18868</v>
      </c>
      <c r="X1859" t="s">
        <v>17126</v>
      </c>
      <c r="Y1859" t="s">
        <v>18869</v>
      </c>
      <c r="Z1859" t="s">
        <v>18870</v>
      </c>
      <c r="AA1859" t="s">
        <v>74</v>
      </c>
      <c r="AB1859" t="s">
        <v>18871</v>
      </c>
      <c r="AC1859" t="s">
        <v>74</v>
      </c>
      <c r="AD1859" t="s">
        <v>74</v>
      </c>
      <c r="AE1859" t="s">
        <v>74</v>
      </c>
      <c r="AF1859" t="s">
        <v>74</v>
      </c>
      <c r="AG1859">
        <v>77</v>
      </c>
      <c r="AH1859">
        <v>1</v>
      </c>
      <c r="AI1859">
        <v>1</v>
      </c>
      <c r="AJ1859">
        <v>4</v>
      </c>
      <c r="AK1859">
        <v>5</v>
      </c>
      <c r="AL1859" t="s">
        <v>74</v>
      </c>
      <c r="AM1859" t="s">
        <v>74</v>
      </c>
      <c r="AN1859" t="s">
        <v>74</v>
      </c>
      <c r="AO1859" t="s">
        <v>74</v>
      </c>
      <c r="AP1859" t="s">
        <v>3711</v>
      </c>
      <c r="AQ1859" t="s">
        <v>74</v>
      </c>
      <c r="AR1859" t="s">
        <v>74</v>
      </c>
      <c r="AS1859" t="s">
        <v>74</v>
      </c>
      <c r="AT1859" t="s">
        <v>114</v>
      </c>
      <c r="AU1859">
        <v>2022</v>
      </c>
      <c r="AV1859">
        <v>298</v>
      </c>
      <c r="AW1859">
        <v>1</v>
      </c>
      <c r="AX1859" t="s">
        <v>74</v>
      </c>
      <c r="AY1859" t="s">
        <v>74</v>
      </c>
      <c r="AZ1859" t="s">
        <v>74</v>
      </c>
      <c r="BA1859" t="s">
        <v>74</v>
      </c>
      <c r="BB1859" t="s">
        <v>74</v>
      </c>
      <c r="BC1859" t="s">
        <v>74</v>
      </c>
      <c r="BD1859">
        <v>101523</v>
      </c>
      <c r="BE1859" t="s">
        <v>18872</v>
      </c>
      <c r="BF1859" t="str">
        <f>HYPERLINK("http://dx.doi.org/10.1016/j.jbc.2021.101523","http://dx.doi.org/10.1016/j.jbc.2021.101523")</f>
        <v>http://dx.doi.org/10.1016/j.jbc.2021.101523</v>
      </c>
      <c r="BG1859" t="s">
        <v>74</v>
      </c>
      <c r="BH1859" t="s">
        <v>74</v>
      </c>
      <c r="BI1859" t="s">
        <v>74</v>
      </c>
      <c r="BJ1859" t="s">
        <v>95</v>
      </c>
      <c r="BK1859" t="s">
        <v>117</v>
      </c>
      <c r="BL1859" t="s">
        <v>95</v>
      </c>
      <c r="BM1859" t="s">
        <v>74</v>
      </c>
      <c r="BN1859">
        <v>34953858</v>
      </c>
      <c r="BO1859" t="s">
        <v>74</v>
      </c>
      <c r="BP1859" t="s">
        <v>74</v>
      </c>
      <c r="BQ1859" t="s">
        <v>74</v>
      </c>
      <c r="BR1859" t="s">
        <v>96</v>
      </c>
      <c r="BS1859" t="s">
        <v>18873</v>
      </c>
      <c r="BT1859" t="str">
        <f>HYPERLINK("https%3A%2F%2Fwww.webofscience.com%2Fwos%2Fwoscc%2Ffull-record%2FWOS:000748274300003","View Full Record in Web of Science")</f>
        <v>View Full Record in Web of Science</v>
      </c>
    </row>
    <row r="1860" spans="1:72" x14ac:dyDescent="0.15">
      <c r="A1860" t="s">
        <v>98</v>
      </c>
      <c r="B1860" t="s">
        <v>19177</v>
      </c>
      <c r="C1860" t="s">
        <v>74</v>
      </c>
      <c r="D1860" t="s">
        <v>74</v>
      </c>
      <c r="E1860" t="s">
        <v>74</v>
      </c>
      <c r="F1860" t="s">
        <v>19178</v>
      </c>
      <c r="G1860" t="s">
        <v>74</v>
      </c>
      <c r="H1860" t="s">
        <v>74</v>
      </c>
      <c r="I1860" t="s">
        <v>19179</v>
      </c>
      <c r="J1860" t="s">
        <v>5139</v>
      </c>
      <c r="K1860" t="s">
        <v>74</v>
      </c>
      <c r="L1860" t="s">
        <v>74</v>
      </c>
      <c r="M1860" t="s">
        <v>74</v>
      </c>
      <c r="N1860" t="s">
        <v>103</v>
      </c>
      <c r="O1860" t="s">
        <v>74</v>
      </c>
      <c r="P1860" t="s">
        <v>74</v>
      </c>
      <c r="Q1860" t="s">
        <v>74</v>
      </c>
      <c r="R1860" t="s">
        <v>74</v>
      </c>
      <c r="S1860" t="s">
        <v>74</v>
      </c>
      <c r="T1860" t="s">
        <v>74</v>
      </c>
      <c r="U1860" t="s">
        <v>19180</v>
      </c>
      <c r="V1860" t="s">
        <v>19181</v>
      </c>
      <c r="W1860" t="s">
        <v>19182</v>
      </c>
      <c r="X1860" t="s">
        <v>19183</v>
      </c>
      <c r="Y1860" t="s">
        <v>19184</v>
      </c>
      <c r="Z1860" t="s">
        <v>1551</v>
      </c>
      <c r="AA1860" t="s">
        <v>19185</v>
      </c>
      <c r="AB1860" t="s">
        <v>19186</v>
      </c>
      <c r="AC1860" t="s">
        <v>74</v>
      </c>
      <c r="AD1860" t="s">
        <v>74</v>
      </c>
      <c r="AE1860" t="s">
        <v>74</v>
      </c>
      <c r="AF1860" t="s">
        <v>74</v>
      </c>
      <c r="AG1860">
        <v>49</v>
      </c>
      <c r="AH1860">
        <v>1</v>
      </c>
      <c r="AI1860">
        <v>1</v>
      </c>
      <c r="AJ1860">
        <v>11</v>
      </c>
      <c r="AK1860">
        <v>11</v>
      </c>
      <c r="AL1860" t="s">
        <v>74</v>
      </c>
      <c r="AM1860" t="s">
        <v>74</v>
      </c>
      <c r="AN1860" t="s">
        <v>74</v>
      </c>
      <c r="AO1860" t="s">
        <v>74</v>
      </c>
      <c r="AP1860" t="s">
        <v>5148</v>
      </c>
      <c r="AQ1860" t="s">
        <v>74</v>
      </c>
      <c r="AR1860" t="s">
        <v>74</v>
      </c>
      <c r="AS1860" t="s">
        <v>74</v>
      </c>
      <c r="AT1860" t="s">
        <v>4530</v>
      </c>
      <c r="AU1860">
        <v>2022</v>
      </c>
      <c r="AV1860">
        <v>13</v>
      </c>
      <c r="AW1860">
        <v>1</v>
      </c>
      <c r="AX1860" t="s">
        <v>74</v>
      </c>
      <c r="AY1860" t="s">
        <v>74</v>
      </c>
      <c r="AZ1860" t="s">
        <v>74</v>
      </c>
      <c r="BA1860" t="s">
        <v>74</v>
      </c>
      <c r="BB1860" t="s">
        <v>74</v>
      </c>
      <c r="BC1860" t="s">
        <v>74</v>
      </c>
      <c r="BD1860">
        <v>565</v>
      </c>
      <c r="BE1860" t="s">
        <v>19187</v>
      </c>
      <c r="BF1860" t="str">
        <f>HYPERLINK("http://dx.doi.org/10.1038/s41467-022-28239-2","http://dx.doi.org/10.1038/s41467-022-28239-2")</f>
        <v>http://dx.doi.org/10.1038/s41467-022-28239-2</v>
      </c>
      <c r="BG1860" t="s">
        <v>74</v>
      </c>
      <c r="BH1860" t="s">
        <v>74</v>
      </c>
      <c r="BI1860" t="s">
        <v>74</v>
      </c>
      <c r="BJ1860" t="s">
        <v>152</v>
      </c>
      <c r="BK1860" t="s">
        <v>117</v>
      </c>
      <c r="BL1860" t="s">
        <v>153</v>
      </c>
      <c r="BM1860" t="s">
        <v>74</v>
      </c>
      <c r="BN1860">
        <v>35091566</v>
      </c>
      <c r="BO1860" t="s">
        <v>74</v>
      </c>
      <c r="BP1860" t="s">
        <v>74</v>
      </c>
      <c r="BQ1860" t="s">
        <v>74</v>
      </c>
      <c r="BR1860" t="s">
        <v>96</v>
      </c>
      <c r="BS1860" t="s">
        <v>19188</v>
      </c>
      <c r="BT1860" t="str">
        <f>HYPERLINK("https%3A%2F%2Fwww.webofscience.com%2Fwos%2Fwoscc%2Ffull-record%2FWOS:000749314100008","View Full Record in Web of Science")</f>
        <v>View Full Record in Web of Science</v>
      </c>
    </row>
    <row r="1861" spans="1:72" x14ac:dyDescent="0.15">
      <c r="A1861" t="s">
        <v>98</v>
      </c>
      <c r="B1861" t="s">
        <v>19851</v>
      </c>
      <c r="C1861" t="s">
        <v>74</v>
      </c>
      <c r="D1861" t="s">
        <v>74</v>
      </c>
      <c r="E1861" t="s">
        <v>74</v>
      </c>
      <c r="F1861" t="s">
        <v>19852</v>
      </c>
      <c r="G1861" t="s">
        <v>74</v>
      </c>
      <c r="H1861" t="s">
        <v>74</v>
      </c>
      <c r="I1861" t="s">
        <v>19853</v>
      </c>
      <c r="J1861" t="s">
        <v>256</v>
      </c>
      <c r="K1861" t="s">
        <v>74</v>
      </c>
      <c r="L1861" t="s">
        <v>74</v>
      </c>
      <c r="M1861" t="s">
        <v>74</v>
      </c>
      <c r="N1861" t="s">
        <v>103</v>
      </c>
      <c r="O1861" t="s">
        <v>74</v>
      </c>
      <c r="P1861" t="s">
        <v>74</v>
      </c>
      <c r="Q1861" t="s">
        <v>74</v>
      </c>
      <c r="R1861" t="s">
        <v>74</v>
      </c>
      <c r="S1861" t="s">
        <v>74</v>
      </c>
      <c r="T1861" t="s">
        <v>19854</v>
      </c>
      <c r="U1861" t="s">
        <v>19855</v>
      </c>
      <c r="V1861" t="s">
        <v>19856</v>
      </c>
      <c r="W1861" t="s">
        <v>19857</v>
      </c>
      <c r="X1861" t="s">
        <v>9415</v>
      </c>
      <c r="Y1861" t="s">
        <v>19858</v>
      </c>
      <c r="Z1861" t="s">
        <v>19859</v>
      </c>
      <c r="AA1861" t="s">
        <v>74</v>
      </c>
      <c r="AB1861" t="s">
        <v>19860</v>
      </c>
      <c r="AC1861" t="s">
        <v>74</v>
      </c>
      <c r="AD1861" t="s">
        <v>74</v>
      </c>
      <c r="AE1861" t="s">
        <v>74</v>
      </c>
      <c r="AF1861" t="s">
        <v>74</v>
      </c>
      <c r="AG1861">
        <v>31</v>
      </c>
      <c r="AH1861">
        <v>1</v>
      </c>
      <c r="AI1861">
        <v>1</v>
      </c>
      <c r="AJ1861">
        <v>0</v>
      </c>
      <c r="AK1861">
        <v>2</v>
      </c>
      <c r="AL1861" t="s">
        <v>74</v>
      </c>
      <c r="AM1861" t="s">
        <v>74</v>
      </c>
      <c r="AN1861" t="s">
        <v>74</v>
      </c>
      <c r="AO1861" t="s">
        <v>74</v>
      </c>
      <c r="AP1861" t="s">
        <v>264</v>
      </c>
      <c r="AQ1861" t="s">
        <v>74</v>
      </c>
      <c r="AR1861" t="s">
        <v>74</v>
      </c>
      <c r="AS1861" t="s">
        <v>74</v>
      </c>
      <c r="AT1861" t="s">
        <v>19861</v>
      </c>
      <c r="AU1861">
        <v>2021</v>
      </c>
      <c r="AV1861">
        <v>21</v>
      </c>
      <c r="AW1861">
        <v>1</v>
      </c>
      <c r="AX1861" t="s">
        <v>74</v>
      </c>
      <c r="AY1861" t="s">
        <v>74</v>
      </c>
      <c r="AZ1861" t="s">
        <v>74</v>
      </c>
      <c r="BA1861" t="s">
        <v>74</v>
      </c>
      <c r="BB1861" t="s">
        <v>74</v>
      </c>
      <c r="BC1861" t="s">
        <v>74</v>
      </c>
      <c r="BD1861">
        <v>1062</v>
      </c>
      <c r="BE1861" t="s">
        <v>19862</v>
      </c>
      <c r="BF1861" t="str">
        <f>HYPERLINK("http://dx.doi.org/10.1186/s12885-021-08785-6","http://dx.doi.org/10.1186/s12885-021-08785-6")</f>
        <v>http://dx.doi.org/10.1186/s12885-021-08785-6</v>
      </c>
      <c r="BG1861" t="s">
        <v>74</v>
      </c>
      <c r="BH1861" t="s">
        <v>74</v>
      </c>
      <c r="BI1861" t="s">
        <v>74</v>
      </c>
      <c r="BJ1861" t="s">
        <v>267</v>
      </c>
      <c r="BK1861" t="s">
        <v>117</v>
      </c>
      <c r="BL1861" t="s">
        <v>267</v>
      </c>
      <c r="BM1861" t="s">
        <v>74</v>
      </c>
      <c r="BN1861">
        <v>34565331</v>
      </c>
      <c r="BO1861" t="s">
        <v>74</v>
      </c>
      <c r="BP1861" t="s">
        <v>74</v>
      </c>
      <c r="BQ1861" t="s">
        <v>74</v>
      </c>
      <c r="BR1861" t="s">
        <v>96</v>
      </c>
      <c r="BS1861" t="s">
        <v>19863</v>
      </c>
      <c r="BT1861" t="str">
        <f>HYPERLINK("https%3A%2F%2Fwww.webofscience.com%2Fwos%2Fwoscc%2Ffull-record%2FWOS:000701269500002","View Full Record in Web of Science")</f>
        <v>View Full Record in Web of Science</v>
      </c>
    </row>
    <row r="1862" spans="1:72" x14ac:dyDescent="0.15">
      <c r="A1862" t="s">
        <v>98</v>
      </c>
      <c r="B1862" t="s">
        <v>19929</v>
      </c>
      <c r="C1862" t="s">
        <v>74</v>
      </c>
      <c r="D1862" t="s">
        <v>74</v>
      </c>
      <c r="E1862" t="s">
        <v>74</v>
      </c>
      <c r="F1862" t="s">
        <v>19930</v>
      </c>
      <c r="G1862" t="s">
        <v>74</v>
      </c>
      <c r="H1862" t="s">
        <v>74</v>
      </c>
      <c r="I1862" t="s">
        <v>19931</v>
      </c>
      <c r="J1862" t="s">
        <v>19882</v>
      </c>
      <c r="K1862" t="s">
        <v>74</v>
      </c>
      <c r="L1862" t="s">
        <v>74</v>
      </c>
      <c r="M1862" t="s">
        <v>74</v>
      </c>
      <c r="N1862" t="s">
        <v>103</v>
      </c>
      <c r="O1862" t="s">
        <v>74</v>
      </c>
      <c r="P1862" t="s">
        <v>74</v>
      </c>
      <c r="Q1862" t="s">
        <v>74</v>
      </c>
      <c r="R1862" t="s">
        <v>74</v>
      </c>
      <c r="S1862" t="s">
        <v>74</v>
      </c>
      <c r="T1862" t="s">
        <v>19932</v>
      </c>
      <c r="U1862" t="s">
        <v>19933</v>
      </c>
      <c r="V1862" t="s">
        <v>19934</v>
      </c>
      <c r="W1862" t="s">
        <v>19935</v>
      </c>
      <c r="X1862" t="s">
        <v>19936</v>
      </c>
      <c r="Y1862" t="s">
        <v>19937</v>
      </c>
      <c r="Z1862" t="s">
        <v>19938</v>
      </c>
      <c r="AA1862" t="s">
        <v>74</v>
      </c>
      <c r="AB1862" t="s">
        <v>19939</v>
      </c>
      <c r="AC1862" t="s">
        <v>74</v>
      </c>
      <c r="AD1862" t="s">
        <v>74</v>
      </c>
      <c r="AE1862" t="s">
        <v>74</v>
      </c>
      <c r="AF1862" t="s">
        <v>74</v>
      </c>
      <c r="AG1862">
        <v>45</v>
      </c>
      <c r="AH1862">
        <v>1</v>
      </c>
      <c r="AI1862">
        <v>1</v>
      </c>
      <c r="AJ1862">
        <v>0</v>
      </c>
      <c r="AK1862">
        <v>0</v>
      </c>
      <c r="AL1862" t="s">
        <v>74</v>
      </c>
      <c r="AM1862" t="s">
        <v>74</v>
      </c>
      <c r="AN1862" t="s">
        <v>74</v>
      </c>
      <c r="AO1862" t="s">
        <v>19890</v>
      </c>
      <c r="AP1862" t="s">
        <v>19891</v>
      </c>
      <c r="AQ1862" t="s">
        <v>74</v>
      </c>
      <c r="AR1862" t="s">
        <v>74</v>
      </c>
      <c r="AS1862" t="s">
        <v>74</v>
      </c>
      <c r="AT1862" t="s">
        <v>211</v>
      </c>
      <c r="AU1862">
        <v>2021</v>
      </c>
      <c r="AV1862">
        <v>258</v>
      </c>
      <c r="AW1862" t="s">
        <v>74</v>
      </c>
      <c r="AX1862" t="s">
        <v>74</v>
      </c>
      <c r="AY1862" t="s">
        <v>74</v>
      </c>
      <c r="AZ1862" t="s">
        <v>74</v>
      </c>
      <c r="BA1862" t="s">
        <v>74</v>
      </c>
      <c r="BB1862">
        <v>93</v>
      </c>
      <c r="BC1862">
        <v>100</v>
      </c>
      <c r="BD1862" t="s">
        <v>74</v>
      </c>
      <c r="BE1862" t="s">
        <v>19940</v>
      </c>
      <c r="BF1862" t="str">
        <f>HYPERLINK("http://dx.doi.org/10.1016/j.cancergen.2021.08.005","http://dx.doi.org/10.1016/j.cancergen.2021.08.005")</f>
        <v>http://dx.doi.org/10.1016/j.cancergen.2021.08.005</v>
      </c>
      <c r="BG1862" t="s">
        <v>74</v>
      </c>
      <c r="BH1862" t="s">
        <v>1967</v>
      </c>
      <c r="BI1862" t="s">
        <v>74</v>
      </c>
      <c r="BJ1862" t="s">
        <v>12437</v>
      </c>
      <c r="BK1862" t="s">
        <v>117</v>
      </c>
      <c r="BL1862" t="s">
        <v>12437</v>
      </c>
      <c r="BM1862" t="s">
        <v>74</v>
      </c>
      <c r="BN1862">
        <v>34688997</v>
      </c>
      <c r="BO1862" t="s">
        <v>74</v>
      </c>
      <c r="BP1862" t="s">
        <v>74</v>
      </c>
      <c r="BQ1862" t="s">
        <v>74</v>
      </c>
      <c r="BR1862" t="s">
        <v>96</v>
      </c>
      <c r="BS1862" t="s">
        <v>19941</v>
      </c>
      <c r="BT1862" t="str">
        <f>HYPERLINK("https%3A%2F%2Fwww.webofscience.com%2Fwos%2Fwoscc%2Ffull-record%2FWOS:000712461400001","View Full Record in Web of Science")</f>
        <v>View Full Record in Web of Science</v>
      </c>
    </row>
    <row r="1863" spans="1:72" x14ac:dyDescent="0.15">
      <c r="A1863" t="s">
        <v>98</v>
      </c>
      <c r="B1863" t="s">
        <v>20271</v>
      </c>
      <c r="C1863" t="s">
        <v>74</v>
      </c>
      <c r="D1863" t="s">
        <v>74</v>
      </c>
      <c r="E1863" t="s">
        <v>74</v>
      </c>
      <c r="F1863" t="s">
        <v>20272</v>
      </c>
      <c r="G1863" t="s">
        <v>74</v>
      </c>
      <c r="H1863" t="s">
        <v>74</v>
      </c>
      <c r="I1863" t="s">
        <v>20273</v>
      </c>
      <c r="J1863" t="s">
        <v>15253</v>
      </c>
      <c r="K1863" t="s">
        <v>74</v>
      </c>
      <c r="L1863" t="s">
        <v>74</v>
      </c>
      <c r="M1863" t="s">
        <v>74</v>
      </c>
      <c r="N1863" t="s">
        <v>103</v>
      </c>
      <c r="O1863" t="s">
        <v>74</v>
      </c>
      <c r="P1863" t="s">
        <v>74</v>
      </c>
      <c r="Q1863" t="s">
        <v>74</v>
      </c>
      <c r="R1863" t="s">
        <v>74</v>
      </c>
      <c r="S1863" t="s">
        <v>74</v>
      </c>
      <c r="T1863" t="s">
        <v>20274</v>
      </c>
      <c r="U1863" t="s">
        <v>20275</v>
      </c>
      <c r="V1863" t="s">
        <v>20276</v>
      </c>
      <c r="W1863" t="s">
        <v>20277</v>
      </c>
      <c r="X1863" t="s">
        <v>20278</v>
      </c>
      <c r="Y1863" t="s">
        <v>20279</v>
      </c>
      <c r="Z1863" t="s">
        <v>20280</v>
      </c>
      <c r="AA1863" t="s">
        <v>74</v>
      </c>
      <c r="AB1863" t="s">
        <v>74</v>
      </c>
      <c r="AC1863" t="s">
        <v>74</v>
      </c>
      <c r="AD1863" t="s">
        <v>74</v>
      </c>
      <c r="AE1863" t="s">
        <v>74</v>
      </c>
      <c r="AF1863" t="s">
        <v>74</v>
      </c>
      <c r="AG1863">
        <v>106</v>
      </c>
      <c r="AH1863">
        <v>1</v>
      </c>
      <c r="AI1863">
        <v>2</v>
      </c>
      <c r="AJ1863">
        <v>1</v>
      </c>
      <c r="AK1863">
        <v>2</v>
      </c>
      <c r="AL1863" t="s">
        <v>74</v>
      </c>
      <c r="AM1863" t="s">
        <v>74</v>
      </c>
      <c r="AN1863" t="s">
        <v>74</v>
      </c>
      <c r="AO1863" t="s">
        <v>15261</v>
      </c>
      <c r="AP1863" t="s">
        <v>74</v>
      </c>
      <c r="AQ1863" t="s">
        <v>74</v>
      </c>
      <c r="AR1863" t="s">
        <v>74</v>
      </c>
      <c r="AS1863" t="s">
        <v>74</v>
      </c>
      <c r="AT1863" t="s">
        <v>74</v>
      </c>
      <c r="AU1863">
        <v>2020</v>
      </c>
      <c r="AV1863">
        <v>12</v>
      </c>
      <c r="AW1863" t="s">
        <v>74</v>
      </c>
      <c r="AX1863" t="s">
        <v>74</v>
      </c>
      <c r="AY1863" t="s">
        <v>74</v>
      </c>
      <c r="AZ1863" t="s">
        <v>74</v>
      </c>
      <c r="BA1863" t="s">
        <v>74</v>
      </c>
      <c r="BB1863">
        <v>3877</v>
      </c>
      <c r="BC1863">
        <v>3889</v>
      </c>
      <c r="BD1863" t="s">
        <v>74</v>
      </c>
      <c r="BE1863" t="s">
        <v>20281</v>
      </c>
      <c r="BF1863" t="str">
        <f>HYPERLINK("http://dx.doi.org/10.2147/CMAR.S238227","http://dx.doi.org/10.2147/CMAR.S238227")</f>
        <v>http://dx.doi.org/10.2147/CMAR.S238227</v>
      </c>
      <c r="BG1863" t="s">
        <v>74</v>
      </c>
      <c r="BH1863" t="s">
        <v>74</v>
      </c>
      <c r="BI1863" t="s">
        <v>74</v>
      </c>
      <c r="BJ1863" t="s">
        <v>267</v>
      </c>
      <c r="BK1863" t="s">
        <v>117</v>
      </c>
      <c r="BL1863" t="s">
        <v>267</v>
      </c>
      <c r="BM1863" t="s">
        <v>74</v>
      </c>
      <c r="BN1863">
        <v>32547224</v>
      </c>
      <c r="BO1863" t="s">
        <v>74</v>
      </c>
      <c r="BP1863" t="s">
        <v>74</v>
      </c>
      <c r="BQ1863" t="s">
        <v>74</v>
      </c>
      <c r="BR1863" t="s">
        <v>96</v>
      </c>
      <c r="BS1863" t="s">
        <v>20282</v>
      </c>
      <c r="BT1863" t="str">
        <f>HYPERLINK("https%3A%2F%2Fwww.webofscience.com%2Fwos%2Fwoscc%2Ffull-record%2FWOS:000535247700001","View Full Record in Web of Science")</f>
        <v>View Full Record in Web of Science</v>
      </c>
    </row>
    <row r="1864" spans="1:72" x14ac:dyDescent="0.15">
      <c r="A1864" t="s">
        <v>98</v>
      </c>
      <c r="B1864" t="s">
        <v>20340</v>
      </c>
      <c r="C1864" t="s">
        <v>74</v>
      </c>
      <c r="D1864" t="s">
        <v>74</v>
      </c>
      <c r="E1864" t="s">
        <v>74</v>
      </c>
      <c r="F1864" t="s">
        <v>20341</v>
      </c>
      <c r="G1864" t="s">
        <v>74</v>
      </c>
      <c r="H1864" t="s">
        <v>74</v>
      </c>
      <c r="I1864" t="s">
        <v>20342</v>
      </c>
      <c r="J1864" t="s">
        <v>14487</v>
      </c>
      <c r="K1864" t="s">
        <v>74</v>
      </c>
      <c r="L1864" t="s">
        <v>74</v>
      </c>
      <c r="M1864" t="s">
        <v>74</v>
      </c>
      <c r="N1864" t="s">
        <v>103</v>
      </c>
      <c r="O1864" t="s">
        <v>74</v>
      </c>
      <c r="P1864" t="s">
        <v>74</v>
      </c>
      <c r="Q1864" t="s">
        <v>74</v>
      </c>
      <c r="R1864" t="s">
        <v>74</v>
      </c>
      <c r="S1864" t="s">
        <v>74</v>
      </c>
      <c r="T1864" t="s">
        <v>20343</v>
      </c>
      <c r="U1864" t="s">
        <v>20344</v>
      </c>
      <c r="V1864" t="s">
        <v>20345</v>
      </c>
      <c r="W1864" t="s">
        <v>20346</v>
      </c>
      <c r="X1864" t="s">
        <v>20347</v>
      </c>
      <c r="Y1864" t="s">
        <v>20348</v>
      </c>
      <c r="Z1864" t="s">
        <v>20349</v>
      </c>
      <c r="AA1864" t="s">
        <v>74</v>
      </c>
      <c r="AB1864" t="s">
        <v>74</v>
      </c>
      <c r="AC1864" t="s">
        <v>74</v>
      </c>
      <c r="AD1864" t="s">
        <v>74</v>
      </c>
      <c r="AE1864" t="s">
        <v>74</v>
      </c>
      <c r="AF1864" t="s">
        <v>74</v>
      </c>
      <c r="AG1864">
        <v>45</v>
      </c>
      <c r="AH1864">
        <v>1</v>
      </c>
      <c r="AI1864">
        <v>1</v>
      </c>
      <c r="AJ1864">
        <v>14</v>
      </c>
      <c r="AK1864">
        <v>14</v>
      </c>
      <c r="AL1864" t="s">
        <v>74</v>
      </c>
      <c r="AM1864" t="s">
        <v>74</v>
      </c>
      <c r="AN1864" t="s">
        <v>74</v>
      </c>
      <c r="AO1864" t="s">
        <v>14496</v>
      </c>
      <c r="AP1864" t="s">
        <v>14497</v>
      </c>
      <c r="AQ1864" t="s">
        <v>74</v>
      </c>
      <c r="AR1864" t="s">
        <v>74</v>
      </c>
      <c r="AS1864" t="s">
        <v>74</v>
      </c>
      <c r="AT1864" t="s">
        <v>614</v>
      </c>
      <c r="AU1864">
        <v>2022</v>
      </c>
      <c r="AV1864">
        <v>215</v>
      </c>
      <c r="AW1864" t="s">
        <v>74</v>
      </c>
      <c r="AX1864" t="s">
        <v>74</v>
      </c>
      <c r="AY1864" t="s">
        <v>74</v>
      </c>
      <c r="AZ1864" t="s">
        <v>74</v>
      </c>
      <c r="BA1864" t="s">
        <v>74</v>
      </c>
      <c r="BB1864" t="s">
        <v>74</v>
      </c>
      <c r="BC1864" t="s">
        <v>74</v>
      </c>
      <c r="BD1864">
        <v>112505</v>
      </c>
      <c r="BE1864" t="s">
        <v>20350</v>
      </c>
      <c r="BF1864" t="str">
        <f>HYPERLINK("http://dx.doi.org/10.1016/j.colsurfb.2022.112505","http://dx.doi.org/10.1016/j.colsurfb.2022.112505")</f>
        <v>http://dx.doi.org/10.1016/j.colsurfb.2022.112505</v>
      </c>
      <c r="BG1864" t="s">
        <v>74</v>
      </c>
      <c r="BH1864" t="s">
        <v>74</v>
      </c>
      <c r="BI1864" t="s">
        <v>74</v>
      </c>
      <c r="BJ1864" t="s">
        <v>14499</v>
      </c>
      <c r="BK1864" t="s">
        <v>117</v>
      </c>
      <c r="BL1864" t="s">
        <v>14500</v>
      </c>
      <c r="BM1864" t="s">
        <v>74</v>
      </c>
      <c r="BN1864">
        <v>35487070</v>
      </c>
      <c r="BO1864" t="s">
        <v>74</v>
      </c>
      <c r="BP1864" t="s">
        <v>74</v>
      </c>
      <c r="BQ1864" t="s">
        <v>74</v>
      </c>
      <c r="BR1864" t="s">
        <v>96</v>
      </c>
      <c r="BS1864" t="s">
        <v>20351</v>
      </c>
      <c r="BT1864" t="str">
        <f>HYPERLINK("https%3A%2F%2Fwww.webofscience.com%2Fwos%2Fwoscc%2Ffull-record%2FWOS:000797572300003","View Full Record in Web of Science")</f>
        <v>View Full Record in Web of Science</v>
      </c>
    </row>
    <row r="1865" spans="1:72" x14ac:dyDescent="0.15">
      <c r="A1865" t="s">
        <v>98</v>
      </c>
      <c r="B1865" t="s">
        <v>20392</v>
      </c>
      <c r="C1865" t="s">
        <v>74</v>
      </c>
      <c r="D1865" t="s">
        <v>74</v>
      </c>
      <c r="E1865" t="s">
        <v>74</v>
      </c>
      <c r="F1865" t="s">
        <v>20393</v>
      </c>
      <c r="G1865" t="s">
        <v>74</v>
      </c>
      <c r="H1865" t="s">
        <v>74</v>
      </c>
      <c r="I1865" t="s">
        <v>20394</v>
      </c>
      <c r="J1865" t="s">
        <v>20395</v>
      </c>
      <c r="K1865" t="s">
        <v>74</v>
      </c>
      <c r="L1865" t="s">
        <v>74</v>
      </c>
      <c r="M1865" t="s">
        <v>74</v>
      </c>
      <c r="N1865" t="s">
        <v>103</v>
      </c>
      <c r="O1865" t="s">
        <v>74</v>
      </c>
      <c r="P1865" t="s">
        <v>74</v>
      </c>
      <c r="Q1865" t="s">
        <v>74</v>
      </c>
      <c r="R1865" t="s">
        <v>74</v>
      </c>
      <c r="S1865" t="s">
        <v>74</v>
      </c>
      <c r="T1865" t="s">
        <v>20396</v>
      </c>
      <c r="U1865" t="s">
        <v>20397</v>
      </c>
      <c r="V1865" t="s">
        <v>20398</v>
      </c>
      <c r="W1865" t="s">
        <v>20399</v>
      </c>
      <c r="X1865" t="s">
        <v>20400</v>
      </c>
      <c r="Y1865" t="s">
        <v>20401</v>
      </c>
      <c r="Z1865" t="s">
        <v>20402</v>
      </c>
      <c r="AA1865" t="s">
        <v>20403</v>
      </c>
      <c r="AB1865" t="s">
        <v>20404</v>
      </c>
      <c r="AC1865" t="s">
        <v>74</v>
      </c>
      <c r="AD1865" t="s">
        <v>74</v>
      </c>
      <c r="AE1865" t="s">
        <v>74</v>
      </c>
      <c r="AF1865" t="s">
        <v>74</v>
      </c>
      <c r="AG1865">
        <v>36</v>
      </c>
      <c r="AH1865">
        <v>1</v>
      </c>
      <c r="AI1865">
        <v>1</v>
      </c>
      <c r="AJ1865">
        <v>4</v>
      </c>
      <c r="AK1865">
        <v>5</v>
      </c>
      <c r="AL1865" t="s">
        <v>74</v>
      </c>
      <c r="AM1865" t="s">
        <v>74</v>
      </c>
      <c r="AN1865" t="s">
        <v>74</v>
      </c>
      <c r="AO1865" t="s">
        <v>20405</v>
      </c>
      <c r="AP1865" t="s">
        <v>20406</v>
      </c>
      <c r="AQ1865" t="s">
        <v>74</v>
      </c>
      <c r="AR1865" t="s">
        <v>74</v>
      </c>
      <c r="AS1865" t="s">
        <v>74</v>
      </c>
      <c r="AT1865" t="s">
        <v>114</v>
      </c>
      <c r="AU1865">
        <v>2021</v>
      </c>
      <c r="AV1865">
        <v>143</v>
      </c>
      <c r="AW1865" t="s">
        <v>74</v>
      </c>
      <c r="AX1865" t="s">
        <v>74</v>
      </c>
      <c r="AY1865" t="s">
        <v>74</v>
      </c>
      <c r="AZ1865" t="s">
        <v>74</v>
      </c>
      <c r="BA1865" t="s">
        <v>74</v>
      </c>
      <c r="BB1865" t="s">
        <v>74</v>
      </c>
      <c r="BC1865" t="s">
        <v>74</v>
      </c>
      <c r="BD1865">
        <v>111119</v>
      </c>
      <c r="BE1865" t="s">
        <v>20407</v>
      </c>
      <c r="BF1865" t="str">
        <f>HYPERLINK("http://dx.doi.org/10.1016/j.exger.2020.111119","http://dx.doi.org/10.1016/j.exger.2020.111119")</f>
        <v>http://dx.doi.org/10.1016/j.exger.2020.111119</v>
      </c>
      <c r="BG1865" t="s">
        <v>74</v>
      </c>
      <c r="BH1865" t="s">
        <v>74</v>
      </c>
      <c r="BI1865" t="s">
        <v>74</v>
      </c>
      <c r="BJ1865" t="s">
        <v>20408</v>
      </c>
      <c r="BK1865" t="s">
        <v>117</v>
      </c>
      <c r="BL1865" t="s">
        <v>20408</v>
      </c>
      <c r="BM1865" t="s">
        <v>74</v>
      </c>
      <c r="BN1865">
        <v>33086079</v>
      </c>
      <c r="BO1865" t="s">
        <v>74</v>
      </c>
      <c r="BP1865" t="s">
        <v>74</v>
      </c>
      <c r="BQ1865" t="s">
        <v>74</v>
      </c>
      <c r="BR1865" t="s">
        <v>96</v>
      </c>
      <c r="BS1865" t="s">
        <v>20409</v>
      </c>
      <c r="BT1865" t="str">
        <f>HYPERLINK("https%3A%2F%2Fwww.webofscience.com%2Fwos%2Fwoscc%2Ffull-record%2FWOS:000614809000014","View Full Record in Web of Science")</f>
        <v>View Full Record in Web of Science</v>
      </c>
    </row>
    <row r="1866" spans="1:72" x14ac:dyDescent="0.15">
      <c r="A1866" t="s">
        <v>98</v>
      </c>
      <c r="B1866" t="s">
        <v>20485</v>
      </c>
      <c r="C1866" t="s">
        <v>74</v>
      </c>
      <c r="D1866" t="s">
        <v>74</v>
      </c>
      <c r="E1866" t="s">
        <v>74</v>
      </c>
      <c r="F1866" t="s">
        <v>20486</v>
      </c>
      <c r="G1866" t="s">
        <v>74</v>
      </c>
      <c r="H1866" t="s">
        <v>74</v>
      </c>
      <c r="I1866" t="s">
        <v>20487</v>
      </c>
      <c r="J1866" t="s">
        <v>20488</v>
      </c>
      <c r="K1866" t="s">
        <v>74</v>
      </c>
      <c r="L1866" t="s">
        <v>74</v>
      </c>
      <c r="M1866" t="s">
        <v>74</v>
      </c>
      <c r="N1866" t="s">
        <v>103</v>
      </c>
      <c r="O1866" t="s">
        <v>74</v>
      </c>
      <c r="P1866" t="s">
        <v>74</v>
      </c>
      <c r="Q1866" t="s">
        <v>74</v>
      </c>
      <c r="R1866" t="s">
        <v>74</v>
      </c>
      <c r="S1866" t="s">
        <v>74</v>
      </c>
      <c r="T1866" t="s">
        <v>20489</v>
      </c>
      <c r="U1866" t="s">
        <v>20490</v>
      </c>
      <c r="V1866" t="s">
        <v>20491</v>
      </c>
      <c r="W1866" t="s">
        <v>20492</v>
      </c>
      <c r="X1866" t="s">
        <v>20493</v>
      </c>
      <c r="Y1866" t="s">
        <v>20494</v>
      </c>
      <c r="Z1866" t="s">
        <v>20495</v>
      </c>
      <c r="AA1866" t="s">
        <v>20496</v>
      </c>
      <c r="AB1866" t="s">
        <v>20497</v>
      </c>
      <c r="AC1866" t="s">
        <v>74</v>
      </c>
      <c r="AD1866" t="s">
        <v>74</v>
      </c>
      <c r="AE1866" t="s">
        <v>74</v>
      </c>
      <c r="AF1866" t="s">
        <v>74</v>
      </c>
      <c r="AG1866">
        <v>52</v>
      </c>
      <c r="AH1866">
        <v>1</v>
      </c>
      <c r="AI1866">
        <v>1</v>
      </c>
      <c r="AJ1866">
        <v>5</v>
      </c>
      <c r="AK1866">
        <v>6</v>
      </c>
      <c r="AL1866" t="s">
        <v>74</v>
      </c>
      <c r="AM1866" t="s">
        <v>74</v>
      </c>
      <c r="AN1866" t="s">
        <v>74</v>
      </c>
      <c r="AO1866" t="s">
        <v>20498</v>
      </c>
      <c r="AP1866" t="s">
        <v>20499</v>
      </c>
      <c r="AQ1866" t="s">
        <v>74</v>
      </c>
      <c r="AR1866" t="s">
        <v>74</v>
      </c>
      <c r="AS1866" t="s">
        <v>74</v>
      </c>
      <c r="AT1866" t="s">
        <v>74</v>
      </c>
      <c r="AU1866">
        <v>2020</v>
      </c>
      <c r="AV1866">
        <v>69</v>
      </c>
      <c r="AW1866">
        <v>4</v>
      </c>
      <c r="AX1866" t="s">
        <v>74</v>
      </c>
      <c r="AY1866" t="s">
        <v>74</v>
      </c>
      <c r="AZ1866" t="s">
        <v>74</v>
      </c>
      <c r="BA1866" t="s">
        <v>74</v>
      </c>
      <c r="BB1866">
        <v>411</v>
      </c>
      <c r="BC1866">
        <v>419</v>
      </c>
      <c r="BD1866" t="s">
        <v>74</v>
      </c>
      <c r="BE1866" t="s">
        <v>20500</v>
      </c>
      <c r="BF1866" t="str">
        <f>HYPERLINK("http://dx.doi.org/10.33073/pjm-2020-042","http://dx.doi.org/10.33073/pjm-2020-042")</f>
        <v>http://dx.doi.org/10.33073/pjm-2020-042</v>
      </c>
      <c r="BG1866" t="s">
        <v>74</v>
      </c>
      <c r="BH1866" t="s">
        <v>74</v>
      </c>
      <c r="BI1866" t="s">
        <v>74</v>
      </c>
      <c r="BJ1866" t="s">
        <v>898</v>
      </c>
      <c r="BK1866" t="s">
        <v>117</v>
      </c>
      <c r="BL1866" t="s">
        <v>898</v>
      </c>
      <c r="BM1866" t="s">
        <v>74</v>
      </c>
      <c r="BN1866">
        <v>33574869</v>
      </c>
      <c r="BO1866" t="s">
        <v>74</v>
      </c>
      <c r="BP1866" t="s">
        <v>74</v>
      </c>
      <c r="BQ1866" t="s">
        <v>74</v>
      </c>
      <c r="BR1866" t="s">
        <v>96</v>
      </c>
      <c r="BS1866" t="s">
        <v>20501</v>
      </c>
      <c r="BT1866" t="str">
        <f>HYPERLINK("https%3A%2F%2Fwww.webofscience.com%2Fwos%2Fwoscc%2Ffull-record%2FWOS:000600409200003","View Full Record in Web of Science")</f>
        <v>View Full Record in Web of Science</v>
      </c>
    </row>
    <row r="1867" spans="1:72" x14ac:dyDescent="0.15">
      <c r="A1867" t="s">
        <v>98</v>
      </c>
      <c r="B1867" t="s">
        <v>20747</v>
      </c>
      <c r="C1867" t="s">
        <v>74</v>
      </c>
      <c r="D1867" t="s">
        <v>74</v>
      </c>
      <c r="E1867" t="s">
        <v>74</v>
      </c>
      <c r="F1867" t="s">
        <v>20748</v>
      </c>
      <c r="G1867" t="s">
        <v>74</v>
      </c>
      <c r="H1867" t="s">
        <v>74</v>
      </c>
      <c r="I1867" t="s">
        <v>20749</v>
      </c>
      <c r="J1867" t="s">
        <v>20395</v>
      </c>
      <c r="K1867" t="s">
        <v>74</v>
      </c>
      <c r="L1867" t="s">
        <v>74</v>
      </c>
      <c r="M1867" t="s">
        <v>74</v>
      </c>
      <c r="N1867" t="s">
        <v>103</v>
      </c>
      <c r="O1867" t="s">
        <v>74</v>
      </c>
      <c r="P1867" t="s">
        <v>74</v>
      </c>
      <c r="Q1867" t="s">
        <v>74</v>
      </c>
      <c r="R1867" t="s">
        <v>74</v>
      </c>
      <c r="S1867" t="s">
        <v>74</v>
      </c>
      <c r="T1867" t="s">
        <v>20750</v>
      </c>
      <c r="U1867" t="s">
        <v>20751</v>
      </c>
      <c r="V1867" t="s">
        <v>20752</v>
      </c>
      <c r="W1867" t="s">
        <v>20753</v>
      </c>
      <c r="X1867" t="s">
        <v>20754</v>
      </c>
      <c r="Y1867" t="s">
        <v>20755</v>
      </c>
      <c r="Z1867" t="s">
        <v>20756</v>
      </c>
      <c r="AA1867" t="s">
        <v>20757</v>
      </c>
      <c r="AB1867" t="s">
        <v>20758</v>
      </c>
      <c r="AC1867" t="s">
        <v>74</v>
      </c>
      <c r="AD1867" t="s">
        <v>74</v>
      </c>
      <c r="AE1867" t="s">
        <v>74</v>
      </c>
      <c r="AF1867" t="s">
        <v>74</v>
      </c>
      <c r="AG1867">
        <v>116</v>
      </c>
      <c r="AH1867">
        <v>1</v>
      </c>
      <c r="AI1867">
        <v>1</v>
      </c>
      <c r="AJ1867">
        <v>2</v>
      </c>
      <c r="AK1867">
        <v>8</v>
      </c>
      <c r="AL1867" t="s">
        <v>74</v>
      </c>
      <c r="AM1867" t="s">
        <v>74</v>
      </c>
      <c r="AN1867" t="s">
        <v>74</v>
      </c>
      <c r="AO1867" t="s">
        <v>20405</v>
      </c>
      <c r="AP1867" t="s">
        <v>20406</v>
      </c>
      <c r="AQ1867" t="s">
        <v>74</v>
      </c>
      <c r="AR1867" t="s">
        <v>74</v>
      </c>
      <c r="AS1867" t="s">
        <v>74</v>
      </c>
      <c r="AT1867" t="s">
        <v>189</v>
      </c>
      <c r="AU1867">
        <v>2021</v>
      </c>
      <c r="AV1867">
        <v>153</v>
      </c>
      <c r="AW1867" t="s">
        <v>74</v>
      </c>
      <c r="AX1867" t="s">
        <v>74</v>
      </c>
      <c r="AY1867" t="s">
        <v>74</v>
      </c>
      <c r="AZ1867" t="s">
        <v>74</v>
      </c>
      <c r="BA1867" t="s">
        <v>74</v>
      </c>
      <c r="BB1867" t="s">
        <v>74</v>
      </c>
      <c r="BC1867" t="s">
        <v>74</v>
      </c>
      <c r="BD1867">
        <v>111508</v>
      </c>
      <c r="BE1867" t="s">
        <v>20759</v>
      </c>
      <c r="BF1867" t="str">
        <f>HYPERLINK("http://dx.doi.org/10.1016/j.exger.2021.111508","http://dx.doi.org/10.1016/j.exger.2021.111508")</f>
        <v>http://dx.doi.org/10.1016/j.exger.2021.111508</v>
      </c>
      <c r="BG1867" t="s">
        <v>74</v>
      </c>
      <c r="BH1867" t="s">
        <v>1663</v>
      </c>
      <c r="BI1867" t="s">
        <v>74</v>
      </c>
      <c r="BJ1867" t="s">
        <v>20408</v>
      </c>
      <c r="BK1867" t="s">
        <v>117</v>
      </c>
      <c r="BL1867" t="s">
        <v>20408</v>
      </c>
      <c r="BM1867" t="s">
        <v>74</v>
      </c>
      <c r="BN1867">
        <v>34358665</v>
      </c>
      <c r="BO1867" t="s">
        <v>74</v>
      </c>
      <c r="BP1867" t="s">
        <v>74</v>
      </c>
      <c r="BQ1867" t="s">
        <v>74</v>
      </c>
      <c r="BR1867" t="s">
        <v>96</v>
      </c>
      <c r="BS1867" t="s">
        <v>20760</v>
      </c>
      <c r="BT1867" t="str">
        <f>HYPERLINK("https%3A%2F%2Fwww.webofscience.com%2Fwos%2Fwoscc%2Ffull-record%2FWOS:000688280000002","View Full Record in Web of Science")</f>
        <v>View Full Record in Web of Science</v>
      </c>
    </row>
    <row r="1868" spans="1:72" x14ac:dyDescent="0.15">
      <c r="A1868" t="s">
        <v>98</v>
      </c>
      <c r="B1868" t="s">
        <v>20788</v>
      </c>
      <c r="C1868" t="s">
        <v>74</v>
      </c>
      <c r="D1868" t="s">
        <v>74</v>
      </c>
      <c r="E1868" t="s">
        <v>74</v>
      </c>
      <c r="F1868" t="s">
        <v>20789</v>
      </c>
      <c r="G1868" t="s">
        <v>74</v>
      </c>
      <c r="H1868" t="s">
        <v>74</v>
      </c>
      <c r="I1868" t="s">
        <v>20790</v>
      </c>
      <c r="J1868" t="s">
        <v>20791</v>
      </c>
      <c r="K1868" t="s">
        <v>74</v>
      </c>
      <c r="L1868" t="s">
        <v>74</v>
      </c>
      <c r="M1868" t="s">
        <v>74</v>
      </c>
      <c r="N1868" t="s">
        <v>103</v>
      </c>
      <c r="O1868" t="s">
        <v>74</v>
      </c>
      <c r="P1868" t="s">
        <v>74</v>
      </c>
      <c r="Q1868" t="s">
        <v>74</v>
      </c>
      <c r="R1868" t="s">
        <v>74</v>
      </c>
      <c r="S1868" t="s">
        <v>74</v>
      </c>
      <c r="T1868" t="s">
        <v>20792</v>
      </c>
      <c r="U1868" t="s">
        <v>20793</v>
      </c>
      <c r="V1868" t="s">
        <v>20794</v>
      </c>
      <c r="W1868" t="s">
        <v>20795</v>
      </c>
      <c r="X1868" t="s">
        <v>20796</v>
      </c>
      <c r="Y1868" t="s">
        <v>20797</v>
      </c>
      <c r="Z1868" t="s">
        <v>20798</v>
      </c>
      <c r="AA1868" t="s">
        <v>20799</v>
      </c>
      <c r="AB1868" t="s">
        <v>20800</v>
      </c>
      <c r="AC1868" t="s">
        <v>74</v>
      </c>
      <c r="AD1868" t="s">
        <v>74</v>
      </c>
      <c r="AE1868" t="s">
        <v>74</v>
      </c>
      <c r="AF1868" t="s">
        <v>74</v>
      </c>
      <c r="AG1868">
        <v>44</v>
      </c>
      <c r="AH1868">
        <v>1</v>
      </c>
      <c r="AI1868">
        <v>1</v>
      </c>
      <c r="AJ1868">
        <v>1</v>
      </c>
      <c r="AK1868">
        <v>10</v>
      </c>
      <c r="AL1868" t="s">
        <v>74</v>
      </c>
      <c r="AM1868" t="s">
        <v>74</v>
      </c>
      <c r="AN1868" t="s">
        <v>74</v>
      </c>
      <c r="AO1868" t="s">
        <v>20801</v>
      </c>
      <c r="AP1868" t="s">
        <v>74</v>
      </c>
      <c r="AQ1868" t="s">
        <v>74</v>
      </c>
      <c r="AR1868" t="s">
        <v>74</v>
      </c>
      <c r="AS1868" t="s">
        <v>74</v>
      </c>
      <c r="AT1868" t="s">
        <v>5955</v>
      </c>
      <c r="AU1868">
        <v>2020</v>
      </c>
      <c r="AV1868">
        <v>3</v>
      </c>
      <c r="AW1868">
        <v>9</v>
      </c>
      <c r="AX1868" t="s">
        <v>74</v>
      </c>
      <c r="AY1868" t="s">
        <v>74</v>
      </c>
      <c r="AZ1868" t="s">
        <v>74</v>
      </c>
      <c r="BA1868" t="s">
        <v>74</v>
      </c>
      <c r="BB1868">
        <v>8810</v>
      </c>
      <c r="BC1868">
        <v>8816</v>
      </c>
      <c r="BD1868" t="s">
        <v>74</v>
      </c>
      <c r="BE1868" t="s">
        <v>20802</v>
      </c>
      <c r="BF1868" t="str">
        <f>HYPERLINK("http://dx.doi.org/10.1021/acsanm.0c01600","http://dx.doi.org/10.1021/acsanm.0c01600")</f>
        <v>http://dx.doi.org/10.1021/acsanm.0c01600</v>
      </c>
      <c r="BG1868" t="s">
        <v>74</v>
      </c>
      <c r="BH1868" t="s">
        <v>74</v>
      </c>
      <c r="BI1868" t="s">
        <v>74</v>
      </c>
      <c r="BJ1868" t="s">
        <v>5534</v>
      </c>
      <c r="BK1868" t="s">
        <v>117</v>
      </c>
      <c r="BL1868" t="s">
        <v>5535</v>
      </c>
      <c r="BM1868" t="s">
        <v>74</v>
      </c>
      <c r="BN1868" t="s">
        <v>74</v>
      </c>
      <c r="BO1868" t="s">
        <v>74</v>
      </c>
      <c r="BP1868" t="s">
        <v>74</v>
      </c>
      <c r="BQ1868" t="s">
        <v>74</v>
      </c>
      <c r="BR1868" t="s">
        <v>96</v>
      </c>
      <c r="BS1868" t="s">
        <v>20803</v>
      </c>
      <c r="BT1868" t="str">
        <f>HYPERLINK("https%3A%2F%2Fwww.webofscience.com%2Fwos%2Fwoscc%2Ffull-record%2FWOS:000575846000029","View Full Record in Web of Science")</f>
        <v>View Full Record in Web of Science</v>
      </c>
    </row>
    <row r="1869" spans="1:72" x14ac:dyDescent="0.15">
      <c r="A1869" t="s">
        <v>98</v>
      </c>
      <c r="B1869" t="s">
        <v>20817</v>
      </c>
      <c r="C1869" t="s">
        <v>74</v>
      </c>
      <c r="D1869" t="s">
        <v>74</v>
      </c>
      <c r="E1869" t="s">
        <v>74</v>
      </c>
      <c r="F1869" t="s">
        <v>20818</v>
      </c>
      <c r="G1869" t="s">
        <v>74</v>
      </c>
      <c r="H1869" t="s">
        <v>74</v>
      </c>
      <c r="I1869" t="s">
        <v>20819</v>
      </c>
      <c r="J1869" t="s">
        <v>20820</v>
      </c>
      <c r="K1869" t="s">
        <v>74</v>
      </c>
      <c r="L1869" t="s">
        <v>74</v>
      </c>
      <c r="M1869" t="s">
        <v>74</v>
      </c>
      <c r="N1869" t="s">
        <v>103</v>
      </c>
      <c r="O1869" t="s">
        <v>74</v>
      </c>
      <c r="P1869" t="s">
        <v>74</v>
      </c>
      <c r="Q1869" t="s">
        <v>74</v>
      </c>
      <c r="R1869" t="s">
        <v>74</v>
      </c>
      <c r="S1869" t="s">
        <v>74</v>
      </c>
      <c r="T1869" t="s">
        <v>20821</v>
      </c>
      <c r="U1869" t="s">
        <v>74</v>
      </c>
      <c r="V1869" t="s">
        <v>20822</v>
      </c>
      <c r="W1869" t="s">
        <v>20823</v>
      </c>
      <c r="X1869" t="s">
        <v>20824</v>
      </c>
      <c r="Y1869" t="s">
        <v>20825</v>
      </c>
      <c r="Z1869" t="s">
        <v>20826</v>
      </c>
      <c r="AA1869" t="s">
        <v>74</v>
      </c>
      <c r="AB1869" t="s">
        <v>74</v>
      </c>
      <c r="AC1869" t="s">
        <v>74</v>
      </c>
      <c r="AD1869" t="s">
        <v>74</v>
      </c>
      <c r="AE1869" t="s">
        <v>74</v>
      </c>
      <c r="AF1869" t="s">
        <v>74</v>
      </c>
      <c r="AG1869">
        <v>15</v>
      </c>
      <c r="AH1869">
        <v>1</v>
      </c>
      <c r="AI1869">
        <v>1</v>
      </c>
      <c r="AJ1869">
        <v>1</v>
      </c>
      <c r="AK1869">
        <v>6</v>
      </c>
      <c r="AL1869" t="s">
        <v>74</v>
      </c>
      <c r="AM1869" t="s">
        <v>74</v>
      </c>
      <c r="AN1869" t="s">
        <v>74</v>
      </c>
      <c r="AO1869" t="s">
        <v>20827</v>
      </c>
      <c r="AP1869" t="s">
        <v>20828</v>
      </c>
      <c r="AQ1869" t="s">
        <v>74</v>
      </c>
      <c r="AR1869" t="s">
        <v>74</v>
      </c>
      <c r="AS1869" t="s">
        <v>74</v>
      </c>
      <c r="AT1869" t="s">
        <v>565</v>
      </c>
      <c r="AU1869">
        <v>2021</v>
      </c>
      <c r="AV1869">
        <v>170</v>
      </c>
      <c r="AW1869">
        <v>5</v>
      </c>
      <c r="AX1869" t="s">
        <v>74</v>
      </c>
      <c r="AY1869" t="s">
        <v>74</v>
      </c>
      <c r="AZ1869" t="s">
        <v>74</v>
      </c>
      <c r="BA1869" t="s">
        <v>74</v>
      </c>
      <c r="BB1869">
        <v>658</v>
      </c>
      <c r="BC1869">
        <v>664</v>
      </c>
      <c r="BD1869" t="s">
        <v>74</v>
      </c>
      <c r="BE1869" t="s">
        <v>20829</v>
      </c>
      <c r="BF1869" t="str">
        <f>HYPERLINK("http://dx.doi.org/10.1007/s10517-021-05127-1","http://dx.doi.org/10.1007/s10517-021-05127-1")</f>
        <v>http://dx.doi.org/10.1007/s10517-021-05127-1</v>
      </c>
      <c r="BG1869" t="s">
        <v>74</v>
      </c>
      <c r="BH1869" t="s">
        <v>2607</v>
      </c>
      <c r="BI1869" t="s">
        <v>74</v>
      </c>
      <c r="BJ1869" t="s">
        <v>795</v>
      </c>
      <c r="BK1869" t="s">
        <v>117</v>
      </c>
      <c r="BL1869" t="s">
        <v>796</v>
      </c>
      <c r="BM1869" t="s">
        <v>74</v>
      </c>
      <c r="BN1869">
        <v>33788105</v>
      </c>
      <c r="BO1869" t="s">
        <v>74</v>
      </c>
      <c r="BP1869" t="s">
        <v>74</v>
      </c>
      <c r="BQ1869" t="s">
        <v>74</v>
      </c>
      <c r="BR1869" t="s">
        <v>96</v>
      </c>
      <c r="BS1869" t="s">
        <v>20830</v>
      </c>
      <c r="BT1869" t="str">
        <f>HYPERLINK("https%3A%2F%2Fwww.webofscience.com%2Fwos%2Fwoscc%2Ffull-record%2FWOS:000635494300015","View Full Record in Web of Science")</f>
        <v>View Full Record in Web of Science</v>
      </c>
    </row>
    <row r="1870" spans="1:72" x14ac:dyDescent="0.15">
      <c r="A1870" t="s">
        <v>98</v>
      </c>
      <c r="B1870" t="s">
        <v>20858</v>
      </c>
      <c r="C1870" t="s">
        <v>74</v>
      </c>
      <c r="D1870" t="s">
        <v>74</v>
      </c>
      <c r="E1870" t="s">
        <v>74</v>
      </c>
      <c r="F1870" t="s">
        <v>20859</v>
      </c>
      <c r="G1870" t="s">
        <v>74</v>
      </c>
      <c r="H1870" t="s">
        <v>74</v>
      </c>
      <c r="I1870" t="s">
        <v>20860</v>
      </c>
      <c r="J1870" t="s">
        <v>20861</v>
      </c>
      <c r="K1870" t="s">
        <v>74</v>
      </c>
      <c r="L1870" t="s">
        <v>74</v>
      </c>
      <c r="M1870" t="s">
        <v>74</v>
      </c>
      <c r="N1870" t="s">
        <v>103</v>
      </c>
      <c r="O1870" t="s">
        <v>74</v>
      </c>
      <c r="P1870" t="s">
        <v>74</v>
      </c>
      <c r="Q1870" t="s">
        <v>74</v>
      </c>
      <c r="R1870" t="s">
        <v>74</v>
      </c>
      <c r="S1870" t="s">
        <v>74</v>
      </c>
      <c r="T1870" t="s">
        <v>20862</v>
      </c>
      <c r="U1870" t="s">
        <v>20863</v>
      </c>
      <c r="V1870" t="s">
        <v>20864</v>
      </c>
      <c r="W1870" t="s">
        <v>20865</v>
      </c>
      <c r="X1870" t="s">
        <v>20866</v>
      </c>
      <c r="Y1870" t="s">
        <v>20867</v>
      </c>
      <c r="Z1870" t="s">
        <v>20868</v>
      </c>
      <c r="AA1870" t="s">
        <v>74</v>
      </c>
      <c r="AB1870" t="s">
        <v>20869</v>
      </c>
      <c r="AC1870" t="s">
        <v>74</v>
      </c>
      <c r="AD1870" t="s">
        <v>74</v>
      </c>
      <c r="AE1870" t="s">
        <v>74</v>
      </c>
      <c r="AF1870" t="s">
        <v>74</v>
      </c>
      <c r="AG1870">
        <v>26</v>
      </c>
      <c r="AH1870">
        <v>1</v>
      </c>
      <c r="AI1870">
        <v>1</v>
      </c>
      <c r="AJ1870">
        <v>1</v>
      </c>
      <c r="AK1870">
        <v>1</v>
      </c>
      <c r="AL1870" t="s">
        <v>74</v>
      </c>
      <c r="AM1870" t="s">
        <v>74</v>
      </c>
      <c r="AN1870" t="s">
        <v>74</v>
      </c>
      <c r="AO1870" t="s">
        <v>20870</v>
      </c>
      <c r="AP1870" t="s">
        <v>20871</v>
      </c>
      <c r="AQ1870" t="s">
        <v>74</v>
      </c>
      <c r="AR1870" t="s">
        <v>74</v>
      </c>
      <c r="AS1870" t="s">
        <v>74</v>
      </c>
      <c r="AT1870" t="s">
        <v>531</v>
      </c>
      <c r="AU1870">
        <v>2022</v>
      </c>
      <c r="AV1870">
        <v>69</v>
      </c>
      <c r="AW1870">
        <v>9</v>
      </c>
      <c r="AX1870" t="s">
        <v>74</v>
      </c>
      <c r="AY1870" t="s">
        <v>74</v>
      </c>
      <c r="AZ1870" t="s">
        <v>74</v>
      </c>
      <c r="BA1870" t="s">
        <v>74</v>
      </c>
      <c r="BB1870" t="s">
        <v>74</v>
      </c>
      <c r="BC1870" t="s">
        <v>74</v>
      </c>
      <c r="BD1870" t="s">
        <v>20872</v>
      </c>
      <c r="BE1870" t="s">
        <v>20873</v>
      </c>
      <c r="BF1870" t="str">
        <f>HYPERLINK("http://dx.doi.org/10.1002/pbc.29652","http://dx.doi.org/10.1002/pbc.29652")</f>
        <v>http://dx.doi.org/10.1002/pbc.29652</v>
      </c>
      <c r="BG1870" t="s">
        <v>74</v>
      </c>
      <c r="BH1870" t="s">
        <v>6394</v>
      </c>
      <c r="BI1870" t="s">
        <v>74</v>
      </c>
      <c r="BJ1870" t="s">
        <v>20874</v>
      </c>
      <c r="BK1870" t="s">
        <v>117</v>
      </c>
      <c r="BL1870" t="s">
        <v>20874</v>
      </c>
      <c r="BM1870" t="s">
        <v>74</v>
      </c>
      <c r="BN1870">
        <v>35338758</v>
      </c>
      <c r="BO1870" t="s">
        <v>74</v>
      </c>
      <c r="BP1870" t="s">
        <v>74</v>
      </c>
      <c r="BQ1870" t="s">
        <v>74</v>
      </c>
      <c r="BR1870" t="s">
        <v>96</v>
      </c>
      <c r="BS1870" t="s">
        <v>20875</v>
      </c>
      <c r="BT1870" t="str">
        <f>HYPERLINK("https%3A%2F%2Fwww.webofscience.com%2Fwos%2Fwoscc%2Ffull-record%2FWOS:000773290100001","View Full Record in Web of Science")</f>
        <v>View Full Record in Web of Science</v>
      </c>
    </row>
    <row r="1871" spans="1:72" x14ac:dyDescent="0.15">
      <c r="A1871" t="s">
        <v>72</v>
      </c>
      <c r="B1871" t="s">
        <v>20969</v>
      </c>
      <c r="C1871" t="s">
        <v>74</v>
      </c>
      <c r="D1871" t="s">
        <v>20970</v>
      </c>
      <c r="E1871" t="s">
        <v>74</v>
      </c>
      <c r="F1871" t="s">
        <v>20971</v>
      </c>
      <c r="G1871" t="s">
        <v>74</v>
      </c>
      <c r="H1871" t="s">
        <v>74</v>
      </c>
      <c r="I1871" t="s">
        <v>20972</v>
      </c>
      <c r="J1871" t="s">
        <v>20973</v>
      </c>
      <c r="K1871" t="s">
        <v>20974</v>
      </c>
      <c r="L1871" t="s">
        <v>74</v>
      </c>
      <c r="M1871" t="s">
        <v>74</v>
      </c>
      <c r="N1871" t="s">
        <v>80</v>
      </c>
      <c r="O1871" t="s">
        <v>74</v>
      </c>
      <c r="P1871" t="s">
        <v>74</v>
      </c>
      <c r="Q1871" t="s">
        <v>74</v>
      </c>
      <c r="R1871" t="s">
        <v>74</v>
      </c>
      <c r="S1871" t="s">
        <v>74</v>
      </c>
      <c r="T1871" t="s">
        <v>74</v>
      </c>
      <c r="U1871" t="s">
        <v>20975</v>
      </c>
      <c r="V1871" t="s">
        <v>20976</v>
      </c>
      <c r="W1871" t="s">
        <v>20977</v>
      </c>
      <c r="X1871" t="s">
        <v>20978</v>
      </c>
      <c r="Y1871" t="s">
        <v>20979</v>
      </c>
      <c r="Z1871" t="s">
        <v>20980</v>
      </c>
      <c r="AA1871" t="s">
        <v>20981</v>
      </c>
      <c r="AB1871" t="s">
        <v>74</v>
      </c>
      <c r="AC1871" t="s">
        <v>74</v>
      </c>
      <c r="AD1871" t="s">
        <v>74</v>
      </c>
      <c r="AE1871" t="s">
        <v>74</v>
      </c>
      <c r="AF1871" t="s">
        <v>74</v>
      </c>
      <c r="AG1871">
        <v>111</v>
      </c>
      <c r="AH1871">
        <v>1</v>
      </c>
      <c r="AI1871">
        <v>1</v>
      </c>
      <c r="AJ1871">
        <v>0</v>
      </c>
      <c r="AK1871">
        <v>3</v>
      </c>
      <c r="AL1871" t="s">
        <v>74</v>
      </c>
      <c r="AM1871" t="s">
        <v>74</v>
      </c>
      <c r="AN1871" t="s">
        <v>74</v>
      </c>
      <c r="AO1871" t="s">
        <v>20982</v>
      </c>
      <c r="AP1871" t="s">
        <v>74</v>
      </c>
      <c r="AQ1871" t="s">
        <v>20983</v>
      </c>
      <c r="AR1871" t="s">
        <v>74</v>
      </c>
      <c r="AS1871" t="s">
        <v>74</v>
      </c>
      <c r="AT1871" t="s">
        <v>74</v>
      </c>
      <c r="AU1871">
        <v>2012</v>
      </c>
      <c r="AV1871">
        <v>16</v>
      </c>
      <c r="AW1871" t="s">
        <v>74</v>
      </c>
      <c r="AX1871" t="s">
        <v>74</v>
      </c>
      <c r="AY1871" t="s">
        <v>74</v>
      </c>
      <c r="AZ1871" t="s">
        <v>74</v>
      </c>
      <c r="BA1871" t="s">
        <v>74</v>
      </c>
      <c r="BB1871">
        <v>239</v>
      </c>
      <c r="BC1871">
        <v>274</v>
      </c>
      <c r="BD1871" t="s">
        <v>74</v>
      </c>
      <c r="BE1871" t="s">
        <v>20984</v>
      </c>
      <c r="BF1871" t="str">
        <f>HYPERLINK("http://dx.doi.org/10.1016/B978-0-12-396534-9.00008-8","http://dx.doi.org/10.1016/B978-0-12-396534-9.00008-8")</f>
        <v>http://dx.doi.org/10.1016/B978-0-12-396534-9.00008-8</v>
      </c>
      <c r="BG1871" t="s">
        <v>74</v>
      </c>
      <c r="BH1871" t="s">
        <v>74</v>
      </c>
      <c r="BI1871" t="s">
        <v>74</v>
      </c>
      <c r="BJ1871" t="s">
        <v>2845</v>
      </c>
      <c r="BK1871" t="s">
        <v>94</v>
      </c>
      <c r="BL1871" t="s">
        <v>2845</v>
      </c>
      <c r="BM1871" t="s">
        <v>74</v>
      </c>
      <c r="BN1871" t="s">
        <v>74</v>
      </c>
      <c r="BO1871" t="s">
        <v>74</v>
      </c>
      <c r="BP1871" t="s">
        <v>74</v>
      </c>
      <c r="BQ1871" t="s">
        <v>74</v>
      </c>
      <c r="BR1871" t="s">
        <v>96</v>
      </c>
      <c r="BS1871" t="s">
        <v>20985</v>
      </c>
      <c r="BT1871" t="str">
        <f>HYPERLINK("https%3A%2F%2Fwww.webofscience.com%2Fwos%2Fwoscc%2Ffull-record%2FWOS:000322771200008","View Full Record in Web of Science")</f>
        <v>View Full Record in Web of Science</v>
      </c>
    </row>
    <row r="1872" spans="1:72" x14ac:dyDescent="0.15">
      <c r="A1872" t="s">
        <v>98</v>
      </c>
      <c r="B1872" t="s">
        <v>20999</v>
      </c>
      <c r="C1872" t="s">
        <v>74</v>
      </c>
      <c r="D1872" t="s">
        <v>74</v>
      </c>
      <c r="E1872" t="s">
        <v>74</v>
      </c>
      <c r="F1872" t="s">
        <v>21000</v>
      </c>
      <c r="G1872" t="s">
        <v>74</v>
      </c>
      <c r="H1872" t="s">
        <v>74</v>
      </c>
      <c r="I1872" t="s">
        <v>21001</v>
      </c>
      <c r="J1872" t="s">
        <v>6885</v>
      </c>
      <c r="K1872" t="s">
        <v>74</v>
      </c>
      <c r="L1872" t="s">
        <v>74</v>
      </c>
      <c r="M1872" t="s">
        <v>74</v>
      </c>
      <c r="N1872" t="s">
        <v>103</v>
      </c>
      <c r="O1872" t="s">
        <v>74</v>
      </c>
      <c r="P1872" t="s">
        <v>74</v>
      </c>
      <c r="Q1872" t="s">
        <v>74</v>
      </c>
      <c r="R1872" t="s">
        <v>74</v>
      </c>
      <c r="S1872" t="s">
        <v>74</v>
      </c>
      <c r="T1872" t="s">
        <v>74</v>
      </c>
      <c r="U1872" t="s">
        <v>21002</v>
      </c>
      <c r="V1872" t="s">
        <v>21003</v>
      </c>
      <c r="W1872" t="s">
        <v>21004</v>
      </c>
      <c r="X1872" t="s">
        <v>21005</v>
      </c>
      <c r="Y1872" t="s">
        <v>21006</v>
      </c>
      <c r="Z1872" t="s">
        <v>21007</v>
      </c>
      <c r="AA1872" t="s">
        <v>74</v>
      </c>
      <c r="AB1872" t="s">
        <v>74</v>
      </c>
      <c r="AC1872" t="s">
        <v>74</v>
      </c>
      <c r="AD1872" t="s">
        <v>74</v>
      </c>
      <c r="AE1872" t="s">
        <v>74</v>
      </c>
      <c r="AF1872" t="s">
        <v>74</v>
      </c>
      <c r="AG1872">
        <v>45</v>
      </c>
      <c r="AH1872">
        <v>1</v>
      </c>
      <c r="AI1872">
        <v>1</v>
      </c>
      <c r="AJ1872">
        <v>2</v>
      </c>
      <c r="AK1872">
        <v>3</v>
      </c>
      <c r="AL1872" t="s">
        <v>74</v>
      </c>
      <c r="AM1872" t="s">
        <v>74</v>
      </c>
      <c r="AN1872" t="s">
        <v>74</v>
      </c>
      <c r="AO1872" t="s">
        <v>6894</v>
      </c>
      <c r="AP1872" t="s">
        <v>74</v>
      </c>
      <c r="AQ1872" t="s">
        <v>74</v>
      </c>
      <c r="AR1872" t="s">
        <v>74</v>
      </c>
      <c r="AS1872" t="s">
        <v>74</v>
      </c>
      <c r="AT1872" t="s">
        <v>5804</v>
      </c>
      <c r="AU1872">
        <v>2022</v>
      </c>
      <c r="AV1872">
        <v>27</v>
      </c>
      <c r="AW1872" t="s">
        <v>74</v>
      </c>
      <c r="AX1872" t="s">
        <v>74</v>
      </c>
      <c r="AY1872" t="s">
        <v>74</v>
      </c>
      <c r="AZ1872" t="s">
        <v>74</v>
      </c>
      <c r="BA1872" t="s">
        <v>74</v>
      </c>
      <c r="BB1872">
        <v>375</v>
      </c>
      <c r="BC1872">
        <v>389</v>
      </c>
      <c r="BD1872" t="s">
        <v>74</v>
      </c>
      <c r="BE1872" t="s">
        <v>21008</v>
      </c>
      <c r="BF1872" t="str">
        <f>HYPERLINK("http://dx.doi.org/10.1016/j.omtn.2021.12.017","http://dx.doi.org/10.1016/j.omtn.2021.12.017")</f>
        <v>http://dx.doi.org/10.1016/j.omtn.2021.12.017</v>
      </c>
      <c r="BG1872" t="s">
        <v>74</v>
      </c>
      <c r="BH1872" t="s">
        <v>74</v>
      </c>
      <c r="BI1872" t="s">
        <v>74</v>
      </c>
      <c r="BJ1872" t="s">
        <v>795</v>
      </c>
      <c r="BK1872" t="s">
        <v>117</v>
      </c>
      <c r="BL1872" t="s">
        <v>796</v>
      </c>
      <c r="BM1872" t="s">
        <v>74</v>
      </c>
      <c r="BN1872">
        <v>35036051</v>
      </c>
      <c r="BO1872" t="s">
        <v>74</v>
      </c>
      <c r="BP1872" t="s">
        <v>74</v>
      </c>
      <c r="BQ1872" t="s">
        <v>74</v>
      </c>
      <c r="BR1872" t="s">
        <v>96</v>
      </c>
      <c r="BS1872" t="s">
        <v>21009</v>
      </c>
      <c r="BT1872" t="str">
        <f>HYPERLINK("https%3A%2F%2Fwww.webofscience.com%2Fwos%2Fwoscc%2Ffull-record%2FWOS:000766664100008","View Full Record in Web of Science")</f>
        <v>View Full Record in Web of Science</v>
      </c>
    </row>
    <row r="1873" spans="1:72" x14ac:dyDescent="0.15">
      <c r="A1873" t="s">
        <v>98</v>
      </c>
      <c r="B1873" t="s">
        <v>21059</v>
      </c>
      <c r="C1873" t="s">
        <v>74</v>
      </c>
      <c r="D1873" t="s">
        <v>74</v>
      </c>
      <c r="E1873" t="s">
        <v>74</v>
      </c>
      <c r="F1873" t="s">
        <v>21060</v>
      </c>
      <c r="G1873" t="s">
        <v>74</v>
      </c>
      <c r="H1873" t="s">
        <v>74</v>
      </c>
      <c r="I1873" t="s">
        <v>21061</v>
      </c>
      <c r="J1873" t="s">
        <v>12515</v>
      </c>
      <c r="K1873" t="s">
        <v>74</v>
      </c>
      <c r="L1873" t="s">
        <v>74</v>
      </c>
      <c r="M1873" t="s">
        <v>74</v>
      </c>
      <c r="N1873" t="s">
        <v>103</v>
      </c>
      <c r="O1873" t="s">
        <v>74</v>
      </c>
      <c r="P1873" t="s">
        <v>74</v>
      </c>
      <c r="Q1873" t="s">
        <v>74</v>
      </c>
      <c r="R1873" t="s">
        <v>74</v>
      </c>
      <c r="S1873" t="s">
        <v>74</v>
      </c>
      <c r="T1873" t="s">
        <v>74</v>
      </c>
      <c r="U1873" t="s">
        <v>21062</v>
      </c>
      <c r="V1873" t="s">
        <v>21063</v>
      </c>
      <c r="W1873" t="s">
        <v>21064</v>
      </c>
      <c r="X1873" t="s">
        <v>21065</v>
      </c>
      <c r="Y1873" t="s">
        <v>21066</v>
      </c>
      <c r="Z1873" t="s">
        <v>21067</v>
      </c>
      <c r="AA1873" t="s">
        <v>74</v>
      </c>
      <c r="AB1873" t="s">
        <v>21068</v>
      </c>
      <c r="AC1873" t="s">
        <v>74</v>
      </c>
      <c r="AD1873" t="s">
        <v>74</v>
      </c>
      <c r="AE1873" t="s">
        <v>74</v>
      </c>
      <c r="AF1873" t="s">
        <v>74</v>
      </c>
      <c r="AG1873">
        <v>24</v>
      </c>
      <c r="AH1873">
        <v>1</v>
      </c>
      <c r="AI1873">
        <v>1</v>
      </c>
      <c r="AJ1873">
        <v>8</v>
      </c>
      <c r="AK1873">
        <v>24</v>
      </c>
      <c r="AL1873" t="s">
        <v>74</v>
      </c>
      <c r="AM1873" t="s">
        <v>74</v>
      </c>
      <c r="AN1873" t="s">
        <v>74</v>
      </c>
      <c r="AO1873" t="s">
        <v>12521</v>
      </c>
      <c r="AP1873" t="s">
        <v>12522</v>
      </c>
      <c r="AQ1873" t="s">
        <v>74</v>
      </c>
      <c r="AR1873" t="s">
        <v>74</v>
      </c>
      <c r="AS1873" t="s">
        <v>74</v>
      </c>
      <c r="AT1873" t="s">
        <v>13106</v>
      </c>
      <c r="AU1873">
        <v>2021</v>
      </c>
      <c r="AV1873">
        <v>13</v>
      </c>
      <c r="AW1873">
        <v>35</v>
      </c>
      <c r="AX1873" t="s">
        <v>74</v>
      </c>
      <c r="AY1873" t="s">
        <v>74</v>
      </c>
      <c r="AZ1873" t="s">
        <v>74</v>
      </c>
      <c r="BA1873" t="s">
        <v>74</v>
      </c>
      <c r="BB1873">
        <v>4001</v>
      </c>
      <c r="BC1873">
        <v>4007</v>
      </c>
      <c r="BD1873" t="s">
        <v>74</v>
      </c>
      <c r="BE1873" t="s">
        <v>21069</v>
      </c>
      <c r="BF1873" t="str">
        <f>HYPERLINK("http://dx.doi.org/10.1039/d1ay00854d","http://dx.doi.org/10.1039/d1ay00854d")</f>
        <v>http://dx.doi.org/10.1039/d1ay00854d</v>
      </c>
      <c r="BG1873" t="s">
        <v>74</v>
      </c>
      <c r="BH1873" t="s">
        <v>1663</v>
      </c>
      <c r="BI1873" t="s">
        <v>74</v>
      </c>
      <c r="BJ1873" t="s">
        <v>12524</v>
      </c>
      <c r="BK1873" t="s">
        <v>117</v>
      </c>
      <c r="BL1873" t="s">
        <v>12525</v>
      </c>
      <c r="BM1873" t="s">
        <v>74</v>
      </c>
      <c r="BN1873">
        <v>34528938</v>
      </c>
      <c r="BO1873" t="s">
        <v>74</v>
      </c>
      <c r="BP1873" t="s">
        <v>74</v>
      </c>
      <c r="BQ1873" t="s">
        <v>74</v>
      </c>
      <c r="BR1873" t="s">
        <v>96</v>
      </c>
      <c r="BS1873" t="s">
        <v>21070</v>
      </c>
      <c r="BT1873" t="str">
        <f>HYPERLINK("https%3A%2F%2Fwww.webofscience.com%2Fwos%2Fwoscc%2Ffull-record%2FWOS:000687760700001","View Full Record in Web of Science")</f>
        <v>View Full Record in Web of Science</v>
      </c>
    </row>
    <row r="1874" spans="1:72" x14ac:dyDescent="0.15">
      <c r="A1874" t="s">
        <v>98</v>
      </c>
      <c r="B1874" t="s">
        <v>21499</v>
      </c>
      <c r="C1874" t="s">
        <v>74</v>
      </c>
      <c r="D1874" t="s">
        <v>74</v>
      </c>
      <c r="E1874" t="s">
        <v>74</v>
      </c>
      <c r="F1874" t="s">
        <v>21500</v>
      </c>
      <c r="G1874" t="s">
        <v>74</v>
      </c>
      <c r="H1874" t="s">
        <v>74</v>
      </c>
      <c r="I1874" t="s">
        <v>21501</v>
      </c>
      <c r="J1874" t="s">
        <v>21502</v>
      </c>
      <c r="K1874" t="s">
        <v>74</v>
      </c>
      <c r="L1874" t="s">
        <v>74</v>
      </c>
      <c r="M1874" t="s">
        <v>74</v>
      </c>
      <c r="N1874" t="s">
        <v>103</v>
      </c>
      <c r="O1874" t="s">
        <v>74</v>
      </c>
      <c r="P1874" t="s">
        <v>74</v>
      </c>
      <c r="Q1874" t="s">
        <v>74</v>
      </c>
      <c r="R1874" t="s">
        <v>74</v>
      </c>
      <c r="S1874" t="s">
        <v>74</v>
      </c>
      <c r="T1874" t="s">
        <v>21503</v>
      </c>
      <c r="U1874" t="s">
        <v>21504</v>
      </c>
      <c r="V1874" t="s">
        <v>21505</v>
      </c>
      <c r="W1874" t="s">
        <v>21506</v>
      </c>
      <c r="X1874" t="s">
        <v>15733</v>
      </c>
      <c r="Y1874" t="s">
        <v>21507</v>
      </c>
      <c r="Z1874" t="s">
        <v>21508</v>
      </c>
      <c r="AA1874" t="s">
        <v>21509</v>
      </c>
      <c r="AB1874" t="s">
        <v>21510</v>
      </c>
      <c r="AC1874" t="s">
        <v>74</v>
      </c>
      <c r="AD1874" t="s">
        <v>74</v>
      </c>
      <c r="AE1874" t="s">
        <v>74</v>
      </c>
      <c r="AF1874" t="s">
        <v>74</v>
      </c>
      <c r="AG1874">
        <v>89</v>
      </c>
      <c r="AH1874">
        <v>1</v>
      </c>
      <c r="AI1874">
        <v>1</v>
      </c>
      <c r="AJ1874">
        <v>1</v>
      </c>
      <c r="AK1874">
        <v>9</v>
      </c>
      <c r="AL1874" t="s">
        <v>74</v>
      </c>
      <c r="AM1874" t="s">
        <v>74</v>
      </c>
      <c r="AN1874" t="s">
        <v>74</v>
      </c>
      <c r="AO1874" t="s">
        <v>21511</v>
      </c>
      <c r="AP1874" t="s">
        <v>21512</v>
      </c>
      <c r="AQ1874" t="s">
        <v>74</v>
      </c>
      <c r="AR1874" t="s">
        <v>74</v>
      </c>
      <c r="AS1874" t="s">
        <v>74</v>
      </c>
      <c r="AT1874" t="s">
        <v>1029</v>
      </c>
      <c r="AU1874">
        <v>2020</v>
      </c>
      <c r="AV1874">
        <v>29</v>
      </c>
      <c r="AW1874">
        <v>2</v>
      </c>
      <c r="AX1874" t="s">
        <v>74</v>
      </c>
      <c r="AY1874" t="s">
        <v>74</v>
      </c>
      <c r="AZ1874" t="s">
        <v>74</v>
      </c>
      <c r="BA1874" t="s">
        <v>74</v>
      </c>
      <c r="BB1874">
        <v>111</v>
      </c>
      <c r="BC1874">
        <v>122</v>
      </c>
      <c r="BD1874" t="s">
        <v>74</v>
      </c>
      <c r="BE1874" t="s">
        <v>21513</v>
      </c>
      <c r="BF1874" t="str">
        <f>HYPERLINK("http://dx.doi.org/10.1055/a-1112-7925","http://dx.doi.org/10.1055/a-1112-7925")</f>
        <v>http://dx.doi.org/10.1055/a-1112-7925</v>
      </c>
      <c r="BG1874" t="s">
        <v>74</v>
      </c>
      <c r="BH1874" t="s">
        <v>74</v>
      </c>
      <c r="BI1874" t="s">
        <v>74</v>
      </c>
      <c r="BJ1874" t="s">
        <v>974</v>
      </c>
      <c r="BK1874" t="s">
        <v>467</v>
      </c>
      <c r="BL1874" t="s">
        <v>974</v>
      </c>
      <c r="BM1874" t="s">
        <v>74</v>
      </c>
      <c r="BN1874" t="s">
        <v>74</v>
      </c>
      <c r="BO1874" t="s">
        <v>74</v>
      </c>
      <c r="BP1874" t="s">
        <v>74</v>
      </c>
      <c r="BQ1874" t="s">
        <v>74</v>
      </c>
      <c r="BR1874" t="s">
        <v>96</v>
      </c>
      <c r="BS1874" t="s">
        <v>21514</v>
      </c>
      <c r="BT1874" t="str">
        <f>HYPERLINK("https%3A%2F%2Fwww.webofscience.com%2Fwos%2Fwoscc%2Ffull-record%2FWOS:000538143800002","View Full Record in Web of Science")</f>
        <v>View Full Record in Web of Science</v>
      </c>
    </row>
    <row r="1875" spans="1:72" x14ac:dyDescent="0.15">
      <c r="A1875" t="s">
        <v>98</v>
      </c>
      <c r="B1875" t="s">
        <v>21515</v>
      </c>
      <c r="C1875" t="s">
        <v>74</v>
      </c>
      <c r="D1875" t="s">
        <v>74</v>
      </c>
      <c r="E1875" t="s">
        <v>74</v>
      </c>
      <c r="F1875" t="s">
        <v>21516</v>
      </c>
      <c r="G1875" t="s">
        <v>74</v>
      </c>
      <c r="H1875" t="s">
        <v>74</v>
      </c>
      <c r="I1875" t="s">
        <v>21517</v>
      </c>
      <c r="J1875" t="s">
        <v>21518</v>
      </c>
      <c r="K1875" t="s">
        <v>74</v>
      </c>
      <c r="L1875" t="s">
        <v>74</v>
      </c>
      <c r="M1875" t="s">
        <v>74</v>
      </c>
      <c r="N1875" t="s">
        <v>103</v>
      </c>
      <c r="O1875" t="s">
        <v>74</v>
      </c>
      <c r="P1875" t="s">
        <v>74</v>
      </c>
      <c r="Q1875" t="s">
        <v>74</v>
      </c>
      <c r="R1875" t="s">
        <v>74</v>
      </c>
      <c r="S1875" t="s">
        <v>74</v>
      </c>
      <c r="T1875" t="s">
        <v>21519</v>
      </c>
      <c r="U1875" t="s">
        <v>21520</v>
      </c>
      <c r="V1875" t="s">
        <v>21521</v>
      </c>
      <c r="W1875" t="s">
        <v>21522</v>
      </c>
      <c r="X1875" t="s">
        <v>18882</v>
      </c>
      <c r="Y1875" t="s">
        <v>21523</v>
      </c>
      <c r="Z1875" t="s">
        <v>21524</v>
      </c>
      <c r="AA1875" t="s">
        <v>74</v>
      </c>
      <c r="AB1875" t="s">
        <v>74</v>
      </c>
      <c r="AC1875" t="s">
        <v>74</v>
      </c>
      <c r="AD1875" t="s">
        <v>74</v>
      </c>
      <c r="AE1875" t="s">
        <v>74</v>
      </c>
      <c r="AF1875" t="s">
        <v>74</v>
      </c>
      <c r="AG1875">
        <v>46</v>
      </c>
      <c r="AH1875">
        <v>1</v>
      </c>
      <c r="AI1875">
        <v>1</v>
      </c>
      <c r="AJ1875">
        <v>0</v>
      </c>
      <c r="AK1875">
        <v>3</v>
      </c>
      <c r="AL1875" t="s">
        <v>74</v>
      </c>
      <c r="AM1875" t="s">
        <v>74</v>
      </c>
      <c r="AN1875" t="s">
        <v>74</v>
      </c>
      <c r="AO1875" t="s">
        <v>21525</v>
      </c>
      <c r="AP1875" t="s">
        <v>21526</v>
      </c>
      <c r="AQ1875" t="s">
        <v>74</v>
      </c>
      <c r="AR1875" t="s">
        <v>74</v>
      </c>
      <c r="AS1875" t="s">
        <v>74</v>
      </c>
      <c r="AT1875" t="s">
        <v>967</v>
      </c>
      <c r="AU1875">
        <v>2020</v>
      </c>
      <c r="AV1875">
        <v>68</v>
      </c>
      <c r="AW1875">
        <v>12</v>
      </c>
      <c r="AX1875" t="s">
        <v>74</v>
      </c>
      <c r="AY1875" t="s">
        <v>74</v>
      </c>
      <c r="AZ1875" t="s">
        <v>447</v>
      </c>
      <c r="BA1875" t="s">
        <v>74</v>
      </c>
      <c r="BB1875">
        <v>899</v>
      </c>
      <c r="BC1875">
        <v>904</v>
      </c>
      <c r="BD1875" t="s">
        <v>74</v>
      </c>
      <c r="BE1875" t="s">
        <v>21527</v>
      </c>
      <c r="BF1875" t="str">
        <f>HYPERLINK("http://dx.doi.org/10.1007/s00106-020-00951-9","http://dx.doi.org/10.1007/s00106-020-00951-9")</f>
        <v>http://dx.doi.org/10.1007/s00106-020-00951-9</v>
      </c>
      <c r="BG1875" t="s">
        <v>74</v>
      </c>
      <c r="BH1875" t="s">
        <v>1479</v>
      </c>
      <c r="BI1875" t="s">
        <v>74</v>
      </c>
      <c r="BJ1875" t="s">
        <v>21528</v>
      </c>
      <c r="BK1875" t="s">
        <v>117</v>
      </c>
      <c r="BL1875" t="s">
        <v>21528</v>
      </c>
      <c r="BM1875" t="s">
        <v>74</v>
      </c>
      <c r="BN1875">
        <v>32995896</v>
      </c>
      <c r="BO1875" t="s">
        <v>74</v>
      </c>
      <c r="BP1875" t="s">
        <v>74</v>
      </c>
      <c r="BQ1875" t="s">
        <v>74</v>
      </c>
      <c r="BR1875" t="s">
        <v>96</v>
      </c>
      <c r="BS1875" t="s">
        <v>21529</v>
      </c>
      <c r="BT1875" t="str">
        <f>HYPERLINK("https%3A%2F%2Fwww.webofscience.com%2Fwos%2Fwoscc%2Ffull-record%2FWOS:000573809300001","View Full Record in Web of Science")</f>
        <v>View Full Record in Web of Science</v>
      </c>
    </row>
    <row r="1876" spans="1:72" x14ac:dyDescent="0.15">
      <c r="A1876" t="s">
        <v>98</v>
      </c>
      <c r="B1876" t="s">
        <v>21979</v>
      </c>
      <c r="C1876" t="s">
        <v>74</v>
      </c>
      <c r="D1876" t="s">
        <v>74</v>
      </c>
      <c r="E1876" t="s">
        <v>74</v>
      </c>
      <c r="F1876" t="s">
        <v>21980</v>
      </c>
      <c r="G1876" t="s">
        <v>74</v>
      </c>
      <c r="H1876" t="s">
        <v>74</v>
      </c>
      <c r="I1876" t="s">
        <v>21981</v>
      </c>
      <c r="J1876" t="s">
        <v>1123</v>
      </c>
      <c r="K1876" t="s">
        <v>74</v>
      </c>
      <c r="L1876" t="s">
        <v>74</v>
      </c>
      <c r="M1876" t="s">
        <v>74</v>
      </c>
      <c r="N1876" t="s">
        <v>103</v>
      </c>
      <c r="O1876" t="s">
        <v>74</v>
      </c>
      <c r="P1876" t="s">
        <v>74</v>
      </c>
      <c r="Q1876" t="s">
        <v>74</v>
      </c>
      <c r="R1876" t="s">
        <v>74</v>
      </c>
      <c r="S1876" t="s">
        <v>74</v>
      </c>
      <c r="T1876" t="s">
        <v>21982</v>
      </c>
      <c r="U1876" t="s">
        <v>21983</v>
      </c>
      <c r="V1876" t="s">
        <v>21984</v>
      </c>
      <c r="W1876" t="s">
        <v>21985</v>
      </c>
      <c r="X1876" t="s">
        <v>21986</v>
      </c>
      <c r="Y1876" t="s">
        <v>21987</v>
      </c>
      <c r="Z1876" t="s">
        <v>21988</v>
      </c>
      <c r="AA1876" t="s">
        <v>21989</v>
      </c>
      <c r="AB1876" t="s">
        <v>21990</v>
      </c>
      <c r="AC1876" t="s">
        <v>74</v>
      </c>
      <c r="AD1876" t="s">
        <v>74</v>
      </c>
      <c r="AE1876" t="s">
        <v>74</v>
      </c>
      <c r="AF1876" t="s">
        <v>74</v>
      </c>
      <c r="AG1876">
        <v>48</v>
      </c>
      <c r="AH1876">
        <v>1</v>
      </c>
      <c r="AI1876">
        <v>1</v>
      </c>
      <c r="AJ1876">
        <v>26</v>
      </c>
      <c r="AK1876">
        <v>26</v>
      </c>
      <c r="AL1876" t="s">
        <v>74</v>
      </c>
      <c r="AM1876" t="s">
        <v>74</v>
      </c>
      <c r="AN1876" t="s">
        <v>74</v>
      </c>
      <c r="AO1876" t="s">
        <v>1132</v>
      </c>
      <c r="AP1876" t="s">
        <v>1133</v>
      </c>
      <c r="AQ1876" t="s">
        <v>74</v>
      </c>
      <c r="AR1876" t="s">
        <v>74</v>
      </c>
      <c r="AS1876" t="s">
        <v>74</v>
      </c>
      <c r="AT1876" t="s">
        <v>549</v>
      </c>
      <c r="AU1876">
        <v>2022</v>
      </c>
      <c r="AV1876">
        <v>207</v>
      </c>
      <c r="AW1876" t="s">
        <v>74</v>
      </c>
      <c r="AX1876" t="s">
        <v>74</v>
      </c>
      <c r="AY1876" t="s">
        <v>74</v>
      </c>
      <c r="AZ1876" t="s">
        <v>74</v>
      </c>
      <c r="BA1876" t="s">
        <v>74</v>
      </c>
      <c r="BB1876" t="s">
        <v>74</v>
      </c>
      <c r="BC1876" t="s">
        <v>74</v>
      </c>
      <c r="BD1876">
        <v>114149</v>
      </c>
      <c r="BE1876" t="s">
        <v>21991</v>
      </c>
      <c r="BF1876" t="str">
        <f>HYPERLINK("http://dx.doi.org/10.1016/j.bios.2022.114149","http://dx.doi.org/10.1016/j.bios.2022.114149")</f>
        <v>http://dx.doi.org/10.1016/j.bios.2022.114149</v>
      </c>
      <c r="BG1876" t="s">
        <v>74</v>
      </c>
      <c r="BH1876" t="s">
        <v>74</v>
      </c>
      <c r="BI1876" t="s">
        <v>74</v>
      </c>
      <c r="BJ1876" t="s">
        <v>1137</v>
      </c>
      <c r="BK1876" t="s">
        <v>117</v>
      </c>
      <c r="BL1876" t="s">
        <v>1138</v>
      </c>
      <c r="BM1876" t="s">
        <v>74</v>
      </c>
      <c r="BN1876">
        <v>35290882</v>
      </c>
      <c r="BO1876" t="s">
        <v>74</v>
      </c>
      <c r="BP1876" t="s">
        <v>74</v>
      </c>
      <c r="BQ1876" t="s">
        <v>74</v>
      </c>
      <c r="BR1876" t="s">
        <v>96</v>
      </c>
      <c r="BS1876" t="s">
        <v>21992</v>
      </c>
      <c r="BT1876" t="str">
        <f>HYPERLINK("https%3A%2F%2Fwww.webofscience.com%2Fwos%2Fwoscc%2Ffull-record%2FWOS:000782656700005","View Full Record in Web of Science")</f>
        <v>View Full Record in Web of Science</v>
      </c>
    </row>
    <row r="1877" spans="1:72" x14ac:dyDescent="0.15">
      <c r="A1877" t="s">
        <v>98</v>
      </c>
      <c r="B1877" t="s">
        <v>22559</v>
      </c>
      <c r="C1877" t="s">
        <v>74</v>
      </c>
      <c r="D1877" t="s">
        <v>74</v>
      </c>
      <c r="E1877" t="s">
        <v>74</v>
      </c>
      <c r="F1877" t="s">
        <v>22560</v>
      </c>
      <c r="G1877" t="s">
        <v>74</v>
      </c>
      <c r="H1877" t="s">
        <v>74</v>
      </c>
      <c r="I1877" t="s">
        <v>22561</v>
      </c>
      <c r="J1877" t="s">
        <v>1798</v>
      </c>
      <c r="K1877" t="s">
        <v>74</v>
      </c>
      <c r="L1877" t="s">
        <v>74</v>
      </c>
      <c r="M1877" t="s">
        <v>74</v>
      </c>
      <c r="N1877" t="s">
        <v>103</v>
      </c>
      <c r="O1877" t="s">
        <v>74</v>
      </c>
      <c r="P1877" t="s">
        <v>74</v>
      </c>
      <c r="Q1877" t="s">
        <v>74</v>
      </c>
      <c r="R1877" t="s">
        <v>74</v>
      </c>
      <c r="S1877" t="s">
        <v>74</v>
      </c>
      <c r="T1877" t="s">
        <v>22562</v>
      </c>
      <c r="U1877" t="s">
        <v>22563</v>
      </c>
      <c r="V1877" t="s">
        <v>22564</v>
      </c>
      <c r="W1877" t="s">
        <v>22565</v>
      </c>
      <c r="X1877" t="s">
        <v>22566</v>
      </c>
      <c r="Y1877" t="s">
        <v>22567</v>
      </c>
      <c r="Z1877" t="s">
        <v>22568</v>
      </c>
      <c r="AA1877" t="s">
        <v>22569</v>
      </c>
      <c r="AB1877" t="s">
        <v>22570</v>
      </c>
      <c r="AC1877" t="s">
        <v>74</v>
      </c>
      <c r="AD1877" t="s">
        <v>74</v>
      </c>
      <c r="AE1877" t="s">
        <v>74</v>
      </c>
      <c r="AF1877" t="s">
        <v>74</v>
      </c>
      <c r="AG1877">
        <v>46</v>
      </c>
      <c r="AH1877">
        <v>1</v>
      </c>
      <c r="AI1877">
        <v>1</v>
      </c>
      <c r="AJ1877">
        <v>0</v>
      </c>
      <c r="AK1877">
        <v>10</v>
      </c>
      <c r="AL1877" t="s">
        <v>74</v>
      </c>
      <c r="AM1877" t="s">
        <v>74</v>
      </c>
      <c r="AN1877" t="s">
        <v>74</v>
      </c>
      <c r="AO1877" t="s">
        <v>1806</v>
      </c>
      <c r="AP1877" t="s">
        <v>74</v>
      </c>
      <c r="AQ1877" t="s">
        <v>74</v>
      </c>
      <c r="AR1877" t="s">
        <v>74</v>
      </c>
      <c r="AS1877" t="s">
        <v>74</v>
      </c>
      <c r="AT1877" t="s">
        <v>5823</v>
      </c>
      <c r="AU1877">
        <v>2021</v>
      </c>
      <c r="AV1877">
        <v>12</v>
      </c>
      <c r="AW1877" t="s">
        <v>74</v>
      </c>
      <c r="AX1877" t="s">
        <v>74</v>
      </c>
      <c r="AY1877" t="s">
        <v>74</v>
      </c>
      <c r="AZ1877" t="s">
        <v>74</v>
      </c>
      <c r="BA1877" t="s">
        <v>74</v>
      </c>
      <c r="BB1877" t="s">
        <v>74</v>
      </c>
      <c r="BC1877" t="s">
        <v>74</v>
      </c>
      <c r="BD1877" t="s">
        <v>74</v>
      </c>
      <c r="BE1877" t="s">
        <v>22571</v>
      </c>
      <c r="BF1877" t="str">
        <f>HYPERLINK("http://dx.doi.org/10.3389/fphys.2021.697139","http://dx.doi.org/10.3389/fphys.2021.697139")</f>
        <v>http://dx.doi.org/10.3389/fphys.2021.697139</v>
      </c>
      <c r="BG1877" t="s">
        <v>74</v>
      </c>
      <c r="BH1877" t="s">
        <v>74</v>
      </c>
      <c r="BI1877" t="s">
        <v>74</v>
      </c>
      <c r="BJ1877" t="s">
        <v>1809</v>
      </c>
      <c r="BK1877" t="s">
        <v>117</v>
      </c>
      <c r="BL1877" t="s">
        <v>1809</v>
      </c>
      <c r="BM1877" t="s">
        <v>74</v>
      </c>
      <c r="BN1877">
        <v>34489723</v>
      </c>
      <c r="BO1877" t="s">
        <v>74</v>
      </c>
      <c r="BP1877" t="s">
        <v>74</v>
      </c>
      <c r="BQ1877" t="s">
        <v>74</v>
      </c>
      <c r="BR1877" t="s">
        <v>96</v>
      </c>
      <c r="BS1877" t="s">
        <v>22572</v>
      </c>
      <c r="BT1877" t="str">
        <f>HYPERLINK("https%3A%2F%2Fwww.webofscience.com%2Fwos%2Fwoscc%2Ffull-record%2FWOS:000696585700001","View Full Record in Web of Science")</f>
        <v>View Full Record in Web of Science</v>
      </c>
    </row>
    <row r="1878" spans="1:72" x14ac:dyDescent="0.15">
      <c r="A1878" t="s">
        <v>98</v>
      </c>
      <c r="B1878" t="s">
        <v>22586</v>
      </c>
      <c r="C1878" t="s">
        <v>74</v>
      </c>
      <c r="D1878" t="s">
        <v>74</v>
      </c>
      <c r="E1878" t="s">
        <v>74</v>
      </c>
      <c r="F1878" t="s">
        <v>22587</v>
      </c>
      <c r="G1878" t="s">
        <v>74</v>
      </c>
      <c r="H1878" t="s">
        <v>74</v>
      </c>
      <c r="I1878" t="s">
        <v>22588</v>
      </c>
      <c r="J1878" t="s">
        <v>22589</v>
      </c>
      <c r="K1878" t="s">
        <v>74</v>
      </c>
      <c r="L1878" t="s">
        <v>74</v>
      </c>
      <c r="M1878" t="s">
        <v>74</v>
      </c>
      <c r="N1878" t="s">
        <v>103</v>
      </c>
      <c r="O1878" t="s">
        <v>74</v>
      </c>
      <c r="P1878" t="s">
        <v>74</v>
      </c>
      <c r="Q1878" t="s">
        <v>74</v>
      </c>
      <c r="R1878" t="s">
        <v>74</v>
      </c>
      <c r="S1878" t="s">
        <v>74</v>
      </c>
      <c r="T1878" t="s">
        <v>22590</v>
      </c>
      <c r="U1878" t="s">
        <v>22591</v>
      </c>
      <c r="V1878" t="s">
        <v>22592</v>
      </c>
      <c r="W1878" t="s">
        <v>22593</v>
      </c>
      <c r="X1878" t="s">
        <v>22594</v>
      </c>
      <c r="Y1878" t="s">
        <v>22595</v>
      </c>
      <c r="Z1878" t="s">
        <v>22596</v>
      </c>
      <c r="AA1878" t="s">
        <v>22597</v>
      </c>
      <c r="AB1878" t="s">
        <v>22598</v>
      </c>
      <c r="AC1878" t="s">
        <v>74</v>
      </c>
      <c r="AD1878" t="s">
        <v>74</v>
      </c>
      <c r="AE1878" t="s">
        <v>74</v>
      </c>
      <c r="AF1878" t="s">
        <v>74</v>
      </c>
      <c r="AG1878">
        <v>37</v>
      </c>
      <c r="AH1878">
        <v>1</v>
      </c>
      <c r="AI1878">
        <v>1</v>
      </c>
      <c r="AJ1878">
        <v>2</v>
      </c>
      <c r="AK1878">
        <v>2</v>
      </c>
      <c r="AL1878" t="s">
        <v>74</v>
      </c>
      <c r="AM1878" t="s">
        <v>74</v>
      </c>
      <c r="AN1878" t="s">
        <v>74</v>
      </c>
      <c r="AO1878" t="s">
        <v>22599</v>
      </c>
      <c r="AP1878" t="s">
        <v>22600</v>
      </c>
      <c r="AQ1878" t="s">
        <v>74</v>
      </c>
      <c r="AR1878" t="s">
        <v>74</v>
      </c>
      <c r="AS1878" t="s">
        <v>74</v>
      </c>
      <c r="AT1878" t="s">
        <v>1029</v>
      </c>
      <c r="AU1878">
        <v>2022</v>
      </c>
      <c r="AV1878">
        <v>10</v>
      </c>
      <c r="AW1878">
        <v>10</v>
      </c>
      <c r="AX1878" t="s">
        <v>74</v>
      </c>
      <c r="AY1878" t="s">
        <v>74</v>
      </c>
      <c r="AZ1878" t="s">
        <v>74</v>
      </c>
      <c r="BA1878" t="s">
        <v>74</v>
      </c>
      <c r="BB1878" t="s">
        <v>74</v>
      </c>
      <c r="BC1878" t="s">
        <v>74</v>
      </c>
      <c r="BD1878" t="s">
        <v>74</v>
      </c>
      <c r="BE1878" t="s">
        <v>22601</v>
      </c>
      <c r="BF1878" t="str">
        <f>HYPERLINK("http://dx.doi.org/10.21037/atm-22-2119","http://dx.doi.org/10.21037/atm-22-2119")</f>
        <v>http://dx.doi.org/10.21037/atm-22-2119</v>
      </c>
      <c r="BG1878" t="s">
        <v>74</v>
      </c>
      <c r="BH1878" t="s">
        <v>7254</v>
      </c>
      <c r="BI1878" t="s">
        <v>74</v>
      </c>
      <c r="BJ1878" t="s">
        <v>4129</v>
      </c>
      <c r="BK1878" t="s">
        <v>117</v>
      </c>
      <c r="BL1878" t="s">
        <v>4130</v>
      </c>
      <c r="BM1878" t="s">
        <v>74</v>
      </c>
      <c r="BN1878">
        <v>35722385</v>
      </c>
      <c r="BO1878" t="s">
        <v>74</v>
      </c>
      <c r="BP1878" t="s">
        <v>74</v>
      </c>
      <c r="BQ1878" t="s">
        <v>74</v>
      </c>
      <c r="BR1878" t="s">
        <v>96</v>
      </c>
      <c r="BS1878" t="s">
        <v>22602</v>
      </c>
      <c r="BT1878" t="str">
        <f>HYPERLINK("https%3A%2F%2Fwww.webofscience.com%2Fwos%2Fwoscc%2Ffull-record%2FWOS:000802758400001","View Full Record in Web of Science")</f>
        <v>View Full Record in Web of Science</v>
      </c>
    </row>
    <row r="1879" spans="1:72" x14ac:dyDescent="0.15">
      <c r="A1879" t="s">
        <v>98</v>
      </c>
      <c r="B1879" t="s">
        <v>22680</v>
      </c>
      <c r="C1879" t="s">
        <v>74</v>
      </c>
      <c r="D1879" t="s">
        <v>74</v>
      </c>
      <c r="E1879" t="s">
        <v>74</v>
      </c>
      <c r="F1879" t="s">
        <v>22681</v>
      </c>
      <c r="G1879" t="s">
        <v>74</v>
      </c>
      <c r="H1879" t="s">
        <v>74</v>
      </c>
      <c r="I1879" t="s">
        <v>22682</v>
      </c>
      <c r="J1879" t="s">
        <v>10654</v>
      </c>
      <c r="K1879" t="s">
        <v>74</v>
      </c>
      <c r="L1879" t="s">
        <v>74</v>
      </c>
      <c r="M1879" t="s">
        <v>74</v>
      </c>
      <c r="N1879" t="s">
        <v>103</v>
      </c>
      <c r="O1879" t="s">
        <v>74</v>
      </c>
      <c r="P1879" t="s">
        <v>74</v>
      </c>
      <c r="Q1879" t="s">
        <v>74</v>
      </c>
      <c r="R1879" t="s">
        <v>74</v>
      </c>
      <c r="S1879" t="s">
        <v>74</v>
      </c>
      <c r="T1879" t="s">
        <v>22683</v>
      </c>
      <c r="U1879" t="s">
        <v>22684</v>
      </c>
      <c r="V1879" t="s">
        <v>22685</v>
      </c>
      <c r="W1879" t="s">
        <v>22686</v>
      </c>
      <c r="X1879" t="s">
        <v>74</v>
      </c>
      <c r="Y1879" t="s">
        <v>22687</v>
      </c>
      <c r="Z1879" t="s">
        <v>22688</v>
      </c>
      <c r="AA1879" t="s">
        <v>74</v>
      </c>
      <c r="AB1879" t="s">
        <v>74</v>
      </c>
      <c r="AC1879" t="s">
        <v>74</v>
      </c>
      <c r="AD1879" t="s">
        <v>74</v>
      </c>
      <c r="AE1879" t="s">
        <v>74</v>
      </c>
      <c r="AF1879" t="s">
        <v>74</v>
      </c>
      <c r="AG1879">
        <v>74</v>
      </c>
      <c r="AH1879">
        <v>1</v>
      </c>
      <c r="AI1879">
        <v>1</v>
      </c>
      <c r="AJ1879">
        <v>35</v>
      </c>
      <c r="AK1879">
        <v>37</v>
      </c>
      <c r="AL1879" t="s">
        <v>74</v>
      </c>
      <c r="AM1879" t="s">
        <v>74</v>
      </c>
      <c r="AN1879" t="s">
        <v>74</v>
      </c>
      <c r="AO1879" t="s">
        <v>10663</v>
      </c>
      <c r="AP1879" t="s">
        <v>10664</v>
      </c>
      <c r="AQ1879" t="s">
        <v>74</v>
      </c>
      <c r="AR1879" t="s">
        <v>74</v>
      </c>
      <c r="AS1879" t="s">
        <v>74</v>
      </c>
      <c r="AT1879" t="s">
        <v>3660</v>
      </c>
      <c r="AU1879">
        <v>2022</v>
      </c>
      <c r="AV1879">
        <v>527</v>
      </c>
      <c r="AW1879" t="s">
        <v>74</v>
      </c>
      <c r="AX1879" t="s">
        <v>74</v>
      </c>
      <c r="AY1879" t="s">
        <v>74</v>
      </c>
      <c r="AZ1879" t="s">
        <v>74</v>
      </c>
      <c r="BA1879" t="s">
        <v>74</v>
      </c>
      <c r="BB1879">
        <v>79</v>
      </c>
      <c r="BC1879">
        <v>88</v>
      </c>
      <c r="BD1879" t="s">
        <v>74</v>
      </c>
      <c r="BE1879" t="s">
        <v>22689</v>
      </c>
      <c r="BF1879" t="str">
        <f>HYPERLINK("http://dx.doi.org/10.1016/j.cca.2022.01.023","http://dx.doi.org/10.1016/j.cca.2022.01.023")</f>
        <v>http://dx.doi.org/10.1016/j.cca.2022.01.023</v>
      </c>
      <c r="BG1879" t="s">
        <v>74</v>
      </c>
      <c r="BH1879" t="s">
        <v>74</v>
      </c>
      <c r="BI1879" t="s">
        <v>74</v>
      </c>
      <c r="BJ1879" t="s">
        <v>2773</v>
      </c>
      <c r="BK1879" t="s">
        <v>117</v>
      </c>
      <c r="BL1879" t="s">
        <v>2773</v>
      </c>
      <c r="BM1879" t="s">
        <v>74</v>
      </c>
      <c r="BN1879">
        <v>35120900</v>
      </c>
      <c r="BO1879" t="s">
        <v>74</v>
      </c>
      <c r="BP1879" t="s">
        <v>74</v>
      </c>
      <c r="BQ1879" t="s">
        <v>74</v>
      </c>
      <c r="BR1879" t="s">
        <v>96</v>
      </c>
      <c r="BS1879" t="s">
        <v>22690</v>
      </c>
      <c r="BT1879" t="str">
        <f>HYPERLINK("https%3A%2F%2Fwww.webofscience.com%2Fwos%2Fwoscc%2Ffull-record%2FWOS:000790572600011","View Full Record in Web of Science")</f>
        <v>View Full Record in Web of Science</v>
      </c>
    </row>
    <row r="1880" spans="1:72" x14ac:dyDescent="0.15">
      <c r="A1880" t="s">
        <v>98</v>
      </c>
      <c r="B1880" t="s">
        <v>23147</v>
      </c>
      <c r="C1880" t="s">
        <v>74</v>
      </c>
      <c r="D1880" t="s">
        <v>74</v>
      </c>
      <c r="E1880" t="s">
        <v>74</v>
      </c>
      <c r="F1880" t="s">
        <v>23148</v>
      </c>
      <c r="G1880" t="s">
        <v>74</v>
      </c>
      <c r="H1880" t="s">
        <v>74</v>
      </c>
      <c r="I1880" t="s">
        <v>23149</v>
      </c>
      <c r="J1880" t="s">
        <v>4135</v>
      </c>
      <c r="K1880" t="s">
        <v>74</v>
      </c>
      <c r="L1880" t="s">
        <v>74</v>
      </c>
      <c r="M1880" t="s">
        <v>74</v>
      </c>
      <c r="N1880" t="s">
        <v>103</v>
      </c>
      <c r="O1880" t="s">
        <v>74</v>
      </c>
      <c r="P1880" t="s">
        <v>74</v>
      </c>
      <c r="Q1880" t="s">
        <v>74</v>
      </c>
      <c r="R1880" t="s">
        <v>74</v>
      </c>
      <c r="S1880" t="s">
        <v>74</v>
      </c>
      <c r="T1880" t="s">
        <v>23150</v>
      </c>
      <c r="U1880" t="s">
        <v>23151</v>
      </c>
      <c r="V1880" t="s">
        <v>23152</v>
      </c>
      <c r="W1880" t="s">
        <v>23153</v>
      </c>
      <c r="X1880" t="s">
        <v>23154</v>
      </c>
      <c r="Y1880" t="s">
        <v>23155</v>
      </c>
      <c r="Z1880" t="s">
        <v>23156</v>
      </c>
      <c r="AA1880" t="s">
        <v>23157</v>
      </c>
      <c r="AB1880" t="s">
        <v>23158</v>
      </c>
      <c r="AC1880" t="s">
        <v>74</v>
      </c>
      <c r="AD1880" t="s">
        <v>74</v>
      </c>
      <c r="AE1880" t="s">
        <v>74</v>
      </c>
      <c r="AF1880" t="s">
        <v>74</v>
      </c>
      <c r="AG1880">
        <v>50</v>
      </c>
      <c r="AH1880">
        <v>1</v>
      </c>
      <c r="AI1880">
        <v>2</v>
      </c>
      <c r="AJ1880">
        <v>0</v>
      </c>
      <c r="AK1880">
        <v>1</v>
      </c>
      <c r="AL1880" t="s">
        <v>74</v>
      </c>
      <c r="AM1880" t="s">
        <v>74</v>
      </c>
      <c r="AN1880" t="s">
        <v>74</v>
      </c>
      <c r="AO1880" t="s">
        <v>74</v>
      </c>
      <c r="AP1880" t="s">
        <v>4145</v>
      </c>
      <c r="AQ1880" t="s">
        <v>74</v>
      </c>
      <c r="AR1880" t="s">
        <v>74</v>
      </c>
      <c r="AS1880" t="s">
        <v>74</v>
      </c>
      <c r="AT1880" t="s">
        <v>16768</v>
      </c>
      <c r="AU1880">
        <v>2020</v>
      </c>
      <c r="AV1880">
        <v>21</v>
      </c>
      <c r="AW1880">
        <v>1</v>
      </c>
      <c r="AX1880" t="s">
        <v>74</v>
      </c>
      <c r="AY1880" t="s">
        <v>74</v>
      </c>
      <c r="AZ1880" t="s">
        <v>74</v>
      </c>
      <c r="BA1880" t="s">
        <v>74</v>
      </c>
      <c r="BB1880" t="s">
        <v>74</v>
      </c>
      <c r="BC1880" t="s">
        <v>74</v>
      </c>
      <c r="BD1880">
        <v>42</v>
      </c>
      <c r="BE1880" t="s">
        <v>23159</v>
      </c>
      <c r="BF1880" t="str">
        <f>HYPERLINK("http://dx.doi.org/10.1186/s12931-020-1302-9","http://dx.doi.org/10.1186/s12931-020-1302-9")</f>
        <v>http://dx.doi.org/10.1186/s12931-020-1302-9</v>
      </c>
      <c r="BG1880" t="s">
        <v>74</v>
      </c>
      <c r="BH1880" t="s">
        <v>74</v>
      </c>
      <c r="BI1880" t="s">
        <v>74</v>
      </c>
      <c r="BJ1880" t="s">
        <v>4148</v>
      </c>
      <c r="BK1880" t="s">
        <v>117</v>
      </c>
      <c r="BL1880" t="s">
        <v>4148</v>
      </c>
      <c r="BM1880" t="s">
        <v>74</v>
      </c>
      <c r="BN1880">
        <v>32019550</v>
      </c>
      <c r="BO1880" t="s">
        <v>74</v>
      </c>
      <c r="BP1880" t="s">
        <v>74</v>
      </c>
      <c r="BQ1880" t="s">
        <v>74</v>
      </c>
      <c r="BR1880" t="s">
        <v>96</v>
      </c>
      <c r="BS1880" t="s">
        <v>23160</v>
      </c>
      <c r="BT1880" t="str">
        <f>HYPERLINK("https%3A%2F%2Fwww.webofscience.com%2Fwos%2Fwoscc%2Ffull-record%2FWOS:000513644200001","View Full Record in Web of Science")</f>
        <v>View Full Record in Web of Science</v>
      </c>
    </row>
    <row r="1881" spans="1:72" x14ac:dyDescent="0.15">
      <c r="A1881" t="s">
        <v>98</v>
      </c>
      <c r="B1881" t="s">
        <v>23473</v>
      </c>
      <c r="C1881" t="s">
        <v>74</v>
      </c>
      <c r="D1881" t="s">
        <v>74</v>
      </c>
      <c r="E1881" t="s">
        <v>74</v>
      </c>
      <c r="F1881" t="s">
        <v>23474</v>
      </c>
      <c r="G1881" t="s">
        <v>74</v>
      </c>
      <c r="H1881" t="s">
        <v>74</v>
      </c>
      <c r="I1881" t="s">
        <v>23475</v>
      </c>
      <c r="J1881" t="s">
        <v>14823</v>
      </c>
      <c r="K1881" t="s">
        <v>74</v>
      </c>
      <c r="L1881" t="s">
        <v>74</v>
      </c>
      <c r="M1881" t="s">
        <v>74</v>
      </c>
      <c r="N1881" t="s">
        <v>103</v>
      </c>
      <c r="O1881" t="s">
        <v>74</v>
      </c>
      <c r="P1881" t="s">
        <v>74</v>
      </c>
      <c r="Q1881" t="s">
        <v>74</v>
      </c>
      <c r="R1881" t="s">
        <v>74</v>
      </c>
      <c r="S1881" t="s">
        <v>74</v>
      </c>
      <c r="T1881" t="s">
        <v>23476</v>
      </c>
      <c r="U1881" t="s">
        <v>23477</v>
      </c>
      <c r="V1881" t="s">
        <v>23478</v>
      </c>
      <c r="W1881" t="s">
        <v>23479</v>
      </c>
      <c r="X1881" t="s">
        <v>23480</v>
      </c>
      <c r="Y1881" t="s">
        <v>23481</v>
      </c>
      <c r="Z1881" t="s">
        <v>23482</v>
      </c>
      <c r="AA1881" t="s">
        <v>74</v>
      </c>
      <c r="AB1881" t="s">
        <v>74</v>
      </c>
      <c r="AC1881" t="s">
        <v>74</v>
      </c>
      <c r="AD1881" t="s">
        <v>74</v>
      </c>
      <c r="AE1881" t="s">
        <v>74</v>
      </c>
      <c r="AF1881" t="s">
        <v>74</v>
      </c>
      <c r="AG1881">
        <v>27</v>
      </c>
      <c r="AH1881">
        <v>1</v>
      </c>
      <c r="AI1881">
        <v>1</v>
      </c>
      <c r="AJ1881">
        <v>13</v>
      </c>
      <c r="AK1881">
        <v>13</v>
      </c>
      <c r="AL1881" t="s">
        <v>74</v>
      </c>
      <c r="AM1881" t="s">
        <v>74</v>
      </c>
      <c r="AN1881" t="s">
        <v>74</v>
      </c>
      <c r="AO1881" t="s">
        <v>14831</v>
      </c>
      <c r="AP1881" t="s">
        <v>14832</v>
      </c>
      <c r="AQ1881" t="s">
        <v>74</v>
      </c>
      <c r="AR1881" t="s">
        <v>74</v>
      </c>
      <c r="AS1881" t="s">
        <v>74</v>
      </c>
      <c r="AT1881" t="s">
        <v>170</v>
      </c>
      <c r="AU1881">
        <v>2022</v>
      </c>
      <c r="AV1881">
        <v>33</v>
      </c>
      <c r="AW1881">
        <v>6</v>
      </c>
      <c r="AX1881" t="s">
        <v>74</v>
      </c>
      <c r="AY1881" t="s">
        <v>74</v>
      </c>
      <c r="AZ1881" t="s">
        <v>74</v>
      </c>
      <c r="BA1881" t="s">
        <v>74</v>
      </c>
      <c r="BB1881">
        <v>3188</v>
      </c>
      <c r="BC1881">
        <v>3192</v>
      </c>
      <c r="BD1881" t="s">
        <v>74</v>
      </c>
      <c r="BE1881" t="s">
        <v>23483</v>
      </c>
      <c r="BF1881" t="str">
        <f>HYPERLINK("http://dx.doi.org/10.1016/j.cclet.2021.12.045","http://dx.doi.org/10.1016/j.cclet.2021.12.045")</f>
        <v>http://dx.doi.org/10.1016/j.cclet.2021.12.045</v>
      </c>
      <c r="BG1881" t="s">
        <v>74</v>
      </c>
      <c r="BH1881" t="s">
        <v>74</v>
      </c>
      <c r="BI1881" t="s">
        <v>74</v>
      </c>
      <c r="BJ1881" t="s">
        <v>1047</v>
      </c>
      <c r="BK1881" t="s">
        <v>117</v>
      </c>
      <c r="BL1881" t="s">
        <v>1048</v>
      </c>
      <c r="BM1881" t="s">
        <v>74</v>
      </c>
      <c r="BN1881" t="s">
        <v>74</v>
      </c>
      <c r="BO1881" t="s">
        <v>74</v>
      </c>
      <c r="BP1881" t="s">
        <v>74</v>
      </c>
      <c r="BQ1881" t="s">
        <v>74</v>
      </c>
      <c r="BR1881" t="s">
        <v>96</v>
      </c>
      <c r="BS1881" t="s">
        <v>23484</v>
      </c>
      <c r="BT1881" t="str">
        <f>HYPERLINK("https%3A%2F%2Fwww.webofscience.com%2Fwos%2Fwoscc%2Ffull-record%2FWOS:000800344000070","View Full Record in Web of Science")</f>
        <v>View Full Record in Web of Science</v>
      </c>
    </row>
    <row r="1882" spans="1:72" x14ac:dyDescent="0.15">
      <c r="A1882" t="s">
        <v>72</v>
      </c>
      <c r="B1882" t="s">
        <v>23654</v>
      </c>
      <c r="C1882" t="s">
        <v>74</v>
      </c>
      <c r="D1882" t="s">
        <v>23655</v>
      </c>
      <c r="E1882" t="s">
        <v>74</v>
      </c>
      <c r="F1882" t="s">
        <v>23656</v>
      </c>
      <c r="G1882" t="s">
        <v>74</v>
      </c>
      <c r="H1882" t="s">
        <v>74</v>
      </c>
      <c r="I1882" t="s">
        <v>23657</v>
      </c>
      <c r="J1882" t="s">
        <v>23658</v>
      </c>
      <c r="K1882" t="s">
        <v>79</v>
      </c>
      <c r="L1882" t="s">
        <v>74</v>
      </c>
      <c r="M1882" t="s">
        <v>74</v>
      </c>
      <c r="N1882" t="s">
        <v>80</v>
      </c>
      <c r="O1882" t="s">
        <v>74</v>
      </c>
      <c r="P1882" t="s">
        <v>74</v>
      </c>
      <c r="Q1882" t="s">
        <v>74</v>
      </c>
      <c r="R1882" t="s">
        <v>74</v>
      </c>
      <c r="S1882" t="s">
        <v>74</v>
      </c>
      <c r="T1882" t="s">
        <v>23659</v>
      </c>
      <c r="U1882" t="s">
        <v>23660</v>
      </c>
      <c r="V1882" t="s">
        <v>23661</v>
      </c>
      <c r="W1882" t="s">
        <v>23662</v>
      </c>
      <c r="X1882" t="s">
        <v>23663</v>
      </c>
      <c r="Y1882" t="s">
        <v>23664</v>
      </c>
      <c r="Z1882" t="s">
        <v>74</v>
      </c>
      <c r="AA1882" t="s">
        <v>23665</v>
      </c>
      <c r="AB1882" t="s">
        <v>23666</v>
      </c>
      <c r="AC1882" t="s">
        <v>74</v>
      </c>
      <c r="AD1882" t="s">
        <v>74</v>
      </c>
      <c r="AE1882" t="s">
        <v>74</v>
      </c>
      <c r="AF1882" t="s">
        <v>74</v>
      </c>
      <c r="AG1882">
        <v>65</v>
      </c>
      <c r="AH1882">
        <v>1</v>
      </c>
      <c r="AI1882">
        <v>1</v>
      </c>
      <c r="AJ1882">
        <v>2</v>
      </c>
      <c r="AK1882">
        <v>6</v>
      </c>
      <c r="AL1882" t="s">
        <v>74</v>
      </c>
      <c r="AM1882" t="s">
        <v>74</v>
      </c>
      <c r="AN1882" t="s">
        <v>74</v>
      </c>
      <c r="AO1882" t="s">
        <v>88</v>
      </c>
      <c r="AP1882" t="s">
        <v>89</v>
      </c>
      <c r="AQ1882" t="s">
        <v>23667</v>
      </c>
      <c r="AR1882" t="s">
        <v>74</v>
      </c>
      <c r="AS1882" t="s">
        <v>74</v>
      </c>
      <c r="AT1882" t="s">
        <v>74</v>
      </c>
      <c r="AU1882">
        <v>2021</v>
      </c>
      <c r="AV1882">
        <v>2292</v>
      </c>
      <c r="AW1882" t="s">
        <v>74</v>
      </c>
      <c r="AX1882" t="s">
        <v>74</v>
      </c>
      <c r="AY1882" t="s">
        <v>74</v>
      </c>
      <c r="AZ1882" t="s">
        <v>74</v>
      </c>
      <c r="BA1882" t="s">
        <v>74</v>
      </c>
      <c r="BB1882">
        <v>3</v>
      </c>
      <c r="BC1882">
        <v>15</v>
      </c>
      <c r="BD1882" t="s">
        <v>74</v>
      </c>
      <c r="BE1882" t="s">
        <v>23668</v>
      </c>
      <c r="BF1882" t="str">
        <f>HYPERLINK("http://dx.doi.org/10.1007/978-1-0716-1354-2_1","http://dx.doi.org/10.1007/978-1-0716-1354-2_1")</f>
        <v>http://dx.doi.org/10.1007/978-1-0716-1354-2_1</v>
      </c>
      <c r="BG1882" t="s">
        <v>23669</v>
      </c>
      <c r="BH1882" t="s">
        <v>74</v>
      </c>
      <c r="BI1882" t="s">
        <v>74</v>
      </c>
      <c r="BJ1882" t="s">
        <v>23670</v>
      </c>
      <c r="BK1882" t="s">
        <v>94</v>
      </c>
      <c r="BL1882" t="s">
        <v>2961</v>
      </c>
      <c r="BM1882" t="s">
        <v>74</v>
      </c>
      <c r="BN1882">
        <v>33651347</v>
      </c>
      <c r="BO1882" t="s">
        <v>74</v>
      </c>
      <c r="BP1882" t="s">
        <v>74</v>
      </c>
      <c r="BQ1882" t="s">
        <v>74</v>
      </c>
      <c r="BR1882" t="s">
        <v>96</v>
      </c>
      <c r="BS1882" t="s">
        <v>23671</v>
      </c>
      <c r="BT1882" t="str">
        <f>HYPERLINK("https%3A%2F%2Fwww.webofscience.com%2Fwos%2Fwoscc%2Ffull-record%2FWOS:000691011000002","View Full Record in Web of Science")</f>
        <v>View Full Record in Web of Science</v>
      </c>
    </row>
    <row r="1883" spans="1:72" x14ac:dyDescent="0.15">
      <c r="A1883" t="s">
        <v>98</v>
      </c>
      <c r="B1883" t="s">
        <v>23913</v>
      </c>
      <c r="C1883" t="s">
        <v>74</v>
      </c>
      <c r="D1883" t="s">
        <v>74</v>
      </c>
      <c r="E1883" t="s">
        <v>74</v>
      </c>
      <c r="F1883" t="s">
        <v>23914</v>
      </c>
      <c r="G1883" t="s">
        <v>74</v>
      </c>
      <c r="H1883" t="s">
        <v>74</v>
      </c>
      <c r="I1883" t="s">
        <v>23915</v>
      </c>
      <c r="J1883" t="s">
        <v>19698</v>
      </c>
      <c r="K1883" t="s">
        <v>74</v>
      </c>
      <c r="L1883" t="s">
        <v>74</v>
      </c>
      <c r="M1883" t="s">
        <v>74</v>
      </c>
      <c r="N1883" t="s">
        <v>103</v>
      </c>
      <c r="O1883" t="s">
        <v>74</v>
      </c>
      <c r="P1883" t="s">
        <v>74</v>
      </c>
      <c r="Q1883" t="s">
        <v>74</v>
      </c>
      <c r="R1883" t="s">
        <v>74</v>
      </c>
      <c r="S1883" t="s">
        <v>74</v>
      </c>
      <c r="T1883" t="s">
        <v>23916</v>
      </c>
      <c r="U1883" t="s">
        <v>23917</v>
      </c>
      <c r="V1883" t="s">
        <v>23918</v>
      </c>
      <c r="W1883" t="s">
        <v>23919</v>
      </c>
      <c r="X1883" t="s">
        <v>74</v>
      </c>
      <c r="Y1883" t="s">
        <v>23920</v>
      </c>
      <c r="Z1883" t="s">
        <v>23921</v>
      </c>
      <c r="AA1883" t="s">
        <v>23922</v>
      </c>
      <c r="AB1883" t="s">
        <v>23923</v>
      </c>
      <c r="AC1883" t="s">
        <v>74</v>
      </c>
      <c r="AD1883" t="s">
        <v>74</v>
      </c>
      <c r="AE1883" t="s">
        <v>74</v>
      </c>
      <c r="AF1883" t="s">
        <v>74</v>
      </c>
      <c r="AG1883">
        <v>62</v>
      </c>
      <c r="AH1883">
        <v>1</v>
      </c>
      <c r="AI1883">
        <v>1</v>
      </c>
      <c r="AJ1883">
        <v>1</v>
      </c>
      <c r="AK1883">
        <v>2</v>
      </c>
      <c r="AL1883" t="s">
        <v>74</v>
      </c>
      <c r="AM1883" t="s">
        <v>74</v>
      </c>
      <c r="AN1883" t="s">
        <v>74</v>
      </c>
      <c r="AO1883" t="s">
        <v>19708</v>
      </c>
      <c r="AP1883" t="s">
        <v>19709</v>
      </c>
      <c r="AQ1883" t="s">
        <v>74</v>
      </c>
      <c r="AR1883" t="s">
        <v>74</v>
      </c>
      <c r="AS1883" t="s">
        <v>74</v>
      </c>
      <c r="AT1883" t="s">
        <v>10261</v>
      </c>
      <c r="AU1883">
        <v>2020</v>
      </c>
      <c r="AV1883" t="s">
        <v>74</v>
      </c>
      <c r="AW1883">
        <v>3</v>
      </c>
      <c r="AX1883" t="s">
        <v>74</v>
      </c>
      <c r="AY1883" t="s">
        <v>74</v>
      </c>
      <c r="AZ1883" t="s">
        <v>74</v>
      </c>
      <c r="BA1883" t="s">
        <v>74</v>
      </c>
      <c r="BB1883">
        <v>5</v>
      </c>
      <c r="BC1883">
        <v>10</v>
      </c>
      <c r="BD1883" t="s">
        <v>74</v>
      </c>
      <c r="BE1883" t="s">
        <v>23924</v>
      </c>
      <c r="BF1883" t="str">
        <f>HYPERLINK("http://dx.doi.org/10.24075/brsmu.2020.040","http://dx.doi.org/10.24075/brsmu.2020.040")</f>
        <v>http://dx.doi.org/10.24075/brsmu.2020.040</v>
      </c>
      <c r="BG1883" t="s">
        <v>74</v>
      </c>
      <c r="BH1883" t="s">
        <v>74</v>
      </c>
      <c r="BI1883" t="s">
        <v>74</v>
      </c>
      <c r="BJ1883" t="s">
        <v>2564</v>
      </c>
      <c r="BK1883" t="s">
        <v>467</v>
      </c>
      <c r="BL1883" t="s">
        <v>2565</v>
      </c>
      <c r="BM1883" t="s">
        <v>74</v>
      </c>
      <c r="BN1883" t="s">
        <v>74</v>
      </c>
      <c r="BO1883" t="s">
        <v>74</v>
      </c>
      <c r="BP1883" t="s">
        <v>74</v>
      </c>
      <c r="BQ1883" t="s">
        <v>74</v>
      </c>
      <c r="BR1883" t="s">
        <v>96</v>
      </c>
      <c r="BS1883" t="s">
        <v>23925</v>
      </c>
      <c r="BT1883" t="str">
        <f>HYPERLINK("https%3A%2F%2Fwww.webofscience.com%2Fwos%2Fwoscc%2Ffull-record%2FWOS:000549104300001","View Full Record in Web of Science")</f>
        <v>View Full Record in Web of Science</v>
      </c>
    </row>
    <row r="1884" spans="1:72" x14ac:dyDescent="0.15">
      <c r="A1884" t="s">
        <v>98</v>
      </c>
      <c r="B1884" t="s">
        <v>24335</v>
      </c>
      <c r="C1884" t="s">
        <v>74</v>
      </c>
      <c r="D1884" t="s">
        <v>74</v>
      </c>
      <c r="E1884" t="s">
        <v>74</v>
      </c>
      <c r="F1884" t="s">
        <v>24336</v>
      </c>
      <c r="G1884" t="s">
        <v>74</v>
      </c>
      <c r="H1884" t="s">
        <v>74</v>
      </c>
      <c r="I1884" t="s">
        <v>24337</v>
      </c>
      <c r="J1884" t="s">
        <v>10022</v>
      </c>
      <c r="K1884" t="s">
        <v>74</v>
      </c>
      <c r="L1884" t="s">
        <v>74</v>
      </c>
      <c r="M1884" t="s">
        <v>74</v>
      </c>
      <c r="N1884" t="s">
        <v>103</v>
      </c>
      <c r="O1884" t="s">
        <v>74</v>
      </c>
      <c r="P1884" t="s">
        <v>74</v>
      </c>
      <c r="Q1884" t="s">
        <v>74</v>
      </c>
      <c r="R1884" t="s">
        <v>74</v>
      </c>
      <c r="S1884" t="s">
        <v>74</v>
      </c>
      <c r="T1884" t="s">
        <v>24338</v>
      </c>
      <c r="U1884" t="s">
        <v>24339</v>
      </c>
      <c r="V1884" t="s">
        <v>24340</v>
      </c>
      <c r="W1884" t="s">
        <v>24341</v>
      </c>
      <c r="X1884" t="s">
        <v>24342</v>
      </c>
      <c r="Y1884" t="s">
        <v>24343</v>
      </c>
      <c r="Z1884" t="s">
        <v>24344</v>
      </c>
      <c r="AA1884" t="s">
        <v>74</v>
      </c>
      <c r="AB1884" t="s">
        <v>24345</v>
      </c>
      <c r="AC1884" t="s">
        <v>74</v>
      </c>
      <c r="AD1884" t="s">
        <v>74</v>
      </c>
      <c r="AE1884" t="s">
        <v>74</v>
      </c>
      <c r="AF1884" t="s">
        <v>74</v>
      </c>
      <c r="AG1884">
        <v>17</v>
      </c>
      <c r="AH1884">
        <v>1</v>
      </c>
      <c r="AI1884">
        <v>1</v>
      </c>
      <c r="AJ1884">
        <v>0</v>
      </c>
      <c r="AK1884">
        <v>1</v>
      </c>
      <c r="AL1884" t="s">
        <v>74</v>
      </c>
      <c r="AM1884" t="s">
        <v>74</v>
      </c>
      <c r="AN1884" t="s">
        <v>74</v>
      </c>
      <c r="AO1884" t="s">
        <v>10031</v>
      </c>
      <c r="AP1884" t="s">
        <v>10032</v>
      </c>
      <c r="AQ1884" t="s">
        <v>74</v>
      </c>
      <c r="AR1884" t="s">
        <v>74</v>
      </c>
      <c r="AS1884" t="s">
        <v>74</v>
      </c>
      <c r="AT1884" t="s">
        <v>335</v>
      </c>
      <c r="AU1884">
        <v>2021</v>
      </c>
      <c r="AV1884">
        <v>112</v>
      </c>
      <c r="AW1884" t="s">
        <v>74</v>
      </c>
      <c r="AX1884" t="s">
        <v>74</v>
      </c>
      <c r="AY1884" t="s">
        <v>74</v>
      </c>
      <c r="AZ1884" t="s">
        <v>74</v>
      </c>
      <c r="BA1884" t="s">
        <v>74</v>
      </c>
      <c r="BB1884">
        <v>62</v>
      </c>
      <c r="BC1884">
        <v>65</v>
      </c>
      <c r="BD1884" t="s">
        <v>74</v>
      </c>
      <c r="BE1884" t="s">
        <v>24346</v>
      </c>
      <c r="BF1884" t="str">
        <f>HYPERLINK("http://dx.doi.org/10.1016/j.placenta.2021.06.013","http://dx.doi.org/10.1016/j.placenta.2021.06.013")</f>
        <v>http://dx.doi.org/10.1016/j.placenta.2021.06.013</v>
      </c>
      <c r="BG1884" t="s">
        <v>74</v>
      </c>
      <c r="BH1884" t="s">
        <v>74</v>
      </c>
      <c r="BI1884" t="s">
        <v>74</v>
      </c>
      <c r="BJ1884" t="s">
        <v>10034</v>
      </c>
      <c r="BK1884" t="s">
        <v>117</v>
      </c>
      <c r="BL1884" t="s">
        <v>10034</v>
      </c>
      <c r="BM1884" t="s">
        <v>74</v>
      </c>
      <c r="BN1884">
        <v>34298423</v>
      </c>
      <c r="BO1884" t="s">
        <v>74</v>
      </c>
      <c r="BP1884" t="s">
        <v>74</v>
      </c>
      <c r="BQ1884" t="s">
        <v>74</v>
      </c>
      <c r="BR1884" t="s">
        <v>96</v>
      </c>
      <c r="BS1884" t="s">
        <v>24347</v>
      </c>
      <c r="BT1884" t="str">
        <f>HYPERLINK("https%3A%2F%2Fwww.webofscience.com%2Fwos%2Fwoscc%2Ffull-record%2FWOS:000690357600291","View Full Record in Web of Science")</f>
        <v>View Full Record in Web of Science</v>
      </c>
    </row>
    <row r="1885" spans="1:72" x14ac:dyDescent="0.15">
      <c r="A1885" t="s">
        <v>98</v>
      </c>
      <c r="B1885" t="s">
        <v>24563</v>
      </c>
      <c r="C1885" t="s">
        <v>74</v>
      </c>
      <c r="D1885" t="s">
        <v>74</v>
      </c>
      <c r="E1885" t="s">
        <v>74</v>
      </c>
      <c r="F1885" t="s">
        <v>24564</v>
      </c>
      <c r="G1885" t="s">
        <v>74</v>
      </c>
      <c r="H1885" t="s">
        <v>74</v>
      </c>
      <c r="I1885" t="s">
        <v>24565</v>
      </c>
      <c r="J1885" t="s">
        <v>8956</v>
      </c>
      <c r="K1885" t="s">
        <v>74</v>
      </c>
      <c r="L1885" t="s">
        <v>74</v>
      </c>
      <c r="M1885" t="s">
        <v>74</v>
      </c>
      <c r="N1885" t="s">
        <v>103</v>
      </c>
      <c r="O1885" t="s">
        <v>74</v>
      </c>
      <c r="P1885" t="s">
        <v>74</v>
      </c>
      <c r="Q1885" t="s">
        <v>74</v>
      </c>
      <c r="R1885" t="s">
        <v>74</v>
      </c>
      <c r="S1885" t="s">
        <v>74</v>
      </c>
      <c r="T1885" t="s">
        <v>74</v>
      </c>
      <c r="U1885" t="s">
        <v>24566</v>
      </c>
      <c r="V1885" t="s">
        <v>24567</v>
      </c>
      <c r="W1885" t="s">
        <v>24568</v>
      </c>
      <c r="X1885" t="s">
        <v>24569</v>
      </c>
      <c r="Y1885" t="s">
        <v>24570</v>
      </c>
      <c r="Z1885" t="s">
        <v>24571</v>
      </c>
      <c r="AA1885" t="s">
        <v>74</v>
      </c>
      <c r="AB1885" t="s">
        <v>24572</v>
      </c>
      <c r="AC1885" t="s">
        <v>74</v>
      </c>
      <c r="AD1885" t="s">
        <v>74</v>
      </c>
      <c r="AE1885" t="s">
        <v>74</v>
      </c>
      <c r="AF1885" t="s">
        <v>74</v>
      </c>
      <c r="AG1885">
        <v>60</v>
      </c>
      <c r="AH1885">
        <v>1</v>
      </c>
      <c r="AI1885">
        <v>1</v>
      </c>
      <c r="AJ1885">
        <v>0</v>
      </c>
      <c r="AK1885">
        <v>1</v>
      </c>
      <c r="AL1885" t="s">
        <v>74</v>
      </c>
      <c r="AM1885" t="s">
        <v>74</v>
      </c>
      <c r="AN1885" t="s">
        <v>74</v>
      </c>
      <c r="AO1885" t="s">
        <v>74</v>
      </c>
      <c r="AP1885" t="s">
        <v>8964</v>
      </c>
      <c r="AQ1885" t="s">
        <v>74</v>
      </c>
      <c r="AR1885" t="s">
        <v>74</v>
      </c>
      <c r="AS1885" t="s">
        <v>74</v>
      </c>
      <c r="AT1885" t="s">
        <v>3144</v>
      </c>
      <c r="AU1885">
        <v>2021</v>
      </c>
      <c r="AV1885">
        <v>21</v>
      </c>
      <c r="AW1885" t="s">
        <v>74</v>
      </c>
      <c r="AX1885" t="s">
        <v>74</v>
      </c>
      <c r="AY1885" t="s">
        <v>74</v>
      </c>
      <c r="AZ1885" t="s">
        <v>74</v>
      </c>
      <c r="BA1885" t="s">
        <v>74</v>
      </c>
      <c r="BB1885">
        <v>14</v>
      </c>
      <c r="BC1885">
        <v>27</v>
      </c>
      <c r="BD1885" t="s">
        <v>74</v>
      </c>
      <c r="BE1885" t="s">
        <v>24573</v>
      </c>
      <c r="BF1885" t="str">
        <f>HYPERLINK("http://dx.doi.org/10.1016/j.omtm.2021.02.016","http://dx.doi.org/10.1016/j.omtm.2021.02.016")</f>
        <v>http://dx.doi.org/10.1016/j.omtm.2021.02.016</v>
      </c>
      <c r="BG1885" t="s">
        <v>74</v>
      </c>
      <c r="BH1885" t="s">
        <v>2607</v>
      </c>
      <c r="BI1885" t="s">
        <v>74</v>
      </c>
      <c r="BJ1885" t="s">
        <v>795</v>
      </c>
      <c r="BK1885" t="s">
        <v>117</v>
      </c>
      <c r="BL1885" t="s">
        <v>796</v>
      </c>
      <c r="BM1885" t="s">
        <v>74</v>
      </c>
      <c r="BN1885">
        <v>33768126</v>
      </c>
      <c r="BO1885" t="s">
        <v>74</v>
      </c>
      <c r="BP1885" t="s">
        <v>74</v>
      </c>
      <c r="BQ1885" t="s">
        <v>74</v>
      </c>
      <c r="BR1885" t="s">
        <v>96</v>
      </c>
      <c r="BS1885" t="s">
        <v>24574</v>
      </c>
      <c r="BT1885" t="str">
        <f>HYPERLINK("https%3A%2F%2Fwww.webofscience.com%2Fwos%2Fwoscc%2Ffull-record%2FWOS:000661173900002","View Full Record in Web of Science")</f>
        <v>View Full Record in Web of Science</v>
      </c>
    </row>
    <row r="1886" spans="1:72" x14ac:dyDescent="0.15">
      <c r="A1886" t="s">
        <v>98</v>
      </c>
      <c r="B1886" t="s">
        <v>24587</v>
      </c>
      <c r="C1886" t="s">
        <v>74</v>
      </c>
      <c r="D1886" t="s">
        <v>74</v>
      </c>
      <c r="E1886" t="s">
        <v>74</v>
      </c>
      <c r="F1886" t="s">
        <v>24588</v>
      </c>
      <c r="G1886" t="s">
        <v>74</v>
      </c>
      <c r="H1886" t="s">
        <v>74</v>
      </c>
      <c r="I1886" t="s">
        <v>24589</v>
      </c>
      <c r="J1886" t="s">
        <v>7737</v>
      </c>
      <c r="K1886" t="s">
        <v>74</v>
      </c>
      <c r="L1886" t="s">
        <v>74</v>
      </c>
      <c r="M1886" t="s">
        <v>74</v>
      </c>
      <c r="N1886" t="s">
        <v>103</v>
      </c>
      <c r="O1886" t="s">
        <v>74</v>
      </c>
      <c r="P1886" t="s">
        <v>74</v>
      </c>
      <c r="Q1886" t="s">
        <v>74</v>
      </c>
      <c r="R1886" t="s">
        <v>74</v>
      </c>
      <c r="S1886" t="s">
        <v>74</v>
      </c>
      <c r="T1886" t="s">
        <v>24590</v>
      </c>
      <c r="U1886" t="s">
        <v>24591</v>
      </c>
      <c r="V1886" t="s">
        <v>24592</v>
      </c>
      <c r="W1886" t="s">
        <v>24593</v>
      </c>
      <c r="X1886" t="s">
        <v>24594</v>
      </c>
      <c r="Y1886" t="s">
        <v>24595</v>
      </c>
      <c r="Z1886" t="s">
        <v>24596</v>
      </c>
      <c r="AA1886" t="s">
        <v>74</v>
      </c>
      <c r="AB1886" t="s">
        <v>74</v>
      </c>
      <c r="AC1886" t="s">
        <v>74</v>
      </c>
      <c r="AD1886" t="s">
        <v>74</v>
      </c>
      <c r="AE1886" t="s">
        <v>74</v>
      </c>
      <c r="AF1886" t="s">
        <v>74</v>
      </c>
      <c r="AG1886">
        <v>40</v>
      </c>
      <c r="AH1886">
        <v>1</v>
      </c>
      <c r="AI1886">
        <v>1</v>
      </c>
      <c r="AJ1886">
        <v>61</v>
      </c>
      <c r="AK1886">
        <v>61</v>
      </c>
      <c r="AL1886" t="s">
        <v>74</v>
      </c>
      <c r="AM1886" t="s">
        <v>74</v>
      </c>
      <c r="AN1886" t="s">
        <v>74</v>
      </c>
      <c r="AO1886" t="s">
        <v>7744</v>
      </c>
      <c r="AP1886" t="s">
        <v>7745</v>
      </c>
      <c r="AQ1886" t="s">
        <v>74</v>
      </c>
      <c r="AR1886" t="s">
        <v>74</v>
      </c>
      <c r="AS1886" t="s">
        <v>74</v>
      </c>
      <c r="AT1886" t="s">
        <v>2906</v>
      </c>
      <c r="AU1886">
        <v>2022</v>
      </c>
      <c r="AV1886">
        <v>438</v>
      </c>
      <c r="AW1886" t="s">
        <v>74</v>
      </c>
      <c r="AX1886" t="s">
        <v>74</v>
      </c>
      <c r="AY1886" t="s">
        <v>74</v>
      </c>
      <c r="AZ1886" t="s">
        <v>74</v>
      </c>
      <c r="BA1886" t="s">
        <v>74</v>
      </c>
      <c r="BB1886" t="s">
        <v>74</v>
      </c>
      <c r="BC1886" t="s">
        <v>74</v>
      </c>
      <c r="BD1886">
        <v>135594</v>
      </c>
      <c r="BE1886" t="s">
        <v>24597</v>
      </c>
      <c r="BF1886" t="str">
        <f>HYPERLINK("http://dx.doi.org/10.1016/j.cej.2022.135594","http://dx.doi.org/10.1016/j.cej.2022.135594")</f>
        <v>http://dx.doi.org/10.1016/j.cej.2022.135594</v>
      </c>
      <c r="BG1886" t="s">
        <v>74</v>
      </c>
      <c r="BH1886" t="s">
        <v>74</v>
      </c>
      <c r="BI1886" t="s">
        <v>74</v>
      </c>
      <c r="BJ1886" t="s">
        <v>7747</v>
      </c>
      <c r="BK1886" t="s">
        <v>117</v>
      </c>
      <c r="BL1886" t="s">
        <v>7748</v>
      </c>
      <c r="BM1886" t="s">
        <v>74</v>
      </c>
      <c r="BN1886" t="s">
        <v>74</v>
      </c>
      <c r="BO1886" t="s">
        <v>74</v>
      </c>
      <c r="BP1886" t="s">
        <v>74</v>
      </c>
      <c r="BQ1886" t="s">
        <v>74</v>
      </c>
      <c r="BR1886" t="s">
        <v>96</v>
      </c>
      <c r="BS1886" t="s">
        <v>24598</v>
      </c>
      <c r="BT1886" t="str">
        <f>HYPERLINK("https%3A%2F%2Fwww.webofscience.com%2Fwos%2Fwoscc%2Ffull-record%2FWOS:000779707400001","View Full Record in Web of Science")</f>
        <v>View Full Record in Web of Science</v>
      </c>
    </row>
    <row r="1887" spans="1:72" x14ac:dyDescent="0.15">
      <c r="A1887" t="s">
        <v>98</v>
      </c>
      <c r="B1887" t="s">
        <v>24930</v>
      </c>
      <c r="C1887" t="s">
        <v>74</v>
      </c>
      <c r="D1887" t="s">
        <v>74</v>
      </c>
      <c r="E1887" t="s">
        <v>74</v>
      </c>
      <c r="F1887" t="s">
        <v>24931</v>
      </c>
      <c r="G1887" t="s">
        <v>74</v>
      </c>
      <c r="H1887" t="s">
        <v>74</v>
      </c>
      <c r="I1887" t="s">
        <v>24932</v>
      </c>
      <c r="J1887" t="s">
        <v>24933</v>
      </c>
      <c r="K1887" t="s">
        <v>74</v>
      </c>
      <c r="L1887" t="s">
        <v>74</v>
      </c>
      <c r="M1887" t="s">
        <v>74</v>
      </c>
      <c r="N1887" t="s">
        <v>103</v>
      </c>
      <c r="O1887" t="s">
        <v>74</v>
      </c>
      <c r="P1887" t="s">
        <v>74</v>
      </c>
      <c r="Q1887" t="s">
        <v>74</v>
      </c>
      <c r="R1887" t="s">
        <v>74</v>
      </c>
      <c r="S1887" t="s">
        <v>74</v>
      </c>
      <c r="T1887" t="s">
        <v>24934</v>
      </c>
      <c r="U1887" t="s">
        <v>24935</v>
      </c>
      <c r="V1887" t="s">
        <v>24936</v>
      </c>
      <c r="W1887" t="s">
        <v>24937</v>
      </c>
      <c r="X1887" t="s">
        <v>24938</v>
      </c>
      <c r="Y1887" t="s">
        <v>24939</v>
      </c>
      <c r="Z1887" t="s">
        <v>24940</v>
      </c>
      <c r="AA1887" t="s">
        <v>74</v>
      </c>
      <c r="AB1887" t="s">
        <v>74</v>
      </c>
      <c r="AC1887" t="s">
        <v>74</v>
      </c>
      <c r="AD1887" t="s">
        <v>74</v>
      </c>
      <c r="AE1887" t="s">
        <v>74</v>
      </c>
      <c r="AF1887" t="s">
        <v>74</v>
      </c>
      <c r="AG1887">
        <v>80</v>
      </c>
      <c r="AH1887">
        <v>1</v>
      </c>
      <c r="AI1887">
        <v>1</v>
      </c>
      <c r="AJ1887">
        <v>1</v>
      </c>
      <c r="AK1887">
        <v>4</v>
      </c>
      <c r="AL1887" t="s">
        <v>74</v>
      </c>
      <c r="AM1887" t="s">
        <v>74</v>
      </c>
      <c r="AN1887" t="s">
        <v>74</v>
      </c>
      <c r="AO1887" t="s">
        <v>24941</v>
      </c>
      <c r="AP1887" t="s">
        <v>24942</v>
      </c>
      <c r="AQ1887" t="s">
        <v>74</v>
      </c>
      <c r="AR1887" t="s">
        <v>74</v>
      </c>
      <c r="AS1887" t="s">
        <v>74</v>
      </c>
      <c r="AT1887" t="s">
        <v>114</v>
      </c>
      <c r="AU1887">
        <v>2022</v>
      </c>
      <c r="AV1887">
        <v>35</v>
      </c>
      <c r="AW1887" t="s">
        <v>74</v>
      </c>
      <c r="AX1887" t="s">
        <v>74</v>
      </c>
      <c r="AY1887" t="s">
        <v>74</v>
      </c>
      <c r="AZ1887" t="s">
        <v>74</v>
      </c>
      <c r="BA1887" t="s">
        <v>74</v>
      </c>
      <c r="BB1887">
        <v>169</v>
      </c>
      <c r="BC1887">
        <v>185</v>
      </c>
      <c r="BD1887" t="s">
        <v>74</v>
      </c>
      <c r="BE1887" t="s">
        <v>24943</v>
      </c>
      <c r="BF1887" t="str">
        <f>HYPERLINK("http://dx.doi.org/10.1016/j.jare.2021.03.013","http://dx.doi.org/10.1016/j.jare.2021.03.013")</f>
        <v>http://dx.doi.org/10.1016/j.jare.2021.03.013</v>
      </c>
      <c r="BG1887" t="s">
        <v>74</v>
      </c>
      <c r="BH1887" t="s">
        <v>2718</v>
      </c>
      <c r="BI1887" t="s">
        <v>74</v>
      </c>
      <c r="BJ1887" t="s">
        <v>152</v>
      </c>
      <c r="BK1887" t="s">
        <v>117</v>
      </c>
      <c r="BL1887" t="s">
        <v>153</v>
      </c>
      <c r="BM1887" t="s">
        <v>74</v>
      </c>
      <c r="BN1887">
        <v>35024198</v>
      </c>
      <c r="BO1887" t="s">
        <v>74</v>
      </c>
      <c r="BP1887" t="s">
        <v>74</v>
      </c>
      <c r="BQ1887" t="s">
        <v>74</v>
      </c>
      <c r="BR1887" t="s">
        <v>96</v>
      </c>
      <c r="BS1887" t="s">
        <v>24944</v>
      </c>
      <c r="BT1887" t="str">
        <f>HYPERLINK("https%3A%2F%2Fwww.webofscience.com%2Fwos%2Fwoscc%2Ffull-record%2FWOS:000736950400003","View Full Record in Web of Science")</f>
        <v>View Full Record in Web of Science</v>
      </c>
    </row>
    <row r="1888" spans="1:72" x14ac:dyDescent="0.15">
      <c r="A1888" t="s">
        <v>98</v>
      </c>
      <c r="B1888" t="s">
        <v>25021</v>
      </c>
      <c r="C1888" t="s">
        <v>74</v>
      </c>
      <c r="D1888" t="s">
        <v>74</v>
      </c>
      <c r="E1888" t="s">
        <v>74</v>
      </c>
      <c r="F1888" t="s">
        <v>25022</v>
      </c>
      <c r="G1888" t="s">
        <v>74</v>
      </c>
      <c r="H1888" t="s">
        <v>74</v>
      </c>
      <c r="I1888" t="s">
        <v>25023</v>
      </c>
      <c r="J1888" t="s">
        <v>25024</v>
      </c>
      <c r="K1888" t="s">
        <v>74</v>
      </c>
      <c r="L1888" t="s">
        <v>74</v>
      </c>
      <c r="M1888" t="s">
        <v>74</v>
      </c>
      <c r="N1888" t="s">
        <v>103</v>
      </c>
      <c r="O1888" t="s">
        <v>74</v>
      </c>
      <c r="P1888" t="s">
        <v>74</v>
      </c>
      <c r="Q1888" t="s">
        <v>74</v>
      </c>
      <c r="R1888" t="s">
        <v>74</v>
      </c>
      <c r="S1888" t="s">
        <v>74</v>
      </c>
      <c r="T1888" t="s">
        <v>25025</v>
      </c>
      <c r="U1888" t="s">
        <v>25026</v>
      </c>
      <c r="V1888" t="s">
        <v>25027</v>
      </c>
      <c r="W1888" t="s">
        <v>25028</v>
      </c>
      <c r="X1888" t="s">
        <v>25029</v>
      </c>
      <c r="Y1888" t="s">
        <v>25030</v>
      </c>
      <c r="Z1888" t="s">
        <v>25031</v>
      </c>
      <c r="AA1888" t="s">
        <v>74</v>
      </c>
      <c r="AB1888" t="s">
        <v>25032</v>
      </c>
      <c r="AC1888" t="s">
        <v>74</v>
      </c>
      <c r="AD1888" t="s">
        <v>74</v>
      </c>
      <c r="AE1888" t="s">
        <v>74</v>
      </c>
      <c r="AF1888" t="s">
        <v>74</v>
      </c>
      <c r="AG1888">
        <v>38</v>
      </c>
      <c r="AH1888">
        <v>1</v>
      </c>
      <c r="AI1888">
        <v>1</v>
      </c>
      <c r="AJ1888">
        <v>2</v>
      </c>
      <c r="AK1888">
        <v>9</v>
      </c>
      <c r="AL1888" t="s">
        <v>74</v>
      </c>
      <c r="AM1888" t="s">
        <v>74</v>
      </c>
      <c r="AN1888" t="s">
        <v>74</v>
      </c>
      <c r="AO1888" t="s">
        <v>25033</v>
      </c>
      <c r="AP1888" t="s">
        <v>25034</v>
      </c>
      <c r="AQ1888" t="s">
        <v>74</v>
      </c>
      <c r="AR1888" t="s">
        <v>74</v>
      </c>
      <c r="AS1888" t="s">
        <v>74</v>
      </c>
      <c r="AT1888" t="s">
        <v>114</v>
      </c>
      <c r="AU1888">
        <v>2022</v>
      </c>
      <c r="AV1888">
        <v>337</v>
      </c>
      <c r="AW1888">
        <v>1</v>
      </c>
      <c r="AX1888" t="s">
        <v>74</v>
      </c>
      <c r="AY1888" t="s">
        <v>74</v>
      </c>
      <c r="AZ1888" t="s">
        <v>74</v>
      </c>
      <c r="BA1888" t="s">
        <v>74</v>
      </c>
      <c r="BB1888">
        <v>70</v>
      </c>
      <c r="BC1888">
        <v>74</v>
      </c>
      <c r="BD1888" t="s">
        <v>74</v>
      </c>
      <c r="BE1888" t="s">
        <v>25035</v>
      </c>
      <c r="BF1888" t="str">
        <f>HYPERLINK("http://dx.doi.org/10.1002/jez.2465","http://dx.doi.org/10.1002/jez.2465")</f>
        <v>http://dx.doi.org/10.1002/jez.2465</v>
      </c>
      <c r="BG1888" t="s">
        <v>74</v>
      </c>
      <c r="BH1888" t="s">
        <v>3345</v>
      </c>
      <c r="BI1888" t="s">
        <v>74</v>
      </c>
      <c r="BJ1888" t="s">
        <v>23641</v>
      </c>
      <c r="BK1888" t="s">
        <v>117</v>
      </c>
      <c r="BL1888" t="s">
        <v>23641</v>
      </c>
      <c r="BM1888" t="s">
        <v>74</v>
      </c>
      <c r="BN1888">
        <v>33900057</v>
      </c>
      <c r="BO1888" t="s">
        <v>74</v>
      </c>
      <c r="BP1888" t="s">
        <v>74</v>
      </c>
      <c r="BQ1888" t="s">
        <v>74</v>
      </c>
      <c r="BR1888" t="s">
        <v>96</v>
      </c>
      <c r="BS1888" t="s">
        <v>25036</v>
      </c>
      <c r="BT1888" t="str">
        <f>HYPERLINK("https%3A%2F%2Fwww.webofscience.com%2Fwos%2Fwoscc%2Ffull-record%2FWOS:000643735500001","View Full Record in Web of Science")</f>
        <v>View Full Record in Web of Science</v>
      </c>
    </row>
    <row r="1889" spans="1:72" x14ac:dyDescent="0.15">
      <c r="A1889" t="s">
        <v>98</v>
      </c>
      <c r="B1889" t="s">
        <v>26406</v>
      </c>
      <c r="C1889" t="s">
        <v>74</v>
      </c>
      <c r="D1889" t="s">
        <v>74</v>
      </c>
      <c r="E1889" t="s">
        <v>74</v>
      </c>
      <c r="F1889" t="s">
        <v>26407</v>
      </c>
      <c r="G1889" t="s">
        <v>74</v>
      </c>
      <c r="H1889" t="s">
        <v>74</v>
      </c>
      <c r="I1889" t="s">
        <v>26408</v>
      </c>
      <c r="J1889" t="s">
        <v>26409</v>
      </c>
      <c r="K1889" t="s">
        <v>74</v>
      </c>
      <c r="L1889" t="s">
        <v>74</v>
      </c>
      <c r="M1889" t="s">
        <v>74</v>
      </c>
      <c r="N1889" t="s">
        <v>103</v>
      </c>
      <c r="O1889" t="s">
        <v>74</v>
      </c>
      <c r="P1889" t="s">
        <v>74</v>
      </c>
      <c r="Q1889" t="s">
        <v>74</v>
      </c>
      <c r="R1889" t="s">
        <v>74</v>
      </c>
      <c r="S1889" t="s">
        <v>74</v>
      </c>
      <c r="T1889" t="s">
        <v>26410</v>
      </c>
      <c r="U1889" t="s">
        <v>26411</v>
      </c>
      <c r="V1889" t="s">
        <v>26412</v>
      </c>
      <c r="W1889" t="s">
        <v>26413</v>
      </c>
      <c r="X1889" t="s">
        <v>26414</v>
      </c>
      <c r="Y1889" t="s">
        <v>26415</v>
      </c>
      <c r="Z1889" t="s">
        <v>26416</v>
      </c>
      <c r="AA1889" t="s">
        <v>26417</v>
      </c>
      <c r="AB1889" t="s">
        <v>26418</v>
      </c>
      <c r="AC1889" t="s">
        <v>74</v>
      </c>
      <c r="AD1889" t="s">
        <v>74</v>
      </c>
      <c r="AE1889" t="s">
        <v>74</v>
      </c>
      <c r="AF1889" t="s">
        <v>74</v>
      </c>
      <c r="AG1889">
        <v>75</v>
      </c>
      <c r="AH1889">
        <v>1</v>
      </c>
      <c r="AI1889">
        <v>1</v>
      </c>
      <c r="AJ1889">
        <v>0</v>
      </c>
      <c r="AK1889">
        <v>12</v>
      </c>
      <c r="AL1889" t="s">
        <v>74</v>
      </c>
      <c r="AM1889" t="s">
        <v>74</v>
      </c>
      <c r="AN1889" t="s">
        <v>74</v>
      </c>
      <c r="AO1889" t="s">
        <v>26419</v>
      </c>
      <c r="AP1889" t="s">
        <v>26420</v>
      </c>
      <c r="AQ1889" t="s">
        <v>74</v>
      </c>
      <c r="AR1889" t="s">
        <v>74</v>
      </c>
      <c r="AS1889" t="s">
        <v>74</v>
      </c>
      <c r="AT1889" t="s">
        <v>10156</v>
      </c>
      <c r="AU1889">
        <v>2021</v>
      </c>
      <c r="AV1889">
        <v>72</v>
      </c>
      <c r="AW1889">
        <v>13</v>
      </c>
      <c r="AX1889" t="s">
        <v>74</v>
      </c>
      <c r="AY1889" t="s">
        <v>74</v>
      </c>
      <c r="AZ1889" t="s">
        <v>74</v>
      </c>
      <c r="BA1889" t="s">
        <v>74</v>
      </c>
      <c r="BB1889">
        <v>5010</v>
      </c>
      <c r="BC1889">
        <v>5023</v>
      </c>
      <c r="BD1889" t="s">
        <v>74</v>
      </c>
      <c r="BE1889" t="s">
        <v>26421</v>
      </c>
      <c r="BF1889" t="str">
        <f>HYPERLINK("http://dx.doi.org/10.1093/jxb/erab170","http://dx.doi.org/10.1093/jxb/erab170")</f>
        <v>http://dx.doi.org/10.1093/jxb/erab170</v>
      </c>
      <c r="BG1889" t="s">
        <v>74</v>
      </c>
      <c r="BH1889" t="s">
        <v>3345</v>
      </c>
      <c r="BI1889" t="s">
        <v>74</v>
      </c>
      <c r="BJ1889" t="s">
        <v>20650</v>
      </c>
      <c r="BK1889" t="s">
        <v>117</v>
      </c>
      <c r="BL1889" t="s">
        <v>20650</v>
      </c>
      <c r="BM1889" t="s">
        <v>74</v>
      </c>
      <c r="BN1889">
        <v>33877328</v>
      </c>
      <c r="BO1889" t="s">
        <v>74</v>
      </c>
      <c r="BP1889" t="s">
        <v>74</v>
      </c>
      <c r="BQ1889" t="s">
        <v>74</v>
      </c>
      <c r="BR1889" t="s">
        <v>96</v>
      </c>
      <c r="BS1889" t="s">
        <v>26422</v>
      </c>
      <c r="BT1889" t="str">
        <f>HYPERLINK("https%3A%2F%2Fwww.webofscience.com%2Fwos%2Fwoscc%2Ffull-record%2FWOS:000670994100031","View Full Record in Web of Science")</f>
        <v>View Full Record in Web of Science</v>
      </c>
    </row>
    <row r="1890" spans="1:72" x14ac:dyDescent="0.15">
      <c r="A1890" t="s">
        <v>98</v>
      </c>
      <c r="B1890" t="s">
        <v>26563</v>
      </c>
      <c r="C1890" t="s">
        <v>74</v>
      </c>
      <c r="D1890" t="s">
        <v>74</v>
      </c>
      <c r="E1890" t="s">
        <v>74</v>
      </c>
      <c r="F1890" t="s">
        <v>26564</v>
      </c>
      <c r="G1890" t="s">
        <v>74</v>
      </c>
      <c r="H1890" t="s">
        <v>74</v>
      </c>
      <c r="I1890" t="s">
        <v>26565</v>
      </c>
      <c r="J1890" t="s">
        <v>1877</v>
      </c>
      <c r="K1890" t="s">
        <v>74</v>
      </c>
      <c r="L1890" t="s">
        <v>74</v>
      </c>
      <c r="M1890" t="s">
        <v>74</v>
      </c>
      <c r="N1890" t="s">
        <v>103</v>
      </c>
      <c r="O1890" t="s">
        <v>74</v>
      </c>
      <c r="P1890" t="s">
        <v>74</v>
      </c>
      <c r="Q1890" t="s">
        <v>74</v>
      </c>
      <c r="R1890" t="s">
        <v>74</v>
      </c>
      <c r="S1890" t="s">
        <v>74</v>
      </c>
      <c r="T1890" t="s">
        <v>26566</v>
      </c>
      <c r="U1890" t="s">
        <v>26567</v>
      </c>
      <c r="V1890" t="s">
        <v>26568</v>
      </c>
      <c r="W1890" t="s">
        <v>26569</v>
      </c>
      <c r="X1890" t="s">
        <v>26570</v>
      </c>
      <c r="Y1890" t="s">
        <v>26571</v>
      </c>
      <c r="Z1890" t="s">
        <v>26572</v>
      </c>
      <c r="AA1890" t="s">
        <v>74</v>
      </c>
      <c r="AB1890" t="s">
        <v>74</v>
      </c>
      <c r="AC1890" t="s">
        <v>74</v>
      </c>
      <c r="AD1890" t="s">
        <v>74</v>
      </c>
      <c r="AE1890" t="s">
        <v>74</v>
      </c>
      <c r="AF1890" t="s">
        <v>74</v>
      </c>
      <c r="AG1890">
        <v>40</v>
      </c>
      <c r="AH1890">
        <v>1</v>
      </c>
      <c r="AI1890">
        <v>1</v>
      </c>
      <c r="AJ1890">
        <v>2</v>
      </c>
      <c r="AK1890">
        <v>5</v>
      </c>
      <c r="AL1890" t="s">
        <v>74</v>
      </c>
      <c r="AM1890" t="s">
        <v>74</v>
      </c>
      <c r="AN1890" t="s">
        <v>74</v>
      </c>
      <c r="AO1890" t="s">
        <v>1885</v>
      </c>
      <c r="AP1890" t="s">
        <v>1886</v>
      </c>
      <c r="AQ1890" t="s">
        <v>74</v>
      </c>
      <c r="AR1890" t="s">
        <v>74</v>
      </c>
      <c r="AS1890" t="s">
        <v>74</v>
      </c>
      <c r="AT1890" t="s">
        <v>230</v>
      </c>
      <c r="AU1890">
        <v>2021</v>
      </c>
      <c r="AV1890">
        <v>22</v>
      </c>
      <c r="AW1890">
        <v>2</v>
      </c>
      <c r="AX1890" t="s">
        <v>74</v>
      </c>
      <c r="AY1890" t="s">
        <v>74</v>
      </c>
      <c r="AZ1890" t="s">
        <v>74</v>
      </c>
      <c r="BA1890" t="s">
        <v>74</v>
      </c>
      <c r="BB1890" t="s">
        <v>74</v>
      </c>
      <c r="BC1890" t="s">
        <v>74</v>
      </c>
      <c r="BD1890">
        <v>607</v>
      </c>
      <c r="BE1890" t="s">
        <v>26573</v>
      </c>
      <c r="BF1890" t="str">
        <f>HYPERLINK("http://dx.doi.org/10.3892/ol.2021.12868","http://dx.doi.org/10.3892/ol.2021.12868")</f>
        <v>http://dx.doi.org/10.3892/ol.2021.12868</v>
      </c>
      <c r="BG1890" t="s">
        <v>74</v>
      </c>
      <c r="BH1890" t="s">
        <v>74</v>
      </c>
      <c r="BI1890" t="s">
        <v>74</v>
      </c>
      <c r="BJ1890" t="s">
        <v>267</v>
      </c>
      <c r="BK1890" t="s">
        <v>117</v>
      </c>
      <c r="BL1890" t="s">
        <v>267</v>
      </c>
      <c r="BM1890" t="s">
        <v>74</v>
      </c>
      <c r="BN1890">
        <v>34188709</v>
      </c>
      <c r="BO1890" t="s">
        <v>74</v>
      </c>
      <c r="BP1890" t="s">
        <v>74</v>
      </c>
      <c r="BQ1890" t="s">
        <v>74</v>
      </c>
      <c r="BR1890" t="s">
        <v>96</v>
      </c>
      <c r="BS1890" t="s">
        <v>26574</v>
      </c>
      <c r="BT1890" t="str">
        <f>HYPERLINK("https%3A%2F%2Fwww.webofscience.com%2Fwos%2Fwoscc%2Ffull-record%2FWOS:000667259000001","View Full Record in Web of Science")</f>
        <v>View Full Record in Web of Science</v>
      </c>
    </row>
    <row r="1891" spans="1:72" x14ac:dyDescent="0.15">
      <c r="A1891" t="s">
        <v>98</v>
      </c>
      <c r="B1891" t="s">
        <v>27103</v>
      </c>
      <c r="C1891" t="s">
        <v>74</v>
      </c>
      <c r="D1891" t="s">
        <v>74</v>
      </c>
      <c r="E1891" t="s">
        <v>74</v>
      </c>
      <c r="F1891" t="s">
        <v>27104</v>
      </c>
      <c r="G1891" t="s">
        <v>74</v>
      </c>
      <c r="H1891" t="s">
        <v>74</v>
      </c>
      <c r="I1891" t="s">
        <v>27105</v>
      </c>
      <c r="J1891" t="s">
        <v>8839</v>
      </c>
      <c r="K1891" t="s">
        <v>74</v>
      </c>
      <c r="L1891" t="s">
        <v>74</v>
      </c>
      <c r="M1891" t="s">
        <v>74</v>
      </c>
      <c r="N1891" t="s">
        <v>103</v>
      </c>
      <c r="O1891" t="s">
        <v>74</v>
      </c>
      <c r="P1891" t="s">
        <v>74</v>
      </c>
      <c r="Q1891" t="s">
        <v>74</v>
      </c>
      <c r="R1891" t="s">
        <v>74</v>
      </c>
      <c r="S1891" t="s">
        <v>74</v>
      </c>
      <c r="T1891" t="s">
        <v>27106</v>
      </c>
      <c r="U1891" t="s">
        <v>74</v>
      </c>
      <c r="V1891" t="s">
        <v>27107</v>
      </c>
      <c r="W1891" t="s">
        <v>27108</v>
      </c>
      <c r="X1891" t="s">
        <v>27109</v>
      </c>
      <c r="Y1891" t="s">
        <v>27110</v>
      </c>
      <c r="Z1891" t="s">
        <v>27111</v>
      </c>
      <c r="AA1891" t="s">
        <v>74</v>
      </c>
      <c r="AB1891" t="s">
        <v>27112</v>
      </c>
      <c r="AC1891" t="s">
        <v>74</v>
      </c>
      <c r="AD1891" t="s">
        <v>74</v>
      </c>
      <c r="AE1891" t="s">
        <v>74</v>
      </c>
      <c r="AF1891" t="s">
        <v>74</v>
      </c>
      <c r="AG1891">
        <v>59</v>
      </c>
      <c r="AH1891">
        <v>1</v>
      </c>
      <c r="AI1891">
        <v>1</v>
      </c>
      <c r="AJ1891">
        <v>0</v>
      </c>
      <c r="AK1891">
        <v>2</v>
      </c>
      <c r="AL1891" t="s">
        <v>74</v>
      </c>
      <c r="AM1891" t="s">
        <v>74</v>
      </c>
      <c r="AN1891" t="s">
        <v>74</v>
      </c>
      <c r="AO1891" t="s">
        <v>74</v>
      </c>
      <c r="AP1891" t="s">
        <v>8847</v>
      </c>
      <c r="AQ1891" t="s">
        <v>74</v>
      </c>
      <c r="AR1891" t="s">
        <v>74</v>
      </c>
      <c r="AS1891" t="s">
        <v>74</v>
      </c>
      <c r="AT1891" t="s">
        <v>114</v>
      </c>
      <c r="AU1891">
        <v>2021</v>
      </c>
      <c r="AV1891">
        <v>13</v>
      </c>
      <c r="AW1891">
        <v>1</v>
      </c>
      <c r="AX1891" t="s">
        <v>74</v>
      </c>
      <c r="AY1891" t="s">
        <v>74</v>
      </c>
      <c r="AZ1891" t="s">
        <v>74</v>
      </c>
      <c r="BA1891" t="s">
        <v>74</v>
      </c>
      <c r="BB1891" t="s">
        <v>74</v>
      </c>
      <c r="BC1891" t="s">
        <v>74</v>
      </c>
      <c r="BD1891">
        <v>80</v>
      </c>
      <c r="BE1891" t="s">
        <v>27113</v>
      </c>
      <c r="BF1891" t="str">
        <f>HYPERLINK("http://dx.doi.org/10.3390/nu13010080","http://dx.doi.org/10.3390/nu13010080")</f>
        <v>http://dx.doi.org/10.3390/nu13010080</v>
      </c>
      <c r="BG1891" t="s">
        <v>74</v>
      </c>
      <c r="BH1891" t="s">
        <v>74</v>
      </c>
      <c r="BI1891" t="s">
        <v>74</v>
      </c>
      <c r="BJ1891" t="s">
        <v>8849</v>
      </c>
      <c r="BK1891" t="s">
        <v>117</v>
      </c>
      <c r="BL1891" t="s">
        <v>8849</v>
      </c>
      <c r="BM1891" t="s">
        <v>74</v>
      </c>
      <c r="BN1891">
        <v>33383715</v>
      </c>
      <c r="BO1891" t="s">
        <v>74</v>
      </c>
      <c r="BP1891" t="s">
        <v>74</v>
      </c>
      <c r="BQ1891" t="s">
        <v>74</v>
      </c>
      <c r="BR1891" t="s">
        <v>96</v>
      </c>
      <c r="BS1891" t="s">
        <v>27114</v>
      </c>
      <c r="BT1891" t="str">
        <f>HYPERLINK("https%3A%2F%2Fwww.webofscience.com%2Fwos%2Fwoscc%2Ffull-record%2FWOS:000610648400001","View Full Record in Web of Science")</f>
        <v>View Full Record in Web of Science</v>
      </c>
    </row>
    <row r="1892" spans="1:72" x14ac:dyDescent="0.15">
      <c r="A1892" t="s">
        <v>98</v>
      </c>
      <c r="B1892" t="s">
        <v>27143</v>
      </c>
      <c r="C1892" t="s">
        <v>74</v>
      </c>
      <c r="D1892" t="s">
        <v>74</v>
      </c>
      <c r="E1892" t="s">
        <v>74</v>
      </c>
      <c r="F1892" t="s">
        <v>27144</v>
      </c>
      <c r="G1892" t="s">
        <v>74</v>
      </c>
      <c r="H1892" t="s">
        <v>74</v>
      </c>
      <c r="I1892" t="s">
        <v>27145</v>
      </c>
      <c r="J1892" t="s">
        <v>1614</v>
      </c>
      <c r="K1892" t="s">
        <v>74</v>
      </c>
      <c r="L1892" t="s">
        <v>74</v>
      </c>
      <c r="M1892" t="s">
        <v>74</v>
      </c>
      <c r="N1892" t="s">
        <v>2996</v>
      </c>
      <c r="O1892" t="s">
        <v>74</v>
      </c>
      <c r="P1892" t="s">
        <v>74</v>
      </c>
      <c r="Q1892" t="s">
        <v>74</v>
      </c>
      <c r="R1892" t="s">
        <v>74</v>
      </c>
      <c r="S1892" t="s">
        <v>74</v>
      </c>
      <c r="T1892" t="s">
        <v>27146</v>
      </c>
      <c r="U1892" t="s">
        <v>27147</v>
      </c>
      <c r="V1892" t="s">
        <v>27148</v>
      </c>
      <c r="W1892" t="s">
        <v>27149</v>
      </c>
      <c r="X1892" t="s">
        <v>27150</v>
      </c>
      <c r="Y1892" t="s">
        <v>27151</v>
      </c>
      <c r="Z1892" t="s">
        <v>27152</v>
      </c>
      <c r="AA1892" t="s">
        <v>74</v>
      </c>
      <c r="AB1892" t="s">
        <v>27153</v>
      </c>
      <c r="AC1892" t="s">
        <v>74</v>
      </c>
      <c r="AD1892" t="s">
        <v>74</v>
      </c>
      <c r="AE1892" t="s">
        <v>74</v>
      </c>
      <c r="AF1892" t="s">
        <v>74</v>
      </c>
      <c r="AG1892">
        <v>48</v>
      </c>
      <c r="AH1892">
        <v>1</v>
      </c>
      <c r="AI1892">
        <v>1</v>
      </c>
      <c r="AJ1892">
        <v>0</v>
      </c>
      <c r="AK1892">
        <v>0</v>
      </c>
      <c r="AL1892" t="s">
        <v>74</v>
      </c>
      <c r="AM1892" t="s">
        <v>74</v>
      </c>
      <c r="AN1892" t="s">
        <v>74</v>
      </c>
      <c r="AO1892" t="s">
        <v>1623</v>
      </c>
      <c r="AP1892" t="s">
        <v>1624</v>
      </c>
      <c r="AQ1892" t="s">
        <v>74</v>
      </c>
      <c r="AR1892" t="s">
        <v>74</v>
      </c>
      <c r="AS1892" t="s">
        <v>74</v>
      </c>
      <c r="AT1892" t="s">
        <v>74</v>
      </c>
      <c r="AU1892" t="s">
        <v>74</v>
      </c>
      <c r="AV1892" t="s">
        <v>74</v>
      </c>
      <c r="AW1892" t="s">
        <v>74</v>
      </c>
      <c r="AX1892" t="s">
        <v>74</v>
      </c>
      <c r="AY1892" t="s">
        <v>74</v>
      </c>
      <c r="AZ1892" t="s">
        <v>74</v>
      </c>
      <c r="BA1892" t="s">
        <v>74</v>
      </c>
      <c r="BB1892" t="s">
        <v>74</v>
      </c>
      <c r="BC1892" t="s">
        <v>74</v>
      </c>
      <c r="BD1892" t="s">
        <v>74</v>
      </c>
      <c r="BE1892" t="s">
        <v>27154</v>
      </c>
      <c r="BF1892" t="str">
        <f>HYPERLINK("http://dx.doi.org/10.1002/jat.4328","http://dx.doi.org/10.1002/jat.4328")</f>
        <v>http://dx.doi.org/10.1002/jat.4328</v>
      </c>
      <c r="BG1892" t="s">
        <v>74</v>
      </c>
      <c r="BH1892" t="s">
        <v>7254</v>
      </c>
      <c r="BI1892" t="s">
        <v>74</v>
      </c>
      <c r="BJ1892" t="s">
        <v>1626</v>
      </c>
      <c r="BK1892" t="s">
        <v>117</v>
      </c>
      <c r="BL1892" t="s">
        <v>1626</v>
      </c>
      <c r="BM1892" t="s">
        <v>74</v>
      </c>
      <c r="BN1892">
        <v>35383983</v>
      </c>
      <c r="BO1892" t="s">
        <v>74</v>
      </c>
      <c r="BP1892" t="s">
        <v>74</v>
      </c>
      <c r="BQ1892" t="s">
        <v>74</v>
      </c>
      <c r="BR1892" t="s">
        <v>96</v>
      </c>
      <c r="BS1892" t="s">
        <v>27155</v>
      </c>
      <c r="BT1892" t="str">
        <f>HYPERLINK("https%3A%2F%2Fwww.webofscience.com%2Fwos%2Fwoscc%2Ffull-record%2FWOS:000800855300001","View Full Record in Web of Science")</f>
        <v>View Full Record in Web of Science</v>
      </c>
    </row>
    <row r="1893" spans="1:72" x14ac:dyDescent="0.15">
      <c r="A1893" t="s">
        <v>98</v>
      </c>
      <c r="B1893" t="s">
        <v>27201</v>
      </c>
      <c r="C1893" t="s">
        <v>74</v>
      </c>
      <c r="D1893" t="s">
        <v>74</v>
      </c>
      <c r="E1893" t="s">
        <v>74</v>
      </c>
      <c r="F1893" t="s">
        <v>27202</v>
      </c>
      <c r="G1893" t="s">
        <v>74</v>
      </c>
      <c r="H1893" t="s">
        <v>74</v>
      </c>
      <c r="I1893" t="s">
        <v>27203</v>
      </c>
      <c r="J1893" t="s">
        <v>6012</v>
      </c>
      <c r="K1893" t="s">
        <v>74</v>
      </c>
      <c r="L1893" t="s">
        <v>74</v>
      </c>
      <c r="M1893" t="s">
        <v>74</v>
      </c>
      <c r="N1893" t="s">
        <v>103</v>
      </c>
      <c r="O1893" t="s">
        <v>74</v>
      </c>
      <c r="P1893" t="s">
        <v>74</v>
      </c>
      <c r="Q1893" t="s">
        <v>74</v>
      </c>
      <c r="R1893" t="s">
        <v>74</v>
      </c>
      <c r="S1893" t="s">
        <v>74</v>
      </c>
      <c r="T1893" t="s">
        <v>27204</v>
      </c>
      <c r="U1893" t="s">
        <v>27205</v>
      </c>
      <c r="V1893" t="s">
        <v>27206</v>
      </c>
      <c r="W1893" t="s">
        <v>27207</v>
      </c>
      <c r="X1893" t="s">
        <v>27208</v>
      </c>
      <c r="Y1893" t="s">
        <v>27209</v>
      </c>
      <c r="Z1893" t="s">
        <v>27210</v>
      </c>
      <c r="AA1893" t="s">
        <v>74</v>
      </c>
      <c r="AB1893" t="s">
        <v>27211</v>
      </c>
      <c r="AC1893" t="s">
        <v>74</v>
      </c>
      <c r="AD1893" t="s">
        <v>74</v>
      </c>
      <c r="AE1893" t="s">
        <v>74</v>
      </c>
      <c r="AF1893" t="s">
        <v>74</v>
      </c>
      <c r="AG1893">
        <v>115</v>
      </c>
      <c r="AH1893">
        <v>1</v>
      </c>
      <c r="AI1893">
        <v>1</v>
      </c>
      <c r="AJ1893">
        <v>0</v>
      </c>
      <c r="AK1893">
        <v>5</v>
      </c>
      <c r="AL1893" t="s">
        <v>74</v>
      </c>
      <c r="AM1893" t="s">
        <v>74</v>
      </c>
      <c r="AN1893" t="s">
        <v>74</v>
      </c>
      <c r="AO1893" t="s">
        <v>6020</v>
      </c>
      <c r="AP1893" t="s">
        <v>6021</v>
      </c>
      <c r="AQ1893" t="s">
        <v>74</v>
      </c>
      <c r="AR1893" t="s">
        <v>74</v>
      </c>
      <c r="AS1893" t="s">
        <v>74</v>
      </c>
      <c r="AT1893" t="s">
        <v>170</v>
      </c>
      <c r="AU1893">
        <v>2021</v>
      </c>
      <c r="AV1893">
        <v>1865</v>
      </c>
      <c r="AW1893">
        <v>6</v>
      </c>
      <c r="AX1893" t="s">
        <v>74</v>
      </c>
      <c r="AY1893" t="s">
        <v>74</v>
      </c>
      <c r="AZ1893" t="s">
        <v>447</v>
      </c>
      <c r="BA1893" t="s">
        <v>74</v>
      </c>
      <c r="BB1893" t="s">
        <v>74</v>
      </c>
      <c r="BC1893" t="s">
        <v>74</v>
      </c>
      <c r="BD1893">
        <v>129859</v>
      </c>
      <c r="BE1893" t="s">
        <v>27212</v>
      </c>
      <c r="BF1893" t="str">
        <f>HYPERLINK("http://dx.doi.org/10.1016/j.bbagen.2021.129859","http://dx.doi.org/10.1016/j.bbagen.2021.129859")</f>
        <v>http://dx.doi.org/10.1016/j.bbagen.2021.129859</v>
      </c>
      <c r="BG1893" t="s">
        <v>74</v>
      </c>
      <c r="BH1893" t="s">
        <v>1557</v>
      </c>
      <c r="BI1893" t="s">
        <v>74</v>
      </c>
      <c r="BJ1893" t="s">
        <v>2845</v>
      </c>
      <c r="BK1893" t="s">
        <v>117</v>
      </c>
      <c r="BL1893" t="s">
        <v>2845</v>
      </c>
      <c r="BM1893" t="s">
        <v>74</v>
      </c>
      <c r="BN1893">
        <v>33581251</v>
      </c>
      <c r="BO1893" t="s">
        <v>74</v>
      </c>
      <c r="BP1893" t="s">
        <v>74</v>
      </c>
      <c r="BQ1893" t="s">
        <v>74</v>
      </c>
      <c r="BR1893" t="s">
        <v>96</v>
      </c>
      <c r="BS1893" t="s">
        <v>27213</v>
      </c>
      <c r="BT1893" t="str">
        <f>HYPERLINK("https%3A%2F%2Fwww.webofscience.com%2Fwos%2Fwoscc%2Ffull-record%2FWOS:000640021000004","View Full Record in Web of Science")</f>
        <v>View Full Record in Web of Science</v>
      </c>
    </row>
    <row r="1894" spans="1:72" x14ac:dyDescent="0.15">
      <c r="A1894" t="s">
        <v>98</v>
      </c>
      <c r="B1894" t="s">
        <v>27485</v>
      </c>
      <c r="C1894" t="s">
        <v>74</v>
      </c>
      <c r="D1894" t="s">
        <v>74</v>
      </c>
      <c r="E1894" t="s">
        <v>74</v>
      </c>
      <c r="F1894" t="s">
        <v>27486</v>
      </c>
      <c r="G1894" t="s">
        <v>74</v>
      </c>
      <c r="H1894" t="s">
        <v>74</v>
      </c>
      <c r="I1894" t="s">
        <v>27487</v>
      </c>
      <c r="J1894" t="s">
        <v>27488</v>
      </c>
      <c r="K1894" t="s">
        <v>74</v>
      </c>
      <c r="L1894" t="s">
        <v>74</v>
      </c>
      <c r="M1894" t="s">
        <v>74</v>
      </c>
      <c r="N1894" t="s">
        <v>103</v>
      </c>
      <c r="O1894" t="s">
        <v>74</v>
      </c>
      <c r="P1894" t="s">
        <v>74</v>
      </c>
      <c r="Q1894" t="s">
        <v>74</v>
      </c>
      <c r="R1894" t="s">
        <v>74</v>
      </c>
      <c r="S1894" t="s">
        <v>74</v>
      </c>
      <c r="T1894" t="s">
        <v>27489</v>
      </c>
      <c r="U1894" t="s">
        <v>27490</v>
      </c>
      <c r="V1894" t="s">
        <v>27491</v>
      </c>
      <c r="W1894" t="s">
        <v>27492</v>
      </c>
      <c r="X1894" t="s">
        <v>1110</v>
      </c>
      <c r="Y1894" t="s">
        <v>27493</v>
      </c>
      <c r="Z1894" t="s">
        <v>27494</v>
      </c>
      <c r="AA1894" t="s">
        <v>27495</v>
      </c>
      <c r="AB1894" t="s">
        <v>27496</v>
      </c>
      <c r="AC1894" t="s">
        <v>74</v>
      </c>
      <c r="AD1894" t="s">
        <v>74</v>
      </c>
      <c r="AE1894" t="s">
        <v>74</v>
      </c>
      <c r="AF1894" t="s">
        <v>74</v>
      </c>
      <c r="AG1894">
        <v>30</v>
      </c>
      <c r="AH1894">
        <v>1</v>
      </c>
      <c r="AI1894">
        <v>1</v>
      </c>
      <c r="AJ1894">
        <v>11</v>
      </c>
      <c r="AK1894">
        <v>11</v>
      </c>
      <c r="AL1894" t="s">
        <v>74</v>
      </c>
      <c r="AM1894" t="s">
        <v>74</v>
      </c>
      <c r="AN1894" t="s">
        <v>74</v>
      </c>
      <c r="AO1894" t="s">
        <v>74</v>
      </c>
      <c r="AP1894" t="s">
        <v>27497</v>
      </c>
      <c r="AQ1894" t="s">
        <v>74</v>
      </c>
      <c r="AR1894" t="s">
        <v>74</v>
      </c>
      <c r="AS1894" t="s">
        <v>74</v>
      </c>
      <c r="AT1894" t="s">
        <v>283</v>
      </c>
      <c r="AU1894">
        <v>2022</v>
      </c>
      <c r="AV1894">
        <v>14</v>
      </c>
      <c r="AW1894">
        <v>4</v>
      </c>
      <c r="AX1894" t="s">
        <v>74</v>
      </c>
      <c r="AY1894" t="s">
        <v>74</v>
      </c>
      <c r="AZ1894" t="s">
        <v>74</v>
      </c>
      <c r="BA1894" t="s">
        <v>74</v>
      </c>
      <c r="BB1894" t="s">
        <v>74</v>
      </c>
      <c r="BC1894" t="s">
        <v>74</v>
      </c>
      <c r="BD1894">
        <v>730</v>
      </c>
      <c r="BE1894" t="s">
        <v>27498</v>
      </c>
      <c r="BF1894" t="str">
        <f>HYPERLINK("http://dx.doi.org/10.3390/polym14040730","http://dx.doi.org/10.3390/polym14040730")</f>
        <v>http://dx.doi.org/10.3390/polym14040730</v>
      </c>
      <c r="BG1894" t="s">
        <v>74</v>
      </c>
      <c r="BH1894" t="s">
        <v>74</v>
      </c>
      <c r="BI1894" t="s">
        <v>74</v>
      </c>
      <c r="BJ1894" t="s">
        <v>27499</v>
      </c>
      <c r="BK1894" t="s">
        <v>117</v>
      </c>
      <c r="BL1894" t="s">
        <v>27499</v>
      </c>
      <c r="BM1894" t="s">
        <v>74</v>
      </c>
      <c r="BN1894">
        <v>35215642</v>
      </c>
      <c r="BO1894" t="s">
        <v>74</v>
      </c>
      <c r="BP1894" t="s">
        <v>74</v>
      </c>
      <c r="BQ1894" t="s">
        <v>74</v>
      </c>
      <c r="BR1894" t="s">
        <v>96</v>
      </c>
      <c r="BS1894" t="s">
        <v>27500</v>
      </c>
      <c r="BT1894" t="str">
        <f>HYPERLINK("https%3A%2F%2Fwww.webofscience.com%2Fwos%2Fwoscc%2Ffull-record%2FWOS:000765164100001","View Full Record in Web of Science")</f>
        <v>View Full Record in Web of Science</v>
      </c>
    </row>
    <row r="1895" spans="1:72" x14ac:dyDescent="0.15">
      <c r="A1895" t="s">
        <v>98</v>
      </c>
      <c r="B1895" t="s">
        <v>27587</v>
      </c>
      <c r="C1895" t="s">
        <v>74</v>
      </c>
      <c r="D1895" t="s">
        <v>74</v>
      </c>
      <c r="E1895" t="s">
        <v>74</v>
      </c>
      <c r="F1895" t="s">
        <v>27588</v>
      </c>
      <c r="G1895" t="s">
        <v>74</v>
      </c>
      <c r="H1895" t="s">
        <v>74</v>
      </c>
      <c r="I1895" t="s">
        <v>27589</v>
      </c>
      <c r="J1895" t="s">
        <v>817</v>
      </c>
      <c r="K1895" t="s">
        <v>74</v>
      </c>
      <c r="L1895" t="s">
        <v>74</v>
      </c>
      <c r="M1895" t="s">
        <v>74</v>
      </c>
      <c r="N1895" t="s">
        <v>103</v>
      </c>
      <c r="O1895" t="s">
        <v>74</v>
      </c>
      <c r="P1895" t="s">
        <v>74</v>
      </c>
      <c r="Q1895" t="s">
        <v>74</v>
      </c>
      <c r="R1895" t="s">
        <v>74</v>
      </c>
      <c r="S1895" t="s">
        <v>74</v>
      </c>
      <c r="T1895" t="s">
        <v>27590</v>
      </c>
      <c r="U1895" t="s">
        <v>27591</v>
      </c>
      <c r="V1895" t="s">
        <v>27592</v>
      </c>
      <c r="W1895" t="s">
        <v>27593</v>
      </c>
      <c r="X1895" t="s">
        <v>27594</v>
      </c>
      <c r="Y1895" t="s">
        <v>27595</v>
      </c>
      <c r="Z1895" t="s">
        <v>27596</v>
      </c>
      <c r="AA1895" t="s">
        <v>27597</v>
      </c>
      <c r="AB1895" t="s">
        <v>27598</v>
      </c>
      <c r="AC1895" t="s">
        <v>74</v>
      </c>
      <c r="AD1895" t="s">
        <v>74</v>
      </c>
      <c r="AE1895" t="s">
        <v>74</v>
      </c>
      <c r="AF1895" t="s">
        <v>74</v>
      </c>
      <c r="AG1895">
        <v>41</v>
      </c>
      <c r="AH1895">
        <v>1</v>
      </c>
      <c r="AI1895">
        <v>1</v>
      </c>
      <c r="AJ1895">
        <v>2</v>
      </c>
      <c r="AK1895">
        <v>4</v>
      </c>
      <c r="AL1895" t="s">
        <v>74</v>
      </c>
      <c r="AM1895" t="s">
        <v>74</v>
      </c>
      <c r="AN1895" t="s">
        <v>74</v>
      </c>
      <c r="AO1895" t="s">
        <v>74</v>
      </c>
      <c r="AP1895" t="s">
        <v>827</v>
      </c>
      <c r="AQ1895" t="s">
        <v>74</v>
      </c>
      <c r="AR1895" t="s">
        <v>74</v>
      </c>
      <c r="AS1895" t="s">
        <v>74</v>
      </c>
      <c r="AT1895" t="s">
        <v>230</v>
      </c>
      <c r="AU1895">
        <v>2021</v>
      </c>
      <c r="AV1895">
        <v>22</v>
      </c>
      <c r="AW1895">
        <v>15</v>
      </c>
      <c r="AX1895" t="s">
        <v>74</v>
      </c>
      <c r="AY1895" t="s">
        <v>74</v>
      </c>
      <c r="AZ1895" t="s">
        <v>74</v>
      </c>
      <c r="BA1895" t="s">
        <v>74</v>
      </c>
      <c r="BB1895" t="s">
        <v>74</v>
      </c>
      <c r="BC1895" t="s">
        <v>74</v>
      </c>
      <c r="BD1895">
        <v>7957</v>
      </c>
      <c r="BE1895" t="s">
        <v>27599</v>
      </c>
      <c r="BF1895" t="str">
        <f>HYPERLINK("http://dx.doi.org/10.3390/ijms22157957","http://dx.doi.org/10.3390/ijms22157957")</f>
        <v>http://dx.doi.org/10.3390/ijms22157957</v>
      </c>
      <c r="BG1895" t="s">
        <v>74</v>
      </c>
      <c r="BH1895" t="s">
        <v>74</v>
      </c>
      <c r="BI1895" t="s">
        <v>74</v>
      </c>
      <c r="BJ1895" t="s">
        <v>830</v>
      </c>
      <c r="BK1895" t="s">
        <v>117</v>
      </c>
      <c r="BL1895" t="s">
        <v>831</v>
      </c>
      <c r="BM1895" t="s">
        <v>74</v>
      </c>
      <c r="BN1895">
        <v>34360718</v>
      </c>
      <c r="BO1895" t="s">
        <v>74</v>
      </c>
      <c r="BP1895" t="s">
        <v>74</v>
      </c>
      <c r="BQ1895" t="s">
        <v>74</v>
      </c>
      <c r="BR1895" t="s">
        <v>96</v>
      </c>
      <c r="BS1895" t="s">
        <v>27600</v>
      </c>
      <c r="BT1895" t="str">
        <f>HYPERLINK("https%3A%2F%2Fwww.webofscience.com%2Fwos%2Fwoscc%2Ffull-record%2FWOS:000681824200001","View Full Record in Web of Science")</f>
        <v>View Full Record in Web of Science</v>
      </c>
    </row>
    <row r="1896" spans="1:72" x14ac:dyDescent="0.15">
      <c r="A1896" t="s">
        <v>98</v>
      </c>
      <c r="B1896" t="s">
        <v>27911</v>
      </c>
      <c r="C1896" t="s">
        <v>74</v>
      </c>
      <c r="D1896" t="s">
        <v>74</v>
      </c>
      <c r="E1896" t="s">
        <v>74</v>
      </c>
      <c r="F1896" t="s">
        <v>27912</v>
      </c>
      <c r="G1896" t="s">
        <v>74</v>
      </c>
      <c r="H1896" t="s">
        <v>74</v>
      </c>
      <c r="I1896" t="s">
        <v>27913</v>
      </c>
      <c r="J1896" t="s">
        <v>27914</v>
      </c>
      <c r="K1896" t="s">
        <v>74</v>
      </c>
      <c r="L1896" t="s">
        <v>74</v>
      </c>
      <c r="M1896" t="s">
        <v>74</v>
      </c>
      <c r="N1896" t="s">
        <v>103</v>
      </c>
      <c r="O1896" t="s">
        <v>74</v>
      </c>
      <c r="P1896" t="s">
        <v>74</v>
      </c>
      <c r="Q1896" t="s">
        <v>74</v>
      </c>
      <c r="R1896" t="s">
        <v>74</v>
      </c>
      <c r="S1896" t="s">
        <v>74</v>
      </c>
      <c r="T1896" t="s">
        <v>27915</v>
      </c>
      <c r="U1896" t="s">
        <v>27916</v>
      </c>
      <c r="V1896" t="s">
        <v>27917</v>
      </c>
      <c r="W1896" t="s">
        <v>27918</v>
      </c>
      <c r="X1896" t="s">
        <v>27919</v>
      </c>
      <c r="Y1896" t="s">
        <v>27920</v>
      </c>
      <c r="Z1896" t="s">
        <v>27921</v>
      </c>
      <c r="AA1896" t="s">
        <v>74</v>
      </c>
      <c r="AB1896" t="s">
        <v>74</v>
      </c>
      <c r="AC1896" t="s">
        <v>74</v>
      </c>
      <c r="AD1896" t="s">
        <v>74</v>
      </c>
      <c r="AE1896" t="s">
        <v>74</v>
      </c>
      <c r="AF1896" t="s">
        <v>74</v>
      </c>
      <c r="AG1896">
        <v>35</v>
      </c>
      <c r="AH1896">
        <v>1</v>
      </c>
      <c r="AI1896">
        <v>1</v>
      </c>
      <c r="AJ1896">
        <v>2</v>
      </c>
      <c r="AK1896">
        <v>2</v>
      </c>
      <c r="AL1896" t="s">
        <v>74</v>
      </c>
      <c r="AM1896" t="s">
        <v>74</v>
      </c>
      <c r="AN1896" t="s">
        <v>74</v>
      </c>
      <c r="AO1896" t="s">
        <v>27922</v>
      </c>
      <c r="AP1896" t="s">
        <v>27923</v>
      </c>
      <c r="AQ1896" t="s">
        <v>74</v>
      </c>
      <c r="AR1896" t="s">
        <v>74</v>
      </c>
      <c r="AS1896" t="s">
        <v>74</v>
      </c>
      <c r="AT1896" t="s">
        <v>17037</v>
      </c>
      <c r="AU1896">
        <v>2022</v>
      </c>
      <c r="AV1896">
        <v>61</v>
      </c>
      <c r="AW1896">
        <v>6</v>
      </c>
      <c r="AX1896" t="s">
        <v>74</v>
      </c>
      <c r="AY1896" t="s">
        <v>74</v>
      </c>
      <c r="AZ1896" t="s">
        <v>74</v>
      </c>
      <c r="BA1896" t="s">
        <v>74</v>
      </c>
      <c r="BB1896">
        <v>2672</v>
      </c>
      <c r="BC1896">
        <v>2681</v>
      </c>
      <c r="BD1896" t="s">
        <v>74</v>
      </c>
      <c r="BE1896" t="s">
        <v>27924</v>
      </c>
      <c r="BF1896" t="str">
        <f>HYPERLINK("http://dx.doi.org/10.1093/rheumatology/keab753","http://dx.doi.org/10.1093/rheumatology/keab753")</f>
        <v>http://dx.doi.org/10.1093/rheumatology/keab753</v>
      </c>
      <c r="BG1896" t="s">
        <v>74</v>
      </c>
      <c r="BH1896" t="s">
        <v>1967</v>
      </c>
      <c r="BI1896" t="s">
        <v>74</v>
      </c>
      <c r="BJ1896" t="s">
        <v>16983</v>
      </c>
      <c r="BK1896" t="s">
        <v>117</v>
      </c>
      <c r="BL1896" t="s">
        <v>16983</v>
      </c>
      <c r="BM1896" t="s">
        <v>74</v>
      </c>
      <c r="BN1896">
        <v>34698812</v>
      </c>
      <c r="BO1896" t="s">
        <v>74</v>
      </c>
      <c r="BP1896" t="s">
        <v>74</v>
      </c>
      <c r="BQ1896" t="s">
        <v>74</v>
      </c>
      <c r="BR1896" t="s">
        <v>96</v>
      </c>
      <c r="BS1896" t="s">
        <v>27925</v>
      </c>
      <c r="BT1896" t="str">
        <f>HYPERLINK("https%3A%2F%2Fwww.webofscience.com%2Fwos%2Fwoscc%2Ffull-record%2FWOS:000789281000001","View Full Record in Web of Science")</f>
        <v>View Full Record in Web of Science</v>
      </c>
    </row>
    <row r="1897" spans="1:72" x14ac:dyDescent="0.15">
      <c r="A1897" t="s">
        <v>98</v>
      </c>
      <c r="B1897" t="s">
        <v>27965</v>
      </c>
      <c r="C1897" t="s">
        <v>74</v>
      </c>
      <c r="D1897" t="s">
        <v>74</v>
      </c>
      <c r="E1897" t="s">
        <v>74</v>
      </c>
      <c r="F1897" t="s">
        <v>27966</v>
      </c>
      <c r="G1897" t="s">
        <v>74</v>
      </c>
      <c r="H1897" t="s">
        <v>74</v>
      </c>
      <c r="I1897" t="s">
        <v>27967</v>
      </c>
      <c r="J1897" t="s">
        <v>4183</v>
      </c>
      <c r="K1897" t="s">
        <v>74</v>
      </c>
      <c r="L1897" t="s">
        <v>74</v>
      </c>
      <c r="M1897" t="s">
        <v>74</v>
      </c>
      <c r="N1897" t="s">
        <v>2996</v>
      </c>
      <c r="O1897" t="s">
        <v>74</v>
      </c>
      <c r="P1897" t="s">
        <v>74</v>
      </c>
      <c r="Q1897" t="s">
        <v>74</v>
      </c>
      <c r="R1897" t="s">
        <v>74</v>
      </c>
      <c r="S1897" t="s">
        <v>74</v>
      </c>
      <c r="T1897" t="s">
        <v>27968</v>
      </c>
      <c r="U1897" t="s">
        <v>74</v>
      </c>
      <c r="V1897" t="s">
        <v>27969</v>
      </c>
      <c r="W1897" t="s">
        <v>27970</v>
      </c>
      <c r="X1897" t="s">
        <v>27971</v>
      </c>
      <c r="Y1897" t="s">
        <v>27972</v>
      </c>
      <c r="Z1897" t="s">
        <v>27973</v>
      </c>
      <c r="AA1897" t="s">
        <v>74</v>
      </c>
      <c r="AB1897" t="s">
        <v>74</v>
      </c>
      <c r="AC1897" t="s">
        <v>74</v>
      </c>
      <c r="AD1897" t="s">
        <v>74</v>
      </c>
      <c r="AE1897" t="s">
        <v>74</v>
      </c>
      <c r="AF1897" t="s">
        <v>74</v>
      </c>
      <c r="AG1897">
        <v>24</v>
      </c>
      <c r="AH1897">
        <v>1</v>
      </c>
      <c r="AI1897">
        <v>1</v>
      </c>
      <c r="AJ1897">
        <v>5</v>
      </c>
      <c r="AK1897">
        <v>12</v>
      </c>
      <c r="AL1897" t="s">
        <v>74</v>
      </c>
      <c r="AM1897" t="s">
        <v>74</v>
      </c>
      <c r="AN1897" t="s">
        <v>74</v>
      </c>
      <c r="AO1897" t="s">
        <v>4192</v>
      </c>
      <c r="AP1897" t="s">
        <v>4193</v>
      </c>
      <c r="AQ1897" t="s">
        <v>74</v>
      </c>
      <c r="AR1897" t="s">
        <v>74</v>
      </c>
      <c r="AS1897" t="s">
        <v>74</v>
      </c>
      <c r="AT1897" t="s">
        <v>74</v>
      </c>
      <c r="AU1897" t="s">
        <v>74</v>
      </c>
      <c r="AV1897" t="s">
        <v>74</v>
      </c>
      <c r="AW1897" t="s">
        <v>74</v>
      </c>
      <c r="AX1897" t="s">
        <v>74</v>
      </c>
      <c r="AY1897" t="s">
        <v>74</v>
      </c>
      <c r="AZ1897" t="s">
        <v>74</v>
      </c>
      <c r="BA1897" t="s">
        <v>74</v>
      </c>
      <c r="BB1897" t="s">
        <v>74</v>
      </c>
      <c r="BC1897" t="s">
        <v>74</v>
      </c>
      <c r="BD1897" t="s">
        <v>74</v>
      </c>
      <c r="BE1897" t="s">
        <v>27974</v>
      </c>
      <c r="BF1897" t="str">
        <f>HYPERLINK("http://dx.doi.org/10.1159/000518950","http://dx.doi.org/10.1159/000518950")</f>
        <v>http://dx.doi.org/10.1159/000518950</v>
      </c>
      <c r="BG1897" t="s">
        <v>74</v>
      </c>
      <c r="BH1897" t="s">
        <v>395</v>
      </c>
      <c r="BI1897" t="s">
        <v>74</v>
      </c>
      <c r="BJ1897" t="s">
        <v>4195</v>
      </c>
      <c r="BK1897" t="s">
        <v>117</v>
      </c>
      <c r="BL1897" t="s">
        <v>4195</v>
      </c>
      <c r="BM1897" t="s">
        <v>74</v>
      </c>
      <c r="BN1897">
        <v>34537772</v>
      </c>
      <c r="BO1897" t="s">
        <v>74</v>
      </c>
      <c r="BP1897" t="s">
        <v>74</v>
      </c>
      <c r="BQ1897" t="s">
        <v>74</v>
      </c>
      <c r="BR1897" t="s">
        <v>96</v>
      </c>
      <c r="BS1897" t="s">
        <v>27975</v>
      </c>
      <c r="BT1897" t="str">
        <f>HYPERLINK("https%3A%2F%2Fwww.webofscience.com%2Fwos%2Fwoscc%2Ffull-record%2FWOS:000698082700001","View Full Record in Web of Science")</f>
        <v>View Full Record in Web of Science</v>
      </c>
    </row>
    <row r="1898" spans="1:72" x14ac:dyDescent="0.15">
      <c r="A1898" t="s">
        <v>98</v>
      </c>
      <c r="B1898" t="s">
        <v>28098</v>
      </c>
      <c r="C1898" t="s">
        <v>74</v>
      </c>
      <c r="D1898" t="s">
        <v>74</v>
      </c>
      <c r="E1898" t="s">
        <v>74</v>
      </c>
      <c r="F1898" t="s">
        <v>28099</v>
      </c>
      <c r="G1898" t="s">
        <v>74</v>
      </c>
      <c r="H1898" t="s">
        <v>74</v>
      </c>
      <c r="I1898" t="s">
        <v>28100</v>
      </c>
      <c r="J1898" t="s">
        <v>13494</v>
      </c>
      <c r="K1898" t="s">
        <v>74</v>
      </c>
      <c r="L1898" t="s">
        <v>74</v>
      </c>
      <c r="M1898" t="s">
        <v>74</v>
      </c>
      <c r="N1898" t="s">
        <v>103</v>
      </c>
      <c r="O1898" t="s">
        <v>74</v>
      </c>
      <c r="P1898" t="s">
        <v>74</v>
      </c>
      <c r="Q1898" t="s">
        <v>74</v>
      </c>
      <c r="R1898" t="s">
        <v>74</v>
      </c>
      <c r="S1898" t="s">
        <v>74</v>
      </c>
      <c r="T1898" t="s">
        <v>74</v>
      </c>
      <c r="U1898" t="s">
        <v>28101</v>
      </c>
      <c r="V1898" t="s">
        <v>28102</v>
      </c>
      <c r="W1898" t="s">
        <v>28103</v>
      </c>
      <c r="X1898" t="s">
        <v>28104</v>
      </c>
      <c r="Y1898" t="s">
        <v>28105</v>
      </c>
      <c r="Z1898" t="s">
        <v>28106</v>
      </c>
      <c r="AA1898" t="s">
        <v>74</v>
      </c>
      <c r="AB1898" t="s">
        <v>28107</v>
      </c>
      <c r="AC1898" t="s">
        <v>74</v>
      </c>
      <c r="AD1898" t="s">
        <v>74</v>
      </c>
      <c r="AE1898" t="s">
        <v>74</v>
      </c>
      <c r="AF1898" t="s">
        <v>74</v>
      </c>
      <c r="AG1898">
        <v>52</v>
      </c>
      <c r="AH1898">
        <v>1</v>
      </c>
      <c r="AI1898">
        <v>1</v>
      </c>
      <c r="AJ1898">
        <v>6</v>
      </c>
      <c r="AK1898">
        <v>6</v>
      </c>
      <c r="AL1898" t="s">
        <v>74</v>
      </c>
      <c r="AM1898" t="s">
        <v>74</v>
      </c>
      <c r="AN1898" t="s">
        <v>74</v>
      </c>
      <c r="AO1898" t="s">
        <v>13502</v>
      </c>
      <c r="AP1898" t="s">
        <v>13503</v>
      </c>
      <c r="AQ1898" t="s">
        <v>74</v>
      </c>
      <c r="AR1898" t="s">
        <v>74</v>
      </c>
      <c r="AS1898" t="s">
        <v>74</v>
      </c>
      <c r="AT1898" t="s">
        <v>28108</v>
      </c>
      <c r="AU1898">
        <v>2022</v>
      </c>
      <c r="AV1898">
        <v>41</v>
      </c>
      <c r="AW1898">
        <v>18</v>
      </c>
      <c r="AX1898" t="s">
        <v>74</v>
      </c>
      <c r="AY1898" t="s">
        <v>74</v>
      </c>
      <c r="AZ1898" t="s">
        <v>74</v>
      </c>
      <c r="BA1898" t="s">
        <v>74</v>
      </c>
      <c r="BB1898">
        <v>2624</v>
      </c>
      <c r="BC1898">
        <v>2637</v>
      </c>
      <c r="BD1898" t="s">
        <v>74</v>
      </c>
      <c r="BE1898" t="s">
        <v>28109</v>
      </c>
      <c r="BF1898" t="str">
        <f>HYPERLINK("http://dx.doi.org/10.1038/s41388-022-02278-x","http://dx.doi.org/10.1038/s41388-022-02278-x")</f>
        <v>http://dx.doi.org/10.1038/s41388-022-02278-x</v>
      </c>
      <c r="BG1898" t="s">
        <v>74</v>
      </c>
      <c r="BH1898" t="s">
        <v>6394</v>
      </c>
      <c r="BI1898" t="s">
        <v>74</v>
      </c>
      <c r="BJ1898" t="s">
        <v>13505</v>
      </c>
      <c r="BK1898" t="s">
        <v>117</v>
      </c>
      <c r="BL1898" t="s">
        <v>13505</v>
      </c>
      <c r="BM1898" t="s">
        <v>74</v>
      </c>
      <c r="BN1898">
        <v>35351996</v>
      </c>
      <c r="BO1898" t="s">
        <v>74</v>
      </c>
      <c r="BP1898" t="s">
        <v>74</v>
      </c>
      <c r="BQ1898" t="s">
        <v>74</v>
      </c>
      <c r="BR1898" t="s">
        <v>96</v>
      </c>
      <c r="BS1898" t="s">
        <v>28110</v>
      </c>
      <c r="BT1898" t="str">
        <f>HYPERLINK("https%3A%2F%2Fwww.webofscience.com%2Fwos%2Fwoscc%2Ffull-record%2FWOS:000774697100001","View Full Record in Web of Science")</f>
        <v>View Full Record in Web of Science</v>
      </c>
    </row>
    <row r="1899" spans="1:72" x14ac:dyDescent="0.15">
      <c r="A1899" t="s">
        <v>98</v>
      </c>
      <c r="B1899" t="s">
        <v>28379</v>
      </c>
      <c r="C1899" t="s">
        <v>74</v>
      </c>
      <c r="D1899" t="s">
        <v>74</v>
      </c>
      <c r="E1899" t="s">
        <v>74</v>
      </c>
      <c r="F1899" t="s">
        <v>28380</v>
      </c>
      <c r="G1899" t="s">
        <v>74</v>
      </c>
      <c r="H1899" t="s">
        <v>74</v>
      </c>
      <c r="I1899" t="s">
        <v>28381</v>
      </c>
      <c r="J1899" t="s">
        <v>3244</v>
      </c>
      <c r="K1899" t="s">
        <v>74</v>
      </c>
      <c r="L1899" t="s">
        <v>74</v>
      </c>
      <c r="M1899" t="s">
        <v>74</v>
      </c>
      <c r="N1899" t="s">
        <v>103</v>
      </c>
      <c r="O1899" t="s">
        <v>74</v>
      </c>
      <c r="P1899" t="s">
        <v>74</v>
      </c>
      <c r="Q1899" t="s">
        <v>74</v>
      </c>
      <c r="R1899" t="s">
        <v>74</v>
      </c>
      <c r="S1899" t="s">
        <v>74</v>
      </c>
      <c r="T1899" t="s">
        <v>28382</v>
      </c>
      <c r="U1899" t="s">
        <v>28383</v>
      </c>
      <c r="V1899" t="s">
        <v>28384</v>
      </c>
      <c r="W1899" t="s">
        <v>28385</v>
      </c>
      <c r="X1899" t="s">
        <v>28386</v>
      </c>
      <c r="Y1899" t="s">
        <v>28387</v>
      </c>
      <c r="Z1899" t="s">
        <v>28388</v>
      </c>
      <c r="AA1899" t="s">
        <v>28389</v>
      </c>
      <c r="AB1899" t="s">
        <v>28390</v>
      </c>
      <c r="AC1899" t="s">
        <v>74</v>
      </c>
      <c r="AD1899" t="s">
        <v>74</v>
      </c>
      <c r="AE1899" t="s">
        <v>74</v>
      </c>
      <c r="AF1899" t="s">
        <v>74</v>
      </c>
      <c r="AG1899">
        <v>64</v>
      </c>
      <c r="AH1899">
        <v>1</v>
      </c>
      <c r="AI1899">
        <v>1</v>
      </c>
      <c r="AJ1899">
        <v>1</v>
      </c>
      <c r="AK1899">
        <v>1</v>
      </c>
      <c r="AL1899" t="s">
        <v>74</v>
      </c>
      <c r="AM1899" t="s">
        <v>74</v>
      </c>
      <c r="AN1899" t="s">
        <v>74</v>
      </c>
      <c r="AO1899" t="s">
        <v>3254</v>
      </c>
      <c r="AP1899" t="s">
        <v>74</v>
      </c>
      <c r="AQ1899" t="s">
        <v>74</v>
      </c>
      <c r="AR1899" t="s">
        <v>74</v>
      </c>
      <c r="AS1899" t="s">
        <v>74</v>
      </c>
      <c r="AT1899" t="s">
        <v>14391</v>
      </c>
      <c r="AU1899">
        <v>2022</v>
      </c>
      <c r="AV1899">
        <v>12</v>
      </c>
      <c r="AW1899" t="s">
        <v>74</v>
      </c>
      <c r="AX1899" t="s">
        <v>74</v>
      </c>
      <c r="AY1899" t="s">
        <v>74</v>
      </c>
      <c r="AZ1899" t="s">
        <v>74</v>
      </c>
      <c r="BA1899" t="s">
        <v>74</v>
      </c>
      <c r="BB1899" t="s">
        <v>74</v>
      </c>
      <c r="BC1899" t="s">
        <v>74</v>
      </c>
      <c r="BD1899">
        <v>858317</v>
      </c>
      <c r="BE1899" t="s">
        <v>28391</v>
      </c>
      <c r="BF1899" t="str">
        <f>HYPERLINK("http://dx.doi.org/10.3389/fcimb.2022.858317","http://dx.doi.org/10.3389/fcimb.2022.858317")</f>
        <v>http://dx.doi.org/10.3389/fcimb.2022.858317</v>
      </c>
      <c r="BG1899" t="s">
        <v>74</v>
      </c>
      <c r="BH1899" t="s">
        <v>74</v>
      </c>
      <c r="BI1899" t="s">
        <v>74</v>
      </c>
      <c r="BJ1899" t="s">
        <v>3257</v>
      </c>
      <c r="BK1899" t="s">
        <v>117</v>
      </c>
      <c r="BL1899" t="s">
        <v>3257</v>
      </c>
      <c r="BM1899" t="s">
        <v>74</v>
      </c>
      <c r="BN1899">
        <v>35372111</v>
      </c>
      <c r="BO1899" t="s">
        <v>74</v>
      </c>
      <c r="BP1899" t="s">
        <v>74</v>
      </c>
      <c r="BQ1899" t="s">
        <v>74</v>
      </c>
      <c r="BR1899" t="s">
        <v>96</v>
      </c>
      <c r="BS1899" t="s">
        <v>28392</v>
      </c>
      <c r="BT1899" t="str">
        <f>HYPERLINK("https%3A%2F%2Fwww.webofscience.com%2Fwos%2Fwoscc%2Ffull-record%2FWOS:000778989900001","View Full Record in Web of Science")</f>
        <v>View Full Record in Web of Science</v>
      </c>
    </row>
    <row r="1900" spans="1:72" x14ac:dyDescent="0.15">
      <c r="A1900" t="s">
        <v>98</v>
      </c>
      <c r="B1900" t="s">
        <v>28990</v>
      </c>
      <c r="C1900" t="s">
        <v>74</v>
      </c>
      <c r="D1900" t="s">
        <v>74</v>
      </c>
      <c r="E1900" t="s">
        <v>74</v>
      </c>
      <c r="F1900" t="s">
        <v>28991</v>
      </c>
      <c r="G1900" t="s">
        <v>74</v>
      </c>
      <c r="H1900" t="s">
        <v>74</v>
      </c>
      <c r="I1900" t="s">
        <v>28992</v>
      </c>
      <c r="J1900" t="s">
        <v>15002</v>
      </c>
      <c r="K1900" t="s">
        <v>74</v>
      </c>
      <c r="L1900" t="s">
        <v>74</v>
      </c>
      <c r="M1900" t="s">
        <v>74</v>
      </c>
      <c r="N1900" t="s">
        <v>103</v>
      </c>
      <c r="O1900" t="s">
        <v>74</v>
      </c>
      <c r="P1900" t="s">
        <v>74</v>
      </c>
      <c r="Q1900" t="s">
        <v>74</v>
      </c>
      <c r="R1900" t="s">
        <v>74</v>
      </c>
      <c r="S1900" t="s">
        <v>74</v>
      </c>
      <c r="T1900" t="s">
        <v>28993</v>
      </c>
      <c r="U1900" t="s">
        <v>28994</v>
      </c>
      <c r="V1900" t="s">
        <v>28995</v>
      </c>
      <c r="W1900" t="s">
        <v>28996</v>
      </c>
      <c r="X1900" t="s">
        <v>28997</v>
      </c>
      <c r="Y1900" t="s">
        <v>28998</v>
      </c>
      <c r="Z1900" t="s">
        <v>28999</v>
      </c>
      <c r="AA1900" t="s">
        <v>29000</v>
      </c>
      <c r="AB1900" t="s">
        <v>74</v>
      </c>
      <c r="AC1900" t="s">
        <v>74</v>
      </c>
      <c r="AD1900" t="s">
        <v>74</v>
      </c>
      <c r="AE1900" t="s">
        <v>74</v>
      </c>
      <c r="AF1900" t="s">
        <v>74</v>
      </c>
      <c r="AG1900">
        <v>74</v>
      </c>
      <c r="AH1900">
        <v>1</v>
      </c>
      <c r="AI1900">
        <v>3</v>
      </c>
      <c r="AJ1900">
        <v>15</v>
      </c>
      <c r="AK1900">
        <v>45</v>
      </c>
      <c r="AL1900" t="s">
        <v>74</v>
      </c>
      <c r="AM1900" t="s">
        <v>74</v>
      </c>
      <c r="AN1900" t="s">
        <v>74</v>
      </c>
      <c r="AO1900" t="s">
        <v>15009</v>
      </c>
      <c r="AP1900" t="s">
        <v>74</v>
      </c>
      <c r="AQ1900" t="s">
        <v>74</v>
      </c>
      <c r="AR1900" t="s">
        <v>74</v>
      </c>
      <c r="AS1900" t="s">
        <v>74</v>
      </c>
      <c r="AT1900" t="s">
        <v>132</v>
      </c>
      <c r="AU1900">
        <v>2020</v>
      </c>
      <c r="AV1900">
        <v>47</v>
      </c>
      <c r="AW1900">
        <v>4</v>
      </c>
      <c r="AX1900" t="s">
        <v>74</v>
      </c>
      <c r="AY1900" t="s">
        <v>74</v>
      </c>
      <c r="AZ1900" t="s">
        <v>74</v>
      </c>
      <c r="BA1900" t="s">
        <v>74</v>
      </c>
      <c r="BB1900">
        <v>286</v>
      </c>
      <c r="BC1900">
        <v>299</v>
      </c>
      <c r="BD1900" t="s">
        <v>74</v>
      </c>
      <c r="BE1900" t="s">
        <v>29001</v>
      </c>
      <c r="BF1900" t="str">
        <f>HYPERLINK("http://dx.doi.org/10.16476/j.pibb.2019.0281","http://dx.doi.org/10.16476/j.pibb.2019.0281")</f>
        <v>http://dx.doi.org/10.16476/j.pibb.2019.0281</v>
      </c>
      <c r="BG1900" t="s">
        <v>74</v>
      </c>
      <c r="BH1900" t="s">
        <v>74</v>
      </c>
      <c r="BI1900" t="s">
        <v>74</v>
      </c>
      <c r="BJ1900" t="s">
        <v>2845</v>
      </c>
      <c r="BK1900" t="s">
        <v>117</v>
      </c>
      <c r="BL1900" t="s">
        <v>2845</v>
      </c>
      <c r="BM1900" t="s">
        <v>74</v>
      </c>
      <c r="BN1900" t="s">
        <v>74</v>
      </c>
      <c r="BO1900" t="s">
        <v>74</v>
      </c>
      <c r="BP1900" t="s">
        <v>74</v>
      </c>
      <c r="BQ1900" t="s">
        <v>74</v>
      </c>
      <c r="BR1900" t="s">
        <v>96</v>
      </c>
      <c r="BS1900" t="s">
        <v>29002</v>
      </c>
      <c r="BT1900" t="str">
        <f>HYPERLINK("https%3A%2F%2Fwww.webofscience.com%2Fwos%2Fwoscc%2Ffull-record%2FWOS:000550849400002","View Full Record in Web of Science")</f>
        <v>View Full Record in Web of Science</v>
      </c>
    </row>
    <row r="1901" spans="1:72" x14ac:dyDescent="0.15">
      <c r="A1901" t="s">
        <v>98</v>
      </c>
      <c r="B1901" t="s">
        <v>29125</v>
      </c>
      <c r="C1901" t="s">
        <v>74</v>
      </c>
      <c r="D1901" t="s">
        <v>74</v>
      </c>
      <c r="E1901" t="s">
        <v>74</v>
      </c>
      <c r="F1901" t="s">
        <v>29126</v>
      </c>
      <c r="G1901" t="s">
        <v>74</v>
      </c>
      <c r="H1901" t="s">
        <v>74</v>
      </c>
      <c r="I1901" t="s">
        <v>29127</v>
      </c>
      <c r="J1901" t="s">
        <v>29128</v>
      </c>
      <c r="K1901" t="s">
        <v>74</v>
      </c>
      <c r="L1901" t="s">
        <v>74</v>
      </c>
      <c r="M1901" t="s">
        <v>74</v>
      </c>
      <c r="N1901" t="s">
        <v>103</v>
      </c>
      <c r="O1901" t="s">
        <v>74</v>
      </c>
      <c r="P1901" t="s">
        <v>74</v>
      </c>
      <c r="Q1901" t="s">
        <v>74</v>
      </c>
      <c r="R1901" t="s">
        <v>74</v>
      </c>
      <c r="S1901" t="s">
        <v>74</v>
      </c>
      <c r="T1901" t="s">
        <v>29129</v>
      </c>
      <c r="U1901" t="s">
        <v>29130</v>
      </c>
      <c r="V1901" t="s">
        <v>29131</v>
      </c>
      <c r="W1901" t="s">
        <v>29132</v>
      </c>
      <c r="X1901" t="s">
        <v>29133</v>
      </c>
      <c r="Y1901" t="s">
        <v>29134</v>
      </c>
      <c r="Z1901" t="s">
        <v>29135</v>
      </c>
      <c r="AA1901" t="s">
        <v>29136</v>
      </c>
      <c r="AB1901" t="s">
        <v>29137</v>
      </c>
      <c r="AC1901" t="s">
        <v>74</v>
      </c>
      <c r="AD1901" t="s">
        <v>74</v>
      </c>
      <c r="AE1901" t="s">
        <v>74</v>
      </c>
      <c r="AF1901" t="s">
        <v>74</v>
      </c>
      <c r="AG1901">
        <v>52</v>
      </c>
      <c r="AH1901">
        <v>1</v>
      </c>
      <c r="AI1901">
        <v>1</v>
      </c>
      <c r="AJ1901">
        <v>2</v>
      </c>
      <c r="AK1901">
        <v>2</v>
      </c>
      <c r="AL1901" t="s">
        <v>74</v>
      </c>
      <c r="AM1901" t="s">
        <v>74</v>
      </c>
      <c r="AN1901" t="s">
        <v>74</v>
      </c>
      <c r="AO1901" t="s">
        <v>29138</v>
      </c>
      <c r="AP1901" t="s">
        <v>29139</v>
      </c>
      <c r="AQ1901" t="s">
        <v>74</v>
      </c>
      <c r="AR1901" t="s">
        <v>74</v>
      </c>
      <c r="AS1901" t="s">
        <v>74</v>
      </c>
      <c r="AT1901" t="s">
        <v>170</v>
      </c>
      <c r="AU1901">
        <v>2022</v>
      </c>
      <c r="AV1901">
        <v>94</v>
      </c>
      <c r="AW1901">
        <v>6</v>
      </c>
      <c r="AX1901" t="s">
        <v>74</v>
      </c>
      <c r="AY1901" t="s">
        <v>74</v>
      </c>
      <c r="AZ1901" t="s">
        <v>74</v>
      </c>
      <c r="BA1901" t="s">
        <v>74</v>
      </c>
      <c r="BB1901">
        <v>2537</v>
      </c>
      <c r="BC1901">
        <v>2547</v>
      </c>
      <c r="BD1901" t="s">
        <v>74</v>
      </c>
      <c r="BE1901" t="s">
        <v>29140</v>
      </c>
      <c r="BF1901" t="str">
        <f>HYPERLINK("http://dx.doi.org/10.1002/jmv.27624","http://dx.doi.org/10.1002/jmv.27624")</f>
        <v>http://dx.doi.org/10.1002/jmv.27624</v>
      </c>
      <c r="BG1901" t="s">
        <v>74</v>
      </c>
      <c r="BH1901" t="s">
        <v>1582</v>
      </c>
      <c r="BI1901" t="s">
        <v>74</v>
      </c>
      <c r="BJ1901" t="s">
        <v>932</v>
      </c>
      <c r="BK1901" t="s">
        <v>117</v>
      </c>
      <c r="BL1901" t="s">
        <v>932</v>
      </c>
      <c r="BM1901" t="s">
        <v>74</v>
      </c>
      <c r="BN1901">
        <v>35075668</v>
      </c>
      <c r="BO1901" t="s">
        <v>74</v>
      </c>
      <c r="BP1901" t="s">
        <v>74</v>
      </c>
      <c r="BQ1901" t="s">
        <v>74</v>
      </c>
      <c r="BR1901" t="s">
        <v>96</v>
      </c>
      <c r="BS1901" t="s">
        <v>29141</v>
      </c>
      <c r="BT1901" t="str">
        <f>HYPERLINK("https%3A%2F%2Fwww.webofscience.com%2Fwos%2Fwoscc%2Ffull-record%2FWOS:000750186100001","View Full Record in Web of Science")</f>
        <v>View Full Record in Web of Science</v>
      </c>
    </row>
    <row r="1902" spans="1:72" x14ac:dyDescent="0.15">
      <c r="A1902" t="s">
        <v>98</v>
      </c>
      <c r="B1902" t="s">
        <v>29579</v>
      </c>
      <c r="C1902" t="s">
        <v>74</v>
      </c>
      <c r="D1902" t="s">
        <v>74</v>
      </c>
      <c r="E1902" t="s">
        <v>74</v>
      </c>
      <c r="F1902" t="s">
        <v>29580</v>
      </c>
      <c r="G1902" t="s">
        <v>74</v>
      </c>
      <c r="H1902" t="s">
        <v>74</v>
      </c>
      <c r="I1902" t="s">
        <v>29581</v>
      </c>
      <c r="J1902" t="s">
        <v>11229</v>
      </c>
      <c r="K1902" t="s">
        <v>74</v>
      </c>
      <c r="L1902" t="s">
        <v>74</v>
      </c>
      <c r="M1902" t="s">
        <v>74</v>
      </c>
      <c r="N1902" t="s">
        <v>103</v>
      </c>
      <c r="O1902" t="s">
        <v>74</v>
      </c>
      <c r="P1902" t="s">
        <v>74</v>
      </c>
      <c r="Q1902" t="s">
        <v>74</v>
      </c>
      <c r="R1902" t="s">
        <v>74</v>
      </c>
      <c r="S1902" t="s">
        <v>74</v>
      </c>
      <c r="T1902" t="s">
        <v>74</v>
      </c>
      <c r="U1902" t="s">
        <v>29582</v>
      </c>
      <c r="V1902" t="s">
        <v>29583</v>
      </c>
      <c r="W1902" t="s">
        <v>29584</v>
      </c>
      <c r="X1902" t="s">
        <v>29585</v>
      </c>
      <c r="Y1902" t="s">
        <v>29586</v>
      </c>
      <c r="Z1902" t="s">
        <v>29587</v>
      </c>
      <c r="AA1902" t="s">
        <v>74</v>
      </c>
      <c r="AB1902" t="s">
        <v>29588</v>
      </c>
      <c r="AC1902" t="s">
        <v>74</v>
      </c>
      <c r="AD1902" t="s">
        <v>74</v>
      </c>
      <c r="AE1902" t="s">
        <v>74</v>
      </c>
      <c r="AF1902" t="s">
        <v>74</v>
      </c>
      <c r="AG1902">
        <v>57</v>
      </c>
      <c r="AH1902">
        <v>1</v>
      </c>
      <c r="AI1902">
        <v>1</v>
      </c>
      <c r="AJ1902">
        <v>2</v>
      </c>
      <c r="AK1902">
        <v>5</v>
      </c>
      <c r="AL1902" t="s">
        <v>74</v>
      </c>
      <c r="AM1902" t="s">
        <v>74</v>
      </c>
      <c r="AN1902" t="s">
        <v>74</v>
      </c>
      <c r="AO1902" t="s">
        <v>11238</v>
      </c>
      <c r="AP1902" t="s">
        <v>11239</v>
      </c>
      <c r="AQ1902" t="s">
        <v>74</v>
      </c>
      <c r="AR1902" t="s">
        <v>74</v>
      </c>
      <c r="AS1902" t="s">
        <v>74</v>
      </c>
      <c r="AT1902" t="s">
        <v>614</v>
      </c>
      <c r="AU1902">
        <v>2021</v>
      </c>
      <c r="AV1902">
        <v>20</v>
      </c>
      <c r="AW1902">
        <v>7</v>
      </c>
      <c r="AX1902" t="s">
        <v>74</v>
      </c>
      <c r="AY1902" t="s">
        <v>74</v>
      </c>
      <c r="AZ1902" t="s">
        <v>74</v>
      </c>
      <c r="BA1902" t="s">
        <v>74</v>
      </c>
      <c r="BB1902">
        <v>1295</v>
      </c>
      <c r="BC1902">
        <v>1304</v>
      </c>
      <c r="BD1902" t="s">
        <v>74</v>
      </c>
      <c r="BE1902" t="s">
        <v>29589</v>
      </c>
      <c r="BF1902" t="str">
        <f>HYPERLINK("http://dx.doi.org/10.1158/1535-7163.MCT-20-0934","http://dx.doi.org/10.1158/1535-7163.MCT-20-0934")</f>
        <v>http://dx.doi.org/10.1158/1535-7163.MCT-20-0934</v>
      </c>
      <c r="BG1902" t="s">
        <v>74</v>
      </c>
      <c r="BH1902" t="s">
        <v>74</v>
      </c>
      <c r="BI1902" t="s">
        <v>74</v>
      </c>
      <c r="BJ1902" t="s">
        <v>267</v>
      </c>
      <c r="BK1902" t="s">
        <v>117</v>
      </c>
      <c r="BL1902" t="s">
        <v>267</v>
      </c>
      <c r="BM1902" t="s">
        <v>74</v>
      </c>
      <c r="BN1902">
        <v>33879557</v>
      </c>
      <c r="BO1902" t="s">
        <v>74</v>
      </c>
      <c r="BP1902" t="s">
        <v>74</v>
      </c>
      <c r="BQ1902" t="s">
        <v>74</v>
      </c>
      <c r="BR1902" t="s">
        <v>96</v>
      </c>
      <c r="BS1902" t="s">
        <v>29590</v>
      </c>
      <c r="BT1902" t="str">
        <f>HYPERLINK("https%3A%2F%2Fwww.webofscience.com%2Fwos%2Fwoscc%2Ffull-record%2FWOS:000670554300007","View Full Record in Web of Science")</f>
        <v>View Full Record in Web of Science</v>
      </c>
    </row>
    <row r="1903" spans="1:72" x14ac:dyDescent="0.15">
      <c r="A1903" t="s">
        <v>98</v>
      </c>
      <c r="B1903" t="s">
        <v>29654</v>
      </c>
      <c r="C1903" t="s">
        <v>74</v>
      </c>
      <c r="D1903" t="s">
        <v>74</v>
      </c>
      <c r="E1903" t="s">
        <v>74</v>
      </c>
      <c r="F1903" t="s">
        <v>29655</v>
      </c>
      <c r="G1903" t="s">
        <v>74</v>
      </c>
      <c r="H1903" t="s">
        <v>74</v>
      </c>
      <c r="I1903" t="s">
        <v>29656</v>
      </c>
      <c r="J1903" t="s">
        <v>29657</v>
      </c>
      <c r="K1903" t="s">
        <v>74</v>
      </c>
      <c r="L1903" t="s">
        <v>74</v>
      </c>
      <c r="M1903" t="s">
        <v>74</v>
      </c>
      <c r="N1903" t="s">
        <v>103</v>
      </c>
      <c r="O1903" t="s">
        <v>74</v>
      </c>
      <c r="P1903" t="s">
        <v>74</v>
      </c>
      <c r="Q1903" t="s">
        <v>74</v>
      </c>
      <c r="R1903" t="s">
        <v>74</v>
      </c>
      <c r="S1903" t="s">
        <v>74</v>
      </c>
      <c r="T1903" t="s">
        <v>29658</v>
      </c>
      <c r="U1903" t="s">
        <v>29659</v>
      </c>
      <c r="V1903" t="s">
        <v>29660</v>
      </c>
      <c r="W1903" t="s">
        <v>29661</v>
      </c>
      <c r="X1903" t="s">
        <v>29662</v>
      </c>
      <c r="Y1903" t="s">
        <v>29663</v>
      </c>
      <c r="Z1903" t="s">
        <v>29664</v>
      </c>
      <c r="AA1903" t="s">
        <v>29665</v>
      </c>
      <c r="AB1903" t="s">
        <v>29666</v>
      </c>
      <c r="AC1903" t="s">
        <v>74</v>
      </c>
      <c r="AD1903" t="s">
        <v>74</v>
      </c>
      <c r="AE1903" t="s">
        <v>74</v>
      </c>
      <c r="AF1903" t="s">
        <v>74</v>
      </c>
      <c r="AG1903">
        <v>67</v>
      </c>
      <c r="AH1903">
        <v>1</v>
      </c>
      <c r="AI1903">
        <v>1</v>
      </c>
      <c r="AJ1903">
        <v>7</v>
      </c>
      <c r="AK1903">
        <v>7</v>
      </c>
      <c r="AL1903" t="s">
        <v>74</v>
      </c>
      <c r="AM1903" t="s">
        <v>74</v>
      </c>
      <c r="AN1903" t="s">
        <v>74</v>
      </c>
      <c r="AO1903" t="s">
        <v>29667</v>
      </c>
      <c r="AP1903" t="s">
        <v>74</v>
      </c>
      <c r="AQ1903" t="s">
        <v>74</v>
      </c>
      <c r="AR1903" t="s">
        <v>74</v>
      </c>
      <c r="AS1903" t="s">
        <v>74</v>
      </c>
      <c r="AT1903" t="s">
        <v>1029</v>
      </c>
      <c r="AU1903">
        <v>2022</v>
      </c>
      <c r="AV1903">
        <v>9</v>
      </c>
      <c r="AW1903">
        <v>13</v>
      </c>
      <c r="AX1903" t="s">
        <v>74</v>
      </c>
      <c r="AY1903" t="s">
        <v>74</v>
      </c>
      <c r="AZ1903" t="s">
        <v>74</v>
      </c>
      <c r="BA1903" t="s">
        <v>74</v>
      </c>
      <c r="BB1903" t="s">
        <v>74</v>
      </c>
      <c r="BC1903" t="s">
        <v>74</v>
      </c>
      <c r="BD1903">
        <v>2102475</v>
      </c>
      <c r="BE1903" t="s">
        <v>29668</v>
      </c>
      <c r="BF1903" t="str">
        <f>HYPERLINK("http://dx.doi.org/10.1002/admi.202102475","http://dx.doi.org/10.1002/admi.202102475")</f>
        <v>http://dx.doi.org/10.1002/admi.202102475</v>
      </c>
      <c r="BG1903" t="s">
        <v>74</v>
      </c>
      <c r="BH1903" t="s">
        <v>6394</v>
      </c>
      <c r="BI1903" t="s">
        <v>74</v>
      </c>
      <c r="BJ1903" t="s">
        <v>7989</v>
      </c>
      <c r="BK1903" t="s">
        <v>117</v>
      </c>
      <c r="BL1903" t="s">
        <v>7990</v>
      </c>
      <c r="BM1903" t="s">
        <v>74</v>
      </c>
      <c r="BN1903" t="s">
        <v>74</v>
      </c>
      <c r="BO1903" t="s">
        <v>74</v>
      </c>
      <c r="BP1903" t="s">
        <v>74</v>
      </c>
      <c r="BQ1903" t="s">
        <v>74</v>
      </c>
      <c r="BR1903" t="s">
        <v>96</v>
      </c>
      <c r="BS1903" t="s">
        <v>29669</v>
      </c>
      <c r="BT1903" t="str">
        <f>HYPERLINK("https%3A%2F%2Fwww.webofscience.com%2Fwos%2Fwoscc%2Ffull-record%2FWOS:000770785800001","View Full Record in Web of Science")</f>
        <v>View Full Record in Web of Science</v>
      </c>
    </row>
    <row r="1904" spans="1:72" x14ac:dyDescent="0.15">
      <c r="A1904" t="s">
        <v>4291</v>
      </c>
      <c r="B1904" t="s">
        <v>29684</v>
      </c>
      <c r="C1904" t="s">
        <v>74</v>
      </c>
      <c r="D1904" t="s">
        <v>29685</v>
      </c>
      <c r="E1904" t="s">
        <v>74</v>
      </c>
      <c r="F1904" t="s">
        <v>29686</v>
      </c>
      <c r="G1904" t="s">
        <v>74</v>
      </c>
      <c r="H1904" t="s">
        <v>74</v>
      </c>
      <c r="I1904" t="s">
        <v>29687</v>
      </c>
      <c r="J1904" t="s">
        <v>29688</v>
      </c>
      <c r="K1904" t="s">
        <v>29689</v>
      </c>
      <c r="L1904" t="s">
        <v>74</v>
      </c>
      <c r="M1904" t="s">
        <v>74</v>
      </c>
      <c r="N1904" t="s">
        <v>80</v>
      </c>
      <c r="O1904" t="s">
        <v>74</v>
      </c>
      <c r="P1904" t="s">
        <v>74</v>
      </c>
      <c r="Q1904" t="s">
        <v>74</v>
      </c>
      <c r="R1904" t="s">
        <v>74</v>
      </c>
      <c r="S1904" t="s">
        <v>74</v>
      </c>
      <c r="T1904" t="s">
        <v>74</v>
      </c>
      <c r="U1904" t="s">
        <v>29690</v>
      </c>
      <c r="V1904" t="s">
        <v>74</v>
      </c>
      <c r="W1904" t="s">
        <v>29691</v>
      </c>
      <c r="X1904" t="s">
        <v>29692</v>
      </c>
      <c r="Y1904" t="s">
        <v>29693</v>
      </c>
      <c r="Z1904" t="s">
        <v>74</v>
      </c>
      <c r="AA1904" t="s">
        <v>74</v>
      </c>
      <c r="AB1904" t="s">
        <v>74</v>
      </c>
      <c r="AC1904" t="s">
        <v>74</v>
      </c>
      <c r="AD1904" t="s">
        <v>74</v>
      </c>
      <c r="AE1904" t="s">
        <v>74</v>
      </c>
      <c r="AF1904" t="s">
        <v>74</v>
      </c>
      <c r="AG1904">
        <v>276</v>
      </c>
      <c r="AH1904">
        <v>1</v>
      </c>
      <c r="AI1904">
        <v>1</v>
      </c>
      <c r="AJ1904">
        <v>0</v>
      </c>
      <c r="AK1904">
        <v>0</v>
      </c>
      <c r="AL1904" t="s">
        <v>74</v>
      </c>
      <c r="AM1904" t="s">
        <v>74</v>
      </c>
      <c r="AN1904" t="s">
        <v>74</v>
      </c>
      <c r="AO1904" t="s">
        <v>74</v>
      </c>
      <c r="AP1904" t="s">
        <v>74</v>
      </c>
      <c r="AQ1904" t="s">
        <v>29694</v>
      </c>
      <c r="AR1904" t="s">
        <v>74</v>
      </c>
      <c r="AS1904" t="s">
        <v>74</v>
      </c>
      <c r="AT1904" t="s">
        <v>74</v>
      </c>
      <c r="AU1904">
        <v>2019</v>
      </c>
      <c r="AV1904">
        <v>15</v>
      </c>
      <c r="AW1904" t="s">
        <v>74</v>
      </c>
      <c r="AX1904" t="s">
        <v>74</v>
      </c>
      <c r="AY1904" t="s">
        <v>74</v>
      </c>
      <c r="AZ1904" t="s">
        <v>74</v>
      </c>
      <c r="BA1904" t="s">
        <v>74</v>
      </c>
      <c r="BB1904">
        <v>85</v>
      </c>
      <c r="BC1904">
        <v>116</v>
      </c>
      <c r="BD1904" t="s">
        <v>74</v>
      </c>
      <c r="BE1904" t="s">
        <v>29695</v>
      </c>
      <c r="BF1904" t="str">
        <f>HYPERLINK("http://dx.doi.org/10.1016/B978-0-12-814259-2.00005-4","http://dx.doi.org/10.1016/B978-0-12-814259-2.00005-4")</f>
        <v>http://dx.doi.org/10.1016/B978-0-12-814259-2.00005-4</v>
      </c>
      <c r="BG1904" t="s">
        <v>29696</v>
      </c>
      <c r="BH1904" t="s">
        <v>74</v>
      </c>
      <c r="BI1904" t="s">
        <v>74</v>
      </c>
      <c r="BJ1904" t="s">
        <v>285</v>
      </c>
      <c r="BK1904" t="s">
        <v>94</v>
      </c>
      <c r="BL1904" t="s">
        <v>285</v>
      </c>
      <c r="BM1904" t="s">
        <v>74</v>
      </c>
      <c r="BN1904" t="s">
        <v>74</v>
      </c>
      <c r="BO1904" t="s">
        <v>74</v>
      </c>
      <c r="BP1904" t="s">
        <v>74</v>
      </c>
      <c r="BQ1904" t="s">
        <v>74</v>
      </c>
      <c r="BR1904" t="s">
        <v>96</v>
      </c>
      <c r="BS1904" t="s">
        <v>29697</v>
      </c>
      <c r="BT1904" t="str">
        <f>HYPERLINK("https%3A%2F%2Fwww.webofscience.com%2Fwos%2Fwoscc%2Ffull-record%2FWOS:000538759300004","View Full Record in Web of Science")</f>
        <v>View Full Record in Web of Science</v>
      </c>
    </row>
    <row r="1905" spans="1:72" x14ac:dyDescent="0.15">
      <c r="A1905" t="s">
        <v>98</v>
      </c>
      <c r="B1905" t="s">
        <v>29922</v>
      </c>
      <c r="C1905" t="s">
        <v>74</v>
      </c>
      <c r="D1905" t="s">
        <v>74</v>
      </c>
      <c r="E1905" t="s">
        <v>74</v>
      </c>
      <c r="F1905" t="s">
        <v>29923</v>
      </c>
      <c r="G1905" t="s">
        <v>74</v>
      </c>
      <c r="H1905" t="s">
        <v>74</v>
      </c>
      <c r="I1905" t="s">
        <v>29924</v>
      </c>
      <c r="J1905" t="s">
        <v>1712</v>
      </c>
      <c r="K1905" t="s">
        <v>74</v>
      </c>
      <c r="L1905" t="s">
        <v>74</v>
      </c>
      <c r="M1905" t="s">
        <v>74</v>
      </c>
      <c r="N1905" t="s">
        <v>103</v>
      </c>
      <c r="O1905" t="s">
        <v>74</v>
      </c>
      <c r="P1905" t="s">
        <v>74</v>
      </c>
      <c r="Q1905" t="s">
        <v>74</v>
      </c>
      <c r="R1905" t="s">
        <v>74</v>
      </c>
      <c r="S1905" t="s">
        <v>74</v>
      </c>
      <c r="T1905" t="s">
        <v>74</v>
      </c>
      <c r="U1905" t="s">
        <v>29925</v>
      </c>
      <c r="V1905" t="s">
        <v>29926</v>
      </c>
      <c r="W1905" t="s">
        <v>29927</v>
      </c>
      <c r="X1905" t="s">
        <v>29928</v>
      </c>
      <c r="Y1905" t="s">
        <v>29929</v>
      </c>
      <c r="Z1905" t="s">
        <v>29930</v>
      </c>
      <c r="AA1905" t="s">
        <v>29931</v>
      </c>
      <c r="AB1905" t="s">
        <v>29932</v>
      </c>
      <c r="AC1905" t="s">
        <v>74</v>
      </c>
      <c r="AD1905" t="s">
        <v>74</v>
      </c>
      <c r="AE1905" t="s">
        <v>74</v>
      </c>
      <c r="AF1905" t="s">
        <v>74</v>
      </c>
      <c r="AG1905">
        <v>196</v>
      </c>
      <c r="AH1905">
        <v>1</v>
      </c>
      <c r="AI1905">
        <v>1</v>
      </c>
      <c r="AJ1905">
        <v>12</v>
      </c>
      <c r="AK1905">
        <v>13</v>
      </c>
      <c r="AL1905" t="s">
        <v>74</v>
      </c>
      <c r="AM1905" t="s">
        <v>74</v>
      </c>
      <c r="AN1905" t="s">
        <v>74</v>
      </c>
      <c r="AO1905" t="s">
        <v>1722</v>
      </c>
      <c r="AP1905" t="s">
        <v>1723</v>
      </c>
      <c r="AQ1905" t="s">
        <v>74</v>
      </c>
      <c r="AR1905" t="s">
        <v>74</v>
      </c>
      <c r="AS1905" t="s">
        <v>74</v>
      </c>
      <c r="AT1905" t="s">
        <v>15814</v>
      </c>
      <c r="AU1905">
        <v>2021</v>
      </c>
      <c r="AV1905">
        <v>15</v>
      </c>
      <c r="AW1905">
        <v>11</v>
      </c>
      <c r="AX1905" t="s">
        <v>74</v>
      </c>
      <c r="AY1905" t="s">
        <v>74</v>
      </c>
      <c r="AZ1905" t="s">
        <v>74</v>
      </c>
      <c r="BA1905" t="s">
        <v>74</v>
      </c>
      <c r="BB1905">
        <v>16957</v>
      </c>
      <c r="BC1905">
        <v>16973</v>
      </c>
      <c r="BD1905" t="s">
        <v>74</v>
      </c>
      <c r="BE1905" t="s">
        <v>29933</v>
      </c>
      <c r="BF1905" t="str">
        <f>HYPERLINK("http://dx.doi.org/10.1021/acsnano.0c10240","http://dx.doi.org/10.1021/acsnano.0c10240")</f>
        <v>http://dx.doi.org/10.1021/acsnano.0c10240</v>
      </c>
      <c r="BG1905" t="s">
        <v>74</v>
      </c>
      <c r="BH1905" t="s">
        <v>74</v>
      </c>
      <c r="BI1905" t="s">
        <v>74</v>
      </c>
      <c r="BJ1905" t="s">
        <v>1725</v>
      </c>
      <c r="BK1905" t="s">
        <v>117</v>
      </c>
      <c r="BL1905" t="s">
        <v>1275</v>
      </c>
      <c r="BM1905" t="s">
        <v>74</v>
      </c>
      <c r="BN1905">
        <v>34677049</v>
      </c>
      <c r="BO1905" t="s">
        <v>74</v>
      </c>
      <c r="BP1905" t="s">
        <v>74</v>
      </c>
      <c r="BQ1905" t="s">
        <v>74</v>
      </c>
      <c r="BR1905" t="s">
        <v>96</v>
      </c>
      <c r="BS1905" t="s">
        <v>29934</v>
      </c>
      <c r="BT1905" t="str">
        <f>HYPERLINK("https%3A%2F%2Fwww.webofscience.com%2Fwos%2Fwoscc%2Ffull-record%2FWOS:000747115200002","View Full Record in Web of Science")</f>
        <v>View Full Record in Web of Science</v>
      </c>
    </row>
    <row r="1906" spans="1:72" x14ac:dyDescent="0.15">
      <c r="A1906" t="s">
        <v>4291</v>
      </c>
      <c r="B1906" t="s">
        <v>29565</v>
      </c>
      <c r="C1906" t="s">
        <v>74</v>
      </c>
      <c r="D1906" t="s">
        <v>30369</v>
      </c>
      <c r="E1906" t="s">
        <v>74</v>
      </c>
      <c r="F1906" t="s">
        <v>29566</v>
      </c>
      <c r="G1906" t="s">
        <v>74</v>
      </c>
      <c r="H1906" t="s">
        <v>74</v>
      </c>
      <c r="I1906" t="s">
        <v>30370</v>
      </c>
      <c r="J1906" t="s">
        <v>30371</v>
      </c>
      <c r="K1906" t="s">
        <v>74</v>
      </c>
      <c r="L1906" t="s">
        <v>74</v>
      </c>
      <c r="M1906" t="s">
        <v>74</v>
      </c>
      <c r="N1906" t="s">
        <v>80</v>
      </c>
      <c r="O1906" t="s">
        <v>74</v>
      </c>
      <c r="P1906" t="s">
        <v>74</v>
      </c>
      <c r="Q1906" t="s">
        <v>74</v>
      </c>
      <c r="R1906" t="s">
        <v>74</v>
      </c>
      <c r="S1906" t="s">
        <v>74</v>
      </c>
      <c r="T1906" t="s">
        <v>74</v>
      </c>
      <c r="U1906" t="s">
        <v>30372</v>
      </c>
      <c r="V1906" t="s">
        <v>74</v>
      </c>
      <c r="W1906" t="s">
        <v>30373</v>
      </c>
      <c r="X1906" t="s">
        <v>21755</v>
      </c>
      <c r="Y1906" t="s">
        <v>30374</v>
      </c>
      <c r="Z1906" t="s">
        <v>74</v>
      </c>
      <c r="AA1906" t="s">
        <v>74</v>
      </c>
      <c r="AB1906" t="s">
        <v>74</v>
      </c>
      <c r="AC1906" t="s">
        <v>74</v>
      </c>
      <c r="AD1906" t="s">
        <v>74</v>
      </c>
      <c r="AE1906" t="s">
        <v>74</v>
      </c>
      <c r="AF1906" t="s">
        <v>74</v>
      </c>
      <c r="AG1906">
        <v>64</v>
      </c>
      <c r="AH1906">
        <v>1</v>
      </c>
      <c r="AI1906">
        <v>1</v>
      </c>
      <c r="AJ1906">
        <v>0</v>
      </c>
      <c r="AK1906">
        <v>1</v>
      </c>
      <c r="AL1906" t="s">
        <v>74</v>
      </c>
      <c r="AM1906" t="s">
        <v>74</v>
      </c>
      <c r="AN1906" t="s">
        <v>74</v>
      </c>
      <c r="AO1906" t="s">
        <v>74</v>
      </c>
      <c r="AP1906" t="s">
        <v>74</v>
      </c>
      <c r="AQ1906" t="s">
        <v>30375</v>
      </c>
      <c r="AR1906" t="s">
        <v>74</v>
      </c>
      <c r="AS1906" t="s">
        <v>74</v>
      </c>
      <c r="AT1906" t="s">
        <v>74</v>
      </c>
      <c r="AU1906">
        <v>2014</v>
      </c>
      <c r="AV1906" t="s">
        <v>74</v>
      </c>
      <c r="AW1906" t="s">
        <v>74</v>
      </c>
      <c r="AX1906" t="s">
        <v>74</v>
      </c>
      <c r="AY1906" t="s">
        <v>74</v>
      </c>
      <c r="AZ1906" t="s">
        <v>74</v>
      </c>
      <c r="BA1906" t="s">
        <v>74</v>
      </c>
      <c r="BB1906">
        <v>49</v>
      </c>
      <c r="BC1906">
        <v>59</v>
      </c>
      <c r="BD1906" t="s">
        <v>74</v>
      </c>
      <c r="BE1906" t="s">
        <v>74</v>
      </c>
      <c r="BF1906" t="s">
        <v>74</v>
      </c>
      <c r="BG1906" t="s">
        <v>74</v>
      </c>
      <c r="BH1906" t="s">
        <v>74</v>
      </c>
      <c r="BI1906" t="s">
        <v>74</v>
      </c>
      <c r="BJ1906" t="s">
        <v>30376</v>
      </c>
      <c r="BK1906" t="s">
        <v>94</v>
      </c>
      <c r="BL1906" t="s">
        <v>30377</v>
      </c>
      <c r="BM1906" t="s">
        <v>74</v>
      </c>
      <c r="BN1906" t="s">
        <v>74</v>
      </c>
      <c r="BO1906" t="s">
        <v>74</v>
      </c>
      <c r="BP1906" t="s">
        <v>74</v>
      </c>
      <c r="BQ1906" t="s">
        <v>74</v>
      </c>
      <c r="BR1906" t="s">
        <v>96</v>
      </c>
      <c r="BS1906" t="s">
        <v>30378</v>
      </c>
      <c r="BT1906" t="str">
        <f>HYPERLINK("https%3A%2F%2Fwww.webofscience.com%2Fwos%2Fwoscc%2Ffull-record%2FWOS:000332802500004","View Full Record in Web of Science")</f>
        <v>View Full Record in Web of Science</v>
      </c>
    </row>
    <row r="1907" spans="1:72" x14ac:dyDescent="0.15">
      <c r="A1907" t="s">
        <v>72</v>
      </c>
      <c r="B1907" t="s">
        <v>359</v>
      </c>
      <c r="C1907" t="s">
        <v>74</v>
      </c>
      <c r="D1907" t="s">
        <v>360</v>
      </c>
      <c r="E1907" t="s">
        <v>74</v>
      </c>
      <c r="F1907" t="s">
        <v>361</v>
      </c>
      <c r="G1907" t="s">
        <v>74</v>
      </c>
      <c r="H1907" t="s">
        <v>74</v>
      </c>
      <c r="I1907" t="s">
        <v>362</v>
      </c>
      <c r="J1907" t="s">
        <v>363</v>
      </c>
      <c r="K1907" t="s">
        <v>79</v>
      </c>
      <c r="L1907" t="s">
        <v>74</v>
      </c>
      <c r="M1907" t="s">
        <v>74</v>
      </c>
      <c r="N1907" t="s">
        <v>80</v>
      </c>
      <c r="O1907" t="s">
        <v>74</v>
      </c>
      <c r="P1907" t="s">
        <v>74</v>
      </c>
      <c r="Q1907" t="s">
        <v>74</v>
      </c>
      <c r="R1907" t="s">
        <v>74</v>
      </c>
      <c r="S1907" t="s">
        <v>74</v>
      </c>
      <c r="T1907" t="s">
        <v>364</v>
      </c>
      <c r="U1907" t="s">
        <v>365</v>
      </c>
      <c r="V1907" t="s">
        <v>366</v>
      </c>
      <c r="W1907" t="s">
        <v>367</v>
      </c>
      <c r="X1907" t="s">
        <v>368</v>
      </c>
      <c r="Y1907" t="s">
        <v>369</v>
      </c>
      <c r="Z1907" t="s">
        <v>74</v>
      </c>
      <c r="AA1907" t="s">
        <v>370</v>
      </c>
      <c r="AB1907" t="s">
        <v>371</v>
      </c>
      <c r="AC1907" t="s">
        <v>74</v>
      </c>
      <c r="AD1907" t="s">
        <v>74</v>
      </c>
      <c r="AE1907" t="s">
        <v>74</v>
      </c>
      <c r="AF1907" t="s">
        <v>74</v>
      </c>
      <c r="AG1907">
        <v>53</v>
      </c>
      <c r="AH1907">
        <v>0</v>
      </c>
      <c r="AI1907">
        <v>0</v>
      </c>
      <c r="AJ1907">
        <v>2</v>
      </c>
      <c r="AK1907">
        <v>3</v>
      </c>
      <c r="AL1907" t="s">
        <v>74</v>
      </c>
      <c r="AM1907" t="s">
        <v>74</v>
      </c>
      <c r="AN1907" t="s">
        <v>74</v>
      </c>
      <c r="AO1907" t="s">
        <v>88</v>
      </c>
      <c r="AP1907" t="s">
        <v>89</v>
      </c>
      <c r="AQ1907" t="s">
        <v>372</v>
      </c>
      <c r="AR1907" t="s">
        <v>74</v>
      </c>
      <c r="AS1907" t="s">
        <v>74</v>
      </c>
      <c r="AT1907" t="s">
        <v>74</v>
      </c>
      <c r="AU1907">
        <v>2021</v>
      </c>
      <c r="AV1907">
        <v>2265</v>
      </c>
      <c r="AW1907" t="s">
        <v>74</v>
      </c>
      <c r="AX1907" t="s">
        <v>74</v>
      </c>
      <c r="AY1907" t="s">
        <v>74</v>
      </c>
      <c r="AZ1907" t="s">
        <v>74</v>
      </c>
      <c r="BA1907" t="s">
        <v>74</v>
      </c>
      <c r="BB1907">
        <v>345</v>
      </c>
      <c r="BC1907">
        <v>359</v>
      </c>
      <c r="BD1907" t="s">
        <v>74</v>
      </c>
      <c r="BE1907" t="s">
        <v>373</v>
      </c>
      <c r="BF1907" t="str">
        <f>HYPERLINK("http://dx.doi.org/10.1007/978-1-0716-1205-7_25","http://dx.doi.org/10.1007/978-1-0716-1205-7_25")</f>
        <v>http://dx.doi.org/10.1007/978-1-0716-1205-7_25</v>
      </c>
      <c r="BG1907" t="s">
        <v>374</v>
      </c>
      <c r="BH1907" t="s">
        <v>74</v>
      </c>
      <c r="BI1907" t="s">
        <v>74</v>
      </c>
      <c r="BJ1907" t="s">
        <v>375</v>
      </c>
      <c r="BK1907" t="s">
        <v>94</v>
      </c>
      <c r="BL1907" t="s">
        <v>376</v>
      </c>
      <c r="BM1907" t="s">
        <v>74</v>
      </c>
      <c r="BN1907">
        <v>33704726</v>
      </c>
      <c r="BO1907" t="s">
        <v>74</v>
      </c>
      <c r="BP1907" t="s">
        <v>74</v>
      </c>
      <c r="BQ1907" t="s">
        <v>74</v>
      </c>
      <c r="BR1907" t="s">
        <v>96</v>
      </c>
      <c r="BS1907" t="s">
        <v>377</v>
      </c>
      <c r="BT1907" t="str">
        <f>HYPERLINK("https%3A%2F%2Fwww.webofscience.com%2Fwos%2Fwoscc%2Ffull-record%2FWOS:000685158600026","View Full Record in Web of Science")</f>
        <v>View Full Record in Web of Science</v>
      </c>
    </row>
    <row r="1908" spans="1:72" x14ac:dyDescent="0.15">
      <c r="A1908" t="s">
        <v>98</v>
      </c>
      <c r="B1908" t="s">
        <v>399</v>
      </c>
      <c r="C1908" t="s">
        <v>74</v>
      </c>
      <c r="D1908" t="s">
        <v>74</v>
      </c>
      <c r="E1908" t="s">
        <v>74</v>
      </c>
      <c r="F1908" t="s">
        <v>400</v>
      </c>
      <c r="G1908" t="s">
        <v>74</v>
      </c>
      <c r="H1908" t="s">
        <v>74</v>
      </c>
      <c r="I1908" t="s">
        <v>401</v>
      </c>
      <c r="J1908" t="s">
        <v>402</v>
      </c>
      <c r="K1908" t="s">
        <v>74</v>
      </c>
      <c r="L1908" t="s">
        <v>74</v>
      </c>
      <c r="M1908" t="s">
        <v>74</v>
      </c>
      <c r="N1908" t="s">
        <v>103</v>
      </c>
      <c r="O1908" t="s">
        <v>74</v>
      </c>
      <c r="P1908" t="s">
        <v>74</v>
      </c>
      <c r="Q1908" t="s">
        <v>74</v>
      </c>
      <c r="R1908" t="s">
        <v>74</v>
      </c>
      <c r="S1908" t="s">
        <v>74</v>
      </c>
      <c r="T1908" t="s">
        <v>403</v>
      </c>
      <c r="U1908" t="s">
        <v>404</v>
      </c>
      <c r="V1908" t="s">
        <v>405</v>
      </c>
      <c r="W1908" t="s">
        <v>406</v>
      </c>
      <c r="X1908" t="s">
        <v>407</v>
      </c>
      <c r="Y1908" t="s">
        <v>408</v>
      </c>
      <c r="Z1908" t="s">
        <v>409</v>
      </c>
      <c r="AA1908" t="s">
        <v>74</v>
      </c>
      <c r="AB1908" t="s">
        <v>74</v>
      </c>
      <c r="AC1908" t="s">
        <v>74</v>
      </c>
      <c r="AD1908" t="s">
        <v>74</v>
      </c>
      <c r="AE1908" t="s">
        <v>74</v>
      </c>
      <c r="AF1908" t="s">
        <v>74</v>
      </c>
      <c r="AG1908">
        <v>39</v>
      </c>
      <c r="AH1908">
        <v>0</v>
      </c>
      <c r="AI1908">
        <v>0</v>
      </c>
      <c r="AJ1908">
        <v>0</v>
      </c>
      <c r="AK1908">
        <v>11</v>
      </c>
      <c r="AL1908" t="s">
        <v>74</v>
      </c>
      <c r="AM1908" t="s">
        <v>74</v>
      </c>
      <c r="AN1908" t="s">
        <v>74</v>
      </c>
      <c r="AO1908" t="s">
        <v>410</v>
      </c>
      <c r="AP1908" t="s">
        <v>411</v>
      </c>
      <c r="AQ1908" t="s">
        <v>74</v>
      </c>
      <c r="AR1908" t="s">
        <v>74</v>
      </c>
      <c r="AS1908" t="s">
        <v>74</v>
      </c>
      <c r="AT1908" t="s">
        <v>74</v>
      </c>
      <c r="AU1908">
        <v>2018</v>
      </c>
      <c r="AV1908">
        <v>45</v>
      </c>
      <c r="AW1908">
        <v>1</v>
      </c>
      <c r="AX1908" t="s">
        <v>74</v>
      </c>
      <c r="AY1908" t="s">
        <v>74</v>
      </c>
      <c r="AZ1908" t="s">
        <v>74</v>
      </c>
      <c r="BA1908" t="s">
        <v>74</v>
      </c>
      <c r="BB1908">
        <v>63</v>
      </c>
      <c r="BC1908">
        <v>76</v>
      </c>
      <c r="BD1908" t="s">
        <v>74</v>
      </c>
      <c r="BE1908" t="s">
        <v>74</v>
      </c>
      <c r="BF1908" t="s">
        <v>74</v>
      </c>
      <c r="BG1908" t="s">
        <v>74</v>
      </c>
      <c r="BH1908" t="s">
        <v>74</v>
      </c>
      <c r="BI1908" t="s">
        <v>74</v>
      </c>
      <c r="BJ1908" t="s">
        <v>412</v>
      </c>
      <c r="BK1908" t="s">
        <v>117</v>
      </c>
      <c r="BL1908" t="s">
        <v>413</v>
      </c>
      <c r="BM1908" t="s">
        <v>74</v>
      </c>
      <c r="BN1908" t="s">
        <v>74</v>
      </c>
      <c r="BO1908" t="s">
        <v>74</v>
      </c>
      <c r="BP1908" t="s">
        <v>74</v>
      </c>
      <c r="BQ1908" t="s">
        <v>74</v>
      </c>
      <c r="BR1908" t="s">
        <v>96</v>
      </c>
      <c r="BS1908" t="s">
        <v>414</v>
      </c>
      <c r="BT1908" t="str">
        <f>HYPERLINK("https%3A%2F%2Fwww.webofscience.com%2Fwos%2Fwoscc%2Ffull-record%2FWOS:000458229300004","View Full Record in Web of Science")</f>
        <v>View Full Record in Web of Science</v>
      </c>
    </row>
    <row r="1909" spans="1:72" x14ac:dyDescent="0.15">
      <c r="A1909" t="s">
        <v>72</v>
      </c>
      <c r="B1909" t="s">
        <v>481</v>
      </c>
      <c r="C1909" t="s">
        <v>74</v>
      </c>
      <c r="D1909" t="s">
        <v>482</v>
      </c>
      <c r="E1909" t="s">
        <v>74</v>
      </c>
      <c r="F1909" t="s">
        <v>483</v>
      </c>
      <c r="G1909" t="s">
        <v>74</v>
      </c>
      <c r="H1909" t="s">
        <v>74</v>
      </c>
      <c r="I1909" t="s">
        <v>484</v>
      </c>
      <c r="J1909" t="s">
        <v>485</v>
      </c>
      <c r="K1909" t="s">
        <v>79</v>
      </c>
      <c r="L1909" t="s">
        <v>74</v>
      </c>
      <c r="M1909" t="s">
        <v>74</v>
      </c>
      <c r="N1909" t="s">
        <v>80</v>
      </c>
      <c r="O1909" t="s">
        <v>74</v>
      </c>
      <c r="P1909" t="s">
        <v>74</v>
      </c>
      <c r="Q1909" t="s">
        <v>74</v>
      </c>
      <c r="R1909" t="s">
        <v>74</v>
      </c>
      <c r="S1909" t="s">
        <v>74</v>
      </c>
      <c r="T1909" t="s">
        <v>486</v>
      </c>
      <c r="U1909" t="s">
        <v>487</v>
      </c>
      <c r="V1909" t="s">
        <v>488</v>
      </c>
      <c r="W1909" t="s">
        <v>489</v>
      </c>
      <c r="X1909" t="s">
        <v>490</v>
      </c>
      <c r="Y1909" t="s">
        <v>491</v>
      </c>
      <c r="Z1909" t="s">
        <v>74</v>
      </c>
      <c r="AA1909" t="s">
        <v>492</v>
      </c>
      <c r="AB1909" t="s">
        <v>493</v>
      </c>
      <c r="AC1909" t="s">
        <v>74</v>
      </c>
      <c r="AD1909" t="s">
        <v>74</v>
      </c>
      <c r="AE1909" t="s">
        <v>74</v>
      </c>
      <c r="AF1909" t="s">
        <v>74</v>
      </c>
      <c r="AG1909">
        <v>11</v>
      </c>
      <c r="AH1909">
        <v>0</v>
      </c>
      <c r="AI1909">
        <v>0</v>
      </c>
      <c r="AJ1909">
        <v>0</v>
      </c>
      <c r="AK1909">
        <v>6</v>
      </c>
      <c r="AL1909" t="s">
        <v>74</v>
      </c>
      <c r="AM1909" t="s">
        <v>74</v>
      </c>
      <c r="AN1909" t="s">
        <v>74</v>
      </c>
      <c r="AO1909" t="s">
        <v>88</v>
      </c>
      <c r="AP1909" t="s">
        <v>89</v>
      </c>
      <c r="AQ1909" t="s">
        <v>494</v>
      </c>
      <c r="AR1909" t="s">
        <v>74</v>
      </c>
      <c r="AS1909" t="s">
        <v>74</v>
      </c>
      <c r="AT1909" t="s">
        <v>74</v>
      </c>
      <c r="AU1909">
        <v>2017</v>
      </c>
      <c r="AV1909">
        <v>1660</v>
      </c>
      <c r="AW1909" t="s">
        <v>74</v>
      </c>
      <c r="AX1909" t="s">
        <v>74</v>
      </c>
      <c r="AY1909" t="s">
        <v>74</v>
      </c>
      <c r="AZ1909" t="s">
        <v>74</v>
      </c>
      <c r="BA1909" t="s">
        <v>74</v>
      </c>
      <c r="BB1909">
        <v>397</v>
      </c>
      <c r="BC1909">
        <v>406</v>
      </c>
      <c r="BD1909" t="s">
        <v>74</v>
      </c>
      <c r="BE1909" t="s">
        <v>495</v>
      </c>
      <c r="BF1909" t="str">
        <f>HYPERLINK("http://dx.doi.org/10.1007/978-1-4939-7253-1_33","http://dx.doi.org/10.1007/978-1-4939-7253-1_33")</f>
        <v>http://dx.doi.org/10.1007/978-1-4939-7253-1_33</v>
      </c>
      <c r="BG1909" t="s">
        <v>496</v>
      </c>
      <c r="BH1909" t="s">
        <v>74</v>
      </c>
      <c r="BI1909" t="s">
        <v>74</v>
      </c>
      <c r="BJ1909" t="s">
        <v>497</v>
      </c>
      <c r="BK1909" t="s">
        <v>94</v>
      </c>
      <c r="BL1909" t="s">
        <v>498</v>
      </c>
      <c r="BM1909" t="s">
        <v>74</v>
      </c>
      <c r="BN1909">
        <v>28828675</v>
      </c>
      <c r="BO1909" t="s">
        <v>74</v>
      </c>
      <c r="BP1909" t="s">
        <v>74</v>
      </c>
      <c r="BQ1909" t="s">
        <v>74</v>
      </c>
      <c r="BR1909" t="s">
        <v>96</v>
      </c>
      <c r="BS1909" t="s">
        <v>499</v>
      </c>
      <c r="BT1909" t="str">
        <f>HYPERLINK("https%3A%2F%2Fwww.webofscience.com%2Fwos%2Fwoscc%2Ffull-record%2FWOS:000429457100034","View Full Record in Web of Science")</f>
        <v>View Full Record in Web of Science</v>
      </c>
    </row>
    <row r="1910" spans="1:72" x14ac:dyDescent="0.15">
      <c r="A1910" t="s">
        <v>98</v>
      </c>
      <c r="B1910" t="s">
        <v>779</v>
      </c>
      <c r="C1910" t="s">
        <v>74</v>
      </c>
      <c r="D1910" t="s">
        <v>74</v>
      </c>
      <c r="E1910" t="s">
        <v>74</v>
      </c>
      <c r="F1910" t="s">
        <v>780</v>
      </c>
      <c r="G1910" t="s">
        <v>74</v>
      </c>
      <c r="H1910" t="s">
        <v>74</v>
      </c>
      <c r="I1910" t="s">
        <v>781</v>
      </c>
      <c r="J1910" t="s">
        <v>782</v>
      </c>
      <c r="K1910" t="s">
        <v>74</v>
      </c>
      <c r="L1910" t="s">
        <v>74</v>
      </c>
      <c r="M1910" t="s">
        <v>74</v>
      </c>
      <c r="N1910" t="s">
        <v>103</v>
      </c>
      <c r="O1910" t="s">
        <v>74</v>
      </c>
      <c r="P1910" t="s">
        <v>74</v>
      </c>
      <c r="Q1910" t="s">
        <v>74</v>
      </c>
      <c r="R1910" t="s">
        <v>74</v>
      </c>
      <c r="S1910" t="s">
        <v>74</v>
      </c>
      <c r="T1910" t="s">
        <v>783</v>
      </c>
      <c r="U1910" t="s">
        <v>784</v>
      </c>
      <c r="V1910" t="s">
        <v>785</v>
      </c>
      <c r="W1910" t="s">
        <v>786</v>
      </c>
      <c r="X1910" t="s">
        <v>787</v>
      </c>
      <c r="Y1910" t="s">
        <v>788</v>
      </c>
      <c r="Z1910" t="s">
        <v>789</v>
      </c>
      <c r="AA1910" t="s">
        <v>790</v>
      </c>
      <c r="AB1910" t="s">
        <v>791</v>
      </c>
      <c r="AC1910" t="s">
        <v>74</v>
      </c>
      <c r="AD1910" t="s">
        <v>74</v>
      </c>
      <c r="AE1910" t="s">
        <v>74</v>
      </c>
      <c r="AF1910" t="s">
        <v>74</v>
      </c>
      <c r="AG1910">
        <v>96</v>
      </c>
      <c r="AH1910">
        <v>0</v>
      </c>
      <c r="AI1910">
        <v>0</v>
      </c>
      <c r="AJ1910">
        <v>1</v>
      </c>
      <c r="AK1910">
        <v>2</v>
      </c>
      <c r="AL1910" t="s">
        <v>74</v>
      </c>
      <c r="AM1910" t="s">
        <v>74</v>
      </c>
      <c r="AN1910" t="s">
        <v>74</v>
      </c>
      <c r="AO1910" t="s">
        <v>792</v>
      </c>
      <c r="AP1910" t="s">
        <v>793</v>
      </c>
      <c r="AQ1910" t="s">
        <v>74</v>
      </c>
      <c r="AR1910" t="s">
        <v>74</v>
      </c>
      <c r="AS1910" t="s">
        <v>74</v>
      </c>
      <c r="AT1910" t="s">
        <v>230</v>
      </c>
      <c r="AU1910">
        <v>2020</v>
      </c>
      <c r="AV1910">
        <v>141</v>
      </c>
      <c r="AW1910" t="s">
        <v>74</v>
      </c>
      <c r="AX1910" t="s">
        <v>74</v>
      </c>
      <c r="AY1910" t="s">
        <v>74</v>
      </c>
      <c r="AZ1910" t="s">
        <v>74</v>
      </c>
      <c r="BA1910" t="s">
        <v>74</v>
      </c>
      <c r="BB1910" t="s">
        <v>74</v>
      </c>
      <c r="BC1910" t="s">
        <v>74</v>
      </c>
      <c r="BD1910">
        <v>109721</v>
      </c>
      <c r="BE1910" t="s">
        <v>794</v>
      </c>
      <c r="BF1910" t="str">
        <f>HYPERLINK("http://dx.doi.org/10.1016/j.mehy.2020.109721","http://dx.doi.org/10.1016/j.mehy.2020.109721")</f>
        <v>http://dx.doi.org/10.1016/j.mehy.2020.109721</v>
      </c>
      <c r="BG1910" t="s">
        <v>74</v>
      </c>
      <c r="BH1910" t="s">
        <v>74</v>
      </c>
      <c r="BI1910" t="s">
        <v>74</v>
      </c>
      <c r="BJ1910" t="s">
        <v>795</v>
      </c>
      <c r="BK1910" t="s">
        <v>117</v>
      </c>
      <c r="BL1910" t="s">
        <v>796</v>
      </c>
      <c r="BM1910" t="s">
        <v>74</v>
      </c>
      <c r="BN1910">
        <v>32289644</v>
      </c>
      <c r="BO1910" t="s">
        <v>74</v>
      </c>
      <c r="BP1910" t="s">
        <v>74</v>
      </c>
      <c r="BQ1910" t="s">
        <v>74</v>
      </c>
      <c r="BR1910" t="s">
        <v>96</v>
      </c>
      <c r="BS1910" t="s">
        <v>797</v>
      </c>
      <c r="BT1910" t="str">
        <f>HYPERLINK("https%3A%2F%2Fwww.webofscience.com%2Fwos%2Fwoscc%2Ffull-record%2FWOS:000542189700006","View Full Record in Web of Science")</f>
        <v>View Full Record in Web of Science</v>
      </c>
    </row>
    <row r="1911" spans="1:72" x14ac:dyDescent="0.15">
      <c r="A1911" t="s">
        <v>98</v>
      </c>
      <c r="B1911" t="s">
        <v>798</v>
      </c>
      <c r="C1911" t="s">
        <v>74</v>
      </c>
      <c r="D1911" t="s">
        <v>74</v>
      </c>
      <c r="E1911" t="s">
        <v>74</v>
      </c>
      <c r="F1911" t="s">
        <v>799</v>
      </c>
      <c r="G1911" t="s">
        <v>74</v>
      </c>
      <c r="H1911" t="s">
        <v>74</v>
      </c>
      <c r="I1911" t="s">
        <v>800</v>
      </c>
      <c r="J1911" t="s">
        <v>801</v>
      </c>
      <c r="K1911" t="s">
        <v>74</v>
      </c>
      <c r="L1911" t="s">
        <v>74</v>
      </c>
      <c r="M1911" t="s">
        <v>74</v>
      </c>
      <c r="N1911" t="s">
        <v>103</v>
      </c>
      <c r="O1911" t="s">
        <v>74</v>
      </c>
      <c r="P1911" t="s">
        <v>74</v>
      </c>
      <c r="Q1911" t="s">
        <v>74</v>
      </c>
      <c r="R1911" t="s">
        <v>74</v>
      </c>
      <c r="S1911" t="s">
        <v>74</v>
      </c>
      <c r="T1911" t="s">
        <v>802</v>
      </c>
      <c r="U1911" t="s">
        <v>803</v>
      </c>
      <c r="V1911" t="s">
        <v>804</v>
      </c>
      <c r="W1911" t="s">
        <v>805</v>
      </c>
      <c r="X1911" t="s">
        <v>806</v>
      </c>
      <c r="Y1911" t="s">
        <v>807</v>
      </c>
      <c r="Z1911" t="s">
        <v>808</v>
      </c>
      <c r="AA1911" t="s">
        <v>74</v>
      </c>
      <c r="AB1911" t="s">
        <v>809</v>
      </c>
      <c r="AC1911" t="s">
        <v>74</v>
      </c>
      <c r="AD1911" t="s">
        <v>74</v>
      </c>
      <c r="AE1911" t="s">
        <v>74</v>
      </c>
      <c r="AF1911" t="s">
        <v>74</v>
      </c>
      <c r="AG1911">
        <v>53</v>
      </c>
      <c r="AH1911">
        <v>0</v>
      </c>
      <c r="AI1911">
        <v>0</v>
      </c>
      <c r="AJ1911">
        <v>0</v>
      </c>
      <c r="AK1911">
        <v>1</v>
      </c>
      <c r="AL1911" t="s">
        <v>74</v>
      </c>
      <c r="AM1911" t="s">
        <v>74</v>
      </c>
      <c r="AN1911" t="s">
        <v>74</v>
      </c>
      <c r="AO1911" t="s">
        <v>74</v>
      </c>
      <c r="AP1911" t="s">
        <v>810</v>
      </c>
      <c r="AQ1911" t="s">
        <v>74</v>
      </c>
      <c r="AR1911" t="s">
        <v>74</v>
      </c>
      <c r="AS1911" t="s">
        <v>74</v>
      </c>
      <c r="AT1911" t="s">
        <v>170</v>
      </c>
      <c r="AU1911">
        <v>2021</v>
      </c>
      <c r="AV1911">
        <v>4</v>
      </c>
      <c r="AW1911">
        <v>2</v>
      </c>
      <c r="AX1911" t="s">
        <v>74</v>
      </c>
      <c r="AY1911" t="s">
        <v>74</v>
      </c>
      <c r="AZ1911" t="s">
        <v>74</v>
      </c>
      <c r="BA1911" t="s">
        <v>74</v>
      </c>
      <c r="BB1911" t="s">
        <v>74</v>
      </c>
      <c r="BC1911" t="s">
        <v>74</v>
      </c>
      <c r="BD1911">
        <v>31</v>
      </c>
      <c r="BE1911" t="s">
        <v>811</v>
      </c>
      <c r="BF1911" t="str">
        <f>HYPERLINK("http://dx.doi.org/10.3390/mps4020031","http://dx.doi.org/10.3390/mps4020031")</f>
        <v>http://dx.doi.org/10.3390/mps4020031</v>
      </c>
      <c r="BG1911" t="s">
        <v>74</v>
      </c>
      <c r="BH1911" t="s">
        <v>74</v>
      </c>
      <c r="BI1911" t="s">
        <v>74</v>
      </c>
      <c r="BJ1911" t="s">
        <v>812</v>
      </c>
      <c r="BK1911" t="s">
        <v>467</v>
      </c>
      <c r="BL1911" t="s">
        <v>95</v>
      </c>
      <c r="BM1911" t="s">
        <v>74</v>
      </c>
      <c r="BN1911">
        <v>34065021</v>
      </c>
      <c r="BO1911" t="s">
        <v>74</v>
      </c>
      <c r="BP1911" t="s">
        <v>74</v>
      </c>
      <c r="BQ1911" t="s">
        <v>74</v>
      </c>
      <c r="BR1911" t="s">
        <v>96</v>
      </c>
      <c r="BS1911" t="s">
        <v>813</v>
      </c>
      <c r="BT1911" t="str">
        <f>HYPERLINK("https%3A%2F%2Fwww.webofscience.com%2Fwos%2Fwoscc%2Ffull-record%2FWOS:000668172100001","View Full Record in Web of Science")</f>
        <v>View Full Record in Web of Science</v>
      </c>
    </row>
    <row r="1912" spans="1:72" x14ac:dyDescent="0.15">
      <c r="A1912" t="s">
        <v>98</v>
      </c>
      <c r="B1912" t="s">
        <v>900</v>
      </c>
      <c r="C1912" t="s">
        <v>74</v>
      </c>
      <c r="D1912" t="s">
        <v>74</v>
      </c>
      <c r="E1912" t="s">
        <v>74</v>
      </c>
      <c r="F1912" t="s">
        <v>901</v>
      </c>
      <c r="G1912" t="s">
        <v>74</v>
      </c>
      <c r="H1912" t="s">
        <v>74</v>
      </c>
      <c r="I1912" t="s">
        <v>902</v>
      </c>
      <c r="J1912" t="s">
        <v>903</v>
      </c>
      <c r="K1912" t="s">
        <v>74</v>
      </c>
      <c r="L1912" t="s">
        <v>74</v>
      </c>
      <c r="M1912" t="s">
        <v>74</v>
      </c>
      <c r="N1912" t="s">
        <v>103</v>
      </c>
      <c r="O1912" t="s">
        <v>74</v>
      </c>
      <c r="P1912" t="s">
        <v>74</v>
      </c>
      <c r="Q1912" t="s">
        <v>74</v>
      </c>
      <c r="R1912" t="s">
        <v>74</v>
      </c>
      <c r="S1912" t="s">
        <v>74</v>
      </c>
      <c r="T1912" t="s">
        <v>904</v>
      </c>
      <c r="U1912" t="s">
        <v>905</v>
      </c>
      <c r="V1912" t="s">
        <v>906</v>
      </c>
      <c r="W1912" t="s">
        <v>907</v>
      </c>
      <c r="X1912" t="s">
        <v>908</v>
      </c>
      <c r="Y1912" t="s">
        <v>909</v>
      </c>
      <c r="Z1912" t="s">
        <v>910</v>
      </c>
      <c r="AA1912" t="s">
        <v>911</v>
      </c>
      <c r="AB1912" t="s">
        <v>912</v>
      </c>
      <c r="AC1912" t="s">
        <v>74</v>
      </c>
      <c r="AD1912" t="s">
        <v>74</v>
      </c>
      <c r="AE1912" t="s">
        <v>74</v>
      </c>
      <c r="AF1912" t="s">
        <v>74</v>
      </c>
      <c r="AG1912">
        <v>42</v>
      </c>
      <c r="AH1912">
        <v>0</v>
      </c>
      <c r="AI1912">
        <v>0</v>
      </c>
      <c r="AJ1912">
        <v>1</v>
      </c>
      <c r="AK1912">
        <v>1</v>
      </c>
      <c r="AL1912" t="s">
        <v>74</v>
      </c>
      <c r="AM1912" t="s">
        <v>74</v>
      </c>
      <c r="AN1912" t="s">
        <v>74</v>
      </c>
      <c r="AO1912" t="s">
        <v>74</v>
      </c>
      <c r="AP1912" t="s">
        <v>913</v>
      </c>
      <c r="AQ1912" t="s">
        <v>74</v>
      </c>
      <c r="AR1912" t="s">
        <v>74</v>
      </c>
      <c r="AS1912" t="s">
        <v>74</v>
      </c>
      <c r="AT1912" t="s">
        <v>614</v>
      </c>
      <c r="AU1912">
        <v>2022</v>
      </c>
      <c r="AV1912">
        <v>14</v>
      </c>
      <c r="AW1912">
        <v>13</v>
      </c>
      <c r="AX1912" t="s">
        <v>74</v>
      </c>
      <c r="AY1912" t="s">
        <v>74</v>
      </c>
      <c r="AZ1912" t="s">
        <v>74</v>
      </c>
      <c r="BA1912" t="s">
        <v>74</v>
      </c>
      <c r="BB1912" t="s">
        <v>74</v>
      </c>
      <c r="BC1912" t="s">
        <v>74</v>
      </c>
      <c r="BD1912">
        <v>3258</v>
      </c>
      <c r="BE1912" t="s">
        <v>914</v>
      </c>
      <c r="BF1912" t="str">
        <f>HYPERLINK("http://dx.doi.org/10.3390/cancers14133258","http://dx.doi.org/10.3390/cancers14133258")</f>
        <v>http://dx.doi.org/10.3390/cancers14133258</v>
      </c>
      <c r="BG1912" t="s">
        <v>74</v>
      </c>
      <c r="BH1912" t="s">
        <v>74</v>
      </c>
      <c r="BI1912" t="s">
        <v>74</v>
      </c>
      <c r="BJ1912" t="s">
        <v>267</v>
      </c>
      <c r="BK1912" t="s">
        <v>117</v>
      </c>
      <c r="BL1912" t="s">
        <v>267</v>
      </c>
      <c r="BM1912" t="s">
        <v>74</v>
      </c>
      <c r="BN1912">
        <v>35805031</v>
      </c>
      <c r="BO1912" t="s">
        <v>74</v>
      </c>
      <c r="BP1912" t="s">
        <v>74</v>
      </c>
      <c r="BQ1912" t="s">
        <v>74</v>
      </c>
      <c r="BR1912" t="s">
        <v>96</v>
      </c>
      <c r="BS1912" t="s">
        <v>915</v>
      </c>
      <c r="BT1912" t="str">
        <f>HYPERLINK("https%3A%2F%2Fwww.webofscience.com%2Fwos%2Fwoscc%2Ffull-record%2FWOS:000823670200001","View Full Record in Web of Science")</f>
        <v>View Full Record in Web of Science</v>
      </c>
    </row>
    <row r="1913" spans="1:72" x14ac:dyDescent="0.15">
      <c r="A1913" t="s">
        <v>98</v>
      </c>
      <c r="B1913" t="s">
        <v>1140</v>
      </c>
      <c r="C1913" t="s">
        <v>74</v>
      </c>
      <c r="D1913" t="s">
        <v>74</v>
      </c>
      <c r="E1913" t="s">
        <v>74</v>
      </c>
      <c r="F1913" t="s">
        <v>1141</v>
      </c>
      <c r="G1913" t="s">
        <v>74</v>
      </c>
      <c r="H1913" t="s">
        <v>74</v>
      </c>
      <c r="I1913" t="s">
        <v>1142</v>
      </c>
      <c r="J1913" t="s">
        <v>1143</v>
      </c>
      <c r="K1913" t="s">
        <v>74</v>
      </c>
      <c r="L1913" t="s">
        <v>74</v>
      </c>
      <c r="M1913" t="s">
        <v>74</v>
      </c>
      <c r="N1913" t="s">
        <v>103</v>
      </c>
      <c r="O1913" t="s">
        <v>74</v>
      </c>
      <c r="P1913" t="s">
        <v>74</v>
      </c>
      <c r="Q1913" t="s">
        <v>74</v>
      </c>
      <c r="R1913" t="s">
        <v>74</v>
      </c>
      <c r="S1913" t="s">
        <v>74</v>
      </c>
      <c r="T1913" t="s">
        <v>1144</v>
      </c>
      <c r="U1913" t="s">
        <v>1145</v>
      </c>
      <c r="V1913" t="s">
        <v>1146</v>
      </c>
      <c r="W1913" t="s">
        <v>1147</v>
      </c>
      <c r="X1913" t="s">
        <v>1148</v>
      </c>
      <c r="Y1913" t="s">
        <v>1149</v>
      </c>
      <c r="Z1913" t="s">
        <v>1150</v>
      </c>
      <c r="AA1913" t="s">
        <v>1151</v>
      </c>
      <c r="AB1913" t="s">
        <v>1152</v>
      </c>
      <c r="AC1913" t="s">
        <v>74</v>
      </c>
      <c r="AD1913" t="s">
        <v>74</v>
      </c>
      <c r="AE1913" t="s">
        <v>74</v>
      </c>
      <c r="AF1913" t="s">
        <v>74</v>
      </c>
      <c r="AG1913">
        <v>84</v>
      </c>
      <c r="AH1913">
        <v>0</v>
      </c>
      <c r="AI1913">
        <v>0</v>
      </c>
      <c r="AJ1913">
        <v>2</v>
      </c>
      <c r="AK1913">
        <v>2</v>
      </c>
      <c r="AL1913" t="s">
        <v>74</v>
      </c>
      <c r="AM1913" t="s">
        <v>74</v>
      </c>
      <c r="AN1913" t="s">
        <v>74</v>
      </c>
      <c r="AO1913" t="s">
        <v>1153</v>
      </c>
      <c r="AP1913" t="s">
        <v>74</v>
      </c>
      <c r="AQ1913" t="s">
        <v>74</v>
      </c>
      <c r="AR1913" t="s">
        <v>74</v>
      </c>
      <c r="AS1913" t="s">
        <v>74</v>
      </c>
      <c r="AT1913" t="s">
        <v>74</v>
      </c>
      <c r="AU1913">
        <v>2022</v>
      </c>
      <c r="AV1913">
        <v>12</v>
      </c>
      <c r="AW1913">
        <v>9</v>
      </c>
      <c r="AX1913" t="s">
        <v>74</v>
      </c>
      <c r="AY1913" t="s">
        <v>74</v>
      </c>
      <c r="AZ1913" t="s">
        <v>74</v>
      </c>
      <c r="BA1913" t="s">
        <v>74</v>
      </c>
      <c r="BB1913">
        <v>4459</v>
      </c>
      <c r="BC1913">
        <v>4476</v>
      </c>
      <c r="BD1913" t="s">
        <v>74</v>
      </c>
      <c r="BE1913" t="s">
        <v>1154</v>
      </c>
      <c r="BF1913" t="str">
        <f>HYPERLINK("http://dx.doi.org/10.7150/thno.72676","http://dx.doi.org/10.7150/thno.72676")</f>
        <v>http://dx.doi.org/10.7150/thno.72676</v>
      </c>
      <c r="BG1913" t="s">
        <v>74</v>
      </c>
      <c r="BH1913" t="s">
        <v>74</v>
      </c>
      <c r="BI1913" t="s">
        <v>74</v>
      </c>
      <c r="BJ1913" t="s">
        <v>795</v>
      </c>
      <c r="BK1913" t="s">
        <v>117</v>
      </c>
      <c r="BL1913" t="s">
        <v>796</v>
      </c>
      <c r="BM1913" t="s">
        <v>74</v>
      </c>
      <c r="BN1913">
        <v>35673574</v>
      </c>
      <c r="BO1913" t="s">
        <v>74</v>
      </c>
      <c r="BP1913" t="s">
        <v>74</v>
      </c>
      <c r="BQ1913" t="s">
        <v>74</v>
      </c>
      <c r="BR1913" t="s">
        <v>96</v>
      </c>
      <c r="BS1913" t="s">
        <v>1155</v>
      </c>
      <c r="BT1913" t="str">
        <f>HYPERLINK("https%3A%2F%2Fwww.webofscience.com%2Fwos%2Fwoscc%2Ffull-record%2FWOS:000802758700007","View Full Record in Web of Science")</f>
        <v>View Full Record in Web of Science</v>
      </c>
    </row>
    <row r="1914" spans="1:72" x14ac:dyDescent="0.15">
      <c r="A1914" t="s">
        <v>98</v>
      </c>
      <c r="B1914" t="s">
        <v>1186</v>
      </c>
      <c r="C1914" t="s">
        <v>74</v>
      </c>
      <c r="D1914" t="s">
        <v>74</v>
      </c>
      <c r="E1914" t="s">
        <v>74</v>
      </c>
      <c r="F1914" t="s">
        <v>1187</v>
      </c>
      <c r="G1914" t="s">
        <v>74</v>
      </c>
      <c r="H1914" t="s">
        <v>74</v>
      </c>
      <c r="I1914" t="s">
        <v>1188</v>
      </c>
      <c r="J1914" t="s">
        <v>903</v>
      </c>
      <c r="K1914" t="s">
        <v>74</v>
      </c>
      <c r="L1914" t="s">
        <v>74</v>
      </c>
      <c r="M1914" t="s">
        <v>74</v>
      </c>
      <c r="N1914" t="s">
        <v>103</v>
      </c>
      <c r="O1914" t="s">
        <v>74</v>
      </c>
      <c r="P1914" t="s">
        <v>74</v>
      </c>
      <c r="Q1914" t="s">
        <v>74</v>
      </c>
      <c r="R1914" t="s">
        <v>74</v>
      </c>
      <c r="S1914" t="s">
        <v>74</v>
      </c>
      <c r="T1914" t="s">
        <v>1189</v>
      </c>
      <c r="U1914" t="s">
        <v>1190</v>
      </c>
      <c r="V1914" t="s">
        <v>1191</v>
      </c>
      <c r="W1914" t="s">
        <v>1192</v>
      </c>
      <c r="X1914" t="s">
        <v>1193</v>
      </c>
      <c r="Y1914" t="s">
        <v>1194</v>
      </c>
      <c r="Z1914" t="s">
        <v>1195</v>
      </c>
      <c r="AA1914" t="s">
        <v>74</v>
      </c>
      <c r="AB1914" t="s">
        <v>1196</v>
      </c>
      <c r="AC1914" t="s">
        <v>74</v>
      </c>
      <c r="AD1914" t="s">
        <v>74</v>
      </c>
      <c r="AE1914" t="s">
        <v>74</v>
      </c>
      <c r="AF1914" t="s">
        <v>74</v>
      </c>
      <c r="AG1914">
        <v>57</v>
      </c>
      <c r="AH1914">
        <v>0</v>
      </c>
      <c r="AI1914">
        <v>0</v>
      </c>
      <c r="AJ1914">
        <v>12</v>
      </c>
      <c r="AK1914">
        <v>12</v>
      </c>
      <c r="AL1914" t="s">
        <v>74</v>
      </c>
      <c r="AM1914" t="s">
        <v>74</v>
      </c>
      <c r="AN1914" t="s">
        <v>74</v>
      </c>
      <c r="AO1914" t="s">
        <v>74</v>
      </c>
      <c r="AP1914" t="s">
        <v>913</v>
      </c>
      <c r="AQ1914" t="s">
        <v>74</v>
      </c>
      <c r="AR1914" t="s">
        <v>74</v>
      </c>
      <c r="AS1914" t="s">
        <v>74</v>
      </c>
      <c r="AT1914" t="s">
        <v>1029</v>
      </c>
      <c r="AU1914">
        <v>2022</v>
      </c>
      <c r="AV1914">
        <v>14</v>
      </c>
      <c r="AW1914">
        <v>9</v>
      </c>
      <c r="AX1914" t="s">
        <v>74</v>
      </c>
      <c r="AY1914" t="s">
        <v>74</v>
      </c>
      <c r="AZ1914" t="s">
        <v>74</v>
      </c>
      <c r="BA1914" t="s">
        <v>74</v>
      </c>
      <c r="BB1914" t="s">
        <v>74</v>
      </c>
      <c r="BC1914" t="s">
        <v>74</v>
      </c>
      <c r="BD1914">
        <v>2068</v>
      </c>
      <c r="BE1914" t="s">
        <v>1197</v>
      </c>
      <c r="BF1914" t="str">
        <f>HYPERLINK("http://dx.doi.org/10.3390/cancers14092068","http://dx.doi.org/10.3390/cancers14092068")</f>
        <v>http://dx.doi.org/10.3390/cancers14092068</v>
      </c>
      <c r="BG1914" t="s">
        <v>74</v>
      </c>
      <c r="BH1914" t="s">
        <v>74</v>
      </c>
      <c r="BI1914" t="s">
        <v>74</v>
      </c>
      <c r="BJ1914" t="s">
        <v>267</v>
      </c>
      <c r="BK1914" t="s">
        <v>117</v>
      </c>
      <c r="BL1914" t="s">
        <v>267</v>
      </c>
      <c r="BM1914" t="s">
        <v>74</v>
      </c>
      <c r="BN1914">
        <v>35565197</v>
      </c>
      <c r="BO1914" t="s">
        <v>74</v>
      </c>
      <c r="BP1914" t="s">
        <v>74</v>
      </c>
      <c r="BQ1914" t="s">
        <v>74</v>
      </c>
      <c r="BR1914" t="s">
        <v>96</v>
      </c>
      <c r="BS1914" t="s">
        <v>1198</v>
      </c>
      <c r="BT1914" t="str">
        <f>HYPERLINK("https%3A%2F%2Fwww.webofscience.com%2Fwos%2Fwoscc%2Ffull-record%2FWOS:000794791600001","View Full Record in Web of Science")</f>
        <v>View Full Record in Web of Science</v>
      </c>
    </row>
    <row r="1915" spans="1:72" x14ac:dyDescent="0.15">
      <c r="A1915" t="s">
        <v>98</v>
      </c>
      <c r="B1915" t="s">
        <v>1327</v>
      </c>
      <c r="C1915" t="s">
        <v>74</v>
      </c>
      <c r="D1915" t="s">
        <v>74</v>
      </c>
      <c r="E1915" t="s">
        <v>74</v>
      </c>
      <c r="F1915" t="s">
        <v>1328</v>
      </c>
      <c r="G1915" t="s">
        <v>74</v>
      </c>
      <c r="H1915" t="s">
        <v>74</v>
      </c>
      <c r="I1915" t="s">
        <v>1329</v>
      </c>
      <c r="J1915" t="s">
        <v>1330</v>
      </c>
      <c r="K1915" t="s">
        <v>74</v>
      </c>
      <c r="L1915" t="s">
        <v>74</v>
      </c>
      <c r="M1915" t="s">
        <v>74</v>
      </c>
      <c r="N1915" t="s">
        <v>103</v>
      </c>
      <c r="O1915" t="s">
        <v>74</v>
      </c>
      <c r="P1915" t="s">
        <v>74</v>
      </c>
      <c r="Q1915" t="s">
        <v>74</v>
      </c>
      <c r="R1915" t="s">
        <v>74</v>
      </c>
      <c r="S1915" t="s">
        <v>74</v>
      </c>
      <c r="T1915" t="s">
        <v>1331</v>
      </c>
      <c r="U1915" t="s">
        <v>1332</v>
      </c>
      <c r="V1915" t="s">
        <v>1333</v>
      </c>
      <c r="W1915" t="s">
        <v>1334</v>
      </c>
      <c r="X1915" t="s">
        <v>1335</v>
      </c>
      <c r="Y1915" t="s">
        <v>1336</v>
      </c>
      <c r="Z1915" t="s">
        <v>1337</v>
      </c>
      <c r="AA1915" t="s">
        <v>74</v>
      </c>
      <c r="AB1915" t="s">
        <v>1338</v>
      </c>
      <c r="AC1915" t="s">
        <v>74</v>
      </c>
      <c r="AD1915" t="s">
        <v>74</v>
      </c>
      <c r="AE1915" t="s">
        <v>74</v>
      </c>
      <c r="AF1915" t="s">
        <v>74</v>
      </c>
      <c r="AG1915">
        <v>60</v>
      </c>
      <c r="AH1915">
        <v>0</v>
      </c>
      <c r="AI1915">
        <v>0</v>
      </c>
      <c r="AJ1915">
        <v>0</v>
      </c>
      <c r="AK1915">
        <v>4</v>
      </c>
      <c r="AL1915" t="s">
        <v>74</v>
      </c>
      <c r="AM1915" t="s">
        <v>74</v>
      </c>
      <c r="AN1915" t="s">
        <v>74</v>
      </c>
      <c r="AO1915" t="s">
        <v>74</v>
      </c>
      <c r="AP1915" t="s">
        <v>1339</v>
      </c>
      <c r="AQ1915" t="s">
        <v>74</v>
      </c>
      <c r="AR1915" t="s">
        <v>74</v>
      </c>
      <c r="AS1915" t="s">
        <v>74</v>
      </c>
      <c r="AT1915" t="s">
        <v>531</v>
      </c>
      <c r="AU1915">
        <v>2021</v>
      </c>
      <c r="AV1915">
        <v>8</v>
      </c>
      <c r="AW1915">
        <v>9</v>
      </c>
      <c r="AX1915" t="s">
        <v>74</v>
      </c>
      <c r="AY1915" t="s">
        <v>74</v>
      </c>
      <c r="AZ1915" t="s">
        <v>74</v>
      </c>
      <c r="BA1915" t="s">
        <v>74</v>
      </c>
      <c r="BB1915" t="s">
        <v>74</v>
      </c>
      <c r="BC1915" t="s">
        <v>74</v>
      </c>
      <c r="BD1915">
        <v>182</v>
      </c>
      <c r="BE1915" t="s">
        <v>1340</v>
      </c>
      <c r="BF1915" t="str">
        <f>HYPERLINK("http://dx.doi.org/10.3390/vetsci8090182","http://dx.doi.org/10.3390/vetsci8090182")</f>
        <v>http://dx.doi.org/10.3390/vetsci8090182</v>
      </c>
      <c r="BG1915" t="s">
        <v>74</v>
      </c>
      <c r="BH1915" t="s">
        <v>74</v>
      </c>
      <c r="BI1915" t="s">
        <v>74</v>
      </c>
      <c r="BJ1915" t="s">
        <v>1341</v>
      </c>
      <c r="BK1915" t="s">
        <v>117</v>
      </c>
      <c r="BL1915" t="s">
        <v>1341</v>
      </c>
      <c r="BM1915" t="s">
        <v>74</v>
      </c>
      <c r="BN1915">
        <v>34564576</v>
      </c>
      <c r="BO1915" t="s">
        <v>74</v>
      </c>
      <c r="BP1915" t="s">
        <v>74</v>
      </c>
      <c r="BQ1915" t="s">
        <v>74</v>
      </c>
      <c r="BR1915" t="s">
        <v>96</v>
      </c>
      <c r="BS1915" t="s">
        <v>1342</v>
      </c>
      <c r="BT1915" t="str">
        <f>HYPERLINK("https%3A%2F%2Fwww.webofscience.com%2Fwos%2Fwoscc%2Ffull-record%2FWOS:000700084300001","View Full Record in Web of Science")</f>
        <v>View Full Record in Web of Science</v>
      </c>
    </row>
    <row r="1916" spans="1:72" x14ac:dyDescent="0.15">
      <c r="A1916" t="s">
        <v>98</v>
      </c>
      <c r="B1916" t="s">
        <v>1559</v>
      </c>
      <c r="C1916" t="s">
        <v>74</v>
      </c>
      <c r="D1916" t="s">
        <v>74</v>
      </c>
      <c r="E1916" t="s">
        <v>74</v>
      </c>
      <c r="F1916" t="s">
        <v>1560</v>
      </c>
      <c r="G1916" t="s">
        <v>74</v>
      </c>
      <c r="H1916" t="s">
        <v>74</v>
      </c>
      <c r="I1916" t="s">
        <v>1561</v>
      </c>
      <c r="J1916" t="s">
        <v>1562</v>
      </c>
      <c r="K1916" t="s">
        <v>74</v>
      </c>
      <c r="L1916" t="s">
        <v>74</v>
      </c>
      <c r="M1916" t="s">
        <v>74</v>
      </c>
      <c r="N1916" t="s">
        <v>103</v>
      </c>
      <c r="O1916" t="s">
        <v>74</v>
      </c>
      <c r="P1916" t="s">
        <v>74</v>
      </c>
      <c r="Q1916" t="s">
        <v>74</v>
      </c>
      <c r="R1916" t="s">
        <v>74</v>
      </c>
      <c r="S1916" t="s">
        <v>74</v>
      </c>
      <c r="T1916" t="s">
        <v>74</v>
      </c>
      <c r="U1916" t="s">
        <v>1563</v>
      </c>
      <c r="V1916" t="s">
        <v>1564</v>
      </c>
      <c r="W1916" t="s">
        <v>1565</v>
      </c>
      <c r="X1916" t="s">
        <v>1566</v>
      </c>
      <c r="Y1916" t="s">
        <v>1567</v>
      </c>
      <c r="Z1916" t="s">
        <v>1568</v>
      </c>
      <c r="AA1916" t="s">
        <v>74</v>
      </c>
      <c r="AB1916" t="s">
        <v>74</v>
      </c>
      <c r="AC1916" t="s">
        <v>74</v>
      </c>
      <c r="AD1916" t="s">
        <v>74</v>
      </c>
      <c r="AE1916" t="s">
        <v>74</v>
      </c>
      <c r="AF1916" t="s">
        <v>74</v>
      </c>
      <c r="AG1916">
        <v>72</v>
      </c>
      <c r="AH1916">
        <v>0</v>
      </c>
      <c r="AI1916">
        <v>0</v>
      </c>
      <c r="AJ1916">
        <v>6</v>
      </c>
      <c r="AK1916">
        <v>6</v>
      </c>
      <c r="AL1916" t="s">
        <v>74</v>
      </c>
      <c r="AM1916" t="s">
        <v>74</v>
      </c>
      <c r="AN1916" t="s">
        <v>74</v>
      </c>
      <c r="AO1916" t="s">
        <v>1569</v>
      </c>
      <c r="AP1916" t="s">
        <v>74</v>
      </c>
      <c r="AQ1916" t="s">
        <v>74</v>
      </c>
      <c r="AR1916" t="s">
        <v>74</v>
      </c>
      <c r="AS1916" t="s">
        <v>74</v>
      </c>
      <c r="AT1916" t="s">
        <v>1570</v>
      </c>
      <c r="AU1916">
        <v>2022</v>
      </c>
      <c r="AV1916">
        <v>38</v>
      </c>
      <c r="AW1916">
        <v>9</v>
      </c>
      <c r="AX1916" t="s">
        <v>74</v>
      </c>
      <c r="AY1916" t="s">
        <v>74</v>
      </c>
      <c r="AZ1916" t="s">
        <v>74</v>
      </c>
      <c r="BA1916" t="s">
        <v>74</v>
      </c>
      <c r="BB1916" t="s">
        <v>74</v>
      </c>
      <c r="BC1916" t="s">
        <v>74</v>
      </c>
      <c r="BD1916">
        <v>110443</v>
      </c>
      <c r="BE1916" t="s">
        <v>1571</v>
      </c>
      <c r="BF1916" t="str">
        <f>HYPERLINK("http://dx.doi.org/10.1016/j.celrep.2022.110443","http://dx.doi.org/10.1016/j.celrep.2022.110443")</f>
        <v>http://dx.doi.org/10.1016/j.celrep.2022.110443</v>
      </c>
      <c r="BG1916" t="s">
        <v>74</v>
      </c>
      <c r="BH1916" t="s">
        <v>74</v>
      </c>
      <c r="BI1916" t="s">
        <v>74</v>
      </c>
      <c r="BJ1916" t="s">
        <v>135</v>
      </c>
      <c r="BK1916" t="s">
        <v>117</v>
      </c>
      <c r="BL1916" t="s">
        <v>135</v>
      </c>
      <c r="BM1916" t="s">
        <v>74</v>
      </c>
      <c r="BN1916">
        <v>35235806</v>
      </c>
      <c r="BO1916" t="s">
        <v>74</v>
      </c>
      <c r="BP1916" t="s">
        <v>74</v>
      </c>
      <c r="BQ1916" t="s">
        <v>74</v>
      </c>
      <c r="BR1916" t="s">
        <v>96</v>
      </c>
      <c r="BS1916" t="s">
        <v>1572</v>
      </c>
      <c r="BT1916" t="str">
        <f>HYPERLINK("https%3A%2F%2Fwww.webofscience.com%2Fwos%2Fwoscc%2Ffull-record%2FWOS:000764354700007","View Full Record in Web of Science")</f>
        <v>View Full Record in Web of Science</v>
      </c>
    </row>
    <row r="1917" spans="1:72" x14ac:dyDescent="0.15">
      <c r="A1917" t="s">
        <v>98</v>
      </c>
      <c r="B1917" t="s">
        <v>1573</v>
      </c>
      <c r="C1917" t="s">
        <v>74</v>
      </c>
      <c r="D1917" t="s">
        <v>74</v>
      </c>
      <c r="E1917" t="s">
        <v>74</v>
      </c>
      <c r="F1917" t="s">
        <v>1574</v>
      </c>
      <c r="G1917" t="s">
        <v>74</v>
      </c>
      <c r="H1917" t="s">
        <v>74</v>
      </c>
      <c r="I1917" t="s">
        <v>1575</v>
      </c>
      <c r="J1917" t="s">
        <v>325</v>
      </c>
      <c r="K1917" t="s">
        <v>74</v>
      </c>
      <c r="L1917" t="s">
        <v>74</v>
      </c>
      <c r="M1917" t="s">
        <v>74</v>
      </c>
      <c r="N1917" t="s">
        <v>103</v>
      </c>
      <c r="O1917" t="s">
        <v>74</v>
      </c>
      <c r="P1917" t="s">
        <v>74</v>
      </c>
      <c r="Q1917" t="s">
        <v>74</v>
      </c>
      <c r="R1917" t="s">
        <v>74</v>
      </c>
      <c r="S1917" t="s">
        <v>74</v>
      </c>
      <c r="T1917" t="s">
        <v>1576</v>
      </c>
      <c r="U1917" t="s">
        <v>1577</v>
      </c>
      <c r="V1917" t="s">
        <v>1578</v>
      </c>
      <c r="W1917" t="s">
        <v>1579</v>
      </c>
      <c r="X1917" t="s">
        <v>330</v>
      </c>
      <c r="Y1917" t="s">
        <v>1580</v>
      </c>
      <c r="Z1917" t="s">
        <v>332</v>
      </c>
      <c r="AA1917" t="s">
        <v>74</v>
      </c>
      <c r="AB1917" t="s">
        <v>74</v>
      </c>
      <c r="AC1917" t="s">
        <v>74</v>
      </c>
      <c r="AD1917" t="s">
        <v>74</v>
      </c>
      <c r="AE1917" t="s">
        <v>74</v>
      </c>
      <c r="AF1917" t="s">
        <v>74</v>
      </c>
      <c r="AG1917">
        <v>52</v>
      </c>
      <c r="AH1917">
        <v>0</v>
      </c>
      <c r="AI1917">
        <v>0</v>
      </c>
      <c r="AJ1917">
        <v>10</v>
      </c>
      <c r="AK1917">
        <v>10</v>
      </c>
      <c r="AL1917" t="s">
        <v>74</v>
      </c>
      <c r="AM1917" t="s">
        <v>74</v>
      </c>
      <c r="AN1917" t="s">
        <v>74</v>
      </c>
      <c r="AO1917" t="s">
        <v>333</v>
      </c>
      <c r="AP1917" t="s">
        <v>334</v>
      </c>
      <c r="AQ1917" t="s">
        <v>74</v>
      </c>
      <c r="AR1917" t="s">
        <v>74</v>
      </c>
      <c r="AS1917" t="s">
        <v>74</v>
      </c>
      <c r="AT1917" t="s">
        <v>1570</v>
      </c>
      <c r="AU1917">
        <v>2022</v>
      </c>
      <c r="AV1917">
        <v>41</v>
      </c>
      <c r="AW1917">
        <v>3</v>
      </c>
      <c r="AX1917" t="s">
        <v>74</v>
      </c>
      <c r="AY1917" t="s">
        <v>74</v>
      </c>
      <c r="AZ1917" t="s">
        <v>74</v>
      </c>
      <c r="BA1917" t="s">
        <v>74</v>
      </c>
      <c r="BB1917">
        <v>249</v>
      </c>
      <c r="BC1917">
        <v>256</v>
      </c>
      <c r="BD1917" t="s">
        <v>74</v>
      </c>
      <c r="BE1917" t="s">
        <v>1581</v>
      </c>
      <c r="BF1917" t="str">
        <f>HYPERLINK("http://dx.doi.org/10.1089/dna.2021.0488","http://dx.doi.org/10.1089/dna.2021.0488")</f>
        <v>http://dx.doi.org/10.1089/dna.2021.0488</v>
      </c>
      <c r="BG1917" t="s">
        <v>74</v>
      </c>
      <c r="BH1917" t="s">
        <v>1582</v>
      </c>
      <c r="BI1917" t="s">
        <v>74</v>
      </c>
      <c r="BJ1917" t="s">
        <v>338</v>
      </c>
      <c r="BK1917" t="s">
        <v>117</v>
      </c>
      <c r="BL1917" t="s">
        <v>338</v>
      </c>
      <c r="BM1917" t="s">
        <v>74</v>
      </c>
      <c r="BN1917">
        <v>35171005</v>
      </c>
      <c r="BO1917" t="s">
        <v>74</v>
      </c>
      <c r="BP1917" t="s">
        <v>74</v>
      </c>
      <c r="BQ1917" t="s">
        <v>74</v>
      </c>
      <c r="BR1917" t="s">
        <v>96</v>
      </c>
      <c r="BS1917" t="s">
        <v>1583</v>
      </c>
      <c r="BT1917" t="str">
        <f>HYPERLINK("https%3A%2F%2Fwww.webofscience.com%2Fwos%2Fwoscc%2Ffull-record%2FWOS:000759190800001","View Full Record in Web of Science")</f>
        <v>View Full Record in Web of Science</v>
      </c>
    </row>
    <row r="1918" spans="1:72" x14ac:dyDescent="0.15">
      <c r="A1918" t="s">
        <v>98</v>
      </c>
      <c r="B1918" t="s">
        <v>1697</v>
      </c>
      <c r="C1918" t="s">
        <v>74</v>
      </c>
      <c r="D1918" t="s">
        <v>74</v>
      </c>
      <c r="E1918" t="s">
        <v>74</v>
      </c>
      <c r="F1918" t="s">
        <v>1698</v>
      </c>
      <c r="G1918" t="s">
        <v>74</v>
      </c>
      <c r="H1918" t="s">
        <v>74</v>
      </c>
      <c r="I1918" t="s">
        <v>1699</v>
      </c>
      <c r="J1918" t="s">
        <v>381</v>
      </c>
      <c r="K1918" t="s">
        <v>74</v>
      </c>
      <c r="L1918" t="s">
        <v>74</v>
      </c>
      <c r="M1918" t="s">
        <v>74</v>
      </c>
      <c r="N1918" t="s">
        <v>103</v>
      </c>
      <c r="O1918" t="s">
        <v>74</v>
      </c>
      <c r="P1918" t="s">
        <v>74</v>
      </c>
      <c r="Q1918" t="s">
        <v>74</v>
      </c>
      <c r="R1918" t="s">
        <v>74</v>
      </c>
      <c r="S1918" t="s">
        <v>74</v>
      </c>
      <c r="T1918" t="s">
        <v>1700</v>
      </c>
      <c r="U1918" t="s">
        <v>1701</v>
      </c>
      <c r="V1918" t="s">
        <v>1702</v>
      </c>
      <c r="W1918" t="s">
        <v>1703</v>
      </c>
      <c r="X1918" t="s">
        <v>1704</v>
      </c>
      <c r="Y1918" t="s">
        <v>1705</v>
      </c>
      <c r="Z1918" t="s">
        <v>1706</v>
      </c>
      <c r="AA1918" t="s">
        <v>74</v>
      </c>
      <c r="AB1918" t="s">
        <v>74</v>
      </c>
      <c r="AC1918" t="s">
        <v>74</v>
      </c>
      <c r="AD1918" t="s">
        <v>74</v>
      </c>
      <c r="AE1918" t="s">
        <v>74</v>
      </c>
      <c r="AF1918" t="s">
        <v>74</v>
      </c>
      <c r="AG1918">
        <v>33</v>
      </c>
      <c r="AH1918">
        <v>0</v>
      </c>
      <c r="AI1918">
        <v>0</v>
      </c>
      <c r="AJ1918">
        <v>7</v>
      </c>
      <c r="AK1918">
        <v>7</v>
      </c>
      <c r="AL1918" t="s">
        <v>74</v>
      </c>
      <c r="AM1918" t="s">
        <v>74</v>
      </c>
      <c r="AN1918" t="s">
        <v>74</v>
      </c>
      <c r="AO1918" t="s">
        <v>391</v>
      </c>
      <c r="AP1918" t="s">
        <v>392</v>
      </c>
      <c r="AQ1918" t="s">
        <v>74</v>
      </c>
      <c r="AR1918" t="s">
        <v>74</v>
      </c>
      <c r="AS1918" t="s">
        <v>74</v>
      </c>
      <c r="AT1918" t="s">
        <v>1029</v>
      </c>
      <c r="AU1918">
        <v>2022</v>
      </c>
      <c r="AV1918">
        <v>345</v>
      </c>
      <c r="AW1918" t="s">
        <v>74</v>
      </c>
      <c r="AX1918" t="s">
        <v>74</v>
      </c>
      <c r="AY1918" t="s">
        <v>74</v>
      </c>
      <c r="AZ1918" t="s">
        <v>74</v>
      </c>
      <c r="BA1918" t="s">
        <v>74</v>
      </c>
      <c r="BB1918">
        <v>433</v>
      </c>
      <c r="BC1918">
        <v>442</v>
      </c>
      <c r="BD1918" t="s">
        <v>74</v>
      </c>
      <c r="BE1918" t="s">
        <v>1707</v>
      </c>
      <c r="BF1918" t="str">
        <f>HYPERLINK("http://dx.doi.org/10.1016/j.jconrel.2022.03.016","http://dx.doi.org/10.1016/j.jconrel.2022.03.016")</f>
        <v>http://dx.doi.org/10.1016/j.jconrel.2022.03.016</v>
      </c>
      <c r="BG1918" t="s">
        <v>74</v>
      </c>
      <c r="BH1918" t="s">
        <v>74</v>
      </c>
      <c r="BI1918" t="s">
        <v>74</v>
      </c>
      <c r="BJ1918" t="s">
        <v>396</v>
      </c>
      <c r="BK1918" t="s">
        <v>117</v>
      </c>
      <c r="BL1918" t="s">
        <v>397</v>
      </c>
      <c r="BM1918" t="s">
        <v>74</v>
      </c>
      <c r="BN1918">
        <v>35301052</v>
      </c>
      <c r="BO1918" t="s">
        <v>74</v>
      </c>
      <c r="BP1918" t="s">
        <v>74</v>
      </c>
      <c r="BQ1918" t="s">
        <v>74</v>
      </c>
      <c r="BR1918" t="s">
        <v>96</v>
      </c>
      <c r="BS1918" t="s">
        <v>1708</v>
      </c>
      <c r="BT1918" t="str">
        <f>HYPERLINK("https%3A%2F%2Fwww.webofscience.com%2Fwos%2Fwoscc%2Ffull-record%2FWOS:000793719500001","View Full Record in Web of Science")</f>
        <v>View Full Record in Web of Science</v>
      </c>
    </row>
    <row r="1919" spans="1:72" x14ac:dyDescent="0.15">
      <c r="A1919" t="s">
        <v>98</v>
      </c>
      <c r="B1919" t="s">
        <v>1795</v>
      </c>
      <c r="C1919" t="s">
        <v>74</v>
      </c>
      <c r="D1919" t="s">
        <v>74</v>
      </c>
      <c r="E1919" t="s">
        <v>74</v>
      </c>
      <c r="F1919" t="s">
        <v>1796</v>
      </c>
      <c r="G1919" t="s">
        <v>74</v>
      </c>
      <c r="H1919" t="s">
        <v>74</v>
      </c>
      <c r="I1919" t="s">
        <v>1797</v>
      </c>
      <c r="J1919" t="s">
        <v>1798</v>
      </c>
      <c r="K1919" t="s">
        <v>74</v>
      </c>
      <c r="L1919" t="s">
        <v>74</v>
      </c>
      <c r="M1919" t="s">
        <v>74</v>
      </c>
      <c r="N1919" t="s">
        <v>103</v>
      </c>
      <c r="O1919" t="s">
        <v>74</v>
      </c>
      <c r="P1919" t="s">
        <v>74</v>
      </c>
      <c r="Q1919" t="s">
        <v>74</v>
      </c>
      <c r="R1919" t="s">
        <v>74</v>
      </c>
      <c r="S1919" t="s">
        <v>74</v>
      </c>
      <c r="T1919" t="s">
        <v>1799</v>
      </c>
      <c r="U1919" t="s">
        <v>1800</v>
      </c>
      <c r="V1919" t="s">
        <v>1801</v>
      </c>
      <c r="W1919" t="s">
        <v>1802</v>
      </c>
      <c r="X1919" t="s">
        <v>1803</v>
      </c>
      <c r="Y1919" t="s">
        <v>1804</v>
      </c>
      <c r="Z1919" t="s">
        <v>1805</v>
      </c>
      <c r="AA1919" t="s">
        <v>74</v>
      </c>
      <c r="AB1919" t="s">
        <v>74</v>
      </c>
      <c r="AC1919" t="s">
        <v>74</v>
      </c>
      <c r="AD1919" t="s">
        <v>74</v>
      </c>
      <c r="AE1919" t="s">
        <v>74</v>
      </c>
      <c r="AF1919" t="s">
        <v>74</v>
      </c>
      <c r="AG1919">
        <v>82</v>
      </c>
      <c r="AH1919">
        <v>0</v>
      </c>
      <c r="AI1919">
        <v>0</v>
      </c>
      <c r="AJ1919">
        <v>2</v>
      </c>
      <c r="AK1919">
        <v>2</v>
      </c>
      <c r="AL1919" t="s">
        <v>74</v>
      </c>
      <c r="AM1919" t="s">
        <v>74</v>
      </c>
      <c r="AN1919" t="s">
        <v>74</v>
      </c>
      <c r="AO1919" t="s">
        <v>74</v>
      </c>
      <c r="AP1919" t="s">
        <v>1806</v>
      </c>
      <c r="AQ1919" t="s">
        <v>74</v>
      </c>
      <c r="AR1919" t="s">
        <v>74</v>
      </c>
      <c r="AS1919" t="s">
        <v>74</v>
      </c>
      <c r="AT1919" t="s">
        <v>1807</v>
      </c>
      <c r="AU1919">
        <v>2022</v>
      </c>
      <c r="AV1919">
        <v>13</v>
      </c>
      <c r="AW1919" t="s">
        <v>74</v>
      </c>
      <c r="AX1919" t="s">
        <v>74</v>
      </c>
      <c r="AY1919" t="s">
        <v>74</v>
      </c>
      <c r="AZ1919" t="s">
        <v>74</v>
      </c>
      <c r="BA1919" t="s">
        <v>74</v>
      </c>
      <c r="BB1919" t="s">
        <v>74</v>
      </c>
      <c r="BC1919" t="s">
        <v>74</v>
      </c>
      <c r="BD1919">
        <v>783260</v>
      </c>
      <c r="BE1919" t="s">
        <v>1808</v>
      </c>
      <c r="BF1919" t="str">
        <f>HYPERLINK("http://dx.doi.org/10.3389/fphys.2022.783260","http://dx.doi.org/10.3389/fphys.2022.783260")</f>
        <v>http://dx.doi.org/10.3389/fphys.2022.783260</v>
      </c>
      <c r="BG1919" t="s">
        <v>74</v>
      </c>
      <c r="BH1919" t="s">
        <v>74</v>
      </c>
      <c r="BI1919" t="s">
        <v>74</v>
      </c>
      <c r="BJ1919" t="s">
        <v>1809</v>
      </c>
      <c r="BK1919" t="s">
        <v>117</v>
      </c>
      <c r="BL1919" t="s">
        <v>1809</v>
      </c>
      <c r="BM1919" t="s">
        <v>74</v>
      </c>
      <c r="BN1919">
        <v>35432007</v>
      </c>
      <c r="BO1919" t="s">
        <v>74</v>
      </c>
      <c r="BP1919" t="s">
        <v>74</v>
      </c>
      <c r="BQ1919" t="s">
        <v>74</v>
      </c>
      <c r="BR1919" t="s">
        <v>96</v>
      </c>
      <c r="BS1919" t="s">
        <v>1810</v>
      </c>
      <c r="BT1919" t="str">
        <f>HYPERLINK("https%3A%2F%2Fwww.webofscience.com%2Fwos%2Fwoscc%2Ffull-record%2FWOS:000788682700001","View Full Record in Web of Science")</f>
        <v>View Full Record in Web of Science</v>
      </c>
    </row>
    <row r="1920" spans="1:72" x14ac:dyDescent="0.15">
      <c r="A1920" t="s">
        <v>98</v>
      </c>
      <c r="B1920" t="s">
        <v>1941</v>
      </c>
      <c r="C1920" t="s">
        <v>74</v>
      </c>
      <c r="D1920" t="s">
        <v>74</v>
      </c>
      <c r="E1920" t="s">
        <v>74</v>
      </c>
      <c r="F1920" t="s">
        <v>1942</v>
      </c>
      <c r="G1920" t="s">
        <v>74</v>
      </c>
      <c r="H1920" t="s">
        <v>74</v>
      </c>
      <c r="I1920" t="s">
        <v>1943</v>
      </c>
      <c r="J1920" t="s">
        <v>817</v>
      </c>
      <c r="K1920" t="s">
        <v>74</v>
      </c>
      <c r="L1920" t="s">
        <v>74</v>
      </c>
      <c r="M1920" t="s">
        <v>74</v>
      </c>
      <c r="N1920" t="s">
        <v>103</v>
      </c>
      <c r="O1920" t="s">
        <v>74</v>
      </c>
      <c r="P1920" t="s">
        <v>74</v>
      </c>
      <c r="Q1920" t="s">
        <v>74</v>
      </c>
      <c r="R1920" t="s">
        <v>74</v>
      </c>
      <c r="S1920" t="s">
        <v>74</v>
      </c>
      <c r="T1920" t="s">
        <v>1944</v>
      </c>
      <c r="U1920" t="s">
        <v>1945</v>
      </c>
      <c r="V1920" t="s">
        <v>1946</v>
      </c>
      <c r="W1920" t="s">
        <v>1947</v>
      </c>
      <c r="X1920" t="s">
        <v>1948</v>
      </c>
      <c r="Y1920" t="s">
        <v>1949</v>
      </c>
      <c r="Z1920" t="s">
        <v>1950</v>
      </c>
      <c r="AA1920" t="s">
        <v>1951</v>
      </c>
      <c r="AB1920" t="s">
        <v>1952</v>
      </c>
      <c r="AC1920" t="s">
        <v>74</v>
      </c>
      <c r="AD1920" t="s">
        <v>74</v>
      </c>
      <c r="AE1920" t="s">
        <v>74</v>
      </c>
      <c r="AF1920" t="s">
        <v>74</v>
      </c>
      <c r="AG1920">
        <v>56</v>
      </c>
      <c r="AH1920">
        <v>0</v>
      </c>
      <c r="AI1920">
        <v>0</v>
      </c>
      <c r="AJ1920">
        <v>3</v>
      </c>
      <c r="AK1920">
        <v>3</v>
      </c>
      <c r="AL1920" t="s">
        <v>74</v>
      </c>
      <c r="AM1920" t="s">
        <v>74</v>
      </c>
      <c r="AN1920" t="s">
        <v>74</v>
      </c>
      <c r="AO1920" t="s">
        <v>74</v>
      </c>
      <c r="AP1920" t="s">
        <v>827</v>
      </c>
      <c r="AQ1920" t="s">
        <v>74</v>
      </c>
      <c r="AR1920" t="s">
        <v>74</v>
      </c>
      <c r="AS1920" t="s">
        <v>74</v>
      </c>
      <c r="AT1920" t="s">
        <v>614</v>
      </c>
      <c r="AU1920">
        <v>2022</v>
      </c>
      <c r="AV1920">
        <v>23</v>
      </c>
      <c r="AW1920">
        <v>13</v>
      </c>
      <c r="AX1920" t="s">
        <v>74</v>
      </c>
      <c r="AY1920" t="s">
        <v>74</v>
      </c>
      <c r="AZ1920" t="s">
        <v>74</v>
      </c>
      <c r="BA1920" t="s">
        <v>74</v>
      </c>
      <c r="BB1920" t="s">
        <v>74</v>
      </c>
      <c r="BC1920" t="s">
        <v>74</v>
      </c>
      <c r="BD1920">
        <v>7408</v>
      </c>
      <c r="BE1920" t="s">
        <v>1953</v>
      </c>
      <c r="BF1920" t="str">
        <f>HYPERLINK("http://dx.doi.org/10.3390/ijms23137408","http://dx.doi.org/10.3390/ijms23137408")</f>
        <v>http://dx.doi.org/10.3390/ijms23137408</v>
      </c>
      <c r="BG1920" t="s">
        <v>74</v>
      </c>
      <c r="BH1920" t="s">
        <v>74</v>
      </c>
      <c r="BI1920" t="s">
        <v>74</v>
      </c>
      <c r="BJ1920" t="s">
        <v>830</v>
      </c>
      <c r="BK1920" t="s">
        <v>117</v>
      </c>
      <c r="BL1920" t="s">
        <v>831</v>
      </c>
      <c r="BM1920" t="s">
        <v>74</v>
      </c>
      <c r="BN1920">
        <v>35806411</v>
      </c>
      <c r="BO1920" t="s">
        <v>74</v>
      </c>
      <c r="BP1920" t="s">
        <v>74</v>
      </c>
      <c r="BQ1920" t="s">
        <v>74</v>
      </c>
      <c r="BR1920" t="s">
        <v>96</v>
      </c>
      <c r="BS1920" t="s">
        <v>1954</v>
      </c>
      <c r="BT1920" t="str">
        <f>HYPERLINK("https%3A%2F%2Fwww.webofscience.com%2Fwos%2Fwoscc%2Ffull-record%2FWOS:000824617200001","View Full Record in Web of Science")</f>
        <v>View Full Record in Web of Science</v>
      </c>
    </row>
    <row r="1921" spans="1:72" x14ac:dyDescent="0.15">
      <c r="A1921" t="s">
        <v>98</v>
      </c>
      <c r="B1921" t="s">
        <v>2036</v>
      </c>
      <c r="C1921" t="s">
        <v>74</v>
      </c>
      <c r="D1921" t="s">
        <v>74</v>
      </c>
      <c r="E1921" t="s">
        <v>74</v>
      </c>
      <c r="F1921" t="s">
        <v>2037</v>
      </c>
      <c r="G1921" t="s">
        <v>74</v>
      </c>
      <c r="H1921" t="s">
        <v>74</v>
      </c>
      <c r="I1921" t="s">
        <v>2038</v>
      </c>
      <c r="J1921" t="s">
        <v>903</v>
      </c>
      <c r="K1921" t="s">
        <v>74</v>
      </c>
      <c r="L1921" t="s">
        <v>74</v>
      </c>
      <c r="M1921" t="s">
        <v>74</v>
      </c>
      <c r="N1921" t="s">
        <v>103</v>
      </c>
      <c r="O1921" t="s">
        <v>74</v>
      </c>
      <c r="P1921" t="s">
        <v>74</v>
      </c>
      <c r="Q1921" t="s">
        <v>74</v>
      </c>
      <c r="R1921" t="s">
        <v>74</v>
      </c>
      <c r="S1921" t="s">
        <v>74</v>
      </c>
      <c r="T1921" t="s">
        <v>2039</v>
      </c>
      <c r="U1921" t="s">
        <v>2040</v>
      </c>
      <c r="V1921" t="s">
        <v>2041</v>
      </c>
      <c r="W1921" t="s">
        <v>2042</v>
      </c>
      <c r="X1921" t="s">
        <v>1506</v>
      </c>
      <c r="Y1921" t="s">
        <v>2043</v>
      </c>
      <c r="Z1921" t="s">
        <v>2044</v>
      </c>
      <c r="AA1921" t="s">
        <v>74</v>
      </c>
      <c r="AB1921" t="s">
        <v>2045</v>
      </c>
      <c r="AC1921" t="s">
        <v>74</v>
      </c>
      <c r="AD1921" t="s">
        <v>74</v>
      </c>
      <c r="AE1921" t="s">
        <v>74</v>
      </c>
      <c r="AF1921" t="s">
        <v>74</v>
      </c>
      <c r="AG1921">
        <v>82</v>
      </c>
      <c r="AH1921">
        <v>0</v>
      </c>
      <c r="AI1921">
        <v>0</v>
      </c>
      <c r="AJ1921">
        <v>0</v>
      </c>
      <c r="AK1921">
        <v>0</v>
      </c>
      <c r="AL1921" t="s">
        <v>74</v>
      </c>
      <c r="AM1921" t="s">
        <v>74</v>
      </c>
      <c r="AN1921" t="s">
        <v>74</v>
      </c>
      <c r="AO1921" t="s">
        <v>74</v>
      </c>
      <c r="AP1921" t="s">
        <v>913</v>
      </c>
      <c r="AQ1921" t="s">
        <v>74</v>
      </c>
      <c r="AR1921" t="s">
        <v>74</v>
      </c>
      <c r="AS1921" t="s">
        <v>74</v>
      </c>
      <c r="AT1921" t="s">
        <v>132</v>
      </c>
      <c r="AU1921">
        <v>2022</v>
      </c>
      <c r="AV1921">
        <v>14</v>
      </c>
      <c r="AW1921">
        <v>7</v>
      </c>
      <c r="AX1921" t="s">
        <v>74</v>
      </c>
      <c r="AY1921" t="s">
        <v>74</v>
      </c>
      <c r="AZ1921" t="s">
        <v>74</v>
      </c>
      <c r="BA1921" t="s">
        <v>74</v>
      </c>
      <c r="BB1921" t="s">
        <v>74</v>
      </c>
      <c r="BC1921" t="s">
        <v>74</v>
      </c>
      <c r="BD1921">
        <v>1733</v>
      </c>
      <c r="BE1921" t="s">
        <v>2046</v>
      </c>
      <c r="BF1921" t="str">
        <f>HYPERLINK("http://dx.doi.org/10.3390/cancers14071733","http://dx.doi.org/10.3390/cancers14071733")</f>
        <v>http://dx.doi.org/10.3390/cancers14071733</v>
      </c>
      <c r="BG1921" t="s">
        <v>74</v>
      </c>
      <c r="BH1921" t="s">
        <v>74</v>
      </c>
      <c r="BI1921" t="s">
        <v>74</v>
      </c>
      <c r="BJ1921" t="s">
        <v>267</v>
      </c>
      <c r="BK1921" t="s">
        <v>117</v>
      </c>
      <c r="BL1921" t="s">
        <v>267</v>
      </c>
      <c r="BM1921" t="s">
        <v>74</v>
      </c>
      <c r="BN1921">
        <v>35406505</v>
      </c>
      <c r="BO1921" t="s">
        <v>74</v>
      </c>
      <c r="BP1921" t="s">
        <v>74</v>
      </c>
      <c r="BQ1921" t="s">
        <v>74</v>
      </c>
      <c r="BR1921" t="s">
        <v>96</v>
      </c>
      <c r="BS1921" t="s">
        <v>2047</v>
      </c>
      <c r="BT1921" t="str">
        <f>HYPERLINK("https%3A%2F%2Fwww.webofscience.com%2Fwos%2Fwoscc%2Ffull-record%2FWOS:000780547500001","View Full Record in Web of Science")</f>
        <v>View Full Record in Web of Science</v>
      </c>
    </row>
    <row r="1922" spans="1:72" x14ac:dyDescent="0.15">
      <c r="A1922" t="s">
        <v>98</v>
      </c>
      <c r="B1922" t="s">
        <v>2407</v>
      </c>
      <c r="C1922" t="s">
        <v>74</v>
      </c>
      <c r="D1922" t="s">
        <v>74</v>
      </c>
      <c r="E1922" t="s">
        <v>74</v>
      </c>
      <c r="F1922" t="s">
        <v>2408</v>
      </c>
      <c r="G1922" t="s">
        <v>74</v>
      </c>
      <c r="H1922" t="s">
        <v>74</v>
      </c>
      <c r="I1922" t="s">
        <v>2409</v>
      </c>
      <c r="J1922" t="s">
        <v>2410</v>
      </c>
      <c r="K1922" t="s">
        <v>74</v>
      </c>
      <c r="L1922" t="s">
        <v>74</v>
      </c>
      <c r="M1922" t="s">
        <v>74</v>
      </c>
      <c r="N1922" t="s">
        <v>103</v>
      </c>
      <c r="O1922" t="s">
        <v>74</v>
      </c>
      <c r="P1922" t="s">
        <v>74</v>
      </c>
      <c r="Q1922" t="s">
        <v>74</v>
      </c>
      <c r="R1922" t="s">
        <v>74</v>
      </c>
      <c r="S1922" t="s">
        <v>74</v>
      </c>
      <c r="T1922" t="s">
        <v>2411</v>
      </c>
      <c r="U1922" t="s">
        <v>2412</v>
      </c>
      <c r="V1922" t="s">
        <v>2413</v>
      </c>
      <c r="W1922" t="s">
        <v>2414</v>
      </c>
      <c r="X1922" t="s">
        <v>2415</v>
      </c>
      <c r="Y1922" t="s">
        <v>2416</v>
      </c>
      <c r="Z1922" t="s">
        <v>2417</v>
      </c>
      <c r="AA1922" t="s">
        <v>74</v>
      </c>
      <c r="AB1922" t="s">
        <v>74</v>
      </c>
      <c r="AC1922" t="s">
        <v>74</v>
      </c>
      <c r="AD1922" t="s">
        <v>74</v>
      </c>
      <c r="AE1922" t="s">
        <v>74</v>
      </c>
      <c r="AF1922" t="s">
        <v>74</v>
      </c>
      <c r="AG1922">
        <v>147</v>
      </c>
      <c r="AH1922">
        <v>0</v>
      </c>
      <c r="AI1922">
        <v>0</v>
      </c>
      <c r="AJ1922">
        <v>1</v>
      </c>
      <c r="AK1922">
        <v>1</v>
      </c>
      <c r="AL1922" t="s">
        <v>74</v>
      </c>
      <c r="AM1922" t="s">
        <v>74</v>
      </c>
      <c r="AN1922" t="s">
        <v>74</v>
      </c>
      <c r="AO1922" t="s">
        <v>2418</v>
      </c>
      <c r="AP1922" t="s">
        <v>2419</v>
      </c>
      <c r="AQ1922" t="s">
        <v>74</v>
      </c>
      <c r="AR1922" t="s">
        <v>74</v>
      </c>
      <c r="AS1922" t="s">
        <v>74</v>
      </c>
      <c r="AT1922" t="s">
        <v>2420</v>
      </c>
      <c r="AU1922">
        <v>2022</v>
      </c>
      <c r="AV1922">
        <v>544</v>
      </c>
      <c r="AW1922" t="s">
        <v>74</v>
      </c>
      <c r="AX1922" t="s">
        <v>74</v>
      </c>
      <c r="AY1922" t="s">
        <v>74</v>
      </c>
      <c r="AZ1922" t="s">
        <v>74</v>
      </c>
      <c r="BA1922" t="s">
        <v>74</v>
      </c>
      <c r="BB1922" t="s">
        <v>74</v>
      </c>
      <c r="BC1922" t="s">
        <v>74</v>
      </c>
      <c r="BD1922">
        <v>215809</v>
      </c>
      <c r="BE1922" t="s">
        <v>2421</v>
      </c>
      <c r="BF1922" t="str">
        <f>HYPERLINK("http://dx.doi.org/10.1016/j.canlet.2022.215809","http://dx.doi.org/10.1016/j.canlet.2022.215809")</f>
        <v>http://dx.doi.org/10.1016/j.canlet.2022.215809</v>
      </c>
      <c r="BG1922" t="s">
        <v>74</v>
      </c>
      <c r="BH1922" t="s">
        <v>74</v>
      </c>
      <c r="BI1922" t="s">
        <v>74</v>
      </c>
      <c r="BJ1922" t="s">
        <v>267</v>
      </c>
      <c r="BK1922" t="s">
        <v>117</v>
      </c>
      <c r="BL1922" t="s">
        <v>267</v>
      </c>
      <c r="BM1922" t="s">
        <v>74</v>
      </c>
      <c r="BN1922">
        <v>35777716</v>
      </c>
      <c r="BO1922" t="s">
        <v>74</v>
      </c>
      <c r="BP1922" t="s">
        <v>74</v>
      </c>
      <c r="BQ1922" t="s">
        <v>74</v>
      </c>
      <c r="BR1922" t="s">
        <v>96</v>
      </c>
      <c r="BS1922" t="s">
        <v>2422</v>
      </c>
      <c r="BT1922" t="str">
        <f>HYPERLINK("https%3A%2F%2Fwww.webofscience.com%2Fwos%2Fwoscc%2Ffull-record%2FWOS:000827123600003","View Full Record in Web of Science")</f>
        <v>View Full Record in Web of Science</v>
      </c>
    </row>
    <row r="1923" spans="1:72" x14ac:dyDescent="0.15">
      <c r="A1923" t="s">
        <v>98</v>
      </c>
      <c r="B1923" t="s">
        <v>2567</v>
      </c>
      <c r="C1923" t="s">
        <v>74</v>
      </c>
      <c r="D1923" t="s">
        <v>74</v>
      </c>
      <c r="E1923" t="s">
        <v>74</v>
      </c>
      <c r="F1923" t="s">
        <v>2568</v>
      </c>
      <c r="G1923" t="s">
        <v>74</v>
      </c>
      <c r="H1923" t="s">
        <v>74</v>
      </c>
      <c r="I1923" t="s">
        <v>2569</v>
      </c>
      <c r="J1923" t="s">
        <v>2570</v>
      </c>
      <c r="K1923" t="s">
        <v>74</v>
      </c>
      <c r="L1923" t="s">
        <v>74</v>
      </c>
      <c r="M1923" t="s">
        <v>74</v>
      </c>
      <c r="N1923" t="s">
        <v>103</v>
      </c>
      <c r="O1923" t="s">
        <v>74</v>
      </c>
      <c r="P1923" t="s">
        <v>74</v>
      </c>
      <c r="Q1923" t="s">
        <v>74</v>
      </c>
      <c r="R1923" t="s">
        <v>74</v>
      </c>
      <c r="S1923" t="s">
        <v>74</v>
      </c>
      <c r="T1923" t="s">
        <v>2571</v>
      </c>
      <c r="U1923" t="s">
        <v>2572</v>
      </c>
      <c r="V1923" t="s">
        <v>2573</v>
      </c>
      <c r="W1923" t="s">
        <v>2574</v>
      </c>
      <c r="X1923" t="s">
        <v>2575</v>
      </c>
      <c r="Y1923" t="s">
        <v>2576</v>
      </c>
      <c r="Z1923" t="s">
        <v>2577</v>
      </c>
      <c r="AA1923" t="s">
        <v>74</v>
      </c>
      <c r="AB1923" t="s">
        <v>74</v>
      </c>
      <c r="AC1923" t="s">
        <v>74</v>
      </c>
      <c r="AD1923" t="s">
        <v>74</v>
      </c>
      <c r="AE1923" t="s">
        <v>74</v>
      </c>
      <c r="AF1923" t="s">
        <v>74</v>
      </c>
      <c r="AG1923">
        <v>23</v>
      </c>
      <c r="AH1923">
        <v>0</v>
      </c>
      <c r="AI1923">
        <v>0</v>
      </c>
      <c r="AJ1923">
        <v>0</v>
      </c>
      <c r="AK1923">
        <v>3</v>
      </c>
      <c r="AL1923" t="s">
        <v>74</v>
      </c>
      <c r="AM1923" t="s">
        <v>74</v>
      </c>
      <c r="AN1923" t="s">
        <v>74</v>
      </c>
      <c r="AO1923" t="s">
        <v>2578</v>
      </c>
      <c r="AP1923" t="s">
        <v>74</v>
      </c>
      <c r="AQ1923" t="s">
        <v>74</v>
      </c>
      <c r="AR1923" t="s">
        <v>74</v>
      </c>
      <c r="AS1923" t="s">
        <v>74</v>
      </c>
      <c r="AT1923" t="s">
        <v>74</v>
      </c>
      <c r="AU1923">
        <v>2021</v>
      </c>
      <c r="AV1923">
        <v>12</v>
      </c>
      <c r="AW1923" t="s">
        <v>74</v>
      </c>
      <c r="AX1923" t="s">
        <v>74</v>
      </c>
      <c r="AY1923" t="s">
        <v>74</v>
      </c>
      <c r="AZ1923" t="s">
        <v>74</v>
      </c>
      <c r="BA1923" t="s">
        <v>74</v>
      </c>
      <c r="BB1923">
        <v>277</v>
      </c>
      <c r="BC1923">
        <v>285</v>
      </c>
      <c r="BD1923" t="s">
        <v>74</v>
      </c>
      <c r="BE1923" t="s">
        <v>2579</v>
      </c>
      <c r="BF1923" t="str">
        <f>HYPERLINK("http://dx.doi.org/10.2147/JBM.S308861","http://dx.doi.org/10.2147/JBM.S308861")</f>
        <v>http://dx.doi.org/10.2147/JBM.S308861</v>
      </c>
      <c r="BG1923" t="s">
        <v>74</v>
      </c>
      <c r="BH1923" t="s">
        <v>74</v>
      </c>
      <c r="BI1923" t="s">
        <v>74</v>
      </c>
      <c r="BJ1923" t="s">
        <v>2438</v>
      </c>
      <c r="BK1923" t="s">
        <v>467</v>
      </c>
      <c r="BL1923" t="s">
        <v>2438</v>
      </c>
      <c r="BM1923" t="s">
        <v>74</v>
      </c>
      <c r="BN1923">
        <v>34040472</v>
      </c>
      <c r="BO1923" t="s">
        <v>74</v>
      </c>
      <c r="BP1923" t="s">
        <v>74</v>
      </c>
      <c r="BQ1923" t="s">
        <v>74</v>
      </c>
      <c r="BR1923" t="s">
        <v>96</v>
      </c>
      <c r="BS1923" t="s">
        <v>2580</v>
      </c>
      <c r="BT1923" t="str">
        <f>HYPERLINK("https%3A%2F%2Fwww.webofscience.com%2Fwos%2Fwoscc%2Ffull-record%2FWOS:000651826000001","View Full Record in Web of Science")</f>
        <v>View Full Record in Web of Science</v>
      </c>
    </row>
    <row r="1924" spans="1:72" x14ac:dyDescent="0.15">
      <c r="A1924" t="s">
        <v>98</v>
      </c>
      <c r="B1924" t="s">
        <v>2757</v>
      </c>
      <c r="C1924" t="s">
        <v>74</v>
      </c>
      <c r="D1924" t="s">
        <v>74</v>
      </c>
      <c r="E1924" t="s">
        <v>74</v>
      </c>
      <c r="F1924" t="s">
        <v>2758</v>
      </c>
      <c r="G1924" t="s">
        <v>74</v>
      </c>
      <c r="H1924" t="s">
        <v>74</v>
      </c>
      <c r="I1924" t="s">
        <v>2759</v>
      </c>
      <c r="J1924" t="s">
        <v>2760</v>
      </c>
      <c r="K1924" t="s">
        <v>74</v>
      </c>
      <c r="L1924" t="s">
        <v>74</v>
      </c>
      <c r="M1924" t="s">
        <v>74</v>
      </c>
      <c r="N1924" t="s">
        <v>103</v>
      </c>
      <c r="O1924" t="s">
        <v>74</v>
      </c>
      <c r="P1924" t="s">
        <v>74</v>
      </c>
      <c r="Q1924" t="s">
        <v>74</v>
      </c>
      <c r="R1924" t="s">
        <v>74</v>
      </c>
      <c r="S1924" t="s">
        <v>74</v>
      </c>
      <c r="T1924" t="s">
        <v>2761</v>
      </c>
      <c r="U1924" t="s">
        <v>2762</v>
      </c>
      <c r="V1924" t="s">
        <v>2763</v>
      </c>
      <c r="W1924" t="s">
        <v>2764</v>
      </c>
      <c r="X1924" t="s">
        <v>2765</v>
      </c>
      <c r="Y1924" t="s">
        <v>2766</v>
      </c>
      <c r="Z1924" t="s">
        <v>2767</v>
      </c>
      <c r="AA1924" t="s">
        <v>2768</v>
      </c>
      <c r="AB1924" t="s">
        <v>2769</v>
      </c>
      <c r="AC1924" t="s">
        <v>74</v>
      </c>
      <c r="AD1924" t="s">
        <v>74</v>
      </c>
      <c r="AE1924" t="s">
        <v>74</v>
      </c>
      <c r="AF1924" t="s">
        <v>74</v>
      </c>
      <c r="AG1924">
        <v>60</v>
      </c>
      <c r="AH1924">
        <v>0</v>
      </c>
      <c r="AI1924">
        <v>0</v>
      </c>
      <c r="AJ1924">
        <v>0</v>
      </c>
      <c r="AK1924">
        <v>9</v>
      </c>
      <c r="AL1924" t="s">
        <v>74</v>
      </c>
      <c r="AM1924" t="s">
        <v>74</v>
      </c>
      <c r="AN1924" t="s">
        <v>74</v>
      </c>
      <c r="AO1924" t="s">
        <v>2770</v>
      </c>
      <c r="AP1924" t="s">
        <v>2771</v>
      </c>
      <c r="AQ1924" t="s">
        <v>74</v>
      </c>
      <c r="AR1924" t="s">
        <v>74</v>
      </c>
      <c r="AS1924" t="s">
        <v>74</v>
      </c>
      <c r="AT1924" t="s">
        <v>967</v>
      </c>
      <c r="AU1924">
        <v>2017</v>
      </c>
      <c r="AV1924">
        <v>41</v>
      </c>
      <c r="AW1924">
        <v>6</v>
      </c>
      <c r="AX1924" t="s">
        <v>74</v>
      </c>
      <c r="AY1924" t="s">
        <v>74</v>
      </c>
      <c r="AZ1924" t="s">
        <v>74</v>
      </c>
      <c r="BA1924" t="s">
        <v>74</v>
      </c>
      <c r="BB1924">
        <v>299</v>
      </c>
      <c r="BC1924">
        <v>308</v>
      </c>
      <c r="BD1924" t="s">
        <v>74</v>
      </c>
      <c r="BE1924" t="s">
        <v>2772</v>
      </c>
      <c r="BF1924" t="str">
        <f>HYPERLINK("http://dx.doi.org/10.1515/labmed-2017-0078","http://dx.doi.org/10.1515/labmed-2017-0078")</f>
        <v>http://dx.doi.org/10.1515/labmed-2017-0078</v>
      </c>
      <c r="BG1924" t="s">
        <v>74</v>
      </c>
      <c r="BH1924" t="s">
        <v>74</v>
      </c>
      <c r="BI1924" t="s">
        <v>74</v>
      </c>
      <c r="BJ1924" t="s">
        <v>2773</v>
      </c>
      <c r="BK1924" t="s">
        <v>117</v>
      </c>
      <c r="BL1924" t="s">
        <v>2773</v>
      </c>
      <c r="BM1924" t="s">
        <v>74</v>
      </c>
      <c r="BN1924" t="s">
        <v>74</v>
      </c>
      <c r="BO1924" t="s">
        <v>74</v>
      </c>
      <c r="BP1924" t="s">
        <v>74</v>
      </c>
      <c r="BQ1924" t="s">
        <v>74</v>
      </c>
      <c r="BR1924" t="s">
        <v>96</v>
      </c>
      <c r="BS1924" t="s">
        <v>2774</v>
      </c>
      <c r="BT1924" t="str">
        <f>HYPERLINK("https%3A%2F%2Fwww.webofscience.com%2Fwos%2Fwoscc%2Ffull-record%2FWOS:000417846000004","View Full Record in Web of Science")</f>
        <v>View Full Record in Web of Science</v>
      </c>
    </row>
    <row r="1925" spans="1:72" x14ac:dyDescent="0.15">
      <c r="A1925" t="s">
        <v>98</v>
      </c>
      <c r="B1925" t="s">
        <v>2801</v>
      </c>
      <c r="C1925" t="s">
        <v>74</v>
      </c>
      <c r="D1925" t="s">
        <v>74</v>
      </c>
      <c r="E1925" t="s">
        <v>74</v>
      </c>
      <c r="F1925" t="s">
        <v>2802</v>
      </c>
      <c r="G1925" t="s">
        <v>74</v>
      </c>
      <c r="H1925" t="s">
        <v>74</v>
      </c>
      <c r="I1925" t="s">
        <v>2803</v>
      </c>
      <c r="J1925" t="s">
        <v>123</v>
      </c>
      <c r="K1925" t="s">
        <v>74</v>
      </c>
      <c r="L1925" t="s">
        <v>74</v>
      </c>
      <c r="M1925" t="s">
        <v>74</v>
      </c>
      <c r="N1925" t="s">
        <v>103</v>
      </c>
      <c r="O1925" t="s">
        <v>74</v>
      </c>
      <c r="P1925" t="s">
        <v>74</v>
      </c>
      <c r="Q1925" t="s">
        <v>74</v>
      </c>
      <c r="R1925" t="s">
        <v>74</v>
      </c>
      <c r="S1925" t="s">
        <v>74</v>
      </c>
      <c r="T1925" t="s">
        <v>2804</v>
      </c>
      <c r="U1925" t="s">
        <v>2805</v>
      </c>
      <c r="V1925" t="s">
        <v>2806</v>
      </c>
      <c r="W1925" t="s">
        <v>2807</v>
      </c>
      <c r="X1925" t="s">
        <v>2808</v>
      </c>
      <c r="Y1925" t="s">
        <v>2809</v>
      </c>
      <c r="Z1925" t="s">
        <v>2810</v>
      </c>
      <c r="AA1925" t="s">
        <v>74</v>
      </c>
      <c r="AB1925" t="s">
        <v>2811</v>
      </c>
      <c r="AC1925" t="s">
        <v>74</v>
      </c>
      <c r="AD1925" t="s">
        <v>74</v>
      </c>
      <c r="AE1925" t="s">
        <v>74</v>
      </c>
      <c r="AF1925" t="s">
        <v>74</v>
      </c>
      <c r="AG1925">
        <v>50</v>
      </c>
      <c r="AH1925">
        <v>0</v>
      </c>
      <c r="AI1925">
        <v>0</v>
      </c>
      <c r="AJ1925">
        <v>6</v>
      </c>
      <c r="AK1925">
        <v>6</v>
      </c>
      <c r="AL1925" t="s">
        <v>74</v>
      </c>
      <c r="AM1925" t="s">
        <v>74</v>
      </c>
      <c r="AN1925" t="s">
        <v>74</v>
      </c>
      <c r="AO1925" t="s">
        <v>74</v>
      </c>
      <c r="AP1925" t="s">
        <v>131</v>
      </c>
      <c r="AQ1925" t="s">
        <v>74</v>
      </c>
      <c r="AR1925" t="s">
        <v>74</v>
      </c>
      <c r="AS1925" t="s">
        <v>74</v>
      </c>
      <c r="AT1925" t="s">
        <v>565</v>
      </c>
      <c r="AU1925">
        <v>2022</v>
      </c>
      <c r="AV1925">
        <v>11</v>
      </c>
      <c r="AW1925">
        <v>3</v>
      </c>
      <c r="AX1925" t="s">
        <v>74</v>
      </c>
      <c r="AY1925" t="s">
        <v>74</v>
      </c>
      <c r="AZ1925" t="s">
        <v>74</v>
      </c>
      <c r="BA1925" t="s">
        <v>74</v>
      </c>
      <c r="BB1925" t="s">
        <v>74</v>
      </c>
      <c r="BC1925" t="s">
        <v>74</v>
      </c>
      <c r="BD1925" t="s">
        <v>2812</v>
      </c>
      <c r="BE1925" t="s">
        <v>2813</v>
      </c>
      <c r="BF1925" t="str">
        <f>HYPERLINK("http://dx.doi.org/10.1002/jev2.12199","http://dx.doi.org/10.1002/jev2.12199")</f>
        <v>http://dx.doi.org/10.1002/jev2.12199</v>
      </c>
      <c r="BG1925" t="s">
        <v>74</v>
      </c>
      <c r="BH1925" t="s">
        <v>74</v>
      </c>
      <c r="BI1925" t="s">
        <v>74</v>
      </c>
      <c r="BJ1925" t="s">
        <v>135</v>
      </c>
      <c r="BK1925" t="s">
        <v>117</v>
      </c>
      <c r="BL1925" t="s">
        <v>135</v>
      </c>
      <c r="BM1925" t="s">
        <v>74</v>
      </c>
      <c r="BN1925">
        <v>35233930</v>
      </c>
      <c r="BO1925" t="s">
        <v>74</v>
      </c>
      <c r="BP1925" t="s">
        <v>74</v>
      </c>
      <c r="BQ1925" t="s">
        <v>74</v>
      </c>
      <c r="BR1925" t="s">
        <v>96</v>
      </c>
      <c r="BS1925" t="s">
        <v>2814</v>
      </c>
      <c r="BT1925" t="str">
        <f>HYPERLINK("https%3A%2F%2Fwww.webofscience.com%2Fwos%2Fwoscc%2Ffull-record%2FWOS:000762512000001","View Full Record in Web of Science")</f>
        <v>View Full Record in Web of Science</v>
      </c>
    </row>
    <row r="1926" spans="1:72" x14ac:dyDescent="0.15">
      <c r="A1926" t="s">
        <v>98</v>
      </c>
      <c r="B1926" t="s">
        <v>2830</v>
      </c>
      <c r="C1926" t="s">
        <v>74</v>
      </c>
      <c r="D1926" t="s">
        <v>74</v>
      </c>
      <c r="E1926" t="s">
        <v>74</v>
      </c>
      <c r="F1926" t="s">
        <v>2831</v>
      </c>
      <c r="G1926" t="s">
        <v>74</v>
      </c>
      <c r="H1926" t="s">
        <v>74</v>
      </c>
      <c r="I1926" t="s">
        <v>2832</v>
      </c>
      <c r="J1926" t="s">
        <v>2833</v>
      </c>
      <c r="K1926" t="s">
        <v>74</v>
      </c>
      <c r="L1926" t="s">
        <v>74</v>
      </c>
      <c r="M1926" t="s">
        <v>74</v>
      </c>
      <c r="N1926" t="s">
        <v>103</v>
      </c>
      <c r="O1926" t="s">
        <v>74</v>
      </c>
      <c r="P1926" t="s">
        <v>74</v>
      </c>
      <c r="Q1926" t="s">
        <v>74</v>
      </c>
      <c r="R1926" t="s">
        <v>74</v>
      </c>
      <c r="S1926" t="s">
        <v>74</v>
      </c>
      <c r="T1926" t="s">
        <v>2834</v>
      </c>
      <c r="U1926" t="s">
        <v>2835</v>
      </c>
      <c r="V1926" t="s">
        <v>2836</v>
      </c>
      <c r="W1926" t="s">
        <v>2837</v>
      </c>
      <c r="X1926" t="s">
        <v>2838</v>
      </c>
      <c r="Y1926" t="s">
        <v>2839</v>
      </c>
      <c r="Z1926" t="s">
        <v>2840</v>
      </c>
      <c r="AA1926" t="s">
        <v>74</v>
      </c>
      <c r="AB1926" t="s">
        <v>74</v>
      </c>
      <c r="AC1926" t="s">
        <v>74</v>
      </c>
      <c r="AD1926" t="s">
        <v>74</v>
      </c>
      <c r="AE1926" t="s">
        <v>74</v>
      </c>
      <c r="AF1926" t="s">
        <v>74</v>
      </c>
      <c r="AG1926">
        <v>26</v>
      </c>
      <c r="AH1926">
        <v>0</v>
      </c>
      <c r="AI1926">
        <v>0</v>
      </c>
      <c r="AJ1926">
        <v>1</v>
      </c>
      <c r="AK1926">
        <v>1</v>
      </c>
      <c r="AL1926" t="s">
        <v>74</v>
      </c>
      <c r="AM1926" t="s">
        <v>74</v>
      </c>
      <c r="AN1926" t="s">
        <v>74</v>
      </c>
      <c r="AO1926" t="s">
        <v>2841</v>
      </c>
      <c r="AP1926" t="s">
        <v>2842</v>
      </c>
      <c r="AQ1926" t="s">
        <v>74</v>
      </c>
      <c r="AR1926" t="s">
        <v>74</v>
      </c>
      <c r="AS1926" t="s">
        <v>74</v>
      </c>
      <c r="AT1926" t="s">
        <v>2843</v>
      </c>
      <c r="AU1926">
        <v>2022</v>
      </c>
      <c r="AV1926">
        <v>603</v>
      </c>
      <c r="AW1926" t="s">
        <v>74</v>
      </c>
      <c r="AX1926" t="s">
        <v>74</v>
      </c>
      <c r="AY1926" t="s">
        <v>74</v>
      </c>
      <c r="AZ1926" t="s">
        <v>74</v>
      </c>
      <c r="BA1926" t="s">
        <v>74</v>
      </c>
      <c r="BB1926">
        <v>130</v>
      </c>
      <c r="BC1926">
        <v>137</v>
      </c>
      <c r="BD1926" t="s">
        <v>74</v>
      </c>
      <c r="BE1926" t="s">
        <v>2844</v>
      </c>
      <c r="BF1926" t="str">
        <f>HYPERLINK("http://dx.doi.org/10.1016/j.bbrc.2022.03.006","http://dx.doi.org/10.1016/j.bbrc.2022.03.006")</f>
        <v>http://dx.doi.org/10.1016/j.bbrc.2022.03.006</v>
      </c>
      <c r="BG1926" t="s">
        <v>74</v>
      </c>
      <c r="BH1926" t="s">
        <v>74</v>
      </c>
      <c r="BI1926" t="s">
        <v>74</v>
      </c>
      <c r="BJ1926" t="s">
        <v>2845</v>
      </c>
      <c r="BK1926" t="s">
        <v>117</v>
      </c>
      <c r="BL1926" t="s">
        <v>2845</v>
      </c>
      <c r="BM1926" t="s">
        <v>74</v>
      </c>
      <c r="BN1926">
        <v>35287054</v>
      </c>
      <c r="BO1926" t="s">
        <v>74</v>
      </c>
      <c r="BP1926" t="s">
        <v>74</v>
      </c>
      <c r="BQ1926" t="s">
        <v>74</v>
      </c>
      <c r="BR1926" t="s">
        <v>96</v>
      </c>
      <c r="BS1926" t="s">
        <v>2846</v>
      </c>
      <c r="BT1926" t="str">
        <f>HYPERLINK("https%3A%2F%2Fwww.webofscience.com%2Fwos%2Fwoscc%2Ffull-record%2FWOS:000791649900018","View Full Record in Web of Science")</f>
        <v>View Full Record in Web of Science</v>
      </c>
    </row>
    <row r="1927" spans="1:72" x14ac:dyDescent="0.15">
      <c r="A1927" t="s">
        <v>98</v>
      </c>
      <c r="B1927" t="s">
        <v>3012</v>
      </c>
      <c r="C1927" t="s">
        <v>74</v>
      </c>
      <c r="D1927" t="s">
        <v>74</v>
      </c>
      <c r="E1927" t="s">
        <v>74</v>
      </c>
      <c r="F1927" t="s">
        <v>3013</v>
      </c>
      <c r="G1927" t="s">
        <v>74</v>
      </c>
      <c r="H1927" t="s">
        <v>74</v>
      </c>
      <c r="I1927" t="s">
        <v>3014</v>
      </c>
      <c r="J1927" t="s">
        <v>3015</v>
      </c>
      <c r="K1927" t="s">
        <v>74</v>
      </c>
      <c r="L1927" t="s">
        <v>74</v>
      </c>
      <c r="M1927" t="s">
        <v>74</v>
      </c>
      <c r="N1927" t="s">
        <v>103</v>
      </c>
      <c r="O1927" t="s">
        <v>74</v>
      </c>
      <c r="P1927" t="s">
        <v>74</v>
      </c>
      <c r="Q1927" t="s">
        <v>74</v>
      </c>
      <c r="R1927" t="s">
        <v>74</v>
      </c>
      <c r="S1927" t="s">
        <v>74</v>
      </c>
      <c r="T1927" t="s">
        <v>3016</v>
      </c>
      <c r="U1927" t="s">
        <v>3017</v>
      </c>
      <c r="V1927" t="s">
        <v>3018</v>
      </c>
      <c r="W1927" t="s">
        <v>3019</v>
      </c>
      <c r="X1927" t="s">
        <v>3020</v>
      </c>
      <c r="Y1927" t="s">
        <v>3021</v>
      </c>
      <c r="Z1927" t="s">
        <v>3022</v>
      </c>
      <c r="AA1927" t="s">
        <v>74</v>
      </c>
      <c r="AB1927" t="s">
        <v>74</v>
      </c>
      <c r="AC1927" t="s">
        <v>74</v>
      </c>
      <c r="AD1927" t="s">
        <v>74</v>
      </c>
      <c r="AE1927" t="s">
        <v>74</v>
      </c>
      <c r="AF1927" t="s">
        <v>74</v>
      </c>
      <c r="AG1927">
        <v>47</v>
      </c>
      <c r="AH1927">
        <v>0</v>
      </c>
      <c r="AI1927">
        <v>0</v>
      </c>
      <c r="AJ1927">
        <v>2</v>
      </c>
      <c r="AK1927">
        <v>7</v>
      </c>
      <c r="AL1927" t="s">
        <v>74</v>
      </c>
      <c r="AM1927" t="s">
        <v>74</v>
      </c>
      <c r="AN1927" t="s">
        <v>74</v>
      </c>
      <c r="AO1927" t="s">
        <v>3023</v>
      </c>
      <c r="AP1927" t="s">
        <v>3024</v>
      </c>
      <c r="AQ1927" t="s">
        <v>74</v>
      </c>
      <c r="AR1927" t="s">
        <v>74</v>
      </c>
      <c r="AS1927" t="s">
        <v>74</v>
      </c>
      <c r="AT1927" t="s">
        <v>230</v>
      </c>
      <c r="AU1927">
        <v>2022</v>
      </c>
      <c r="AV1927">
        <v>158</v>
      </c>
      <c r="AW1927">
        <v>2</v>
      </c>
      <c r="AX1927" t="s">
        <v>74</v>
      </c>
      <c r="AY1927" t="s">
        <v>74</v>
      </c>
      <c r="AZ1927" t="s">
        <v>74</v>
      </c>
      <c r="BA1927" t="s">
        <v>74</v>
      </c>
      <c r="BB1927">
        <v>406</v>
      </c>
      <c r="BC1927">
        <v>417</v>
      </c>
      <c r="BD1927" t="s">
        <v>74</v>
      </c>
      <c r="BE1927" t="s">
        <v>3025</v>
      </c>
      <c r="BF1927" t="str">
        <f>HYPERLINK("http://dx.doi.org/10.1002/ijgo.13976","http://dx.doi.org/10.1002/ijgo.13976")</f>
        <v>http://dx.doi.org/10.1002/ijgo.13976</v>
      </c>
      <c r="BG1927" t="s">
        <v>74</v>
      </c>
      <c r="BH1927" t="s">
        <v>3026</v>
      </c>
      <c r="BI1927" t="s">
        <v>74</v>
      </c>
      <c r="BJ1927" t="s">
        <v>3027</v>
      </c>
      <c r="BK1927" t="s">
        <v>117</v>
      </c>
      <c r="BL1927" t="s">
        <v>3027</v>
      </c>
      <c r="BM1927" t="s">
        <v>74</v>
      </c>
      <c r="BN1927">
        <v>34626484</v>
      </c>
      <c r="BO1927" t="s">
        <v>74</v>
      </c>
      <c r="BP1927" t="s">
        <v>74</v>
      </c>
      <c r="BQ1927" t="s">
        <v>74</v>
      </c>
      <c r="BR1927" t="s">
        <v>96</v>
      </c>
      <c r="BS1927" t="s">
        <v>3028</v>
      </c>
      <c r="BT1927" t="str">
        <f>HYPERLINK("https%3A%2F%2Fwww.webofscience.com%2Fwos%2Fwoscc%2Ffull-record%2FWOS:000714974700001","View Full Record in Web of Science")</f>
        <v>View Full Record in Web of Science</v>
      </c>
    </row>
    <row r="1928" spans="1:72" x14ac:dyDescent="0.15">
      <c r="A1928" t="s">
        <v>98</v>
      </c>
      <c r="B1928" t="s">
        <v>3317</v>
      </c>
      <c r="C1928" t="s">
        <v>74</v>
      </c>
      <c r="D1928" t="s">
        <v>74</v>
      </c>
      <c r="E1928" t="s">
        <v>74</v>
      </c>
      <c r="F1928" t="s">
        <v>3318</v>
      </c>
      <c r="G1928" t="s">
        <v>74</v>
      </c>
      <c r="H1928" t="s">
        <v>74</v>
      </c>
      <c r="I1928" t="s">
        <v>3319</v>
      </c>
      <c r="J1928" t="s">
        <v>2818</v>
      </c>
      <c r="K1928" t="s">
        <v>74</v>
      </c>
      <c r="L1928" t="s">
        <v>74</v>
      </c>
      <c r="M1928" t="s">
        <v>74</v>
      </c>
      <c r="N1928" t="s">
        <v>103</v>
      </c>
      <c r="O1928" t="s">
        <v>74</v>
      </c>
      <c r="P1928" t="s">
        <v>74</v>
      </c>
      <c r="Q1928" t="s">
        <v>74</v>
      </c>
      <c r="R1928" t="s">
        <v>74</v>
      </c>
      <c r="S1928" t="s">
        <v>74</v>
      </c>
      <c r="T1928" t="s">
        <v>3320</v>
      </c>
      <c r="U1928" t="s">
        <v>3321</v>
      </c>
      <c r="V1928" t="s">
        <v>3322</v>
      </c>
      <c r="W1928" t="s">
        <v>3323</v>
      </c>
      <c r="X1928" t="s">
        <v>3324</v>
      </c>
      <c r="Y1928" t="s">
        <v>3325</v>
      </c>
      <c r="Z1928" t="s">
        <v>3326</v>
      </c>
      <c r="AA1928" t="s">
        <v>74</v>
      </c>
      <c r="AB1928" t="s">
        <v>3327</v>
      </c>
      <c r="AC1928" t="s">
        <v>74</v>
      </c>
      <c r="AD1928" t="s">
        <v>74</v>
      </c>
      <c r="AE1928" t="s">
        <v>74</v>
      </c>
      <c r="AF1928" t="s">
        <v>74</v>
      </c>
      <c r="AG1928">
        <v>65</v>
      </c>
      <c r="AH1928">
        <v>0</v>
      </c>
      <c r="AI1928">
        <v>0</v>
      </c>
      <c r="AJ1928">
        <v>9</v>
      </c>
      <c r="AK1928">
        <v>9</v>
      </c>
      <c r="AL1928" t="s">
        <v>74</v>
      </c>
      <c r="AM1928" t="s">
        <v>74</v>
      </c>
      <c r="AN1928" t="s">
        <v>74</v>
      </c>
      <c r="AO1928" t="s">
        <v>74</v>
      </c>
      <c r="AP1928" t="s">
        <v>2827</v>
      </c>
      <c r="AQ1928" t="s">
        <v>74</v>
      </c>
      <c r="AR1928" t="s">
        <v>74</v>
      </c>
      <c r="AS1928" t="s">
        <v>74</v>
      </c>
      <c r="AT1928" t="s">
        <v>114</v>
      </c>
      <c r="AU1928">
        <v>2022</v>
      </c>
      <c r="AV1928">
        <v>15</v>
      </c>
      <c r="AW1928">
        <v>1</v>
      </c>
      <c r="AX1928" t="s">
        <v>74</v>
      </c>
      <c r="AY1928" t="s">
        <v>74</v>
      </c>
      <c r="AZ1928" t="s">
        <v>74</v>
      </c>
      <c r="BA1928" t="s">
        <v>74</v>
      </c>
      <c r="BB1928" t="s">
        <v>74</v>
      </c>
      <c r="BC1928" t="s">
        <v>74</v>
      </c>
      <c r="BD1928">
        <v>45</v>
      </c>
      <c r="BE1928" t="s">
        <v>3328</v>
      </c>
      <c r="BF1928" t="str">
        <f>HYPERLINK("http://dx.doi.org/10.3390/ph15010045","http://dx.doi.org/10.3390/ph15010045")</f>
        <v>http://dx.doi.org/10.3390/ph15010045</v>
      </c>
      <c r="BG1928" t="s">
        <v>74</v>
      </c>
      <c r="BH1928" t="s">
        <v>74</v>
      </c>
      <c r="BI1928" t="s">
        <v>74</v>
      </c>
      <c r="BJ1928" t="s">
        <v>2719</v>
      </c>
      <c r="BK1928" t="s">
        <v>117</v>
      </c>
      <c r="BL1928" t="s">
        <v>533</v>
      </c>
      <c r="BM1928" t="s">
        <v>74</v>
      </c>
      <c r="BN1928">
        <v>35056102</v>
      </c>
      <c r="BO1928" t="s">
        <v>74</v>
      </c>
      <c r="BP1928" t="s">
        <v>74</v>
      </c>
      <c r="BQ1928" t="s">
        <v>74</v>
      </c>
      <c r="BR1928" t="s">
        <v>96</v>
      </c>
      <c r="BS1928" t="s">
        <v>3329</v>
      </c>
      <c r="BT1928" t="str">
        <f>HYPERLINK("https%3A%2F%2Fwww.webofscience.com%2Fwos%2Fwoscc%2Ffull-record%2FWOS:000747502100001","View Full Record in Web of Science")</f>
        <v>View Full Record in Web of Science</v>
      </c>
    </row>
    <row r="1929" spans="1:72" x14ac:dyDescent="0.15">
      <c r="A1929" t="s">
        <v>98</v>
      </c>
      <c r="B1929" t="s">
        <v>3465</v>
      </c>
      <c r="C1929" t="s">
        <v>74</v>
      </c>
      <c r="D1929" t="s">
        <v>74</v>
      </c>
      <c r="E1929" t="s">
        <v>74</v>
      </c>
      <c r="F1929" t="s">
        <v>3466</v>
      </c>
      <c r="G1929" t="s">
        <v>74</v>
      </c>
      <c r="H1929" t="s">
        <v>74</v>
      </c>
      <c r="I1929" t="s">
        <v>3467</v>
      </c>
      <c r="J1929" t="s">
        <v>903</v>
      </c>
      <c r="K1929" t="s">
        <v>74</v>
      </c>
      <c r="L1929" t="s">
        <v>74</v>
      </c>
      <c r="M1929" t="s">
        <v>74</v>
      </c>
      <c r="N1929" t="s">
        <v>103</v>
      </c>
      <c r="O1929" t="s">
        <v>74</v>
      </c>
      <c r="P1929" t="s">
        <v>74</v>
      </c>
      <c r="Q1929" t="s">
        <v>74</v>
      </c>
      <c r="R1929" t="s">
        <v>74</v>
      </c>
      <c r="S1929" t="s">
        <v>74</v>
      </c>
      <c r="T1929" t="s">
        <v>3468</v>
      </c>
      <c r="U1929" t="s">
        <v>3469</v>
      </c>
      <c r="V1929" t="s">
        <v>3470</v>
      </c>
      <c r="W1929" t="s">
        <v>3471</v>
      </c>
      <c r="X1929" t="s">
        <v>3472</v>
      </c>
      <c r="Y1929" t="s">
        <v>3473</v>
      </c>
      <c r="Z1929" t="s">
        <v>3474</v>
      </c>
      <c r="AA1929" t="s">
        <v>3475</v>
      </c>
      <c r="AB1929" t="s">
        <v>3476</v>
      </c>
      <c r="AC1929" t="s">
        <v>74</v>
      </c>
      <c r="AD1929" t="s">
        <v>74</v>
      </c>
      <c r="AE1929" t="s">
        <v>74</v>
      </c>
      <c r="AF1929" t="s">
        <v>74</v>
      </c>
      <c r="AG1929">
        <v>49</v>
      </c>
      <c r="AH1929">
        <v>0</v>
      </c>
      <c r="AI1929">
        <v>0</v>
      </c>
      <c r="AJ1929">
        <v>2</v>
      </c>
      <c r="AK1929">
        <v>3</v>
      </c>
      <c r="AL1929" t="s">
        <v>74</v>
      </c>
      <c r="AM1929" t="s">
        <v>74</v>
      </c>
      <c r="AN1929" t="s">
        <v>74</v>
      </c>
      <c r="AO1929" t="s">
        <v>74</v>
      </c>
      <c r="AP1929" t="s">
        <v>913</v>
      </c>
      <c r="AQ1929" t="s">
        <v>74</v>
      </c>
      <c r="AR1929" t="s">
        <v>74</v>
      </c>
      <c r="AS1929" t="s">
        <v>74</v>
      </c>
      <c r="AT1929" t="s">
        <v>189</v>
      </c>
      <c r="AU1929">
        <v>2021</v>
      </c>
      <c r="AV1929">
        <v>13</v>
      </c>
      <c r="AW1929">
        <v>19</v>
      </c>
      <c r="AX1929" t="s">
        <v>74</v>
      </c>
      <c r="AY1929" t="s">
        <v>74</v>
      </c>
      <c r="AZ1929" t="s">
        <v>74</v>
      </c>
      <c r="BA1929" t="s">
        <v>74</v>
      </c>
      <c r="BB1929" t="s">
        <v>74</v>
      </c>
      <c r="BC1929" t="s">
        <v>74</v>
      </c>
      <c r="BD1929">
        <v>4968</v>
      </c>
      <c r="BE1929" t="s">
        <v>3477</v>
      </c>
      <c r="BF1929" t="str">
        <f>HYPERLINK("http://dx.doi.org/10.3390/cancers13194968","http://dx.doi.org/10.3390/cancers13194968")</f>
        <v>http://dx.doi.org/10.3390/cancers13194968</v>
      </c>
      <c r="BG1929" t="s">
        <v>74</v>
      </c>
      <c r="BH1929" t="s">
        <v>74</v>
      </c>
      <c r="BI1929" t="s">
        <v>74</v>
      </c>
      <c r="BJ1929" t="s">
        <v>267</v>
      </c>
      <c r="BK1929" t="s">
        <v>117</v>
      </c>
      <c r="BL1929" t="s">
        <v>267</v>
      </c>
      <c r="BM1929" t="s">
        <v>74</v>
      </c>
      <c r="BN1929">
        <v>34638452</v>
      </c>
      <c r="BO1929" t="s">
        <v>74</v>
      </c>
      <c r="BP1929" t="s">
        <v>74</v>
      </c>
      <c r="BQ1929" t="s">
        <v>74</v>
      </c>
      <c r="BR1929" t="s">
        <v>96</v>
      </c>
      <c r="BS1929" t="s">
        <v>3478</v>
      </c>
      <c r="BT1929" t="str">
        <f>HYPERLINK("https%3A%2F%2Fwww.webofscience.com%2Fwos%2Fwoscc%2Ffull-record%2FWOS:000709624800001","View Full Record in Web of Science")</f>
        <v>View Full Record in Web of Science</v>
      </c>
    </row>
    <row r="1930" spans="1:72" x14ac:dyDescent="0.15">
      <c r="A1930" t="s">
        <v>98</v>
      </c>
      <c r="B1930" t="s">
        <v>3505</v>
      </c>
      <c r="C1930" t="s">
        <v>74</v>
      </c>
      <c r="D1930" t="s">
        <v>74</v>
      </c>
      <c r="E1930" t="s">
        <v>74</v>
      </c>
      <c r="F1930" t="s">
        <v>3506</v>
      </c>
      <c r="G1930" t="s">
        <v>74</v>
      </c>
      <c r="H1930" t="s">
        <v>74</v>
      </c>
      <c r="I1930" t="s">
        <v>3507</v>
      </c>
      <c r="J1930" t="s">
        <v>817</v>
      </c>
      <c r="K1930" t="s">
        <v>74</v>
      </c>
      <c r="L1930" t="s">
        <v>74</v>
      </c>
      <c r="M1930" t="s">
        <v>74</v>
      </c>
      <c r="N1930" t="s">
        <v>103</v>
      </c>
      <c r="O1930" t="s">
        <v>74</v>
      </c>
      <c r="P1930" t="s">
        <v>74</v>
      </c>
      <c r="Q1930" t="s">
        <v>74</v>
      </c>
      <c r="R1930" t="s">
        <v>74</v>
      </c>
      <c r="S1930" t="s">
        <v>74</v>
      </c>
      <c r="T1930" t="s">
        <v>3508</v>
      </c>
      <c r="U1930" t="s">
        <v>3509</v>
      </c>
      <c r="V1930" t="s">
        <v>3510</v>
      </c>
      <c r="W1930" t="s">
        <v>3511</v>
      </c>
      <c r="X1930" t="s">
        <v>3512</v>
      </c>
      <c r="Y1930" t="s">
        <v>3513</v>
      </c>
      <c r="Z1930" t="s">
        <v>3514</v>
      </c>
      <c r="AA1930" t="s">
        <v>3515</v>
      </c>
      <c r="AB1930" t="s">
        <v>3516</v>
      </c>
      <c r="AC1930" t="s">
        <v>74</v>
      </c>
      <c r="AD1930" t="s">
        <v>74</v>
      </c>
      <c r="AE1930" t="s">
        <v>74</v>
      </c>
      <c r="AF1930" t="s">
        <v>74</v>
      </c>
      <c r="AG1930">
        <v>65</v>
      </c>
      <c r="AH1930">
        <v>0</v>
      </c>
      <c r="AI1930">
        <v>0</v>
      </c>
      <c r="AJ1930">
        <v>0</v>
      </c>
      <c r="AK1930">
        <v>0</v>
      </c>
      <c r="AL1930" t="s">
        <v>74</v>
      </c>
      <c r="AM1930" t="s">
        <v>74</v>
      </c>
      <c r="AN1930" t="s">
        <v>74</v>
      </c>
      <c r="AO1930" t="s">
        <v>74</v>
      </c>
      <c r="AP1930" t="s">
        <v>827</v>
      </c>
      <c r="AQ1930" t="s">
        <v>74</v>
      </c>
      <c r="AR1930" t="s">
        <v>74</v>
      </c>
      <c r="AS1930" t="s">
        <v>74</v>
      </c>
      <c r="AT1930" t="s">
        <v>1029</v>
      </c>
      <c r="AU1930">
        <v>2022</v>
      </c>
      <c r="AV1930">
        <v>23</v>
      </c>
      <c r="AW1930">
        <v>10</v>
      </c>
      <c r="AX1930" t="s">
        <v>74</v>
      </c>
      <c r="AY1930" t="s">
        <v>74</v>
      </c>
      <c r="AZ1930" t="s">
        <v>74</v>
      </c>
      <c r="BA1930" t="s">
        <v>74</v>
      </c>
      <c r="BB1930" t="s">
        <v>74</v>
      </c>
      <c r="BC1930" t="s">
        <v>74</v>
      </c>
      <c r="BD1930">
        <v>5504</v>
      </c>
      <c r="BE1930" t="s">
        <v>3517</v>
      </c>
      <c r="BF1930" t="str">
        <f>HYPERLINK("http://dx.doi.org/10.3390/ijms23105504","http://dx.doi.org/10.3390/ijms23105504")</f>
        <v>http://dx.doi.org/10.3390/ijms23105504</v>
      </c>
      <c r="BG1930" t="s">
        <v>74</v>
      </c>
      <c r="BH1930" t="s">
        <v>74</v>
      </c>
      <c r="BI1930" t="s">
        <v>74</v>
      </c>
      <c r="BJ1930" t="s">
        <v>830</v>
      </c>
      <c r="BK1930" t="s">
        <v>117</v>
      </c>
      <c r="BL1930" t="s">
        <v>831</v>
      </c>
      <c r="BM1930" t="s">
        <v>74</v>
      </c>
      <c r="BN1930">
        <v>35628314</v>
      </c>
      <c r="BO1930" t="s">
        <v>74</v>
      </c>
      <c r="BP1930" t="s">
        <v>74</v>
      </c>
      <c r="BQ1930" t="s">
        <v>74</v>
      </c>
      <c r="BR1930" t="s">
        <v>96</v>
      </c>
      <c r="BS1930" t="s">
        <v>3518</v>
      </c>
      <c r="BT1930" t="str">
        <f>HYPERLINK("https%3A%2F%2Fwww.webofscience.com%2Fwos%2Fwoscc%2Ffull-record%2FWOS:000801725800001","View Full Record in Web of Science")</f>
        <v>View Full Record in Web of Science</v>
      </c>
    </row>
    <row r="1931" spans="1:72" x14ac:dyDescent="0.15">
      <c r="A1931" t="s">
        <v>98</v>
      </c>
      <c r="B1931" t="s">
        <v>3585</v>
      </c>
      <c r="C1931" t="s">
        <v>74</v>
      </c>
      <c r="D1931" t="s">
        <v>74</v>
      </c>
      <c r="E1931" t="s">
        <v>74</v>
      </c>
      <c r="F1931" t="s">
        <v>3586</v>
      </c>
      <c r="G1931" t="s">
        <v>74</v>
      </c>
      <c r="H1931" t="s">
        <v>74</v>
      </c>
      <c r="I1931" t="s">
        <v>3587</v>
      </c>
      <c r="J1931" t="s">
        <v>3588</v>
      </c>
      <c r="K1931" t="s">
        <v>74</v>
      </c>
      <c r="L1931" t="s">
        <v>74</v>
      </c>
      <c r="M1931" t="s">
        <v>74</v>
      </c>
      <c r="N1931" t="s">
        <v>103</v>
      </c>
      <c r="O1931" t="s">
        <v>74</v>
      </c>
      <c r="P1931" t="s">
        <v>74</v>
      </c>
      <c r="Q1931" t="s">
        <v>74</v>
      </c>
      <c r="R1931" t="s">
        <v>74</v>
      </c>
      <c r="S1931" t="s">
        <v>74</v>
      </c>
      <c r="T1931" t="s">
        <v>3589</v>
      </c>
      <c r="U1931" t="s">
        <v>3590</v>
      </c>
      <c r="V1931" t="s">
        <v>3591</v>
      </c>
      <c r="W1931" t="s">
        <v>3592</v>
      </c>
      <c r="X1931" t="s">
        <v>3593</v>
      </c>
      <c r="Y1931" t="s">
        <v>3594</v>
      </c>
      <c r="Z1931" t="s">
        <v>3595</v>
      </c>
      <c r="AA1931" t="s">
        <v>74</v>
      </c>
      <c r="AB1931" t="s">
        <v>74</v>
      </c>
      <c r="AC1931" t="s">
        <v>74</v>
      </c>
      <c r="AD1931" t="s">
        <v>74</v>
      </c>
      <c r="AE1931" t="s">
        <v>74</v>
      </c>
      <c r="AF1931" t="s">
        <v>74</v>
      </c>
      <c r="AG1931">
        <v>23</v>
      </c>
      <c r="AH1931">
        <v>0</v>
      </c>
      <c r="AI1931">
        <v>0</v>
      </c>
      <c r="AJ1931">
        <v>4</v>
      </c>
      <c r="AK1931">
        <v>4</v>
      </c>
      <c r="AL1931" t="s">
        <v>74</v>
      </c>
      <c r="AM1931" t="s">
        <v>74</v>
      </c>
      <c r="AN1931" t="s">
        <v>74</v>
      </c>
      <c r="AO1931" t="s">
        <v>3596</v>
      </c>
      <c r="AP1931" t="s">
        <v>74</v>
      </c>
      <c r="AQ1931" t="s">
        <v>74</v>
      </c>
      <c r="AR1931" t="s">
        <v>74</v>
      </c>
      <c r="AS1931" t="s">
        <v>74</v>
      </c>
      <c r="AT1931" t="s">
        <v>3597</v>
      </c>
      <c r="AU1931">
        <v>2022</v>
      </c>
      <c r="AV1931">
        <v>13</v>
      </c>
      <c r="AW1931" t="s">
        <v>74</v>
      </c>
      <c r="AX1931" t="s">
        <v>74</v>
      </c>
      <c r="AY1931" t="s">
        <v>74</v>
      </c>
      <c r="AZ1931" t="s">
        <v>74</v>
      </c>
      <c r="BA1931" t="s">
        <v>74</v>
      </c>
      <c r="BB1931" t="s">
        <v>74</v>
      </c>
      <c r="BC1931" t="s">
        <v>74</v>
      </c>
      <c r="BD1931">
        <v>834409</v>
      </c>
      <c r="BE1931" t="s">
        <v>3598</v>
      </c>
      <c r="BF1931" t="str">
        <f>HYPERLINK("http://dx.doi.org/10.3389/fendo.2022.834409","http://dx.doi.org/10.3389/fendo.2022.834409")</f>
        <v>http://dx.doi.org/10.3389/fendo.2022.834409</v>
      </c>
      <c r="BG1931" t="s">
        <v>74</v>
      </c>
      <c r="BH1931" t="s">
        <v>74</v>
      </c>
      <c r="BI1931" t="s">
        <v>74</v>
      </c>
      <c r="BJ1931" t="s">
        <v>3599</v>
      </c>
      <c r="BK1931" t="s">
        <v>117</v>
      </c>
      <c r="BL1931" t="s">
        <v>3599</v>
      </c>
      <c r="BM1931" t="s">
        <v>74</v>
      </c>
      <c r="BN1931">
        <v>35444613</v>
      </c>
      <c r="BO1931" t="s">
        <v>74</v>
      </c>
      <c r="BP1931" t="s">
        <v>74</v>
      </c>
      <c r="BQ1931" t="s">
        <v>74</v>
      </c>
      <c r="BR1931" t="s">
        <v>96</v>
      </c>
      <c r="BS1931" t="s">
        <v>3600</v>
      </c>
      <c r="BT1931" t="str">
        <f>HYPERLINK("https%3A%2F%2Fwww.webofscience.com%2Fwos%2Fwoscc%2Ffull-record%2FWOS:000788688300001","View Full Record in Web of Science")</f>
        <v>View Full Record in Web of Science</v>
      </c>
    </row>
    <row r="1932" spans="1:72" x14ac:dyDescent="0.15">
      <c r="A1932" t="s">
        <v>98</v>
      </c>
      <c r="B1932" t="s">
        <v>3764</v>
      </c>
      <c r="C1932" t="s">
        <v>74</v>
      </c>
      <c r="D1932" t="s">
        <v>74</v>
      </c>
      <c r="E1932" t="s">
        <v>74</v>
      </c>
      <c r="F1932" t="s">
        <v>3765</v>
      </c>
      <c r="G1932" t="s">
        <v>74</v>
      </c>
      <c r="H1932" t="s">
        <v>74</v>
      </c>
      <c r="I1932" t="s">
        <v>3766</v>
      </c>
      <c r="J1932" t="s">
        <v>325</v>
      </c>
      <c r="K1932" t="s">
        <v>74</v>
      </c>
      <c r="L1932" t="s">
        <v>74</v>
      </c>
      <c r="M1932" t="s">
        <v>74</v>
      </c>
      <c r="N1932" t="s">
        <v>103</v>
      </c>
      <c r="O1932" t="s">
        <v>74</v>
      </c>
      <c r="P1932" t="s">
        <v>74</v>
      </c>
      <c r="Q1932" t="s">
        <v>74</v>
      </c>
      <c r="R1932" t="s">
        <v>74</v>
      </c>
      <c r="S1932" t="s">
        <v>74</v>
      </c>
      <c r="T1932" t="s">
        <v>3767</v>
      </c>
      <c r="U1932" t="s">
        <v>3768</v>
      </c>
      <c r="V1932" t="s">
        <v>3769</v>
      </c>
      <c r="W1932" t="s">
        <v>3770</v>
      </c>
      <c r="X1932" t="s">
        <v>3771</v>
      </c>
      <c r="Y1932" t="s">
        <v>3772</v>
      </c>
      <c r="Z1932" t="s">
        <v>3773</v>
      </c>
      <c r="AA1932" t="s">
        <v>74</v>
      </c>
      <c r="AB1932" t="s">
        <v>3774</v>
      </c>
      <c r="AC1932" t="s">
        <v>74</v>
      </c>
      <c r="AD1932" t="s">
        <v>74</v>
      </c>
      <c r="AE1932" t="s">
        <v>74</v>
      </c>
      <c r="AF1932" t="s">
        <v>74</v>
      </c>
      <c r="AG1932">
        <v>85</v>
      </c>
      <c r="AH1932">
        <v>0</v>
      </c>
      <c r="AI1932">
        <v>0</v>
      </c>
      <c r="AJ1932">
        <v>0</v>
      </c>
      <c r="AK1932">
        <v>2</v>
      </c>
      <c r="AL1932" t="s">
        <v>74</v>
      </c>
      <c r="AM1932" t="s">
        <v>74</v>
      </c>
      <c r="AN1932" t="s">
        <v>74</v>
      </c>
      <c r="AO1932" t="s">
        <v>333</v>
      </c>
      <c r="AP1932" t="s">
        <v>334</v>
      </c>
      <c r="AQ1932" t="s">
        <v>74</v>
      </c>
      <c r="AR1932" t="s">
        <v>74</v>
      </c>
      <c r="AS1932" t="s">
        <v>74</v>
      </c>
      <c r="AT1932" t="s">
        <v>335</v>
      </c>
      <c r="AU1932">
        <v>2021</v>
      </c>
      <c r="AV1932">
        <v>40</v>
      </c>
      <c r="AW1932">
        <v>9</v>
      </c>
      <c r="AX1932" t="s">
        <v>74</v>
      </c>
      <c r="AY1932" t="s">
        <v>74</v>
      </c>
      <c r="AZ1932" t="s">
        <v>74</v>
      </c>
      <c r="BA1932" t="s">
        <v>74</v>
      </c>
      <c r="BB1932">
        <v>1185</v>
      </c>
      <c r="BC1932">
        <v>1199</v>
      </c>
      <c r="BD1932" t="s">
        <v>74</v>
      </c>
      <c r="BE1932" t="s">
        <v>3775</v>
      </c>
      <c r="BF1932" t="str">
        <f>HYPERLINK("http://dx.doi.org/10.1089/dna.2021.0485","http://dx.doi.org/10.1089/dna.2021.0485")</f>
        <v>http://dx.doi.org/10.1089/dna.2021.0485</v>
      </c>
      <c r="BG1932" t="s">
        <v>74</v>
      </c>
      <c r="BH1932" t="s">
        <v>1663</v>
      </c>
      <c r="BI1932" t="s">
        <v>74</v>
      </c>
      <c r="BJ1932" t="s">
        <v>338</v>
      </c>
      <c r="BK1932" t="s">
        <v>117</v>
      </c>
      <c r="BL1932" t="s">
        <v>338</v>
      </c>
      <c r="BM1932" t="s">
        <v>74</v>
      </c>
      <c r="BN1932">
        <v>34379990</v>
      </c>
      <c r="BO1932" t="s">
        <v>74</v>
      </c>
      <c r="BP1932" t="s">
        <v>74</v>
      </c>
      <c r="BQ1932" t="s">
        <v>74</v>
      </c>
      <c r="BR1932" t="s">
        <v>96</v>
      </c>
      <c r="BS1932" t="s">
        <v>3776</v>
      </c>
      <c r="BT1932" t="str">
        <f>HYPERLINK("https%3A%2F%2Fwww.webofscience.com%2Fwos%2Fwoscc%2Ffull-record%2FWOS:000683910900001","View Full Record in Web of Science")</f>
        <v>View Full Record in Web of Science</v>
      </c>
    </row>
    <row r="1933" spans="1:72" x14ac:dyDescent="0.15">
      <c r="A1933" t="s">
        <v>98</v>
      </c>
      <c r="B1933" t="s">
        <v>3880</v>
      </c>
      <c r="C1933" t="s">
        <v>74</v>
      </c>
      <c r="D1933" t="s">
        <v>74</v>
      </c>
      <c r="E1933" t="s">
        <v>74</v>
      </c>
      <c r="F1933" t="s">
        <v>3881</v>
      </c>
      <c r="G1933" t="s">
        <v>74</v>
      </c>
      <c r="H1933" t="s">
        <v>74</v>
      </c>
      <c r="I1933" t="s">
        <v>3882</v>
      </c>
      <c r="J1933" t="s">
        <v>3883</v>
      </c>
      <c r="K1933" t="s">
        <v>74</v>
      </c>
      <c r="L1933" t="s">
        <v>74</v>
      </c>
      <c r="M1933" t="s">
        <v>74</v>
      </c>
      <c r="N1933" t="s">
        <v>103</v>
      </c>
      <c r="O1933" t="s">
        <v>74</v>
      </c>
      <c r="P1933" t="s">
        <v>74</v>
      </c>
      <c r="Q1933" t="s">
        <v>74</v>
      </c>
      <c r="R1933" t="s">
        <v>74</v>
      </c>
      <c r="S1933" t="s">
        <v>74</v>
      </c>
      <c r="T1933" t="s">
        <v>3884</v>
      </c>
      <c r="U1933" t="s">
        <v>3885</v>
      </c>
      <c r="V1933" t="s">
        <v>3886</v>
      </c>
      <c r="W1933" t="s">
        <v>74</v>
      </c>
      <c r="X1933" t="s">
        <v>74</v>
      </c>
      <c r="Y1933" t="s">
        <v>74</v>
      </c>
      <c r="Z1933" t="s">
        <v>3887</v>
      </c>
      <c r="AA1933" t="s">
        <v>3888</v>
      </c>
      <c r="AB1933" t="s">
        <v>74</v>
      </c>
      <c r="AC1933" t="s">
        <v>74</v>
      </c>
      <c r="AD1933" t="s">
        <v>74</v>
      </c>
      <c r="AE1933" t="s">
        <v>74</v>
      </c>
      <c r="AF1933" t="s">
        <v>74</v>
      </c>
      <c r="AG1933">
        <v>37</v>
      </c>
      <c r="AH1933">
        <v>0</v>
      </c>
      <c r="AI1933">
        <v>0</v>
      </c>
      <c r="AJ1933">
        <v>2</v>
      </c>
      <c r="AK1933">
        <v>2</v>
      </c>
      <c r="AL1933" t="s">
        <v>74</v>
      </c>
      <c r="AM1933" t="s">
        <v>74</v>
      </c>
      <c r="AN1933" t="s">
        <v>74</v>
      </c>
      <c r="AO1933" t="s">
        <v>3889</v>
      </c>
      <c r="AP1933" t="s">
        <v>74</v>
      </c>
      <c r="AQ1933" t="s">
        <v>74</v>
      </c>
      <c r="AR1933" t="s">
        <v>74</v>
      </c>
      <c r="AS1933" t="s">
        <v>74</v>
      </c>
      <c r="AT1933" t="s">
        <v>3890</v>
      </c>
      <c r="AU1933">
        <v>2022</v>
      </c>
      <c r="AV1933">
        <v>9</v>
      </c>
      <c r="AW1933" t="s">
        <v>74</v>
      </c>
      <c r="AX1933" t="s">
        <v>74</v>
      </c>
      <c r="AY1933" t="s">
        <v>74</v>
      </c>
      <c r="AZ1933" t="s">
        <v>74</v>
      </c>
      <c r="BA1933" t="s">
        <v>74</v>
      </c>
      <c r="BB1933" t="s">
        <v>74</v>
      </c>
      <c r="BC1933" t="s">
        <v>74</v>
      </c>
      <c r="BD1933">
        <v>864188</v>
      </c>
      <c r="BE1933" t="s">
        <v>3891</v>
      </c>
      <c r="BF1933" t="str">
        <f>HYPERLINK("http://dx.doi.org/10.3389/fcvm.2022.864188","http://dx.doi.org/10.3389/fcvm.2022.864188")</f>
        <v>http://dx.doi.org/10.3389/fcvm.2022.864188</v>
      </c>
      <c r="BG1933" t="s">
        <v>74</v>
      </c>
      <c r="BH1933" t="s">
        <v>74</v>
      </c>
      <c r="BI1933" t="s">
        <v>74</v>
      </c>
      <c r="BJ1933" t="s">
        <v>3811</v>
      </c>
      <c r="BK1933" t="s">
        <v>117</v>
      </c>
      <c r="BL1933" t="s">
        <v>3812</v>
      </c>
      <c r="BM1933" t="s">
        <v>74</v>
      </c>
      <c r="BN1933">
        <v>35509278</v>
      </c>
      <c r="BO1933" t="s">
        <v>74</v>
      </c>
      <c r="BP1933" t="s">
        <v>74</v>
      </c>
      <c r="BQ1933" t="s">
        <v>74</v>
      </c>
      <c r="BR1933" t="s">
        <v>96</v>
      </c>
      <c r="BS1933" t="s">
        <v>3892</v>
      </c>
      <c r="BT1933" t="str">
        <f>HYPERLINK("https%3A%2F%2Fwww.webofscience.com%2Fwos%2Fwoscc%2Ffull-record%2FWOS:000810265400001","View Full Record in Web of Science")</f>
        <v>View Full Record in Web of Science</v>
      </c>
    </row>
    <row r="1934" spans="1:72" x14ac:dyDescent="0.15">
      <c r="A1934" t="s">
        <v>98</v>
      </c>
      <c r="B1934" t="s">
        <v>4074</v>
      </c>
      <c r="C1934" t="s">
        <v>74</v>
      </c>
      <c r="D1934" t="s">
        <v>74</v>
      </c>
      <c r="E1934" t="s">
        <v>74</v>
      </c>
      <c r="F1934" t="s">
        <v>4075</v>
      </c>
      <c r="G1934" t="s">
        <v>74</v>
      </c>
      <c r="H1934" t="s">
        <v>74</v>
      </c>
      <c r="I1934" t="s">
        <v>4076</v>
      </c>
      <c r="J1934" t="s">
        <v>1217</v>
      </c>
      <c r="K1934" t="s">
        <v>74</v>
      </c>
      <c r="L1934" t="s">
        <v>74</v>
      </c>
      <c r="M1934" t="s">
        <v>74</v>
      </c>
      <c r="N1934" t="s">
        <v>103</v>
      </c>
      <c r="O1934" t="s">
        <v>74</v>
      </c>
      <c r="P1934" t="s">
        <v>74</v>
      </c>
      <c r="Q1934" t="s">
        <v>74</v>
      </c>
      <c r="R1934" t="s">
        <v>74</v>
      </c>
      <c r="S1934" t="s">
        <v>74</v>
      </c>
      <c r="T1934" t="s">
        <v>4077</v>
      </c>
      <c r="U1934" t="s">
        <v>4078</v>
      </c>
      <c r="V1934" t="s">
        <v>4079</v>
      </c>
      <c r="W1934" t="s">
        <v>4080</v>
      </c>
      <c r="X1934" t="s">
        <v>4081</v>
      </c>
      <c r="Y1934" t="s">
        <v>4082</v>
      </c>
      <c r="Z1934" t="s">
        <v>4083</v>
      </c>
      <c r="AA1934" t="s">
        <v>74</v>
      </c>
      <c r="AB1934" t="s">
        <v>4084</v>
      </c>
      <c r="AC1934" t="s">
        <v>74</v>
      </c>
      <c r="AD1934" t="s">
        <v>74</v>
      </c>
      <c r="AE1934" t="s">
        <v>74</v>
      </c>
      <c r="AF1934" t="s">
        <v>74</v>
      </c>
      <c r="AG1934">
        <v>38</v>
      </c>
      <c r="AH1934">
        <v>0</v>
      </c>
      <c r="AI1934">
        <v>0</v>
      </c>
      <c r="AJ1934">
        <v>25</v>
      </c>
      <c r="AK1934">
        <v>25</v>
      </c>
      <c r="AL1934" t="s">
        <v>74</v>
      </c>
      <c r="AM1934" t="s">
        <v>74</v>
      </c>
      <c r="AN1934" t="s">
        <v>74</v>
      </c>
      <c r="AO1934" t="s">
        <v>1227</v>
      </c>
      <c r="AP1934" t="s">
        <v>74</v>
      </c>
      <c r="AQ1934" t="s">
        <v>74</v>
      </c>
      <c r="AR1934" t="s">
        <v>74</v>
      </c>
      <c r="AS1934" t="s">
        <v>74</v>
      </c>
      <c r="AT1934" t="s">
        <v>4085</v>
      </c>
      <c r="AU1934">
        <v>2022</v>
      </c>
      <c r="AV1934">
        <v>7</v>
      </c>
      <c r="AW1934">
        <v>4</v>
      </c>
      <c r="AX1934" t="s">
        <v>74</v>
      </c>
      <c r="AY1934" t="s">
        <v>74</v>
      </c>
      <c r="AZ1934" t="s">
        <v>74</v>
      </c>
      <c r="BA1934" t="s">
        <v>74</v>
      </c>
      <c r="BB1934">
        <v>1075</v>
      </c>
      <c r="BC1934">
        <v>1085</v>
      </c>
      <c r="BD1934" t="s">
        <v>74</v>
      </c>
      <c r="BE1934" t="s">
        <v>4086</v>
      </c>
      <c r="BF1934" t="str">
        <f>HYPERLINK("http://dx.doi.org/10.1021/acssensors.1c02717","http://dx.doi.org/10.1021/acssensors.1c02717")</f>
        <v>http://dx.doi.org/10.1021/acssensors.1c02717</v>
      </c>
      <c r="BG1934" t="s">
        <v>74</v>
      </c>
      <c r="BH1934" t="s">
        <v>74</v>
      </c>
      <c r="BI1934" t="s">
        <v>74</v>
      </c>
      <c r="BJ1934" t="s">
        <v>1229</v>
      </c>
      <c r="BK1934" t="s">
        <v>117</v>
      </c>
      <c r="BL1934" t="s">
        <v>1230</v>
      </c>
      <c r="BM1934" t="s">
        <v>74</v>
      </c>
      <c r="BN1934">
        <v>35312297</v>
      </c>
      <c r="BO1934" t="s">
        <v>74</v>
      </c>
      <c r="BP1934" t="s">
        <v>74</v>
      </c>
      <c r="BQ1934" t="s">
        <v>74</v>
      </c>
      <c r="BR1934" t="s">
        <v>96</v>
      </c>
      <c r="BS1934" t="s">
        <v>4087</v>
      </c>
      <c r="BT1934" t="str">
        <f>HYPERLINK("https%3A%2F%2Fwww.webofscience.com%2Fwos%2Fwoscc%2Ffull-record%2FWOS:000794994500016","View Full Record in Web of Science")</f>
        <v>View Full Record in Web of Science</v>
      </c>
    </row>
    <row r="1935" spans="1:72" x14ac:dyDescent="0.15">
      <c r="A1935" t="s">
        <v>98</v>
      </c>
      <c r="B1935" t="s">
        <v>4088</v>
      </c>
      <c r="C1935" t="s">
        <v>74</v>
      </c>
      <c r="D1935" t="s">
        <v>74</v>
      </c>
      <c r="E1935" t="s">
        <v>74</v>
      </c>
      <c r="F1935" t="s">
        <v>4089</v>
      </c>
      <c r="G1935" t="s">
        <v>74</v>
      </c>
      <c r="H1935" t="s">
        <v>74</v>
      </c>
      <c r="I1935" t="s">
        <v>4090</v>
      </c>
      <c r="J1935" t="s">
        <v>123</v>
      </c>
      <c r="K1935" t="s">
        <v>74</v>
      </c>
      <c r="L1935" t="s">
        <v>74</v>
      </c>
      <c r="M1935" t="s">
        <v>74</v>
      </c>
      <c r="N1935" t="s">
        <v>103</v>
      </c>
      <c r="O1935" t="s">
        <v>74</v>
      </c>
      <c r="P1935" t="s">
        <v>74</v>
      </c>
      <c r="Q1935" t="s">
        <v>74</v>
      </c>
      <c r="R1935" t="s">
        <v>74</v>
      </c>
      <c r="S1935" t="s">
        <v>74</v>
      </c>
      <c r="T1935" t="s">
        <v>4091</v>
      </c>
      <c r="U1935" t="s">
        <v>4092</v>
      </c>
      <c r="V1935" t="s">
        <v>4093</v>
      </c>
      <c r="W1935" t="s">
        <v>4094</v>
      </c>
      <c r="X1935" t="s">
        <v>4095</v>
      </c>
      <c r="Y1935" t="s">
        <v>4096</v>
      </c>
      <c r="Z1935" t="s">
        <v>4097</v>
      </c>
      <c r="AA1935" t="s">
        <v>74</v>
      </c>
      <c r="AB1935" t="s">
        <v>74</v>
      </c>
      <c r="AC1935" t="s">
        <v>74</v>
      </c>
      <c r="AD1935" t="s">
        <v>74</v>
      </c>
      <c r="AE1935" t="s">
        <v>74</v>
      </c>
      <c r="AF1935" t="s">
        <v>74</v>
      </c>
      <c r="AG1935">
        <v>66</v>
      </c>
      <c r="AH1935">
        <v>0</v>
      </c>
      <c r="AI1935">
        <v>0</v>
      </c>
      <c r="AJ1935">
        <v>12</v>
      </c>
      <c r="AK1935">
        <v>12</v>
      </c>
      <c r="AL1935" t="s">
        <v>74</v>
      </c>
      <c r="AM1935" t="s">
        <v>74</v>
      </c>
      <c r="AN1935" t="s">
        <v>74</v>
      </c>
      <c r="AO1935" t="s">
        <v>74</v>
      </c>
      <c r="AP1935" t="s">
        <v>131</v>
      </c>
      <c r="AQ1935" t="s">
        <v>74</v>
      </c>
      <c r="AR1935" t="s">
        <v>74</v>
      </c>
      <c r="AS1935" t="s">
        <v>74</v>
      </c>
      <c r="AT1935" t="s">
        <v>1029</v>
      </c>
      <c r="AU1935">
        <v>2022</v>
      </c>
      <c r="AV1935">
        <v>11</v>
      </c>
      <c r="AW1935">
        <v>5</v>
      </c>
      <c r="AX1935" t="s">
        <v>74</v>
      </c>
      <c r="AY1935" t="s">
        <v>74</v>
      </c>
      <c r="AZ1935" t="s">
        <v>74</v>
      </c>
      <c r="BA1935" t="s">
        <v>74</v>
      </c>
      <c r="BB1935" t="s">
        <v>74</v>
      </c>
      <c r="BC1935" t="s">
        <v>74</v>
      </c>
      <c r="BD1935" t="s">
        <v>4098</v>
      </c>
      <c r="BE1935" t="s">
        <v>4099</v>
      </c>
      <c r="BF1935" t="str">
        <f>HYPERLINK("http://dx.doi.org/10.1002/jev2.12223","http://dx.doi.org/10.1002/jev2.12223")</f>
        <v>http://dx.doi.org/10.1002/jev2.12223</v>
      </c>
      <c r="BG1935" t="s">
        <v>74</v>
      </c>
      <c r="BH1935" t="s">
        <v>74</v>
      </c>
      <c r="BI1935" t="s">
        <v>74</v>
      </c>
      <c r="BJ1935" t="s">
        <v>135</v>
      </c>
      <c r="BK1935" t="s">
        <v>117</v>
      </c>
      <c r="BL1935" t="s">
        <v>135</v>
      </c>
      <c r="BM1935" t="s">
        <v>74</v>
      </c>
      <c r="BN1935">
        <v>35595717</v>
      </c>
      <c r="BO1935" t="s">
        <v>74</v>
      </c>
      <c r="BP1935" t="s">
        <v>74</v>
      </c>
      <c r="BQ1935" t="s">
        <v>74</v>
      </c>
      <c r="BR1935" t="s">
        <v>96</v>
      </c>
      <c r="BS1935" t="s">
        <v>4100</v>
      </c>
      <c r="BT1935" t="str">
        <f>HYPERLINK("https%3A%2F%2Fwww.webofscience.com%2Fwos%2Fwoscc%2Ffull-record%2FWOS:000798058200001","View Full Record in Web of Science")</f>
        <v>View Full Record in Web of Science</v>
      </c>
    </row>
    <row r="1936" spans="1:72" x14ac:dyDescent="0.15">
      <c r="A1936" t="s">
        <v>98</v>
      </c>
      <c r="B1936" t="s">
        <v>4214</v>
      </c>
      <c r="C1936" t="s">
        <v>74</v>
      </c>
      <c r="D1936" t="s">
        <v>74</v>
      </c>
      <c r="E1936" t="s">
        <v>74</v>
      </c>
      <c r="F1936" t="s">
        <v>4215</v>
      </c>
      <c r="G1936" t="s">
        <v>74</v>
      </c>
      <c r="H1936" t="s">
        <v>74</v>
      </c>
      <c r="I1936" t="s">
        <v>4216</v>
      </c>
      <c r="J1936" t="s">
        <v>4217</v>
      </c>
      <c r="K1936" t="s">
        <v>74</v>
      </c>
      <c r="L1936" t="s">
        <v>74</v>
      </c>
      <c r="M1936" t="s">
        <v>74</v>
      </c>
      <c r="N1936" t="s">
        <v>103</v>
      </c>
      <c r="O1936" t="s">
        <v>74</v>
      </c>
      <c r="P1936" t="s">
        <v>74</v>
      </c>
      <c r="Q1936" t="s">
        <v>74</v>
      </c>
      <c r="R1936" t="s">
        <v>74</v>
      </c>
      <c r="S1936" t="s">
        <v>74</v>
      </c>
      <c r="T1936" t="s">
        <v>4218</v>
      </c>
      <c r="U1936" t="s">
        <v>4219</v>
      </c>
      <c r="V1936" t="s">
        <v>4220</v>
      </c>
      <c r="W1936" t="s">
        <v>4221</v>
      </c>
      <c r="X1936" t="s">
        <v>4222</v>
      </c>
      <c r="Y1936" t="s">
        <v>4223</v>
      </c>
      <c r="Z1936" t="s">
        <v>4224</v>
      </c>
      <c r="AA1936" t="s">
        <v>74</v>
      </c>
      <c r="AB1936" t="s">
        <v>74</v>
      </c>
      <c r="AC1936" t="s">
        <v>74</v>
      </c>
      <c r="AD1936" t="s">
        <v>74</v>
      </c>
      <c r="AE1936" t="s">
        <v>74</v>
      </c>
      <c r="AF1936" t="s">
        <v>74</v>
      </c>
      <c r="AG1936">
        <v>63</v>
      </c>
      <c r="AH1936">
        <v>0</v>
      </c>
      <c r="AI1936">
        <v>0</v>
      </c>
      <c r="AJ1936">
        <v>1</v>
      </c>
      <c r="AK1936">
        <v>3</v>
      </c>
      <c r="AL1936" t="s">
        <v>74</v>
      </c>
      <c r="AM1936" t="s">
        <v>74</v>
      </c>
      <c r="AN1936" t="s">
        <v>74</v>
      </c>
      <c r="AO1936" t="s">
        <v>4225</v>
      </c>
      <c r="AP1936" t="s">
        <v>74</v>
      </c>
      <c r="AQ1936" t="s">
        <v>74</v>
      </c>
      <c r="AR1936" t="s">
        <v>74</v>
      </c>
      <c r="AS1936" t="s">
        <v>74</v>
      </c>
      <c r="AT1936" t="s">
        <v>74</v>
      </c>
      <c r="AU1936">
        <v>2021</v>
      </c>
      <c r="AV1936">
        <v>25</v>
      </c>
      <c r="AW1936">
        <v>5</v>
      </c>
      <c r="AX1936" t="s">
        <v>74</v>
      </c>
      <c r="AY1936" t="s">
        <v>74</v>
      </c>
      <c r="AZ1936" t="s">
        <v>74</v>
      </c>
      <c r="BA1936" t="s">
        <v>74</v>
      </c>
      <c r="BB1936">
        <v>2172</v>
      </c>
      <c r="BC1936">
        <v>2181</v>
      </c>
      <c r="BD1936" t="s">
        <v>74</v>
      </c>
      <c r="BE1936" t="s">
        <v>4226</v>
      </c>
      <c r="BF1936" t="str">
        <f>HYPERLINK("http://dx.doi.org/10.26355/eurrev_202103_25208","http://dx.doi.org/10.26355/eurrev_202103_25208")</f>
        <v>http://dx.doi.org/10.26355/eurrev_202103_25208</v>
      </c>
      <c r="BG1936" t="s">
        <v>74</v>
      </c>
      <c r="BH1936" t="s">
        <v>74</v>
      </c>
      <c r="BI1936" t="s">
        <v>74</v>
      </c>
      <c r="BJ1936" t="s">
        <v>533</v>
      </c>
      <c r="BK1936" t="s">
        <v>117</v>
      </c>
      <c r="BL1936" t="s">
        <v>533</v>
      </c>
      <c r="BM1936" t="s">
        <v>74</v>
      </c>
      <c r="BN1936">
        <v>33755954</v>
      </c>
      <c r="BO1936" t="s">
        <v>74</v>
      </c>
      <c r="BP1936" t="s">
        <v>74</v>
      </c>
      <c r="BQ1936" t="s">
        <v>74</v>
      </c>
      <c r="BR1936" t="s">
        <v>96</v>
      </c>
      <c r="BS1936" t="s">
        <v>4227</v>
      </c>
      <c r="BT1936" t="str">
        <f>HYPERLINK("https%3A%2F%2Fwww.webofscience.com%2Fwos%2Fwoscc%2Ffull-record%2FWOS:000627906600013","View Full Record in Web of Science")</f>
        <v>View Full Record in Web of Science</v>
      </c>
    </row>
    <row r="1937" spans="1:72" x14ac:dyDescent="0.15">
      <c r="A1937" t="s">
        <v>98</v>
      </c>
      <c r="B1937" t="s">
        <v>4534</v>
      </c>
      <c r="C1937" t="s">
        <v>74</v>
      </c>
      <c r="D1937" t="s">
        <v>74</v>
      </c>
      <c r="E1937" t="s">
        <v>74</v>
      </c>
      <c r="F1937" t="s">
        <v>4535</v>
      </c>
      <c r="G1937" t="s">
        <v>74</v>
      </c>
      <c r="H1937" t="s">
        <v>74</v>
      </c>
      <c r="I1937" t="s">
        <v>4536</v>
      </c>
      <c r="J1937" t="s">
        <v>817</v>
      </c>
      <c r="K1937" t="s">
        <v>74</v>
      </c>
      <c r="L1937" t="s">
        <v>74</v>
      </c>
      <c r="M1937" t="s">
        <v>74</v>
      </c>
      <c r="N1937" t="s">
        <v>103</v>
      </c>
      <c r="O1937" t="s">
        <v>74</v>
      </c>
      <c r="P1937" t="s">
        <v>74</v>
      </c>
      <c r="Q1937" t="s">
        <v>74</v>
      </c>
      <c r="R1937" t="s">
        <v>74</v>
      </c>
      <c r="S1937" t="s">
        <v>74</v>
      </c>
      <c r="T1937" t="s">
        <v>4537</v>
      </c>
      <c r="U1937" t="s">
        <v>4538</v>
      </c>
      <c r="V1937" t="s">
        <v>4539</v>
      </c>
      <c r="W1937" t="s">
        <v>4540</v>
      </c>
      <c r="X1937" t="s">
        <v>4541</v>
      </c>
      <c r="Y1937" t="s">
        <v>4542</v>
      </c>
      <c r="Z1937" t="s">
        <v>4543</v>
      </c>
      <c r="AA1937" t="s">
        <v>74</v>
      </c>
      <c r="AB1937" t="s">
        <v>4544</v>
      </c>
      <c r="AC1937" t="s">
        <v>74</v>
      </c>
      <c r="AD1937" t="s">
        <v>74</v>
      </c>
      <c r="AE1937" t="s">
        <v>74</v>
      </c>
      <c r="AF1937" t="s">
        <v>74</v>
      </c>
      <c r="AG1937">
        <v>75</v>
      </c>
      <c r="AH1937">
        <v>0</v>
      </c>
      <c r="AI1937">
        <v>0</v>
      </c>
      <c r="AJ1937">
        <v>0</v>
      </c>
      <c r="AK1937">
        <v>0</v>
      </c>
      <c r="AL1937" t="s">
        <v>74</v>
      </c>
      <c r="AM1937" t="s">
        <v>74</v>
      </c>
      <c r="AN1937" t="s">
        <v>74</v>
      </c>
      <c r="AO1937" t="s">
        <v>74</v>
      </c>
      <c r="AP1937" t="s">
        <v>827</v>
      </c>
      <c r="AQ1937" t="s">
        <v>74</v>
      </c>
      <c r="AR1937" t="s">
        <v>74</v>
      </c>
      <c r="AS1937" t="s">
        <v>74</v>
      </c>
      <c r="AT1937" t="s">
        <v>1029</v>
      </c>
      <c r="AU1937">
        <v>2022</v>
      </c>
      <c r="AV1937">
        <v>23</v>
      </c>
      <c r="AW1937">
        <v>9</v>
      </c>
      <c r="AX1937" t="s">
        <v>74</v>
      </c>
      <c r="AY1937" t="s">
        <v>74</v>
      </c>
      <c r="AZ1937" t="s">
        <v>74</v>
      </c>
      <c r="BA1937" t="s">
        <v>74</v>
      </c>
      <c r="BB1937" t="s">
        <v>74</v>
      </c>
      <c r="BC1937" t="s">
        <v>74</v>
      </c>
      <c r="BD1937">
        <v>4970</v>
      </c>
      <c r="BE1937" t="s">
        <v>4545</v>
      </c>
      <c r="BF1937" t="str">
        <f>HYPERLINK("http://dx.doi.org/10.3390/ijms23094970","http://dx.doi.org/10.3390/ijms23094970")</f>
        <v>http://dx.doi.org/10.3390/ijms23094970</v>
      </c>
      <c r="BG1937" t="s">
        <v>74</v>
      </c>
      <c r="BH1937" t="s">
        <v>74</v>
      </c>
      <c r="BI1937" t="s">
        <v>74</v>
      </c>
      <c r="BJ1937" t="s">
        <v>830</v>
      </c>
      <c r="BK1937" t="s">
        <v>117</v>
      </c>
      <c r="BL1937" t="s">
        <v>831</v>
      </c>
      <c r="BM1937" t="s">
        <v>74</v>
      </c>
      <c r="BN1937">
        <v>35563365</v>
      </c>
      <c r="BO1937" t="s">
        <v>74</v>
      </c>
      <c r="BP1937" t="s">
        <v>74</v>
      </c>
      <c r="BQ1937" t="s">
        <v>74</v>
      </c>
      <c r="BR1937" t="s">
        <v>96</v>
      </c>
      <c r="BS1937" t="s">
        <v>4546</v>
      </c>
      <c r="BT1937" t="str">
        <f>HYPERLINK("https%3A%2F%2Fwww.webofscience.com%2Fwos%2Fwoscc%2Ffull-record%2FWOS:000796171800001","View Full Record in Web of Science")</f>
        <v>View Full Record in Web of Science</v>
      </c>
    </row>
    <row r="1938" spans="1:72" x14ac:dyDescent="0.15">
      <c r="A1938" t="s">
        <v>98</v>
      </c>
      <c r="B1938" t="s">
        <v>4562</v>
      </c>
      <c r="C1938" t="s">
        <v>74</v>
      </c>
      <c r="D1938" t="s">
        <v>74</v>
      </c>
      <c r="E1938" t="s">
        <v>74</v>
      </c>
      <c r="F1938" t="s">
        <v>4563</v>
      </c>
      <c r="G1938" t="s">
        <v>74</v>
      </c>
      <c r="H1938" t="s">
        <v>74</v>
      </c>
      <c r="I1938" t="s">
        <v>4564</v>
      </c>
      <c r="J1938" t="s">
        <v>4565</v>
      </c>
      <c r="K1938" t="s">
        <v>74</v>
      </c>
      <c r="L1938" t="s">
        <v>74</v>
      </c>
      <c r="M1938" t="s">
        <v>74</v>
      </c>
      <c r="N1938" t="s">
        <v>103</v>
      </c>
      <c r="O1938" t="s">
        <v>74</v>
      </c>
      <c r="P1938" t="s">
        <v>74</v>
      </c>
      <c r="Q1938" t="s">
        <v>74</v>
      </c>
      <c r="R1938" t="s">
        <v>74</v>
      </c>
      <c r="S1938" t="s">
        <v>74</v>
      </c>
      <c r="T1938" t="s">
        <v>4566</v>
      </c>
      <c r="U1938" t="s">
        <v>4567</v>
      </c>
      <c r="V1938" t="s">
        <v>4568</v>
      </c>
      <c r="W1938" t="s">
        <v>4569</v>
      </c>
      <c r="X1938" t="s">
        <v>4570</v>
      </c>
      <c r="Y1938" t="s">
        <v>4571</v>
      </c>
      <c r="Z1938" t="s">
        <v>4572</v>
      </c>
      <c r="AA1938" t="s">
        <v>4573</v>
      </c>
      <c r="AB1938" t="s">
        <v>4574</v>
      </c>
      <c r="AC1938" t="s">
        <v>74</v>
      </c>
      <c r="AD1938" t="s">
        <v>74</v>
      </c>
      <c r="AE1938" t="s">
        <v>74</v>
      </c>
      <c r="AF1938" t="s">
        <v>74</v>
      </c>
      <c r="AG1938">
        <v>42</v>
      </c>
      <c r="AH1938">
        <v>0</v>
      </c>
      <c r="AI1938">
        <v>0</v>
      </c>
      <c r="AJ1938">
        <v>34</v>
      </c>
      <c r="AK1938">
        <v>34</v>
      </c>
      <c r="AL1938" t="s">
        <v>74</v>
      </c>
      <c r="AM1938" t="s">
        <v>74</v>
      </c>
      <c r="AN1938" t="s">
        <v>74</v>
      </c>
      <c r="AO1938" t="s">
        <v>4575</v>
      </c>
      <c r="AP1938" t="s">
        <v>4576</v>
      </c>
      <c r="AQ1938" t="s">
        <v>74</v>
      </c>
      <c r="AR1938" t="s">
        <v>74</v>
      </c>
      <c r="AS1938" t="s">
        <v>74</v>
      </c>
      <c r="AT1938" t="s">
        <v>4577</v>
      </c>
      <c r="AU1938">
        <v>2022</v>
      </c>
      <c r="AV1938">
        <v>56</v>
      </c>
      <c r="AW1938">
        <v>9</v>
      </c>
      <c r="AX1938" t="s">
        <v>74</v>
      </c>
      <c r="AY1938" t="s">
        <v>74</v>
      </c>
      <c r="AZ1938" t="s">
        <v>74</v>
      </c>
      <c r="BA1938" t="s">
        <v>74</v>
      </c>
      <c r="BB1938">
        <v>5653</v>
      </c>
      <c r="BC1938">
        <v>5663</v>
      </c>
      <c r="BD1938" t="s">
        <v>74</v>
      </c>
      <c r="BE1938" t="s">
        <v>4578</v>
      </c>
      <c r="BF1938" t="str">
        <f>HYPERLINK("http://dx.doi.org/10.1021/acs.est.1c08654","http://dx.doi.org/10.1021/acs.est.1c08654")</f>
        <v>http://dx.doi.org/10.1021/acs.est.1c08654</v>
      </c>
      <c r="BG1938" t="s">
        <v>74</v>
      </c>
      <c r="BH1938" t="s">
        <v>74</v>
      </c>
      <c r="BI1938" t="s">
        <v>74</v>
      </c>
      <c r="BJ1938" t="s">
        <v>4579</v>
      </c>
      <c r="BK1938" t="s">
        <v>117</v>
      </c>
      <c r="BL1938" t="s">
        <v>4580</v>
      </c>
      <c r="BM1938" t="s">
        <v>74</v>
      </c>
      <c r="BN1938">
        <v>35438977</v>
      </c>
      <c r="BO1938" t="s">
        <v>74</v>
      </c>
      <c r="BP1938" t="s">
        <v>74</v>
      </c>
      <c r="BQ1938" t="s">
        <v>74</v>
      </c>
      <c r="BR1938" t="s">
        <v>96</v>
      </c>
      <c r="BS1938" t="s">
        <v>4581</v>
      </c>
      <c r="BT1938" t="str">
        <f>HYPERLINK("https%3A%2F%2Fwww.webofscience.com%2Fwos%2Fwoscc%2Ffull-record%2FWOS:000798709200035","View Full Record in Web of Science")</f>
        <v>View Full Record in Web of Science</v>
      </c>
    </row>
    <row r="1939" spans="1:72" x14ac:dyDescent="0.15">
      <c r="A1939" t="s">
        <v>98</v>
      </c>
      <c r="B1939" t="s">
        <v>4669</v>
      </c>
      <c r="C1939" t="s">
        <v>74</v>
      </c>
      <c r="D1939" t="s">
        <v>74</v>
      </c>
      <c r="E1939" t="s">
        <v>74</v>
      </c>
      <c r="F1939" t="s">
        <v>4670</v>
      </c>
      <c r="G1939" t="s">
        <v>74</v>
      </c>
      <c r="H1939" t="s">
        <v>74</v>
      </c>
      <c r="I1939" t="s">
        <v>4671</v>
      </c>
      <c r="J1939" t="s">
        <v>903</v>
      </c>
      <c r="K1939" t="s">
        <v>74</v>
      </c>
      <c r="L1939" t="s">
        <v>74</v>
      </c>
      <c r="M1939" t="s">
        <v>74</v>
      </c>
      <c r="N1939" t="s">
        <v>103</v>
      </c>
      <c r="O1939" t="s">
        <v>74</v>
      </c>
      <c r="P1939" t="s">
        <v>74</v>
      </c>
      <c r="Q1939" t="s">
        <v>74</v>
      </c>
      <c r="R1939" t="s">
        <v>74</v>
      </c>
      <c r="S1939" t="s">
        <v>74</v>
      </c>
      <c r="T1939" t="s">
        <v>4672</v>
      </c>
      <c r="U1939" t="s">
        <v>4673</v>
      </c>
      <c r="V1939" t="s">
        <v>4674</v>
      </c>
      <c r="W1939" t="s">
        <v>4675</v>
      </c>
      <c r="X1939" t="s">
        <v>4676</v>
      </c>
      <c r="Y1939" t="s">
        <v>4677</v>
      </c>
      <c r="Z1939" t="s">
        <v>4678</v>
      </c>
      <c r="AA1939" t="s">
        <v>74</v>
      </c>
      <c r="AB1939" t="s">
        <v>4679</v>
      </c>
      <c r="AC1939" t="s">
        <v>74</v>
      </c>
      <c r="AD1939" t="s">
        <v>74</v>
      </c>
      <c r="AE1939" t="s">
        <v>74</v>
      </c>
      <c r="AF1939" t="s">
        <v>74</v>
      </c>
      <c r="AG1939">
        <v>43</v>
      </c>
      <c r="AH1939">
        <v>0</v>
      </c>
      <c r="AI1939">
        <v>0</v>
      </c>
      <c r="AJ1939">
        <v>5</v>
      </c>
      <c r="AK1939">
        <v>6</v>
      </c>
      <c r="AL1939" t="s">
        <v>74</v>
      </c>
      <c r="AM1939" t="s">
        <v>74</v>
      </c>
      <c r="AN1939" t="s">
        <v>74</v>
      </c>
      <c r="AO1939" t="s">
        <v>74</v>
      </c>
      <c r="AP1939" t="s">
        <v>913</v>
      </c>
      <c r="AQ1939" t="s">
        <v>74</v>
      </c>
      <c r="AR1939" t="s">
        <v>74</v>
      </c>
      <c r="AS1939" t="s">
        <v>74</v>
      </c>
      <c r="AT1939" t="s">
        <v>114</v>
      </c>
      <c r="AU1939">
        <v>2022</v>
      </c>
      <c r="AV1939">
        <v>14</v>
      </c>
      <c r="AW1939">
        <v>1</v>
      </c>
      <c r="AX1939" t="s">
        <v>74</v>
      </c>
      <c r="AY1939" t="s">
        <v>74</v>
      </c>
      <c r="AZ1939" t="s">
        <v>74</v>
      </c>
      <c r="BA1939" t="s">
        <v>74</v>
      </c>
      <c r="BB1939" t="s">
        <v>74</v>
      </c>
      <c r="BC1939" t="s">
        <v>74</v>
      </c>
      <c r="BD1939">
        <v>56</v>
      </c>
      <c r="BE1939" t="s">
        <v>4680</v>
      </c>
      <c r="BF1939" t="str">
        <f>HYPERLINK("http://dx.doi.org/10.3390/cancers14010056","http://dx.doi.org/10.3390/cancers14010056")</f>
        <v>http://dx.doi.org/10.3390/cancers14010056</v>
      </c>
      <c r="BG1939" t="s">
        <v>74</v>
      </c>
      <c r="BH1939" t="s">
        <v>74</v>
      </c>
      <c r="BI1939" t="s">
        <v>74</v>
      </c>
      <c r="BJ1939" t="s">
        <v>267</v>
      </c>
      <c r="BK1939" t="s">
        <v>117</v>
      </c>
      <c r="BL1939" t="s">
        <v>267</v>
      </c>
      <c r="BM1939" t="s">
        <v>74</v>
      </c>
      <c r="BN1939">
        <v>35008226</v>
      </c>
      <c r="BO1939" t="s">
        <v>74</v>
      </c>
      <c r="BP1939" t="s">
        <v>74</v>
      </c>
      <c r="BQ1939" t="s">
        <v>74</v>
      </c>
      <c r="BR1939" t="s">
        <v>96</v>
      </c>
      <c r="BS1939" t="s">
        <v>4681</v>
      </c>
      <c r="BT1939" t="str">
        <f>HYPERLINK("https%3A%2F%2Fwww.webofscience.com%2Fwos%2Fwoscc%2Ffull-record%2FWOS:000741214200001","View Full Record in Web of Science")</f>
        <v>View Full Record in Web of Science</v>
      </c>
    </row>
    <row r="1940" spans="1:72" x14ac:dyDescent="0.15">
      <c r="A1940" t="s">
        <v>72</v>
      </c>
      <c r="B1940" t="s">
        <v>4682</v>
      </c>
      <c r="C1940" t="s">
        <v>74</v>
      </c>
      <c r="D1940" t="s">
        <v>4683</v>
      </c>
      <c r="E1940" t="s">
        <v>74</v>
      </c>
      <c r="F1940" t="s">
        <v>4684</v>
      </c>
      <c r="G1940" t="s">
        <v>74</v>
      </c>
      <c r="H1940" t="s">
        <v>74</v>
      </c>
      <c r="I1940" t="s">
        <v>4685</v>
      </c>
      <c r="J1940" t="s">
        <v>4686</v>
      </c>
      <c r="K1940" t="s">
        <v>2947</v>
      </c>
      <c r="L1940" t="s">
        <v>74</v>
      </c>
      <c r="M1940" t="s">
        <v>74</v>
      </c>
      <c r="N1940" t="s">
        <v>80</v>
      </c>
      <c r="O1940" t="s">
        <v>74</v>
      </c>
      <c r="P1940" t="s">
        <v>74</v>
      </c>
      <c r="Q1940" t="s">
        <v>74</v>
      </c>
      <c r="R1940" t="s">
        <v>74</v>
      </c>
      <c r="S1940" t="s">
        <v>74</v>
      </c>
      <c r="T1940" t="s">
        <v>4687</v>
      </c>
      <c r="U1940" t="s">
        <v>4688</v>
      </c>
      <c r="V1940" t="s">
        <v>4689</v>
      </c>
      <c r="W1940" t="s">
        <v>4690</v>
      </c>
      <c r="X1940" t="s">
        <v>4691</v>
      </c>
      <c r="Y1940" t="s">
        <v>4692</v>
      </c>
      <c r="Z1940" t="s">
        <v>4693</v>
      </c>
      <c r="AA1940" t="s">
        <v>74</v>
      </c>
      <c r="AB1940" t="s">
        <v>74</v>
      </c>
      <c r="AC1940" t="s">
        <v>74</v>
      </c>
      <c r="AD1940" t="s">
        <v>74</v>
      </c>
      <c r="AE1940" t="s">
        <v>74</v>
      </c>
      <c r="AF1940" t="s">
        <v>74</v>
      </c>
      <c r="AG1940">
        <v>135</v>
      </c>
      <c r="AH1940">
        <v>0</v>
      </c>
      <c r="AI1940">
        <v>0</v>
      </c>
      <c r="AJ1940">
        <v>0</v>
      </c>
      <c r="AK1940">
        <v>12</v>
      </c>
      <c r="AL1940" t="s">
        <v>74</v>
      </c>
      <c r="AM1940" t="s">
        <v>74</v>
      </c>
      <c r="AN1940" t="s">
        <v>74</v>
      </c>
      <c r="AO1940" t="s">
        <v>2954</v>
      </c>
      <c r="AP1940" t="s">
        <v>2955</v>
      </c>
      <c r="AQ1940" t="s">
        <v>4694</v>
      </c>
      <c r="AR1940" t="s">
        <v>74</v>
      </c>
      <c r="AS1940" t="s">
        <v>74</v>
      </c>
      <c r="AT1940" t="s">
        <v>74</v>
      </c>
      <c r="AU1940">
        <v>2020</v>
      </c>
      <c r="AV1940">
        <v>1249</v>
      </c>
      <c r="AW1940" t="s">
        <v>74</v>
      </c>
      <c r="AX1940" t="s">
        <v>74</v>
      </c>
      <c r="AY1940" t="s">
        <v>74</v>
      </c>
      <c r="AZ1940" t="s">
        <v>74</v>
      </c>
      <c r="BA1940" t="s">
        <v>74</v>
      </c>
      <c r="BB1940">
        <v>143</v>
      </c>
      <c r="BC1940">
        <v>160</v>
      </c>
      <c r="BD1940" t="s">
        <v>74</v>
      </c>
      <c r="BE1940" t="s">
        <v>4695</v>
      </c>
      <c r="BF1940" t="str">
        <f>HYPERLINK("http://dx.doi.org/10.1007/978-981-15-3258-0_10","http://dx.doi.org/10.1007/978-981-15-3258-0_10")</f>
        <v>http://dx.doi.org/10.1007/978-981-15-3258-0_10</v>
      </c>
      <c r="BG1940" t="s">
        <v>4696</v>
      </c>
      <c r="BH1940" t="s">
        <v>74</v>
      </c>
      <c r="BI1940" t="s">
        <v>74</v>
      </c>
      <c r="BJ1940" t="s">
        <v>4697</v>
      </c>
      <c r="BK1940" t="s">
        <v>2960</v>
      </c>
      <c r="BL1940" t="s">
        <v>4698</v>
      </c>
      <c r="BM1940" t="s">
        <v>74</v>
      </c>
      <c r="BN1940">
        <v>32602096</v>
      </c>
      <c r="BO1940" t="s">
        <v>74</v>
      </c>
      <c r="BP1940" t="s">
        <v>74</v>
      </c>
      <c r="BQ1940" t="s">
        <v>74</v>
      </c>
      <c r="BR1940" t="s">
        <v>96</v>
      </c>
      <c r="BS1940" t="s">
        <v>4699</v>
      </c>
      <c r="BT1940" t="str">
        <f>HYPERLINK("https%3A%2F%2Fwww.webofscience.com%2Fwos%2Fwoscc%2Ffull-record%2FWOS:000556133400011","View Full Record in Web of Science")</f>
        <v>View Full Record in Web of Science</v>
      </c>
    </row>
    <row r="1941" spans="1:72" x14ac:dyDescent="0.15">
      <c r="A1941" t="s">
        <v>98</v>
      </c>
      <c r="B1941" t="s">
        <v>4700</v>
      </c>
      <c r="C1941" t="s">
        <v>74</v>
      </c>
      <c r="D1941" t="s">
        <v>74</v>
      </c>
      <c r="E1941" t="s">
        <v>74</v>
      </c>
      <c r="F1941" t="s">
        <v>4701</v>
      </c>
      <c r="G1941" t="s">
        <v>74</v>
      </c>
      <c r="H1941" t="s">
        <v>74</v>
      </c>
      <c r="I1941" t="s">
        <v>4702</v>
      </c>
      <c r="J1941" t="s">
        <v>4703</v>
      </c>
      <c r="K1941" t="s">
        <v>74</v>
      </c>
      <c r="L1941" t="s">
        <v>74</v>
      </c>
      <c r="M1941" t="s">
        <v>74</v>
      </c>
      <c r="N1941" t="s">
        <v>103</v>
      </c>
      <c r="O1941" t="s">
        <v>74</v>
      </c>
      <c r="P1941" t="s">
        <v>74</v>
      </c>
      <c r="Q1941" t="s">
        <v>74</v>
      </c>
      <c r="R1941" t="s">
        <v>74</v>
      </c>
      <c r="S1941" t="s">
        <v>74</v>
      </c>
      <c r="T1941" t="s">
        <v>4704</v>
      </c>
      <c r="U1941" t="s">
        <v>4705</v>
      </c>
      <c r="V1941" t="s">
        <v>4706</v>
      </c>
      <c r="W1941" t="s">
        <v>4707</v>
      </c>
      <c r="X1941" t="s">
        <v>4708</v>
      </c>
      <c r="Y1941" t="s">
        <v>4709</v>
      </c>
      <c r="Z1941" t="s">
        <v>4710</v>
      </c>
      <c r="AA1941" t="s">
        <v>74</v>
      </c>
      <c r="AB1941" t="s">
        <v>74</v>
      </c>
      <c r="AC1941" t="s">
        <v>74</v>
      </c>
      <c r="AD1941" t="s">
        <v>74</v>
      </c>
      <c r="AE1941" t="s">
        <v>74</v>
      </c>
      <c r="AF1941" t="s">
        <v>74</v>
      </c>
      <c r="AG1941">
        <v>119</v>
      </c>
      <c r="AH1941">
        <v>0</v>
      </c>
      <c r="AI1941">
        <v>0</v>
      </c>
      <c r="AJ1941">
        <v>7</v>
      </c>
      <c r="AK1941">
        <v>7</v>
      </c>
      <c r="AL1941" t="s">
        <v>74</v>
      </c>
      <c r="AM1941" t="s">
        <v>74</v>
      </c>
      <c r="AN1941" t="s">
        <v>74</v>
      </c>
      <c r="AO1941" t="s">
        <v>4711</v>
      </c>
      <c r="AP1941" t="s">
        <v>74</v>
      </c>
      <c r="AQ1941" t="s">
        <v>74</v>
      </c>
      <c r="AR1941" t="s">
        <v>74</v>
      </c>
      <c r="AS1941" t="s">
        <v>74</v>
      </c>
      <c r="AT1941" t="s">
        <v>4712</v>
      </c>
      <c r="AU1941">
        <v>2022</v>
      </c>
      <c r="AV1941">
        <v>34</v>
      </c>
      <c r="AW1941">
        <v>1</v>
      </c>
      <c r="AX1941" t="s">
        <v>74</v>
      </c>
      <c r="AY1941" t="s">
        <v>74</v>
      </c>
      <c r="AZ1941" t="s">
        <v>74</v>
      </c>
      <c r="BA1941" t="s">
        <v>74</v>
      </c>
      <c r="BB1941">
        <v>178</v>
      </c>
      <c r="BC1941">
        <v>197</v>
      </c>
      <c r="BD1941" t="s">
        <v>74</v>
      </c>
      <c r="BE1941" t="s">
        <v>4713</v>
      </c>
      <c r="BF1941" t="str">
        <f>HYPERLINK("http://dx.doi.org/10.7536/PC210346","http://dx.doi.org/10.7536/PC210346")</f>
        <v>http://dx.doi.org/10.7536/PC210346</v>
      </c>
      <c r="BG1941" t="s">
        <v>74</v>
      </c>
      <c r="BH1941" t="s">
        <v>74</v>
      </c>
      <c r="BI1941" t="s">
        <v>74</v>
      </c>
      <c r="BJ1941" t="s">
        <v>1047</v>
      </c>
      <c r="BK1941" t="s">
        <v>117</v>
      </c>
      <c r="BL1941" t="s">
        <v>1048</v>
      </c>
      <c r="BM1941" t="s">
        <v>74</v>
      </c>
      <c r="BN1941" t="s">
        <v>74</v>
      </c>
      <c r="BO1941" t="s">
        <v>74</v>
      </c>
      <c r="BP1941" t="s">
        <v>74</v>
      </c>
      <c r="BQ1941" t="s">
        <v>74</v>
      </c>
      <c r="BR1941" t="s">
        <v>96</v>
      </c>
      <c r="BS1941" t="s">
        <v>4714</v>
      </c>
      <c r="BT1941" t="str">
        <f>HYPERLINK("https%3A%2F%2Fwww.webofscience.com%2Fwos%2Fwoscc%2Ffull-record%2FWOS:000797206600001","View Full Record in Web of Science")</f>
        <v>View Full Record in Web of Science</v>
      </c>
    </row>
    <row r="1942" spans="1:72" x14ac:dyDescent="0.15">
      <c r="A1942" t="s">
        <v>98</v>
      </c>
      <c r="B1942" t="s">
        <v>4955</v>
      </c>
      <c r="C1942" t="s">
        <v>74</v>
      </c>
      <c r="D1942" t="s">
        <v>74</v>
      </c>
      <c r="E1942" t="s">
        <v>74</v>
      </c>
      <c r="F1942" t="s">
        <v>4956</v>
      </c>
      <c r="G1942" t="s">
        <v>74</v>
      </c>
      <c r="H1942" t="s">
        <v>74</v>
      </c>
      <c r="I1942" t="s">
        <v>4957</v>
      </c>
      <c r="J1942" t="s">
        <v>1860</v>
      </c>
      <c r="K1942" t="s">
        <v>74</v>
      </c>
      <c r="L1942" t="s">
        <v>74</v>
      </c>
      <c r="M1942" t="s">
        <v>74</v>
      </c>
      <c r="N1942" t="s">
        <v>103</v>
      </c>
      <c r="O1942" t="s">
        <v>74</v>
      </c>
      <c r="P1942" t="s">
        <v>74</v>
      </c>
      <c r="Q1942" t="s">
        <v>74</v>
      </c>
      <c r="R1942" t="s">
        <v>74</v>
      </c>
      <c r="S1942" t="s">
        <v>74</v>
      </c>
      <c r="T1942" t="s">
        <v>4958</v>
      </c>
      <c r="U1942" t="s">
        <v>4959</v>
      </c>
      <c r="V1942" t="s">
        <v>4960</v>
      </c>
      <c r="W1942" t="s">
        <v>4961</v>
      </c>
      <c r="X1942" t="s">
        <v>4962</v>
      </c>
      <c r="Y1942" t="s">
        <v>4963</v>
      </c>
      <c r="Z1942" t="s">
        <v>4964</v>
      </c>
      <c r="AA1942" t="s">
        <v>74</v>
      </c>
      <c r="AB1942" t="s">
        <v>74</v>
      </c>
      <c r="AC1942" t="s">
        <v>74</v>
      </c>
      <c r="AD1942" t="s">
        <v>74</v>
      </c>
      <c r="AE1942" t="s">
        <v>74</v>
      </c>
      <c r="AF1942" t="s">
        <v>74</v>
      </c>
      <c r="AG1942">
        <v>40</v>
      </c>
      <c r="AH1942">
        <v>0</v>
      </c>
      <c r="AI1942">
        <v>0</v>
      </c>
      <c r="AJ1942">
        <v>21</v>
      </c>
      <c r="AK1942">
        <v>24</v>
      </c>
      <c r="AL1942" t="s">
        <v>74</v>
      </c>
      <c r="AM1942" t="s">
        <v>74</v>
      </c>
      <c r="AN1942" t="s">
        <v>74</v>
      </c>
      <c r="AO1942" t="s">
        <v>1870</v>
      </c>
      <c r="AP1942" t="s">
        <v>1871</v>
      </c>
      <c r="AQ1942" t="s">
        <v>74</v>
      </c>
      <c r="AR1942" t="s">
        <v>74</v>
      </c>
      <c r="AS1942" t="s">
        <v>74</v>
      </c>
      <c r="AT1942" t="s">
        <v>4965</v>
      </c>
      <c r="AU1942">
        <v>2022</v>
      </c>
      <c r="AV1942">
        <v>1192</v>
      </c>
      <c r="AW1942" t="s">
        <v>74</v>
      </c>
      <c r="AX1942" t="s">
        <v>74</v>
      </c>
      <c r="AY1942" t="s">
        <v>74</v>
      </c>
      <c r="AZ1942" t="s">
        <v>74</v>
      </c>
      <c r="BA1942" t="s">
        <v>74</v>
      </c>
      <c r="BB1942" t="s">
        <v>74</v>
      </c>
      <c r="BC1942" t="s">
        <v>74</v>
      </c>
      <c r="BD1942">
        <v>339357</v>
      </c>
      <c r="BE1942" t="s">
        <v>4966</v>
      </c>
      <c r="BF1942" t="str">
        <f>HYPERLINK("http://dx.doi.org/10.1016/j.aca.2021.339357","http://dx.doi.org/10.1016/j.aca.2021.339357")</f>
        <v>http://dx.doi.org/10.1016/j.aca.2021.339357</v>
      </c>
      <c r="BG1942" t="s">
        <v>74</v>
      </c>
      <c r="BH1942" t="s">
        <v>74</v>
      </c>
      <c r="BI1942" t="s">
        <v>74</v>
      </c>
      <c r="BJ1942" t="s">
        <v>1118</v>
      </c>
      <c r="BK1942" t="s">
        <v>117</v>
      </c>
      <c r="BL1942" t="s">
        <v>1048</v>
      </c>
      <c r="BM1942" t="s">
        <v>74</v>
      </c>
      <c r="BN1942">
        <v>35057959</v>
      </c>
      <c r="BO1942" t="s">
        <v>74</v>
      </c>
      <c r="BP1942" t="s">
        <v>74</v>
      </c>
      <c r="BQ1942" t="s">
        <v>74</v>
      </c>
      <c r="BR1942" t="s">
        <v>96</v>
      </c>
      <c r="BS1942" t="s">
        <v>4967</v>
      </c>
      <c r="BT1942" t="str">
        <f>HYPERLINK("https%3A%2F%2Fwww.webofscience.com%2Fwos%2Fwoscc%2Ffull-record%2FWOS:000745829400009","View Full Record in Web of Science")</f>
        <v>View Full Record in Web of Science</v>
      </c>
    </row>
    <row r="1943" spans="1:72" x14ac:dyDescent="0.15">
      <c r="A1943" t="s">
        <v>98</v>
      </c>
      <c r="B1943" t="s">
        <v>5038</v>
      </c>
      <c r="C1943" t="s">
        <v>74</v>
      </c>
      <c r="D1943" t="s">
        <v>74</v>
      </c>
      <c r="E1943" t="s">
        <v>74</v>
      </c>
      <c r="F1943" t="s">
        <v>5039</v>
      </c>
      <c r="G1943" t="s">
        <v>74</v>
      </c>
      <c r="H1943" t="s">
        <v>74</v>
      </c>
      <c r="I1943" t="s">
        <v>5040</v>
      </c>
      <c r="J1943" t="s">
        <v>1827</v>
      </c>
      <c r="K1943" t="s">
        <v>74</v>
      </c>
      <c r="L1943" t="s">
        <v>74</v>
      </c>
      <c r="M1943" t="s">
        <v>74</v>
      </c>
      <c r="N1943" t="s">
        <v>103</v>
      </c>
      <c r="O1943" t="s">
        <v>74</v>
      </c>
      <c r="P1943" t="s">
        <v>74</v>
      </c>
      <c r="Q1943" t="s">
        <v>74</v>
      </c>
      <c r="R1943" t="s">
        <v>74</v>
      </c>
      <c r="S1943" t="s">
        <v>74</v>
      </c>
      <c r="T1943" t="s">
        <v>5041</v>
      </c>
      <c r="U1943" t="s">
        <v>5042</v>
      </c>
      <c r="V1943" t="s">
        <v>5043</v>
      </c>
      <c r="W1943" t="s">
        <v>5044</v>
      </c>
      <c r="X1943" t="s">
        <v>5045</v>
      </c>
      <c r="Y1943" t="s">
        <v>5046</v>
      </c>
      <c r="Z1943" t="s">
        <v>5047</v>
      </c>
      <c r="AA1943" t="s">
        <v>74</v>
      </c>
      <c r="AB1943" t="s">
        <v>5048</v>
      </c>
      <c r="AC1943" t="s">
        <v>74</v>
      </c>
      <c r="AD1943" t="s">
        <v>74</v>
      </c>
      <c r="AE1943" t="s">
        <v>74</v>
      </c>
      <c r="AF1943" t="s">
        <v>74</v>
      </c>
      <c r="AG1943">
        <v>62</v>
      </c>
      <c r="AH1943">
        <v>0</v>
      </c>
      <c r="AI1943">
        <v>0</v>
      </c>
      <c r="AJ1943">
        <v>0</v>
      </c>
      <c r="AK1943">
        <v>0</v>
      </c>
      <c r="AL1943" t="s">
        <v>74</v>
      </c>
      <c r="AM1943" t="s">
        <v>74</v>
      </c>
      <c r="AN1943" t="s">
        <v>74</v>
      </c>
      <c r="AO1943" t="s">
        <v>74</v>
      </c>
      <c r="AP1943" t="s">
        <v>1836</v>
      </c>
      <c r="AQ1943" t="s">
        <v>74</v>
      </c>
      <c r="AR1943" t="s">
        <v>74</v>
      </c>
      <c r="AS1943" t="s">
        <v>74</v>
      </c>
      <c r="AT1943" t="s">
        <v>170</v>
      </c>
      <c r="AU1943">
        <v>2022</v>
      </c>
      <c r="AV1943">
        <v>11</v>
      </c>
      <c r="AW1943">
        <v>12</v>
      </c>
      <c r="AX1943" t="s">
        <v>74</v>
      </c>
      <c r="AY1943" t="s">
        <v>74</v>
      </c>
      <c r="AZ1943" t="s">
        <v>74</v>
      </c>
      <c r="BA1943" t="s">
        <v>74</v>
      </c>
      <c r="BB1943" t="s">
        <v>74</v>
      </c>
      <c r="BC1943" t="s">
        <v>74</v>
      </c>
      <c r="BD1943">
        <v>1933</v>
      </c>
      <c r="BE1943" t="s">
        <v>5049</v>
      </c>
      <c r="BF1943" t="str">
        <f>HYPERLINK("http://dx.doi.org/10.3390/cells11121933","http://dx.doi.org/10.3390/cells11121933")</f>
        <v>http://dx.doi.org/10.3390/cells11121933</v>
      </c>
      <c r="BG1943" t="s">
        <v>74</v>
      </c>
      <c r="BH1943" t="s">
        <v>74</v>
      </c>
      <c r="BI1943" t="s">
        <v>74</v>
      </c>
      <c r="BJ1943" t="s">
        <v>135</v>
      </c>
      <c r="BK1943" t="s">
        <v>117</v>
      </c>
      <c r="BL1943" t="s">
        <v>135</v>
      </c>
      <c r="BM1943" t="s">
        <v>74</v>
      </c>
      <c r="BN1943">
        <v>35741061</v>
      </c>
      <c r="BO1943" t="s">
        <v>74</v>
      </c>
      <c r="BP1943" t="s">
        <v>74</v>
      </c>
      <c r="BQ1943" t="s">
        <v>74</v>
      </c>
      <c r="BR1943" t="s">
        <v>96</v>
      </c>
      <c r="BS1943" t="s">
        <v>5050</v>
      </c>
      <c r="BT1943" t="str">
        <f>HYPERLINK("https%3A%2F%2Fwww.webofscience.com%2Fwos%2Fwoscc%2Ffull-record%2FWOS:000818338200001","View Full Record in Web of Science")</f>
        <v>View Full Record in Web of Science</v>
      </c>
    </row>
    <row r="1944" spans="1:72" x14ac:dyDescent="0.15">
      <c r="A1944" t="s">
        <v>98</v>
      </c>
      <c r="B1944" t="s">
        <v>5051</v>
      </c>
      <c r="C1944" t="s">
        <v>74</v>
      </c>
      <c r="D1944" t="s">
        <v>74</v>
      </c>
      <c r="E1944" t="s">
        <v>74</v>
      </c>
      <c r="F1944" t="s">
        <v>5052</v>
      </c>
      <c r="G1944" t="s">
        <v>74</v>
      </c>
      <c r="H1944" t="s">
        <v>74</v>
      </c>
      <c r="I1944" t="s">
        <v>5053</v>
      </c>
      <c r="J1944" t="s">
        <v>4486</v>
      </c>
      <c r="K1944" t="s">
        <v>74</v>
      </c>
      <c r="L1944" t="s">
        <v>74</v>
      </c>
      <c r="M1944" t="s">
        <v>74</v>
      </c>
      <c r="N1944" t="s">
        <v>2996</v>
      </c>
      <c r="O1944" t="s">
        <v>74</v>
      </c>
      <c r="P1944" t="s">
        <v>74</v>
      </c>
      <c r="Q1944" t="s">
        <v>74</v>
      </c>
      <c r="R1944" t="s">
        <v>74</v>
      </c>
      <c r="S1944" t="s">
        <v>74</v>
      </c>
      <c r="T1944" t="s">
        <v>74</v>
      </c>
      <c r="U1944" t="s">
        <v>5054</v>
      </c>
      <c r="V1944" t="s">
        <v>5055</v>
      </c>
      <c r="W1944" t="s">
        <v>5056</v>
      </c>
      <c r="X1944" t="s">
        <v>5057</v>
      </c>
      <c r="Y1944" t="s">
        <v>5058</v>
      </c>
      <c r="Z1944" t="s">
        <v>5059</v>
      </c>
      <c r="AA1944" t="s">
        <v>74</v>
      </c>
      <c r="AB1944" t="s">
        <v>74</v>
      </c>
      <c r="AC1944" t="s">
        <v>74</v>
      </c>
      <c r="AD1944" t="s">
        <v>74</v>
      </c>
      <c r="AE1944" t="s">
        <v>74</v>
      </c>
      <c r="AF1944" t="s">
        <v>74</v>
      </c>
      <c r="AG1944">
        <v>35</v>
      </c>
      <c r="AH1944">
        <v>0</v>
      </c>
      <c r="AI1944">
        <v>0</v>
      </c>
      <c r="AJ1944">
        <v>25</v>
      </c>
      <c r="AK1944">
        <v>25</v>
      </c>
      <c r="AL1944" t="s">
        <v>74</v>
      </c>
      <c r="AM1944" t="s">
        <v>74</v>
      </c>
      <c r="AN1944" t="s">
        <v>74</v>
      </c>
      <c r="AO1944" t="s">
        <v>4493</v>
      </c>
      <c r="AP1944" t="s">
        <v>4494</v>
      </c>
      <c r="AQ1944" t="s">
        <v>74</v>
      </c>
      <c r="AR1944" t="s">
        <v>74</v>
      </c>
      <c r="AS1944" t="s">
        <v>74</v>
      </c>
      <c r="AT1944" t="s">
        <v>74</v>
      </c>
      <c r="AU1944" t="s">
        <v>74</v>
      </c>
      <c r="AV1944" t="s">
        <v>74</v>
      </c>
      <c r="AW1944" t="s">
        <v>74</v>
      </c>
      <c r="AX1944" t="s">
        <v>74</v>
      </c>
      <c r="AY1944" t="s">
        <v>74</v>
      </c>
      <c r="AZ1944" t="s">
        <v>74</v>
      </c>
      <c r="BA1944" t="s">
        <v>74</v>
      </c>
      <c r="BB1944" t="s">
        <v>74</v>
      </c>
      <c r="BC1944" t="s">
        <v>74</v>
      </c>
      <c r="BD1944" t="s">
        <v>74</v>
      </c>
      <c r="BE1944" t="s">
        <v>5060</v>
      </c>
      <c r="BF1944" t="str">
        <f>HYPERLINK("http://dx.doi.org/10.1021/acs.analchem.2c01872","http://dx.doi.org/10.1021/acs.analchem.2c01872")</f>
        <v>http://dx.doi.org/10.1021/acs.analchem.2c01872</v>
      </c>
      <c r="BG1944" t="s">
        <v>74</v>
      </c>
      <c r="BH1944" t="s">
        <v>5061</v>
      </c>
      <c r="BI1944" t="s">
        <v>74</v>
      </c>
      <c r="BJ1944" t="s">
        <v>1118</v>
      </c>
      <c r="BK1944" t="s">
        <v>117</v>
      </c>
      <c r="BL1944" t="s">
        <v>1048</v>
      </c>
      <c r="BM1944" t="s">
        <v>74</v>
      </c>
      <c r="BN1944">
        <v>35731982</v>
      </c>
      <c r="BO1944" t="s">
        <v>74</v>
      </c>
      <c r="BP1944" t="s">
        <v>74</v>
      </c>
      <c r="BQ1944" t="s">
        <v>74</v>
      </c>
      <c r="BR1944" t="s">
        <v>96</v>
      </c>
      <c r="BS1944" t="s">
        <v>5062</v>
      </c>
      <c r="BT1944" t="str">
        <f>HYPERLINK("https%3A%2F%2Fwww.webofscience.com%2Fwos%2Fwoscc%2Ffull-record%2FWOS:000820159600001","View Full Record in Web of Science")</f>
        <v>View Full Record in Web of Science</v>
      </c>
    </row>
    <row r="1945" spans="1:72" x14ac:dyDescent="0.15">
      <c r="A1945" t="s">
        <v>98</v>
      </c>
      <c r="B1945" t="s">
        <v>5063</v>
      </c>
      <c r="C1945" t="s">
        <v>74</v>
      </c>
      <c r="D1945" t="s">
        <v>74</v>
      </c>
      <c r="E1945" t="s">
        <v>74</v>
      </c>
      <c r="F1945" t="s">
        <v>5064</v>
      </c>
      <c r="G1945" t="s">
        <v>74</v>
      </c>
      <c r="H1945" t="s">
        <v>74</v>
      </c>
      <c r="I1945" t="s">
        <v>5065</v>
      </c>
      <c r="J1945" t="s">
        <v>5066</v>
      </c>
      <c r="K1945" t="s">
        <v>74</v>
      </c>
      <c r="L1945" t="s">
        <v>74</v>
      </c>
      <c r="M1945" t="s">
        <v>74</v>
      </c>
      <c r="N1945" t="s">
        <v>103</v>
      </c>
      <c r="O1945" t="s">
        <v>74</v>
      </c>
      <c r="P1945" t="s">
        <v>74</v>
      </c>
      <c r="Q1945" t="s">
        <v>74</v>
      </c>
      <c r="R1945" t="s">
        <v>74</v>
      </c>
      <c r="S1945" t="s">
        <v>74</v>
      </c>
      <c r="T1945" t="s">
        <v>5067</v>
      </c>
      <c r="U1945" t="s">
        <v>5068</v>
      </c>
      <c r="V1945" t="s">
        <v>5069</v>
      </c>
      <c r="W1945" t="s">
        <v>5070</v>
      </c>
      <c r="X1945" t="s">
        <v>74</v>
      </c>
      <c r="Y1945" t="s">
        <v>5071</v>
      </c>
      <c r="Z1945" t="s">
        <v>5072</v>
      </c>
      <c r="AA1945" t="s">
        <v>74</v>
      </c>
      <c r="AB1945" t="s">
        <v>74</v>
      </c>
      <c r="AC1945" t="s">
        <v>74</v>
      </c>
      <c r="AD1945" t="s">
        <v>74</v>
      </c>
      <c r="AE1945" t="s">
        <v>74</v>
      </c>
      <c r="AF1945" t="s">
        <v>74</v>
      </c>
      <c r="AG1945">
        <v>93</v>
      </c>
      <c r="AH1945">
        <v>0</v>
      </c>
      <c r="AI1945">
        <v>0</v>
      </c>
      <c r="AJ1945">
        <v>4</v>
      </c>
      <c r="AK1945">
        <v>7</v>
      </c>
      <c r="AL1945" t="s">
        <v>74</v>
      </c>
      <c r="AM1945" t="s">
        <v>74</v>
      </c>
      <c r="AN1945" t="s">
        <v>74</v>
      </c>
      <c r="AO1945" t="s">
        <v>5073</v>
      </c>
      <c r="AP1945" t="s">
        <v>5074</v>
      </c>
      <c r="AQ1945" t="s">
        <v>74</v>
      </c>
      <c r="AR1945" t="s">
        <v>74</v>
      </c>
      <c r="AS1945" t="s">
        <v>74</v>
      </c>
      <c r="AT1945" t="s">
        <v>531</v>
      </c>
      <c r="AU1945">
        <v>2021</v>
      </c>
      <c r="AV1945">
        <v>165</v>
      </c>
      <c r="AW1945">
        <v>3</v>
      </c>
      <c r="AX1945" t="s">
        <v>74</v>
      </c>
      <c r="AY1945" t="s">
        <v>74</v>
      </c>
      <c r="AZ1945" t="s">
        <v>74</v>
      </c>
      <c r="BA1945" t="s">
        <v>74</v>
      </c>
      <c r="BB1945">
        <v>233</v>
      </c>
      <c r="BC1945">
        <v>240</v>
      </c>
      <c r="BD1945" t="s">
        <v>74</v>
      </c>
      <c r="BE1945" t="s">
        <v>5075</v>
      </c>
      <c r="BF1945" t="str">
        <f>HYPERLINK("http://dx.doi.org/10.5507/bp.2021.042","http://dx.doi.org/10.5507/bp.2021.042")</f>
        <v>http://dx.doi.org/10.5507/bp.2021.042</v>
      </c>
      <c r="BG1945" t="s">
        <v>74</v>
      </c>
      <c r="BH1945" t="s">
        <v>74</v>
      </c>
      <c r="BI1945" t="s">
        <v>74</v>
      </c>
      <c r="BJ1945" t="s">
        <v>5076</v>
      </c>
      <c r="BK1945" t="s">
        <v>117</v>
      </c>
      <c r="BL1945" t="s">
        <v>5077</v>
      </c>
      <c r="BM1945" t="s">
        <v>74</v>
      </c>
      <c r="BN1945">
        <v>34282804</v>
      </c>
      <c r="BO1945" t="s">
        <v>74</v>
      </c>
      <c r="BP1945" t="s">
        <v>74</v>
      </c>
      <c r="BQ1945" t="s">
        <v>74</v>
      </c>
      <c r="BR1945" t="s">
        <v>96</v>
      </c>
      <c r="BS1945" t="s">
        <v>5078</v>
      </c>
      <c r="BT1945" t="str">
        <f>HYPERLINK("https%3A%2F%2Fwww.webofscience.com%2Fwos%2Fwoscc%2Ffull-record%2FWOS:000715922000001","View Full Record in Web of Science")</f>
        <v>View Full Record in Web of Science</v>
      </c>
    </row>
    <row r="1946" spans="1:72" x14ac:dyDescent="0.15">
      <c r="A1946" t="s">
        <v>98</v>
      </c>
      <c r="B1946" t="s">
        <v>5079</v>
      </c>
      <c r="C1946" t="s">
        <v>74</v>
      </c>
      <c r="D1946" t="s">
        <v>74</v>
      </c>
      <c r="E1946" t="s">
        <v>74</v>
      </c>
      <c r="F1946" t="s">
        <v>5080</v>
      </c>
      <c r="G1946" t="s">
        <v>74</v>
      </c>
      <c r="H1946" t="s">
        <v>74</v>
      </c>
      <c r="I1946" t="s">
        <v>5081</v>
      </c>
      <c r="J1946" t="s">
        <v>5082</v>
      </c>
      <c r="K1946" t="s">
        <v>74</v>
      </c>
      <c r="L1946" t="s">
        <v>74</v>
      </c>
      <c r="M1946" t="s">
        <v>74</v>
      </c>
      <c r="N1946" t="s">
        <v>103</v>
      </c>
      <c r="O1946" t="s">
        <v>74</v>
      </c>
      <c r="P1946" t="s">
        <v>74</v>
      </c>
      <c r="Q1946" t="s">
        <v>74</v>
      </c>
      <c r="R1946" t="s">
        <v>74</v>
      </c>
      <c r="S1946" t="s">
        <v>74</v>
      </c>
      <c r="T1946" t="s">
        <v>5083</v>
      </c>
      <c r="U1946" t="s">
        <v>5084</v>
      </c>
      <c r="V1946" t="s">
        <v>5085</v>
      </c>
      <c r="W1946" t="s">
        <v>5086</v>
      </c>
      <c r="X1946" t="s">
        <v>5087</v>
      </c>
      <c r="Y1946" t="s">
        <v>5088</v>
      </c>
      <c r="Z1946" t="s">
        <v>5089</v>
      </c>
      <c r="AA1946" t="s">
        <v>74</v>
      </c>
      <c r="AB1946" t="s">
        <v>74</v>
      </c>
      <c r="AC1946" t="s">
        <v>74</v>
      </c>
      <c r="AD1946" t="s">
        <v>74</v>
      </c>
      <c r="AE1946" t="s">
        <v>74</v>
      </c>
      <c r="AF1946" t="s">
        <v>74</v>
      </c>
      <c r="AG1946">
        <v>42</v>
      </c>
      <c r="AH1946">
        <v>0</v>
      </c>
      <c r="AI1946">
        <v>0</v>
      </c>
      <c r="AJ1946">
        <v>0</v>
      </c>
      <c r="AK1946">
        <v>3</v>
      </c>
      <c r="AL1946" t="s">
        <v>74</v>
      </c>
      <c r="AM1946" t="s">
        <v>74</v>
      </c>
      <c r="AN1946" t="s">
        <v>74</v>
      </c>
      <c r="AO1946" t="s">
        <v>74</v>
      </c>
      <c r="AP1946" t="s">
        <v>5090</v>
      </c>
      <c r="AQ1946" t="s">
        <v>74</v>
      </c>
      <c r="AR1946" t="s">
        <v>74</v>
      </c>
      <c r="AS1946" t="s">
        <v>74</v>
      </c>
      <c r="AT1946" t="s">
        <v>5091</v>
      </c>
      <c r="AU1946">
        <v>2021</v>
      </c>
      <c r="AV1946">
        <v>22</v>
      </c>
      <c r="AW1946">
        <v>1</v>
      </c>
      <c r="AX1946" t="s">
        <v>74</v>
      </c>
      <c r="AY1946" t="s">
        <v>74</v>
      </c>
      <c r="AZ1946" t="s">
        <v>74</v>
      </c>
      <c r="BA1946" t="s">
        <v>74</v>
      </c>
      <c r="BB1946" t="s">
        <v>74</v>
      </c>
      <c r="BC1946" t="s">
        <v>74</v>
      </c>
      <c r="BD1946">
        <v>52</v>
      </c>
      <c r="BE1946" t="s">
        <v>5092</v>
      </c>
      <c r="BF1946" t="str">
        <f>HYPERLINK("http://dx.doi.org/10.1186/s12860-021-00391-5","http://dx.doi.org/10.1186/s12860-021-00391-5")</f>
        <v>http://dx.doi.org/10.1186/s12860-021-00391-5</v>
      </c>
      <c r="BG1946" t="s">
        <v>74</v>
      </c>
      <c r="BH1946" t="s">
        <v>74</v>
      </c>
      <c r="BI1946" t="s">
        <v>74</v>
      </c>
      <c r="BJ1946" t="s">
        <v>135</v>
      </c>
      <c r="BK1946" t="s">
        <v>117</v>
      </c>
      <c r="BL1946" t="s">
        <v>135</v>
      </c>
      <c r="BM1946" t="s">
        <v>74</v>
      </c>
      <c r="BN1946">
        <v>34615464</v>
      </c>
      <c r="BO1946" t="s">
        <v>74</v>
      </c>
      <c r="BP1946" t="s">
        <v>74</v>
      </c>
      <c r="BQ1946" t="s">
        <v>74</v>
      </c>
      <c r="BR1946" t="s">
        <v>96</v>
      </c>
      <c r="BS1946" t="s">
        <v>5093</v>
      </c>
      <c r="BT1946" t="str">
        <f>HYPERLINK("https%3A%2F%2Fwww.webofscience.com%2Fwos%2Fwoscc%2Ffull-record%2FWOS:000704977000001","View Full Record in Web of Science")</f>
        <v>View Full Record in Web of Science</v>
      </c>
    </row>
    <row r="1947" spans="1:72" x14ac:dyDescent="0.15">
      <c r="A1947" t="s">
        <v>98</v>
      </c>
      <c r="B1947" t="s">
        <v>5246</v>
      </c>
      <c r="C1947" t="s">
        <v>74</v>
      </c>
      <c r="D1947" t="s">
        <v>74</v>
      </c>
      <c r="E1947" t="s">
        <v>74</v>
      </c>
      <c r="F1947" t="s">
        <v>5247</v>
      </c>
      <c r="G1947" t="s">
        <v>74</v>
      </c>
      <c r="H1947" t="s">
        <v>74</v>
      </c>
      <c r="I1947" t="s">
        <v>5248</v>
      </c>
      <c r="J1947" t="s">
        <v>817</v>
      </c>
      <c r="K1947" t="s">
        <v>74</v>
      </c>
      <c r="L1947" t="s">
        <v>74</v>
      </c>
      <c r="M1947" t="s">
        <v>74</v>
      </c>
      <c r="N1947" t="s">
        <v>103</v>
      </c>
      <c r="O1947" t="s">
        <v>74</v>
      </c>
      <c r="P1947" t="s">
        <v>74</v>
      </c>
      <c r="Q1947" t="s">
        <v>74</v>
      </c>
      <c r="R1947" t="s">
        <v>74</v>
      </c>
      <c r="S1947" t="s">
        <v>74</v>
      </c>
      <c r="T1947" t="s">
        <v>5249</v>
      </c>
      <c r="U1947" t="s">
        <v>5250</v>
      </c>
      <c r="V1947" t="s">
        <v>5251</v>
      </c>
      <c r="W1947" t="s">
        <v>5252</v>
      </c>
      <c r="X1947" t="s">
        <v>5253</v>
      </c>
      <c r="Y1947" t="s">
        <v>5254</v>
      </c>
      <c r="Z1947" t="s">
        <v>5255</v>
      </c>
      <c r="AA1947" t="s">
        <v>5256</v>
      </c>
      <c r="AB1947" t="s">
        <v>5257</v>
      </c>
      <c r="AC1947" t="s">
        <v>74</v>
      </c>
      <c r="AD1947" t="s">
        <v>74</v>
      </c>
      <c r="AE1947" t="s">
        <v>74</v>
      </c>
      <c r="AF1947" t="s">
        <v>74</v>
      </c>
      <c r="AG1947">
        <v>74</v>
      </c>
      <c r="AH1947">
        <v>0</v>
      </c>
      <c r="AI1947">
        <v>0</v>
      </c>
      <c r="AJ1947">
        <v>5</v>
      </c>
      <c r="AK1947">
        <v>8</v>
      </c>
      <c r="AL1947" t="s">
        <v>74</v>
      </c>
      <c r="AM1947" t="s">
        <v>74</v>
      </c>
      <c r="AN1947" t="s">
        <v>74</v>
      </c>
      <c r="AO1947" t="s">
        <v>74</v>
      </c>
      <c r="AP1947" t="s">
        <v>827</v>
      </c>
      <c r="AQ1947" t="s">
        <v>74</v>
      </c>
      <c r="AR1947" t="s">
        <v>74</v>
      </c>
      <c r="AS1947" t="s">
        <v>74</v>
      </c>
      <c r="AT1947" t="s">
        <v>114</v>
      </c>
      <c r="AU1947">
        <v>2022</v>
      </c>
      <c r="AV1947">
        <v>23</v>
      </c>
      <c r="AW1947">
        <v>1</v>
      </c>
      <c r="AX1947" t="s">
        <v>74</v>
      </c>
      <c r="AY1947" t="s">
        <v>74</v>
      </c>
      <c r="AZ1947" t="s">
        <v>74</v>
      </c>
      <c r="BA1947" t="s">
        <v>74</v>
      </c>
      <c r="BB1947" t="s">
        <v>74</v>
      </c>
      <c r="BC1947" t="s">
        <v>74</v>
      </c>
      <c r="BD1947">
        <v>282</v>
      </c>
      <c r="BE1947" t="s">
        <v>5258</v>
      </c>
      <c r="BF1947" t="str">
        <f>HYPERLINK("http://dx.doi.org/10.3390/ijms23010282","http://dx.doi.org/10.3390/ijms23010282")</f>
        <v>http://dx.doi.org/10.3390/ijms23010282</v>
      </c>
      <c r="BG1947" t="s">
        <v>74</v>
      </c>
      <c r="BH1947" t="s">
        <v>74</v>
      </c>
      <c r="BI1947" t="s">
        <v>74</v>
      </c>
      <c r="BJ1947" t="s">
        <v>830</v>
      </c>
      <c r="BK1947" t="s">
        <v>117</v>
      </c>
      <c r="BL1947" t="s">
        <v>831</v>
      </c>
      <c r="BM1947" t="s">
        <v>74</v>
      </c>
      <c r="BN1947">
        <v>35008709</v>
      </c>
      <c r="BO1947" t="s">
        <v>74</v>
      </c>
      <c r="BP1947" t="s">
        <v>74</v>
      </c>
      <c r="BQ1947" t="s">
        <v>74</v>
      </c>
      <c r="BR1947" t="s">
        <v>96</v>
      </c>
      <c r="BS1947" t="s">
        <v>5259</v>
      </c>
      <c r="BT1947" t="str">
        <f>HYPERLINK("https%3A%2F%2Fwww.webofscience.com%2Fwos%2Fwoscc%2Ffull-record%2FWOS:000750805900001","View Full Record in Web of Science")</f>
        <v>View Full Record in Web of Science</v>
      </c>
    </row>
    <row r="1948" spans="1:72" x14ac:dyDescent="0.15">
      <c r="A1948" t="s">
        <v>98</v>
      </c>
      <c r="B1948" t="s">
        <v>5328</v>
      </c>
      <c r="C1948" t="s">
        <v>74</v>
      </c>
      <c r="D1948" t="s">
        <v>74</v>
      </c>
      <c r="E1948" t="s">
        <v>74</v>
      </c>
      <c r="F1948" t="s">
        <v>5329</v>
      </c>
      <c r="G1948" t="s">
        <v>74</v>
      </c>
      <c r="H1948" t="s">
        <v>74</v>
      </c>
      <c r="I1948" t="s">
        <v>5330</v>
      </c>
      <c r="J1948" t="s">
        <v>5331</v>
      </c>
      <c r="K1948" t="s">
        <v>74</v>
      </c>
      <c r="L1948" t="s">
        <v>74</v>
      </c>
      <c r="M1948" t="s">
        <v>74</v>
      </c>
      <c r="N1948" t="s">
        <v>103</v>
      </c>
      <c r="O1948" t="s">
        <v>74</v>
      </c>
      <c r="P1948" t="s">
        <v>74</v>
      </c>
      <c r="Q1948" t="s">
        <v>74</v>
      </c>
      <c r="R1948" t="s">
        <v>74</v>
      </c>
      <c r="S1948" t="s">
        <v>74</v>
      </c>
      <c r="T1948" t="s">
        <v>5332</v>
      </c>
      <c r="U1948" t="s">
        <v>5333</v>
      </c>
      <c r="V1948" t="s">
        <v>5334</v>
      </c>
      <c r="W1948" t="s">
        <v>5335</v>
      </c>
      <c r="X1948" t="s">
        <v>5336</v>
      </c>
      <c r="Y1948" t="s">
        <v>5337</v>
      </c>
      <c r="Z1948" t="s">
        <v>5338</v>
      </c>
      <c r="AA1948" t="s">
        <v>74</v>
      </c>
      <c r="AB1948" t="s">
        <v>74</v>
      </c>
      <c r="AC1948" t="s">
        <v>74</v>
      </c>
      <c r="AD1948" t="s">
        <v>74</v>
      </c>
      <c r="AE1948" t="s">
        <v>74</v>
      </c>
      <c r="AF1948" t="s">
        <v>74</v>
      </c>
      <c r="AG1948">
        <v>54</v>
      </c>
      <c r="AH1948">
        <v>0</v>
      </c>
      <c r="AI1948">
        <v>0</v>
      </c>
      <c r="AJ1948">
        <v>0</v>
      </c>
      <c r="AK1948">
        <v>0</v>
      </c>
      <c r="AL1948" t="s">
        <v>74</v>
      </c>
      <c r="AM1948" t="s">
        <v>74</v>
      </c>
      <c r="AN1948" t="s">
        <v>74</v>
      </c>
      <c r="AO1948" t="s">
        <v>5339</v>
      </c>
      <c r="AP1948" t="s">
        <v>5340</v>
      </c>
      <c r="AQ1948" t="s">
        <v>74</v>
      </c>
      <c r="AR1948" t="s">
        <v>74</v>
      </c>
      <c r="AS1948" t="s">
        <v>74</v>
      </c>
      <c r="AT1948" t="s">
        <v>230</v>
      </c>
      <c r="AU1948">
        <v>2022</v>
      </c>
      <c r="AV1948">
        <v>37</v>
      </c>
      <c r="AW1948">
        <v>6</v>
      </c>
      <c r="AX1948" t="s">
        <v>74</v>
      </c>
      <c r="AY1948" t="s">
        <v>74</v>
      </c>
      <c r="AZ1948" t="s">
        <v>74</v>
      </c>
      <c r="BA1948" t="s">
        <v>74</v>
      </c>
      <c r="BB1948">
        <v>1977</v>
      </c>
      <c r="BC1948">
        <v>1987</v>
      </c>
      <c r="BD1948" t="s">
        <v>74</v>
      </c>
      <c r="BE1948" t="s">
        <v>5341</v>
      </c>
      <c r="BF1948" t="str">
        <f>HYPERLINK("http://dx.doi.org/10.1007/s11011-022-01025-1","http://dx.doi.org/10.1007/s11011-022-01025-1")</f>
        <v>http://dx.doi.org/10.1007/s11011-022-01025-1</v>
      </c>
      <c r="BG1948" t="s">
        <v>74</v>
      </c>
      <c r="BH1948" t="s">
        <v>5061</v>
      </c>
      <c r="BI1948" t="s">
        <v>74</v>
      </c>
      <c r="BJ1948" t="s">
        <v>5342</v>
      </c>
      <c r="BK1948" t="s">
        <v>117</v>
      </c>
      <c r="BL1948" t="s">
        <v>5343</v>
      </c>
      <c r="BM1948" t="s">
        <v>74</v>
      </c>
      <c r="BN1948">
        <v>35699856</v>
      </c>
      <c r="BO1948" t="s">
        <v>74</v>
      </c>
      <c r="BP1948" t="s">
        <v>74</v>
      </c>
      <c r="BQ1948" t="s">
        <v>74</v>
      </c>
      <c r="BR1948" t="s">
        <v>96</v>
      </c>
      <c r="BS1948" t="s">
        <v>5344</v>
      </c>
      <c r="BT1948" t="str">
        <f>HYPERLINK("https%3A%2F%2Fwww.webofscience.com%2Fwos%2Fwoscc%2Ffull-record%2FWOS:000810865000002","View Full Record in Web of Science")</f>
        <v>View Full Record in Web of Science</v>
      </c>
    </row>
    <row r="1949" spans="1:72" x14ac:dyDescent="0.15">
      <c r="A1949" t="s">
        <v>98</v>
      </c>
      <c r="B1949" t="s">
        <v>5429</v>
      </c>
      <c r="C1949" t="s">
        <v>74</v>
      </c>
      <c r="D1949" t="s">
        <v>74</v>
      </c>
      <c r="E1949" t="s">
        <v>74</v>
      </c>
      <c r="F1949" t="s">
        <v>5430</v>
      </c>
      <c r="G1949" t="s">
        <v>74</v>
      </c>
      <c r="H1949" t="s">
        <v>74</v>
      </c>
      <c r="I1949" t="s">
        <v>5431</v>
      </c>
      <c r="J1949" t="s">
        <v>817</v>
      </c>
      <c r="K1949" t="s">
        <v>74</v>
      </c>
      <c r="L1949" t="s">
        <v>74</v>
      </c>
      <c r="M1949" t="s">
        <v>74</v>
      </c>
      <c r="N1949" t="s">
        <v>103</v>
      </c>
      <c r="O1949" t="s">
        <v>74</v>
      </c>
      <c r="P1949" t="s">
        <v>74</v>
      </c>
      <c r="Q1949" t="s">
        <v>74</v>
      </c>
      <c r="R1949" t="s">
        <v>74</v>
      </c>
      <c r="S1949" t="s">
        <v>74</v>
      </c>
      <c r="T1949" t="s">
        <v>5432</v>
      </c>
      <c r="U1949" t="s">
        <v>5433</v>
      </c>
      <c r="V1949" t="s">
        <v>5434</v>
      </c>
      <c r="W1949" t="s">
        <v>5435</v>
      </c>
      <c r="X1949" t="s">
        <v>5436</v>
      </c>
      <c r="Y1949" t="s">
        <v>5437</v>
      </c>
      <c r="Z1949" t="s">
        <v>5438</v>
      </c>
      <c r="AA1949" t="s">
        <v>74</v>
      </c>
      <c r="AB1949" t="s">
        <v>5439</v>
      </c>
      <c r="AC1949" t="s">
        <v>74</v>
      </c>
      <c r="AD1949" t="s">
        <v>74</v>
      </c>
      <c r="AE1949" t="s">
        <v>74</v>
      </c>
      <c r="AF1949" t="s">
        <v>74</v>
      </c>
      <c r="AG1949">
        <v>39</v>
      </c>
      <c r="AH1949">
        <v>0</v>
      </c>
      <c r="AI1949">
        <v>0</v>
      </c>
      <c r="AJ1949">
        <v>0</v>
      </c>
      <c r="AK1949">
        <v>0</v>
      </c>
      <c r="AL1949" t="s">
        <v>74</v>
      </c>
      <c r="AM1949" t="s">
        <v>74</v>
      </c>
      <c r="AN1949" t="s">
        <v>74</v>
      </c>
      <c r="AO1949" t="s">
        <v>74</v>
      </c>
      <c r="AP1949" t="s">
        <v>827</v>
      </c>
      <c r="AQ1949" t="s">
        <v>74</v>
      </c>
      <c r="AR1949" t="s">
        <v>74</v>
      </c>
      <c r="AS1949" t="s">
        <v>74</v>
      </c>
      <c r="AT1949" t="s">
        <v>132</v>
      </c>
      <c r="AU1949">
        <v>2022</v>
      </c>
      <c r="AV1949">
        <v>23</v>
      </c>
      <c r="AW1949">
        <v>7</v>
      </c>
      <c r="AX1949" t="s">
        <v>74</v>
      </c>
      <c r="AY1949" t="s">
        <v>74</v>
      </c>
      <c r="AZ1949" t="s">
        <v>74</v>
      </c>
      <c r="BA1949" t="s">
        <v>74</v>
      </c>
      <c r="BB1949" t="s">
        <v>74</v>
      </c>
      <c r="BC1949" t="s">
        <v>74</v>
      </c>
      <c r="BD1949">
        <v>3461</v>
      </c>
      <c r="BE1949" t="s">
        <v>5440</v>
      </c>
      <c r="BF1949" t="str">
        <f>HYPERLINK("http://dx.doi.org/10.3390/ijms23073461","http://dx.doi.org/10.3390/ijms23073461")</f>
        <v>http://dx.doi.org/10.3390/ijms23073461</v>
      </c>
      <c r="BG1949" t="s">
        <v>74</v>
      </c>
      <c r="BH1949" t="s">
        <v>74</v>
      </c>
      <c r="BI1949" t="s">
        <v>74</v>
      </c>
      <c r="BJ1949" t="s">
        <v>830</v>
      </c>
      <c r="BK1949" t="s">
        <v>117</v>
      </c>
      <c r="BL1949" t="s">
        <v>831</v>
      </c>
      <c r="BM1949" t="s">
        <v>74</v>
      </c>
      <c r="BN1949">
        <v>35408821</v>
      </c>
      <c r="BO1949" t="s">
        <v>74</v>
      </c>
      <c r="BP1949" t="s">
        <v>74</v>
      </c>
      <c r="BQ1949" t="s">
        <v>74</v>
      </c>
      <c r="BR1949" t="s">
        <v>96</v>
      </c>
      <c r="BS1949" t="s">
        <v>5441</v>
      </c>
      <c r="BT1949" t="str">
        <f>HYPERLINK("https%3A%2F%2Fwww.webofscience.com%2Fwos%2Fwoscc%2Ffull-record%2FWOS:000781916000001","View Full Record in Web of Science")</f>
        <v>View Full Record in Web of Science</v>
      </c>
    </row>
    <row r="1950" spans="1:72" x14ac:dyDescent="0.15">
      <c r="A1950" t="s">
        <v>98</v>
      </c>
      <c r="B1950" t="s">
        <v>5672</v>
      </c>
      <c r="C1950" t="s">
        <v>74</v>
      </c>
      <c r="D1950" t="s">
        <v>74</v>
      </c>
      <c r="E1950" t="s">
        <v>74</v>
      </c>
      <c r="F1950" t="s">
        <v>5673</v>
      </c>
      <c r="G1950" t="s">
        <v>74</v>
      </c>
      <c r="H1950" t="s">
        <v>74</v>
      </c>
      <c r="I1950" t="s">
        <v>5674</v>
      </c>
      <c r="J1950" t="s">
        <v>5675</v>
      </c>
      <c r="K1950" t="s">
        <v>74</v>
      </c>
      <c r="L1950" t="s">
        <v>74</v>
      </c>
      <c r="M1950" t="s">
        <v>74</v>
      </c>
      <c r="N1950" t="s">
        <v>103</v>
      </c>
      <c r="O1950" t="s">
        <v>74</v>
      </c>
      <c r="P1950" t="s">
        <v>74</v>
      </c>
      <c r="Q1950" t="s">
        <v>74</v>
      </c>
      <c r="R1950" t="s">
        <v>74</v>
      </c>
      <c r="S1950" t="s">
        <v>74</v>
      </c>
      <c r="T1950" t="s">
        <v>5676</v>
      </c>
      <c r="U1950" t="s">
        <v>5677</v>
      </c>
      <c r="V1950" t="s">
        <v>5678</v>
      </c>
      <c r="W1950" t="s">
        <v>5679</v>
      </c>
      <c r="X1950" t="s">
        <v>5680</v>
      </c>
      <c r="Y1950" t="s">
        <v>5681</v>
      </c>
      <c r="Z1950" t="s">
        <v>5682</v>
      </c>
      <c r="AA1950" t="s">
        <v>74</v>
      </c>
      <c r="AB1950" t="s">
        <v>74</v>
      </c>
      <c r="AC1950" t="s">
        <v>74</v>
      </c>
      <c r="AD1950" t="s">
        <v>74</v>
      </c>
      <c r="AE1950" t="s">
        <v>74</v>
      </c>
      <c r="AF1950" t="s">
        <v>74</v>
      </c>
      <c r="AG1950">
        <v>48</v>
      </c>
      <c r="AH1950">
        <v>0</v>
      </c>
      <c r="AI1950">
        <v>0</v>
      </c>
      <c r="AJ1950">
        <v>4</v>
      </c>
      <c r="AK1950">
        <v>6</v>
      </c>
      <c r="AL1950" t="s">
        <v>74</v>
      </c>
      <c r="AM1950" t="s">
        <v>74</v>
      </c>
      <c r="AN1950" t="s">
        <v>74</v>
      </c>
      <c r="AO1950" t="s">
        <v>5683</v>
      </c>
      <c r="AP1950" t="s">
        <v>5684</v>
      </c>
      <c r="AQ1950" t="s">
        <v>74</v>
      </c>
      <c r="AR1950" t="s">
        <v>74</v>
      </c>
      <c r="AS1950" t="s">
        <v>74</v>
      </c>
      <c r="AT1950" t="s">
        <v>967</v>
      </c>
      <c r="AU1950">
        <v>2021</v>
      </c>
      <c r="AV1950">
        <v>231</v>
      </c>
      <c r="AW1950" t="s">
        <v>74</v>
      </c>
      <c r="AX1950" t="s">
        <v>74</v>
      </c>
      <c r="AY1950" t="s">
        <v>74</v>
      </c>
      <c r="AZ1950" t="s">
        <v>74</v>
      </c>
      <c r="BA1950" t="s">
        <v>74</v>
      </c>
      <c r="BB1950" t="s">
        <v>74</v>
      </c>
      <c r="BC1950" t="s">
        <v>74</v>
      </c>
      <c r="BD1950">
        <v>108173</v>
      </c>
      <c r="BE1950" t="s">
        <v>5685</v>
      </c>
      <c r="BF1950" t="str">
        <f>HYPERLINK("http://dx.doi.org/10.1016/j.exppara.2021.108173","http://dx.doi.org/10.1016/j.exppara.2021.108173")</f>
        <v>http://dx.doi.org/10.1016/j.exppara.2021.108173</v>
      </c>
      <c r="BG1950" t="s">
        <v>74</v>
      </c>
      <c r="BH1950" t="s">
        <v>3026</v>
      </c>
      <c r="BI1950" t="s">
        <v>74</v>
      </c>
      <c r="BJ1950" t="s">
        <v>5686</v>
      </c>
      <c r="BK1950" t="s">
        <v>117</v>
      </c>
      <c r="BL1950" t="s">
        <v>5686</v>
      </c>
      <c r="BM1950" t="s">
        <v>74</v>
      </c>
      <c r="BN1950">
        <v>34742714</v>
      </c>
      <c r="BO1950" t="s">
        <v>74</v>
      </c>
      <c r="BP1950" t="s">
        <v>74</v>
      </c>
      <c r="BQ1950" t="s">
        <v>74</v>
      </c>
      <c r="BR1950" t="s">
        <v>96</v>
      </c>
      <c r="BS1950" t="s">
        <v>5687</v>
      </c>
      <c r="BT1950" t="str">
        <f>HYPERLINK("https%3A%2F%2Fwww.webofscience.com%2Fwos%2Fwoscc%2Ffull-record%2FWOS:000727260200006","View Full Record in Web of Science")</f>
        <v>View Full Record in Web of Science</v>
      </c>
    </row>
    <row r="1951" spans="1:72" x14ac:dyDescent="0.15">
      <c r="A1951" t="s">
        <v>98</v>
      </c>
      <c r="B1951" t="s">
        <v>5714</v>
      </c>
      <c r="C1951" t="s">
        <v>74</v>
      </c>
      <c r="D1951" t="s">
        <v>74</v>
      </c>
      <c r="E1951" t="s">
        <v>74</v>
      </c>
      <c r="F1951" t="s">
        <v>5715</v>
      </c>
      <c r="G1951" t="s">
        <v>74</v>
      </c>
      <c r="H1951" t="s">
        <v>74</v>
      </c>
      <c r="I1951" t="s">
        <v>5716</v>
      </c>
      <c r="J1951" t="s">
        <v>5717</v>
      </c>
      <c r="K1951" t="s">
        <v>74</v>
      </c>
      <c r="L1951" t="s">
        <v>74</v>
      </c>
      <c r="M1951" t="s">
        <v>74</v>
      </c>
      <c r="N1951" t="s">
        <v>103</v>
      </c>
      <c r="O1951" t="s">
        <v>74</v>
      </c>
      <c r="P1951" t="s">
        <v>74</v>
      </c>
      <c r="Q1951" t="s">
        <v>74</v>
      </c>
      <c r="R1951" t="s">
        <v>74</v>
      </c>
      <c r="S1951" t="s">
        <v>74</v>
      </c>
      <c r="T1951" t="s">
        <v>5718</v>
      </c>
      <c r="U1951" t="s">
        <v>74</v>
      </c>
      <c r="V1951" t="s">
        <v>5719</v>
      </c>
      <c r="W1951" t="s">
        <v>5720</v>
      </c>
      <c r="X1951" t="s">
        <v>5721</v>
      </c>
      <c r="Y1951" t="s">
        <v>5722</v>
      </c>
      <c r="Z1951" t="s">
        <v>5723</v>
      </c>
      <c r="AA1951" t="s">
        <v>74</v>
      </c>
      <c r="AB1951" t="s">
        <v>5724</v>
      </c>
      <c r="AC1951" t="s">
        <v>74</v>
      </c>
      <c r="AD1951" t="s">
        <v>74</v>
      </c>
      <c r="AE1951" t="s">
        <v>74</v>
      </c>
      <c r="AF1951" t="s">
        <v>74</v>
      </c>
      <c r="AG1951">
        <v>60</v>
      </c>
      <c r="AH1951">
        <v>0</v>
      </c>
      <c r="AI1951">
        <v>0</v>
      </c>
      <c r="AJ1951">
        <v>4</v>
      </c>
      <c r="AK1951">
        <v>4</v>
      </c>
      <c r="AL1951" t="s">
        <v>74</v>
      </c>
      <c r="AM1951" t="s">
        <v>74</v>
      </c>
      <c r="AN1951" t="s">
        <v>74</v>
      </c>
      <c r="AO1951" t="s">
        <v>74</v>
      </c>
      <c r="AP1951" t="s">
        <v>5725</v>
      </c>
      <c r="AQ1951" t="s">
        <v>74</v>
      </c>
      <c r="AR1951" t="s">
        <v>74</v>
      </c>
      <c r="AS1951" t="s">
        <v>74</v>
      </c>
      <c r="AT1951" t="s">
        <v>283</v>
      </c>
      <c r="AU1951">
        <v>2022</v>
      </c>
      <c r="AV1951">
        <v>9</v>
      </c>
      <c r="AW1951">
        <v>2</v>
      </c>
      <c r="AX1951" t="s">
        <v>74</v>
      </c>
      <c r="AY1951" t="s">
        <v>74</v>
      </c>
      <c r="AZ1951" t="s">
        <v>74</v>
      </c>
      <c r="BA1951" t="s">
        <v>74</v>
      </c>
      <c r="BB1951" t="s">
        <v>74</v>
      </c>
      <c r="BC1951" t="s">
        <v>74</v>
      </c>
      <c r="BD1951">
        <v>56</v>
      </c>
      <c r="BE1951" t="s">
        <v>5726</v>
      </c>
      <c r="BF1951" t="str">
        <f>HYPERLINK("http://dx.doi.org/10.3390/bioengineering9020056","http://dx.doi.org/10.3390/bioengineering9020056")</f>
        <v>http://dx.doi.org/10.3390/bioengineering9020056</v>
      </c>
      <c r="BG1951" t="s">
        <v>74</v>
      </c>
      <c r="BH1951" t="s">
        <v>74</v>
      </c>
      <c r="BI1951" t="s">
        <v>74</v>
      </c>
      <c r="BJ1951" t="s">
        <v>5727</v>
      </c>
      <c r="BK1951" t="s">
        <v>117</v>
      </c>
      <c r="BL1951" t="s">
        <v>5728</v>
      </c>
      <c r="BM1951" t="s">
        <v>74</v>
      </c>
      <c r="BN1951">
        <v>35200409</v>
      </c>
      <c r="BO1951" t="s">
        <v>74</v>
      </c>
      <c r="BP1951" t="s">
        <v>74</v>
      </c>
      <c r="BQ1951" t="s">
        <v>74</v>
      </c>
      <c r="BR1951" t="s">
        <v>96</v>
      </c>
      <c r="BS1951" t="s">
        <v>5729</v>
      </c>
      <c r="BT1951" t="str">
        <f>HYPERLINK("https%3A%2F%2Fwww.webofscience.com%2Fwos%2Fwoscc%2Ffull-record%2FWOS:000763740600001","View Full Record in Web of Science")</f>
        <v>View Full Record in Web of Science</v>
      </c>
    </row>
    <row r="1952" spans="1:72" x14ac:dyDescent="0.15">
      <c r="A1952" t="s">
        <v>98</v>
      </c>
      <c r="B1952" t="s">
        <v>5791</v>
      </c>
      <c r="C1952" t="s">
        <v>74</v>
      </c>
      <c r="D1952" t="s">
        <v>74</v>
      </c>
      <c r="E1952" t="s">
        <v>74</v>
      </c>
      <c r="F1952" t="s">
        <v>5792</v>
      </c>
      <c r="G1952" t="s">
        <v>74</v>
      </c>
      <c r="H1952" t="s">
        <v>74</v>
      </c>
      <c r="I1952" t="s">
        <v>5793</v>
      </c>
      <c r="J1952" t="s">
        <v>5794</v>
      </c>
      <c r="K1952" t="s">
        <v>74</v>
      </c>
      <c r="L1952" t="s">
        <v>74</v>
      </c>
      <c r="M1952" t="s">
        <v>74</v>
      </c>
      <c r="N1952" t="s">
        <v>103</v>
      </c>
      <c r="O1952" t="s">
        <v>74</v>
      </c>
      <c r="P1952" t="s">
        <v>74</v>
      </c>
      <c r="Q1952" t="s">
        <v>74</v>
      </c>
      <c r="R1952" t="s">
        <v>74</v>
      </c>
      <c r="S1952" t="s">
        <v>74</v>
      </c>
      <c r="T1952" t="s">
        <v>5795</v>
      </c>
      <c r="U1952" t="s">
        <v>5796</v>
      </c>
      <c r="V1952" t="s">
        <v>5797</v>
      </c>
      <c r="W1952" t="s">
        <v>5798</v>
      </c>
      <c r="X1952" t="s">
        <v>5799</v>
      </c>
      <c r="Y1952" t="s">
        <v>5800</v>
      </c>
      <c r="Z1952" t="s">
        <v>5801</v>
      </c>
      <c r="AA1952" t="s">
        <v>74</v>
      </c>
      <c r="AB1952" t="s">
        <v>5802</v>
      </c>
      <c r="AC1952" t="s">
        <v>74</v>
      </c>
      <c r="AD1952" t="s">
        <v>74</v>
      </c>
      <c r="AE1952" t="s">
        <v>74</v>
      </c>
      <c r="AF1952" t="s">
        <v>74</v>
      </c>
      <c r="AG1952">
        <v>93</v>
      </c>
      <c r="AH1952">
        <v>0</v>
      </c>
      <c r="AI1952">
        <v>0</v>
      </c>
      <c r="AJ1952">
        <v>3</v>
      </c>
      <c r="AK1952">
        <v>3</v>
      </c>
      <c r="AL1952" t="s">
        <v>74</v>
      </c>
      <c r="AM1952" t="s">
        <v>74</v>
      </c>
      <c r="AN1952" t="s">
        <v>74</v>
      </c>
      <c r="AO1952" t="s">
        <v>5803</v>
      </c>
      <c r="AP1952" t="s">
        <v>74</v>
      </c>
      <c r="AQ1952" t="s">
        <v>74</v>
      </c>
      <c r="AR1952" t="s">
        <v>74</v>
      </c>
      <c r="AS1952" t="s">
        <v>74</v>
      </c>
      <c r="AT1952" t="s">
        <v>5804</v>
      </c>
      <c r="AU1952">
        <v>2022</v>
      </c>
      <c r="AV1952">
        <v>11</v>
      </c>
      <c r="AW1952" t="s">
        <v>74</v>
      </c>
      <c r="AX1952" t="s">
        <v>74</v>
      </c>
      <c r="AY1952" t="s">
        <v>74</v>
      </c>
      <c r="AZ1952" t="s">
        <v>74</v>
      </c>
      <c r="BA1952" t="s">
        <v>74</v>
      </c>
      <c r="BB1952" t="s">
        <v>74</v>
      </c>
      <c r="BC1952" t="s">
        <v>74</v>
      </c>
      <c r="BD1952" t="s">
        <v>5805</v>
      </c>
      <c r="BE1952" t="s">
        <v>5806</v>
      </c>
      <c r="BF1952" t="str">
        <f>HYPERLINK("http://dx.doi.org/10.7554/eLife.73982","http://dx.doi.org/10.7554/eLife.73982")</f>
        <v>http://dx.doi.org/10.7554/eLife.73982</v>
      </c>
      <c r="BG1952" t="s">
        <v>74</v>
      </c>
      <c r="BH1952" t="s">
        <v>74</v>
      </c>
      <c r="BI1952" t="s">
        <v>74</v>
      </c>
      <c r="BJ1952" t="s">
        <v>1643</v>
      </c>
      <c r="BK1952" t="s">
        <v>117</v>
      </c>
      <c r="BL1952" t="s">
        <v>1644</v>
      </c>
      <c r="BM1952" t="s">
        <v>74</v>
      </c>
      <c r="BN1952">
        <v>35257663</v>
      </c>
      <c r="BO1952" t="s">
        <v>74</v>
      </c>
      <c r="BP1952" t="s">
        <v>74</v>
      </c>
      <c r="BQ1952" t="s">
        <v>74</v>
      </c>
      <c r="BR1952" t="s">
        <v>96</v>
      </c>
      <c r="BS1952" t="s">
        <v>5807</v>
      </c>
      <c r="BT1952" t="str">
        <f>HYPERLINK("https%3A%2F%2Fwww.webofscience.com%2Fwos%2Fwoscc%2Ffull-record%2FWOS:000789636100001","View Full Record in Web of Science")</f>
        <v>View Full Record in Web of Science</v>
      </c>
    </row>
    <row r="1953" spans="1:72" x14ac:dyDescent="0.15">
      <c r="A1953" t="s">
        <v>98</v>
      </c>
      <c r="B1953" t="s">
        <v>5889</v>
      </c>
      <c r="C1953" t="s">
        <v>74</v>
      </c>
      <c r="D1953" t="s">
        <v>74</v>
      </c>
      <c r="E1953" t="s">
        <v>74</v>
      </c>
      <c r="F1953" t="s">
        <v>5890</v>
      </c>
      <c r="G1953" t="s">
        <v>74</v>
      </c>
      <c r="H1953" t="s">
        <v>74</v>
      </c>
      <c r="I1953" t="s">
        <v>5891</v>
      </c>
      <c r="J1953" t="s">
        <v>5892</v>
      </c>
      <c r="K1953" t="s">
        <v>74</v>
      </c>
      <c r="L1953" t="s">
        <v>74</v>
      </c>
      <c r="M1953" t="s">
        <v>74</v>
      </c>
      <c r="N1953" t="s">
        <v>103</v>
      </c>
      <c r="O1953" t="s">
        <v>74</v>
      </c>
      <c r="P1953" t="s">
        <v>74</v>
      </c>
      <c r="Q1953" t="s">
        <v>74</v>
      </c>
      <c r="R1953" t="s">
        <v>74</v>
      </c>
      <c r="S1953" t="s">
        <v>74</v>
      </c>
      <c r="T1953" t="s">
        <v>5893</v>
      </c>
      <c r="U1953" t="s">
        <v>5894</v>
      </c>
      <c r="V1953" t="s">
        <v>5895</v>
      </c>
      <c r="W1953" t="s">
        <v>5896</v>
      </c>
      <c r="X1953" t="s">
        <v>5897</v>
      </c>
      <c r="Y1953" t="s">
        <v>5898</v>
      </c>
      <c r="Z1953" t="s">
        <v>5899</v>
      </c>
      <c r="AA1953" t="s">
        <v>74</v>
      </c>
      <c r="AB1953" t="s">
        <v>74</v>
      </c>
      <c r="AC1953" t="s">
        <v>74</v>
      </c>
      <c r="AD1953" t="s">
        <v>74</v>
      </c>
      <c r="AE1953" t="s">
        <v>74</v>
      </c>
      <c r="AF1953" t="s">
        <v>74</v>
      </c>
      <c r="AG1953">
        <v>32</v>
      </c>
      <c r="AH1953">
        <v>0</v>
      </c>
      <c r="AI1953">
        <v>0</v>
      </c>
      <c r="AJ1953">
        <v>2</v>
      </c>
      <c r="AK1953">
        <v>2</v>
      </c>
      <c r="AL1953" t="s">
        <v>74</v>
      </c>
      <c r="AM1953" t="s">
        <v>74</v>
      </c>
      <c r="AN1953" t="s">
        <v>74</v>
      </c>
      <c r="AO1953" t="s">
        <v>5900</v>
      </c>
      <c r="AP1953" t="s">
        <v>74</v>
      </c>
      <c r="AQ1953" t="s">
        <v>74</v>
      </c>
      <c r="AR1953" t="s">
        <v>74</v>
      </c>
      <c r="AS1953" t="s">
        <v>74</v>
      </c>
      <c r="AT1953" t="s">
        <v>74</v>
      </c>
      <c r="AU1953">
        <v>2021</v>
      </c>
      <c r="AV1953">
        <v>14</v>
      </c>
      <c r="AW1953" t="s">
        <v>74</v>
      </c>
      <c r="AX1953" t="s">
        <v>74</v>
      </c>
      <c r="AY1953" t="s">
        <v>74</v>
      </c>
      <c r="AZ1953" t="s">
        <v>74</v>
      </c>
      <c r="BA1953" t="s">
        <v>74</v>
      </c>
      <c r="BB1953">
        <v>1033</v>
      </c>
      <c r="BC1953">
        <v>1043</v>
      </c>
      <c r="BD1953" t="s">
        <v>74</v>
      </c>
      <c r="BE1953" t="s">
        <v>5901</v>
      </c>
      <c r="BF1953" t="str">
        <f>HYPERLINK("http://dx.doi.org/10.2147/CCID.S325515","http://dx.doi.org/10.2147/CCID.S325515")</f>
        <v>http://dx.doi.org/10.2147/CCID.S325515</v>
      </c>
      <c r="BG1953" t="s">
        <v>74</v>
      </c>
      <c r="BH1953" t="s">
        <v>74</v>
      </c>
      <c r="BI1953" t="s">
        <v>74</v>
      </c>
      <c r="BJ1953" t="s">
        <v>1855</v>
      </c>
      <c r="BK1953" t="s">
        <v>117</v>
      </c>
      <c r="BL1953" t="s">
        <v>1855</v>
      </c>
      <c r="BM1953" t="s">
        <v>74</v>
      </c>
      <c r="BN1953">
        <v>34471367</v>
      </c>
      <c r="BO1953" t="s">
        <v>74</v>
      </c>
      <c r="BP1953" t="s">
        <v>74</v>
      </c>
      <c r="BQ1953" t="s">
        <v>74</v>
      </c>
      <c r="BR1953" t="s">
        <v>96</v>
      </c>
      <c r="BS1953" t="s">
        <v>5902</v>
      </c>
      <c r="BT1953" t="str">
        <f>HYPERLINK("https%3A%2F%2Fwww.webofscience.com%2Fwos%2Fwoscc%2Ffull-record%2FWOS:000688407700004","View Full Record in Web of Science")</f>
        <v>View Full Record in Web of Science</v>
      </c>
    </row>
    <row r="1954" spans="1:72" x14ac:dyDescent="0.15">
      <c r="A1954" t="s">
        <v>98</v>
      </c>
      <c r="B1954" t="s">
        <v>6009</v>
      </c>
      <c r="C1954" t="s">
        <v>74</v>
      </c>
      <c r="D1954" t="s">
        <v>74</v>
      </c>
      <c r="E1954" t="s">
        <v>74</v>
      </c>
      <c r="F1954" t="s">
        <v>6010</v>
      </c>
      <c r="G1954" t="s">
        <v>74</v>
      </c>
      <c r="H1954" t="s">
        <v>74</v>
      </c>
      <c r="I1954" t="s">
        <v>6011</v>
      </c>
      <c r="J1954" t="s">
        <v>6012</v>
      </c>
      <c r="K1954" t="s">
        <v>74</v>
      </c>
      <c r="L1954" t="s">
        <v>74</v>
      </c>
      <c r="M1954" t="s">
        <v>74</v>
      </c>
      <c r="N1954" t="s">
        <v>103</v>
      </c>
      <c r="O1954" t="s">
        <v>74</v>
      </c>
      <c r="P1954" t="s">
        <v>74</v>
      </c>
      <c r="Q1954" t="s">
        <v>74</v>
      </c>
      <c r="R1954" t="s">
        <v>74</v>
      </c>
      <c r="S1954" t="s">
        <v>74</v>
      </c>
      <c r="T1954" t="s">
        <v>6013</v>
      </c>
      <c r="U1954" t="s">
        <v>6014</v>
      </c>
      <c r="V1954" t="s">
        <v>6015</v>
      </c>
      <c r="W1954" t="s">
        <v>6016</v>
      </c>
      <c r="X1954" t="s">
        <v>6017</v>
      </c>
      <c r="Y1954" t="s">
        <v>6018</v>
      </c>
      <c r="Z1954" t="s">
        <v>6019</v>
      </c>
      <c r="AA1954" t="s">
        <v>74</v>
      </c>
      <c r="AB1954" t="s">
        <v>74</v>
      </c>
      <c r="AC1954" t="s">
        <v>74</v>
      </c>
      <c r="AD1954" t="s">
        <v>74</v>
      </c>
      <c r="AE1954" t="s">
        <v>74</v>
      </c>
      <c r="AF1954" t="s">
        <v>74</v>
      </c>
      <c r="AG1954">
        <v>68</v>
      </c>
      <c r="AH1954">
        <v>0</v>
      </c>
      <c r="AI1954">
        <v>0</v>
      </c>
      <c r="AJ1954">
        <v>3</v>
      </c>
      <c r="AK1954">
        <v>3</v>
      </c>
      <c r="AL1954" t="s">
        <v>74</v>
      </c>
      <c r="AM1954" t="s">
        <v>74</v>
      </c>
      <c r="AN1954" t="s">
        <v>74</v>
      </c>
      <c r="AO1954" t="s">
        <v>6020</v>
      </c>
      <c r="AP1954" t="s">
        <v>6021</v>
      </c>
      <c r="AQ1954" t="s">
        <v>74</v>
      </c>
      <c r="AR1954" t="s">
        <v>74</v>
      </c>
      <c r="AS1954" t="s">
        <v>74</v>
      </c>
      <c r="AT1954" t="s">
        <v>283</v>
      </c>
      <c r="AU1954">
        <v>2022</v>
      </c>
      <c r="AV1954">
        <v>1866</v>
      </c>
      <c r="AW1954">
        <v>2</v>
      </c>
      <c r="AX1954" t="s">
        <v>74</v>
      </c>
      <c r="AY1954" t="s">
        <v>74</v>
      </c>
      <c r="AZ1954" t="s">
        <v>74</v>
      </c>
      <c r="BA1954" t="s">
        <v>74</v>
      </c>
      <c r="BB1954" t="s">
        <v>74</v>
      </c>
      <c r="BC1954" t="s">
        <v>74</v>
      </c>
      <c r="BD1954">
        <v>130069</v>
      </c>
      <c r="BE1954" t="s">
        <v>6022</v>
      </c>
      <c r="BF1954" t="str">
        <f>HYPERLINK("http://dx.doi.org/10.1016/j.bbagen.2021.130069","http://dx.doi.org/10.1016/j.bbagen.2021.130069")</f>
        <v>http://dx.doi.org/10.1016/j.bbagen.2021.130069</v>
      </c>
      <c r="BG1954" t="s">
        <v>74</v>
      </c>
      <c r="BH1954" t="s">
        <v>74</v>
      </c>
      <c r="BI1954" t="s">
        <v>74</v>
      </c>
      <c r="BJ1954" t="s">
        <v>2845</v>
      </c>
      <c r="BK1954" t="s">
        <v>117</v>
      </c>
      <c r="BL1954" t="s">
        <v>2845</v>
      </c>
      <c r="BM1954" t="s">
        <v>74</v>
      </c>
      <c r="BN1954">
        <v>34906563</v>
      </c>
      <c r="BO1954" t="s">
        <v>74</v>
      </c>
      <c r="BP1954" t="s">
        <v>74</v>
      </c>
      <c r="BQ1954" t="s">
        <v>74</v>
      </c>
      <c r="BR1954" t="s">
        <v>96</v>
      </c>
      <c r="BS1954" t="s">
        <v>6023</v>
      </c>
      <c r="BT1954" t="str">
        <f>HYPERLINK("https%3A%2F%2Fwww.webofscience.com%2Fwos%2Fwoscc%2Ffull-record%2FWOS:000790088200004","View Full Record in Web of Science")</f>
        <v>View Full Record in Web of Science</v>
      </c>
    </row>
    <row r="1955" spans="1:72" x14ac:dyDescent="0.15">
      <c r="A1955" t="s">
        <v>98</v>
      </c>
      <c r="B1955" t="s">
        <v>6055</v>
      </c>
      <c r="C1955" t="s">
        <v>74</v>
      </c>
      <c r="D1955" t="s">
        <v>74</v>
      </c>
      <c r="E1955" t="s">
        <v>74</v>
      </c>
      <c r="F1955" t="s">
        <v>6056</v>
      </c>
      <c r="G1955" t="s">
        <v>74</v>
      </c>
      <c r="H1955" t="s">
        <v>74</v>
      </c>
      <c r="I1955" t="s">
        <v>6057</v>
      </c>
      <c r="J1955" t="s">
        <v>1105</v>
      </c>
      <c r="K1955" t="s">
        <v>74</v>
      </c>
      <c r="L1955" t="s">
        <v>74</v>
      </c>
      <c r="M1955" t="s">
        <v>74</v>
      </c>
      <c r="N1955" t="s">
        <v>103</v>
      </c>
      <c r="O1955" t="s">
        <v>74</v>
      </c>
      <c r="P1955" t="s">
        <v>74</v>
      </c>
      <c r="Q1955" t="s">
        <v>74</v>
      </c>
      <c r="R1955" t="s">
        <v>74</v>
      </c>
      <c r="S1955" t="s">
        <v>74</v>
      </c>
      <c r="T1955" t="s">
        <v>6058</v>
      </c>
      <c r="U1955" t="s">
        <v>6059</v>
      </c>
      <c r="V1955" t="s">
        <v>6060</v>
      </c>
      <c r="W1955" t="s">
        <v>6061</v>
      </c>
      <c r="X1955" t="s">
        <v>6062</v>
      </c>
      <c r="Y1955" t="s">
        <v>6063</v>
      </c>
      <c r="Z1955" t="s">
        <v>6064</v>
      </c>
      <c r="AA1955" t="s">
        <v>74</v>
      </c>
      <c r="AB1955" t="s">
        <v>6065</v>
      </c>
      <c r="AC1955" t="s">
        <v>74</v>
      </c>
      <c r="AD1955" t="s">
        <v>74</v>
      </c>
      <c r="AE1955" t="s">
        <v>74</v>
      </c>
      <c r="AF1955" t="s">
        <v>74</v>
      </c>
      <c r="AG1955">
        <v>54</v>
      </c>
      <c r="AH1955">
        <v>0</v>
      </c>
      <c r="AI1955">
        <v>0</v>
      </c>
      <c r="AJ1955">
        <v>15</v>
      </c>
      <c r="AK1955">
        <v>15</v>
      </c>
      <c r="AL1955" t="s">
        <v>74</v>
      </c>
      <c r="AM1955" t="s">
        <v>74</v>
      </c>
      <c r="AN1955" t="s">
        <v>74</v>
      </c>
      <c r="AO1955" t="s">
        <v>1114</v>
      </c>
      <c r="AP1955" t="s">
        <v>1115</v>
      </c>
      <c r="AQ1955" t="s">
        <v>74</v>
      </c>
      <c r="AR1955" t="s">
        <v>74</v>
      </c>
      <c r="AS1955" t="s">
        <v>74</v>
      </c>
      <c r="AT1955" t="s">
        <v>335</v>
      </c>
      <c r="AU1955">
        <v>2022</v>
      </c>
      <c r="AV1955">
        <v>247</v>
      </c>
      <c r="AW1955" t="s">
        <v>74</v>
      </c>
      <c r="AX1955" t="s">
        <v>74</v>
      </c>
      <c r="AY1955" t="s">
        <v>74</v>
      </c>
      <c r="AZ1955" t="s">
        <v>74</v>
      </c>
      <c r="BA1955" t="s">
        <v>74</v>
      </c>
      <c r="BB1955" t="s">
        <v>74</v>
      </c>
      <c r="BC1955" t="s">
        <v>74</v>
      </c>
      <c r="BD1955">
        <v>123620</v>
      </c>
      <c r="BE1955" t="s">
        <v>6066</v>
      </c>
      <c r="BF1955" t="str">
        <f>HYPERLINK("http://dx.doi.org/10.1016/j.talanta.2022.123620","http://dx.doi.org/10.1016/j.talanta.2022.123620")</f>
        <v>http://dx.doi.org/10.1016/j.talanta.2022.123620</v>
      </c>
      <c r="BG1955" t="s">
        <v>74</v>
      </c>
      <c r="BH1955" t="s">
        <v>74</v>
      </c>
      <c r="BI1955" t="s">
        <v>74</v>
      </c>
      <c r="BJ1955" t="s">
        <v>1118</v>
      </c>
      <c r="BK1955" t="s">
        <v>117</v>
      </c>
      <c r="BL1955" t="s">
        <v>1048</v>
      </c>
      <c r="BM1955" t="s">
        <v>74</v>
      </c>
      <c r="BN1955">
        <v>35649328</v>
      </c>
      <c r="BO1955" t="s">
        <v>74</v>
      </c>
      <c r="BP1955" t="s">
        <v>74</v>
      </c>
      <c r="BQ1955" t="s">
        <v>74</v>
      </c>
      <c r="BR1955" t="s">
        <v>96</v>
      </c>
      <c r="BS1955" t="s">
        <v>6067</v>
      </c>
      <c r="BT1955" t="str">
        <f>HYPERLINK("https%3A%2F%2Fwww.webofscience.com%2Fwos%2Fwoscc%2Ffull-record%2FWOS:000808517500004","View Full Record in Web of Science")</f>
        <v>View Full Record in Web of Science</v>
      </c>
    </row>
    <row r="1956" spans="1:72" x14ac:dyDescent="0.15">
      <c r="A1956" t="s">
        <v>72</v>
      </c>
      <c r="B1956" t="s">
        <v>6174</v>
      </c>
      <c r="C1956" t="s">
        <v>74</v>
      </c>
      <c r="D1956" t="s">
        <v>6175</v>
      </c>
      <c r="E1956" t="s">
        <v>74</v>
      </c>
      <c r="F1956" t="s">
        <v>6176</v>
      </c>
      <c r="G1956" t="s">
        <v>74</v>
      </c>
      <c r="H1956" t="s">
        <v>74</v>
      </c>
      <c r="I1956" t="s">
        <v>6177</v>
      </c>
      <c r="J1956" t="s">
        <v>6178</v>
      </c>
      <c r="K1956" t="s">
        <v>79</v>
      </c>
      <c r="L1956" t="s">
        <v>74</v>
      </c>
      <c r="M1956" t="s">
        <v>74</v>
      </c>
      <c r="N1956" t="s">
        <v>80</v>
      </c>
      <c r="O1956" t="s">
        <v>74</v>
      </c>
      <c r="P1956" t="s">
        <v>74</v>
      </c>
      <c r="Q1956" t="s">
        <v>74</v>
      </c>
      <c r="R1956" t="s">
        <v>74</v>
      </c>
      <c r="S1956" t="s">
        <v>74</v>
      </c>
      <c r="T1956" t="s">
        <v>6179</v>
      </c>
      <c r="U1956" t="s">
        <v>4874</v>
      </c>
      <c r="V1956" t="s">
        <v>6180</v>
      </c>
      <c r="W1956" t="s">
        <v>6181</v>
      </c>
      <c r="X1956" t="s">
        <v>6182</v>
      </c>
      <c r="Y1956" t="s">
        <v>6183</v>
      </c>
      <c r="Z1956" t="s">
        <v>74</v>
      </c>
      <c r="AA1956" t="s">
        <v>6184</v>
      </c>
      <c r="AB1956" t="s">
        <v>6185</v>
      </c>
      <c r="AC1956" t="s">
        <v>74</v>
      </c>
      <c r="AD1956" t="s">
        <v>74</v>
      </c>
      <c r="AE1956" t="s">
        <v>74</v>
      </c>
      <c r="AF1956" t="s">
        <v>74</v>
      </c>
      <c r="AG1956">
        <v>12</v>
      </c>
      <c r="AH1956">
        <v>0</v>
      </c>
      <c r="AI1956">
        <v>0</v>
      </c>
      <c r="AJ1956">
        <v>4</v>
      </c>
      <c r="AK1956">
        <v>7</v>
      </c>
      <c r="AL1956" t="s">
        <v>74</v>
      </c>
      <c r="AM1956" t="s">
        <v>74</v>
      </c>
      <c r="AN1956" t="s">
        <v>74</v>
      </c>
      <c r="AO1956" t="s">
        <v>88</v>
      </c>
      <c r="AP1956" t="s">
        <v>89</v>
      </c>
      <c r="AQ1956" t="s">
        <v>6186</v>
      </c>
      <c r="AR1956" t="s">
        <v>74</v>
      </c>
      <c r="AS1956" t="s">
        <v>74</v>
      </c>
      <c r="AT1956" t="s">
        <v>74</v>
      </c>
      <c r="AU1956">
        <v>2021</v>
      </c>
      <c r="AV1956">
        <v>2346</v>
      </c>
      <c r="AW1956" t="s">
        <v>74</v>
      </c>
      <c r="AX1956" t="s">
        <v>74</v>
      </c>
      <c r="AY1956" t="s">
        <v>74</v>
      </c>
      <c r="AZ1956" t="s">
        <v>74</v>
      </c>
      <c r="BA1956" t="s">
        <v>74</v>
      </c>
      <c r="BB1956">
        <v>91</v>
      </c>
      <c r="BC1956">
        <v>104</v>
      </c>
      <c r="BD1956" t="s">
        <v>74</v>
      </c>
      <c r="BE1956" t="s">
        <v>6187</v>
      </c>
      <c r="BF1956" t="str">
        <f>HYPERLINK("http://dx.doi.org/10.1007/7651_2020_320","http://dx.doi.org/10.1007/7651_2020_320")</f>
        <v>http://dx.doi.org/10.1007/7651_2020_320</v>
      </c>
      <c r="BG1956" t="s">
        <v>6188</v>
      </c>
      <c r="BH1956" t="s">
        <v>74</v>
      </c>
      <c r="BI1956" t="s">
        <v>74</v>
      </c>
      <c r="BJ1956" t="s">
        <v>497</v>
      </c>
      <c r="BK1956" t="s">
        <v>94</v>
      </c>
      <c r="BL1956" t="s">
        <v>498</v>
      </c>
      <c r="BM1956" t="s">
        <v>74</v>
      </c>
      <c r="BN1956">
        <v>32930980</v>
      </c>
      <c r="BO1956" t="s">
        <v>74</v>
      </c>
      <c r="BP1956" t="s">
        <v>74</v>
      </c>
      <c r="BQ1956" t="s">
        <v>74</v>
      </c>
      <c r="BR1956" t="s">
        <v>96</v>
      </c>
      <c r="BS1956" t="s">
        <v>6189</v>
      </c>
      <c r="BT1956" t="str">
        <f>HYPERLINK("https%3A%2F%2Fwww.webofscience.com%2Fwos%2Fwoscc%2Ffull-record%2FWOS:000707159600010","View Full Record in Web of Science")</f>
        <v>View Full Record in Web of Science</v>
      </c>
    </row>
    <row r="1957" spans="1:72" x14ac:dyDescent="0.15">
      <c r="A1957" t="s">
        <v>98</v>
      </c>
      <c r="B1957" t="s">
        <v>6300</v>
      </c>
      <c r="C1957" t="s">
        <v>74</v>
      </c>
      <c r="D1957" t="s">
        <v>74</v>
      </c>
      <c r="E1957" t="s">
        <v>74</v>
      </c>
      <c r="F1957" t="s">
        <v>6301</v>
      </c>
      <c r="G1957" t="s">
        <v>74</v>
      </c>
      <c r="H1957" t="s">
        <v>74</v>
      </c>
      <c r="I1957" t="s">
        <v>6302</v>
      </c>
      <c r="J1957" t="s">
        <v>6303</v>
      </c>
      <c r="K1957" t="s">
        <v>74</v>
      </c>
      <c r="L1957" t="s">
        <v>74</v>
      </c>
      <c r="M1957" t="s">
        <v>74</v>
      </c>
      <c r="N1957" t="s">
        <v>103</v>
      </c>
      <c r="O1957" t="s">
        <v>74</v>
      </c>
      <c r="P1957" t="s">
        <v>74</v>
      </c>
      <c r="Q1957" t="s">
        <v>74</v>
      </c>
      <c r="R1957" t="s">
        <v>74</v>
      </c>
      <c r="S1957" t="s">
        <v>74</v>
      </c>
      <c r="T1957" t="s">
        <v>6304</v>
      </c>
      <c r="U1957" t="s">
        <v>6305</v>
      </c>
      <c r="V1957" t="s">
        <v>6306</v>
      </c>
      <c r="W1957" t="s">
        <v>6307</v>
      </c>
      <c r="X1957" t="s">
        <v>2729</v>
      </c>
      <c r="Y1957" t="s">
        <v>6308</v>
      </c>
      <c r="Z1957" t="s">
        <v>6309</v>
      </c>
      <c r="AA1957" t="s">
        <v>6310</v>
      </c>
      <c r="AB1957" t="s">
        <v>6311</v>
      </c>
      <c r="AC1957" t="s">
        <v>74</v>
      </c>
      <c r="AD1957" t="s">
        <v>74</v>
      </c>
      <c r="AE1957" t="s">
        <v>74</v>
      </c>
      <c r="AF1957" t="s">
        <v>74</v>
      </c>
      <c r="AG1957">
        <v>20</v>
      </c>
      <c r="AH1957">
        <v>0</v>
      </c>
      <c r="AI1957">
        <v>0</v>
      </c>
      <c r="AJ1957">
        <v>5</v>
      </c>
      <c r="AK1957">
        <v>5</v>
      </c>
      <c r="AL1957" t="s">
        <v>74</v>
      </c>
      <c r="AM1957" t="s">
        <v>74</v>
      </c>
      <c r="AN1957" t="s">
        <v>74</v>
      </c>
      <c r="AO1957" t="s">
        <v>6312</v>
      </c>
      <c r="AP1957" t="s">
        <v>74</v>
      </c>
      <c r="AQ1957" t="s">
        <v>74</v>
      </c>
      <c r="AR1957" t="s">
        <v>74</v>
      </c>
      <c r="AS1957" t="s">
        <v>74</v>
      </c>
      <c r="AT1957" t="s">
        <v>6313</v>
      </c>
      <c r="AU1957">
        <v>2021</v>
      </c>
      <c r="AV1957">
        <v>13</v>
      </c>
      <c r="AW1957">
        <v>4</v>
      </c>
      <c r="AX1957" t="s">
        <v>74</v>
      </c>
      <c r="AY1957" t="s">
        <v>74</v>
      </c>
      <c r="AZ1957" t="s">
        <v>74</v>
      </c>
      <c r="BA1957" t="s">
        <v>74</v>
      </c>
      <c r="BB1957">
        <v>82</v>
      </c>
      <c r="BC1957">
        <v>88</v>
      </c>
      <c r="BD1957" t="s">
        <v>74</v>
      </c>
      <c r="BE1957" t="s">
        <v>6314</v>
      </c>
      <c r="BF1957" t="str">
        <f>HYPERLINK("http://dx.doi.org/10.32607/actanaturae.11506","http://dx.doi.org/10.32607/actanaturae.11506")</f>
        <v>http://dx.doi.org/10.32607/actanaturae.11506</v>
      </c>
      <c r="BG1957" t="s">
        <v>74</v>
      </c>
      <c r="BH1957" t="s">
        <v>74</v>
      </c>
      <c r="BI1957" t="s">
        <v>74</v>
      </c>
      <c r="BJ1957" t="s">
        <v>498</v>
      </c>
      <c r="BK1957" t="s">
        <v>117</v>
      </c>
      <c r="BL1957" t="s">
        <v>498</v>
      </c>
      <c r="BM1957" t="s">
        <v>74</v>
      </c>
      <c r="BN1957">
        <v>35127151</v>
      </c>
      <c r="BO1957" t="s">
        <v>74</v>
      </c>
      <c r="BP1957" t="s">
        <v>74</v>
      </c>
      <c r="BQ1957" t="s">
        <v>74</v>
      </c>
      <c r="BR1957" t="s">
        <v>96</v>
      </c>
      <c r="BS1957" t="s">
        <v>6315</v>
      </c>
      <c r="BT1957" t="str">
        <f>HYPERLINK("https%3A%2F%2Fwww.webofscience.com%2Fwos%2Fwoscc%2Ffull-record%2FWOS:000748429800010","View Full Record in Web of Science")</f>
        <v>View Full Record in Web of Science</v>
      </c>
    </row>
    <row r="1958" spans="1:72" x14ac:dyDescent="0.15">
      <c r="A1958" t="s">
        <v>98</v>
      </c>
      <c r="B1958" t="s">
        <v>6364</v>
      </c>
      <c r="C1958" t="s">
        <v>74</v>
      </c>
      <c r="D1958" t="s">
        <v>74</v>
      </c>
      <c r="E1958" t="s">
        <v>74</v>
      </c>
      <c r="F1958" t="s">
        <v>6365</v>
      </c>
      <c r="G1958" t="s">
        <v>74</v>
      </c>
      <c r="H1958" t="s">
        <v>74</v>
      </c>
      <c r="I1958" t="s">
        <v>6366</v>
      </c>
      <c r="J1958" t="s">
        <v>903</v>
      </c>
      <c r="K1958" t="s">
        <v>74</v>
      </c>
      <c r="L1958" t="s">
        <v>74</v>
      </c>
      <c r="M1958" t="s">
        <v>74</v>
      </c>
      <c r="N1958" t="s">
        <v>103</v>
      </c>
      <c r="O1958" t="s">
        <v>74</v>
      </c>
      <c r="P1958" t="s">
        <v>74</v>
      </c>
      <c r="Q1958" t="s">
        <v>74</v>
      </c>
      <c r="R1958" t="s">
        <v>74</v>
      </c>
      <c r="S1958" t="s">
        <v>74</v>
      </c>
      <c r="T1958" t="s">
        <v>6367</v>
      </c>
      <c r="U1958" t="s">
        <v>6368</v>
      </c>
      <c r="V1958" t="s">
        <v>6369</v>
      </c>
      <c r="W1958" t="s">
        <v>6370</v>
      </c>
      <c r="X1958" t="s">
        <v>5978</v>
      </c>
      <c r="Y1958" t="s">
        <v>6371</v>
      </c>
      <c r="Z1958" t="s">
        <v>6372</v>
      </c>
      <c r="AA1958" t="s">
        <v>74</v>
      </c>
      <c r="AB1958" t="s">
        <v>6373</v>
      </c>
      <c r="AC1958" t="s">
        <v>74</v>
      </c>
      <c r="AD1958" t="s">
        <v>74</v>
      </c>
      <c r="AE1958" t="s">
        <v>74</v>
      </c>
      <c r="AF1958" t="s">
        <v>74</v>
      </c>
      <c r="AG1958">
        <v>38</v>
      </c>
      <c r="AH1958">
        <v>0</v>
      </c>
      <c r="AI1958">
        <v>0</v>
      </c>
      <c r="AJ1958">
        <v>0</v>
      </c>
      <c r="AK1958">
        <v>0</v>
      </c>
      <c r="AL1958" t="s">
        <v>74</v>
      </c>
      <c r="AM1958" t="s">
        <v>74</v>
      </c>
      <c r="AN1958" t="s">
        <v>74</v>
      </c>
      <c r="AO1958" t="s">
        <v>74</v>
      </c>
      <c r="AP1958" t="s">
        <v>913</v>
      </c>
      <c r="AQ1958" t="s">
        <v>74</v>
      </c>
      <c r="AR1958" t="s">
        <v>74</v>
      </c>
      <c r="AS1958" t="s">
        <v>74</v>
      </c>
      <c r="AT1958" t="s">
        <v>170</v>
      </c>
      <c r="AU1958">
        <v>2022</v>
      </c>
      <c r="AV1958">
        <v>14</v>
      </c>
      <c r="AW1958">
        <v>11</v>
      </c>
      <c r="AX1958" t="s">
        <v>74</v>
      </c>
      <c r="AY1958" t="s">
        <v>74</v>
      </c>
      <c r="AZ1958" t="s">
        <v>74</v>
      </c>
      <c r="BA1958" t="s">
        <v>74</v>
      </c>
      <c r="BB1958" t="s">
        <v>74</v>
      </c>
      <c r="BC1958" t="s">
        <v>74</v>
      </c>
      <c r="BD1958">
        <v>2744</v>
      </c>
      <c r="BE1958" t="s">
        <v>6374</v>
      </c>
      <c r="BF1958" t="str">
        <f>HYPERLINK("http://dx.doi.org/10.3390/cancers14112744","http://dx.doi.org/10.3390/cancers14112744")</f>
        <v>http://dx.doi.org/10.3390/cancers14112744</v>
      </c>
      <c r="BG1958" t="s">
        <v>74</v>
      </c>
      <c r="BH1958" t="s">
        <v>74</v>
      </c>
      <c r="BI1958" t="s">
        <v>74</v>
      </c>
      <c r="BJ1958" t="s">
        <v>267</v>
      </c>
      <c r="BK1958" t="s">
        <v>117</v>
      </c>
      <c r="BL1958" t="s">
        <v>267</v>
      </c>
      <c r="BM1958" t="s">
        <v>74</v>
      </c>
      <c r="BN1958">
        <v>35681723</v>
      </c>
      <c r="BO1958" t="s">
        <v>74</v>
      </c>
      <c r="BP1958" t="s">
        <v>74</v>
      </c>
      <c r="BQ1958" t="s">
        <v>74</v>
      </c>
      <c r="BR1958" t="s">
        <v>96</v>
      </c>
      <c r="BS1958" t="s">
        <v>6375</v>
      </c>
      <c r="BT1958" t="str">
        <f>HYPERLINK("https%3A%2F%2Fwww.webofscience.com%2Fwos%2Fwoscc%2Ffull-record%2FWOS:000808941200001","View Full Record in Web of Science")</f>
        <v>View Full Record in Web of Science</v>
      </c>
    </row>
    <row r="1959" spans="1:72" x14ac:dyDescent="0.15">
      <c r="A1959" t="s">
        <v>98</v>
      </c>
      <c r="B1959" t="s">
        <v>6409</v>
      </c>
      <c r="C1959" t="s">
        <v>74</v>
      </c>
      <c r="D1959" t="s">
        <v>74</v>
      </c>
      <c r="E1959" t="s">
        <v>74</v>
      </c>
      <c r="F1959" t="s">
        <v>6410</v>
      </c>
      <c r="G1959" t="s">
        <v>74</v>
      </c>
      <c r="H1959" t="s">
        <v>74</v>
      </c>
      <c r="I1959" t="s">
        <v>6411</v>
      </c>
      <c r="J1959" t="s">
        <v>903</v>
      </c>
      <c r="K1959" t="s">
        <v>74</v>
      </c>
      <c r="L1959" t="s">
        <v>74</v>
      </c>
      <c r="M1959" t="s">
        <v>74</v>
      </c>
      <c r="N1959" t="s">
        <v>103</v>
      </c>
      <c r="O1959" t="s">
        <v>74</v>
      </c>
      <c r="P1959" t="s">
        <v>74</v>
      </c>
      <c r="Q1959" t="s">
        <v>74</v>
      </c>
      <c r="R1959" t="s">
        <v>74</v>
      </c>
      <c r="S1959" t="s">
        <v>74</v>
      </c>
      <c r="T1959" t="s">
        <v>6412</v>
      </c>
      <c r="U1959" t="s">
        <v>6413</v>
      </c>
      <c r="V1959" t="s">
        <v>6414</v>
      </c>
      <c r="W1959" t="s">
        <v>6415</v>
      </c>
      <c r="X1959" t="s">
        <v>6416</v>
      </c>
      <c r="Y1959" t="s">
        <v>6417</v>
      </c>
      <c r="Z1959" t="s">
        <v>6418</v>
      </c>
      <c r="AA1959" t="s">
        <v>6419</v>
      </c>
      <c r="AB1959" t="s">
        <v>6420</v>
      </c>
      <c r="AC1959" t="s">
        <v>74</v>
      </c>
      <c r="AD1959" t="s">
        <v>74</v>
      </c>
      <c r="AE1959" t="s">
        <v>74</v>
      </c>
      <c r="AF1959" t="s">
        <v>74</v>
      </c>
      <c r="AG1959">
        <v>62</v>
      </c>
      <c r="AH1959">
        <v>0</v>
      </c>
      <c r="AI1959">
        <v>0</v>
      </c>
      <c r="AJ1959">
        <v>0</v>
      </c>
      <c r="AK1959">
        <v>0</v>
      </c>
      <c r="AL1959" t="s">
        <v>74</v>
      </c>
      <c r="AM1959" t="s">
        <v>74</v>
      </c>
      <c r="AN1959" t="s">
        <v>74</v>
      </c>
      <c r="AO1959" t="s">
        <v>74</v>
      </c>
      <c r="AP1959" t="s">
        <v>913</v>
      </c>
      <c r="AQ1959" t="s">
        <v>74</v>
      </c>
      <c r="AR1959" t="s">
        <v>74</v>
      </c>
      <c r="AS1959" t="s">
        <v>74</v>
      </c>
      <c r="AT1959" t="s">
        <v>283</v>
      </c>
      <c r="AU1959">
        <v>2022</v>
      </c>
      <c r="AV1959">
        <v>14</v>
      </c>
      <c r="AW1959">
        <v>4</v>
      </c>
      <c r="AX1959" t="s">
        <v>74</v>
      </c>
      <c r="AY1959" t="s">
        <v>74</v>
      </c>
      <c r="AZ1959" t="s">
        <v>74</v>
      </c>
      <c r="BA1959" t="s">
        <v>74</v>
      </c>
      <c r="BB1959" t="s">
        <v>74</v>
      </c>
      <c r="BC1959" t="s">
        <v>74</v>
      </c>
      <c r="BD1959">
        <v>1074</v>
      </c>
      <c r="BE1959" t="s">
        <v>6421</v>
      </c>
      <c r="BF1959" t="str">
        <f>HYPERLINK("http://dx.doi.org/10.3390/cancers14041074","http://dx.doi.org/10.3390/cancers14041074")</f>
        <v>http://dx.doi.org/10.3390/cancers14041074</v>
      </c>
      <c r="BG1959" t="s">
        <v>74</v>
      </c>
      <c r="BH1959" t="s">
        <v>74</v>
      </c>
      <c r="BI1959" t="s">
        <v>74</v>
      </c>
      <c r="BJ1959" t="s">
        <v>267</v>
      </c>
      <c r="BK1959" t="s">
        <v>117</v>
      </c>
      <c r="BL1959" t="s">
        <v>267</v>
      </c>
      <c r="BM1959" t="s">
        <v>74</v>
      </c>
      <c r="BN1959">
        <v>35205822</v>
      </c>
      <c r="BO1959" t="s">
        <v>74</v>
      </c>
      <c r="BP1959" t="s">
        <v>74</v>
      </c>
      <c r="BQ1959" t="s">
        <v>74</v>
      </c>
      <c r="BR1959" t="s">
        <v>96</v>
      </c>
      <c r="BS1959" t="s">
        <v>6422</v>
      </c>
      <c r="BT1959" t="str">
        <f>HYPERLINK("https%3A%2F%2Fwww.webofscience.com%2Fwos%2Fwoscc%2Ffull-record%2FWOS:000770838100001","View Full Record in Web of Science")</f>
        <v>View Full Record in Web of Science</v>
      </c>
    </row>
    <row r="1960" spans="1:72" x14ac:dyDescent="0.15">
      <c r="A1960" t="s">
        <v>98</v>
      </c>
      <c r="B1960" t="s">
        <v>6865</v>
      </c>
      <c r="C1960" t="s">
        <v>74</v>
      </c>
      <c r="D1960" t="s">
        <v>74</v>
      </c>
      <c r="E1960" t="s">
        <v>74</v>
      </c>
      <c r="F1960" t="s">
        <v>6866</v>
      </c>
      <c r="G1960" t="s">
        <v>74</v>
      </c>
      <c r="H1960" t="s">
        <v>74</v>
      </c>
      <c r="I1960" t="s">
        <v>6867</v>
      </c>
      <c r="J1960" t="s">
        <v>6868</v>
      </c>
      <c r="K1960" t="s">
        <v>74</v>
      </c>
      <c r="L1960" t="s">
        <v>74</v>
      </c>
      <c r="M1960" t="s">
        <v>74</v>
      </c>
      <c r="N1960" t="s">
        <v>103</v>
      </c>
      <c r="O1960" t="s">
        <v>74</v>
      </c>
      <c r="P1960" t="s">
        <v>74</v>
      </c>
      <c r="Q1960" t="s">
        <v>74</v>
      </c>
      <c r="R1960" t="s">
        <v>74</v>
      </c>
      <c r="S1960" t="s">
        <v>74</v>
      </c>
      <c r="T1960" t="s">
        <v>6869</v>
      </c>
      <c r="U1960" t="s">
        <v>6870</v>
      </c>
      <c r="V1960" t="s">
        <v>6871</v>
      </c>
      <c r="W1960" t="s">
        <v>6872</v>
      </c>
      <c r="X1960" t="s">
        <v>6873</v>
      </c>
      <c r="Y1960" t="s">
        <v>6874</v>
      </c>
      <c r="Z1960" t="s">
        <v>6875</v>
      </c>
      <c r="AA1960" t="s">
        <v>74</v>
      </c>
      <c r="AB1960" t="s">
        <v>74</v>
      </c>
      <c r="AC1960" t="s">
        <v>74</v>
      </c>
      <c r="AD1960" t="s">
        <v>74</v>
      </c>
      <c r="AE1960" t="s">
        <v>74</v>
      </c>
      <c r="AF1960" t="s">
        <v>74</v>
      </c>
      <c r="AG1960">
        <v>80</v>
      </c>
      <c r="AH1960">
        <v>0</v>
      </c>
      <c r="AI1960">
        <v>0</v>
      </c>
      <c r="AJ1960">
        <v>0</v>
      </c>
      <c r="AK1960">
        <v>0</v>
      </c>
      <c r="AL1960" t="s">
        <v>74</v>
      </c>
      <c r="AM1960" t="s">
        <v>74</v>
      </c>
      <c r="AN1960" t="s">
        <v>74</v>
      </c>
      <c r="AO1960" t="s">
        <v>6876</v>
      </c>
      <c r="AP1960" t="s">
        <v>6877</v>
      </c>
      <c r="AQ1960" t="s">
        <v>74</v>
      </c>
      <c r="AR1960" t="s">
        <v>74</v>
      </c>
      <c r="AS1960" t="s">
        <v>74</v>
      </c>
      <c r="AT1960" t="s">
        <v>6878</v>
      </c>
      <c r="AU1960">
        <v>2020</v>
      </c>
      <c r="AV1960">
        <v>43</v>
      </c>
      <c r="AW1960">
        <v>2</v>
      </c>
      <c r="AX1960" t="s">
        <v>74</v>
      </c>
      <c r="AY1960" t="s">
        <v>74</v>
      </c>
      <c r="AZ1960" t="s">
        <v>74</v>
      </c>
      <c r="BA1960" t="s">
        <v>74</v>
      </c>
      <c r="BB1960" t="s">
        <v>74</v>
      </c>
      <c r="BC1960" t="s">
        <v>74</v>
      </c>
      <c r="BD1960" t="s">
        <v>6879</v>
      </c>
      <c r="BE1960" t="s">
        <v>6880</v>
      </c>
      <c r="BF1960" t="str">
        <f>HYPERLINK("http://dx.doi.org/10.1093/sleep/zsz217","http://dx.doi.org/10.1093/sleep/zsz217")</f>
        <v>http://dx.doi.org/10.1093/sleep/zsz217</v>
      </c>
      <c r="BG1960" t="s">
        <v>74</v>
      </c>
      <c r="BH1960" t="s">
        <v>74</v>
      </c>
      <c r="BI1960" t="s">
        <v>74</v>
      </c>
      <c r="BJ1960" t="s">
        <v>2639</v>
      </c>
      <c r="BK1960" t="s">
        <v>117</v>
      </c>
      <c r="BL1960" t="s">
        <v>653</v>
      </c>
      <c r="BM1960" t="s">
        <v>74</v>
      </c>
      <c r="BN1960" t="s">
        <v>74</v>
      </c>
      <c r="BO1960" t="s">
        <v>74</v>
      </c>
      <c r="BP1960" t="s">
        <v>74</v>
      </c>
      <c r="BQ1960" t="s">
        <v>74</v>
      </c>
      <c r="BR1960" t="s">
        <v>96</v>
      </c>
      <c r="BS1960" t="s">
        <v>6881</v>
      </c>
      <c r="BT1960" t="str">
        <f>HYPERLINK("https%3A%2F%2Fwww.webofscience.com%2Fwos%2Fwoscc%2Ffull-record%2FWOS:000753590500010","View Full Record in Web of Science")</f>
        <v>View Full Record in Web of Science</v>
      </c>
    </row>
    <row r="1961" spans="1:72" x14ac:dyDescent="0.15">
      <c r="A1961" t="s">
        <v>98</v>
      </c>
      <c r="B1961" t="s">
        <v>7154</v>
      </c>
      <c r="C1961" t="s">
        <v>74</v>
      </c>
      <c r="D1961" t="s">
        <v>74</v>
      </c>
      <c r="E1961" t="s">
        <v>74</v>
      </c>
      <c r="F1961" t="s">
        <v>7155</v>
      </c>
      <c r="G1961" t="s">
        <v>74</v>
      </c>
      <c r="H1961" t="s">
        <v>74</v>
      </c>
      <c r="I1961" t="s">
        <v>7156</v>
      </c>
      <c r="J1961" t="s">
        <v>1484</v>
      </c>
      <c r="K1961" t="s">
        <v>74</v>
      </c>
      <c r="L1961" t="s">
        <v>74</v>
      </c>
      <c r="M1961" t="s">
        <v>74</v>
      </c>
      <c r="N1961" t="s">
        <v>103</v>
      </c>
      <c r="O1961" t="s">
        <v>74</v>
      </c>
      <c r="P1961" t="s">
        <v>74</v>
      </c>
      <c r="Q1961" t="s">
        <v>74</v>
      </c>
      <c r="R1961" t="s">
        <v>74</v>
      </c>
      <c r="S1961" t="s">
        <v>74</v>
      </c>
      <c r="T1961" t="s">
        <v>7157</v>
      </c>
      <c r="U1961" t="s">
        <v>7158</v>
      </c>
      <c r="V1961" t="s">
        <v>7159</v>
      </c>
      <c r="W1961" t="s">
        <v>7160</v>
      </c>
      <c r="X1961" t="s">
        <v>6603</v>
      </c>
      <c r="Y1961" t="s">
        <v>1490</v>
      </c>
      <c r="Z1961" t="s">
        <v>7161</v>
      </c>
      <c r="AA1961" t="s">
        <v>74</v>
      </c>
      <c r="AB1961" t="s">
        <v>74</v>
      </c>
      <c r="AC1961" t="s">
        <v>74</v>
      </c>
      <c r="AD1961" t="s">
        <v>74</v>
      </c>
      <c r="AE1961" t="s">
        <v>74</v>
      </c>
      <c r="AF1961" t="s">
        <v>74</v>
      </c>
      <c r="AG1961">
        <v>39</v>
      </c>
      <c r="AH1961">
        <v>0</v>
      </c>
      <c r="AI1961">
        <v>0</v>
      </c>
      <c r="AJ1961">
        <v>0</v>
      </c>
      <c r="AK1961">
        <v>0</v>
      </c>
      <c r="AL1961" t="s">
        <v>74</v>
      </c>
      <c r="AM1961" t="s">
        <v>74</v>
      </c>
      <c r="AN1961" t="s">
        <v>74</v>
      </c>
      <c r="AO1961" t="s">
        <v>74</v>
      </c>
      <c r="AP1961" t="s">
        <v>1494</v>
      </c>
      <c r="AQ1961" t="s">
        <v>74</v>
      </c>
      <c r="AR1961" t="s">
        <v>74</v>
      </c>
      <c r="AS1961" t="s">
        <v>74</v>
      </c>
      <c r="AT1961" t="s">
        <v>614</v>
      </c>
      <c r="AU1961">
        <v>2022</v>
      </c>
      <c r="AV1961">
        <v>10</v>
      </c>
      <c r="AW1961">
        <v>7</v>
      </c>
      <c r="AX1961" t="s">
        <v>74</v>
      </c>
      <c r="AY1961" t="s">
        <v>74</v>
      </c>
      <c r="AZ1961" t="s">
        <v>74</v>
      </c>
      <c r="BA1961" t="s">
        <v>74</v>
      </c>
      <c r="BB1961" t="s">
        <v>74</v>
      </c>
      <c r="BC1961" t="s">
        <v>74</v>
      </c>
      <c r="BD1961">
        <v>1060</v>
      </c>
      <c r="BE1961" t="s">
        <v>7162</v>
      </c>
      <c r="BF1961" t="str">
        <f>HYPERLINK("http://dx.doi.org/10.3390/vaccines10071060","http://dx.doi.org/10.3390/vaccines10071060")</f>
        <v>http://dx.doi.org/10.3390/vaccines10071060</v>
      </c>
      <c r="BG1961" t="s">
        <v>74</v>
      </c>
      <c r="BH1961" t="s">
        <v>74</v>
      </c>
      <c r="BI1961" t="s">
        <v>74</v>
      </c>
      <c r="BJ1961" t="s">
        <v>1496</v>
      </c>
      <c r="BK1961" t="s">
        <v>117</v>
      </c>
      <c r="BL1961" t="s">
        <v>1497</v>
      </c>
      <c r="BM1961" t="s">
        <v>74</v>
      </c>
      <c r="BN1961">
        <v>35891224</v>
      </c>
      <c r="BO1961" t="s">
        <v>74</v>
      </c>
      <c r="BP1961" t="s">
        <v>74</v>
      </c>
      <c r="BQ1961" t="s">
        <v>74</v>
      </c>
      <c r="BR1961" t="s">
        <v>96</v>
      </c>
      <c r="BS1961" t="s">
        <v>7163</v>
      </c>
      <c r="BT1961" t="str">
        <f>HYPERLINK("https%3A%2F%2Fwww.webofscience.com%2Fwos%2Fwoscc%2Ffull-record%2FWOS:000831763500001","View Full Record in Web of Science")</f>
        <v>View Full Record in Web of Science</v>
      </c>
    </row>
    <row r="1962" spans="1:72" x14ac:dyDescent="0.15">
      <c r="A1962" t="s">
        <v>98</v>
      </c>
      <c r="B1962" t="s">
        <v>7239</v>
      </c>
      <c r="C1962" t="s">
        <v>74</v>
      </c>
      <c r="D1962" t="s">
        <v>74</v>
      </c>
      <c r="E1962" t="s">
        <v>74</v>
      </c>
      <c r="F1962" t="s">
        <v>7240</v>
      </c>
      <c r="G1962" t="s">
        <v>74</v>
      </c>
      <c r="H1962" t="s">
        <v>74</v>
      </c>
      <c r="I1962" t="s">
        <v>7241</v>
      </c>
      <c r="J1962" t="s">
        <v>7242</v>
      </c>
      <c r="K1962" t="s">
        <v>74</v>
      </c>
      <c r="L1962" t="s">
        <v>74</v>
      </c>
      <c r="M1962" t="s">
        <v>74</v>
      </c>
      <c r="N1962" t="s">
        <v>2996</v>
      </c>
      <c r="O1962" t="s">
        <v>74</v>
      </c>
      <c r="P1962" t="s">
        <v>74</v>
      </c>
      <c r="Q1962" t="s">
        <v>74</v>
      </c>
      <c r="R1962" t="s">
        <v>74</v>
      </c>
      <c r="S1962" t="s">
        <v>74</v>
      </c>
      <c r="T1962" t="s">
        <v>7243</v>
      </c>
      <c r="U1962" t="s">
        <v>7244</v>
      </c>
      <c r="V1962" t="s">
        <v>7245</v>
      </c>
      <c r="W1962" t="s">
        <v>7246</v>
      </c>
      <c r="X1962" t="s">
        <v>7247</v>
      </c>
      <c r="Y1962" t="s">
        <v>7248</v>
      </c>
      <c r="Z1962" t="s">
        <v>7249</v>
      </c>
      <c r="AA1962" t="s">
        <v>74</v>
      </c>
      <c r="AB1962" t="s">
        <v>7250</v>
      </c>
      <c r="AC1962" t="s">
        <v>74</v>
      </c>
      <c r="AD1962" t="s">
        <v>74</v>
      </c>
      <c r="AE1962" t="s">
        <v>74</v>
      </c>
      <c r="AF1962" t="s">
        <v>74</v>
      </c>
      <c r="AG1962">
        <v>41</v>
      </c>
      <c r="AH1962">
        <v>0</v>
      </c>
      <c r="AI1962">
        <v>0</v>
      </c>
      <c r="AJ1962">
        <v>1</v>
      </c>
      <c r="AK1962">
        <v>1</v>
      </c>
      <c r="AL1962" t="s">
        <v>74</v>
      </c>
      <c r="AM1962" t="s">
        <v>74</v>
      </c>
      <c r="AN1962" t="s">
        <v>74</v>
      </c>
      <c r="AO1962" t="s">
        <v>7251</v>
      </c>
      <c r="AP1962" t="s">
        <v>7252</v>
      </c>
      <c r="AQ1962" t="s">
        <v>74</v>
      </c>
      <c r="AR1962" t="s">
        <v>74</v>
      </c>
      <c r="AS1962" t="s">
        <v>74</v>
      </c>
      <c r="AT1962" t="s">
        <v>74</v>
      </c>
      <c r="AU1962" t="s">
        <v>74</v>
      </c>
      <c r="AV1962" t="s">
        <v>74</v>
      </c>
      <c r="AW1962" t="s">
        <v>74</v>
      </c>
      <c r="AX1962" t="s">
        <v>74</v>
      </c>
      <c r="AY1962" t="s">
        <v>74</v>
      </c>
      <c r="AZ1962" t="s">
        <v>74</v>
      </c>
      <c r="BA1962" t="s">
        <v>74</v>
      </c>
      <c r="BB1962" t="s">
        <v>74</v>
      </c>
      <c r="BC1962" t="s">
        <v>74</v>
      </c>
      <c r="BD1962" t="s">
        <v>74</v>
      </c>
      <c r="BE1962" t="s">
        <v>7253</v>
      </c>
      <c r="BF1962" t="str">
        <f>HYPERLINK("http://dx.doi.org/10.1007/s00262-022-03213-5","http://dx.doi.org/10.1007/s00262-022-03213-5")</f>
        <v>http://dx.doi.org/10.1007/s00262-022-03213-5</v>
      </c>
      <c r="BG1962" t="s">
        <v>74</v>
      </c>
      <c r="BH1962" t="s">
        <v>7254</v>
      </c>
      <c r="BI1962" t="s">
        <v>74</v>
      </c>
      <c r="BJ1962" t="s">
        <v>7255</v>
      </c>
      <c r="BK1962" t="s">
        <v>117</v>
      </c>
      <c r="BL1962" t="s">
        <v>7255</v>
      </c>
      <c r="BM1962" t="s">
        <v>74</v>
      </c>
      <c r="BN1962">
        <v>35598195</v>
      </c>
      <c r="BO1962" t="s">
        <v>74</v>
      </c>
      <c r="BP1962" t="s">
        <v>74</v>
      </c>
      <c r="BQ1962" t="s">
        <v>74</v>
      </c>
      <c r="BR1962" t="s">
        <v>96</v>
      </c>
      <c r="BS1962" t="s">
        <v>7256</v>
      </c>
      <c r="BT1962" t="str">
        <f>HYPERLINK("https%3A%2F%2Fwww.webofscience.com%2Fwos%2Fwoscc%2Ffull-record%2FWOS:000800842600001","View Full Record in Web of Science")</f>
        <v>View Full Record in Web of Science</v>
      </c>
    </row>
    <row r="1963" spans="1:72" x14ac:dyDescent="0.15">
      <c r="A1963" t="s">
        <v>98</v>
      </c>
      <c r="B1963" t="s">
        <v>7538</v>
      </c>
      <c r="C1963" t="s">
        <v>74</v>
      </c>
      <c r="D1963" t="s">
        <v>74</v>
      </c>
      <c r="E1963" t="s">
        <v>74</v>
      </c>
      <c r="F1963" t="s">
        <v>7539</v>
      </c>
      <c r="G1963" t="s">
        <v>74</v>
      </c>
      <c r="H1963" t="s">
        <v>74</v>
      </c>
      <c r="I1963" t="s">
        <v>7540</v>
      </c>
      <c r="J1963" t="s">
        <v>7541</v>
      </c>
      <c r="K1963" t="s">
        <v>74</v>
      </c>
      <c r="L1963" t="s">
        <v>74</v>
      </c>
      <c r="M1963" t="s">
        <v>74</v>
      </c>
      <c r="N1963" t="s">
        <v>103</v>
      </c>
      <c r="O1963" t="s">
        <v>74</v>
      </c>
      <c r="P1963" t="s">
        <v>74</v>
      </c>
      <c r="Q1963" t="s">
        <v>74</v>
      </c>
      <c r="R1963" t="s">
        <v>74</v>
      </c>
      <c r="S1963" t="s">
        <v>74</v>
      </c>
      <c r="T1963" t="s">
        <v>7542</v>
      </c>
      <c r="U1963" t="s">
        <v>7543</v>
      </c>
      <c r="V1963" t="s">
        <v>7544</v>
      </c>
      <c r="W1963" t="s">
        <v>7545</v>
      </c>
      <c r="X1963" t="s">
        <v>7546</v>
      </c>
      <c r="Y1963" t="s">
        <v>7547</v>
      </c>
      <c r="Z1963" t="s">
        <v>7548</v>
      </c>
      <c r="AA1963" t="s">
        <v>7549</v>
      </c>
      <c r="AB1963" t="s">
        <v>7550</v>
      </c>
      <c r="AC1963" t="s">
        <v>74</v>
      </c>
      <c r="AD1963" t="s">
        <v>74</v>
      </c>
      <c r="AE1963" t="s">
        <v>74</v>
      </c>
      <c r="AF1963" t="s">
        <v>74</v>
      </c>
      <c r="AG1963">
        <v>32</v>
      </c>
      <c r="AH1963">
        <v>0</v>
      </c>
      <c r="AI1963">
        <v>0</v>
      </c>
      <c r="AJ1963">
        <v>0</v>
      </c>
      <c r="AK1963">
        <v>0</v>
      </c>
      <c r="AL1963" t="s">
        <v>74</v>
      </c>
      <c r="AM1963" t="s">
        <v>74</v>
      </c>
      <c r="AN1963" t="s">
        <v>74</v>
      </c>
      <c r="AO1963" t="s">
        <v>7551</v>
      </c>
      <c r="AP1963" t="s">
        <v>7552</v>
      </c>
      <c r="AQ1963" t="s">
        <v>74</v>
      </c>
      <c r="AR1963" t="s">
        <v>74</v>
      </c>
      <c r="AS1963" t="s">
        <v>74</v>
      </c>
      <c r="AT1963" t="s">
        <v>283</v>
      </c>
      <c r="AU1963">
        <v>2020</v>
      </c>
      <c r="AV1963">
        <v>250</v>
      </c>
      <c r="AW1963">
        <v>2</v>
      </c>
      <c r="AX1963" t="s">
        <v>74</v>
      </c>
      <c r="AY1963" t="s">
        <v>74</v>
      </c>
      <c r="AZ1963" t="s">
        <v>74</v>
      </c>
      <c r="BA1963" t="s">
        <v>74</v>
      </c>
      <c r="BB1963">
        <v>121</v>
      </c>
      <c r="BC1963">
        <v>128</v>
      </c>
      <c r="BD1963" t="s">
        <v>74</v>
      </c>
      <c r="BE1963" t="s">
        <v>7553</v>
      </c>
      <c r="BF1963" t="str">
        <f>HYPERLINK("http://dx.doi.org/10.1620/tjem.250.121","http://dx.doi.org/10.1620/tjem.250.121")</f>
        <v>http://dx.doi.org/10.1620/tjem.250.121</v>
      </c>
      <c r="BG1963" t="s">
        <v>74</v>
      </c>
      <c r="BH1963" t="s">
        <v>74</v>
      </c>
      <c r="BI1963" t="s">
        <v>74</v>
      </c>
      <c r="BJ1963" t="s">
        <v>4925</v>
      </c>
      <c r="BK1963" t="s">
        <v>117</v>
      </c>
      <c r="BL1963" t="s">
        <v>4926</v>
      </c>
      <c r="BM1963" t="s">
        <v>74</v>
      </c>
      <c r="BN1963">
        <v>32115494</v>
      </c>
      <c r="BO1963" t="s">
        <v>74</v>
      </c>
      <c r="BP1963" t="s">
        <v>74</v>
      </c>
      <c r="BQ1963" t="s">
        <v>74</v>
      </c>
      <c r="BR1963" t="s">
        <v>96</v>
      </c>
      <c r="BS1963" t="s">
        <v>7554</v>
      </c>
      <c r="BT1963" t="str">
        <f>HYPERLINK("https%3A%2F%2Fwww.webofscience.com%2Fwos%2Fwoscc%2Ffull-record%2FWOS:000521099500005","View Full Record in Web of Science")</f>
        <v>View Full Record in Web of Science</v>
      </c>
    </row>
    <row r="1964" spans="1:72" x14ac:dyDescent="0.15">
      <c r="A1964" t="s">
        <v>98</v>
      </c>
      <c r="B1964" t="s">
        <v>7603</v>
      </c>
      <c r="C1964" t="s">
        <v>74</v>
      </c>
      <c r="D1964" t="s">
        <v>74</v>
      </c>
      <c r="E1964" t="s">
        <v>74</v>
      </c>
      <c r="F1964" t="s">
        <v>7604</v>
      </c>
      <c r="G1964" t="s">
        <v>74</v>
      </c>
      <c r="H1964" t="s">
        <v>74</v>
      </c>
      <c r="I1964" t="s">
        <v>7605</v>
      </c>
      <c r="J1964" t="s">
        <v>7606</v>
      </c>
      <c r="K1964" t="s">
        <v>74</v>
      </c>
      <c r="L1964" t="s">
        <v>74</v>
      </c>
      <c r="M1964" t="s">
        <v>74</v>
      </c>
      <c r="N1964" t="s">
        <v>103</v>
      </c>
      <c r="O1964" t="s">
        <v>74</v>
      </c>
      <c r="P1964" t="s">
        <v>74</v>
      </c>
      <c r="Q1964" t="s">
        <v>74</v>
      </c>
      <c r="R1964" t="s">
        <v>74</v>
      </c>
      <c r="S1964" t="s">
        <v>74</v>
      </c>
      <c r="T1964" t="s">
        <v>7607</v>
      </c>
      <c r="U1964" t="s">
        <v>7608</v>
      </c>
      <c r="V1964" t="s">
        <v>7609</v>
      </c>
      <c r="W1964" t="s">
        <v>7610</v>
      </c>
      <c r="X1964" t="s">
        <v>7611</v>
      </c>
      <c r="Y1964" t="s">
        <v>7612</v>
      </c>
      <c r="Z1964" t="s">
        <v>7613</v>
      </c>
      <c r="AA1964" t="s">
        <v>7614</v>
      </c>
      <c r="AB1964" t="s">
        <v>7615</v>
      </c>
      <c r="AC1964" t="s">
        <v>74</v>
      </c>
      <c r="AD1964" t="s">
        <v>74</v>
      </c>
      <c r="AE1964" t="s">
        <v>74</v>
      </c>
      <c r="AF1964" t="s">
        <v>74</v>
      </c>
      <c r="AG1964">
        <v>24</v>
      </c>
      <c r="AH1964">
        <v>0</v>
      </c>
      <c r="AI1964">
        <v>0</v>
      </c>
      <c r="AJ1964">
        <v>1</v>
      </c>
      <c r="AK1964">
        <v>1</v>
      </c>
      <c r="AL1964" t="s">
        <v>74</v>
      </c>
      <c r="AM1964" t="s">
        <v>74</v>
      </c>
      <c r="AN1964" t="s">
        <v>74</v>
      </c>
      <c r="AO1964" t="s">
        <v>7616</v>
      </c>
      <c r="AP1964" t="s">
        <v>7617</v>
      </c>
      <c r="AQ1964" t="s">
        <v>74</v>
      </c>
      <c r="AR1964" t="s">
        <v>74</v>
      </c>
      <c r="AS1964" t="s">
        <v>74</v>
      </c>
      <c r="AT1964" t="s">
        <v>74</v>
      </c>
      <c r="AU1964">
        <v>2021</v>
      </c>
      <c r="AV1964">
        <v>17</v>
      </c>
      <c r="AW1964">
        <v>4</v>
      </c>
      <c r="AX1964" t="s">
        <v>74</v>
      </c>
      <c r="AY1964" t="s">
        <v>74</v>
      </c>
      <c r="AZ1964" t="s">
        <v>74</v>
      </c>
      <c r="BA1964" t="s">
        <v>74</v>
      </c>
      <c r="BB1964">
        <v>65</v>
      </c>
      <c r="BC1964">
        <v>75</v>
      </c>
      <c r="BD1964" t="s">
        <v>74</v>
      </c>
      <c r="BE1964" t="s">
        <v>7618</v>
      </c>
      <c r="BF1964" t="str">
        <f>HYPERLINK("http://dx.doi.org/10.17650/1726-9776-2021-17-4-65-75","http://dx.doi.org/10.17650/1726-9776-2021-17-4-65-75")</f>
        <v>http://dx.doi.org/10.17650/1726-9776-2021-17-4-65-75</v>
      </c>
      <c r="BG1964" t="s">
        <v>74</v>
      </c>
      <c r="BH1964" t="s">
        <v>74</v>
      </c>
      <c r="BI1964" t="s">
        <v>74</v>
      </c>
      <c r="BJ1964" t="s">
        <v>267</v>
      </c>
      <c r="BK1964" t="s">
        <v>467</v>
      </c>
      <c r="BL1964" t="s">
        <v>267</v>
      </c>
      <c r="BM1964" t="s">
        <v>74</v>
      </c>
      <c r="BN1964" t="s">
        <v>74</v>
      </c>
      <c r="BO1964" t="s">
        <v>74</v>
      </c>
      <c r="BP1964" t="s">
        <v>74</v>
      </c>
      <c r="BQ1964" t="s">
        <v>74</v>
      </c>
      <c r="BR1964" t="s">
        <v>96</v>
      </c>
      <c r="BS1964" t="s">
        <v>7619</v>
      </c>
      <c r="BT1964" t="str">
        <f>HYPERLINK("https%3A%2F%2Fwww.webofscience.com%2Fwos%2Fwoscc%2Ffull-record%2FWOS:000754411800006","View Full Record in Web of Science")</f>
        <v>View Full Record in Web of Science</v>
      </c>
    </row>
    <row r="1965" spans="1:72" x14ac:dyDescent="0.15">
      <c r="A1965" t="s">
        <v>98</v>
      </c>
      <c r="B1965" t="s">
        <v>7721</v>
      </c>
      <c r="C1965" t="s">
        <v>74</v>
      </c>
      <c r="D1965" t="s">
        <v>74</v>
      </c>
      <c r="E1965" t="s">
        <v>74</v>
      </c>
      <c r="F1965" t="s">
        <v>7722</v>
      </c>
      <c r="G1965" t="s">
        <v>74</v>
      </c>
      <c r="H1965" t="s">
        <v>74</v>
      </c>
      <c r="I1965" t="s">
        <v>7723</v>
      </c>
      <c r="J1965" t="s">
        <v>4828</v>
      </c>
      <c r="K1965" t="s">
        <v>74</v>
      </c>
      <c r="L1965" t="s">
        <v>74</v>
      </c>
      <c r="M1965" t="s">
        <v>74</v>
      </c>
      <c r="N1965" t="s">
        <v>103</v>
      </c>
      <c r="O1965" t="s">
        <v>74</v>
      </c>
      <c r="P1965" t="s">
        <v>74</v>
      </c>
      <c r="Q1965" t="s">
        <v>74</v>
      </c>
      <c r="R1965" t="s">
        <v>74</v>
      </c>
      <c r="S1965" t="s">
        <v>74</v>
      </c>
      <c r="T1965" t="s">
        <v>7724</v>
      </c>
      <c r="U1965" t="s">
        <v>7725</v>
      </c>
      <c r="V1965" t="s">
        <v>7726</v>
      </c>
      <c r="W1965" t="s">
        <v>7727</v>
      </c>
      <c r="X1965" t="s">
        <v>7728</v>
      </c>
      <c r="Y1965" t="s">
        <v>7729</v>
      </c>
      <c r="Z1965" t="s">
        <v>7730</v>
      </c>
      <c r="AA1965" t="s">
        <v>74</v>
      </c>
      <c r="AB1965" t="s">
        <v>74</v>
      </c>
      <c r="AC1965" t="s">
        <v>74</v>
      </c>
      <c r="AD1965" t="s">
        <v>74</v>
      </c>
      <c r="AE1965" t="s">
        <v>74</v>
      </c>
      <c r="AF1965" t="s">
        <v>74</v>
      </c>
      <c r="AG1965">
        <v>41</v>
      </c>
      <c r="AH1965">
        <v>0</v>
      </c>
      <c r="AI1965">
        <v>0</v>
      </c>
      <c r="AJ1965">
        <v>106</v>
      </c>
      <c r="AK1965">
        <v>106</v>
      </c>
      <c r="AL1965" t="s">
        <v>74</v>
      </c>
      <c r="AM1965" t="s">
        <v>74</v>
      </c>
      <c r="AN1965" t="s">
        <v>74</v>
      </c>
      <c r="AO1965" t="s">
        <v>4836</v>
      </c>
      <c r="AP1965" t="s">
        <v>4837</v>
      </c>
      <c r="AQ1965" t="s">
        <v>74</v>
      </c>
      <c r="AR1965" t="s">
        <v>74</v>
      </c>
      <c r="AS1965" t="s">
        <v>74</v>
      </c>
      <c r="AT1965" t="s">
        <v>828</v>
      </c>
      <c r="AU1965">
        <v>2022</v>
      </c>
      <c r="AV1965">
        <v>61</v>
      </c>
      <c r="AW1965">
        <v>19</v>
      </c>
      <c r="AX1965" t="s">
        <v>74</v>
      </c>
      <c r="AY1965" t="s">
        <v>74</v>
      </c>
      <c r="AZ1965" t="s">
        <v>74</v>
      </c>
      <c r="BA1965" t="s">
        <v>74</v>
      </c>
      <c r="BB1965" t="s">
        <v>74</v>
      </c>
      <c r="BC1965" t="s">
        <v>74</v>
      </c>
      <c r="BD1965" t="s">
        <v>7731</v>
      </c>
      <c r="BE1965" t="s">
        <v>7732</v>
      </c>
      <c r="BF1965" t="str">
        <f>HYPERLINK("http://dx.doi.org/10.1002/anie.202116932","http://dx.doi.org/10.1002/anie.202116932")</f>
        <v>http://dx.doi.org/10.1002/anie.202116932</v>
      </c>
      <c r="BG1965" t="s">
        <v>74</v>
      </c>
      <c r="BH1965" t="s">
        <v>6394</v>
      </c>
      <c r="BI1965" t="s">
        <v>74</v>
      </c>
      <c r="BJ1965" t="s">
        <v>1047</v>
      </c>
      <c r="BK1965" t="s">
        <v>117</v>
      </c>
      <c r="BL1965" t="s">
        <v>1048</v>
      </c>
      <c r="BM1965" t="s">
        <v>74</v>
      </c>
      <c r="BN1965">
        <v>35199894</v>
      </c>
      <c r="BO1965" t="s">
        <v>74</v>
      </c>
      <c r="BP1965" t="s">
        <v>74</v>
      </c>
      <c r="BQ1965" t="s">
        <v>74</v>
      </c>
      <c r="BR1965" t="s">
        <v>96</v>
      </c>
      <c r="BS1965" t="s">
        <v>7733</v>
      </c>
      <c r="BT1965" t="str">
        <f>HYPERLINK("https%3A%2F%2Fwww.webofscience.com%2Fwos%2Fwoscc%2Ffull-record%2FWOS:000767681000001","View Full Record in Web of Science")</f>
        <v>View Full Record in Web of Science</v>
      </c>
    </row>
    <row r="1966" spans="1:72" x14ac:dyDescent="0.15">
      <c r="A1966" t="s">
        <v>98</v>
      </c>
      <c r="B1966" t="s">
        <v>7783</v>
      </c>
      <c r="C1966" t="s">
        <v>74</v>
      </c>
      <c r="D1966" t="s">
        <v>74</v>
      </c>
      <c r="E1966" t="s">
        <v>74</v>
      </c>
      <c r="F1966" t="s">
        <v>7784</v>
      </c>
      <c r="G1966" t="s">
        <v>74</v>
      </c>
      <c r="H1966" t="s">
        <v>74</v>
      </c>
      <c r="I1966" t="s">
        <v>7785</v>
      </c>
      <c r="J1966" t="s">
        <v>817</v>
      </c>
      <c r="K1966" t="s">
        <v>74</v>
      </c>
      <c r="L1966" t="s">
        <v>74</v>
      </c>
      <c r="M1966" t="s">
        <v>74</v>
      </c>
      <c r="N1966" t="s">
        <v>103</v>
      </c>
      <c r="O1966" t="s">
        <v>74</v>
      </c>
      <c r="P1966" t="s">
        <v>74</v>
      </c>
      <c r="Q1966" t="s">
        <v>74</v>
      </c>
      <c r="R1966" t="s">
        <v>74</v>
      </c>
      <c r="S1966" t="s">
        <v>74</v>
      </c>
      <c r="T1966" t="s">
        <v>7786</v>
      </c>
      <c r="U1966" t="s">
        <v>7787</v>
      </c>
      <c r="V1966" t="s">
        <v>7788</v>
      </c>
      <c r="W1966" t="s">
        <v>7789</v>
      </c>
      <c r="X1966" t="s">
        <v>7790</v>
      </c>
      <c r="Y1966" t="s">
        <v>7791</v>
      </c>
      <c r="Z1966" t="s">
        <v>7792</v>
      </c>
      <c r="AA1966" t="s">
        <v>74</v>
      </c>
      <c r="AB1966" t="s">
        <v>7793</v>
      </c>
      <c r="AC1966" t="s">
        <v>74</v>
      </c>
      <c r="AD1966" t="s">
        <v>74</v>
      </c>
      <c r="AE1966" t="s">
        <v>74</v>
      </c>
      <c r="AF1966" t="s">
        <v>74</v>
      </c>
      <c r="AG1966">
        <v>73</v>
      </c>
      <c r="AH1966">
        <v>0</v>
      </c>
      <c r="AI1966">
        <v>0</v>
      </c>
      <c r="AJ1966">
        <v>3</v>
      </c>
      <c r="AK1966">
        <v>5</v>
      </c>
      <c r="AL1966" t="s">
        <v>74</v>
      </c>
      <c r="AM1966" t="s">
        <v>74</v>
      </c>
      <c r="AN1966" t="s">
        <v>74</v>
      </c>
      <c r="AO1966" t="s">
        <v>74</v>
      </c>
      <c r="AP1966" t="s">
        <v>827</v>
      </c>
      <c r="AQ1966" t="s">
        <v>74</v>
      </c>
      <c r="AR1966" t="s">
        <v>74</v>
      </c>
      <c r="AS1966" t="s">
        <v>74</v>
      </c>
      <c r="AT1966" t="s">
        <v>967</v>
      </c>
      <c r="AU1966">
        <v>2021</v>
      </c>
      <c r="AV1966">
        <v>22</v>
      </c>
      <c r="AW1966">
        <v>23</v>
      </c>
      <c r="AX1966" t="s">
        <v>74</v>
      </c>
      <c r="AY1966" t="s">
        <v>74</v>
      </c>
      <c r="AZ1966" t="s">
        <v>74</v>
      </c>
      <c r="BA1966" t="s">
        <v>74</v>
      </c>
      <c r="BB1966" t="s">
        <v>74</v>
      </c>
      <c r="BC1966" t="s">
        <v>74</v>
      </c>
      <c r="BD1966">
        <v>13029</v>
      </c>
      <c r="BE1966" t="s">
        <v>7794</v>
      </c>
      <c r="BF1966" t="str">
        <f>HYPERLINK("http://dx.doi.org/10.3390/ijms222313029","http://dx.doi.org/10.3390/ijms222313029")</f>
        <v>http://dx.doi.org/10.3390/ijms222313029</v>
      </c>
      <c r="BG1966" t="s">
        <v>74</v>
      </c>
      <c r="BH1966" t="s">
        <v>74</v>
      </c>
      <c r="BI1966" t="s">
        <v>74</v>
      </c>
      <c r="BJ1966" t="s">
        <v>830</v>
      </c>
      <c r="BK1966" t="s">
        <v>117</v>
      </c>
      <c r="BL1966" t="s">
        <v>831</v>
      </c>
      <c r="BM1966" t="s">
        <v>74</v>
      </c>
      <c r="BN1966">
        <v>34884834</v>
      </c>
      <c r="BO1966" t="s">
        <v>74</v>
      </c>
      <c r="BP1966" t="s">
        <v>74</v>
      </c>
      <c r="BQ1966" t="s">
        <v>74</v>
      </c>
      <c r="BR1966" t="s">
        <v>96</v>
      </c>
      <c r="BS1966" t="s">
        <v>7795</v>
      </c>
      <c r="BT1966" t="str">
        <f>HYPERLINK("https%3A%2F%2Fwww.webofscience.com%2Fwos%2Fwoscc%2Ffull-record%2FWOS:000735165600001","View Full Record in Web of Science")</f>
        <v>View Full Record in Web of Science</v>
      </c>
    </row>
    <row r="1967" spans="1:72" x14ac:dyDescent="0.15">
      <c r="A1967" t="s">
        <v>98</v>
      </c>
      <c r="B1967" t="s">
        <v>7959</v>
      </c>
      <c r="C1967" t="s">
        <v>74</v>
      </c>
      <c r="D1967" t="s">
        <v>74</v>
      </c>
      <c r="E1967" t="s">
        <v>74</v>
      </c>
      <c r="F1967" t="s">
        <v>7960</v>
      </c>
      <c r="G1967" t="s">
        <v>74</v>
      </c>
      <c r="H1967" t="s">
        <v>74</v>
      </c>
      <c r="I1967" t="s">
        <v>7961</v>
      </c>
      <c r="J1967" t="s">
        <v>7962</v>
      </c>
      <c r="K1967" t="s">
        <v>74</v>
      </c>
      <c r="L1967" t="s">
        <v>74</v>
      </c>
      <c r="M1967" t="s">
        <v>74</v>
      </c>
      <c r="N1967" t="s">
        <v>103</v>
      </c>
      <c r="O1967" t="s">
        <v>74</v>
      </c>
      <c r="P1967" t="s">
        <v>74</v>
      </c>
      <c r="Q1967" t="s">
        <v>74</v>
      </c>
      <c r="R1967" t="s">
        <v>74</v>
      </c>
      <c r="S1967" t="s">
        <v>74</v>
      </c>
      <c r="T1967" t="s">
        <v>74</v>
      </c>
      <c r="U1967" t="s">
        <v>7963</v>
      </c>
      <c r="V1967" t="s">
        <v>7964</v>
      </c>
      <c r="W1967" t="s">
        <v>7965</v>
      </c>
      <c r="X1967" t="s">
        <v>7966</v>
      </c>
      <c r="Y1967" t="s">
        <v>7967</v>
      </c>
      <c r="Z1967" t="s">
        <v>7968</v>
      </c>
      <c r="AA1967" t="s">
        <v>74</v>
      </c>
      <c r="AB1967" t="s">
        <v>7969</v>
      </c>
      <c r="AC1967" t="s">
        <v>74</v>
      </c>
      <c r="AD1967" t="s">
        <v>74</v>
      </c>
      <c r="AE1967" t="s">
        <v>74</v>
      </c>
      <c r="AF1967" t="s">
        <v>74</v>
      </c>
      <c r="AG1967">
        <v>50</v>
      </c>
      <c r="AH1967">
        <v>0</v>
      </c>
      <c r="AI1967">
        <v>0</v>
      </c>
      <c r="AJ1967">
        <v>1</v>
      </c>
      <c r="AK1967">
        <v>1</v>
      </c>
      <c r="AL1967" t="s">
        <v>74</v>
      </c>
      <c r="AM1967" t="s">
        <v>74</v>
      </c>
      <c r="AN1967" t="s">
        <v>74</v>
      </c>
      <c r="AO1967" t="s">
        <v>74</v>
      </c>
      <c r="AP1967" t="s">
        <v>7970</v>
      </c>
      <c r="AQ1967" t="s">
        <v>74</v>
      </c>
      <c r="AR1967" t="s">
        <v>74</v>
      </c>
      <c r="AS1967" t="s">
        <v>74</v>
      </c>
      <c r="AT1967" t="s">
        <v>5325</v>
      </c>
      <c r="AU1967">
        <v>2022</v>
      </c>
      <c r="AV1967">
        <v>5</v>
      </c>
      <c r="AW1967">
        <v>1</v>
      </c>
      <c r="AX1967" t="s">
        <v>74</v>
      </c>
      <c r="AY1967" t="s">
        <v>74</v>
      </c>
      <c r="AZ1967" t="s">
        <v>74</v>
      </c>
      <c r="BA1967" t="s">
        <v>74</v>
      </c>
      <c r="BB1967" t="s">
        <v>74</v>
      </c>
      <c r="BC1967" t="s">
        <v>74</v>
      </c>
      <c r="BD1967">
        <v>485</v>
      </c>
      <c r="BE1967" t="s">
        <v>7971</v>
      </c>
      <c r="BF1967" t="str">
        <f>HYPERLINK("http://dx.doi.org/10.1038/s42003-022-03440-7","http://dx.doi.org/10.1038/s42003-022-03440-7")</f>
        <v>http://dx.doi.org/10.1038/s42003-022-03440-7</v>
      </c>
      <c r="BG1967" t="s">
        <v>74</v>
      </c>
      <c r="BH1967" t="s">
        <v>74</v>
      </c>
      <c r="BI1967" t="s">
        <v>74</v>
      </c>
      <c r="BJ1967" t="s">
        <v>7972</v>
      </c>
      <c r="BK1967" t="s">
        <v>117</v>
      </c>
      <c r="BL1967" t="s">
        <v>7973</v>
      </c>
      <c r="BM1967" t="s">
        <v>74</v>
      </c>
      <c r="BN1967">
        <v>35590035</v>
      </c>
      <c r="BO1967" t="s">
        <v>74</v>
      </c>
      <c r="BP1967" t="s">
        <v>74</v>
      </c>
      <c r="BQ1967" t="s">
        <v>74</v>
      </c>
      <c r="BR1967" t="s">
        <v>96</v>
      </c>
      <c r="BS1967" t="s">
        <v>7974</v>
      </c>
      <c r="BT1967" t="str">
        <f>HYPERLINK("https%3A%2F%2Fwww.webofscience.com%2Fwos%2Fwoscc%2Ffull-record%2FWOS:000798927300004","View Full Record in Web of Science")</f>
        <v>View Full Record in Web of Science</v>
      </c>
    </row>
    <row r="1968" spans="1:72" x14ac:dyDescent="0.15">
      <c r="A1968" t="s">
        <v>98</v>
      </c>
      <c r="B1968" t="s">
        <v>8067</v>
      </c>
      <c r="C1968" t="s">
        <v>74</v>
      </c>
      <c r="D1968" t="s">
        <v>74</v>
      </c>
      <c r="E1968" t="s">
        <v>74</v>
      </c>
      <c r="F1968" t="s">
        <v>8068</v>
      </c>
      <c r="G1968" t="s">
        <v>74</v>
      </c>
      <c r="H1968" t="s">
        <v>74</v>
      </c>
      <c r="I1968" t="s">
        <v>8069</v>
      </c>
      <c r="J1968" t="s">
        <v>817</v>
      </c>
      <c r="K1968" t="s">
        <v>74</v>
      </c>
      <c r="L1968" t="s">
        <v>74</v>
      </c>
      <c r="M1968" t="s">
        <v>74</v>
      </c>
      <c r="N1968" t="s">
        <v>103</v>
      </c>
      <c r="O1968" t="s">
        <v>74</v>
      </c>
      <c r="P1968" t="s">
        <v>74</v>
      </c>
      <c r="Q1968" t="s">
        <v>74</v>
      </c>
      <c r="R1968" t="s">
        <v>74</v>
      </c>
      <c r="S1968" t="s">
        <v>74</v>
      </c>
      <c r="T1968" t="s">
        <v>8070</v>
      </c>
      <c r="U1968" t="s">
        <v>8071</v>
      </c>
      <c r="V1968" t="s">
        <v>8072</v>
      </c>
      <c r="W1968" t="s">
        <v>8073</v>
      </c>
      <c r="X1968" t="s">
        <v>8074</v>
      </c>
      <c r="Y1968" t="s">
        <v>8075</v>
      </c>
      <c r="Z1968" t="s">
        <v>8076</v>
      </c>
      <c r="AA1968" t="s">
        <v>8077</v>
      </c>
      <c r="AB1968" t="s">
        <v>8078</v>
      </c>
      <c r="AC1968" t="s">
        <v>74</v>
      </c>
      <c r="AD1968" t="s">
        <v>74</v>
      </c>
      <c r="AE1968" t="s">
        <v>74</v>
      </c>
      <c r="AF1968" t="s">
        <v>74</v>
      </c>
      <c r="AG1968">
        <v>97</v>
      </c>
      <c r="AH1968">
        <v>0</v>
      </c>
      <c r="AI1968">
        <v>0</v>
      </c>
      <c r="AJ1968">
        <v>1</v>
      </c>
      <c r="AK1968">
        <v>1</v>
      </c>
      <c r="AL1968" t="s">
        <v>74</v>
      </c>
      <c r="AM1968" t="s">
        <v>74</v>
      </c>
      <c r="AN1968" t="s">
        <v>74</v>
      </c>
      <c r="AO1968" t="s">
        <v>74</v>
      </c>
      <c r="AP1968" t="s">
        <v>827</v>
      </c>
      <c r="AQ1968" t="s">
        <v>74</v>
      </c>
      <c r="AR1968" t="s">
        <v>74</v>
      </c>
      <c r="AS1968" t="s">
        <v>74</v>
      </c>
      <c r="AT1968" t="s">
        <v>565</v>
      </c>
      <c r="AU1968">
        <v>2022</v>
      </c>
      <c r="AV1968">
        <v>23</v>
      </c>
      <c r="AW1968">
        <v>6</v>
      </c>
      <c r="AX1968" t="s">
        <v>74</v>
      </c>
      <c r="AY1968" t="s">
        <v>74</v>
      </c>
      <c r="AZ1968" t="s">
        <v>74</v>
      </c>
      <c r="BA1968" t="s">
        <v>74</v>
      </c>
      <c r="BB1968" t="s">
        <v>74</v>
      </c>
      <c r="BC1968" t="s">
        <v>74</v>
      </c>
      <c r="BD1968">
        <v>3256</v>
      </c>
      <c r="BE1968" t="s">
        <v>8079</v>
      </c>
      <c r="BF1968" t="str">
        <f>HYPERLINK("http://dx.doi.org/10.3390/ijms23063256","http://dx.doi.org/10.3390/ijms23063256")</f>
        <v>http://dx.doi.org/10.3390/ijms23063256</v>
      </c>
      <c r="BG1968" t="s">
        <v>74</v>
      </c>
      <c r="BH1968" t="s">
        <v>74</v>
      </c>
      <c r="BI1968" t="s">
        <v>74</v>
      </c>
      <c r="BJ1968" t="s">
        <v>830</v>
      </c>
      <c r="BK1968" t="s">
        <v>117</v>
      </c>
      <c r="BL1968" t="s">
        <v>831</v>
      </c>
      <c r="BM1968" t="s">
        <v>74</v>
      </c>
      <c r="BN1968">
        <v>35328679</v>
      </c>
      <c r="BO1968" t="s">
        <v>74</v>
      </c>
      <c r="BP1968" t="s">
        <v>74</v>
      </c>
      <c r="BQ1968" t="s">
        <v>74</v>
      </c>
      <c r="BR1968" t="s">
        <v>96</v>
      </c>
      <c r="BS1968" t="s">
        <v>8080</v>
      </c>
      <c r="BT1968" t="str">
        <f>HYPERLINK("https%3A%2F%2Fwww.webofscience.com%2Fwos%2Fwoscc%2Ffull-record%2FWOS:000775326300001","View Full Record in Web of Science")</f>
        <v>View Full Record in Web of Science</v>
      </c>
    </row>
    <row r="1969" spans="1:72" x14ac:dyDescent="0.15">
      <c r="A1969" t="s">
        <v>98</v>
      </c>
      <c r="B1969" t="s">
        <v>8106</v>
      </c>
      <c r="C1969" t="s">
        <v>74</v>
      </c>
      <c r="D1969" t="s">
        <v>74</v>
      </c>
      <c r="E1969" t="s">
        <v>74</v>
      </c>
      <c r="F1969" t="s">
        <v>8107</v>
      </c>
      <c r="G1969" t="s">
        <v>74</v>
      </c>
      <c r="H1969" t="s">
        <v>74</v>
      </c>
      <c r="I1969" t="s">
        <v>8108</v>
      </c>
      <c r="J1969" t="s">
        <v>8109</v>
      </c>
      <c r="K1969" t="s">
        <v>74</v>
      </c>
      <c r="L1969" t="s">
        <v>74</v>
      </c>
      <c r="M1969" t="s">
        <v>74</v>
      </c>
      <c r="N1969" t="s">
        <v>103</v>
      </c>
      <c r="O1969" t="s">
        <v>74</v>
      </c>
      <c r="P1969" t="s">
        <v>74</v>
      </c>
      <c r="Q1969" t="s">
        <v>74</v>
      </c>
      <c r="R1969" t="s">
        <v>74</v>
      </c>
      <c r="S1969" t="s">
        <v>74</v>
      </c>
      <c r="T1969" t="s">
        <v>8110</v>
      </c>
      <c r="U1969" t="s">
        <v>8111</v>
      </c>
      <c r="V1969" t="s">
        <v>8112</v>
      </c>
      <c r="W1969" t="s">
        <v>8113</v>
      </c>
      <c r="X1969" t="s">
        <v>8114</v>
      </c>
      <c r="Y1969" t="s">
        <v>8115</v>
      </c>
      <c r="Z1969" t="s">
        <v>8116</v>
      </c>
      <c r="AA1969" t="s">
        <v>74</v>
      </c>
      <c r="AB1969" t="s">
        <v>74</v>
      </c>
      <c r="AC1969" t="s">
        <v>74</v>
      </c>
      <c r="AD1969" t="s">
        <v>74</v>
      </c>
      <c r="AE1969" t="s">
        <v>74</v>
      </c>
      <c r="AF1969" t="s">
        <v>74</v>
      </c>
      <c r="AG1969">
        <v>42</v>
      </c>
      <c r="AH1969">
        <v>0</v>
      </c>
      <c r="AI1969">
        <v>0</v>
      </c>
      <c r="AJ1969">
        <v>0</v>
      </c>
      <c r="AK1969">
        <v>0</v>
      </c>
      <c r="AL1969" t="s">
        <v>74</v>
      </c>
      <c r="AM1969" t="s">
        <v>74</v>
      </c>
      <c r="AN1969" t="s">
        <v>74</v>
      </c>
      <c r="AO1969" t="s">
        <v>8117</v>
      </c>
      <c r="AP1969" t="s">
        <v>74</v>
      </c>
      <c r="AQ1969" t="s">
        <v>74</v>
      </c>
      <c r="AR1969" t="s">
        <v>74</v>
      </c>
      <c r="AS1969" t="s">
        <v>74</v>
      </c>
      <c r="AT1969" t="s">
        <v>614</v>
      </c>
      <c r="AU1969">
        <v>2022</v>
      </c>
      <c r="AV1969">
        <v>135</v>
      </c>
      <c r="AW1969" t="s">
        <v>74</v>
      </c>
      <c r="AX1969" t="s">
        <v>74</v>
      </c>
      <c r="AY1969" t="s">
        <v>74</v>
      </c>
      <c r="AZ1969" t="s">
        <v>74</v>
      </c>
      <c r="BA1969" t="s">
        <v>74</v>
      </c>
      <c r="BB1969" t="s">
        <v>74</v>
      </c>
      <c r="BC1969" t="s">
        <v>74</v>
      </c>
      <c r="BD1969">
        <v>102213</v>
      </c>
      <c r="BE1969" t="s">
        <v>8118</v>
      </c>
      <c r="BF1969" t="str">
        <f>HYPERLINK("http://dx.doi.org/10.1016/j.tube.2022.102213","http://dx.doi.org/10.1016/j.tube.2022.102213")</f>
        <v>http://dx.doi.org/10.1016/j.tube.2022.102213</v>
      </c>
      <c r="BG1969" t="s">
        <v>74</v>
      </c>
      <c r="BH1969" t="s">
        <v>74</v>
      </c>
      <c r="BI1969" t="s">
        <v>74</v>
      </c>
      <c r="BJ1969" t="s">
        <v>8119</v>
      </c>
      <c r="BK1969" t="s">
        <v>117</v>
      </c>
      <c r="BL1969" t="s">
        <v>8119</v>
      </c>
      <c r="BM1969" t="s">
        <v>74</v>
      </c>
      <c r="BN1969">
        <v>35696959</v>
      </c>
      <c r="BO1969" t="s">
        <v>74</v>
      </c>
      <c r="BP1969" t="s">
        <v>74</v>
      </c>
      <c r="BQ1969" t="s">
        <v>74</v>
      </c>
      <c r="BR1969" t="s">
        <v>96</v>
      </c>
      <c r="BS1969" t="s">
        <v>8120</v>
      </c>
      <c r="BT1969" t="str">
        <f>HYPERLINK("https%3A%2F%2Fwww.webofscience.com%2Fwos%2Fwoscc%2Ffull-record%2FWOS:000812837000002","View Full Record in Web of Science")</f>
        <v>View Full Record in Web of Science</v>
      </c>
    </row>
    <row r="1970" spans="1:72" x14ac:dyDescent="0.15">
      <c r="A1970" t="s">
        <v>98</v>
      </c>
      <c r="B1970" t="s">
        <v>8235</v>
      </c>
      <c r="C1970" t="s">
        <v>74</v>
      </c>
      <c r="D1970" t="s">
        <v>74</v>
      </c>
      <c r="E1970" t="s">
        <v>74</v>
      </c>
      <c r="F1970" t="s">
        <v>8236</v>
      </c>
      <c r="G1970" t="s">
        <v>74</v>
      </c>
      <c r="H1970" t="s">
        <v>74</v>
      </c>
      <c r="I1970" t="s">
        <v>8237</v>
      </c>
      <c r="J1970" t="s">
        <v>8238</v>
      </c>
      <c r="K1970" t="s">
        <v>74</v>
      </c>
      <c r="L1970" t="s">
        <v>74</v>
      </c>
      <c r="M1970" t="s">
        <v>74</v>
      </c>
      <c r="N1970" t="s">
        <v>103</v>
      </c>
      <c r="O1970" t="s">
        <v>74</v>
      </c>
      <c r="P1970" t="s">
        <v>74</v>
      </c>
      <c r="Q1970" t="s">
        <v>74</v>
      </c>
      <c r="R1970" t="s">
        <v>74</v>
      </c>
      <c r="S1970" t="s">
        <v>74</v>
      </c>
      <c r="T1970" t="s">
        <v>8239</v>
      </c>
      <c r="U1970" t="s">
        <v>8240</v>
      </c>
      <c r="V1970" t="s">
        <v>8241</v>
      </c>
      <c r="W1970" t="s">
        <v>8242</v>
      </c>
      <c r="X1970" t="s">
        <v>8243</v>
      </c>
      <c r="Y1970" t="s">
        <v>8244</v>
      </c>
      <c r="Z1970" t="s">
        <v>8245</v>
      </c>
      <c r="AA1970" t="s">
        <v>4792</v>
      </c>
      <c r="AB1970" t="s">
        <v>8246</v>
      </c>
      <c r="AC1970" t="s">
        <v>74</v>
      </c>
      <c r="AD1970" t="s">
        <v>74</v>
      </c>
      <c r="AE1970" t="s">
        <v>74</v>
      </c>
      <c r="AF1970" t="s">
        <v>74</v>
      </c>
      <c r="AG1970">
        <v>67</v>
      </c>
      <c r="AH1970">
        <v>0</v>
      </c>
      <c r="AI1970">
        <v>0</v>
      </c>
      <c r="AJ1970">
        <v>4</v>
      </c>
      <c r="AK1970">
        <v>6</v>
      </c>
      <c r="AL1970" t="s">
        <v>74</v>
      </c>
      <c r="AM1970" t="s">
        <v>74</v>
      </c>
      <c r="AN1970" t="s">
        <v>74</v>
      </c>
      <c r="AO1970" t="s">
        <v>8247</v>
      </c>
      <c r="AP1970" t="s">
        <v>74</v>
      </c>
      <c r="AQ1970" t="s">
        <v>74</v>
      </c>
      <c r="AR1970" t="s">
        <v>74</v>
      </c>
      <c r="AS1970" t="s">
        <v>74</v>
      </c>
      <c r="AT1970" t="s">
        <v>967</v>
      </c>
      <c r="AU1970">
        <v>2021</v>
      </c>
      <c r="AV1970">
        <v>9</v>
      </c>
      <c r="AW1970">
        <v>3</v>
      </c>
      <c r="AX1970" t="s">
        <v>74</v>
      </c>
      <c r="AY1970" t="s">
        <v>74</v>
      </c>
      <c r="AZ1970" t="s">
        <v>74</v>
      </c>
      <c r="BA1970" t="s">
        <v>74</v>
      </c>
      <c r="BB1970" t="s">
        <v>74</v>
      </c>
      <c r="BC1970" t="s">
        <v>74</v>
      </c>
      <c r="BD1970" t="s">
        <v>8248</v>
      </c>
      <c r="BE1970" t="s">
        <v>8249</v>
      </c>
      <c r="BF1970" t="str">
        <f>HYPERLINK("http://dx.doi.org/10.1128/Spectrum.01273-21","http://dx.doi.org/10.1128/Spectrum.01273-21")</f>
        <v>http://dx.doi.org/10.1128/Spectrum.01273-21</v>
      </c>
      <c r="BG1970" t="s">
        <v>74</v>
      </c>
      <c r="BH1970" t="s">
        <v>74</v>
      </c>
      <c r="BI1970" t="s">
        <v>74</v>
      </c>
      <c r="BJ1970" t="s">
        <v>898</v>
      </c>
      <c r="BK1970" t="s">
        <v>117</v>
      </c>
      <c r="BL1970" t="s">
        <v>898</v>
      </c>
      <c r="BM1970" t="s">
        <v>74</v>
      </c>
      <c r="BN1970">
        <v>34937167</v>
      </c>
      <c r="BO1970" t="s">
        <v>74</v>
      </c>
      <c r="BP1970" t="s">
        <v>74</v>
      </c>
      <c r="BQ1970" t="s">
        <v>74</v>
      </c>
      <c r="BR1970" t="s">
        <v>96</v>
      </c>
      <c r="BS1970" t="s">
        <v>8250</v>
      </c>
      <c r="BT1970" t="str">
        <f>HYPERLINK("https%3A%2F%2Fwww.webofscience.com%2Fwos%2Fwoscc%2Ffull-record%2FWOS:000736124700120","View Full Record in Web of Science")</f>
        <v>View Full Record in Web of Science</v>
      </c>
    </row>
    <row r="1971" spans="1:72" x14ac:dyDescent="0.15">
      <c r="A1971" t="s">
        <v>98</v>
      </c>
      <c r="B1971" t="s">
        <v>8283</v>
      </c>
      <c r="C1971" t="s">
        <v>74</v>
      </c>
      <c r="D1971" t="s">
        <v>74</v>
      </c>
      <c r="E1971" t="s">
        <v>74</v>
      </c>
      <c r="F1971" t="s">
        <v>8284</v>
      </c>
      <c r="G1971" t="s">
        <v>74</v>
      </c>
      <c r="H1971" t="s">
        <v>74</v>
      </c>
      <c r="I1971" t="s">
        <v>8285</v>
      </c>
      <c r="J1971" t="s">
        <v>418</v>
      </c>
      <c r="K1971" t="s">
        <v>74</v>
      </c>
      <c r="L1971" t="s">
        <v>74</v>
      </c>
      <c r="M1971" t="s">
        <v>74</v>
      </c>
      <c r="N1971" t="s">
        <v>103</v>
      </c>
      <c r="O1971" t="s">
        <v>74</v>
      </c>
      <c r="P1971" t="s">
        <v>74</v>
      </c>
      <c r="Q1971" t="s">
        <v>74</v>
      </c>
      <c r="R1971" t="s">
        <v>74</v>
      </c>
      <c r="S1971" t="s">
        <v>74</v>
      </c>
      <c r="T1971" t="s">
        <v>74</v>
      </c>
      <c r="U1971" t="s">
        <v>1036</v>
      </c>
      <c r="V1971" t="s">
        <v>8286</v>
      </c>
      <c r="W1971" t="s">
        <v>8287</v>
      </c>
      <c r="X1971" t="s">
        <v>2541</v>
      </c>
      <c r="Y1971" t="s">
        <v>8288</v>
      </c>
      <c r="Z1971" t="s">
        <v>8289</v>
      </c>
      <c r="AA1971" t="s">
        <v>74</v>
      </c>
      <c r="AB1971" t="s">
        <v>74</v>
      </c>
      <c r="AC1971" t="s">
        <v>74</v>
      </c>
      <c r="AD1971" t="s">
        <v>74</v>
      </c>
      <c r="AE1971" t="s">
        <v>74</v>
      </c>
      <c r="AF1971" t="s">
        <v>74</v>
      </c>
      <c r="AG1971">
        <v>19</v>
      </c>
      <c r="AH1971">
        <v>0</v>
      </c>
      <c r="AI1971">
        <v>0</v>
      </c>
      <c r="AJ1971">
        <v>0</v>
      </c>
      <c r="AK1971">
        <v>2</v>
      </c>
      <c r="AL1971" t="s">
        <v>74</v>
      </c>
      <c r="AM1971" t="s">
        <v>74</v>
      </c>
      <c r="AN1971" t="s">
        <v>74</v>
      </c>
      <c r="AO1971" t="s">
        <v>428</v>
      </c>
      <c r="AP1971" t="s">
        <v>74</v>
      </c>
      <c r="AQ1971" t="s">
        <v>74</v>
      </c>
      <c r="AR1971" t="s">
        <v>74</v>
      </c>
      <c r="AS1971" t="s">
        <v>74</v>
      </c>
      <c r="AT1971" t="s">
        <v>114</v>
      </c>
      <c r="AU1971">
        <v>2022</v>
      </c>
      <c r="AV1971" t="s">
        <v>74</v>
      </c>
      <c r="AW1971">
        <v>179</v>
      </c>
      <c r="AX1971" t="s">
        <v>74</v>
      </c>
      <c r="AY1971" t="s">
        <v>74</v>
      </c>
      <c r="AZ1971" t="s">
        <v>74</v>
      </c>
      <c r="BA1971" t="s">
        <v>74</v>
      </c>
      <c r="BB1971" t="s">
        <v>74</v>
      </c>
      <c r="BC1971" t="s">
        <v>74</v>
      </c>
      <c r="BD1971" t="s">
        <v>8290</v>
      </c>
      <c r="BE1971" t="s">
        <v>8291</v>
      </c>
      <c r="BF1971" t="str">
        <f>HYPERLINK("http://dx.doi.org/10.3791/62988","http://dx.doi.org/10.3791/62988")</f>
        <v>http://dx.doi.org/10.3791/62988</v>
      </c>
      <c r="BG1971" t="s">
        <v>74</v>
      </c>
      <c r="BH1971" t="s">
        <v>74</v>
      </c>
      <c r="BI1971" t="s">
        <v>74</v>
      </c>
      <c r="BJ1971" t="s">
        <v>152</v>
      </c>
      <c r="BK1971" t="s">
        <v>117</v>
      </c>
      <c r="BL1971" t="s">
        <v>153</v>
      </c>
      <c r="BM1971" t="s">
        <v>74</v>
      </c>
      <c r="BN1971">
        <v>35068480</v>
      </c>
      <c r="BO1971" t="s">
        <v>74</v>
      </c>
      <c r="BP1971" t="s">
        <v>74</v>
      </c>
      <c r="BQ1971" t="s">
        <v>74</v>
      </c>
      <c r="BR1971" t="s">
        <v>96</v>
      </c>
      <c r="BS1971" t="s">
        <v>8292</v>
      </c>
      <c r="BT1971" t="str">
        <f>HYPERLINK("https%3A%2F%2Fwww.webofscience.com%2Fwos%2Fwoscc%2Ffull-record%2FWOS:000798949800038","View Full Record in Web of Science")</f>
        <v>View Full Record in Web of Science</v>
      </c>
    </row>
    <row r="1972" spans="1:72" x14ac:dyDescent="0.15">
      <c r="A1972" t="s">
        <v>98</v>
      </c>
      <c r="B1972" t="s">
        <v>8370</v>
      </c>
      <c r="C1972" t="s">
        <v>74</v>
      </c>
      <c r="D1972" t="s">
        <v>74</v>
      </c>
      <c r="E1972" t="s">
        <v>74</v>
      </c>
      <c r="F1972" t="s">
        <v>8371</v>
      </c>
      <c r="G1972" t="s">
        <v>74</v>
      </c>
      <c r="H1972" t="s">
        <v>74</v>
      </c>
      <c r="I1972" t="s">
        <v>8372</v>
      </c>
      <c r="J1972" t="s">
        <v>3650</v>
      </c>
      <c r="K1972" t="s">
        <v>74</v>
      </c>
      <c r="L1972" t="s">
        <v>74</v>
      </c>
      <c r="M1972" t="s">
        <v>74</v>
      </c>
      <c r="N1972" t="s">
        <v>103</v>
      </c>
      <c r="O1972" t="s">
        <v>74</v>
      </c>
      <c r="P1972" t="s">
        <v>74</v>
      </c>
      <c r="Q1972" t="s">
        <v>74</v>
      </c>
      <c r="R1972" t="s">
        <v>74</v>
      </c>
      <c r="S1972" t="s">
        <v>74</v>
      </c>
      <c r="T1972" t="s">
        <v>8373</v>
      </c>
      <c r="U1972" t="s">
        <v>8374</v>
      </c>
      <c r="V1972" t="s">
        <v>8375</v>
      </c>
      <c r="W1972" t="s">
        <v>8376</v>
      </c>
      <c r="X1972" t="s">
        <v>8377</v>
      </c>
      <c r="Y1972" t="s">
        <v>8378</v>
      </c>
      <c r="Z1972" t="s">
        <v>8379</v>
      </c>
      <c r="AA1972" t="s">
        <v>74</v>
      </c>
      <c r="AB1972" t="s">
        <v>74</v>
      </c>
      <c r="AC1972" t="s">
        <v>74</v>
      </c>
      <c r="AD1972" t="s">
        <v>74</v>
      </c>
      <c r="AE1972" t="s">
        <v>74</v>
      </c>
      <c r="AF1972" t="s">
        <v>74</v>
      </c>
      <c r="AG1972">
        <v>30</v>
      </c>
      <c r="AH1972">
        <v>0</v>
      </c>
      <c r="AI1972">
        <v>0</v>
      </c>
      <c r="AJ1972">
        <v>5</v>
      </c>
      <c r="AK1972">
        <v>5</v>
      </c>
      <c r="AL1972" t="s">
        <v>74</v>
      </c>
      <c r="AM1972" t="s">
        <v>74</v>
      </c>
      <c r="AN1972" t="s">
        <v>74</v>
      </c>
      <c r="AO1972" t="s">
        <v>74</v>
      </c>
      <c r="AP1972" t="s">
        <v>3659</v>
      </c>
      <c r="AQ1972" t="s">
        <v>74</v>
      </c>
      <c r="AR1972" t="s">
        <v>74</v>
      </c>
      <c r="AS1972" t="s">
        <v>74</v>
      </c>
      <c r="AT1972" t="s">
        <v>1116</v>
      </c>
      <c r="AU1972">
        <v>2022</v>
      </c>
      <c r="AV1972">
        <v>351</v>
      </c>
      <c r="AW1972" t="s">
        <v>74</v>
      </c>
      <c r="AX1972" t="s">
        <v>74</v>
      </c>
      <c r="AY1972" t="s">
        <v>74</v>
      </c>
      <c r="AZ1972" t="s">
        <v>74</v>
      </c>
      <c r="BA1972" t="s">
        <v>74</v>
      </c>
      <c r="BB1972" t="s">
        <v>74</v>
      </c>
      <c r="BC1972" t="s">
        <v>74</v>
      </c>
      <c r="BD1972">
        <v>130893</v>
      </c>
      <c r="BE1972" t="s">
        <v>8380</v>
      </c>
      <c r="BF1972" t="str">
        <f>HYPERLINK("http://dx.doi.org/10.1016/j.snb.2021.130893","http://dx.doi.org/10.1016/j.snb.2021.130893")</f>
        <v>http://dx.doi.org/10.1016/j.snb.2021.130893</v>
      </c>
      <c r="BG1972" t="s">
        <v>74</v>
      </c>
      <c r="BH1972" t="s">
        <v>74</v>
      </c>
      <c r="BI1972" t="s">
        <v>74</v>
      </c>
      <c r="BJ1972" t="s">
        <v>3663</v>
      </c>
      <c r="BK1972" t="s">
        <v>117</v>
      </c>
      <c r="BL1972" t="s">
        <v>3664</v>
      </c>
      <c r="BM1972" t="s">
        <v>74</v>
      </c>
      <c r="BN1972" t="s">
        <v>74</v>
      </c>
      <c r="BO1972" t="s">
        <v>74</v>
      </c>
      <c r="BP1972" t="s">
        <v>74</v>
      </c>
      <c r="BQ1972" t="s">
        <v>74</v>
      </c>
      <c r="BR1972" t="s">
        <v>96</v>
      </c>
      <c r="BS1972" t="s">
        <v>8381</v>
      </c>
      <c r="BT1972" t="str">
        <f>HYPERLINK("https%3A%2F%2Fwww.webofscience.com%2Fwos%2Fwoscc%2Ffull-record%2FWOS:000823049300003","View Full Record in Web of Science")</f>
        <v>View Full Record in Web of Science</v>
      </c>
    </row>
    <row r="1973" spans="1:72" x14ac:dyDescent="0.15">
      <c r="A1973" t="s">
        <v>98</v>
      </c>
      <c r="B1973" t="s">
        <v>8824</v>
      </c>
      <c r="C1973" t="s">
        <v>74</v>
      </c>
      <c r="D1973" t="s">
        <v>74</v>
      </c>
      <c r="E1973" t="s">
        <v>74</v>
      </c>
      <c r="F1973" t="s">
        <v>8825</v>
      </c>
      <c r="G1973" t="s">
        <v>74</v>
      </c>
      <c r="H1973" t="s">
        <v>74</v>
      </c>
      <c r="I1973" t="s">
        <v>8826</v>
      </c>
      <c r="J1973" t="s">
        <v>4486</v>
      </c>
      <c r="K1973" t="s">
        <v>74</v>
      </c>
      <c r="L1973" t="s">
        <v>74</v>
      </c>
      <c r="M1973" t="s">
        <v>74</v>
      </c>
      <c r="N1973" t="s">
        <v>103</v>
      </c>
      <c r="O1973" t="s">
        <v>74</v>
      </c>
      <c r="P1973" t="s">
        <v>74</v>
      </c>
      <c r="Q1973" t="s">
        <v>74</v>
      </c>
      <c r="R1973" t="s">
        <v>74</v>
      </c>
      <c r="S1973" t="s">
        <v>74</v>
      </c>
      <c r="T1973" t="s">
        <v>74</v>
      </c>
      <c r="U1973" t="s">
        <v>8827</v>
      </c>
      <c r="V1973" t="s">
        <v>8828</v>
      </c>
      <c r="W1973" t="s">
        <v>8829</v>
      </c>
      <c r="X1973" t="s">
        <v>8830</v>
      </c>
      <c r="Y1973" t="s">
        <v>8831</v>
      </c>
      <c r="Z1973" t="s">
        <v>8832</v>
      </c>
      <c r="AA1973" t="s">
        <v>74</v>
      </c>
      <c r="AB1973" t="s">
        <v>8833</v>
      </c>
      <c r="AC1973" t="s">
        <v>74</v>
      </c>
      <c r="AD1973" t="s">
        <v>74</v>
      </c>
      <c r="AE1973" t="s">
        <v>74</v>
      </c>
      <c r="AF1973" t="s">
        <v>74</v>
      </c>
      <c r="AG1973">
        <v>35</v>
      </c>
      <c r="AH1973">
        <v>0</v>
      </c>
      <c r="AI1973">
        <v>0</v>
      </c>
      <c r="AJ1973">
        <v>12</v>
      </c>
      <c r="AK1973">
        <v>12</v>
      </c>
      <c r="AL1973" t="s">
        <v>74</v>
      </c>
      <c r="AM1973" t="s">
        <v>74</v>
      </c>
      <c r="AN1973" t="s">
        <v>74</v>
      </c>
      <c r="AO1973" t="s">
        <v>4493</v>
      </c>
      <c r="AP1973" t="s">
        <v>4494</v>
      </c>
      <c r="AQ1973" t="s">
        <v>74</v>
      </c>
      <c r="AR1973" t="s">
        <v>74</v>
      </c>
      <c r="AS1973" t="s">
        <v>74</v>
      </c>
      <c r="AT1973" t="s">
        <v>2402</v>
      </c>
      <c r="AU1973">
        <v>2022</v>
      </c>
      <c r="AV1973">
        <v>94</v>
      </c>
      <c r="AW1973">
        <v>24</v>
      </c>
      <c r="AX1973" t="s">
        <v>74</v>
      </c>
      <c r="AY1973" t="s">
        <v>74</v>
      </c>
      <c r="AZ1973" t="s">
        <v>74</v>
      </c>
      <c r="BA1973" t="s">
        <v>74</v>
      </c>
      <c r="BB1973">
        <v>8748</v>
      </c>
      <c r="BC1973">
        <v>8755</v>
      </c>
      <c r="BD1973" t="s">
        <v>74</v>
      </c>
      <c r="BE1973" t="s">
        <v>8834</v>
      </c>
      <c r="BF1973" t="str">
        <f>HYPERLINK("http://dx.doi.org/10.1021/acs.analchem.2c01318","http://dx.doi.org/10.1021/acs.analchem.2c01318")</f>
        <v>http://dx.doi.org/10.1021/acs.analchem.2c01318</v>
      </c>
      <c r="BG1973" t="s">
        <v>74</v>
      </c>
      <c r="BH1973" t="s">
        <v>74</v>
      </c>
      <c r="BI1973" t="s">
        <v>74</v>
      </c>
      <c r="BJ1973" t="s">
        <v>1118</v>
      </c>
      <c r="BK1973" t="s">
        <v>117</v>
      </c>
      <c r="BL1973" t="s">
        <v>1048</v>
      </c>
      <c r="BM1973" t="s">
        <v>74</v>
      </c>
      <c r="BN1973">
        <v>35649159</v>
      </c>
      <c r="BO1973" t="s">
        <v>74</v>
      </c>
      <c r="BP1973" t="s">
        <v>74</v>
      </c>
      <c r="BQ1973" t="s">
        <v>74</v>
      </c>
      <c r="BR1973" t="s">
        <v>96</v>
      </c>
      <c r="BS1973" t="s">
        <v>8835</v>
      </c>
      <c r="BT1973" t="str">
        <f>HYPERLINK("https%3A%2F%2Fwww.webofscience.com%2Fwos%2Fwoscc%2Ffull-record%2FWOS:000835610000001","View Full Record in Web of Science")</f>
        <v>View Full Record in Web of Science</v>
      </c>
    </row>
    <row r="1974" spans="1:72" x14ac:dyDescent="0.15">
      <c r="A1974" t="s">
        <v>98</v>
      </c>
      <c r="B1974" t="s">
        <v>8824</v>
      </c>
      <c r="C1974" t="s">
        <v>74</v>
      </c>
      <c r="D1974" t="s">
        <v>74</v>
      </c>
      <c r="E1974" t="s">
        <v>74</v>
      </c>
      <c r="F1974" t="s">
        <v>8825</v>
      </c>
      <c r="G1974" t="s">
        <v>74</v>
      </c>
      <c r="H1974" t="s">
        <v>74</v>
      </c>
      <c r="I1974" t="s">
        <v>8826</v>
      </c>
      <c r="J1974" t="s">
        <v>4486</v>
      </c>
      <c r="K1974" t="s">
        <v>74</v>
      </c>
      <c r="L1974" t="s">
        <v>74</v>
      </c>
      <c r="M1974" t="s">
        <v>74</v>
      </c>
      <c r="N1974" t="s">
        <v>2996</v>
      </c>
      <c r="O1974" t="s">
        <v>74</v>
      </c>
      <c r="P1974" t="s">
        <v>74</v>
      </c>
      <c r="Q1974" t="s">
        <v>74</v>
      </c>
      <c r="R1974" t="s">
        <v>74</v>
      </c>
      <c r="S1974" t="s">
        <v>74</v>
      </c>
      <c r="T1974" t="s">
        <v>74</v>
      </c>
      <c r="U1974" t="s">
        <v>8827</v>
      </c>
      <c r="V1974" t="s">
        <v>8902</v>
      </c>
      <c r="W1974" t="s">
        <v>8903</v>
      </c>
      <c r="X1974" t="s">
        <v>8830</v>
      </c>
      <c r="Y1974" t="s">
        <v>8831</v>
      </c>
      <c r="Z1974" t="s">
        <v>8832</v>
      </c>
      <c r="AA1974" t="s">
        <v>74</v>
      </c>
      <c r="AB1974" t="s">
        <v>8833</v>
      </c>
      <c r="AC1974" t="s">
        <v>74</v>
      </c>
      <c r="AD1974" t="s">
        <v>74</v>
      </c>
      <c r="AE1974" t="s">
        <v>74</v>
      </c>
      <c r="AF1974" t="s">
        <v>74</v>
      </c>
      <c r="AG1974">
        <v>35</v>
      </c>
      <c r="AH1974">
        <v>0</v>
      </c>
      <c r="AI1974">
        <v>0</v>
      </c>
      <c r="AJ1974">
        <v>12</v>
      </c>
      <c r="AK1974">
        <v>12</v>
      </c>
      <c r="AL1974" t="s">
        <v>74</v>
      </c>
      <c r="AM1974" t="s">
        <v>74</v>
      </c>
      <c r="AN1974" t="s">
        <v>74</v>
      </c>
      <c r="AO1974" t="s">
        <v>4493</v>
      </c>
      <c r="AP1974" t="s">
        <v>4494</v>
      </c>
      <c r="AQ1974" t="s">
        <v>74</v>
      </c>
      <c r="AR1974" t="s">
        <v>74</v>
      </c>
      <c r="AS1974" t="s">
        <v>74</v>
      </c>
      <c r="AT1974" t="s">
        <v>74</v>
      </c>
      <c r="AU1974" t="s">
        <v>74</v>
      </c>
      <c r="AV1974" t="s">
        <v>74</v>
      </c>
      <c r="AW1974" t="s">
        <v>74</v>
      </c>
      <c r="AX1974" t="s">
        <v>74</v>
      </c>
      <c r="AY1974" t="s">
        <v>74</v>
      </c>
      <c r="AZ1974" t="s">
        <v>74</v>
      </c>
      <c r="BA1974" t="s">
        <v>74</v>
      </c>
      <c r="BB1974" t="s">
        <v>74</v>
      </c>
      <c r="BC1974" t="s">
        <v>74</v>
      </c>
      <c r="BD1974" t="s">
        <v>74</v>
      </c>
      <c r="BE1974" t="s">
        <v>8834</v>
      </c>
      <c r="BF1974" t="str">
        <f>HYPERLINK("http://dx.doi.org/10.1021/acs.analchem.2c01318","http://dx.doi.org/10.1021/acs.analchem.2c01318")</f>
        <v>http://dx.doi.org/10.1021/acs.analchem.2c01318</v>
      </c>
      <c r="BG1974" t="s">
        <v>74</v>
      </c>
      <c r="BH1974" t="s">
        <v>5061</v>
      </c>
      <c r="BI1974" t="s">
        <v>74</v>
      </c>
      <c r="BJ1974" t="s">
        <v>1118</v>
      </c>
      <c r="BK1974" t="s">
        <v>117</v>
      </c>
      <c r="BL1974" t="s">
        <v>1048</v>
      </c>
      <c r="BM1974" t="s">
        <v>74</v>
      </c>
      <c r="BN1974">
        <v>35649159</v>
      </c>
      <c r="BO1974" t="s">
        <v>74</v>
      </c>
      <c r="BP1974" t="s">
        <v>74</v>
      </c>
      <c r="BQ1974" t="s">
        <v>74</v>
      </c>
      <c r="BR1974" t="s">
        <v>96</v>
      </c>
      <c r="BS1974" t="s">
        <v>8904</v>
      </c>
      <c r="BT1974" t="str">
        <f>HYPERLINK("https%3A%2F%2Fwww.webofscience.com%2Fwos%2Fwoscc%2Ffull-record%2FWOS:000820970700001","View Full Record in Web of Science")</f>
        <v>View Full Record in Web of Science</v>
      </c>
    </row>
    <row r="1975" spans="1:72" x14ac:dyDescent="0.15">
      <c r="A1975" t="s">
        <v>98</v>
      </c>
      <c r="B1975" t="s">
        <v>9211</v>
      </c>
      <c r="C1975" t="s">
        <v>74</v>
      </c>
      <c r="D1975" t="s">
        <v>74</v>
      </c>
      <c r="E1975" t="s">
        <v>74</v>
      </c>
      <c r="F1975" t="s">
        <v>9212</v>
      </c>
      <c r="G1975" t="s">
        <v>74</v>
      </c>
      <c r="H1975" t="s">
        <v>74</v>
      </c>
      <c r="I1975" t="s">
        <v>9213</v>
      </c>
      <c r="J1975" t="s">
        <v>402</v>
      </c>
      <c r="K1975" t="s">
        <v>74</v>
      </c>
      <c r="L1975" t="s">
        <v>74</v>
      </c>
      <c r="M1975" t="s">
        <v>74</v>
      </c>
      <c r="N1975" t="s">
        <v>103</v>
      </c>
      <c r="O1975" t="s">
        <v>74</v>
      </c>
      <c r="P1975" t="s">
        <v>74</v>
      </c>
      <c r="Q1975" t="s">
        <v>74</v>
      </c>
      <c r="R1975" t="s">
        <v>74</v>
      </c>
      <c r="S1975" t="s">
        <v>74</v>
      </c>
      <c r="T1975" t="s">
        <v>9214</v>
      </c>
      <c r="U1975" t="s">
        <v>9215</v>
      </c>
      <c r="V1975" t="s">
        <v>9216</v>
      </c>
      <c r="W1975" t="s">
        <v>9217</v>
      </c>
      <c r="X1975" t="s">
        <v>9218</v>
      </c>
      <c r="Y1975" t="s">
        <v>9219</v>
      </c>
      <c r="Z1975" t="s">
        <v>9220</v>
      </c>
      <c r="AA1975" t="s">
        <v>74</v>
      </c>
      <c r="AB1975" t="s">
        <v>74</v>
      </c>
      <c r="AC1975" t="s">
        <v>74</v>
      </c>
      <c r="AD1975" t="s">
        <v>74</v>
      </c>
      <c r="AE1975" t="s">
        <v>74</v>
      </c>
      <c r="AF1975" t="s">
        <v>74</v>
      </c>
      <c r="AG1975">
        <v>39</v>
      </c>
      <c r="AH1975">
        <v>0</v>
      </c>
      <c r="AI1975">
        <v>0</v>
      </c>
      <c r="AJ1975">
        <v>0</v>
      </c>
      <c r="AK1975">
        <v>0</v>
      </c>
      <c r="AL1975" t="s">
        <v>74</v>
      </c>
      <c r="AM1975" t="s">
        <v>74</v>
      </c>
      <c r="AN1975" t="s">
        <v>74</v>
      </c>
      <c r="AO1975" t="s">
        <v>410</v>
      </c>
      <c r="AP1975" t="s">
        <v>411</v>
      </c>
      <c r="AQ1975" t="s">
        <v>74</v>
      </c>
      <c r="AR1975" t="s">
        <v>74</v>
      </c>
      <c r="AS1975" t="s">
        <v>74</v>
      </c>
      <c r="AT1975" t="s">
        <v>74</v>
      </c>
      <c r="AU1975">
        <v>2021</v>
      </c>
      <c r="AV1975">
        <v>48</v>
      </c>
      <c r="AW1975">
        <v>3</v>
      </c>
      <c r="AX1975" t="s">
        <v>74</v>
      </c>
      <c r="AY1975" t="s">
        <v>74</v>
      </c>
      <c r="AZ1975" t="s">
        <v>74</v>
      </c>
      <c r="BA1975" t="s">
        <v>74</v>
      </c>
      <c r="BB1975">
        <v>217</v>
      </c>
      <c r="BC1975">
        <v>230</v>
      </c>
      <c r="BD1975" t="s">
        <v>74</v>
      </c>
      <c r="BE1975" t="s">
        <v>74</v>
      </c>
      <c r="BF1975" t="s">
        <v>74</v>
      </c>
      <c r="BG1975" t="s">
        <v>74</v>
      </c>
      <c r="BH1975" t="s">
        <v>74</v>
      </c>
      <c r="BI1975" t="s">
        <v>74</v>
      </c>
      <c r="BJ1975" t="s">
        <v>412</v>
      </c>
      <c r="BK1975" t="s">
        <v>117</v>
      </c>
      <c r="BL1975" t="s">
        <v>413</v>
      </c>
      <c r="BM1975" t="s">
        <v>74</v>
      </c>
      <c r="BN1975" t="s">
        <v>74</v>
      </c>
      <c r="BO1975" t="s">
        <v>74</v>
      </c>
      <c r="BP1975" t="s">
        <v>74</v>
      </c>
      <c r="BQ1975" t="s">
        <v>74</v>
      </c>
      <c r="BR1975" t="s">
        <v>96</v>
      </c>
      <c r="BS1975" t="s">
        <v>9221</v>
      </c>
      <c r="BT1975" t="str">
        <f>HYPERLINK("https%3A%2F%2Fwww.webofscience.com%2Fwos%2Fwoscc%2Ffull-record%2FWOS:000744150900003","View Full Record in Web of Science")</f>
        <v>View Full Record in Web of Science</v>
      </c>
    </row>
    <row r="1976" spans="1:72" x14ac:dyDescent="0.15">
      <c r="A1976" t="s">
        <v>4291</v>
      </c>
      <c r="B1976" t="s">
        <v>9297</v>
      </c>
      <c r="C1976" t="s">
        <v>74</v>
      </c>
      <c r="D1976" t="s">
        <v>9298</v>
      </c>
      <c r="E1976" t="s">
        <v>74</v>
      </c>
      <c r="F1976" t="s">
        <v>9299</v>
      </c>
      <c r="G1976" t="s">
        <v>74</v>
      </c>
      <c r="H1976" t="s">
        <v>74</v>
      </c>
      <c r="I1976" t="s">
        <v>9300</v>
      </c>
      <c r="J1976" t="s">
        <v>9301</v>
      </c>
      <c r="K1976" t="s">
        <v>74</v>
      </c>
      <c r="L1976" t="s">
        <v>74</v>
      </c>
      <c r="M1976" t="s">
        <v>74</v>
      </c>
      <c r="N1976" t="s">
        <v>80</v>
      </c>
      <c r="O1976" t="s">
        <v>74</v>
      </c>
      <c r="P1976" t="s">
        <v>74</v>
      </c>
      <c r="Q1976" t="s">
        <v>74</v>
      </c>
      <c r="R1976" t="s">
        <v>74</v>
      </c>
      <c r="S1976" t="s">
        <v>74</v>
      </c>
      <c r="T1976" t="s">
        <v>9302</v>
      </c>
      <c r="U1976" t="s">
        <v>9303</v>
      </c>
      <c r="V1976" t="s">
        <v>9304</v>
      </c>
      <c r="W1976" t="s">
        <v>9305</v>
      </c>
      <c r="X1976" t="s">
        <v>9306</v>
      </c>
      <c r="Y1976" t="s">
        <v>9307</v>
      </c>
      <c r="Z1976" t="s">
        <v>9308</v>
      </c>
      <c r="AA1976" t="s">
        <v>74</v>
      </c>
      <c r="AB1976" t="s">
        <v>74</v>
      </c>
      <c r="AC1976" t="s">
        <v>74</v>
      </c>
      <c r="AD1976" t="s">
        <v>74</v>
      </c>
      <c r="AE1976" t="s">
        <v>74</v>
      </c>
      <c r="AF1976" t="s">
        <v>74</v>
      </c>
      <c r="AG1976">
        <v>125</v>
      </c>
      <c r="AH1976">
        <v>0</v>
      </c>
      <c r="AI1976">
        <v>0</v>
      </c>
      <c r="AJ1976">
        <v>0</v>
      </c>
      <c r="AK1976">
        <v>0</v>
      </c>
      <c r="AL1976" t="s">
        <v>74</v>
      </c>
      <c r="AM1976" t="s">
        <v>74</v>
      </c>
      <c r="AN1976" t="s">
        <v>74</v>
      </c>
      <c r="AO1976" t="s">
        <v>74</v>
      </c>
      <c r="AP1976" t="s">
        <v>74</v>
      </c>
      <c r="AQ1976" t="s">
        <v>9309</v>
      </c>
      <c r="AR1976" t="s">
        <v>74</v>
      </c>
      <c r="AS1976" t="s">
        <v>74</v>
      </c>
      <c r="AT1976" t="s">
        <v>74</v>
      </c>
      <c r="AU1976">
        <v>2017</v>
      </c>
      <c r="AV1976" t="s">
        <v>74</v>
      </c>
      <c r="AW1976" t="s">
        <v>74</v>
      </c>
      <c r="AX1976" t="s">
        <v>74</v>
      </c>
      <c r="AY1976" t="s">
        <v>74</v>
      </c>
      <c r="AZ1976" t="s">
        <v>74</v>
      </c>
      <c r="BA1976" t="s">
        <v>74</v>
      </c>
      <c r="BB1976">
        <v>449</v>
      </c>
      <c r="BC1976">
        <v>463</v>
      </c>
      <c r="BD1976" t="s">
        <v>74</v>
      </c>
      <c r="BE1976" t="s">
        <v>9310</v>
      </c>
      <c r="BF1976" t="str">
        <f>HYPERLINK("http://dx.doi.org/10.1007/978-981-10-6728-0_34","http://dx.doi.org/10.1007/978-981-10-6728-0_34")</f>
        <v>http://dx.doi.org/10.1007/978-981-10-6728-0_34</v>
      </c>
      <c r="BG1976" t="s">
        <v>9311</v>
      </c>
      <c r="BH1976" t="s">
        <v>74</v>
      </c>
      <c r="BI1976" t="s">
        <v>74</v>
      </c>
      <c r="BJ1976" t="s">
        <v>9312</v>
      </c>
      <c r="BK1976" t="s">
        <v>94</v>
      </c>
      <c r="BL1976" t="s">
        <v>9312</v>
      </c>
      <c r="BM1976" t="s">
        <v>74</v>
      </c>
      <c r="BN1976" t="s">
        <v>74</v>
      </c>
      <c r="BO1976" t="s">
        <v>74</v>
      </c>
      <c r="BP1976" t="s">
        <v>74</v>
      </c>
      <c r="BQ1976" t="s">
        <v>74</v>
      </c>
      <c r="BR1976" t="s">
        <v>96</v>
      </c>
      <c r="BS1976" t="s">
        <v>9313</v>
      </c>
      <c r="BT1976" t="str">
        <f>HYPERLINK("https%3A%2F%2Fwww.webofscience.com%2Fwos%2Fwoscc%2Ffull-record%2FWOS:000529054800034","View Full Record in Web of Science")</f>
        <v>View Full Record in Web of Science</v>
      </c>
    </row>
    <row r="1977" spans="1:72" x14ac:dyDescent="0.15">
      <c r="A1977" t="s">
        <v>98</v>
      </c>
      <c r="B1977" t="s">
        <v>9350</v>
      </c>
      <c r="C1977" t="s">
        <v>74</v>
      </c>
      <c r="D1977" t="s">
        <v>74</v>
      </c>
      <c r="E1977" t="s">
        <v>74</v>
      </c>
      <c r="F1977" t="s">
        <v>9351</v>
      </c>
      <c r="G1977" t="s">
        <v>74</v>
      </c>
      <c r="H1977" t="s">
        <v>74</v>
      </c>
      <c r="I1977" t="s">
        <v>9352</v>
      </c>
      <c r="J1977" t="s">
        <v>903</v>
      </c>
      <c r="K1977" t="s">
        <v>74</v>
      </c>
      <c r="L1977" t="s">
        <v>74</v>
      </c>
      <c r="M1977" t="s">
        <v>74</v>
      </c>
      <c r="N1977" t="s">
        <v>103</v>
      </c>
      <c r="O1977" t="s">
        <v>74</v>
      </c>
      <c r="P1977" t="s">
        <v>74</v>
      </c>
      <c r="Q1977" t="s">
        <v>74</v>
      </c>
      <c r="R1977" t="s">
        <v>74</v>
      </c>
      <c r="S1977" t="s">
        <v>74</v>
      </c>
      <c r="T1977" t="s">
        <v>9353</v>
      </c>
      <c r="U1977" t="s">
        <v>9354</v>
      </c>
      <c r="V1977" t="s">
        <v>9355</v>
      </c>
      <c r="W1977" t="s">
        <v>9356</v>
      </c>
      <c r="X1977" t="s">
        <v>9357</v>
      </c>
      <c r="Y1977" t="s">
        <v>9358</v>
      </c>
      <c r="Z1977" t="s">
        <v>9359</v>
      </c>
      <c r="AA1977" t="s">
        <v>9360</v>
      </c>
      <c r="AB1977" t="s">
        <v>9361</v>
      </c>
      <c r="AC1977" t="s">
        <v>74</v>
      </c>
      <c r="AD1977" t="s">
        <v>74</v>
      </c>
      <c r="AE1977" t="s">
        <v>74</v>
      </c>
      <c r="AF1977" t="s">
        <v>74</v>
      </c>
      <c r="AG1977">
        <v>72</v>
      </c>
      <c r="AH1977">
        <v>0</v>
      </c>
      <c r="AI1977">
        <v>0</v>
      </c>
      <c r="AJ1977">
        <v>2</v>
      </c>
      <c r="AK1977">
        <v>2</v>
      </c>
      <c r="AL1977" t="s">
        <v>74</v>
      </c>
      <c r="AM1977" t="s">
        <v>74</v>
      </c>
      <c r="AN1977" t="s">
        <v>74</v>
      </c>
      <c r="AO1977" t="s">
        <v>74</v>
      </c>
      <c r="AP1977" t="s">
        <v>913</v>
      </c>
      <c r="AQ1977" t="s">
        <v>74</v>
      </c>
      <c r="AR1977" t="s">
        <v>74</v>
      </c>
      <c r="AS1977" t="s">
        <v>74</v>
      </c>
      <c r="AT1977" t="s">
        <v>614</v>
      </c>
      <c r="AU1977">
        <v>2022</v>
      </c>
      <c r="AV1977">
        <v>14</v>
      </c>
      <c r="AW1977">
        <v>13</v>
      </c>
      <c r="AX1977" t="s">
        <v>74</v>
      </c>
      <c r="AY1977" t="s">
        <v>74</v>
      </c>
      <c r="AZ1977" t="s">
        <v>74</v>
      </c>
      <c r="BA1977" t="s">
        <v>74</v>
      </c>
      <c r="BB1977" t="s">
        <v>74</v>
      </c>
      <c r="BC1977" t="s">
        <v>74</v>
      </c>
      <c r="BD1977">
        <v>3216</v>
      </c>
      <c r="BE1977" t="s">
        <v>9362</v>
      </c>
      <c r="BF1977" t="str">
        <f>HYPERLINK("http://dx.doi.org/10.3390/cancers14133216","http://dx.doi.org/10.3390/cancers14133216")</f>
        <v>http://dx.doi.org/10.3390/cancers14133216</v>
      </c>
      <c r="BG1977" t="s">
        <v>74</v>
      </c>
      <c r="BH1977" t="s">
        <v>74</v>
      </c>
      <c r="BI1977" t="s">
        <v>74</v>
      </c>
      <c r="BJ1977" t="s">
        <v>267</v>
      </c>
      <c r="BK1977" t="s">
        <v>117</v>
      </c>
      <c r="BL1977" t="s">
        <v>267</v>
      </c>
      <c r="BM1977" t="s">
        <v>74</v>
      </c>
      <c r="BN1977">
        <v>35804987</v>
      </c>
      <c r="BO1977" t="s">
        <v>74</v>
      </c>
      <c r="BP1977" t="s">
        <v>74</v>
      </c>
      <c r="BQ1977" t="s">
        <v>74</v>
      </c>
      <c r="BR1977" t="s">
        <v>96</v>
      </c>
      <c r="BS1977" t="s">
        <v>9363</v>
      </c>
      <c r="BT1977" t="str">
        <f>HYPERLINK("https%3A%2F%2Fwww.webofscience.com%2Fwos%2Fwoscc%2Ffull-record%2FWOS:000823489500001","View Full Record in Web of Science")</f>
        <v>View Full Record in Web of Science</v>
      </c>
    </row>
    <row r="1978" spans="1:72" x14ac:dyDescent="0.15">
      <c r="A1978" t="s">
        <v>98</v>
      </c>
      <c r="B1978" t="s">
        <v>9364</v>
      </c>
      <c r="C1978" t="s">
        <v>74</v>
      </c>
      <c r="D1978" t="s">
        <v>74</v>
      </c>
      <c r="E1978" t="s">
        <v>74</v>
      </c>
      <c r="F1978" t="s">
        <v>9365</v>
      </c>
      <c r="G1978" t="s">
        <v>74</v>
      </c>
      <c r="H1978" t="s">
        <v>74</v>
      </c>
      <c r="I1978" t="s">
        <v>9366</v>
      </c>
      <c r="J1978" t="s">
        <v>9367</v>
      </c>
      <c r="K1978" t="s">
        <v>74</v>
      </c>
      <c r="L1978" t="s">
        <v>74</v>
      </c>
      <c r="M1978" t="s">
        <v>74</v>
      </c>
      <c r="N1978" t="s">
        <v>103</v>
      </c>
      <c r="O1978" t="s">
        <v>74</v>
      </c>
      <c r="P1978" t="s">
        <v>74</v>
      </c>
      <c r="Q1978" t="s">
        <v>74</v>
      </c>
      <c r="R1978" t="s">
        <v>74</v>
      </c>
      <c r="S1978" t="s">
        <v>74</v>
      </c>
      <c r="T1978" t="s">
        <v>9368</v>
      </c>
      <c r="U1978" t="s">
        <v>9369</v>
      </c>
      <c r="V1978" t="s">
        <v>9370</v>
      </c>
      <c r="W1978" t="s">
        <v>9371</v>
      </c>
      <c r="X1978" t="s">
        <v>9372</v>
      </c>
      <c r="Y1978" t="s">
        <v>9373</v>
      </c>
      <c r="Z1978" t="s">
        <v>9374</v>
      </c>
      <c r="AA1978" t="s">
        <v>74</v>
      </c>
      <c r="AB1978" t="s">
        <v>74</v>
      </c>
      <c r="AC1978" t="s">
        <v>74</v>
      </c>
      <c r="AD1978" t="s">
        <v>74</v>
      </c>
      <c r="AE1978" t="s">
        <v>74</v>
      </c>
      <c r="AF1978" t="s">
        <v>74</v>
      </c>
      <c r="AG1978">
        <v>26</v>
      </c>
      <c r="AH1978">
        <v>0</v>
      </c>
      <c r="AI1978">
        <v>0</v>
      </c>
      <c r="AJ1978">
        <v>0</v>
      </c>
      <c r="AK1978">
        <v>0</v>
      </c>
      <c r="AL1978" t="s">
        <v>74</v>
      </c>
      <c r="AM1978" t="s">
        <v>74</v>
      </c>
      <c r="AN1978" t="s">
        <v>74</v>
      </c>
      <c r="AO1978" t="s">
        <v>9375</v>
      </c>
      <c r="AP1978" t="s">
        <v>74</v>
      </c>
      <c r="AQ1978" t="s">
        <v>74</v>
      </c>
      <c r="AR1978" t="s">
        <v>74</v>
      </c>
      <c r="AS1978" t="s">
        <v>74</v>
      </c>
      <c r="AT1978" t="s">
        <v>74</v>
      </c>
      <c r="AU1978">
        <v>2022</v>
      </c>
      <c r="AV1978">
        <v>12</v>
      </c>
      <c r="AW1978">
        <v>5</v>
      </c>
      <c r="AX1978" t="s">
        <v>74</v>
      </c>
      <c r="AY1978" t="s">
        <v>74</v>
      </c>
      <c r="AZ1978" t="s">
        <v>74</v>
      </c>
      <c r="BA1978" t="s">
        <v>74</v>
      </c>
      <c r="BB1978">
        <v>1934</v>
      </c>
      <c r="BC1978">
        <v>1959</v>
      </c>
      <c r="BD1978" t="s">
        <v>74</v>
      </c>
      <c r="BE1978" t="s">
        <v>74</v>
      </c>
      <c r="BF1978" t="s">
        <v>74</v>
      </c>
      <c r="BG1978" t="s">
        <v>74</v>
      </c>
      <c r="BH1978" t="s">
        <v>74</v>
      </c>
      <c r="BI1978" t="s">
        <v>74</v>
      </c>
      <c r="BJ1978" t="s">
        <v>267</v>
      </c>
      <c r="BK1978" t="s">
        <v>117</v>
      </c>
      <c r="BL1978" t="s">
        <v>267</v>
      </c>
      <c r="BM1978" t="s">
        <v>74</v>
      </c>
      <c r="BN1978">
        <v>35693076</v>
      </c>
      <c r="BO1978" t="s">
        <v>74</v>
      </c>
      <c r="BP1978" t="s">
        <v>74</v>
      </c>
      <c r="BQ1978" t="s">
        <v>74</v>
      </c>
      <c r="BR1978" t="s">
        <v>96</v>
      </c>
      <c r="BS1978" t="s">
        <v>9376</v>
      </c>
      <c r="BT1978" t="str">
        <f>HYPERLINK("https%3A%2F%2Fwww.webofscience.com%2Fwos%2Fwoscc%2Ffull-record%2FWOS:000804191800001","View Full Record in Web of Science")</f>
        <v>View Full Record in Web of Science</v>
      </c>
    </row>
    <row r="1979" spans="1:72" x14ac:dyDescent="0.15">
      <c r="A1979" t="s">
        <v>98</v>
      </c>
      <c r="B1979" t="s">
        <v>9391</v>
      </c>
      <c r="C1979" t="s">
        <v>74</v>
      </c>
      <c r="D1979" t="s">
        <v>74</v>
      </c>
      <c r="E1979" t="s">
        <v>74</v>
      </c>
      <c r="F1979" t="s">
        <v>9392</v>
      </c>
      <c r="G1979" t="s">
        <v>74</v>
      </c>
      <c r="H1979" t="s">
        <v>74</v>
      </c>
      <c r="I1979" t="s">
        <v>9393</v>
      </c>
      <c r="J1979" t="s">
        <v>9394</v>
      </c>
      <c r="K1979" t="s">
        <v>74</v>
      </c>
      <c r="L1979" t="s">
        <v>74</v>
      </c>
      <c r="M1979" t="s">
        <v>74</v>
      </c>
      <c r="N1979" t="s">
        <v>103</v>
      </c>
      <c r="O1979" t="s">
        <v>74</v>
      </c>
      <c r="P1979" t="s">
        <v>74</v>
      </c>
      <c r="Q1979" t="s">
        <v>74</v>
      </c>
      <c r="R1979" t="s">
        <v>74</v>
      </c>
      <c r="S1979" t="s">
        <v>74</v>
      </c>
      <c r="T1979" t="s">
        <v>9395</v>
      </c>
      <c r="U1979" t="s">
        <v>9396</v>
      </c>
      <c r="V1979" t="s">
        <v>9397</v>
      </c>
      <c r="W1979" t="s">
        <v>9398</v>
      </c>
      <c r="X1979" t="s">
        <v>9399</v>
      </c>
      <c r="Y1979" t="s">
        <v>9400</v>
      </c>
      <c r="Z1979" t="s">
        <v>9401</v>
      </c>
      <c r="AA1979" t="s">
        <v>74</v>
      </c>
      <c r="AB1979" t="s">
        <v>9402</v>
      </c>
      <c r="AC1979" t="s">
        <v>74</v>
      </c>
      <c r="AD1979" t="s">
        <v>74</v>
      </c>
      <c r="AE1979" t="s">
        <v>74</v>
      </c>
      <c r="AF1979" t="s">
        <v>74</v>
      </c>
      <c r="AG1979">
        <v>44</v>
      </c>
      <c r="AH1979">
        <v>0</v>
      </c>
      <c r="AI1979">
        <v>0</v>
      </c>
      <c r="AJ1979">
        <v>44</v>
      </c>
      <c r="AK1979">
        <v>44</v>
      </c>
      <c r="AL1979" t="s">
        <v>74</v>
      </c>
      <c r="AM1979" t="s">
        <v>74</v>
      </c>
      <c r="AN1979" t="s">
        <v>74</v>
      </c>
      <c r="AO1979" t="s">
        <v>9403</v>
      </c>
      <c r="AP1979" t="s">
        <v>74</v>
      </c>
      <c r="AQ1979" t="s">
        <v>74</v>
      </c>
      <c r="AR1979" t="s">
        <v>74</v>
      </c>
      <c r="AS1979" t="s">
        <v>74</v>
      </c>
      <c r="AT1979" t="s">
        <v>170</v>
      </c>
      <c r="AU1979">
        <v>2022</v>
      </c>
      <c r="AV1979">
        <v>6</v>
      </c>
      <c r="AW1979">
        <v>6</v>
      </c>
      <c r="AX1979" t="s">
        <v>74</v>
      </c>
      <c r="AY1979" t="s">
        <v>74</v>
      </c>
      <c r="AZ1979" t="s">
        <v>74</v>
      </c>
      <c r="BA1979" t="s">
        <v>74</v>
      </c>
      <c r="BB1979" t="s">
        <v>74</v>
      </c>
      <c r="BC1979" t="s">
        <v>74</v>
      </c>
      <c r="BD1979">
        <v>2200236</v>
      </c>
      <c r="BE1979" t="s">
        <v>9404</v>
      </c>
      <c r="BF1979" t="str">
        <f>HYPERLINK("http://dx.doi.org/10.1002/smtd.202200236","http://dx.doi.org/10.1002/smtd.202200236")</f>
        <v>http://dx.doi.org/10.1002/smtd.202200236</v>
      </c>
      <c r="BG1979" t="s">
        <v>74</v>
      </c>
      <c r="BH1979" t="s">
        <v>9405</v>
      </c>
      <c r="BI1979" t="s">
        <v>74</v>
      </c>
      <c r="BJ1979" t="s">
        <v>9406</v>
      </c>
      <c r="BK1979" t="s">
        <v>117</v>
      </c>
      <c r="BL1979" t="s">
        <v>1275</v>
      </c>
      <c r="BM1979" t="s">
        <v>74</v>
      </c>
      <c r="BN1979">
        <v>35466594</v>
      </c>
      <c r="BO1979" t="s">
        <v>74</v>
      </c>
      <c r="BP1979" t="s">
        <v>74</v>
      </c>
      <c r="BQ1979" t="s">
        <v>74</v>
      </c>
      <c r="BR1979" t="s">
        <v>96</v>
      </c>
      <c r="BS1979" t="s">
        <v>9407</v>
      </c>
      <c r="BT1979" t="str">
        <f>HYPERLINK("https%3A%2F%2Fwww.webofscience.com%2Fwos%2Fwoscc%2Ffull-record%2FWOS:000787596000001","View Full Record in Web of Science")</f>
        <v>View Full Record in Web of Science</v>
      </c>
    </row>
    <row r="1980" spans="1:72" x14ac:dyDescent="0.15">
      <c r="A1980" t="s">
        <v>98</v>
      </c>
      <c r="B1980" t="s">
        <v>9452</v>
      </c>
      <c r="C1980" t="s">
        <v>74</v>
      </c>
      <c r="D1980" t="s">
        <v>74</v>
      </c>
      <c r="E1980" t="s">
        <v>74</v>
      </c>
      <c r="F1980" t="s">
        <v>9453</v>
      </c>
      <c r="G1980" t="s">
        <v>74</v>
      </c>
      <c r="H1980" t="s">
        <v>74</v>
      </c>
      <c r="I1980" t="s">
        <v>9454</v>
      </c>
      <c r="J1980" t="s">
        <v>6885</v>
      </c>
      <c r="K1980" t="s">
        <v>74</v>
      </c>
      <c r="L1980" t="s">
        <v>74</v>
      </c>
      <c r="M1980" t="s">
        <v>74</v>
      </c>
      <c r="N1980" t="s">
        <v>103</v>
      </c>
      <c r="O1980" t="s">
        <v>74</v>
      </c>
      <c r="P1980" t="s">
        <v>74</v>
      </c>
      <c r="Q1980" t="s">
        <v>74</v>
      </c>
      <c r="R1980" t="s">
        <v>74</v>
      </c>
      <c r="S1980" t="s">
        <v>74</v>
      </c>
      <c r="T1980" t="s">
        <v>74</v>
      </c>
      <c r="U1980" t="s">
        <v>9455</v>
      </c>
      <c r="V1980" t="s">
        <v>9456</v>
      </c>
      <c r="W1980" t="s">
        <v>9457</v>
      </c>
      <c r="X1980" t="s">
        <v>9458</v>
      </c>
      <c r="Y1980" t="s">
        <v>9459</v>
      </c>
      <c r="Z1980" t="s">
        <v>9460</v>
      </c>
      <c r="AA1980" t="s">
        <v>74</v>
      </c>
      <c r="AB1980" t="s">
        <v>74</v>
      </c>
      <c r="AC1980" t="s">
        <v>74</v>
      </c>
      <c r="AD1980" t="s">
        <v>74</v>
      </c>
      <c r="AE1980" t="s">
        <v>74</v>
      </c>
      <c r="AF1980" t="s">
        <v>74</v>
      </c>
      <c r="AG1980">
        <v>80</v>
      </c>
      <c r="AH1980">
        <v>0</v>
      </c>
      <c r="AI1980">
        <v>0</v>
      </c>
      <c r="AJ1980">
        <v>4</v>
      </c>
      <c r="AK1980">
        <v>14</v>
      </c>
      <c r="AL1980" t="s">
        <v>74</v>
      </c>
      <c r="AM1980" t="s">
        <v>74</v>
      </c>
      <c r="AN1980" t="s">
        <v>74</v>
      </c>
      <c r="AO1980" t="s">
        <v>6894</v>
      </c>
      <c r="AP1980" t="s">
        <v>74</v>
      </c>
      <c r="AQ1980" t="s">
        <v>74</v>
      </c>
      <c r="AR1980" t="s">
        <v>74</v>
      </c>
      <c r="AS1980" t="s">
        <v>74</v>
      </c>
      <c r="AT1980" t="s">
        <v>9461</v>
      </c>
      <c r="AU1980">
        <v>2021</v>
      </c>
      <c r="AV1980">
        <v>25</v>
      </c>
      <c r="AW1980" t="s">
        <v>74</v>
      </c>
      <c r="AX1980" t="s">
        <v>74</v>
      </c>
      <c r="AY1980" t="s">
        <v>74</v>
      </c>
      <c r="AZ1980" t="s">
        <v>74</v>
      </c>
      <c r="BA1980" t="s">
        <v>74</v>
      </c>
      <c r="BB1980">
        <v>302</v>
      </c>
      <c r="BC1980">
        <v>315</v>
      </c>
      <c r="BD1980" t="s">
        <v>74</v>
      </c>
      <c r="BE1980" t="s">
        <v>9462</v>
      </c>
      <c r="BF1980" t="str">
        <f>HYPERLINK("http://dx.doi.org/10.1016/j.omtn.2021.07.018","http://dx.doi.org/10.1016/j.omtn.2021.07.018")</f>
        <v>http://dx.doi.org/10.1016/j.omtn.2021.07.018</v>
      </c>
      <c r="BG1980" t="s">
        <v>74</v>
      </c>
      <c r="BH1980" t="s">
        <v>1663</v>
      </c>
      <c r="BI1980" t="s">
        <v>74</v>
      </c>
      <c r="BJ1980" t="s">
        <v>795</v>
      </c>
      <c r="BK1980" t="s">
        <v>117</v>
      </c>
      <c r="BL1980" t="s">
        <v>796</v>
      </c>
      <c r="BM1980" t="s">
        <v>74</v>
      </c>
      <c r="BN1980">
        <v>34458012</v>
      </c>
      <c r="BO1980" t="s">
        <v>74</v>
      </c>
      <c r="BP1980" t="s">
        <v>74</v>
      </c>
      <c r="BQ1980" t="s">
        <v>74</v>
      </c>
      <c r="BR1980" t="s">
        <v>96</v>
      </c>
      <c r="BS1980" t="s">
        <v>9463</v>
      </c>
      <c r="BT1980" t="str">
        <f>HYPERLINK("https%3A%2F%2Fwww.webofscience.com%2Fwos%2Fwoscc%2Ffull-record%2FWOS:000697095000008","View Full Record in Web of Science")</f>
        <v>View Full Record in Web of Science</v>
      </c>
    </row>
    <row r="1981" spans="1:72" x14ac:dyDescent="0.15">
      <c r="A1981" t="s">
        <v>98</v>
      </c>
      <c r="B1981" t="s">
        <v>9622</v>
      </c>
      <c r="C1981" t="s">
        <v>74</v>
      </c>
      <c r="D1981" t="s">
        <v>74</v>
      </c>
      <c r="E1981" t="s">
        <v>74</v>
      </c>
      <c r="F1981" t="s">
        <v>9623</v>
      </c>
      <c r="G1981" t="s">
        <v>74</v>
      </c>
      <c r="H1981" t="s">
        <v>74</v>
      </c>
      <c r="I1981" t="s">
        <v>9624</v>
      </c>
      <c r="J1981" t="s">
        <v>9625</v>
      </c>
      <c r="K1981" t="s">
        <v>74</v>
      </c>
      <c r="L1981" t="s">
        <v>74</v>
      </c>
      <c r="M1981" t="s">
        <v>74</v>
      </c>
      <c r="N1981" t="s">
        <v>103</v>
      </c>
      <c r="O1981" t="s">
        <v>74</v>
      </c>
      <c r="P1981" t="s">
        <v>74</v>
      </c>
      <c r="Q1981" t="s">
        <v>74</v>
      </c>
      <c r="R1981" t="s">
        <v>74</v>
      </c>
      <c r="S1981" t="s">
        <v>74</v>
      </c>
      <c r="T1981" t="s">
        <v>9626</v>
      </c>
      <c r="U1981" t="s">
        <v>9627</v>
      </c>
      <c r="V1981" t="s">
        <v>9628</v>
      </c>
      <c r="W1981" t="s">
        <v>9629</v>
      </c>
      <c r="X1981" t="s">
        <v>330</v>
      </c>
      <c r="Y1981" t="s">
        <v>9630</v>
      </c>
      <c r="Z1981" t="s">
        <v>9631</v>
      </c>
      <c r="AA1981" t="s">
        <v>74</v>
      </c>
      <c r="AB1981" t="s">
        <v>74</v>
      </c>
      <c r="AC1981" t="s">
        <v>74</v>
      </c>
      <c r="AD1981" t="s">
        <v>74</v>
      </c>
      <c r="AE1981" t="s">
        <v>74</v>
      </c>
      <c r="AF1981" t="s">
        <v>74</v>
      </c>
      <c r="AG1981">
        <v>44</v>
      </c>
      <c r="AH1981">
        <v>0</v>
      </c>
      <c r="AI1981">
        <v>0</v>
      </c>
      <c r="AJ1981">
        <v>3</v>
      </c>
      <c r="AK1981">
        <v>3</v>
      </c>
      <c r="AL1981" t="s">
        <v>74</v>
      </c>
      <c r="AM1981" t="s">
        <v>74</v>
      </c>
      <c r="AN1981" t="s">
        <v>74</v>
      </c>
      <c r="AO1981" t="s">
        <v>9632</v>
      </c>
      <c r="AP1981" t="s">
        <v>9633</v>
      </c>
      <c r="AQ1981" t="s">
        <v>74</v>
      </c>
      <c r="AR1981" t="s">
        <v>74</v>
      </c>
      <c r="AS1981" t="s">
        <v>74</v>
      </c>
      <c r="AT1981" t="s">
        <v>230</v>
      </c>
      <c r="AU1981">
        <v>2022</v>
      </c>
      <c r="AV1981">
        <v>49</v>
      </c>
      <c r="AW1981">
        <v>8</v>
      </c>
      <c r="AX1981" t="s">
        <v>74</v>
      </c>
      <c r="AY1981" t="s">
        <v>74</v>
      </c>
      <c r="AZ1981" t="s">
        <v>74</v>
      </c>
      <c r="BA1981" t="s">
        <v>74</v>
      </c>
      <c r="BB1981">
        <v>7263</v>
      </c>
      <c r="BC1981">
        <v>7273</v>
      </c>
      <c r="BD1981" t="s">
        <v>74</v>
      </c>
      <c r="BE1981" t="s">
        <v>9634</v>
      </c>
      <c r="BF1981" t="str">
        <f>HYPERLINK("http://dx.doi.org/10.1007/s11033-022-07508-9","http://dx.doi.org/10.1007/s11033-022-07508-9")</f>
        <v>http://dx.doi.org/10.1007/s11033-022-07508-9</v>
      </c>
      <c r="BG1981" t="s">
        <v>74</v>
      </c>
      <c r="BH1981" t="s">
        <v>7254</v>
      </c>
      <c r="BI1981" t="s">
        <v>74</v>
      </c>
      <c r="BJ1981" t="s">
        <v>95</v>
      </c>
      <c r="BK1981" t="s">
        <v>117</v>
      </c>
      <c r="BL1981" t="s">
        <v>95</v>
      </c>
      <c r="BM1981" t="s">
        <v>74</v>
      </c>
      <c r="BN1981">
        <v>35596050</v>
      </c>
      <c r="BO1981" t="s">
        <v>74</v>
      </c>
      <c r="BP1981" t="s">
        <v>74</v>
      </c>
      <c r="BQ1981" t="s">
        <v>74</v>
      </c>
      <c r="BR1981" t="s">
        <v>96</v>
      </c>
      <c r="BS1981" t="s">
        <v>9635</v>
      </c>
      <c r="BT1981" t="str">
        <f>HYPERLINK("https%3A%2F%2Fwww.webofscience.com%2Fwos%2Fwoscc%2Ffull-record%2FWOS:000799527100002","View Full Record in Web of Science")</f>
        <v>View Full Record in Web of Science</v>
      </c>
    </row>
    <row r="1982" spans="1:72" x14ac:dyDescent="0.15">
      <c r="A1982" t="s">
        <v>98</v>
      </c>
      <c r="B1982" t="s">
        <v>9724</v>
      </c>
      <c r="C1982" t="s">
        <v>74</v>
      </c>
      <c r="D1982" t="s">
        <v>74</v>
      </c>
      <c r="E1982" t="s">
        <v>74</v>
      </c>
      <c r="F1982" t="s">
        <v>9725</v>
      </c>
      <c r="G1982" t="s">
        <v>74</v>
      </c>
      <c r="H1982" t="s">
        <v>74</v>
      </c>
      <c r="I1982" t="s">
        <v>9726</v>
      </c>
      <c r="J1982" t="s">
        <v>9727</v>
      </c>
      <c r="K1982" t="s">
        <v>74</v>
      </c>
      <c r="L1982" t="s">
        <v>74</v>
      </c>
      <c r="M1982" t="s">
        <v>74</v>
      </c>
      <c r="N1982" t="s">
        <v>103</v>
      </c>
      <c r="O1982" t="s">
        <v>74</v>
      </c>
      <c r="P1982" t="s">
        <v>74</v>
      </c>
      <c r="Q1982" t="s">
        <v>74</v>
      </c>
      <c r="R1982" t="s">
        <v>74</v>
      </c>
      <c r="S1982" t="s">
        <v>74</v>
      </c>
      <c r="T1982" t="s">
        <v>74</v>
      </c>
      <c r="U1982" t="s">
        <v>9728</v>
      </c>
      <c r="V1982" t="s">
        <v>9729</v>
      </c>
      <c r="W1982" t="s">
        <v>9730</v>
      </c>
      <c r="X1982" t="s">
        <v>9731</v>
      </c>
      <c r="Y1982" t="s">
        <v>9732</v>
      </c>
      <c r="Z1982" t="s">
        <v>9733</v>
      </c>
      <c r="AA1982" t="s">
        <v>9734</v>
      </c>
      <c r="AB1982" t="s">
        <v>9735</v>
      </c>
      <c r="AC1982" t="s">
        <v>74</v>
      </c>
      <c r="AD1982" t="s">
        <v>74</v>
      </c>
      <c r="AE1982" t="s">
        <v>74</v>
      </c>
      <c r="AF1982" t="s">
        <v>74</v>
      </c>
      <c r="AG1982">
        <v>49</v>
      </c>
      <c r="AH1982">
        <v>0</v>
      </c>
      <c r="AI1982">
        <v>0</v>
      </c>
      <c r="AJ1982">
        <v>31</v>
      </c>
      <c r="AK1982">
        <v>31</v>
      </c>
      <c r="AL1982" t="s">
        <v>74</v>
      </c>
      <c r="AM1982" t="s">
        <v>74</v>
      </c>
      <c r="AN1982" t="s">
        <v>74</v>
      </c>
      <c r="AO1982" t="s">
        <v>9736</v>
      </c>
      <c r="AP1982" t="s">
        <v>9737</v>
      </c>
      <c r="AQ1982" t="s">
        <v>74</v>
      </c>
      <c r="AR1982" t="s">
        <v>74</v>
      </c>
      <c r="AS1982" t="s">
        <v>74</v>
      </c>
      <c r="AT1982" t="s">
        <v>9738</v>
      </c>
      <c r="AU1982">
        <v>2022</v>
      </c>
      <c r="AV1982">
        <v>23</v>
      </c>
      <c r="AW1982">
        <v>4</v>
      </c>
      <c r="AX1982" t="s">
        <v>74</v>
      </c>
      <c r="AY1982" t="s">
        <v>74</v>
      </c>
      <c r="AZ1982" t="s">
        <v>74</v>
      </c>
      <c r="BA1982" t="s">
        <v>74</v>
      </c>
      <c r="BB1982">
        <v>1713</v>
      </c>
      <c r="BC1982">
        <v>1722</v>
      </c>
      <c r="BD1982" t="s">
        <v>74</v>
      </c>
      <c r="BE1982" t="s">
        <v>9739</v>
      </c>
      <c r="BF1982" t="str">
        <f>HYPERLINK("http://dx.doi.org/10.1021/acs.biomac.1c01636","http://dx.doi.org/10.1021/acs.biomac.1c01636")</f>
        <v>http://dx.doi.org/10.1021/acs.biomac.1c01636</v>
      </c>
      <c r="BG1982" t="s">
        <v>74</v>
      </c>
      <c r="BH1982" t="s">
        <v>74</v>
      </c>
      <c r="BI1982" t="s">
        <v>74</v>
      </c>
      <c r="BJ1982" t="s">
        <v>9740</v>
      </c>
      <c r="BK1982" t="s">
        <v>117</v>
      </c>
      <c r="BL1982" t="s">
        <v>9741</v>
      </c>
      <c r="BM1982" t="s">
        <v>74</v>
      </c>
      <c r="BN1982">
        <v>35302760</v>
      </c>
      <c r="BO1982" t="s">
        <v>74</v>
      </c>
      <c r="BP1982" t="s">
        <v>74</v>
      </c>
      <c r="BQ1982" t="s">
        <v>74</v>
      </c>
      <c r="BR1982" t="s">
        <v>96</v>
      </c>
      <c r="BS1982" t="s">
        <v>9742</v>
      </c>
      <c r="BT1982" t="str">
        <f>HYPERLINK("https%3A%2F%2Fwww.webofscience.com%2Fwos%2Fwoscc%2Ffull-record%2FWOS:000787824500021","View Full Record in Web of Science")</f>
        <v>View Full Record in Web of Science</v>
      </c>
    </row>
    <row r="1983" spans="1:72" x14ac:dyDescent="0.15">
      <c r="A1983" t="s">
        <v>98</v>
      </c>
      <c r="B1983" t="s">
        <v>9774</v>
      </c>
      <c r="C1983" t="s">
        <v>74</v>
      </c>
      <c r="D1983" t="s">
        <v>74</v>
      </c>
      <c r="E1983" t="s">
        <v>74</v>
      </c>
      <c r="F1983" t="s">
        <v>9775</v>
      </c>
      <c r="G1983" t="s">
        <v>74</v>
      </c>
      <c r="H1983" t="s">
        <v>74</v>
      </c>
      <c r="I1983" t="s">
        <v>9776</v>
      </c>
      <c r="J1983" t="s">
        <v>9777</v>
      </c>
      <c r="K1983" t="s">
        <v>74</v>
      </c>
      <c r="L1983" t="s">
        <v>74</v>
      </c>
      <c r="M1983" t="s">
        <v>74</v>
      </c>
      <c r="N1983" t="s">
        <v>103</v>
      </c>
      <c r="O1983" t="s">
        <v>74</v>
      </c>
      <c r="P1983" t="s">
        <v>74</v>
      </c>
      <c r="Q1983" t="s">
        <v>74</v>
      </c>
      <c r="R1983" t="s">
        <v>74</v>
      </c>
      <c r="S1983" t="s">
        <v>74</v>
      </c>
      <c r="T1983" t="s">
        <v>9778</v>
      </c>
      <c r="U1983" t="s">
        <v>9779</v>
      </c>
      <c r="V1983" t="s">
        <v>9780</v>
      </c>
      <c r="W1983" t="s">
        <v>9781</v>
      </c>
      <c r="X1983" t="s">
        <v>9782</v>
      </c>
      <c r="Y1983" t="s">
        <v>9783</v>
      </c>
      <c r="Z1983" t="s">
        <v>9784</v>
      </c>
      <c r="AA1983" t="s">
        <v>74</v>
      </c>
      <c r="AB1983" t="s">
        <v>74</v>
      </c>
      <c r="AC1983" t="s">
        <v>74</v>
      </c>
      <c r="AD1983" t="s">
        <v>74</v>
      </c>
      <c r="AE1983" t="s">
        <v>74</v>
      </c>
      <c r="AF1983" t="s">
        <v>74</v>
      </c>
      <c r="AG1983">
        <v>53</v>
      </c>
      <c r="AH1983">
        <v>0</v>
      </c>
      <c r="AI1983">
        <v>0</v>
      </c>
      <c r="AJ1983">
        <v>1</v>
      </c>
      <c r="AK1983">
        <v>2</v>
      </c>
      <c r="AL1983" t="s">
        <v>74</v>
      </c>
      <c r="AM1983" t="s">
        <v>74</v>
      </c>
      <c r="AN1983" t="s">
        <v>74</v>
      </c>
      <c r="AO1983" t="s">
        <v>74</v>
      </c>
      <c r="AP1983" t="s">
        <v>9785</v>
      </c>
      <c r="AQ1983" t="s">
        <v>74</v>
      </c>
      <c r="AR1983" t="s">
        <v>74</v>
      </c>
      <c r="AS1983" t="s">
        <v>74</v>
      </c>
      <c r="AT1983" t="s">
        <v>9786</v>
      </c>
      <c r="AU1983">
        <v>2021</v>
      </c>
      <c r="AV1983">
        <v>8</v>
      </c>
      <c r="AW1983" t="s">
        <v>74</v>
      </c>
      <c r="AX1983" t="s">
        <v>74</v>
      </c>
      <c r="AY1983" t="s">
        <v>74</v>
      </c>
      <c r="AZ1983" t="s">
        <v>74</v>
      </c>
      <c r="BA1983" t="s">
        <v>74</v>
      </c>
      <c r="BB1983" t="s">
        <v>74</v>
      </c>
      <c r="BC1983" t="s">
        <v>74</v>
      </c>
      <c r="BD1983">
        <v>758971</v>
      </c>
      <c r="BE1983" t="s">
        <v>9787</v>
      </c>
      <c r="BF1983" t="str">
        <f>HYPERLINK("http://dx.doi.org/10.3389/fmed.2021.758971","http://dx.doi.org/10.3389/fmed.2021.758971")</f>
        <v>http://dx.doi.org/10.3389/fmed.2021.758971</v>
      </c>
      <c r="BG1983" t="s">
        <v>74</v>
      </c>
      <c r="BH1983" t="s">
        <v>74</v>
      </c>
      <c r="BI1983" t="s">
        <v>74</v>
      </c>
      <c r="BJ1983" t="s">
        <v>2564</v>
      </c>
      <c r="BK1983" t="s">
        <v>117</v>
      </c>
      <c r="BL1983" t="s">
        <v>2565</v>
      </c>
      <c r="BM1983" t="s">
        <v>74</v>
      </c>
      <c r="BN1983">
        <v>35004728</v>
      </c>
      <c r="BO1983" t="s">
        <v>74</v>
      </c>
      <c r="BP1983" t="s">
        <v>74</v>
      </c>
      <c r="BQ1983" t="s">
        <v>74</v>
      </c>
      <c r="BR1983" t="s">
        <v>96</v>
      </c>
      <c r="BS1983" t="s">
        <v>9788</v>
      </c>
      <c r="BT1983" t="str">
        <f>HYPERLINK("https%3A%2F%2Fwww.webofscience.com%2Fwos%2Fwoscc%2Ffull-record%2FWOS:000743176700001","View Full Record in Web of Science")</f>
        <v>View Full Record in Web of Science</v>
      </c>
    </row>
    <row r="1984" spans="1:72" x14ac:dyDescent="0.15">
      <c r="A1984" t="s">
        <v>98</v>
      </c>
      <c r="B1984" t="s">
        <v>9898</v>
      </c>
      <c r="C1984" t="s">
        <v>74</v>
      </c>
      <c r="D1984" t="s">
        <v>74</v>
      </c>
      <c r="E1984" t="s">
        <v>74</v>
      </c>
      <c r="F1984" t="s">
        <v>9899</v>
      </c>
      <c r="G1984" t="s">
        <v>74</v>
      </c>
      <c r="H1984" t="s">
        <v>74</v>
      </c>
      <c r="I1984" t="s">
        <v>9900</v>
      </c>
      <c r="J1984" t="s">
        <v>817</v>
      </c>
      <c r="K1984" t="s">
        <v>74</v>
      </c>
      <c r="L1984" t="s">
        <v>74</v>
      </c>
      <c r="M1984" t="s">
        <v>74</v>
      </c>
      <c r="N1984" t="s">
        <v>103</v>
      </c>
      <c r="O1984" t="s">
        <v>74</v>
      </c>
      <c r="P1984" t="s">
        <v>74</v>
      </c>
      <c r="Q1984" t="s">
        <v>74</v>
      </c>
      <c r="R1984" t="s">
        <v>74</v>
      </c>
      <c r="S1984" t="s">
        <v>74</v>
      </c>
      <c r="T1984" t="s">
        <v>9901</v>
      </c>
      <c r="U1984" t="s">
        <v>9902</v>
      </c>
      <c r="V1984" t="s">
        <v>9903</v>
      </c>
      <c r="W1984" t="s">
        <v>9904</v>
      </c>
      <c r="X1984" t="s">
        <v>9905</v>
      </c>
      <c r="Y1984" t="s">
        <v>9906</v>
      </c>
      <c r="Z1984" t="s">
        <v>9907</v>
      </c>
      <c r="AA1984" t="s">
        <v>9908</v>
      </c>
      <c r="AB1984" t="s">
        <v>9909</v>
      </c>
      <c r="AC1984" t="s">
        <v>74</v>
      </c>
      <c r="AD1984" t="s">
        <v>74</v>
      </c>
      <c r="AE1984" t="s">
        <v>74</v>
      </c>
      <c r="AF1984" t="s">
        <v>74</v>
      </c>
      <c r="AG1984">
        <v>47</v>
      </c>
      <c r="AH1984">
        <v>0</v>
      </c>
      <c r="AI1984">
        <v>0</v>
      </c>
      <c r="AJ1984">
        <v>0</v>
      </c>
      <c r="AK1984">
        <v>0</v>
      </c>
      <c r="AL1984" t="s">
        <v>74</v>
      </c>
      <c r="AM1984" t="s">
        <v>74</v>
      </c>
      <c r="AN1984" t="s">
        <v>74</v>
      </c>
      <c r="AO1984" t="s">
        <v>74</v>
      </c>
      <c r="AP1984" t="s">
        <v>827</v>
      </c>
      <c r="AQ1984" t="s">
        <v>74</v>
      </c>
      <c r="AR1984" t="s">
        <v>74</v>
      </c>
      <c r="AS1984" t="s">
        <v>74</v>
      </c>
      <c r="AT1984" t="s">
        <v>132</v>
      </c>
      <c r="AU1984">
        <v>2022</v>
      </c>
      <c r="AV1984">
        <v>23</v>
      </c>
      <c r="AW1984">
        <v>8</v>
      </c>
      <c r="AX1984" t="s">
        <v>74</v>
      </c>
      <c r="AY1984" t="s">
        <v>74</v>
      </c>
      <c r="AZ1984" t="s">
        <v>74</v>
      </c>
      <c r="BA1984" t="s">
        <v>74</v>
      </c>
      <c r="BB1984" t="s">
        <v>74</v>
      </c>
      <c r="BC1984" t="s">
        <v>74</v>
      </c>
      <c r="BD1984">
        <v>4169</v>
      </c>
      <c r="BE1984" t="s">
        <v>9910</v>
      </c>
      <c r="BF1984" t="str">
        <f>HYPERLINK("http://dx.doi.org/10.3390/ijms23084169","http://dx.doi.org/10.3390/ijms23084169")</f>
        <v>http://dx.doi.org/10.3390/ijms23084169</v>
      </c>
      <c r="BG1984" t="s">
        <v>74</v>
      </c>
      <c r="BH1984" t="s">
        <v>74</v>
      </c>
      <c r="BI1984" t="s">
        <v>74</v>
      </c>
      <c r="BJ1984" t="s">
        <v>830</v>
      </c>
      <c r="BK1984" t="s">
        <v>117</v>
      </c>
      <c r="BL1984" t="s">
        <v>831</v>
      </c>
      <c r="BM1984" t="s">
        <v>74</v>
      </c>
      <c r="BN1984">
        <v>35456987</v>
      </c>
      <c r="BO1984" t="s">
        <v>74</v>
      </c>
      <c r="BP1984" t="s">
        <v>74</v>
      </c>
      <c r="BQ1984" t="s">
        <v>74</v>
      </c>
      <c r="BR1984" t="s">
        <v>96</v>
      </c>
      <c r="BS1984" t="s">
        <v>9911</v>
      </c>
      <c r="BT1984" t="str">
        <f>HYPERLINK("https%3A%2F%2Fwww.webofscience.com%2Fwos%2Fwoscc%2Ffull-record%2FWOS:000787941100001","View Full Record in Web of Science")</f>
        <v>View Full Record in Web of Science</v>
      </c>
    </row>
    <row r="1985" spans="1:72" x14ac:dyDescent="0.15">
      <c r="A1985" t="s">
        <v>98</v>
      </c>
      <c r="B1985" t="s">
        <v>10019</v>
      </c>
      <c r="C1985" t="s">
        <v>74</v>
      </c>
      <c r="D1985" t="s">
        <v>74</v>
      </c>
      <c r="E1985" t="s">
        <v>74</v>
      </c>
      <c r="F1985" t="s">
        <v>10020</v>
      </c>
      <c r="G1985" t="s">
        <v>74</v>
      </c>
      <c r="H1985" t="s">
        <v>74</v>
      </c>
      <c r="I1985" t="s">
        <v>10021</v>
      </c>
      <c r="J1985" t="s">
        <v>10022</v>
      </c>
      <c r="K1985" t="s">
        <v>74</v>
      </c>
      <c r="L1985" t="s">
        <v>74</v>
      </c>
      <c r="M1985" t="s">
        <v>74</v>
      </c>
      <c r="N1985" t="s">
        <v>103</v>
      </c>
      <c r="O1985" t="s">
        <v>74</v>
      </c>
      <c r="P1985" t="s">
        <v>74</v>
      </c>
      <c r="Q1985" t="s">
        <v>74</v>
      </c>
      <c r="R1985" t="s">
        <v>74</v>
      </c>
      <c r="S1985" t="s">
        <v>74</v>
      </c>
      <c r="T1985" t="s">
        <v>10023</v>
      </c>
      <c r="U1985" t="s">
        <v>10024</v>
      </c>
      <c r="V1985" t="s">
        <v>10025</v>
      </c>
      <c r="W1985" t="s">
        <v>10026</v>
      </c>
      <c r="X1985" t="s">
        <v>10027</v>
      </c>
      <c r="Y1985" t="s">
        <v>10028</v>
      </c>
      <c r="Z1985" t="s">
        <v>10029</v>
      </c>
      <c r="AA1985" t="s">
        <v>74</v>
      </c>
      <c r="AB1985" t="s">
        <v>10030</v>
      </c>
      <c r="AC1985" t="s">
        <v>74</v>
      </c>
      <c r="AD1985" t="s">
        <v>74</v>
      </c>
      <c r="AE1985" t="s">
        <v>74</v>
      </c>
      <c r="AF1985" t="s">
        <v>74</v>
      </c>
      <c r="AG1985">
        <v>25</v>
      </c>
      <c r="AH1985">
        <v>0</v>
      </c>
      <c r="AI1985">
        <v>0</v>
      </c>
      <c r="AJ1985">
        <v>0</v>
      </c>
      <c r="AK1985">
        <v>0</v>
      </c>
      <c r="AL1985" t="s">
        <v>74</v>
      </c>
      <c r="AM1985" t="s">
        <v>74</v>
      </c>
      <c r="AN1985" t="s">
        <v>74</v>
      </c>
      <c r="AO1985" t="s">
        <v>10031</v>
      </c>
      <c r="AP1985" t="s">
        <v>10032</v>
      </c>
      <c r="AQ1985" t="s">
        <v>74</v>
      </c>
      <c r="AR1985" t="s">
        <v>74</v>
      </c>
      <c r="AS1985" t="s">
        <v>74</v>
      </c>
      <c r="AT1985" t="s">
        <v>211</v>
      </c>
      <c r="AU1985">
        <v>2021</v>
      </c>
      <c r="AV1985">
        <v>115</v>
      </c>
      <c r="AW1985" t="s">
        <v>74</v>
      </c>
      <c r="AX1985" t="s">
        <v>74</v>
      </c>
      <c r="AY1985" t="s">
        <v>74</v>
      </c>
      <c r="AZ1985" t="s">
        <v>74</v>
      </c>
      <c r="BA1985" t="s">
        <v>74</v>
      </c>
      <c r="BB1985">
        <v>115</v>
      </c>
      <c r="BC1985">
        <v>120</v>
      </c>
      <c r="BD1985" t="s">
        <v>74</v>
      </c>
      <c r="BE1985" t="s">
        <v>10033</v>
      </c>
      <c r="BF1985" t="str">
        <f>HYPERLINK("http://dx.doi.org/10.1016/j.placenta.2021.09.017","http://dx.doi.org/10.1016/j.placenta.2021.09.017")</f>
        <v>http://dx.doi.org/10.1016/j.placenta.2021.09.017</v>
      </c>
      <c r="BG1985" t="s">
        <v>74</v>
      </c>
      <c r="BH1985" t="s">
        <v>74</v>
      </c>
      <c r="BI1985" t="s">
        <v>74</v>
      </c>
      <c r="BJ1985" t="s">
        <v>10034</v>
      </c>
      <c r="BK1985" t="s">
        <v>117</v>
      </c>
      <c r="BL1985" t="s">
        <v>10034</v>
      </c>
      <c r="BM1985" t="s">
        <v>74</v>
      </c>
      <c r="BN1985">
        <v>34600275</v>
      </c>
      <c r="BO1985" t="s">
        <v>74</v>
      </c>
      <c r="BP1985" t="s">
        <v>74</v>
      </c>
      <c r="BQ1985" t="s">
        <v>74</v>
      </c>
      <c r="BR1985" t="s">
        <v>96</v>
      </c>
      <c r="BS1985" t="s">
        <v>10035</v>
      </c>
      <c r="BT1985" t="str">
        <f>HYPERLINK("https%3A%2F%2Fwww.webofscience.com%2Fwos%2Fwoscc%2Ffull-record%2FWOS:000714647500002","View Full Record in Web of Science")</f>
        <v>View Full Record in Web of Science</v>
      </c>
    </row>
    <row r="1986" spans="1:72" x14ac:dyDescent="0.15">
      <c r="A1986" t="s">
        <v>98</v>
      </c>
      <c r="B1986" t="s">
        <v>10192</v>
      </c>
      <c r="C1986" t="s">
        <v>74</v>
      </c>
      <c r="D1986" t="s">
        <v>74</v>
      </c>
      <c r="E1986" t="s">
        <v>74</v>
      </c>
      <c r="F1986" t="s">
        <v>10193</v>
      </c>
      <c r="G1986" t="s">
        <v>74</v>
      </c>
      <c r="H1986" t="s">
        <v>74</v>
      </c>
      <c r="I1986" t="s">
        <v>10194</v>
      </c>
      <c r="J1986" t="s">
        <v>10195</v>
      </c>
      <c r="K1986" t="s">
        <v>74</v>
      </c>
      <c r="L1986" t="s">
        <v>74</v>
      </c>
      <c r="M1986" t="s">
        <v>74</v>
      </c>
      <c r="N1986" t="s">
        <v>103</v>
      </c>
      <c r="O1986" t="s">
        <v>74</v>
      </c>
      <c r="P1986" t="s">
        <v>74</v>
      </c>
      <c r="Q1986" t="s">
        <v>74</v>
      </c>
      <c r="R1986" t="s">
        <v>74</v>
      </c>
      <c r="S1986" t="s">
        <v>74</v>
      </c>
      <c r="T1986" t="s">
        <v>74</v>
      </c>
      <c r="U1986" t="s">
        <v>10196</v>
      </c>
      <c r="V1986" t="s">
        <v>10197</v>
      </c>
      <c r="W1986" t="s">
        <v>10198</v>
      </c>
      <c r="X1986" t="s">
        <v>10199</v>
      </c>
      <c r="Y1986" t="s">
        <v>10200</v>
      </c>
      <c r="Z1986" t="s">
        <v>10201</v>
      </c>
      <c r="AA1986" t="s">
        <v>74</v>
      </c>
      <c r="AB1986" t="s">
        <v>74</v>
      </c>
      <c r="AC1986" t="s">
        <v>74</v>
      </c>
      <c r="AD1986" t="s">
        <v>74</v>
      </c>
      <c r="AE1986" t="s">
        <v>74</v>
      </c>
      <c r="AF1986" t="s">
        <v>74</v>
      </c>
      <c r="AG1986">
        <v>50</v>
      </c>
      <c r="AH1986">
        <v>0</v>
      </c>
      <c r="AI1986">
        <v>0</v>
      </c>
      <c r="AJ1986">
        <v>2</v>
      </c>
      <c r="AK1986">
        <v>2</v>
      </c>
      <c r="AL1986" t="s">
        <v>74</v>
      </c>
      <c r="AM1986" t="s">
        <v>74</v>
      </c>
      <c r="AN1986" t="s">
        <v>74</v>
      </c>
      <c r="AO1986" t="s">
        <v>10202</v>
      </c>
      <c r="AP1986" t="s">
        <v>10203</v>
      </c>
      <c r="AQ1986" t="s">
        <v>74</v>
      </c>
      <c r="AR1986" t="s">
        <v>74</v>
      </c>
      <c r="AS1986" t="s">
        <v>74</v>
      </c>
      <c r="AT1986" t="s">
        <v>230</v>
      </c>
      <c r="AU1986">
        <v>2022</v>
      </c>
      <c r="AV1986">
        <v>102</v>
      </c>
      <c r="AW1986">
        <v>8</v>
      </c>
      <c r="AX1986" t="s">
        <v>74</v>
      </c>
      <c r="AY1986" t="s">
        <v>74</v>
      </c>
      <c r="AZ1986" t="s">
        <v>74</v>
      </c>
      <c r="BA1986" t="s">
        <v>74</v>
      </c>
      <c r="BB1986">
        <v>826</v>
      </c>
      <c r="BC1986">
        <v>837</v>
      </c>
      <c r="BD1986" t="s">
        <v>74</v>
      </c>
      <c r="BE1986" t="s">
        <v>10204</v>
      </c>
      <c r="BF1986" t="str">
        <f>HYPERLINK("http://dx.doi.org/10.1038/s41374-021-00691-6","http://dx.doi.org/10.1038/s41374-021-00691-6")</f>
        <v>http://dx.doi.org/10.1038/s41374-021-00691-6</v>
      </c>
      <c r="BG1986" t="s">
        <v>74</v>
      </c>
      <c r="BH1986" t="s">
        <v>6394</v>
      </c>
      <c r="BI1986" t="s">
        <v>74</v>
      </c>
      <c r="BJ1986" t="s">
        <v>4308</v>
      </c>
      <c r="BK1986" t="s">
        <v>117</v>
      </c>
      <c r="BL1986" t="s">
        <v>4309</v>
      </c>
      <c r="BM1986" t="s">
        <v>74</v>
      </c>
      <c r="BN1986">
        <v>35332261</v>
      </c>
      <c r="BO1986" t="s">
        <v>74</v>
      </c>
      <c r="BP1986" t="s">
        <v>74</v>
      </c>
      <c r="BQ1986" t="s">
        <v>74</v>
      </c>
      <c r="BR1986" t="s">
        <v>96</v>
      </c>
      <c r="BS1986" t="s">
        <v>10205</v>
      </c>
      <c r="BT1986" t="str">
        <f>HYPERLINK("https%3A%2F%2Fwww.webofscience.com%2Fwos%2Fwoscc%2Ffull-record%2FWOS:000772958000002","View Full Record in Web of Science")</f>
        <v>View Full Record in Web of Science</v>
      </c>
    </row>
    <row r="1987" spans="1:72" x14ac:dyDescent="0.15">
      <c r="A1987" t="s">
        <v>98</v>
      </c>
      <c r="B1987" t="s">
        <v>10218</v>
      </c>
      <c r="C1987" t="s">
        <v>74</v>
      </c>
      <c r="D1987" t="s">
        <v>74</v>
      </c>
      <c r="E1987" t="s">
        <v>74</v>
      </c>
      <c r="F1987" t="s">
        <v>10219</v>
      </c>
      <c r="G1987" t="s">
        <v>74</v>
      </c>
      <c r="H1987" t="s">
        <v>74</v>
      </c>
      <c r="I1987" t="s">
        <v>10220</v>
      </c>
      <c r="J1987" t="s">
        <v>3650</v>
      </c>
      <c r="K1987" t="s">
        <v>74</v>
      </c>
      <c r="L1987" t="s">
        <v>74</v>
      </c>
      <c r="M1987" t="s">
        <v>74</v>
      </c>
      <c r="N1987" t="s">
        <v>103</v>
      </c>
      <c r="O1987" t="s">
        <v>74</v>
      </c>
      <c r="P1987" t="s">
        <v>74</v>
      </c>
      <c r="Q1987" t="s">
        <v>74</v>
      </c>
      <c r="R1987" t="s">
        <v>74</v>
      </c>
      <c r="S1987" t="s">
        <v>74</v>
      </c>
      <c r="T1987" t="s">
        <v>10221</v>
      </c>
      <c r="U1987" t="s">
        <v>10222</v>
      </c>
      <c r="V1987" t="s">
        <v>10223</v>
      </c>
      <c r="W1987" t="s">
        <v>10224</v>
      </c>
      <c r="X1987" t="s">
        <v>10225</v>
      </c>
      <c r="Y1987" t="s">
        <v>10226</v>
      </c>
      <c r="Z1987" t="s">
        <v>10227</v>
      </c>
      <c r="AA1987" t="s">
        <v>74</v>
      </c>
      <c r="AB1987" t="s">
        <v>74</v>
      </c>
      <c r="AC1987" t="s">
        <v>74</v>
      </c>
      <c r="AD1987" t="s">
        <v>74</v>
      </c>
      <c r="AE1987" t="s">
        <v>74</v>
      </c>
      <c r="AF1987" t="s">
        <v>74</v>
      </c>
      <c r="AG1987">
        <v>35</v>
      </c>
      <c r="AH1987">
        <v>0</v>
      </c>
      <c r="AI1987">
        <v>0</v>
      </c>
      <c r="AJ1987">
        <v>0</v>
      </c>
      <c r="AK1987">
        <v>0</v>
      </c>
      <c r="AL1987" t="s">
        <v>74</v>
      </c>
      <c r="AM1987" t="s">
        <v>74</v>
      </c>
      <c r="AN1987" t="s">
        <v>74</v>
      </c>
      <c r="AO1987" t="s">
        <v>74</v>
      </c>
      <c r="AP1987" t="s">
        <v>3659</v>
      </c>
      <c r="AQ1987" t="s">
        <v>74</v>
      </c>
      <c r="AR1987" t="s">
        <v>74</v>
      </c>
      <c r="AS1987" t="s">
        <v>74</v>
      </c>
      <c r="AT1987" t="s">
        <v>5213</v>
      </c>
      <c r="AU1987">
        <v>2022</v>
      </c>
      <c r="AV1987">
        <v>369</v>
      </c>
      <c r="AW1987" t="s">
        <v>74</v>
      </c>
      <c r="AX1987" t="s">
        <v>74</v>
      </c>
      <c r="AY1987" t="s">
        <v>74</v>
      </c>
      <c r="AZ1987" t="s">
        <v>74</v>
      </c>
      <c r="BA1987" t="s">
        <v>74</v>
      </c>
      <c r="BB1987" t="s">
        <v>74</v>
      </c>
      <c r="BC1987" t="s">
        <v>74</v>
      </c>
      <c r="BD1987">
        <v>132332</v>
      </c>
      <c r="BE1987" t="s">
        <v>10228</v>
      </c>
      <c r="BF1987" t="str">
        <f>HYPERLINK("http://dx.doi.org/10.1016/j.snb.2022.132332","http://dx.doi.org/10.1016/j.snb.2022.132332")</f>
        <v>http://dx.doi.org/10.1016/j.snb.2022.132332</v>
      </c>
      <c r="BG1987" t="s">
        <v>74</v>
      </c>
      <c r="BH1987" t="s">
        <v>74</v>
      </c>
      <c r="BI1987" t="s">
        <v>74</v>
      </c>
      <c r="BJ1987" t="s">
        <v>3663</v>
      </c>
      <c r="BK1987" t="s">
        <v>117</v>
      </c>
      <c r="BL1987" t="s">
        <v>3664</v>
      </c>
      <c r="BM1987" t="s">
        <v>74</v>
      </c>
      <c r="BN1987" t="s">
        <v>74</v>
      </c>
      <c r="BO1987" t="s">
        <v>74</v>
      </c>
      <c r="BP1987" t="s">
        <v>74</v>
      </c>
      <c r="BQ1987" t="s">
        <v>74</v>
      </c>
      <c r="BR1987" t="s">
        <v>96</v>
      </c>
      <c r="BS1987" t="s">
        <v>10229</v>
      </c>
      <c r="BT1987" t="str">
        <f>HYPERLINK("https%3A%2F%2Fwww.webofscience.com%2Fwos%2Fwoscc%2Ffull-record%2FWOS:000838018200004","View Full Record in Web of Science")</f>
        <v>View Full Record in Web of Science</v>
      </c>
    </row>
    <row r="1988" spans="1:72" x14ac:dyDescent="0.15">
      <c r="A1988" t="s">
        <v>98</v>
      </c>
      <c r="B1988" t="s">
        <v>10362</v>
      </c>
      <c r="C1988" t="s">
        <v>74</v>
      </c>
      <c r="D1988" t="s">
        <v>74</v>
      </c>
      <c r="E1988" t="s">
        <v>74</v>
      </c>
      <c r="F1988" t="s">
        <v>10363</v>
      </c>
      <c r="G1988" t="s">
        <v>74</v>
      </c>
      <c r="H1988" t="s">
        <v>74</v>
      </c>
      <c r="I1988" t="s">
        <v>10364</v>
      </c>
      <c r="J1988" t="s">
        <v>4030</v>
      </c>
      <c r="K1988" t="s">
        <v>74</v>
      </c>
      <c r="L1988" t="s">
        <v>74</v>
      </c>
      <c r="M1988" t="s">
        <v>74</v>
      </c>
      <c r="N1988" t="s">
        <v>103</v>
      </c>
      <c r="O1988" t="s">
        <v>74</v>
      </c>
      <c r="P1988" t="s">
        <v>74</v>
      </c>
      <c r="Q1988" t="s">
        <v>74</v>
      </c>
      <c r="R1988" t="s">
        <v>74</v>
      </c>
      <c r="S1988" t="s">
        <v>74</v>
      </c>
      <c r="T1988" t="s">
        <v>10365</v>
      </c>
      <c r="U1988" t="s">
        <v>10366</v>
      </c>
      <c r="V1988" t="s">
        <v>10367</v>
      </c>
      <c r="W1988" t="s">
        <v>10368</v>
      </c>
      <c r="X1988" t="s">
        <v>10369</v>
      </c>
      <c r="Y1988" t="s">
        <v>10370</v>
      </c>
      <c r="Z1988" t="s">
        <v>10371</v>
      </c>
      <c r="AA1988" t="s">
        <v>74</v>
      </c>
      <c r="AB1988" t="s">
        <v>74</v>
      </c>
      <c r="AC1988" t="s">
        <v>74</v>
      </c>
      <c r="AD1988" t="s">
        <v>74</v>
      </c>
      <c r="AE1988" t="s">
        <v>74</v>
      </c>
      <c r="AF1988" t="s">
        <v>74</v>
      </c>
      <c r="AG1988">
        <v>36</v>
      </c>
      <c r="AH1988">
        <v>0</v>
      </c>
      <c r="AI1988">
        <v>0</v>
      </c>
      <c r="AJ1988">
        <v>2</v>
      </c>
      <c r="AK1988">
        <v>2</v>
      </c>
      <c r="AL1988" t="s">
        <v>74</v>
      </c>
      <c r="AM1988" t="s">
        <v>74</v>
      </c>
      <c r="AN1988" t="s">
        <v>74</v>
      </c>
      <c r="AO1988" t="s">
        <v>4037</v>
      </c>
      <c r="AP1988" t="s">
        <v>74</v>
      </c>
      <c r="AQ1988" t="s">
        <v>74</v>
      </c>
      <c r="AR1988" t="s">
        <v>74</v>
      </c>
      <c r="AS1988" t="s">
        <v>74</v>
      </c>
      <c r="AT1988" t="s">
        <v>6391</v>
      </c>
      <c r="AU1988">
        <v>2022</v>
      </c>
      <c r="AV1988">
        <v>10</v>
      </c>
      <c r="AW1988" t="s">
        <v>74</v>
      </c>
      <c r="AX1988" t="s">
        <v>74</v>
      </c>
      <c r="AY1988" t="s">
        <v>74</v>
      </c>
      <c r="AZ1988" t="s">
        <v>74</v>
      </c>
      <c r="BA1988" t="s">
        <v>74</v>
      </c>
      <c r="BB1988" t="s">
        <v>74</v>
      </c>
      <c r="BC1988" t="s">
        <v>74</v>
      </c>
      <c r="BD1988">
        <v>892661</v>
      </c>
      <c r="BE1988" t="s">
        <v>10372</v>
      </c>
      <c r="BF1988" t="str">
        <f>HYPERLINK("http://dx.doi.org/10.3389/fbioe.2022.892661","http://dx.doi.org/10.3389/fbioe.2022.892661")</f>
        <v>http://dx.doi.org/10.3389/fbioe.2022.892661</v>
      </c>
      <c r="BG1988" t="s">
        <v>74</v>
      </c>
      <c r="BH1988" t="s">
        <v>74</v>
      </c>
      <c r="BI1988" t="s">
        <v>74</v>
      </c>
      <c r="BJ1988" t="s">
        <v>4040</v>
      </c>
      <c r="BK1988" t="s">
        <v>117</v>
      </c>
      <c r="BL1988" t="s">
        <v>3878</v>
      </c>
      <c r="BM1988" t="s">
        <v>74</v>
      </c>
      <c r="BN1988">
        <v>35721867</v>
      </c>
      <c r="BO1988" t="s">
        <v>74</v>
      </c>
      <c r="BP1988" t="s">
        <v>74</v>
      </c>
      <c r="BQ1988" t="s">
        <v>74</v>
      </c>
      <c r="BR1988" t="s">
        <v>96</v>
      </c>
      <c r="BS1988" t="s">
        <v>10373</v>
      </c>
      <c r="BT1988" t="str">
        <f>HYPERLINK("https%3A%2F%2Fwww.webofscience.com%2Fwos%2Fwoscc%2Ffull-record%2FWOS:000811647200001","View Full Record in Web of Science")</f>
        <v>View Full Record in Web of Science</v>
      </c>
    </row>
    <row r="1989" spans="1:72" x14ac:dyDescent="0.15">
      <c r="A1989" t="s">
        <v>98</v>
      </c>
      <c r="B1989" t="s">
        <v>10416</v>
      </c>
      <c r="C1989" t="s">
        <v>74</v>
      </c>
      <c r="D1989" t="s">
        <v>74</v>
      </c>
      <c r="E1989" t="s">
        <v>74</v>
      </c>
      <c r="F1989" t="s">
        <v>10417</v>
      </c>
      <c r="G1989" t="s">
        <v>74</v>
      </c>
      <c r="H1989" t="s">
        <v>74</v>
      </c>
      <c r="I1989" t="s">
        <v>10418</v>
      </c>
      <c r="J1989" t="s">
        <v>2105</v>
      </c>
      <c r="K1989" t="s">
        <v>74</v>
      </c>
      <c r="L1989" t="s">
        <v>74</v>
      </c>
      <c r="M1989" t="s">
        <v>74</v>
      </c>
      <c r="N1989" t="s">
        <v>103</v>
      </c>
      <c r="O1989" t="s">
        <v>74</v>
      </c>
      <c r="P1989" t="s">
        <v>74</v>
      </c>
      <c r="Q1989" t="s">
        <v>74</v>
      </c>
      <c r="R1989" t="s">
        <v>74</v>
      </c>
      <c r="S1989" t="s">
        <v>74</v>
      </c>
      <c r="T1989" t="s">
        <v>10419</v>
      </c>
      <c r="U1989" t="s">
        <v>10420</v>
      </c>
      <c r="V1989" t="s">
        <v>10421</v>
      </c>
      <c r="W1989" t="s">
        <v>10422</v>
      </c>
      <c r="X1989" t="s">
        <v>10423</v>
      </c>
      <c r="Y1989" t="s">
        <v>10424</v>
      </c>
      <c r="Z1989" t="s">
        <v>10425</v>
      </c>
      <c r="AA1989" t="s">
        <v>74</v>
      </c>
      <c r="AB1989" t="s">
        <v>74</v>
      </c>
      <c r="AC1989" t="s">
        <v>74</v>
      </c>
      <c r="AD1989" t="s">
        <v>74</v>
      </c>
      <c r="AE1989" t="s">
        <v>74</v>
      </c>
      <c r="AF1989" t="s">
        <v>74</v>
      </c>
      <c r="AG1989">
        <v>46</v>
      </c>
      <c r="AH1989">
        <v>0</v>
      </c>
      <c r="AI1989">
        <v>0</v>
      </c>
      <c r="AJ1989">
        <v>10</v>
      </c>
      <c r="AK1989">
        <v>10</v>
      </c>
      <c r="AL1989" t="s">
        <v>74</v>
      </c>
      <c r="AM1989" t="s">
        <v>74</v>
      </c>
      <c r="AN1989" t="s">
        <v>74</v>
      </c>
      <c r="AO1989" t="s">
        <v>2115</v>
      </c>
      <c r="AP1989" t="s">
        <v>74</v>
      </c>
      <c r="AQ1989" t="s">
        <v>74</v>
      </c>
      <c r="AR1989" t="s">
        <v>74</v>
      </c>
      <c r="AS1989" t="s">
        <v>74</v>
      </c>
      <c r="AT1989" t="s">
        <v>1807</v>
      </c>
      <c r="AU1989">
        <v>2022</v>
      </c>
      <c r="AV1989">
        <v>12</v>
      </c>
      <c r="AW1989" t="s">
        <v>74</v>
      </c>
      <c r="AX1989" t="s">
        <v>74</v>
      </c>
      <c r="AY1989" t="s">
        <v>74</v>
      </c>
      <c r="AZ1989" t="s">
        <v>74</v>
      </c>
      <c r="BA1989" t="s">
        <v>74</v>
      </c>
      <c r="BB1989" t="s">
        <v>74</v>
      </c>
      <c r="BC1989" t="s">
        <v>74</v>
      </c>
      <c r="BD1989">
        <v>779939</v>
      </c>
      <c r="BE1989" t="s">
        <v>10426</v>
      </c>
      <c r="BF1989" t="str">
        <f>HYPERLINK("http://dx.doi.org/10.3389/fonc.2022.779939","http://dx.doi.org/10.3389/fonc.2022.779939")</f>
        <v>http://dx.doi.org/10.3389/fonc.2022.779939</v>
      </c>
      <c r="BG1989" t="s">
        <v>74</v>
      </c>
      <c r="BH1989" t="s">
        <v>74</v>
      </c>
      <c r="BI1989" t="s">
        <v>74</v>
      </c>
      <c r="BJ1989" t="s">
        <v>267</v>
      </c>
      <c r="BK1989" t="s">
        <v>117</v>
      </c>
      <c r="BL1989" t="s">
        <v>267</v>
      </c>
      <c r="BM1989" t="s">
        <v>74</v>
      </c>
      <c r="BN1989">
        <v>35433481</v>
      </c>
      <c r="BO1989" t="s">
        <v>74</v>
      </c>
      <c r="BP1989" t="s">
        <v>74</v>
      </c>
      <c r="BQ1989" t="s">
        <v>74</v>
      </c>
      <c r="BR1989" t="s">
        <v>96</v>
      </c>
      <c r="BS1989" t="s">
        <v>10427</v>
      </c>
      <c r="BT1989" t="str">
        <f>HYPERLINK("https%3A%2F%2Fwww.webofscience.com%2Fwos%2Fwoscc%2Ffull-record%2FWOS:000787914800001","View Full Record in Web of Science")</f>
        <v>View Full Record in Web of Science</v>
      </c>
    </row>
    <row r="1990" spans="1:72" x14ac:dyDescent="0.15">
      <c r="A1990" t="s">
        <v>98</v>
      </c>
      <c r="B1990" t="s">
        <v>10441</v>
      </c>
      <c r="C1990" t="s">
        <v>74</v>
      </c>
      <c r="D1990" t="s">
        <v>74</v>
      </c>
      <c r="E1990" t="s">
        <v>74</v>
      </c>
      <c r="F1990" t="s">
        <v>10442</v>
      </c>
      <c r="G1990" t="s">
        <v>74</v>
      </c>
      <c r="H1990" t="s">
        <v>74</v>
      </c>
      <c r="I1990" t="s">
        <v>10443</v>
      </c>
      <c r="J1990" t="s">
        <v>10444</v>
      </c>
      <c r="K1990" t="s">
        <v>74</v>
      </c>
      <c r="L1990" t="s">
        <v>74</v>
      </c>
      <c r="M1990" t="s">
        <v>74</v>
      </c>
      <c r="N1990" t="s">
        <v>103</v>
      </c>
      <c r="O1990" t="s">
        <v>74</v>
      </c>
      <c r="P1990" t="s">
        <v>74</v>
      </c>
      <c r="Q1990" t="s">
        <v>74</v>
      </c>
      <c r="R1990" t="s">
        <v>74</v>
      </c>
      <c r="S1990" t="s">
        <v>74</v>
      </c>
      <c r="T1990" t="s">
        <v>10445</v>
      </c>
      <c r="U1990" t="s">
        <v>10446</v>
      </c>
      <c r="V1990" t="s">
        <v>10447</v>
      </c>
      <c r="W1990" t="s">
        <v>10448</v>
      </c>
      <c r="X1990" t="s">
        <v>10449</v>
      </c>
      <c r="Y1990" t="s">
        <v>10450</v>
      </c>
      <c r="Z1990" t="s">
        <v>10451</v>
      </c>
      <c r="AA1990" t="s">
        <v>74</v>
      </c>
      <c r="AB1990" t="s">
        <v>74</v>
      </c>
      <c r="AC1990" t="s">
        <v>74</v>
      </c>
      <c r="AD1990" t="s">
        <v>74</v>
      </c>
      <c r="AE1990" t="s">
        <v>74</v>
      </c>
      <c r="AF1990" t="s">
        <v>74</v>
      </c>
      <c r="AG1990">
        <v>30</v>
      </c>
      <c r="AH1990">
        <v>0</v>
      </c>
      <c r="AI1990">
        <v>0</v>
      </c>
      <c r="AJ1990">
        <v>1</v>
      </c>
      <c r="AK1990">
        <v>3</v>
      </c>
      <c r="AL1990" t="s">
        <v>74</v>
      </c>
      <c r="AM1990" t="s">
        <v>74</v>
      </c>
      <c r="AN1990" t="s">
        <v>74</v>
      </c>
      <c r="AO1990" t="s">
        <v>10452</v>
      </c>
      <c r="AP1990" t="s">
        <v>10453</v>
      </c>
      <c r="AQ1990" t="s">
        <v>74</v>
      </c>
      <c r="AR1990" t="s">
        <v>74</v>
      </c>
      <c r="AS1990" t="s">
        <v>74</v>
      </c>
      <c r="AT1990" t="s">
        <v>4402</v>
      </c>
      <c r="AU1990">
        <v>2021</v>
      </c>
      <c r="AV1990">
        <v>758</v>
      </c>
      <c r="AW1990" t="s">
        <v>74</v>
      </c>
      <c r="AX1990" t="s">
        <v>74</v>
      </c>
      <c r="AY1990" t="s">
        <v>74</v>
      </c>
      <c r="AZ1990" t="s">
        <v>74</v>
      </c>
      <c r="BA1990" t="s">
        <v>74</v>
      </c>
      <c r="BB1990" t="s">
        <v>74</v>
      </c>
      <c r="BC1990" t="s">
        <v>74</v>
      </c>
      <c r="BD1990">
        <v>136004</v>
      </c>
      <c r="BE1990" t="s">
        <v>10454</v>
      </c>
      <c r="BF1990" t="str">
        <f>HYPERLINK("http://dx.doi.org/10.1016/j.neulet.2021.136004","http://dx.doi.org/10.1016/j.neulet.2021.136004")</f>
        <v>http://dx.doi.org/10.1016/j.neulet.2021.136004</v>
      </c>
      <c r="BG1990" t="s">
        <v>74</v>
      </c>
      <c r="BH1990" t="s">
        <v>3810</v>
      </c>
      <c r="BI1990" t="s">
        <v>74</v>
      </c>
      <c r="BJ1990" t="s">
        <v>652</v>
      </c>
      <c r="BK1990" t="s">
        <v>117</v>
      </c>
      <c r="BL1990" t="s">
        <v>653</v>
      </c>
      <c r="BM1990" t="s">
        <v>74</v>
      </c>
      <c r="BN1990">
        <v>34098025</v>
      </c>
      <c r="BO1990" t="s">
        <v>74</v>
      </c>
      <c r="BP1990" t="s">
        <v>74</v>
      </c>
      <c r="BQ1990" t="s">
        <v>74</v>
      </c>
      <c r="BR1990" t="s">
        <v>96</v>
      </c>
      <c r="BS1990" t="s">
        <v>10455</v>
      </c>
      <c r="BT1990" t="str">
        <f>HYPERLINK("https%3A%2F%2Fwww.webofscience.com%2Fwos%2Fwoscc%2Ffull-record%2FWOS:000663753100007","View Full Record in Web of Science")</f>
        <v>View Full Record in Web of Science</v>
      </c>
    </row>
    <row r="1991" spans="1:72" x14ac:dyDescent="0.15">
      <c r="A1991" t="s">
        <v>98</v>
      </c>
      <c r="B1991" t="s">
        <v>10588</v>
      </c>
      <c r="C1991" t="s">
        <v>74</v>
      </c>
      <c r="D1991" t="s">
        <v>74</v>
      </c>
      <c r="E1991" t="s">
        <v>74</v>
      </c>
      <c r="F1991" t="s">
        <v>10589</v>
      </c>
      <c r="G1991" t="s">
        <v>74</v>
      </c>
      <c r="H1991" t="s">
        <v>74</v>
      </c>
      <c r="I1991" t="s">
        <v>10590</v>
      </c>
      <c r="J1991" t="s">
        <v>9977</v>
      </c>
      <c r="K1991" t="s">
        <v>74</v>
      </c>
      <c r="L1991" t="s">
        <v>74</v>
      </c>
      <c r="M1991" t="s">
        <v>74</v>
      </c>
      <c r="N1991" t="s">
        <v>103</v>
      </c>
      <c r="O1991" t="s">
        <v>74</v>
      </c>
      <c r="P1991" t="s">
        <v>74</v>
      </c>
      <c r="Q1991" t="s">
        <v>74</v>
      </c>
      <c r="R1991" t="s">
        <v>74</v>
      </c>
      <c r="S1991" t="s">
        <v>74</v>
      </c>
      <c r="T1991" t="s">
        <v>10591</v>
      </c>
      <c r="U1991" t="s">
        <v>10592</v>
      </c>
      <c r="V1991" t="s">
        <v>10593</v>
      </c>
      <c r="W1991" t="s">
        <v>10594</v>
      </c>
      <c r="X1991" t="s">
        <v>10595</v>
      </c>
      <c r="Y1991" t="s">
        <v>10596</v>
      </c>
      <c r="Z1991" t="s">
        <v>10597</v>
      </c>
      <c r="AA1991" t="s">
        <v>74</v>
      </c>
      <c r="AB1991" t="s">
        <v>10598</v>
      </c>
      <c r="AC1991" t="s">
        <v>74</v>
      </c>
      <c r="AD1991" t="s">
        <v>74</v>
      </c>
      <c r="AE1991" t="s">
        <v>74</v>
      </c>
      <c r="AF1991" t="s">
        <v>74</v>
      </c>
      <c r="AG1991">
        <v>59</v>
      </c>
      <c r="AH1991">
        <v>0</v>
      </c>
      <c r="AI1991">
        <v>0</v>
      </c>
      <c r="AJ1991">
        <v>3</v>
      </c>
      <c r="AK1991">
        <v>3</v>
      </c>
      <c r="AL1991" t="s">
        <v>74</v>
      </c>
      <c r="AM1991" t="s">
        <v>74</v>
      </c>
      <c r="AN1991" t="s">
        <v>74</v>
      </c>
      <c r="AO1991" t="s">
        <v>74</v>
      </c>
      <c r="AP1991" t="s">
        <v>9986</v>
      </c>
      <c r="AQ1991" t="s">
        <v>74</v>
      </c>
      <c r="AR1991" t="s">
        <v>74</v>
      </c>
      <c r="AS1991" t="s">
        <v>74</v>
      </c>
      <c r="AT1991" t="s">
        <v>283</v>
      </c>
      <c r="AU1991">
        <v>2022</v>
      </c>
      <c r="AV1991">
        <v>10</v>
      </c>
      <c r="AW1991">
        <v>2</v>
      </c>
      <c r="AX1991" t="s">
        <v>74</v>
      </c>
      <c r="AY1991" t="s">
        <v>74</v>
      </c>
      <c r="AZ1991" t="s">
        <v>74</v>
      </c>
      <c r="BA1991" t="s">
        <v>74</v>
      </c>
      <c r="BB1991" t="s">
        <v>74</v>
      </c>
      <c r="BC1991" t="s">
        <v>74</v>
      </c>
      <c r="BD1991">
        <v>212</v>
      </c>
      <c r="BE1991" t="s">
        <v>10599</v>
      </c>
      <c r="BF1991" t="str">
        <f>HYPERLINK("http://dx.doi.org/10.3390/microorganisms10020212","http://dx.doi.org/10.3390/microorganisms10020212")</f>
        <v>http://dx.doi.org/10.3390/microorganisms10020212</v>
      </c>
      <c r="BG1991" t="s">
        <v>74</v>
      </c>
      <c r="BH1991" t="s">
        <v>74</v>
      </c>
      <c r="BI1991" t="s">
        <v>74</v>
      </c>
      <c r="BJ1991" t="s">
        <v>898</v>
      </c>
      <c r="BK1991" t="s">
        <v>117</v>
      </c>
      <c r="BL1991" t="s">
        <v>898</v>
      </c>
      <c r="BM1991" t="s">
        <v>74</v>
      </c>
      <c r="BN1991">
        <v>35208666</v>
      </c>
      <c r="BO1991" t="s">
        <v>74</v>
      </c>
      <c r="BP1991" t="s">
        <v>74</v>
      </c>
      <c r="BQ1991" t="s">
        <v>74</v>
      </c>
      <c r="BR1991" t="s">
        <v>96</v>
      </c>
      <c r="BS1991" t="s">
        <v>10600</v>
      </c>
      <c r="BT1991" t="str">
        <f>HYPERLINK("https%3A%2F%2Fwww.webofscience.com%2Fwos%2Fwoscc%2Ffull-record%2FWOS:000762610600001","View Full Record in Web of Science")</f>
        <v>View Full Record in Web of Science</v>
      </c>
    </row>
    <row r="1992" spans="1:72" x14ac:dyDescent="0.15">
      <c r="A1992" t="s">
        <v>98</v>
      </c>
      <c r="B1992" t="s">
        <v>10601</v>
      </c>
      <c r="C1992" t="s">
        <v>74</v>
      </c>
      <c r="D1992" t="s">
        <v>74</v>
      </c>
      <c r="E1992" t="s">
        <v>74</v>
      </c>
      <c r="F1992" t="s">
        <v>10602</v>
      </c>
      <c r="G1992" t="s">
        <v>74</v>
      </c>
      <c r="H1992" t="s">
        <v>74</v>
      </c>
      <c r="I1992" t="s">
        <v>10603</v>
      </c>
      <c r="J1992" t="s">
        <v>3032</v>
      </c>
      <c r="K1992" t="s">
        <v>74</v>
      </c>
      <c r="L1992" t="s">
        <v>74</v>
      </c>
      <c r="M1992" t="s">
        <v>74</v>
      </c>
      <c r="N1992" t="s">
        <v>103</v>
      </c>
      <c r="O1992" t="s">
        <v>74</v>
      </c>
      <c r="P1992" t="s">
        <v>74</v>
      </c>
      <c r="Q1992" t="s">
        <v>74</v>
      </c>
      <c r="R1992" t="s">
        <v>74</v>
      </c>
      <c r="S1992" t="s">
        <v>74</v>
      </c>
      <c r="T1992" t="s">
        <v>10604</v>
      </c>
      <c r="U1992" t="s">
        <v>10605</v>
      </c>
      <c r="V1992" t="s">
        <v>10606</v>
      </c>
      <c r="W1992" t="s">
        <v>10607</v>
      </c>
      <c r="X1992" t="s">
        <v>10608</v>
      </c>
      <c r="Y1992" t="s">
        <v>10609</v>
      </c>
      <c r="Z1992" t="s">
        <v>10610</v>
      </c>
      <c r="AA1992" t="s">
        <v>74</v>
      </c>
      <c r="AB1992" t="s">
        <v>10611</v>
      </c>
      <c r="AC1992" t="s">
        <v>74</v>
      </c>
      <c r="AD1992" t="s">
        <v>74</v>
      </c>
      <c r="AE1992" t="s">
        <v>74</v>
      </c>
      <c r="AF1992" t="s">
        <v>74</v>
      </c>
      <c r="AG1992">
        <v>70</v>
      </c>
      <c r="AH1992">
        <v>0</v>
      </c>
      <c r="AI1992">
        <v>0</v>
      </c>
      <c r="AJ1992">
        <v>4</v>
      </c>
      <c r="AK1992">
        <v>4</v>
      </c>
      <c r="AL1992" t="s">
        <v>74</v>
      </c>
      <c r="AM1992" t="s">
        <v>74</v>
      </c>
      <c r="AN1992" t="s">
        <v>74</v>
      </c>
      <c r="AO1992" t="s">
        <v>3041</v>
      </c>
      <c r="AP1992" t="s">
        <v>3042</v>
      </c>
      <c r="AQ1992" t="s">
        <v>74</v>
      </c>
      <c r="AR1992" t="s">
        <v>74</v>
      </c>
      <c r="AS1992" t="s">
        <v>74</v>
      </c>
      <c r="AT1992" t="s">
        <v>10612</v>
      </c>
      <c r="AU1992">
        <v>2022</v>
      </c>
      <c r="AV1992">
        <v>88</v>
      </c>
      <c r="AW1992">
        <v>7</v>
      </c>
      <c r="AX1992" t="s">
        <v>74</v>
      </c>
      <c r="AY1992" t="s">
        <v>74</v>
      </c>
      <c r="AZ1992" t="s">
        <v>74</v>
      </c>
      <c r="BA1992" t="s">
        <v>74</v>
      </c>
      <c r="BB1992" t="s">
        <v>74</v>
      </c>
      <c r="BC1992" t="s">
        <v>74</v>
      </c>
      <c r="BD1992" t="s">
        <v>10613</v>
      </c>
      <c r="BE1992" t="s">
        <v>10614</v>
      </c>
      <c r="BF1992" t="str">
        <f>HYPERLINK("http://dx.doi.org/10.1128/aem.02093-21","http://dx.doi.org/10.1128/aem.02093-21")</f>
        <v>http://dx.doi.org/10.1128/aem.02093-21</v>
      </c>
      <c r="BG1992" t="s">
        <v>74</v>
      </c>
      <c r="BH1992" t="s">
        <v>74</v>
      </c>
      <c r="BI1992" t="s">
        <v>74</v>
      </c>
      <c r="BJ1992" t="s">
        <v>1464</v>
      </c>
      <c r="BK1992" t="s">
        <v>117</v>
      </c>
      <c r="BL1992" t="s">
        <v>1464</v>
      </c>
      <c r="BM1992" t="s">
        <v>74</v>
      </c>
      <c r="BN1992">
        <v>35311515</v>
      </c>
      <c r="BO1992" t="s">
        <v>74</v>
      </c>
      <c r="BP1992" t="s">
        <v>74</v>
      </c>
      <c r="BQ1992" t="s">
        <v>74</v>
      </c>
      <c r="BR1992" t="s">
        <v>96</v>
      </c>
      <c r="BS1992" t="s">
        <v>10615</v>
      </c>
      <c r="BT1992" t="str">
        <f>HYPERLINK("https%3A%2F%2Fwww.webofscience.com%2Fwos%2Fwoscc%2Ffull-record%2FWOS:000782461400034","View Full Record in Web of Science")</f>
        <v>View Full Record in Web of Science</v>
      </c>
    </row>
    <row r="1993" spans="1:72" x14ac:dyDescent="0.15">
      <c r="A1993" t="s">
        <v>98</v>
      </c>
      <c r="B1993" t="s">
        <v>10783</v>
      </c>
      <c r="C1993" t="s">
        <v>74</v>
      </c>
      <c r="D1993" t="s">
        <v>74</v>
      </c>
      <c r="E1993" t="s">
        <v>74</v>
      </c>
      <c r="F1993" t="s">
        <v>10784</v>
      </c>
      <c r="G1993" t="s">
        <v>74</v>
      </c>
      <c r="H1993" t="s">
        <v>74</v>
      </c>
      <c r="I1993" t="s">
        <v>10785</v>
      </c>
      <c r="J1993" t="s">
        <v>817</v>
      </c>
      <c r="K1993" t="s">
        <v>74</v>
      </c>
      <c r="L1993" t="s">
        <v>74</v>
      </c>
      <c r="M1993" t="s">
        <v>74</v>
      </c>
      <c r="N1993" t="s">
        <v>103</v>
      </c>
      <c r="O1993" t="s">
        <v>74</v>
      </c>
      <c r="P1993" t="s">
        <v>74</v>
      </c>
      <c r="Q1993" t="s">
        <v>74</v>
      </c>
      <c r="R1993" t="s">
        <v>74</v>
      </c>
      <c r="S1993" t="s">
        <v>74</v>
      </c>
      <c r="T1993" t="s">
        <v>10786</v>
      </c>
      <c r="U1993" t="s">
        <v>10787</v>
      </c>
      <c r="V1993" t="s">
        <v>10788</v>
      </c>
      <c r="W1993" t="s">
        <v>10789</v>
      </c>
      <c r="X1993" t="s">
        <v>10790</v>
      </c>
      <c r="Y1993" t="s">
        <v>10791</v>
      </c>
      <c r="Z1993" t="s">
        <v>10792</v>
      </c>
      <c r="AA1993" t="s">
        <v>10793</v>
      </c>
      <c r="AB1993" t="s">
        <v>10794</v>
      </c>
      <c r="AC1993" t="s">
        <v>74</v>
      </c>
      <c r="AD1993" t="s">
        <v>74</v>
      </c>
      <c r="AE1993" t="s">
        <v>74</v>
      </c>
      <c r="AF1993" t="s">
        <v>74</v>
      </c>
      <c r="AG1993">
        <v>94</v>
      </c>
      <c r="AH1993">
        <v>0</v>
      </c>
      <c r="AI1993">
        <v>0</v>
      </c>
      <c r="AJ1993">
        <v>0</v>
      </c>
      <c r="AK1993">
        <v>0</v>
      </c>
      <c r="AL1993" t="s">
        <v>74</v>
      </c>
      <c r="AM1993" t="s">
        <v>74</v>
      </c>
      <c r="AN1993" t="s">
        <v>74</v>
      </c>
      <c r="AO1993" t="s">
        <v>74</v>
      </c>
      <c r="AP1993" t="s">
        <v>827</v>
      </c>
      <c r="AQ1993" t="s">
        <v>74</v>
      </c>
      <c r="AR1993" t="s">
        <v>74</v>
      </c>
      <c r="AS1993" t="s">
        <v>74</v>
      </c>
      <c r="AT1993" t="s">
        <v>170</v>
      </c>
      <c r="AU1993">
        <v>2022</v>
      </c>
      <c r="AV1993">
        <v>23</v>
      </c>
      <c r="AW1993">
        <v>11</v>
      </c>
      <c r="AX1993" t="s">
        <v>74</v>
      </c>
      <c r="AY1993" t="s">
        <v>74</v>
      </c>
      <c r="AZ1993" t="s">
        <v>74</v>
      </c>
      <c r="BA1993" t="s">
        <v>74</v>
      </c>
      <c r="BB1993" t="s">
        <v>74</v>
      </c>
      <c r="BC1993" t="s">
        <v>74</v>
      </c>
      <c r="BD1993">
        <v>5967</v>
      </c>
      <c r="BE1993" t="s">
        <v>10795</v>
      </c>
      <c r="BF1993" t="str">
        <f>HYPERLINK("http://dx.doi.org/10.3390/ijms23115967","http://dx.doi.org/10.3390/ijms23115967")</f>
        <v>http://dx.doi.org/10.3390/ijms23115967</v>
      </c>
      <c r="BG1993" t="s">
        <v>74</v>
      </c>
      <c r="BH1993" t="s">
        <v>74</v>
      </c>
      <c r="BI1993" t="s">
        <v>74</v>
      </c>
      <c r="BJ1993" t="s">
        <v>830</v>
      </c>
      <c r="BK1993" t="s">
        <v>117</v>
      </c>
      <c r="BL1993" t="s">
        <v>831</v>
      </c>
      <c r="BM1993" t="s">
        <v>74</v>
      </c>
      <c r="BN1993">
        <v>35682646</v>
      </c>
      <c r="BO1993" t="s">
        <v>74</v>
      </c>
      <c r="BP1993" t="s">
        <v>74</v>
      </c>
      <c r="BQ1993" t="s">
        <v>74</v>
      </c>
      <c r="BR1993" t="s">
        <v>96</v>
      </c>
      <c r="BS1993" t="s">
        <v>10796</v>
      </c>
      <c r="BT1993" t="str">
        <f>HYPERLINK("https%3A%2F%2Fwww.webofscience.com%2Fwos%2Fwoscc%2Ffull-record%2FWOS:000808893700001","View Full Record in Web of Science")</f>
        <v>View Full Record in Web of Science</v>
      </c>
    </row>
    <row r="1994" spans="1:72" x14ac:dyDescent="0.15">
      <c r="A1994" t="s">
        <v>98</v>
      </c>
      <c r="B1994" t="s">
        <v>10877</v>
      </c>
      <c r="C1994" t="s">
        <v>74</v>
      </c>
      <c r="D1994" t="s">
        <v>74</v>
      </c>
      <c r="E1994" t="s">
        <v>74</v>
      </c>
      <c r="F1994" t="s">
        <v>10878</v>
      </c>
      <c r="G1994" t="s">
        <v>74</v>
      </c>
      <c r="H1994" t="s">
        <v>74</v>
      </c>
      <c r="I1994" t="s">
        <v>10879</v>
      </c>
      <c r="J1994" t="s">
        <v>9267</v>
      </c>
      <c r="K1994" t="s">
        <v>74</v>
      </c>
      <c r="L1994" t="s">
        <v>74</v>
      </c>
      <c r="M1994" t="s">
        <v>74</v>
      </c>
      <c r="N1994" t="s">
        <v>103</v>
      </c>
      <c r="O1994" t="s">
        <v>74</v>
      </c>
      <c r="P1994" t="s">
        <v>74</v>
      </c>
      <c r="Q1994" t="s">
        <v>74</v>
      </c>
      <c r="R1994" t="s">
        <v>74</v>
      </c>
      <c r="S1994" t="s">
        <v>74</v>
      </c>
      <c r="T1994" t="s">
        <v>10880</v>
      </c>
      <c r="U1994" t="s">
        <v>10881</v>
      </c>
      <c r="V1994" t="s">
        <v>10882</v>
      </c>
      <c r="W1994" t="s">
        <v>10883</v>
      </c>
      <c r="X1994" t="s">
        <v>10884</v>
      </c>
      <c r="Y1994" t="s">
        <v>10885</v>
      </c>
      <c r="Z1994" t="s">
        <v>10886</v>
      </c>
      <c r="AA1994" t="s">
        <v>10887</v>
      </c>
      <c r="AB1994" t="s">
        <v>10888</v>
      </c>
      <c r="AC1994" t="s">
        <v>74</v>
      </c>
      <c r="AD1994" t="s">
        <v>74</v>
      </c>
      <c r="AE1994" t="s">
        <v>74</v>
      </c>
      <c r="AF1994" t="s">
        <v>74</v>
      </c>
      <c r="AG1994">
        <v>60</v>
      </c>
      <c r="AH1994">
        <v>0</v>
      </c>
      <c r="AI1994">
        <v>0</v>
      </c>
      <c r="AJ1994">
        <v>1</v>
      </c>
      <c r="AK1994">
        <v>1</v>
      </c>
      <c r="AL1994" t="s">
        <v>74</v>
      </c>
      <c r="AM1994" t="s">
        <v>74</v>
      </c>
      <c r="AN1994" t="s">
        <v>74</v>
      </c>
      <c r="AO1994" t="s">
        <v>9275</v>
      </c>
      <c r="AP1994" t="s">
        <v>9276</v>
      </c>
      <c r="AQ1994" t="s">
        <v>74</v>
      </c>
      <c r="AR1994" t="s">
        <v>74</v>
      </c>
      <c r="AS1994" t="s">
        <v>74</v>
      </c>
      <c r="AT1994" t="s">
        <v>3597</v>
      </c>
      <c r="AU1994">
        <v>2022</v>
      </c>
      <c r="AV1994">
        <v>208</v>
      </c>
      <c r="AW1994">
        <v>1</v>
      </c>
      <c r="AX1994" t="s">
        <v>74</v>
      </c>
      <c r="AY1994" t="s">
        <v>74</v>
      </c>
      <c r="AZ1994" t="s">
        <v>74</v>
      </c>
      <c r="BA1994" t="s">
        <v>74</v>
      </c>
      <c r="BB1994">
        <v>103</v>
      </c>
      <c r="BC1994">
        <v>113</v>
      </c>
      <c r="BD1994" t="s">
        <v>74</v>
      </c>
      <c r="BE1994" t="s">
        <v>10889</v>
      </c>
      <c r="BF1994" t="str">
        <f>HYPERLINK("http://dx.doi.org/10.1093/cei/uxac022","http://dx.doi.org/10.1093/cei/uxac022")</f>
        <v>http://dx.doi.org/10.1093/cei/uxac022</v>
      </c>
      <c r="BG1994" t="s">
        <v>74</v>
      </c>
      <c r="BH1994" t="s">
        <v>6394</v>
      </c>
      <c r="BI1994" t="s">
        <v>74</v>
      </c>
      <c r="BJ1994" t="s">
        <v>2064</v>
      </c>
      <c r="BK1994" t="s">
        <v>117</v>
      </c>
      <c r="BL1994" t="s">
        <v>2064</v>
      </c>
      <c r="BM1994" t="s">
        <v>74</v>
      </c>
      <c r="BN1994" t="s">
        <v>74</v>
      </c>
      <c r="BO1994" t="s">
        <v>74</v>
      </c>
      <c r="BP1994" t="s">
        <v>74</v>
      </c>
      <c r="BQ1994" t="s">
        <v>74</v>
      </c>
      <c r="BR1994" t="s">
        <v>96</v>
      </c>
      <c r="BS1994" t="s">
        <v>10890</v>
      </c>
      <c r="BT1994" t="str">
        <f>HYPERLINK("https%3A%2F%2Fwww.webofscience.com%2Fwos%2Fwoscc%2Ffull-record%2FWOS:000784527200001","View Full Record in Web of Science")</f>
        <v>View Full Record in Web of Science</v>
      </c>
    </row>
    <row r="1995" spans="1:72" x14ac:dyDescent="0.15">
      <c r="A1995" t="s">
        <v>98</v>
      </c>
      <c r="B1995" t="s">
        <v>10907</v>
      </c>
      <c r="C1995" t="s">
        <v>74</v>
      </c>
      <c r="D1995" t="s">
        <v>74</v>
      </c>
      <c r="E1995" t="s">
        <v>74</v>
      </c>
      <c r="F1995" t="s">
        <v>10908</v>
      </c>
      <c r="G1995" t="s">
        <v>74</v>
      </c>
      <c r="H1995" t="s">
        <v>74</v>
      </c>
      <c r="I1995" t="s">
        <v>10909</v>
      </c>
      <c r="J1995" t="s">
        <v>1631</v>
      </c>
      <c r="K1995" t="s">
        <v>74</v>
      </c>
      <c r="L1995" t="s">
        <v>74</v>
      </c>
      <c r="M1995" t="s">
        <v>74</v>
      </c>
      <c r="N1995" t="s">
        <v>103</v>
      </c>
      <c r="O1995" t="s">
        <v>74</v>
      </c>
      <c r="P1995" t="s">
        <v>74</v>
      </c>
      <c r="Q1995" t="s">
        <v>74</v>
      </c>
      <c r="R1995" t="s">
        <v>74</v>
      </c>
      <c r="S1995" t="s">
        <v>74</v>
      </c>
      <c r="T1995" t="s">
        <v>10910</v>
      </c>
      <c r="U1995" t="s">
        <v>10911</v>
      </c>
      <c r="V1995" t="s">
        <v>10912</v>
      </c>
      <c r="W1995" t="s">
        <v>10913</v>
      </c>
      <c r="X1995" t="s">
        <v>10914</v>
      </c>
      <c r="Y1995" t="s">
        <v>10915</v>
      </c>
      <c r="Z1995" t="s">
        <v>10916</v>
      </c>
      <c r="AA1995" t="s">
        <v>10917</v>
      </c>
      <c r="AB1995" t="s">
        <v>10918</v>
      </c>
      <c r="AC1995" t="s">
        <v>74</v>
      </c>
      <c r="AD1995" t="s">
        <v>74</v>
      </c>
      <c r="AE1995" t="s">
        <v>74</v>
      </c>
      <c r="AF1995" t="s">
        <v>74</v>
      </c>
      <c r="AG1995">
        <v>9</v>
      </c>
      <c r="AH1995">
        <v>0</v>
      </c>
      <c r="AI1995">
        <v>0</v>
      </c>
      <c r="AJ1995">
        <v>1</v>
      </c>
      <c r="AK1995">
        <v>7</v>
      </c>
      <c r="AL1995" t="s">
        <v>74</v>
      </c>
      <c r="AM1995" t="s">
        <v>74</v>
      </c>
      <c r="AN1995" t="s">
        <v>74</v>
      </c>
      <c r="AO1995" t="s">
        <v>74</v>
      </c>
      <c r="AP1995" t="s">
        <v>1639</v>
      </c>
      <c r="AQ1995" t="s">
        <v>74</v>
      </c>
      <c r="AR1995" t="s">
        <v>74</v>
      </c>
      <c r="AS1995" t="s">
        <v>74</v>
      </c>
      <c r="AT1995" t="s">
        <v>4712</v>
      </c>
      <c r="AU1995">
        <v>2018</v>
      </c>
      <c r="AV1995">
        <v>8</v>
      </c>
      <c r="AW1995">
        <v>2</v>
      </c>
      <c r="AX1995" t="s">
        <v>74</v>
      </c>
      <c r="AY1995" t="s">
        <v>74</v>
      </c>
      <c r="AZ1995" t="s">
        <v>74</v>
      </c>
      <c r="BA1995" t="s">
        <v>74</v>
      </c>
      <c r="BB1995" t="s">
        <v>74</v>
      </c>
      <c r="BC1995" t="s">
        <v>74</v>
      </c>
      <c r="BD1995" t="s">
        <v>10919</v>
      </c>
      <c r="BE1995" t="s">
        <v>10920</v>
      </c>
      <c r="BF1995" t="str">
        <f>HYPERLINK("http://dx.doi.org/10.21769/BioProtoc.2692","http://dx.doi.org/10.21769/BioProtoc.2692")</f>
        <v>http://dx.doi.org/10.21769/BioProtoc.2692</v>
      </c>
      <c r="BG1995" t="s">
        <v>74</v>
      </c>
      <c r="BH1995" t="s">
        <v>74</v>
      </c>
      <c r="BI1995" t="s">
        <v>74</v>
      </c>
      <c r="BJ1995" t="s">
        <v>1643</v>
      </c>
      <c r="BK1995" t="s">
        <v>467</v>
      </c>
      <c r="BL1995" t="s">
        <v>1644</v>
      </c>
      <c r="BM1995" t="s">
        <v>74</v>
      </c>
      <c r="BN1995">
        <v>34179241</v>
      </c>
      <c r="BO1995" t="s">
        <v>74</v>
      </c>
      <c r="BP1995" t="s">
        <v>74</v>
      </c>
      <c r="BQ1995" t="s">
        <v>74</v>
      </c>
      <c r="BR1995" t="s">
        <v>96</v>
      </c>
      <c r="BS1995" t="s">
        <v>10921</v>
      </c>
      <c r="BT1995" t="str">
        <f>HYPERLINK("https%3A%2F%2Fwww.webofscience.com%2Fwos%2Fwoscc%2Ffull-record%2FWOS:000457912500006","View Full Record in Web of Science")</f>
        <v>View Full Record in Web of Science</v>
      </c>
    </row>
    <row r="1996" spans="1:72" x14ac:dyDescent="0.15">
      <c r="A1996" t="s">
        <v>72</v>
      </c>
      <c r="B1996" t="s">
        <v>10965</v>
      </c>
      <c r="C1996" t="s">
        <v>74</v>
      </c>
      <c r="D1996" t="s">
        <v>10966</v>
      </c>
      <c r="E1996" t="s">
        <v>74</v>
      </c>
      <c r="F1996" t="s">
        <v>10967</v>
      </c>
      <c r="G1996" t="s">
        <v>74</v>
      </c>
      <c r="H1996" t="s">
        <v>74</v>
      </c>
      <c r="I1996" t="s">
        <v>10968</v>
      </c>
      <c r="J1996" t="s">
        <v>10969</v>
      </c>
      <c r="K1996" t="s">
        <v>10970</v>
      </c>
      <c r="L1996" t="s">
        <v>74</v>
      </c>
      <c r="M1996" t="s">
        <v>74</v>
      </c>
      <c r="N1996" t="s">
        <v>80</v>
      </c>
      <c r="O1996" t="s">
        <v>74</v>
      </c>
      <c r="P1996" t="s">
        <v>74</v>
      </c>
      <c r="Q1996" t="s">
        <v>74</v>
      </c>
      <c r="R1996" t="s">
        <v>74</v>
      </c>
      <c r="S1996" t="s">
        <v>74</v>
      </c>
      <c r="T1996" t="s">
        <v>10971</v>
      </c>
      <c r="U1996" t="s">
        <v>10972</v>
      </c>
      <c r="V1996" t="s">
        <v>10973</v>
      </c>
      <c r="W1996" t="s">
        <v>10974</v>
      </c>
      <c r="X1996" t="s">
        <v>10975</v>
      </c>
      <c r="Y1996" t="s">
        <v>10976</v>
      </c>
      <c r="Z1996" t="s">
        <v>10977</v>
      </c>
      <c r="AA1996" t="s">
        <v>10978</v>
      </c>
      <c r="AB1996" t="s">
        <v>10979</v>
      </c>
      <c r="AC1996" t="s">
        <v>74</v>
      </c>
      <c r="AD1996" t="s">
        <v>74</v>
      </c>
      <c r="AE1996" t="s">
        <v>74</v>
      </c>
      <c r="AF1996" t="s">
        <v>74</v>
      </c>
      <c r="AG1996">
        <v>132</v>
      </c>
      <c r="AH1996">
        <v>0</v>
      </c>
      <c r="AI1996">
        <v>0</v>
      </c>
      <c r="AJ1996">
        <v>4</v>
      </c>
      <c r="AK1996">
        <v>13</v>
      </c>
      <c r="AL1996" t="s">
        <v>74</v>
      </c>
      <c r="AM1996" t="s">
        <v>74</v>
      </c>
      <c r="AN1996" t="s">
        <v>74</v>
      </c>
      <c r="AO1996" t="s">
        <v>10980</v>
      </c>
      <c r="AP1996" t="s">
        <v>10981</v>
      </c>
      <c r="AQ1996" t="s">
        <v>74</v>
      </c>
      <c r="AR1996" t="s">
        <v>74</v>
      </c>
      <c r="AS1996" t="s">
        <v>74</v>
      </c>
      <c r="AT1996" t="s">
        <v>74</v>
      </c>
      <c r="AU1996">
        <v>2021</v>
      </c>
      <c r="AV1996">
        <v>14</v>
      </c>
      <c r="AW1996" t="s">
        <v>74</v>
      </c>
      <c r="AX1996" t="s">
        <v>74</v>
      </c>
      <c r="AY1996" t="s">
        <v>74</v>
      </c>
      <c r="AZ1996" t="s">
        <v>74</v>
      </c>
      <c r="BA1996" t="s">
        <v>74</v>
      </c>
      <c r="BB1996">
        <v>207</v>
      </c>
      <c r="BC1996">
        <v>229</v>
      </c>
      <c r="BD1996" t="s">
        <v>74</v>
      </c>
      <c r="BE1996" t="s">
        <v>10982</v>
      </c>
      <c r="BF1996" t="str">
        <f>HYPERLINK("http://dx.doi.org/10.1146/annurev-anchem-091520-093931","http://dx.doi.org/10.1146/annurev-anchem-091520-093931")</f>
        <v>http://dx.doi.org/10.1146/annurev-anchem-091520-093931</v>
      </c>
      <c r="BG1996" t="s">
        <v>74</v>
      </c>
      <c r="BH1996" t="s">
        <v>74</v>
      </c>
      <c r="BI1996" t="s">
        <v>74</v>
      </c>
      <c r="BJ1996" t="s">
        <v>10983</v>
      </c>
      <c r="BK1996" t="s">
        <v>2960</v>
      </c>
      <c r="BL1996" t="s">
        <v>10984</v>
      </c>
      <c r="BM1996" t="s">
        <v>74</v>
      </c>
      <c r="BN1996">
        <v>33974805</v>
      </c>
      <c r="BO1996" t="s">
        <v>74</v>
      </c>
      <c r="BP1996" t="s">
        <v>74</v>
      </c>
      <c r="BQ1996" t="s">
        <v>74</v>
      </c>
      <c r="BR1996" t="s">
        <v>96</v>
      </c>
      <c r="BS1996" t="s">
        <v>10985</v>
      </c>
      <c r="BT1996" t="str">
        <f>HYPERLINK("https%3A%2F%2Fwww.webofscience.com%2Fwos%2Fwoscc%2Ffull-record%2FWOS:000684016900010","View Full Record in Web of Science")</f>
        <v>View Full Record in Web of Science</v>
      </c>
    </row>
    <row r="1997" spans="1:72" x14ac:dyDescent="0.15">
      <c r="A1997" t="s">
        <v>98</v>
      </c>
      <c r="B1997" t="s">
        <v>11063</v>
      </c>
      <c r="C1997" t="s">
        <v>74</v>
      </c>
      <c r="D1997" t="s">
        <v>74</v>
      </c>
      <c r="E1997" t="s">
        <v>74</v>
      </c>
      <c r="F1997" t="s">
        <v>11064</v>
      </c>
      <c r="G1997" t="s">
        <v>74</v>
      </c>
      <c r="H1997" t="s">
        <v>74</v>
      </c>
      <c r="I1997" t="s">
        <v>11065</v>
      </c>
      <c r="J1997" t="s">
        <v>7962</v>
      </c>
      <c r="K1997" t="s">
        <v>74</v>
      </c>
      <c r="L1997" t="s">
        <v>74</v>
      </c>
      <c r="M1997" t="s">
        <v>74</v>
      </c>
      <c r="N1997" t="s">
        <v>103</v>
      </c>
      <c r="O1997" t="s">
        <v>74</v>
      </c>
      <c r="P1997" t="s">
        <v>74</v>
      </c>
      <c r="Q1997" t="s">
        <v>74</v>
      </c>
      <c r="R1997" t="s">
        <v>74</v>
      </c>
      <c r="S1997" t="s">
        <v>74</v>
      </c>
      <c r="T1997" t="s">
        <v>74</v>
      </c>
      <c r="U1997" t="s">
        <v>11066</v>
      </c>
      <c r="V1997" t="s">
        <v>11067</v>
      </c>
      <c r="W1997" t="s">
        <v>11068</v>
      </c>
      <c r="X1997" t="s">
        <v>11069</v>
      </c>
      <c r="Y1997" t="s">
        <v>11070</v>
      </c>
      <c r="Z1997" t="s">
        <v>11071</v>
      </c>
      <c r="AA1997" t="s">
        <v>74</v>
      </c>
      <c r="AB1997" t="s">
        <v>11072</v>
      </c>
      <c r="AC1997" t="s">
        <v>74</v>
      </c>
      <c r="AD1997" t="s">
        <v>74</v>
      </c>
      <c r="AE1997" t="s">
        <v>74</v>
      </c>
      <c r="AF1997" t="s">
        <v>74</v>
      </c>
      <c r="AG1997">
        <v>74</v>
      </c>
      <c r="AH1997">
        <v>0</v>
      </c>
      <c r="AI1997">
        <v>0</v>
      </c>
      <c r="AJ1997">
        <v>5</v>
      </c>
      <c r="AK1997">
        <v>5</v>
      </c>
      <c r="AL1997" t="s">
        <v>74</v>
      </c>
      <c r="AM1997" t="s">
        <v>74</v>
      </c>
      <c r="AN1997" t="s">
        <v>74</v>
      </c>
      <c r="AO1997" t="s">
        <v>74</v>
      </c>
      <c r="AP1997" t="s">
        <v>7970</v>
      </c>
      <c r="AQ1997" t="s">
        <v>74</v>
      </c>
      <c r="AR1997" t="s">
        <v>74</v>
      </c>
      <c r="AS1997" t="s">
        <v>74</v>
      </c>
      <c r="AT1997" t="s">
        <v>11073</v>
      </c>
      <c r="AU1997">
        <v>2022</v>
      </c>
      <c r="AV1997">
        <v>5</v>
      </c>
      <c r="AW1997">
        <v>1</v>
      </c>
      <c r="AX1997" t="s">
        <v>74</v>
      </c>
      <c r="AY1997" t="s">
        <v>74</v>
      </c>
      <c r="AZ1997" t="s">
        <v>74</v>
      </c>
      <c r="BA1997" t="s">
        <v>74</v>
      </c>
      <c r="BB1997" t="s">
        <v>74</v>
      </c>
      <c r="BC1997" t="s">
        <v>74</v>
      </c>
      <c r="BD1997">
        <v>660</v>
      </c>
      <c r="BE1997" t="s">
        <v>11074</v>
      </c>
      <c r="BF1997" t="str">
        <f>HYPERLINK("http://dx.doi.org/10.1038/s42003-022-03598-0","http://dx.doi.org/10.1038/s42003-022-03598-0")</f>
        <v>http://dx.doi.org/10.1038/s42003-022-03598-0</v>
      </c>
      <c r="BG1997" t="s">
        <v>74</v>
      </c>
      <c r="BH1997" t="s">
        <v>74</v>
      </c>
      <c r="BI1997" t="s">
        <v>74</v>
      </c>
      <c r="BJ1997" t="s">
        <v>7972</v>
      </c>
      <c r="BK1997" t="s">
        <v>117</v>
      </c>
      <c r="BL1997" t="s">
        <v>7973</v>
      </c>
      <c r="BM1997" t="s">
        <v>74</v>
      </c>
      <c r="BN1997">
        <v>35787656</v>
      </c>
      <c r="BO1997" t="s">
        <v>74</v>
      </c>
      <c r="BP1997" t="s">
        <v>74</v>
      </c>
      <c r="BQ1997" t="s">
        <v>74</v>
      </c>
      <c r="BR1997" t="s">
        <v>96</v>
      </c>
      <c r="BS1997" t="s">
        <v>11075</v>
      </c>
      <c r="BT1997" t="str">
        <f>HYPERLINK("https%3A%2F%2Fwww.webofscience.com%2Fwos%2Fwoscc%2Ffull-record%2FWOS:000820681400006","View Full Record in Web of Science")</f>
        <v>View Full Record in Web of Science</v>
      </c>
    </row>
    <row r="1998" spans="1:72" x14ac:dyDescent="0.15">
      <c r="A1998" t="s">
        <v>98</v>
      </c>
      <c r="B1998" t="s">
        <v>11149</v>
      </c>
      <c r="C1998" t="s">
        <v>74</v>
      </c>
      <c r="D1998" t="s">
        <v>74</v>
      </c>
      <c r="E1998" t="s">
        <v>74</v>
      </c>
      <c r="F1998" t="s">
        <v>11150</v>
      </c>
      <c r="G1998" t="s">
        <v>74</v>
      </c>
      <c r="H1998" t="s">
        <v>74</v>
      </c>
      <c r="I1998" t="s">
        <v>11151</v>
      </c>
      <c r="J1998" t="s">
        <v>903</v>
      </c>
      <c r="K1998" t="s">
        <v>74</v>
      </c>
      <c r="L1998" t="s">
        <v>74</v>
      </c>
      <c r="M1998" t="s">
        <v>74</v>
      </c>
      <c r="N1998" t="s">
        <v>103</v>
      </c>
      <c r="O1998" t="s">
        <v>74</v>
      </c>
      <c r="P1998" t="s">
        <v>74</v>
      </c>
      <c r="Q1998" t="s">
        <v>74</v>
      </c>
      <c r="R1998" t="s">
        <v>74</v>
      </c>
      <c r="S1998" t="s">
        <v>74</v>
      </c>
      <c r="T1998" t="s">
        <v>11152</v>
      </c>
      <c r="U1998" t="s">
        <v>11153</v>
      </c>
      <c r="V1998" t="s">
        <v>11154</v>
      </c>
      <c r="W1998" t="s">
        <v>11155</v>
      </c>
      <c r="X1998" t="s">
        <v>11156</v>
      </c>
      <c r="Y1998" t="s">
        <v>11157</v>
      </c>
      <c r="Z1998" t="s">
        <v>11158</v>
      </c>
      <c r="AA1998" t="s">
        <v>74</v>
      </c>
      <c r="AB1998" t="s">
        <v>11159</v>
      </c>
      <c r="AC1998" t="s">
        <v>74</v>
      </c>
      <c r="AD1998" t="s">
        <v>74</v>
      </c>
      <c r="AE1998" t="s">
        <v>74</v>
      </c>
      <c r="AF1998" t="s">
        <v>74</v>
      </c>
      <c r="AG1998">
        <v>41</v>
      </c>
      <c r="AH1998">
        <v>0</v>
      </c>
      <c r="AI1998">
        <v>0</v>
      </c>
      <c r="AJ1998">
        <v>0</v>
      </c>
      <c r="AK1998">
        <v>1</v>
      </c>
      <c r="AL1998" t="s">
        <v>74</v>
      </c>
      <c r="AM1998" t="s">
        <v>74</v>
      </c>
      <c r="AN1998" t="s">
        <v>74</v>
      </c>
      <c r="AO1998" t="s">
        <v>74</v>
      </c>
      <c r="AP1998" t="s">
        <v>913</v>
      </c>
      <c r="AQ1998" t="s">
        <v>74</v>
      </c>
      <c r="AR1998" t="s">
        <v>74</v>
      </c>
      <c r="AS1998" t="s">
        <v>74</v>
      </c>
      <c r="AT1998" t="s">
        <v>211</v>
      </c>
      <c r="AU1998">
        <v>2021</v>
      </c>
      <c r="AV1998">
        <v>13</v>
      </c>
      <c r="AW1998">
        <v>22</v>
      </c>
      <c r="AX1998" t="s">
        <v>74</v>
      </c>
      <c r="AY1998" t="s">
        <v>74</v>
      </c>
      <c r="AZ1998" t="s">
        <v>74</v>
      </c>
      <c r="BA1998" t="s">
        <v>74</v>
      </c>
      <c r="BB1998" t="s">
        <v>74</v>
      </c>
      <c r="BC1998" t="s">
        <v>74</v>
      </c>
      <c r="BD1998">
        <v>5825</v>
      </c>
      <c r="BE1998" t="s">
        <v>11160</v>
      </c>
      <c r="BF1998" t="str">
        <f>HYPERLINK("http://dx.doi.org/10.3390/cancers13225825","http://dx.doi.org/10.3390/cancers13225825")</f>
        <v>http://dx.doi.org/10.3390/cancers13225825</v>
      </c>
      <c r="BG1998" t="s">
        <v>74</v>
      </c>
      <c r="BH1998" t="s">
        <v>74</v>
      </c>
      <c r="BI1998" t="s">
        <v>74</v>
      </c>
      <c r="BJ1998" t="s">
        <v>267</v>
      </c>
      <c r="BK1998" t="s">
        <v>117</v>
      </c>
      <c r="BL1998" t="s">
        <v>267</v>
      </c>
      <c r="BM1998" t="s">
        <v>74</v>
      </c>
      <c r="BN1998">
        <v>34830979</v>
      </c>
      <c r="BO1998" t="s">
        <v>74</v>
      </c>
      <c r="BP1998" t="s">
        <v>74</v>
      </c>
      <c r="BQ1998" t="s">
        <v>74</v>
      </c>
      <c r="BR1998" t="s">
        <v>96</v>
      </c>
      <c r="BS1998" t="s">
        <v>11161</v>
      </c>
      <c r="BT1998" t="str">
        <f>HYPERLINK("https%3A%2F%2Fwww.webofscience.com%2Fwos%2Fwoscc%2Ffull-record%2FWOS:000773917700039","View Full Record in Web of Science")</f>
        <v>View Full Record in Web of Science</v>
      </c>
    </row>
    <row r="1999" spans="1:72" x14ac:dyDescent="0.15">
      <c r="A1999" t="s">
        <v>98</v>
      </c>
      <c r="B1999" t="s">
        <v>11242</v>
      </c>
      <c r="C1999" t="s">
        <v>74</v>
      </c>
      <c r="D1999" t="s">
        <v>74</v>
      </c>
      <c r="E1999" t="s">
        <v>74</v>
      </c>
      <c r="F1999" t="s">
        <v>11243</v>
      </c>
      <c r="G1999" t="s">
        <v>74</v>
      </c>
      <c r="H1999" t="s">
        <v>74</v>
      </c>
      <c r="I1999" t="s">
        <v>11244</v>
      </c>
      <c r="J1999" t="s">
        <v>11245</v>
      </c>
      <c r="K1999" t="s">
        <v>74</v>
      </c>
      <c r="L1999" t="s">
        <v>74</v>
      </c>
      <c r="M1999" t="s">
        <v>74</v>
      </c>
      <c r="N1999" t="s">
        <v>103</v>
      </c>
      <c r="O1999" t="s">
        <v>74</v>
      </c>
      <c r="P1999" t="s">
        <v>74</v>
      </c>
      <c r="Q1999" t="s">
        <v>74</v>
      </c>
      <c r="R1999" t="s">
        <v>74</v>
      </c>
      <c r="S1999" t="s">
        <v>74</v>
      </c>
      <c r="T1999" t="s">
        <v>11246</v>
      </c>
      <c r="U1999" t="s">
        <v>11247</v>
      </c>
      <c r="V1999" t="s">
        <v>11248</v>
      </c>
      <c r="W1999" t="s">
        <v>11249</v>
      </c>
      <c r="X1999" t="s">
        <v>11250</v>
      </c>
      <c r="Y1999" t="s">
        <v>11251</v>
      </c>
      <c r="Z1999" t="s">
        <v>11252</v>
      </c>
      <c r="AA1999" t="s">
        <v>74</v>
      </c>
      <c r="AB1999" t="s">
        <v>11253</v>
      </c>
      <c r="AC1999" t="s">
        <v>74</v>
      </c>
      <c r="AD1999" t="s">
        <v>74</v>
      </c>
      <c r="AE1999" t="s">
        <v>74</v>
      </c>
      <c r="AF1999" t="s">
        <v>74</v>
      </c>
      <c r="AG1999">
        <v>31</v>
      </c>
      <c r="AH1999">
        <v>0</v>
      </c>
      <c r="AI1999">
        <v>0</v>
      </c>
      <c r="AJ1999">
        <v>1</v>
      </c>
      <c r="AK1999">
        <v>1</v>
      </c>
      <c r="AL1999" t="s">
        <v>74</v>
      </c>
      <c r="AM1999" t="s">
        <v>74</v>
      </c>
      <c r="AN1999" t="s">
        <v>74</v>
      </c>
      <c r="AO1999" t="s">
        <v>11254</v>
      </c>
      <c r="AP1999" t="s">
        <v>11255</v>
      </c>
      <c r="AQ1999" t="s">
        <v>74</v>
      </c>
      <c r="AR1999" t="s">
        <v>74</v>
      </c>
      <c r="AS1999" t="s">
        <v>74</v>
      </c>
      <c r="AT1999" t="s">
        <v>170</v>
      </c>
      <c r="AU1999">
        <v>2022</v>
      </c>
      <c r="AV1999">
        <v>57</v>
      </c>
      <c r="AW1999">
        <v>6</v>
      </c>
      <c r="AX1999" t="s">
        <v>74</v>
      </c>
      <c r="AY1999" t="s">
        <v>74</v>
      </c>
      <c r="AZ1999" t="s">
        <v>74</v>
      </c>
      <c r="BA1999" t="s">
        <v>74</v>
      </c>
      <c r="BB1999">
        <v>218</v>
      </c>
      <c r="BC1999">
        <v>227</v>
      </c>
      <c r="BD1999" t="s">
        <v>74</v>
      </c>
      <c r="BE1999" t="s">
        <v>11256</v>
      </c>
      <c r="BF1999" t="str">
        <f>HYPERLINK("http://dx.doi.org/10.1097/SHK.0000000000001928","http://dx.doi.org/10.1097/SHK.0000000000001928")</f>
        <v>http://dx.doi.org/10.1097/SHK.0000000000001928</v>
      </c>
      <c r="BG1999" t="s">
        <v>74</v>
      </c>
      <c r="BH1999" t="s">
        <v>74</v>
      </c>
      <c r="BI1999" t="s">
        <v>74</v>
      </c>
      <c r="BJ1999" t="s">
        <v>11257</v>
      </c>
      <c r="BK1999" t="s">
        <v>117</v>
      </c>
      <c r="BL1999" t="s">
        <v>11258</v>
      </c>
      <c r="BM1999" t="s">
        <v>74</v>
      </c>
      <c r="BN1999">
        <v>35759303</v>
      </c>
      <c r="BO1999" t="s">
        <v>74</v>
      </c>
      <c r="BP1999" t="s">
        <v>74</v>
      </c>
      <c r="BQ1999" t="s">
        <v>74</v>
      </c>
      <c r="BR1999" t="s">
        <v>96</v>
      </c>
      <c r="BS1999" t="s">
        <v>11259</v>
      </c>
      <c r="BT1999" t="str">
        <f>HYPERLINK("https%3A%2F%2Fwww.webofscience.com%2Fwos%2Fwoscc%2Ffull-record%2FWOS:000816691300007","View Full Record in Web of Science")</f>
        <v>View Full Record in Web of Science</v>
      </c>
    </row>
    <row r="2000" spans="1:72" x14ac:dyDescent="0.15">
      <c r="A2000" t="s">
        <v>98</v>
      </c>
      <c r="B2000" t="s">
        <v>11260</v>
      </c>
      <c r="C2000" t="s">
        <v>74</v>
      </c>
      <c r="D2000" t="s">
        <v>74</v>
      </c>
      <c r="E2000" t="s">
        <v>74</v>
      </c>
      <c r="F2000" t="s">
        <v>11261</v>
      </c>
      <c r="G2000" t="s">
        <v>74</v>
      </c>
      <c r="H2000" t="s">
        <v>74</v>
      </c>
      <c r="I2000" t="s">
        <v>11262</v>
      </c>
      <c r="J2000" t="s">
        <v>11263</v>
      </c>
      <c r="K2000" t="s">
        <v>74</v>
      </c>
      <c r="L2000" t="s">
        <v>74</v>
      </c>
      <c r="M2000" t="s">
        <v>74</v>
      </c>
      <c r="N2000" t="s">
        <v>103</v>
      </c>
      <c r="O2000" t="s">
        <v>74</v>
      </c>
      <c r="P2000" t="s">
        <v>74</v>
      </c>
      <c r="Q2000" t="s">
        <v>74</v>
      </c>
      <c r="R2000" t="s">
        <v>74</v>
      </c>
      <c r="S2000" t="s">
        <v>74</v>
      </c>
      <c r="T2000" t="s">
        <v>11264</v>
      </c>
      <c r="U2000" t="s">
        <v>11265</v>
      </c>
      <c r="V2000" t="s">
        <v>11266</v>
      </c>
      <c r="W2000" t="s">
        <v>11267</v>
      </c>
      <c r="X2000" t="s">
        <v>2447</v>
      </c>
      <c r="Y2000" t="s">
        <v>11268</v>
      </c>
      <c r="Z2000" t="s">
        <v>11269</v>
      </c>
      <c r="AA2000" t="s">
        <v>11270</v>
      </c>
      <c r="AB2000" t="s">
        <v>11271</v>
      </c>
      <c r="AC2000" t="s">
        <v>74</v>
      </c>
      <c r="AD2000" t="s">
        <v>74</v>
      </c>
      <c r="AE2000" t="s">
        <v>74</v>
      </c>
      <c r="AF2000" t="s">
        <v>74</v>
      </c>
      <c r="AG2000">
        <v>18</v>
      </c>
      <c r="AH2000">
        <v>0</v>
      </c>
      <c r="AI2000">
        <v>0</v>
      </c>
      <c r="AJ2000">
        <v>0</v>
      </c>
      <c r="AK2000">
        <v>1</v>
      </c>
      <c r="AL2000" t="s">
        <v>74</v>
      </c>
      <c r="AM2000" t="s">
        <v>74</v>
      </c>
      <c r="AN2000" t="s">
        <v>74</v>
      </c>
      <c r="AO2000" t="s">
        <v>11272</v>
      </c>
      <c r="AP2000" t="s">
        <v>74</v>
      </c>
      <c r="AQ2000" t="s">
        <v>74</v>
      </c>
      <c r="AR2000" t="s">
        <v>74</v>
      </c>
      <c r="AS2000" t="s">
        <v>74</v>
      </c>
      <c r="AT2000" t="s">
        <v>74</v>
      </c>
      <c r="AU2000">
        <v>2020</v>
      </c>
      <c r="AV2000">
        <v>69</v>
      </c>
      <c r="AW2000">
        <v>12</v>
      </c>
      <c r="AX2000" t="s">
        <v>74</v>
      </c>
      <c r="AY2000" t="s">
        <v>74</v>
      </c>
      <c r="AZ2000" t="s">
        <v>74</v>
      </c>
      <c r="BA2000" t="s">
        <v>74</v>
      </c>
      <c r="BB2000">
        <v>665</v>
      </c>
      <c r="BC2000">
        <v>672</v>
      </c>
      <c r="BD2000" t="s">
        <v>74</v>
      </c>
      <c r="BE2000" t="s">
        <v>74</v>
      </c>
      <c r="BF2000" t="s">
        <v>74</v>
      </c>
      <c r="BG2000" t="s">
        <v>74</v>
      </c>
      <c r="BH2000" t="s">
        <v>74</v>
      </c>
      <c r="BI2000" t="s">
        <v>74</v>
      </c>
      <c r="BJ2000" t="s">
        <v>1118</v>
      </c>
      <c r="BK2000" t="s">
        <v>117</v>
      </c>
      <c r="BL2000" t="s">
        <v>1048</v>
      </c>
      <c r="BM2000" t="s">
        <v>74</v>
      </c>
      <c r="BN2000" t="s">
        <v>74</v>
      </c>
      <c r="BO2000" t="s">
        <v>74</v>
      </c>
      <c r="BP2000" t="s">
        <v>74</v>
      </c>
      <c r="BQ2000" t="s">
        <v>74</v>
      </c>
      <c r="BR2000" t="s">
        <v>96</v>
      </c>
      <c r="BS2000" t="s">
        <v>11273</v>
      </c>
      <c r="BT2000" t="str">
        <f>HYPERLINK("https%3A%2F%2Fwww.webofscience.com%2Fwos%2Fwoscc%2Ffull-record%2FWOS:000598113600001","View Full Record in Web of Science")</f>
        <v>View Full Record in Web of Science</v>
      </c>
    </row>
    <row r="2001" spans="1:72" x14ac:dyDescent="0.15">
      <c r="A2001" t="s">
        <v>98</v>
      </c>
      <c r="B2001" t="s">
        <v>11274</v>
      </c>
      <c r="C2001" t="s">
        <v>74</v>
      </c>
      <c r="D2001" t="s">
        <v>74</v>
      </c>
      <c r="E2001" t="s">
        <v>74</v>
      </c>
      <c r="F2001" t="s">
        <v>11275</v>
      </c>
      <c r="G2001" t="s">
        <v>74</v>
      </c>
      <c r="H2001" t="s">
        <v>74</v>
      </c>
      <c r="I2001" t="s">
        <v>11276</v>
      </c>
      <c r="J2001" t="s">
        <v>903</v>
      </c>
      <c r="K2001" t="s">
        <v>74</v>
      </c>
      <c r="L2001" t="s">
        <v>74</v>
      </c>
      <c r="M2001" t="s">
        <v>74</v>
      </c>
      <c r="N2001" t="s">
        <v>103</v>
      </c>
      <c r="O2001" t="s">
        <v>74</v>
      </c>
      <c r="P2001" t="s">
        <v>74</v>
      </c>
      <c r="Q2001" t="s">
        <v>74</v>
      </c>
      <c r="R2001" t="s">
        <v>74</v>
      </c>
      <c r="S2001" t="s">
        <v>74</v>
      </c>
      <c r="T2001" t="s">
        <v>11277</v>
      </c>
      <c r="U2001" t="s">
        <v>11278</v>
      </c>
      <c r="V2001" t="s">
        <v>11279</v>
      </c>
      <c r="W2001" t="s">
        <v>11280</v>
      </c>
      <c r="X2001" t="s">
        <v>74</v>
      </c>
      <c r="Y2001" t="s">
        <v>11281</v>
      </c>
      <c r="Z2001" t="s">
        <v>11282</v>
      </c>
      <c r="AA2001" t="s">
        <v>74</v>
      </c>
      <c r="AB2001" t="s">
        <v>11283</v>
      </c>
      <c r="AC2001" t="s">
        <v>74</v>
      </c>
      <c r="AD2001" t="s">
        <v>74</v>
      </c>
      <c r="AE2001" t="s">
        <v>74</v>
      </c>
      <c r="AF2001" t="s">
        <v>74</v>
      </c>
      <c r="AG2001">
        <v>56</v>
      </c>
      <c r="AH2001">
        <v>0</v>
      </c>
      <c r="AI2001">
        <v>0</v>
      </c>
      <c r="AJ2001">
        <v>0</v>
      </c>
      <c r="AK2001">
        <v>0</v>
      </c>
      <c r="AL2001" t="s">
        <v>74</v>
      </c>
      <c r="AM2001" t="s">
        <v>74</v>
      </c>
      <c r="AN2001" t="s">
        <v>74</v>
      </c>
      <c r="AO2001" t="s">
        <v>74</v>
      </c>
      <c r="AP2001" t="s">
        <v>913</v>
      </c>
      <c r="AQ2001" t="s">
        <v>74</v>
      </c>
      <c r="AR2001" t="s">
        <v>74</v>
      </c>
      <c r="AS2001" t="s">
        <v>74</v>
      </c>
      <c r="AT2001" t="s">
        <v>170</v>
      </c>
      <c r="AU2001">
        <v>2022</v>
      </c>
      <c r="AV2001">
        <v>14</v>
      </c>
      <c r="AW2001">
        <v>12</v>
      </c>
      <c r="AX2001" t="s">
        <v>74</v>
      </c>
      <c r="AY2001" t="s">
        <v>74</v>
      </c>
      <c r="AZ2001" t="s">
        <v>74</v>
      </c>
      <c r="BA2001" t="s">
        <v>74</v>
      </c>
      <c r="BB2001" t="s">
        <v>74</v>
      </c>
      <c r="BC2001" t="s">
        <v>74</v>
      </c>
      <c r="BD2001">
        <v>2969</v>
      </c>
      <c r="BE2001" t="s">
        <v>11284</v>
      </c>
      <c r="BF2001" t="str">
        <f>HYPERLINK("http://dx.doi.org/10.3390/cancers14122969","http://dx.doi.org/10.3390/cancers14122969")</f>
        <v>http://dx.doi.org/10.3390/cancers14122969</v>
      </c>
      <c r="BG2001" t="s">
        <v>74</v>
      </c>
      <c r="BH2001" t="s">
        <v>74</v>
      </c>
      <c r="BI2001" t="s">
        <v>74</v>
      </c>
      <c r="BJ2001" t="s">
        <v>267</v>
      </c>
      <c r="BK2001" t="s">
        <v>117</v>
      </c>
      <c r="BL2001" t="s">
        <v>267</v>
      </c>
      <c r="BM2001" t="s">
        <v>74</v>
      </c>
      <c r="BN2001">
        <v>35740635</v>
      </c>
      <c r="BO2001" t="s">
        <v>74</v>
      </c>
      <c r="BP2001" t="s">
        <v>74</v>
      </c>
      <c r="BQ2001" t="s">
        <v>74</v>
      </c>
      <c r="BR2001" t="s">
        <v>96</v>
      </c>
      <c r="BS2001" t="s">
        <v>11285</v>
      </c>
      <c r="BT2001" t="str">
        <f>HYPERLINK("https%3A%2F%2Fwww.webofscience.com%2Fwos%2Fwoscc%2Ffull-record%2FWOS:000817629400001","View Full Record in Web of Science")</f>
        <v>View Full Record in Web of Science</v>
      </c>
    </row>
    <row r="2002" spans="1:72" x14ac:dyDescent="0.15">
      <c r="A2002" t="s">
        <v>98</v>
      </c>
      <c r="B2002" t="s">
        <v>11286</v>
      </c>
      <c r="C2002" t="s">
        <v>74</v>
      </c>
      <c r="D2002" t="s">
        <v>74</v>
      </c>
      <c r="E2002" t="s">
        <v>74</v>
      </c>
      <c r="F2002" t="s">
        <v>11287</v>
      </c>
      <c r="G2002" t="s">
        <v>74</v>
      </c>
      <c r="H2002" t="s">
        <v>74</v>
      </c>
      <c r="I2002" t="s">
        <v>11288</v>
      </c>
      <c r="J2002" t="s">
        <v>3650</v>
      </c>
      <c r="K2002" t="s">
        <v>74</v>
      </c>
      <c r="L2002" t="s">
        <v>74</v>
      </c>
      <c r="M2002" t="s">
        <v>74</v>
      </c>
      <c r="N2002" t="s">
        <v>103</v>
      </c>
      <c r="O2002" t="s">
        <v>74</v>
      </c>
      <c r="P2002" t="s">
        <v>74</v>
      </c>
      <c r="Q2002" t="s">
        <v>74</v>
      </c>
      <c r="R2002" t="s">
        <v>74</v>
      </c>
      <c r="S2002" t="s">
        <v>74</v>
      </c>
      <c r="T2002" t="s">
        <v>11289</v>
      </c>
      <c r="U2002" t="s">
        <v>11290</v>
      </c>
      <c r="V2002" t="s">
        <v>11291</v>
      </c>
      <c r="W2002" t="s">
        <v>11292</v>
      </c>
      <c r="X2002" t="s">
        <v>11293</v>
      </c>
      <c r="Y2002" t="s">
        <v>11294</v>
      </c>
      <c r="Z2002" t="s">
        <v>11295</v>
      </c>
      <c r="AA2002" t="s">
        <v>74</v>
      </c>
      <c r="AB2002" t="s">
        <v>74</v>
      </c>
      <c r="AC2002" t="s">
        <v>74</v>
      </c>
      <c r="AD2002" t="s">
        <v>74</v>
      </c>
      <c r="AE2002" t="s">
        <v>74</v>
      </c>
      <c r="AF2002" t="s">
        <v>74</v>
      </c>
      <c r="AG2002">
        <v>43</v>
      </c>
      <c r="AH2002">
        <v>0</v>
      </c>
      <c r="AI2002">
        <v>0</v>
      </c>
      <c r="AJ2002">
        <v>4</v>
      </c>
      <c r="AK2002">
        <v>4</v>
      </c>
      <c r="AL2002" t="s">
        <v>74</v>
      </c>
      <c r="AM2002" t="s">
        <v>74</v>
      </c>
      <c r="AN2002" t="s">
        <v>74</v>
      </c>
      <c r="AO2002" t="s">
        <v>74</v>
      </c>
      <c r="AP2002" t="s">
        <v>3659</v>
      </c>
      <c r="AQ2002" t="s">
        <v>74</v>
      </c>
      <c r="AR2002" t="s">
        <v>74</v>
      </c>
      <c r="AS2002" t="s">
        <v>74</v>
      </c>
      <c r="AT2002" t="s">
        <v>5213</v>
      </c>
      <c r="AU2002">
        <v>2022</v>
      </c>
      <c r="AV2002">
        <v>369</v>
      </c>
      <c r="AW2002" t="s">
        <v>74</v>
      </c>
      <c r="AX2002" t="s">
        <v>74</v>
      </c>
      <c r="AY2002" t="s">
        <v>74</v>
      </c>
      <c r="AZ2002" t="s">
        <v>74</v>
      </c>
      <c r="BA2002" t="s">
        <v>74</v>
      </c>
      <c r="BB2002" t="s">
        <v>74</v>
      </c>
      <c r="BC2002" t="s">
        <v>74</v>
      </c>
      <c r="BD2002">
        <v>132314</v>
      </c>
      <c r="BE2002" t="s">
        <v>11296</v>
      </c>
      <c r="BF2002" t="str">
        <f>HYPERLINK("http://dx.doi.org/10.1016/j.snb.2022.132314","http://dx.doi.org/10.1016/j.snb.2022.132314")</f>
        <v>http://dx.doi.org/10.1016/j.snb.2022.132314</v>
      </c>
      <c r="BG2002" t="s">
        <v>74</v>
      </c>
      <c r="BH2002" t="s">
        <v>74</v>
      </c>
      <c r="BI2002" t="s">
        <v>74</v>
      </c>
      <c r="BJ2002" t="s">
        <v>3663</v>
      </c>
      <c r="BK2002" t="s">
        <v>117</v>
      </c>
      <c r="BL2002" t="s">
        <v>3664</v>
      </c>
      <c r="BM2002" t="s">
        <v>74</v>
      </c>
      <c r="BN2002" t="s">
        <v>74</v>
      </c>
      <c r="BO2002" t="s">
        <v>74</v>
      </c>
      <c r="BP2002" t="s">
        <v>74</v>
      </c>
      <c r="BQ2002" t="s">
        <v>74</v>
      </c>
      <c r="BR2002" t="s">
        <v>96</v>
      </c>
      <c r="BS2002" t="s">
        <v>11297</v>
      </c>
      <c r="BT2002" t="str">
        <f>HYPERLINK("https%3A%2F%2Fwww.webofscience.com%2Fwos%2Fwoscc%2Ffull-record%2FWOS:000829239700006","View Full Record in Web of Science")</f>
        <v>View Full Record in Web of Science</v>
      </c>
    </row>
    <row r="2003" spans="1:72" x14ac:dyDescent="0.15">
      <c r="A2003" t="s">
        <v>98</v>
      </c>
      <c r="B2003" t="s">
        <v>11500</v>
      </c>
      <c r="C2003" t="s">
        <v>74</v>
      </c>
      <c r="D2003" t="s">
        <v>74</v>
      </c>
      <c r="E2003" t="s">
        <v>74</v>
      </c>
      <c r="F2003" t="s">
        <v>11501</v>
      </c>
      <c r="G2003" t="s">
        <v>74</v>
      </c>
      <c r="H2003" t="s">
        <v>74</v>
      </c>
      <c r="I2003" t="s">
        <v>11502</v>
      </c>
      <c r="J2003" t="s">
        <v>11503</v>
      </c>
      <c r="K2003" t="s">
        <v>74</v>
      </c>
      <c r="L2003" t="s">
        <v>74</v>
      </c>
      <c r="M2003" t="s">
        <v>74</v>
      </c>
      <c r="N2003" t="s">
        <v>103</v>
      </c>
      <c r="O2003" t="s">
        <v>74</v>
      </c>
      <c r="P2003" t="s">
        <v>74</v>
      </c>
      <c r="Q2003" t="s">
        <v>74</v>
      </c>
      <c r="R2003" t="s">
        <v>74</v>
      </c>
      <c r="S2003" t="s">
        <v>74</v>
      </c>
      <c r="T2003" t="s">
        <v>11504</v>
      </c>
      <c r="U2003" t="s">
        <v>11505</v>
      </c>
      <c r="V2003" t="s">
        <v>11506</v>
      </c>
      <c r="W2003" t="s">
        <v>11507</v>
      </c>
      <c r="X2003" t="s">
        <v>11508</v>
      </c>
      <c r="Y2003" t="s">
        <v>11509</v>
      </c>
      <c r="Z2003" t="s">
        <v>1551</v>
      </c>
      <c r="AA2003" t="s">
        <v>74</v>
      </c>
      <c r="AB2003" t="s">
        <v>74</v>
      </c>
      <c r="AC2003" t="s">
        <v>74</v>
      </c>
      <c r="AD2003" t="s">
        <v>74</v>
      </c>
      <c r="AE2003" t="s">
        <v>74</v>
      </c>
      <c r="AF2003" t="s">
        <v>74</v>
      </c>
      <c r="AG2003">
        <v>53</v>
      </c>
      <c r="AH2003">
        <v>0</v>
      </c>
      <c r="AI2003">
        <v>0</v>
      </c>
      <c r="AJ2003">
        <v>2</v>
      </c>
      <c r="AK2003">
        <v>2</v>
      </c>
      <c r="AL2003" t="s">
        <v>74</v>
      </c>
      <c r="AM2003" t="s">
        <v>74</v>
      </c>
      <c r="AN2003" t="s">
        <v>74</v>
      </c>
      <c r="AO2003" t="s">
        <v>11510</v>
      </c>
      <c r="AP2003" t="s">
        <v>11511</v>
      </c>
      <c r="AQ2003" t="s">
        <v>74</v>
      </c>
      <c r="AR2003" t="s">
        <v>74</v>
      </c>
      <c r="AS2003" t="s">
        <v>74</v>
      </c>
      <c r="AT2003" t="s">
        <v>614</v>
      </c>
      <c r="AU2003">
        <v>2022</v>
      </c>
      <c r="AV2003">
        <v>235</v>
      </c>
      <c r="AW2003">
        <v>3</v>
      </c>
      <c r="AX2003" t="s">
        <v>74</v>
      </c>
      <c r="AY2003" t="s">
        <v>74</v>
      </c>
      <c r="AZ2003" t="s">
        <v>74</v>
      </c>
      <c r="BA2003" t="s">
        <v>74</v>
      </c>
      <c r="BB2003" t="s">
        <v>74</v>
      </c>
      <c r="BC2003" t="s">
        <v>74</v>
      </c>
      <c r="BD2003" t="s">
        <v>11512</v>
      </c>
      <c r="BE2003" t="s">
        <v>11513</v>
      </c>
      <c r="BF2003" t="str">
        <f>HYPERLINK("http://dx.doi.org/10.1111/apha.13827","http://dx.doi.org/10.1111/apha.13827")</f>
        <v>http://dx.doi.org/10.1111/apha.13827</v>
      </c>
      <c r="BG2003" t="s">
        <v>74</v>
      </c>
      <c r="BH2003" t="s">
        <v>7254</v>
      </c>
      <c r="BI2003" t="s">
        <v>74</v>
      </c>
      <c r="BJ2003" t="s">
        <v>1809</v>
      </c>
      <c r="BK2003" t="s">
        <v>117</v>
      </c>
      <c r="BL2003" t="s">
        <v>1809</v>
      </c>
      <c r="BM2003" t="s">
        <v>74</v>
      </c>
      <c r="BN2003">
        <v>35500155</v>
      </c>
      <c r="BO2003" t="s">
        <v>74</v>
      </c>
      <c r="BP2003" t="s">
        <v>74</v>
      </c>
      <c r="BQ2003" t="s">
        <v>74</v>
      </c>
      <c r="BR2003" t="s">
        <v>96</v>
      </c>
      <c r="BS2003" t="s">
        <v>11514</v>
      </c>
      <c r="BT2003" t="str">
        <f>HYPERLINK("https%3A%2F%2Fwww.webofscience.com%2Fwos%2Fwoscc%2Ffull-record%2FWOS:000792596900001","View Full Record in Web of Science")</f>
        <v>View Full Record in Web of Science</v>
      </c>
    </row>
    <row r="2004" spans="1:72" x14ac:dyDescent="0.15">
      <c r="A2004" t="s">
        <v>98</v>
      </c>
      <c r="B2004" t="s">
        <v>11603</v>
      </c>
      <c r="C2004" t="s">
        <v>74</v>
      </c>
      <c r="D2004" t="s">
        <v>74</v>
      </c>
      <c r="E2004" t="s">
        <v>74</v>
      </c>
      <c r="F2004" t="s">
        <v>11604</v>
      </c>
      <c r="G2004" t="s">
        <v>74</v>
      </c>
      <c r="H2004" t="s">
        <v>74</v>
      </c>
      <c r="I2004" t="s">
        <v>11605</v>
      </c>
      <c r="J2004" t="s">
        <v>9651</v>
      </c>
      <c r="K2004" t="s">
        <v>74</v>
      </c>
      <c r="L2004" t="s">
        <v>74</v>
      </c>
      <c r="M2004" t="s">
        <v>74</v>
      </c>
      <c r="N2004" t="s">
        <v>103</v>
      </c>
      <c r="O2004" t="s">
        <v>74</v>
      </c>
      <c r="P2004" t="s">
        <v>74</v>
      </c>
      <c r="Q2004" t="s">
        <v>74</v>
      </c>
      <c r="R2004" t="s">
        <v>74</v>
      </c>
      <c r="S2004" t="s">
        <v>74</v>
      </c>
      <c r="T2004" t="s">
        <v>74</v>
      </c>
      <c r="U2004" t="s">
        <v>11606</v>
      </c>
      <c r="V2004" t="s">
        <v>11607</v>
      </c>
      <c r="W2004" t="s">
        <v>11608</v>
      </c>
      <c r="X2004" t="s">
        <v>11609</v>
      </c>
      <c r="Y2004" t="s">
        <v>11610</v>
      </c>
      <c r="Z2004" t="s">
        <v>11611</v>
      </c>
      <c r="AA2004" t="s">
        <v>74</v>
      </c>
      <c r="AB2004" t="s">
        <v>11612</v>
      </c>
      <c r="AC2004" t="s">
        <v>74</v>
      </c>
      <c r="AD2004" t="s">
        <v>74</v>
      </c>
      <c r="AE2004" t="s">
        <v>74</v>
      </c>
      <c r="AF2004" t="s">
        <v>74</v>
      </c>
      <c r="AG2004">
        <v>40</v>
      </c>
      <c r="AH2004">
        <v>0</v>
      </c>
      <c r="AI2004">
        <v>0</v>
      </c>
      <c r="AJ2004">
        <v>6</v>
      </c>
      <c r="AK2004">
        <v>11</v>
      </c>
      <c r="AL2004" t="s">
        <v>74</v>
      </c>
      <c r="AM2004" t="s">
        <v>74</v>
      </c>
      <c r="AN2004" t="s">
        <v>74</v>
      </c>
      <c r="AO2004" t="s">
        <v>9658</v>
      </c>
      <c r="AP2004" t="s">
        <v>9659</v>
      </c>
      <c r="AQ2004" t="s">
        <v>74</v>
      </c>
      <c r="AR2004" t="s">
        <v>74</v>
      </c>
      <c r="AS2004" t="s">
        <v>74</v>
      </c>
      <c r="AT2004" t="s">
        <v>11613</v>
      </c>
      <c r="AU2004">
        <v>2021</v>
      </c>
      <c r="AV2004">
        <v>58</v>
      </c>
      <c r="AW2004">
        <v>2</v>
      </c>
      <c r="AX2004" t="s">
        <v>74</v>
      </c>
      <c r="AY2004" t="s">
        <v>74</v>
      </c>
      <c r="AZ2004" t="s">
        <v>74</v>
      </c>
      <c r="BA2004" t="s">
        <v>74</v>
      </c>
      <c r="BB2004">
        <v>266</v>
      </c>
      <c r="BC2004">
        <v>269</v>
      </c>
      <c r="BD2004" t="s">
        <v>74</v>
      </c>
      <c r="BE2004" t="s">
        <v>11614</v>
      </c>
      <c r="BF2004" t="str">
        <f>HYPERLINK("http://dx.doi.org/10.1039/d1cc05924f","http://dx.doi.org/10.1039/d1cc05924f")</f>
        <v>http://dx.doi.org/10.1039/d1cc05924f</v>
      </c>
      <c r="BG2004" t="s">
        <v>74</v>
      </c>
      <c r="BH2004" t="s">
        <v>2718</v>
      </c>
      <c r="BI2004" t="s">
        <v>74</v>
      </c>
      <c r="BJ2004" t="s">
        <v>1047</v>
      </c>
      <c r="BK2004" t="s">
        <v>117</v>
      </c>
      <c r="BL2004" t="s">
        <v>1048</v>
      </c>
      <c r="BM2004" t="s">
        <v>74</v>
      </c>
      <c r="BN2004">
        <v>34878445</v>
      </c>
      <c r="BO2004" t="s">
        <v>74</v>
      </c>
      <c r="BP2004" t="s">
        <v>74</v>
      </c>
      <c r="BQ2004" t="s">
        <v>74</v>
      </c>
      <c r="BR2004" t="s">
        <v>96</v>
      </c>
      <c r="BS2004" t="s">
        <v>11615</v>
      </c>
      <c r="BT2004" t="str">
        <f>HYPERLINK("https%3A%2F%2Fwww.webofscience.com%2Fwos%2Fwoscc%2Ffull-record%2FWOS:000728643400001","View Full Record in Web of Science")</f>
        <v>View Full Record in Web of Science</v>
      </c>
    </row>
    <row r="2005" spans="1:72" x14ac:dyDescent="0.15">
      <c r="A2005" t="s">
        <v>98</v>
      </c>
      <c r="B2005" t="s">
        <v>11616</v>
      </c>
      <c r="C2005" t="s">
        <v>74</v>
      </c>
      <c r="D2005" t="s">
        <v>74</v>
      </c>
      <c r="E2005" t="s">
        <v>74</v>
      </c>
      <c r="F2005" t="s">
        <v>11617</v>
      </c>
      <c r="G2005" t="s">
        <v>74</v>
      </c>
      <c r="H2005" t="s">
        <v>74</v>
      </c>
      <c r="I2005" t="s">
        <v>11618</v>
      </c>
      <c r="J2005" t="s">
        <v>1123</v>
      </c>
      <c r="K2005" t="s">
        <v>74</v>
      </c>
      <c r="L2005" t="s">
        <v>74</v>
      </c>
      <c r="M2005" t="s">
        <v>74</v>
      </c>
      <c r="N2005" t="s">
        <v>103</v>
      </c>
      <c r="O2005" t="s">
        <v>74</v>
      </c>
      <c r="P2005" t="s">
        <v>74</v>
      </c>
      <c r="Q2005" t="s">
        <v>74</v>
      </c>
      <c r="R2005" t="s">
        <v>74</v>
      </c>
      <c r="S2005" t="s">
        <v>74</v>
      </c>
      <c r="T2005" t="s">
        <v>11619</v>
      </c>
      <c r="U2005" t="s">
        <v>11620</v>
      </c>
      <c r="V2005" t="s">
        <v>11621</v>
      </c>
      <c r="W2005" t="s">
        <v>11622</v>
      </c>
      <c r="X2005" t="s">
        <v>9372</v>
      </c>
      <c r="Y2005" t="s">
        <v>11623</v>
      </c>
      <c r="Z2005" t="s">
        <v>11624</v>
      </c>
      <c r="AA2005" t="s">
        <v>74</v>
      </c>
      <c r="AB2005" t="s">
        <v>74</v>
      </c>
      <c r="AC2005" t="s">
        <v>74</v>
      </c>
      <c r="AD2005" t="s">
        <v>74</v>
      </c>
      <c r="AE2005" t="s">
        <v>74</v>
      </c>
      <c r="AF2005" t="s">
        <v>74</v>
      </c>
      <c r="AG2005">
        <v>108</v>
      </c>
      <c r="AH2005">
        <v>0</v>
      </c>
      <c r="AI2005">
        <v>0</v>
      </c>
      <c r="AJ2005">
        <v>13</v>
      </c>
      <c r="AK2005">
        <v>13</v>
      </c>
      <c r="AL2005" t="s">
        <v>74</v>
      </c>
      <c r="AM2005" t="s">
        <v>74</v>
      </c>
      <c r="AN2005" t="s">
        <v>74</v>
      </c>
      <c r="AO2005" t="s">
        <v>1132</v>
      </c>
      <c r="AP2005" t="s">
        <v>1133</v>
      </c>
      <c r="AQ2005" t="s">
        <v>74</v>
      </c>
      <c r="AR2005" t="s">
        <v>74</v>
      </c>
      <c r="AS2005" t="s">
        <v>74</v>
      </c>
      <c r="AT2005" t="s">
        <v>5213</v>
      </c>
      <c r="AU2005">
        <v>2022</v>
      </c>
      <c r="AV2005">
        <v>214</v>
      </c>
      <c r="AW2005" t="s">
        <v>74</v>
      </c>
      <c r="AX2005" t="s">
        <v>74</v>
      </c>
      <c r="AY2005" t="s">
        <v>74</v>
      </c>
      <c r="AZ2005" t="s">
        <v>74</v>
      </c>
      <c r="BA2005" t="s">
        <v>74</v>
      </c>
      <c r="BB2005" t="s">
        <v>74</v>
      </c>
      <c r="BC2005" t="s">
        <v>74</v>
      </c>
      <c r="BD2005">
        <v>114554</v>
      </c>
      <c r="BE2005" t="s">
        <v>11625</v>
      </c>
      <c r="BF2005" t="str">
        <f>HYPERLINK("http://dx.doi.org/10.1016/j.bios.2022.114554","http://dx.doi.org/10.1016/j.bios.2022.114554")</f>
        <v>http://dx.doi.org/10.1016/j.bios.2022.114554</v>
      </c>
      <c r="BG2005" t="s">
        <v>74</v>
      </c>
      <c r="BH2005" t="s">
        <v>74</v>
      </c>
      <c r="BI2005" t="s">
        <v>74</v>
      </c>
      <c r="BJ2005" t="s">
        <v>1137</v>
      </c>
      <c r="BK2005" t="s">
        <v>117</v>
      </c>
      <c r="BL2005" t="s">
        <v>1138</v>
      </c>
      <c r="BM2005" t="s">
        <v>74</v>
      </c>
      <c r="BN2005">
        <v>35834978</v>
      </c>
      <c r="BO2005" t="s">
        <v>74</v>
      </c>
      <c r="BP2005" t="s">
        <v>74</v>
      </c>
      <c r="BQ2005" t="s">
        <v>74</v>
      </c>
      <c r="BR2005" t="s">
        <v>96</v>
      </c>
      <c r="BS2005" t="s">
        <v>11626</v>
      </c>
      <c r="BT2005" t="str">
        <f>HYPERLINK("https%3A%2F%2Fwww.webofscience.com%2Fwos%2Fwoscc%2Ffull-record%2FWOS:000829274700003","View Full Record in Web of Science")</f>
        <v>View Full Record in Web of Science</v>
      </c>
    </row>
    <row r="2006" spans="1:72" x14ac:dyDescent="0.15">
      <c r="A2006" t="s">
        <v>98</v>
      </c>
      <c r="B2006" t="s">
        <v>11657</v>
      </c>
      <c r="C2006" t="s">
        <v>74</v>
      </c>
      <c r="D2006" t="s">
        <v>74</v>
      </c>
      <c r="E2006" t="s">
        <v>74</v>
      </c>
      <c r="F2006" t="s">
        <v>11658</v>
      </c>
      <c r="G2006" t="s">
        <v>74</v>
      </c>
      <c r="H2006" t="s">
        <v>74</v>
      </c>
      <c r="I2006" t="s">
        <v>11659</v>
      </c>
      <c r="J2006" t="s">
        <v>11660</v>
      </c>
      <c r="K2006" t="s">
        <v>74</v>
      </c>
      <c r="L2006" t="s">
        <v>74</v>
      </c>
      <c r="M2006" t="s">
        <v>74</v>
      </c>
      <c r="N2006" t="s">
        <v>103</v>
      </c>
      <c r="O2006" t="s">
        <v>74</v>
      </c>
      <c r="P2006" t="s">
        <v>74</v>
      </c>
      <c r="Q2006" t="s">
        <v>74</v>
      </c>
      <c r="R2006" t="s">
        <v>74</v>
      </c>
      <c r="S2006" t="s">
        <v>74</v>
      </c>
      <c r="T2006" t="s">
        <v>11661</v>
      </c>
      <c r="U2006" t="s">
        <v>420</v>
      </c>
      <c r="V2006" t="s">
        <v>11662</v>
      </c>
      <c r="W2006" t="s">
        <v>11663</v>
      </c>
      <c r="X2006" t="s">
        <v>11664</v>
      </c>
      <c r="Y2006" t="s">
        <v>11665</v>
      </c>
      <c r="Z2006" t="s">
        <v>11666</v>
      </c>
      <c r="AA2006" t="s">
        <v>74</v>
      </c>
      <c r="AB2006" t="s">
        <v>74</v>
      </c>
      <c r="AC2006" t="s">
        <v>74</v>
      </c>
      <c r="AD2006" t="s">
        <v>74</v>
      </c>
      <c r="AE2006" t="s">
        <v>74</v>
      </c>
      <c r="AF2006" t="s">
        <v>74</v>
      </c>
      <c r="AG2006">
        <v>27</v>
      </c>
      <c r="AH2006">
        <v>0</v>
      </c>
      <c r="AI2006">
        <v>0</v>
      </c>
      <c r="AJ2006">
        <v>0</v>
      </c>
      <c r="AK2006">
        <v>0</v>
      </c>
      <c r="AL2006" t="s">
        <v>74</v>
      </c>
      <c r="AM2006" t="s">
        <v>74</v>
      </c>
      <c r="AN2006" t="s">
        <v>74</v>
      </c>
      <c r="AO2006" t="s">
        <v>11667</v>
      </c>
      <c r="AP2006" t="s">
        <v>11668</v>
      </c>
      <c r="AQ2006" t="s">
        <v>74</v>
      </c>
      <c r="AR2006" t="s">
        <v>74</v>
      </c>
      <c r="AS2006" t="s">
        <v>74</v>
      </c>
      <c r="AT2006" t="s">
        <v>170</v>
      </c>
      <c r="AU2006">
        <v>2022</v>
      </c>
      <c r="AV2006">
        <v>22</v>
      </c>
      <c r="AW2006">
        <v>6</v>
      </c>
      <c r="AX2006" t="s">
        <v>74</v>
      </c>
      <c r="AY2006" t="s">
        <v>74</v>
      </c>
      <c r="AZ2006" t="s">
        <v>74</v>
      </c>
      <c r="BA2006" t="s">
        <v>74</v>
      </c>
      <c r="BB2006">
        <v>528</v>
      </c>
      <c r="BC2006">
        <v>544</v>
      </c>
      <c r="BD2006" t="s">
        <v>74</v>
      </c>
      <c r="BE2006" t="s">
        <v>11669</v>
      </c>
      <c r="BF2006" t="str">
        <f>HYPERLINK("http://dx.doi.org/10.1007/s12012-022-09736-8","http://dx.doi.org/10.1007/s12012-022-09736-8")</f>
        <v>http://dx.doi.org/10.1007/s12012-022-09736-8</v>
      </c>
      <c r="BG2006" t="s">
        <v>74</v>
      </c>
      <c r="BH2006" t="s">
        <v>6394</v>
      </c>
      <c r="BI2006" t="s">
        <v>74</v>
      </c>
      <c r="BJ2006" t="s">
        <v>11670</v>
      </c>
      <c r="BK2006" t="s">
        <v>117</v>
      </c>
      <c r="BL2006" t="s">
        <v>11671</v>
      </c>
      <c r="BM2006" t="s">
        <v>74</v>
      </c>
      <c r="BN2006">
        <v>35344140</v>
      </c>
      <c r="BO2006" t="s">
        <v>74</v>
      </c>
      <c r="BP2006" t="s">
        <v>74</v>
      </c>
      <c r="BQ2006" t="s">
        <v>74</v>
      </c>
      <c r="BR2006" t="s">
        <v>96</v>
      </c>
      <c r="BS2006" t="s">
        <v>11672</v>
      </c>
      <c r="BT2006" t="str">
        <f>HYPERLINK("https%3A%2F%2Fwww.webofscience.com%2Fwos%2Fwoscc%2Ffull-record%2FWOS:000780463100001","View Full Record in Web of Science")</f>
        <v>View Full Record in Web of Science</v>
      </c>
    </row>
    <row r="2007" spans="1:72" x14ac:dyDescent="0.15">
      <c r="A2007" t="s">
        <v>98</v>
      </c>
      <c r="B2007" t="s">
        <v>11771</v>
      </c>
      <c r="C2007" t="s">
        <v>74</v>
      </c>
      <c r="D2007" t="s">
        <v>74</v>
      </c>
      <c r="E2007" t="s">
        <v>74</v>
      </c>
      <c r="F2007" t="s">
        <v>11772</v>
      </c>
      <c r="G2007" t="s">
        <v>74</v>
      </c>
      <c r="H2007" t="s">
        <v>74</v>
      </c>
      <c r="I2007" t="s">
        <v>11773</v>
      </c>
      <c r="J2007" t="s">
        <v>7316</v>
      </c>
      <c r="K2007" t="s">
        <v>74</v>
      </c>
      <c r="L2007" t="s">
        <v>74</v>
      </c>
      <c r="M2007" t="s">
        <v>74</v>
      </c>
      <c r="N2007" t="s">
        <v>103</v>
      </c>
      <c r="O2007" t="s">
        <v>74</v>
      </c>
      <c r="P2007" t="s">
        <v>74</v>
      </c>
      <c r="Q2007" t="s">
        <v>74</v>
      </c>
      <c r="R2007" t="s">
        <v>74</v>
      </c>
      <c r="S2007" t="s">
        <v>74</v>
      </c>
      <c r="T2007" t="s">
        <v>74</v>
      </c>
      <c r="U2007" t="s">
        <v>11774</v>
      </c>
      <c r="V2007" t="s">
        <v>11775</v>
      </c>
      <c r="W2007" t="s">
        <v>11776</v>
      </c>
      <c r="X2007" t="s">
        <v>4804</v>
      </c>
      <c r="Y2007" t="s">
        <v>11777</v>
      </c>
      <c r="Z2007" t="s">
        <v>10013</v>
      </c>
      <c r="AA2007" t="s">
        <v>10014</v>
      </c>
      <c r="AB2007" t="s">
        <v>10015</v>
      </c>
      <c r="AC2007" t="s">
        <v>74</v>
      </c>
      <c r="AD2007" t="s">
        <v>74</v>
      </c>
      <c r="AE2007" t="s">
        <v>74</v>
      </c>
      <c r="AF2007" t="s">
        <v>74</v>
      </c>
      <c r="AG2007">
        <v>33</v>
      </c>
      <c r="AH2007">
        <v>0</v>
      </c>
      <c r="AI2007">
        <v>0</v>
      </c>
      <c r="AJ2007">
        <v>43</v>
      </c>
      <c r="AK2007">
        <v>43</v>
      </c>
      <c r="AL2007" t="s">
        <v>74</v>
      </c>
      <c r="AM2007" t="s">
        <v>74</v>
      </c>
      <c r="AN2007" t="s">
        <v>74</v>
      </c>
      <c r="AO2007" t="s">
        <v>7324</v>
      </c>
      <c r="AP2007" t="s">
        <v>7325</v>
      </c>
      <c r="AQ2007" t="s">
        <v>74</v>
      </c>
      <c r="AR2007" t="s">
        <v>74</v>
      </c>
      <c r="AS2007" t="s">
        <v>74</v>
      </c>
      <c r="AT2007" t="s">
        <v>4577</v>
      </c>
      <c r="AU2007">
        <v>2022</v>
      </c>
      <c r="AV2007">
        <v>147</v>
      </c>
      <c r="AW2007">
        <v>9</v>
      </c>
      <c r="AX2007" t="s">
        <v>74</v>
      </c>
      <c r="AY2007" t="s">
        <v>74</v>
      </c>
      <c r="AZ2007" t="s">
        <v>74</v>
      </c>
      <c r="BA2007" t="s">
        <v>74</v>
      </c>
      <c r="BB2007">
        <v>1859</v>
      </c>
      <c r="BC2007">
        <v>1865</v>
      </c>
      <c r="BD2007" t="s">
        <v>74</v>
      </c>
      <c r="BE2007" t="s">
        <v>11778</v>
      </c>
      <c r="BF2007" t="str">
        <f>HYPERLINK("http://dx.doi.org/10.1039/d2an00242f","http://dx.doi.org/10.1039/d2an00242f")</f>
        <v>http://dx.doi.org/10.1039/d2an00242f</v>
      </c>
      <c r="BG2007" t="s">
        <v>74</v>
      </c>
      <c r="BH2007" t="s">
        <v>6394</v>
      </c>
      <c r="BI2007" t="s">
        <v>74</v>
      </c>
      <c r="BJ2007" t="s">
        <v>1118</v>
      </c>
      <c r="BK2007" t="s">
        <v>117</v>
      </c>
      <c r="BL2007" t="s">
        <v>1048</v>
      </c>
      <c r="BM2007" t="s">
        <v>74</v>
      </c>
      <c r="BN2007">
        <v>35411359</v>
      </c>
      <c r="BO2007" t="s">
        <v>74</v>
      </c>
      <c r="BP2007" t="s">
        <v>74</v>
      </c>
      <c r="BQ2007" t="s">
        <v>74</v>
      </c>
      <c r="BR2007" t="s">
        <v>96</v>
      </c>
      <c r="BS2007" t="s">
        <v>11779</v>
      </c>
      <c r="BT2007" t="str">
        <f>HYPERLINK("https%3A%2F%2Fwww.webofscience.com%2Fwos%2Fwoscc%2Ffull-record%2FWOS:000780919200001","View Full Record in Web of Science")</f>
        <v>View Full Record in Web of Science</v>
      </c>
    </row>
    <row r="2008" spans="1:72" x14ac:dyDescent="0.15">
      <c r="A2008" t="s">
        <v>98</v>
      </c>
      <c r="B2008" t="s">
        <v>11878</v>
      </c>
      <c r="C2008" t="s">
        <v>74</v>
      </c>
      <c r="D2008" t="s">
        <v>74</v>
      </c>
      <c r="E2008" t="s">
        <v>74</v>
      </c>
      <c r="F2008" t="s">
        <v>11879</v>
      </c>
      <c r="G2008" t="s">
        <v>74</v>
      </c>
      <c r="H2008" t="s">
        <v>74</v>
      </c>
      <c r="I2008" t="s">
        <v>11880</v>
      </c>
      <c r="J2008" t="s">
        <v>11881</v>
      </c>
      <c r="K2008" t="s">
        <v>74</v>
      </c>
      <c r="L2008" t="s">
        <v>74</v>
      </c>
      <c r="M2008" t="s">
        <v>74</v>
      </c>
      <c r="N2008" t="s">
        <v>103</v>
      </c>
      <c r="O2008" t="s">
        <v>74</v>
      </c>
      <c r="P2008" t="s">
        <v>74</v>
      </c>
      <c r="Q2008" t="s">
        <v>74</v>
      </c>
      <c r="R2008" t="s">
        <v>74</v>
      </c>
      <c r="S2008" t="s">
        <v>74</v>
      </c>
      <c r="T2008" t="s">
        <v>11882</v>
      </c>
      <c r="U2008" t="s">
        <v>11883</v>
      </c>
      <c r="V2008" t="s">
        <v>11884</v>
      </c>
      <c r="W2008" t="s">
        <v>11885</v>
      </c>
      <c r="X2008" t="s">
        <v>11886</v>
      </c>
      <c r="Y2008" t="s">
        <v>11887</v>
      </c>
      <c r="Z2008" t="s">
        <v>11888</v>
      </c>
      <c r="AA2008" t="s">
        <v>74</v>
      </c>
      <c r="AB2008" t="s">
        <v>74</v>
      </c>
      <c r="AC2008" t="s">
        <v>74</v>
      </c>
      <c r="AD2008" t="s">
        <v>74</v>
      </c>
      <c r="AE2008" t="s">
        <v>74</v>
      </c>
      <c r="AF2008" t="s">
        <v>74</v>
      </c>
      <c r="AG2008">
        <v>103</v>
      </c>
      <c r="AH2008">
        <v>0</v>
      </c>
      <c r="AI2008">
        <v>0</v>
      </c>
      <c r="AJ2008">
        <v>3</v>
      </c>
      <c r="AK2008">
        <v>3</v>
      </c>
      <c r="AL2008" t="s">
        <v>74</v>
      </c>
      <c r="AM2008" t="s">
        <v>74</v>
      </c>
      <c r="AN2008" t="s">
        <v>74</v>
      </c>
      <c r="AO2008" t="s">
        <v>11889</v>
      </c>
      <c r="AP2008" t="s">
        <v>11890</v>
      </c>
      <c r="AQ2008" t="s">
        <v>74</v>
      </c>
      <c r="AR2008" t="s">
        <v>74</v>
      </c>
      <c r="AS2008" t="s">
        <v>74</v>
      </c>
      <c r="AT2008" t="s">
        <v>74</v>
      </c>
      <c r="AU2008">
        <v>2022</v>
      </c>
      <c r="AV2008">
        <v>46</v>
      </c>
      <c r="AW2008">
        <v>10</v>
      </c>
      <c r="AX2008" t="s">
        <v>74</v>
      </c>
      <c r="AY2008" t="s">
        <v>74</v>
      </c>
      <c r="AZ2008" t="s">
        <v>74</v>
      </c>
      <c r="BA2008" t="s">
        <v>74</v>
      </c>
      <c r="BB2008">
        <v>2167</v>
      </c>
      <c r="BC2008">
        <v>2176</v>
      </c>
      <c r="BD2008" t="s">
        <v>74</v>
      </c>
      <c r="BE2008" t="s">
        <v>11891</v>
      </c>
      <c r="BF2008" t="str">
        <f>HYPERLINK("http://dx.doi.org/10.32604/biocell.2022.020154","http://dx.doi.org/10.32604/biocell.2022.020154")</f>
        <v>http://dx.doi.org/10.32604/biocell.2022.020154</v>
      </c>
      <c r="BG2008" t="s">
        <v>74</v>
      </c>
      <c r="BH2008" t="s">
        <v>9405</v>
      </c>
      <c r="BI2008" t="s">
        <v>74</v>
      </c>
      <c r="BJ2008" t="s">
        <v>1643</v>
      </c>
      <c r="BK2008" t="s">
        <v>117</v>
      </c>
      <c r="BL2008" t="s">
        <v>1644</v>
      </c>
      <c r="BM2008" t="s">
        <v>74</v>
      </c>
      <c r="BN2008" t="s">
        <v>74</v>
      </c>
      <c r="BO2008" t="s">
        <v>74</v>
      </c>
      <c r="BP2008" t="s">
        <v>74</v>
      </c>
      <c r="BQ2008" t="s">
        <v>74</v>
      </c>
      <c r="BR2008" t="s">
        <v>96</v>
      </c>
      <c r="BS2008" t="s">
        <v>11892</v>
      </c>
      <c r="BT2008" t="str">
        <f>HYPERLINK("https%3A%2F%2Fwww.webofscience.com%2Fwos%2Fwoscc%2Ffull-record%2FWOS:000803840300001","View Full Record in Web of Science")</f>
        <v>View Full Record in Web of Science</v>
      </c>
    </row>
    <row r="2009" spans="1:72" x14ac:dyDescent="0.15">
      <c r="A2009" t="s">
        <v>98</v>
      </c>
      <c r="B2009" t="s">
        <v>12325</v>
      </c>
      <c r="C2009" t="s">
        <v>74</v>
      </c>
      <c r="D2009" t="s">
        <v>74</v>
      </c>
      <c r="E2009" t="s">
        <v>74</v>
      </c>
      <c r="F2009" t="s">
        <v>12326</v>
      </c>
      <c r="G2009" t="s">
        <v>74</v>
      </c>
      <c r="H2009" t="s">
        <v>74</v>
      </c>
      <c r="I2009" t="s">
        <v>12327</v>
      </c>
      <c r="J2009" t="s">
        <v>12328</v>
      </c>
      <c r="K2009" t="s">
        <v>74</v>
      </c>
      <c r="L2009" t="s">
        <v>74</v>
      </c>
      <c r="M2009" t="s">
        <v>74</v>
      </c>
      <c r="N2009" t="s">
        <v>103</v>
      </c>
      <c r="O2009" t="s">
        <v>74</v>
      </c>
      <c r="P2009" t="s">
        <v>74</v>
      </c>
      <c r="Q2009" t="s">
        <v>74</v>
      </c>
      <c r="R2009" t="s">
        <v>74</v>
      </c>
      <c r="S2009" t="s">
        <v>74</v>
      </c>
      <c r="T2009" t="s">
        <v>74</v>
      </c>
      <c r="U2009" t="s">
        <v>12329</v>
      </c>
      <c r="V2009" t="s">
        <v>74</v>
      </c>
      <c r="W2009" t="s">
        <v>12330</v>
      </c>
      <c r="X2009" t="s">
        <v>12331</v>
      </c>
      <c r="Y2009" t="s">
        <v>12332</v>
      </c>
      <c r="Z2009" t="s">
        <v>926</v>
      </c>
      <c r="AA2009" t="s">
        <v>12333</v>
      </c>
      <c r="AB2009" t="s">
        <v>12334</v>
      </c>
      <c r="AC2009" t="s">
        <v>74</v>
      </c>
      <c r="AD2009" t="s">
        <v>74</v>
      </c>
      <c r="AE2009" t="s">
        <v>74</v>
      </c>
      <c r="AF2009" t="s">
        <v>74</v>
      </c>
      <c r="AG2009">
        <v>40</v>
      </c>
      <c r="AH2009">
        <v>0</v>
      </c>
      <c r="AI2009">
        <v>0</v>
      </c>
      <c r="AJ2009">
        <v>0</v>
      </c>
      <c r="AK2009">
        <v>2</v>
      </c>
      <c r="AL2009" t="s">
        <v>74</v>
      </c>
      <c r="AM2009" t="s">
        <v>74</v>
      </c>
      <c r="AN2009" t="s">
        <v>74</v>
      </c>
      <c r="AO2009" t="s">
        <v>12335</v>
      </c>
      <c r="AP2009" t="s">
        <v>12336</v>
      </c>
      <c r="AQ2009" t="s">
        <v>74</v>
      </c>
      <c r="AR2009" t="s">
        <v>74</v>
      </c>
      <c r="AS2009" t="s">
        <v>74</v>
      </c>
      <c r="AT2009" t="s">
        <v>614</v>
      </c>
      <c r="AU2009">
        <v>2020</v>
      </c>
      <c r="AV2009">
        <v>128</v>
      </c>
      <c r="AW2009" t="s">
        <v>74</v>
      </c>
      <c r="AX2009" t="s">
        <v>74</v>
      </c>
      <c r="AY2009" t="s">
        <v>74</v>
      </c>
      <c r="AZ2009" t="s">
        <v>74</v>
      </c>
      <c r="BA2009" t="s">
        <v>74</v>
      </c>
      <c r="BB2009" t="s">
        <v>74</v>
      </c>
      <c r="BC2009" t="s">
        <v>74</v>
      </c>
      <c r="BD2009" t="s">
        <v>74</v>
      </c>
      <c r="BE2009" t="s">
        <v>74</v>
      </c>
      <c r="BF2009" t="s">
        <v>74</v>
      </c>
      <c r="BG2009" t="s">
        <v>74</v>
      </c>
      <c r="BH2009" t="s">
        <v>74</v>
      </c>
      <c r="BI2009" t="s">
        <v>74</v>
      </c>
      <c r="BJ2009" t="s">
        <v>932</v>
      </c>
      <c r="BK2009" t="s">
        <v>117</v>
      </c>
      <c r="BL2009" t="s">
        <v>932</v>
      </c>
      <c r="BM2009" t="s">
        <v>74</v>
      </c>
      <c r="BN2009" t="s">
        <v>74</v>
      </c>
      <c r="BO2009" t="s">
        <v>74</v>
      </c>
      <c r="BP2009" t="s">
        <v>74</v>
      </c>
      <c r="BQ2009" t="s">
        <v>74</v>
      </c>
      <c r="BR2009" t="s">
        <v>96</v>
      </c>
      <c r="BS2009" t="s">
        <v>12337</v>
      </c>
      <c r="BT2009" t="str">
        <f>HYPERLINK("https%3A%2F%2Fwww.webofscience.com%2Fwos%2Fwoscc%2Ffull-record%2FWOS:000541168000038","View Full Record in Web of Science")</f>
        <v>View Full Record in Web of Science</v>
      </c>
    </row>
    <row r="2010" spans="1:72" x14ac:dyDescent="0.15">
      <c r="A2010" t="s">
        <v>98</v>
      </c>
      <c r="B2010" t="s">
        <v>12377</v>
      </c>
      <c r="C2010" t="s">
        <v>74</v>
      </c>
      <c r="D2010" t="s">
        <v>74</v>
      </c>
      <c r="E2010" t="s">
        <v>74</v>
      </c>
      <c r="F2010" t="s">
        <v>12378</v>
      </c>
      <c r="G2010" t="s">
        <v>74</v>
      </c>
      <c r="H2010" t="s">
        <v>74</v>
      </c>
      <c r="I2010" t="s">
        <v>12379</v>
      </c>
      <c r="J2010" t="s">
        <v>817</v>
      </c>
      <c r="K2010" t="s">
        <v>74</v>
      </c>
      <c r="L2010" t="s">
        <v>74</v>
      </c>
      <c r="M2010" t="s">
        <v>74</v>
      </c>
      <c r="N2010" t="s">
        <v>103</v>
      </c>
      <c r="O2010" t="s">
        <v>74</v>
      </c>
      <c r="P2010" t="s">
        <v>74</v>
      </c>
      <c r="Q2010" t="s">
        <v>74</v>
      </c>
      <c r="R2010" t="s">
        <v>74</v>
      </c>
      <c r="S2010" t="s">
        <v>74</v>
      </c>
      <c r="T2010" t="s">
        <v>12380</v>
      </c>
      <c r="U2010" t="s">
        <v>12381</v>
      </c>
      <c r="V2010" t="s">
        <v>12382</v>
      </c>
      <c r="W2010" t="s">
        <v>12383</v>
      </c>
      <c r="X2010" t="s">
        <v>12384</v>
      </c>
      <c r="Y2010" t="s">
        <v>12385</v>
      </c>
      <c r="Z2010" t="s">
        <v>12386</v>
      </c>
      <c r="AA2010" t="s">
        <v>12387</v>
      </c>
      <c r="AB2010" t="s">
        <v>12388</v>
      </c>
      <c r="AC2010" t="s">
        <v>74</v>
      </c>
      <c r="AD2010" t="s">
        <v>74</v>
      </c>
      <c r="AE2010" t="s">
        <v>74</v>
      </c>
      <c r="AF2010" t="s">
        <v>74</v>
      </c>
      <c r="AG2010">
        <v>66</v>
      </c>
      <c r="AH2010">
        <v>0</v>
      </c>
      <c r="AI2010">
        <v>0</v>
      </c>
      <c r="AJ2010">
        <v>5</v>
      </c>
      <c r="AK2010">
        <v>8</v>
      </c>
      <c r="AL2010" t="s">
        <v>74</v>
      </c>
      <c r="AM2010" t="s">
        <v>74</v>
      </c>
      <c r="AN2010" t="s">
        <v>74</v>
      </c>
      <c r="AO2010" t="s">
        <v>74</v>
      </c>
      <c r="AP2010" t="s">
        <v>827</v>
      </c>
      <c r="AQ2010" t="s">
        <v>74</v>
      </c>
      <c r="AR2010" t="s">
        <v>74</v>
      </c>
      <c r="AS2010" t="s">
        <v>74</v>
      </c>
      <c r="AT2010" t="s">
        <v>967</v>
      </c>
      <c r="AU2010">
        <v>2021</v>
      </c>
      <c r="AV2010">
        <v>22</v>
      </c>
      <c r="AW2010">
        <v>24</v>
      </c>
      <c r="AX2010" t="s">
        <v>74</v>
      </c>
      <c r="AY2010" t="s">
        <v>74</v>
      </c>
      <c r="AZ2010" t="s">
        <v>74</v>
      </c>
      <c r="BA2010" t="s">
        <v>74</v>
      </c>
      <c r="BB2010" t="s">
        <v>74</v>
      </c>
      <c r="BC2010" t="s">
        <v>74</v>
      </c>
      <c r="BD2010">
        <v>13562</v>
      </c>
      <c r="BE2010" t="s">
        <v>12389</v>
      </c>
      <c r="BF2010" t="str">
        <f>HYPERLINK("http://dx.doi.org/10.3390/ijms222413562","http://dx.doi.org/10.3390/ijms222413562")</f>
        <v>http://dx.doi.org/10.3390/ijms222413562</v>
      </c>
      <c r="BG2010" t="s">
        <v>74</v>
      </c>
      <c r="BH2010" t="s">
        <v>74</v>
      </c>
      <c r="BI2010" t="s">
        <v>74</v>
      </c>
      <c r="BJ2010" t="s">
        <v>830</v>
      </c>
      <c r="BK2010" t="s">
        <v>117</v>
      </c>
      <c r="BL2010" t="s">
        <v>831</v>
      </c>
      <c r="BM2010" t="s">
        <v>74</v>
      </c>
      <c r="BN2010">
        <v>34948355</v>
      </c>
      <c r="BO2010" t="s">
        <v>74</v>
      </c>
      <c r="BP2010" t="s">
        <v>74</v>
      </c>
      <c r="BQ2010" t="s">
        <v>74</v>
      </c>
      <c r="BR2010" t="s">
        <v>96</v>
      </c>
      <c r="BS2010" t="s">
        <v>12390</v>
      </c>
      <c r="BT2010" t="str">
        <f>HYPERLINK("https%3A%2F%2Fwww.webofscience.com%2Fwos%2Fwoscc%2Ffull-record%2FWOS:000738052700001","View Full Record in Web of Science")</f>
        <v>View Full Record in Web of Science</v>
      </c>
    </row>
    <row r="2011" spans="1:72" x14ac:dyDescent="0.15">
      <c r="A2011" t="s">
        <v>98</v>
      </c>
      <c r="B2011" t="s">
        <v>12484</v>
      </c>
      <c r="C2011" t="s">
        <v>74</v>
      </c>
      <c r="D2011" t="s">
        <v>74</v>
      </c>
      <c r="E2011" t="s">
        <v>74</v>
      </c>
      <c r="F2011" t="s">
        <v>12485</v>
      </c>
      <c r="G2011" t="s">
        <v>74</v>
      </c>
      <c r="H2011" t="s">
        <v>74</v>
      </c>
      <c r="I2011" t="s">
        <v>12486</v>
      </c>
      <c r="J2011" t="s">
        <v>12487</v>
      </c>
      <c r="K2011" t="s">
        <v>74</v>
      </c>
      <c r="L2011" t="s">
        <v>74</v>
      </c>
      <c r="M2011" t="s">
        <v>74</v>
      </c>
      <c r="N2011" t="s">
        <v>103</v>
      </c>
      <c r="O2011" t="s">
        <v>74</v>
      </c>
      <c r="P2011" t="s">
        <v>74</v>
      </c>
      <c r="Q2011" t="s">
        <v>74</v>
      </c>
      <c r="R2011" t="s">
        <v>74</v>
      </c>
      <c r="S2011" t="s">
        <v>74</v>
      </c>
      <c r="T2011" t="s">
        <v>74</v>
      </c>
      <c r="U2011" t="s">
        <v>12488</v>
      </c>
      <c r="V2011" t="s">
        <v>12489</v>
      </c>
      <c r="W2011" t="s">
        <v>12490</v>
      </c>
      <c r="X2011" t="s">
        <v>12491</v>
      </c>
      <c r="Y2011" t="s">
        <v>12492</v>
      </c>
      <c r="Z2011" t="s">
        <v>12493</v>
      </c>
      <c r="AA2011" t="s">
        <v>74</v>
      </c>
      <c r="AB2011" t="s">
        <v>12494</v>
      </c>
      <c r="AC2011" t="s">
        <v>74</v>
      </c>
      <c r="AD2011" t="s">
        <v>74</v>
      </c>
      <c r="AE2011" t="s">
        <v>74</v>
      </c>
      <c r="AF2011" t="s">
        <v>74</v>
      </c>
      <c r="AG2011">
        <v>52</v>
      </c>
      <c r="AH2011">
        <v>0</v>
      </c>
      <c r="AI2011">
        <v>0</v>
      </c>
      <c r="AJ2011">
        <v>14</v>
      </c>
      <c r="AK2011">
        <v>14</v>
      </c>
      <c r="AL2011" t="s">
        <v>74</v>
      </c>
      <c r="AM2011" t="s">
        <v>74</v>
      </c>
      <c r="AN2011" t="s">
        <v>74</v>
      </c>
      <c r="AO2011" t="s">
        <v>12495</v>
      </c>
      <c r="AP2011" t="s">
        <v>74</v>
      </c>
      <c r="AQ2011" t="s">
        <v>74</v>
      </c>
      <c r="AR2011" t="s">
        <v>74</v>
      </c>
      <c r="AS2011" t="s">
        <v>74</v>
      </c>
      <c r="AT2011" t="s">
        <v>132</v>
      </c>
      <c r="AU2011">
        <v>2022</v>
      </c>
      <c r="AV2011">
        <v>15</v>
      </c>
      <c r="AW2011">
        <v>4</v>
      </c>
      <c r="AX2011" t="s">
        <v>74</v>
      </c>
      <c r="AY2011" t="s">
        <v>74</v>
      </c>
      <c r="AZ2011" t="s">
        <v>74</v>
      </c>
      <c r="BA2011" t="s">
        <v>74</v>
      </c>
      <c r="BB2011">
        <v>1281</v>
      </c>
      <c r="BC2011">
        <v>1295</v>
      </c>
      <c r="BD2011">
        <v>13972</v>
      </c>
      <c r="BE2011" t="s">
        <v>12496</v>
      </c>
      <c r="BF2011" t="str">
        <f>HYPERLINK("http://dx.doi.org/10.1111/1751-7915.13972","http://dx.doi.org/10.1111/1751-7915.13972")</f>
        <v>http://dx.doi.org/10.1111/1751-7915.13972</v>
      </c>
      <c r="BG2011" t="s">
        <v>74</v>
      </c>
      <c r="BH2011" t="s">
        <v>6394</v>
      </c>
      <c r="BI2011" t="s">
        <v>74</v>
      </c>
      <c r="BJ2011" t="s">
        <v>1464</v>
      </c>
      <c r="BK2011" t="s">
        <v>117</v>
      </c>
      <c r="BL2011" t="s">
        <v>1464</v>
      </c>
      <c r="BM2011" t="s">
        <v>74</v>
      </c>
      <c r="BN2011">
        <v>35229476</v>
      </c>
      <c r="BO2011" t="s">
        <v>74</v>
      </c>
      <c r="BP2011" t="s">
        <v>74</v>
      </c>
      <c r="BQ2011" t="s">
        <v>74</v>
      </c>
      <c r="BR2011" t="s">
        <v>96</v>
      </c>
      <c r="BS2011" t="s">
        <v>12497</v>
      </c>
      <c r="BT2011" t="str">
        <f>HYPERLINK("https%3A%2F%2Fwww.webofscience.com%2Fwos%2Fwoscc%2Ffull-record%2FWOS:000762256600001","View Full Record in Web of Science")</f>
        <v>View Full Record in Web of Science</v>
      </c>
    </row>
    <row r="2012" spans="1:72" x14ac:dyDescent="0.15">
      <c r="A2012" t="s">
        <v>98</v>
      </c>
      <c r="B2012" t="s">
        <v>12611</v>
      </c>
      <c r="C2012" t="s">
        <v>74</v>
      </c>
      <c r="D2012" t="s">
        <v>74</v>
      </c>
      <c r="E2012" t="s">
        <v>74</v>
      </c>
      <c r="F2012" t="s">
        <v>12612</v>
      </c>
      <c r="G2012" t="s">
        <v>74</v>
      </c>
      <c r="H2012" t="s">
        <v>74</v>
      </c>
      <c r="I2012" t="s">
        <v>12613</v>
      </c>
      <c r="J2012" t="s">
        <v>4519</v>
      </c>
      <c r="K2012" t="s">
        <v>74</v>
      </c>
      <c r="L2012" t="s">
        <v>74</v>
      </c>
      <c r="M2012" t="s">
        <v>74</v>
      </c>
      <c r="N2012" t="s">
        <v>103</v>
      </c>
      <c r="O2012" t="s">
        <v>74</v>
      </c>
      <c r="P2012" t="s">
        <v>74</v>
      </c>
      <c r="Q2012" t="s">
        <v>74</v>
      </c>
      <c r="R2012" t="s">
        <v>74</v>
      </c>
      <c r="S2012" t="s">
        <v>74</v>
      </c>
      <c r="T2012" t="s">
        <v>74</v>
      </c>
      <c r="U2012" t="s">
        <v>12614</v>
      </c>
      <c r="V2012" t="s">
        <v>12615</v>
      </c>
      <c r="W2012" t="s">
        <v>12616</v>
      </c>
      <c r="X2012" t="s">
        <v>3756</v>
      </c>
      <c r="Y2012" t="s">
        <v>12617</v>
      </c>
      <c r="Z2012" t="s">
        <v>12618</v>
      </c>
      <c r="AA2012" t="s">
        <v>74</v>
      </c>
      <c r="AB2012" t="s">
        <v>74</v>
      </c>
      <c r="AC2012" t="s">
        <v>74</v>
      </c>
      <c r="AD2012" t="s">
        <v>74</v>
      </c>
      <c r="AE2012" t="s">
        <v>74</v>
      </c>
      <c r="AF2012" t="s">
        <v>74</v>
      </c>
      <c r="AG2012">
        <v>34</v>
      </c>
      <c r="AH2012">
        <v>0</v>
      </c>
      <c r="AI2012">
        <v>0</v>
      </c>
      <c r="AJ2012">
        <v>7</v>
      </c>
      <c r="AK2012">
        <v>7</v>
      </c>
      <c r="AL2012" t="s">
        <v>74</v>
      </c>
      <c r="AM2012" t="s">
        <v>74</v>
      </c>
      <c r="AN2012" t="s">
        <v>74</v>
      </c>
      <c r="AO2012" t="s">
        <v>4528</v>
      </c>
      <c r="AP2012" t="s">
        <v>4529</v>
      </c>
      <c r="AQ2012" t="s">
        <v>74</v>
      </c>
      <c r="AR2012" t="s">
        <v>74</v>
      </c>
      <c r="AS2012" t="s">
        <v>74</v>
      </c>
      <c r="AT2012" t="s">
        <v>12619</v>
      </c>
      <c r="AU2012">
        <v>2022</v>
      </c>
      <c r="AV2012">
        <v>14</v>
      </c>
      <c r="AW2012">
        <v>17</v>
      </c>
      <c r="AX2012" t="s">
        <v>74</v>
      </c>
      <c r="AY2012" t="s">
        <v>74</v>
      </c>
      <c r="AZ2012" t="s">
        <v>74</v>
      </c>
      <c r="BA2012" t="s">
        <v>74</v>
      </c>
      <c r="BB2012">
        <v>6612</v>
      </c>
      <c r="BC2012">
        <v>6619</v>
      </c>
      <c r="BD2012" t="s">
        <v>74</v>
      </c>
      <c r="BE2012" t="s">
        <v>12620</v>
      </c>
      <c r="BF2012" t="str">
        <f>HYPERLINK("http://dx.doi.org/10.1039/d1nr08539e","http://dx.doi.org/10.1039/d1nr08539e")</f>
        <v>http://dx.doi.org/10.1039/d1nr08539e</v>
      </c>
      <c r="BG2012" t="s">
        <v>74</v>
      </c>
      <c r="BH2012" t="s">
        <v>6394</v>
      </c>
      <c r="BI2012" t="s">
        <v>74</v>
      </c>
      <c r="BJ2012" t="s">
        <v>4532</v>
      </c>
      <c r="BK2012" t="s">
        <v>117</v>
      </c>
      <c r="BL2012" t="s">
        <v>251</v>
      </c>
      <c r="BM2012" t="s">
        <v>74</v>
      </c>
      <c r="BN2012">
        <v>35421879</v>
      </c>
      <c r="BO2012" t="s">
        <v>74</v>
      </c>
      <c r="BP2012" t="s">
        <v>74</v>
      </c>
      <c r="BQ2012" t="s">
        <v>74</v>
      </c>
      <c r="BR2012" t="s">
        <v>96</v>
      </c>
      <c r="BS2012" t="s">
        <v>12621</v>
      </c>
      <c r="BT2012" t="str">
        <f>HYPERLINK("https%3A%2F%2Fwww.webofscience.com%2Fwos%2Fwoscc%2Ffull-record%2FWOS:000782949900001","View Full Record in Web of Science")</f>
        <v>View Full Record in Web of Science</v>
      </c>
    </row>
    <row r="2013" spans="1:72" x14ac:dyDescent="0.15">
      <c r="A2013" t="s">
        <v>98</v>
      </c>
      <c r="B2013" t="s">
        <v>12746</v>
      </c>
      <c r="C2013" t="s">
        <v>74</v>
      </c>
      <c r="D2013" t="s">
        <v>74</v>
      </c>
      <c r="E2013" t="s">
        <v>74</v>
      </c>
      <c r="F2013" t="s">
        <v>12747</v>
      </c>
      <c r="G2013" t="s">
        <v>74</v>
      </c>
      <c r="H2013" t="s">
        <v>74</v>
      </c>
      <c r="I2013" t="s">
        <v>12748</v>
      </c>
      <c r="J2013" t="s">
        <v>8454</v>
      </c>
      <c r="K2013" t="s">
        <v>74</v>
      </c>
      <c r="L2013" t="s">
        <v>74</v>
      </c>
      <c r="M2013" t="s">
        <v>74</v>
      </c>
      <c r="N2013" t="s">
        <v>103</v>
      </c>
      <c r="O2013" t="s">
        <v>74</v>
      </c>
      <c r="P2013" t="s">
        <v>74</v>
      </c>
      <c r="Q2013" t="s">
        <v>74</v>
      </c>
      <c r="R2013" t="s">
        <v>74</v>
      </c>
      <c r="S2013" t="s">
        <v>74</v>
      </c>
      <c r="T2013" t="s">
        <v>12749</v>
      </c>
      <c r="U2013" t="s">
        <v>12750</v>
      </c>
      <c r="V2013" t="s">
        <v>12751</v>
      </c>
      <c r="W2013" t="s">
        <v>12752</v>
      </c>
      <c r="X2013" t="s">
        <v>12753</v>
      </c>
      <c r="Y2013" t="s">
        <v>12754</v>
      </c>
      <c r="Z2013" t="s">
        <v>12755</v>
      </c>
      <c r="AA2013" t="s">
        <v>74</v>
      </c>
      <c r="AB2013" t="s">
        <v>74</v>
      </c>
      <c r="AC2013" t="s">
        <v>74</v>
      </c>
      <c r="AD2013" t="s">
        <v>74</v>
      </c>
      <c r="AE2013" t="s">
        <v>74</v>
      </c>
      <c r="AF2013" t="s">
        <v>74</v>
      </c>
      <c r="AG2013">
        <v>55</v>
      </c>
      <c r="AH2013">
        <v>0</v>
      </c>
      <c r="AI2013">
        <v>0</v>
      </c>
      <c r="AJ2013">
        <v>9</v>
      </c>
      <c r="AK2013">
        <v>9</v>
      </c>
      <c r="AL2013" t="s">
        <v>74</v>
      </c>
      <c r="AM2013" t="s">
        <v>74</v>
      </c>
      <c r="AN2013" t="s">
        <v>74</v>
      </c>
      <c r="AO2013" t="s">
        <v>8463</v>
      </c>
      <c r="AP2013" t="s">
        <v>8464</v>
      </c>
      <c r="AQ2013" t="s">
        <v>74</v>
      </c>
      <c r="AR2013" t="s">
        <v>74</v>
      </c>
      <c r="AS2013" t="s">
        <v>74</v>
      </c>
      <c r="AT2013" t="s">
        <v>614</v>
      </c>
      <c r="AU2013">
        <v>2022</v>
      </c>
      <c r="AV2013">
        <v>151</v>
      </c>
      <c r="AW2013" t="s">
        <v>74</v>
      </c>
      <c r="AX2013" t="s">
        <v>74</v>
      </c>
      <c r="AY2013" t="s">
        <v>74</v>
      </c>
      <c r="AZ2013" t="s">
        <v>74</v>
      </c>
      <c r="BA2013" t="s">
        <v>74</v>
      </c>
      <c r="BB2013" t="s">
        <v>74</v>
      </c>
      <c r="BC2013" t="s">
        <v>74</v>
      </c>
      <c r="BD2013">
        <v>113093</v>
      </c>
      <c r="BE2013" t="s">
        <v>12756</v>
      </c>
      <c r="BF2013" t="str">
        <f>HYPERLINK("http://dx.doi.org/10.1016/j.biopha.2022.113093","http://dx.doi.org/10.1016/j.biopha.2022.113093")</f>
        <v>http://dx.doi.org/10.1016/j.biopha.2022.113093</v>
      </c>
      <c r="BG2013" t="s">
        <v>74</v>
      </c>
      <c r="BH2013" t="s">
        <v>74</v>
      </c>
      <c r="BI2013" t="s">
        <v>74</v>
      </c>
      <c r="BJ2013" t="s">
        <v>191</v>
      </c>
      <c r="BK2013" t="s">
        <v>117</v>
      </c>
      <c r="BL2013" t="s">
        <v>192</v>
      </c>
      <c r="BM2013" t="s">
        <v>74</v>
      </c>
      <c r="BN2013">
        <v>35576661</v>
      </c>
      <c r="BO2013" t="s">
        <v>74</v>
      </c>
      <c r="BP2013" t="s">
        <v>74</v>
      </c>
      <c r="BQ2013" t="s">
        <v>74</v>
      </c>
      <c r="BR2013" t="s">
        <v>96</v>
      </c>
      <c r="BS2013" t="s">
        <v>12757</v>
      </c>
      <c r="BT2013" t="str">
        <f>HYPERLINK("https%3A%2F%2Fwww.webofscience.com%2Fwos%2Fwoscc%2Ffull-record%2FWOS:000804948800006","View Full Record in Web of Science")</f>
        <v>View Full Record in Web of Science</v>
      </c>
    </row>
    <row r="2014" spans="1:72" x14ac:dyDescent="0.15">
      <c r="A2014" t="s">
        <v>98</v>
      </c>
      <c r="B2014" t="s">
        <v>12848</v>
      </c>
      <c r="C2014" t="s">
        <v>74</v>
      </c>
      <c r="D2014" t="s">
        <v>74</v>
      </c>
      <c r="E2014" t="s">
        <v>74</v>
      </c>
      <c r="F2014" t="s">
        <v>12849</v>
      </c>
      <c r="G2014" t="s">
        <v>74</v>
      </c>
      <c r="H2014" t="s">
        <v>74</v>
      </c>
      <c r="I2014" t="s">
        <v>12850</v>
      </c>
      <c r="J2014" t="s">
        <v>12851</v>
      </c>
      <c r="K2014" t="s">
        <v>74</v>
      </c>
      <c r="L2014" t="s">
        <v>74</v>
      </c>
      <c r="M2014" t="s">
        <v>74</v>
      </c>
      <c r="N2014" t="s">
        <v>103</v>
      </c>
      <c r="O2014" t="s">
        <v>74</v>
      </c>
      <c r="P2014" t="s">
        <v>74</v>
      </c>
      <c r="Q2014" t="s">
        <v>74</v>
      </c>
      <c r="R2014" t="s">
        <v>74</v>
      </c>
      <c r="S2014" t="s">
        <v>74</v>
      </c>
      <c r="T2014" t="s">
        <v>12852</v>
      </c>
      <c r="U2014" t="s">
        <v>12853</v>
      </c>
      <c r="V2014" t="s">
        <v>12854</v>
      </c>
      <c r="W2014" t="s">
        <v>12855</v>
      </c>
      <c r="X2014" t="s">
        <v>12856</v>
      </c>
      <c r="Y2014" t="s">
        <v>12857</v>
      </c>
      <c r="Z2014" t="s">
        <v>12858</v>
      </c>
      <c r="AA2014" t="s">
        <v>74</v>
      </c>
      <c r="AB2014" t="s">
        <v>74</v>
      </c>
      <c r="AC2014" t="s">
        <v>74</v>
      </c>
      <c r="AD2014" t="s">
        <v>74</v>
      </c>
      <c r="AE2014" t="s">
        <v>74</v>
      </c>
      <c r="AF2014" t="s">
        <v>74</v>
      </c>
      <c r="AG2014">
        <v>50</v>
      </c>
      <c r="AH2014">
        <v>0</v>
      </c>
      <c r="AI2014">
        <v>0</v>
      </c>
      <c r="AJ2014">
        <v>1</v>
      </c>
      <c r="AK2014">
        <v>1</v>
      </c>
      <c r="AL2014" t="s">
        <v>74</v>
      </c>
      <c r="AM2014" t="s">
        <v>74</v>
      </c>
      <c r="AN2014" t="s">
        <v>74</v>
      </c>
      <c r="AO2014" t="s">
        <v>12859</v>
      </c>
      <c r="AP2014" t="s">
        <v>74</v>
      </c>
      <c r="AQ2014" t="s">
        <v>74</v>
      </c>
      <c r="AR2014" t="s">
        <v>74</v>
      </c>
      <c r="AS2014" t="s">
        <v>74</v>
      </c>
      <c r="AT2014" t="s">
        <v>74</v>
      </c>
      <c r="AU2014">
        <v>2021</v>
      </c>
      <c r="AV2014">
        <v>36</v>
      </c>
      <c r="AW2014">
        <v>3</v>
      </c>
      <c r="AX2014" t="s">
        <v>74</v>
      </c>
      <c r="AY2014" t="s">
        <v>74</v>
      </c>
      <c r="AZ2014" t="s">
        <v>74</v>
      </c>
      <c r="BA2014" t="s">
        <v>74</v>
      </c>
      <c r="BB2014">
        <v>315</v>
      </c>
      <c r="BC2014">
        <v>328</v>
      </c>
      <c r="BD2014" t="s">
        <v>74</v>
      </c>
      <c r="BE2014" t="s">
        <v>12860</v>
      </c>
      <c r="BF2014" t="str">
        <f>HYPERLINK("http://dx.doi.org/10.5505/tjo.2021.2714","http://dx.doi.org/10.5505/tjo.2021.2714")</f>
        <v>http://dx.doi.org/10.5505/tjo.2021.2714</v>
      </c>
      <c r="BG2014" t="s">
        <v>74</v>
      </c>
      <c r="BH2014" t="s">
        <v>74</v>
      </c>
      <c r="BI2014" t="s">
        <v>74</v>
      </c>
      <c r="BJ2014" t="s">
        <v>267</v>
      </c>
      <c r="BK2014" t="s">
        <v>467</v>
      </c>
      <c r="BL2014" t="s">
        <v>267</v>
      </c>
      <c r="BM2014" t="s">
        <v>74</v>
      </c>
      <c r="BN2014" t="s">
        <v>74</v>
      </c>
      <c r="BO2014" t="s">
        <v>74</v>
      </c>
      <c r="BP2014" t="s">
        <v>74</v>
      </c>
      <c r="BQ2014" t="s">
        <v>74</v>
      </c>
      <c r="BR2014" t="s">
        <v>96</v>
      </c>
      <c r="BS2014" t="s">
        <v>12861</v>
      </c>
      <c r="BT2014" t="str">
        <f>HYPERLINK("https%3A%2F%2Fwww.webofscience.com%2Fwos%2Fwoscc%2Ffull-record%2FWOS:000744206800009","View Full Record in Web of Science")</f>
        <v>View Full Record in Web of Science</v>
      </c>
    </row>
    <row r="2015" spans="1:72" x14ac:dyDescent="0.15">
      <c r="A2015" t="s">
        <v>98</v>
      </c>
      <c r="B2015" t="s">
        <v>13122</v>
      </c>
      <c r="C2015" t="s">
        <v>74</v>
      </c>
      <c r="D2015" t="s">
        <v>74</v>
      </c>
      <c r="E2015" t="s">
        <v>74</v>
      </c>
      <c r="F2015" t="s">
        <v>13123</v>
      </c>
      <c r="G2015" t="s">
        <v>74</v>
      </c>
      <c r="H2015" t="s">
        <v>74</v>
      </c>
      <c r="I2015" t="s">
        <v>13124</v>
      </c>
      <c r="J2015" t="s">
        <v>1684</v>
      </c>
      <c r="K2015" t="s">
        <v>74</v>
      </c>
      <c r="L2015" t="s">
        <v>74</v>
      </c>
      <c r="M2015" t="s">
        <v>74</v>
      </c>
      <c r="N2015" t="s">
        <v>103</v>
      </c>
      <c r="O2015" t="s">
        <v>74</v>
      </c>
      <c r="P2015" t="s">
        <v>74</v>
      </c>
      <c r="Q2015" t="s">
        <v>74</v>
      </c>
      <c r="R2015" t="s">
        <v>74</v>
      </c>
      <c r="S2015" t="s">
        <v>74</v>
      </c>
      <c r="T2015" t="s">
        <v>13125</v>
      </c>
      <c r="U2015" t="s">
        <v>74</v>
      </c>
      <c r="V2015" t="s">
        <v>13126</v>
      </c>
      <c r="W2015" t="s">
        <v>13127</v>
      </c>
      <c r="X2015" t="s">
        <v>13128</v>
      </c>
      <c r="Y2015" t="s">
        <v>13129</v>
      </c>
      <c r="Z2015" t="s">
        <v>13130</v>
      </c>
      <c r="AA2015" t="s">
        <v>13131</v>
      </c>
      <c r="AB2015" t="s">
        <v>13132</v>
      </c>
      <c r="AC2015" t="s">
        <v>74</v>
      </c>
      <c r="AD2015" t="s">
        <v>74</v>
      </c>
      <c r="AE2015" t="s">
        <v>74</v>
      </c>
      <c r="AF2015" t="s">
        <v>74</v>
      </c>
      <c r="AG2015">
        <v>42</v>
      </c>
      <c r="AH2015">
        <v>0</v>
      </c>
      <c r="AI2015">
        <v>0</v>
      </c>
      <c r="AJ2015">
        <v>1</v>
      </c>
      <c r="AK2015">
        <v>4</v>
      </c>
      <c r="AL2015" t="s">
        <v>74</v>
      </c>
      <c r="AM2015" t="s">
        <v>74</v>
      </c>
      <c r="AN2015" t="s">
        <v>74</v>
      </c>
      <c r="AO2015" t="s">
        <v>1692</v>
      </c>
      <c r="AP2015" t="s">
        <v>1693</v>
      </c>
      <c r="AQ2015" t="s">
        <v>74</v>
      </c>
      <c r="AR2015" t="s">
        <v>74</v>
      </c>
      <c r="AS2015" t="s">
        <v>74</v>
      </c>
      <c r="AT2015" t="s">
        <v>614</v>
      </c>
      <c r="AU2015">
        <v>2021</v>
      </c>
      <c r="AV2015">
        <v>21</v>
      </c>
      <c r="AW2015" t="s">
        <v>13133</v>
      </c>
      <c r="AX2015" t="s">
        <v>74</v>
      </c>
      <c r="AY2015" t="s">
        <v>74</v>
      </c>
      <c r="AZ2015" t="s">
        <v>447</v>
      </c>
      <c r="BA2015" t="s">
        <v>74</v>
      </c>
      <c r="BB2015" t="s">
        <v>74</v>
      </c>
      <c r="BC2015" t="s">
        <v>74</v>
      </c>
      <c r="BD2015" t="s">
        <v>13134</v>
      </c>
      <c r="BE2015" t="s">
        <v>13135</v>
      </c>
      <c r="BF2015" t="str">
        <f>HYPERLINK("http://dx.doi.org/10.1002/pmic.202000097","http://dx.doi.org/10.1002/pmic.202000097")</f>
        <v>http://dx.doi.org/10.1002/pmic.202000097</v>
      </c>
      <c r="BG2015" t="s">
        <v>74</v>
      </c>
      <c r="BH2015" t="s">
        <v>3345</v>
      </c>
      <c r="BI2015" t="s">
        <v>74</v>
      </c>
      <c r="BJ2015" t="s">
        <v>93</v>
      </c>
      <c r="BK2015" t="s">
        <v>117</v>
      </c>
      <c r="BL2015" t="s">
        <v>95</v>
      </c>
      <c r="BM2015" t="s">
        <v>74</v>
      </c>
      <c r="BN2015">
        <v>33661579</v>
      </c>
      <c r="BO2015" t="s">
        <v>74</v>
      </c>
      <c r="BP2015" t="s">
        <v>74</v>
      </c>
      <c r="BQ2015" t="s">
        <v>74</v>
      </c>
      <c r="BR2015" t="s">
        <v>96</v>
      </c>
      <c r="BS2015" t="s">
        <v>13136</v>
      </c>
      <c r="BT2015" t="str">
        <f>HYPERLINK("https%3A%2F%2Fwww.webofscience.com%2Fwos%2Fwoscc%2Ffull-record%2FWOS:000641053400001","View Full Record in Web of Science")</f>
        <v>View Full Record in Web of Science</v>
      </c>
    </row>
    <row r="2016" spans="1:72" x14ac:dyDescent="0.15">
      <c r="A2016" t="s">
        <v>98</v>
      </c>
      <c r="B2016" t="s">
        <v>13204</v>
      </c>
      <c r="C2016" t="s">
        <v>74</v>
      </c>
      <c r="D2016" t="s">
        <v>74</v>
      </c>
      <c r="E2016" t="s">
        <v>74</v>
      </c>
      <c r="F2016" t="s">
        <v>13205</v>
      </c>
      <c r="G2016" t="s">
        <v>74</v>
      </c>
      <c r="H2016" t="s">
        <v>74</v>
      </c>
      <c r="I2016" t="s">
        <v>13206</v>
      </c>
      <c r="J2016" t="s">
        <v>13207</v>
      </c>
      <c r="K2016" t="s">
        <v>74</v>
      </c>
      <c r="L2016" t="s">
        <v>74</v>
      </c>
      <c r="M2016" t="s">
        <v>74</v>
      </c>
      <c r="N2016" t="s">
        <v>103</v>
      </c>
      <c r="O2016" t="s">
        <v>74</v>
      </c>
      <c r="P2016" t="s">
        <v>74</v>
      </c>
      <c r="Q2016" t="s">
        <v>74</v>
      </c>
      <c r="R2016" t="s">
        <v>74</v>
      </c>
      <c r="S2016" t="s">
        <v>74</v>
      </c>
      <c r="T2016" t="s">
        <v>74</v>
      </c>
      <c r="U2016" t="s">
        <v>13208</v>
      </c>
      <c r="V2016" t="s">
        <v>13209</v>
      </c>
      <c r="W2016" t="s">
        <v>13210</v>
      </c>
      <c r="X2016" t="s">
        <v>13211</v>
      </c>
      <c r="Y2016" t="s">
        <v>13212</v>
      </c>
      <c r="Z2016" t="s">
        <v>13213</v>
      </c>
      <c r="AA2016" t="s">
        <v>74</v>
      </c>
      <c r="AB2016" t="s">
        <v>74</v>
      </c>
      <c r="AC2016" t="s">
        <v>74</v>
      </c>
      <c r="AD2016" t="s">
        <v>74</v>
      </c>
      <c r="AE2016" t="s">
        <v>74</v>
      </c>
      <c r="AF2016" t="s">
        <v>74</v>
      </c>
      <c r="AG2016">
        <v>129</v>
      </c>
      <c r="AH2016">
        <v>0</v>
      </c>
      <c r="AI2016">
        <v>0</v>
      </c>
      <c r="AJ2016">
        <v>2</v>
      </c>
      <c r="AK2016">
        <v>2</v>
      </c>
      <c r="AL2016" t="s">
        <v>74</v>
      </c>
      <c r="AM2016" t="s">
        <v>74</v>
      </c>
      <c r="AN2016" t="s">
        <v>74</v>
      </c>
      <c r="AO2016" t="s">
        <v>13214</v>
      </c>
      <c r="AP2016" t="s">
        <v>13215</v>
      </c>
      <c r="AQ2016" t="s">
        <v>74</v>
      </c>
      <c r="AR2016" t="s">
        <v>74</v>
      </c>
      <c r="AS2016" t="s">
        <v>74</v>
      </c>
      <c r="AT2016" t="s">
        <v>4146</v>
      </c>
      <c r="AU2016">
        <v>2022</v>
      </c>
      <c r="AV2016">
        <v>113</v>
      </c>
      <c r="AW2016">
        <v>1</v>
      </c>
      <c r="AX2016" t="s">
        <v>74</v>
      </c>
      <c r="AY2016" t="s">
        <v>74</v>
      </c>
      <c r="AZ2016" t="s">
        <v>74</v>
      </c>
      <c r="BA2016" t="s">
        <v>74</v>
      </c>
      <c r="BB2016">
        <v>192</v>
      </c>
      <c r="BC2016">
        <v>202</v>
      </c>
      <c r="BD2016" t="s">
        <v>74</v>
      </c>
      <c r="BE2016" t="s">
        <v>13216</v>
      </c>
      <c r="BF2016" t="str">
        <f>HYPERLINK("http://dx.doi.org/10.1016/j.ijrobp.2022.01.036","http://dx.doi.org/10.1016/j.ijrobp.2022.01.036")</f>
        <v>http://dx.doi.org/10.1016/j.ijrobp.2022.01.036</v>
      </c>
      <c r="BG2016" t="s">
        <v>74</v>
      </c>
      <c r="BH2016" t="s">
        <v>74</v>
      </c>
      <c r="BI2016" t="s">
        <v>74</v>
      </c>
      <c r="BJ2016" t="s">
        <v>13217</v>
      </c>
      <c r="BK2016" t="s">
        <v>117</v>
      </c>
      <c r="BL2016" t="s">
        <v>13217</v>
      </c>
      <c r="BM2016" t="s">
        <v>74</v>
      </c>
      <c r="BN2016">
        <v>35217095</v>
      </c>
      <c r="BO2016" t="s">
        <v>74</v>
      </c>
      <c r="BP2016" t="s">
        <v>74</v>
      </c>
      <c r="BQ2016" t="s">
        <v>74</v>
      </c>
      <c r="BR2016" t="s">
        <v>96</v>
      </c>
      <c r="BS2016" t="s">
        <v>13218</v>
      </c>
      <c r="BT2016" t="str">
        <f>HYPERLINK("https%3A%2F%2Fwww.webofscience.com%2Fwos%2Fwoscc%2Ffull-record%2FWOS:000832410700032","View Full Record in Web of Science")</f>
        <v>View Full Record in Web of Science</v>
      </c>
    </row>
    <row r="2017" spans="1:72" x14ac:dyDescent="0.15">
      <c r="A2017" t="s">
        <v>98</v>
      </c>
      <c r="B2017" t="s">
        <v>13364</v>
      </c>
      <c r="C2017" t="s">
        <v>74</v>
      </c>
      <c r="D2017" t="s">
        <v>74</v>
      </c>
      <c r="E2017" t="s">
        <v>74</v>
      </c>
      <c r="F2017" t="s">
        <v>13365</v>
      </c>
      <c r="G2017" t="s">
        <v>74</v>
      </c>
      <c r="H2017" t="s">
        <v>74</v>
      </c>
      <c r="I2017" t="s">
        <v>13366</v>
      </c>
      <c r="J2017" t="s">
        <v>13367</v>
      </c>
      <c r="K2017" t="s">
        <v>74</v>
      </c>
      <c r="L2017" t="s">
        <v>74</v>
      </c>
      <c r="M2017" t="s">
        <v>74</v>
      </c>
      <c r="N2017" t="s">
        <v>103</v>
      </c>
      <c r="O2017" t="s">
        <v>74</v>
      </c>
      <c r="P2017" t="s">
        <v>74</v>
      </c>
      <c r="Q2017" t="s">
        <v>74</v>
      </c>
      <c r="R2017" t="s">
        <v>74</v>
      </c>
      <c r="S2017" t="s">
        <v>74</v>
      </c>
      <c r="T2017" t="s">
        <v>74</v>
      </c>
      <c r="U2017" t="s">
        <v>13368</v>
      </c>
      <c r="V2017" t="s">
        <v>13369</v>
      </c>
      <c r="W2017" t="s">
        <v>13370</v>
      </c>
      <c r="X2017" t="s">
        <v>13371</v>
      </c>
      <c r="Y2017" t="s">
        <v>13372</v>
      </c>
      <c r="Z2017" t="s">
        <v>13373</v>
      </c>
      <c r="AA2017" t="s">
        <v>74</v>
      </c>
      <c r="AB2017" t="s">
        <v>13374</v>
      </c>
      <c r="AC2017" t="s">
        <v>74</v>
      </c>
      <c r="AD2017" t="s">
        <v>74</v>
      </c>
      <c r="AE2017" t="s">
        <v>74</v>
      </c>
      <c r="AF2017" t="s">
        <v>74</v>
      </c>
      <c r="AG2017">
        <v>53</v>
      </c>
      <c r="AH2017">
        <v>0</v>
      </c>
      <c r="AI2017">
        <v>0</v>
      </c>
      <c r="AJ2017">
        <v>2</v>
      </c>
      <c r="AK2017">
        <v>3</v>
      </c>
      <c r="AL2017" t="s">
        <v>74</v>
      </c>
      <c r="AM2017" t="s">
        <v>74</v>
      </c>
      <c r="AN2017" t="s">
        <v>74</v>
      </c>
      <c r="AO2017" t="s">
        <v>13375</v>
      </c>
      <c r="AP2017" t="s">
        <v>13376</v>
      </c>
      <c r="AQ2017" t="s">
        <v>74</v>
      </c>
      <c r="AR2017" t="s">
        <v>74</v>
      </c>
      <c r="AS2017" t="s">
        <v>74</v>
      </c>
      <c r="AT2017" t="s">
        <v>614</v>
      </c>
      <c r="AU2017">
        <v>2021</v>
      </c>
      <c r="AV2017">
        <v>25</v>
      </c>
      <c r="AW2017">
        <v>4</v>
      </c>
      <c r="AX2017" t="s">
        <v>74</v>
      </c>
      <c r="AY2017" t="s">
        <v>74</v>
      </c>
      <c r="AZ2017" t="s">
        <v>74</v>
      </c>
      <c r="BA2017" t="s">
        <v>74</v>
      </c>
      <c r="BB2017">
        <v>505</v>
      </c>
      <c r="BC2017">
        <v>515</v>
      </c>
      <c r="BD2017" t="s">
        <v>74</v>
      </c>
      <c r="BE2017" t="s">
        <v>13377</v>
      </c>
      <c r="BF2017" t="str">
        <f>HYPERLINK("http://dx.doi.org/10.1007/s40291-021-00538-2","http://dx.doi.org/10.1007/s40291-021-00538-2")</f>
        <v>http://dx.doi.org/10.1007/s40291-021-00538-2</v>
      </c>
      <c r="BG2017" t="s">
        <v>74</v>
      </c>
      <c r="BH2017" t="s">
        <v>3810</v>
      </c>
      <c r="BI2017" t="s">
        <v>74</v>
      </c>
      <c r="BJ2017" t="s">
        <v>13378</v>
      </c>
      <c r="BK2017" t="s">
        <v>117</v>
      </c>
      <c r="BL2017" t="s">
        <v>13378</v>
      </c>
      <c r="BM2017" t="s">
        <v>74</v>
      </c>
      <c r="BN2017">
        <v>34080172</v>
      </c>
      <c r="BO2017" t="s">
        <v>74</v>
      </c>
      <c r="BP2017" t="s">
        <v>74</v>
      </c>
      <c r="BQ2017" t="s">
        <v>74</v>
      </c>
      <c r="BR2017" t="s">
        <v>96</v>
      </c>
      <c r="BS2017" t="s">
        <v>13379</v>
      </c>
      <c r="BT2017" t="str">
        <f>HYPERLINK("https%3A%2F%2Fwww.webofscience.com%2Fwos%2Fwoscc%2Ffull-record%2FWOS:000657214600001","View Full Record in Web of Science")</f>
        <v>View Full Record in Web of Science</v>
      </c>
    </row>
    <row r="2018" spans="1:72" x14ac:dyDescent="0.15">
      <c r="A2018" t="s">
        <v>98</v>
      </c>
      <c r="B2018" t="s">
        <v>13521</v>
      </c>
      <c r="C2018" t="s">
        <v>74</v>
      </c>
      <c r="D2018" t="s">
        <v>74</v>
      </c>
      <c r="E2018" t="s">
        <v>74</v>
      </c>
      <c r="F2018" t="s">
        <v>13522</v>
      </c>
      <c r="G2018" t="s">
        <v>74</v>
      </c>
      <c r="H2018" t="s">
        <v>74</v>
      </c>
      <c r="I2018" t="s">
        <v>13523</v>
      </c>
      <c r="J2018" t="s">
        <v>6715</v>
      </c>
      <c r="K2018" t="s">
        <v>74</v>
      </c>
      <c r="L2018" t="s">
        <v>74</v>
      </c>
      <c r="M2018" t="s">
        <v>74</v>
      </c>
      <c r="N2018" t="s">
        <v>103</v>
      </c>
      <c r="O2018" t="s">
        <v>74</v>
      </c>
      <c r="P2018" t="s">
        <v>74</v>
      </c>
      <c r="Q2018" t="s">
        <v>74</v>
      </c>
      <c r="R2018" t="s">
        <v>74</v>
      </c>
      <c r="S2018" t="s">
        <v>74</v>
      </c>
      <c r="T2018" t="s">
        <v>13524</v>
      </c>
      <c r="U2018" t="s">
        <v>13525</v>
      </c>
      <c r="V2018" t="s">
        <v>13526</v>
      </c>
      <c r="W2018" t="s">
        <v>13527</v>
      </c>
      <c r="X2018" t="s">
        <v>13528</v>
      </c>
      <c r="Y2018" t="s">
        <v>13529</v>
      </c>
      <c r="Z2018" t="s">
        <v>13530</v>
      </c>
      <c r="AA2018" t="s">
        <v>74</v>
      </c>
      <c r="AB2018" t="s">
        <v>13531</v>
      </c>
      <c r="AC2018" t="s">
        <v>74</v>
      </c>
      <c r="AD2018" t="s">
        <v>74</v>
      </c>
      <c r="AE2018" t="s">
        <v>74</v>
      </c>
      <c r="AF2018" t="s">
        <v>74</v>
      </c>
      <c r="AG2018">
        <v>72</v>
      </c>
      <c r="AH2018">
        <v>0</v>
      </c>
      <c r="AI2018">
        <v>0</v>
      </c>
      <c r="AJ2018">
        <v>0</v>
      </c>
      <c r="AK2018">
        <v>0</v>
      </c>
      <c r="AL2018" t="s">
        <v>74</v>
      </c>
      <c r="AM2018" t="s">
        <v>74</v>
      </c>
      <c r="AN2018" t="s">
        <v>74</v>
      </c>
      <c r="AO2018" t="s">
        <v>74</v>
      </c>
      <c r="AP2018" t="s">
        <v>6724</v>
      </c>
      <c r="AQ2018" t="s">
        <v>74</v>
      </c>
      <c r="AR2018" t="s">
        <v>74</v>
      </c>
      <c r="AS2018" t="s">
        <v>74</v>
      </c>
      <c r="AT2018" t="s">
        <v>132</v>
      </c>
      <c r="AU2018">
        <v>2022</v>
      </c>
      <c r="AV2018">
        <v>11</v>
      </c>
      <c r="AW2018">
        <v>4</v>
      </c>
      <c r="AX2018" t="s">
        <v>74</v>
      </c>
      <c r="AY2018" t="s">
        <v>74</v>
      </c>
      <c r="AZ2018" t="s">
        <v>74</v>
      </c>
      <c r="BA2018" t="s">
        <v>74</v>
      </c>
      <c r="BB2018" t="s">
        <v>74</v>
      </c>
      <c r="BC2018" t="s">
        <v>74</v>
      </c>
      <c r="BD2018">
        <v>615</v>
      </c>
      <c r="BE2018" t="s">
        <v>13532</v>
      </c>
      <c r="BF2018" t="str">
        <f>HYPERLINK("http://dx.doi.org/10.3390/antiox11040615","http://dx.doi.org/10.3390/antiox11040615")</f>
        <v>http://dx.doi.org/10.3390/antiox11040615</v>
      </c>
      <c r="BG2018" t="s">
        <v>74</v>
      </c>
      <c r="BH2018" t="s">
        <v>74</v>
      </c>
      <c r="BI2018" t="s">
        <v>74</v>
      </c>
      <c r="BJ2018" t="s">
        <v>6726</v>
      </c>
      <c r="BK2018" t="s">
        <v>117</v>
      </c>
      <c r="BL2018" t="s">
        <v>6727</v>
      </c>
      <c r="BM2018" t="s">
        <v>74</v>
      </c>
      <c r="BN2018">
        <v>35453300</v>
      </c>
      <c r="BO2018" t="s">
        <v>74</v>
      </c>
      <c r="BP2018" t="s">
        <v>74</v>
      </c>
      <c r="BQ2018" t="s">
        <v>74</v>
      </c>
      <c r="BR2018" t="s">
        <v>96</v>
      </c>
      <c r="BS2018" t="s">
        <v>13533</v>
      </c>
      <c r="BT2018" t="str">
        <f>HYPERLINK("https%3A%2F%2Fwww.webofscience.com%2Fwos%2Fwoscc%2Ffull-record%2FWOS:000787495600001","View Full Record in Web of Science")</f>
        <v>View Full Record in Web of Science</v>
      </c>
    </row>
    <row r="2019" spans="1:72" x14ac:dyDescent="0.15">
      <c r="A2019" t="s">
        <v>98</v>
      </c>
      <c r="B2019" t="s">
        <v>13534</v>
      </c>
      <c r="C2019" t="s">
        <v>74</v>
      </c>
      <c r="D2019" t="s">
        <v>74</v>
      </c>
      <c r="E2019" t="s">
        <v>74</v>
      </c>
      <c r="F2019" t="s">
        <v>13535</v>
      </c>
      <c r="G2019" t="s">
        <v>74</v>
      </c>
      <c r="H2019" t="s">
        <v>74</v>
      </c>
      <c r="I2019" t="s">
        <v>13536</v>
      </c>
      <c r="J2019" t="s">
        <v>4486</v>
      </c>
      <c r="K2019" t="s">
        <v>74</v>
      </c>
      <c r="L2019" t="s">
        <v>74</v>
      </c>
      <c r="M2019" t="s">
        <v>74</v>
      </c>
      <c r="N2019" t="s">
        <v>103</v>
      </c>
      <c r="O2019" t="s">
        <v>74</v>
      </c>
      <c r="P2019" t="s">
        <v>74</v>
      </c>
      <c r="Q2019" t="s">
        <v>74</v>
      </c>
      <c r="R2019" t="s">
        <v>74</v>
      </c>
      <c r="S2019" t="s">
        <v>74</v>
      </c>
      <c r="T2019" t="s">
        <v>74</v>
      </c>
      <c r="U2019" t="s">
        <v>13537</v>
      </c>
      <c r="V2019" t="s">
        <v>13538</v>
      </c>
      <c r="W2019" t="s">
        <v>13539</v>
      </c>
      <c r="X2019" t="s">
        <v>13540</v>
      </c>
      <c r="Y2019" t="s">
        <v>13541</v>
      </c>
      <c r="Z2019" t="s">
        <v>13542</v>
      </c>
      <c r="AA2019" t="s">
        <v>13543</v>
      </c>
      <c r="AB2019" t="s">
        <v>13544</v>
      </c>
      <c r="AC2019" t="s">
        <v>74</v>
      </c>
      <c r="AD2019" t="s">
        <v>74</v>
      </c>
      <c r="AE2019" t="s">
        <v>74</v>
      </c>
      <c r="AF2019" t="s">
        <v>74</v>
      </c>
      <c r="AG2019">
        <v>34</v>
      </c>
      <c r="AH2019">
        <v>0</v>
      </c>
      <c r="AI2019">
        <v>0</v>
      </c>
      <c r="AJ2019">
        <v>59</v>
      </c>
      <c r="AK2019">
        <v>59</v>
      </c>
      <c r="AL2019" t="s">
        <v>74</v>
      </c>
      <c r="AM2019" t="s">
        <v>74</v>
      </c>
      <c r="AN2019" t="s">
        <v>74</v>
      </c>
      <c r="AO2019" t="s">
        <v>4493</v>
      </c>
      <c r="AP2019" t="s">
        <v>4494</v>
      </c>
      <c r="AQ2019" t="s">
        <v>74</v>
      </c>
      <c r="AR2019" t="s">
        <v>74</v>
      </c>
      <c r="AS2019" t="s">
        <v>74</v>
      </c>
      <c r="AT2019" t="s">
        <v>5804</v>
      </c>
      <c r="AU2019">
        <v>2022</v>
      </c>
      <c r="AV2019">
        <v>94</v>
      </c>
      <c r="AW2019">
        <v>9</v>
      </c>
      <c r="AX2019" t="s">
        <v>74</v>
      </c>
      <c r="AY2019" t="s">
        <v>74</v>
      </c>
      <c r="AZ2019" t="s">
        <v>74</v>
      </c>
      <c r="BA2019" t="s">
        <v>74</v>
      </c>
      <c r="BB2019">
        <v>3840</v>
      </c>
      <c r="BC2019">
        <v>3848</v>
      </c>
      <c r="BD2019" t="s">
        <v>74</v>
      </c>
      <c r="BE2019" t="s">
        <v>13545</v>
      </c>
      <c r="BF2019" t="str">
        <f>HYPERLINK("http://dx.doi.org/10.1021/acs.analchem.1c04741","http://dx.doi.org/10.1021/acs.analchem.1c04741")</f>
        <v>http://dx.doi.org/10.1021/acs.analchem.1c04741</v>
      </c>
      <c r="BG2019" t="s">
        <v>74</v>
      </c>
      <c r="BH2019" t="s">
        <v>74</v>
      </c>
      <c r="BI2019" t="s">
        <v>74</v>
      </c>
      <c r="BJ2019" t="s">
        <v>1118</v>
      </c>
      <c r="BK2019" t="s">
        <v>117</v>
      </c>
      <c r="BL2019" t="s">
        <v>1048</v>
      </c>
      <c r="BM2019" t="s">
        <v>74</v>
      </c>
      <c r="BN2019">
        <v>35179366</v>
      </c>
      <c r="BO2019" t="s">
        <v>74</v>
      </c>
      <c r="BP2019" t="s">
        <v>74</v>
      </c>
      <c r="BQ2019" t="s">
        <v>74</v>
      </c>
      <c r="BR2019" t="s">
        <v>96</v>
      </c>
      <c r="BS2019" t="s">
        <v>13546</v>
      </c>
      <c r="BT2019" t="str">
        <f>HYPERLINK("https%3A%2F%2Fwww.webofscience.com%2Fwos%2Fwoscc%2Ffull-record%2FWOS:000819810300010","View Full Record in Web of Science")</f>
        <v>View Full Record in Web of Science</v>
      </c>
    </row>
    <row r="2020" spans="1:72" x14ac:dyDescent="0.15">
      <c r="A2020" t="s">
        <v>98</v>
      </c>
      <c r="B2020" t="s">
        <v>13809</v>
      </c>
      <c r="C2020" t="s">
        <v>74</v>
      </c>
      <c r="D2020" t="s">
        <v>74</v>
      </c>
      <c r="E2020" t="s">
        <v>74</v>
      </c>
      <c r="F2020" t="s">
        <v>13810</v>
      </c>
      <c r="G2020" t="s">
        <v>74</v>
      </c>
      <c r="H2020" t="s">
        <v>74</v>
      </c>
      <c r="I2020" t="s">
        <v>13811</v>
      </c>
      <c r="J2020" t="s">
        <v>817</v>
      </c>
      <c r="K2020" t="s">
        <v>74</v>
      </c>
      <c r="L2020" t="s">
        <v>74</v>
      </c>
      <c r="M2020" t="s">
        <v>74</v>
      </c>
      <c r="N2020" t="s">
        <v>103</v>
      </c>
      <c r="O2020" t="s">
        <v>74</v>
      </c>
      <c r="P2020" t="s">
        <v>74</v>
      </c>
      <c r="Q2020" t="s">
        <v>74</v>
      </c>
      <c r="R2020" t="s">
        <v>74</v>
      </c>
      <c r="S2020" t="s">
        <v>74</v>
      </c>
      <c r="T2020" t="s">
        <v>13812</v>
      </c>
      <c r="U2020" t="s">
        <v>13813</v>
      </c>
      <c r="V2020" t="s">
        <v>13814</v>
      </c>
      <c r="W2020" t="s">
        <v>13815</v>
      </c>
      <c r="X2020" t="s">
        <v>13816</v>
      </c>
      <c r="Y2020" t="s">
        <v>13817</v>
      </c>
      <c r="Z2020" t="s">
        <v>13818</v>
      </c>
      <c r="AA2020" t="s">
        <v>13819</v>
      </c>
      <c r="AB2020" t="s">
        <v>13820</v>
      </c>
      <c r="AC2020" t="s">
        <v>74</v>
      </c>
      <c r="AD2020" t="s">
        <v>74</v>
      </c>
      <c r="AE2020" t="s">
        <v>74</v>
      </c>
      <c r="AF2020" t="s">
        <v>74</v>
      </c>
      <c r="AG2020">
        <v>90</v>
      </c>
      <c r="AH2020">
        <v>0</v>
      </c>
      <c r="AI2020">
        <v>0</v>
      </c>
      <c r="AJ2020">
        <v>1</v>
      </c>
      <c r="AK2020">
        <v>1</v>
      </c>
      <c r="AL2020" t="s">
        <v>74</v>
      </c>
      <c r="AM2020" t="s">
        <v>74</v>
      </c>
      <c r="AN2020" t="s">
        <v>74</v>
      </c>
      <c r="AO2020" t="s">
        <v>74</v>
      </c>
      <c r="AP2020" t="s">
        <v>827</v>
      </c>
      <c r="AQ2020" t="s">
        <v>74</v>
      </c>
      <c r="AR2020" t="s">
        <v>74</v>
      </c>
      <c r="AS2020" t="s">
        <v>74</v>
      </c>
      <c r="AT2020" t="s">
        <v>170</v>
      </c>
      <c r="AU2020">
        <v>2022</v>
      </c>
      <c r="AV2020">
        <v>23</v>
      </c>
      <c r="AW2020">
        <v>11</v>
      </c>
      <c r="AX2020" t="s">
        <v>74</v>
      </c>
      <c r="AY2020" t="s">
        <v>74</v>
      </c>
      <c r="AZ2020" t="s">
        <v>74</v>
      </c>
      <c r="BA2020" t="s">
        <v>74</v>
      </c>
      <c r="BB2020" t="s">
        <v>74</v>
      </c>
      <c r="BC2020" t="s">
        <v>74</v>
      </c>
      <c r="BD2020">
        <v>5913</v>
      </c>
      <c r="BE2020" t="s">
        <v>13821</v>
      </c>
      <c r="BF2020" t="str">
        <f>HYPERLINK("http://dx.doi.org/10.3390/ijms23115913","http://dx.doi.org/10.3390/ijms23115913")</f>
        <v>http://dx.doi.org/10.3390/ijms23115913</v>
      </c>
      <c r="BG2020" t="s">
        <v>74</v>
      </c>
      <c r="BH2020" t="s">
        <v>74</v>
      </c>
      <c r="BI2020" t="s">
        <v>74</v>
      </c>
      <c r="BJ2020" t="s">
        <v>830</v>
      </c>
      <c r="BK2020" t="s">
        <v>117</v>
      </c>
      <c r="BL2020" t="s">
        <v>831</v>
      </c>
      <c r="BM2020" t="s">
        <v>74</v>
      </c>
      <c r="BN2020">
        <v>35682592</v>
      </c>
      <c r="BO2020" t="s">
        <v>74</v>
      </c>
      <c r="BP2020" t="s">
        <v>74</v>
      </c>
      <c r="BQ2020" t="s">
        <v>74</v>
      </c>
      <c r="BR2020" t="s">
        <v>96</v>
      </c>
      <c r="BS2020" t="s">
        <v>13822</v>
      </c>
      <c r="BT2020" t="str">
        <f>HYPERLINK("https%3A%2F%2Fwww.webofscience.com%2Fwos%2Fwoscc%2Ffull-record%2FWOS:000809878500001","View Full Record in Web of Science")</f>
        <v>View Full Record in Web of Science</v>
      </c>
    </row>
    <row r="2021" spans="1:72" x14ac:dyDescent="0.15">
      <c r="A2021" t="s">
        <v>98</v>
      </c>
      <c r="B2021" t="s">
        <v>13823</v>
      </c>
      <c r="C2021" t="s">
        <v>74</v>
      </c>
      <c r="D2021" t="s">
        <v>74</v>
      </c>
      <c r="E2021" t="s">
        <v>74</v>
      </c>
      <c r="F2021" t="s">
        <v>13824</v>
      </c>
      <c r="G2021" t="s">
        <v>74</v>
      </c>
      <c r="H2021" t="s">
        <v>74</v>
      </c>
      <c r="I2021" t="s">
        <v>13825</v>
      </c>
      <c r="J2021" t="s">
        <v>13826</v>
      </c>
      <c r="K2021" t="s">
        <v>74</v>
      </c>
      <c r="L2021" t="s">
        <v>74</v>
      </c>
      <c r="M2021" t="s">
        <v>74</v>
      </c>
      <c r="N2021" t="s">
        <v>2996</v>
      </c>
      <c r="O2021" t="s">
        <v>74</v>
      </c>
      <c r="P2021" t="s">
        <v>74</v>
      </c>
      <c r="Q2021" t="s">
        <v>74</v>
      </c>
      <c r="R2021" t="s">
        <v>74</v>
      </c>
      <c r="S2021" t="s">
        <v>74</v>
      </c>
      <c r="T2021" t="s">
        <v>13827</v>
      </c>
      <c r="U2021" t="s">
        <v>13828</v>
      </c>
      <c r="V2021" t="s">
        <v>13829</v>
      </c>
      <c r="W2021" t="s">
        <v>13830</v>
      </c>
      <c r="X2021" t="s">
        <v>13831</v>
      </c>
      <c r="Y2021" t="s">
        <v>13832</v>
      </c>
      <c r="Z2021" t="s">
        <v>13833</v>
      </c>
      <c r="AA2021" t="s">
        <v>74</v>
      </c>
      <c r="AB2021" t="s">
        <v>74</v>
      </c>
      <c r="AC2021" t="s">
        <v>74</v>
      </c>
      <c r="AD2021" t="s">
        <v>74</v>
      </c>
      <c r="AE2021" t="s">
        <v>74</v>
      </c>
      <c r="AF2021" t="s">
        <v>74</v>
      </c>
      <c r="AG2021">
        <v>59</v>
      </c>
      <c r="AH2021">
        <v>0</v>
      </c>
      <c r="AI2021">
        <v>0</v>
      </c>
      <c r="AJ2021">
        <v>14</v>
      </c>
      <c r="AK2021">
        <v>14</v>
      </c>
      <c r="AL2021" t="s">
        <v>74</v>
      </c>
      <c r="AM2021" t="s">
        <v>74</v>
      </c>
      <c r="AN2021" t="s">
        <v>74</v>
      </c>
      <c r="AO2021" t="s">
        <v>74</v>
      </c>
      <c r="AP2021" t="s">
        <v>13834</v>
      </c>
      <c r="AQ2021" t="s">
        <v>74</v>
      </c>
      <c r="AR2021" t="s">
        <v>74</v>
      </c>
      <c r="AS2021" t="s">
        <v>74</v>
      </c>
      <c r="AT2021" t="s">
        <v>74</v>
      </c>
      <c r="AU2021" t="s">
        <v>74</v>
      </c>
      <c r="AV2021" t="s">
        <v>74</v>
      </c>
      <c r="AW2021" t="s">
        <v>74</v>
      </c>
      <c r="AX2021" t="s">
        <v>74</v>
      </c>
      <c r="AY2021" t="s">
        <v>74</v>
      </c>
      <c r="AZ2021" t="s">
        <v>74</v>
      </c>
      <c r="BA2021" t="s">
        <v>74</v>
      </c>
      <c r="BB2021" t="s">
        <v>74</v>
      </c>
      <c r="BC2021" t="s">
        <v>74</v>
      </c>
      <c r="BD2021">
        <v>2106031</v>
      </c>
      <c r="BE2021" t="s">
        <v>13835</v>
      </c>
      <c r="BF2021" t="str">
        <f>HYPERLINK("http://dx.doi.org/10.1002/advs.202106031","http://dx.doi.org/10.1002/advs.202106031")</f>
        <v>http://dx.doi.org/10.1002/advs.202106031</v>
      </c>
      <c r="BG2021" t="s">
        <v>74</v>
      </c>
      <c r="BH2021" t="s">
        <v>5061</v>
      </c>
      <c r="BI2021" t="s">
        <v>74</v>
      </c>
      <c r="BJ2021" t="s">
        <v>1274</v>
      </c>
      <c r="BK2021" t="s">
        <v>117</v>
      </c>
      <c r="BL2021" t="s">
        <v>1275</v>
      </c>
      <c r="BM2021" t="s">
        <v>74</v>
      </c>
      <c r="BN2021">
        <v>35715382</v>
      </c>
      <c r="BO2021" t="s">
        <v>74</v>
      </c>
      <c r="BP2021" t="s">
        <v>74</v>
      </c>
      <c r="BQ2021" t="s">
        <v>74</v>
      </c>
      <c r="BR2021" t="s">
        <v>96</v>
      </c>
      <c r="BS2021" t="s">
        <v>13836</v>
      </c>
      <c r="BT2021" t="str">
        <f>HYPERLINK("https%3A%2F%2Fwww.webofscience.com%2Fwos%2Fwoscc%2Ffull-record%2FWOS:000812466900001","View Full Record in Web of Science")</f>
        <v>View Full Record in Web of Science</v>
      </c>
    </row>
    <row r="2022" spans="1:72" x14ac:dyDescent="0.15">
      <c r="A2022" t="s">
        <v>98</v>
      </c>
      <c r="B2022" t="s">
        <v>13860</v>
      </c>
      <c r="C2022" t="s">
        <v>74</v>
      </c>
      <c r="D2022" t="s">
        <v>74</v>
      </c>
      <c r="E2022" t="s">
        <v>74</v>
      </c>
      <c r="F2022" t="s">
        <v>13861</v>
      </c>
      <c r="G2022" t="s">
        <v>74</v>
      </c>
      <c r="H2022" t="s">
        <v>74</v>
      </c>
      <c r="I2022" t="s">
        <v>13862</v>
      </c>
      <c r="J2022" t="s">
        <v>1123</v>
      </c>
      <c r="K2022" t="s">
        <v>74</v>
      </c>
      <c r="L2022" t="s">
        <v>74</v>
      </c>
      <c r="M2022" t="s">
        <v>74</v>
      </c>
      <c r="N2022" t="s">
        <v>103</v>
      </c>
      <c r="O2022" t="s">
        <v>74</v>
      </c>
      <c r="P2022" t="s">
        <v>74</v>
      </c>
      <c r="Q2022" t="s">
        <v>74</v>
      </c>
      <c r="R2022" t="s">
        <v>74</v>
      </c>
      <c r="S2022" t="s">
        <v>74</v>
      </c>
      <c r="T2022" t="s">
        <v>13863</v>
      </c>
      <c r="U2022" t="s">
        <v>13864</v>
      </c>
      <c r="V2022" t="s">
        <v>13865</v>
      </c>
      <c r="W2022" t="s">
        <v>13866</v>
      </c>
      <c r="X2022" t="s">
        <v>13867</v>
      </c>
      <c r="Y2022" t="s">
        <v>13868</v>
      </c>
      <c r="Z2022" t="s">
        <v>13869</v>
      </c>
      <c r="AA2022" t="s">
        <v>74</v>
      </c>
      <c r="AB2022" t="s">
        <v>13870</v>
      </c>
      <c r="AC2022" t="s">
        <v>74</v>
      </c>
      <c r="AD2022" t="s">
        <v>74</v>
      </c>
      <c r="AE2022" t="s">
        <v>74</v>
      </c>
      <c r="AF2022" t="s">
        <v>74</v>
      </c>
      <c r="AG2022">
        <v>45</v>
      </c>
      <c r="AH2022">
        <v>0</v>
      </c>
      <c r="AI2022">
        <v>0</v>
      </c>
      <c r="AJ2022">
        <v>70</v>
      </c>
      <c r="AK2022">
        <v>70</v>
      </c>
      <c r="AL2022" t="s">
        <v>74</v>
      </c>
      <c r="AM2022" t="s">
        <v>74</v>
      </c>
      <c r="AN2022" t="s">
        <v>74</v>
      </c>
      <c r="AO2022" t="s">
        <v>1132</v>
      </c>
      <c r="AP2022" t="s">
        <v>1133</v>
      </c>
      <c r="AQ2022" t="s">
        <v>74</v>
      </c>
      <c r="AR2022" t="s">
        <v>74</v>
      </c>
      <c r="AS2022" t="s">
        <v>74</v>
      </c>
      <c r="AT2022" t="s">
        <v>12712</v>
      </c>
      <c r="AU2022">
        <v>2022</v>
      </c>
      <c r="AV2022">
        <v>204</v>
      </c>
      <c r="AW2022" t="s">
        <v>74</v>
      </c>
      <c r="AX2022" t="s">
        <v>74</v>
      </c>
      <c r="AY2022" t="s">
        <v>74</v>
      </c>
      <c r="AZ2022" t="s">
        <v>74</v>
      </c>
      <c r="BA2022" t="s">
        <v>74</v>
      </c>
      <c r="BB2022" t="s">
        <v>74</v>
      </c>
      <c r="BC2022" t="s">
        <v>74</v>
      </c>
      <c r="BD2022">
        <v>114077</v>
      </c>
      <c r="BE2022" t="s">
        <v>13871</v>
      </c>
      <c r="BF2022" t="str">
        <f>HYPERLINK("http://dx.doi.org/10.1016/j.bios.2022.114077","http://dx.doi.org/10.1016/j.bios.2022.114077")</f>
        <v>http://dx.doi.org/10.1016/j.bios.2022.114077</v>
      </c>
      <c r="BG2022" t="s">
        <v>74</v>
      </c>
      <c r="BH2022" t="s">
        <v>74</v>
      </c>
      <c r="BI2022" t="s">
        <v>74</v>
      </c>
      <c r="BJ2022" t="s">
        <v>1137</v>
      </c>
      <c r="BK2022" t="s">
        <v>117</v>
      </c>
      <c r="BL2022" t="s">
        <v>1138</v>
      </c>
      <c r="BM2022" t="s">
        <v>74</v>
      </c>
      <c r="BN2022">
        <v>35180687</v>
      </c>
      <c r="BO2022" t="s">
        <v>74</v>
      </c>
      <c r="BP2022" t="s">
        <v>74</v>
      </c>
      <c r="BQ2022" t="s">
        <v>74</v>
      </c>
      <c r="BR2022" t="s">
        <v>96</v>
      </c>
      <c r="BS2022" t="s">
        <v>13872</v>
      </c>
      <c r="BT2022" t="str">
        <f>HYPERLINK("https%3A%2F%2Fwww.webofscience.com%2Fwos%2Fwoscc%2Ffull-record%2FWOS:000779152300003","View Full Record in Web of Science")</f>
        <v>View Full Record in Web of Science</v>
      </c>
    </row>
    <row r="2023" spans="1:72" x14ac:dyDescent="0.15">
      <c r="A2023" t="s">
        <v>98</v>
      </c>
      <c r="B2023" t="s">
        <v>13886</v>
      </c>
      <c r="C2023" t="s">
        <v>74</v>
      </c>
      <c r="D2023" t="s">
        <v>74</v>
      </c>
      <c r="E2023" t="s">
        <v>74</v>
      </c>
      <c r="F2023" t="s">
        <v>13887</v>
      </c>
      <c r="G2023" t="s">
        <v>74</v>
      </c>
      <c r="H2023" t="s">
        <v>74</v>
      </c>
      <c r="I2023" t="s">
        <v>13888</v>
      </c>
      <c r="J2023" t="s">
        <v>2281</v>
      </c>
      <c r="K2023" t="s">
        <v>74</v>
      </c>
      <c r="L2023" t="s">
        <v>74</v>
      </c>
      <c r="M2023" t="s">
        <v>74</v>
      </c>
      <c r="N2023" t="s">
        <v>103</v>
      </c>
      <c r="O2023" t="s">
        <v>74</v>
      </c>
      <c r="P2023" t="s">
        <v>74</v>
      </c>
      <c r="Q2023" t="s">
        <v>74</v>
      </c>
      <c r="R2023" t="s">
        <v>74</v>
      </c>
      <c r="S2023" t="s">
        <v>74</v>
      </c>
      <c r="T2023" t="s">
        <v>13889</v>
      </c>
      <c r="U2023" t="s">
        <v>13890</v>
      </c>
      <c r="V2023" t="s">
        <v>13891</v>
      </c>
      <c r="W2023" t="s">
        <v>13892</v>
      </c>
      <c r="X2023" t="s">
        <v>13893</v>
      </c>
      <c r="Y2023" t="s">
        <v>13894</v>
      </c>
      <c r="Z2023" t="s">
        <v>13895</v>
      </c>
      <c r="AA2023" t="s">
        <v>74</v>
      </c>
      <c r="AB2023" t="s">
        <v>74</v>
      </c>
      <c r="AC2023" t="s">
        <v>74</v>
      </c>
      <c r="AD2023" t="s">
        <v>74</v>
      </c>
      <c r="AE2023" t="s">
        <v>74</v>
      </c>
      <c r="AF2023" t="s">
        <v>74</v>
      </c>
      <c r="AG2023">
        <v>23</v>
      </c>
      <c r="AH2023">
        <v>0</v>
      </c>
      <c r="AI2023">
        <v>0</v>
      </c>
      <c r="AJ2023">
        <v>0</v>
      </c>
      <c r="AK2023">
        <v>0</v>
      </c>
      <c r="AL2023" t="s">
        <v>74</v>
      </c>
      <c r="AM2023" t="s">
        <v>74</v>
      </c>
      <c r="AN2023" t="s">
        <v>74</v>
      </c>
      <c r="AO2023" t="s">
        <v>13896</v>
      </c>
      <c r="AP2023" t="s">
        <v>13897</v>
      </c>
      <c r="AQ2023" t="s">
        <v>74</v>
      </c>
      <c r="AR2023" t="s">
        <v>74</v>
      </c>
      <c r="AS2023" t="s">
        <v>74</v>
      </c>
      <c r="AT2023" t="s">
        <v>1029</v>
      </c>
      <c r="AU2023">
        <v>2022</v>
      </c>
      <c r="AV2023">
        <v>27</v>
      </c>
      <c r="AW2023">
        <v>5</v>
      </c>
      <c r="AX2023" t="s">
        <v>74</v>
      </c>
      <c r="AY2023" t="s">
        <v>74</v>
      </c>
      <c r="AZ2023" t="s">
        <v>74</v>
      </c>
      <c r="BA2023" t="s">
        <v>74</v>
      </c>
      <c r="BB2023" t="s">
        <v>74</v>
      </c>
      <c r="BC2023" t="s">
        <v>74</v>
      </c>
      <c r="BD2023">
        <v>158</v>
      </c>
      <c r="BE2023" t="s">
        <v>13898</v>
      </c>
      <c r="BF2023" t="str">
        <f>HYPERLINK("http://dx.doi.org/10.31083/j.fbl2705158","http://dx.doi.org/10.31083/j.fbl2705158")</f>
        <v>http://dx.doi.org/10.31083/j.fbl2705158</v>
      </c>
      <c r="BG2023" t="s">
        <v>74</v>
      </c>
      <c r="BH2023" t="s">
        <v>74</v>
      </c>
      <c r="BI2023" t="s">
        <v>74</v>
      </c>
      <c r="BJ2023" t="s">
        <v>498</v>
      </c>
      <c r="BK2023" t="s">
        <v>117</v>
      </c>
      <c r="BL2023" t="s">
        <v>498</v>
      </c>
      <c r="BM2023" t="s">
        <v>74</v>
      </c>
      <c r="BN2023">
        <v>35638425</v>
      </c>
      <c r="BO2023" t="s">
        <v>74</v>
      </c>
      <c r="BP2023" t="s">
        <v>74</v>
      </c>
      <c r="BQ2023" t="s">
        <v>74</v>
      </c>
      <c r="BR2023" t="s">
        <v>96</v>
      </c>
      <c r="BS2023" t="s">
        <v>13899</v>
      </c>
      <c r="BT2023" t="str">
        <f>HYPERLINK("https%3A%2F%2Fwww.webofscience.com%2Fwos%2Fwoscc%2Ffull-record%2FWOS:000807685700021","View Full Record in Web of Science")</f>
        <v>View Full Record in Web of Science</v>
      </c>
    </row>
    <row r="2024" spans="1:72" x14ac:dyDescent="0.15">
      <c r="A2024" t="s">
        <v>98</v>
      </c>
      <c r="B2024" t="s">
        <v>13913</v>
      </c>
      <c r="C2024" t="s">
        <v>74</v>
      </c>
      <c r="D2024" t="s">
        <v>74</v>
      </c>
      <c r="E2024" t="s">
        <v>74</v>
      </c>
      <c r="F2024" t="s">
        <v>13914</v>
      </c>
      <c r="G2024" t="s">
        <v>74</v>
      </c>
      <c r="H2024" t="s">
        <v>74</v>
      </c>
      <c r="I2024" t="s">
        <v>13915</v>
      </c>
      <c r="J2024" t="s">
        <v>13916</v>
      </c>
      <c r="K2024" t="s">
        <v>74</v>
      </c>
      <c r="L2024" t="s">
        <v>74</v>
      </c>
      <c r="M2024" t="s">
        <v>74</v>
      </c>
      <c r="N2024" t="s">
        <v>103</v>
      </c>
      <c r="O2024" t="s">
        <v>74</v>
      </c>
      <c r="P2024" t="s">
        <v>74</v>
      </c>
      <c r="Q2024" t="s">
        <v>74</v>
      </c>
      <c r="R2024" t="s">
        <v>74</v>
      </c>
      <c r="S2024" t="s">
        <v>74</v>
      </c>
      <c r="T2024" t="s">
        <v>13917</v>
      </c>
      <c r="U2024" t="s">
        <v>13918</v>
      </c>
      <c r="V2024" t="s">
        <v>13919</v>
      </c>
      <c r="W2024" t="s">
        <v>13920</v>
      </c>
      <c r="X2024" t="s">
        <v>13921</v>
      </c>
      <c r="Y2024" t="s">
        <v>13922</v>
      </c>
      <c r="Z2024" t="s">
        <v>13923</v>
      </c>
      <c r="AA2024" t="s">
        <v>74</v>
      </c>
      <c r="AB2024" t="s">
        <v>74</v>
      </c>
      <c r="AC2024" t="s">
        <v>74</v>
      </c>
      <c r="AD2024" t="s">
        <v>74</v>
      </c>
      <c r="AE2024" t="s">
        <v>74</v>
      </c>
      <c r="AF2024" t="s">
        <v>74</v>
      </c>
      <c r="AG2024">
        <v>26</v>
      </c>
      <c r="AH2024">
        <v>0</v>
      </c>
      <c r="AI2024">
        <v>0</v>
      </c>
      <c r="AJ2024">
        <v>0</v>
      </c>
      <c r="AK2024">
        <v>2</v>
      </c>
      <c r="AL2024" t="s">
        <v>74</v>
      </c>
      <c r="AM2024" t="s">
        <v>74</v>
      </c>
      <c r="AN2024" t="s">
        <v>74</v>
      </c>
      <c r="AO2024" t="s">
        <v>13924</v>
      </c>
      <c r="AP2024" t="s">
        <v>13925</v>
      </c>
      <c r="AQ2024" t="s">
        <v>74</v>
      </c>
      <c r="AR2024" t="s">
        <v>74</v>
      </c>
      <c r="AS2024" t="s">
        <v>74</v>
      </c>
      <c r="AT2024" t="s">
        <v>13926</v>
      </c>
      <c r="AU2024">
        <v>2021</v>
      </c>
      <c r="AV2024">
        <v>29</v>
      </c>
      <c r="AW2024">
        <v>10</v>
      </c>
      <c r="AX2024" t="s">
        <v>74</v>
      </c>
      <c r="AY2024" t="s">
        <v>74</v>
      </c>
      <c r="AZ2024" t="s">
        <v>74</v>
      </c>
      <c r="BA2024" t="s">
        <v>74</v>
      </c>
      <c r="BB2024">
        <v>720</v>
      </c>
      <c r="BC2024">
        <v>727</v>
      </c>
      <c r="BD2024" t="s">
        <v>74</v>
      </c>
      <c r="BE2024" t="s">
        <v>74</v>
      </c>
      <c r="BF2024" t="s">
        <v>74</v>
      </c>
      <c r="BG2024" t="s">
        <v>74</v>
      </c>
      <c r="BH2024" t="s">
        <v>74</v>
      </c>
      <c r="BI2024" t="s">
        <v>74</v>
      </c>
      <c r="BJ2024" t="s">
        <v>13927</v>
      </c>
      <c r="BK2024" t="s">
        <v>117</v>
      </c>
      <c r="BL2024" t="s">
        <v>13927</v>
      </c>
      <c r="BM2024" t="s">
        <v>74</v>
      </c>
      <c r="BN2024">
        <v>34433181</v>
      </c>
      <c r="BO2024" t="s">
        <v>74</v>
      </c>
      <c r="BP2024" t="s">
        <v>74</v>
      </c>
      <c r="BQ2024" t="s">
        <v>74</v>
      </c>
      <c r="BR2024" t="s">
        <v>96</v>
      </c>
      <c r="BS2024" t="s">
        <v>13928</v>
      </c>
      <c r="BT2024" t="str">
        <f>HYPERLINK("https%3A%2F%2Fwww.webofscience.com%2Fwos%2Fwoscc%2Ffull-record%2FWOS:000756930100003","View Full Record in Web of Science")</f>
        <v>View Full Record in Web of Science</v>
      </c>
    </row>
    <row r="2025" spans="1:72" x14ac:dyDescent="0.15">
      <c r="A2025" t="s">
        <v>98</v>
      </c>
      <c r="B2025" t="s">
        <v>13983</v>
      </c>
      <c r="C2025" t="s">
        <v>74</v>
      </c>
      <c r="D2025" t="s">
        <v>74</v>
      </c>
      <c r="E2025" t="s">
        <v>74</v>
      </c>
      <c r="F2025" t="s">
        <v>13984</v>
      </c>
      <c r="G2025" t="s">
        <v>74</v>
      </c>
      <c r="H2025" t="s">
        <v>74</v>
      </c>
      <c r="I2025" t="s">
        <v>13985</v>
      </c>
      <c r="J2025" t="s">
        <v>13986</v>
      </c>
      <c r="K2025" t="s">
        <v>74</v>
      </c>
      <c r="L2025" t="s">
        <v>74</v>
      </c>
      <c r="M2025" t="s">
        <v>74</v>
      </c>
      <c r="N2025" t="s">
        <v>103</v>
      </c>
      <c r="O2025" t="s">
        <v>74</v>
      </c>
      <c r="P2025" t="s">
        <v>74</v>
      </c>
      <c r="Q2025" t="s">
        <v>74</v>
      </c>
      <c r="R2025" t="s">
        <v>74</v>
      </c>
      <c r="S2025" t="s">
        <v>74</v>
      </c>
      <c r="T2025" t="s">
        <v>13987</v>
      </c>
      <c r="U2025" t="s">
        <v>13988</v>
      </c>
      <c r="V2025" t="s">
        <v>13989</v>
      </c>
      <c r="W2025" t="s">
        <v>13990</v>
      </c>
      <c r="X2025" t="s">
        <v>13991</v>
      </c>
      <c r="Y2025" t="s">
        <v>13992</v>
      </c>
      <c r="Z2025" t="s">
        <v>13993</v>
      </c>
      <c r="AA2025" t="s">
        <v>74</v>
      </c>
      <c r="AB2025" t="s">
        <v>74</v>
      </c>
      <c r="AC2025" t="s">
        <v>74</v>
      </c>
      <c r="AD2025" t="s">
        <v>74</v>
      </c>
      <c r="AE2025" t="s">
        <v>74</v>
      </c>
      <c r="AF2025" t="s">
        <v>74</v>
      </c>
      <c r="AG2025">
        <v>76</v>
      </c>
      <c r="AH2025">
        <v>0</v>
      </c>
      <c r="AI2025">
        <v>0</v>
      </c>
      <c r="AJ2025">
        <v>0</v>
      </c>
      <c r="AK2025">
        <v>0</v>
      </c>
      <c r="AL2025" t="s">
        <v>74</v>
      </c>
      <c r="AM2025" t="s">
        <v>74</v>
      </c>
      <c r="AN2025" t="s">
        <v>74</v>
      </c>
      <c r="AO2025" t="s">
        <v>13994</v>
      </c>
      <c r="AP2025" t="s">
        <v>13995</v>
      </c>
      <c r="AQ2025" t="s">
        <v>74</v>
      </c>
      <c r="AR2025" t="s">
        <v>74</v>
      </c>
      <c r="AS2025" t="s">
        <v>74</v>
      </c>
      <c r="AT2025" t="s">
        <v>565</v>
      </c>
      <c r="AU2025">
        <v>2022</v>
      </c>
      <c r="AV2025">
        <v>75</v>
      </c>
      <c r="AW2025">
        <v>2</v>
      </c>
      <c r="AX2025" t="s">
        <v>74</v>
      </c>
      <c r="AY2025" t="s">
        <v>74</v>
      </c>
      <c r="AZ2025" t="s">
        <v>74</v>
      </c>
      <c r="BA2025" t="s">
        <v>74</v>
      </c>
      <c r="BB2025">
        <v>203</v>
      </c>
      <c r="BC2025">
        <v>214</v>
      </c>
      <c r="BD2025" t="s">
        <v>74</v>
      </c>
      <c r="BE2025" t="s">
        <v>74</v>
      </c>
      <c r="BF2025" t="s">
        <v>74</v>
      </c>
      <c r="BG2025" t="s">
        <v>74</v>
      </c>
      <c r="BH2025" t="s">
        <v>74</v>
      </c>
      <c r="BI2025" t="s">
        <v>74</v>
      </c>
      <c r="BJ2025" t="s">
        <v>2193</v>
      </c>
      <c r="BK2025" t="s">
        <v>117</v>
      </c>
      <c r="BL2025" t="s">
        <v>2193</v>
      </c>
      <c r="BM2025" t="s">
        <v>74</v>
      </c>
      <c r="BN2025">
        <v>35332890</v>
      </c>
      <c r="BO2025" t="s">
        <v>74</v>
      </c>
      <c r="BP2025" t="s">
        <v>74</v>
      </c>
      <c r="BQ2025" t="s">
        <v>74</v>
      </c>
      <c r="BR2025" t="s">
        <v>96</v>
      </c>
      <c r="BS2025" t="s">
        <v>13996</v>
      </c>
      <c r="BT2025" t="str">
        <f>HYPERLINK("https%3A%2F%2Fwww.webofscience.com%2Fwos%2Fwoscc%2Ffull-record%2FWOS:000820185900014","View Full Record in Web of Science")</f>
        <v>View Full Record in Web of Science</v>
      </c>
    </row>
    <row r="2026" spans="1:72" x14ac:dyDescent="0.15">
      <c r="A2026" t="s">
        <v>98</v>
      </c>
      <c r="B2026" t="s">
        <v>14009</v>
      </c>
      <c r="C2026" t="s">
        <v>74</v>
      </c>
      <c r="D2026" t="s">
        <v>74</v>
      </c>
      <c r="E2026" t="s">
        <v>74</v>
      </c>
      <c r="F2026" t="s">
        <v>14010</v>
      </c>
      <c r="G2026" t="s">
        <v>74</v>
      </c>
      <c r="H2026" t="s">
        <v>74</v>
      </c>
      <c r="I2026" t="s">
        <v>14011</v>
      </c>
      <c r="J2026" t="s">
        <v>236</v>
      </c>
      <c r="K2026" t="s">
        <v>74</v>
      </c>
      <c r="L2026" t="s">
        <v>74</v>
      </c>
      <c r="M2026" t="s">
        <v>74</v>
      </c>
      <c r="N2026" t="s">
        <v>103</v>
      </c>
      <c r="O2026" t="s">
        <v>74</v>
      </c>
      <c r="P2026" t="s">
        <v>74</v>
      </c>
      <c r="Q2026" t="s">
        <v>74</v>
      </c>
      <c r="R2026" t="s">
        <v>74</v>
      </c>
      <c r="S2026" t="s">
        <v>74</v>
      </c>
      <c r="T2026" t="s">
        <v>14012</v>
      </c>
      <c r="U2026" t="s">
        <v>74</v>
      </c>
      <c r="V2026" t="s">
        <v>14013</v>
      </c>
      <c r="W2026" t="s">
        <v>14014</v>
      </c>
      <c r="X2026" t="s">
        <v>14015</v>
      </c>
      <c r="Y2026" t="s">
        <v>14016</v>
      </c>
      <c r="Z2026" t="s">
        <v>14017</v>
      </c>
      <c r="AA2026" t="s">
        <v>74</v>
      </c>
      <c r="AB2026" t="s">
        <v>74</v>
      </c>
      <c r="AC2026" t="s">
        <v>74</v>
      </c>
      <c r="AD2026" t="s">
        <v>74</v>
      </c>
      <c r="AE2026" t="s">
        <v>74</v>
      </c>
      <c r="AF2026" t="s">
        <v>74</v>
      </c>
      <c r="AG2026">
        <v>64</v>
      </c>
      <c r="AH2026">
        <v>0</v>
      </c>
      <c r="AI2026">
        <v>0</v>
      </c>
      <c r="AJ2026">
        <v>2</v>
      </c>
      <c r="AK2026">
        <v>13</v>
      </c>
      <c r="AL2026" t="s">
        <v>74</v>
      </c>
      <c r="AM2026" t="s">
        <v>74</v>
      </c>
      <c r="AN2026" t="s">
        <v>74</v>
      </c>
      <c r="AO2026" t="s">
        <v>246</v>
      </c>
      <c r="AP2026" t="s">
        <v>247</v>
      </c>
      <c r="AQ2026" t="s">
        <v>74</v>
      </c>
      <c r="AR2026" t="s">
        <v>74</v>
      </c>
      <c r="AS2026" t="s">
        <v>74</v>
      </c>
      <c r="AT2026" t="s">
        <v>170</v>
      </c>
      <c r="AU2026">
        <v>2021</v>
      </c>
      <c r="AV2026">
        <v>17</v>
      </c>
      <c r="AW2026">
        <v>25</v>
      </c>
      <c r="AX2026" t="s">
        <v>74</v>
      </c>
      <c r="AY2026" t="s">
        <v>74</v>
      </c>
      <c r="AZ2026" t="s">
        <v>74</v>
      </c>
      <c r="BA2026" t="s">
        <v>74</v>
      </c>
      <c r="BB2026" t="s">
        <v>74</v>
      </c>
      <c r="BC2026" t="s">
        <v>74</v>
      </c>
      <c r="BD2026">
        <v>2100136</v>
      </c>
      <c r="BE2026" t="s">
        <v>14018</v>
      </c>
      <c r="BF2026" t="str">
        <f>HYPERLINK("http://dx.doi.org/10.1002/smll.202100136","http://dx.doi.org/10.1002/smll.202100136")</f>
        <v>http://dx.doi.org/10.1002/smll.202100136</v>
      </c>
      <c r="BG2026" t="s">
        <v>74</v>
      </c>
      <c r="BH2026" t="s">
        <v>1273</v>
      </c>
      <c r="BI2026" t="s">
        <v>74</v>
      </c>
      <c r="BJ2026" t="s">
        <v>250</v>
      </c>
      <c r="BK2026" t="s">
        <v>117</v>
      </c>
      <c r="BL2026" t="s">
        <v>251</v>
      </c>
      <c r="BM2026" t="s">
        <v>74</v>
      </c>
      <c r="BN2026">
        <v>33960622</v>
      </c>
      <c r="BO2026" t="s">
        <v>74</v>
      </c>
      <c r="BP2026" t="s">
        <v>74</v>
      </c>
      <c r="BQ2026" t="s">
        <v>74</v>
      </c>
      <c r="BR2026" t="s">
        <v>96</v>
      </c>
      <c r="BS2026" t="s">
        <v>14019</v>
      </c>
      <c r="BT2026" t="str">
        <f>HYPERLINK("https%3A%2F%2Fwww.webofscience.com%2Fwos%2Fwoscc%2Ffull-record%2FWOS:000647966600001","View Full Record in Web of Science")</f>
        <v>View Full Record in Web of Science</v>
      </c>
    </row>
    <row r="2027" spans="1:72" x14ac:dyDescent="0.15">
      <c r="A2027" t="s">
        <v>98</v>
      </c>
      <c r="B2027" t="s">
        <v>14105</v>
      </c>
      <c r="C2027" t="s">
        <v>74</v>
      </c>
      <c r="D2027" t="s">
        <v>74</v>
      </c>
      <c r="E2027" t="s">
        <v>74</v>
      </c>
      <c r="F2027" t="s">
        <v>14106</v>
      </c>
      <c r="G2027" t="s">
        <v>74</v>
      </c>
      <c r="H2027" t="s">
        <v>74</v>
      </c>
      <c r="I2027" t="s">
        <v>14107</v>
      </c>
      <c r="J2027" t="s">
        <v>1035</v>
      </c>
      <c r="K2027" t="s">
        <v>74</v>
      </c>
      <c r="L2027" t="s">
        <v>74</v>
      </c>
      <c r="M2027" t="s">
        <v>74</v>
      </c>
      <c r="N2027" t="s">
        <v>103</v>
      </c>
      <c r="O2027" t="s">
        <v>74</v>
      </c>
      <c r="P2027" t="s">
        <v>74</v>
      </c>
      <c r="Q2027" t="s">
        <v>74</v>
      </c>
      <c r="R2027" t="s">
        <v>74</v>
      </c>
      <c r="S2027" t="s">
        <v>74</v>
      </c>
      <c r="T2027" t="s">
        <v>74</v>
      </c>
      <c r="U2027" t="s">
        <v>74</v>
      </c>
      <c r="V2027" t="s">
        <v>14108</v>
      </c>
      <c r="W2027" t="s">
        <v>14109</v>
      </c>
      <c r="X2027" t="s">
        <v>14110</v>
      </c>
      <c r="Y2027" t="s">
        <v>14111</v>
      </c>
      <c r="Z2027" t="s">
        <v>14112</v>
      </c>
      <c r="AA2027" t="s">
        <v>74</v>
      </c>
      <c r="AB2027" t="s">
        <v>8833</v>
      </c>
      <c r="AC2027" t="s">
        <v>74</v>
      </c>
      <c r="AD2027" t="s">
        <v>74</v>
      </c>
      <c r="AE2027" t="s">
        <v>74</v>
      </c>
      <c r="AF2027" t="s">
        <v>74</v>
      </c>
      <c r="AG2027">
        <v>48</v>
      </c>
      <c r="AH2027">
        <v>0</v>
      </c>
      <c r="AI2027">
        <v>0</v>
      </c>
      <c r="AJ2027">
        <v>17</v>
      </c>
      <c r="AK2027">
        <v>17</v>
      </c>
      <c r="AL2027" t="s">
        <v>74</v>
      </c>
      <c r="AM2027" t="s">
        <v>74</v>
      </c>
      <c r="AN2027" t="s">
        <v>74</v>
      </c>
      <c r="AO2027" t="s">
        <v>1044</v>
      </c>
      <c r="AP2027" t="s">
        <v>6566</v>
      </c>
      <c r="AQ2027" t="s">
        <v>74</v>
      </c>
      <c r="AR2027" t="s">
        <v>74</v>
      </c>
      <c r="AS2027" t="s">
        <v>74</v>
      </c>
      <c r="AT2027" t="s">
        <v>9551</v>
      </c>
      <c r="AU2027">
        <v>2022</v>
      </c>
      <c r="AV2027">
        <v>144</v>
      </c>
      <c r="AW2027">
        <v>30</v>
      </c>
      <c r="AX2027" t="s">
        <v>74</v>
      </c>
      <c r="AY2027" t="s">
        <v>74</v>
      </c>
      <c r="AZ2027" t="s">
        <v>74</v>
      </c>
      <c r="BA2027" t="s">
        <v>74</v>
      </c>
      <c r="BB2027">
        <v>13475</v>
      </c>
      <c r="BC2027">
        <v>13486</v>
      </c>
      <c r="BD2027" t="s">
        <v>74</v>
      </c>
      <c r="BE2027" t="s">
        <v>14113</v>
      </c>
      <c r="BF2027" t="str">
        <f>HYPERLINK("http://dx.doi.org/10.1021/jacs.2c00119","http://dx.doi.org/10.1021/jacs.2c00119")</f>
        <v>http://dx.doi.org/10.1021/jacs.2c00119</v>
      </c>
      <c r="BG2027" t="s">
        <v>74</v>
      </c>
      <c r="BH2027" t="s">
        <v>14114</v>
      </c>
      <c r="BI2027" t="s">
        <v>74</v>
      </c>
      <c r="BJ2027" t="s">
        <v>1047</v>
      </c>
      <c r="BK2027" t="s">
        <v>117</v>
      </c>
      <c r="BL2027" t="s">
        <v>1048</v>
      </c>
      <c r="BM2027" t="s">
        <v>74</v>
      </c>
      <c r="BN2027">
        <v>35802880</v>
      </c>
      <c r="BO2027" t="s">
        <v>74</v>
      </c>
      <c r="BP2027" t="s">
        <v>74</v>
      </c>
      <c r="BQ2027" t="s">
        <v>74</v>
      </c>
      <c r="BR2027" t="s">
        <v>96</v>
      </c>
      <c r="BS2027" t="s">
        <v>14115</v>
      </c>
      <c r="BT2027" t="str">
        <f>HYPERLINK("https%3A%2F%2Fwww.webofscience.com%2Fwos%2Fwoscc%2Ffull-record%2FWOS:000830923900001","View Full Record in Web of Science")</f>
        <v>View Full Record in Web of Science</v>
      </c>
    </row>
    <row r="2028" spans="1:72" x14ac:dyDescent="0.15">
      <c r="A2028" t="s">
        <v>98</v>
      </c>
      <c r="B2028" t="s">
        <v>14160</v>
      </c>
      <c r="C2028" t="s">
        <v>74</v>
      </c>
      <c r="D2028" t="s">
        <v>74</v>
      </c>
      <c r="E2028" t="s">
        <v>74</v>
      </c>
      <c r="F2028" t="s">
        <v>14161</v>
      </c>
      <c r="G2028" t="s">
        <v>74</v>
      </c>
      <c r="H2028" t="s">
        <v>74</v>
      </c>
      <c r="I2028" t="s">
        <v>14162</v>
      </c>
      <c r="J2028" t="s">
        <v>14163</v>
      </c>
      <c r="K2028" t="s">
        <v>74</v>
      </c>
      <c r="L2028" t="s">
        <v>74</v>
      </c>
      <c r="M2028" t="s">
        <v>74</v>
      </c>
      <c r="N2028" t="s">
        <v>103</v>
      </c>
      <c r="O2028" t="s">
        <v>74</v>
      </c>
      <c r="P2028" t="s">
        <v>74</v>
      </c>
      <c r="Q2028" t="s">
        <v>74</v>
      </c>
      <c r="R2028" t="s">
        <v>74</v>
      </c>
      <c r="S2028" t="s">
        <v>74</v>
      </c>
      <c r="T2028" t="s">
        <v>74</v>
      </c>
      <c r="U2028" t="s">
        <v>14164</v>
      </c>
      <c r="V2028" t="s">
        <v>14165</v>
      </c>
      <c r="W2028" t="s">
        <v>14166</v>
      </c>
      <c r="X2028" t="s">
        <v>14167</v>
      </c>
      <c r="Y2028" t="s">
        <v>14168</v>
      </c>
      <c r="Z2028" t="s">
        <v>14169</v>
      </c>
      <c r="AA2028" t="s">
        <v>74</v>
      </c>
      <c r="AB2028" t="s">
        <v>74</v>
      </c>
      <c r="AC2028" t="s">
        <v>74</v>
      </c>
      <c r="AD2028" t="s">
        <v>74</v>
      </c>
      <c r="AE2028" t="s">
        <v>74</v>
      </c>
      <c r="AF2028" t="s">
        <v>74</v>
      </c>
      <c r="AG2028">
        <v>67</v>
      </c>
      <c r="AH2028">
        <v>0</v>
      </c>
      <c r="AI2028">
        <v>0</v>
      </c>
      <c r="AJ2028">
        <v>0</v>
      </c>
      <c r="AK2028">
        <v>4</v>
      </c>
      <c r="AL2028" t="s">
        <v>74</v>
      </c>
      <c r="AM2028" t="s">
        <v>74</v>
      </c>
      <c r="AN2028" t="s">
        <v>74</v>
      </c>
      <c r="AO2028" t="s">
        <v>14170</v>
      </c>
      <c r="AP2028" t="s">
        <v>14171</v>
      </c>
      <c r="AQ2028" t="s">
        <v>74</v>
      </c>
      <c r="AR2028" t="s">
        <v>74</v>
      </c>
      <c r="AS2028" t="s">
        <v>74</v>
      </c>
      <c r="AT2028" t="s">
        <v>565</v>
      </c>
      <c r="AU2028">
        <v>2021</v>
      </c>
      <c r="AV2028">
        <v>28</v>
      </c>
      <c r="AW2028">
        <v>3</v>
      </c>
      <c r="AX2028" t="s">
        <v>74</v>
      </c>
      <c r="AY2028" t="s">
        <v>74</v>
      </c>
      <c r="AZ2028" t="s">
        <v>74</v>
      </c>
      <c r="BA2028" t="s">
        <v>74</v>
      </c>
      <c r="BB2028">
        <v>1013</v>
      </c>
      <c r="BC2028">
        <v>1025</v>
      </c>
      <c r="BD2028" t="s">
        <v>74</v>
      </c>
      <c r="BE2028" t="s">
        <v>14172</v>
      </c>
      <c r="BF2028" t="str">
        <f>HYPERLINK("http://dx.doi.org/10.1038/s41418-020-00632-8","http://dx.doi.org/10.1038/s41418-020-00632-8")</f>
        <v>http://dx.doi.org/10.1038/s41418-020-00632-8</v>
      </c>
      <c r="BG2028" t="s">
        <v>74</v>
      </c>
      <c r="BH2028" t="s">
        <v>973</v>
      </c>
      <c r="BI2028" t="s">
        <v>74</v>
      </c>
      <c r="BJ2028" t="s">
        <v>498</v>
      </c>
      <c r="BK2028" t="s">
        <v>117</v>
      </c>
      <c r="BL2028" t="s">
        <v>498</v>
      </c>
      <c r="BM2028" t="s">
        <v>74</v>
      </c>
      <c r="BN2028">
        <v>33028960</v>
      </c>
      <c r="BO2028" t="s">
        <v>74</v>
      </c>
      <c r="BP2028" t="s">
        <v>74</v>
      </c>
      <c r="BQ2028" t="s">
        <v>74</v>
      </c>
      <c r="BR2028" t="s">
        <v>96</v>
      </c>
      <c r="BS2028" t="s">
        <v>14173</v>
      </c>
      <c r="BT2028" t="str">
        <f>HYPERLINK("https%3A%2F%2Fwww.webofscience.com%2Fwos%2Fwoscc%2Ffull-record%2FWOS:000577407600001","View Full Record in Web of Science")</f>
        <v>View Full Record in Web of Science</v>
      </c>
    </row>
    <row r="2029" spans="1:72" x14ac:dyDescent="0.15">
      <c r="A2029" t="s">
        <v>98</v>
      </c>
      <c r="B2029" t="s">
        <v>14187</v>
      </c>
      <c r="C2029" t="s">
        <v>74</v>
      </c>
      <c r="D2029" t="s">
        <v>74</v>
      </c>
      <c r="E2029" t="s">
        <v>74</v>
      </c>
      <c r="F2029" t="s">
        <v>14188</v>
      </c>
      <c r="G2029" t="s">
        <v>74</v>
      </c>
      <c r="H2029" t="s">
        <v>74</v>
      </c>
      <c r="I2029" t="s">
        <v>14189</v>
      </c>
      <c r="J2029" t="s">
        <v>817</v>
      </c>
      <c r="K2029" t="s">
        <v>74</v>
      </c>
      <c r="L2029" t="s">
        <v>74</v>
      </c>
      <c r="M2029" t="s">
        <v>74</v>
      </c>
      <c r="N2029" t="s">
        <v>103</v>
      </c>
      <c r="O2029" t="s">
        <v>74</v>
      </c>
      <c r="P2029" t="s">
        <v>74</v>
      </c>
      <c r="Q2029" t="s">
        <v>74</v>
      </c>
      <c r="R2029" t="s">
        <v>74</v>
      </c>
      <c r="S2029" t="s">
        <v>74</v>
      </c>
      <c r="T2029" t="s">
        <v>14190</v>
      </c>
      <c r="U2029" t="s">
        <v>14191</v>
      </c>
      <c r="V2029" t="s">
        <v>14192</v>
      </c>
      <c r="W2029" t="s">
        <v>14193</v>
      </c>
      <c r="X2029" t="s">
        <v>14194</v>
      </c>
      <c r="Y2029" t="s">
        <v>14195</v>
      </c>
      <c r="Z2029" t="s">
        <v>14196</v>
      </c>
      <c r="AA2029" t="s">
        <v>14197</v>
      </c>
      <c r="AB2029" t="s">
        <v>14198</v>
      </c>
      <c r="AC2029" t="s">
        <v>74</v>
      </c>
      <c r="AD2029" t="s">
        <v>74</v>
      </c>
      <c r="AE2029" t="s">
        <v>74</v>
      </c>
      <c r="AF2029" t="s">
        <v>74</v>
      </c>
      <c r="AG2029">
        <v>54</v>
      </c>
      <c r="AH2029">
        <v>0</v>
      </c>
      <c r="AI2029">
        <v>0</v>
      </c>
      <c r="AJ2029">
        <v>2</v>
      </c>
      <c r="AK2029">
        <v>2</v>
      </c>
      <c r="AL2029" t="s">
        <v>74</v>
      </c>
      <c r="AM2029" t="s">
        <v>74</v>
      </c>
      <c r="AN2029" t="s">
        <v>74</v>
      </c>
      <c r="AO2029" t="s">
        <v>74</v>
      </c>
      <c r="AP2029" t="s">
        <v>827</v>
      </c>
      <c r="AQ2029" t="s">
        <v>74</v>
      </c>
      <c r="AR2029" t="s">
        <v>74</v>
      </c>
      <c r="AS2029" t="s">
        <v>74</v>
      </c>
      <c r="AT2029" t="s">
        <v>170</v>
      </c>
      <c r="AU2029">
        <v>2022</v>
      </c>
      <c r="AV2029">
        <v>23</v>
      </c>
      <c r="AW2029">
        <v>11</v>
      </c>
      <c r="AX2029" t="s">
        <v>74</v>
      </c>
      <c r="AY2029" t="s">
        <v>74</v>
      </c>
      <c r="AZ2029" t="s">
        <v>74</v>
      </c>
      <c r="BA2029" t="s">
        <v>74</v>
      </c>
      <c r="BB2029" t="s">
        <v>74</v>
      </c>
      <c r="BC2029" t="s">
        <v>74</v>
      </c>
      <c r="BD2029">
        <v>6320</v>
      </c>
      <c r="BE2029" t="s">
        <v>14199</v>
      </c>
      <c r="BF2029" t="str">
        <f>HYPERLINK("http://dx.doi.org/10.3390/ijms23116320","http://dx.doi.org/10.3390/ijms23116320")</f>
        <v>http://dx.doi.org/10.3390/ijms23116320</v>
      </c>
      <c r="BG2029" t="s">
        <v>74</v>
      </c>
      <c r="BH2029" t="s">
        <v>74</v>
      </c>
      <c r="BI2029" t="s">
        <v>74</v>
      </c>
      <c r="BJ2029" t="s">
        <v>830</v>
      </c>
      <c r="BK2029" t="s">
        <v>117</v>
      </c>
      <c r="BL2029" t="s">
        <v>831</v>
      </c>
      <c r="BM2029" t="s">
        <v>74</v>
      </c>
      <c r="BN2029">
        <v>35682999</v>
      </c>
      <c r="BO2029" t="s">
        <v>74</v>
      </c>
      <c r="BP2029" t="s">
        <v>74</v>
      </c>
      <c r="BQ2029" t="s">
        <v>74</v>
      </c>
      <c r="BR2029" t="s">
        <v>96</v>
      </c>
      <c r="BS2029" t="s">
        <v>14200</v>
      </c>
      <c r="BT2029" t="str">
        <f>HYPERLINK("https%3A%2F%2Fwww.webofscience.com%2Fwos%2Fwoscc%2Ffull-record%2FWOS:000808776100001","View Full Record in Web of Science")</f>
        <v>View Full Record in Web of Science</v>
      </c>
    </row>
    <row r="2030" spans="1:72" x14ac:dyDescent="0.15">
      <c r="A2030" t="s">
        <v>98</v>
      </c>
      <c r="B2030" t="s">
        <v>14255</v>
      </c>
      <c r="C2030" t="s">
        <v>74</v>
      </c>
      <c r="D2030" t="s">
        <v>74</v>
      </c>
      <c r="E2030" t="s">
        <v>74</v>
      </c>
      <c r="F2030" t="s">
        <v>14256</v>
      </c>
      <c r="G2030" t="s">
        <v>74</v>
      </c>
      <c r="H2030" t="s">
        <v>74</v>
      </c>
      <c r="I2030" t="s">
        <v>14257</v>
      </c>
      <c r="J2030" t="s">
        <v>14258</v>
      </c>
      <c r="K2030" t="s">
        <v>74</v>
      </c>
      <c r="L2030" t="s">
        <v>74</v>
      </c>
      <c r="M2030" t="s">
        <v>74</v>
      </c>
      <c r="N2030" t="s">
        <v>2996</v>
      </c>
      <c r="O2030" t="s">
        <v>74</v>
      </c>
      <c r="P2030" t="s">
        <v>74</v>
      </c>
      <c r="Q2030" t="s">
        <v>74</v>
      </c>
      <c r="R2030" t="s">
        <v>74</v>
      </c>
      <c r="S2030" t="s">
        <v>74</v>
      </c>
      <c r="T2030" t="s">
        <v>74</v>
      </c>
      <c r="U2030" t="s">
        <v>14259</v>
      </c>
      <c r="V2030" t="s">
        <v>14260</v>
      </c>
      <c r="W2030" t="s">
        <v>14261</v>
      </c>
      <c r="X2030" t="s">
        <v>14262</v>
      </c>
      <c r="Y2030" t="s">
        <v>14263</v>
      </c>
      <c r="Z2030" t="s">
        <v>14264</v>
      </c>
      <c r="AA2030" t="s">
        <v>74</v>
      </c>
      <c r="AB2030" t="s">
        <v>74</v>
      </c>
      <c r="AC2030" t="s">
        <v>74</v>
      </c>
      <c r="AD2030" t="s">
        <v>74</v>
      </c>
      <c r="AE2030" t="s">
        <v>74</v>
      </c>
      <c r="AF2030" t="s">
        <v>74</v>
      </c>
      <c r="AG2030">
        <v>42</v>
      </c>
      <c r="AH2030">
        <v>0</v>
      </c>
      <c r="AI2030">
        <v>0</v>
      </c>
      <c r="AJ2030">
        <v>0</v>
      </c>
      <c r="AK2030">
        <v>0</v>
      </c>
      <c r="AL2030" t="s">
        <v>74</v>
      </c>
      <c r="AM2030" t="s">
        <v>74</v>
      </c>
      <c r="AN2030" t="s">
        <v>74</v>
      </c>
      <c r="AO2030" t="s">
        <v>14265</v>
      </c>
      <c r="AP2030" t="s">
        <v>14266</v>
      </c>
      <c r="AQ2030" t="s">
        <v>74</v>
      </c>
      <c r="AR2030" t="s">
        <v>74</v>
      </c>
      <c r="AS2030" t="s">
        <v>74</v>
      </c>
      <c r="AT2030" t="s">
        <v>74</v>
      </c>
      <c r="AU2030" t="s">
        <v>74</v>
      </c>
      <c r="AV2030" t="s">
        <v>74</v>
      </c>
      <c r="AW2030" t="s">
        <v>74</v>
      </c>
      <c r="AX2030" t="s">
        <v>74</v>
      </c>
      <c r="AY2030" t="s">
        <v>74</v>
      </c>
      <c r="AZ2030" t="s">
        <v>74</v>
      </c>
      <c r="BA2030" t="s">
        <v>74</v>
      </c>
      <c r="BB2030" t="s">
        <v>74</v>
      </c>
      <c r="BC2030" t="s">
        <v>74</v>
      </c>
      <c r="BD2030" t="s">
        <v>74</v>
      </c>
      <c r="BE2030" t="s">
        <v>14267</v>
      </c>
      <c r="BF2030" t="str">
        <f>HYPERLINK("http://dx.doi.org/10.1093/hmg/ddac130","http://dx.doi.org/10.1093/hmg/ddac130")</f>
        <v>http://dx.doi.org/10.1093/hmg/ddac130</v>
      </c>
      <c r="BG2030" t="s">
        <v>74</v>
      </c>
      <c r="BH2030" t="s">
        <v>5061</v>
      </c>
      <c r="BI2030" t="s">
        <v>74</v>
      </c>
      <c r="BJ2030" t="s">
        <v>950</v>
      </c>
      <c r="BK2030" t="s">
        <v>117</v>
      </c>
      <c r="BL2030" t="s">
        <v>950</v>
      </c>
      <c r="BM2030" t="s">
        <v>74</v>
      </c>
      <c r="BN2030">
        <v>35708510</v>
      </c>
      <c r="BO2030" t="s">
        <v>74</v>
      </c>
      <c r="BP2030" t="s">
        <v>74</v>
      </c>
      <c r="BQ2030" t="s">
        <v>74</v>
      </c>
      <c r="BR2030" t="s">
        <v>96</v>
      </c>
      <c r="BS2030" t="s">
        <v>14268</v>
      </c>
      <c r="BT2030" t="str">
        <f>HYPERLINK("https%3A%2F%2Fwww.webofscience.com%2Fwos%2Fwoscc%2Ffull-record%2FWOS:000838693700001","View Full Record in Web of Science")</f>
        <v>View Full Record in Web of Science</v>
      </c>
    </row>
    <row r="2031" spans="1:72" x14ac:dyDescent="0.15">
      <c r="A2031" t="s">
        <v>98</v>
      </c>
      <c r="B2031" t="s">
        <v>14379</v>
      </c>
      <c r="C2031" t="s">
        <v>74</v>
      </c>
      <c r="D2031" t="s">
        <v>74</v>
      </c>
      <c r="E2031" t="s">
        <v>74</v>
      </c>
      <c r="F2031" t="s">
        <v>14380</v>
      </c>
      <c r="G2031" t="s">
        <v>74</v>
      </c>
      <c r="H2031" t="s">
        <v>74</v>
      </c>
      <c r="I2031" t="s">
        <v>14381</v>
      </c>
      <c r="J2031" t="s">
        <v>14382</v>
      </c>
      <c r="K2031" t="s">
        <v>74</v>
      </c>
      <c r="L2031" t="s">
        <v>74</v>
      </c>
      <c r="M2031" t="s">
        <v>74</v>
      </c>
      <c r="N2031" t="s">
        <v>103</v>
      </c>
      <c r="O2031" t="s">
        <v>74</v>
      </c>
      <c r="P2031" t="s">
        <v>74</v>
      </c>
      <c r="Q2031" t="s">
        <v>74</v>
      </c>
      <c r="R2031" t="s">
        <v>74</v>
      </c>
      <c r="S2031" t="s">
        <v>74</v>
      </c>
      <c r="T2031" t="s">
        <v>74</v>
      </c>
      <c r="U2031" t="s">
        <v>14383</v>
      </c>
      <c r="V2031" t="s">
        <v>14384</v>
      </c>
      <c r="W2031" t="s">
        <v>14385</v>
      </c>
      <c r="X2031" t="s">
        <v>14386</v>
      </c>
      <c r="Y2031" t="s">
        <v>14387</v>
      </c>
      <c r="Z2031" t="s">
        <v>14388</v>
      </c>
      <c r="AA2031" t="s">
        <v>74</v>
      </c>
      <c r="AB2031" t="s">
        <v>74</v>
      </c>
      <c r="AC2031" t="s">
        <v>74</v>
      </c>
      <c r="AD2031" t="s">
        <v>74</v>
      </c>
      <c r="AE2031" t="s">
        <v>74</v>
      </c>
      <c r="AF2031" t="s">
        <v>74</v>
      </c>
      <c r="AG2031">
        <v>38</v>
      </c>
      <c r="AH2031">
        <v>0</v>
      </c>
      <c r="AI2031">
        <v>0</v>
      </c>
      <c r="AJ2031">
        <v>0</v>
      </c>
      <c r="AK2031">
        <v>0</v>
      </c>
      <c r="AL2031" t="s">
        <v>74</v>
      </c>
      <c r="AM2031" t="s">
        <v>74</v>
      </c>
      <c r="AN2031" t="s">
        <v>74</v>
      </c>
      <c r="AO2031" t="s">
        <v>14389</v>
      </c>
      <c r="AP2031" t="s">
        <v>14390</v>
      </c>
      <c r="AQ2031" t="s">
        <v>74</v>
      </c>
      <c r="AR2031" t="s">
        <v>74</v>
      </c>
      <c r="AS2031" t="s">
        <v>74</v>
      </c>
      <c r="AT2031" t="s">
        <v>14391</v>
      </c>
      <c r="AU2031">
        <v>2022</v>
      </c>
      <c r="AV2031">
        <v>2022</v>
      </c>
      <c r="AW2031" t="s">
        <v>74</v>
      </c>
      <c r="AX2031" t="s">
        <v>74</v>
      </c>
      <c r="AY2031" t="s">
        <v>74</v>
      </c>
      <c r="AZ2031" t="s">
        <v>74</v>
      </c>
      <c r="BA2031" t="s">
        <v>74</v>
      </c>
      <c r="BB2031" t="s">
        <v>74</v>
      </c>
      <c r="BC2031" t="s">
        <v>74</v>
      </c>
      <c r="BD2031">
        <v>7960198</v>
      </c>
      <c r="BE2031" t="s">
        <v>14392</v>
      </c>
      <c r="BF2031" t="str">
        <f>HYPERLINK("http://dx.doi.org/10.1155/2022/7960198","http://dx.doi.org/10.1155/2022/7960198")</f>
        <v>http://dx.doi.org/10.1155/2022/7960198</v>
      </c>
      <c r="BG2031" t="s">
        <v>74</v>
      </c>
      <c r="BH2031" t="s">
        <v>74</v>
      </c>
      <c r="BI2031" t="s">
        <v>74</v>
      </c>
      <c r="BJ2031" t="s">
        <v>95</v>
      </c>
      <c r="BK2031" t="s">
        <v>467</v>
      </c>
      <c r="BL2031" t="s">
        <v>95</v>
      </c>
      <c r="BM2031" t="s">
        <v>74</v>
      </c>
      <c r="BN2031">
        <v>35465178</v>
      </c>
      <c r="BO2031" t="s">
        <v>74</v>
      </c>
      <c r="BP2031" t="s">
        <v>74</v>
      </c>
      <c r="BQ2031" t="s">
        <v>74</v>
      </c>
      <c r="BR2031" t="s">
        <v>96</v>
      </c>
      <c r="BS2031" t="s">
        <v>14393</v>
      </c>
      <c r="BT2031" t="str">
        <f>HYPERLINK("https%3A%2F%2Fwww.webofscience.com%2Fwos%2Fwoscc%2Ffull-record%2FWOS:000791827900001","View Full Record in Web of Science")</f>
        <v>View Full Record in Web of Science</v>
      </c>
    </row>
    <row r="2032" spans="1:72" x14ac:dyDescent="0.15">
      <c r="A2032" t="s">
        <v>98</v>
      </c>
      <c r="B2032" t="s">
        <v>14410</v>
      </c>
      <c r="C2032" t="s">
        <v>74</v>
      </c>
      <c r="D2032" t="s">
        <v>74</v>
      </c>
      <c r="E2032" t="s">
        <v>74</v>
      </c>
      <c r="F2032" t="s">
        <v>14411</v>
      </c>
      <c r="G2032" t="s">
        <v>74</v>
      </c>
      <c r="H2032" t="s">
        <v>74</v>
      </c>
      <c r="I2032" t="s">
        <v>14412</v>
      </c>
      <c r="J2032" t="s">
        <v>1631</v>
      </c>
      <c r="K2032" t="s">
        <v>74</v>
      </c>
      <c r="L2032" t="s">
        <v>74</v>
      </c>
      <c r="M2032" t="s">
        <v>74</v>
      </c>
      <c r="N2032" t="s">
        <v>103</v>
      </c>
      <c r="O2032" t="s">
        <v>74</v>
      </c>
      <c r="P2032" t="s">
        <v>74</v>
      </c>
      <c r="Q2032" t="s">
        <v>74</v>
      </c>
      <c r="R2032" t="s">
        <v>74</v>
      </c>
      <c r="S2032" t="s">
        <v>74</v>
      </c>
      <c r="T2032" t="s">
        <v>14413</v>
      </c>
      <c r="U2032" t="s">
        <v>14414</v>
      </c>
      <c r="V2032" t="s">
        <v>14415</v>
      </c>
      <c r="W2032" t="s">
        <v>14416</v>
      </c>
      <c r="X2032" t="s">
        <v>14417</v>
      </c>
      <c r="Y2032" t="s">
        <v>14418</v>
      </c>
      <c r="Z2032" t="s">
        <v>14419</v>
      </c>
      <c r="AA2032" t="s">
        <v>74</v>
      </c>
      <c r="AB2032" t="s">
        <v>74</v>
      </c>
      <c r="AC2032" t="s">
        <v>74</v>
      </c>
      <c r="AD2032" t="s">
        <v>74</v>
      </c>
      <c r="AE2032" t="s">
        <v>74</v>
      </c>
      <c r="AF2032" t="s">
        <v>74</v>
      </c>
      <c r="AG2032">
        <v>44</v>
      </c>
      <c r="AH2032">
        <v>0</v>
      </c>
      <c r="AI2032">
        <v>0</v>
      </c>
      <c r="AJ2032">
        <v>0</v>
      </c>
      <c r="AK2032">
        <v>2</v>
      </c>
      <c r="AL2032" t="s">
        <v>74</v>
      </c>
      <c r="AM2032" t="s">
        <v>74</v>
      </c>
      <c r="AN2032" t="s">
        <v>74</v>
      </c>
      <c r="AO2032" t="s">
        <v>74</v>
      </c>
      <c r="AP2032" t="s">
        <v>1639</v>
      </c>
      <c r="AQ2032" t="s">
        <v>74</v>
      </c>
      <c r="AR2032" t="s">
        <v>74</v>
      </c>
      <c r="AS2032" t="s">
        <v>74</v>
      </c>
      <c r="AT2032" t="s">
        <v>12177</v>
      </c>
      <c r="AU2032">
        <v>2021</v>
      </c>
      <c r="AV2032">
        <v>11</v>
      </c>
      <c r="AW2032">
        <v>23</v>
      </c>
      <c r="AX2032" t="s">
        <v>74</v>
      </c>
      <c r="AY2032" t="s">
        <v>74</v>
      </c>
      <c r="AZ2032" t="s">
        <v>74</v>
      </c>
      <c r="BA2032" t="s">
        <v>74</v>
      </c>
      <c r="BB2032" t="s">
        <v>74</v>
      </c>
      <c r="BC2032" t="s">
        <v>74</v>
      </c>
      <c r="BD2032" t="s">
        <v>14420</v>
      </c>
      <c r="BE2032" t="s">
        <v>14421</v>
      </c>
      <c r="BF2032" t="str">
        <f>HYPERLINK("http://dx.doi.org/10.21769/BioProtoc.4239","http://dx.doi.org/10.21769/BioProtoc.4239")</f>
        <v>http://dx.doi.org/10.21769/BioProtoc.4239</v>
      </c>
      <c r="BG2032" t="s">
        <v>74</v>
      </c>
      <c r="BH2032" t="s">
        <v>74</v>
      </c>
      <c r="BI2032" t="s">
        <v>74</v>
      </c>
      <c r="BJ2032" t="s">
        <v>1643</v>
      </c>
      <c r="BK2032" t="s">
        <v>467</v>
      </c>
      <c r="BL2032" t="s">
        <v>1644</v>
      </c>
      <c r="BM2032" t="s">
        <v>74</v>
      </c>
      <c r="BN2032">
        <v>35005084</v>
      </c>
      <c r="BO2032" t="s">
        <v>74</v>
      </c>
      <c r="BP2032" t="s">
        <v>74</v>
      </c>
      <c r="BQ2032" t="s">
        <v>74</v>
      </c>
      <c r="BR2032" t="s">
        <v>96</v>
      </c>
      <c r="BS2032" t="s">
        <v>14422</v>
      </c>
      <c r="BT2032" t="str">
        <f>HYPERLINK("https%3A%2F%2Fwww.webofscience.com%2Fwos%2Fwoscc%2Ffull-record%2FWOS:000729206600013","View Full Record in Web of Science")</f>
        <v>View Full Record in Web of Science</v>
      </c>
    </row>
    <row r="2033" spans="1:72" x14ac:dyDescent="0.15">
      <c r="A2033" t="s">
        <v>98</v>
      </c>
      <c r="B2033" t="s">
        <v>14439</v>
      </c>
      <c r="C2033" t="s">
        <v>74</v>
      </c>
      <c r="D2033" t="s">
        <v>74</v>
      </c>
      <c r="E2033" t="s">
        <v>74</v>
      </c>
      <c r="F2033" t="s">
        <v>14440</v>
      </c>
      <c r="G2033" t="s">
        <v>74</v>
      </c>
      <c r="H2033" t="s">
        <v>74</v>
      </c>
      <c r="I2033" t="s">
        <v>14441</v>
      </c>
      <c r="J2033" t="s">
        <v>3588</v>
      </c>
      <c r="K2033" t="s">
        <v>74</v>
      </c>
      <c r="L2033" t="s">
        <v>74</v>
      </c>
      <c r="M2033" t="s">
        <v>74</v>
      </c>
      <c r="N2033" t="s">
        <v>103</v>
      </c>
      <c r="O2033" t="s">
        <v>74</v>
      </c>
      <c r="P2033" t="s">
        <v>74</v>
      </c>
      <c r="Q2033" t="s">
        <v>74</v>
      </c>
      <c r="R2033" t="s">
        <v>74</v>
      </c>
      <c r="S2033" t="s">
        <v>74</v>
      </c>
      <c r="T2033" t="s">
        <v>14442</v>
      </c>
      <c r="U2033" t="s">
        <v>14443</v>
      </c>
      <c r="V2033" t="s">
        <v>14444</v>
      </c>
      <c r="W2033" t="s">
        <v>14445</v>
      </c>
      <c r="X2033" t="s">
        <v>14446</v>
      </c>
      <c r="Y2033" t="s">
        <v>14447</v>
      </c>
      <c r="Z2033" t="s">
        <v>14448</v>
      </c>
      <c r="AA2033" t="s">
        <v>74</v>
      </c>
      <c r="AB2033" t="s">
        <v>74</v>
      </c>
      <c r="AC2033" t="s">
        <v>74</v>
      </c>
      <c r="AD2033" t="s">
        <v>74</v>
      </c>
      <c r="AE2033" t="s">
        <v>74</v>
      </c>
      <c r="AF2033" t="s">
        <v>74</v>
      </c>
      <c r="AG2033">
        <v>56</v>
      </c>
      <c r="AH2033">
        <v>0</v>
      </c>
      <c r="AI2033">
        <v>0</v>
      </c>
      <c r="AJ2033">
        <v>1</v>
      </c>
      <c r="AK2033">
        <v>1</v>
      </c>
      <c r="AL2033" t="s">
        <v>74</v>
      </c>
      <c r="AM2033" t="s">
        <v>74</v>
      </c>
      <c r="AN2033" t="s">
        <v>74</v>
      </c>
      <c r="AO2033" t="s">
        <v>3596</v>
      </c>
      <c r="AP2033" t="s">
        <v>74</v>
      </c>
      <c r="AQ2033" t="s">
        <v>74</v>
      </c>
      <c r="AR2033" t="s">
        <v>74</v>
      </c>
      <c r="AS2033" t="s">
        <v>74</v>
      </c>
      <c r="AT2033" t="s">
        <v>14449</v>
      </c>
      <c r="AU2033">
        <v>2022</v>
      </c>
      <c r="AV2033">
        <v>13</v>
      </c>
      <c r="AW2033" t="s">
        <v>74</v>
      </c>
      <c r="AX2033" t="s">
        <v>74</v>
      </c>
      <c r="AY2033" t="s">
        <v>74</v>
      </c>
      <c r="AZ2033" t="s">
        <v>74</v>
      </c>
      <c r="BA2033" t="s">
        <v>74</v>
      </c>
      <c r="BB2033" t="s">
        <v>74</v>
      </c>
      <c r="BC2033" t="s">
        <v>74</v>
      </c>
      <c r="BD2033">
        <v>935106</v>
      </c>
      <c r="BE2033" t="s">
        <v>14450</v>
      </c>
      <c r="BF2033" t="str">
        <f>HYPERLINK("http://dx.doi.org/10.3389/fendo.2022.935106","http://dx.doi.org/10.3389/fendo.2022.935106")</f>
        <v>http://dx.doi.org/10.3389/fendo.2022.935106</v>
      </c>
      <c r="BG2033" t="s">
        <v>74</v>
      </c>
      <c r="BH2033" t="s">
        <v>74</v>
      </c>
      <c r="BI2033" t="s">
        <v>74</v>
      </c>
      <c r="BJ2033" t="s">
        <v>3599</v>
      </c>
      <c r="BK2033" t="s">
        <v>117</v>
      </c>
      <c r="BL2033" t="s">
        <v>3599</v>
      </c>
      <c r="BM2033" t="s">
        <v>74</v>
      </c>
      <c r="BN2033">
        <v>35909566</v>
      </c>
      <c r="BO2033" t="s">
        <v>74</v>
      </c>
      <c r="BP2033" t="s">
        <v>74</v>
      </c>
      <c r="BQ2033" t="s">
        <v>74</v>
      </c>
      <c r="BR2033" t="s">
        <v>96</v>
      </c>
      <c r="BS2033" t="s">
        <v>14451</v>
      </c>
      <c r="BT2033" t="str">
        <f>HYPERLINK("https%3A%2F%2Fwww.webofscience.com%2Fwos%2Fwoscc%2Ffull-record%2FWOS:000833825300001","View Full Record in Web of Science")</f>
        <v>View Full Record in Web of Science</v>
      </c>
    </row>
    <row r="2034" spans="1:72" x14ac:dyDescent="0.15">
      <c r="A2034" t="s">
        <v>98</v>
      </c>
      <c r="B2034" t="s">
        <v>14554</v>
      </c>
      <c r="C2034" t="s">
        <v>74</v>
      </c>
      <c r="D2034" t="s">
        <v>74</v>
      </c>
      <c r="E2034" t="s">
        <v>74</v>
      </c>
      <c r="F2034" t="s">
        <v>14555</v>
      </c>
      <c r="G2034" t="s">
        <v>74</v>
      </c>
      <c r="H2034" t="s">
        <v>74</v>
      </c>
      <c r="I2034" t="s">
        <v>14556</v>
      </c>
      <c r="J2034" t="s">
        <v>14557</v>
      </c>
      <c r="K2034" t="s">
        <v>74</v>
      </c>
      <c r="L2034" t="s">
        <v>74</v>
      </c>
      <c r="M2034" t="s">
        <v>74</v>
      </c>
      <c r="N2034" t="s">
        <v>2996</v>
      </c>
      <c r="O2034" t="s">
        <v>74</v>
      </c>
      <c r="P2034" t="s">
        <v>74</v>
      </c>
      <c r="Q2034" t="s">
        <v>74</v>
      </c>
      <c r="R2034" t="s">
        <v>74</v>
      </c>
      <c r="S2034" t="s">
        <v>74</v>
      </c>
      <c r="T2034" t="s">
        <v>14558</v>
      </c>
      <c r="U2034" t="s">
        <v>14559</v>
      </c>
      <c r="V2034" t="s">
        <v>14560</v>
      </c>
      <c r="W2034" t="s">
        <v>14561</v>
      </c>
      <c r="X2034" t="s">
        <v>14562</v>
      </c>
      <c r="Y2034" t="s">
        <v>14563</v>
      </c>
      <c r="Z2034" t="s">
        <v>14564</v>
      </c>
      <c r="AA2034" t="s">
        <v>74</v>
      </c>
      <c r="AB2034" t="s">
        <v>74</v>
      </c>
      <c r="AC2034" t="s">
        <v>74</v>
      </c>
      <c r="AD2034" t="s">
        <v>74</v>
      </c>
      <c r="AE2034" t="s">
        <v>74</v>
      </c>
      <c r="AF2034" t="s">
        <v>74</v>
      </c>
      <c r="AG2034">
        <v>46</v>
      </c>
      <c r="AH2034">
        <v>0</v>
      </c>
      <c r="AI2034">
        <v>0</v>
      </c>
      <c r="AJ2034">
        <v>2</v>
      </c>
      <c r="AK2034">
        <v>2</v>
      </c>
      <c r="AL2034" t="s">
        <v>74</v>
      </c>
      <c r="AM2034" t="s">
        <v>74</v>
      </c>
      <c r="AN2034" t="s">
        <v>74</v>
      </c>
      <c r="AO2034" t="s">
        <v>14565</v>
      </c>
      <c r="AP2034" t="s">
        <v>14566</v>
      </c>
      <c r="AQ2034" t="s">
        <v>74</v>
      </c>
      <c r="AR2034" t="s">
        <v>74</v>
      </c>
      <c r="AS2034" t="s">
        <v>74</v>
      </c>
      <c r="AT2034" t="s">
        <v>74</v>
      </c>
      <c r="AU2034" t="s">
        <v>74</v>
      </c>
      <c r="AV2034" t="s">
        <v>74</v>
      </c>
      <c r="AW2034" t="s">
        <v>74</v>
      </c>
      <c r="AX2034" t="s">
        <v>74</v>
      </c>
      <c r="AY2034" t="s">
        <v>74</v>
      </c>
      <c r="AZ2034" t="s">
        <v>74</v>
      </c>
      <c r="BA2034" t="s">
        <v>74</v>
      </c>
      <c r="BB2034" t="s">
        <v>74</v>
      </c>
      <c r="BC2034" t="s">
        <v>74</v>
      </c>
      <c r="BD2034" t="s">
        <v>74</v>
      </c>
      <c r="BE2034" t="s">
        <v>14567</v>
      </c>
      <c r="BF2034" t="str">
        <f>HYPERLINK("http://dx.doi.org/10.1111/jam.15712","http://dx.doi.org/10.1111/jam.15712")</f>
        <v>http://dx.doi.org/10.1111/jam.15712</v>
      </c>
      <c r="BG2034" t="s">
        <v>74</v>
      </c>
      <c r="BH2034" t="s">
        <v>14114</v>
      </c>
      <c r="BI2034" t="s">
        <v>74</v>
      </c>
      <c r="BJ2034" t="s">
        <v>1464</v>
      </c>
      <c r="BK2034" t="s">
        <v>117</v>
      </c>
      <c r="BL2034" t="s">
        <v>1464</v>
      </c>
      <c r="BM2034" t="s">
        <v>74</v>
      </c>
      <c r="BN2034">
        <v>35818769</v>
      </c>
      <c r="BO2034" t="s">
        <v>74</v>
      </c>
      <c r="BP2034" t="s">
        <v>74</v>
      </c>
      <c r="BQ2034" t="s">
        <v>74</v>
      </c>
      <c r="BR2034" t="s">
        <v>96</v>
      </c>
      <c r="BS2034" t="s">
        <v>14568</v>
      </c>
      <c r="BT2034" t="str">
        <f>HYPERLINK("https%3A%2F%2Fwww.webofscience.com%2Fwos%2Fwoscc%2Ffull-record%2FWOS:000827182100001","View Full Record in Web of Science")</f>
        <v>View Full Record in Web of Science</v>
      </c>
    </row>
    <row r="2035" spans="1:72" x14ac:dyDescent="0.15">
      <c r="A2035" t="s">
        <v>98</v>
      </c>
      <c r="B2035" t="s">
        <v>15051</v>
      </c>
      <c r="C2035" t="s">
        <v>74</v>
      </c>
      <c r="D2035" t="s">
        <v>74</v>
      </c>
      <c r="E2035" t="s">
        <v>74</v>
      </c>
      <c r="F2035" t="s">
        <v>15052</v>
      </c>
      <c r="G2035" t="s">
        <v>74</v>
      </c>
      <c r="H2035" t="s">
        <v>74</v>
      </c>
      <c r="I2035" t="s">
        <v>15053</v>
      </c>
      <c r="J2035" t="s">
        <v>15054</v>
      </c>
      <c r="K2035" t="s">
        <v>74</v>
      </c>
      <c r="L2035" t="s">
        <v>74</v>
      </c>
      <c r="M2035" t="s">
        <v>74</v>
      </c>
      <c r="N2035" t="s">
        <v>103</v>
      </c>
      <c r="O2035" t="s">
        <v>74</v>
      </c>
      <c r="P2035" t="s">
        <v>74</v>
      </c>
      <c r="Q2035" t="s">
        <v>74</v>
      </c>
      <c r="R2035" t="s">
        <v>74</v>
      </c>
      <c r="S2035" t="s">
        <v>74</v>
      </c>
      <c r="T2035" t="s">
        <v>15055</v>
      </c>
      <c r="U2035" t="s">
        <v>15056</v>
      </c>
      <c r="V2035" t="s">
        <v>15057</v>
      </c>
      <c r="W2035" t="s">
        <v>15058</v>
      </c>
      <c r="X2035" t="s">
        <v>15059</v>
      </c>
      <c r="Y2035" t="s">
        <v>15060</v>
      </c>
      <c r="Z2035" t="s">
        <v>15061</v>
      </c>
      <c r="AA2035" t="s">
        <v>74</v>
      </c>
      <c r="AB2035" t="s">
        <v>74</v>
      </c>
      <c r="AC2035" t="s">
        <v>74</v>
      </c>
      <c r="AD2035" t="s">
        <v>74</v>
      </c>
      <c r="AE2035" t="s">
        <v>74</v>
      </c>
      <c r="AF2035" t="s">
        <v>74</v>
      </c>
      <c r="AG2035">
        <v>40</v>
      </c>
      <c r="AH2035">
        <v>0</v>
      </c>
      <c r="AI2035">
        <v>0</v>
      </c>
      <c r="AJ2035">
        <v>5</v>
      </c>
      <c r="AK2035">
        <v>5</v>
      </c>
      <c r="AL2035" t="s">
        <v>74</v>
      </c>
      <c r="AM2035" t="s">
        <v>74</v>
      </c>
      <c r="AN2035" t="s">
        <v>74</v>
      </c>
      <c r="AO2035" t="s">
        <v>74</v>
      </c>
      <c r="AP2035" t="s">
        <v>15062</v>
      </c>
      <c r="AQ2035" t="s">
        <v>74</v>
      </c>
      <c r="AR2035" t="s">
        <v>74</v>
      </c>
      <c r="AS2035" t="s">
        <v>74</v>
      </c>
      <c r="AT2035" t="s">
        <v>74</v>
      </c>
      <c r="AU2035">
        <v>2022</v>
      </c>
      <c r="AV2035">
        <v>11</v>
      </c>
      <c r="AW2035">
        <v>4</v>
      </c>
      <c r="AX2035" t="s">
        <v>74</v>
      </c>
      <c r="AY2035" t="s">
        <v>74</v>
      </c>
      <c r="AZ2035" t="s">
        <v>74</v>
      </c>
      <c r="BA2035" t="s">
        <v>74</v>
      </c>
      <c r="BB2035" t="s">
        <v>74</v>
      </c>
      <c r="BC2035" t="s">
        <v>74</v>
      </c>
      <c r="BD2035" t="s">
        <v>15063</v>
      </c>
      <c r="BE2035" t="s">
        <v>15064</v>
      </c>
      <c r="BF2035" t="str">
        <f>HYPERLINK("http://dx.doi.org/10.1002/cti2.1386","http://dx.doi.org/10.1002/cti2.1386")</f>
        <v>http://dx.doi.org/10.1002/cti2.1386</v>
      </c>
      <c r="BG2035" t="s">
        <v>74</v>
      </c>
      <c r="BH2035" t="s">
        <v>74</v>
      </c>
      <c r="BI2035" t="s">
        <v>74</v>
      </c>
      <c r="BJ2035" t="s">
        <v>2064</v>
      </c>
      <c r="BK2035" t="s">
        <v>117</v>
      </c>
      <c r="BL2035" t="s">
        <v>2064</v>
      </c>
      <c r="BM2035" t="s">
        <v>74</v>
      </c>
      <c r="BN2035">
        <v>35474906</v>
      </c>
      <c r="BO2035" t="s">
        <v>74</v>
      </c>
      <c r="BP2035" t="s">
        <v>74</v>
      </c>
      <c r="BQ2035" t="s">
        <v>74</v>
      </c>
      <c r="BR2035" t="s">
        <v>96</v>
      </c>
      <c r="BS2035" t="s">
        <v>15065</v>
      </c>
      <c r="BT2035" t="str">
        <f>HYPERLINK("https%3A%2F%2Fwww.webofscience.com%2Fwos%2Fwoscc%2Ffull-record%2FWOS:000784080300001","View Full Record in Web of Science")</f>
        <v>View Full Record in Web of Science</v>
      </c>
    </row>
    <row r="2036" spans="1:72" x14ac:dyDescent="0.15">
      <c r="A2036" t="s">
        <v>98</v>
      </c>
      <c r="B2036" t="s">
        <v>15311</v>
      </c>
      <c r="C2036" t="s">
        <v>74</v>
      </c>
      <c r="D2036" t="s">
        <v>74</v>
      </c>
      <c r="E2036" t="s">
        <v>74</v>
      </c>
      <c r="F2036" t="s">
        <v>15312</v>
      </c>
      <c r="G2036" t="s">
        <v>74</v>
      </c>
      <c r="H2036" t="s">
        <v>74</v>
      </c>
      <c r="I2036" t="s">
        <v>15313</v>
      </c>
      <c r="J2036" t="s">
        <v>2833</v>
      </c>
      <c r="K2036" t="s">
        <v>74</v>
      </c>
      <c r="L2036" t="s">
        <v>74</v>
      </c>
      <c r="M2036" t="s">
        <v>74</v>
      </c>
      <c r="N2036" t="s">
        <v>103</v>
      </c>
      <c r="O2036" t="s">
        <v>74</v>
      </c>
      <c r="P2036" t="s">
        <v>74</v>
      </c>
      <c r="Q2036" t="s">
        <v>74</v>
      </c>
      <c r="R2036" t="s">
        <v>74</v>
      </c>
      <c r="S2036" t="s">
        <v>74</v>
      </c>
      <c r="T2036" t="s">
        <v>15314</v>
      </c>
      <c r="U2036" t="s">
        <v>15315</v>
      </c>
      <c r="V2036" t="s">
        <v>15316</v>
      </c>
      <c r="W2036" t="s">
        <v>15317</v>
      </c>
      <c r="X2036" t="s">
        <v>15318</v>
      </c>
      <c r="Y2036" t="s">
        <v>15319</v>
      </c>
      <c r="Z2036" t="s">
        <v>15320</v>
      </c>
      <c r="AA2036" t="s">
        <v>74</v>
      </c>
      <c r="AB2036" t="s">
        <v>15321</v>
      </c>
      <c r="AC2036" t="s">
        <v>74</v>
      </c>
      <c r="AD2036" t="s">
        <v>74</v>
      </c>
      <c r="AE2036" t="s">
        <v>74</v>
      </c>
      <c r="AF2036" t="s">
        <v>74</v>
      </c>
      <c r="AG2036">
        <v>33</v>
      </c>
      <c r="AH2036">
        <v>0</v>
      </c>
      <c r="AI2036">
        <v>0</v>
      </c>
      <c r="AJ2036">
        <v>2</v>
      </c>
      <c r="AK2036">
        <v>3</v>
      </c>
      <c r="AL2036" t="s">
        <v>74</v>
      </c>
      <c r="AM2036" t="s">
        <v>74</v>
      </c>
      <c r="AN2036" t="s">
        <v>74</v>
      </c>
      <c r="AO2036" t="s">
        <v>2841</v>
      </c>
      <c r="AP2036" t="s">
        <v>2842</v>
      </c>
      <c r="AQ2036" t="s">
        <v>74</v>
      </c>
      <c r="AR2036" t="s">
        <v>74</v>
      </c>
      <c r="AS2036" t="s">
        <v>74</v>
      </c>
      <c r="AT2036" t="s">
        <v>3057</v>
      </c>
      <c r="AU2036">
        <v>2022</v>
      </c>
      <c r="AV2036">
        <v>594</v>
      </c>
      <c r="AW2036" t="s">
        <v>74</v>
      </c>
      <c r="AX2036" t="s">
        <v>74</v>
      </c>
      <c r="AY2036" t="s">
        <v>74</v>
      </c>
      <c r="AZ2036" t="s">
        <v>74</v>
      </c>
      <c r="BA2036" t="s">
        <v>74</v>
      </c>
      <c r="BB2036">
        <v>109</v>
      </c>
      <c r="BC2036">
        <v>116</v>
      </c>
      <c r="BD2036" t="s">
        <v>74</v>
      </c>
      <c r="BE2036" t="s">
        <v>15322</v>
      </c>
      <c r="BF2036" t="str">
        <f>HYPERLINK("http://dx.doi.org/10.1016/j.bbrc.2022.01.065","http://dx.doi.org/10.1016/j.bbrc.2022.01.065")</f>
        <v>http://dx.doi.org/10.1016/j.bbrc.2022.01.065</v>
      </c>
      <c r="BG2036" t="s">
        <v>74</v>
      </c>
      <c r="BH2036" t="s">
        <v>74</v>
      </c>
      <c r="BI2036" t="s">
        <v>74</v>
      </c>
      <c r="BJ2036" t="s">
        <v>2845</v>
      </c>
      <c r="BK2036" t="s">
        <v>117</v>
      </c>
      <c r="BL2036" t="s">
        <v>2845</v>
      </c>
      <c r="BM2036" t="s">
        <v>74</v>
      </c>
      <c r="BN2036">
        <v>35081499</v>
      </c>
      <c r="BO2036" t="s">
        <v>74</v>
      </c>
      <c r="BP2036" t="s">
        <v>74</v>
      </c>
      <c r="BQ2036" t="s">
        <v>74</v>
      </c>
      <c r="BR2036" t="s">
        <v>96</v>
      </c>
      <c r="BS2036" t="s">
        <v>15323</v>
      </c>
      <c r="BT2036" t="str">
        <f>HYPERLINK("https%3A%2F%2Fwww.webofscience.com%2Fwos%2Fwoscc%2Ffull-record%2FWOS:000748425600010","View Full Record in Web of Science")</f>
        <v>View Full Record in Web of Science</v>
      </c>
    </row>
    <row r="2037" spans="1:72" x14ac:dyDescent="0.15">
      <c r="A2037" t="s">
        <v>98</v>
      </c>
      <c r="B2037" t="s">
        <v>15517</v>
      </c>
      <c r="C2037" t="s">
        <v>74</v>
      </c>
      <c r="D2037" t="s">
        <v>74</v>
      </c>
      <c r="E2037" t="s">
        <v>74</v>
      </c>
      <c r="F2037" t="s">
        <v>15518</v>
      </c>
      <c r="G2037" t="s">
        <v>74</v>
      </c>
      <c r="H2037" t="s">
        <v>74</v>
      </c>
      <c r="I2037" t="s">
        <v>15519</v>
      </c>
      <c r="J2037" t="s">
        <v>8705</v>
      </c>
      <c r="K2037" t="s">
        <v>74</v>
      </c>
      <c r="L2037" t="s">
        <v>74</v>
      </c>
      <c r="M2037" t="s">
        <v>74</v>
      </c>
      <c r="N2037" t="s">
        <v>103</v>
      </c>
      <c r="O2037" t="s">
        <v>74</v>
      </c>
      <c r="P2037" t="s">
        <v>74</v>
      </c>
      <c r="Q2037" t="s">
        <v>74</v>
      </c>
      <c r="R2037" t="s">
        <v>74</v>
      </c>
      <c r="S2037" t="s">
        <v>74</v>
      </c>
      <c r="T2037" t="s">
        <v>15520</v>
      </c>
      <c r="U2037" t="s">
        <v>15521</v>
      </c>
      <c r="V2037" t="s">
        <v>15522</v>
      </c>
      <c r="W2037" t="s">
        <v>15523</v>
      </c>
      <c r="X2037" t="s">
        <v>15524</v>
      </c>
      <c r="Y2037" t="s">
        <v>15525</v>
      </c>
      <c r="Z2037" t="s">
        <v>15526</v>
      </c>
      <c r="AA2037" t="s">
        <v>74</v>
      </c>
      <c r="AB2037" t="s">
        <v>74</v>
      </c>
      <c r="AC2037" t="s">
        <v>74</v>
      </c>
      <c r="AD2037" t="s">
        <v>74</v>
      </c>
      <c r="AE2037" t="s">
        <v>74</v>
      </c>
      <c r="AF2037" t="s">
        <v>74</v>
      </c>
      <c r="AG2037">
        <v>45</v>
      </c>
      <c r="AH2037">
        <v>0</v>
      </c>
      <c r="AI2037">
        <v>0</v>
      </c>
      <c r="AJ2037">
        <v>3</v>
      </c>
      <c r="AK2037">
        <v>3</v>
      </c>
      <c r="AL2037" t="s">
        <v>74</v>
      </c>
      <c r="AM2037" t="s">
        <v>74</v>
      </c>
      <c r="AN2037" t="s">
        <v>74</v>
      </c>
      <c r="AO2037" t="s">
        <v>8713</v>
      </c>
      <c r="AP2037" t="s">
        <v>8714</v>
      </c>
      <c r="AQ2037" t="s">
        <v>74</v>
      </c>
      <c r="AR2037" t="s">
        <v>74</v>
      </c>
      <c r="AS2037" t="s">
        <v>74</v>
      </c>
      <c r="AT2037" t="s">
        <v>132</v>
      </c>
      <c r="AU2037">
        <v>2022</v>
      </c>
      <c r="AV2037">
        <v>59</v>
      </c>
      <c r="AW2037">
        <v>4</v>
      </c>
      <c r="AX2037" t="s">
        <v>74</v>
      </c>
      <c r="AY2037" t="s">
        <v>74</v>
      </c>
      <c r="AZ2037" t="s">
        <v>74</v>
      </c>
      <c r="BA2037" t="s">
        <v>74</v>
      </c>
      <c r="BB2037">
        <v>2520</v>
      </c>
      <c r="BC2037">
        <v>2531</v>
      </c>
      <c r="BD2037" t="s">
        <v>74</v>
      </c>
      <c r="BE2037" t="s">
        <v>15527</v>
      </c>
      <c r="BF2037" t="str">
        <f>HYPERLINK("http://dx.doi.org/10.1007/s12035-021-02714-1","http://dx.doi.org/10.1007/s12035-021-02714-1")</f>
        <v>http://dx.doi.org/10.1007/s12035-021-02714-1</v>
      </c>
      <c r="BG2037" t="s">
        <v>74</v>
      </c>
      <c r="BH2037" t="s">
        <v>5553</v>
      </c>
      <c r="BI2037" t="s">
        <v>74</v>
      </c>
      <c r="BJ2037" t="s">
        <v>652</v>
      </c>
      <c r="BK2037" t="s">
        <v>117</v>
      </c>
      <c r="BL2037" t="s">
        <v>653</v>
      </c>
      <c r="BM2037" t="s">
        <v>74</v>
      </c>
      <c r="BN2037">
        <v>35092573</v>
      </c>
      <c r="BO2037" t="s">
        <v>74</v>
      </c>
      <c r="BP2037" t="s">
        <v>74</v>
      </c>
      <c r="BQ2037" t="s">
        <v>74</v>
      </c>
      <c r="BR2037" t="s">
        <v>96</v>
      </c>
      <c r="BS2037" t="s">
        <v>15528</v>
      </c>
      <c r="BT2037" t="str">
        <f>HYPERLINK("https%3A%2F%2Fwww.webofscience.com%2Fwos%2Fwoscc%2Ffull-record%2FWOS:000749152400001","View Full Record in Web of Science")</f>
        <v>View Full Record in Web of Science</v>
      </c>
    </row>
    <row r="2038" spans="1:72" x14ac:dyDescent="0.15">
      <c r="A2038" t="s">
        <v>98</v>
      </c>
      <c r="B2038" t="s">
        <v>15629</v>
      </c>
      <c r="C2038" t="s">
        <v>74</v>
      </c>
      <c r="D2038" t="s">
        <v>74</v>
      </c>
      <c r="E2038" t="s">
        <v>74</v>
      </c>
      <c r="F2038" t="s">
        <v>15630</v>
      </c>
      <c r="G2038" t="s">
        <v>74</v>
      </c>
      <c r="H2038" t="s">
        <v>74</v>
      </c>
      <c r="I2038" t="s">
        <v>15631</v>
      </c>
      <c r="J2038" t="s">
        <v>15632</v>
      </c>
      <c r="K2038" t="s">
        <v>74</v>
      </c>
      <c r="L2038" t="s">
        <v>74</v>
      </c>
      <c r="M2038" t="s">
        <v>74</v>
      </c>
      <c r="N2038" t="s">
        <v>103</v>
      </c>
      <c r="O2038" t="s">
        <v>74</v>
      </c>
      <c r="P2038" t="s">
        <v>74</v>
      </c>
      <c r="Q2038" t="s">
        <v>74</v>
      </c>
      <c r="R2038" t="s">
        <v>74</v>
      </c>
      <c r="S2038" t="s">
        <v>74</v>
      </c>
      <c r="T2038" t="s">
        <v>15633</v>
      </c>
      <c r="U2038" t="s">
        <v>15634</v>
      </c>
      <c r="V2038" t="s">
        <v>15635</v>
      </c>
      <c r="W2038" t="s">
        <v>15636</v>
      </c>
      <c r="X2038" t="s">
        <v>15637</v>
      </c>
      <c r="Y2038" t="s">
        <v>15638</v>
      </c>
      <c r="Z2038" t="s">
        <v>15639</v>
      </c>
      <c r="AA2038" t="s">
        <v>15640</v>
      </c>
      <c r="AB2038" t="s">
        <v>74</v>
      </c>
      <c r="AC2038" t="s">
        <v>74</v>
      </c>
      <c r="AD2038" t="s">
        <v>74</v>
      </c>
      <c r="AE2038" t="s">
        <v>74</v>
      </c>
      <c r="AF2038" t="s">
        <v>74</v>
      </c>
      <c r="AG2038">
        <v>20</v>
      </c>
      <c r="AH2038">
        <v>0</v>
      </c>
      <c r="AI2038">
        <v>0</v>
      </c>
      <c r="AJ2038">
        <v>0</v>
      </c>
      <c r="AK2038">
        <v>2</v>
      </c>
      <c r="AL2038" t="s">
        <v>74</v>
      </c>
      <c r="AM2038" t="s">
        <v>74</v>
      </c>
      <c r="AN2038" t="s">
        <v>74</v>
      </c>
      <c r="AO2038" t="s">
        <v>15641</v>
      </c>
      <c r="AP2038" t="s">
        <v>15642</v>
      </c>
      <c r="AQ2038" t="s">
        <v>74</v>
      </c>
      <c r="AR2038" t="s">
        <v>74</v>
      </c>
      <c r="AS2038" t="s">
        <v>74</v>
      </c>
      <c r="AT2038" t="s">
        <v>74</v>
      </c>
      <c r="AU2038">
        <v>2017</v>
      </c>
      <c r="AV2038">
        <v>6</v>
      </c>
      <c r="AW2038">
        <v>2</v>
      </c>
      <c r="AX2038" t="s">
        <v>74</v>
      </c>
      <c r="AY2038" t="s">
        <v>74</v>
      </c>
      <c r="AZ2038" t="s">
        <v>74</v>
      </c>
      <c r="BA2038" t="s">
        <v>74</v>
      </c>
      <c r="BB2038">
        <v>381</v>
      </c>
      <c r="BC2038">
        <v>384</v>
      </c>
      <c r="BD2038" t="s">
        <v>74</v>
      </c>
      <c r="BE2038" t="s">
        <v>15643</v>
      </c>
      <c r="BF2038" t="str">
        <f>HYPERLINK("http://dx.doi.org/10.15562/bmj.v6i2.476","http://dx.doi.org/10.15562/bmj.v6i2.476")</f>
        <v>http://dx.doi.org/10.15562/bmj.v6i2.476</v>
      </c>
      <c r="BG2038" t="s">
        <v>74</v>
      </c>
      <c r="BH2038" t="s">
        <v>74</v>
      </c>
      <c r="BI2038" t="s">
        <v>74</v>
      </c>
      <c r="BJ2038" t="s">
        <v>2564</v>
      </c>
      <c r="BK2038" t="s">
        <v>467</v>
      </c>
      <c r="BL2038" t="s">
        <v>2565</v>
      </c>
      <c r="BM2038" t="s">
        <v>74</v>
      </c>
      <c r="BN2038" t="s">
        <v>74</v>
      </c>
      <c r="BO2038" t="s">
        <v>74</v>
      </c>
      <c r="BP2038" t="s">
        <v>74</v>
      </c>
      <c r="BQ2038" t="s">
        <v>74</v>
      </c>
      <c r="BR2038" t="s">
        <v>96</v>
      </c>
      <c r="BS2038" t="s">
        <v>15644</v>
      </c>
      <c r="BT2038" t="str">
        <f>HYPERLINK("https%3A%2F%2Fwww.webofscience.com%2Fwos%2Fwoscc%2Ffull-record%2FWOS:000411808300029","View Full Record in Web of Science")</f>
        <v>View Full Record in Web of Science</v>
      </c>
    </row>
    <row r="2039" spans="1:72" x14ac:dyDescent="0.15">
      <c r="A2039" t="s">
        <v>98</v>
      </c>
      <c r="B2039" t="s">
        <v>15645</v>
      </c>
      <c r="C2039" t="s">
        <v>74</v>
      </c>
      <c r="D2039" t="s">
        <v>74</v>
      </c>
      <c r="E2039" t="s">
        <v>74</v>
      </c>
      <c r="F2039" t="s">
        <v>15646</v>
      </c>
      <c r="G2039" t="s">
        <v>74</v>
      </c>
      <c r="H2039" t="s">
        <v>74</v>
      </c>
      <c r="I2039" t="s">
        <v>15647</v>
      </c>
      <c r="J2039" t="s">
        <v>7962</v>
      </c>
      <c r="K2039" t="s">
        <v>74</v>
      </c>
      <c r="L2039" t="s">
        <v>74</v>
      </c>
      <c r="M2039" t="s">
        <v>74</v>
      </c>
      <c r="N2039" t="s">
        <v>103</v>
      </c>
      <c r="O2039" t="s">
        <v>74</v>
      </c>
      <c r="P2039" t="s">
        <v>74</v>
      </c>
      <c r="Q2039" t="s">
        <v>74</v>
      </c>
      <c r="R2039" t="s">
        <v>74</v>
      </c>
      <c r="S2039" t="s">
        <v>74</v>
      </c>
      <c r="T2039" t="s">
        <v>74</v>
      </c>
      <c r="U2039" t="s">
        <v>15648</v>
      </c>
      <c r="V2039" t="s">
        <v>15649</v>
      </c>
      <c r="W2039" t="s">
        <v>15650</v>
      </c>
      <c r="X2039" t="s">
        <v>15651</v>
      </c>
      <c r="Y2039" t="s">
        <v>15652</v>
      </c>
      <c r="Z2039" t="s">
        <v>15653</v>
      </c>
      <c r="AA2039" t="s">
        <v>74</v>
      </c>
      <c r="AB2039" t="s">
        <v>74</v>
      </c>
      <c r="AC2039" t="s">
        <v>74</v>
      </c>
      <c r="AD2039" t="s">
        <v>74</v>
      </c>
      <c r="AE2039" t="s">
        <v>74</v>
      </c>
      <c r="AF2039" t="s">
        <v>74</v>
      </c>
      <c r="AG2039">
        <v>63</v>
      </c>
      <c r="AH2039">
        <v>0</v>
      </c>
      <c r="AI2039">
        <v>0</v>
      </c>
      <c r="AJ2039">
        <v>0</v>
      </c>
      <c r="AK2039">
        <v>0</v>
      </c>
      <c r="AL2039" t="s">
        <v>74</v>
      </c>
      <c r="AM2039" t="s">
        <v>74</v>
      </c>
      <c r="AN2039" t="s">
        <v>74</v>
      </c>
      <c r="AO2039" t="s">
        <v>74</v>
      </c>
      <c r="AP2039" t="s">
        <v>7970</v>
      </c>
      <c r="AQ2039" t="s">
        <v>74</v>
      </c>
      <c r="AR2039" t="s">
        <v>74</v>
      </c>
      <c r="AS2039" t="s">
        <v>74</v>
      </c>
      <c r="AT2039" t="s">
        <v>549</v>
      </c>
      <c r="AU2039">
        <v>2022</v>
      </c>
      <c r="AV2039">
        <v>5</v>
      </c>
      <c r="AW2039">
        <v>1</v>
      </c>
      <c r="AX2039" t="s">
        <v>74</v>
      </c>
      <c r="AY2039" t="s">
        <v>74</v>
      </c>
      <c r="AZ2039" t="s">
        <v>74</v>
      </c>
      <c r="BA2039" t="s">
        <v>74</v>
      </c>
      <c r="BB2039" t="s">
        <v>74</v>
      </c>
      <c r="BC2039" t="s">
        <v>74</v>
      </c>
      <c r="BD2039">
        <v>648</v>
      </c>
      <c r="BE2039" t="s">
        <v>15654</v>
      </c>
      <c r="BF2039" t="str">
        <f>HYPERLINK("http://dx.doi.org/10.1038/s42003-022-03614-3","http://dx.doi.org/10.1038/s42003-022-03614-3")</f>
        <v>http://dx.doi.org/10.1038/s42003-022-03614-3</v>
      </c>
      <c r="BG2039" t="s">
        <v>74</v>
      </c>
      <c r="BH2039" t="s">
        <v>74</v>
      </c>
      <c r="BI2039" t="s">
        <v>74</v>
      </c>
      <c r="BJ2039" t="s">
        <v>7972</v>
      </c>
      <c r="BK2039" t="s">
        <v>117</v>
      </c>
      <c r="BL2039" t="s">
        <v>7973</v>
      </c>
      <c r="BM2039" t="s">
        <v>74</v>
      </c>
      <c r="BN2039">
        <v>35778435</v>
      </c>
      <c r="BO2039" t="s">
        <v>74</v>
      </c>
      <c r="BP2039" t="s">
        <v>74</v>
      </c>
      <c r="BQ2039" t="s">
        <v>74</v>
      </c>
      <c r="BR2039" t="s">
        <v>96</v>
      </c>
      <c r="BS2039" t="s">
        <v>15655</v>
      </c>
      <c r="BT2039" t="str">
        <f>HYPERLINK("https%3A%2F%2Fwww.webofscience.com%2Fwos%2Fwoscc%2Ffull-record%2FWOS:000819811400004","View Full Record in Web of Science")</f>
        <v>View Full Record in Web of Science</v>
      </c>
    </row>
    <row r="2040" spans="1:72" x14ac:dyDescent="0.15">
      <c r="A2040" t="s">
        <v>98</v>
      </c>
      <c r="B2040" t="s">
        <v>15899</v>
      </c>
      <c r="C2040" t="s">
        <v>74</v>
      </c>
      <c r="D2040" t="s">
        <v>74</v>
      </c>
      <c r="E2040" t="s">
        <v>74</v>
      </c>
      <c r="F2040" t="s">
        <v>15900</v>
      </c>
      <c r="G2040" t="s">
        <v>74</v>
      </c>
      <c r="H2040" t="s">
        <v>74</v>
      </c>
      <c r="I2040" t="s">
        <v>15901</v>
      </c>
      <c r="J2040" t="s">
        <v>8597</v>
      </c>
      <c r="K2040" t="s">
        <v>74</v>
      </c>
      <c r="L2040" t="s">
        <v>74</v>
      </c>
      <c r="M2040" t="s">
        <v>74</v>
      </c>
      <c r="N2040" t="s">
        <v>103</v>
      </c>
      <c r="O2040" t="s">
        <v>74</v>
      </c>
      <c r="P2040" t="s">
        <v>74</v>
      </c>
      <c r="Q2040" t="s">
        <v>74</v>
      </c>
      <c r="R2040" t="s">
        <v>74</v>
      </c>
      <c r="S2040" t="s">
        <v>74</v>
      </c>
      <c r="T2040" t="s">
        <v>15902</v>
      </c>
      <c r="U2040" t="s">
        <v>15903</v>
      </c>
      <c r="V2040" t="s">
        <v>15904</v>
      </c>
      <c r="W2040" t="s">
        <v>15905</v>
      </c>
      <c r="X2040" t="s">
        <v>15906</v>
      </c>
      <c r="Y2040" t="s">
        <v>15907</v>
      </c>
      <c r="Z2040" t="s">
        <v>15908</v>
      </c>
      <c r="AA2040" t="s">
        <v>74</v>
      </c>
      <c r="AB2040" t="s">
        <v>15909</v>
      </c>
      <c r="AC2040" t="s">
        <v>74</v>
      </c>
      <c r="AD2040" t="s">
        <v>74</v>
      </c>
      <c r="AE2040" t="s">
        <v>74</v>
      </c>
      <c r="AF2040" t="s">
        <v>74</v>
      </c>
      <c r="AG2040">
        <v>64</v>
      </c>
      <c r="AH2040">
        <v>0</v>
      </c>
      <c r="AI2040">
        <v>0</v>
      </c>
      <c r="AJ2040">
        <v>2</v>
      </c>
      <c r="AK2040">
        <v>2</v>
      </c>
      <c r="AL2040" t="s">
        <v>74</v>
      </c>
      <c r="AM2040" t="s">
        <v>74</v>
      </c>
      <c r="AN2040" t="s">
        <v>74</v>
      </c>
      <c r="AO2040" t="s">
        <v>74</v>
      </c>
      <c r="AP2040" t="s">
        <v>8607</v>
      </c>
      <c r="AQ2040" t="s">
        <v>74</v>
      </c>
      <c r="AR2040" t="s">
        <v>74</v>
      </c>
      <c r="AS2040" t="s">
        <v>74</v>
      </c>
      <c r="AT2040" t="s">
        <v>3660</v>
      </c>
      <c r="AU2040">
        <v>2022</v>
      </c>
      <c r="AV2040">
        <v>11</v>
      </c>
      <c r="AW2040">
        <v>4</v>
      </c>
      <c r="AX2040" t="s">
        <v>74</v>
      </c>
      <c r="AY2040" t="s">
        <v>74</v>
      </c>
      <c r="AZ2040" t="s">
        <v>74</v>
      </c>
      <c r="BA2040" t="s">
        <v>74</v>
      </c>
      <c r="BB2040" t="s">
        <v>74</v>
      </c>
      <c r="BC2040" t="s">
        <v>74</v>
      </c>
      <c r="BD2040" t="s">
        <v>15910</v>
      </c>
      <c r="BE2040" t="s">
        <v>15911</v>
      </c>
      <c r="BF2040" t="str">
        <f>HYPERLINK("http://dx.doi.org/10.1161/JAHA.121.024561","http://dx.doi.org/10.1161/JAHA.121.024561")</f>
        <v>http://dx.doi.org/10.1161/JAHA.121.024561</v>
      </c>
      <c r="BG2040" t="s">
        <v>74</v>
      </c>
      <c r="BH2040" t="s">
        <v>74</v>
      </c>
      <c r="BI2040" t="s">
        <v>74</v>
      </c>
      <c r="BJ2040" t="s">
        <v>3811</v>
      </c>
      <c r="BK2040" t="s">
        <v>117</v>
      </c>
      <c r="BL2040" t="s">
        <v>3812</v>
      </c>
      <c r="BM2040" t="s">
        <v>74</v>
      </c>
      <c r="BN2040">
        <v>35112881</v>
      </c>
      <c r="BO2040" t="s">
        <v>74</v>
      </c>
      <c r="BP2040" t="s">
        <v>74</v>
      </c>
      <c r="BQ2040" t="s">
        <v>74</v>
      </c>
      <c r="BR2040" t="s">
        <v>96</v>
      </c>
      <c r="BS2040" t="s">
        <v>15912</v>
      </c>
      <c r="BT2040" t="str">
        <f>HYPERLINK("https%3A%2F%2Fwww.webofscience.com%2Fwos%2Fwoscc%2Ffull-record%2FWOS:000755152900002","View Full Record in Web of Science")</f>
        <v>View Full Record in Web of Science</v>
      </c>
    </row>
    <row r="2041" spans="1:72" x14ac:dyDescent="0.15">
      <c r="A2041" t="s">
        <v>98</v>
      </c>
      <c r="B2041" t="s">
        <v>15940</v>
      </c>
      <c r="C2041" t="s">
        <v>74</v>
      </c>
      <c r="D2041" t="s">
        <v>74</v>
      </c>
      <c r="E2041" t="s">
        <v>74</v>
      </c>
      <c r="F2041" t="s">
        <v>15941</v>
      </c>
      <c r="G2041" t="s">
        <v>74</v>
      </c>
      <c r="H2041" t="s">
        <v>74</v>
      </c>
      <c r="I2041" t="s">
        <v>15942</v>
      </c>
      <c r="J2041" t="s">
        <v>1860</v>
      </c>
      <c r="K2041" t="s">
        <v>74</v>
      </c>
      <c r="L2041" t="s">
        <v>74</v>
      </c>
      <c r="M2041" t="s">
        <v>74</v>
      </c>
      <c r="N2041" t="s">
        <v>103</v>
      </c>
      <c r="O2041" t="s">
        <v>74</v>
      </c>
      <c r="P2041" t="s">
        <v>74</v>
      </c>
      <c r="Q2041" t="s">
        <v>74</v>
      </c>
      <c r="R2041" t="s">
        <v>74</v>
      </c>
      <c r="S2041" t="s">
        <v>74</v>
      </c>
      <c r="T2041" t="s">
        <v>15943</v>
      </c>
      <c r="U2041" t="s">
        <v>15944</v>
      </c>
      <c r="V2041" t="s">
        <v>15945</v>
      </c>
      <c r="W2041" t="s">
        <v>15946</v>
      </c>
      <c r="X2041" t="s">
        <v>15446</v>
      </c>
      <c r="Y2041" t="s">
        <v>15947</v>
      </c>
      <c r="Z2041" t="s">
        <v>15948</v>
      </c>
      <c r="AA2041" t="s">
        <v>74</v>
      </c>
      <c r="AB2041" t="s">
        <v>74</v>
      </c>
      <c r="AC2041" t="s">
        <v>74</v>
      </c>
      <c r="AD2041" t="s">
        <v>74</v>
      </c>
      <c r="AE2041" t="s">
        <v>74</v>
      </c>
      <c r="AF2041" t="s">
        <v>74</v>
      </c>
      <c r="AG2041">
        <v>44</v>
      </c>
      <c r="AH2041">
        <v>0</v>
      </c>
      <c r="AI2041">
        <v>0</v>
      </c>
      <c r="AJ2041">
        <v>27</v>
      </c>
      <c r="AK2041">
        <v>27</v>
      </c>
      <c r="AL2041" t="s">
        <v>74</v>
      </c>
      <c r="AM2041" t="s">
        <v>74</v>
      </c>
      <c r="AN2041" t="s">
        <v>74</v>
      </c>
      <c r="AO2041" t="s">
        <v>1870</v>
      </c>
      <c r="AP2041" t="s">
        <v>1871</v>
      </c>
      <c r="AQ2041" t="s">
        <v>74</v>
      </c>
      <c r="AR2041" t="s">
        <v>74</v>
      </c>
      <c r="AS2041" t="s">
        <v>74</v>
      </c>
      <c r="AT2041" t="s">
        <v>2906</v>
      </c>
      <c r="AU2041">
        <v>2022</v>
      </c>
      <c r="AV2041">
        <v>1212</v>
      </c>
      <c r="AW2041" t="s">
        <v>74</v>
      </c>
      <c r="AX2041" t="s">
        <v>74</v>
      </c>
      <c r="AY2041" t="s">
        <v>74</v>
      </c>
      <c r="AZ2041" t="s">
        <v>74</v>
      </c>
      <c r="BA2041" t="s">
        <v>74</v>
      </c>
      <c r="BB2041" t="s">
        <v>74</v>
      </c>
      <c r="BC2041" t="s">
        <v>74</v>
      </c>
      <c r="BD2041">
        <v>339938</v>
      </c>
      <c r="BE2041" t="s">
        <v>15949</v>
      </c>
      <c r="BF2041" t="str">
        <f>HYPERLINK("http://dx.doi.org/10.1016/j.aca.2022.339938","http://dx.doi.org/10.1016/j.aca.2022.339938")</f>
        <v>http://dx.doi.org/10.1016/j.aca.2022.339938</v>
      </c>
      <c r="BG2041" t="s">
        <v>74</v>
      </c>
      <c r="BH2041" t="s">
        <v>74</v>
      </c>
      <c r="BI2041" t="s">
        <v>74</v>
      </c>
      <c r="BJ2041" t="s">
        <v>1118</v>
      </c>
      <c r="BK2041" t="s">
        <v>117</v>
      </c>
      <c r="BL2041" t="s">
        <v>1048</v>
      </c>
      <c r="BM2041" t="s">
        <v>74</v>
      </c>
      <c r="BN2041">
        <v>35623789</v>
      </c>
      <c r="BO2041" t="s">
        <v>74</v>
      </c>
      <c r="BP2041" t="s">
        <v>74</v>
      </c>
      <c r="BQ2041" t="s">
        <v>74</v>
      </c>
      <c r="BR2041" t="s">
        <v>96</v>
      </c>
      <c r="BS2041" t="s">
        <v>15950</v>
      </c>
      <c r="BT2041" t="str">
        <f>HYPERLINK("https%3A%2F%2Fwww.webofscience.com%2Fwos%2Fwoscc%2Ffull-record%2FWOS:000808280900005","View Full Record in Web of Science")</f>
        <v>View Full Record in Web of Science</v>
      </c>
    </row>
    <row r="2042" spans="1:72" x14ac:dyDescent="0.15">
      <c r="A2042" t="s">
        <v>98</v>
      </c>
      <c r="B2042" t="s">
        <v>16100</v>
      </c>
      <c r="C2042" t="s">
        <v>74</v>
      </c>
      <c r="D2042" t="s">
        <v>74</v>
      </c>
      <c r="E2042" t="s">
        <v>74</v>
      </c>
      <c r="F2042" t="s">
        <v>16101</v>
      </c>
      <c r="G2042" t="s">
        <v>74</v>
      </c>
      <c r="H2042" t="s">
        <v>74</v>
      </c>
      <c r="I2042" t="s">
        <v>16102</v>
      </c>
      <c r="J2042" t="s">
        <v>16103</v>
      </c>
      <c r="K2042" t="s">
        <v>74</v>
      </c>
      <c r="L2042" t="s">
        <v>74</v>
      </c>
      <c r="M2042" t="s">
        <v>74</v>
      </c>
      <c r="N2042" t="s">
        <v>103</v>
      </c>
      <c r="O2042" t="s">
        <v>74</v>
      </c>
      <c r="P2042" t="s">
        <v>74</v>
      </c>
      <c r="Q2042" t="s">
        <v>74</v>
      </c>
      <c r="R2042" t="s">
        <v>74</v>
      </c>
      <c r="S2042" t="s">
        <v>74</v>
      </c>
      <c r="T2042" t="s">
        <v>74</v>
      </c>
      <c r="U2042" t="s">
        <v>16104</v>
      </c>
      <c r="V2042" t="s">
        <v>16105</v>
      </c>
      <c r="W2042" t="s">
        <v>16106</v>
      </c>
      <c r="X2042" t="s">
        <v>16107</v>
      </c>
      <c r="Y2042" t="s">
        <v>16108</v>
      </c>
      <c r="Z2042" t="s">
        <v>16109</v>
      </c>
      <c r="AA2042" t="s">
        <v>74</v>
      </c>
      <c r="AB2042" t="s">
        <v>74</v>
      </c>
      <c r="AC2042" t="s">
        <v>74</v>
      </c>
      <c r="AD2042" t="s">
        <v>74</v>
      </c>
      <c r="AE2042" t="s">
        <v>74</v>
      </c>
      <c r="AF2042" t="s">
        <v>74</v>
      </c>
      <c r="AG2042">
        <v>31</v>
      </c>
      <c r="AH2042">
        <v>0</v>
      </c>
      <c r="AI2042">
        <v>0</v>
      </c>
      <c r="AJ2042">
        <v>22</v>
      </c>
      <c r="AK2042">
        <v>22</v>
      </c>
      <c r="AL2042" t="s">
        <v>74</v>
      </c>
      <c r="AM2042" t="s">
        <v>74</v>
      </c>
      <c r="AN2042" t="s">
        <v>74</v>
      </c>
      <c r="AO2042" t="s">
        <v>74</v>
      </c>
      <c r="AP2042" t="s">
        <v>16110</v>
      </c>
      <c r="AQ2042" t="s">
        <v>74</v>
      </c>
      <c r="AR2042" t="s">
        <v>74</v>
      </c>
      <c r="AS2042" t="s">
        <v>74</v>
      </c>
      <c r="AT2042" t="s">
        <v>12619</v>
      </c>
      <c r="AU2042">
        <v>2022</v>
      </c>
      <c r="AV2042">
        <v>12</v>
      </c>
      <c r="AW2042">
        <v>22</v>
      </c>
      <c r="AX2042" t="s">
        <v>74</v>
      </c>
      <c r="AY2042" t="s">
        <v>74</v>
      </c>
      <c r="AZ2042" t="s">
        <v>74</v>
      </c>
      <c r="BA2042" t="s">
        <v>74</v>
      </c>
      <c r="BB2042">
        <v>14260</v>
      </c>
      <c r="BC2042">
        <v>14267</v>
      </c>
      <c r="BD2042" t="s">
        <v>74</v>
      </c>
      <c r="BE2042" t="s">
        <v>16111</v>
      </c>
      <c r="BF2042" t="str">
        <f>HYPERLINK("http://dx.doi.org/10.1039/d2ra01545e","http://dx.doi.org/10.1039/d2ra01545e")</f>
        <v>http://dx.doi.org/10.1039/d2ra01545e</v>
      </c>
      <c r="BG2042" t="s">
        <v>74</v>
      </c>
      <c r="BH2042" t="s">
        <v>74</v>
      </c>
      <c r="BI2042" t="s">
        <v>74</v>
      </c>
      <c r="BJ2042" t="s">
        <v>1047</v>
      </c>
      <c r="BK2042" t="s">
        <v>117</v>
      </c>
      <c r="BL2042" t="s">
        <v>1048</v>
      </c>
      <c r="BM2042" t="s">
        <v>74</v>
      </c>
      <c r="BN2042">
        <v>35558841</v>
      </c>
      <c r="BO2042" t="s">
        <v>74</v>
      </c>
      <c r="BP2042" t="s">
        <v>74</v>
      </c>
      <c r="BQ2042" t="s">
        <v>74</v>
      </c>
      <c r="BR2042" t="s">
        <v>96</v>
      </c>
      <c r="BS2042" t="s">
        <v>16112</v>
      </c>
      <c r="BT2042" t="str">
        <f>HYPERLINK("https%3A%2F%2Fwww.webofscience.com%2Fwos%2Fwoscc%2Ffull-record%2FWOS:000793314800001","View Full Record in Web of Science")</f>
        <v>View Full Record in Web of Science</v>
      </c>
    </row>
    <row r="2043" spans="1:72" x14ac:dyDescent="0.15">
      <c r="A2043" t="s">
        <v>4291</v>
      </c>
      <c r="B2043" t="s">
        <v>16219</v>
      </c>
      <c r="C2043" t="s">
        <v>74</v>
      </c>
      <c r="D2043" t="s">
        <v>16220</v>
      </c>
      <c r="E2043" t="s">
        <v>74</v>
      </c>
      <c r="F2043" t="s">
        <v>16221</v>
      </c>
      <c r="G2043" t="s">
        <v>74</v>
      </c>
      <c r="H2043" t="s">
        <v>74</v>
      </c>
      <c r="I2043" t="s">
        <v>16222</v>
      </c>
      <c r="J2043" t="s">
        <v>16223</v>
      </c>
      <c r="K2043" t="s">
        <v>74</v>
      </c>
      <c r="L2043" t="s">
        <v>74</v>
      </c>
      <c r="M2043" t="s">
        <v>74</v>
      </c>
      <c r="N2043" t="s">
        <v>80</v>
      </c>
      <c r="O2043" t="s">
        <v>74</v>
      </c>
      <c r="P2043" t="s">
        <v>74</v>
      </c>
      <c r="Q2043" t="s">
        <v>74</v>
      </c>
      <c r="R2043" t="s">
        <v>74</v>
      </c>
      <c r="S2043" t="s">
        <v>74</v>
      </c>
      <c r="T2043" t="s">
        <v>16224</v>
      </c>
      <c r="U2043" t="s">
        <v>16225</v>
      </c>
      <c r="V2043" t="s">
        <v>74</v>
      </c>
      <c r="W2043" t="s">
        <v>16226</v>
      </c>
      <c r="X2043" t="s">
        <v>16227</v>
      </c>
      <c r="Y2043" t="s">
        <v>16228</v>
      </c>
      <c r="Z2043" t="s">
        <v>16229</v>
      </c>
      <c r="AA2043" t="s">
        <v>74</v>
      </c>
      <c r="AB2043" t="s">
        <v>74</v>
      </c>
      <c r="AC2043" t="s">
        <v>74</v>
      </c>
      <c r="AD2043" t="s">
        <v>74</v>
      </c>
      <c r="AE2043" t="s">
        <v>74</v>
      </c>
      <c r="AF2043" t="s">
        <v>74</v>
      </c>
      <c r="AG2043">
        <v>120</v>
      </c>
      <c r="AH2043">
        <v>0</v>
      </c>
      <c r="AI2043">
        <v>0</v>
      </c>
      <c r="AJ2043">
        <v>0</v>
      </c>
      <c r="AK2043">
        <v>0</v>
      </c>
      <c r="AL2043" t="s">
        <v>74</v>
      </c>
      <c r="AM2043" t="s">
        <v>74</v>
      </c>
      <c r="AN2043" t="s">
        <v>74</v>
      </c>
      <c r="AO2043" t="s">
        <v>74</v>
      </c>
      <c r="AP2043" t="s">
        <v>74</v>
      </c>
      <c r="AQ2043" t="s">
        <v>16230</v>
      </c>
      <c r="AR2043" t="s">
        <v>74</v>
      </c>
      <c r="AS2043" t="s">
        <v>74</v>
      </c>
      <c r="AT2043" t="s">
        <v>74</v>
      </c>
      <c r="AU2043">
        <v>2019</v>
      </c>
      <c r="AV2043" t="s">
        <v>74</v>
      </c>
      <c r="AW2043" t="s">
        <v>74</v>
      </c>
      <c r="AX2043" t="s">
        <v>74</v>
      </c>
      <c r="AY2043" t="s">
        <v>74</v>
      </c>
      <c r="AZ2043" t="s">
        <v>74</v>
      </c>
      <c r="BA2043" t="s">
        <v>74</v>
      </c>
      <c r="BB2043">
        <v>145</v>
      </c>
      <c r="BC2043">
        <v>167</v>
      </c>
      <c r="BD2043" t="s">
        <v>74</v>
      </c>
      <c r="BE2043" t="s">
        <v>16231</v>
      </c>
      <c r="BF2043" t="str">
        <f>HYPERLINK("http://dx.doi.org/10.1007/978-3-030-23637-3_10","http://dx.doi.org/10.1007/978-3-030-23637-3_10")</f>
        <v>http://dx.doi.org/10.1007/978-3-030-23637-3_10</v>
      </c>
      <c r="BG2043" t="s">
        <v>16232</v>
      </c>
      <c r="BH2043" t="s">
        <v>74</v>
      </c>
      <c r="BI2043" t="s">
        <v>74</v>
      </c>
      <c r="BJ2043" t="s">
        <v>16233</v>
      </c>
      <c r="BK2043" t="s">
        <v>94</v>
      </c>
      <c r="BL2043" t="s">
        <v>16234</v>
      </c>
      <c r="BM2043" t="s">
        <v>74</v>
      </c>
      <c r="BN2043" t="s">
        <v>74</v>
      </c>
      <c r="BO2043" t="s">
        <v>74</v>
      </c>
      <c r="BP2043" t="s">
        <v>74</v>
      </c>
      <c r="BQ2043" t="s">
        <v>74</v>
      </c>
      <c r="BR2043" t="s">
        <v>96</v>
      </c>
      <c r="BS2043" t="s">
        <v>16235</v>
      </c>
      <c r="BT2043" t="str">
        <f>HYPERLINK("https%3A%2F%2Fwww.webofscience.com%2Fwos%2Fwoscc%2Ffull-record%2FWOS:000642277700010","View Full Record in Web of Science")</f>
        <v>View Full Record in Web of Science</v>
      </c>
    </row>
    <row r="2044" spans="1:72" x14ac:dyDescent="0.15">
      <c r="A2044" t="s">
        <v>98</v>
      </c>
      <c r="B2044" t="s">
        <v>16354</v>
      </c>
      <c r="C2044" t="s">
        <v>74</v>
      </c>
      <c r="D2044" t="s">
        <v>74</v>
      </c>
      <c r="E2044" t="s">
        <v>74</v>
      </c>
      <c r="F2044" t="s">
        <v>16355</v>
      </c>
      <c r="G2044" t="s">
        <v>74</v>
      </c>
      <c r="H2044" t="s">
        <v>74</v>
      </c>
      <c r="I2044" t="s">
        <v>16356</v>
      </c>
      <c r="J2044" t="s">
        <v>16357</v>
      </c>
      <c r="K2044" t="s">
        <v>74</v>
      </c>
      <c r="L2044" t="s">
        <v>74</v>
      </c>
      <c r="M2044" t="s">
        <v>74</v>
      </c>
      <c r="N2044" t="s">
        <v>103</v>
      </c>
      <c r="O2044" t="s">
        <v>74</v>
      </c>
      <c r="P2044" t="s">
        <v>74</v>
      </c>
      <c r="Q2044" t="s">
        <v>74</v>
      </c>
      <c r="R2044" t="s">
        <v>74</v>
      </c>
      <c r="S2044" t="s">
        <v>74</v>
      </c>
      <c r="T2044" t="s">
        <v>16358</v>
      </c>
      <c r="U2044" t="s">
        <v>16359</v>
      </c>
      <c r="V2044" t="s">
        <v>16360</v>
      </c>
      <c r="W2044" t="s">
        <v>16361</v>
      </c>
      <c r="X2044" t="s">
        <v>16362</v>
      </c>
      <c r="Y2044" t="s">
        <v>16363</v>
      </c>
      <c r="Z2044" t="s">
        <v>16364</v>
      </c>
      <c r="AA2044" t="s">
        <v>16365</v>
      </c>
      <c r="AB2044" t="s">
        <v>16366</v>
      </c>
      <c r="AC2044" t="s">
        <v>74</v>
      </c>
      <c r="AD2044" t="s">
        <v>74</v>
      </c>
      <c r="AE2044" t="s">
        <v>74</v>
      </c>
      <c r="AF2044" t="s">
        <v>74</v>
      </c>
      <c r="AG2044">
        <v>116</v>
      </c>
      <c r="AH2044">
        <v>0</v>
      </c>
      <c r="AI2044">
        <v>0</v>
      </c>
      <c r="AJ2044">
        <v>2</v>
      </c>
      <c r="AK2044">
        <v>2</v>
      </c>
      <c r="AL2044" t="s">
        <v>74</v>
      </c>
      <c r="AM2044" t="s">
        <v>74</v>
      </c>
      <c r="AN2044" t="s">
        <v>74</v>
      </c>
      <c r="AO2044" t="s">
        <v>74</v>
      </c>
      <c r="AP2044" t="s">
        <v>16367</v>
      </c>
      <c r="AQ2044" t="s">
        <v>74</v>
      </c>
      <c r="AR2044" t="s">
        <v>74</v>
      </c>
      <c r="AS2044" t="s">
        <v>74</v>
      </c>
      <c r="AT2044" t="s">
        <v>565</v>
      </c>
      <c r="AU2044">
        <v>2022</v>
      </c>
      <c r="AV2044">
        <v>10</v>
      </c>
      <c r="AW2044">
        <v>1</v>
      </c>
      <c r="AX2044" t="s">
        <v>74</v>
      </c>
      <c r="AY2044" t="s">
        <v>74</v>
      </c>
      <c r="AZ2044" t="s">
        <v>74</v>
      </c>
      <c r="BA2044" t="s">
        <v>74</v>
      </c>
      <c r="BB2044" t="s">
        <v>74</v>
      </c>
      <c r="BC2044" t="s">
        <v>74</v>
      </c>
      <c r="BD2044">
        <v>11</v>
      </c>
      <c r="BE2044" t="s">
        <v>16368</v>
      </c>
      <c r="BF2044" t="str">
        <f>HYPERLINK("http://dx.doi.org/10.3390/diseases10010011","http://dx.doi.org/10.3390/diseases10010011")</f>
        <v>http://dx.doi.org/10.3390/diseases10010011</v>
      </c>
      <c r="BG2044" t="s">
        <v>74</v>
      </c>
      <c r="BH2044" t="s">
        <v>74</v>
      </c>
      <c r="BI2044" t="s">
        <v>74</v>
      </c>
      <c r="BJ2044" t="s">
        <v>795</v>
      </c>
      <c r="BK2044" t="s">
        <v>467</v>
      </c>
      <c r="BL2044" t="s">
        <v>796</v>
      </c>
      <c r="BM2044" t="s">
        <v>74</v>
      </c>
      <c r="BN2044">
        <v>35225863</v>
      </c>
      <c r="BO2044" t="s">
        <v>74</v>
      </c>
      <c r="BP2044" t="s">
        <v>74</v>
      </c>
      <c r="BQ2044" t="s">
        <v>74</v>
      </c>
      <c r="BR2044" t="s">
        <v>96</v>
      </c>
      <c r="BS2044" t="s">
        <v>16369</v>
      </c>
      <c r="BT2044" t="str">
        <f>HYPERLINK("https%3A%2F%2Fwww.webofscience.com%2Fwos%2Fwoscc%2Ffull-record%2FWOS:000776824900001","View Full Record in Web of Science")</f>
        <v>View Full Record in Web of Science</v>
      </c>
    </row>
    <row r="2045" spans="1:72" x14ac:dyDescent="0.15">
      <c r="A2045" t="s">
        <v>98</v>
      </c>
      <c r="B2045" t="s">
        <v>16642</v>
      </c>
      <c r="C2045" t="s">
        <v>74</v>
      </c>
      <c r="D2045" t="s">
        <v>74</v>
      </c>
      <c r="E2045" t="s">
        <v>74</v>
      </c>
      <c r="F2045" t="s">
        <v>16643</v>
      </c>
      <c r="G2045" t="s">
        <v>74</v>
      </c>
      <c r="H2045" t="s">
        <v>74</v>
      </c>
      <c r="I2045" t="s">
        <v>16644</v>
      </c>
      <c r="J2045" t="s">
        <v>16645</v>
      </c>
      <c r="K2045" t="s">
        <v>74</v>
      </c>
      <c r="L2045" t="s">
        <v>74</v>
      </c>
      <c r="M2045" t="s">
        <v>74</v>
      </c>
      <c r="N2045" t="s">
        <v>103</v>
      </c>
      <c r="O2045" t="s">
        <v>74</v>
      </c>
      <c r="P2045" t="s">
        <v>74</v>
      </c>
      <c r="Q2045" t="s">
        <v>74</v>
      </c>
      <c r="R2045" t="s">
        <v>74</v>
      </c>
      <c r="S2045" t="s">
        <v>74</v>
      </c>
      <c r="T2045" t="s">
        <v>16646</v>
      </c>
      <c r="U2045" t="s">
        <v>16647</v>
      </c>
      <c r="V2045" t="s">
        <v>16648</v>
      </c>
      <c r="W2045" t="s">
        <v>16649</v>
      </c>
      <c r="X2045" t="s">
        <v>16650</v>
      </c>
      <c r="Y2045" t="s">
        <v>16651</v>
      </c>
      <c r="Z2045" t="s">
        <v>16652</v>
      </c>
      <c r="AA2045" t="s">
        <v>74</v>
      </c>
      <c r="AB2045" t="s">
        <v>74</v>
      </c>
      <c r="AC2045" t="s">
        <v>74</v>
      </c>
      <c r="AD2045" t="s">
        <v>74</v>
      </c>
      <c r="AE2045" t="s">
        <v>74</v>
      </c>
      <c r="AF2045" t="s">
        <v>74</v>
      </c>
      <c r="AG2045">
        <v>52</v>
      </c>
      <c r="AH2045">
        <v>0</v>
      </c>
      <c r="AI2045">
        <v>0</v>
      </c>
      <c r="AJ2045">
        <v>5</v>
      </c>
      <c r="AK2045">
        <v>5</v>
      </c>
      <c r="AL2045" t="s">
        <v>74</v>
      </c>
      <c r="AM2045" t="s">
        <v>74</v>
      </c>
      <c r="AN2045" t="s">
        <v>74</v>
      </c>
      <c r="AO2045" t="s">
        <v>16653</v>
      </c>
      <c r="AP2045" t="s">
        <v>16654</v>
      </c>
      <c r="AQ2045" t="s">
        <v>74</v>
      </c>
      <c r="AR2045" t="s">
        <v>74</v>
      </c>
      <c r="AS2045" t="s">
        <v>74</v>
      </c>
      <c r="AT2045" t="s">
        <v>170</v>
      </c>
      <c r="AU2045">
        <v>2022</v>
      </c>
      <c r="AV2045">
        <v>14</v>
      </c>
      <c r="AW2045">
        <v>2</v>
      </c>
      <c r="AX2045" t="s">
        <v>74</v>
      </c>
      <c r="AY2045" t="s">
        <v>74</v>
      </c>
      <c r="AZ2045" t="s">
        <v>74</v>
      </c>
      <c r="BA2045" t="s">
        <v>74</v>
      </c>
      <c r="BB2045">
        <v>95</v>
      </c>
      <c r="BC2045">
        <v>105</v>
      </c>
      <c r="BD2045" t="s">
        <v>74</v>
      </c>
      <c r="BE2045" t="s">
        <v>16655</v>
      </c>
      <c r="BF2045" t="str">
        <f>HYPERLINK("http://dx.doi.org/10.22034/IAR.2022.1946683.1218","http://dx.doi.org/10.22034/IAR.2022.1946683.1218")</f>
        <v>http://dx.doi.org/10.22034/IAR.2022.1946683.1218</v>
      </c>
      <c r="BG2045" t="s">
        <v>74</v>
      </c>
      <c r="BH2045" t="s">
        <v>9405</v>
      </c>
      <c r="BI2045" t="s">
        <v>74</v>
      </c>
      <c r="BJ2045" t="s">
        <v>16656</v>
      </c>
      <c r="BK2045" t="s">
        <v>467</v>
      </c>
      <c r="BL2045" t="s">
        <v>16656</v>
      </c>
      <c r="BM2045" t="s">
        <v>74</v>
      </c>
      <c r="BN2045" t="s">
        <v>74</v>
      </c>
      <c r="BO2045" t="s">
        <v>74</v>
      </c>
      <c r="BP2045" t="s">
        <v>74</v>
      </c>
      <c r="BQ2045" t="s">
        <v>74</v>
      </c>
      <c r="BR2045" t="s">
        <v>96</v>
      </c>
      <c r="BS2045" t="s">
        <v>16657</v>
      </c>
      <c r="BT2045" t="str">
        <f>HYPERLINK("https%3A%2F%2Fwww.webofscience.com%2Fwos%2Fwoscc%2Ffull-record%2FWOS:000785993400001","View Full Record in Web of Science")</f>
        <v>View Full Record in Web of Science</v>
      </c>
    </row>
    <row r="2046" spans="1:72" x14ac:dyDescent="0.15">
      <c r="A2046" t="s">
        <v>72</v>
      </c>
      <c r="B2046" t="s">
        <v>16709</v>
      </c>
      <c r="C2046" t="s">
        <v>74</v>
      </c>
      <c r="D2046" t="s">
        <v>16710</v>
      </c>
      <c r="E2046" t="s">
        <v>74</v>
      </c>
      <c r="F2046" t="s">
        <v>16711</v>
      </c>
      <c r="G2046" t="s">
        <v>74</v>
      </c>
      <c r="H2046" t="s">
        <v>74</v>
      </c>
      <c r="I2046" t="s">
        <v>16712</v>
      </c>
      <c r="J2046" t="s">
        <v>16713</v>
      </c>
      <c r="K2046" t="s">
        <v>16714</v>
      </c>
      <c r="L2046" t="s">
        <v>74</v>
      </c>
      <c r="M2046" t="s">
        <v>74</v>
      </c>
      <c r="N2046" t="s">
        <v>80</v>
      </c>
      <c r="O2046" t="s">
        <v>74</v>
      </c>
      <c r="P2046" t="s">
        <v>74</v>
      </c>
      <c r="Q2046" t="s">
        <v>74</v>
      </c>
      <c r="R2046" t="s">
        <v>74</v>
      </c>
      <c r="S2046" t="s">
        <v>74</v>
      </c>
      <c r="T2046" t="s">
        <v>16715</v>
      </c>
      <c r="U2046" t="s">
        <v>16716</v>
      </c>
      <c r="V2046" t="s">
        <v>16717</v>
      </c>
      <c r="W2046" t="s">
        <v>16718</v>
      </c>
      <c r="X2046" t="s">
        <v>16719</v>
      </c>
      <c r="Y2046" t="s">
        <v>16720</v>
      </c>
      <c r="Z2046" t="s">
        <v>16721</v>
      </c>
      <c r="AA2046" t="s">
        <v>74</v>
      </c>
      <c r="AB2046" t="s">
        <v>74</v>
      </c>
      <c r="AC2046" t="s">
        <v>74</v>
      </c>
      <c r="AD2046" t="s">
        <v>74</v>
      </c>
      <c r="AE2046" t="s">
        <v>74</v>
      </c>
      <c r="AF2046" t="s">
        <v>74</v>
      </c>
      <c r="AG2046">
        <v>91</v>
      </c>
      <c r="AH2046">
        <v>0</v>
      </c>
      <c r="AI2046">
        <v>0</v>
      </c>
      <c r="AJ2046">
        <v>3</v>
      </c>
      <c r="AK2046">
        <v>5</v>
      </c>
      <c r="AL2046" t="s">
        <v>74</v>
      </c>
      <c r="AM2046" t="s">
        <v>74</v>
      </c>
      <c r="AN2046" t="s">
        <v>74</v>
      </c>
      <c r="AO2046" t="s">
        <v>16722</v>
      </c>
      <c r="AP2046" t="s">
        <v>16723</v>
      </c>
      <c r="AQ2046" t="s">
        <v>16724</v>
      </c>
      <c r="AR2046" t="s">
        <v>74</v>
      </c>
      <c r="AS2046" t="s">
        <v>74</v>
      </c>
      <c r="AT2046" t="s">
        <v>74</v>
      </c>
      <c r="AU2046">
        <v>2019</v>
      </c>
      <c r="AV2046">
        <v>7</v>
      </c>
      <c r="AW2046" t="s">
        <v>74</v>
      </c>
      <c r="AX2046" t="s">
        <v>74</v>
      </c>
      <c r="AY2046" t="s">
        <v>74</v>
      </c>
      <c r="AZ2046" t="s">
        <v>74</v>
      </c>
      <c r="BA2046" t="s">
        <v>74</v>
      </c>
      <c r="BB2046">
        <v>71</v>
      </c>
      <c r="BC2046">
        <v>98</v>
      </c>
      <c r="BD2046" t="s">
        <v>74</v>
      </c>
      <c r="BE2046" t="s">
        <v>16725</v>
      </c>
      <c r="BF2046" t="str">
        <f>HYPERLINK("http://dx.doi.org/10.1007/978-981-13-6229-3_4","http://dx.doi.org/10.1007/978-981-13-6229-3_4")</f>
        <v>http://dx.doi.org/10.1007/978-981-13-6229-3_4</v>
      </c>
      <c r="BG2046" t="s">
        <v>16726</v>
      </c>
      <c r="BH2046" t="s">
        <v>74</v>
      </c>
      <c r="BI2046" t="s">
        <v>74</v>
      </c>
      <c r="BJ2046" t="s">
        <v>16727</v>
      </c>
      <c r="BK2046" t="s">
        <v>94</v>
      </c>
      <c r="BL2046" t="s">
        <v>16728</v>
      </c>
      <c r="BM2046" t="s">
        <v>74</v>
      </c>
      <c r="BN2046" t="s">
        <v>74</v>
      </c>
      <c r="BO2046" t="s">
        <v>74</v>
      </c>
      <c r="BP2046" t="s">
        <v>74</v>
      </c>
      <c r="BQ2046" t="s">
        <v>74</v>
      </c>
      <c r="BR2046" t="s">
        <v>96</v>
      </c>
      <c r="BS2046" t="s">
        <v>16729</v>
      </c>
      <c r="BT2046" t="str">
        <f>HYPERLINK("https%3A%2F%2Fwww.webofscience.com%2Fwos%2Fwoscc%2Ffull-record%2FWOS:000489292100005","View Full Record in Web of Science")</f>
        <v>View Full Record in Web of Science</v>
      </c>
    </row>
    <row r="2047" spans="1:72" x14ac:dyDescent="0.15">
      <c r="A2047" t="s">
        <v>98</v>
      </c>
      <c r="B2047" t="s">
        <v>16913</v>
      </c>
      <c r="C2047" t="s">
        <v>74</v>
      </c>
      <c r="D2047" t="s">
        <v>74</v>
      </c>
      <c r="E2047" t="s">
        <v>74</v>
      </c>
      <c r="F2047" t="s">
        <v>16914</v>
      </c>
      <c r="G2047" t="s">
        <v>74</v>
      </c>
      <c r="H2047" t="s">
        <v>74</v>
      </c>
      <c r="I2047" t="s">
        <v>16915</v>
      </c>
      <c r="J2047" t="s">
        <v>4486</v>
      </c>
      <c r="K2047" t="s">
        <v>74</v>
      </c>
      <c r="L2047" t="s">
        <v>74</v>
      </c>
      <c r="M2047" t="s">
        <v>74</v>
      </c>
      <c r="N2047" t="s">
        <v>103</v>
      </c>
      <c r="O2047" t="s">
        <v>74</v>
      </c>
      <c r="P2047" t="s">
        <v>74</v>
      </c>
      <c r="Q2047" t="s">
        <v>74</v>
      </c>
      <c r="R2047" t="s">
        <v>74</v>
      </c>
      <c r="S2047" t="s">
        <v>74</v>
      </c>
      <c r="T2047" t="s">
        <v>74</v>
      </c>
      <c r="U2047" t="s">
        <v>16916</v>
      </c>
      <c r="V2047" t="s">
        <v>16917</v>
      </c>
      <c r="W2047" t="s">
        <v>16918</v>
      </c>
      <c r="X2047" t="s">
        <v>16919</v>
      </c>
      <c r="Y2047" t="s">
        <v>16920</v>
      </c>
      <c r="Z2047" t="s">
        <v>16921</v>
      </c>
      <c r="AA2047" t="s">
        <v>74</v>
      </c>
      <c r="AB2047" t="s">
        <v>16922</v>
      </c>
      <c r="AC2047" t="s">
        <v>74</v>
      </c>
      <c r="AD2047" t="s">
        <v>74</v>
      </c>
      <c r="AE2047" t="s">
        <v>74</v>
      </c>
      <c r="AF2047" t="s">
        <v>74</v>
      </c>
      <c r="AG2047">
        <v>33</v>
      </c>
      <c r="AH2047">
        <v>0</v>
      </c>
      <c r="AI2047">
        <v>0</v>
      </c>
      <c r="AJ2047">
        <v>6</v>
      </c>
      <c r="AK2047">
        <v>13</v>
      </c>
      <c r="AL2047" t="s">
        <v>74</v>
      </c>
      <c r="AM2047" t="s">
        <v>74</v>
      </c>
      <c r="AN2047" t="s">
        <v>74</v>
      </c>
      <c r="AO2047" t="s">
        <v>4493</v>
      </c>
      <c r="AP2047" t="s">
        <v>4494</v>
      </c>
      <c r="AQ2047" t="s">
        <v>74</v>
      </c>
      <c r="AR2047" t="s">
        <v>74</v>
      </c>
      <c r="AS2047" t="s">
        <v>74</v>
      </c>
      <c r="AT2047" t="s">
        <v>4559</v>
      </c>
      <c r="AU2047">
        <v>2021</v>
      </c>
      <c r="AV2047">
        <v>93</v>
      </c>
      <c r="AW2047">
        <v>45</v>
      </c>
      <c r="AX2047" t="s">
        <v>74</v>
      </c>
      <c r="AY2047" t="s">
        <v>74</v>
      </c>
      <c r="AZ2047" t="s">
        <v>74</v>
      </c>
      <c r="BA2047" t="s">
        <v>74</v>
      </c>
      <c r="BB2047">
        <v>14907</v>
      </c>
      <c r="BC2047">
        <v>14911</v>
      </c>
      <c r="BD2047" t="s">
        <v>74</v>
      </c>
      <c r="BE2047" t="s">
        <v>16923</v>
      </c>
      <c r="BF2047" t="str">
        <f>HYPERLINK("http://dx.doi.org/10.1021/acs.analchem.1c03869","http://dx.doi.org/10.1021/acs.analchem.1c03869")</f>
        <v>http://dx.doi.org/10.1021/acs.analchem.1c03869</v>
      </c>
      <c r="BG2047" t="s">
        <v>74</v>
      </c>
      <c r="BH2047" t="s">
        <v>3026</v>
      </c>
      <c r="BI2047" t="s">
        <v>74</v>
      </c>
      <c r="BJ2047" t="s">
        <v>1118</v>
      </c>
      <c r="BK2047" t="s">
        <v>117</v>
      </c>
      <c r="BL2047" t="s">
        <v>1048</v>
      </c>
      <c r="BM2047" t="s">
        <v>74</v>
      </c>
      <c r="BN2047">
        <v>34735132</v>
      </c>
      <c r="BO2047" t="s">
        <v>74</v>
      </c>
      <c r="BP2047" t="s">
        <v>74</v>
      </c>
      <c r="BQ2047" t="s">
        <v>74</v>
      </c>
      <c r="BR2047" t="s">
        <v>96</v>
      </c>
      <c r="BS2047" t="s">
        <v>16924</v>
      </c>
      <c r="BT2047" t="str">
        <f>HYPERLINK("https%3A%2F%2Fwww.webofscience.com%2Fwos%2Fwoscc%2Ffull-record%2FWOS:000721110000001","View Full Record in Web of Science")</f>
        <v>View Full Record in Web of Science</v>
      </c>
    </row>
    <row r="2048" spans="1:72" x14ac:dyDescent="0.15">
      <c r="A2048" t="s">
        <v>98</v>
      </c>
      <c r="B2048" t="s">
        <v>16925</v>
      </c>
      <c r="C2048" t="s">
        <v>74</v>
      </c>
      <c r="D2048" t="s">
        <v>74</v>
      </c>
      <c r="E2048" t="s">
        <v>74</v>
      </c>
      <c r="F2048" t="s">
        <v>16926</v>
      </c>
      <c r="G2048" t="s">
        <v>74</v>
      </c>
      <c r="H2048" t="s">
        <v>74</v>
      </c>
      <c r="I2048" t="s">
        <v>16927</v>
      </c>
      <c r="J2048" t="s">
        <v>9394</v>
      </c>
      <c r="K2048" t="s">
        <v>74</v>
      </c>
      <c r="L2048" t="s">
        <v>74</v>
      </c>
      <c r="M2048" t="s">
        <v>74</v>
      </c>
      <c r="N2048" t="s">
        <v>103</v>
      </c>
      <c r="O2048" t="s">
        <v>74</v>
      </c>
      <c r="P2048" t="s">
        <v>74</v>
      </c>
      <c r="Q2048" t="s">
        <v>74</v>
      </c>
      <c r="R2048" t="s">
        <v>74</v>
      </c>
      <c r="S2048" t="s">
        <v>74</v>
      </c>
      <c r="T2048" t="s">
        <v>16928</v>
      </c>
      <c r="U2048" t="s">
        <v>16929</v>
      </c>
      <c r="V2048" t="s">
        <v>16930</v>
      </c>
      <c r="W2048" t="s">
        <v>16931</v>
      </c>
      <c r="X2048" t="s">
        <v>16932</v>
      </c>
      <c r="Y2048" t="s">
        <v>16933</v>
      </c>
      <c r="Z2048" t="s">
        <v>16934</v>
      </c>
      <c r="AA2048" t="s">
        <v>16935</v>
      </c>
      <c r="AB2048" t="s">
        <v>16936</v>
      </c>
      <c r="AC2048" t="s">
        <v>74</v>
      </c>
      <c r="AD2048" t="s">
        <v>74</v>
      </c>
      <c r="AE2048" t="s">
        <v>74</v>
      </c>
      <c r="AF2048" t="s">
        <v>74</v>
      </c>
      <c r="AG2048">
        <v>38</v>
      </c>
      <c r="AH2048">
        <v>0</v>
      </c>
      <c r="AI2048">
        <v>0</v>
      </c>
      <c r="AJ2048">
        <v>9</v>
      </c>
      <c r="AK2048">
        <v>13</v>
      </c>
      <c r="AL2048" t="s">
        <v>74</v>
      </c>
      <c r="AM2048" t="s">
        <v>74</v>
      </c>
      <c r="AN2048" t="s">
        <v>74</v>
      </c>
      <c r="AO2048" t="s">
        <v>9403</v>
      </c>
      <c r="AP2048" t="s">
        <v>74</v>
      </c>
      <c r="AQ2048" t="s">
        <v>74</v>
      </c>
      <c r="AR2048" t="s">
        <v>74</v>
      </c>
      <c r="AS2048" t="s">
        <v>74</v>
      </c>
      <c r="AT2048" t="s">
        <v>565</v>
      </c>
      <c r="AU2048">
        <v>2022</v>
      </c>
      <c r="AV2048">
        <v>6</v>
      </c>
      <c r="AW2048">
        <v>3</v>
      </c>
      <c r="AX2048" t="s">
        <v>74</v>
      </c>
      <c r="AY2048" t="s">
        <v>74</v>
      </c>
      <c r="AZ2048" t="s">
        <v>74</v>
      </c>
      <c r="BA2048" t="s">
        <v>74</v>
      </c>
      <c r="BB2048" t="s">
        <v>74</v>
      </c>
      <c r="BC2048" t="s">
        <v>74</v>
      </c>
      <c r="BD2048">
        <v>2101364</v>
      </c>
      <c r="BE2048" t="s">
        <v>16937</v>
      </c>
      <c r="BF2048" t="str">
        <f>HYPERLINK("http://dx.doi.org/10.1002/smtd.202101364","http://dx.doi.org/10.1002/smtd.202101364")</f>
        <v>http://dx.doi.org/10.1002/smtd.202101364</v>
      </c>
      <c r="BG2048" t="s">
        <v>74</v>
      </c>
      <c r="BH2048" t="s">
        <v>5553</v>
      </c>
      <c r="BI2048" t="s">
        <v>74</v>
      </c>
      <c r="BJ2048" t="s">
        <v>9406</v>
      </c>
      <c r="BK2048" t="s">
        <v>117</v>
      </c>
      <c r="BL2048" t="s">
        <v>1275</v>
      </c>
      <c r="BM2048" t="s">
        <v>74</v>
      </c>
      <c r="BN2048">
        <v>34994103</v>
      </c>
      <c r="BO2048" t="s">
        <v>74</v>
      </c>
      <c r="BP2048" t="s">
        <v>74</v>
      </c>
      <c r="BQ2048" t="s">
        <v>74</v>
      </c>
      <c r="BR2048" t="s">
        <v>96</v>
      </c>
      <c r="BS2048" t="s">
        <v>16938</v>
      </c>
      <c r="BT2048" t="str">
        <f>HYPERLINK("https%3A%2F%2Fwww.webofscience.com%2Fwos%2Fwoscc%2Ffull-record%2FWOS:000739797900001","View Full Record in Web of Science")</f>
        <v>View Full Record in Web of Science</v>
      </c>
    </row>
    <row r="2049" spans="1:72" x14ac:dyDescent="0.15">
      <c r="A2049" t="s">
        <v>98</v>
      </c>
      <c r="B2049" t="s">
        <v>17188</v>
      </c>
      <c r="C2049" t="s">
        <v>74</v>
      </c>
      <c r="D2049" t="s">
        <v>74</v>
      </c>
      <c r="E2049" t="s">
        <v>74</v>
      </c>
      <c r="F2049" t="s">
        <v>17189</v>
      </c>
      <c r="G2049" t="s">
        <v>74</v>
      </c>
      <c r="H2049" t="s">
        <v>74</v>
      </c>
      <c r="I2049" t="s">
        <v>17190</v>
      </c>
      <c r="J2049" t="s">
        <v>17191</v>
      </c>
      <c r="K2049" t="s">
        <v>74</v>
      </c>
      <c r="L2049" t="s">
        <v>74</v>
      </c>
      <c r="M2049" t="s">
        <v>74</v>
      </c>
      <c r="N2049" t="s">
        <v>103</v>
      </c>
      <c r="O2049" t="s">
        <v>74</v>
      </c>
      <c r="P2049" t="s">
        <v>74</v>
      </c>
      <c r="Q2049" t="s">
        <v>74</v>
      </c>
      <c r="R2049" t="s">
        <v>74</v>
      </c>
      <c r="S2049" t="s">
        <v>74</v>
      </c>
      <c r="T2049" t="s">
        <v>17192</v>
      </c>
      <c r="U2049" t="s">
        <v>17193</v>
      </c>
      <c r="V2049" t="s">
        <v>17194</v>
      </c>
      <c r="W2049" t="s">
        <v>17195</v>
      </c>
      <c r="X2049" t="s">
        <v>17196</v>
      </c>
      <c r="Y2049" t="s">
        <v>17197</v>
      </c>
      <c r="Z2049" t="s">
        <v>17198</v>
      </c>
      <c r="AA2049" t="s">
        <v>74</v>
      </c>
      <c r="AB2049" t="s">
        <v>74</v>
      </c>
      <c r="AC2049" t="s">
        <v>74</v>
      </c>
      <c r="AD2049" t="s">
        <v>74</v>
      </c>
      <c r="AE2049" t="s">
        <v>74</v>
      </c>
      <c r="AF2049" t="s">
        <v>74</v>
      </c>
      <c r="AG2049">
        <v>45</v>
      </c>
      <c r="AH2049">
        <v>0</v>
      </c>
      <c r="AI2049">
        <v>0</v>
      </c>
      <c r="AJ2049">
        <v>1</v>
      </c>
      <c r="AK2049">
        <v>2</v>
      </c>
      <c r="AL2049" t="s">
        <v>74</v>
      </c>
      <c r="AM2049" t="s">
        <v>74</v>
      </c>
      <c r="AN2049" t="s">
        <v>74</v>
      </c>
      <c r="AO2049" t="s">
        <v>17199</v>
      </c>
      <c r="AP2049" t="s">
        <v>17200</v>
      </c>
      <c r="AQ2049" t="s">
        <v>74</v>
      </c>
      <c r="AR2049" t="s">
        <v>74</v>
      </c>
      <c r="AS2049" t="s">
        <v>74</v>
      </c>
      <c r="AT2049" t="s">
        <v>967</v>
      </c>
      <c r="AU2049">
        <v>2018</v>
      </c>
      <c r="AV2049">
        <v>22</v>
      </c>
      <c r="AW2049">
        <v>2</v>
      </c>
      <c r="AX2049" t="s">
        <v>74</v>
      </c>
      <c r="AY2049" t="s">
        <v>74</v>
      </c>
      <c r="AZ2049" t="s">
        <v>74</v>
      </c>
      <c r="BA2049" t="s">
        <v>74</v>
      </c>
      <c r="BB2049">
        <v>26</v>
      </c>
      <c r="BC2049">
        <v>31</v>
      </c>
      <c r="BD2049" t="s">
        <v>74</v>
      </c>
      <c r="BE2049" t="s">
        <v>17201</v>
      </c>
      <c r="BF2049" t="str">
        <f>HYPERLINK("http://dx.doi.org/10.25670/oi2018-019on","http://dx.doi.org/10.25670/oi2018-019on")</f>
        <v>http://dx.doi.org/10.25670/oi2018-019on</v>
      </c>
      <c r="BG2049" t="s">
        <v>74</v>
      </c>
      <c r="BH2049" t="s">
        <v>74</v>
      </c>
      <c r="BI2049" t="s">
        <v>74</v>
      </c>
      <c r="BJ2049" t="s">
        <v>267</v>
      </c>
      <c r="BK2049" t="s">
        <v>467</v>
      </c>
      <c r="BL2049" t="s">
        <v>267</v>
      </c>
      <c r="BM2049" t="s">
        <v>74</v>
      </c>
      <c r="BN2049" t="s">
        <v>74</v>
      </c>
      <c r="BO2049" t="s">
        <v>74</v>
      </c>
      <c r="BP2049" t="s">
        <v>74</v>
      </c>
      <c r="BQ2049" t="s">
        <v>74</v>
      </c>
      <c r="BR2049" t="s">
        <v>96</v>
      </c>
      <c r="BS2049" t="s">
        <v>17202</v>
      </c>
      <c r="BT2049" t="str">
        <f>HYPERLINK("https%3A%2F%2Fwww.webofscience.com%2Fwos%2Fwoscc%2Ffull-record%2FWOS:000488855300004","View Full Record in Web of Science")</f>
        <v>View Full Record in Web of Science</v>
      </c>
    </row>
    <row r="2050" spans="1:72" x14ac:dyDescent="0.15">
      <c r="A2050" t="s">
        <v>98</v>
      </c>
      <c r="B2050" t="s">
        <v>17216</v>
      </c>
      <c r="C2050" t="s">
        <v>74</v>
      </c>
      <c r="D2050" t="s">
        <v>74</v>
      </c>
      <c r="E2050" t="s">
        <v>74</v>
      </c>
      <c r="F2050" t="s">
        <v>17217</v>
      </c>
      <c r="G2050" t="s">
        <v>74</v>
      </c>
      <c r="H2050" t="s">
        <v>74</v>
      </c>
      <c r="I2050" t="s">
        <v>17218</v>
      </c>
      <c r="J2050" t="s">
        <v>17219</v>
      </c>
      <c r="K2050" t="s">
        <v>74</v>
      </c>
      <c r="L2050" t="s">
        <v>74</v>
      </c>
      <c r="M2050" t="s">
        <v>74</v>
      </c>
      <c r="N2050" t="s">
        <v>103</v>
      </c>
      <c r="O2050" t="s">
        <v>74</v>
      </c>
      <c r="P2050" t="s">
        <v>74</v>
      </c>
      <c r="Q2050" t="s">
        <v>74</v>
      </c>
      <c r="R2050" t="s">
        <v>74</v>
      </c>
      <c r="S2050" t="s">
        <v>74</v>
      </c>
      <c r="T2050" t="s">
        <v>17220</v>
      </c>
      <c r="U2050" t="s">
        <v>17221</v>
      </c>
      <c r="V2050" t="s">
        <v>17222</v>
      </c>
      <c r="W2050" t="s">
        <v>17223</v>
      </c>
      <c r="X2050" t="s">
        <v>17224</v>
      </c>
      <c r="Y2050" t="s">
        <v>17225</v>
      </c>
      <c r="Z2050" t="s">
        <v>17226</v>
      </c>
      <c r="AA2050" t="s">
        <v>74</v>
      </c>
      <c r="AB2050" t="s">
        <v>17227</v>
      </c>
      <c r="AC2050" t="s">
        <v>74</v>
      </c>
      <c r="AD2050" t="s">
        <v>74</v>
      </c>
      <c r="AE2050" t="s">
        <v>74</v>
      </c>
      <c r="AF2050" t="s">
        <v>74</v>
      </c>
      <c r="AG2050">
        <v>50</v>
      </c>
      <c r="AH2050">
        <v>0</v>
      </c>
      <c r="AI2050">
        <v>0</v>
      </c>
      <c r="AJ2050">
        <v>2</v>
      </c>
      <c r="AK2050">
        <v>7</v>
      </c>
      <c r="AL2050" t="s">
        <v>74</v>
      </c>
      <c r="AM2050" t="s">
        <v>74</v>
      </c>
      <c r="AN2050" t="s">
        <v>74</v>
      </c>
      <c r="AO2050" t="s">
        <v>17228</v>
      </c>
      <c r="AP2050" t="s">
        <v>17229</v>
      </c>
      <c r="AQ2050" t="s">
        <v>74</v>
      </c>
      <c r="AR2050" t="s">
        <v>74</v>
      </c>
      <c r="AS2050" t="s">
        <v>74</v>
      </c>
      <c r="AT2050" t="s">
        <v>1029</v>
      </c>
      <c r="AU2050">
        <v>2020</v>
      </c>
      <c r="AV2050">
        <v>37</v>
      </c>
      <c r="AW2050">
        <v>5</v>
      </c>
      <c r="AX2050" t="s">
        <v>74</v>
      </c>
      <c r="AY2050" t="s">
        <v>74</v>
      </c>
      <c r="AZ2050" t="s">
        <v>74</v>
      </c>
      <c r="BA2050" t="s">
        <v>74</v>
      </c>
      <c r="BB2050">
        <v>1329</v>
      </c>
      <c r="BC2050">
        <v>1341</v>
      </c>
      <c r="BD2050" t="s">
        <v>74</v>
      </c>
      <c r="BE2050" t="s">
        <v>17230</v>
      </c>
      <c r="BF2050" t="str">
        <f>HYPERLINK("http://dx.doi.org/10.1093/molbev/msaa007","http://dx.doi.org/10.1093/molbev/msaa007")</f>
        <v>http://dx.doi.org/10.1093/molbev/msaa007</v>
      </c>
      <c r="BG2050" t="s">
        <v>74</v>
      </c>
      <c r="BH2050" t="s">
        <v>74</v>
      </c>
      <c r="BI2050" t="s">
        <v>74</v>
      </c>
      <c r="BJ2050" t="s">
        <v>17231</v>
      </c>
      <c r="BK2050" t="s">
        <v>117</v>
      </c>
      <c r="BL2050" t="s">
        <v>17231</v>
      </c>
      <c r="BM2050" t="s">
        <v>74</v>
      </c>
      <c r="BN2050">
        <v>31977019</v>
      </c>
      <c r="BO2050" t="s">
        <v>74</v>
      </c>
      <c r="BP2050" t="s">
        <v>74</v>
      </c>
      <c r="BQ2050" t="s">
        <v>74</v>
      </c>
      <c r="BR2050" t="s">
        <v>96</v>
      </c>
      <c r="BS2050" t="s">
        <v>17232</v>
      </c>
      <c r="BT2050" t="str">
        <f>HYPERLINK("https%3A%2F%2Fwww.webofscience.com%2Fwos%2Fwoscc%2Ffull-record%2FWOS:000537426600007","View Full Record in Web of Science")</f>
        <v>View Full Record in Web of Science</v>
      </c>
    </row>
    <row r="2051" spans="1:72" x14ac:dyDescent="0.15">
      <c r="A2051" t="s">
        <v>98</v>
      </c>
      <c r="B2051" t="s">
        <v>17273</v>
      </c>
      <c r="C2051" t="s">
        <v>74</v>
      </c>
      <c r="D2051" t="s">
        <v>74</v>
      </c>
      <c r="E2051" t="s">
        <v>74</v>
      </c>
      <c r="F2051" t="s">
        <v>17274</v>
      </c>
      <c r="G2051" t="s">
        <v>74</v>
      </c>
      <c r="H2051" t="s">
        <v>74</v>
      </c>
      <c r="I2051" t="s">
        <v>17275</v>
      </c>
      <c r="J2051" t="s">
        <v>4486</v>
      </c>
      <c r="K2051" t="s">
        <v>74</v>
      </c>
      <c r="L2051" t="s">
        <v>74</v>
      </c>
      <c r="M2051" t="s">
        <v>74</v>
      </c>
      <c r="N2051" t="s">
        <v>103</v>
      </c>
      <c r="O2051" t="s">
        <v>74</v>
      </c>
      <c r="P2051" t="s">
        <v>74</v>
      </c>
      <c r="Q2051" t="s">
        <v>74</v>
      </c>
      <c r="R2051" t="s">
        <v>74</v>
      </c>
      <c r="S2051" t="s">
        <v>74</v>
      </c>
      <c r="T2051" t="s">
        <v>74</v>
      </c>
      <c r="U2051" t="s">
        <v>17276</v>
      </c>
      <c r="V2051" t="s">
        <v>17277</v>
      </c>
      <c r="W2051" t="s">
        <v>17278</v>
      </c>
      <c r="X2051" t="s">
        <v>17279</v>
      </c>
      <c r="Y2051" t="s">
        <v>17280</v>
      </c>
      <c r="Z2051" t="s">
        <v>17281</v>
      </c>
      <c r="AA2051" t="s">
        <v>17282</v>
      </c>
      <c r="AB2051" t="s">
        <v>17283</v>
      </c>
      <c r="AC2051" t="s">
        <v>74</v>
      </c>
      <c r="AD2051" t="s">
        <v>74</v>
      </c>
      <c r="AE2051" t="s">
        <v>74</v>
      </c>
      <c r="AF2051" t="s">
        <v>74</v>
      </c>
      <c r="AG2051">
        <v>45</v>
      </c>
      <c r="AH2051">
        <v>0</v>
      </c>
      <c r="AI2051">
        <v>0</v>
      </c>
      <c r="AJ2051">
        <v>39</v>
      </c>
      <c r="AK2051">
        <v>41</v>
      </c>
      <c r="AL2051" t="s">
        <v>74</v>
      </c>
      <c r="AM2051" t="s">
        <v>74</v>
      </c>
      <c r="AN2051" t="s">
        <v>74</v>
      </c>
      <c r="AO2051" t="s">
        <v>4493</v>
      </c>
      <c r="AP2051" t="s">
        <v>4494</v>
      </c>
      <c r="AQ2051" t="s">
        <v>74</v>
      </c>
      <c r="AR2051" t="s">
        <v>74</v>
      </c>
      <c r="AS2051" t="s">
        <v>74</v>
      </c>
      <c r="AT2051" t="s">
        <v>4965</v>
      </c>
      <c r="AU2051">
        <v>2022</v>
      </c>
      <c r="AV2051">
        <v>94</v>
      </c>
      <c r="AW2051">
        <v>4</v>
      </c>
      <c r="AX2051" t="s">
        <v>74</v>
      </c>
      <c r="AY2051" t="s">
        <v>74</v>
      </c>
      <c r="AZ2051" t="s">
        <v>74</v>
      </c>
      <c r="BA2051" t="s">
        <v>74</v>
      </c>
      <c r="BB2051">
        <v>2172</v>
      </c>
      <c r="BC2051">
        <v>2179</v>
      </c>
      <c r="BD2051" t="s">
        <v>74</v>
      </c>
      <c r="BE2051" t="s">
        <v>17284</v>
      </c>
      <c r="BF2051" t="str">
        <f>HYPERLINK("http://dx.doi.org/10.1021/acs.analchem.1c04636","http://dx.doi.org/10.1021/acs.analchem.1c04636")</f>
        <v>http://dx.doi.org/10.1021/acs.analchem.1c04636</v>
      </c>
      <c r="BG2051" t="s">
        <v>74</v>
      </c>
      <c r="BH2051" t="s">
        <v>74</v>
      </c>
      <c r="BI2051" t="s">
        <v>74</v>
      </c>
      <c r="BJ2051" t="s">
        <v>1118</v>
      </c>
      <c r="BK2051" t="s">
        <v>117</v>
      </c>
      <c r="BL2051" t="s">
        <v>1048</v>
      </c>
      <c r="BM2051" t="s">
        <v>74</v>
      </c>
      <c r="BN2051">
        <v>35044159</v>
      </c>
      <c r="BO2051" t="s">
        <v>74</v>
      </c>
      <c r="BP2051" t="s">
        <v>74</v>
      </c>
      <c r="BQ2051" t="s">
        <v>74</v>
      </c>
      <c r="BR2051" t="s">
        <v>96</v>
      </c>
      <c r="BS2051" t="s">
        <v>17285</v>
      </c>
      <c r="BT2051" t="str">
        <f>HYPERLINK("https%3A%2F%2Fwww.webofscience.com%2Fwos%2Fwoscc%2Ffull-record%2FWOS:000763579800031","View Full Record in Web of Science")</f>
        <v>View Full Record in Web of Science</v>
      </c>
    </row>
    <row r="2052" spans="1:72" x14ac:dyDescent="0.15">
      <c r="A2052" t="s">
        <v>98</v>
      </c>
      <c r="B2052" t="s">
        <v>17397</v>
      </c>
      <c r="C2052" t="s">
        <v>74</v>
      </c>
      <c r="D2052" t="s">
        <v>74</v>
      </c>
      <c r="E2052" t="s">
        <v>74</v>
      </c>
      <c r="F2052" t="s">
        <v>17398</v>
      </c>
      <c r="G2052" t="s">
        <v>74</v>
      </c>
      <c r="H2052" t="s">
        <v>74</v>
      </c>
      <c r="I2052" t="s">
        <v>17399</v>
      </c>
      <c r="J2052" t="s">
        <v>17400</v>
      </c>
      <c r="K2052" t="s">
        <v>74</v>
      </c>
      <c r="L2052" t="s">
        <v>74</v>
      </c>
      <c r="M2052" t="s">
        <v>74</v>
      </c>
      <c r="N2052" t="s">
        <v>103</v>
      </c>
      <c r="O2052" t="s">
        <v>74</v>
      </c>
      <c r="P2052" t="s">
        <v>74</v>
      </c>
      <c r="Q2052" t="s">
        <v>74</v>
      </c>
      <c r="R2052" t="s">
        <v>74</v>
      </c>
      <c r="S2052" t="s">
        <v>74</v>
      </c>
      <c r="T2052" t="s">
        <v>17401</v>
      </c>
      <c r="U2052" t="s">
        <v>74</v>
      </c>
      <c r="V2052" t="s">
        <v>17402</v>
      </c>
      <c r="W2052" t="s">
        <v>17403</v>
      </c>
      <c r="X2052" t="s">
        <v>17404</v>
      </c>
      <c r="Y2052" t="s">
        <v>17405</v>
      </c>
      <c r="Z2052" t="s">
        <v>17406</v>
      </c>
      <c r="AA2052" t="s">
        <v>17407</v>
      </c>
      <c r="AB2052" t="s">
        <v>74</v>
      </c>
      <c r="AC2052" t="s">
        <v>74</v>
      </c>
      <c r="AD2052" t="s">
        <v>74</v>
      </c>
      <c r="AE2052" t="s">
        <v>74</v>
      </c>
      <c r="AF2052" t="s">
        <v>74</v>
      </c>
      <c r="AG2052">
        <v>30</v>
      </c>
      <c r="AH2052">
        <v>0</v>
      </c>
      <c r="AI2052">
        <v>0</v>
      </c>
      <c r="AJ2052">
        <v>1</v>
      </c>
      <c r="AK2052">
        <v>7</v>
      </c>
      <c r="AL2052" t="s">
        <v>74</v>
      </c>
      <c r="AM2052" t="s">
        <v>74</v>
      </c>
      <c r="AN2052" t="s">
        <v>74</v>
      </c>
      <c r="AO2052" t="s">
        <v>17408</v>
      </c>
      <c r="AP2052" t="s">
        <v>17409</v>
      </c>
      <c r="AQ2052" t="s">
        <v>74</v>
      </c>
      <c r="AR2052" t="s">
        <v>74</v>
      </c>
      <c r="AS2052" t="s">
        <v>74</v>
      </c>
      <c r="AT2052" t="s">
        <v>565</v>
      </c>
      <c r="AU2052">
        <v>2021</v>
      </c>
      <c r="AV2052">
        <v>54</v>
      </c>
      <c r="AW2052">
        <v>3</v>
      </c>
      <c r="AX2052" t="s">
        <v>74</v>
      </c>
      <c r="AY2052" t="s">
        <v>74</v>
      </c>
      <c r="AZ2052" t="s">
        <v>447</v>
      </c>
      <c r="BA2052" t="s">
        <v>74</v>
      </c>
      <c r="BB2052">
        <v>175</v>
      </c>
      <c r="BC2052">
        <v>180</v>
      </c>
      <c r="BD2052" t="s">
        <v>74</v>
      </c>
      <c r="BE2052" t="s">
        <v>17410</v>
      </c>
      <c r="BF2052" t="str">
        <f>HYPERLINK("http://dx.doi.org/10.1007/s00129-021-04749-w","http://dx.doi.org/10.1007/s00129-021-04749-w")</f>
        <v>http://dx.doi.org/10.1007/s00129-021-04749-w</v>
      </c>
      <c r="BG2052" t="s">
        <v>74</v>
      </c>
      <c r="BH2052" t="s">
        <v>1557</v>
      </c>
      <c r="BI2052" t="s">
        <v>74</v>
      </c>
      <c r="BJ2052" t="s">
        <v>3027</v>
      </c>
      <c r="BK2052" t="s">
        <v>467</v>
      </c>
      <c r="BL2052" t="s">
        <v>3027</v>
      </c>
      <c r="BM2052" t="s">
        <v>74</v>
      </c>
      <c r="BN2052" t="s">
        <v>74</v>
      </c>
      <c r="BO2052" t="s">
        <v>74</v>
      </c>
      <c r="BP2052" t="s">
        <v>74</v>
      </c>
      <c r="BQ2052" t="s">
        <v>74</v>
      </c>
      <c r="BR2052" t="s">
        <v>96</v>
      </c>
      <c r="BS2052" t="s">
        <v>17411</v>
      </c>
      <c r="BT2052" t="str">
        <f>HYPERLINK("https%3A%2F%2Fwww.webofscience.com%2Fwos%2Fwoscc%2Ffull-record%2FWOS:000614684800001","View Full Record in Web of Science")</f>
        <v>View Full Record in Web of Science</v>
      </c>
    </row>
    <row r="2053" spans="1:72" x14ac:dyDescent="0.15">
      <c r="A2053" t="s">
        <v>98</v>
      </c>
      <c r="B2053" t="s">
        <v>17441</v>
      </c>
      <c r="C2053" t="s">
        <v>74</v>
      </c>
      <c r="D2053" t="s">
        <v>74</v>
      </c>
      <c r="E2053" t="s">
        <v>74</v>
      </c>
      <c r="F2053" t="s">
        <v>17442</v>
      </c>
      <c r="G2053" t="s">
        <v>74</v>
      </c>
      <c r="H2053" t="s">
        <v>74</v>
      </c>
      <c r="I2053" t="s">
        <v>17443</v>
      </c>
      <c r="J2053" t="s">
        <v>10092</v>
      </c>
      <c r="K2053" t="s">
        <v>74</v>
      </c>
      <c r="L2053" t="s">
        <v>74</v>
      </c>
      <c r="M2053" t="s">
        <v>74</v>
      </c>
      <c r="N2053" t="s">
        <v>103</v>
      </c>
      <c r="O2053" t="s">
        <v>74</v>
      </c>
      <c r="P2053" t="s">
        <v>74</v>
      </c>
      <c r="Q2053" t="s">
        <v>74</v>
      </c>
      <c r="R2053" t="s">
        <v>74</v>
      </c>
      <c r="S2053" t="s">
        <v>74</v>
      </c>
      <c r="T2053" t="s">
        <v>17444</v>
      </c>
      <c r="U2053" t="s">
        <v>74</v>
      </c>
      <c r="V2053" t="s">
        <v>17445</v>
      </c>
      <c r="W2053" t="s">
        <v>17446</v>
      </c>
      <c r="X2053" t="s">
        <v>8047</v>
      </c>
      <c r="Y2053" t="s">
        <v>17447</v>
      </c>
      <c r="Z2053" t="s">
        <v>17448</v>
      </c>
      <c r="AA2053" t="s">
        <v>74</v>
      </c>
      <c r="AB2053" t="s">
        <v>74</v>
      </c>
      <c r="AC2053" t="s">
        <v>74</v>
      </c>
      <c r="AD2053" t="s">
        <v>74</v>
      </c>
      <c r="AE2053" t="s">
        <v>74</v>
      </c>
      <c r="AF2053" t="s">
        <v>74</v>
      </c>
      <c r="AG2053">
        <v>13</v>
      </c>
      <c r="AH2053">
        <v>0</v>
      </c>
      <c r="AI2053">
        <v>0</v>
      </c>
      <c r="AJ2053">
        <v>10</v>
      </c>
      <c r="AK2053">
        <v>21</v>
      </c>
      <c r="AL2053" t="s">
        <v>74</v>
      </c>
      <c r="AM2053" t="s">
        <v>74</v>
      </c>
      <c r="AN2053" t="s">
        <v>74</v>
      </c>
      <c r="AO2053" t="s">
        <v>10101</v>
      </c>
      <c r="AP2053" t="s">
        <v>10102</v>
      </c>
      <c r="AQ2053" t="s">
        <v>74</v>
      </c>
      <c r="AR2053" t="s">
        <v>74</v>
      </c>
      <c r="AS2053" t="s">
        <v>74</v>
      </c>
      <c r="AT2053" t="s">
        <v>967</v>
      </c>
      <c r="AU2053">
        <v>2021</v>
      </c>
      <c r="AV2053">
        <v>171</v>
      </c>
      <c r="AW2053" t="s">
        <v>74</v>
      </c>
      <c r="AX2053" t="s">
        <v>74</v>
      </c>
      <c r="AY2053" t="s">
        <v>74</v>
      </c>
      <c r="AZ2053" t="s">
        <v>74</v>
      </c>
      <c r="BA2053" t="s">
        <v>74</v>
      </c>
      <c r="BB2053" t="s">
        <v>74</v>
      </c>
      <c r="BC2053" t="s">
        <v>74</v>
      </c>
      <c r="BD2053">
        <v>106846</v>
      </c>
      <c r="BE2053" t="s">
        <v>17449</v>
      </c>
      <c r="BF2053" t="str">
        <f>HYPERLINK("http://dx.doi.org/10.1016/j.microc.2021.106846","http://dx.doi.org/10.1016/j.microc.2021.106846")</f>
        <v>http://dx.doi.org/10.1016/j.microc.2021.106846</v>
      </c>
      <c r="BG2053" t="s">
        <v>74</v>
      </c>
      <c r="BH2053" t="s">
        <v>395</v>
      </c>
      <c r="BI2053" t="s">
        <v>74</v>
      </c>
      <c r="BJ2053" t="s">
        <v>1118</v>
      </c>
      <c r="BK2053" t="s">
        <v>117</v>
      </c>
      <c r="BL2053" t="s">
        <v>1048</v>
      </c>
      <c r="BM2053" t="s">
        <v>74</v>
      </c>
      <c r="BN2053" t="s">
        <v>74</v>
      </c>
      <c r="BO2053" t="s">
        <v>74</v>
      </c>
      <c r="BP2053" t="s">
        <v>74</v>
      </c>
      <c r="BQ2053" t="s">
        <v>74</v>
      </c>
      <c r="BR2053" t="s">
        <v>96</v>
      </c>
      <c r="BS2053" t="s">
        <v>17450</v>
      </c>
      <c r="BT2053" t="str">
        <f>HYPERLINK("https%3A%2F%2Fwww.webofscience.com%2Fwos%2Fwoscc%2Ffull-record%2FWOS:000708126700008","View Full Record in Web of Science")</f>
        <v>View Full Record in Web of Science</v>
      </c>
    </row>
    <row r="2054" spans="1:72" x14ac:dyDescent="0.15">
      <c r="A2054" t="s">
        <v>98</v>
      </c>
      <c r="B2054" t="s">
        <v>17532</v>
      </c>
      <c r="C2054" t="s">
        <v>74</v>
      </c>
      <c r="D2054" t="s">
        <v>74</v>
      </c>
      <c r="E2054" t="s">
        <v>74</v>
      </c>
      <c r="F2054" t="s">
        <v>17533</v>
      </c>
      <c r="G2054" t="s">
        <v>74</v>
      </c>
      <c r="H2054" t="s">
        <v>74</v>
      </c>
      <c r="I2054" t="s">
        <v>17534</v>
      </c>
      <c r="J2054" t="s">
        <v>1766</v>
      </c>
      <c r="K2054" t="s">
        <v>74</v>
      </c>
      <c r="L2054" t="s">
        <v>74</v>
      </c>
      <c r="M2054" t="s">
        <v>74</v>
      </c>
      <c r="N2054" t="s">
        <v>103</v>
      </c>
      <c r="O2054" t="s">
        <v>74</v>
      </c>
      <c r="P2054" t="s">
        <v>74</v>
      </c>
      <c r="Q2054" t="s">
        <v>74</v>
      </c>
      <c r="R2054" t="s">
        <v>74</v>
      </c>
      <c r="S2054" t="s">
        <v>74</v>
      </c>
      <c r="T2054" t="s">
        <v>17535</v>
      </c>
      <c r="U2054" t="s">
        <v>17536</v>
      </c>
      <c r="V2054" t="s">
        <v>17537</v>
      </c>
      <c r="W2054" t="s">
        <v>17538</v>
      </c>
      <c r="X2054" t="s">
        <v>17539</v>
      </c>
      <c r="Y2054" t="s">
        <v>17540</v>
      </c>
      <c r="Z2054" t="s">
        <v>17541</v>
      </c>
      <c r="AA2054" t="s">
        <v>17542</v>
      </c>
      <c r="AB2054" t="s">
        <v>17543</v>
      </c>
      <c r="AC2054" t="s">
        <v>74</v>
      </c>
      <c r="AD2054" t="s">
        <v>74</v>
      </c>
      <c r="AE2054" t="s">
        <v>74</v>
      </c>
      <c r="AF2054" t="s">
        <v>74</v>
      </c>
      <c r="AG2054">
        <v>61</v>
      </c>
      <c r="AH2054">
        <v>0</v>
      </c>
      <c r="AI2054">
        <v>0</v>
      </c>
      <c r="AJ2054">
        <v>1</v>
      </c>
      <c r="AK2054">
        <v>1</v>
      </c>
      <c r="AL2054" t="s">
        <v>74</v>
      </c>
      <c r="AM2054" t="s">
        <v>74</v>
      </c>
      <c r="AN2054" t="s">
        <v>74</v>
      </c>
      <c r="AO2054" t="s">
        <v>74</v>
      </c>
      <c r="AP2054" t="s">
        <v>1776</v>
      </c>
      <c r="AQ2054" t="s">
        <v>74</v>
      </c>
      <c r="AR2054" t="s">
        <v>74</v>
      </c>
      <c r="AS2054" t="s">
        <v>74</v>
      </c>
      <c r="AT2054" t="s">
        <v>283</v>
      </c>
      <c r="AU2054">
        <v>2022</v>
      </c>
      <c r="AV2054">
        <v>10</v>
      </c>
      <c r="AW2054">
        <v>2</v>
      </c>
      <c r="AX2054" t="s">
        <v>74</v>
      </c>
      <c r="AY2054" t="s">
        <v>74</v>
      </c>
      <c r="AZ2054" t="s">
        <v>74</v>
      </c>
      <c r="BA2054" t="s">
        <v>74</v>
      </c>
      <c r="BB2054" t="s">
        <v>74</v>
      </c>
      <c r="BC2054" t="s">
        <v>74</v>
      </c>
      <c r="BD2054">
        <v>385</v>
      </c>
      <c r="BE2054" t="s">
        <v>17544</v>
      </c>
      <c r="BF2054" t="str">
        <f>HYPERLINK("http://dx.doi.org/10.3390/biomedicines10020385","http://dx.doi.org/10.3390/biomedicines10020385")</f>
        <v>http://dx.doi.org/10.3390/biomedicines10020385</v>
      </c>
      <c r="BG2054" t="s">
        <v>74</v>
      </c>
      <c r="BH2054" t="s">
        <v>74</v>
      </c>
      <c r="BI2054" t="s">
        <v>74</v>
      </c>
      <c r="BJ2054" t="s">
        <v>1778</v>
      </c>
      <c r="BK2054" t="s">
        <v>117</v>
      </c>
      <c r="BL2054" t="s">
        <v>1779</v>
      </c>
      <c r="BM2054" t="s">
        <v>74</v>
      </c>
      <c r="BN2054">
        <v>35203594</v>
      </c>
      <c r="BO2054" t="s">
        <v>74</v>
      </c>
      <c r="BP2054" t="s">
        <v>74</v>
      </c>
      <c r="BQ2054" t="s">
        <v>74</v>
      </c>
      <c r="BR2054" t="s">
        <v>96</v>
      </c>
      <c r="BS2054" t="s">
        <v>17545</v>
      </c>
      <c r="BT2054" t="str">
        <f>HYPERLINK("https%3A%2F%2Fwww.webofscience.com%2Fwos%2Fwoscc%2Ffull-record%2FWOS:000764092800001","View Full Record in Web of Science")</f>
        <v>View Full Record in Web of Science</v>
      </c>
    </row>
    <row r="2055" spans="1:72" x14ac:dyDescent="0.15">
      <c r="A2055" t="s">
        <v>98</v>
      </c>
      <c r="B2055" t="s">
        <v>17713</v>
      </c>
      <c r="C2055" t="s">
        <v>74</v>
      </c>
      <c r="D2055" t="s">
        <v>74</v>
      </c>
      <c r="E2055" t="s">
        <v>74</v>
      </c>
      <c r="F2055" t="s">
        <v>17714</v>
      </c>
      <c r="G2055" t="s">
        <v>74</v>
      </c>
      <c r="H2055" t="s">
        <v>74</v>
      </c>
      <c r="I2055" t="s">
        <v>17715</v>
      </c>
      <c r="J2055" t="s">
        <v>17716</v>
      </c>
      <c r="K2055" t="s">
        <v>74</v>
      </c>
      <c r="L2055" t="s">
        <v>74</v>
      </c>
      <c r="M2055" t="s">
        <v>74</v>
      </c>
      <c r="N2055" t="s">
        <v>103</v>
      </c>
      <c r="O2055" t="s">
        <v>74</v>
      </c>
      <c r="P2055" t="s">
        <v>74</v>
      </c>
      <c r="Q2055" t="s">
        <v>74</v>
      </c>
      <c r="R2055" t="s">
        <v>74</v>
      </c>
      <c r="S2055" t="s">
        <v>74</v>
      </c>
      <c r="T2055" t="s">
        <v>17717</v>
      </c>
      <c r="U2055" t="s">
        <v>17718</v>
      </c>
      <c r="V2055" t="s">
        <v>17719</v>
      </c>
      <c r="W2055" t="s">
        <v>17720</v>
      </c>
      <c r="X2055" t="s">
        <v>17721</v>
      </c>
      <c r="Y2055" t="s">
        <v>17722</v>
      </c>
      <c r="Z2055" t="s">
        <v>17723</v>
      </c>
      <c r="AA2055" t="s">
        <v>74</v>
      </c>
      <c r="AB2055" t="s">
        <v>74</v>
      </c>
      <c r="AC2055" t="s">
        <v>74</v>
      </c>
      <c r="AD2055" t="s">
        <v>74</v>
      </c>
      <c r="AE2055" t="s">
        <v>74</v>
      </c>
      <c r="AF2055" t="s">
        <v>74</v>
      </c>
      <c r="AG2055">
        <v>39</v>
      </c>
      <c r="AH2055">
        <v>0</v>
      </c>
      <c r="AI2055">
        <v>0</v>
      </c>
      <c r="AJ2055">
        <v>11</v>
      </c>
      <c r="AK2055">
        <v>11</v>
      </c>
      <c r="AL2055" t="s">
        <v>74</v>
      </c>
      <c r="AM2055" t="s">
        <v>74</v>
      </c>
      <c r="AN2055" t="s">
        <v>74</v>
      </c>
      <c r="AO2055" t="s">
        <v>74</v>
      </c>
      <c r="AP2055" t="s">
        <v>17724</v>
      </c>
      <c r="AQ2055" t="s">
        <v>74</v>
      </c>
      <c r="AR2055" t="s">
        <v>74</v>
      </c>
      <c r="AS2055" t="s">
        <v>74</v>
      </c>
      <c r="AT2055" t="s">
        <v>1029</v>
      </c>
      <c r="AU2055">
        <v>2022</v>
      </c>
      <c r="AV2055">
        <v>12</v>
      </c>
      <c r="AW2055">
        <v>10</v>
      </c>
      <c r="AX2055" t="s">
        <v>74</v>
      </c>
      <c r="AY2055" t="s">
        <v>74</v>
      </c>
      <c r="AZ2055" t="s">
        <v>74</v>
      </c>
      <c r="BA2055" t="s">
        <v>74</v>
      </c>
      <c r="BB2055" t="s">
        <v>74</v>
      </c>
      <c r="BC2055" t="s">
        <v>74</v>
      </c>
      <c r="BD2055">
        <v>1660</v>
      </c>
      <c r="BE2055" t="s">
        <v>17725</v>
      </c>
      <c r="BF2055" t="str">
        <f>HYPERLINK("http://dx.doi.org/10.3390/nano12101660","http://dx.doi.org/10.3390/nano12101660")</f>
        <v>http://dx.doi.org/10.3390/nano12101660</v>
      </c>
      <c r="BG2055" t="s">
        <v>74</v>
      </c>
      <c r="BH2055" t="s">
        <v>74</v>
      </c>
      <c r="BI2055" t="s">
        <v>74</v>
      </c>
      <c r="BJ2055" t="s">
        <v>4532</v>
      </c>
      <c r="BK2055" t="s">
        <v>117</v>
      </c>
      <c r="BL2055" t="s">
        <v>251</v>
      </c>
      <c r="BM2055" t="s">
        <v>74</v>
      </c>
      <c r="BN2055">
        <v>35630882</v>
      </c>
      <c r="BO2055" t="s">
        <v>74</v>
      </c>
      <c r="BP2055" t="s">
        <v>74</v>
      </c>
      <c r="BQ2055" t="s">
        <v>74</v>
      </c>
      <c r="BR2055" t="s">
        <v>96</v>
      </c>
      <c r="BS2055" t="s">
        <v>17726</v>
      </c>
      <c r="BT2055" t="str">
        <f>HYPERLINK("https%3A%2F%2Fwww.webofscience.com%2Fwos%2Fwoscc%2Ffull-record%2FWOS:000801412100001","View Full Record in Web of Science")</f>
        <v>View Full Record in Web of Science</v>
      </c>
    </row>
    <row r="2056" spans="1:72" x14ac:dyDescent="0.15">
      <c r="A2056" t="s">
        <v>98</v>
      </c>
      <c r="B2056" t="s">
        <v>18038</v>
      </c>
      <c r="C2056" t="s">
        <v>74</v>
      </c>
      <c r="D2056" t="s">
        <v>74</v>
      </c>
      <c r="E2056" t="s">
        <v>74</v>
      </c>
      <c r="F2056" t="s">
        <v>18039</v>
      </c>
      <c r="G2056" t="s">
        <v>74</v>
      </c>
      <c r="H2056" t="s">
        <v>74</v>
      </c>
      <c r="I2056" t="s">
        <v>18040</v>
      </c>
      <c r="J2056" t="s">
        <v>18041</v>
      </c>
      <c r="K2056" t="s">
        <v>74</v>
      </c>
      <c r="L2056" t="s">
        <v>74</v>
      </c>
      <c r="M2056" t="s">
        <v>74</v>
      </c>
      <c r="N2056" t="s">
        <v>103</v>
      </c>
      <c r="O2056" t="s">
        <v>74</v>
      </c>
      <c r="P2056" t="s">
        <v>74</v>
      </c>
      <c r="Q2056" t="s">
        <v>74</v>
      </c>
      <c r="R2056" t="s">
        <v>74</v>
      </c>
      <c r="S2056" t="s">
        <v>74</v>
      </c>
      <c r="T2056" t="s">
        <v>18042</v>
      </c>
      <c r="U2056" t="s">
        <v>18043</v>
      </c>
      <c r="V2056" t="s">
        <v>18044</v>
      </c>
      <c r="W2056" t="s">
        <v>18045</v>
      </c>
      <c r="X2056" t="s">
        <v>18046</v>
      </c>
      <c r="Y2056" t="s">
        <v>18047</v>
      </c>
      <c r="Z2056" t="s">
        <v>18048</v>
      </c>
      <c r="AA2056" t="s">
        <v>74</v>
      </c>
      <c r="AB2056" t="s">
        <v>74</v>
      </c>
      <c r="AC2056" t="s">
        <v>74</v>
      </c>
      <c r="AD2056" t="s">
        <v>74</v>
      </c>
      <c r="AE2056" t="s">
        <v>74</v>
      </c>
      <c r="AF2056" t="s">
        <v>74</v>
      </c>
      <c r="AG2056">
        <v>60</v>
      </c>
      <c r="AH2056">
        <v>0</v>
      </c>
      <c r="AI2056">
        <v>0</v>
      </c>
      <c r="AJ2056">
        <v>1</v>
      </c>
      <c r="AK2056">
        <v>1</v>
      </c>
      <c r="AL2056" t="s">
        <v>74</v>
      </c>
      <c r="AM2056" t="s">
        <v>74</v>
      </c>
      <c r="AN2056" t="s">
        <v>74</v>
      </c>
      <c r="AO2056" t="s">
        <v>18049</v>
      </c>
      <c r="AP2056" t="s">
        <v>18050</v>
      </c>
      <c r="AQ2056" t="s">
        <v>74</v>
      </c>
      <c r="AR2056" t="s">
        <v>74</v>
      </c>
      <c r="AS2056" t="s">
        <v>74</v>
      </c>
      <c r="AT2056" t="s">
        <v>114</v>
      </c>
      <c r="AU2056">
        <v>2022</v>
      </c>
      <c r="AV2056">
        <v>227</v>
      </c>
      <c r="AW2056">
        <v>2</v>
      </c>
      <c r="AX2056" t="s">
        <v>74</v>
      </c>
      <c r="AY2056" t="s">
        <v>74</v>
      </c>
      <c r="AZ2056" t="s">
        <v>74</v>
      </c>
      <c r="BA2056" t="s">
        <v>74</v>
      </c>
      <c r="BB2056" t="s">
        <v>74</v>
      </c>
      <c r="BC2056" t="s">
        <v>74</v>
      </c>
      <c r="BD2056">
        <v>152190</v>
      </c>
      <c r="BE2056" t="s">
        <v>18051</v>
      </c>
      <c r="BF2056" t="str">
        <f>HYPERLINK("http://dx.doi.org/10.1016/j.imbio.2022.152190","http://dx.doi.org/10.1016/j.imbio.2022.152190")</f>
        <v>http://dx.doi.org/10.1016/j.imbio.2022.152190</v>
      </c>
      <c r="BG2056" t="s">
        <v>74</v>
      </c>
      <c r="BH2056" t="s">
        <v>74</v>
      </c>
      <c r="BI2056" t="s">
        <v>74</v>
      </c>
      <c r="BJ2056" t="s">
        <v>2064</v>
      </c>
      <c r="BK2056" t="s">
        <v>117</v>
      </c>
      <c r="BL2056" t="s">
        <v>2064</v>
      </c>
      <c r="BM2056" t="s">
        <v>74</v>
      </c>
      <c r="BN2056">
        <v>35220071</v>
      </c>
      <c r="BO2056" t="s">
        <v>74</v>
      </c>
      <c r="BP2056" t="s">
        <v>74</v>
      </c>
      <c r="BQ2056" t="s">
        <v>74</v>
      </c>
      <c r="BR2056" t="s">
        <v>96</v>
      </c>
      <c r="BS2056" t="s">
        <v>18052</v>
      </c>
      <c r="BT2056" t="str">
        <f>HYPERLINK("https%3A%2F%2Fwww.webofscience.com%2Fwos%2Fwoscc%2Ffull-record%2FWOS:000777933200005","View Full Record in Web of Science")</f>
        <v>View Full Record in Web of Science</v>
      </c>
    </row>
    <row r="2057" spans="1:72" x14ac:dyDescent="0.15">
      <c r="A2057" t="s">
        <v>98</v>
      </c>
      <c r="B2057" t="s">
        <v>18379</v>
      </c>
      <c r="C2057" t="s">
        <v>74</v>
      </c>
      <c r="D2057" t="s">
        <v>74</v>
      </c>
      <c r="E2057" t="s">
        <v>74</v>
      </c>
      <c r="F2057" t="s">
        <v>18380</v>
      </c>
      <c r="G2057" t="s">
        <v>74</v>
      </c>
      <c r="H2057" t="s">
        <v>74</v>
      </c>
      <c r="I2057" t="s">
        <v>18381</v>
      </c>
      <c r="J2057" t="s">
        <v>1766</v>
      </c>
      <c r="K2057" t="s">
        <v>74</v>
      </c>
      <c r="L2057" t="s">
        <v>74</v>
      </c>
      <c r="M2057" t="s">
        <v>74</v>
      </c>
      <c r="N2057" t="s">
        <v>103</v>
      </c>
      <c r="O2057" t="s">
        <v>74</v>
      </c>
      <c r="P2057" t="s">
        <v>74</v>
      </c>
      <c r="Q2057" t="s">
        <v>74</v>
      </c>
      <c r="R2057" t="s">
        <v>74</v>
      </c>
      <c r="S2057" t="s">
        <v>74</v>
      </c>
      <c r="T2057" t="s">
        <v>18382</v>
      </c>
      <c r="U2057" t="s">
        <v>18383</v>
      </c>
      <c r="V2057" t="s">
        <v>18384</v>
      </c>
      <c r="W2057" t="s">
        <v>18385</v>
      </c>
      <c r="X2057" t="s">
        <v>18386</v>
      </c>
      <c r="Y2057" t="s">
        <v>18387</v>
      </c>
      <c r="Z2057" t="s">
        <v>18388</v>
      </c>
      <c r="AA2057" t="s">
        <v>18389</v>
      </c>
      <c r="AB2057" t="s">
        <v>18390</v>
      </c>
      <c r="AC2057" t="s">
        <v>74</v>
      </c>
      <c r="AD2057" t="s">
        <v>74</v>
      </c>
      <c r="AE2057" t="s">
        <v>74</v>
      </c>
      <c r="AF2057" t="s">
        <v>74</v>
      </c>
      <c r="AG2057">
        <v>169</v>
      </c>
      <c r="AH2057">
        <v>0</v>
      </c>
      <c r="AI2057">
        <v>0</v>
      </c>
      <c r="AJ2057">
        <v>3</v>
      </c>
      <c r="AK2057">
        <v>3</v>
      </c>
      <c r="AL2057" t="s">
        <v>74</v>
      </c>
      <c r="AM2057" t="s">
        <v>74</v>
      </c>
      <c r="AN2057" t="s">
        <v>74</v>
      </c>
      <c r="AO2057" t="s">
        <v>74</v>
      </c>
      <c r="AP2057" t="s">
        <v>1776</v>
      </c>
      <c r="AQ2057" t="s">
        <v>74</v>
      </c>
      <c r="AR2057" t="s">
        <v>74</v>
      </c>
      <c r="AS2057" t="s">
        <v>74</v>
      </c>
      <c r="AT2057" t="s">
        <v>283</v>
      </c>
      <c r="AU2057">
        <v>2022</v>
      </c>
      <c r="AV2057">
        <v>10</v>
      </c>
      <c r="AW2057">
        <v>2</v>
      </c>
      <c r="AX2057" t="s">
        <v>74</v>
      </c>
      <c r="AY2057" t="s">
        <v>74</v>
      </c>
      <c r="AZ2057" t="s">
        <v>74</v>
      </c>
      <c r="BA2057" t="s">
        <v>74</v>
      </c>
      <c r="BB2057" t="s">
        <v>74</v>
      </c>
      <c r="BC2057" t="s">
        <v>74</v>
      </c>
      <c r="BD2057">
        <v>506</v>
      </c>
      <c r="BE2057" t="s">
        <v>18391</v>
      </c>
      <c r="BF2057" t="str">
        <f>HYPERLINK("http://dx.doi.org/10.3390/biomedicines10020506","http://dx.doi.org/10.3390/biomedicines10020506")</f>
        <v>http://dx.doi.org/10.3390/biomedicines10020506</v>
      </c>
      <c r="BG2057" t="s">
        <v>74</v>
      </c>
      <c r="BH2057" t="s">
        <v>74</v>
      </c>
      <c r="BI2057" t="s">
        <v>74</v>
      </c>
      <c r="BJ2057" t="s">
        <v>1778</v>
      </c>
      <c r="BK2057" t="s">
        <v>117</v>
      </c>
      <c r="BL2057" t="s">
        <v>1779</v>
      </c>
      <c r="BM2057" t="s">
        <v>74</v>
      </c>
      <c r="BN2057">
        <v>35203714</v>
      </c>
      <c r="BO2057" t="s">
        <v>74</v>
      </c>
      <c r="BP2057" t="s">
        <v>74</v>
      </c>
      <c r="BQ2057" t="s">
        <v>74</v>
      </c>
      <c r="BR2057" t="s">
        <v>96</v>
      </c>
      <c r="BS2057" t="s">
        <v>18392</v>
      </c>
      <c r="BT2057" t="str">
        <f>HYPERLINK("https%3A%2F%2Fwww.webofscience.com%2Fwos%2Fwoscc%2Ffull-record%2FWOS:000762485000001","View Full Record in Web of Science")</f>
        <v>View Full Record in Web of Science</v>
      </c>
    </row>
    <row r="2058" spans="1:72" x14ac:dyDescent="0.15">
      <c r="A2058" t="s">
        <v>98</v>
      </c>
      <c r="B2058" t="s">
        <v>18470</v>
      </c>
      <c r="C2058" t="s">
        <v>74</v>
      </c>
      <c r="D2058" t="s">
        <v>74</v>
      </c>
      <c r="E2058" t="s">
        <v>74</v>
      </c>
      <c r="F2058" t="s">
        <v>18471</v>
      </c>
      <c r="G2058" t="s">
        <v>74</v>
      </c>
      <c r="H2058" t="s">
        <v>74</v>
      </c>
      <c r="I2058" t="s">
        <v>18472</v>
      </c>
      <c r="J2058" t="s">
        <v>6255</v>
      </c>
      <c r="K2058" t="s">
        <v>74</v>
      </c>
      <c r="L2058" t="s">
        <v>74</v>
      </c>
      <c r="M2058" t="s">
        <v>74</v>
      </c>
      <c r="N2058" t="s">
        <v>103</v>
      </c>
      <c r="O2058" t="s">
        <v>74</v>
      </c>
      <c r="P2058" t="s">
        <v>74</v>
      </c>
      <c r="Q2058" t="s">
        <v>74</v>
      </c>
      <c r="R2058" t="s">
        <v>74</v>
      </c>
      <c r="S2058" t="s">
        <v>74</v>
      </c>
      <c r="T2058" t="s">
        <v>18473</v>
      </c>
      <c r="U2058" t="s">
        <v>18474</v>
      </c>
      <c r="V2058" t="s">
        <v>18475</v>
      </c>
      <c r="W2058" t="s">
        <v>18476</v>
      </c>
      <c r="X2058" t="s">
        <v>18477</v>
      </c>
      <c r="Y2058" t="s">
        <v>18478</v>
      </c>
      <c r="Z2058" t="s">
        <v>18479</v>
      </c>
      <c r="AA2058" t="s">
        <v>74</v>
      </c>
      <c r="AB2058" t="s">
        <v>74</v>
      </c>
      <c r="AC2058" t="s">
        <v>74</v>
      </c>
      <c r="AD2058" t="s">
        <v>74</v>
      </c>
      <c r="AE2058" t="s">
        <v>74</v>
      </c>
      <c r="AF2058" t="s">
        <v>74</v>
      </c>
      <c r="AG2058">
        <v>40</v>
      </c>
      <c r="AH2058">
        <v>0</v>
      </c>
      <c r="AI2058">
        <v>0</v>
      </c>
      <c r="AJ2058">
        <v>0</v>
      </c>
      <c r="AK2058">
        <v>2</v>
      </c>
      <c r="AL2058" t="s">
        <v>74</v>
      </c>
      <c r="AM2058" t="s">
        <v>74</v>
      </c>
      <c r="AN2058" t="s">
        <v>74</v>
      </c>
      <c r="AO2058" t="s">
        <v>6265</v>
      </c>
      <c r="AP2058" t="s">
        <v>6266</v>
      </c>
      <c r="AQ2058" t="s">
        <v>74</v>
      </c>
      <c r="AR2058" t="s">
        <v>74</v>
      </c>
      <c r="AS2058" t="s">
        <v>74</v>
      </c>
      <c r="AT2058" t="s">
        <v>114</v>
      </c>
      <c r="AU2058">
        <v>2021</v>
      </c>
      <c r="AV2058">
        <v>28</v>
      </c>
      <c r="AW2058">
        <v>1</v>
      </c>
      <c r="AX2058" t="s">
        <v>74</v>
      </c>
      <c r="AY2058" t="s">
        <v>74</v>
      </c>
      <c r="AZ2058" t="s">
        <v>74</v>
      </c>
      <c r="BA2058" t="s">
        <v>74</v>
      </c>
      <c r="BB2058">
        <v>252</v>
      </c>
      <c r="BC2058">
        <v>262</v>
      </c>
      <c r="BD2058" t="s">
        <v>74</v>
      </c>
      <c r="BE2058" t="s">
        <v>18480</v>
      </c>
      <c r="BF2058" t="str">
        <f>HYPERLINK("http://dx.doi.org/10.1007/s43032-020-00283-7","http://dx.doi.org/10.1007/s43032-020-00283-7")</f>
        <v>http://dx.doi.org/10.1007/s43032-020-00283-7</v>
      </c>
      <c r="BG2058" t="s">
        <v>74</v>
      </c>
      <c r="BH2058" t="s">
        <v>1323</v>
      </c>
      <c r="BI2058" t="s">
        <v>74</v>
      </c>
      <c r="BJ2058" t="s">
        <v>6268</v>
      </c>
      <c r="BK2058" t="s">
        <v>117</v>
      </c>
      <c r="BL2058" t="s">
        <v>6268</v>
      </c>
      <c r="BM2058" t="s">
        <v>74</v>
      </c>
      <c r="BN2058">
        <v>32780361</v>
      </c>
      <c r="BO2058" t="s">
        <v>74</v>
      </c>
      <c r="BP2058" t="s">
        <v>74</v>
      </c>
      <c r="BQ2058" t="s">
        <v>74</v>
      </c>
      <c r="BR2058" t="s">
        <v>96</v>
      </c>
      <c r="BS2058" t="s">
        <v>18481</v>
      </c>
      <c r="BT2058" t="str">
        <f>HYPERLINK("https%3A%2F%2Fwww.webofscience.com%2Fwos%2Fwoscc%2Ffull-record%2FWOS:000558617700005","View Full Record in Web of Science")</f>
        <v>View Full Record in Web of Science</v>
      </c>
    </row>
    <row r="2059" spans="1:72" x14ac:dyDescent="0.15">
      <c r="A2059" t="s">
        <v>98</v>
      </c>
      <c r="B2059" t="s">
        <v>18482</v>
      </c>
      <c r="C2059" t="s">
        <v>74</v>
      </c>
      <c r="D2059" t="s">
        <v>74</v>
      </c>
      <c r="E2059" t="s">
        <v>74</v>
      </c>
      <c r="F2059" t="s">
        <v>18483</v>
      </c>
      <c r="G2059" t="s">
        <v>74</v>
      </c>
      <c r="H2059" t="s">
        <v>74</v>
      </c>
      <c r="I2059" t="s">
        <v>18484</v>
      </c>
      <c r="J2059" t="s">
        <v>18485</v>
      </c>
      <c r="K2059" t="s">
        <v>74</v>
      </c>
      <c r="L2059" t="s">
        <v>74</v>
      </c>
      <c r="M2059" t="s">
        <v>74</v>
      </c>
      <c r="N2059" t="s">
        <v>103</v>
      </c>
      <c r="O2059" t="s">
        <v>74</v>
      </c>
      <c r="P2059" t="s">
        <v>74</v>
      </c>
      <c r="Q2059" t="s">
        <v>74</v>
      </c>
      <c r="R2059" t="s">
        <v>74</v>
      </c>
      <c r="S2059" t="s">
        <v>74</v>
      </c>
      <c r="T2059" t="s">
        <v>18486</v>
      </c>
      <c r="U2059" t="s">
        <v>18487</v>
      </c>
      <c r="V2059" t="s">
        <v>18488</v>
      </c>
      <c r="W2059" t="s">
        <v>18489</v>
      </c>
      <c r="X2059" t="s">
        <v>18490</v>
      </c>
      <c r="Y2059" t="s">
        <v>18491</v>
      </c>
      <c r="Z2059" t="s">
        <v>18492</v>
      </c>
      <c r="AA2059" t="s">
        <v>18493</v>
      </c>
      <c r="AB2059" t="s">
        <v>18494</v>
      </c>
      <c r="AC2059" t="s">
        <v>74</v>
      </c>
      <c r="AD2059" t="s">
        <v>74</v>
      </c>
      <c r="AE2059" t="s">
        <v>74</v>
      </c>
      <c r="AF2059" t="s">
        <v>74</v>
      </c>
      <c r="AG2059">
        <v>32</v>
      </c>
      <c r="AH2059">
        <v>0</v>
      </c>
      <c r="AI2059">
        <v>0</v>
      </c>
      <c r="AJ2059">
        <v>3</v>
      </c>
      <c r="AK2059">
        <v>3</v>
      </c>
      <c r="AL2059" t="s">
        <v>74</v>
      </c>
      <c r="AM2059" t="s">
        <v>74</v>
      </c>
      <c r="AN2059" t="s">
        <v>74</v>
      </c>
      <c r="AO2059" t="s">
        <v>74</v>
      </c>
      <c r="AP2059" t="s">
        <v>18495</v>
      </c>
      <c r="AQ2059" t="s">
        <v>74</v>
      </c>
      <c r="AR2059" t="s">
        <v>74</v>
      </c>
      <c r="AS2059" t="s">
        <v>74</v>
      </c>
      <c r="AT2059" t="s">
        <v>132</v>
      </c>
      <c r="AU2059">
        <v>2022</v>
      </c>
      <c r="AV2059">
        <v>12</v>
      </c>
      <c r="AW2059">
        <v>4</v>
      </c>
      <c r="AX2059" t="s">
        <v>74</v>
      </c>
      <c r="AY2059" t="s">
        <v>74</v>
      </c>
      <c r="AZ2059" t="s">
        <v>74</v>
      </c>
      <c r="BA2059" t="s">
        <v>74</v>
      </c>
      <c r="BB2059" t="s">
        <v>74</v>
      </c>
      <c r="BC2059" t="s">
        <v>74</v>
      </c>
      <c r="BD2059">
        <v>500</v>
      </c>
      <c r="BE2059" t="s">
        <v>18496</v>
      </c>
      <c r="BF2059" t="str">
        <f>HYPERLINK("http://dx.doi.org/10.3390/brainsci12040500","http://dx.doi.org/10.3390/brainsci12040500")</f>
        <v>http://dx.doi.org/10.3390/brainsci12040500</v>
      </c>
      <c r="BG2059" t="s">
        <v>74</v>
      </c>
      <c r="BH2059" t="s">
        <v>74</v>
      </c>
      <c r="BI2059" t="s">
        <v>74</v>
      </c>
      <c r="BJ2059" t="s">
        <v>652</v>
      </c>
      <c r="BK2059" t="s">
        <v>117</v>
      </c>
      <c r="BL2059" t="s">
        <v>653</v>
      </c>
      <c r="BM2059" t="s">
        <v>74</v>
      </c>
      <c r="BN2059">
        <v>35448031</v>
      </c>
      <c r="BO2059" t="s">
        <v>74</v>
      </c>
      <c r="BP2059" t="s">
        <v>74</v>
      </c>
      <c r="BQ2059" t="s">
        <v>74</v>
      </c>
      <c r="BR2059" t="s">
        <v>96</v>
      </c>
      <c r="BS2059" t="s">
        <v>18497</v>
      </c>
      <c r="BT2059" t="str">
        <f>HYPERLINK("https%3A%2F%2Fwww.webofscience.com%2Fwos%2Fwoscc%2Ffull-record%2FWOS:000785346500001","View Full Record in Web of Science")</f>
        <v>View Full Record in Web of Science</v>
      </c>
    </row>
    <row r="2060" spans="1:72" x14ac:dyDescent="0.15">
      <c r="A2060" t="s">
        <v>72</v>
      </c>
      <c r="B2060" t="s">
        <v>16431</v>
      </c>
      <c r="C2060" t="s">
        <v>74</v>
      </c>
      <c r="D2060" t="s">
        <v>18622</v>
      </c>
      <c r="E2060" t="s">
        <v>74</v>
      </c>
      <c r="F2060" t="s">
        <v>16432</v>
      </c>
      <c r="G2060" t="s">
        <v>74</v>
      </c>
      <c r="H2060" t="s">
        <v>74</v>
      </c>
      <c r="I2060" t="s">
        <v>18623</v>
      </c>
      <c r="J2060" t="s">
        <v>18624</v>
      </c>
      <c r="K2060" t="s">
        <v>79</v>
      </c>
      <c r="L2060" t="s">
        <v>74</v>
      </c>
      <c r="M2060" t="s">
        <v>74</v>
      </c>
      <c r="N2060" t="s">
        <v>80</v>
      </c>
      <c r="O2060" t="s">
        <v>74</v>
      </c>
      <c r="P2060" t="s">
        <v>74</v>
      </c>
      <c r="Q2060" t="s">
        <v>74</v>
      </c>
      <c r="R2060" t="s">
        <v>74</v>
      </c>
      <c r="S2060" t="s">
        <v>74</v>
      </c>
      <c r="T2060" t="s">
        <v>18625</v>
      </c>
      <c r="U2060" t="s">
        <v>18626</v>
      </c>
      <c r="V2060" t="s">
        <v>18627</v>
      </c>
      <c r="W2060" t="s">
        <v>18628</v>
      </c>
      <c r="X2060" t="s">
        <v>14386</v>
      </c>
      <c r="Y2060" t="s">
        <v>18629</v>
      </c>
      <c r="Z2060" t="s">
        <v>74</v>
      </c>
      <c r="AA2060" t="s">
        <v>74</v>
      </c>
      <c r="AB2060" t="s">
        <v>74</v>
      </c>
      <c r="AC2060" t="s">
        <v>74</v>
      </c>
      <c r="AD2060" t="s">
        <v>74</v>
      </c>
      <c r="AE2060" t="s">
        <v>74</v>
      </c>
      <c r="AF2060" t="s">
        <v>74</v>
      </c>
      <c r="AG2060">
        <v>35</v>
      </c>
      <c r="AH2060">
        <v>0</v>
      </c>
      <c r="AI2060">
        <v>0</v>
      </c>
      <c r="AJ2060">
        <v>1</v>
      </c>
      <c r="AK2060">
        <v>1</v>
      </c>
      <c r="AL2060" t="s">
        <v>74</v>
      </c>
      <c r="AM2060" t="s">
        <v>74</v>
      </c>
      <c r="AN2060" t="s">
        <v>74</v>
      </c>
      <c r="AO2060" t="s">
        <v>88</v>
      </c>
      <c r="AP2060" t="s">
        <v>89</v>
      </c>
      <c r="AQ2060" t="s">
        <v>18630</v>
      </c>
      <c r="AR2060" t="s">
        <v>74</v>
      </c>
      <c r="AS2060" t="s">
        <v>74</v>
      </c>
      <c r="AT2060" t="s">
        <v>74</v>
      </c>
      <c r="AU2060">
        <v>2021</v>
      </c>
      <c r="AV2060">
        <v>2324</v>
      </c>
      <c r="AW2060" t="s">
        <v>74</v>
      </c>
      <c r="AX2060" t="s">
        <v>74</v>
      </c>
      <c r="AY2060" t="s">
        <v>74</v>
      </c>
      <c r="AZ2060" t="s">
        <v>74</v>
      </c>
      <c r="BA2060" t="s">
        <v>74</v>
      </c>
      <c r="BB2060">
        <v>339</v>
      </c>
      <c r="BC2060">
        <v>360</v>
      </c>
      <c r="BD2060" t="s">
        <v>74</v>
      </c>
      <c r="BE2060" t="s">
        <v>18631</v>
      </c>
      <c r="BF2060" t="str">
        <f>HYPERLINK("http://dx.doi.org/10.1007/978-1-0716-1503-4_21","http://dx.doi.org/10.1007/978-1-0716-1503-4_21")</f>
        <v>http://dx.doi.org/10.1007/978-1-0716-1503-4_21</v>
      </c>
      <c r="BG2060" t="s">
        <v>18632</v>
      </c>
      <c r="BH2060" t="s">
        <v>74</v>
      </c>
      <c r="BI2060" t="s">
        <v>74</v>
      </c>
      <c r="BJ2060" t="s">
        <v>8267</v>
      </c>
      <c r="BK2060" t="s">
        <v>94</v>
      </c>
      <c r="BL2060" t="s">
        <v>950</v>
      </c>
      <c r="BM2060" t="s">
        <v>74</v>
      </c>
      <c r="BN2060">
        <v>34165725</v>
      </c>
      <c r="BO2060" t="s">
        <v>74</v>
      </c>
      <c r="BP2060" t="s">
        <v>74</v>
      </c>
      <c r="BQ2060" t="s">
        <v>74</v>
      </c>
      <c r="BR2060" t="s">
        <v>96</v>
      </c>
      <c r="BS2060" t="s">
        <v>18633</v>
      </c>
      <c r="BT2060" t="str">
        <f>HYPERLINK("https%3A%2F%2Fwww.webofscience.com%2Fwos%2Fwoscc%2Ffull-record%2FWOS:000707161100022","View Full Record in Web of Science")</f>
        <v>View Full Record in Web of Science</v>
      </c>
    </row>
    <row r="2061" spans="1:72" x14ac:dyDescent="0.15">
      <c r="A2061" t="s">
        <v>98</v>
      </c>
      <c r="B2061" t="s">
        <v>18669</v>
      </c>
      <c r="C2061" t="s">
        <v>74</v>
      </c>
      <c r="D2061" t="s">
        <v>74</v>
      </c>
      <c r="E2061" t="s">
        <v>74</v>
      </c>
      <c r="F2061" t="s">
        <v>18670</v>
      </c>
      <c r="G2061" t="s">
        <v>74</v>
      </c>
      <c r="H2061" t="s">
        <v>74</v>
      </c>
      <c r="I2061" t="s">
        <v>18671</v>
      </c>
      <c r="J2061" t="s">
        <v>6698</v>
      </c>
      <c r="K2061" t="s">
        <v>74</v>
      </c>
      <c r="L2061" t="s">
        <v>74</v>
      </c>
      <c r="M2061" t="s">
        <v>74</v>
      </c>
      <c r="N2061" t="s">
        <v>103</v>
      </c>
      <c r="O2061" t="s">
        <v>74</v>
      </c>
      <c r="P2061" t="s">
        <v>74</v>
      </c>
      <c r="Q2061" t="s">
        <v>74</v>
      </c>
      <c r="R2061" t="s">
        <v>74</v>
      </c>
      <c r="S2061" t="s">
        <v>74</v>
      </c>
      <c r="T2061" t="s">
        <v>18672</v>
      </c>
      <c r="U2061" t="s">
        <v>18673</v>
      </c>
      <c r="V2061" t="s">
        <v>18674</v>
      </c>
      <c r="W2061" t="s">
        <v>18675</v>
      </c>
      <c r="X2061" t="s">
        <v>6703</v>
      </c>
      <c r="Y2061" t="s">
        <v>6704</v>
      </c>
      <c r="Z2061" t="s">
        <v>6705</v>
      </c>
      <c r="AA2061" t="s">
        <v>74</v>
      </c>
      <c r="AB2061" t="s">
        <v>74</v>
      </c>
      <c r="AC2061" t="s">
        <v>74</v>
      </c>
      <c r="AD2061" t="s">
        <v>74</v>
      </c>
      <c r="AE2061" t="s">
        <v>74</v>
      </c>
      <c r="AF2061" t="s">
        <v>74</v>
      </c>
      <c r="AG2061">
        <v>39</v>
      </c>
      <c r="AH2061">
        <v>0</v>
      </c>
      <c r="AI2061">
        <v>0</v>
      </c>
      <c r="AJ2061">
        <v>4</v>
      </c>
      <c r="AK2061">
        <v>4</v>
      </c>
      <c r="AL2061" t="s">
        <v>74</v>
      </c>
      <c r="AM2061" t="s">
        <v>74</v>
      </c>
      <c r="AN2061" t="s">
        <v>74</v>
      </c>
      <c r="AO2061" t="s">
        <v>6707</v>
      </c>
      <c r="AP2061" t="s">
        <v>6708</v>
      </c>
      <c r="AQ2061" t="s">
        <v>74</v>
      </c>
      <c r="AR2061" t="s">
        <v>74</v>
      </c>
      <c r="AS2061" t="s">
        <v>74</v>
      </c>
      <c r="AT2061" t="s">
        <v>1029</v>
      </c>
      <c r="AU2061">
        <v>2022</v>
      </c>
      <c r="AV2061">
        <v>64</v>
      </c>
      <c r="AW2061" t="s">
        <v>74</v>
      </c>
      <c r="AX2061" t="s">
        <v>74</v>
      </c>
      <c r="AY2061" t="s">
        <v>74</v>
      </c>
      <c r="AZ2061" t="s">
        <v>74</v>
      </c>
      <c r="BA2061" t="s">
        <v>74</v>
      </c>
      <c r="BB2061">
        <v>136</v>
      </c>
      <c r="BC2061">
        <v>144</v>
      </c>
      <c r="BD2061" t="s">
        <v>74</v>
      </c>
      <c r="BE2061" t="s">
        <v>18676</v>
      </c>
      <c r="BF2061" t="str">
        <f>HYPERLINK("http://dx.doi.org/10.1016/j.mito.2022.04.001","http://dx.doi.org/10.1016/j.mito.2022.04.001")</f>
        <v>http://dx.doi.org/10.1016/j.mito.2022.04.001</v>
      </c>
      <c r="BG2061" t="s">
        <v>74</v>
      </c>
      <c r="BH2061" t="s">
        <v>74</v>
      </c>
      <c r="BI2061" t="s">
        <v>74</v>
      </c>
      <c r="BJ2061" t="s">
        <v>6710</v>
      </c>
      <c r="BK2061" t="s">
        <v>117</v>
      </c>
      <c r="BL2061" t="s">
        <v>6710</v>
      </c>
      <c r="BM2061" t="s">
        <v>74</v>
      </c>
      <c r="BN2061">
        <v>35398304</v>
      </c>
      <c r="BO2061" t="s">
        <v>74</v>
      </c>
      <c r="BP2061" t="s">
        <v>74</v>
      </c>
      <c r="BQ2061" t="s">
        <v>74</v>
      </c>
      <c r="BR2061" t="s">
        <v>96</v>
      </c>
      <c r="BS2061" t="s">
        <v>18677</v>
      </c>
      <c r="BT2061" t="str">
        <f>HYPERLINK("https%3A%2F%2Fwww.webofscience.com%2Fwos%2Fwoscc%2Ffull-record%2FWOS:000807750800001","View Full Record in Web of Science")</f>
        <v>View Full Record in Web of Science</v>
      </c>
    </row>
    <row r="2062" spans="1:72" x14ac:dyDescent="0.15">
      <c r="A2062" t="s">
        <v>98</v>
      </c>
      <c r="B2062" t="s">
        <v>18703</v>
      </c>
      <c r="C2062" t="s">
        <v>74</v>
      </c>
      <c r="D2062" t="s">
        <v>74</v>
      </c>
      <c r="E2062" t="s">
        <v>74</v>
      </c>
      <c r="F2062" t="s">
        <v>18704</v>
      </c>
      <c r="G2062" t="s">
        <v>74</v>
      </c>
      <c r="H2062" t="s">
        <v>74</v>
      </c>
      <c r="I2062" t="s">
        <v>18705</v>
      </c>
      <c r="J2062" t="s">
        <v>18706</v>
      </c>
      <c r="K2062" t="s">
        <v>74</v>
      </c>
      <c r="L2062" t="s">
        <v>74</v>
      </c>
      <c r="M2062" t="s">
        <v>74</v>
      </c>
      <c r="N2062" t="s">
        <v>103</v>
      </c>
      <c r="O2062" t="s">
        <v>74</v>
      </c>
      <c r="P2062" t="s">
        <v>74</v>
      </c>
      <c r="Q2062" t="s">
        <v>74</v>
      </c>
      <c r="R2062" t="s">
        <v>74</v>
      </c>
      <c r="S2062" t="s">
        <v>74</v>
      </c>
      <c r="T2062" t="s">
        <v>18707</v>
      </c>
      <c r="U2062" t="s">
        <v>18708</v>
      </c>
      <c r="V2062" t="s">
        <v>18709</v>
      </c>
      <c r="W2062" t="s">
        <v>18710</v>
      </c>
      <c r="X2062" t="s">
        <v>18711</v>
      </c>
      <c r="Y2062" t="s">
        <v>18712</v>
      </c>
      <c r="Z2062" t="s">
        <v>18713</v>
      </c>
      <c r="AA2062" t="s">
        <v>74</v>
      </c>
      <c r="AB2062" t="s">
        <v>74</v>
      </c>
      <c r="AC2062" t="s">
        <v>74</v>
      </c>
      <c r="AD2062" t="s">
        <v>74</v>
      </c>
      <c r="AE2062" t="s">
        <v>74</v>
      </c>
      <c r="AF2062" t="s">
        <v>74</v>
      </c>
      <c r="AG2062">
        <v>39</v>
      </c>
      <c r="AH2062">
        <v>0</v>
      </c>
      <c r="AI2062">
        <v>0</v>
      </c>
      <c r="AJ2062">
        <v>14</v>
      </c>
      <c r="AK2062">
        <v>17</v>
      </c>
      <c r="AL2062" t="s">
        <v>74</v>
      </c>
      <c r="AM2062" t="s">
        <v>74</v>
      </c>
      <c r="AN2062" t="s">
        <v>74</v>
      </c>
      <c r="AO2062" t="s">
        <v>18714</v>
      </c>
      <c r="AP2062" t="s">
        <v>18715</v>
      </c>
      <c r="AQ2062" t="s">
        <v>74</v>
      </c>
      <c r="AR2062" t="s">
        <v>74</v>
      </c>
      <c r="AS2062" t="s">
        <v>74</v>
      </c>
      <c r="AT2062" t="s">
        <v>599</v>
      </c>
      <c r="AU2062">
        <v>2022</v>
      </c>
      <c r="AV2062">
        <v>229</v>
      </c>
      <c r="AW2062" t="s">
        <v>74</v>
      </c>
      <c r="AX2062" t="s">
        <v>74</v>
      </c>
      <c r="AY2062" t="s">
        <v>74</v>
      </c>
      <c r="AZ2062" t="s">
        <v>74</v>
      </c>
      <c r="BA2062" t="s">
        <v>74</v>
      </c>
      <c r="BB2062" t="s">
        <v>74</v>
      </c>
      <c r="BC2062" t="s">
        <v>74</v>
      </c>
      <c r="BD2062">
        <v>113084</v>
      </c>
      <c r="BE2062" t="s">
        <v>18716</v>
      </c>
      <c r="BF2062" t="str">
        <f>HYPERLINK("http://dx.doi.org/10.1016/j.ecoenv.2021.113084","http://dx.doi.org/10.1016/j.ecoenv.2021.113084")</f>
        <v>http://dx.doi.org/10.1016/j.ecoenv.2021.113084</v>
      </c>
      <c r="BG2062" t="s">
        <v>74</v>
      </c>
      <c r="BH2062" t="s">
        <v>2718</v>
      </c>
      <c r="BI2062" t="s">
        <v>74</v>
      </c>
      <c r="BJ2062" t="s">
        <v>18717</v>
      </c>
      <c r="BK2062" t="s">
        <v>117</v>
      </c>
      <c r="BL2062" t="s">
        <v>18718</v>
      </c>
      <c r="BM2062" t="s">
        <v>74</v>
      </c>
      <c r="BN2062">
        <v>34915223</v>
      </c>
      <c r="BO2062" t="s">
        <v>74</v>
      </c>
      <c r="BP2062" t="s">
        <v>74</v>
      </c>
      <c r="BQ2062" t="s">
        <v>74</v>
      </c>
      <c r="BR2062" t="s">
        <v>96</v>
      </c>
      <c r="BS2062" t="s">
        <v>18719</v>
      </c>
      <c r="BT2062" t="str">
        <f>HYPERLINK("https%3A%2F%2Fwww.webofscience.com%2Fwos%2Fwoscc%2Ffull-record%2FWOS:000740087200006","View Full Record in Web of Science")</f>
        <v>View Full Record in Web of Science</v>
      </c>
    </row>
    <row r="2063" spans="1:72" x14ac:dyDescent="0.15">
      <c r="A2063" t="s">
        <v>98</v>
      </c>
      <c r="B2063" t="s">
        <v>18733</v>
      </c>
      <c r="C2063" t="s">
        <v>74</v>
      </c>
      <c r="D2063" t="s">
        <v>74</v>
      </c>
      <c r="E2063" t="s">
        <v>74</v>
      </c>
      <c r="F2063" t="s">
        <v>18734</v>
      </c>
      <c r="G2063" t="s">
        <v>74</v>
      </c>
      <c r="H2063" t="s">
        <v>74</v>
      </c>
      <c r="I2063" t="s">
        <v>18735</v>
      </c>
      <c r="J2063" t="s">
        <v>18736</v>
      </c>
      <c r="K2063" t="s">
        <v>74</v>
      </c>
      <c r="L2063" t="s">
        <v>74</v>
      </c>
      <c r="M2063" t="s">
        <v>74</v>
      </c>
      <c r="N2063" t="s">
        <v>103</v>
      </c>
      <c r="O2063" t="s">
        <v>74</v>
      </c>
      <c r="P2063" t="s">
        <v>74</v>
      </c>
      <c r="Q2063" t="s">
        <v>74</v>
      </c>
      <c r="R2063" t="s">
        <v>74</v>
      </c>
      <c r="S2063" t="s">
        <v>74</v>
      </c>
      <c r="T2063" t="s">
        <v>18737</v>
      </c>
      <c r="U2063" t="s">
        <v>18738</v>
      </c>
      <c r="V2063" t="s">
        <v>18739</v>
      </c>
      <c r="W2063" t="s">
        <v>18740</v>
      </c>
      <c r="X2063" t="s">
        <v>18741</v>
      </c>
      <c r="Y2063" t="s">
        <v>18742</v>
      </c>
      <c r="Z2063" t="s">
        <v>18743</v>
      </c>
      <c r="AA2063" t="s">
        <v>74</v>
      </c>
      <c r="AB2063" t="s">
        <v>74</v>
      </c>
      <c r="AC2063" t="s">
        <v>74</v>
      </c>
      <c r="AD2063" t="s">
        <v>74</v>
      </c>
      <c r="AE2063" t="s">
        <v>74</v>
      </c>
      <c r="AF2063" t="s">
        <v>74</v>
      </c>
      <c r="AG2063">
        <v>35</v>
      </c>
      <c r="AH2063">
        <v>0</v>
      </c>
      <c r="AI2063">
        <v>0</v>
      </c>
      <c r="AJ2063">
        <v>2</v>
      </c>
      <c r="AK2063">
        <v>3</v>
      </c>
      <c r="AL2063" t="s">
        <v>74</v>
      </c>
      <c r="AM2063" t="s">
        <v>74</v>
      </c>
      <c r="AN2063" t="s">
        <v>74</v>
      </c>
      <c r="AO2063" t="s">
        <v>18744</v>
      </c>
      <c r="AP2063" t="s">
        <v>74</v>
      </c>
      <c r="AQ2063" t="s">
        <v>74</v>
      </c>
      <c r="AR2063" t="s">
        <v>74</v>
      </c>
      <c r="AS2063" t="s">
        <v>74</v>
      </c>
      <c r="AT2063" t="s">
        <v>74</v>
      </c>
      <c r="AU2063">
        <v>2021</v>
      </c>
      <c r="AV2063">
        <v>14</v>
      </c>
      <c r="AW2063" t="s">
        <v>74</v>
      </c>
      <c r="AX2063" t="s">
        <v>74</v>
      </c>
      <c r="AY2063" t="s">
        <v>74</v>
      </c>
      <c r="AZ2063" t="s">
        <v>74</v>
      </c>
      <c r="BA2063" t="s">
        <v>74</v>
      </c>
      <c r="BB2063">
        <v>4931</v>
      </c>
      <c r="BC2063">
        <v>4948</v>
      </c>
      <c r="BD2063" t="s">
        <v>74</v>
      </c>
      <c r="BE2063" t="s">
        <v>18745</v>
      </c>
      <c r="BF2063" t="str">
        <f>HYPERLINK("http://dx.doi.org/10.2147/IDR.S338321","http://dx.doi.org/10.2147/IDR.S338321")</f>
        <v>http://dx.doi.org/10.2147/IDR.S338321</v>
      </c>
      <c r="BG2063" t="s">
        <v>74</v>
      </c>
      <c r="BH2063" t="s">
        <v>74</v>
      </c>
      <c r="BI2063" t="s">
        <v>74</v>
      </c>
      <c r="BJ2063" t="s">
        <v>18746</v>
      </c>
      <c r="BK2063" t="s">
        <v>117</v>
      </c>
      <c r="BL2063" t="s">
        <v>18746</v>
      </c>
      <c r="BM2063" t="s">
        <v>74</v>
      </c>
      <c r="BN2063">
        <v>34858034</v>
      </c>
      <c r="BO2063" t="s">
        <v>74</v>
      </c>
      <c r="BP2063" t="s">
        <v>74</v>
      </c>
      <c r="BQ2063" t="s">
        <v>74</v>
      </c>
      <c r="BR2063" t="s">
        <v>96</v>
      </c>
      <c r="BS2063" t="s">
        <v>18747</v>
      </c>
      <c r="BT2063" t="str">
        <f>HYPERLINK("https%3A%2F%2Fwww.webofscience.com%2Fwos%2Fwoscc%2Ffull-record%2FWOS:000723247800001","View Full Record in Web of Science")</f>
        <v>View Full Record in Web of Science</v>
      </c>
    </row>
    <row r="2064" spans="1:72" x14ac:dyDescent="0.15">
      <c r="A2064" t="s">
        <v>98</v>
      </c>
      <c r="B2064" t="s">
        <v>18789</v>
      </c>
      <c r="C2064" t="s">
        <v>74</v>
      </c>
      <c r="D2064" t="s">
        <v>74</v>
      </c>
      <c r="E2064" t="s">
        <v>74</v>
      </c>
      <c r="F2064" t="s">
        <v>18790</v>
      </c>
      <c r="G2064" t="s">
        <v>74</v>
      </c>
      <c r="H2064" t="s">
        <v>74</v>
      </c>
      <c r="I2064" t="s">
        <v>18791</v>
      </c>
      <c r="J2064" t="s">
        <v>11560</v>
      </c>
      <c r="K2064" t="s">
        <v>74</v>
      </c>
      <c r="L2064" t="s">
        <v>74</v>
      </c>
      <c r="M2064" t="s">
        <v>74</v>
      </c>
      <c r="N2064" t="s">
        <v>2996</v>
      </c>
      <c r="O2064" t="s">
        <v>74</v>
      </c>
      <c r="P2064" t="s">
        <v>74</v>
      </c>
      <c r="Q2064" t="s">
        <v>74</v>
      </c>
      <c r="R2064" t="s">
        <v>74</v>
      </c>
      <c r="S2064" t="s">
        <v>74</v>
      </c>
      <c r="T2064" t="s">
        <v>18792</v>
      </c>
      <c r="U2064" t="s">
        <v>18793</v>
      </c>
      <c r="V2064" t="s">
        <v>18794</v>
      </c>
      <c r="W2064" t="s">
        <v>18795</v>
      </c>
      <c r="X2064" t="s">
        <v>18796</v>
      </c>
      <c r="Y2064" t="s">
        <v>18797</v>
      </c>
      <c r="Z2064" t="s">
        <v>18798</v>
      </c>
      <c r="AA2064" t="s">
        <v>74</v>
      </c>
      <c r="AB2064" t="s">
        <v>74</v>
      </c>
      <c r="AC2064" t="s">
        <v>74</v>
      </c>
      <c r="AD2064" t="s">
        <v>74</v>
      </c>
      <c r="AE2064" t="s">
        <v>74</v>
      </c>
      <c r="AF2064" t="s">
        <v>74</v>
      </c>
      <c r="AG2064">
        <v>34</v>
      </c>
      <c r="AH2064">
        <v>0</v>
      </c>
      <c r="AI2064">
        <v>0</v>
      </c>
      <c r="AJ2064">
        <v>0</v>
      </c>
      <c r="AK2064">
        <v>0</v>
      </c>
      <c r="AL2064" t="s">
        <v>74</v>
      </c>
      <c r="AM2064" t="s">
        <v>74</v>
      </c>
      <c r="AN2064" t="s">
        <v>74</v>
      </c>
      <c r="AO2064" t="s">
        <v>74</v>
      </c>
      <c r="AP2064" t="s">
        <v>11567</v>
      </c>
      <c r="AQ2064" t="s">
        <v>74</v>
      </c>
      <c r="AR2064" t="s">
        <v>74</v>
      </c>
      <c r="AS2064" t="s">
        <v>74</v>
      </c>
      <c r="AT2064" t="s">
        <v>74</v>
      </c>
      <c r="AU2064" t="s">
        <v>74</v>
      </c>
      <c r="AV2064" t="s">
        <v>74</v>
      </c>
      <c r="AW2064" t="s">
        <v>74</v>
      </c>
      <c r="AX2064" t="s">
        <v>74</v>
      </c>
      <c r="AY2064" t="s">
        <v>74</v>
      </c>
      <c r="AZ2064" t="s">
        <v>74</v>
      </c>
      <c r="BA2064" t="s">
        <v>74</v>
      </c>
      <c r="BB2064" t="s">
        <v>74</v>
      </c>
      <c r="BC2064" t="s">
        <v>74</v>
      </c>
      <c r="BD2064" t="s">
        <v>74</v>
      </c>
      <c r="BE2064" t="s">
        <v>18799</v>
      </c>
      <c r="BF2064" t="str">
        <f>HYPERLINK("http://dx.doi.org/10.31635/ccschem.022.202202028","http://dx.doi.org/10.31635/ccschem.022.202202028")</f>
        <v>http://dx.doi.org/10.31635/ccschem.022.202202028</v>
      </c>
      <c r="BG2064" t="s">
        <v>74</v>
      </c>
      <c r="BH2064" t="s">
        <v>7254</v>
      </c>
      <c r="BI2064" t="s">
        <v>74</v>
      </c>
      <c r="BJ2064" t="s">
        <v>1047</v>
      </c>
      <c r="BK2064" t="s">
        <v>467</v>
      </c>
      <c r="BL2064" t="s">
        <v>1048</v>
      </c>
      <c r="BM2064" t="s">
        <v>74</v>
      </c>
      <c r="BN2064" t="s">
        <v>74</v>
      </c>
      <c r="BO2064" t="s">
        <v>74</v>
      </c>
      <c r="BP2064" t="s">
        <v>74</v>
      </c>
      <c r="BQ2064" t="s">
        <v>74</v>
      </c>
      <c r="BR2064" t="s">
        <v>96</v>
      </c>
      <c r="BS2064" t="s">
        <v>18800</v>
      </c>
      <c r="BT2064" t="str">
        <f>HYPERLINK("https%3A%2F%2Fwww.webofscience.com%2Fwos%2Fwoscc%2Ffull-record%2FWOS:000835199100001","View Full Record in Web of Science")</f>
        <v>View Full Record in Web of Science</v>
      </c>
    </row>
    <row r="2065" spans="1:72" x14ac:dyDescent="0.15">
      <c r="A2065" t="s">
        <v>98</v>
      </c>
      <c r="B2065" t="s">
        <v>18994</v>
      </c>
      <c r="C2065" t="s">
        <v>74</v>
      </c>
      <c r="D2065" t="s">
        <v>74</v>
      </c>
      <c r="E2065" t="s">
        <v>74</v>
      </c>
      <c r="F2065" t="s">
        <v>18995</v>
      </c>
      <c r="G2065" t="s">
        <v>74</v>
      </c>
      <c r="H2065" t="s">
        <v>74</v>
      </c>
      <c r="I2065" t="s">
        <v>18996</v>
      </c>
      <c r="J2065" t="s">
        <v>1827</v>
      </c>
      <c r="K2065" t="s">
        <v>74</v>
      </c>
      <c r="L2065" t="s">
        <v>74</v>
      </c>
      <c r="M2065" t="s">
        <v>74</v>
      </c>
      <c r="N2065" t="s">
        <v>103</v>
      </c>
      <c r="O2065" t="s">
        <v>74</v>
      </c>
      <c r="P2065" t="s">
        <v>74</v>
      </c>
      <c r="Q2065" t="s">
        <v>74</v>
      </c>
      <c r="R2065" t="s">
        <v>74</v>
      </c>
      <c r="S2065" t="s">
        <v>74</v>
      </c>
      <c r="T2065" t="s">
        <v>18997</v>
      </c>
      <c r="U2065" t="s">
        <v>18998</v>
      </c>
      <c r="V2065" t="s">
        <v>18999</v>
      </c>
      <c r="W2065" t="s">
        <v>19000</v>
      </c>
      <c r="X2065" t="s">
        <v>19001</v>
      </c>
      <c r="Y2065" t="s">
        <v>19002</v>
      </c>
      <c r="Z2065" t="s">
        <v>19003</v>
      </c>
      <c r="AA2065" t="s">
        <v>19004</v>
      </c>
      <c r="AB2065" t="s">
        <v>19005</v>
      </c>
      <c r="AC2065" t="s">
        <v>74</v>
      </c>
      <c r="AD2065" t="s">
        <v>74</v>
      </c>
      <c r="AE2065" t="s">
        <v>74</v>
      </c>
      <c r="AF2065" t="s">
        <v>74</v>
      </c>
      <c r="AG2065">
        <v>59</v>
      </c>
      <c r="AH2065">
        <v>0</v>
      </c>
      <c r="AI2065">
        <v>0</v>
      </c>
      <c r="AJ2065">
        <v>3</v>
      </c>
      <c r="AK2065">
        <v>3</v>
      </c>
      <c r="AL2065" t="s">
        <v>74</v>
      </c>
      <c r="AM2065" t="s">
        <v>74</v>
      </c>
      <c r="AN2065" t="s">
        <v>74</v>
      </c>
      <c r="AO2065" t="s">
        <v>74</v>
      </c>
      <c r="AP2065" t="s">
        <v>1836</v>
      </c>
      <c r="AQ2065" t="s">
        <v>74</v>
      </c>
      <c r="AR2065" t="s">
        <v>74</v>
      </c>
      <c r="AS2065" t="s">
        <v>74</v>
      </c>
      <c r="AT2065" t="s">
        <v>283</v>
      </c>
      <c r="AU2065">
        <v>2022</v>
      </c>
      <c r="AV2065">
        <v>11</v>
      </c>
      <c r="AW2065">
        <v>3</v>
      </c>
      <c r="AX2065" t="s">
        <v>74</v>
      </c>
      <c r="AY2065" t="s">
        <v>74</v>
      </c>
      <c r="AZ2065" t="s">
        <v>74</v>
      </c>
      <c r="BA2065" t="s">
        <v>74</v>
      </c>
      <c r="BB2065" t="s">
        <v>74</v>
      </c>
      <c r="BC2065" t="s">
        <v>74</v>
      </c>
      <c r="BD2065">
        <v>516</v>
      </c>
      <c r="BE2065" t="s">
        <v>19006</v>
      </c>
      <c r="BF2065" t="str">
        <f>HYPERLINK("http://dx.doi.org/10.3390/cells11030516","http://dx.doi.org/10.3390/cells11030516")</f>
        <v>http://dx.doi.org/10.3390/cells11030516</v>
      </c>
      <c r="BG2065" t="s">
        <v>74</v>
      </c>
      <c r="BH2065" t="s">
        <v>74</v>
      </c>
      <c r="BI2065" t="s">
        <v>74</v>
      </c>
      <c r="BJ2065" t="s">
        <v>135</v>
      </c>
      <c r="BK2065" t="s">
        <v>117</v>
      </c>
      <c r="BL2065" t="s">
        <v>135</v>
      </c>
      <c r="BM2065" t="s">
        <v>74</v>
      </c>
      <c r="BN2065">
        <v>35159325</v>
      </c>
      <c r="BO2065" t="s">
        <v>74</v>
      </c>
      <c r="BP2065" t="s">
        <v>74</v>
      </c>
      <c r="BQ2065" t="s">
        <v>74</v>
      </c>
      <c r="BR2065" t="s">
        <v>96</v>
      </c>
      <c r="BS2065" t="s">
        <v>19007</v>
      </c>
      <c r="BT2065" t="str">
        <f>HYPERLINK("https%3A%2F%2Fwww.webofscience.com%2Fwos%2Fwoscc%2Ffull-record%2FWOS:000759572400001","View Full Record in Web of Science")</f>
        <v>View Full Record in Web of Science</v>
      </c>
    </row>
    <row r="2066" spans="1:72" x14ac:dyDescent="0.15">
      <c r="A2066" t="s">
        <v>98</v>
      </c>
      <c r="B2066" t="s">
        <v>19048</v>
      </c>
      <c r="C2066" t="s">
        <v>74</v>
      </c>
      <c r="D2066" t="s">
        <v>74</v>
      </c>
      <c r="E2066" t="s">
        <v>74</v>
      </c>
      <c r="F2066" t="s">
        <v>19049</v>
      </c>
      <c r="G2066" t="s">
        <v>74</v>
      </c>
      <c r="H2066" t="s">
        <v>74</v>
      </c>
      <c r="I2066" t="s">
        <v>19050</v>
      </c>
      <c r="J2066" t="s">
        <v>9651</v>
      </c>
      <c r="K2066" t="s">
        <v>74</v>
      </c>
      <c r="L2066" t="s">
        <v>74</v>
      </c>
      <c r="M2066" t="s">
        <v>74</v>
      </c>
      <c r="N2066" t="s">
        <v>103</v>
      </c>
      <c r="O2066" t="s">
        <v>74</v>
      </c>
      <c r="P2066" t="s">
        <v>74</v>
      </c>
      <c r="Q2066" t="s">
        <v>74</v>
      </c>
      <c r="R2066" t="s">
        <v>74</v>
      </c>
      <c r="S2066" t="s">
        <v>74</v>
      </c>
      <c r="T2066" t="s">
        <v>74</v>
      </c>
      <c r="U2066" t="s">
        <v>19051</v>
      </c>
      <c r="V2066" t="s">
        <v>19052</v>
      </c>
      <c r="W2066" t="s">
        <v>19053</v>
      </c>
      <c r="X2066" t="s">
        <v>19054</v>
      </c>
      <c r="Y2066" t="s">
        <v>19055</v>
      </c>
      <c r="Z2066" t="s">
        <v>19056</v>
      </c>
      <c r="AA2066" t="s">
        <v>74</v>
      </c>
      <c r="AB2066" t="s">
        <v>74</v>
      </c>
      <c r="AC2066" t="s">
        <v>74</v>
      </c>
      <c r="AD2066" t="s">
        <v>74</v>
      </c>
      <c r="AE2066" t="s">
        <v>74</v>
      </c>
      <c r="AF2066" t="s">
        <v>74</v>
      </c>
      <c r="AG2066">
        <v>17</v>
      </c>
      <c r="AH2066">
        <v>0</v>
      </c>
      <c r="AI2066">
        <v>0</v>
      </c>
      <c r="AJ2066">
        <v>14</v>
      </c>
      <c r="AK2066">
        <v>14</v>
      </c>
      <c r="AL2066" t="s">
        <v>74</v>
      </c>
      <c r="AM2066" t="s">
        <v>74</v>
      </c>
      <c r="AN2066" t="s">
        <v>74</v>
      </c>
      <c r="AO2066" t="s">
        <v>9658</v>
      </c>
      <c r="AP2066" t="s">
        <v>9659</v>
      </c>
      <c r="AQ2066" t="s">
        <v>74</v>
      </c>
      <c r="AR2066" t="s">
        <v>74</v>
      </c>
      <c r="AS2066" t="s">
        <v>74</v>
      </c>
      <c r="AT2066" t="s">
        <v>1408</v>
      </c>
      <c r="AU2066">
        <v>2022</v>
      </c>
      <c r="AV2066">
        <v>58</v>
      </c>
      <c r="AW2066">
        <v>22</v>
      </c>
      <c r="AX2066" t="s">
        <v>74</v>
      </c>
      <c r="AY2066" t="s">
        <v>74</v>
      </c>
      <c r="AZ2066" t="s">
        <v>74</v>
      </c>
      <c r="BA2066" t="s">
        <v>74</v>
      </c>
      <c r="BB2066">
        <v>3661</v>
      </c>
      <c r="BC2066">
        <v>3664</v>
      </c>
      <c r="BD2066" t="s">
        <v>74</v>
      </c>
      <c r="BE2066" t="s">
        <v>19057</v>
      </c>
      <c r="BF2066" t="str">
        <f>HYPERLINK("http://dx.doi.org/10.1039/d1cc07070c","http://dx.doi.org/10.1039/d1cc07070c")</f>
        <v>http://dx.doi.org/10.1039/d1cc07070c</v>
      </c>
      <c r="BG2066" t="s">
        <v>74</v>
      </c>
      <c r="BH2066" t="s">
        <v>1582</v>
      </c>
      <c r="BI2066" t="s">
        <v>74</v>
      </c>
      <c r="BJ2066" t="s">
        <v>1047</v>
      </c>
      <c r="BK2066" t="s">
        <v>117</v>
      </c>
      <c r="BL2066" t="s">
        <v>1048</v>
      </c>
      <c r="BM2066" t="s">
        <v>74</v>
      </c>
      <c r="BN2066">
        <v>35224597</v>
      </c>
      <c r="BO2066" t="s">
        <v>74</v>
      </c>
      <c r="BP2066" t="s">
        <v>74</v>
      </c>
      <c r="BQ2066" t="s">
        <v>74</v>
      </c>
      <c r="BR2066" t="s">
        <v>96</v>
      </c>
      <c r="BS2066" t="s">
        <v>19058</v>
      </c>
      <c r="BT2066" t="str">
        <f>HYPERLINK("https%3A%2F%2Fwww.webofscience.com%2Fwos%2Fwoscc%2Ffull-record%2FWOS:000761636200001","View Full Record in Web of Science")</f>
        <v>View Full Record in Web of Science</v>
      </c>
    </row>
    <row r="2067" spans="1:72" x14ac:dyDescent="0.15">
      <c r="A2067" t="s">
        <v>72</v>
      </c>
      <c r="B2067" t="s">
        <v>19088</v>
      </c>
      <c r="C2067" t="s">
        <v>74</v>
      </c>
      <c r="D2067" t="s">
        <v>19089</v>
      </c>
      <c r="E2067" t="s">
        <v>74</v>
      </c>
      <c r="F2067" t="s">
        <v>19090</v>
      </c>
      <c r="G2067" t="s">
        <v>74</v>
      </c>
      <c r="H2067" t="s">
        <v>74</v>
      </c>
      <c r="I2067" t="s">
        <v>19091</v>
      </c>
      <c r="J2067" t="s">
        <v>19092</v>
      </c>
      <c r="K2067" t="s">
        <v>19093</v>
      </c>
      <c r="L2067" t="s">
        <v>74</v>
      </c>
      <c r="M2067" t="s">
        <v>74</v>
      </c>
      <c r="N2067" t="s">
        <v>80</v>
      </c>
      <c r="O2067" t="s">
        <v>74</v>
      </c>
      <c r="P2067" t="s">
        <v>74</v>
      </c>
      <c r="Q2067" t="s">
        <v>74</v>
      </c>
      <c r="R2067" t="s">
        <v>74</v>
      </c>
      <c r="S2067" t="s">
        <v>74</v>
      </c>
      <c r="T2067" t="s">
        <v>19094</v>
      </c>
      <c r="U2067" t="s">
        <v>19095</v>
      </c>
      <c r="V2067" t="s">
        <v>19096</v>
      </c>
      <c r="W2067" t="s">
        <v>19097</v>
      </c>
      <c r="X2067" t="s">
        <v>19098</v>
      </c>
      <c r="Y2067" t="s">
        <v>19099</v>
      </c>
      <c r="Z2067" t="s">
        <v>19100</v>
      </c>
      <c r="AA2067" t="s">
        <v>19101</v>
      </c>
      <c r="AB2067" t="s">
        <v>19102</v>
      </c>
      <c r="AC2067" t="s">
        <v>74</v>
      </c>
      <c r="AD2067" t="s">
        <v>74</v>
      </c>
      <c r="AE2067" t="s">
        <v>74</v>
      </c>
      <c r="AF2067" t="s">
        <v>74</v>
      </c>
      <c r="AG2067">
        <v>162</v>
      </c>
      <c r="AH2067">
        <v>0</v>
      </c>
      <c r="AI2067">
        <v>0</v>
      </c>
      <c r="AJ2067">
        <v>0</v>
      </c>
      <c r="AK2067">
        <v>1</v>
      </c>
      <c r="AL2067" t="s">
        <v>74</v>
      </c>
      <c r="AM2067" t="s">
        <v>74</v>
      </c>
      <c r="AN2067" t="s">
        <v>74</v>
      </c>
      <c r="AO2067" t="s">
        <v>19103</v>
      </c>
      <c r="AP2067" t="s">
        <v>19104</v>
      </c>
      <c r="AQ2067" t="s">
        <v>19105</v>
      </c>
      <c r="AR2067" t="s">
        <v>74</v>
      </c>
      <c r="AS2067" t="s">
        <v>74</v>
      </c>
      <c r="AT2067" t="s">
        <v>74</v>
      </c>
      <c r="AU2067">
        <v>2019</v>
      </c>
      <c r="AV2067">
        <v>10</v>
      </c>
      <c r="AW2067" t="s">
        <v>74</v>
      </c>
      <c r="AX2067" t="s">
        <v>74</v>
      </c>
      <c r="AY2067" t="s">
        <v>74</v>
      </c>
      <c r="AZ2067" t="s">
        <v>74</v>
      </c>
      <c r="BA2067" t="s">
        <v>74</v>
      </c>
      <c r="BB2067">
        <v>349</v>
      </c>
      <c r="BC2067">
        <v>371</v>
      </c>
      <c r="BD2067" t="s">
        <v>74</v>
      </c>
      <c r="BE2067" t="s">
        <v>19106</v>
      </c>
      <c r="BF2067" t="str">
        <f>HYPERLINK("http://dx.doi.org/10.1007/978-3-030-24970-0_21","http://dx.doi.org/10.1007/978-3-030-24970-0_21")</f>
        <v>http://dx.doi.org/10.1007/978-3-030-24970-0_21</v>
      </c>
      <c r="BG2067" t="s">
        <v>19107</v>
      </c>
      <c r="BH2067" t="s">
        <v>74</v>
      </c>
      <c r="BI2067" t="s">
        <v>74</v>
      </c>
      <c r="BJ2067" t="s">
        <v>19108</v>
      </c>
      <c r="BK2067" t="s">
        <v>94</v>
      </c>
      <c r="BL2067" t="s">
        <v>19108</v>
      </c>
      <c r="BM2067" t="s">
        <v>74</v>
      </c>
      <c r="BN2067" t="s">
        <v>74</v>
      </c>
      <c r="BO2067" t="s">
        <v>74</v>
      </c>
      <c r="BP2067" t="s">
        <v>74</v>
      </c>
      <c r="BQ2067" t="s">
        <v>74</v>
      </c>
      <c r="BR2067" t="s">
        <v>96</v>
      </c>
      <c r="BS2067" t="s">
        <v>19109</v>
      </c>
      <c r="BT2067" t="str">
        <f>HYPERLINK("https%3A%2F%2Fwww.webofscience.com%2Fwos%2Fwoscc%2Ffull-record%2FWOS:000543920700021","View Full Record in Web of Science")</f>
        <v>View Full Record in Web of Science</v>
      </c>
    </row>
    <row r="2068" spans="1:72" x14ac:dyDescent="0.15">
      <c r="A2068" t="s">
        <v>98</v>
      </c>
      <c r="B2068" t="s">
        <v>19200</v>
      </c>
      <c r="C2068" t="s">
        <v>74</v>
      </c>
      <c r="D2068" t="s">
        <v>74</v>
      </c>
      <c r="E2068" t="s">
        <v>74</v>
      </c>
      <c r="F2068" t="s">
        <v>19201</v>
      </c>
      <c r="G2068" t="s">
        <v>74</v>
      </c>
      <c r="H2068" t="s">
        <v>74</v>
      </c>
      <c r="I2068" t="s">
        <v>19202</v>
      </c>
      <c r="J2068" t="s">
        <v>1090</v>
      </c>
      <c r="K2068" t="s">
        <v>74</v>
      </c>
      <c r="L2068" t="s">
        <v>74</v>
      </c>
      <c r="M2068" t="s">
        <v>74</v>
      </c>
      <c r="N2068" t="s">
        <v>103</v>
      </c>
      <c r="O2068" t="s">
        <v>74</v>
      </c>
      <c r="P2068" t="s">
        <v>74</v>
      </c>
      <c r="Q2068" t="s">
        <v>74</v>
      </c>
      <c r="R2068" t="s">
        <v>74</v>
      </c>
      <c r="S2068" t="s">
        <v>74</v>
      </c>
      <c r="T2068" t="s">
        <v>19203</v>
      </c>
      <c r="U2068" t="s">
        <v>19204</v>
      </c>
      <c r="V2068" t="s">
        <v>19205</v>
      </c>
      <c r="W2068" t="s">
        <v>19206</v>
      </c>
      <c r="X2068" t="s">
        <v>19207</v>
      </c>
      <c r="Y2068" t="s">
        <v>19208</v>
      </c>
      <c r="Z2068" t="s">
        <v>19209</v>
      </c>
      <c r="AA2068" t="s">
        <v>74</v>
      </c>
      <c r="AB2068" t="s">
        <v>74</v>
      </c>
      <c r="AC2068" t="s">
        <v>74</v>
      </c>
      <c r="AD2068" t="s">
        <v>74</v>
      </c>
      <c r="AE2068" t="s">
        <v>74</v>
      </c>
      <c r="AF2068" t="s">
        <v>74</v>
      </c>
      <c r="AG2068">
        <v>50</v>
      </c>
      <c r="AH2068">
        <v>0</v>
      </c>
      <c r="AI2068">
        <v>0</v>
      </c>
      <c r="AJ2068">
        <v>9</v>
      </c>
      <c r="AK2068">
        <v>9</v>
      </c>
      <c r="AL2068" t="s">
        <v>74</v>
      </c>
      <c r="AM2068" t="s">
        <v>74</v>
      </c>
      <c r="AN2068" t="s">
        <v>74</v>
      </c>
      <c r="AO2068" t="s">
        <v>1097</v>
      </c>
      <c r="AP2068" t="s">
        <v>74</v>
      </c>
      <c r="AQ2068" t="s">
        <v>74</v>
      </c>
      <c r="AR2068" t="s">
        <v>74</v>
      </c>
      <c r="AS2068" t="s">
        <v>74</v>
      </c>
      <c r="AT2068" t="s">
        <v>10359</v>
      </c>
      <c r="AU2068">
        <v>2022</v>
      </c>
      <c r="AV2068">
        <v>9</v>
      </c>
      <c r="AW2068" t="s">
        <v>74</v>
      </c>
      <c r="AX2068" t="s">
        <v>74</v>
      </c>
      <c r="AY2068" t="s">
        <v>74</v>
      </c>
      <c r="AZ2068" t="s">
        <v>74</v>
      </c>
      <c r="BA2068" t="s">
        <v>74</v>
      </c>
      <c r="BB2068" t="s">
        <v>74</v>
      </c>
      <c r="BC2068" t="s">
        <v>74</v>
      </c>
      <c r="BD2068">
        <v>657092</v>
      </c>
      <c r="BE2068" t="s">
        <v>19210</v>
      </c>
      <c r="BF2068" t="str">
        <f>HYPERLINK("http://dx.doi.org/10.3389/fcell.2021.657092","http://dx.doi.org/10.3389/fcell.2021.657092")</f>
        <v>http://dx.doi.org/10.3389/fcell.2021.657092</v>
      </c>
      <c r="BG2068" t="s">
        <v>74</v>
      </c>
      <c r="BH2068" t="s">
        <v>74</v>
      </c>
      <c r="BI2068" t="s">
        <v>74</v>
      </c>
      <c r="BJ2068" t="s">
        <v>1100</v>
      </c>
      <c r="BK2068" t="s">
        <v>117</v>
      </c>
      <c r="BL2068" t="s">
        <v>1100</v>
      </c>
      <c r="BM2068" t="s">
        <v>74</v>
      </c>
      <c r="BN2068">
        <v>35174154</v>
      </c>
      <c r="BO2068" t="s">
        <v>74</v>
      </c>
      <c r="BP2068" t="s">
        <v>74</v>
      </c>
      <c r="BQ2068" t="s">
        <v>74</v>
      </c>
      <c r="BR2068" t="s">
        <v>96</v>
      </c>
      <c r="BS2068" t="s">
        <v>19211</v>
      </c>
      <c r="BT2068" t="str">
        <f>HYPERLINK("https%3A%2F%2Fwww.webofscience.com%2Fwos%2Fwoscc%2Ffull-record%2FWOS:000758753700001","View Full Record in Web of Science")</f>
        <v>View Full Record in Web of Science</v>
      </c>
    </row>
    <row r="2069" spans="1:72" x14ac:dyDescent="0.15">
      <c r="A2069" t="s">
        <v>98</v>
      </c>
      <c r="B2069" t="s">
        <v>19268</v>
      </c>
      <c r="C2069" t="s">
        <v>74</v>
      </c>
      <c r="D2069" t="s">
        <v>74</v>
      </c>
      <c r="E2069" t="s">
        <v>74</v>
      </c>
      <c r="F2069" t="s">
        <v>19269</v>
      </c>
      <c r="G2069" t="s">
        <v>74</v>
      </c>
      <c r="H2069" t="s">
        <v>74</v>
      </c>
      <c r="I2069" t="s">
        <v>19270</v>
      </c>
      <c r="J2069" t="s">
        <v>19271</v>
      </c>
      <c r="K2069" t="s">
        <v>74</v>
      </c>
      <c r="L2069" t="s">
        <v>74</v>
      </c>
      <c r="M2069" t="s">
        <v>74</v>
      </c>
      <c r="N2069" t="s">
        <v>103</v>
      </c>
      <c r="O2069" t="s">
        <v>74</v>
      </c>
      <c r="P2069" t="s">
        <v>74</v>
      </c>
      <c r="Q2069" t="s">
        <v>74</v>
      </c>
      <c r="R2069" t="s">
        <v>74</v>
      </c>
      <c r="S2069" t="s">
        <v>74</v>
      </c>
      <c r="T2069" t="s">
        <v>19272</v>
      </c>
      <c r="U2069" t="s">
        <v>19273</v>
      </c>
      <c r="V2069" t="s">
        <v>19274</v>
      </c>
      <c r="W2069" t="s">
        <v>19275</v>
      </c>
      <c r="X2069" t="s">
        <v>12912</v>
      </c>
      <c r="Y2069" t="s">
        <v>19276</v>
      </c>
      <c r="Z2069" t="s">
        <v>19277</v>
      </c>
      <c r="AA2069" t="s">
        <v>74</v>
      </c>
      <c r="AB2069" t="s">
        <v>74</v>
      </c>
      <c r="AC2069" t="s">
        <v>74</v>
      </c>
      <c r="AD2069" t="s">
        <v>74</v>
      </c>
      <c r="AE2069" t="s">
        <v>74</v>
      </c>
      <c r="AF2069" t="s">
        <v>74</v>
      </c>
      <c r="AG2069">
        <v>80</v>
      </c>
      <c r="AH2069">
        <v>0</v>
      </c>
      <c r="AI2069">
        <v>0</v>
      </c>
      <c r="AJ2069">
        <v>0</v>
      </c>
      <c r="AK2069">
        <v>3</v>
      </c>
      <c r="AL2069" t="s">
        <v>74</v>
      </c>
      <c r="AM2069" t="s">
        <v>74</v>
      </c>
      <c r="AN2069" t="s">
        <v>74</v>
      </c>
      <c r="AO2069" t="s">
        <v>19278</v>
      </c>
      <c r="AP2069" t="s">
        <v>74</v>
      </c>
      <c r="AQ2069" t="s">
        <v>74</v>
      </c>
      <c r="AR2069" t="s">
        <v>74</v>
      </c>
      <c r="AS2069" t="s">
        <v>74</v>
      </c>
      <c r="AT2069" t="s">
        <v>967</v>
      </c>
      <c r="AU2069">
        <v>2018</v>
      </c>
      <c r="AV2069">
        <v>5</v>
      </c>
      <c r="AW2069">
        <v>4</v>
      </c>
      <c r="AX2069" t="s">
        <v>74</v>
      </c>
      <c r="AY2069" t="s">
        <v>74</v>
      </c>
      <c r="AZ2069" t="s">
        <v>74</v>
      </c>
      <c r="BA2069" t="s">
        <v>74</v>
      </c>
      <c r="BB2069">
        <v>211</v>
      </c>
      <c r="BC2069">
        <v>218</v>
      </c>
      <c r="BD2069" t="s">
        <v>74</v>
      </c>
      <c r="BE2069" t="s">
        <v>19279</v>
      </c>
      <c r="BF2069" t="str">
        <f>HYPERLINK("http://dx.doi.org/10.1007/s40588-018-0101-2","http://dx.doi.org/10.1007/s40588-018-0101-2")</f>
        <v>http://dx.doi.org/10.1007/s40588-018-0101-2</v>
      </c>
      <c r="BG2069" t="s">
        <v>74</v>
      </c>
      <c r="BH2069" t="s">
        <v>74</v>
      </c>
      <c r="BI2069" t="s">
        <v>74</v>
      </c>
      <c r="BJ2069" t="s">
        <v>898</v>
      </c>
      <c r="BK2069" t="s">
        <v>467</v>
      </c>
      <c r="BL2069" t="s">
        <v>898</v>
      </c>
      <c r="BM2069" t="s">
        <v>74</v>
      </c>
      <c r="BN2069" t="s">
        <v>74</v>
      </c>
      <c r="BO2069" t="s">
        <v>74</v>
      </c>
      <c r="BP2069" t="s">
        <v>74</v>
      </c>
      <c r="BQ2069" t="s">
        <v>74</v>
      </c>
      <c r="BR2069" t="s">
        <v>96</v>
      </c>
      <c r="BS2069" t="s">
        <v>19280</v>
      </c>
      <c r="BT2069" t="str">
        <f>HYPERLINK("https%3A%2F%2Fwww.webofscience.com%2Fwos%2Fwoscc%2Ffull-record%2FWOS:000459899500001","View Full Record in Web of Science")</f>
        <v>View Full Record in Web of Science</v>
      </c>
    </row>
    <row r="2070" spans="1:72" x14ac:dyDescent="0.15">
      <c r="A2070" t="s">
        <v>98</v>
      </c>
      <c r="B2070" t="s">
        <v>19281</v>
      </c>
      <c r="C2070" t="s">
        <v>74</v>
      </c>
      <c r="D2070" t="s">
        <v>74</v>
      </c>
      <c r="E2070" t="s">
        <v>74</v>
      </c>
      <c r="F2070" t="s">
        <v>19282</v>
      </c>
      <c r="G2070" t="s">
        <v>74</v>
      </c>
      <c r="H2070" t="s">
        <v>74</v>
      </c>
      <c r="I2070" t="s">
        <v>19283</v>
      </c>
      <c r="J2070" t="s">
        <v>19284</v>
      </c>
      <c r="K2070" t="s">
        <v>74</v>
      </c>
      <c r="L2070" t="s">
        <v>74</v>
      </c>
      <c r="M2070" t="s">
        <v>74</v>
      </c>
      <c r="N2070" t="s">
        <v>103</v>
      </c>
      <c r="O2070" t="s">
        <v>74</v>
      </c>
      <c r="P2070" t="s">
        <v>74</v>
      </c>
      <c r="Q2070" t="s">
        <v>74</v>
      </c>
      <c r="R2070" t="s">
        <v>74</v>
      </c>
      <c r="S2070" t="s">
        <v>74</v>
      </c>
      <c r="T2070" t="s">
        <v>19285</v>
      </c>
      <c r="U2070" t="s">
        <v>19286</v>
      </c>
      <c r="V2070" t="s">
        <v>19287</v>
      </c>
      <c r="W2070" t="s">
        <v>19288</v>
      </c>
      <c r="X2070" t="s">
        <v>19289</v>
      </c>
      <c r="Y2070" t="s">
        <v>19290</v>
      </c>
      <c r="Z2070" t="s">
        <v>19291</v>
      </c>
      <c r="AA2070" t="s">
        <v>74</v>
      </c>
      <c r="AB2070" t="s">
        <v>74</v>
      </c>
      <c r="AC2070" t="s">
        <v>74</v>
      </c>
      <c r="AD2070" t="s">
        <v>74</v>
      </c>
      <c r="AE2070" t="s">
        <v>74</v>
      </c>
      <c r="AF2070" t="s">
        <v>74</v>
      </c>
      <c r="AG2070">
        <v>39</v>
      </c>
      <c r="AH2070">
        <v>0</v>
      </c>
      <c r="AI2070">
        <v>0</v>
      </c>
      <c r="AJ2070">
        <v>2</v>
      </c>
      <c r="AK2070">
        <v>2</v>
      </c>
      <c r="AL2070" t="s">
        <v>74</v>
      </c>
      <c r="AM2070" t="s">
        <v>74</v>
      </c>
      <c r="AN2070" t="s">
        <v>74</v>
      </c>
      <c r="AO2070" t="s">
        <v>19292</v>
      </c>
      <c r="AP2070" t="s">
        <v>19293</v>
      </c>
      <c r="AQ2070" t="s">
        <v>74</v>
      </c>
      <c r="AR2070" t="s">
        <v>74</v>
      </c>
      <c r="AS2070" t="s">
        <v>74</v>
      </c>
      <c r="AT2070" t="s">
        <v>828</v>
      </c>
      <c r="AU2070">
        <v>2022</v>
      </c>
      <c r="AV2070">
        <v>13</v>
      </c>
      <c r="AW2070">
        <v>5</v>
      </c>
      <c r="AX2070" t="s">
        <v>74</v>
      </c>
      <c r="AY2070" t="s">
        <v>74</v>
      </c>
      <c r="AZ2070" t="s">
        <v>74</v>
      </c>
      <c r="BA2070" t="s">
        <v>74</v>
      </c>
      <c r="BB2070">
        <v>11933</v>
      </c>
      <c r="BC2070">
        <v>11944</v>
      </c>
      <c r="BD2070" t="s">
        <v>74</v>
      </c>
      <c r="BE2070" t="s">
        <v>19294</v>
      </c>
      <c r="BF2070" t="str">
        <f>HYPERLINK("http://dx.doi.org/10.1080/21655979.2022.2067286","http://dx.doi.org/10.1080/21655979.2022.2067286")</f>
        <v>http://dx.doi.org/10.1080/21655979.2022.2067286</v>
      </c>
      <c r="BG2070" t="s">
        <v>74</v>
      </c>
      <c r="BH2070" t="s">
        <v>74</v>
      </c>
      <c r="BI2070" t="s">
        <v>74</v>
      </c>
      <c r="BJ2070" t="s">
        <v>13743</v>
      </c>
      <c r="BK2070" t="s">
        <v>117</v>
      </c>
      <c r="BL2070" t="s">
        <v>13743</v>
      </c>
      <c r="BM2070" t="s">
        <v>74</v>
      </c>
      <c r="BN2070">
        <v>35549815</v>
      </c>
      <c r="BO2070" t="s">
        <v>74</v>
      </c>
      <c r="BP2070" t="s">
        <v>74</v>
      </c>
      <c r="BQ2070" t="s">
        <v>74</v>
      </c>
      <c r="BR2070" t="s">
        <v>96</v>
      </c>
      <c r="BS2070" t="s">
        <v>19295</v>
      </c>
      <c r="BT2070" t="str">
        <f>HYPERLINK("https%3A%2F%2Fwww.webofscience.com%2Fwos%2Fwoscc%2Ffull-record%2FWOS:000794989600001","View Full Record in Web of Science")</f>
        <v>View Full Record in Web of Science</v>
      </c>
    </row>
    <row r="2071" spans="1:72" x14ac:dyDescent="0.15">
      <c r="A2071" t="s">
        <v>98</v>
      </c>
      <c r="B2071" t="s">
        <v>19308</v>
      </c>
      <c r="C2071" t="s">
        <v>74</v>
      </c>
      <c r="D2071" t="s">
        <v>74</v>
      </c>
      <c r="E2071" t="s">
        <v>74</v>
      </c>
      <c r="F2071" t="s">
        <v>19309</v>
      </c>
      <c r="G2071" t="s">
        <v>74</v>
      </c>
      <c r="H2071" t="s">
        <v>74</v>
      </c>
      <c r="I2071" t="s">
        <v>19310</v>
      </c>
      <c r="J2071" t="s">
        <v>140</v>
      </c>
      <c r="K2071" t="s">
        <v>74</v>
      </c>
      <c r="L2071" t="s">
        <v>74</v>
      </c>
      <c r="M2071" t="s">
        <v>74</v>
      </c>
      <c r="N2071" t="s">
        <v>103</v>
      </c>
      <c r="O2071" t="s">
        <v>74</v>
      </c>
      <c r="P2071" t="s">
        <v>74</v>
      </c>
      <c r="Q2071" t="s">
        <v>74</v>
      </c>
      <c r="R2071" t="s">
        <v>74</v>
      </c>
      <c r="S2071" t="s">
        <v>74</v>
      </c>
      <c r="T2071" t="s">
        <v>74</v>
      </c>
      <c r="U2071" t="s">
        <v>19311</v>
      </c>
      <c r="V2071" t="s">
        <v>19312</v>
      </c>
      <c r="W2071" t="s">
        <v>19313</v>
      </c>
      <c r="X2071" t="s">
        <v>19314</v>
      </c>
      <c r="Y2071" t="s">
        <v>19315</v>
      </c>
      <c r="Z2071" t="s">
        <v>19316</v>
      </c>
      <c r="AA2071" t="s">
        <v>74</v>
      </c>
      <c r="AB2071" t="s">
        <v>19317</v>
      </c>
      <c r="AC2071" t="s">
        <v>74</v>
      </c>
      <c r="AD2071" t="s">
        <v>74</v>
      </c>
      <c r="AE2071" t="s">
        <v>74</v>
      </c>
      <c r="AF2071" t="s">
        <v>74</v>
      </c>
      <c r="AG2071">
        <v>58</v>
      </c>
      <c r="AH2071">
        <v>0</v>
      </c>
      <c r="AI2071">
        <v>0</v>
      </c>
      <c r="AJ2071">
        <v>1</v>
      </c>
      <c r="AK2071">
        <v>3</v>
      </c>
      <c r="AL2071" t="s">
        <v>74</v>
      </c>
      <c r="AM2071" t="s">
        <v>74</v>
      </c>
      <c r="AN2071" t="s">
        <v>74</v>
      </c>
      <c r="AO2071" t="s">
        <v>149</v>
      </c>
      <c r="AP2071" t="s">
        <v>74</v>
      </c>
      <c r="AQ2071" t="s">
        <v>74</v>
      </c>
      <c r="AR2071" t="s">
        <v>74</v>
      </c>
      <c r="AS2071" t="s">
        <v>74</v>
      </c>
      <c r="AT2071" t="s">
        <v>9294</v>
      </c>
      <c r="AU2071">
        <v>2021</v>
      </c>
      <c r="AV2071">
        <v>11</v>
      </c>
      <c r="AW2071">
        <v>1</v>
      </c>
      <c r="AX2071" t="s">
        <v>74</v>
      </c>
      <c r="AY2071" t="s">
        <v>74</v>
      </c>
      <c r="AZ2071" t="s">
        <v>74</v>
      </c>
      <c r="BA2071" t="s">
        <v>74</v>
      </c>
      <c r="BB2071" t="s">
        <v>74</v>
      </c>
      <c r="BC2071" t="s">
        <v>74</v>
      </c>
      <c r="BD2071">
        <v>19449</v>
      </c>
      <c r="BE2071" t="s">
        <v>19318</v>
      </c>
      <c r="BF2071" t="str">
        <f>HYPERLINK("http://dx.doi.org/10.1038/s41598-021-98951-4","http://dx.doi.org/10.1038/s41598-021-98951-4")</f>
        <v>http://dx.doi.org/10.1038/s41598-021-98951-4</v>
      </c>
      <c r="BG2071" t="s">
        <v>74</v>
      </c>
      <c r="BH2071" t="s">
        <v>74</v>
      </c>
      <c r="BI2071" t="s">
        <v>74</v>
      </c>
      <c r="BJ2071" t="s">
        <v>152</v>
      </c>
      <c r="BK2071" t="s">
        <v>117</v>
      </c>
      <c r="BL2071" t="s">
        <v>153</v>
      </c>
      <c r="BM2071" t="s">
        <v>74</v>
      </c>
      <c r="BN2071">
        <v>34593932</v>
      </c>
      <c r="BO2071" t="s">
        <v>74</v>
      </c>
      <c r="BP2071" t="s">
        <v>74</v>
      </c>
      <c r="BQ2071" t="s">
        <v>74</v>
      </c>
      <c r="BR2071" t="s">
        <v>96</v>
      </c>
      <c r="BS2071" t="s">
        <v>19319</v>
      </c>
      <c r="BT2071" t="str">
        <f>HYPERLINK("https%3A%2F%2Fwww.webofscience.com%2Fwos%2Fwoscc%2Ffull-record%2FWOS:000702737500008","View Full Record in Web of Science")</f>
        <v>View Full Record in Web of Science</v>
      </c>
    </row>
    <row r="2072" spans="1:72" x14ac:dyDescent="0.15">
      <c r="A2072" t="s">
        <v>98</v>
      </c>
      <c r="B2072" t="s">
        <v>19539</v>
      </c>
      <c r="C2072" t="s">
        <v>74</v>
      </c>
      <c r="D2072" t="s">
        <v>74</v>
      </c>
      <c r="E2072" t="s">
        <v>74</v>
      </c>
      <c r="F2072" t="s">
        <v>19540</v>
      </c>
      <c r="G2072" t="s">
        <v>74</v>
      </c>
      <c r="H2072" t="s">
        <v>74</v>
      </c>
      <c r="I2072" t="s">
        <v>19541</v>
      </c>
      <c r="J2072" t="s">
        <v>19542</v>
      </c>
      <c r="K2072" t="s">
        <v>74</v>
      </c>
      <c r="L2072" t="s">
        <v>74</v>
      </c>
      <c r="M2072" t="s">
        <v>74</v>
      </c>
      <c r="N2072" t="s">
        <v>103</v>
      </c>
      <c r="O2072" t="s">
        <v>74</v>
      </c>
      <c r="P2072" t="s">
        <v>74</v>
      </c>
      <c r="Q2072" t="s">
        <v>74</v>
      </c>
      <c r="R2072" t="s">
        <v>74</v>
      </c>
      <c r="S2072" t="s">
        <v>74</v>
      </c>
      <c r="T2072" t="s">
        <v>19543</v>
      </c>
      <c r="U2072" t="s">
        <v>19544</v>
      </c>
      <c r="V2072" t="s">
        <v>19545</v>
      </c>
      <c r="W2072" t="s">
        <v>19546</v>
      </c>
      <c r="X2072" t="s">
        <v>19547</v>
      </c>
      <c r="Y2072" t="s">
        <v>19548</v>
      </c>
      <c r="Z2072" t="s">
        <v>19549</v>
      </c>
      <c r="AA2072" t="s">
        <v>74</v>
      </c>
      <c r="AB2072" t="s">
        <v>74</v>
      </c>
      <c r="AC2072" t="s">
        <v>74</v>
      </c>
      <c r="AD2072" t="s">
        <v>74</v>
      </c>
      <c r="AE2072" t="s">
        <v>74</v>
      </c>
      <c r="AF2072" t="s">
        <v>74</v>
      </c>
      <c r="AG2072">
        <v>49</v>
      </c>
      <c r="AH2072">
        <v>0</v>
      </c>
      <c r="AI2072">
        <v>0</v>
      </c>
      <c r="AJ2072">
        <v>3</v>
      </c>
      <c r="AK2072">
        <v>3</v>
      </c>
      <c r="AL2072" t="s">
        <v>74</v>
      </c>
      <c r="AM2072" t="s">
        <v>74</v>
      </c>
      <c r="AN2072" t="s">
        <v>74</v>
      </c>
      <c r="AO2072" t="s">
        <v>19550</v>
      </c>
      <c r="AP2072" t="s">
        <v>74</v>
      </c>
      <c r="AQ2072" t="s">
        <v>74</v>
      </c>
      <c r="AR2072" t="s">
        <v>74</v>
      </c>
      <c r="AS2072" t="s">
        <v>74</v>
      </c>
      <c r="AT2072" t="s">
        <v>19551</v>
      </c>
      <c r="AU2072">
        <v>2022</v>
      </c>
      <c r="AV2072">
        <v>22</v>
      </c>
      <c r="AW2072">
        <v>1</v>
      </c>
      <c r="AX2072" t="s">
        <v>74</v>
      </c>
      <c r="AY2072" t="s">
        <v>74</v>
      </c>
      <c r="AZ2072" t="s">
        <v>74</v>
      </c>
      <c r="BA2072" t="s">
        <v>74</v>
      </c>
      <c r="BB2072" t="s">
        <v>74</v>
      </c>
      <c r="BC2072" t="s">
        <v>74</v>
      </c>
      <c r="BD2072">
        <v>24</v>
      </c>
      <c r="BE2072" t="s">
        <v>19552</v>
      </c>
      <c r="BF2072" t="str">
        <f>HYPERLINK("http://dx.doi.org/10.1186/s12903-021-02036-7","http://dx.doi.org/10.1186/s12903-021-02036-7")</f>
        <v>http://dx.doi.org/10.1186/s12903-021-02036-7</v>
      </c>
      <c r="BG2072" t="s">
        <v>74</v>
      </c>
      <c r="BH2072" t="s">
        <v>74</v>
      </c>
      <c r="BI2072" t="s">
        <v>74</v>
      </c>
      <c r="BJ2072" t="s">
        <v>13772</v>
      </c>
      <c r="BK2072" t="s">
        <v>117</v>
      </c>
      <c r="BL2072" t="s">
        <v>13772</v>
      </c>
      <c r="BM2072" t="s">
        <v>74</v>
      </c>
      <c r="BN2072">
        <v>35094679</v>
      </c>
      <c r="BO2072" t="s">
        <v>74</v>
      </c>
      <c r="BP2072" t="s">
        <v>74</v>
      </c>
      <c r="BQ2072" t="s">
        <v>74</v>
      </c>
      <c r="BR2072" t="s">
        <v>96</v>
      </c>
      <c r="BS2072" t="s">
        <v>19553</v>
      </c>
      <c r="BT2072" t="str">
        <f>HYPERLINK("https%3A%2F%2Fwww.webofscience.com%2Fwos%2Fwoscc%2Ffull-record%2FWOS:000748416000001","View Full Record in Web of Science")</f>
        <v>View Full Record in Web of Science</v>
      </c>
    </row>
    <row r="2073" spans="1:72" x14ac:dyDescent="0.15">
      <c r="A2073" t="s">
        <v>4291</v>
      </c>
      <c r="B2073" t="s">
        <v>19584</v>
      </c>
      <c r="C2073" t="s">
        <v>74</v>
      </c>
      <c r="D2073" t="s">
        <v>19585</v>
      </c>
      <c r="E2073" t="s">
        <v>74</v>
      </c>
      <c r="F2073" t="s">
        <v>19586</v>
      </c>
      <c r="G2073" t="s">
        <v>74</v>
      </c>
      <c r="H2073" t="s">
        <v>74</v>
      </c>
      <c r="I2073" t="s">
        <v>19587</v>
      </c>
      <c r="J2073" t="s">
        <v>19588</v>
      </c>
      <c r="K2073" t="s">
        <v>74</v>
      </c>
      <c r="L2073" t="s">
        <v>74</v>
      </c>
      <c r="M2073" t="s">
        <v>74</v>
      </c>
      <c r="N2073" t="s">
        <v>80</v>
      </c>
      <c r="O2073" t="s">
        <v>74</v>
      </c>
      <c r="P2073" t="s">
        <v>74</v>
      </c>
      <c r="Q2073" t="s">
        <v>74</v>
      </c>
      <c r="R2073" t="s">
        <v>74</v>
      </c>
      <c r="S2073" t="s">
        <v>74</v>
      </c>
      <c r="T2073" t="s">
        <v>74</v>
      </c>
      <c r="U2073" t="s">
        <v>19589</v>
      </c>
      <c r="V2073" t="s">
        <v>19590</v>
      </c>
      <c r="W2073" t="s">
        <v>19591</v>
      </c>
      <c r="X2073" t="s">
        <v>16306</v>
      </c>
      <c r="Y2073" t="s">
        <v>19592</v>
      </c>
      <c r="Z2073" t="s">
        <v>19593</v>
      </c>
      <c r="AA2073" t="s">
        <v>74</v>
      </c>
      <c r="AB2073" t="s">
        <v>74</v>
      </c>
      <c r="AC2073" t="s">
        <v>74</v>
      </c>
      <c r="AD2073" t="s">
        <v>74</v>
      </c>
      <c r="AE2073" t="s">
        <v>74</v>
      </c>
      <c r="AF2073" t="s">
        <v>74</v>
      </c>
      <c r="AG2073">
        <v>103</v>
      </c>
      <c r="AH2073">
        <v>0</v>
      </c>
      <c r="AI2073">
        <v>0</v>
      </c>
      <c r="AJ2073">
        <v>0</v>
      </c>
      <c r="AK2073">
        <v>24</v>
      </c>
      <c r="AL2073" t="s">
        <v>74</v>
      </c>
      <c r="AM2073" t="s">
        <v>74</v>
      </c>
      <c r="AN2073" t="s">
        <v>74</v>
      </c>
      <c r="AO2073" t="s">
        <v>74</v>
      </c>
      <c r="AP2073" t="s">
        <v>74</v>
      </c>
      <c r="AQ2073" t="s">
        <v>19594</v>
      </c>
      <c r="AR2073" t="s">
        <v>74</v>
      </c>
      <c r="AS2073" t="s">
        <v>74</v>
      </c>
      <c r="AT2073" t="s">
        <v>74</v>
      </c>
      <c r="AU2073">
        <v>2019</v>
      </c>
      <c r="AV2073" t="s">
        <v>74</v>
      </c>
      <c r="AW2073" t="s">
        <v>74</v>
      </c>
      <c r="AX2073" t="s">
        <v>74</v>
      </c>
      <c r="AY2073" t="s">
        <v>74</v>
      </c>
      <c r="AZ2073" t="s">
        <v>74</v>
      </c>
      <c r="BA2073" t="s">
        <v>74</v>
      </c>
      <c r="BB2073">
        <v>149</v>
      </c>
      <c r="BC2073">
        <v>168</v>
      </c>
      <c r="BD2073" t="s">
        <v>74</v>
      </c>
      <c r="BE2073" t="s">
        <v>19595</v>
      </c>
      <c r="BF2073" t="str">
        <f>HYPERLINK("http://dx.doi.org/10.21775/9781910190890.08","http://dx.doi.org/10.21775/9781910190890.08")</f>
        <v>http://dx.doi.org/10.21775/9781910190890.08</v>
      </c>
      <c r="BG2073" t="s">
        <v>19596</v>
      </c>
      <c r="BH2073" t="s">
        <v>74</v>
      </c>
      <c r="BI2073" t="s">
        <v>74</v>
      </c>
      <c r="BJ2073" t="s">
        <v>4464</v>
      </c>
      <c r="BK2073" t="s">
        <v>94</v>
      </c>
      <c r="BL2073" t="s">
        <v>4464</v>
      </c>
      <c r="BM2073" t="s">
        <v>74</v>
      </c>
      <c r="BN2073" t="s">
        <v>74</v>
      </c>
      <c r="BO2073" t="s">
        <v>74</v>
      </c>
      <c r="BP2073" t="s">
        <v>74</v>
      </c>
      <c r="BQ2073" t="s">
        <v>74</v>
      </c>
      <c r="BR2073" t="s">
        <v>96</v>
      </c>
      <c r="BS2073" t="s">
        <v>19597</v>
      </c>
      <c r="BT2073" t="str">
        <f>HYPERLINK("https%3A%2F%2Fwww.webofscience.com%2Fwos%2Fwoscc%2Ffull-record%2FWOS:000447822800009","View Full Record in Web of Science")</f>
        <v>View Full Record in Web of Science</v>
      </c>
    </row>
    <row r="2074" spans="1:72" x14ac:dyDescent="0.15">
      <c r="A2074" t="s">
        <v>98</v>
      </c>
      <c r="B2074" t="s">
        <v>19695</v>
      </c>
      <c r="C2074" t="s">
        <v>74</v>
      </c>
      <c r="D2074" t="s">
        <v>74</v>
      </c>
      <c r="E2074" t="s">
        <v>74</v>
      </c>
      <c r="F2074" t="s">
        <v>19696</v>
      </c>
      <c r="G2074" t="s">
        <v>74</v>
      </c>
      <c r="H2074" t="s">
        <v>74</v>
      </c>
      <c r="I2074" t="s">
        <v>19697</v>
      </c>
      <c r="J2074" t="s">
        <v>19698</v>
      </c>
      <c r="K2074" t="s">
        <v>74</v>
      </c>
      <c r="L2074" t="s">
        <v>74</v>
      </c>
      <c r="M2074" t="s">
        <v>74</v>
      </c>
      <c r="N2074" t="s">
        <v>103</v>
      </c>
      <c r="O2074" t="s">
        <v>74</v>
      </c>
      <c r="P2074" t="s">
        <v>74</v>
      </c>
      <c r="Q2074" t="s">
        <v>74</v>
      </c>
      <c r="R2074" t="s">
        <v>74</v>
      </c>
      <c r="S2074" t="s">
        <v>74</v>
      </c>
      <c r="T2074" t="s">
        <v>19699</v>
      </c>
      <c r="U2074" t="s">
        <v>19700</v>
      </c>
      <c r="V2074" t="s">
        <v>19701</v>
      </c>
      <c r="W2074" t="s">
        <v>19702</v>
      </c>
      <c r="X2074" t="s">
        <v>19703</v>
      </c>
      <c r="Y2074" t="s">
        <v>19704</v>
      </c>
      <c r="Z2074" t="s">
        <v>19705</v>
      </c>
      <c r="AA2074" t="s">
        <v>19706</v>
      </c>
      <c r="AB2074" t="s">
        <v>19707</v>
      </c>
      <c r="AC2074" t="s">
        <v>74</v>
      </c>
      <c r="AD2074" t="s">
        <v>74</v>
      </c>
      <c r="AE2074" t="s">
        <v>74</v>
      </c>
      <c r="AF2074" t="s">
        <v>74</v>
      </c>
      <c r="AG2074">
        <v>19</v>
      </c>
      <c r="AH2074">
        <v>0</v>
      </c>
      <c r="AI2074">
        <v>0</v>
      </c>
      <c r="AJ2074">
        <v>0</v>
      </c>
      <c r="AK2074">
        <v>2</v>
      </c>
      <c r="AL2074" t="s">
        <v>74</v>
      </c>
      <c r="AM2074" t="s">
        <v>74</v>
      </c>
      <c r="AN2074" t="s">
        <v>74</v>
      </c>
      <c r="AO2074" t="s">
        <v>19708</v>
      </c>
      <c r="AP2074" t="s">
        <v>19709</v>
      </c>
      <c r="AQ2074" t="s">
        <v>74</v>
      </c>
      <c r="AR2074" t="s">
        <v>74</v>
      </c>
      <c r="AS2074" t="s">
        <v>74</v>
      </c>
      <c r="AT2074" t="s">
        <v>74</v>
      </c>
      <c r="AU2074">
        <v>2018</v>
      </c>
      <c r="AV2074" t="s">
        <v>74</v>
      </c>
      <c r="AW2074">
        <v>4</v>
      </c>
      <c r="AX2074" t="s">
        <v>74</v>
      </c>
      <c r="AY2074" t="s">
        <v>74</v>
      </c>
      <c r="AZ2074" t="s">
        <v>74</v>
      </c>
      <c r="BA2074" t="s">
        <v>74</v>
      </c>
      <c r="BB2074">
        <v>85</v>
      </c>
      <c r="BC2074">
        <v>90</v>
      </c>
      <c r="BD2074" t="s">
        <v>74</v>
      </c>
      <c r="BE2074" t="s">
        <v>19710</v>
      </c>
      <c r="BF2074" t="str">
        <f>HYPERLINK("http://dx.doi.org/10.24075/brsmu.2018.041","http://dx.doi.org/10.24075/brsmu.2018.041")</f>
        <v>http://dx.doi.org/10.24075/brsmu.2018.041</v>
      </c>
      <c r="BG2074" t="s">
        <v>74</v>
      </c>
      <c r="BH2074" t="s">
        <v>74</v>
      </c>
      <c r="BI2074" t="s">
        <v>74</v>
      </c>
      <c r="BJ2074" t="s">
        <v>2564</v>
      </c>
      <c r="BK2074" t="s">
        <v>467</v>
      </c>
      <c r="BL2074" t="s">
        <v>2565</v>
      </c>
      <c r="BM2074" t="s">
        <v>74</v>
      </c>
      <c r="BN2074" t="s">
        <v>74</v>
      </c>
      <c r="BO2074" t="s">
        <v>74</v>
      </c>
      <c r="BP2074" t="s">
        <v>74</v>
      </c>
      <c r="BQ2074" t="s">
        <v>74</v>
      </c>
      <c r="BR2074" t="s">
        <v>96</v>
      </c>
      <c r="BS2074" t="s">
        <v>19711</v>
      </c>
      <c r="BT2074" t="str">
        <f>HYPERLINK("https%3A%2F%2Fwww.webofscience.com%2Fwos%2Fwoscc%2Ffull-record%2FWOS:000453450400011","View Full Record in Web of Science")</f>
        <v>View Full Record in Web of Science</v>
      </c>
    </row>
    <row r="2075" spans="1:72" x14ac:dyDescent="0.15">
      <c r="A2075" t="s">
        <v>98</v>
      </c>
      <c r="B2075" t="s">
        <v>19752</v>
      </c>
      <c r="C2075" t="s">
        <v>74</v>
      </c>
      <c r="D2075" t="s">
        <v>74</v>
      </c>
      <c r="E2075" t="s">
        <v>74</v>
      </c>
      <c r="F2075" t="s">
        <v>19753</v>
      </c>
      <c r="G2075" t="s">
        <v>74</v>
      </c>
      <c r="H2075" t="s">
        <v>74</v>
      </c>
      <c r="I2075" t="s">
        <v>19754</v>
      </c>
      <c r="J2075" t="s">
        <v>19755</v>
      </c>
      <c r="K2075" t="s">
        <v>74</v>
      </c>
      <c r="L2075" t="s">
        <v>74</v>
      </c>
      <c r="M2075" t="s">
        <v>74</v>
      </c>
      <c r="N2075" t="s">
        <v>103</v>
      </c>
      <c r="O2075" t="s">
        <v>74</v>
      </c>
      <c r="P2075" t="s">
        <v>74</v>
      </c>
      <c r="Q2075" t="s">
        <v>74</v>
      </c>
      <c r="R2075" t="s">
        <v>74</v>
      </c>
      <c r="S2075" t="s">
        <v>74</v>
      </c>
      <c r="T2075" t="s">
        <v>19756</v>
      </c>
      <c r="U2075" t="s">
        <v>19757</v>
      </c>
      <c r="V2075" t="s">
        <v>19758</v>
      </c>
      <c r="W2075" t="s">
        <v>19759</v>
      </c>
      <c r="X2075" t="s">
        <v>19760</v>
      </c>
      <c r="Y2075" t="s">
        <v>19761</v>
      </c>
      <c r="Z2075" t="s">
        <v>19762</v>
      </c>
      <c r="AA2075" t="s">
        <v>19763</v>
      </c>
      <c r="AB2075" t="s">
        <v>19764</v>
      </c>
      <c r="AC2075" t="s">
        <v>74</v>
      </c>
      <c r="AD2075" t="s">
        <v>74</v>
      </c>
      <c r="AE2075" t="s">
        <v>74</v>
      </c>
      <c r="AF2075" t="s">
        <v>74</v>
      </c>
      <c r="AG2075">
        <v>28</v>
      </c>
      <c r="AH2075">
        <v>0</v>
      </c>
      <c r="AI2075">
        <v>0</v>
      </c>
      <c r="AJ2075">
        <v>0</v>
      </c>
      <c r="AK2075">
        <v>0</v>
      </c>
      <c r="AL2075" t="s">
        <v>74</v>
      </c>
      <c r="AM2075" t="s">
        <v>74</v>
      </c>
      <c r="AN2075" t="s">
        <v>74</v>
      </c>
      <c r="AO2075" t="s">
        <v>19765</v>
      </c>
      <c r="AP2075" t="s">
        <v>19766</v>
      </c>
      <c r="AQ2075" t="s">
        <v>74</v>
      </c>
      <c r="AR2075" t="s">
        <v>74</v>
      </c>
      <c r="AS2075" t="s">
        <v>74</v>
      </c>
      <c r="AT2075" t="s">
        <v>170</v>
      </c>
      <c r="AU2075">
        <v>2022</v>
      </c>
      <c r="AV2075">
        <v>45</v>
      </c>
      <c r="AW2075">
        <v>6</v>
      </c>
      <c r="AX2075" t="s">
        <v>74</v>
      </c>
      <c r="AY2075" t="s">
        <v>74</v>
      </c>
      <c r="AZ2075" t="s">
        <v>74</v>
      </c>
      <c r="BA2075" t="s">
        <v>74</v>
      </c>
      <c r="BB2075">
        <v>871</v>
      </c>
      <c r="BC2075">
        <v>882</v>
      </c>
      <c r="BD2075" t="s">
        <v>74</v>
      </c>
      <c r="BE2075" t="s">
        <v>19767</v>
      </c>
      <c r="BF2075" t="str">
        <f>HYPERLINK("http://dx.doi.org/10.1111/jfd.13612","http://dx.doi.org/10.1111/jfd.13612")</f>
        <v>http://dx.doi.org/10.1111/jfd.13612</v>
      </c>
      <c r="BG2075" t="s">
        <v>74</v>
      </c>
      <c r="BH2075" t="s">
        <v>6394</v>
      </c>
      <c r="BI2075" t="s">
        <v>74</v>
      </c>
      <c r="BJ2075" t="s">
        <v>19768</v>
      </c>
      <c r="BK2075" t="s">
        <v>117</v>
      </c>
      <c r="BL2075" t="s">
        <v>19768</v>
      </c>
      <c r="BM2075" t="s">
        <v>74</v>
      </c>
      <c r="BN2075">
        <v>35352838</v>
      </c>
      <c r="BO2075" t="s">
        <v>74</v>
      </c>
      <c r="BP2075" t="s">
        <v>74</v>
      </c>
      <c r="BQ2075" t="s">
        <v>74</v>
      </c>
      <c r="BR2075" t="s">
        <v>96</v>
      </c>
      <c r="BS2075" t="s">
        <v>19769</v>
      </c>
      <c r="BT2075" t="str">
        <f>HYPERLINK("https%3A%2F%2Fwww.webofscience.com%2Fwos%2Fwoscc%2Ffull-record%2FWOS:000774746800001","View Full Record in Web of Science")</f>
        <v>View Full Record in Web of Science</v>
      </c>
    </row>
    <row r="2076" spans="1:72" x14ac:dyDescent="0.15">
      <c r="A2076" t="s">
        <v>98</v>
      </c>
      <c r="B2076" t="s">
        <v>19770</v>
      </c>
      <c r="C2076" t="s">
        <v>74</v>
      </c>
      <c r="D2076" t="s">
        <v>74</v>
      </c>
      <c r="E2076" t="s">
        <v>74</v>
      </c>
      <c r="F2076" t="s">
        <v>19771</v>
      </c>
      <c r="G2076" t="s">
        <v>74</v>
      </c>
      <c r="H2076" t="s">
        <v>74</v>
      </c>
      <c r="I2076" t="s">
        <v>19772</v>
      </c>
      <c r="J2076" t="s">
        <v>13367</v>
      </c>
      <c r="K2076" t="s">
        <v>74</v>
      </c>
      <c r="L2076" t="s">
        <v>74</v>
      </c>
      <c r="M2076" t="s">
        <v>74</v>
      </c>
      <c r="N2076" t="s">
        <v>103</v>
      </c>
      <c r="O2076" t="s">
        <v>74</v>
      </c>
      <c r="P2076" t="s">
        <v>74</v>
      </c>
      <c r="Q2076" t="s">
        <v>74</v>
      </c>
      <c r="R2076" t="s">
        <v>74</v>
      </c>
      <c r="S2076" t="s">
        <v>74</v>
      </c>
      <c r="T2076" t="s">
        <v>74</v>
      </c>
      <c r="U2076" t="s">
        <v>19773</v>
      </c>
      <c r="V2076" t="s">
        <v>19774</v>
      </c>
      <c r="W2076" t="s">
        <v>19775</v>
      </c>
      <c r="X2076" t="s">
        <v>19776</v>
      </c>
      <c r="Y2076" t="s">
        <v>19777</v>
      </c>
      <c r="Z2076" t="s">
        <v>19778</v>
      </c>
      <c r="AA2076" t="s">
        <v>19779</v>
      </c>
      <c r="AB2076" t="s">
        <v>19780</v>
      </c>
      <c r="AC2076" t="s">
        <v>74</v>
      </c>
      <c r="AD2076" t="s">
        <v>74</v>
      </c>
      <c r="AE2076" t="s">
        <v>74</v>
      </c>
      <c r="AF2076" t="s">
        <v>74</v>
      </c>
      <c r="AG2076">
        <v>51</v>
      </c>
      <c r="AH2076">
        <v>0</v>
      </c>
      <c r="AI2076">
        <v>0</v>
      </c>
      <c r="AJ2076">
        <v>0</v>
      </c>
      <c r="AK2076">
        <v>0</v>
      </c>
      <c r="AL2076" t="s">
        <v>74</v>
      </c>
      <c r="AM2076" t="s">
        <v>74</v>
      </c>
      <c r="AN2076" t="s">
        <v>74</v>
      </c>
      <c r="AO2076" t="s">
        <v>13375</v>
      </c>
      <c r="AP2076" t="s">
        <v>13376</v>
      </c>
      <c r="AQ2076" t="s">
        <v>74</v>
      </c>
      <c r="AR2076" t="s">
        <v>74</v>
      </c>
      <c r="AS2076" t="s">
        <v>74</v>
      </c>
      <c r="AT2076" t="s">
        <v>211</v>
      </c>
      <c r="AU2076">
        <v>2021</v>
      </c>
      <c r="AV2076">
        <v>25</v>
      </c>
      <c r="AW2076">
        <v>6</v>
      </c>
      <c r="AX2076" t="s">
        <v>74</v>
      </c>
      <c r="AY2076" t="s">
        <v>74</v>
      </c>
      <c r="AZ2076" t="s">
        <v>74</v>
      </c>
      <c r="BA2076" t="s">
        <v>74</v>
      </c>
      <c r="BB2076">
        <v>677</v>
      </c>
      <c r="BC2076">
        <v>682</v>
      </c>
      <c r="BD2076" t="s">
        <v>74</v>
      </c>
      <c r="BE2076" t="s">
        <v>19781</v>
      </c>
      <c r="BF2076" t="str">
        <f>HYPERLINK("http://dx.doi.org/10.1007/s40291-021-00554-2","http://dx.doi.org/10.1007/s40291-021-00554-2")</f>
        <v>http://dx.doi.org/10.1007/s40291-021-00554-2</v>
      </c>
      <c r="BG2076" t="s">
        <v>74</v>
      </c>
      <c r="BH2076" t="s">
        <v>1663</v>
      </c>
      <c r="BI2076" t="s">
        <v>74</v>
      </c>
      <c r="BJ2076" t="s">
        <v>13378</v>
      </c>
      <c r="BK2076" t="s">
        <v>117</v>
      </c>
      <c r="BL2076" t="s">
        <v>13378</v>
      </c>
      <c r="BM2076" t="s">
        <v>74</v>
      </c>
      <c r="BN2076">
        <v>34427906</v>
      </c>
      <c r="BO2076" t="s">
        <v>74</v>
      </c>
      <c r="BP2076" t="s">
        <v>74</v>
      </c>
      <c r="BQ2076" t="s">
        <v>74</v>
      </c>
      <c r="BR2076" t="s">
        <v>96</v>
      </c>
      <c r="BS2076" t="s">
        <v>19782</v>
      </c>
      <c r="BT2076" t="str">
        <f>HYPERLINK("https%3A%2F%2Fwww.webofscience.com%2Fwos%2Fwoscc%2Ffull-record%2FWOS:000687936700001","View Full Record in Web of Science")</f>
        <v>View Full Record in Web of Science</v>
      </c>
    </row>
    <row r="2077" spans="1:72" x14ac:dyDescent="0.15">
      <c r="A2077" t="s">
        <v>98</v>
      </c>
      <c r="B2077" t="s">
        <v>19783</v>
      </c>
      <c r="C2077" t="s">
        <v>74</v>
      </c>
      <c r="D2077" t="s">
        <v>74</v>
      </c>
      <c r="E2077" t="s">
        <v>74</v>
      </c>
      <c r="F2077" t="s">
        <v>19784</v>
      </c>
      <c r="G2077" t="s">
        <v>74</v>
      </c>
      <c r="H2077" t="s">
        <v>74</v>
      </c>
      <c r="I2077" t="s">
        <v>19785</v>
      </c>
      <c r="J2077" t="s">
        <v>2552</v>
      </c>
      <c r="K2077" t="s">
        <v>74</v>
      </c>
      <c r="L2077" t="s">
        <v>74</v>
      </c>
      <c r="M2077" t="s">
        <v>74</v>
      </c>
      <c r="N2077" t="s">
        <v>103</v>
      </c>
      <c r="O2077" t="s">
        <v>74</v>
      </c>
      <c r="P2077" t="s">
        <v>74</v>
      </c>
      <c r="Q2077" t="s">
        <v>74</v>
      </c>
      <c r="R2077" t="s">
        <v>74</v>
      </c>
      <c r="S2077" t="s">
        <v>74</v>
      </c>
      <c r="T2077" t="s">
        <v>19786</v>
      </c>
      <c r="U2077" t="s">
        <v>19787</v>
      </c>
      <c r="V2077" t="s">
        <v>19788</v>
      </c>
      <c r="W2077" t="s">
        <v>19789</v>
      </c>
      <c r="X2077" t="s">
        <v>19790</v>
      </c>
      <c r="Y2077" t="s">
        <v>19791</v>
      </c>
      <c r="Z2077" t="s">
        <v>19792</v>
      </c>
      <c r="AA2077" t="s">
        <v>74</v>
      </c>
      <c r="AB2077" t="s">
        <v>19793</v>
      </c>
      <c r="AC2077" t="s">
        <v>74</v>
      </c>
      <c r="AD2077" t="s">
        <v>74</v>
      </c>
      <c r="AE2077" t="s">
        <v>74</v>
      </c>
      <c r="AF2077" t="s">
        <v>74</v>
      </c>
      <c r="AG2077">
        <v>35</v>
      </c>
      <c r="AH2077">
        <v>0</v>
      </c>
      <c r="AI2077">
        <v>0</v>
      </c>
      <c r="AJ2077">
        <v>1</v>
      </c>
      <c r="AK2077">
        <v>1</v>
      </c>
      <c r="AL2077" t="s">
        <v>74</v>
      </c>
      <c r="AM2077" t="s">
        <v>74</v>
      </c>
      <c r="AN2077" t="s">
        <v>74</v>
      </c>
      <c r="AO2077" t="s">
        <v>74</v>
      </c>
      <c r="AP2077" t="s">
        <v>2562</v>
      </c>
      <c r="AQ2077" t="s">
        <v>74</v>
      </c>
      <c r="AR2077" t="s">
        <v>74</v>
      </c>
      <c r="AS2077" t="s">
        <v>74</v>
      </c>
      <c r="AT2077" t="s">
        <v>283</v>
      </c>
      <c r="AU2077">
        <v>2022</v>
      </c>
      <c r="AV2077">
        <v>12</v>
      </c>
      <c r="AW2077">
        <v>2</v>
      </c>
      <c r="AX2077" t="s">
        <v>74</v>
      </c>
      <c r="AY2077" t="s">
        <v>74</v>
      </c>
      <c r="AZ2077" t="s">
        <v>74</v>
      </c>
      <c r="BA2077" t="s">
        <v>74</v>
      </c>
      <c r="BB2077" t="s">
        <v>74</v>
      </c>
      <c r="BC2077" t="s">
        <v>74</v>
      </c>
      <c r="BD2077">
        <v>287</v>
      </c>
      <c r="BE2077" t="s">
        <v>19794</v>
      </c>
      <c r="BF2077" t="str">
        <f>HYPERLINK("http://dx.doi.org/10.3390/diagnostics12020287","http://dx.doi.org/10.3390/diagnostics12020287")</f>
        <v>http://dx.doi.org/10.3390/diagnostics12020287</v>
      </c>
      <c r="BG2077" t="s">
        <v>74</v>
      </c>
      <c r="BH2077" t="s">
        <v>74</v>
      </c>
      <c r="BI2077" t="s">
        <v>74</v>
      </c>
      <c r="BJ2077" t="s">
        <v>2564</v>
      </c>
      <c r="BK2077" t="s">
        <v>117</v>
      </c>
      <c r="BL2077" t="s">
        <v>2565</v>
      </c>
      <c r="BM2077" t="s">
        <v>74</v>
      </c>
      <c r="BN2077">
        <v>35204378</v>
      </c>
      <c r="BO2077" t="s">
        <v>74</v>
      </c>
      <c r="BP2077" t="s">
        <v>74</v>
      </c>
      <c r="BQ2077" t="s">
        <v>74</v>
      </c>
      <c r="BR2077" t="s">
        <v>96</v>
      </c>
      <c r="BS2077" t="s">
        <v>19795</v>
      </c>
      <c r="BT2077" t="str">
        <f>HYPERLINK("https%3A%2F%2Fwww.webofscience.com%2Fwos%2Fwoscc%2Ffull-record%2FWOS:000764471500001","View Full Record in Web of Science")</f>
        <v>View Full Record in Web of Science</v>
      </c>
    </row>
    <row r="2078" spans="1:72" x14ac:dyDescent="0.15">
      <c r="A2078" t="s">
        <v>98</v>
      </c>
      <c r="B2078" t="s">
        <v>19894</v>
      </c>
      <c r="C2078" t="s">
        <v>74</v>
      </c>
      <c r="D2078" t="s">
        <v>74</v>
      </c>
      <c r="E2078" t="s">
        <v>74</v>
      </c>
      <c r="F2078" t="s">
        <v>19895</v>
      </c>
      <c r="G2078" t="s">
        <v>74</v>
      </c>
      <c r="H2078" t="s">
        <v>74</v>
      </c>
      <c r="I2078" t="s">
        <v>19896</v>
      </c>
      <c r="J2078" t="s">
        <v>4486</v>
      </c>
      <c r="K2078" t="s">
        <v>74</v>
      </c>
      <c r="L2078" t="s">
        <v>74</v>
      </c>
      <c r="M2078" t="s">
        <v>74</v>
      </c>
      <c r="N2078" t="s">
        <v>103</v>
      </c>
      <c r="O2078" t="s">
        <v>74</v>
      </c>
      <c r="P2078" t="s">
        <v>74</v>
      </c>
      <c r="Q2078" t="s">
        <v>74</v>
      </c>
      <c r="R2078" t="s">
        <v>74</v>
      </c>
      <c r="S2078" t="s">
        <v>74</v>
      </c>
      <c r="T2078" t="s">
        <v>74</v>
      </c>
      <c r="U2078" t="s">
        <v>19897</v>
      </c>
      <c r="V2078" t="s">
        <v>19898</v>
      </c>
      <c r="W2078" t="s">
        <v>19899</v>
      </c>
      <c r="X2078" t="s">
        <v>19900</v>
      </c>
      <c r="Y2078" t="s">
        <v>19901</v>
      </c>
      <c r="Z2078" t="s">
        <v>19902</v>
      </c>
      <c r="AA2078" t="s">
        <v>17282</v>
      </c>
      <c r="AB2078" t="s">
        <v>19903</v>
      </c>
      <c r="AC2078" t="s">
        <v>74</v>
      </c>
      <c r="AD2078" t="s">
        <v>74</v>
      </c>
      <c r="AE2078" t="s">
        <v>74</v>
      </c>
      <c r="AF2078" t="s">
        <v>74</v>
      </c>
      <c r="AG2078">
        <v>64</v>
      </c>
      <c r="AH2078">
        <v>0</v>
      </c>
      <c r="AI2078">
        <v>0</v>
      </c>
      <c r="AJ2078">
        <v>18</v>
      </c>
      <c r="AK2078">
        <v>18</v>
      </c>
      <c r="AL2078" t="s">
        <v>74</v>
      </c>
      <c r="AM2078" t="s">
        <v>74</v>
      </c>
      <c r="AN2078" t="s">
        <v>74</v>
      </c>
      <c r="AO2078" t="s">
        <v>4493</v>
      </c>
      <c r="AP2078" t="s">
        <v>4494</v>
      </c>
      <c r="AQ2078" t="s">
        <v>74</v>
      </c>
      <c r="AR2078" t="s">
        <v>74</v>
      </c>
      <c r="AS2078" t="s">
        <v>74</v>
      </c>
      <c r="AT2078" t="s">
        <v>5804</v>
      </c>
      <c r="AU2078">
        <v>2022</v>
      </c>
      <c r="AV2078">
        <v>94</v>
      </c>
      <c r="AW2078">
        <v>9</v>
      </c>
      <c r="AX2078" t="s">
        <v>74</v>
      </c>
      <c r="AY2078" t="s">
        <v>74</v>
      </c>
      <c r="AZ2078" t="s">
        <v>74</v>
      </c>
      <c r="BA2078" t="s">
        <v>74</v>
      </c>
      <c r="BB2078">
        <v>3987</v>
      </c>
      <c r="BC2078">
        <v>3996</v>
      </c>
      <c r="BD2078" t="s">
        <v>74</v>
      </c>
      <c r="BE2078" t="s">
        <v>19904</v>
      </c>
      <c r="BF2078" t="str">
        <f>HYPERLINK("http://dx.doi.org/10.1021/acs.analchem.1c05124","http://dx.doi.org/10.1021/acs.analchem.1c05124")</f>
        <v>http://dx.doi.org/10.1021/acs.analchem.1c05124</v>
      </c>
      <c r="BG2078" t="s">
        <v>74</v>
      </c>
      <c r="BH2078" t="s">
        <v>74</v>
      </c>
      <c r="BI2078" t="s">
        <v>74</v>
      </c>
      <c r="BJ2078" t="s">
        <v>1118</v>
      </c>
      <c r="BK2078" t="s">
        <v>117</v>
      </c>
      <c r="BL2078" t="s">
        <v>1048</v>
      </c>
      <c r="BM2078" t="s">
        <v>74</v>
      </c>
      <c r="BN2078">
        <v>35193353</v>
      </c>
      <c r="BO2078" t="s">
        <v>74</v>
      </c>
      <c r="BP2078" t="s">
        <v>74</v>
      </c>
      <c r="BQ2078" t="s">
        <v>74</v>
      </c>
      <c r="BR2078" t="s">
        <v>96</v>
      </c>
      <c r="BS2078" t="s">
        <v>19905</v>
      </c>
      <c r="BT2078" t="str">
        <f>HYPERLINK("https%3A%2F%2Fwww.webofscience.com%2Fwos%2Fwoscc%2Ffull-record%2FWOS:000819810300029","View Full Record in Web of Science")</f>
        <v>View Full Record in Web of Science</v>
      </c>
    </row>
    <row r="2079" spans="1:72" x14ac:dyDescent="0.15">
      <c r="A2079" t="s">
        <v>98</v>
      </c>
      <c r="B2079" t="s">
        <v>19919</v>
      </c>
      <c r="C2079" t="s">
        <v>74</v>
      </c>
      <c r="D2079" t="s">
        <v>74</v>
      </c>
      <c r="E2079" t="s">
        <v>74</v>
      </c>
      <c r="F2079" t="s">
        <v>19920</v>
      </c>
      <c r="G2079" t="s">
        <v>74</v>
      </c>
      <c r="H2079" t="s">
        <v>74</v>
      </c>
      <c r="I2079" t="s">
        <v>19921</v>
      </c>
      <c r="J2079" t="s">
        <v>402</v>
      </c>
      <c r="K2079" t="s">
        <v>74</v>
      </c>
      <c r="L2079" t="s">
        <v>74</v>
      </c>
      <c r="M2079" t="s">
        <v>74</v>
      </c>
      <c r="N2079" t="s">
        <v>103</v>
      </c>
      <c r="O2079" t="s">
        <v>74</v>
      </c>
      <c r="P2079" t="s">
        <v>74</v>
      </c>
      <c r="Q2079" t="s">
        <v>74</v>
      </c>
      <c r="R2079" t="s">
        <v>74</v>
      </c>
      <c r="S2079" t="s">
        <v>74</v>
      </c>
      <c r="T2079" t="s">
        <v>19922</v>
      </c>
      <c r="U2079" t="s">
        <v>74</v>
      </c>
      <c r="V2079" t="s">
        <v>19923</v>
      </c>
      <c r="W2079" t="s">
        <v>19924</v>
      </c>
      <c r="X2079" t="s">
        <v>19925</v>
      </c>
      <c r="Y2079" t="s">
        <v>19926</v>
      </c>
      <c r="Z2079" t="s">
        <v>19927</v>
      </c>
      <c r="AA2079" t="s">
        <v>74</v>
      </c>
      <c r="AB2079" t="s">
        <v>74</v>
      </c>
      <c r="AC2079" t="s">
        <v>74</v>
      </c>
      <c r="AD2079" t="s">
        <v>74</v>
      </c>
      <c r="AE2079" t="s">
        <v>74</v>
      </c>
      <c r="AF2079" t="s">
        <v>74</v>
      </c>
      <c r="AG2079">
        <v>53</v>
      </c>
      <c r="AH2079">
        <v>0</v>
      </c>
      <c r="AI2079">
        <v>0</v>
      </c>
      <c r="AJ2079">
        <v>0</v>
      </c>
      <c r="AK2079">
        <v>0</v>
      </c>
      <c r="AL2079" t="s">
        <v>74</v>
      </c>
      <c r="AM2079" t="s">
        <v>74</v>
      </c>
      <c r="AN2079" t="s">
        <v>74</v>
      </c>
      <c r="AO2079" t="s">
        <v>410</v>
      </c>
      <c r="AP2079" t="s">
        <v>411</v>
      </c>
      <c r="AQ2079" t="s">
        <v>74</v>
      </c>
      <c r="AR2079" t="s">
        <v>74</v>
      </c>
      <c r="AS2079" t="s">
        <v>74</v>
      </c>
      <c r="AT2079" t="s">
        <v>74</v>
      </c>
      <c r="AU2079">
        <v>2020</v>
      </c>
      <c r="AV2079">
        <v>47</v>
      </c>
      <c r="AW2079">
        <v>4</v>
      </c>
      <c r="AX2079" t="s">
        <v>74</v>
      </c>
      <c r="AY2079" t="s">
        <v>74</v>
      </c>
      <c r="AZ2079" t="s">
        <v>74</v>
      </c>
      <c r="BA2079" t="s">
        <v>74</v>
      </c>
      <c r="BB2079">
        <v>413</v>
      </c>
      <c r="BC2079">
        <v>424</v>
      </c>
      <c r="BD2079" t="s">
        <v>74</v>
      </c>
      <c r="BE2079" t="s">
        <v>74</v>
      </c>
      <c r="BF2079" t="s">
        <v>74</v>
      </c>
      <c r="BG2079" t="s">
        <v>74</v>
      </c>
      <c r="BH2079" t="s">
        <v>74</v>
      </c>
      <c r="BI2079" t="s">
        <v>74</v>
      </c>
      <c r="BJ2079" t="s">
        <v>412</v>
      </c>
      <c r="BK2079" t="s">
        <v>117</v>
      </c>
      <c r="BL2079" t="s">
        <v>413</v>
      </c>
      <c r="BM2079" t="s">
        <v>74</v>
      </c>
      <c r="BN2079" t="s">
        <v>74</v>
      </c>
      <c r="BO2079" t="s">
        <v>74</v>
      </c>
      <c r="BP2079" t="s">
        <v>74</v>
      </c>
      <c r="BQ2079" t="s">
        <v>74</v>
      </c>
      <c r="BR2079" t="s">
        <v>96</v>
      </c>
      <c r="BS2079" t="s">
        <v>19928</v>
      </c>
      <c r="BT2079" t="str">
        <f>HYPERLINK("https%3A%2F%2Fwww.webofscience.com%2Fwos%2Fwoscc%2Ffull-record%2FWOS:000640892600005","View Full Record in Web of Science")</f>
        <v>View Full Record in Web of Science</v>
      </c>
    </row>
    <row r="2080" spans="1:72" x14ac:dyDescent="0.15">
      <c r="A2080" t="s">
        <v>98</v>
      </c>
      <c r="B2080" t="s">
        <v>20314</v>
      </c>
      <c r="C2080" t="s">
        <v>74</v>
      </c>
      <c r="D2080" t="s">
        <v>74</v>
      </c>
      <c r="E2080" t="s">
        <v>74</v>
      </c>
      <c r="F2080" t="s">
        <v>20315</v>
      </c>
      <c r="G2080" t="s">
        <v>74</v>
      </c>
      <c r="H2080" t="s">
        <v>74</v>
      </c>
      <c r="I2080" t="s">
        <v>20316</v>
      </c>
      <c r="J2080" t="s">
        <v>2051</v>
      </c>
      <c r="K2080" t="s">
        <v>74</v>
      </c>
      <c r="L2080" t="s">
        <v>74</v>
      </c>
      <c r="M2080" t="s">
        <v>74</v>
      </c>
      <c r="N2080" t="s">
        <v>103</v>
      </c>
      <c r="O2080" t="s">
        <v>74</v>
      </c>
      <c r="P2080" t="s">
        <v>74</v>
      </c>
      <c r="Q2080" t="s">
        <v>74</v>
      </c>
      <c r="R2080" t="s">
        <v>74</v>
      </c>
      <c r="S2080" t="s">
        <v>74</v>
      </c>
      <c r="T2080" t="s">
        <v>20317</v>
      </c>
      <c r="U2080" t="s">
        <v>20318</v>
      </c>
      <c r="V2080" t="s">
        <v>20319</v>
      </c>
      <c r="W2080" t="s">
        <v>20320</v>
      </c>
      <c r="X2080" t="s">
        <v>20321</v>
      </c>
      <c r="Y2080" t="s">
        <v>20322</v>
      </c>
      <c r="Z2080" t="s">
        <v>20323</v>
      </c>
      <c r="AA2080" t="s">
        <v>20324</v>
      </c>
      <c r="AB2080" t="s">
        <v>20325</v>
      </c>
      <c r="AC2080" t="s">
        <v>74</v>
      </c>
      <c r="AD2080" t="s">
        <v>74</v>
      </c>
      <c r="AE2080" t="s">
        <v>74</v>
      </c>
      <c r="AF2080" t="s">
        <v>74</v>
      </c>
      <c r="AG2080">
        <v>41</v>
      </c>
      <c r="AH2080">
        <v>0</v>
      </c>
      <c r="AI2080">
        <v>0</v>
      </c>
      <c r="AJ2080">
        <v>0</v>
      </c>
      <c r="AK2080">
        <v>0</v>
      </c>
      <c r="AL2080" t="s">
        <v>74</v>
      </c>
      <c r="AM2080" t="s">
        <v>74</v>
      </c>
      <c r="AN2080" t="s">
        <v>74</v>
      </c>
      <c r="AO2080" t="s">
        <v>2061</v>
      </c>
      <c r="AP2080" t="s">
        <v>74</v>
      </c>
      <c r="AQ2080" t="s">
        <v>74</v>
      </c>
      <c r="AR2080" t="s">
        <v>74</v>
      </c>
      <c r="AS2080" t="s">
        <v>74</v>
      </c>
      <c r="AT2080" t="s">
        <v>10737</v>
      </c>
      <c r="AU2080">
        <v>2022</v>
      </c>
      <c r="AV2080">
        <v>13</v>
      </c>
      <c r="AW2080" t="s">
        <v>74</v>
      </c>
      <c r="AX2080" t="s">
        <v>74</v>
      </c>
      <c r="AY2080" t="s">
        <v>74</v>
      </c>
      <c r="AZ2080" t="s">
        <v>74</v>
      </c>
      <c r="BA2080" t="s">
        <v>74</v>
      </c>
      <c r="BB2080" t="s">
        <v>74</v>
      </c>
      <c r="BC2080" t="s">
        <v>74</v>
      </c>
      <c r="BD2080">
        <v>938691</v>
      </c>
      <c r="BE2080" t="s">
        <v>20326</v>
      </c>
      <c r="BF2080" t="str">
        <f>HYPERLINK("http://dx.doi.org/10.3389/fimmu.2022.938691","http://dx.doi.org/10.3389/fimmu.2022.938691")</f>
        <v>http://dx.doi.org/10.3389/fimmu.2022.938691</v>
      </c>
      <c r="BG2080" t="s">
        <v>74</v>
      </c>
      <c r="BH2080" t="s">
        <v>74</v>
      </c>
      <c r="BI2080" t="s">
        <v>74</v>
      </c>
      <c r="BJ2080" t="s">
        <v>2064</v>
      </c>
      <c r="BK2080" t="s">
        <v>117</v>
      </c>
      <c r="BL2080" t="s">
        <v>2064</v>
      </c>
      <c r="BM2080" t="s">
        <v>74</v>
      </c>
      <c r="BN2080">
        <v>35874692</v>
      </c>
      <c r="BO2080" t="s">
        <v>74</v>
      </c>
      <c r="BP2080" t="s">
        <v>74</v>
      </c>
      <c r="BQ2080" t="s">
        <v>74</v>
      </c>
      <c r="BR2080" t="s">
        <v>96</v>
      </c>
      <c r="BS2080" t="s">
        <v>20327</v>
      </c>
      <c r="BT2080" t="str">
        <f>HYPERLINK("https%3A%2F%2Fwww.webofscience.com%2Fwos%2Fwoscc%2Ffull-record%2FWOS:000829895700001","View Full Record in Web of Science")</f>
        <v>View Full Record in Web of Science</v>
      </c>
    </row>
    <row r="2081" spans="1:72" x14ac:dyDescent="0.15">
      <c r="A2081" t="s">
        <v>98</v>
      </c>
      <c r="B2081" t="s">
        <v>20423</v>
      </c>
      <c r="C2081" t="s">
        <v>74</v>
      </c>
      <c r="D2081" t="s">
        <v>74</v>
      </c>
      <c r="E2081" t="s">
        <v>74</v>
      </c>
      <c r="F2081" t="s">
        <v>20424</v>
      </c>
      <c r="G2081" t="s">
        <v>74</v>
      </c>
      <c r="H2081" t="s">
        <v>74</v>
      </c>
      <c r="I2081" t="s">
        <v>20425</v>
      </c>
      <c r="J2081" t="s">
        <v>817</v>
      </c>
      <c r="K2081" t="s">
        <v>74</v>
      </c>
      <c r="L2081" t="s">
        <v>74</v>
      </c>
      <c r="M2081" t="s">
        <v>74</v>
      </c>
      <c r="N2081" t="s">
        <v>103</v>
      </c>
      <c r="O2081" t="s">
        <v>74</v>
      </c>
      <c r="P2081" t="s">
        <v>74</v>
      </c>
      <c r="Q2081" t="s">
        <v>74</v>
      </c>
      <c r="R2081" t="s">
        <v>74</v>
      </c>
      <c r="S2081" t="s">
        <v>74</v>
      </c>
      <c r="T2081" t="s">
        <v>20426</v>
      </c>
      <c r="U2081" t="s">
        <v>20427</v>
      </c>
      <c r="V2081" t="s">
        <v>20428</v>
      </c>
      <c r="W2081" t="s">
        <v>20429</v>
      </c>
      <c r="X2081" t="s">
        <v>20430</v>
      </c>
      <c r="Y2081" t="s">
        <v>20431</v>
      </c>
      <c r="Z2081" t="s">
        <v>20432</v>
      </c>
      <c r="AA2081" t="s">
        <v>20433</v>
      </c>
      <c r="AB2081" t="s">
        <v>20434</v>
      </c>
      <c r="AC2081" t="s">
        <v>74</v>
      </c>
      <c r="AD2081" t="s">
        <v>74</v>
      </c>
      <c r="AE2081" t="s">
        <v>74</v>
      </c>
      <c r="AF2081" t="s">
        <v>74</v>
      </c>
      <c r="AG2081">
        <v>153</v>
      </c>
      <c r="AH2081">
        <v>0</v>
      </c>
      <c r="AI2081">
        <v>0</v>
      </c>
      <c r="AJ2081">
        <v>5</v>
      </c>
      <c r="AK2081">
        <v>5</v>
      </c>
      <c r="AL2081" t="s">
        <v>74</v>
      </c>
      <c r="AM2081" t="s">
        <v>74</v>
      </c>
      <c r="AN2081" t="s">
        <v>74</v>
      </c>
      <c r="AO2081" t="s">
        <v>74</v>
      </c>
      <c r="AP2081" t="s">
        <v>827</v>
      </c>
      <c r="AQ2081" t="s">
        <v>74</v>
      </c>
      <c r="AR2081" t="s">
        <v>74</v>
      </c>
      <c r="AS2081" t="s">
        <v>74</v>
      </c>
      <c r="AT2081" t="s">
        <v>565</v>
      </c>
      <c r="AU2081">
        <v>2022</v>
      </c>
      <c r="AV2081">
        <v>23</v>
      </c>
      <c r="AW2081">
        <v>6</v>
      </c>
      <c r="AX2081" t="s">
        <v>74</v>
      </c>
      <c r="AY2081" t="s">
        <v>74</v>
      </c>
      <c r="AZ2081" t="s">
        <v>74</v>
      </c>
      <c r="BA2081" t="s">
        <v>74</v>
      </c>
      <c r="BB2081" t="s">
        <v>74</v>
      </c>
      <c r="BC2081" t="s">
        <v>74</v>
      </c>
      <c r="BD2081">
        <v>3350</v>
      </c>
      <c r="BE2081" t="s">
        <v>20435</v>
      </c>
      <c r="BF2081" t="str">
        <f>HYPERLINK("http://dx.doi.org/10.3390/ijms23063350","http://dx.doi.org/10.3390/ijms23063350")</f>
        <v>http://dx.doi.org/10.3390/ijms23063350</v>
      </c>
      <c r="BG2081" t="s">
        <v>74</v>
      </c>
      <c r="BH2081" t="s">
        <v>74</v>
      </c>
      <c r="BI2081" t="s">
        <v>74</v>
      </c>
      <c r="BJ2081" t="s">
        <v>830</v>
      </c>
      <c r="BK2081" t="s">
        <v>117</v>
      </c>
      <c r="BL2081" t="s">
        <v>831</v>
      </c>
      <c r="BM2081" t="s">
        <v>74</v>
      </c>
      <c r="BN2081">
        <v>35328771</v>
      </c>
      <c r="BO2081" t="s">
        <v>74</v>
      </c>
      <c r="BP2081" t="s">
        <v>74</v>
      </c>
      <c r="BQ2081" t="s">
        <v>74</v>
      </c>
      <c r="BR2081" t="s">
        <v>96</v>
      </c>
      <c r="BS2081" t="s">
        <v>20436</v>
      </c>
      <c r="BT2081" t="str">
        <f>HYPERLINK("https%3A%2F%2Fwww.webofscience.com%2Fwos%2Fwoscc%2Ffull-record%2FWOS:000775289400001","View Full Record in Web of Science")</f>
        <v>View Full Record in Web of Science</v>
      </c>
    </row>
    <row r="2082" spans="1:72" x14ac:dyDescent="0.15">
      <c r="A2082" t="s">
        <v>98</v>
      </c>
      <c r="B2082" t="s">
        <v>20460</v>
      </c>
      <c r="C2082" t="s">
        <v>74</v>
      </c>
      <c r="D2082" t="s">
        <v>74</v>
      </c>
      <c r="E2082" t="s">
        <v>74</v>
      </c>
      <c r="F2082" t="s">
        <v>20461</v>
      </c>
      <c r="G2082" t="s">
        <v>74</v>
      </c>
      <c r="H2082" t="s">
        <v>74</v>
      </c>
      <c r="I2082" t="s">
        <v>20462</v>
      </c>
      <c r="J2082" t="s">
        <v>1143</v>
      </c>
      <c r="K2082" t="s">
        <v>74</v>
      </c>
      <c r="L2082" t="s">
        <v>74</v>
      </c>
      <c r="M2082" t="s">
        <v>74</v>
      </c>
      <c r="N2082" t="s">
        <v>103</v>
      </c>
      <c r="O2082" t="s">
        <v>74</v>
      </c>
      <c r="P2082" t="s">
        <v>74</v>
      </c>
      <c r="Q2082" t="s">
        <v>74</v>
      </c>
      <c r="R2082" t="s">
        <v>74</v>
      </c>
      <c r="S2082" t="s">
        <v>74</v>
      </c>
      <c r="T2082" t="s">
        <v>20463</v>
      </c>
      <c r="U2082" t="s">
        <v>20464</v>
      </c>
      <c r="V2082" t="s">
        <v>20465</v>
      </c>
      <c r="W2082" t="s">
        <v>20466</v>
      </c>
      <c r="X2082" t="s">
        <v>20467</v>
      </c>
      <c r="Y2082" t="s">
        <v>20468</v>
      </c>
      <c r="Z2082" t="s">
        <v>20469</v>
      </c>
      <c r="AA2082" t="s">
        <v>74</v>
      </c>
      <c r="AB2082" t="s">
        <v>74</v>
      </c>
      <c r="AC2082" t="s">
        <v>74</v>
      </c>
      <c r="AD2082" t="s">
        <v>74</v>
      </c>
      <c r="AE2082" t="s">
        <v>74</v>
      </c>
      <c r="AF2082" t="s">
        <v>74</v>
      </c>
      <c r="AG2082">
        <v>33</v>
      </c>
      <c r="AH2082">
        <v>0</v>
      </c>
      <c r="AI2082">
        <v>0</v>
      </c>
      <c r="AJ2082">
        <v>1</v>
      </c>
      <c r="AK2082">
        <v>1</v>
      </c>
      <c r="AL2082" t="s">
        <v>74</v>
      </c>
      <c r="AM2082" t="s">
        <v>74</v>
      </c>
      <c r="AN2082" t="s">
        <v>74</v>
      </c>
      <c r="AO2082" t="s">
        <v>1153</v>
      </c>
      <c r="AP2082" t="s">
        <v>74</v>
      </c>
      <c r="AQ2082" t="s">
        <v>74</v>
      </c>
      <c r="AR2082" t="s">
        <v>74</v>
      </c>
      <c r="AS2082" t="s">
        <v>74</v>
      </c>
      <c r="AT2082" t="s">
        <v>74</v>
      </c>
      <c r="AU2082">
        <v>2022</v>
      </c>
      <c r="AV2082">
        <v>12</v>
      </c>
      <c r="AW2082">
        <v>9</v>
      </c>
      <c r="AX2082" t="s">
        <v>74</v>
      </c>
      <c r="AY2082" t="s">
        <v>74</v>
      </c>
      <c r="AZ2082" t="s">
        <v>74</v>
      </c>
      <c r="BA2082" t="s">
        <v>74</v>
      </c>
      <c r="BB2082">
        <v>4386</v>
      </c>
      <c r="BC2082">
        <v>4398</v>
      </c>
      <c r="BD2082" t="s">
        <v>74</v>
      </c>
      <c r="BE2082" t="s">
        <v>20470</v>
      </c>
      <c r="BF2082" t="str">
        <f>HYPERLINK("http://dx.doi.org/10.7150/thno.69863","http://dx.doi.org/10.7150/thno.69863")</f>
        <v>http://dx.doi.org/10.7150/thno.69863</v>
      </c>
      <c r="BG2082" t="s">
        <v>74</v>
      </c>
      <c r="BH2082" t="s">
        <v>74</v>
      </c>
      <c r="BI2082" t="s">
        <v>74</v>
      </c>
      <c r="BJ2082" t="s">
        <v>795</v>
      </c>
      <c r="BK2082" t="s">
        <v>117</v>
      </c>
      <c r="BL2082" t="s">
        <v>796</v>
      </c>
      <c r="BM2082" t="s">
        <v>74</v>
      </c>
      <c r="BN2082">
        <v>35673560</v>
      </c>
      <c r="BO2082" t="s">
        <v>74</v>
      </c>
      <c r="BP2082" t="s">
        <v>74</v>
      </c>
      <c r="BQ2082" t="s">
        <v>74</v>
      </c>
      <c r="BR2082" t="s">
        <v>96</v>
      </c>
      <c r="BS2082" t="s">
        <v>20471</v>
      </c>
      <c r="BT2082" t="str">
        <f>HYPERLINK("https%3A%2F%2Fwww.webofscience.com%2Fwos%2Fwoscc%2Ffull-record%2FWOS:000802758700002","View Full Record in Web of Science")</f>
        <v>View Full Record in Web of Science</v>
      </c>
    </row>
    <row r="2083" spans="1:72" x14ac:dyDescent="0.15">
      <c r="A2083" t="s">
        <v>98</v>
      </c>
      <c r="B2083" t="s">
        <v>20635</v>
      </c>
      <c r="C2083" t="s">
        <v>74</v>
      </c>
      <c r="D2083" t="s">
        <v>74</v>
      </c>
      <c r="E2083" t="s">
        <v>74</v>
      </c>
      <c r="F2083" t="s">
        <v>20636</v>
      </c>
      <c r="G2083" t="s">
        <v>74</v>
      </c>
      <c r="H2083" t="s">
        <v>74</v>
      </c>
      <c r="I2083" t="s">
        <v>20637</v>
      </c>
      <c r="J2083" t="s">
        <v>20638</v>
      </c>
      <c r="K2083" t="s">
        <v>74</v>
      </c>
      <c r="L2083" t="s">
        <v>74</v>
      </c>
      <c r="M2083" t="s">
        <v>74</v>
      </c>
      <c r="N2083" t="s">
        <v>103</v>
      </c>
      <c r="O2083" t="s">
        <v>74</v>
      </c>
      <c r="P2083" t="s">
        <v>74</v>
      </c>
      <c r="Q2083" t="s">
        <v>74</v>
      </c>
      <c r="R2083" t="s">
        <v>74</v>
      </c>
      <c r="S2083" t="s">
        <v>74</v>
      </c>
      <c r="T2083" t="s">
        <v>20639</v>
      </c>
      <c r="U2083" t="s">
        <v>20640</v>
      </c>
      <c r="V2083" t="s">
        <v>20641</v>
      </c>
      <c r="W2083" t="s">
        <v>20642</v>
      </c>
      <c r="X2083" t="s">
        <v>20643</v>
      </c>
      <c r="Y2083" t="s">
        <v>20644</v>
      </c>
      <c r="Z2083" t="s">
        <v>20645</v>
      </c>
      <c r="AA2083" t="s">
        <v>74</v>
      </c>
      <c r="AB2083" t="s">
        <v>20646</v>
      </c>
      <c r="AC2083" t="s">
        <v>74</v>
      </c>
      <c r="AD2083" t="s">
        <v>74</v>
      </c>
      <c r="AE2083" t="s">
        <v>74</v>
      </c>
      <c r="AF2083" t="s">
        <v>74</v>
      </c>
      <c r="AG2083">
        <v>61</v>
      </c>
      <c r="AH2083">
        <v>0</v>
      </c>
      <c r="AI2083">
        <v>0</v>
      </c>
      <c r="AJ2083">
        <v>1</v>
      </c>
      <c r="AK2083">
        <v>1</v>
      </c>
      <c r="AL2083" t="s">
        <v>74</v>
      </c>
      <c r="AM2083" t="s">
        <v>74</v>
      </c>
      <c r="AN2083" t="s">
        <v>74</v>
      </c>
      <c r="AO2083" t="s">
        <v>20647</v>
      </c>
      <c r="AP2083" t="s">
        <v>20648</v>
      </c>
      <c r="AQ2083" t="s">
        <v>74</v>
      </c>
      <c r="AR2083" t="s">
        <v>74</v>
      </c>
      <c r="AS2083" t="s">
        <v>74</v>
      </c>
      <c r="AT2083" t="s">
        <v>614</v>
      </c>
      <c r="AU2083">
        <v>2022</v>
      </c>
      <c r="AV2083">
        <v>256</v>
      </c>
      <c r="AW2083">
        <v>1</v>
      </c>
      <c r="AX2083" t="s">
        <v>74</v>
      </c>
      <c r="AY2083" t="s">
        <v>74</v>
      </c>
      <c r="AZ2083" t="s">
        <v>74</v>
      </c>
      <c r="BA2083" t="s">
        <v>74</v>
      </c>
      <c r="BB2083" t="s">
        <v>74</v>
      </c>
      <c r="BC2083" t="s">
        <v>74</v>
      </c>
      <c r="BD2083">
        <v>3</v>
      </c>
      <c r="BE2083" t="s">
        <v>20649</v>
      </c>
      <c r="BF2083" t="str">
        <f>HYPERLINK("http://dx.doi.org/10.1007/s00425-022-03911-5","http://dx.doi.org/10.1007/s00425-022-03911-5")</f>
        <v>http://dx.doi.org/10.1007/s00425-022-03911-5</v>
      </c>
      <c r="BG2083" t="s">
        <v>74</v>
      </c>
      <c r="BH2083" t="s">
        <v>74</v>
      </c>
      <c r="BI2083" t="s">
        <v>74</v>
      </c>
      <c r="BJ2083" t="s">
        <v>20650</v>
      </c>
      <c r="BK2083" t="s">
        <v>117</v>
      </c>
      <c r="BL2083" t="s">
        <v>20650</v>
      </c>
      <c r="BM2083" t="s">
        <v>74</v>
      </c>
      <c r="BN2083">
        <v>35637390</v>
      </c>
      <c r="BO2083" t="s">
        <v>74</v>
      </c>
      <c r="BP2083" t="s">
        <v>74</v>
      </c>
      <c r="BQ2083" t="s">
        <v>74</v>
      </c>
      <c r="BR2083" t="s">
        <v>96</v>
      </c>
      <c r="BS2083" t="s">
        <v>20651</v>
      </c>
      <c r="BT2083" t="str">
        <f>HYPERLINK("https%3A%2F%2Fwww.webofscience.com%2Fwos%2Fwoscc%2Ffull-record%2FWOS:000805574400001","View Full Record in Web of Science")</f>
        <v>View Full Record in Web of Science</v>
      </c>
    </row>
    <row r="2084" spans="1:72" x14ac:dyDescent="0.15">
      <c r="A2084" t="s">
        <v>98</v>
      </c>
      <c r="B2084" t="s">
        <v>20652</v>
      </c>
      <c r="C2084" t="s">
        <v>74</v>
      </c>
      <c r="D2084" t="s">
        <v>74</v>
      </c>
      <c r="E2084" t="s">
        <v>74</v>
      </c>
      <c r="F2084" t="s">
        <v>20653</v>
      </c>
      <c r="G2084" t="s">
        <v>74</v>
      </c>
      <c r="H2084" t="s">
        <v>74</v>
      </c>
      <c r="I2084" t="s">
        <v>20654</v>
      </c>
      <c r="J2084" t="s">
        <v>20655</v>
      </c>
      <c r="K2084" t="s">
        <v>74</v>
      </c>
      <c r="L2084" t="s">
        <v>74</v>
      </c>
      <c r="M2084" t="s">
        <v>74</v>
      </c>
      <c r="N2084" t="s">
        <v>103</v>
      </c>
      <c r="O2084" t="s">
        <v>74</v>
      </c>
      <c r="P2084" t="s">
        <v>74</v>
      </c>
      <c r="Q2084" t="s">
        <v>74</v>
      </c>
      <c r="R2084" t="s">
        <v>74</v>
      </c>
      <c r="S2084" t="s">
        <v>74</v>
      </c>
      <c r="T2084" t="s">
        <v>20656</v>
      </c>
      <c r="U2084" t="s">
        <v>20657</v>
      </c>
      <c r="V2084" t="s">
        <v>20658</v>
      </c>
      <c r="W2084" t="s">
        <v>20659</v>
      </c>
      <c r="X2084" t="s">
        <v>20660</v>
      </c>
      <c r="Y2084" t="s">
        <v>20661</v>
      </c>
      <c r="Z2084" t="s">
        <v>20662</v>
      </c>
      <c r="AA2084" t="s">
        <v>74</v>
      </c>
      <c r="AB2084" t="s">
        <v>74</v>
      </c>
      <c r="AC2084" t="s">
        <v>74</v>
      </c>
      <c r="AD2084" t="s">
        <v>74</v>
      </c>
      <c r="AE2084" t="s">
        <v>74</v>
      </c>
      <c r="AF2084" t="s">
        <v>74</v>
      </c>
      <c r="AG2084">
        <v>29</v>
      </c>
      <c r="AH2084">
        <v>0</v>
      </c>
      <c r="AI2084">
        <v>0</v>
      </c>
      <c r="AJ2084">
        <v>1</v>
      </c>
      <c r="AK2084">
        <v>1</v>
      </c>
      <c r="AL2084" t="s">
        <v>74</v>
      </c>
      <c r="AM2084" t="s">
        <v>74</v>
      </c>
      <c r="AN2084" t="s">
        <v>74</v>
      </c>
      <c r="AO2084" t="s">
        <v>20663</v>
      </c>
      <c r="AP2084" t="s">
        <v>74</v>
      </c>
      <c r="AQ2084" t="s">
        <v>74</v>
      </c>
      <c r="AR2084" t="s">
        <v>74</v>
      </c>
      <c r="AS2084" t="s">
        <v>74</v>
      </c>
      <c r="AT2084" t="s">
        <v>1029</v>
      </c>
      <c r="AU2084">
        <v>2022</v>
      </c>
      <c r="AV2084">
        <v>10</v>
      </c>
      <c r="AW2084">
        <v>10</v>
      </c>
      <c r="AX2084" t="s">
        <v>74</v>
      </c>
      <c r="AY2084" t="s">
        <v>74</v>
      </c>
      <c r="AZ2084" t="s">
        <v>74</v>
      </c>
      <c r="BA2084" t="s">
        <v>74</v>
      </c>
      <c r="BB2084" t="s">
        <v>74</v>
      </c>
      <c r="BC2084" t="s">
        <v>74</v>
      </c>
      <c r="BD2084" t="s">
        <v>20664</v>
      </c>
      <c r="BE2084" t="s">
        <v>20665</v>
      </c>
      <c r="BF2084" t="str">
        <f>HYPERLINK("http://dx.doi.org/10.14814/phy2.15282","http://dx.doi.org/10.14814/phy2.15282")</f>
        <v>http://dx.doi.org/10.14814/phy2.15282</v>
      </c>
      <c r="BG2084" t="s">
        <v>74</v>
      </c>
      <c r="BH2084" t="s">
        <v>74</v>
      </c>
      <c r="BI2084" t="s">
        <v>74</v>
      </c>
      <c r="BJ2084" t="s">
        <v>1809</v>
      </c>
      <c r="BK2084" t="s">
        <v>467</v>
      </c>
      <c r="BL2084" t="s">
        <v>1809</v>
      </c>
      <c r="BM2084" t="s">
        <v>74</v>
      </c>
      <c r="BN2084">
        <v>35581740</v>
      </c>
      <c r="BO2084" t="s">
        <v>74</v>
      </c>
      <c r="BP2084" t="s">
        <v>74</v>
      </c>
      <c r="BQ2084" t="s">
        <v>74</v>
      </c>
      <c r="BR2084" t="s">
        <v>96</v>
      </c>
      <c r="BS2084" t="s">
        <v>20666</v>
      </c>
      <c r="BT2084" t="str">
        <f>HYPERLINK("https%3A%2F%2Fwww.webofscience.com%2Fwos%2Fwoscc%2Ffull-record%2FWOS:000796739400001","View Full Record in Web of Science")</f>
        <v>View Full Record in Web of Science</v>
      </c>
    </row>
    <row r="2085" spans="1:72" x14ac:dyDescent="0.15">
      <c r="A2085" t="s">
        <v>98</v>
      </c>
      <c r="B2085" t="s">
        <v>20890</v>
      </c>
      <c r="C2085" t="s">
        <v>74</v>
      </c>
      <c r="D2085" t="s">
        <v>74</v>
      </c>
      <c r="E2085" t="s">
        <v>74</v>
      </c>
      <c r="F2085" t="s">
        <v>20891</v>
      </c>
      <c r="G2085" t="s">
        <v>74</v>
      </c>
      <c r="H2085" t="s">
        <v>74</v>
      </c>
      <c r="I2085" t="s">
        <v>20892</v>
      </c>
      <c r="J2085" t="s">
        <v>20893</v>
      </c>
      <c r="K2085" t="s">
        <v>74</v>
      </c>
      <c r="L2085" t="s">
        <v>74</v>
      </c>
      <c r="M2085" t="s">
        <v>74</v>
      </c>
      <c r="N2085" t="s">
        <v>103</v>
      </c>
      <c r="O2085" t="s">
        <v>74</v>
      </c>
      <c r="P2085" t="s">
        <v>74</v>
      </c>
      <c r="Q2085" t="s">
        <v>74</v>
      </c>
      <c r="R2085" t="s">
        <v>74</v>
      </c>
      <c r="S2085" t="s">
        <v>74</v>
      </c>
      <c r="T2085" t="s">
        <v>20894</v>
      </c>
      <c r="U2085" t="s">
        <v>20895</v>
      </c>
      <c r="V2085" t="s">
        <v>20896</v>
      </c>
      <c r="W2085" t="s">
        <v>20897</v>
      </c>
      <c r="X2085" t="s">
        <v>15125</v>
      </c>
      <c r="Y2085" t="s">
        <v>20898</v>
      </c>
      <c r="Z2085" t="s">
        <v>20899</v>
      </c>
      <c r="AA2085" t="s">
        <v>74</v>
      </c>
      <c r="AB2085" t="s">
        <v>20900</v>
      </c>
      <c r="AC2085" t="s">
        <v>74</v>
      </c>
      <c r="AD2085" t="s">
        <v>74</v>
      </c>
      <c r="AE2085" t="s">
        <v>74</v>
      </c>
      <c r="AF2085" t="s">
        <v>74</v>
      </c>
      <c r="AG2085">
        <v>92</v>
      </c>
      <c r="AH2085">
        <v>0</v>
      </c>
      <c r="AI2085">
        <v>0</v>
      </c>
      <c r="AJ2085">
        <v>0</v>
      </c>
      <c r="AK2085">
        <v>2</v>
      </c>
      <c r="AL2085" t="s">
        <v>74</v>
      </c>
      <c r="AM2085" t="s">
        <v>74</v>
      </c>
      <c r="AN2085" t="s">
        <v>74</v>
      </c>
      <c r="AO2085" t="s">
        <v>20901</v>
      </c>
      <c r="AP2085" t="s">
        <v>20902</v>
      </c>
      <c r="AQ2085" t="s">
        <v>74</v>
      </c>
      <c r="AR2085" t="s">
        <v>74</v>
      </c>
      <c r="AS2085" t="s">
        <v>74</v>
      </c>
      <c r="AT2085" t="s">
        <v>170</v>
      </c>
      <c r="AU2085">
        <v>2019</v>
      </c>
      <c r="AV2085">
        <v>11</v>
      </c>
      <c r="AW2085">
        <v>2</v>
      </c>
      <c r="AX2085" t="s">
        <v>74</v>
      </c>
      <c r="AY2085" t="s">
        <v>74</v>
      </c>
      <c r="AZ2085" t="s">
        <v>74</v>
      </c>
      <c r="BA2085" t="s">
        <v>74</v>
      </c>
      <c r="BB2085">
        <v>52</v>
      </c>
      <c r="BC2085">
        <v>66</v>
      </c>
      <c r="BD2085" t="s">
        <v>74</v>
      </c>
      <c r="BE2085" t="s">
        <v>20903</v>
      </c>
      <c r="BF2085" t="str">
        <f>HYPERLINK("http://dx.doi.org/10.1007/s12609-019-0308-0","http://dx.doi.org/10.1007/s12609-019-0308-0")</f>
        <v>http://dx.doi.org/10.1007/s12609-019-0308-0</v>
      </c>
      <c r="BG2085" t="s">
        <v>74</v>
      </c>
      <c r="BH2085" t="s">
        <v>74</v>
      </c>
      <c r="BI2085" t="s">
        <v>74</v>
      </c>
      <c r="BJ2085" t="s">
        <v>267</v>
      </c>
      <c r="BK2085" t="s">
        <v>467</v>
      </c>
      <c r="BL2085" t="s">
        <v>267</v>
      </c>
      <c r="BM2085" t="s">
        <v>74</v>
      </c>
      <c r="BN2085" t="s">
        <v>74</v>
      </c>
      <c r="BO2085" t="s">
        <v>74</v>
      </c>
      <c r="BP2085" t="s">
        <v>74</v>
      </c>
      <c r="BQ2085" t="s">
        <v>74</v>
      </c>
      <c r="BR2085" t="s">
        <v>96</v>
      </c>
      <c r="BS2085" t="s">
        <v>20904</v>
      </c>
      <c r="BT2085" t="str">
        <f>HYPERLINK("https%3A%2F%2Fwww.webofscience.com%2Fwos%2Fwoscc%2Ffull-record%2FWOS:000472900500004","View Full Record in Web of Science")</f>
        <v>View Full Record in Web of Science</v>
      </c>
    </row>
    <row r="2086" spans="1:72" x14ac:dyDescent="0.15">
      <c r="A2086" t="s">
        <v>98</v>
      </c>
      <c r="B2086" t="s">
        <v>20942</v>
      </c>
      <c r="C2086" t="s">
        <v>74</v>
      </c>
      <c r="D2086" t="s">
        <v>74</v>
      </c>
      <c r="E2086" t="s">
        <v>74</v>
      </c>
      <c r="F2086" t="s">
        <v>20943</v>
      </c>
      <c r="G2086" t="s">
        <v>74</v>
      </c>
      <c r="H2086" t="s">
        <v>74</v>
      </c>
      <c r="I2086" t="s">
        <v>20944</v>
      </c>
      <c r="J2086" t="s">
        <v>20945</v>
      </c>
      <c r="K2086" t="s">
        <v>74</v>
      </c>
      <c r="L2086" t="s">
        <v>74</v>
      </c>
      <c r="M2086" t="s">
        <v>74</v>
      </c>
      <c r="N2086" t="s">
        <v>103</v>
      </c>
      <c r="O2086" t="s">
        <v>74</v>
      </c>
      <c r="P2086" t="s">
        <v>74</v>
      </c>
      <c r="Q2086" t="s">
        <v>74</v>
      </c>
      <c r="R2086" t="s">
        <v>74</v>
      </c>
      <c r="S2086" t="s">
        <v>74</v>
      </c>
      <c r="T2086" t="s">
        <v>20946</v>
      </c>
      <c r="U2086" t="s">
        <v>20947</v>
      </c>
      <c r="V2086" t="s">
        <v>20948</v>
      </c>
      <c r="W2086" t="s">
        <v>74</v>
      </c>
      <c r="X2086" t="s">
        <v>74</v>
      </c>
      <c r="Y2086" t="s">
        <v>74</v>
      </c>
      <c r="Z2086" t="s">
        <v>20949</v>
      </c>
      <c r="AA2086" t="s">
        <v>74</v>
      </c>
      <c r="AB2086" t="s">
        <v>20950</v>
      </c>
      <c r="AC2086" t="s">
        <v>74</v>
      </c>
      <c r="AD2086" t="s">
        <v>74</v>
      </c>
      <c r="AE2086" t="s">
        <v>74</v>
      </c>
      <c r="AF2086" t="s">
        <v>74</v>
      </c>
      <c r="AG2086">
        <v>172</v>
      </c>
      <c r="AH2086">
        <v>0</v>
      </c>
      <c r="AI2086">
        <v>0</v>
      </c>
      <c r="AJ2086">
        <v>1</v>
      </c>
      <c r="AK2086">
        <v>1</v>
      </c>
      <c r="AL2086" t="s">
        <v>74</v>
      </c>
      <c r="AM2086" t="s">
        <v>74</v>
      </c>
      <c r="AN2086" t="s">
        <v>74</v>
      </c>
      <c r="AO2086" t="s">
        <v>20951</v>
      </c>
      <c r="AP2086" t="s">
        <v>20952</v>
      </c>
      <c r="AQ2086" t="s">
        <v>74</v>
      </c>
      <c r="AR2086" t="s">
        <v>74</v>
      </c>
      <c r="AS2086" t="s">
        <v>74</v>
      </c>
      <c r="AT2086" t="s">
        <v>114</v>
      </c>
      <c r="AU2086">
        <v>2022</v>
      </c>
      <c r="AV2086">
        <v>211</v>
      </c>
      <c r="AW2086" t="s">
        <v>74</v>
      </c>
      <c r="AX2086" t="s">
        <v>74</v>
      </c>
      <c r="AY2086" t="s">
        <v>74</v>
      </c>
      <c r="AZ2086" t="s">
        <v>74</v>
      </c>
      <c r="BA2086" t="s">
        <v>74</v>
      </c>
      <c r="BB2086" t="s">
        <v>74</v>
      </c>
      <c r="BC2086" t="s">
        <v>74</v>
      </c>
      <c r="BD2086">
        <v>104587</v>
      </c>
      <c r="BE2086" t="s">
        <v>20953</v>
      </c>
      <c r="BF2086" t="str">
        <f>HYPERLINK("http://dx.doi.org/10.1016/j.biosystems.2021.104587","http://dx.doi.org/10.1016/j.biosystems.2021.104587")</f>
        <v>http://dx.doi.org/10.1016/j.biosystems.2021.104587</v>
      </c>
      <c r="BG2086" t="s">
        <v>74</v>
      </c>
      <c r="BH2086" t="s">
        <v>74</v>
      </c>
      <c r="BI2086" t="s">
        <v>74</v>
      </c>
      <c r="BJ2086" t="s">
        <v>20954</v>
      </c>
      <c r="BK2086" t="s">
        <v>117</v>
      </c>
      <c r="BL2086" t="s">
        <v>20955</v>
      </c>
      <c r="BM2086" t="s">
        <v>74</v>
      </c>
      <c r="BN2086">
        <v>34915101</v>
      </c>
      <c r="BO2086" t="s">
        <v>74</v>
      </c>
      <c r="BP2086" t="s">
        <v>74</v>
      </c>
      <c r="BQ2086" t="s">
        <v>74</v>
      </c>
      <c r="BR2086" t="s">
        <v>96</v>
      </c>
      <c r="BS2086" t="s">
        <v>20956</v>
      </c>
      <c r="BT2086" t="str">
        <f>HYPERLINK("https%3A%2F%2Fwww.webofscience.com%2Fwos%2Fwoscc%2Ffull-record%2FWOS:000788096100006","View Full Record in Web of Science")</f>
        <v>View Full Record in Web of Science</v>
      </c>
    </row>
    <row r="2087" spans="1:72" x14ac:dyDescent="0.15">
      <c r="A2087" t="s">
        <v>98</v>
      </c>
      <c r="B2087" t="s">
        <v>21696</v>
      </c>
      <c r="C2087" t="s">
        <v>74</v>
      </c>
      <c r="D2087" t="s">
        <v>74</v>
      </c>
      <c r="E2087" t="s">
        <v>74</v>
      </c>
      <c r="F2087" t="s">
        <v>21697</v>
      </c>
      <c r="G2087" t="s">
        <v>74</v>
      </c>
      <c r="H2087" t="s">
        <v>74</v>
      </c>
      <c r="I2087" t="s">
        <v>21698</v>
      </c>
      <c r="J2087" t="s">
        <v>21699</v>
      </c>
      <c r="K2087" t="s">
        <v>74</v>
      </c>
      <c r="L2087" t="s">
        <v>74</v>
      </c>
      <c r="M2087" t="s">
        <v>74</v>
      </c>
      <c r="N2087" t="s">
        <v>103</v>
      </c>
      <c r="O2087" t="s">
        <v>74</v>
      </c>
      <c r="P2087" t="s">
        <v>74</v>
      </c>
      <c r="Q2087" t="s">
        <v>74</v>
      </c>
      <c r="R2087" t="s">
        <v>74</v>
      </c>
      <c r="S2087" t="s">
        <v>74</v>
      </c>
      <c r="T2087" t="s">
        <v>21700</v>
      </c>
      <c r="U2087" t="s">
        <v>74</v>
      </c>
      <c r="V2087" t="s">
        <v>21701</v>
      </c>
      <c r="W2087" t="s">
        <v>21702</v>
      </c>
      <c r="X2087" t="s">
        <v>21703</v>
      </c>
      <c r="Y2087" t="s">
        <v>21704</v>
      </c>
      <c r="Z2087" t="s">
        <v>21705</v>
      </c>
      <c r="AA2087" t="s">
        <v>74</v>
      </c>
      <c r="AB2087" t="s">
        <v>21706</v>
      </c>
      <c r="AC2087" t="s">
        <v>74</v>
      </c>
      <c r="AD2087" t="s">
        <v>74</v>
      </c>
      <c r="AE2087" t="s">
        <v>74</v>
      </c>
      <c r="AF2087" t="s">
        <v>74</v>
      </c>
      <c r="AG2087">
        <v>30</v>
      </c>
      <c r="AH2087">
        <v>0</v>
      </c>
      <c r="AI2087">
        <v>0</v>
      </c>
      <c r="AJ2087">
        <v>0</v>
      </c>
      <c r="AK2087">
        <v>4</v>
      </c>
      <c r="AL2087" t="s">
        <v>74</v>
      </c>
      <c r="AM2087" t="s">
        <v>74</v>
      </c>
      <c r="AN2087" t="s">
        <v>74</v>
      </c>
      <c r="AO2087" t="s">
        <v>21707</v>
      </c>
      <c r="AP2087" t="s">
        <v>21708</v>
      </c>
      <c r="AQ2087" t="s">
        <v>74</v>
      </c>
      <c r="AR2087" t="s">
        <v>74</v>
      </c>
      <c r="AS2087" t="s">
        <v>74</v>
      </c>
      <c r="AT2087" t="s">
        <v>1029</v>
      </c>
      <c r="AU2087">
        <v>2021</v>
      </c>
      <c r="AV2087">
        <v>27</v>
      </c>
      <c r="AW2087">
        <v>5</v>
      </c>
      <c r="AX2087" t="s">
        <v>74</v>
      </c>
      <c r="AY2087" t="s">
        <v>74</v>
      </c>
      <c r="AZ2087" t="s">
        <v>447</v>
      </c>
      <c r="BA2087" t="s">
        <v>74</v>
      </c>
      <c r="BB2087">
        <v>458</v>
      </c>
      <c r="BC2087">
        <v>463</v>
      </c>
      <c r="BD2087" t="s">
        <v>74</v>
      </c>
      <c r="BE2087" t="s">
        <v>21709</v>
      </c>
      <c r="BF2087" t="str">
        <f>HYPERLINK("http://dx.doi.org/10.1007/s00761-021-00904-z","http://dx.doi.org/10.1007/s00761-021-00904-z")</f>
        <v>http://dx.doi.org/10.1007/s00761-021-00904-z</v>
      </c>
      <c r="BG2087" t="s">
        <v>74</v>
      </c>
      <c r="BH2087" t="s">
        <v>2607</v>
      </c>
      <c r="BI2087" t="s">
        <v>74</v>
      </c>
      <c r="BJ2087" t="s">
        <v>267</v>
      </c>
      <c r="BK2087" t="s">
        <v>117</v>
      </c>
      <c r="BL2087" t="s">
        <v>267</v>
      </c>
      <c r="BM2087" t="s">
        <v>74</v>
      </c>
      <c r="BN2087" t="s">
        <v>74</v>
      </c>
      <c r="BO2087" t="s">
        <v>74</v>
      </c>
      <c r="BP2087" t="s">
        <v>74</v>
      </c>
      <c r="BQ2087" t="s">
        <v>74</v>
      </c>
      <c r="BR2087" t="s">
        <v>96</v>
      </c>
      <c r="BS2087" t="s">
        <v>21710</v>
      </c>
      <c r="BT2087" t="str">
        <f>HYPERLINK("https%3A%2F%2Fwww.webofscience.com%2Fwos%2Fwoscc%2Ffull-record%2FWOS:000625040700006","View Full Record in Web of Science")</f>
        <v>View Full Record in Web of Science</v>
      </c>
    </row>
    <row r="2088" spans="1:72" x14ac:dyDescent="0.15">
      <c r="A2088" t="s">
        <v>98</v>
      </c>
      <c r="B2088" t="s">
        <v>21900</v>
      </c>
      <c r="C2088" t="s">
        <v>74</v>
      </c>
      <c r="D2088" t="s">
        <v>74</v>
      </c>
      <c r="E2088" t="s">
        <v>74</v>
      </c>
      <c r="F2088" t="s">
        <v>21901</v>
      </c>
      <c r="G2088" t="s">
        <v>74</v>
      </c>
      <c r="H2088" t="s">
        <v>74</v>
      </c>
      <c r="I2088" t="s">
        <v>21902</v>
      </c>
      <c r="J2088" t="s">
        <v>21903</v>
      </c>
      <c r="K2088" t="s">
        <v>74</v>
      </c>
      <c r="L2088" t="s">
        <v>74</v>
      </c>
      <c r="M2088" t="s">
        <v>74</v>
      </c>
      <c r="N2088" t="s">
        <v>103</v>
      </c>
      <c r="O2088" t="s">
        <v>74</v>
      </c>
      <c r="P2088" t="s">
        <v>74</v>
      </c>
      <c r="Q2088" t="s">
        <v>74</v>
      </c>
      <c r="R2088" t="s">
        <v>74</v>
      </c>
      <c r="S2088" t="s">
        <v>74</v>
      </c>
      <c r="T2088" t="s">
        <v>74</v>
      </c>
      <c r="U2088" t="s">
        <v>21904</v>
      </c>
      <c r="V2088" t="s">
        <v>21905</v>
      </c>
      <c r="W2088" t="s">
        <v>21906</v>
      </c>
      <c r="X2088" t="s">
        <v>21907</v>
      </c>
      <c r="Y2088" t="s">
        <v>21908</v>
      </c>
      <c r="Z2088" t="s">
        <v>21909</v>
      </c>
      <c r="AA2088" t="s">
        <v>21910</v>
      </c>
      <c r="AB2088" t="s">
        <v>74</v>
      </c>
      <c r="AC2088" t="s">
        <v>74</v>
      </c>
      <c r="AD2088" t="s">
        <v>74</v>
      </c>
      <c r="AE2088" t="s">
        <v>74</v>
      </c>
      <c r="AF2088" t="s">
        <v>74</v>
      </c>
      <c r="AG2088">
        <v>20</v>
      </c>
      <c r="AH2088">
        <v>0</v>
      </c>
      <c r="AI2088">
        <v>0</v>
      </c>
      <c r="AJ2088">
        <v>0</v>
      </c>
      <c r="AK2088">
        <v>7</v>
      </c>
      <c r="AL2088" t="s">
        <v>74</v>
      </c>
      <c r="AM2088" t="s">
        <v>74</v>
      </c>
      <c r="AN2088" t="s">
        <v>74</v>
      </c>
      <c r="AO2088" t="s">
        <v>21911</v>
      </c>
      <c r="AP2088" t="s">
        <v>74</v>
      </c>
      <c r="AQ2088" t="s">
        <v>74</v>
      </c>
      <c r="AR2088" t="s">
        <v>74</v>
      </c>
      <c r="AS2088" t="s">
        <v>74</v>
      </c>
      <c r="AT2088" t="s">
        <v>211</v>
      </c>
      <c r="AU2088">
        <v>2018</v>
      </c>
      <c r="AV2088">
        <v>29</v>
      </c>
      <c r="AW2088">
        <v>11</v>
      </c>
      <c r="AX2088" t="s">
        <v>74</v>
      </c>
      <c r="AY2088" t="s">
        <v>74</v>
      </c>
      <c r="AZ2088" t="s">
        <v>74</v>
      </c>
      <c r="BA2088" t="s">
        <v>74</v>
      </c>
      <c r="BB2088">
        <v>3561</v>
      </c>
      <c r="BC2088">
        <v>3570</v>
      </c>
      <c r="BD2088" t="s">
        <v>74</v>
      </c>
      <c r="BE2088" t="s">
        <v>21912</v>
      </c>
      <c r="BF2088" t="str">
        <f>HYPERLINK("http://dx.doi.org/10.1021/acs.bioconjchem.8b00533","http://dx.doi.org/10.1021/acs.bioconjchem.8b00533")</f>
        <v>http://dx.doi.org/10.1021/acs.bioconjchem.8b00533</v>
      </c>
      <c r="BG2088" t="s">
        <v>74</v>
      </c>
      <c r="BH2088" t="s">
        <v>74</v>
      </c>
      <c r="BI2088" t="s">
        <v>74</v>
      </c>
      <c r="BJ2088" t="s">
        <v>21913</v>
      </c>
      <c r="BK2088" t="s">
        <v>117</v>
      </c>
      <c r="BL2088" t="s">
        <v>831</v>
      </c>
      <c r="BM2088" t="s">
        <v>74</v>
      </c>
      <c r="BN2088">
        <v>30371055</v>
      </c>
      <c r="BO2088" t="s">
        <v>74</v>
      </c>
      <c r="BP2088" t="s">
        <v>74</v>
      </c>
      <c r="BQ2088" t="s">
        <v>74</v>
      </c>
      <c r="BR2088" t="s">
        <v>96</v>
      </c>
      <c r="BS2088" t="s">
        <v>21914</v>
      </c>
      <c r="BT2088" t="str">
        <f>HYPERLINK("https%3A%2F%2Fwww.webofscience.com%2Fwos%2Fwoscc%2Ffull-record%2FWOS:000451496400009","View Full Record in Web of Science")</f>
        <v>View Full Record in Web of Science</v>
      </c>
    </row>
    <row r="2089" spans="1:72" x14ac:dyDescent="0.15">
      <c r="A2089" t="s">
        <v>98</v>
      </c>
      <c r="B2089" t="s">
        <v>21937</v>
      </c>
      <c r="C2089" t="s">
        <v>74</v>
      </c>
      <c r="D2089" t="s">
        <v>74</v>
      </c>
      <c r="E2089" t="s">
        <v>74</v>
      </c>
      <c r="F2089" t="s">
        <v>21938</v>
      </c>
      <c r="G2089" t="s">
        <v>74</v>
      </c>
      <c r="H2089" t="s">
        <v>74</v>
      </c>
      <c r="I2089" t="s">
        <v>21939</v>
      </c>
      <c r="J2089" t="s">
        <v>4030</v>
      </c>
      <c r="K2089" t="s">
        <v>74</v>
      </c>
      <c r="L2089" t="s">
        <v>74</v>
      </c>
      <c r="M2089" t="s">
        <v>74</v>
      </c>
      <c r="N2089" t="s">
        <v>103</v>
      </c>
      <c r="O2089" t="s">
        <v>74</v>
      </c>
      <c r="P2089" t="s">
        <v>74</v>
      </c>
      <c r="Q2089" t="s">
        <v>74</v>
      </c>
      <c r="R2089" t="s">
        <v>74</v>
      </c>
      <c r="S2089" t="s">
        <v>74</v>
      </c>
      <c r="T2089" t="s">
        <v>21940</v>
      </c>
      <c r="U2089" t="s">
        <v>21941</v>
      </c>
      <c r="V2089" t="s">
        <v>21942</v>
      </c>
      <c r="W2089" t="s">
        <v>21943</v>
      </c>
      <c r="X2089" t="s">
        <v>21944</v>
      </c>
      <c r="Y2089" t="s">
        <v>21945</v>
      </c>
      <c r="Z2089" t="s">
        <v>21946</v>
      </c>
      <c r="AA2089" t="s">
        <v>74</v>
      </c>
      <c r="AB2089" t="s">
        <v>74</v>
      </c>
      <c r="AC2089" t="s">
        <v>74</v>
      </c>
      <c r="AD2089" t="s">
        <v>74</v>
      </c>
      <c r="AE2089" t="s">
        <v>74</v>
      </c>
      <c r="AF2089" t="s">
        <v>74</v>
      </c>
      <c r="AG2089">
        <v>88</v>
      </c>
      <c r="AH2089">
        <v>0</v>
      </c>
      <c r="AI2089">
        <v>0</v>
      </c>
      <c r="AJ2089">
        <v>0</v>
      </c>
      <c r="AK2089">
        <v>0</v>
      </c>
      <c r="AL2089" t="s">
        <v>74</v>
      </c>
      <c r="AM2089" t="s">
        <v>74</v>
      </c>
      <c r="AN2089" t="s">
        <v>74</v>
      </c>
      <c r="AO2089" t="s">
        <v>4037</v>
      </c>
      <c r="AP2089" t="s">
        <v>74</v>
      </c>
      <c r="AQ2089" t="s">
        <v>74</v>
      </c>
      <c r="AR2089" t="s">
        <v>74</v>
      </c>
      <c r="AS2089" t="s">
        <v>74</v>
      </c>
      <c r="AT2089" t="s">
        <v>10129</v>
      </c>
      <c r="AU2089">
        <v>2022</v>
      </c>
      <c r="AV2089">
        <v>10</v>
      </c>
      <c r="AW2089" t="s">
        <v>74</v>
      </c>
      <c r="AX2089" t="s">
        <v>74</v>
      </c>
      <c r="AY2089" t="s">
        <v>74</v>
      </c>
      <c r="AZ2089" t="s">
        <v>74</v>
      </c>
      <c r="BA2089" t="s">
        <v>74</v>
      </c>
      <c r="BB2089" t="s">
        <v>74</v>
      </c>
      <c r="BC2089" t="s">
        <v>74</v>
      </c>
      <c r="BD2089">
        <v>823642</v>
      </c>
      <c r="BE2089" t="s">
        <v>21947</v>
      </c>
      <c r="BF2089" t="str">
        <f>HYPERLINK("http://dx.doi.org/10.3389/fbioe.2022.823642","http://dx.doi.org/10.3389/fbioe.2022.823642")</f>
        <v>http://dx.doi.org/10.3389/fbioe.2022.823642</v>
      </c>
      <c r="BG2089" t="s">
        <v>74</v>
      </c>
      <c r="BH2089" t="s">
        <v>74</v>
      </c>
      <c r="BI2089" t="s">
        <v>74</v>
      </c>
      <c r="BJ2089" t="s">
        <v>4040</v>
      </c>
      <c r="BK2089" t="s">
        <v>117</v>
      </c>
      <c r="BL2089" t="s">
        <v>3878</v>
      </c>
      <c r="BM2089" t="s">
        <v>74</v>
      </c>
      <c r="BN2089">
        <v>35252132</v>
      </c>
      <c r="BO2089" t="s">
        <v>74</v>
      </c>
      <c r="BP2089" t="s">
        <v>74</v>
      </c>
      <c r="BQ2089" t="s">
        <v>74</v>
      </c>
      <c r="BR2089" t="s">
        <v>96</v>
      </c>
      <c r="BS2089" t="s">
        <v>21948</v>
      </c>
      <c r="BT2089" t="str">
        <f>HYPERLINK("https%3A%2F%2Fwww.webofscience.com%2Fwos%2Fwoscc%2Ffull-record%2FWOS:000771797500001","View Full Record in Web of Science")</f>
        <v>View Full Record in Web of Science</v>
      </c>
    </row>
    <row r="2090" spans="1:72" x14ac:dyDescent="0.15">
      <c r="A2090" t="s">
        <v>4291</v>
      </c>
      <c r="B2090" t="s">
        <v>22115</v>
      </c>
      <c r="C2090" t="s">
        <v>74</v>
      </c>
      <c r="D2090" t="s">
        <v>22116</v>
      </c>
      <c r="E2090" t="s">
        <v>74</v>
      </c>
      <c r="F2090" t="s">
        <v>22117</v>
      </c>
      <c r="G2090" t="s">
        <v>74</v>
      </c>
      <c r="H2090" t="s">
        <v>74</v>
      </c>
      <c r="I2090" t="s">
        <v>22118</v>
      </c>
      <c r="J2090" t="s">
        <v>22119</v>
      </c>
      <c r="K2090" t="s">
        <v>22120</v>
      </c>
      <c r="L2090" t="s">
        <v>74</v>
      </c>
      <c r="M2090" t="s">
        <v>74</v>
      </c>
      <c r="N2090" t="s">
        <v>80</v>
      </c>
      <c r="O2090" t="s">
        <v>74</v>
      </c>
      <c r="P2090" t="s">
        <v>74</v>
      </c>
      <c r="Q2090" t="s">
        <v>74</v>
      </c>
      <c r="R2090" t="s">
        <v>74</v>
      </c>
      <c r="S2090" t="s">
        <v>74</v>
      </c>
      <c r="T2090" t="s">
        <v>74</v>
      </c>
      <c r="U2090" t="s">
        <v>74</v>
      </c>
      <c r="V2090" t="s">
        <v>22121</v>
      </c>
      <c r="W2090" t="s">
        <v>22122</v>
      </c>
      <c r="X2090" t="s">
        <v>22123</v>
      </c>
      <c r="Y2090" t="s">
        <v>22124</v>
      </c>
      <c r="Z2090" t="s">
        <v>74</v>
      </c>
      <c r="AA2090" t="s">
        <v>74</v>
      </c>
      <c r="AB2090" t="s">
        <v>74</v>
      </c>
      <c r="AC2090" t="s">
        <v>74</v>
      </c>
      <c r="AD2090" t="s">
        <v>74</v>
      </c>
      <c r="AE2090" t="s">
        <v>74</v>
      </c>
      <c r="AF2090" t="s">
        <v>74</v>
      </c>
      <c r="AG2090">
        <v>0</v>
      </c>
      <c r="AH2090">
        <v>0</v>
      </c>
      <c r="AI2090">
        <v>0</v>
      </c>
      <c r="AJ2090">
        <v>0</v>
      </c>
      <c r="AK2090">
        <v>0</v>
      </c>
      <c r="AL2090" t="s">
        <v>74</v>
      </c>
      <c r="AM2090" t="s">
        <v>74</v>
      </c>
      <c r="AN2090" t="s">
        <v>74</v>
      </c>
      <c r="AO2090" t="s">
        <v>74</v>
      </c>
      <c r="AP2090" t="s">
        <v>74</v>
      </c>
      <c r="AQ2090" t="s">
        <v>22125</v>
      </c>
      <c r="AR2090" t="s">
        <v>74</v>
      </c>
      <c r="AS2090" t="s">
        <v>74</v>
      </c>
      <c r="AT2090" t="s">
        <v>74</v>
      </c>
      <c r="AU2090">
        <v>2019</v>
      </c>
      <c r="AV2090" t="s">
        <v>74</v>
      </c>
      <c r="AW2090" t="s">
        <v>74</v>
      </c>
      <c r="AX2090" t="s">
        <v>74</v>
      </c>
      <c r="AY2090" t="s">
        <v>74</v>
      </c>
      <c r="AZ2090" t="s">
        <v>74</v>
      </c>
      <c r="BA2090" t="s">
        <v>74</v>
      </c>
      <c r="BB2090">
        <v>45</v>
      </c>
      <c r="BC2090">
        <v>58</v>
      </c>
      <c r="BD2090" t="s">
        <v>74</v>
      </c>
      <c r="BE2090" t="s">
        <v>74</v>
      </c>
      <c r="BF2090" t="s">
        <v>74</v>
      </c>
      <c r="BG2090" t="s">
        <v>74</v>
      </c>
      <c r="BH2090" t="s">
        <v>74</v>
      </c>
      <c r="BI2090" t="s">
        <v>74</v>
      </c>
      <c r="BJ2090" t="s">
        <v>652</v>
      </c>
      <c r="BK2090" t="s">
        <v>94</v>
      </c>
      <c r="BL2090" t="s">
        <v>653</v>
      </c>
      <c r="BM2090" t="s">
        <v>74</v>
      </c>
      <c r="BN2090" t="s">
        <v>74</v>
      </c>
      <c r="BO2090" t="s">
        <v>74</v>
      </c>
      <c r="BP2090" t="s">
        <v>74</v>
      </c>
      <c r="BQ2090" t="s">
        <v>74</v>
      </c>
      <c r="BR2090" t="s">
        <v>96</v>
      </c>
      <c r="BS2090" t="s">
        <v>22126</v>
      </c>
      <c r="BT2090" t="str">
        <f>HYPERLINK("https%3A%2F%2Fwww.webofscience.com%2Fwos%2Fwoscc%2Ffull-record%2FWOS:000546253000005","View Full Record in Web of Science")</f>
        <v>View Full Record in Web of Science</v>
      </c>
    </row>
    <row r="2091" spans="1:72" x14ac:dyDescent="0.15">
      <c r="A2091" t="s">
        <v>98</v>
      </c>
      <c r="B2091" t="s">
        <v>22355</v>
      </c>
      <c r="C2091" t="s">
        <v>74</v>
      </c>
      <c r="D2091" t="s">
        <v>74</v>
      </c>
      <c r="E2091" t="s">
        <v>74</v>
      </c>
      <c r="F2091" t="s">
        <v>22356</v>
      </c>
      <c r="G2091" t="s">
        <v>74</v>
      </c>
      <c r="H2091" t="s">
        <v>74</v>
      </c>
      <c r="I2091" t="s">
        <v>22357</v>
      </c>
      <c r="J2091" t="s">
        <v>22358</v>
      </c>
      <c r="K2091" t="s">
        <v>74</v>
      </c>
      <c r="L2091" t="s">
        <v>74</v>
      </c>
      <c r="M2091" t="s">
        <v>74</v>
      </c>
      <c r="N2091" t="s">
        <v>103</v>
      </c>
      <c r="O2091" t="s">
        <v>74</v>
      </c>
      <c r="P2091" t="s">
        <v>74</v>
      </c>
      <c r="Q2091" t="s">
        <v>74</v>
      </c>
      <c r="R2091" t="s">
        <v>74</v>
      </c>
      <c r="S2091" t="s">
        <v>74</v>
      </c>
      <c r="T2091" t="s">
        <v>22359</v>
      </c>
      <c r="U2091" t="s">
        <v>22360</v>
      </c>
      <c r="V2091" t="s">
        <v>22361</v>
      </c>
      <c r="W2091" t="s">
        <v>22362</v>
      </c>
      <c r="X2091" t="s">
        <v>74</v>
      </c>
      <c r="Y2091" t="s">
        <v>22363</v>
      </c>
      <c r="Z2091" t="s">
        <v>74</v>
      </c>
      <c r="AA2091" t="s">
        <v>74</v>
      </c>
      <c r="AB2091" t="s">
        <v>74</v>
      </c>
      <c r="AC2091" t="s">
        <v>74</v>
      </c>
      <c r="AD2091" t="s">
        <v>74</v>
      </c>
      <c r="AE2091" t="s">
        <v>74</v>
      </c>
      <c r="AF2091" t="s">
        <v>74</v>
      </c>
      <c r="AG2091">
        <v>21</v>
      </c>
      <c r="AH2091">
        <v>0</v>
      </c>
      <c r="AI2091">
        <v>0</v>
      </c>
      <c r="AJ2091">
        <v>0</v>
      </c>
      <c r="AK2091">
        <v>9</v>
      </c>
      <c r="AL2091" t="s">
        <v>74</v>
      </c>
      <c r="AM2091" t="s">
        <v>74</v>
      </c>
      <c r="AN2091" t="s">
        <v>74</v>
      </c>
      <c r="AO2091" t="s">
        <v>22364</v>
      </c>
      <c r="AP2091" t="s">
        <v>22365</v>
      </c>
      <c r="AQ2091" t="s">
        <v>74</v>
      </c>
      <c r="AR2091" t="s">
        <v>74</v>
      </c>
      <c r="AS2091" t="s">
        <v>74</v>
      </c>
      <c r="AT2091" t="s">
        <v>1029</v>
      </c>
      <c r="AU2091">
        <v>2021</v>
      </c>
      <c r="AV2091">
        <v>11</v>
      </c>
      <c r="AW2091">
        <v>5</v>
      </c>
      <c r="AX2091" t="s">
        <v>74</v>
      </c>
      <c r="AY2091" t="s">
        <v>74</v>
      </c>
      <c r="AZ2091" t="s">
        <v>74</v>
      </c>
      <c r="BA2091" t="s">
        <v>74</v>
      </c>
      <c r="BB2091">
        <v>864</v>
      </c>
      <c r="BC2091">
        <v>871</v>
      </c>
      <c r="BD2091" t="s">
        <v>74</v>
      </c>
      <c r="BE2091" t="s">
        <v>22366</v>
      </c>
      <c r="BF2091" t="str">
        <f>HYPERLINK("http://dx.doi.org/10.1166/jbt.2021.2638","http://dx.doi.org/10.1166/jbt.2021.2638")</f>
        <v>http://dx.doi.org/10.1166/jbt.2021.2638</v>
      </c>
      <c r="BG2091" t="s">
        <v>74</v>
      </c>
      <c r="BH2091" t="s">
        <v>74</v>
      </c>
      <c r="BI2091" t="s">
        <v>74</v>
      </c>
      <c r="BJ2091" t="s">
        <v>2100</v>
      </c>
      <c r="BK2091" t="s">
        <v>117</v>
      </c>
      <c r="BL2091" t="s">
        <v>135</v>
      </c>
      <c r="BM2091" t="s">
        <v>74</v>
      </c>
      <c r="BN2091" t="s">
        <v>74</v>
      </c>
      <c r="BO2091" t="s">
        <v>74</v>
      </c>
      <c r="BP2091" t="s">
        <v>74</v>
      </c>
      <c r="BQ2091" t="s">
        <v>74</v>
      </c>
      <c r="BR2091" t="s">
        <v>96</v>
      </c>
      <c r="BS2091" t="s">
        <v>22367</v>
      </c>
      <c r="BT2091" t="str">
        <f>HYPERLINK("https%3A%2F%2Fwww.webofscience.com%2Fwos%2Fwoscc%2Ffull-record%2FWOS:000663629500009","View Full Record in Web of Science")</f>
        <v>View Full Record in Web of Science</v>
      </c>
    </row>
    <row r="2092" spans="1:72" x14ac:dyDescent="0.15">
      <c r="A2092" t="s">
        <v>98</v>
      </c>
      <c r="B2092" t="s">
        <v>22395</v>
      </c>
      <c r="C2092" t="s">
        <v>74</v>
      </c>
      <c r="D2092" t="s">
        <v>74</v>
      </c>
      <c r="E2092" t="s">
        <v>74</v>
      </c>
      <c r="F2092" t="s">
        <v>22396</v>
      </c>
      <c r="G2092" t="s">
        <v>74</v>
      </c>
      <c r="H2092" t="s">
        <v>74</v>
      </c>
      <c r="I2092" t="s">
        <v>22397</v>
      </c>
      <c r="J2092" t="s">
        <v>3700</v>
      </c>
      <c r="K2092" t="s">
        <v>74</v>
      </c>
      <c r="L2092" t="s">
        <v>74</v>
      </c>
      <c r="M2092" t="s">
        <v>74</v>
      </c>
      <c r="N2092" t="s">
        <v>103</v>
      </c>
      <c r="O2092" t="s">
        <v>74</v>
      </c>
      <c r="P2092" t="s">
        <v>74</v>
      </c>
      <c r="Q2092" t="s">
        <v>74</v>
      </c>
      <c r="R2092" t="s">
        <v>74</v>
      </c>
      <c r="S2092" t="s">
        <v>74</v>
      </c>
      <c r="T2092" t="s">
        <v>74</v>
      </c>
      <c r="U2092" t="s">
        <v>22398</v>
      </c>
      <c r="V2092" t="s">
        <v>22399</v>
      </c>
      <c r="W2092" t="s">
        <v>22400</v>
      </c>
      <c r="X2092" t="s">
        <v>22401</v>
      </c>
      <c r="Y2092" t="s">
        <v>22402</v>
      </c>
      <c r="Z2092" t="s">
        <v>22403</v>
      </c>
      <c r="AA2092" t="s">
        <v>74</v>
      </c>
      <c r="AB2092" t="s">
        <v>22404</v>
      </c>
      <c r="AC2092" t="s">
        <v>74</v>
      </c>
      <c r="AD2092" t="s">
        <v>74</v>
      </c>
      <c r="AE2092" t="s">
        <v>74</v>
      </c>
      <c r="AF2092" t="s">
        <v>74</v>
      </c>
      <c r="AG2092">
        <v>72</v>
      </c>
      <c r="AH2092">
        <v>0</v>
      </c>
      <c r="AI2092">
        <v>0</v>
      </c>
      <c r="AJ2092">
        <v>3</v>
      </c>
      <c r="AK2092">
        <v>3</v>
      </c>
      <c r="AL2092" t="s">
        <v>74</v>
      </c>
      <c r="AM2092" t="s">
        <v>74</v>
      </c>
      <c r="AN2092" t="s">
        <v>74</v>
      </c>
      <c r="AO2092" t="s">
        <v>74</v>
      </c>
      <c r="AP2092" t="s">
        <v>3711</v>
      </c>
      <c r="AQ2092" t="s">
        <v>74</v>
      </c>
      <c r="AR2092" t="s">
        <v>74</v>
      </c>
      <c r="AS2092" t="s">
        <v>74</v>
      </c>
      <c r="AT2092" t="s">
        <v>170</v>
      </c>
      <c r="AU2092">
        <v>2022</v>
      </c>
      <c r="AV2092">
        <v>298</v>
      </c>
      <c r="AW2092">
        <v>6</v>
      </c>
      <c r="AX2092" t="s">
        <v>74</v>
      </c>
      <c r="AY2092" t="s">
        <v>74</v>
      </c>
      <c r="AZ2092" t="s">
        <v>74</v>
      </c>
      <c r="BA2092" t="s">
        <v>74</v>
      </c>
      <c r="BB2092" t="s">
        <v>74</v>
      </c>
      <c r="BC2092" t="s">
        <v>74</v>
      </c>
      <c r="BD2092">
        <v>101952</v>
      </c>
      <c r="BE2092" t="s">
        <v>22405</v>
      </c>
      <c r="BF2092" t="str">
        <f>HYPERLINK("http://dx.doi.org/10.1016/j.jbc.2022.101952","http://dx.doi.org/10.1016/j.jbc.2022.101952")</f>
        <v>http://dx.doi.org/10.1016/j.jbc.2022.101952</v>
      </c>
      <c r="BG2092" t="s">
        <v>74</v>
      </c>
      <c r="BH2092" t="s">
        <v>74</v>
      </c>
      <c r="BI2092" t="s">
        <v>74</v>
      </c>
      <c r="BJ2092" t="s">
        <v>95</v>
      </c>
      <c r="BK2092" t="s">
        <v>117</v>
      </c>
      <c r="BL2092" t="s">
        <v>95</v>
      </c>
      <c r="BM2092" t="s">
        <v>74</v>
      </c>
      <c r="BN2092">
        <v>35447119</v>
      </c>
      <c r="BO2092" t="s">
        <v>74</v>
      </c>
      <c r="BP2092" t="s">
        <v>74</v>
      </c>
      <c r="BQ2092" t="s">
        <v>74</v>
      </c>
      <c r="BR2092" t="s">
        <v>96</v>
      </c>
      <c r="BS2092" t="s">
        <v>22406</v>
      </c>
      <c r="BT2092" t="str">
        <f>HYPERLINK("https%3A%2F%2Fwww.webofscience.com%2Fwos%2Fwoscc%2Ffull-record%2FWOS:000807778400003","View Full Record in Web of Science")</f>
        <v>View Full Record in Web of Science</v>
      </c>
    </row>
    <row r="2093" spans="1:72" x14ac:dyDescent="0.15">
      <c r="A2093" t="s">
        <v>98</v>
      </c>
      <c r="B2093" t="s">
        <v>22534</v>
      </c>
      <c r="C2093" t="s">
        <v>74</v>
      </c>
      <c r="D2093" t="s">
        <v>74</v>
      </c>
      <c r="E2093" t="s">
        <v>74</v>
      </c>
      <c r="F2093" t="s">
        <v>22535</v>
      </c>
      <c r="G2093" t="s">
        <v>74</v>
      </c>
      <c r="H2093" t="s">
        <v>74</v>
      </c>
      <c r="I2093" t="s">
        <v>22536</v>
      </c>
      <c r="J2093" t="s">
        <v>10744</v>
      </c>
      <c r="K2093" t="s">
        <v>74</v>
      </c>
      <c r="L2093" t="s">
        <v>74</v>
      </c>
      <c r="M2093" t="s">
        <v>74</v>
      </c>
      <c r="N2093" t="s">
        <v>103</v>
      </c>
      <c r="O2093" t="s">
        <v>74</v>
      </c>
      <c r="P2093" t="s">
        <v>74</v>
      </c>
      <c r="Q2093" t="s">
        <v>74</v>
      </c>
      <c r="R2093" t="s">
        <v>74</v>
      </c>
      <c r="S2093" t="s">
        <v>74</v>
      </c>
      <c r="T2093" t="s">
        <v>74</v>
      </c>
      <c r="U2093" t="s">
        <v>22537</v>
      </c>
      <c r="V2093" t="s">
        <v>22538</v>
      </c>
      <c r="W2093" t="s">
        <v>22539</v>
      </c>
      <c r="X2093" t="s">
        <v>22540</v>
      </c>
      <c r="Y2093" t="s">
        <v>22541</v>
      </c>
      <c r="Z2093" t="s">
        <v>2603</v>
      </c>
      <c r="AA2093" t="s">
        <v>74</v>
      </c>
      <c r="AB2093" t="s">
        <v>22542</v>
      </c>
      <c r="AC2093" t="s">
        <v>74</v>
      </c>
      <c r="AD2093" t="s">
        <v>74</v>
      </c>
      <c r="AE2093" t="s">
        <v>74</v>
      </c>
      <c r="AF2093" t="s">
        <v>74</v>
      </c>
      <c r="AG2093">
        <v>69</v>
      </c>
      <c r="AH2093">
        <v>0</v>
      </c>
      <c r="AI2093">
        <v>0</v>
      </c>
      <c r="AJ2093">
        <v>17</v>
      </c>
      <c r="AK2093">
        <v>17</v>
      </c>
      <c r="AL2093" t="s">
        <v>74</v>
      </c>
      <c r="AM2093" t="s">
        <v>74</v>
      </c>
      <c r="AN2093" t="s">
        <v>74</v>
      </c>
      <c r="AO2093" t="s">
        <v>10753</v>
      </c>
      <c r="AP2093" t="s">
        <v>74</v>
      </c>
      <c r="AQ2093" t="s">
        <v>74</v>
      </c>
      <c r="AR2093" t="s">
        <v>74</v>
      </c>
      <c r="AS2093" t="s">
        <v>74</v>
      </c>
      <c r="AT2093" t="s">
        <v>132</v>
      </c>
      <c r="AU2093">
        <v>2022</v>
      </c>
      <c r="AV2093">
        <v>8</v>
      </c>
      <c r="AW2093">
        <v>16</v>
      </c>
      <c r="AX2093" t="s">
        <v>74</v>
      </c>
      <c r="AY2093" t="s">
        <v>74</v>
      </c>
      <c r="AZ2093" t="s">
        <v>74</v>
      </c>
      <c r="BA2093" t="s">
        <v>74</v>
      </c>
      <c r="BB2093" t="s">
        <v>74</v>
      </c>
      <c r="BC2093" t="s">
        <v>74</v>
      </c>
      <c r="BD2093" t="s">
        <v>22543</v>
      </c>
      <c r="BE2093" t="s">
        <v>22544</v>
      </c>
      <c r="BF2093" t="str">
        <f>HYPERLINK("http://dx.doi.org/10.1126/sciadv.abm3453","http://dx.doi.org/10.1126/sciadv.abm3453")</f>
        <v>http://dx.doi.org/10.1126/sciadv.abm3453</v>
      </c>
      <c r="BG2093" t="s">
        <v>74</v>
      </c>
      <c r="BH2093" t="s">
        <v>74</v>
      </c>
      <c r="BI2093" t="s">
        <v>74</v>
      </c>
      <c r="BJ2093" t="s">
        <v>152</v>
      </c>
      <c r="BK2093" t="s">
        <v>117</v>
      </c>
      <c r="BL2093" t="s">
        <v>153</v>
      </c>
      <c r="BM2093" t="s">
        <v>74</v>
      </c>
      <c r="BN2093">
        <v>35452280</v>
      </c>
      <c r="BO2093" t="s">
        <v>74</v>
      </c>
      <c r="BP2093" t="s">
        <v>74</v>
      </c>
      <c r="BQ2093" t="s">
        <v>74</v>
      </c>
      <c r="BR2093" t="s">
        <v>96</v>
      </c>
      <c r="BS2093" t="s">
        <v>22545</v>
      </c>
      <c r="BT2093" t="str">
        <f>HYPERLINK("https%3A%2F%2Fwww.webofscience.com%2Fwos%2Fwoscc%2Ffull-record%2FWOS:000786214100022","View Full Record in Web of Science")</f>
        <v>View Full Record in Web of Science</v>
      </c>
    </row>
    <row r="2094" spans="1:72" x14ac:dyDescent="0.15">
      <c r="A2094" t="s">
        <v>98</v>
      </c>
      <c r="B2094" t="s">
        <v>22653</v>
      </c>
      <c r="C2094" t="s">
        <v>74</v>
      </c>
      <c r="D2094" t="s">
        <v>74</v>
      </c>
      <c r="E2094" t="s">
        <v>74</v>
      </c>
      <c r="F2094" t="s">
        <v>22654</v>
      </c>
      <c r="G2094" t="s">
        <v>74</v>
      </c>
      <c r="H2094" t="s">
        <v>74</v>
      </c>
      <c r="I2094" t="s">
        <v>22655</v>
      </c>
      <c r="J2094" t="s">
        <v>1123</v>
      </c>
      <c r="K2094" t="s">
        <v>74</v>
      </c>
      <c r="L2094" t="s">
        <v>74</v>
      </c>
      <c r="M2094" t="s">
        <v>74</v>
      </c>
      <c r="N2094" t="s">
        <v>103</v>
      </c>
      <c r="O2094" t="s">
        <v>74</v>
      </c>
      <c r="P2094" t="s">
        <v>74</v>
      </c>
      <c r="Q2094" t="s">
        <v>74</v>
      </c>
      <c r="R2094" t="s">
        <v>74</v>
      </c>
      <c r="S2094" t="s">
        <v>74</v>
      </c>
      <c r="T2094" t="s">
        <v>22656</v>
      </c>
      <c r="U2094" t="s">
        <v>22657</v>
      </c>
      <c r="V2094" t="s">
        <v>22658</v>
      </c>
      <c r="W2094" t="s">
        <v>22659</v>
      </c>
      <c r="X2094" t="s">
        <v>22660</v>
      </c>
      <c r="Y2094" t="s">
        <v>22661</v>
      </c>
      <c r="Z2094" t="s">
        <v>22662</v>
      </c>
      <c r="AA2094" t="s">
        <v>74</v>
      </c>
      <c r="AB2094" t="s">
        <v>22663</v>
      </c>
      <c r="AC2094" t="s">
        <v>74</v>
      </c>
      <c r="AD2094" t="s">
        <v>74</v>
      </c>
      <c r="AE2094" t="s">
        <v>74</v>
      </c>
      <c r="AF2094" t="s">
        <v>74</v>
      </c>
      <c r="AG2094">
        <v>177</v>
      </c>
      <c r="AH2094">
        <v>0</v>
      </c>
      <c r="AI2094">
        <v>0</v>
      </c>
      <c r="AJ2094">
        <v>19</v>
      </c>
      <c r="AK2094">
        <v>19</v>
      </c>
      <c r="AL2094" t="s">
        <v>74</v>
      </c>
      <c r="AM2094" t="s">
        <v>74</v>
      </c>
      <c r="AN2094" t="s">
        <v>74</v>
      </c>
      <c r="AO2094" t="s">
        <v>1132</v>
      </c>
      <c r="AP2094" t="s">
        <v>1133</v>
      </c>
      <c r="AQ2094" t="s">
        <v>74</v>
      </c>
      <c r="AR2094" t="s">
        <v>74</v>
      </c>
      <c r="AS2094" t="s">
        <v>74</v>
      </c>
      <c r="AT2094" t="s">
        <v>335</v>
      </c>
      <c r="AU2094">
        <v>2022</v>
      </c>
      <c r="AV2094">
        <v>211</v>
      </c>
      <c r="AW2094" t="s">
        <v>74</v>
      </c>
      <c r="AX2094" t="s">
        <v>74</v>
      </c>
      <c r="AY2094" t="s">
        <v>74</v>
      </c>
      <c r="AZ2094" t="s">
        <v>74</v>
      </c>
      <c r="BA2094" t="s">
        <v>74</v>
      </c>
      <c r="BB2094" t="s">
        <v>74</v>
      </c>
      <c r="BC2094" t="s">
        <v>74</v>
      </c>
      <c r="BD2094">
        <v>114344</v>
      </c>
      <c r="BE2094" t="s">
        <v>22664</v>
      </c>
      <c r="BF2094" t="str">
        <f>HYPERLINK("http://dx.doi.org/10.1016/j.bios.2022.114344","http://dx.doi.org/10.1016/j.bios.2022.114344")</f>
        <v>http://dx.doi.org/10.1016/j.bios.2022.114344</v>
      </c>
      <c r="BG2094" t="s">
        <v>74</v>
      </c>
      <c r="BH2094" t="s">
        <v>74</v>
      </c>
      <c r="BI2094" t="s">
        <v>74</v>
      </c>
      <c r="BJ2094" t="s">
        <v>1137</v>
      </c>
      <c r="BK2094" t="s">
        <v>117</v>
      </c>
      <c r="BL2094" t="s">
        <v>1138</v>
      </c>
      <c r="BM2094" t="s">
        <v>74</v>
      </c>
      <c r="BN2094">
        <v>35598553</v>
      </c>
      <c r="BO2094" t="s">
        <v>74</v>
      </c>
      <c r="BP2094" t="s">
        <v>74</v>
      </c>
      <c r="BQ2094" t="s">
        <v>74</v>
      </c>
      <c r="BR2094" t="s">
        <v>96</v>
      </c>
      <c r="BS2094" t="s">
        <v>22665</v>
      </c>
      <c r="BT2094" t="str">
        <f>HYPERLINK("https%3A%2F%2Fwww.webofscience.com%2Fwos%2Fwoscc%2Ffull-record%2FWOS:000806011800005","View Full Record in Web of Science")</f>
        <v>View Full Record in Web of Science</v>
      </c>
    </row>
    <row r="2095" spans="1:72" x14ac:dyDescent="0.15">
      <c r="A2095" t="s">
        <v>98</v>
      </c>
      <c r="B2095" t="s">
        <v>22705</v>
      </c>
      <c r="C2095" t="s">
        <v>74</v>
      </c>
      <c r="D2095" t="s">
        <v>74</v>
      </c>
      <c r="E2095" t="s">
        <v>74</v>
      </c>
      <c r="F2095" t="s">
        <v>22706</v>
      </c>
      <c r="G2095" t="s">
        <v>74</v>
      </c>
      <c r="H2095" t="s">
        <v>74</v>
      </c>
      <c r="I2095" t="s">
        <v>22707</v>
      </c>
      <c r="J2095" t="s">
        <v>14768</v>
      </c>
      <c r="K2095" t="s">
        <v>74</v>
      </c>
      <c r="L2095" t="s">
        <v>74</v>
      </c>
      <c r="M2095" t="s">
        <v>74</v>
      </c>
      <c r="N2095" t="s">
        <v>103</v>
      </c>
      <c r="O2095" t="s">
        <v>74</v>
      </c>
      <c r="P2095" t="s">
        <v>74</v>
      </c>
      <c r="Q2095" t="s">
        <v>74</v>
      </c>
      <c r="R2095" t="s">
        <v>74</v>
      </c>
      <c r="S2095" t="s">
        <v>74</v>
      </c>
      <c r="T2095" t="s">
        <v>22708</v>
      </c>
      <c r="U2095" t="s">
        <v>22709</v>
      </c>
      <c r="V2095" t="s">
        <v>22710</v>
      </c>
      <c r="W2095" t="s">
        <v>22711</v>
      </c>
      <c r="X2095" t="s">
        <v>11356</v>
      </c>
      <c r="Y2095" t="s">
        <v>22712</v>
      </c>
      <c r="Z2095" t="s">
        <v>22713</v>
      </c>
      <c r="AA2095" t="s">
        <v>74</v>
      </c>
      <c r="AB2095" t="s">
        <v>74</v>
      </c>
      <c r="AC2095" t="s">
        <v>74</v>
      </c>
      <c r="AD2095" t="s">
        <v>74</v>
      </c>
      <c r="AE2095" t="s">
        <v>74</v>
      </c>
      <c r="AF2095" t="s">
        <v>74</v>
      </c>
      <c r="AG2095">
        <v>29</v>
      </c>
      <c r="AH2095">
        <v>0</v>
      </c>
      <c r="AI2095">
        <v>0</v>
      </c>
      <c r="AJ2095">
        <v>1</v>
      </c>
      <c r="AK2095">
        <v>1</v>
      </c>
      <c r="AL2095" t="s">
        <v>74</v>
      </c>
      <c r="AM2095" t="s">
        <v>74</v>
      </c>
      <c r="AN2095" t="s">
        <v>74</v>
      </c>
      <c r="AO2095" t="s">
        <v>14778</v>
      </c>
      <c r="AP2095" t="s">
        <v>74</v>
      </c>
      <c r="AQ2095" t="s">
        <v>74</v>
      </c>
      <c r="AR2095" t="s">
        <v>74</v>
      </c>
      <c r="AS2095" t="s">
        <v>74</v>
      </c>
      <c r="AT2095" t="s">
        <v>74</v>
      </c>
      <c r="AU2095">
        <v>2021</v>
      </c>
      <c r="AV2095">
        <v>13</v>
      </c>
      <c r="AW2095">
        <v>5</v>
      </c>
      <c r="AX2095" t="s">
        <v>74</v>
      </c>
      <c r="AY2095" t="s">
        <v>74</v>
      </c>
      <c r="AZ2095" t="s">
        <v>74</v>
      </c>
      <c r="BA2095" t="s">
        <v>74</v>
      </c>
      <c r="BB2095">
        <v>4182</v>
      </c>
      <c r="BC2095">
        <v>4196</v>
      </c>
      <c r="BD2095" t="s">
        <v>74</v>
      </c>
      <c r="BE2095" t="s">
        <v>74</v>
      </c>
      <c r="BF2095" t="s">
        <v>74</v>
      </c>
      <c r="BG2095" t="s">
        <v>74</v>
      </c>
      <c r="BH2095" t="s">
        <v>74</v>
      </c>
      <c r="BI2095" t="s">
        <v>74</v>
      </c>
      <c r="BJ2095" t="s">
        <v>4129</v>
      </c>
      <c r="BK2095" t="s">
        <v>117</v>
      </c>
      <c r="BL2095" t="s">
        <v>4130</v>
      </c>
      <c r="BM2095" t="s">
        <v>74</v>
      </c>
      <c r="BN2095">
        <v>34150007</v>
      </c>
      <c r="BO2095" t="s">
        <v>74</v>
      </c>
      <c r="BP2095" t="s">
        <v>74</v>
      </c>
      <c r="BQ2095" t="s">
        <v>74</v>
      </c>
      <c r="BR2095" t="s">
        <v>96</v>
      </c>
      <c r="BS2095" t="s">
        <v>22714</v>
      </c>
      <c r="BT2095" t="str">
        <f>HYPERLINK("https%3A%2F%2Fwww.webofscience.com%2Fwos%2Fwoscc%2Ffull-record%2FWOS:000657484100003","View Full Record in Web of Science")</f>
        <v>View Full Record in Web of Science</v>
      </c>
    </row>
    <row r="2096" spans="1:72" x14ac:dyDescent="0.15">
      <c r="A2096" t="s">
        <v>98</v>
      </c>
      <c r="B2096" t="s">
        <v>23137</v>
      </c>
      <c r="C2096" t="s">
        <v>74</v>
      </c>
      <c r="D2096" t="s">
        <v>74</v>
      </c>
      <c r="E2096" t="s">
        <v>74</v>
      </c>
      <c r="F2096" t="s">
        <v>23138</v>
      </c>
      <c r="G2096" t="s">
        <v>74</v>
      </c>
      <c r="H2096" t="s">
        <v>74</v>
      </c>
      <c r="I2096" t="s">
        <v>23139</v>
      </c>
      <c r="J2096" t="s">
        <v>1123</v>
      </c>
      <c r="K2096" t="s">
        <v>74</v>
      </c>
      <c r="L2096" t="s">
        <v>74</v>
      </c>
      <c r="M2096" t="s">
        <v>74</v>
      </c>
      <c r="N2096" t="s">
        <v>103</v>
      </c>
      <c r="O2096" t="s">
        <v>74</v>
      </c>
      <c r="P2096" t="s">
        <v>74</v>
      </c>
      <c r="Q2096" t="s">
        <v>74</v>
      </c>
      <c r="R2096" t="s">
        <v>74</v>
      </c>
      <c r="S2096" t="s">
        <v>74</v>
      </c>
      <c r="T2096" t="s">
        <v>23140</v>
      </c>
      <c r="U2096" t="s">
        <v>23141</v>
      </c>
      <c r="V2096" t="s">
        <v>23142</v>
      </c>
      <c r="W2096" t="s">
        <v>23143</v>
      </c>
      <c r="X2096" t="s">
        <v>10582</v>
      </c>
      <c r="Y2096" t="s">
        <v>23144</v>
      </c>
      <c r="Z2096" t="s">
        <v>10584</v>
      </c>
      <c r="AA2096" t="s">
        <v>74</v>
      </c>
      <c r="AB2096" t="s">
        <v>74</v>
      </c>
      <c r="AC2096" t="s">
        <v>74</v>
      </c>
      <c r="AD2096" t="s">
        <v>74</v>
      </c>
      <c r="AE2096" t="s">
        <v>74</v>
      </c>
      <c r="AF2096" t="s">
        <v>74</v>
      </c>
      <c r="AG2096">
        <v>55</v>
      </c>
      <c r="AH2096">
        <v>0</v>
      </c>
      <c r="AI2096">
        <v>0</v>
      </c>
      <c r="AJ2096">
        <v>66</v>
      </c>
      <c r="AK2096">
        <v>66</v>
      </c>
      <c r="AL2096" t="s">
        <v>74</v>
      </c>
      <c r="AM2096" t="s">
        <v>74</v>
      </c>
      <c r="AN2096" t="s">
        <v>74</v>
      </c>
      <c r="AO2096" t="s">
        <v>1132</v>
      </c>
      <c r="AP2096" t="s">
        <v>1133</v>
      </c>
      <c r="AQ2096" t="s">
        <v>74</v>
      </c>
      <c r="AR2096" t="s">
        <v>74</v>
      </c>
      <c r="AS2096" t="s">
        <v>74</v>
      </c>
      <c r="AT2096" t="s">
        <v>8524</v>
      </c>
      <c r="AU2096">
        <v>2022</v>
      </c>
      <c r="AV2096">
        <v>209</v>
      </c>
      <c r="AW2096" t="s">
        <v>74</v>
      </c>
      <c r="AX2096" t="s">
        <v>74</v>
      </c>
      <c r="AY2096" t="s">
        <v>74</v>
      </c>
      <c r="AZ2096" t="s">
        <v>74</v>
      </c>
      <c r="BA2096" t="s">
        <v>74</v>
      </c>
      <c r="BB2096" t="s">
        <v>74</v>
      </c>
      <c r="BC2096" t="s">
        <v>74</v>
      </c>
      <c r="BD2096">
        <v>114259</v>
      </c>
      <c r="BE2096" t="s">
        <v>23145</v>
      </c>
      <c r="BF2096" t="str">
        <f>HYPERLINK("http://dx.doi.org/10.1016/j.bios.2022.114259","http://dx.doi.org/10.1016/j.bios.2022.114259")</f>
        <v>http://dx.doi.org/10.1016/j.bios.2022.114259</v>
      </c>
      <c r="BG2096" t="s">
        <v>74</v>
      </c>
      <c r="BH2096" t="s">
        <v>74</v>
      </c>
      <c r="BI2096" t="s">
        <v>74</v>
      </c>
      <c r="BJ2096" t="s">
        <v>1137</v>
      </c>
      <c r="BK2096" t="s">
        <v>117</v>
      </c>
      <c r="BL2096" t="s">
        <v>1138</v>
      </c>
      <c r="BM2096" t="s">
        <v>74</v>
      </c>
      <c r="BN2096">
        <v>35421672</v>
      </c>
      <c r="BO2096" t="s">
        <v>74</v>
      </c>
      <c r="BP2096" t="s">
        <v>74</v>
      </c>
      <c r="BQ2096" t="s">
        <v>74</v>
      </c>
      <c r="BR2096" t="s">
        <v>96</v>
      </c>
      <c r="BS2096" t="s">
        <v>23146</v>
      </c>
      <c r="BT2096" t="str">
        <f>HYPERLINK("https%3A%2F%2Fwww.webofscience.com%2Fwos%2Fwoscc%2Ffull-record%2FWOS:000797140300006","View Full Record in Web of Science")</f>
        <v>View Full Record in Web of Science</v>
      </c>
    </row>
    <row r="2097" spans="1:72" x14ac:dyDescent="0.15">
      <c r="A2097" t="s">
        <v>98</v>
      </c>
      <c r="B2097" t="s">
        <v>23263</v>
      </c>
      <c r="C2097" t="s">
        <v>74</v>
      </c>
      <c r="D2097" t="s">
        <v>74</v>
      </c>
      <c r="E2097" t="s">
        <v>74</v>
      </c>
      <c r="F2097" t="s">
        <v>23264</v>
      </c>
      <c r="G2097" t="s">
        <v>74</v>
      </c>
      <c r="H2097" t="s">
        <v>74</v>
      </c>
      <c r="I2097" t="s">
        <v>23265</v>
      </c>
      <c r="J2097" t="s">
        <v>4014</v>
      </c>
      <c r="K2097" t="s">
        <v>74</v>
      </c>
      <c r="L2097" t="s">
        <v>74</v>
      </c>
      <c r="M2097" t="s">
        <v>74</v>
      </c>
      <c r="N2097" t="s">
        <v>103</v>
      </c>
      <c r="O2097" t="s">
        <v>74</v>
      </c>
      <c r="P2097" t="s">
        <v>74</v>
      </c>
      <c r="Q2097" t="s">
        <v>74</v>
      </c>
      <c r="R2097" t="s">
        <v>74</v>
      </c>
      <c r="S2097" t="s">
        <v>74</v>
      </c>
      <c r="T2097" t="s">
        <v>23266</v>
      </c>
      <c r="U2097" t="s">
        <v>23267</v>
      </c>
      <c r="V2097" t="s">
        <v>23268</v>
      </c>
      <c r="W2097" t="s">
        <v>23269</v>
      </c>
      <c r="X2097" t="s">
        <v>23270</v>
      </c>
      <c r="Y2097" t="s">
        <v>23271</v>
      </c>
      <c r="Z2097" t="s">
        <v>23272</v>
      </c>
      <c r="AA2097" t="s">
        <v>23273</v>
      </c>
      <c r="AB2097" t="s">
        <v>23274</v>
      </c>
      <c r="AC2097" t="s">
        <v>74</v>
      </c>
      <c r="AD2097" t="s">
        <v>74</v>
      </c>
      <c r="AE2097" t="s">
        <v>74</v>
      </c>
      <c r="AF2097" t="s">
        <v>74</v>
      </c>
      <c r="AG2097">
        <v>132</v>
      </c>
      <c r="AH2097">
        <v>0</v>
      </c>
      <c r="AI2097">
        <v>0</v>
      </c>
      <c r="AJ2097">
        <v>6</v>
      </c>
      <c r="AK2097">
        <v>6</v>
      </c>
      <c r="AL2097" t="s">
        <v>74</v>
      </c>
      <c r="AM2097" t="s">
        <v>74</v>
      </c>
      <c r="AN2097" t="s">
        <v>74</v>
      </c>
      <c r="AO2097" t="s">
        <v>74</v>
      </c>
      <c r="AP2097" t="s">
        <v>4023</v>
      </c>
      <c r="AQ2097" t="s">
        <v>74</v>
      </c>
      <c r="AR2097" t="s">
        <v>74</v>
      </c>
      <c r="AS2097" t="s">
        <v>74</v>
      </c>
      <c r="AT2097" t="s">
        <v>23275</v>
      </c>
      <c r="AU2097">
        <v>2022</v>
      </c>
      <c r="AV2097">
        <v>9</v>
      </c>
      <c r="AW2097" t="s">
        <v>74</v>
      </c>
      <c r="AX2097" t="s">
        <v>74</v>
      </c>
      <c r="AY2097" t="s">
        <v>74</v>
      </c>
      <c r="AZ2097" t="s">
        <v>74</v>
      </c>
      <c r="BA2097" t="s">
        <v>74</v>
      </c>
      <c r="BB2097" t="s">
        <v>74</v>
      </c>
      <c r="BC2097" t="s">
        <v>74</v>
      </c>
      <c r="BD2097">
        <v>803093</v>
      </c>
      <c r="BE2097" t="s">
        <v>23276</v>
      </c>
      <c r="BF2097" t="str">
        <f>HYPERLINK("http://dx.doi.org/10.3389/fvets.2022.803093","http://dx.doi.org/10.3389/fvets.2022.803093")</f>
        <v>http://dx.doi.org/10.3389/fvets.2022.803093</v>
      </c>
      <c r="BG2097" t="s">
        <v>74</v>
      </c>
      <c r="BH2097" t="s">
        <v>74</v>
      </c>
      <c r="BI2097" t="s">
        <v>74</v>
      </c>
      <c r="BJ2097" t="s">
        <v>1341</v>
      </c>
      <c r="BK2097" t="s">
        <v>117</v>
      </c>
      <c r="BL2097" t="s">
        <v>1341</v>
      </c>
      <c r="BM2097" t="s">
        <v>74</v>
      </c>
      <c r="BN2097">
        <v>35224082</v>
      </c>
      <c r="BO2097" t="s">
        <v>74</v>
      </c>
      <c r="BP2097" t="s">
        <v>74</v>
      </c>
      <c r="BQ2097" t="s">
        <v>74</v>
      </c>
      <c r="BR2097" t="s">
        <v>96</v>
      </c>
      <c r="BS2097" t="s">
        <v>23277</v>
      </c>
      <c r="BT2097" t="str">
        <f>HYPERLINK("https%3A%2F%2Fwww.webofscience.com%2Fwos%2Fwoscc%2Ffull-record%2FWOS:000761422600001","View Full Record in Web of Science")</f>
        <v>View Full Record in Web of Science</v>
      </c>
    </row>
    <row r="2098" spans="1:72" x14ac:dyDescent="0.15">
      <c r="A2098" t="s">
        <v>98</v>
      </c>
      <c r="B2098" t="s">
        <v>23393</v>
      </c>
      <c r="C2098" t="s">
        <v>74</v>
      </c>
      <c r="D2098" t="s">
        <v>74</v>
      </c>
      <c r="E2098" t="s">
        <v>74</v>
      </c>
      <c r="F2098" t="s">
        <v>23394</v>
      </c>
      <c r="G2098" t="s">
        <v>74</v>
      </c>
      <c r="H2098" t="s">
        <v>74</v>
      </c>
      <c r="I2098" t="s">
        <v>23395</v>
      </c>
      <c r="J2098" t="s">
        <v>21699</v>
      </c>
      <c r="K2098" t="s">
        <v>74</v>
      </c>
      <c r="L2098" t="s">
        <v>74</v>
      </c>
      <c r="M2098" t="s">
        <v>74</v>
      </c>
      <c r="N2098" t="s">
        <v>103</v>
      </c>
      <c r="O2098" t="s">
        <v>74</v>
      </c>
      <c r="P2098" t="s">
        <v>74</v>
      </c>
      <c r="Q2098" t="s">
        <v>74</v>
      </c>
      <c r="R2098" t="s">
        <v>74</v>
      </c>
      <c r="S2098" t="s">
        <v>74</v>
      </c>
      <c r="T2098" t="s">
        <v>23396</v>
      </c>
      <c r="U2098" t="s">
        <v>23397</v>
      </c>
      <c r="V2098" t="s">
        <v>23398</v>
      </c>
      <c r="W2098" t="s">
        <v>23399</v>
      </c>
      <c r="X2098" t="s">
        <v>18882</v>
      </c>
      <c r="Y2098" t="s">
        <v>23400</v>
      </c>
      <c r="Z2098" t="s">
        <v>23401</v>
      </c>
      <c r="AA2098" t="s">
        <v>74</v>
      </c>
      <c r="AB2098" t="s">
        <v>74</v>
      </c>
      <c r="AC2098" t="s">
        <v>74</v>
      </c>
      <c r="AD2098" t="s">
        <v>74</v>
      </c>
      <c r="AE2098" t="s">
        <v>74</v>
      </c>
      <c r="AF2098" t="s">
        <v>74</v>
      </c>
      <c r="AG2098">
        <v>31</v>
      </c>
      <c r="AH2098">
        <v>0</v>
      </c>
      <c r="AI2098">
        <v>0</v>
      </c>
      <c r="AJ2098">
        <v>0</v>
      </c>
      <c r="AK2098">
        <v>3</v>
      </c>
      <c r="AL2098" t="s">
        <v>74</v>
      </c>
      <c r="AM2098" t="s">
        <v>74</v>
      </c>
      <c r="AN2098" t="s">
        <v>74</v>
      </c>
      <c r="AO2098" t="s">
        <v>21707</v>
      </c>
      <c r="AP2098" t="s">
        <v>21708</v>
      </c>
      <c r="AQ2098" t="s">
        <v>74</v>
      </c>
      <c r="AR2098" t="s">
        <v>74</v>
      </c>
      <c r="AS2098" t="s">
        <v>74</v>
      </c>
      <c r="AT2098" t="s">
        <v>114</v>
      </c>
      <c r="AU2098">
        <v>2020</v>
      </c>
      <c r="AV2098">
        <v>26</v>
      </c>
      <c r="AW2098">
        <v>1</v>
      </c>
      <c r="AX2098" t="s">
        <v>74</v>
      </c>
      <c r="AY2098" t="s">
        <v>74</v>
      </c>
      <c r="AZ2098" t="s">
        <v>74</v>
      </c>
      <c r="BA2098" t="s">
        <v>74</v>
      </c>
      <c r="BB2098">
        <v>53</v>
      </c>
      <c r="BC2098">
        <v>59</v>
      </c>
      <c r="BD2098" t="s">
        <v>74</v>
      </c>
      <c r="BE2098" t="s">
        <v>23402</v>
      </c>
      <c r="BF2098" t="str">
        <f>HYPERLINK("http://dx.doi.org/10.1007/s00761-019-00684-7","http://dx.doi.org/10.1007/s00761-019-00684-7")</f>
        <v>http://dx.doi.org/10.1007/s00761-019-00684-7</v>
      </c>
      <c r="BG2098" t="s">
        <v>74</v>
      </c>
      <c r="BH2098" t="s">
        <v>23403</v>
      </c>
      <c r="BI2098" t="s">
        <v>74</v>
      </c>
      <c r="BJ2098" t="s">
        <v>267</v>
      </c>
      <c r="BK2098" t="s">
        <v>117</v>
      </c>
      <c r="BL2098" t="s">
        <v>267</v>
      </c>
      <c r="BM2098" t="s">
        <v>74</v>
      </c>
      <c r="BN2098" t="s">
        <v>74</v>
      </c>
      <c r="BO2098" t="s">
        <v>74</v>
      </c>
      <c r="BP2098" t="s">
        <v>74</v>
      </c>
      <c r="BQ2098" t="s">
        <v>74</v>
      </c>
      <c r="BR2098" t="s">
        <v>96</v>
      </c>
      <c r="BS2098" t="s">
        <v>23404</v>
      </c>
      <c r="BT2098" t="str">
        <f>HYPERLINK("https%3A%2F%2Fwww.webofscience.com%2Fwos%2Fwoscc%2Ffull-record%2FWOS:000499433000001","View Full Record in Web of Science")</f>
        <v>View Full Record in Web of Science</v>
      </c>
    </row>
    <row r="2099" spans="1:72" x14ac:dyDescent="0.15">
      <c r="A2099" t="s">
        <v>98</v>
      </c>
      <c r="B2099" t="s">
        <v>23417</v>
      </c>
      <c r="C2099" t="s">
        <v>74</v>
      </c>
      <c r="D2099" t="s">
        <v>74</v>
      </c>
      <c r="E2099" t="s">
        <v>74</v>
      </c>
      <c r="F2099" t="s">
        <v>23418</v>
      </c>
      <c r="G2099" t="s">
        <v>74</v>
      </c>
      <c r="H2099" t="s">
        <v>74</v>
      </c>
      <c r="I2099" t="s">
        <v>23419</v>
      </c>
      <c r="J2099" t="s">
        <v>5493</v>
      </c>
      <c r="K2099" t="s">
        <v>74</v>
      </c>
      <c r="L2099" t="s">
        <v>74</v>
      </c>
      <c r="M2099" t="s">
        <v>74</v>
      </c>
      <c r="N2099" t="s">
        <v>103</v>
      </c>
      <c r="O2099" t="s">
        <v>74</v>
      </c>
      <c r="P2099" t="s">
        <v>74</v>
      </c>
      <c r="Q2099" t="s">
        <v>74</v>
      </c>
      <c r="R2099" t="s">
        <v>74</v>
      </c>
      <c r="S2099" t="s">
        <v>74</v>
      </c>
      <c r="T2099" t="s">
        <v>23420</v>
      </c>
      <c r="U2099" t="s">
        <v>23421</v>
      </c>
      <c r="V2099" t="s">
        <v>23422</v>
      </c>
      <c r="W2099" t="s">
        <v>23423</v>
      </c>
      <c r="X2099" t="s">
        <v>23424</v>
      </c>
      <c r="Y2099" t="s">
        <v>23425</v>
      </c>
      <c r="Z2099" t="s">
        <v>23426</v>
      </c>
      <c r="AA2099" t="s">
        <v>23427</v>
      </c>
      <c r="AB2099" t="s">
        <v>23428</v>
      </c>
      <c r="AC2099" t="s">
        <v>74</v>
      </c>
      <c r="AD2099" t="s">
        <v>74</v>
      </c>
      <c r="AE2099" t="s">
        <v>74</v>
      </c>
      <c r="AF2099" t="s">
        <v>74</v>
      </c>
      <c r="AG2099">
        <v>80</v>
      </c>
      <c r="AH2099">
        <v>0</v>
      </c>
      <c r="AI2099">
        <v>0</v>
      </c>
      <c r="AJ2099">
        <v>2</v>
      </c>
      <c r="AK2099">
        <v>2</v>
      </c>
      <c r="AL2099" t="s">
        <v>74</v>
      </c>
      <c r="AM2099" t="s">
        <v>74</v>
      </c>
      <c r="AN2099" t="s">
        <v>74</v>
      </c>
      <c r="AO2099" t="s">
        <v>74</v>
      </c>
      <c r="AP2099" t="s">
        <v>5503</v>
      </c>
      <c r="AQ2099" t="s">
        <v>74</v>
      </c>
      <c r="AR2099" t="s">
        <v>74</v>
      </c>
      <c r="AS2099" t="s">
        <v>74</v>
      </c>
      <c r="AT2099" t="s">
        <v>967</v>
      </c>
      <c r="AU2099">
        <v>2021</v>
      </c>
      <c r="AV2099">
        <v>13</v>
      </c>
      <c r="AW2099">
        <v>12</v>
      </c>
      <c r="AX2099" t="s">
        <v>74</v>
      </c>
      <c r="AY2099" t="s">
        <v>74</v>
      </c>
      <c r="AZ2099" t="s">
        <v>74</v>
      </c>
      <c r="BA2099" t="s">
        <v>74</v>
      </c>
      <c r="BB2099" t="s">
        <v>74</v>
      </c>
      <c r="BC2099" t="s">
        <v>74</v>
      </c>
      <c r="BD2099">
        <v>2481</v>
      </c>
      <c r="BE2099" t="s">
        <v>23429</v>
      </c>
      <c r="BF2099" t="str">
        <f>HYPERLINK("http://dx.doi.org/10.3390/v13122481","http://dx.doi.org/10.3390/v13122481")</f>
        <v>http://dx.doi.org/10.3390/v13122481</v>
      </c>
      <c r="BG2099" t="s">
        <v>74</v>
      </c>
      <c r="BH2099" t="s">
        <v>74</v>
      </c>
      <c r="BI2099" t="s">
        <v>74</v>
      </c>
      <c r="BJ2099" t="s">
        <v>932</v>
      </c>
      <c r="BK2099" t="s">
        <v>117</v>
      </c>
      <c r="BL2099" t="s">
        <v>932</v>
      </c>
      <c r="BM2099" t="s">
        <v>74</v>
      </c>
      <c r="BN2099">
        <v>34960750</v>
      </c>
      <c r="BO2099" t="s">
        <v>74</v>
      </c>
      <c r="BP2099" t="s">
        <v>74</v>
      </c>
      <c r="BQ2099" t="s">
        <v>74</v>
      </c>
      <c r="BR2099" t="s">
        <v>96</v>
      </c>
      <c r="BS2099" t="s">
        <v>23430</v>
      </c>
      <c r="BT2099" t="str">
        <f>HYPERLINK("https%3A%2F%2Fwww.webofscience.com%2Fwos%2Fwoscc%2Ffull-record%2FWOS:000741514100001","View Full Record in Web of Science")</f>
        <v>View Full Record in Web of Science</v>
      </c>
    </row>
    <row r="2100" spans="1:72" x14ac:dyDescent="0.15">
      <c r="A2100" t="s">
        <v>98</v>
      </c>
      <c r="B2100" t="s">
        <v>23628</v>
      </c>
      <c r="C2100" t="s">
        <v>74</v>
      </c>
      <c r="D2100" t="s">
        <v>74</v>
      </c>
      <c r="E2100" t="s">
        <v>74</v>
      </c>
      <c r="F2100" t="s">
        <v>23629</v>
      </c>
      <c r="G2100" t="s">
        <v>74</v>
      </c>
      <c r="H2100" t="s">
        <v>74</v>
      </c>
      <c r="I2100" t="s">
        <v>23630</v>
      </c>
      <c r="J2100" t="s">
        <v>23631</v>
      </c>
      <c r="K2100" t="s">
        <v>74</v>
      </c>
      <c r="L2100" t="s">
        <v>74</v>
      </c>
      <c r="M2100" t="s">
        <v>74</v>
      </c>
      <c r="N2100" t="s">
        <v>103</v>
      </c>
      <c r="O2100" t="s">
        <v>74</v>
      </c>
      <c r="P2100" t="s">
        <v>74</v>
      </c>
      <c r="Q2100" t="s">
        <v>74</v>
      </c>
      <c r="R2100" t="s">
        <v>74</v>
      </c>
      <c r="S2100" t="s">
        <v>74</v>
      </c>
      <c r="T2100" t="s">
        <v>23632</v>
      </c>
      <c r="U2100" t="s">
        <v>23633</v>
      </c>
      <c r="V2100" t="s">
        <v>23634</v>
      </c>
      <c r="W2100" t="s">
        <v>23635</v>
      </c>
      <c r="X2100" t="s">
        <v>74</v>
      </c>
      <c r="Y2100" t="s">
        <v>23636</v>
      </c>
      <c r="Z2100" t="s">
        <v>23637</v>
      </c>
      <c r="AA2100" t="s">
        <v>74</v>
      </c>
      <c r="AB2100" t="s">
        <v>74</v>
      </c>
      <c r="AC2100" t="s">
        <v>74</v>
      </c>
      <c r="AD2100" t="s">
        <v>74</v>
      </c>
      <c r="AE2100" t="s">
        <v>74</v>
      </c>
      <c r="AF2100" t="s">
        <v>74</v>
      </c>
      <c r="AG2100">
        <v>61</v>
      </c>
      <c r="AH2100">
        <v>0</v>
      </c>
      <c r="AI2100">
        <v>0</v>
      </c>
      <c r="AJ2100">
        <v>1</v>
      </c>
      <c r="AK2100">
        <v>7</v>
      </c>
      <c r="AL2100" t="s">
        <v>74</v>
      </c>
      <c r="AM2100" t="s">
        <v>74</v>
      </c>
      <c r="AN2100" t="s">
        <v>74</v>
      </c>
      <c r="AO2100" t="s">
        <v>23638</v>
      </c>
      <c r="AP2100" t="s">
        <v>23639</v>
      </c>
      <c r="AQ2100" t="s">
        <v>74</v>
      </c>
      <c r="AR2100" t="s">
        <v>74</v>
      </c>
      <c r="AS2100" t="s">
        <v>74</v>
      </c>
      <c r="AT2100" t="s">
        <v>189</v>
      </c>
      <c r="AU2100">
        <v>2020</v>
      </c>
      <c r="AV2100">
        <v>176</v>
      </c>
      <c r="AW2100" t="s">
        <v>74</v>
      </c>
      <c r="AX2100" t="s">
        <v>74</v>
      </c>
      <c r="AY2100" t="s">
        <v>74</v>
      </c>
      <c r="AZ2100" t="s">
        <v>74</v>
      </c>
      <c r="BA2100" t="s">
        <v>74</v>
      </c>
      <c r="BB2100" t="s">
        <v>74</v>
      </c>
      <c r="BC2100" t="s">
        <v>74</v>
      </c>
      <c r="BD2100">
        <v>107460</v>
      </c>
      <c r="BE2100" t="s">
        <v>23640</v>
      </c>
      <c r="BF2100" t="str">
        <f>HYPERLINK("http://dx.doi.org/10.1016/j.jip.2020.107460","http://dx.doi.org/10.1016/j.jip.2020.107460")</f>
        <v>http://dx.doi.org/10.1016/j.jip.2020.107460</v>
      </c>
      <c r="BG2100" t="s">
        <v>74</v>
      </c>
      <c r="BH2100" t="s">
        <v>74</v>
      </c>
      <c r="BI2100" t="s">
        <v>74</v>
      </c>
      <c r="BJ2100" t="s">
        <v>23641</v>
      </c>
      <c r="BK2100" t="s">
        <v>117</v>
      </c>
      <c r="BL2100" t="s">
        <v>23641</v>
      </c>
      <c r="BM2100" t="s">
        <v>74</v>
      </c>
      <c r="BN2100">
        <v>32891682</v>
      </c>
      <c r="BO2100" t="s">
        <v>74</v>
      </c>
      <c r="BP2100" t="s">
        <v>74</v>
      </c>
      <c r="BQ2100" t="s">
        <v>74</v>
      </c>
      <c r="BR2100" t="s">
        <v>96</v>
      </c>
      <c r="BS2100" t="s">
        <v>23642</v>
      </c>
      <c r="BT2100" t="str">
        <f>HYPERLINK("https%3A%2F%2Fwww.webofscience.com%2Fwos%2Fwoscc%2Ffull-record%2FWOS:000579853200003","View Full Record in Web of Science")</f>
        <v>View Full Record in Web of Science</v>
      </c>
    </row>
    <row r="2101" spans="1:72" x14ac:dyDescent="0.15">
      <c r="A2101" t="s">
        <v>98</v>
      </c>
      <c r="B2101" t="s">
        <v>23685</v>
      </c>
      <c r="C2101" t="s">
        <v>74</v>
      </c>
      <c r="D2101" t="s">
        <v>74</v>
      </c>
      <c r="E2101" t="s">
        <v>74</v>
      </c>
      <c r="F2101" t="s">
        <v>23686</v>
      </c>
      <c r="G2101" t="s">
        <v>74</v>
      </c>
      <c r="H2101" t="s">
        <v>74</v>
      </c>
      <c r="I2101" t="s">
        <v>23687</v>
      </c>
      <c r="J2101" t="s">
        <v>23688</v>
      </c>
      <c r="K2101" t="s">
        <v>74</v>
      </c>
      <c r="L2101" t="s">
        <v>74</v>
      </c>
      <c r="M2101" t="s">
        <v>74</v>
      </c>
      <c r="N2101" t="s">
        <v>103</v>
      </c>
      <c r="O2101" t="s">
        <v>74</v>
      </c>
      <c r="P2101" t="s">
        <v>74</v>
      </c>
      <c r="Q2101" t="s">
        <v>74</v>
      </c>
      <c r="R2101" t="s">
        <v>74</v>
      </c>
      <c r="S2101" t="s">
        <v>74</v>
      </c>
      <c r="T2101" t="s">
        <v>23689</v>
      </c>
      <c r="U2101" t="s">
        <v>23690</v>
      </c>
      <c r="V2101" t="s">
        <v>23691</v>
      </c>
      <c r="W2101" t="s">
        <v>23692</v>
      </c>
      <c r="X2101" t="s">
        <v>11342</v>
      </c>
      <c r="Y2101" t="s">
        <v>23693</v>
      </c>
      <c r="Z2101" t="s">
        <v>23694</v>
      </c>
      <c r="AA2101" t="s">
        <v>74</v>
      </c>
      <c r="AB2101" t="s">
        <v>23695</v>
      </c>
      <c r="AC2101" t="s">
        <v>74</v>
      </c>
      <c r="AD2101" t="s">
        <v>74</v>
      </c>
      <c r="AE2101" t="s">
        <v>74</v>
      </c>
      <c r="AF2101" t="s">
        <v>74</v>
      </c>
      <c r="AG2101">
        <v>64</v>
      </c>
      <c r="AH2101">
        <v>0</v>
      </c>
      <c r="AI2101">
        <v>0</v>
      </c>
      <c r="AJ2101">
        <v>3</v>
      </c>
      <c r="AK2101">
        <v>6</v>
      </c>
      <c r="AL2101" t="s">
        <v>74</v>
      </c>
      <c r="AM2101" t="s">
        <v>74</v>
      </c>
      <c r="AN2101" t="s">
        <v>74</v>
      </c>
      <c r="AO2101" t="s">
        <v>23696</v>
      </c>
      <c r="AP2101" t="s">
        <v>23697</v>
      </c>
      <c r="AQ2101" t="s">
        <v>74</v>
      </c>
      <c r="AR2101" t="s">
        <v>74</v>
      </c>
      <c r="AS2101" t="s">
        <v>74</v>
      </c>
      <c r="AT2101" t="s">
        <v>531</v>
      </c>
      <c r="AU2101">
        <v>2021</v>
      </c>
      <c r="AV2101">
        <v>22</v>
      </c>
      <c r="AW2101">
        <v>9</v>
      </c>
      <c r="AX2101" t="s">
        <v>74</v>
      </c>
      <c r="AY2101" t="s">
        <v>74</v>
      </c>
      <c r="AZ2101" t="s">
        <v>74</v>
      </c>
      <c r="BA2101" t="s">
        <v>74</v>
      </c>
      <c r="BB2101">
        <v>718</v>
      </c>
      <c r="BC2101">
        <v>732</v>
      </c>
      <c r="BD2101" t="s">
        <v>74</v>
      </c>
      <c r="BE2101" t="s">
        <v>23698</v>
      </c>
      <c r="BF2101" t="str">
        <f>HYPERLINK("http://dx.doi.org/10.1631/jzus.B2000544","http://dx.doi.org/10.1631/jzus.B2000544")</f>
        <v>http://dx.doi.org/10.1631/jzus.B2000544</v>
      </c>
      <c r="BG2101" t="s">
        <v>74</v>
      </c>
      <c r="BH2101" t="s">
        <v>74</v>
      </c>
      <c r="BI2101" t="s">
        <v>74</v>
      </c>
      <c r="BJ2101" t="s">
        <v>23699</v>
      </c>
      <c r="BK2101" t="s">
        <v>117</v>
      </c>
      <c r="BL2101" t="s">
        <v>23700</v>
      </c>
      <c r="BM2101" t="s">
        <v>74</v>
      </c>
      <c r="BN2101">
        <v>34514752</v>
      </c>
      <c r="BO2101" t="s">
        <v>74</v>
      </c>
      <c r="BP2101" t="s">
        <v>74</v>
      </c>
      <c r="BQ2101" t="s">
        <v>74</v>
      </c>
      <c r="BR2101" t="s">
        <v>96</v>
      </c>
      <c r="BS2101" t="s">
        <v>23701</v>
      </c>
      <c r="BT2101" t="str">
        <f>HYPERLINK("https%3A%2F%2Fwww.webofscience.com%2Fwos%2Fwoscc%2Ffull-record%2FWOS:000697072700002","View Full Record in Web of Science")</f>
        <v>View Full Record in Web of Science</v>
      </c>
    </row>
    <row r="2102" spans="1:72" x14ac:dyDescent="0.15">
      <c r="A2102" t="s">
        <v>98</v>
      </c>
      <c r="B2102" t="s">
        <v>23752</v>
      </c>
      <c r="C2102" t="s">
        <v>74</v>
      </c>
      <c r="D2102" t="s">
        <v>74</v>
      </c>
      <c r="E2102" t="s">
        <v>74</v>
      </c>
      <c r="F2102" t="s">
        <v>23753</v>
      </c>
      <c r="G2102" t="s">
        <v>74</v>
      </c>
      <c r="H2102" t="s">
        <v>23754</v>
      </c>
      <c r="I2102" t="s">
        <v>23755</v>
      </c>
      <c r="J2102" t="s">
        <v>23756</v>
      </c>
      <c r="K2102" t="s">
        <v>74</v>
      </c>
      <c r="L2102" t="s">
        <v>74</v>
      </c>
      <c r="M2102" t="s">
        <v>74</v>
      </c>
      <c r="N2102" t="s">
        <v>103</v>
      </c>
      <c r="O2102" t="s">
        <v>74</v>
      </c>
      <c r="P2102" t="s">
        <v>74</v>
      </c>
      <c r="Q2102" t="s">
        <v>74</v>
      </c>
      <c r="R2102" t="s">
        <v>74</v>
      </c>
      <c r="S2102" t="s">
        <v>74</v>
      </c>
      <c r="T2102" t="s">
        <v>23757</v>
      </c>
      <c r="U2102" t="s">
        <v>23758</v>
      </c>
      <c r="V2102" t="s">
        <v>23759</v>
      </c>
      <c r="W2102" t="s">
        <v>23760</v>
      </c>
      <c r="X2102" t="s">
        <v>23761</v>
      </c>
      <c r="Y2102" t="s">
        <v>23762</v>
      </c>
      <c r="Z2102" t="s">
        <v>23763</v>
      </c>
      <c r="AA2102" t="s">
        <v>23764</v>
      </c>
      <c r="AB2102" t="s">
        <v>23765</v>
      </c>
      <c r="AC2102" t="s">
        <v>74</v>
      </c>
      <c r="AD2102" t="s">
        <v>74</v>
      </c>
      <c r="AE2102" t="s">
        <v>74</v>
      </c>
      <c r="AF2102" t="s">
        <v>74</v>
      </c>
      <c r="AG2102">
        <v>41</v>
      </c>
      <c r="AH2102">
        <v>0</v>
      </c>
      <c r="AI2102">
        <v>0</v>
      </c>
      <c r="AJ2102">
        <v>1</v>
      </c>
      <c r="AK2102">
        <v>2</v>
      </c>
      <c r="AL2102" t="s">
        <v>74</v>
      </c>
      <c r="AM2102" t="s">
        <v>74</v>
      </c>
      <c r="AN2102" t="s">
        <v>74</v>
      </c>
      <c r="AO2102" t="s">
        <v>23766</v>
      </c>
      <c r="AP2102" t="s">
        <v>23767</v>
      </c>
      <c r="AQ2102" t="s">
        <v>74</v>
      </c>
      <c r="AR2102" t="s">
        <v>74</v>
      </c>
      <c r="AS2102" t="s">
        <v>74</v>
      </c>
      <c r="AT2102" t="s">
        <v>114</v>
      </c>
      <c r="AU2102">
        <v>2021</v>
      </c>
      <c r="AV2102">
        <v>50</v>
      </c>
      <c r="AW2102">
        <v>1</v>
      </c>
      <c r="AX2102" t="s">
        <v>74</v>
      </c>
      <c r="AY2102" t="s">
        <v>74</v>
      </c>
      <c r="AZ2102" t="s">
        <v>74</v>
      </c>
      <c r="BA2102" t="s">
        <v>74</v>
      </c>
      <c r="BB2102">
        <v>17</v>
      </c>
      <c r="BC2102">
        <v>28</v>
      </c>
      <c r="BD2102" t="s">
        <v>74</v>
      </c>
      <c r="BE2102" t="s">
        <v>23768</v>
      </c>
      <c r="BF2102" t="str">
        <f>HYPERLINK("http://dx.doi.org/10.1097/MPA.0000000000001717","http://dx.doi.org/10.1097/MPA.0000000000001717")</f>
        <v>http://dx.doi.org/10.1097/MPA.0000000000001717</v>
      </c>
      <c r="BG2102" t="s">
        <v>74</v>
      </c>
      <c r="BH2102" t="s">
        <v>74</v>
      </c>
      <c r="BI2102" t="s">
        <v>74</v>
      </c>
      <c r="BJ2102" t="s">
        <v>633</v>
      </c>
      <c r="BK2102" t="s">
        <v>117</v>
      </c>
      <c r="BL2102" t="s">
        <v>633</v>
      </c>
      <c r="BM2102" t="s">
        <v>74</v>
      </c>
      <c r="BN2102">
        <v>33370019</v>
      </c>
      <c r="BO2102" t="s">
        <v>74</v>
      </c>
      <c r="BP2102" t="s">
        <v>74</v>
      </c>
      <c r="BQ2102" t="s">
        <v>74</v>
      </c>
      <c r="BR2102" t="s">
        <v>96</v>
      </c>
      <c r="BS2102" t="s">
        <v>23769</v>
      </c>
      <c r="BT2102" t="str">
        <f>HYPERLINK("https%3A%2F%2Fwww.webofscience.com%2Fwos%2Fwoscc%2Ffull-record%2FWOS:000600495100011","View Full Record in Web of Science")</f>
        <v>View Full Record in Web of Science</v>
      </c>
    </row>
    <row r="2103" spans="1:72" x14ac:dyDescent="0.15">
      <c r="A2103" t="s">
        <v>98</v>
      </c>
      <c r="B2103" t="s">
        <v>23811</v>
      </c>
      <c r="C2103" t="s">
        <v>74</v>
      </c>
      <c r="D2103" t="s">
        <v>74</v>
      </c>
      <c r="E2103" t="s">
        <v>74</v>
      </c>
      <c r="F2103" t="s">
        <v>23812</v>
      </c>
      <c r="G2103" t="s">
        <v>74</v>
      </c>
      <c r="H2103" t="s">
        <v>74</v>
      </c>
      <c r="I2103" t="s">
        <v>23813</v>
      </c>
      <c r="J2103" t="s">
        <v>23814</v>
      </c>
      <c r="K2103" t="s">
        <v>74</v>
      </c>
      <c r="L2103" t="s">
        <v>74</v>
      </c>
      <c r="M2103" t="s">
        <v>74</v>
      </c>
      <c r="N2103" t="s">
        <v>103</v>
      </c>
      <c r="O2103" t="s">
        <v>74</v>
      </c>
      <c r="P2103" t="s">
        <v>74</v>
      </c>
      <c r="Q2103" t="s">
        <v>74</v>
      </c>
      <c r="R2103" t="s">
        <v>74</v>
      </c>
      <c r="S2103" t="s">
        <v>74</v>
      </c>
      <c r="T2103" t="s">
        <v>23815</v>
      </c>
      <c r="U2103" t="s">
        <v>23816</v>
      </c>
      <c r="V2103" t="s">
        <v>23817</v>
      </c>
      <c r="W2103" t="s">
        <v>23818</v>
      </c>
      <c r="X2103" t="s">
        <v>23819</v>
      </c>
      <c r="Y2103" t="s">
        <v>23820</v>
      </c>
      <c r="Z2103" t="s">
        <v>23821</v>
      </c>
      <c r="AA2103" t="s">
        <v>23822</v>
      </c>
      <c r="AB2103" t="s">
        <v>23823</v>
      </c>
      <c r="AC2103" t="s">
        <v>74</v>
      </c>
      <c r="AD2103" t="s">
        <v>74</v>
      </c>
      <c r="AE2103" t="s">
        <v>74</v>
      </c>
      <c r="AF2103" t="s">
        <v>74</v>
      </c>
      <c r="AG2103">
        <v>49</v>
      </c>
      <c r="AH2103">
        <v>0</v>
      </c>
      <c r="AI2103">
        <v>0</v>
      </c>
      <c r="AJ2103">
        <v>2</v>
      </c>
      <c r="AK2103">
        <v>8</v>
      </c>
      <c r="AL2103" t="s">
        <v>74</v>
      </c>
      <c r="AM2103" t="s">
        <v>74</v>
      </c>
      <c r="AN2103" t="s">
        <v>74</v>
      </c>
      <c r="AO2103" t="s">
        <v>23824</v>
      </c>
      <c r="AP2103" t="s">
        <v>23825</v>
      </c>
      <c r="AQ2103" t="s">
        <v>74</v>
      </c>
      <c r="AR2103" t="s">
        <v>74</v>
      </c>
      <c r="AS2103" t="s">
        <v>74</v>
      </c>
      <c r="AT2103" t="s">
        <v>170</v>
      </c>
      <c r="AU2103">
        <v>2018</v>
      </c>
      <c r="AV2103">
        <v>24</v>
      </c>
      <c r="AW2103" t="s">
        <v>74</v>
      </c>
      <c r="AX2103" t="s">
        <v>74</v>
      </c>
      <c r="AY2103">
        <v>1</v>
      </c>
      <c r="AZ2103" t="s">
        <v>74</v>
      </c>
      <c r="BA2103" t="s">
        <v>74</v>
      </c>
      <c r="BB2103" t="s">
        <v>23826</v>
      </c>
      <c r="BC2103" t="s">
        <v>23827</v>
      </c>
      <c r="BD2103" t="s">
        <v>74</v>
      </c>
      <c r="BE2103" t="s">
        <v>23828</v>
      </c>
      <c r="BF2103" t="str">
        <f>HYPERLINK("http://dx.doi.org/10.5152/EurJTher.2018.1004","http://dx.doi.org/10.5152/EurJTher.2018.1004")</f>
        <v>http://dx.doi.org/10.5152/EurJTher.2018.1004</v>
      </c>
      <c r="BG2103" t="s">
        <v>74</v>
      </c>
      <c r="BH2103" t="s">
        <v>74</v>
      </c>
      <c r="BI2103" t="s">
        <v>74</v>
      </c>
      <c r="BJ2103" t="s">
        <v>2564</v>
      </c>
      <c r="BK2103" t="s">
        <v>467</v>
      </c>
      <c r="BL2103" t="s">
        <v>2565</v>
      </c>
      <c r="BM2103" t="s">
        <v>74</v>
      </c>
      <c r="BN2103" t="s">
        <v>74</v>
      </c>
      <c r="BO2103" t="s">
        <v>74</v>
      </c>
      <c r="BP2103" t="s">
        <v>74</v>
      </c>
      <c r="BQ2103" t="s">
        <v>74</v>
      </c>
      <c r="BR2103" t="s">
        <v>96</v>
      </c>
      <c r="BS2103" t="s">
        <v>23829</v>
      </c>
      <c r="BT2103" t="str">
        <f>HYPERLINK("https%3A%2F%2Fwww.webofscience.com%2Fwos%2Fwoscc%2Ffull-record%2FWOS:000446224000005","View Full Record in Web of Science")</f>
        <v>View Full Record in Web of Science</v>
      </c>
    </row>
    <row r="2104" spans="1:72" x14ac:dyDescent="0.15">
      <c r="A2104" t="s">
        <v>98</v>
      </c>
      <c r="B2104" t="s">
        <v>23995</v>
      </c>
      <c r="C2104" t="s">
        <v>74</v>
      </c>
      <c r="D2104" t="s">
        <v>74</v>
      </c>
      <c r="E2104" t="s">
        <v>74</v>
      </c>
      <c r="F2104" t="s">
        <v>23996</v>
      </c>
      <c r="G2104" t="s">
        <v>74</v>
      </c>
      <c r="H2104" t="s">
        <v>74</v>
      </c>
      <c r="I2104" t="s">
        <v>23997</v>
      </c>
      <c r="J2104" t="s">
        <v>23998</v>
      </c>
      <c r="K2104" t="s">
        <v>74</v>
      </c>
      <c r="L2104" t="s">
        <v>74</v>
      </c>
      <c r="M2104" t="s">
        <v>74</v>
      </c>
      <c r="N2104" t="s">
        <v>103</v>
      </c>
      <c r="O2104" t="s">
        <v>74</v>
      </c>
      <c r="P2104" t="s">
        <v>74</v>
      </c>
      <c r="Q2104" t="s">
        <v>74</v>
      </c>
      <c r="R2104" t="s">
        <v>74</v>
      </c>
      <c r="S2104" t="s">
        <v>74</v>
      </c>
      <c r="T2104" t="s">
        <v>23999</v>
      </c>
      <c r="U2104" t="s">
        <v>24000</v>
      </c>
      <c r="V2104" t="s">
        <v>24001</v>
      </c>
      <c r="W2104" t="s">
        <v>24002</v>
      </c>
      <c r="X2104" t="s">
        <v>24003</v>
      </c>
      <c r="Y2104" t="s">
        <v>24004</v>
      </c>
      <c r="Z2104" t="s">
        <v>24005</v>
      </c>
      <c r="AA2104" t="s">
        <v>24006</v>
      </c>
      <c r="AB2104" t="s">
        <v>74</v>
      </c>
      <c r="AC2104" t="s">
        <v>74</v>
      </c>
      <c r="AD2104" t="s">
        <v>74</v>
      </c>
      <c r="AE2104" t="s">
        <v>74</v>
      </c>
      <c r="AF2104" t="s">
        <v>74</v>
      </c>
      <c r="AG2104">
        <v>37</v>
      </c>
      <c r="AH2104">
        <v>0</v>
      </c>
      <c r="AI2104">
        <v>0</v>
      </c>
      <c r="AJ2104">
        <v>2</v>
      </c>
      <c r="AK2104">
        <v>2</v>
      </c>
      <c r="AL2104" t="s">
        <v>74</v>
      </c>
      <c r="AM2104" t="s">
        <v>74</v>
      </c>
      <c r="AN2104" t="s">
        <v>74</v>
      </c>
      <c r="AO2104" t="s">
        <v>24007</v>
      </c>
      <c r="AP2104" t="s">
        <v>74</v>
      </c>
      <c r="AQ2104" t="s">
        <v>74</v>
      </c>
      <c r="AR2104" t="s">
        <v>74</v>
      </c>
      <c r="AS2104" t="s">
        <v>74</v>
      </c>
      <c r="AT2104" t="s">
        <v>74</v>
      </c>
      <c r="AU2104">
        <v>2022</v>
      </c>
      <c r="AV2104">
        <v>13</v>
      </c>
      <c r="AW2104">
        <v>5</v>
      </c>
      <c r="AX2104" t="s">
        <v>74</v>
      </c>
      <c r="AY2104" t="s">
        <v>74</v>
      </c>
      <c r="AZ2104" t="s">
        <v>74</v>
      </c>
      <c r="BA2104" t="s">
        <v>74</v>
      </c>
      <c r="BB2104">
        <v>1388</v>
      </c>
      <c r="BC2104">
        <v>1397</v>
      </c>
      <c r="BD2104" t="s">
        <v>74</v>
      </c>
      <c r="BE2104" t="s">
        <v>24008</v>
      </c>
      <c r="BF2104" t="str">
        <f>HYPERLINK("http://dx.doi.org/10.7150/jca.69639","http://dx.doi.org/10.7150/jca.69639")</f>
        <v>http://dx.doi.org/10.7150/jca.69639</v>
      </c>
      <c r="BG2104" t="s">
        <v>74</v>
      </c>
      <c r="BH2104" t="s">
        <v>74</v>
      </c>
      <c r="BI2104" t="s">
        <v>74</v>
      </c>
      <c r="BJ2104" t="s">
        <v>267</v>
      </c>
      <c r="BK2104" t="s">
        <v>117</v>
      </c>
      <c r="BL2104" t="s">
        <v>267</v>
      </c>
      <c r="BM2104" t="s">
        <v>74</v>
      </c>
      <c r="BN2104">
        <v>35371331</v>
      </c>
      <c r="BO2104" t="s">
        <v>74</v>
      </c>
      <c r="BP2104" t="s">
        <v>74</v>
      </c>
      <c r="BQ2104" t="s">
        <v>74</v>
      </c>
      <c r="BR2104" t="s">
        <v>96</v>
      </c>
      <c r="BS2104" t="s">
        <v>24009</v>
      </c>
      <c r="BT2104" t="str">
        <f>HYPERLINK("https%3A%2F%2Fwww.webofscience.com%2Fwos%2Fwoscc%2Ffull-record%2FWOS:000819454200001","View Full Record in Web of Science")</f>
        <v>View Full Record in Web of Science</v>
      </c>
    </row>
    <row r="2105" spans="1:72" x14ac:dyDescent="0.15">
      <c r="A2105" t="s">
        <v>98</v>
      </c>
      <c r="B2105" t="s">
        <v>24109</v>
      </c>
      <c r="C2105" t="s">
        <v>74</v>
      </c>
      <c r="D2105" t="s">
        <v>74</v>
      </c>
      <c r="E2105" t="s">
        <v>74</v>
      </c>
      <c r="F2105" t="s">
        <v>24110</v>
      </c>
      <c r="G2105" t="s">
        <v>74</v>
      </c>
      <c r="H2105" t="s">
        <v>74</v>
      </c>
      <c r="I2105" t="s">
        <v>24111</v>
      </c>
      <c r="J2105" t="s">
        <v>24112</v>
      </c>
      <c r="K2105" t="s">
        <v>74</v>
      </c>
      <c r="L2105" t="s">
        <v>74</v>
      </c>
      <c r="M2105" t="s">
        <v>74</v>
      </c>
      <c r="N2105" t="s">
        <v>103</v>
      </c>
      <c r="O2105" t="s">
        <v>74</v>
      </c>
      <c r="P2105" t="s">
        <v>74</v>
      </c>
      <c r="Q2105" t="s">
        <v>74</v>
      </c>
      <c r="R2105" t="s">
        <v>74</v>
      </c>
      <c r="S2105" t="s">
        <v>74</v>
      </c>
      <c r="T2105" t="s">
        <v>74</v>
      </c>
      <c r="U2105" t="s">
        <v>24113</v>
      </c>
      <c r="V2105" t="s">
        <v>24114</v>
      </c>
      <c r="W2105" t="s">
        <v>24115</v>
      </c>
      <c r="X2105" t="s">
        <v>24116</v>
      </c>
      <c r="Y2105" t="s">
        <v>24117</v>
      </c>
      <c r="Z2105" t="s">
        <v>24118</v>
      </c>
      <c r="AA2105" t="s">
        <v>74</v>
      </c>
      <c r="AB2105" t="s">
        <v>74</v>
      </c>
      <c r="AC2105" t="s">
        <v>74</v>
      </c>
      <c r="AD2105" t="s">
        <v>74</v>
      </c>
      <c r="AE2105" t="s">
        <v>74</v>
      </c>
      <c r="AF2105" t="s">
        <v>74</v>
      </c>
      <c r="AG2105">
        <v>38</v>
      </c>
      <c r="AH2105">
        <v>0</v>
      </c>
      <c r="AI2105">
        <v>0</v>
      </c>
      <c r="AJ2105">
        <v>5</v>
      </c>
      <c r="AK2105">
        <v>5</v>
      </c>
      <c r="AL2105" t="s">
        <v>74</v>
      </c>
      <c r="AM2105" t="s">
        <v>74</v>
      </c>
      <c r="AN2105" t="s">
        <v>74</v>
      </c>
      <c r="AO2105" t="s">
        <v>24119</v>
      </c>
      <c r="AP2105" t="s">
        <v>24120</v>
      </c>
      <c r="AQ2105" t="s">
        <v>74</v>
      </c>
      <c r="AR2105" t="s">
        <v>74</v>
      </c>
      <c r="AS2105" t="s">
        <v>74</v>
      </c>
      <c r="AT2105" t="s">
        <v>17631</v>
      </c>
      <c r="AU2105">
        <v>2022</v>
      </c>
      <c r="AV2105">
        <v>2022</v>
      </c>
      <c r="AW2105" t="s">
        <v>74</v>
      </c>
      <c r="AX2105" t="s">
        <v>74</v>
      </c>
      <c r="AY2105" t="s">
        <v>74</v>
      </c>
      <c r="AZ2105" t="s">
        <v>74</v>
      </c>
      <c r="BA2105" t="s">
        <v>74</v>
      </c>
      <c r="BB2105" t="s">
        <v>74</v>
      </c>
      <c r="BC2105" t="s">
        <v>74</v>
      </c>
      <c r="BD2105">
        <v>3815853</v>
      </c>
      <c r="BE2105" t="s">
        <v>24121</v>
      </c>
      <c r="BF2105" t="str">
        <f>HYPERLINK("http://dx.doi.org/10.1155/2022/3815853","http://dx.doi.org/10.1155/2022/3815853")</f>
        <v>http://dx.doi.org/10.1155/2022/3815853</v>
      </c>
      <c r="BG2105" t="s">
        <v>74</v>
      </c>
      <c r="BH2105" t="s">
        <v>74</v>
      </c>
      <c r="BI2105" t="s">
        <v>74</v>
      </c>
      <c r="BJ2105" t="s">
        <v>2064</v>
      </c>
      <c r="BK2105" t="s">
        <v>117</v>
      </c>
      <c r="BL2105" t="s">
        <v>2064</v>
      </c>
      <c r="BM2105" t="s">
        <v>74</v>
      </c>
      <c r="BN2105">
        <v>35692503</v>
      </c>
      <c r="BO2105" t="s">
        <v>74</v>
      </c>
      <c r="BP2105" t="s">
        <v>74</v>
      </c>
      <c r="BQ2105" t="s">
        <v>74</v>
      </c>
      <c r="BR2105" t="s">
        <v>96</v>
      </c>
      <c r="BS2105" t="s">
        <v>24122</v>
      </c>
      <c r="BT2105" t="str">
        <f>HYPERLINK("https%3A%2F%2Fwww.webofscience.com%2Fwos%2Fwoscc%2Ffull-record%2FWOS:000811269400007","View Full Record in Web of Science")</f>
        <v>View Full Record in Web of Science</v>
      </c>
    </row>
    <row r="2106" spans="1:72" x14ac:dyDescent="0.15">
      <c r="A2106" t="s">
        <v>98</v>
      </c>
      <c r="B2106" t="s">
        <v>24229</v>
      </c>
      <c r="C2106" t="s">
        <v>74</v>
      </c>
      <c r="D2106" t="s">
        <v>74</v>
      </c>
      <c r="E2106" t="s">
        <v>74</v>
      </c>
      <c r="F2106" t="s">
        <v>24230</v>
      </c>
      <c r="G2106" t="s">
        <v>74</v>
      </c>
      <c r="H2106" t="s">
        <v>74</v>
      </c>
      <c r="I2106" t="s">
        <v>24231</v>
      </c>
      <c r="J2106" t="s">
        <v>24232</v>
      </c>
      <c r="K2106" t="s">
        <v>74</v>
      </c>
      <c r="L2106" t="s">
        <v>74</v>
      </c>
      <c r="M2106" t="s">
        <v>74</v>
      </c>
      <c r="N2106" t="s">
        <v>103</v>
      </c>
      <c r="O2106" t="s">
        <v>74</v>
      </c>
      <c r="P2106" t="s">
        <v>74</v>
      </c>
      <c r="Q2106" t="s">
        <v>74</v>
      </c>
      <c r="R2106" t="s">
        <v>74</v>
      </c>
      <c r="S2106" t="s">
        <v>74</v>
      </c>
      <c r="T2106" t="s">
        <v>24233</v>
      </c>
      <c r="U2106" t="s">
        <v>24234</v>
      </c>
      <c r="V2106" t="s">
        <v>24235</v>
      </c>
      <c r="W2106" t="s">
        <v>24236</v>
      </c>
      <c r="X2106" t="s">
        <v>24237</v>
      </c>
      <c r="Y2106" t="s">
        <v>24238</v>
      </c>
      <c r="Z2106" t="s">
        <v>24239</v>
      </c>
      <c r="AA2106" t="s">
        <v>74</v>
      </c>
      <c r="AB2106" t="s">
        <v>24240</v>
      </c>
      <c r="AC2106" t="s">
        <v>74</v>
      </c>
      <c r="AD2106" t="s">
        <v>74</v>
      </c>
      <c r="AE2106" t="s">
        <v>74</v>
      </c>
      <c r="AF2106" t="s">
        <v>74</v>
      </c>
      <c r="AG2106">
        <v>79</v>
      </c>
      <c r="AH2106">
        <v>0</v>
      </c>
      <c r="AI2106">
        <v>0</v>
      </c>
      <c r="AJ2106">
        <v>0</v>
      </c>
      <c r="AK2106">
        <v>0</v>
      </c>
      <c r="AL2106" t="s">
        <v>74</v>
      </c>
      <c r="AM2106" t="s">
        <v>74</v>
      </c>
      <c r="AN2106" t="s">
        <v>74</v>
      </c>
      <c r="AO2106" t="s">
        <v>74</v>
      </c>
      <c r="AP2106" t="s">
        <v>24241</v>
      </c>
      <c r="AQ2106" t="s">
        <v>74</v>
      </c>
      <c r="AR2106" t="s">
        <v>74</v>
      </c>
      <c r="AS2106" t="s">
        <v>74</v>
      </c>
      <c r="AT2106" t="s">
        <v>74</v>
      </c>
      <c r="AU2106">
        <v>2022</v>
      </c>
      <c r="AV2106">
        <v>9</v>
      </c>
      <c r="AW2106" t="s">
        <v>74</v>
      </c>
      <c r="AX2106" t="s">
        <v>74</v>
      </c>
      <c r="AY2106" t="s">
        <v>74</v>
      </c>
      <c r="AZ2106" t="s">
        <v>74</v>
      </c>
      <c r="BA2106" t="s">
        <v>74</v>
      </c>
      <c r="BB2106" t="s">
        <v>74</v>
      </c>
      <c r="BC2106" t="s">
        <v>74</v>
      </c>
      <c r="BD2106">
        <v>101759</v>
      </c>
      <c r="BE2106" t="s">
        <v>24242</v>
      </c>
      <c r="BF2106" t="str">
        <f>HYPERLINK("http://dx.doi.org/10.1016/j.mex.2022.101759","http://dx.doi.org/10.1016/j.mex.2022.101759")</f>
        <v>http://dx.doi.org/10.1016/j.mex.2022.101759</v>
      </c>
      <c r="BG2106" t="s">
        <v>74</v>
      </c>
      <c r="BH2106" t="s">
        <v>74</v>
      </c>
      <c r="BI2106" t="s">
        <v>74</v>
      </c>
      <c r="BJ2106" t="s">
        <v>152</v>
      </c>
      <c r="BK2106" t="s">
        <v>467</v>
      </c>
      <c r="BL2106" t="s">
        <v>153</v>
      </c>
      <c r="BM2106" t="s">
        <v>74</v>
      </c>
      <c r="BN2106">
        <v>35774416</v>
      </c>
      <c r="BO2106" t="s">
        <v>74</v>
      </c>
      <c r="BP2106" t="s">
        <v>74</v>
      </c>
      <c r="BQ2106" t="s">
        <v>74</v>
      </c>
      <c r="BR2106" t="s">
        <v>96</v>
      </c>
      <c r="BS2106" t="s">
        <v>24243</v>
      </c>
      <c r="BT2106" t="str">
        <f>HYPERLINK("https%3A%2F%2Fwww.webofscience.com%2Fwos%2Fwoscc%2Ffull-record%2FWOS:000836425400010","View Full Record in Web of Science")</f>
        <v>View Full Record in Web of Science</v>
      </c>
    </row>
    <row r="2107" spans="1:72" x14ac:dyDescent="0.15">
      <c r="A2107" t="s">
        <v>98</v>
      </c>
      <c r="B2107" t="s">
        <v>24322</v>
      </c>
      <c r="C2107" t="s">
        <v>74</v>
      </c>
      <c r="D2107" t="s">
        <v>74</v>
      </c>
      <c r="E2107" t="s">
        <v>74</v>
      </c>
      <c r="F2107" t="s">
        <v>24323</v>
      </c>
      <c r="G2107" t="s">
        <v>74</v>
      </c>
      <c r="H2107" t="s">
        <v>74</v>
      </c>
      <c r="I2107" t="s">
        <v>24324</v>
      </c>
      <c r="J2107" t="s">
        <v>7962</v>
      </c>
      <c r="K2107" t="s">
        <v>74</v>
      </c>
      <c r="L2107" t="s">
        <v>74</v>
      </c>
      <c r="M2107" t="s">
        <v>74</v>
      </c>
      <c r="N2107" t="s">
        <v>103</v>
      </c>
      <c r="O2107" t="s">
        <v>74</v>
      </c>
      <c r="P2107" t="s">
        <v>74</v>
      </c>
      <c r="Q2107" t="s">
        <v>74</v>
      </c>
      <c r="R2107" t="s">
        <v>74</v>
      </c>
      <c r="S2107" t="s">
        <v>74</v>
      </c>
      <c r="T2107" t="s">
        <v>74</v>
      </c>
      <c r="U2107" t="s">
        <v>24325</v>
      </c>
      <c r="V2107" t="s">
        <v>24326</v>
      </c>
      <c r="W2107" t="s">
        <v>24327</v>
      </c>
      <c r="X2107" t="s">
        <v>24328</v>
      </c>
      <c r="Y2107" t="s">
        <v>24329</v>
      </c>
      <c r="Z2107" t="s">
        <v>24330</v>
      </c>
      <c r="AA2107" t="s">
        <v>24331</v>
      </c>
      <c r="AB2107" t="s">
        <v>24332</v>
      </c>
      <c r="AC2107" t="s">
        <v>74</v>
      </c>
      <c r="AD2107" t="s">
        <v>74</v>
      </c>
      <c r="AE2107" t="s">
        <v>74</v>
      </c>
      <c r="AF2107" t="s">
        <v>74</v>
      </c>
      <c r="AG2107">
        <v>57</v>
      </c>
      <c r="AH2107">
        <v>0</v>
      </c>
      <c r="AI2107">
        <v>0</v>
      </c>
      <c r="AJ2107">
        <v>0</v>
      </c>
      <c r="AK2107">
        <v>0</v>
      </c>
      <c r="AL2107" t="s">
        <v>74</v>
      </c>
      <c r="AM2107" t="s">
        <v>74</v>
      </c>
      <c r="AN2107" t="s">
        <v>74</v>
      </c>
      <c r="AO2107" t="s">
        <v>74</v>
      </c>
      <c r="AP2107" t="s">
        <v>7970</v>
      </c>
      <c r="AQ2107" t="s">
        <v>74</v>
      </c>
      <c r="AR2107" t="s">
        <v>74</v>
      </c>
      <c r="AS2107" t="s">
        <v>74</v>
      </c>
      <c r="AT2107" t="s">
        <v>21205</v>
      </c>
      <c r="AU2107">
        <v>2022</v>
      </c>
      <c r="AV2107">
        <v>5</v>
      </c>
      <c r="AW2107">
        <v>1</v>
      </c>
      <c r="AX2107" t="s">
        <v>74</v>
      </c>
      <c r="AY2107" t="s">
        <v>74</v>
      </c>
      <c r="AZ2107" t="s">
        <v>74</v>
      </c>
      <c r="BA2107" t="s">
        <v>74</v>
      </c>
      <c r="BB2107" t="s">
        <v>74</v>
      </c>
      <c r="BC2107" t="s">
        <v>74</v>
      </c>
      <c r="BD2107">
        <v>598</v>
      </c>
      <c r="BE2107" t="s">
        <v>24333</v>
      </c>
      <c r="BF2107" t="str">
        <f>HYPERLINK("http://dx.doi.org/10.1038/s42003-022-03539-x","http://dx.doi.org/10.1038/s42003-022-03539-x")</f>
        <v>http://dx.doi.org/10.1038/s42003-022-03539-x</v>
      </c>
      <c r="BG2107" t="s">
        <v>74</v>
      </c>
      <c r="BH2107" t="s">
        <v>74</v>
      </c>
      <c r="BI2107" t="s">
        <v>74</v>
      </c>
      <c r="BJ2107" t="s">
        <v>7972</v>
      </c>
      <c r="BK2107" t="s">
        <v>117</v>
      </c>
      <c r="BL2107" t="s">
        <v>7973</v>
      </c>
      <c r="BM2107" t="s">
        <v>74</v>
      </c>
      <c r="BN2107">
        <v>35710947</v>
      </c>
      <c r="BO2107" t="s">
        <v>74</v>
      </c>
      <c r="BP2107" t="s">
        <v>74</v>
      </c>
      <c r="BQ2107" t="s">
        <v>74</v>
      </c>
      <c r="BR2107" t="s">
        <v>96</v>
      </c>
      <c r="BS2107" t="s">
        <v>24334</v>
      </c>
      <c r="BT2107" t="str">
        <f>HYPERLINK("https%3A%2F%2Fwww.webofscience.com%2Fwos%2Fwoscc%2Ffull-record%2FWOS:000812308700006","View Full Record in Web of Science")</f>
        <v>View Full Record in Web of Science</v>
      </c>
    </row>
    <row r="2108" spans="1:72" x14ac:dyDescent="0.15">
      <c r="A2108" t="s">
        <v>98</v>
      </c>
      <c r="B2108" t="s">
        <v>24517</v>
      </c>
      <c r="C2108" t="s">
        <v>74</v>
      </c>
      <c r="D2108" t="s">
        <v>74</v>
      </c>
      <c r="E2108" t="s">
        <v>74</v>
      </c>
      <c r="F2108" t="s">
        <v>24518</v>
      </c>
      <c r="G2108" t="s">
        <v>74</v>
      </c>
      <c r="H2108" t="s">
        <v>74</v>
      </c>
      <c r="I2108" t="s">
        <v>24519</v>
      </c>
      <c r="J2108" t="s">
        <v>3588</v>
      </c>
      <c r="K2108" t="s">
        <v>74</v>
      </c>
      <c r="L2108" t="s">
        <v>74</v>
      </c>
      <c r="M2108" t="s">
        <v>74</v>
      </c>
      <c r="N2108" t="s">
        <v>103</v>
      </c>
      <c r="O2108" t="s">
        <v>74</v>
      </c>
      <c r="P2108" t="s">
        <v>74</v>
      </c>
      <c r="Q2108" t="s">
        <v>74</v>
      </c>
      <c r="R2108" t="s">
        <v>74</v>
      </c>
      <c r="S2108" t="s">
        <v>74</v>
      </c>
      <c r="T2108" t="s">
        <v>24520</v>
      </c>
      <c r="U2108" t="s">
        <v>24521</v>
      </c>
      <c r="V2108" t="s">
        <v>24522</v>
      </c>
      <c r="W2108" t="s">
        <v>24523</v>
      </c>
      <c r="X2108" t="s">
        <v>24524</v>
      </c>
      <c r="Y2108" t="s">
        <v>24525</v>
      </c>
      <c r="Z2108" t="s">
        <v>24526</v>
      </c>
      <c r="AA2108" t="s">
        <v>74</v>
      </c>
      <c r="AB2108" t="s">
        <v>24527</v>
      </c>
      <c r="AC2108" t="s">
        <v>74</v>
      </c>
      <c r="AD2108" t="s">
        <v>74</v>
      </c>
      <c r="AE2108" t="s">
        <v>74</v>
      </c>
      <c r="AF2108" t="s">
        <v>74</v>
      </c>
      <c r="AG2108">
        <v>48</v>
      </c>
      <c r="AH2108">
        <v>0</v>
      </c>
      <c r="AI2108">
        <v>0</v>
      </c>
      <c r="AJ2108">
        <v>1</v>
      </c>
      <c r="AK2108">
        <v>2</v>
      </c>
      <c r="AL2108" t="s">
        <v>74</v>
      </c>
      <c r="AM2108" t="s">
        <v>74</v>
      </c>
      <c r="AN2108" t="s">
        <v>74</v>
      </c>
      <c r="AO2108" t="s">
        <v>3596</v>
      </c>
      <c r="AP2108" t="s">
        <v>74</v>
      </c>
      <c r="AQ2108" t="s">
        <v>74</v>
      </c>
      <c r="AR2108" t="s">
        <v>74</v>
      </c>
      <c r="AS2108" t="s">
        <v>74</v>
      </c>
      <c r="AT2108" t="s">
        <v>3489</v>
      </c>
      <c r="AU2108">
        <v>2021</v>
      </c>
      <c r="AV2108">
        <v>12</v>
      </c>
      <c r="AW2108" t="s">
        <v>74</v>
      </c>
      <c r="AX2108" t="s">
        <v>74</v>
      </c>
      <c r="AY2108" t="s">
        <v>74</v>
      </c>
      <c r="AZ2108" t="s">
        <v>74</v>
      </c>
      <c r="BA2108" t="s">
        <v>74</v>
      </c>
      <c r="BB2108" t="s">
        <v>74</v>
      </c>
      <c r="BC2108" t="s">
        <v>74</v>
      </c>
      <c r="BD2108">
        <v>681974</v>
      </c>
      <c r="BE2108" t="s">
        <v>24528</v>
      </c>
      <c r="BF2108" t="str">
        <f>HYPERLINK("http://dx.doi.org/10.3389/fendo.2021.681974","http://dx.doi.org/10.3389/fendo.2021.681974")</f>
        <v>http://dx.doi.org/10.3389/fendo.2021.681974</v>
      </c>
      <c r="BG2108" t="s">
        <v>74</v>
      </c>
      <c r="BH2108" t="s">
        <v>74</v>
      </c>
      <c r="BI2108" t="s">
        <v>74</v>
      </c>
      <c r="BJ2108" t="s">
        <v>3599</v>
      </c>
      <c r="BK2108" t="s">
        <v>117</v>
      </c>
      <c r="BL2108" t="s">
        <v>3599</v>
      </c>
      <c r="BM2108" t="s">
        <v>74</v>
      </c>
      <c r="BN2108">
        <v>34497581</v>
      </c>
      <c r="BO2108" t="s">
        <v>74</v>
      </c>
      <c r="BP2108" t="s">
        <v>74</v>
      </c>
      <c r="BQ2108" t="s">
        <v>74</v>
      </c>
      <c r="BR2108" t="s">
        <v>96</v>
      </c>
      <c r="BS2108" t="s">
        <v>24529</v>
      </c>
      <c r="BT2108" t="str">
        <f>HYPERLINK("https%3A%2F%2Fwww.webofscience.com%2Fwos%2Fwoscc%2Ffull-record%2FWOS:000717575200001","View Full Record in Web of Science")</f>
        <v>View Full Record in Web of Science</v>
      </c>
    </row>
    <row r="2109" spans="1:72" x14ac:dyDescent="0.15">
      <c r="A2109" t="s">
        <v>98</v>
      </c>
      <c r="B2109" t="s">
        <v>24539</v>
      </c>
      <c r="C2109" t="s">
        <v>74</v>
      </c>
      <c r="D2109" t="s">
        <v>74</v>
      </c>
      <c r="E2109" t="s">
        <v>74</v>
      </c>
      <c r="F2109" t="s">
        <v>24540</v>
      </c>
      <c r="G2109" t="s">
        <v>74</v>
      </c>
      <c r="H2109" t="s">
        <v>74</v>
      </c>
      <c r="I2109" t="s">
        <v>24541</v>
      </c>
      <c r="J2109" t="s">
        <v>140</v>
      </c>
      <c r="K2109" t="s">
        <v>74</v>
      </c>
      <c r="L2109" t="s">
        <v>74</v>
      </c>
      <c r="M2109" t="s">
        <v>74</v>
      </c>
      <c r="N2109" t="s">
        <v>103</v>
      </c>
      <c r="O2109" t="s">
        <v>74</v>
      </c>
      <c r="P2109" t="s">
        <v>74</v>
      </c>
      <c r="Q2109" t="s">
        <v>74</v>
      </c>
      <c r="R2109" t="s">
        <v>74</v>
      </c>
      <c r="S2109" t="s">
        <v>74</v>
      </c>
      <c r="T2109" t="s">
        <v>74</v>
      </c>
      <c r="U2109" t="s">
        <v>24542</v>
      </c>
      <c r="V2109" t="s">
        <v>24543</v>
      </c>
      <c r="W2109" t="s">
        <v>24544</v>
      </c>
      <c r="X2109" t="s">
        <v>24545</v>
      </c>
      <c r="Y2109" t="s">
        <v>24546</v>
      </c>
      <c r="Z2109" t="s">
        <v>24547</v>
      </c>
      <c r="AA2109" t="s">
        <v>74</v>
      </c>
      <c r="AB2109" t="s">
        <v>24548</v>
      </c>
      <c r="AC2109" t="s">
        <v>74</v>
      </c>
      <c r="AD2109" t="s">
        <v>74</v>
      </c>
      <c r="AE2109" t="s">
        <v>74</v>
      </c>
      <c r="AF2109" t="s">
        <v>74</v>
      </c>
      <c r="AG2109">
        <v>38</v>
      </c>
      <c r="AH2109">
        <v>0</v>
      </c>
      <c r="AI2109">
        <v>0</v>
      </c>
      <c r="AJ2109">
        <v>1</v>
      </c>
      <c r="AK2109">
        <v>1</v>
      </c>
      <c r="AL2109" t="s">
        <v>74</v>
      </c>
      <c r="AM2109" t="s">
        <v>74</v>
      </c>
      <c r="AN2109" t="s">
        <v>74</v>
      </c>
      <c r="AO2109" t="s">
        <v>149</v>
      </c>
      <c r="AP2109" t="s">
        <v>74</v>
      </c>
      <c r="AQ2109" t="s">
        <v>74</v>
      </c>
      <c r="AR2109" t="s">
        <v>74</v>
      </c>
      <c r="AS2109" t="s">
        <v>74</v>
      </c>
      <c r="AT2109" t="s">
        <v>20589</v>
      </c>
      <c r="AU2109">
        <v>2022</v>
      </c>
      <c r="AV2109">
        <v>12</v>
      </c>
      <c r="AW2109">
        <v>1</v>
      </c>
      <c r="AX2109" t="s">
        <v>74</v>
      </c>
      <c r="AY2109" t="s">
        <v>74</v>
      </c>
      <c r="AZ2109" t="s">
        <v>74</v>
      </c>
      <c r="BA2109" t="s">
        <v>74</v>
      </c>
      <c r="BB2109" t="s">
        <v>74</v>
      </c>
      <c r="BC2109" t="s">
        <v>74</v>
      </c>
      <c r="BD2109">
        <v>1229</v>
      </c>
      <c r="BE2109" t="s">
        <v>24549</v>
      </c>
      <c r="BF2109" t="str">
        <f>HYPERLINK("http://dx.doi.org/10.1038/s41598-022-05229-4","http://dx.doi.org/10.1038/s41598-022-05229-4")</f>
        <v>http://dx.doi.org/10.1038/s41598-022-05229-4</v>
      </c>
      <c r="BG2109" t="s">
        <v>74</v>
      </c>
      <c r="BH2109" t="s">
        <v>74</v>
      </c>
      <c r="BI2109" t="s">
        <v>74</v>
      </c>
      <c r="BJ2109" t="s">
        <v>152</v>
      </c>
      <c r="BK2109" t="s">
        <v>117</v>
      </c>
      <c r="BL2109" t="s">
        <v>153</v>
      </c>
      <c r="BM2109" t="s">
        <v>74</v>
      </c>
      <c r="BN2109">
        <v>35075190</v>
      </c>
      <c r="BO2109" t="s">
        <v>74</v>
      </c>
      <c r="BP2109" t="s">
        <v>74</v>
      </c>
      <c r="BQ2109" t="s">
        <v>74</v>
      </c>
      <c r="BR2109" t="s">
        <v>96</v>
      </c>
      <c r="BS2109" t="s">
        <v>24550</v>
      </c>
      <c r="BT2109" t="str">
        <f>HYPERLINK("https%3A%2F%2Fwww.webofscience.com%2Fwos%2Fwoscc%2Ffull-record%2FWOS:000746700700043","View Full Record in Web of Science")</f>
        <v>View Full Record in Web of Science</v>
      </c>
    </row>
    <row r="2110" spans="1:72" x14ac:dyDescent="0.15">
      <c r="A2110" t="s">
        <v>4291</v>
      </c>
      <c r="B2110" t="s">
        <v>24723</v>
      </c>
      <c r="C2110" t="s">
        <v>74</v>
      </c>
      <c r="D2110" t="s">
        <v>24724</v>
      </c>
      <c r="E2110" t="s">
        <v>74</v>
      </c>
      <c r="F2110" t="s">
        <v>24725</v>
      </c>
      <c r="G2110" t="s">
        <v>74</v>
      </c>
      <c r="H2110" t="s">
        <v>74</v>
      </c>
      <c r="I2110" t="s">
        <v>24726</v>
      </c>
      <c r="J2110" t="s">
        <v>24727</v>
      </c>
      <c r="K2110" t="s">
        <v>24728</v>
      </c>
      <c r="L2110" t="s">
        <v>74</v>
      </c>
      <c r="M2110" t="s">
        <v>74</v>
      </c>
      <c r="N2110" t="s">
        <v>80</v>
      </c>
      <c r="O2110" t="s">
        <v>74</v>
      </c>
      <c r="P2110" t="s">
        <v>74</v>
      </c>
      <c r="Q2110" t="s">
        <v>74</v>
      </c>
      <c r="R2110" t="s">
        <v>74</v>
      </c>
      <c r="S2110" t="s">
        <v>74</v>
      </c>
      <c r="T2110" t="s">
        <v>24729</v>
      </c>
      <c r="U2110" t="s">
        <v>24730</v>
      </c>
      <c r="V2110" t="s">
        <v>24731</v>
      </c>
      <c r="W2110" t="s">
        <v>24732</v>
      </c>
      <c r="X2110" t="s">
        <v>24733</v>
      </c>
      <c r="Y2110" t="s">
        <v>24734</v>
      </c>
      <c r="Z2110" t="s">
        <v>24735</v>
      </c>
      <c r="AA2110" t="s">
        <v>74</v>
      </c>
      <c r="AB2110" t="s">
        <v>74</v>
      </c>
      <c r="AC2110" t="s">
        <v>74</v>
      </c>
      <c r="AD2110" t="s">
        <v>74</v>
      </c>
      <c r="AE2110" t="s">
        <v>74</v>
      </c>
      <c r="AF2110" t="s">
        <v>74</v>
      </c>
      <c r="AG2110">
        <v>101</v>
      </c>
      <c r="AH2110">
        <v>0</v>
      </c>
      <c r="AI2110">
        <v>0</v>
      </c>
      <c r="AJ2110">
        <v>0</v>
      </c>
      <c r="AK2110">
        <v>0</v>
      </c>
      <c r="AL2110" t="s">
        <v>74</v>
      </c>
      <c r="AM2110" t="s">
        <v>74</v>
      </c>
      <c r="AN2110" t="s">
        <v>74</v>
      </c>
      <c r="AO2110" t="s">
        <v>74</v>
      </c>
      <c r="AP2110" t="s">
        <v>74</v>
      </c>
      <c r="AQ2110" t="s">
        <v>24736</v>
      </c>
      <c r="AR2110" t="s">
        <v>74</v>
      </c>
      <c r="AS2110" t="s">
        <v>74</v>
      </c>
      <c r="AT2110" t="s">
        <v>74</v>
      </c>
      <c r="AU2110">
        <v>2010</v>
      </c>
      <c r="AV2110" t="s">
        <v>74</v>
      </c>
      <c r="AW2110" t="s">
        <v>74</v>
      </c>
      <c r="AX2110" t="s">
        <v>74</v>
      </c>
      <c r="AY2110" t="s">
        <v>74</v>
      </c>
      <c r="AZ2110" t="s">
        <v>74</v>
      </c>
      <c r="BA2110" t="s">
        <v>74</v>
      </c>
      <c r="BB2110">
        <v>153</v>
      </c>
      <c r="BC2110">
        <v>171</v>
      </c>
      <c r="BD2110" t="s">
        <v>74</v>
      </c>
      <c r="BE2110" t="s">
        <v>74</v>
      </c>
      <c r="BF2110" t="s">
        <v>74</v>
      </c>
      <c r="BG2110" t="s">
        <v>74</v>
      </c>
      <c r="BH2110" t="s">
        <v>74</v>
      </c>
      <c r="BI2110" t="s">
        <v>74</v>
      </c>
      <c r="BJ2110" t="s">
        <v>2064</v>
      </c>
      <c r="BK2110" t="s">
        <v>94</v>
      </c>
      <c r="BL2110" t="s">
        <v>2064</v>
      </c>
      <c r="BM2110" t="s">
        <v>74</v>
      </c>
      <c r="BN2110" t="s">
        <v>74</v>
      </c>
      <c r="BO2110" t="s">
        <v>74</v>
      </c>
      <c r="BP2110" t="s">
        <v>74</v>
      </c>
      <c r="BQ2110" t="s">
        <v>74</v>
      </c>
      <c r="BR2110" t="s">
        <v>96</v>
      </c>
      <c r="BS2110" t="s">
        <v>24737</v>
      </c>
      <c r="BT2110" t="str">
        <f>HYPERLINK("https%3A%2F%2Fwww.webofscience.com%2Fwos%2Fwoscc%2Ffull-record%2FWOS:000279878600007","View Full Record in Web of Science")</f>
        <v>View Full Record in Web of Science</v>
      </c>
    </row>
    <row r="2111" spans="1:72" x14ac:dyDescent="0.15">
      <c r="A2111" t="s">
        <v>98</v>
      </c>
      <c r="B2111" t="s">
        <v>24902</v>
      </c>
      <c r="C2111" t="s">
        <v>74</v>
      </c>
      <c r="D2111" t="s">
        <v>74</v>
      </c>
      <c r="E2111" t="s">
        <v>74</v>
      </c>
      <c r="F2111" t="s">
        <v>24903</v>
      </c>
      <c r="G2111" t="s">
        <v>74</v>
      </c>
      <c r="H2111" t="s">
        <v>74</v>
      </c>
      <c r="I2111" t="s">
        <v>24904</v>
      </c>
      <c r="J2111" t="s">
        <v>24905</v>
      </c>
      <c r="K2111" t="s">
        <v>74</v>
      </c>
      <c r="L2111" t="s">
        <v>74</v>
      </c>
      <c r="M2111" t="s">
        <v>74</v>
      </c>
      <c r="N2111" t="s">
        <v>103</v>
      </c>
      <c r="O2111" t="s">
        <v>74</v>
      </c>
      <c r="P2111" t="s">
        <v>74</v>
      </c>
      <c r="Q2111" t="s">
        <v>74</v>
      </c>
      <c r="R2111" t="s">
        <v>74</v>
      </c>
      <c r="S2111" t="s">
        <v>74</v>
      </c>
      <c r="T2111" t="s">
        <v>24906</v>
      </c>
      <c r="U2111" t="s">
        <v>24907</v>
      </c>
      <c r="V2111" t="s">
        <v>24908</v>
      </c>
      <c r="W2111" t="s">
        <v>24909</v>
      </c>
      <c r="X2111" t="s">
        <v>24910</v>
      </c>
      <c r="Y2111" t="s">
        <v>24911</v>
      </c>
      <c r="Z2111" t="s">
        <v>24912</v>
      </c>
      <c r="AA2111" t="s">
        <v>24913</v>
      </c>
      <c r="AB2111" t="s">
        <v>74</v>
      </c>
      <c r="AC2111" t="s">
        <v>74</v>
      </c>
      <c r="AD2111" t="s">
        <v>74</v>
      </c>
      <c r="AE2111" t="s">
        <v>74</v>
      </c>
      <c r="AF2111" t="s">
        <v>74</v>
      </c>
      <c r="AG2111">
        <v>49</v>
      </c>
      <c r="AH2111">
        <v>0</v>
      </c>
      <c r="AI2111">
        <v>0</v>
      </c>
      <c r="AJ2111">
        <v>3</v>
      </c>
      <c r="AK2111">
        <v>13</v>
      </c>
      <c r="AL2111" t="s">
        <v>74</v>
      </c>
      <c r="AM2111" t="s">
        <v>74</v>
      </c>
      <c r="AN2111" t="s">
        <v>74</v>
      </c>
      <c r="AO2111" t="s">
        <v>24914</v>
      </c>
      <c r="AP2111" t="s">
        <v>24915</v>
      </c>
      <c r="AQ2111" t="s">
        <v>74</v>
      </c>
      <c r="AR2111" t="s">
        <v>74</v>
      </c>
      <c r="AS2111" t="s">
        <v>74</v>
      </c>
      <c r="AT2111" t="s">
        <v>132</v>
      </c>
      <c r="AU2111">
        <v>2018</v>
      </c>
      <c r="AV2111">
        <v>89</v>
      </c>
      <c r="AW2111">
        <v>4</v>
      </c>
      <c r="AX2111" t="s">
        <v>74</v>
      </c>
      <c r="AY2111" t="s">
        <v>74</v>
      </c>
      <c r="AZ2111" t="s">
        <v>74</v>
      </c>
      <c r="BA2111" t="s">
        <v>74</v>
      </c>
      <c r="BB2111">
        <v>257</v>
      </c>
      <c r="BC2111">
        <v>265</v>
      </c>
      <c r="BD2111" t="s">
        <v>74</v>
      </c>
      <c r="BE2111" t="s">
        <v>24916</v>
      </c>
      <c r="BF2111" t="str">
        <f>HYPERLINK("http://dx.doi.org/10.1007/s00104-017-0569-y","http://dx.doi.org/10.1007/s00104-017-0569-y")</f>
        <v>http://dx.doi.org/10.1007/s00104-017-0569-y</v>
      </c>
      <c r="BG2111" t="s">
        <v>74</v>
      </c>
      <c r="BH2111" t="s">
        <v>74</v>
      </c>
      <c r="BI2111" t="s">
        <v>74</v>
      </c>
      <c r="BJ2111" t="s">
        <v>24046</v>
      </c>
      <c r="BK2111" t="s">
        <v>117</v>
      </c>
      <c r="BL2111" t="s">
        <v>24046</v>
      </c>
      <c r="BM2111" t="s">
        <v>74</v>
      </c>
      <c r="BN2111">
        <v>29264630</v>
      </c>
      <c r="BO2111" t="s">
        <v>74</v>
      </c>
      <c r="BP2111" t="s">
        <v>74</v>
      </c>
      <c r="BQ2111" t="s">
        <v>74</v>
      </c>
      <c r="BR2111" t="s">
        <v>96</v>
      </c>
      <c r="BS2111" t="s">
        <v>24917</v>
      </c>
      <c r="BT2111" t="str">
        <f>HYPERLINK("https%3A%2F%2Fwww.webofscience.com%2Fwos%2Fwoscc%2Ffull-record%2FWOS:000429652700002","View Full Record in Web of Science")</f>
        <v>View Full Record in Web of Science</v>
      </c>
    </row>
    <row r="2112" spans="1:72" x14ac:dyDescent="0.15">
      <c r="A2112" t="s">
        <v>98</v>
      </c>
      <c r="B2112" t="s">
        <v>25003</v>
      </c>
      <c r="C2112" t="s">
        <v>74</v>
      </c>
      <c r="D2112" t="s">
        <v>74</v>
      </c>
      <c r="E2112" t="s">
        <v>74</v>
      </c>
      <c r="F2112" t="s">
        <v>25004</v>
      </c>
      <c r="G2112" t="s">
        <v>74</v>
      </c>
      <c r="H2112" t="s">
        <v>74</v>
      </c>
      <c r="I2112" t="s">
        <v>25005</v>
      </c>
      <c r="J2112" t="s">
        <v>25006</v>
      </c>
      <c r="K2112" t="s">
        <v>74</v>
      </c>
      <c r="L2112" t="s">
        <v>74</v>
      </c>
      <c r="M2112" t="s">
        <v>74</v>
      </c>
      <c r="N2112" t="s">
        <v>103</v>
      </c>
      <c r="O2112" t="s">
        <v>74</v>
      </c>
      <c r="P2112" t="s">
        <v>74</v>
      </c>
      <c r="Q2112" t="s">
        <v>74</v>
      </c>
      <c r="R2112" t="s">
        <v>74</v>
      </c>
      <c r="S2112" t="s">
        <v>74</v>
      </c>
      <c r="T2112" t="s">
        <v>25007</v>
      </c>
      <c r="U2112" t="s">
        <v>25008</v>
      </c>
      <c r="V2112" t="s">
        <v>25009</v>
      </c>
      <c r="W2112" t="s">
        <v>25010</v>
      </c>
      <c r="X2112" t="s">
        <v>25011</v>
      </c>
      <c r="Y2112" t="s">
        <v>24379</v>
      </c>
      <c r="Z2112" t="s">
        <v>25012</v>
      </c>
      <c r="AA2112" t="s">
        <v>25013</v>
      </c>
      <c r="AB2112" t="s">
        <v>25014</v>
      </c>
      <c r="AC2112" t="s">
        <v>74</v>
      </c>
      <c r="AD2112" t="s">
        <v>74</v>
      </c>
      <c r="AE2112" t="s">
        <v>74</v>
      </c>
      <c r="AF2112" t="s">
        <v>74</v>
      </c>
      <c r="AG2112">
        <v>56</v>
      </c>
      <c r="AH2112">
        <v>0</v>
      </c>
      <c r="AI2112">
        <v>0</v>
      </c>
      <c r="AJ2112">
        <v>2</v>
      </c>
      <c r="AK2112">
        <v>2</v>
      </c>
      <c r="AL2112" t="s">
        <v>74</v>
      </c>
      <c r="AM2112" t="s">
        <v>74</v>
      </c>
      <c r="AN2112" t="s">
        <v>74</v>
      </c>
      <c r="AO2112" t="s">
        <v>25015</v>
      </c>
      <c r="AP2112" t="s">
        <v>25016</v>
      </c>
      <c r="AQ2112" t="s">
        <v>74</v>
      </c>
      <c r="AR2112" t="s">
        <v>74</v>
      </c>
      <c r="AS2112" t="s">
        <v>74</v>
      </c>
      <c r="AT2112" t="s">
        <v>531</v>
      </c>
      <c r="AU2112">
        <v>2022</v>
      </c>
      <c r="AV2112">
        <v>97</v>
      </c>
      <c r="AW2112">
        <v>9</v>
      </c>
      <c r="AX2112" t="s">
        <v>74</v>
      </c>
      <c r="AY2112" t="s">
        <v>74</v>
      </c>
      <c r="AZ2112" t="s">
        <v>74</v>
      </c>
      <c r="BA2112" t="s">
        <v>74</v>
      </c>
      <c r="BB2112">
        <v>2456</v>
      </c>
      <c r="BC2112">
        <v>2465</v>
      </c>
      <c r="BD2112" t="s">
        <v>74</v>
      </c>
      <c r="BE2112" t="s">
        <v>25017</v>
      </c>
      <c r="BF2112" t="str">
        <f>HYPERLINK("http://dx.doi.org/10.1002/jctb.7105","http://dx.doi.org/10.1002/jctb.7105")</f>
        <v>http://dx.doi.org/10.1002/jctb.7105</v>
      </c>
      <c r="BG2112" t="s">
        <v>74</v>
      </c>
      <c r="BH2112" t="s">
        <v>7254</v>
      </c>
      <c r="BI2112" t="s">
        <v>74</v>
      </c>
      <c r="BJ2112" t="s">
        <v>25018</v>
      </c>
      <c r="BK2112" t="s">
        <v>117</v>
      </c>
      <c r="BL2112" t="s">
        <v>25019</v>
      </c>
      <c r="BM2112" t="s">
        <v>74</v>
      </c>
      <c r="BN2112" t="s">
        <v>74</v>
      </c>
      <c r="BO2112" t="s">
        <v>74</v>
      </c>
      <c r="BP2112" t="s">
        <v>74</v>
      </c>
      <c r="BQ2112" t="s">
        <v>74</v>
      </c>
      <c r="BR2112" t="s">
        <v>96</v>
      </c>
      <c r="BS2112" t="s">
        <v>25020</v>
      </c>
      <c r="BT2112" t="str">
        <f>HYPERLINK("https%3A%2F%2Fwww.webofscience.com%2Fwos%2Fwoscc%2Ffull-record%2FWOS:000802208300001","View Full Record in Web of Science")</f>
        <v>View Full Record in Web of Science</v>
      </c>
    </row>
    <row r="2113" spans="1:72" x14ac:dyDescent="0.15">
      <c r="A2113" t="s">
        <v>98</v>
      </c>
      <c r="B2113" t="s">
        <v>25215</v>
      </c>
      <c r="C2113" t="s">
        <v>74</v>
      </c>
      <c r="D2113" t="s">
        <v>74</v>
      </c>
      <c r="E2113" t="s">
        <v>74</v>
      </c>
      <c r="F2113" t="s">
        <v>25216</v>
      </c>
      <c r="G2113" t="s">
        <v>74</v>
      </c>
      <c r="H2113" t="s">
        <v>74</v>
      </c>
      <c r="I2113" t="s">
        <v>25217</v>
      </c>
      <c r="J2113" t="s">
        <v>10744</v>
      </c>
      <c r="K2113" t="s">
        <v>74</v>
      </c>
      <c r="L2113" t="s">
        <v>74</v>
      </c>
      <c r="M2113" t="s">
        <v>74</v>
      </c>
      <c r="N2113" t="s">
        <v>103</v>
      </c>
      <c r="O2113" t="s">
        <v>74</v>
      </c>
      <c r="P2113" t="s">
        <v>74</v>
      </c>
      <c r="Q2113" t="s">
        <v>74</v>
      </c>
      <c r="R2113" t="s">
        <v>74</v>
      </c>
      <c r="S2113" t="s">
        <v>74</v>
      </c>
      <c r="T2113" t="s">
        <v>74</v>
      </c>
      <c r="U2113" t="s">
        <v>25218</v>
      </c>
      <c r="V2113" t="s">
        <v>25219</v>
      </c>
      <c r="W2113" t="s">
        <v>25220</v>
      </c>
      <c r="X2113" t="s">
        <v>25221</v>
      </c>
      <c r="Y2113" t="s">
        <v>25222</v>
      </c>
      <c r="Z2113" t="s">
        <v>25223</v>
      </c>
      <c r="AA2113" t="s">
        <v>25224</v>
      </c>
      <c r="AB2113" t="s">
        <v>25225</v>
      </c>
      <c r="AC2113" t="s">
        <v>74</v>
      </c>
      <c r="AD2113" t="s">
        <v>74</v>
      </c>
      <c r="AE2113" t="s">
        <v>74</v>
      </c>
      <c r="AF2113" t="s">
        <v>74</v>
      </c>
      <c r="AG2113">
        <v>55</v>
      </c>
      <c r="AH2113">
        <v>0</v>
      </c>
      <c r="AI2113">
        <v>0</v>
      </c>
      <c r="AJ2113">
        <v>22</v>
      </c>
      <c r="AK2113">
        <v>22</v>
      </c>
      <c r="AL2113" t="s">
        <v>74</v>
      </c>
      <c r="AM2113" t="s">
        <v>74</v>
      </c>
      <c r="AN2113" t="s">
        <v>74</v>
      </c>
      <c r="AO2113" t="s">
        <v>10753</v>
      </c>
      <c r="AP2113" t="s">
        <v>74</v>
      </c>
      <c r="AQ2113" t="s">
        <v>74</v>
      </c>
      <c r="AR2113" t="s">
        <v>74</v>
      </c>
      <c r="AS2113" t="s">
        <v>74</v>
      </c>
      <c r="AT2113" t="s">
        <v>132</v>
      </c>
      <c r="AU2113">
        <v>2022</v>
      </c>
      <c r="AV2113">
        <v>8</v>
      </c>
      <c r="AW2113">
        <v>15</v>
      </c>
      <c r="AX2113" t="s">
        <v>74</v>
      </c>
      <c r="AY2113" t="s">
        <v>74</v>
      </c>
      <c r="AZ2113" t="s">
        <v>74</v>
      </c>
      <c r="BA2113" t="s">
        <v>74</v>
      </c>
      <c r="BB2113" t="s">
        <v>74</v>
      </c>
      <c r="BC2113" t="s">
        <v>74</v>
      </c>
      <c r="BD2113" t="s">
        <v>25226</v>
      </c>
      <c r="BE2113" t="s">
        <v>25227</v>
      </c>
      <c r="BF2113" t="str">
        <f>HYPERLINK("http://dx.doi.org/10.1126/sciadv.abk2376","http://dx.doi.org/10.1126/sciadv.abk2376")</f>
        <v>http://dx.doi.org/10.1126/sciadv.abk2376</v>
      </c>
      <c r="BG2113" t="s">
        <v>74</v>
      </c>
      <c r="BH2113" t="s">
        <v>74</v>
      </c>
      <c r="BI2113" t="s">
        <v>74</v>
      </c>
      <c r="BJ2113" t="s">
        <v>152</v>
      </c>
      <c r="BK2113" t="s">
        <v>117</v>
      </c>
      <c r="BL2113" t="s">
        <v>153</v>
      </c>
      <c r="BM2113" t="s">
        <v>74</v>
      </c>
      <c r="BN2113">
        <v>35417232</v>
      </c>
      <c r="BO2113" t="s">
        <v>74</v>
      </c>
      <c r="BP2113" t="s">
        <v>74</v>
      </c>
      <c r="BQ2113" t="s">
        <v>74</v>
      </c>
      <c r="BR2113" t="s">
        <v>96</v>
      </c>
      <c r="BS2113" t="s">
        <v>25228</v>
      </c>
      <c r="BT2113" t="str">
        <f>HYPERLINK("https%3A%2F%2Fwww.webofscience.com%2Fwos%2Fwoscc%2Ffull-record%2FWOS:000786201300013","View Full Record in Web of Science")</f>
        <v>View Full Record in Web of Science</v>
      </c>
    </row>
    <row r="2114" spans="1:72" x14ac:dyDescent="0.15">
      <c r="A2114" t="s">
        <v>98</v>
      </c>
      <c r="B2114" t="s">
        <v>25294</v>
      </c>
      <c r="C2114" t="s">
        <v>74</v>
      </c>
      <c r="D2114" t="s">
        <v>74</v>
      </c>
      <c r="E2114" t="s">
        <v>74</v>
      </c>
      <c r="F2114" t="s">
        <v>25295</v>
      </c>
      <c r="G2114" t="s">
        <v>74</v>
      </c>
      <c r="H2114" t="s">
        <v>74</v>
      </c>
      <c r="I2114" t="s">
        <v>25296</v>
      </c>
      <c r="J2114" t="s">
        <v>1090</v>
      </c>
      <c r="K2114" t="s">
        <v>74</v>
      </c>
      <c r="L2114" t="s">
        <v>74</v>
      </c>
      <c r="M2114" t="s">
        <v>74</v>
      </c>
      <c r="N2114" t="s">
        <v>103</v>
      </c>
      <c r="O2114" t="s">
        <v>74</v>
      </c>
      <c r="P2114" t="s">
        <v>74</v>
      </c>
      <c r="Q2114" t="s">
        <v>74</v>
      </c>
      <c r="R2114" t="s">
        <v>74</v>
      </c>
      <c r="S2114" t="s">
        <v>74</v>
      </c>
      <c r="T2114" t="s">
        <v>25297</v>
      </c>
      <c r="U2114" t="s">
        <v>25298</v>
      </c>
      <c r="V2114" t="s">
        <v>25299</v>
      </c>
      <c r="W2114" t="s">
        <v>25300</v>
      </c>
      <c r="X2114" t="s">
        <v>25301</v>
      </c>
      <c r="Y2114" t="s">
        <v>25302</v>
      </c>
      <c r="Z2114" t="s">
        <v>25303</v>
      </c>
      <c r="AA2114" t="s">
        <v>74</v>
      </c>
      <c r="AB2114" t="s">
        <v>74</v>
      </c>
      <c r="AC2114" t="s">
        <v>74</v>
      </c>
      <c r="AD2114" t="s">
        <v>74</v>
      </c>
      <c r="AE2114" t="s">
        <v>74</v>
      </c>
      <c r="AF2114" t="s">
        <v>74</v>
      </c>
      <c r="AG2114">
        <v>111</v>
      </c>
      <c r="AH2114">
        <v>0</v>
      </c>
      <c r="AI2114">
        <v>0</v>
      </c>
      <c r="AJ2114">
        <v>0</v>
      </c>
      <c r="AK2114">
        <v>0</v>
      </c>
      <c r="AL2114" t="s">
        <v>74</v>
      </c>
      <c r="AM2114" t="s">
        <v>74</v>
      </c>
      <c r="AN2114" t="s">
        <v>74</v>
      </c>
      <c r="AO2114" t="s">
        <v>1097</v>
      </c>
      <c r="AP2114" t="s">
        <v>74</v>
      </c>
      <c r="AQ2114" t="s">
        <v>74</v>
      </c>
      <c r="AR2114" t="s">
        <v>74</v>
      </c>
      <c r="AS2114" t="s">
        <v>74</v>
      </c>
      <c r="AT2114" t="s">
        <v>25304</v>
      </c>
      <c r="AU2114">
        <v>2022</v>
      </c>
      <c r="AV2114">
        <v>10</v>
      </c>
      <c r="AW2114" t="s">
        <v>74</v>
      </c>
      <c r="AX2114" t="s">
        <v>74</v>
      </c>
      <c r="AY2114" t="s">
        <v>74</v>
      </c>
      <c r="AZ2114" t="s">
        <v>74</v>
      </c>
      <c r="BA2114" t="s">
        <v>74</v>
      </c>
      <c r="BB2114" t="s">
        <v>74</v>
      </c>
      <c r="BC2114" t="s">
        <v>74</v>
      </c>
      <c r="BD2114">
        <v>895433</v>
      </c>
      <c r="BE2114" t="s">
        <v>25305</v>
      </c>
      <c r="BF2114" t="str">
        <f>HYPERLINK("http://dx.doi.org/10.3389/fcell.2022.895433","http://dx.doi.org/10.3389/fcell.2022.895433")</f>
        <v>http://dx.doi.org/10.3389/fcell.2022.895433</v>
      </c>
      <c r="BG2114" t="s">
        <v>74</v>
      </c>
      <c r="BH2114" t="s">
        <v>74</v>
      </c>
      <c r="BI2114" t="s">
        <v>74</v>
      </c>
      <c r="BJ2114" t="s">
        <v>1100</v>
      </c>
      <c r="BK2114" t="s">
        <v>117</v>
      </c>
      <c r="BL2114" t="s">
        <v>1100</v>
      </c>
      <c r="BM2114" t="s">
        <v>74</v>
      </c>
      <c r="BN2114">
        <v>35898402</v>
      </c>
      <c r="BO2114" t="s">
        <v>74</v>
      </c>
      <c r="BP2114" t="s">
        <v>74</v>
      </c>
      <c r="BQ2114" t="s">
        <v>74</v>
      </c>
      <c r="BR2114" t="s">
        <v>96</v>
      </c>
      <c r="BS2114" t="s">
        <v>25306</v>
      </c>
      <c r="BT2114" t="str">
        <f>HYPERLINK("https%3A%2F%2Fwww.webofscience.com%2Fwos%2Fwoscc%2Ffull-record%2FWOS:000830988500001","View Full Record in Web of Science")</f>
        <v>View Full Record in Web of Science</v>
      </c>
    </row>
    <row r="2115" spans="1:72" x14ac:dyDescent="0.15">
      <c r="A2115" t="s">
        <v>98</v>
      </c>
      <c r="B2115" t="s">
        <v>25363</v>
      </c>
      <c r="C2115" t="s">
        <v>74</v>
      </c>
      <c r="D2115" t="s">
        <v>74</v>
      </c>
      <c r="E2115" t="s">
        <v>74</v>
      </c>
      <c r="F2115" t="s">
        <v>25364</v>
      </c>
      <c r="G2115" t="s">
        <v>74</v>
      </c>
      <c r="H2115" t="s">
        <v>74</v>
      </c>
      <c r="I2115" t="s">
        <v>25365</v>
      </c>
      <c r="J2115" t="s">
        <v>817</v>
      </c>
      <c r="K2115" t="s">
        <v>74</v>
      </c>
      <c r="L2115" t="s">
        <v>74</v>
      </c>
      <c r="M2115" t="s">
        <v>74</v>
      </c>
      <c r="N2115" t="s">
        <v>103</v>
      </c>
      <c r="O2115" t="s">
        <v>74</v>
      </c>
      <c r="P2115" t="s">
        <v>74</v>
      </c>
      <c r="Q2115" t="s">
        <v>74</v>
      </c>
      <c r="R2115" t="s">
        <v>74</v>
      </c>
      <c r="S2115" t="s">
        <v>74</v>
      </c>
      <c r="T2115" t="s">
        <v>25366</v>
      </c>
      <c r="U2115" t="s">
        <v>25367</v>
      </c>
      <c r="V2115" t="s">
        <v>25368</v>
      </c>
      <c r="W2115" t="s">
        <v>25369</v>
      </c>
      <c r="X2115" t="s">
        <v>25370</v>
      </c>
      <c r="Y2115" t="s">
        <v>25371</v>
      </c>
      <c r="Z2115" t="s">
        <v>25372</v>
      </c>
      <c r="AA2115" t="s">
        <v>25373</v>
      </c>
      <c r="AB2115" t="s">
        <v>25374</v>
      </c>
      <c r="AC2115" t="s">
        <v>74</v>
      </c>
      <c r="AD2115" t="s">
        <v>74</v>
      </c>
      <c r="AE2115" t="s">
        <v>74</v>
      </c>
      <c r="AF2115" t="s">
        <v>74</v>
      </c>
      <c r="AG2115">
        <v>56</v>
      </c>
      <c r="AH2115">
        <v>0</v>
      </c>
      <c r="AI2115">
        <v>0</v>
      </c>
      <c r="AJ2115">
        <v>0</v>
      </c>
      <c r="AK2115">
        <v>0</v>
      </c>
      <c r="AL2115" t="s">
        <v>74</v>
      </c>
      <c r="AM2115" t="s">
        <v>74</v>
      </c>
      <c r="AN2115" t="s">
        <v>74</v>
      </c>
      <c r="AO2115" t="s">
        <v>74</v>
      </c>
      <c r="AP2115" t="s">
        <v>827</v>
      </c>
      <c r="AQ2115" t="s">
        <v>74</v>
      </c>
      <c r="AR2115" t="s">
        <v>74</v>
      </c>
      <c r="AS2115" t="s">
        <v>74</v>
      </c>
      <c r="AT2115" t="s">
        <v>170</v>
      </c>
      <c r="AU2115">
        <v>2022</v>
      </c>
      <c r="AV2115">
        <v>23</v>
      </c>
      <c r="AW2115">
        <v>12</v>
      </c>
      <c r="AX2115" t="s">
        <v>74</v>
      </c>
      <c r="AY2115" t="s">
        <v>74</v>
      </c>
      <c r="AZ2115" t="s">
        <v>74</v>
      </c>
      <c r="BA2115" t="s">
        <v>74</v>
      </c>
      <c r="BB2115" t="s">
        <v>74</v>
      </c>
      <c r="BC2115" t="s">
        <v>74</v>
      </c>
      <c r="BD2115">
        <v>6513</v>
      </c>
      <c r="BE2115" t="s">
        <v>25375</v>
      </c>
      <c r="BF2115" t="str">
        <f>HYPERLINK("http://dx.doi.org/10.3390/ijms23126513","http://dx.doi.org/10.3390/ijms23126513")</f>
        <v>http://dx.doi.org/10.3390/ijms23126513</v>
      </c>
      <c r="BG2115" t="s">
        <v>74</v>
      </c>
      <c r="BH2115" t="s">
        <v>74</v>
      </c>
      <c r="BI2115" t="s">
        <v>74</v>
      </c>
      <c r="BJ2115" t="s">
        <v>830</v>
      </c>
      <c r="BK2115" t="s">
        <v>117</v>
      </c>
      <c r="BL2115" t="s">
        <v>831</v>
      </c>
      <c r="BM2115" t="s">
        <v>74</v>
      </c>
      <c r="BN2115">
        <v>35742955</v>
      </c>
      <c r="BO2115" t="s">
        <v>74</v>
      </c>
      <c r="BP2115" t="s">
        <v>74</v>
      </c>
      <c r="BQ2115" t="s">
        <v>74</v>
      </c>
      <c r="BR2115" t="s">
        <v>96</v>
      </c>
      <c r="BS2115" t="s">
        <v>25376</v>
      </c>
      <c r="BT2115" t="str">
        <f>HYPERLINK("https%3A%2F%2Fwww.webofscience.com%2Fwos%2Fwoscc%2Ffull-record%2FWOS:000816210400001","View Full Record in Web of Science")</f>
        <v>View Full Record in Web of Science</v>
      </c>
    </row>
    <row r="2116" spans="1:72" x14ac:dyDescent="0.15">
      <c r="A2116" t="s">
        <v>98</v>
      </c>
      <c r="B2116" t="s">
        <v>25460</v>
      </c>
      <c r="C2116" t="s">
        <v>74</v>
      </c>
      <c r="D2116" t="s">
        <v>74</v>
      </c>
      <c r="E2116" t="s">
        <v>74</v>
      </c>
      <c r="F2116" t="s">
        <v>25461</v>
      </c>
      <c r="G2116" t="s">
        <v>74</v>
      </c>
      <c r="H2116" t="s">
        <v>74</v>
      </c>
      <c r="I2116" t="s">
        <v>25462</v>
      </c>
      <c r="J2116" t="s">
        <v>25463</v>
      </c>
      <c r="K2116" t="s">
        <v>74</v>
      </c>
      <c r="L2116" t="s">
        <v>74</v>
      </c>
      <c r="M2116" t="s">
        <v>74</v>
      </c>
      <c r="N2116" t="s">
        <v>103</v>
      </c>
      <c r="O2116" t="s">
        <v>74</v>
      </c>
      <c r="P2116" t="s">
        <v>74</v>
      </c>
      <c r="Q2116" t="s">
        <v>74</v>
      </c>
      <c r="R2116" t="s">
        <v>74</v>
      </c>
      <c r="S2116" t="s">
        <v>74</v>
      </c>
      <c r="T2116" t="s">
        <v>25464</v>
      </c>
      <c r="U2116" t="s">
        <v>25465</v>
      </c>
      <c r="V2116" t="s">
        <v>25466</v>
      </c>
      <c r="W2116" t="s">
        <v>25467</v>
      </c>
      <c r="X2116" t="s">
        <v>25468</v>
      </c>
      <c r="Y2116" t="s">
        <v>25469</v>
      </c>
      <c r="Z2116" t="s">
        <v>25470</v>
      </c>
      <c r="AA2116" t="s">
        <v>25471</v>
      </c>
      <c r="AB2116" t="s">
        <v>74</v>
      </c>
      <c r="AC2116" t="s">
        <v>74</v>
      </c>
      <c r="AD2116" t="s">
        <v>74</v>
      </c>
      <c r="AE2116" t="s">
        <v>74</v>
      </c>
      <c r="AF2116" t="s">
        <v>74</v>
      </c>
      <c r="AG2116">
        <v>37</v>
      </c>
      <c r="AH2116">
        <v>0</v>
      </c>
      <c r="AI2116">
        <v>0</v>
      </c>
      <c r="AJ2116">
        <v>1</v>
      </c>
      <c r="AK2116">
        <v>13</v>
      </c>
      <c r="AL2116" t="s">
        <v>74</v>
      </c>
      <c r="AM2116" t="s">
        <v>74</v>
      </c>
      <c r="AN2116" t="s">
        <v>74</v>
      </c>
      <c r="AO2116" t="s">
        <v>25472</v>
      </c>
      <c r="AP2116" t="s">
        <v>25473</v>
      </c>
      <c r="AQ2116" t="s">
        <v>74</v>
      </c>
      <c r="AR2116" t="s">
        <v>74</v>
      </c>
      <c r="AS2116" t="s">
        <v>74</v>
      </c>
      <c r="AT2116" t="s">
        <v>1116</v>
      </c>
      <c r="AU2116">
        <v>2015</v>
      </c>
      <c r="AV2116">
        <v>93</v>
      </c>
      <c r="AW2116" t="s">
        <v>74</v>
      </c>
      <c r="AX2116" t="s">
        <v>74</v>
      </c>
      <c r="AY2116" t="s">
        <v>74</v>
      </c>
      <c r="AZ2116" t="s">
        <v>74</v>
      </c>
      <c r="BA2116" t="s">
        <v>74</v>
      </c>
      <c r="BB2116">
        <v>108</v>
      </c>
      <c r="BC2116">
        <v>114</v>
      </c>
      <c r="BD2116" t="s">
        <v>74</v>
      </c>
      <c r="BE2116" t="s">
        <v>25474</v>
      </c>
      <c r="BF2116" t="str">
        <f>HYPERLINK("http://dx.doi.org/10.1016/j.bej.2014.09.015","http://dx.doi.org/10.1016/j.bej.2014.09.015")</f>
        <v>http://dx.doi.org/10.1016/j.bej.2014.09.015</v>
      </c>
      <c r="BG2116" t="s">
        <v>74</v>
      </c>
      <c r="BH2116" t="s">
        <v>74</v>
      </c>
      <c r="BI2116" t="s">
        <v>74</v>
      </c>
      <c r="BJ2116" t="s">
        <v>25475</v>
      </c>
      <c r="BK2116" t="s">
        <v>117</v>
      </c>
      <c r="BL2116" t="s">
        <v>5728</v>
      </c>
      <c r="BM2116" t="s">
        <v>74</v>
      </c>
      <c r="BN2116" t="s">
        <v>74</v>
      </c>
      <c r="BO2116" t="s">
        <v>74</v>
      </c>
      <c r="BP2116" t="s">
        <v>74</v>
      </c>
      <c r="BQ2116" t="s">
        <v>74</v>
      </c>
      <c r="BR2116" t="s">
        <v>96</v>
      </c>
      <c r="BS2116" t="s">
        <v>25476</v>
      </c>
      <c r="BT2116" t="str">
        <f>HYPERLINK("https%3A%2F%2Fwww.webofscience.com%2Fwos%2Fwoscc%2Ffull-record%2FWOS:000347362100014","View Full Record in Web of Science")</f>
        <v>View Full Record in Web of Science</v>
      </c>
    </row>
    <row r="2117" spans="1:72" x14ac:dyDescent="0.15">
      <c r="A2117" t="s">
        <v>98</v>
      </c>
      <c r="B2117" t="s">
        <v>25501</v>
      </c>
      <c r="C2117" t="s">
        <v>74</v>
      </c>
      <c r="D2117" t="s">
        <v>74</v>
      </c>
      <c r="E2117" t="s">
        <v>74</v>
      </c>
      <c r="F2117" t="s">
        <v>25502</v>
      </c>
      <c r="G2117" t="s">
        <v>74</v>
      </c>
      <c r="H2117" t="s">
        <v>74</v>
      </c>
      <c r="I2117" t="s">
        <v>25503</v>
      </c>
      <c r="J2117" t="s">
        <v>19838</v>
      </c>
      <c r="K2117" t="s">
        <v>74</v>
      </c>
      <c r="L2117" t="s">
        <v>74</v>
      </c>
      <c r="M2117" t="s">
        <v>74</v>
      </c>
      <c r="N2117" t="s">
        <v>103</v>
      </c>
      <c r="O2117" t="s">
        <v>74</v>
      </c>
      <c r="P2117" t="s">
        <v>74</v>
      </c>
      <c r="Q2117" t="s">
        <v>74</v>
      </c>
      <c r="R2117" t="s">
        <v>74</v>
      </c>
      <c r="S2117" t="s">
        <v>74</v>
      </c>
      <c r="T2117" t="s">
        <v>25504</v>
      </c>
      <c r="U2117" t="s">
        <v>25505</v>
      </c>
      <c r="V2117" t="s">
        <v>25506</v>
      </c>
      <c r="W2117" t="s">
        <v>25507</v>
      </c>
      <c r="X2117" t="s">
        <v>25508</v>
      </c>
      <c r="Y2117" t="s">
        <v>25509</v>
      </c>
      <c r="Z2117" t="s">
        <v>25510</v>
      </c>
      <c r="AA2117" t="s">
        <v>74</v>
      </c>
      <c r="AB2117" t="s">
        <v>74</v>
      </c>
      <c r="AC2117" t="s">
        <v>74</v>
      </c>
      <c r="AD2117" t="s">
        <v>74</v>
      </c>
      <c r="AE2117" t="s">
        <v>74</v>
      </c>
      <c r="AF2117" t="s">
        <v>74</v>
      </c>
      <c r="AG2117">
        <v>35</v>
      </c>
      <c r="AH2117">
        <v>0</v>
      </c>
      <c r="AI2117">
        <v>0</v>
      </c>
      <c r="AJ2117">
        <v>10</v>
      </c>
      <c r="AK2117">
        <v>10</v>
      </c>
      <c r="AL2117" t="s">
        <v>74</v>
      </c>
      <c r="AM2117" t="s">
        <v>74</v>
      </c>
      <c r="AN2117" t="s">
        <v>74</v>
      </c>
      <c r="AO2117" t="s">
        <v>19848</v>
      </c>
      <c r="AP2117" t="s">
        <v>74</v>
      </c>
      <c r="AQ2117" t="s">
        <v>74</v>
      </c>
      <c r="AR2117" t="s">
        <v>74</v>
      </c>
      <c r="AS2117" t="s">
        <v>74</v>
      </c>
      <c r="AT2117" t="s">
        <v>132</v>
      </c>
      <c r="AU2117">
        <v>2022</v>
      </c>
      <c r="AV2117">
        <v>18</v>
      </c>
      <c r="AW2117" t="s">
        <v>74</v>
      </c>
      <c r="AX2117" t="s">
        <v>74</v>
      </c>
      <c r="AY2117" t="s">
        <v>74</v>
      </c>
      <c r="AZ2117" t="s">
        <v>74</v>
      </c>
      <c r="BA2117" t="s">
        <v>74</v>
      </c>
      <c r="BB2117" t="s">
        <v>74</v>
      </c>
      <c r="BC2117" t="s">
        <v>74</v>
      </c>
      <c r="BD2117">
        <v>101363</v>
      </c>
      <c r="BE2117" t="s">
        <v>25511</v>
      </c>
      <c r="BF2117" t="str">
        <f>HYPERLINK("http://dx.doi.org/10.1016/j.tranon.2022.101363","http://dx.doi.org/10.1016/j.tranon.2022.101363")</f>
        <v>http://dx.doi.org/10.1016/j.tranon.2022.101363</v>
      </c>
      <c r="BG2117" t="s">
        <v>74</v>
      </c>
      <c r="BH2117" t="s">
        <v>74</v>
      </c>
      <c r="BI2117" t="s">
        <v>74</v>
      </c>
      <c r="BJ2117" t="s">
        <v>267</v>
      </c>
      <c r="BK2117" t="s">
        <v>117</v>
      </c>
      <c r="BL2117" t="s">
        <v>267</v>
      </c>
      <c r="BM2117" t="s">
        <v>74</v>
      </c>
      <c r="BN2117">
        <v>35182955</v>
      </c>
      <c r="BO2117" t="s">
        <v>74</v>
      </c>
      <c r="BP2117" t="s">
        <v>74</v>
      </c>
      <c r="BQ2117" t="s">
        <v>74</v>
      </c>
      <c r="BR2117" t="s">
        <v>96</v>
      </c>
      <c r="BS2117" t="s">
        <v>25512</v>
      </c>
      <c r="BT2117" t="str">
        <f>HYPERLINK("https%3A%2F%2Fwww.webofscience.com%2Fwos%2Fwoscc%2Ffull-record%2FWOS:000820837800002","View Full Record in Web of Science")</f>
        <v>View Full Record in Web of Science</v>
      </c>
    </row>
    <row r="2118" spans="1:72" x14ac:dyDescent="0.15">
      <c r="A2118" t="s">
        <v>98</v>
      </c>
      <c r="B2118" t="s">
        <v>25657</v>
      </c>
      <c r="C2118" t="s">
        <v>74</v>
      </c>
      <c r="D2118" t="s">
        <v>74</v>
      </c>
      <c r="E2118" t="s">
        <v>74</v>
      </c>
      <c r="F2118" t="s">
        <v>25658</v>
      </c>
      <c r="G2118" t="s">
        <v>74</v>
      </c>
      <c r="H2118" t="s">
        <v>74</v>
      </c>
      <c r="I2118" t="s">
        <v>25659</v>
      </c>
      <c r="J2118" t="s">
        <v>903</v>
      </c>
      <c r="K2118" t="s">
        <v>74</v>
      </c>
      <c r="L2118" t="s">
        <v>74</v>
      </c>
      <c r="M2118" t="s">
        <v>74</v>
      </c>
      <c r="N2118" t="s">
        <v>103</v>
      </c>
      <c r="O2118" t="s">
        <v>74</v>
      </c>
      <c r="P2118" t="s">
        <v>74</v>
      </c>
      <c r="Q2118" t="s">
        <v>74</v>
      </c>
      <c r="R2118" t="s">
        <v>74</v>
      </c>
      <c r="S2118" t="s">
        <v>74</v>
      </c>
      <c r="T2118" t="s">
        <v>25660</v>
      </c>
      <c r="U2118" t="s">
        <v>25661</v>
      </c>
      <c r="V2118" t="s">
        <v>25662</v>
      </c>
      <c r="W2118" t="s">
        <v>25663</v>
      </c>
      <c r="X2118" t="s">
        <v>25664</v>
      </c>
      <c r="Y2118" t="s">
        <v>25665</v>
      </c>
      <c r="Z2118" t="s">
        <v>25666</v>
      </c>
      <c r="AA2118" t="s">
        <v>74</v>
      </c>
      <c r="AB2118" t="s">
        <v>25667</v>
      </c>
      <c r="AC2118" t="s">
        <v>74</v>
      </c>
      <c r="AD2118" t="s">
        <v>74</v>
      </c>
      <c r="AE2118" t="s">
        <v>74</v>
      </c>
      <c r="AF2118" t="s">
        <v>74</v>
      </c>
      <c r="AG2118">
        <v>94</v>
      </c>
      <c r="AH2118">
        <v>0</v>
      </c>
      <c r="AI2118">
        <v>0</v>
      </c>
      <c r="AJ2118">
        <v>0</v>
      </c>
      <c r="AK2118">
        <v>0</v>
      </c>
      <c r="AL2118" t="s">
        <v>74</v>
      </c>
      <c r="AM2118" t="s">
        <v>74</v>
      </c>
      <c r="AN2118" t="s">
        <v>74</v>
      </c>
      <c r="AO2118" t="s">
        <v>74</v>
      </c>
      <c r="AP2118" t="s">
        <v>913</v>
      </c>
      <c r="AQ2118" t="s">
        <v>74</v>
      </c>
      <c r="AR2118" t="s">
        <v>74</v>
      </c>
      <c r="AS2118" t="s">
        <v>74</v>
      </c>
      <c r="AT2118" t="s">
        <v>565</v>
      </c>
      <c r="AU2118">
        <v>2022</v>
      </c>
      <c r="AV2118">
        <v>14</v>
      </c>
      <c r="AW2118">
        <v>6</v>
      </c>
      <c r="AX2118" t="s">
        <v>74</v>
      </c>
      <c r="AY2118" t="s">
        <v>74</v>
      </c>
      <c r="AZ2118" t="s">
        <v>74</v>
      </c>
      <c r="BA2118" t="s">
        <v>74</v>
      </c>
      <c r="BB2118" t="s">
        <v>74</v>
      </c>
      <c r="BC2118" t="s">
        <v>74</v>
      </c>
      <c r="BD2118">
        <v>1405</v>
      </c>
      <c r="BE2118" t="s">
        <v>25668</v>
      </c>
      <c r="BF2118" t="str">
        <f>HYPERLINK("http://dx.doi.org/10.3390/cancers14061405","http://dx.doi.org/10.3390/cancers14061405")</f>
        <v>http://dx.doi.org/10.3390/cancers14061405</v>
      </c>
      <c r="BG2118" t="s">
        <v>74</v>
      </c>
      <c r="BH2118" t="s">
        <v>74</v>
      </c>
      <c r="BI2118" t="s">
        <v>74</v>
      </c>
      <c r="BJ2118" t="s">
        <v>267</v>
      </c>
      <c r="BK2118" t="s">
        <v>117</v>
      </c>
      <c r="BL2118" t="s">
        <v>267</v>
      </c>
      <c r="BM2118" t="s">
        <v>74</v>
      </c>
      <c r="BN2118">
        <v>35326558</v>
      </c>
      <c r="BO2118" t="s">
        <v>74</v>
      </c>
      <c r="BP2118" t="s">
        <v>74</v>
      </c>
      <c r="BQ2118" t="s">
        <v>74</v>
      </c>
      <c r="BR2118" t="s">
        <v>96</v>
      </c>
      <c r="BS2118" t="s">
        <v>25669</v>
      </c>
      <c r="BT2118" t="str">
        <f>HYPERLINK("https%3A%2F%2Fwww.webofscience.com%2Fwos%2Fwoscc%2Ffull-record%2FWOS:000776967100001","View Full Record in Web of Science")</f>
        <v>View Full Record in Web of Science</v>
      </c>
    </row>
    <row r="2119" spans="1:72" x14ac:dyDescent="0.15">
      <c r="A2119" t="s">
        <v>98</v>
      </c>
      <c r="B2119" t="s">
        <v>25983</v>
      </c>
      <c r="C2119" t="s">
        <v>74</v>
      </c>
      <c r="D2119" t="s">
        <v>74</v>
      </c>
      <c r="E2119" t="s">
        <v>74</v>
      </c>
      <c r="F2119" t="s">
        <v>25984</v>
      </c>
      <c r="G2119" t="s">
        <v>74</v>
      </c>
      <c r="H2119" t="s">
        <v>74</v>
      </c>
      <c r="I2119" t="s">
        <v>25985</v>
      </c>
      <c r="J2119" t="s">
        <v>25986</v>
      </c>
      <c r="K2119" t="s">
        <v>74</v>
      </c>
      <c r="L2119" t="s">
        <v>74</v>
      </c>
      <c r="M2119" t="s">
        <v>74</v>
      </c>
      <c r="N2119" t="s">
        <v>103</v>
      </c>
      <c r="O2119" t="s">
        <v>74</v>
      </c>
      <c r="P2119" t="s">
        <v>74</v>
      </c>
      <c r="Q2119" t="s">
        <v>74</v>
      </c>
      <c r="R2119" t="s">
        <v>74</v>
      </c>
      <c r="S2119" t="s">
        <v>74</v>
      </c>
      <c r="T2119" t="s">
        <v>25987</v>
      </c>
      <c r="U2119" t="s">
        <v>25988</v>
      </c>
      <c r="V2119" t="s">
        <v>25989</v>
      </c>
      <c r="W2119" t="s">
        <v>25990</v>
      </c>
      <c r="X2119" t="s">
        <v>25991</v>
      </c>
      <c r="Y2119" t="s">
        <v>25992</v>
      </c>
      <c r="Z2119" t="s">
        <v>25993</v>
      </c>
      <c r="AA2119" t="s">
        <v>74</v>
      </c>
      <c r="AB2119" t="s">
        <v>25994</v>
      </c>
      <c r="AC2119" t="s">
        <v>74</v>
      </c>
      <c r="AD2119" t="s">
        <v>74</v>
      </c>
      <c r="AE2119" t="s">
        <v>74</v>
      </c>
      <c r="AF2119" t="s">
        <v>74</v>
      </c>
      <c r="AG2119">
        <v>44</v>
      </c>
      <c r="AH2119">
        <v>0</v>
      </c>
      <c r="AI2119">
        <v>0</v>
      </c>
      <c r="AJ2119">
        <v>3</v>
      </c>
      <c r="AK2119">
        <v>3</v>
      </c>
      <c r="AL2119" t="s">
        <v>74</v>
      </c>
      <c r="AM2119" t="s">
        <v>74</v>
      </c>
      <c r="AN2119" t="s">
        <v>74</v>
      </c>
      <c r="AO2119" t="s">
        <v>25995</v>
      </c>
      <c r="AP2119" t="s">
        <v>25996</v>
      </c>
      <c r="AQ2119" t="s">
        <v>74</v>
      </c>
      <c r="AR2119" t="s">
        <v>74</v>
      </c>
      <c r="AS2119" t="s">
        <v>74</v>
      </c>
      <c r="AT2119" t="s">
        <v>25997</v>
      </c>
      <c r="AU2119">
        <v>2022</v>
      </c>
      <c r="AV2119">
        <v>9</v>
      </c>
      <c r="AW2119">
        <v>1</v>
      </c>
      <c r="AX2119" t="s">
        <v>74</v>
      </c>
      <c r="AY2119" t="s">
        <v>74</v>
      </c>
      <c r="AZ2119" t="s">
        <v>74</v>
      </c>
      <c r="BA2119" t="s">
        <v>74</v>
      </c>
      <c r="BB2119" t="s">
        <v>74</v>
      </c>
      <c r="BC2119" t="s">
        <v>74</v>
      </c>
      <c r="BD2119">
        <v>25</v>
      </c>
      <c r="BE2119" t="s">
        <v>25998</v>
      </c>
      <c r="BF2119" t="str">
        <f>HYPERLINK("http://dx.doi.org/10.1186/s40779-022-00383-2","http://dx.doi.org/10.1186/s40779-022-00383-2")</f>
        <v>http://dx.doi.org/10.1186/s40779-022-00383-2</v>
      </c>
      <c r="BG2119" t="s">
        <v>74</v>
      </c>
      <c r="BH2119" t="s">
        <v>74</v>
      </c>
      <c r="BI2119" t="s">
        <v>74</v>
      </c>
      <c r="BJ2119" t="s">
        <v>2564</v>
      </c>
      <c r="BK2119" t="s">
        <v>117</v>
      </c>
      <c r="BL2119" t="s">
        <v>2565</v>
      </c>
      <c r="BM2119" t="s">
        <v>74</v>
      </c>
      <c r="BN2119">
        <v>35624495</v>
      </c>
      <c r="BO2119" t="s">
        <v>74</v>
      </c>
      <c r="BP2119" t="s">
        <v>74</v>
      </c>
      <c r="BQ2119" t="s">
        <v>74</v>
      </c>
      <c r="BR2119" t="s">
        <v>96</v>
      </c>
      <c r="BS2119" t="s">
        <v>25999</v>
      </c>
      <c r="BT2119" t="str">
        <f>HYPERLINK("https%3A%2F%2Fwww.webofscience.com%2Fwos%2Fwoscc%2Ffull-record%2FWOS:000800766500001","View Full Record in Web of Science")</f>
        <v>View Full Record in Web of Science</v>
      </c>
    </row>
    <row r="2120" spans="1:72" x14ac:dyDescent="0.15">
      <c r="A2120" t="s">
        <v>98</v>
      </c>
      <c r="B2120" t="s">
        <v>26321</v>
      </c>
      <c r="C2120" t="s">
        <v>74</v>
      </c>
      <c r="D2120" t="s">
        <v>74</v>
      </c>
      <c r="E2120" t="s">
        <v>74</v>
      </c>
      <c r="F2120" t="s">
        <v>26322</v>
      </c>
      <c r="G2120" t="s">
        <v>74</v>
      </c>
      <c r="H2120" t="s">
        <v>74</v>
      </c>
      <c r="I2120" t="s">
        <v>26323</v>
      </c>
      <c r="J2120" t="s">
        <v>18751</v>
      </c>
      <c r="K2120" t="s">
        <v>74</v>
      </c>
      <c r="L2120" t="s">
        <v>74</v>
      </c>
      <c r="M2120" t="s">
        <v>74</v>
      </c>
      <c r="N2120" t="s">
        <v>103</v>
      </c>
      <c r="O2120" t="s">
        <v>74</v>
      </c>
      <c r="P2120" t="s">
        <v>74</v>
      </c>
      <c r="Q2120" t="s">
        <v>74</v>
      </c>
      <c r="R2120" t="s">
        <v>74</v>
      </c>
      <c r="S2120" t="s">
        <v>74</v>
      </c>
      <c r="T2120" t="s">
        <v>26324</v>
      </c>
      <c r="U2120" t="s">
        <v>26325</v>
      </c>
      <c r="V2120" t="s">
        <v>26326</v>
      </c>
      <c r="W2120" t="s">
        <v>26327</v>
      </c>
      <c r="X2120" t="s">
        <v>74</v>
      </c>
      <c r="Y2120" t="s">
        <v>26328</v>
      </c>
      <c r="Z2120" t="s">
        <v>26329</v>
      </c>
      <c r="AA2120" t="s">
        <v>74</v>
      </c>
      <c r="AB2120" t="s">
        <v>74</v>
      </c>
      <c r="AC2120" t="s">
        <v>74</v>
      </c>
      <c r="AD2120" t="s">
        <v>74</v>
      </c>
      <c r="AE2120" t="s">
        <v>74</v>
      </c>
      <c r="AF2120" t="s">
        <v>74</v>
      </c>
      <c r="AG2120">
        <v>88</v>
      </c>
      <c r="AH2120">
        <v>0</v>
      </c>
      <c r="AI2120">
        <v>0</v>
      </c>
      <c r="AJ2120">
        <v>0</v>
      </c>
      <c r="AK2120">
        <v>3</v>
      </c>
      <c r="AL2120" t="s">
        <v>74</v>
      </c>
      <c r="AM2120" t="s">
        <v>74</v>
      </c>
      <c r="AN2120" t="s">
        <v>74</v>
      </c>
      <c r="AO2120" t="s">
        <v>18758</v>
      </c>
      <c r="AP2120" t="s">
        <v>18759</v>
      </c>
      <c r="AQ2120" t="s">
        <v>74</v>
      </c>
      <c r="AR2120" t="s">
        <v>74</v>
      </c>
      <c r="AS2120" t="s">
        <v>74</v>
      </c>
      <c r="AT2120" t="s">
        <v>8050</v>
      </c>
      <c r="AU2120">
        <v>2020</v>
      </c>
      <c r="AV2120">
        <v>99</v>
      </c>
      <c r="AW2120">
        <v>37</v>
      </c>
      <c r="AX2120" t="s">
        <v>74</v>
      </c>
      <c r="AY2120" t="s">
        <v>74</v>
      </c>
      <c r="AZ2120" t="s">
        <v>74</v>
      </c>
      <c r="BA2120" t="s">
        <v>74</v>
      </c>
      <c r="BB2120" t="s">
        <v>74</v>
      </c>
      <c r="BC2120" t="s">
        <v>74</v>
      </c>
      <c r="BD2120" t="s">
        <v>74</v>
      </c>
      <c r="BE2120" t="s">
        <v>26330</v>
      </c>
      <c r="BF2120" t="str">
        <f>HYPERLINK("http://dx.doi.org/10.1097/MD.0000000000022199","http://dx.doi.org/10.1097/MD.0000000000022199")</f>
        <v>http://dx.doi.org/10.1097/MD.0000000000022199</v>
      </c>
      <c r="BG2120" t="s">
        <v>74</v>
      </c>
      <c r="BH2120" t="s">
        <v>74</v>
      </c>
      <c r="BI2120" t="s">
        <v>74</v>
      </c>
      <c r="BJ2120" t="s">
        <v>2564</v>
      </c>
      <c r="BK2120" t="s">
        <v>117</v>
      </c>
      <c r="BL2120" t="s">
        <v>2565</v>
      </c>
      <c r="BM2120" t="s">
        <v>74</v>
      </c>
      <c r="BN2120">
        <v>32925795</v>
      </c>
      <c r="BO2120" t="s">
        <v>74</v>
      </c>
      <c r="BP2120" t="s">
        <v>74</v>
      </c>
      <c r="BQ2120" t="s">
        <v>74</v>
      </c>
      <c r="BR2120" t="s">
        <v>96</v>
      </c>
      <c r="BS2120" t="s">
        <v>26331</v>
      </c>
      <c r="BT2120" t="str">
        <f>HYPERLINK("https%3A%2F%2Fwww.webofscience.com%2Fwos%2Fwoscc%2Ffull-record%2FWOS:000579180600087","View Full Record in Web of Science")</f>
        <v>View Full Record in Web of Science</v>
      </c>
    </row>
    <row r="2121" spans="1:72" x14ac:dyDescent="0.15">
      <c r="A2121" t="s">
        <v>4291</v>
      </c>
      <c r="B2121" t="s">
        <v>26344</v>
      </c>
      <c r="C2121" t="s">
        <v>74</v>
      </c>
      <c r="D2121" t="s">
        <v>26345</v>
      </c>
      <c r="E2121" t="s">
        <v>74</v>
      </c>
      <c r="F2121" t="s">
        <v>26346</v>
      </c>
      <c r="G2121" t="s">
        <v>74</v>
      </c>
      <c r="H2121" t="s">
        <v>74</v>
      </c>
      <c r="I2121" t="s">
        <v>26347</v>
      </c>
      <c r="J2121" t="s">
        <v>26348</v>
      </c>
      <c r="K2121" t="s">
        <v>74</v>
      </c>
      <c r="L2121" t="s">
        <v>74</v>
      </c>
      <c r="M2121" t="s">
        <v>74</v>
      </c>
      <c r="N2121" t="s">
        <v>80</v>
      </c>
      <c r="O2121" t="s">
        <v>74</v>
      </c>
      <c r="P2121" t="s">
        <v>74</v>
      </c>
      <c r="Q2121" t="s">
        <v>74</v>
      </c>
      <c r="R2121" t="s">
        <v>74</v>
      </c>
      <c r="S2121" t="s">
        <v>74</v>
      </c>
      <c r="T2121" t="s">
        <v>74</v>
      </c>
      <c r="U2121" t="s">
        <v>26349</v>
      </c>
      <c r="V2121" t="s">
        <v>26350</v>
      </c>
      <c r="W2121" t="s">
        <v>26351</v>
      </c>
      <c r="X2121" t="s">
        <v>23206</v>
      </c>
      <c r="Y2121" t="s">
        <v>26352</v>
      </c>
      <c r="Z2121" t="s">
        <v>74</v>
      </c>
      <c r="AA2121" t="s">
        <v>74</v>
      </c>
      <c r="AB2121" t="s">
        <v>74</v>
      </c>
      <c r="AC2121" t="s">
        <v>74</v>
      </c>
      <c r="AD2121" t="s">
        <v>74</v>
      </c>
      <c r="AE2121" t="s">
        <v>74</v>
      </c>
      <c r="AF2121" t="s">
        <v>74</v>
      </c>
      <c r="AG2121">
        <v>84</v>
      </c>
      <c r="AH2121">
        <v>0</v>
      </c>
      <c r="AI2121">
        <v>0</v>
      </c>
      <c r="AJ2121">
        <v>0</v>
      </c>
      <c r="AK2121">
        <v>0</v>
      </c>
      <c r="AL2121" t="s">
        <v>74</v>
      </c>
      <c r="AM2121" t="s">
        <v>74</v>
      </c>
      <c r="AN2121" t="s">
        <v>74</v>
      </c>
      <c r="AO2121" t="s">
        <v>74</v>
      </c>
      <c r="AP2121" t="s">
        <v>74</v>
      </c>
      <c r="AQ2121" t="s">
        <v>26353</v>
      </c>
      <c r="AR2121" t="s">
        <v>74</v>
      </c>
      <c r="AS2121" t="s">
        <v>74</v>
      </c>
      <c r="AT2121" t="s">
        <v>74</v>
      </c>
      <c r="AU2121">
        <v>2016</v>
      </c>
      <c r="AV2121" t="s">
        <v>74</v>
      </c>
      <c r="AW2121" t="s">
        <v>74</v>
      </c>
      <c r="AX2121" t="s">
        <v>74</v>
      </c>
      <c r="AY2121" t="s">
        <v>74</v>
      </c>
      <c r="AZ2121" t="s">
        <v>74</v>
      </c>
      <c r="BA2121" t="s">
        <v>74</v>
      </c>
      <c r="BB2121">
        <v>281</v>
      </c>
      <c r="BC2121">
        <v>288</v>
      </c>
      <c r="BD2121" t="s">
        <v>74</v>
      </c>
      <c r="BE2121" t="s">
        <v>26354</v>
      </c>
      <c r="BF2121" t="str">
        <f>HYPERLINK("http://dx.doi.org/10.1016/B978-0-12-374279-7.03001-0","http://dx.doi.org/10.1016/B978-0-12-374279-7.03001-0")</f>
        <v>http://dx.doi.org/10.1016/B978-0-12-374279-7.03001-0</v>
      </c>
      <c r="BG2121" t="s">
        <v>74</v>
      </c>
      <c r="BH2121" t="s">
        <v>74</v>
      </c>
      <c r="BI2121" t="s">
        <v>74</v>
      </c>
      <c r="BJ2121" t="s">
        <v>2064</v>
      </c>
      <c r="BK2121" t="s">
        <v>94</v>
      </c>
      <c r="BL2121" t="s">
        <v>2064</v>
      </c>
      <c r="BM2121" t="s">
        <v>74</v>
      </c>
      <c r="BN2121" t="s">
        <v>74</v>
      </c>
      <c r="BO2121" t="s">
        <v>74</v>
      </c>
      <c r="BP2121" t="s">
        <v>74</v>
      </c>
      <c r="BQ2121" t="s">
        <v>74</v>
      </c>
      <c r="BR2121" t="s">
        <v>96</v>
      </c>
      <c r="BS2121" t="s">
        <v>26355</v>
      </c>
      <c r="BT2121" t="str">
        <f>HYPERLINK("https%3A%2F%2Fwww.webofscience.com%2Fwos%2Fwoscc%2Ffull-record%2FWOS:000490117200035","View Full Record in Web of Science")</f>
        <v>View Full Record in Web of Science</v>
      </c>
    </row>
    <row r="2122" spans="1:72" x14ac:dyDescent="0.15">
      <c r="A2122" t="s">
        <v>98</v>
      </c>
      <c r="B2122" t="s">
        <v>26815</v>
      </c>
      <c r="C2122" t="s">
        <v>74</v>
      </c>
      <c r="D2122" t="s">
        <v>74</v>
      </c>
      <c r="E2122" t="s">
        <v>74</v>
      </c>
      <c r="F2122" t="s">
        <v>26816</v>
      </c>
      <c r="G2122" t="s">
        <v>74</v>
      </c>
      <c r="H2122" t="s">
        <v>74</v>
      </c>
      <c r="I2122" t="s">
        <v>26817</v>
      </c>
      <c r="J2122" t="s">
        <v>26818</v>
      </c>
      <c r="K2122" t="s">
        <v>74</v>
      </c>
      <c r="L2122" t="s">
        <v>74</v>
      </c>
      <c r="M2122" t="s">
        <v>74</v>
      </c>
      <c r="N2122" t="s">
        <v>103</v>
      </c>
      <c r="O2122" t="s">
        <v>74</v>
      </c>
      <c r="P2122" t="s">
        <v>74</v>
      </c>
      <c r="Q2122" t="s">
        <v>74</v>
      </c>
      <c r="R2122" t="s">
        <v>74</v>
      </c>
      <c r="S2122" t="s">
        <v>74</v>
      </c>
      <c r="T2122" t="s">
        <v>74</v>
      </c>
      <c r="U2122" t="s">
        <v>26819</v>
      </c>
      <c r="V2122" t="s">
        <v>26820</v>
      </c>
      <c r="W2122" t="s">
        <v>26821</v>
      </c>
      <c r="X2122" t="s">
        <v>26822</v>
      </c>
      <c r="Y2122" t="s">
        <v>26823</v>
      </c>
      <c r="Z2122" t="s">
        <v>26824</v>
      </c>
      <c r="AA2122" t="s">
        <v>74</v>
      </c>
      <c r="AB2122" t="s">
        <v>26825</v>
      </c>
      <c r="AC2122" t="s">
        <v>74</v>
      </c>
      <c r="AD2122" t="s">
        <v>74</v>
      </c>
      <c r="AE2122" t="s">
        <v>74</v>
      </c>
      <c r="AF2122" t="s">
        <v>74</v>
      </c>
      <c r="AG2122">
        <v>80</v>
      </c>
      <c r="AH2122">
        <v>0</v>
      </c>
      <c r="AI2122">
        <v>0</v>
      </c>
      <c r="AJ2122">
        <v>0</v>
      </c>
      <c r="AK2122">
        <v>1</v>
      </c>
      <c r="AL2122" t="s">
        <v>74</v>
      </c>
      <c r="AM2122" t="s">
        <v>74</v>
      </c>
      <c r="AN2122" t="s">
        <v>74</v>
      </c>
      <c r="AO2122" t="s">
        <v>26826</v>
      </c>
      <c r="AP2122" t="s">
        <v>26827</v>
      </c>
      <c r="AQ2122" t="s">
        <v>74</v>
      </c>
      <c r="AR2122" t="s">
        <v>74</v>
      </c>
      <c r="AS2122" t="s">
        <v>74</v>
      </c>
      <c r="AT2122" t="s">
        <v>170</v>
      </c>
      <c r="AU2122">
        <v>2021</v>
      </c>
      <c r="AV2122">
        <v>478</v>
      </c>
      <c r="AW2122">
        <v>12</v>
      </c>
      <c r="AX2122" t="s">
        <v>74</v>
      </c>
      <c r="AY2122" t="s">
        <v>74</v>
      </c>
      <c r="AZ2122" t="s">
        <v>74</v>
      </c>
      <c r="BA2122" t="s">
        <v>74</v>
      </c>
      <c r="BB2122">
        <v>2265</v>
      </c>
      <c r="BC2122">
        <v>2283</v>
      </c>
      <c r="BD2122" t="s">
        <v>74</v>
      </c>
      <c r="BE2122" t="s">
        <v>26828</v>
      </c>
      <c r="BF2122" t="str">
        <f>HYPERLINK("http://dx.doi.org/10.1042/BCJ20210016","http://dx.doi.org/10.1042/BCJ20210016")</f>
        <v>http://dx.doi.org/10.1042/BCJ20210016</v>
      </c>
      <c r="BG2122" t="s">
        <v>74</v>
      </c>
      <c r="BH2122" t="s">
        <v>74</v>
      </c>
      <c r="BI2122" t="s">
        <v>74</v>
      </c>
      <c r="BJ2122" t="s">
        <v>95</v>
      </c>
      <c r="BK2122" t="s">
        <v>117</v>
      </c>
      <c r="BL2122" t="s">
        <v>95</v>
      </c>
      <c r="BM2122" t="s">
        <v>74</v>
      </c>
      <c r="BN2122">
        <v>34047336</v>
      </c>
      <c r="BO2122" t="s">
        <v>74</v>
      </c>
      <c r="BP2122" t="s">
        <v>74</v>
      </c>
      <c r="BQ2122" t="s">
        <v>74</v>
      </c>
      <c r="BR2122" t="s">
        <v>96</v>
      </c>
      <c r="BS2122" t="s">
        <v>26829</v>
      </c>
      <c r="BT2122" t="str">
        <f>HYPERLINK("https%3A%2F%2Fwww.webofscience.com%2Fwos%2Fwoscc%2Ffull-record%2FWOS:000664197600002","View Full Record in Web of Science")</f>
        <v>View Full Record in Web of Science</v>
      </c>
    </row>
    <row r="2123" spans="1:72" x14ac:dyDescent="0.15">
      <c r="A2123" t="s">
        <v>98</v>
      </c>
      <c r="B2123" t="s">
        <v>27051</v>
      </c>
      <c r="C2123" t="s">
        <v>74</v>
      </c>
      <c r="D2123" t="s">
        <v>74</v>
      </c>
      <c r="E2123" t="s">
        <v>74</v>
      </c>
      <c r="F2123" t="s">
        <v>27052</v>
      </c>
      <c r="G2123" t="s">
        <v>74</v>
      </c>
      <c r="H2123" t="s">
        <v>74</v>
      </c>
      <c r="I2123" t="s">
        <v>27053</v>
      </c>
      <c r="J2123" t="s">
        <v>16384</v>
      </c>
      <c r="K2123" t="s">
        <v>74</v>
      </c>
      <c r="L2123" t="s">
        <v>74</v>
      </c>
      <c r="M2123" t="s">
        <v>74</v>
      </c>
      <c r="N2123" t="s">
        <v>103</v>
      </c>
      <c r="O2123" t="s">
        <v>74</v>
      </c>
      <c r="P2123" t="s">
        <v>74</v>
      </c>
      <c r="Q2123" t="s">
        <v>74</v>
      </c>
      <c r="R2123" t="s">
        <v>74</v>
      </c>
      <c r="S2123" t="s">
        <v>74</v>
      </c>
      <c r="T2123" t="s">
        <v>27054</v>
      </c>
      <c r="U2123" t="s">
        <v>27055</v>
      </c>
      <c r="V2123" t="s">
        <v>27056</v>
      </c>
      <c r="W2123" t="s">
        <v>27057</v>
      </c>
      <c r="X2123" t="s">
        <v>27058</v>
      </c>
      <c r="Y2123" t="s">
        <v>27059</v>
      </c>
      <c r="Z2123" t="s">
        <v>27060</v>
      </c>
      <c r="AA2123" t="s">
        <v>74</v>
      </c>
      <c r="AB2123" t="s">
        <v>74</v>
      </c>
      <c r="AC2123" t="s">
        <v>74</v>
      </c>
      <c r="AD2123" t="s">
        <v>74</v>
      </c>
      <c r="AE2123" t="s">
        <v>74</v>
      </c>
      <c r="AF2123" t="s">
        <v>74</v>
      </c>
      <c r="AG2123">
        <v>59</v>
      </c>
      <c r="AH2123">
        <v>0</v>
      </c>
      <c r="AI2123">
        <v>0</v>
      </c>
      <c r="AJ2123">
        <v>6</v>
      </c>
      <c r="AK2123">
        <v>6</v>
      </c>
      <c r="AL2123" t="s">
        <v>74</v>
      </c>
      <c r="AM2123" t="s">
        <v>74</v>
      </c>
      <c r="AN2123" t="s">
        <v>74</v>
      </c>
      <c r="AO2123" t="s">
        <v>74</v>
      </c>
      <c r="AP2123" t="s">
        <v>16394</v>
      </c>
      <c r="AQ2123" t="s">
        <v>74</v>
      </c>
      <c r="AR2123" t="s">
        <v>74</v>
      </c>
      <c r="AS2123" t="s">
        <v>74</v>
      </c>
      <c r="AT2123" t="s">
        <v>614</v>
      </c>
      <c r="AU2123">
        <v>2022</v>
      </c>
      <c r="AV2123">
        <v>12</v>
      </c>
      <c r="AW2123">
        <v>7</v>
      </c>
      <c r="AX2123" t="s">
        <v>74</v>
      </c>
      <c r="AY2123" t="s">
        <v>74</v>
      </c>
      <c r="AZ2123" t="s">
        <v>74</v>
      </c>
      <c r="BA2123" t="s">
        <v>74</v>
      </c>
      <c r="BB2123" t="s">
        <v>74</v>
      </c>
      <c r="BC2123" t="s">
        <v>74</v>
      </c>
      <c r="BD2123">
        <v>533</v>
      </c>
      <c r="BE2123" t="s">
        <v>27061</v>
      </c>
      <c r="BF2123" t="str">
        <f>HYPERLINK("http://dx.doi.org/10.3390/bios12070533","http://dx.doi.org/10.3390/bios12070533")</f>
        <v>http://dx.doi.org/10.3390/bios12070533</v>
      </c>
      <c r="BG2123" t="s">
        <v>74</v>
      </c>
      <c r="BH2123" t="s">
        <v>74</v>
      </c>
      <c r="BI2123" t="s">
        <v>74</v>
      </c>
      <c r="BJ2123" t="s">
        <v>16396</v>
      </c>
      <c r="BK2123" t="s">
        <v>117</v>
      </c>
      <c r="BL2123" t="s">
        <v>16397</v>
      </c>
      <c r="BM2123" t="s">
        <v>74</v>
      </c>
      <c r="BN2123">
        <v>35884336</v>
      </c>
      <c r="BO2123" t="s">
        <v>74</v>
      </c>
      <c r="BP2123" t="s">
        <v>74</v>
      </c>
      <c r="BQ2123" t="s">
        <v>74</v>
      </c>
      <c r="BR2123" t="s">
        <v>96</v>
      </c>
      <c r="BS2123" t="s">
        <v>27062</v>
      </c>
      <c r="BT2123" t="str">
        <f>HYPERLINK("https%3A%2F%2Fwww.webofscience.com%2Fwos%2Fwoscc%2Ffull-record%2FWOS:000833078500001","View Full Record in Web of Science")</f>
        <v>View Full Record in Web of Science</v>
      </c>
    </row>
    <row r="2124" spans="1:72" x14ac:dyDescent="0.15">
      <c r="A2124" t="s">
        <v>98</v>
      </c>
      <c r="B2124" t="s">
        <v>27091</v>
      </c>
      <c r="C2124" t="s">
        <v>74</v>
      </c>
      <c r="D2124" t="s">
        <v>74</v>
      </c>
      <c r="E2124" t="s">
        <v>74</v>
      </c>
      <c r="F2124" t="s">
        <v>27092</v>
      </c>
      <c r="G2124" t="s">
        <v>74</v>
      </c>
      <c r="H2124" t="s">
        <v>74</v>
      </c>
      <c r="I2124" t="s">
        <v>27093</v>
      </c>
      <c r="J2124" t="s">
        <v>4486</v>
      </c>
      <c r="K2124" t="s">
        <v>74</v>
      </c>
      <c r="L2124" t="s">
        <v>74</v>
      </c>
      <c r="M2124" t="s">
        <v>74</v>
      </c>
      <c r="N2124" t="s">
        <v>2996</v>
      </c>
      <c r="O2124" t="s">
        <v>74</v>
      </c>
      <c r="P2124" t="s">
        <v>74</v>
      </c>
      <c r="Q2124" t="s">
        <v>74</v>
      </c>
      <c r="R2124" t="s">
        <v>74</v>
      </c>
      <c r="S2124" t="s">
        <v>74</v>
      </c>
      <c r="T2124" t="s">
        <v>74</v>
      </c>
      <c r="U2124" t="s">
        <v>27094</v>
      </c>
      <c r="V2124" t="s">
        <v>27095</v>
      </c>
      <c r="W2124" t="s">
        <v>27096</v>
      </c>
      <c r="X2124" t="s">
        <v>27097</v>
      </c>
      <c r="Y2124" t="s">
        <v>27098</v>
      </c>
      <c r="Z2124" t="s">
        <v>27099</v>
      </c>
      <c r="AA2124" t="s">
        <v>74</v>
      </c>
      <c r="AB2124" t="s">
        <v>27100</v>
      </c>
      <c r="AC2124" t="s">
        <v>74</v>
      </c>
      <c r="AD2124" t="s">
        <v>74</v>
      </c>
      <c r="AE2124" t="s">
        <v>74</v>
      </c>
      <c r="AF2124" t="s">
        <v>74</v>
      </c>
      <c r="AG2124">
        <v>45</v>
      </c>
      <c r="AH2124">
        <v>0</v>
      </c>
      <c r="AI2124">
        <v>0</v>
      </c>
      <c r="AJ2124">
        <v>9</v>
      </c>
      <c r="AK2124">
        <v>9</v>
      </c>
      <c r="AL2124" t="s">
        <v>74</v>
      </c>
      <c r="AM2124" t="s">
        <v>74</v>
      </c>
      <c r="AN2124" t="s">
        <v>74</v>
      </c>
      <c r="AO2124" t="s">
        <v>4493</v>
      </c>
      <c r="AP2124" t="s">
        <v>4494</v>
      </c>
      <c r="AQ2124" t="s">
        <v>74</v>
      </c>
      <c r="AR2124" t="s">
        <v>74</v>
      </c>
      <c r="AS2124" t="s">
        <v>74</v>
      </c>
      <c r="AT2124" t="s">
        <v>74</v>
      </c>
      <c r="AU2124" t="s">
        <v>74</v>
      </c>
      <c r="AV2124" t="s">
        <v>74</v>
      </c>
      <c r="AW2124" t="s">
        <v>74</v>
      </c>
      <c r="AX2124" t="s">
        <v>74</v>
      </c>
      <c r="AY2124" t="s">
        <v>74</v>
      </c>
      <c r="AZ2124" t="s">
        <v>74</v>
      </c>
      <c r="BA2124" t="s">
        <v>74</v>
      </c>
      <c r="BB2124" t="s">
        <v>74</v>
      </c>
      <c r="BC2124" t="s">
        <v>74</v>
      </c>
      <c r="BD2124" t="s">
        <v>74</v>
      </c>
      <c r="BE2124" t="s">
        <v>27101</v>
      </c>
      <c r="BF2124" t="str">
        <f>HYPERLINK("http://dx.doi.org/10.1021/acs.analchem.2c00974","http://dx.doi.org/10.1021/acs.analchem.2c00974")</f>
        <v>http://dx.doi.org/10.1021/acs.analchem.2c00974</v>
      </c>
      <c r="BG2124" t="s">
        <v>74</v>
      </c>
      <c r="BH2124" t="s">
        <v>5061</v>
      </c>
      <c r="BI2124" t="s">
        <v>74</v>
      </c>
      <c r="BJ2124" t="s">
        <v>1118</v>
      </c>
      <c r="BK2124" t="s">
        <v>117</v>
      </c>
      <c r="BL2124" t="s">
        <v>1048</v>
      </c>
      <c r="BM2124" t="s">
        <v>74</v>
      </c>
      <c r="BN2124">
        <v>35758600</v>
      </c>
      <c r="BO2124" t="s">
        <v>74</v>
      </c>
      <c r="BP2124" t="s">
        <v>74</v>
      </c>
      <c r="BQ2124" t="s">
        <v>74</v>
      </c>
      <c r="BR2124" t="s">
        <v>96</v>
      </c>
      <c r="BS2124" t="s">
        <v>27102</v>
      </c>
      <c r="BT2124" t="str">
        <f>HYPERLINK("https%3A%2F%2Fwww.webofscience.com%2Fwos%2Fwoscc%2Ffull-record%2FWOS:000821844200001","View Full Record in Web of Science")</f>
        <v>View Full Record in Web of Science</v>
      </c>
    </row>
    <row r="2125" spans="1:72" x14ac:dyDescent="0.15">
      <c r="A2125" t="s">
        <v>98</v>
      </c>
      <c r="B2125" t="s">
        <v>27308</v>
      </c>
      <c r="C2125" t="s">
        <v>74</v>
      </c>
      <c r="D2125" t="s">
        <v>74</v>
      </c>
      <c r="E2125" t="s">
        <v>74</v>
      </c>
      <c r="F2125" t="s">
        <v>27309</v>
      </c>
      <c r="G2125" t="s">
        <v>74</v>
      </c>
      <c r="H2125" t="s">
        <v>74</v>
      </c>
      <c r="I2125" t="s">
        <v>27310</v>
      </c>
      <c r="J2125" t="s">
        <v>27311</v>
      </c>
      <c r="K2125" t="s">
        <v>74</v>
      </c>
      <c r="L2125" t="s">
        <v>74</v>
      </c>
      <c r="M2125" t="s">
        <v>74</v>
      </c>
      <c r="N2125" t="s">
        <v>103</v>
      </c>
      <c r="O2125" t="s">
        <v>74</v>
      </c>
      <c r="P2125" t="s">
        <v>74</v>
      </c>
      <c r="Q2125" t="s">
        <v>74</v>
      </c>
      <c r="R2125" t="s">
        <v>74</v>
      </c>
      <c r="S2125" t="s">
        <v>74</v>
      </c>
      <c r="T2125" t="s">
        <v>27312</v>
      </c>
      <c r="U2125" t="s">
        <v>27313</v>
      </c>
      <c r="V2125" t="s">
        <v>27314</v>
      </c>
      <c r="W2125" t="s">
        <v>27315</v>
      </c>
      <c r="X2125" t="s">
        <v>27316</v>
      </c>
      <c r="Y2125" t="s">
        <v>27317</v>
      </c>
      <c r="Z2125" t="s">
        <v>27318</v>
      </c>
      <c r="AA2125" t="s">
        <v>27319</v>
      </c>
      <c r="AB2125" t="s">
        <v>27320</v>
      </c>
      <c r="AC2125" t="s">
        <v>74</v>
      </c>
      <c r="AD2125" t="s">
        <v>74</v>
      </c>
      <c r="AE2125" t="s">
        <v>74</v>
      </c>
      <c r="AF2125" t="s">
        <v>74</v>
      </c>
      <c r="AG2125">
        <v>30</v>
      </c>
      <c r="AH2125">
        <v>0</v>
      </c>
      <c r="AI2125">
        <v>0</v>
      </c>
      <c r="AJ2125">
        <v>1</v>
      </c>
      <c r="AK2125">
        <v>3</v>
      </c>
      <c r="AL2125" t="s">
        <v>74</v>
      </c>
      <c r="AM2125" t="s">
        <v>74</v>
      </c>
      <c r="AN2125" t="s">
        <v>74</v>
      </c>
      <c r="AO2125" t="s">
        <v>27321</v>
      </c>
      <c r="AP2125" t="s">
        <v>74</v>
      </c>
      <c r="AQ2125" t="s">
        <v>74</v>
      </c>
      <c r="AR2125" t="s">
        <v>74</v>
      </c>
      <c r="AS2125" t="s">
        <v>74</v>
      </c>
      <c r="AT2125" t="s">
        <v>967</v>
      </c>
      <c r="AU2125">
        <v>2021</v>
      </c>
      <c r="AV2125">
        <v>11</v>
      </c>
      <c r="AW2125">
        <v>12</v>
      </c>
      <c r="AX2125" t="s">
        <v>74</v>
      </c>
      <c r="AY2125" t="s">
        <v>74</v>
      </c>
      <c r="AZ2125" t="s">
        <v>74</v>
      </c>
      <c r="BA2125" t="s">
        <v>74</v>
      </c>
      <c r="BB2125" t="s">
        <v>74</v>
      </c>
      <c r="BC2125" t="s">
        <v>74</v>
      </c>
      <c r="BD2125" t="s">
        <v>27322</v>
      </c>
      <c r="BE2125" t="s">
        <v>27323</v>
      </c>
      <c r="BF2125" t="str">
        <f>HYPERLINK("http://dx.doi.org/10.1136/bmjopen-2021-054256","http://dx.doi.org/10.1136/bmjopen-2021-054256")</f>
        <v>http://dx.doi.org/10.1136/bmjopen-2021-054256</v>
      </c>
      <c r="BG2125" t="s">
        <v>74</v>
      </c>
      <c r="BH2125" t="s">
        <v>74</v>
      </c>
      <c r="BI2125" t="s">
        <v>74</v>
      </c>
      <c r="BJ2125" t="s">
        <v>2564</v>
      </c>
      <c r="BK2125" t="s">
        <v>117</v>
      </c>
      <c r="BL2125" t="s">
        <v>2565</v>
      </c>
      <c r="BM2125" t="s">
        <v>74</v>
      </c>
      <c r="BN2125">
        <v>34972769</v>
      </c>
      <c r="BO2125" t="s">
        <v>74</v>
      </c>
      <c r="BP2125" t="s">
        <v>74</v>
      </c>
      <c r="BQ2125" t="s">
        <v>74</v>
      </c>
      <c r="BR2125" t="s">
        <v>96</v>
      </c>
      <c r="BS2125" t="s">
        <v>27324</v>
      </c>
      <c r="BT2125" t="str">
        <f>HYPERLINK("https%3A%2F%2Fwww.webofscience.com%2Fwos%2Fwoscc%2Ffull-record%2FWOS:000737991900006","View Full Record in Web of Science")</f>
        <v>View Full Record in Web of Science</v>
      </c>
    </row>
    <row r="2126" spans="1:72" x14ac:dyDescent="0.15">
      <c r="A2126" t="s">
        <v>98</v>
      </c>
      <c r="B2126" t="s">
        <v>27459</v>
      </c>
      <c r="C2126" t="s">
        <v>74</v>
      </c>
      <c r="D2126" t="s">
        <v>74</v>
      </c>
      <c r="E2126" t="s">
        <v>74</v>
      </c>
      <c r="F2126" t="s">
        <v>27460</v>
      </c>
      <c r="G2126" t="s">
        <v>74</v>
      </c>
      <c r="H2126" t="s">
        <v>74</v>
      </c>
      <c r="I2126" t="s">
        <v>27461</v>
      </c>
      <c r="J2126" t="s">
        <v>27462</v>
      </c>
      <c r="K2126" t="s">
        <v>74</v>
      </c>
      <c r="L2126" t="s">
        <v>74</v>
      </c>
      <c r="M2126" t="s">
        <v>74</v>
      </c>
      <c r="N2126" t="s">
        <v>103</v>
      </c>
      <c r="O2126" t="s">
        <v>74</v>
      </c>
      <c r="P2126" t="s">
        <v>74</v>
      </c>
      <c r="Q2126" t="s">
        <v>74</v>
      </c>
      <c r="R2126" t="s">
        <v>74</v>
      </c>
      <c r="S2126" t="s">
        <v>74</v>
      </c>
      <c r="T2126" t="s">
        <v>27463</v>
      </c>
      <c r="U2126" t="s">
        <v>27464</v>
      </c>
      <c r="V2126" t="s">
        <v>27465</v>
      </c>
      <c r="W2126" t="s">
        <v>27466</v>
      </c>
      <c r="X2126" t="s">
        <v>27467</v>
      </c>
      <c r="Y2126" t="s">
        <v>27468</v>
      </c>
      <c r="Z2126" t="s">
        <v>27469</v>
      </c>
      <c r="AA2126" t="s">
        <v>74</v>
      </c>
      <c r="AB2126" t="s">
        <v>74</v>
      </c>
      <c r="AC2126" t="s">
        <v>74</v>
      </c>
      <c r="AD2126" t="s">
        <v>74</v>
      </c>
      <c r="AE2126" t="s">
        <v>74</v>
      </c>
      <c r="AF2126" t="s">
        <v>74</v>
      </c>
      <c r="AG2126">
        <v>96</v>
      </c>
      <c r="AH2126">
        <v>0</v>
      </c>
      <c r="AI2126">
        <v>0</v>
      </c>
      <c r="AJ2126">
        <v>8</v>
      </c>
      <c r="AK2126">
        <v>8</v>
      </c>
      <c r="AL2126" t="s">
        <v>74</v>
      </c>
      <c r="AM2126" t="s">
        <v>74</v>
      </c>
      <c r="AN2126" t="s">
        <v>74</v>
      </c>
      <c r="AO2126" t="s">
        <v>10980</v>
      </c>
      <c r="AP2126" t="s">
        <v>10981</v>
      </c>
      <c r="AQ2126" t="s">
        <v>74</v>
      </c>
      <c r="AR2126" t="s">
        <v>74</v>
      </c>
      <c r="AS2126" t="s">
        <v>74</v>
      </c>
      <c r="AT2126" t="s">
        <v>74</v>
      </c>
      <c r="AU2126">
        <v>2022</v>
      </c>
      <c r="AV2126">
        <v>15</v>
      </c>
      <c r="AW2126" t="s">
        <v>74</v>
      </c>
      <c r="AX2126" t="s">
        <v>74</v>
      </c>
      <c r="AY2126" t="s">
        <v>74</v>
      </c>
      <c r="AZ2126" t="s">
        <v>74</v>
      </c>
      <c r="BA2126" t="s">
        <v>74</v>
      </c>
      <c r="BB2126">
        <v>107</v>
      </c>
      <c r="BC2126">
        <v>121</v>
      </c>
      <c r="BD2126" t="s">
        <v>74</v>
      </c>
      <c r="BE2126" t="s">
        <v>27470</v>
      </c>
      <c r="BF2126" t="str">
        <f>HYPERLINK("http://dx.doi.org/10.1146/annurev-anchem-061020-123959","http://dx.doi.org/10.1146/annurev-anchem-061020-123959")</f>
        <v>http://dx.doi.org/10.1146/annurev-anchem-061020-123959</v>
      </c>
      <c r="BG2126" t="s">
        <v>74</v>
      </c>
      <c r="BH2126" t="s">
        <v>74</v>
      </c>
      <c r="BI2126" t="s">
        <v>74</v>
      </c>
      <c r="BJ2126" t="s">
        <v>10983</v>
      </c>
      <c r="BK2126" t="s">
        <v>117</v>
      </c>
      <c r="BL2126" t="s">
        <v>10984</v>
      </c>
      <c r="BM2126" t="s">
        <v>74</v>
      </c>
      <c r="BN2126">
        <v>35696523</v>
      </c>
      <c r="BO2126" t="s">
        <v>74</v>
      </c>
      <c r="BP2126" t="s">
        <v>74</v>
      </c>
      <c r="BQ2126" t="s">
        <v>74</v>
      </c>
      <c r="BR2126" t="s">
        <v>96</v>
      </c>
      <c r="BS2126" t="s">
        <v>27471</v>
      </c>
      <c r="BT2126" t="str">
        <f>HYPERLINK("https%3A%2F%2Fwww.webofscience.com%2Fwos%2Fwoscc%2Ffull-record%2FWOS:000811232400006","View Full Record in Web of Science")</f>
        <v>View Full Record in Web of Science</v>
      </c>
    </row>
    <row r="2127" spans="1:72" x14ac:dyDescent="0.15">
      <c r="A2127" t="s">
        <v>98</v>
      </c>
      <c r="B2127" t="s">
        <v>27618</v>
      </c>
      <c r="C2127" t="s">
        <v>74</v>
      </c>
      <c r="D2127" t="s">
        <v>74</v>
      </c>
      <c r="E2127" t="s">
        <v>74</v>
      </c>
      <c r="F2127" t="s">
        <v>27619</v>
      </c>
      <c r="G2127" t="s">
        <v>74</v>
      </c>
      <c r="H2127" t="s">
        <v>74</v>
      </c>
      <c r="I2127" t="s">
        <v>27620</v>
      </c>
      <c r="J2127" t="s">
        <v>27621</v>
      </c>
      <c r="K2127" t="s">
        <v>74</v>
      </c>
      <c r="L2127" t="s">
        <v>74</v>
      </c>
      <c r="M2127" t="s">
        <v>74</v>
      </c>
      <c r="N2127" t="s">
        <v>103</v>
      </c>
      <c r="O2127" t="s">
        <v>74</v>
      </c>
      <c r="P2127" t="s">
        <v>74</v>
      </c>
      <c r="Q2127" t="s">
        <v>74</v>
      </c>
      <c r="R2127" t="s">
        <v>74</v>
      </c>
      <c r="S2127" t="s">
        <v>74</v>
      </c>
      <c r="T2127" t="s">
        <v>27622</v>
      </c>
      <c r="U2127" t="s">
        <v>27623</v>
      </c>
      <c r="V2127" t="s">
        <v>27624</v>
      </c>
      <c r="W2127" t="s">
        <v>27625</v>
      </c>
      <c r="X2127" t="s">
        <v>27626</v>
      </c>
      <c r="Y2127" t="s">
        <v>27627</v>
      </c>
      <c r="Z2127" t="s">
        <v>27628</v>
      </c>
      <c r="AA2127" t="s">
        <v>74</v>
      </c>
      <c r="AB2127" t="s">
        <v>27629</v>
      </c>
      <c r="AC2127" t="s">
        <v>74</v>
      </c>
      <c r="AD2127" t="s">
        <v>74</v>
      </c>
      <c r="AE2127" t="s">
        <v>74</v>
      </c>
      <c r="AF2127" t="s">
        <v>74</v>
      </c>
      <c r="AG2127">
        <v>86</v>
      </c>
      <c r="AH2127">
        <v>0</v>
      </c>
      <c r="AI2127">
        <v>0</v>
      </c>
      <c r="AJ2127">
        <v>0</v>
      </c>
      <c r="AK2127">
        <v>5</v>
      </c>
      <c r="AL2127" t="s">
        <v>74</v>
      </c>
      <c r="AM2127" t="s">
        <v>74</v>
      </c>
      <c r="AN2127" t="s">
        <v>74</v>
      </c>
      <c r="AO2127" t="s">
        <v>27630</v>
      </c>
      <c r="AP2127" t="s">
        <v>27631</v>
      </c>
      <c r="AQ2127" t="s">
        <v>74</v>
      </c>
      <c r="AR2127" t="s">
        <v>74</v>
      </c>
      <c r="AS2127" t="s">
        <v>74</v>
      </c>
      <c r="AT2127" t="s">
        <v>531</v>
      </c>
      <c r="AU2127">
        <v>2016</v>
      </c>
      <c r="AV2127">
        <v>3</v>
      </c>
      <c r="AW2127">
        <v>3</v>
      </c>
      <c r="AX2127" t="s">
        <v>74</v>
      </c>
      <c r="AY2127" t="s">
        <v>74</v>
      </c>
      <c r="AZ2127" t="s">
        <v>74</v>
      </c>
      <c r="BA2127" t="s">
        <v>74</v>
      </c>
      <c r="BB2127">
        <v>195</v>
      </c>
      <c r="BC2127">
        <v>205</v>
      </c>
      <c r="BD2127" t="s">
        <v>74</v>
      </c>
      <c r="BE2127" t="s">
        <v>27632</v>
      </c>
      <c r="BF2127" t="str">
        <f>HYPERLINK("http://dx.doi.org/10.2217/mmt-2016-0008","http://dx.doi.org/10.2217/mmt-2016-0008")</f>
        <v>http://dx.doi.org/10.2217/mmt-2016-0008</v>
      </c>
      <c r="BG2127" t="s">
        <v>74</v>
      </c>
      <c r="BH2127" t="s">
        <v>74</v>
      </c>
      <c r="BI2127" t="s">
        <v>74</v>
      </c>
      <c r="BJ2127" t="s">
        <v>267</v>
      </c>
      <c r="BK2127" t="s">
        <v>467</v>
      </c>
      <c r="BL2127" t="s">
        <v>267</v>
      </c>
      <c r="BM2127" t="s">
        <v>74</v>
      </c>
      <c r="BN2127">
        <v>30190889</v>
      </c>
      <c r="BO2127" t="s">
        <v>74</v>
      </c>
      <c r="BP2127" t="s">
        <v>74</v>
      </c>
      <c r="BQ2127" t="s">
        <v>74</v>
      </c>
      <c r="BR2127" t="s">
        <v>96</v>
      </c>
      <c r="BS2127" t="s">
        <v>27633</v>
      </c>
      <c r="BT2127" t="str">
        <f>HYPERLINK("https%3A%2F%2Fwww.webofscience.com%2Fwos%2Fwoscc%2Ffull-record%2FWOS:000393637000006","View Full Record in Web of Science")</f>
        <v>View Full Record in Web of Science</v>
      </c>
    </row>
    <row r="2128" spans="1:72" x14ac:dyDescent="0.15">
      <c r="A2128" t="s">
        <v>98</v>
      </c>
      <c r="B2128" t="s">
        <v>27664</v>
      </c>
      <c r="C2128" t="s">
        <v>74</v>
      </c>
      <c r="D2128" t="s">
        <v>74</v>
      </c>
      <c r="E2128" t="s">
        <v>74</v>
      </c>
      <c r="F2128" t="s">
        <v>27665</v>
      </c>
      <c r="G2128" t="s">
        <v>74</v>
      </c>
      <c r="H2128" t="s">
        <v>74</v>
      </c>
      <c r="I2128" t="s">
        <v>27666</v>
      </c>
      <c r="J2128" t="s">
        <v>8839</v>
      </c>
      <c r="K2128" t="s">
        <v>74</v>
      </c>
      <c r="L2128" t="s">
        <v>74</v>
      </c>
      <c r="M2128" t="s">
        <v>74</v>
      </c>
      <c r="N2128" t="s">
        <v>103</v>
      </c>
      <c r="O2128" t="s">
        <v>74</v>
      </c>
      <c r="P2128" t="s">
        <v>74</v>
      </c>
      <c r="Q2128" t="s">
        <v>74</v>
      </c>
      <c r="R2128" t="s">
        <v>74</v>
      </c>
      <c r="S2128" t="s">
        <v>74</v>
      </c>
      <c r="T2128" t="s">
        <v>27667</v>
      </c>
      <c r="U2128" t="s">
        <v>27668</v>
      </c>
      <c r="V2128" t="s">
        <v>27669</v>
      </c>
      <c r="W2128" t="s">
        <v>27670</v>
      </c>
      <c r="X2128" t="s">
        <v>27671</v>
      </c>
      <c r="Y2128" t="s">
        <v>27672</v>
      </c>
      <c r="Z2128" t="s">
        <v>27673</v>
      </c>
      <c r="AA2128" t="s">
        <v>27674</v>
      </c>
      <c r="AB2128" t="s">
        <v>27675</v>
      </c>
      <c r="AC2128" t="s">
        <v>74</v>
      </c>
      <c r="AD2128" t="s">
        <v>74</v>
      </c>
      <c r="AE2128" t="s">
        <v>74</v>
      </c>
      <c r="AF2128" t="s">
        <v>74</v>
      </c>
      <c r="AG2128">
        <v>32</v>
      </c>
      <c r="AH2128">
        <v>0</v>
      </c>
      <c r="AI2128">
        <v>0</v>
      </c>
      <c r="AJ2128">
        <v>2</v>
      </c>
      <c r="AK2128">
        <v>2</v>
      </c>
      <c r="AL2128" t="s">
        <v>74</v>
      </c>
      <c r="AM2128" t="s">
        <v>74</v>
      </c>
      <c r="AN2128" t="s">
        <v>74</v>
      </c>
      <c r="AO2128" t="s">
        <v>74</v>
      </c>
      <c r="AP2128" t="s">
        <v>8847</v>
      </c>
      <c r="AQ2128" t="s">
        <v>74</v>
      </c>
      <c r="AR2128" t="s">
        <v>74</v>
      </c>
      <c r="AS2128" t="s">
        <v>74</v>
      </c>
      <c r="AT2128" t="s">
        <v>1029</v>
      </c>
      <c r="AU2128">
        <v>2022</v>
      </c>
      <c r="AV2128">
        <v>14</v>
      </c>
      <c r="AW2128">
        <v>9</v>
      </c>
      <c r="AX2128" t="s">
        <v>74</v>
      </c>
      <c r="AY2128" t="s">
        <v>74</v>
      </c>
      <c r="AZ2128" t="s">
        <v>74</v>
      </c>
      <c r="BA2128" t="s">
        <v>74</v>
      </c>
      <c r="BB2128" t="s">
        <v>74</v>
      </c>
      <c r="BC2128" t="s">
        <v>74</v>
      </c>
      <c r="BD2128">
        <v>1875</v>
      </c>
      <c r="BE2128" t="s">
        <v>27676</v>
      </c>
      <c r="BF2128" t="str">
        <f>HYPERLINK("http://dx.doi.org/10.3390/nu14091875","http://dx.doi.org/10.3390/nu14091875")</f>
        <v>http://dx.doi.org/10.3390/nu14091875</v>
      </c>
      <c r="BG2128" t="s">
        <v>74</v>
      </c>
      <c r="BH2128" t="s">
        <v>74</v>
      </c>
      <c r="BI2128" t="s">
        <v>74</v>
      </c>
      <c r="BJ2128" t="s">
        <v>8849</v>
      </c>
      <c r="BK2128" t="s">
        <v>117</v>
      </c>
      <c r="BL2128" t="s">
        <v>8849</v>
      </c>
      <c r="BM2128" t="s">
        <v>74</v>
      </c>
      <c r="BN2128">
        <v>35565846</v>
      </c>
      <c r="BO2128" t="s">
        <v>74</v>
      </c>
      <c r="BP2128" t="s">
        <v>74</v>
      </c>
      <c r="BQ2128" t="s">
        <v>74</v>
      </c>
      <c r="BR2128" t="s">
        <v>96</v>
      </c>
      <c r="BS2128" t="s">
        <v>27677</v>
      </c>
      <c r="BT2128" t="str">
        <f>HYPERLINK("https%3A%2F%2Fwww.webofscience.com%2Fwos%2Fwoscc%2Ffull-record%2FWOS:000794592100001","View Full Record in Web of Science")</f>
        <v>View Full Record in Web of Science</v>
      </c>
    </row>
    <row r="2129" spans="1:72" x14ac:dyDescent="0.15">
      <c r="A2129" t="s">
        <v>98</v>
      </c>
      <c r="B2129" t="s">
        <v>27765</v>
      </c>
      <c r="C2129" t="s">
        <v>74</v>
      </c>
      <c r="D2129" t="s">
        <v>74</v>
      </c>
      <c r="E2129" t="s">
        <v>74</v>
      </c>
      <c r="F2129" t="s">
        <v>27766</v>
      </c>
      <c r="G2129" t="s">
        <v>74</v>
      </c>
      <c r="H2129" t="s">
        <v>74</v>
      </c>
      <c r="I2129" t="s">
        <v>27767</v>
      </c>
      <c r="J2129" t="s">
        <v>27768</v>
      </c>
      <c r="K2129" t="s">
        <v>74</v>
      </c>
      <c r="L2129" t="s">
        <v>74</v>
      </c>
      <c r="M2129" t="s">
        <v>74</v>
      </c>
      <c r="N2129" t="s">
        <v>103</v>
      </c>
      <c r="O2129" t="s">
        <v>74</v>
      </c>
      <c r="P2129" t="s">
        <v>74</v>
      </c>
      <c r="Q2129" t="s">
        <v>74</v>
      </c>
      <c r="R2129" t="s">
        <v>74</v>
      </c>
      <c r="S2129" t="s">
        <v>74</v>
      </c>
      <c r="T2129" t="s">
        <v>27769</v>
      </c>
      <c r="U2129" t="s">
        <v>23721</v>
      </c>
      <c r="V2129" t="s">
        <v>27770</v>
      </c>
      <c r="W2129" t="s">
        <v>27771</v>
      </c>
      <c r="X2129" t="s">
        <v>27772</v>
      </c>
      <c r="Y2129" t="s">
        <v>27773</v>
      </c>
      <c r="Z2129" t="s">
        <v>27774</v>
      </c>
      <c r="AA2129" t="s">
        <v>74</v>
      </c>
      <c r="AB2129" t="s">
        <v>74</v>
      </c>
      <c r="AC2129" t="s">
        <v>74</v>
      </c>
      <c r="AD2129" t="s">
        <v>74</v>
      </c>
      <c r="AE2129" t="s">
        <v>74</v>
      </c>
      <c r="AF2129" t="s">
        <v>74</v>
      </c>
      <c r="AG2129">
        <v>20</v>
      </c>
      <c r="AH2129">
        <v>0</v>
      </c>
      <c r="AI2129">
        <v>0</v>
      </c>
      <c r="AJ2129">
        <v>0</v>
      </c>
      <c r="AK2129">
        <v>0</v>
      </c>
      <c r="AL2129" t="s">
        <v>74</v>
      </c>
      <c r="AM2129" t="s">
        <v>74</v>
      </c>
      <c r="AN2129" t="s">
        <v>74</v>
      </c>
      <c r="AO2129" t="s">
        <v>27775</v>
      </c>
      <c r="AP2129" t="s">
        <v>74</v>
      </c>
      <c r="AQ2129" t="s">
        <v>74</v>
      </c>
      <c r="AR2129" t="s">
        <v>74</v>
      </c>
      <c r="AS2129" t="s">
        <v>74</v>
      </c>
      <c r="AT2129" t="s">
        <v>10261</v>
      </c>
      <c r="AU2129">
        <v>2022</v>
      </c>
      <c r="AV2129">
        <v>27</v>
      </c>
      <c r="AW2129">
        <v>3</v>
      </c>
      <c r="AX2129" t="s">
        <v>74</v>
      </c>
      <c r="AY2129" t="s">
        <v>74</v>
      </c>
      <c r="AZ2129" t="s">
        <v>74</v>
      </c>
      <c r="BA2129" t="s">
        <v>74</v>
      </c>
      <c r="BB2129" t="s">
        <v>74</v>
      </c>
      <c r="BC2129" t="s">
        <v>74</v>
      </c>
      <c r="BD2129">
        <v>100688</v>
      </c>
      <c r="BE2129" t="s">
        <v>27776</v>
      </c>
      <c r="BF2129" t="str">
        <f>HYPERLINK("http://dx.doi.org/10.1016/j.aohep.2022.100688","http://dx.doi.org/10.1016/j.aohep.2022.100688")</f>
        <v>http://dx.doi.org/10.1016/j.aohep.2022.100688</v>
      </c>
      <c r="BG2129" t="s">
        <v>74</v>
      </c>
      <c r="BH2129" t="s">
        <v>74</v>
      </c>
      <c r="BI2129" t="s">
        <v>74</v>
      </c>
      <c r="BJ2129" t="s">
        <v>633</v>
      </c>
      <c r="BK2129" t="s">
        <v>117</v>
      </c>
      <c r="BL2129" t="s">
        <v>633</v>
      </c>
      <c r="BM2129" t="s">
        <v>74</v>
      </c>
      <c r="BN2129">
        <v>35196550</v>
      </c>
      <c r="BO2129" t="s">
        <v>74</v>
      </c>
      <c r="BP2129" t="s">
        <v>74</v>
      </c>
      <c r="BQ2129" t="s">
        <v>74</v>
      </c>
      <c r="BR2129" t="s">
        <v>96</v>
      </c>
      <c r="BS2129" t="s">
        <v>27777</v>
      </c>
      <c r="BT2129" t="str">
        <f>HYPERLINK("https%3A%2F%2Fwww.webofscience.com%2Fwos%2Fwoscc%2Ffull-record%2FWOS:000832717300008","View Full Record in Web of Science")</f>
        <v>View Full Record in Web of Science</v>
      </c>
    </row>
    <row r="2130" spans="1:72" x14ac:dyDescent="0.15">
      <c r="A2130" t="s">
        <v>98</v>
      </c>
      <c r="B2130" t="s">
        <v>27867</v>
      </c>
      <c r="C2130" t="s">
        <v>74</v>
      </c>
      <c r="D2130" t="s">
        <v>74</v>
      </c>
      <c r="E2130" t="s">
        <v>74</v>
      </c>
      <c r="F2130" t="s">
        <v>27868</v>
      </c>
      <c r="G2130" t="s">
        <v>74</v>
      </c>
      <c r="H2130" t="s">
        <v>74</v>
      </c>
      <c r="I2130" t="s">
        <v>27869</v>
      </c>
      <c r="J2130" t="s">
        <v>27870</v>
      </c>
      <c r="K2130" t="s">
        <v>74</v>
      </c>
      <c r="L2130" t="s">
        <v>74</v>
      </c>
      <c r="M2130" t="s">
        <v>74</v>
      </c>
      <c r="N2130" t="s">
        <v>2996</v>
      </c>
      <c r="O2130" t="s">
        <v>74</v>
      </c>
      <c r="P2130" t="s">
        <v>74</v>
      </c>
      <c r="Q2130" t="s">
        <v>74</v>
      </c>
      <c r="R2130" t="s">
        <v>74</v>
      </c>
      <c r="S2130" t="s">
        <v>74</v>
      </c>
      <c r="T2130" t="s">
        <v>27871</v>
      </c>
      <c r="U2130" t="s">
        <v>27872</v>
      </c>
      <c r="V2130" t="s">
        <v>27873</v>
      </c>
      <c r="W2130" t="s">
        <v>27874</v>
      </c>
      <c r="X2130" t="s">
        <v>5864</v>
      </c>
      <c r="Y2130" t="s">
        <v>27875</v>
      </c>
      <c r="Z2130" t="s">
        <v>27876</v>
      </c>
      <c r="AA2130" t="s">
        <v>74</v>
      </c>
      <c r="AB2130" t="s">
        <v>74</v>
      </c>
      <c r="AC2130" t="s">
        <v>74</v>
      </c>
      <c r="AD2130" t="s">
        <v>74</v>
      </c>
      <c r="AE2130" t="s">
        <v>74</v>
      </c>
      <c r="AF2130" t="s">
        <v>74</v>
      </c>
      <c r="AG2130">
        <v>44</v>
      </c>
      <c r="AH2130">
        <v>0</v>
      </c>
      <c r="AI2130">
        <v>0</v>
      </c>
      <c r="AJ2130">
        <v>0</v>
      </c>
      <c r="AK2130">
        <v>0</v>
      </c>
      <c r="AL2130" t="s">
        <v>74</v>
      </c>
      <c r="AM2130" t="s">
        <v>74</v>
      </c>
      <c r="AN2130" t="s">
        <v>74</v>
      </c>
      <c r="AO2130" t="s">
        <v>74</v>
      </c>
      <c r="AP2130" t="s">
        <v>27877</v>
      </c>
      <c r="AQ2130" t="s">
        <v>74</v>
      </c>
      <c r="AR2130" t="s">
        <v>74</v>
      </c>
      <c r="AS2130" t="s">
        <v>74</v>
      </c>
      <c r="AT2130" t="s">
        <v>74</v>
      </c>
      <c r="AU2130" t="s">
        <v>74</v>
      </c>
      <c r="AV2130" t="s">
        <v>74</v>
      </c>
      <c r="AW2130" t="s">
        <v>74</v>
      </c>
      <c r="AX2130" t="s">
        <v>74</v>
      </c>
      <c r="AY2130" t="s">
        <v>74</v>
      </c>
      <c r="AZ2130" t="s">
        <v>74</v>
      </c>
      <c r="BA2130" t="s">
        <v>74</v>
      </c>
      <c r="BB2130" t="s">
        <v>74</v>
      </c>
      <c r="BC2130" t="s">
        <v>74</v>
      </c>
      <c r="BD2130" t="s">
        <v>74</v>
      </c>
      <c r="BE2130" t="s">
        <v>27878</v>
      </c>
      <c r="BF2130" t="str">
        <f>HYPERLINK("http://dx.doi.org/10.1002/vms3.891","http://dx.doi.org/10.1002/vms3.891")</f>
        <v>http://dx.doi.org/10.1002/vms3.891</v>
      </c>
      <c r="BG2130" t="s">
        <v>74</v>
      </c>
      <c r="BH2130" t="s">
        <v>14114</v>
      </c>
      <c r="BI2130" t="s">
        <v>74</v>
      </c>
      <c r="BJ2130" t="s">
        <v>1341</v>
      </c>
      <c r="BK2130" t="s">
        <v>117</v>
      </c>
      <c r="BL2130" t="s">
        <v>1341</v>
      </c>
      <c r="BM2130" t="s">
        <v>74</v>
      </c>
      <c r="BN2130">
        <v>35896003</v>
      </c>
      <c r="BO2130" t="s">
        <v>74</v>
      </c>
      <c r="BP2130" t="s">
        <v>74</v>
      </c>
      <c r="BQ2130" t="s">
        <v>74</v>
      </c>
      <c r="BR2130" t="s">
        <v>96</v>
      </c>
      <c r="BS2130" t="s">
        <v>27879</v>
      </c>
      <c r="BT2130" t="str">
        <f>HYPERLINK("https%3A%2F%2Fwww.webofscience.com%2Fwos%2Fwoscc%2Ffull-record%2FWOS:000830701800001","View Full Record in Web of Science")</f>
        <v>View Full Record in Web of Science</v>
      </c>
    </row>
    <row r="2131" spans="1:72" x14ac:dyDescent="0.15">
      <c r="A2131" t="s">
        <v>98</v>
      </c>
      <c r="B2131" t="s">
        <v>28312</v>
      </c>
      <c r="C2131" t="s">
        <v>74</v>
      </c>
      <c r="D2131" t="s">
        <v>74</v>
      </c>
      <c r="E2131" t="s">
        <v>74</v>
      </c>
      <c r="F2131" t="s">
        <v>28313</v>
      </c>
      <c r="G2131" t="s">
        <v>74</v>
      </c>
      <c r="H2131" t="s">
        <v>74</v>
      </c>
      <c r="I2131" t="s">
        <v>28314</v>
      </c>
      <c r="J2131" t="s">
        <v>4812</v>
      </c>
      <c r="K2131" t="s">
        <v>74</v>
      </c>
      <c r="L2131" t="s">
        <v>74</v>
      </c>
      <c r="M2131" t="s">
        <v>74</v>
      </c>
      <c r="N2131" t="s">
        <v>103</v>
      </c>
      <c r="O2131" t="s">
        <v>74</v>
      </c>
      <c r="P2131" t="s">
        <v>74</v>
      </c>
      <c r="Q2131" t="s">
        <v>74</v>
      </c>
      <c r="R2131" t="s">
        <v>74</v>
      </c>
      <c r="S2131" t="s">
        <v>74</v>
      </c>
      <c r="T2131" t="s">
        <v>28315</v>
      </c>
      <c r="U2131" t="s">
        <v>28316</v>
      </c>
      <c r="V2131" t="s">
        <v>28317</v>
      </c>
      <c r="W2131" t="s">
        <v>28318</v>
      </c>
      <c r="X2131" t="s">
        <v>28319</v>
      </c>
      <c r="Y2131" t="s">
        <v>28320</v>
      </c>
      <c r="Z2131" t="s">
        <v>28321</v>
      </c>
      <c r="AA2131" t="s">
        <v>74</v>
      </c>
      <c r="AB2131" t="s">
        <v>74</v>
      </c>
      <c r="AC2131" t="s">
        <v>74</v>
      </c>
      <c r="AD2131" t="s">
        <v>74</v>
      </c>
      <c r="AE2131" t="s">
        <v>74</v>
      </c>
      <c r="AF2131" t="s">
        <v>74</v>
      </c>
      <c r="AG2131">
        <v>47</v>
      </c>
      <c r="AH2131">
        <v>0</v>
      </c>
      <c r="AI2131">
        <v>0</v>
      </c>
      <c r="AJ2131">
        <v>2</v>
      </c>
      <c r="AK2131">
        <v>2</v>
      </c>
      <c r="AL2131" t="s">
        <v>74</v>
      </c>
      <c r="AM2131" t="s">
        <v>74</v>
      </c>
      <c r="AN2131" t="s">
        <v>74</v>
      </c>
      <c r="AO2131" t="s">
        <v>4820</v>
      </c>
      <c r="AP2131" t="s">
        <v>4821</v>
      </c>
      <c r="AQ2131" t="s">
        <v>74</v>
      </c>
      <c r="AR2131" t="s">
        <v>74</v>
      </c>
      <c r="AS2131" t="s">
        <v>74</v>
      </c>
      <c r="AT2131" t="s">
        <v>6104</v>
      </c>
      <c r="AU2131">
        <v>2022</v>
      </c>
      <c r="AV2131">
        <v>623</v>
      </c>
      <c r="AW2131" t="s">
        <v>74</v>
      </c>
      <c r="AX2131" t="s">
        <v>74</v>
      </c>
      <c r="AY2131" t="s">
        <v>74</v>
      </c>
      <c r="AZ2131" t="s">
        <v>74</v>
      </c>
      <c r="BA2131" t="s">
        <v>74</v>
      </c>
      <c r="BB2131" t="s">
        <v>74</v>
      </c>
      <c r="BC2131" t="s">
        <v>74</v>
      </c>
      <c r="BD2131">
        <v>121915</v>
      </c>
      <c r="BE2131" t="s">
        <v>28322</v>
      </c>
      <c r="BF2131" t="str">
        <f>HYPERLINK("http://dx.doi.org/10.1016/j.ijpharm.2022.121915","http://dx.doi.org/10.1016/j.ijpharm.2022.121915")</f>
        <v>http://dx.doi.org/10.1016/j.ijpharm.2022.121915</v>
      </c>
      <c r="BG2131" t="s">
        <v>74</v>
      </c>
      <c r="BH2131" t="s">
        <v>74</v>
      </c>
      <c r="BI2131" t="s">
        <v>74</v>
      </c>
      <c r="BJ2131" t="s">
        <v>533</v>
      </c>
      <c r="BK2131" t="s">
        <v>117</v>
      </c>
      <c r="BL2131" t="s">
        <v>533</v>
      </c>
      <c r="BM2131" t="s">
        <v>74</v>
      </c>
      <c r="BN2131">
        <v>35716977</v>
      </c>
      <c r="BO2131" t="s">
        <v>74</v>
      </c>
      <c r="BP2131" t="s">
        <v>74</v>
      </c>
      <c r="BQ2131" t="s">
        <v>74</v>
      </c>
      <c r="BR2131" t="s">
        <v>96</v>
      </c>
      <c r="BS2131" t="s">
        <v>28323</v>
      </c>
      <c r="BT2131" t="str">
        <f>HYPERLINK("https%3A%2F%2Fwww.webofscience.com%2Fwos%2Fwoscc%2Ffull-record%2FWOS:000828403100004","View Full Record in Web of Science")</f>
        <v>View Full Record in Web of Science</v>
      </c>
    </row>
    <row r="2132" spans="1:72" x14ac:dyDescent="0.15">
      <c r="A2132" t="s">
        <v>98</v>
      </c>
      <c r="B2132" t="s">
        <v>28686</v>
      </c>
      <c r="C2132" t="s">
        <v>74</v>
      </c>
      <c r="D2132" t="s">
        <v>74</v>
      </c>
      <c r="E2132" t="s">
        <v>74</v>
      </c>
      <c r="F2132" t="s">
        <v>28687</v>
      </c>
      <c r="G2132" t="s">
        <v>74</v>
      </c>
      <c r="H2132" t="s">
        <v>74</v>
      </c>
      <c r="I2132" t="s">
        <v>28688</v>
      </c>
      <c r="J2132" t="s">
        <v>28689</v>
      </c>
      <c r="K2132" t="s">
        <v>74</v>
      </c>
      <c r="L2132" t="s">
        <v>74</v>
      </c>
      <c r="M2132" t="s">
        <v>74</v>
      </c>
      <c r="N2132" t="s">
        <v>103</v>
      </c>
      <c r="O2132" t="s">
        <v>74</v>
      </c>
      <c r="P2132" t="s">
        <v>74</v>
      </c>
      <c r="Q2132" t="s">
        <v>74</v>
      </c>
      <c r="R2132" t="s">
        <v>74</v>
      </c>
      <c r="S2132" t="s">
        <v>74</v>
      </c>
      <c r="T2132" t="s">
        <v>28690</v>
      </c>
      <c r="U2132" t="s">
        <v>28691</v>
      </c>
      <c r="V2132" t="s">
        <v>28692</v>
      </c>
      <c r="W2132" t="s">
        <v>28693</v>
      </c>
      <c r="X2132" t="s">
        <v>28694</v>
      </c>
      <c r="Y2132" t="s">
        <v>28695</v>
      </c>
      <c r="Z2132" t="s">
        <v>28696</v>
      </c>
      <c r="AA2132" t="s">
        <v>74</v>
      </c>
      <c r="AB2132" t="s">
        <v>74</v>
      </c>
      <c r="AC2132" t="s">
        <v>74</v>
      </c>
      <c r="AD2132" t="s">
        <v>74</v>
      </c>
      <c r="AE2132" t="s">
        <v>74</v>
      </c>
      <c r="AF2132" t="s">
        <v>74</v>
      </c>
      <c r="AG2132">
        <v>30</v>
      </c>
      <c r="AH2132">
        <v>0</v>
      </c>
      <c r="AI2132">
        <v>0</v>
      </c>
      <c r="AJ2132">
        <v>0</v>
      </c>
      <c r="AK2132">
        <v>2</v>
      </c>
      <c r="AL2132" t="s">
        <v>74</v>
      </c>
      <c r="AM2132" t="s">
        <v>74</v>
      </c>
      <c r="AN2132" t="s">
        <v>74</v>
      </c>
      <c r="AO2132" t="s">
        <v>28697</v>
      </c>
      <c r="AP2132" t="s">
        <v>28698</v>
      </c>
      <c r="AQ2132" t="s">
        <v>74</v>
      </c>
      <c r="AR2132" t="s">
        <v>74</v>
      </c>
      <c r="AS2132" t="s">
        <v>74</v>
      </c>
      <c r="AT2132" t="s">
        <v>132</v>
      </c>
      <c r="AU2132">
        <v>2020</v>
      </c>
      <c r="AV2132">
        <v>19</v>
      </c>
      <c r="AW2132">
        <v>4</v>
      </c>
      <c r="AX2132" t="s">
        <v>74</v>
      </c>
      <c r="AY2132" t="s">
        <v>74</v>
      </c>
      <c r="AZ2132" t="s">
        <v>74</v>
      </c>
      <c r="BA2132" t="s">
        <v>74</v>
      </c>
      <c r="BB2132">
        <v>2406</v>
      </c>
      <c r="BC2132">
        <v>2414</v>
      </c>
      <c r="BD2132" t="s">
        <v>74</v>
      </c>
      <c r="BE2132" t="s">
        <v>28699</v>
      </c>
      <c r="BF2132" t="str">
        <f>HYPERLINK("http://dx.doi.org/10.3892/etm.2020.8527","http://dx.doi.org/10.3892/etm.2020.8527")</f>
        <v>http://dx.doi.org/10.3892/etm.2020.8527</v>
      </c>
      <c r="BG2132" t="s">
        <v>74</v>
      </c>
      <c r="BH2132" t="s">
        <v>74</v>
      </c>
      <c r="BI2132" t="s">
        <v>74</v>
      </c>
      <c r="BJ2132" t="s">
        <v>795</v>
      </c>
      <c r="BK2132" t="s">
        <v>117</v>
      </c>
      <c r="BL2132" t="s">
        <v>796</v>
      </c>
      <c r="BM2132" t="s">
        <v>74</v>
      </c>
      <c r="BN2132">
        <v>32226485</v>
      </c>
      <c r="BO2132" t="s">
        <v>74</v>
      </c>
      <c r="BP2132" t="s">
        <v>74</v>
      </c>
      <c r="BQ2132" t="s">
        <v>74</v>
      </c>
      <c r="BR2132" t="s">
        <v>96</v>
      </c>
      <c r="BS2132" t="s">
        <v>28700</v>
      </c>
      <c r="BT2132" t="str">
        <f>HYPERLINK("https%3A%2F%2Fwww.webofscience.com%2Fwos%2Fwoscc%2Ffull-record%2FWOS:000523637100002","View Full Record in Web of Science")</f>
        <v>View Full Record in Web of Science</v>
      </c>
    </row>
    <row r="2133" spans="1:72" x14ac:dyDescent="0.15">
      <c r="A2133" t="s">
        <v>98</v>
      </c>
      <c r="B2133" t="s">
        <v>28775</v>
      </c>
      <c r="C2133" t="s">
        <v>74</v>
      </c>
      <c r="D2133" t="s">
        <v>74</v>
      </c>
      <c r="E2133" t="s">
        <v>74</v>
      </c>
      <c r="F2133" t="s">
        <v>28776</v>
      </c>
      <c r="G2133" t="s">
        <v>74</v>
      </c>
      <c r="H2133" t="s">
        <v>74</v>
      </c>
      <c r="I2133" t="s">
        <v>28777</v>
      </c>
      <c r="J2133" t="s">
        <v>1143</v>
      </c>
      <c r="K2133" t="s">
        <v>74</v>
      </c>
      <c r="L2133" t="s">
        <v>74</v>
      </c>
      <c r="M2133" t="s">
        <v>74</v>
      </c>
      <c r="N2133" t="s">
        <v>103</v>
      </c>
      <c r="O2133" t="s">
        <v>74</v>
      </c>
      <c r="P2133" t="s">
        <v>74</v>
      </c>
      <c r="Q2133" t="s">
        <v>74</v>
      </c>
      <c r="R2133" t="s">
        <v>74</v>
      </c>
      <c r="S2133" t="s">
        <v>74</v>
      </c>
      <c r="T2133" t="s">
        <v>28778</v>
      </c>
      <c r="U2133" t="s">
        <v>28779</v>
      </c>
      <c r="V2133" t="s">
        <v>28780</v>
      </c>
      <c r="W2133" t="s">
        <v>28781</v>
      </c>
      <c r="X2133" t="s">
        <v>28782</v>
      </c>
      <c r="Y2133" t="s">
        <v>28783</v>
      </c>
      <c r="Z2133" t="s">
        <v>28784</v>
      </c>
      <c r="AA2133" t="s">
        <v>74</v>
      </c>
      <c r="AB2133" t="s">
        <v>74</v>
      </c>
      <c r="AC2133" t="s">
        <v>74</v>
      </c>
      <c r="AD2133" t="s">
        <v>74</v>
      </c>
      <c r="AE2133" t="s">
        <v>74</v>
      </c>
      <c r="AF2133" t="s">
        <v>74</v>
      </c>
      <c r="AG2133">
        <v>93</v>
      </c>
      <c r="AH2133">
        <v>0</v>
      </c>
      <c r="AI2133">
        <v>0</v>
      </c>
      <c r="AJ2133">
        <v>7</v>
      </c>
      <c r="AK2133">
        <v>7</v>
      </c>
      <c r="AL2133" t="s">
        <v>74</v>
      </c>
      <c r="AM2133" t="s">
        <v>74</v>
      </c>
      <c r="AN2133" t="s">
        <v>74</v>
      </c>
      <c r="AO2133" t="s">
        <v>1153</v>
      </c>
      <c r="AP2133" t="s">
        <v>74</v>
      </c>
      <c r="AQ2133" t="s">
        <v>74</v>
      </c>
      <c r="AR2133" t="s">
        <v>74</v>
      </c>
      <c r="AS2133" t="s">
        <v>74</v>
      </c>
      <c r="AT2133" t="s">
        <v>74</v>
      </c>
      <c r="AU2133">
        <v>2022</v>
      </c>
      <c r="AV2133">
        <v>12</v>
      </c>
      <c r="AW2133">
        <v>7</v>
      </c>
      <c r="AX2133" t="s">
        <v>74</v>
      </c>
      <c r="AY2133" t="s">
        <v>74</v>
      </c>
      <c r="AZ2133" t="s">
        <v>74</v>
      </c>
      <c r="BA2133" t="s">
        <v>74</v>
      </c>
      <c r="BB2133">
        <v>3104</v>
      </c>
      <c r="BC2133">
        <v>3130</v>
      </c>
      <c r="BD2133" t="s">
        <v>74</v>
      </c>
      <c r="BE2133" t="s">
        <v>28785</v>
      </c>
      <c r="BF2133" t="str">
        <f>HYPERLINK("http://dx.doi.org/10.7150/thno.69590","http://dx.doi.org/10.7150/thno.69590")</f>
        <v>http://dx.doi.org/10.7150/thno.69590</v>
      </c>
      <c r="BG2133" t="s">
        <v>74</v>
      </c>
      <c r="BH2133" t="s">
        <v>74</v>
      </c>
      <c r="BI2133" t="s">
        <v>74</v>
      </c>
      <c r="BJ2133" t="s">
        <v>795</v>
      </c>
      <c r="BK2133" t="s">
        <v>117</v>
      </c>
      <c r="BL2133" t="s">
        <v>796</v>
      </c>
      <c r="BM2133" t="s">
        <v>74</v>
      </c>
      <c r="BN2133">
        <v>35547750</v>
      </c>
      <c r="BO2133" t="s">
        <v>74</v>
      </c>
      <c r="BP2133" t="s">
        <v>74</v>
      </c>
      <c r="BQ2133" t="s">
        <v>74</v>
      </c>
      <c r="BR2133" t="s">
        <v>96</v>
      </c>
      <c r="BS2133" t="s">
        <v>28786</v>
      </c>
      <c r="BT2133" t="str">
        <f>HYPERLINK("https%3A%2F%2Fwww.webofscience.com%2Fwos%2Fwoscc%2Ffull-record%2FWOS:000786579800007","View Full Record in Web of Science")</f>
        <v>View Full Record in Web of Science</v>
      </c>
    </row>
    <row r="2134" spans="1:72" x14ac:dyDescent="0.15">
      <c r="A2134" t="s">
        <v>98</v>
      </c>
      <c r="B2134" t="s">
        <v>28830</v>
      </c>
      <c r="C2134" t="s">
        <v>74</v>
      </c>
      <c r="D2134" t="s">
        <v>74</v>
      </c>
      <c r="E2134" t="s">
        <v>74</v>
      </c>
      <c r="F2134" t="s">
        <v>28831</v>
      </c>
      <c r="G2134" t="s">
        <v>74</v>
      </c>
      <c r="H2134" t="s">
        <v>74</v>
      </c>
      <c r="I2134" t="s">
        <v>28832</v>
      </c>
      <c r="J2134" t="s">
        <v>3864</v>
      </c>
      <c r="K2134" t="s">
        <v>74</v>
      </c>
      <c r="L2134" t="s">
        <v>74</v>
      </c>
      <c r="M2134" t="s">
        <v>74</v>
      </c>
      <c r="N2134" t="s">
        <v>103</v>
      </c>
      <c r="O2134" t="s">
        <v>74</v>
      </c>
      <c r="P2134" t="s">
        <v>74</v>
      </c>
      <c r="Q2134" t="s">
        <v>74</v>
      </c>
      <c r="R2134" t="s">
        <v>74</v>
      </c>
      <c r="S2134" t="s">
        <v>74</v>
      </c>
      <c r="T2134" t="s">
        <v>28833</v>
      </c>
      <c r="U2134" t="s">
        <v>28834</v>
      </c>
      <c r="V2134" t="s">
        <v>28835</v>
      </c>
      <c r="W2134" t="s">
        <v>28836</v>
      </c>
      <c r="X2134" t="s">
        <v>28837</v>
      </c>
      <c r="Y2134" t="s">
        <v>28838</v>
      </c>
      <c r="Z2134" t="s">
        <v>28839</v>
      </c>
      <c r="AA2134" t="s">
        <v>28840</v>
      </c>
      <c r="AB2134" t="s">
        <v>28841</v>
      </c>
      <c r="AC2134" t="s">
        <v>74</v>
      </c>
      <c r="AD2134" t="s">
        <v>74</v>
      </c>
      <c r="AE2134" t="s">
        <v>74</v>
      </c>
      <c r="AF2134" t="s">
        <v>74</v>
      </c>
      <c r="AG2134">
        <v>53</v>
      </c>
      <c r="AH2134">
        <v>0</v>
      </c>
      <c r="AI2134">
        <v>0</v>
      </c>
      <c r="AJ2134">
        <v>19</v>
      </c>
      <c r="AK2134">
        <v>19</v>
      </c>
      <c r="AL2134" t="s">
        <v>74</v>
      </c>
      <c r="AM2134" t="s">
        <v>74</v>
      </c>
      <c r="AN2134" t="s">
        <v>74</v>
      </c>
      <c r="AO2134" t="s">
        <v>74</v>
      </c>
      <c r="AP2134" t="s">
        <v>3874</v>
      </c>
      <c r="AQ2134" t="s">
        <v>74</v>
      </c>
      <c r="AR2134" t="s">
        <v>74</v>
      </c>
      <c r="AS2134" t="s">
        <v>74</v>
      </c>
      <c r="AT2134" t="s">
        <v>19330</v>
      </c>
      <c r="AU2134">
        <v>2022</v>
      </c>
      <c r="AV2134">
        <v>20</v>
      </c>
      <c r="AW2134">
        <v>1</v>
      </c>
      <c r="AX2134" t="s">
        <v>74</v>
      </c>
      <c r="AY2134" t="s">
        <v>74</v>
      </c>
      <c r="AZ2134" t="s">
        <v>74</v>
      </c>
      <c r="BA2134" t="s">
        <v>74</v>
      </c>
      <c r="BB2134" t="s">
        <v>74</v>
      </c>
      <c r="BC2134" t="s">
        <v>74</v>
      </c>
      <c r="BD2134">
        <v>203</v>
      </c>
      <c r="BE2134" t="s">
        <v>28842</v>
      </c>
      <c r="BF2134" t="str">
        <f>HYPERLINK("http://dx.doi.org/10.1186/s12951-022-01401-0","http://dx.doi.org/10.1186/s12951-022-01401-0")</f>
        <v>http://dx.doi.org/10.1186/s12951-022-01401-0</v>
      </c>
      <c r="BG2134" t="s">
        <v>74</v>
      </c>
      <c r="BH2134" t="s">
        <v>74</v>
      </c>
      <c r="BI2134" t="s">
        <v>74</v>
      </c>
      <c r="BJ2134" t="s">
        <v>3877</v>
      </c>
      <c r="BK2134" t="s">
        <v>117</v>
      </c>
      <c r="BL2134" t="s">
        <v>3878</v>
      </c>
      <c r="BM2134" t="s">
        <v>74</v>
      </c>
      <c r="BN2134">
        <v>35477389</v>
      </c>
      <c r="BO2134" t="s">
        <v>74</v>
      </c>
      <c r="BP2134" t="s">
        <v>74</v>
      </c>
      <c r="BQ2134" t="s">
        <v>74</v>
      </c>
      <c r="BR2134" t="s">
        <v>96</v>
      </c>
      <c r="BS2134" t="s">
        <v>28843</v>
      </c>
      <c r="BT2134" t="str">
        <f>HYPERLINK("https%3A%2F%2Fwww.webofscience.com%2Fwos%2Fwoscc%2Ffull-record%2FWOS:000818737800002","View Full Record in Web of Science")</f>
        <v>View Full Record in Web of Science</v>
      </c>
    </row>
    <row r="2135" spans="1:72" x14ac:dyDescent="0.15">
      <c r="A2135" t="s">
        <v>98</v>
      </c>
      <c r="B2135" t="s">
        <v>28844</v>
      </c>
      <c r="C2135" t="s">
        <v>74</v>
      </c>
      <c r="D2135" t="s">
        <v>74</v>
      </c>
      <c r="E2135" t="s">
        <v>74</v>
      </c>
      <c r="F2135" t="s">
        <v>28845</v>
      </c>
      <c r="G2135" t="s">
        <v>74</v>
      </c>
      <c r="H2135" t="s">
        <v>74</v>
      </c>
      <c r="I2135" t="s">
        <v>28846</v>
      </c>
      <c r="J2135" t="s">
        <v>28847</v>
      </c>
      <c r="K2135" t="s">
        <v>74</v>
      </c>
      <c r="L2135" t="s">
        <v>74</v>
      </c>
      <c r="M2135" t="s">
        <v>74</v>
      </c>
      <c r="N2135" t="s">
        <v>103</v>
      </c>
      <c r="O2135" t="s">
        <v>74</v>
      </c>
      <c r="P2135" t="s">
        <v>74</v>
      </c>
      <c r="Q2135" t="s">
        <v>74</v>
      </c>
      <c r="R2135" t="s">
        <v>74</v>
      </c>
      <c r="S2135" t="s">
        <v>74</v>
      </c>
      <c r="T2135" t="s">
        <v>28848</v>
      </c>
      <c r="U2135" t="s">
        <v>28849</v>
      </c>
      <c r="V2135" t="s">
        <v>28850</v>
      </c>
      <c r="W2135" t="s">
        <v>28851</v>
      </c>
      <c r="X2135" t="s">
        <v>74</v>
      </c>
      <c r="Y2135" t="s">
        <v>28852</v>
      </c>
      <c r="Z2135" t="s">
        <v>28853</v>
      </c>
      <c r="AA2135" t="s">
        <v>28854</v>
      </c>
      <c r="AB2135" t="s">
        <v>28855</v>
      </c>
      <c r="AC2135" t="s">
        <v>74</v>
      </c>
      <c r="AD2135" t="s">
        <v>74</v>
      </c>
      <c r="AE2135" t="s">
        <v>74</v>
      </c>
      <c r="AF2135" t="s">
        <v>74</v>
      </c>
      <c r="AG2135">
        <v>82</v>
      </c>
      <c r="AH2135">
        <v>0</v>
      </c>
      <c r="AI2135">
        <v>0</v>
      </c>
      <c r="AJ2135">
        <v>0</v>
      </c>
      <c r="AK2135">
        <v>1</v>
      </c>
      <c r="AL2135" t="s">
        <v>74</v>
      </c>
      <c r="AM2135" t="s">
        <v>74</v>
      </c>
      <c r="AN2135" t="s">
        <v>74</v>
      </c>
      <c r="AO2135" t="s">
        <v>28856</v>
      </c>
      <c r="AP2135" t="s">
        <v>74</v>
      </c>
      <c r="AQ2135" t="s">
        <v>74</v>
      </c>
      <c r="AR2135" t="s">
        <v>74</v>
      </c>
      <c r="AS2135" t="s">
        <v>74</v>
      </c>
      <c r="AT2135" t="s">
        <v>6313</v>
      </c>
      <c r="AU2135">
        <v>2019</v>
      </c>
      <c r="AV2135">
        <v>9</v>
      </c>
      <c r="AW2135">
        <v>4</v>
      </c>
      <c r="AX2135" t="s">
        <v>74</v>
      </c>
      <c r="AY2135" t="s">
        <v>74</v>
      </c>
      <c r="AZ2135" t="s">
        <v>74</v>
      </c>
      <c r="BA2135" t="s">
        <v>74</v>
      </c>
      <c r="BB2135">
        <v>743</v>
      </c>
      <c r="BC2135">
        <v>750</v>
      </c>
      <c r="BD2135" t="s">
        <v>74</v>
      </c>
      <c r="BE2135" t="s">
        <v>28857</v>
      </c>
      <c r="BF2135" t="str">
        <f>HYPERLINK("http://dx.doi.org/10.31407/ijees9420","http://dx.doi.org/10.31407/ijees9420")</f>
        <v>http://dx.doi.org/10.31407/ijees9420</v>
      </c>
      <c r="BG2135" t="s">
        <v>74</v>
      </c>
      <c r="BH2135" t="s">
        <v>74</v>
      </c>
      <c r="BI2135" t="s">
        <v>74</v>
      </c>
      <c r="BJ2135" t="s">
        <v>28858</v>
      </c>
      <c r="BK2135" t="s">
        <v>467</v>
      </c>
      <c r="BL2135" t="s">
        <v>28859</v>
      </c>
      <c r="BM2135" t="s">
        <v>74</v>
      </c>
      <c r="BN2135" t="s">
        <v>74</v>
      </c>
      <c r="BO2135" t="s">
        <v>74</v>
      </c>
      <c r="BP2135" t="s">
        <v>74</v>
      </c>
      <c r="BQ2135" t="s">
        <v>74</v>
      </c>
      <c r="BR2135" t="s">
        <v>96</v>
      </c>
      <c r="BS2135" t="s">
        <v>28860</v>
      </c>
      <c r="BT2135" t="str">
        <f>HYPERLINK("https%3A%2F%2Fwww.webofscience.com%2Fwos%2Fwoscc%2Ffull-record%2FWOS:000506407000020","View Full Record in Web of Science")</f>
        <v>View Full Record in Web of Science</v>
      </c>
    </row>
    <row r="2136" spans="1:72" x14ac:dyDescent="0.15">
      <c r="A2136" t="s">
        <v>98</v>
      </c>
      <c r="B2136" t="s">
        <v>29111</v>
      </c>
      <c r="C2136" t="s">
        <v>74</v>
      </c>
      <c r="D2136" t="s">
        <v>74</v>
      </c>
      <c r="E2136" t="s">
        <v>74</v>
      </c>
      <c r="F2136" t="s">
        <v>29112</v>
      </c>
      <c r="G2136" t="s">
        <v>74</v>
      </c>
      <c r="H2136" t="s">
        <v>74</v>
      </c>
      <c r="I2136" t="s">
        <v>29113</v>
      </c>
      <c r="J2136" t="s">
        <v>16384</v>
      </c>
      <c r="K2136" t="s">
        <v>74</v>
      </c>
      <c r="L2136" t="s">
        <v>74</v>
      </c>
      <c r="M2136" t="s">
        <v>74</v>
      </c>
      <c r="N2136" t="s">
        <v>103</v>
      </c>
      <c r="O2136" t="s">
        <v>74</v>
      </c>
      <c r="P2136" t="s">
        <v>74</v>
      </c>
      <c r="Q2136" t="s">
        <v>74</v>
      </c>
      <c r="R2136" t="s">
        <v>74</v>
      </c>
      <c r="S2136" t="s">
        <v>74</v>
      </c>
      <c r="T2136" t="s">
        <v>29114</v>
      </c>
      <c r="U2136" t="s">
        <v>29115</v>
      </c>
      <c r="V2136" t="s">
        <v>29116</v>
      </c>
      <c r="W2136" t="s">
        <v>29117</v>
      </c>
      <c r="X2136" t="s">
        <v>29118</v>
      </c>
      <c r="Y2136" t="s">
        <v>29119</v>
      </c>
      <c r="Z2136" t="s">
        <v>29120</v>
      </c>
      <c r="AA2136" t="s">
        <v>29121</v>
      </c>
      <c r="AB2136" t="s">
        <v>29122</v>
      </c>
      <c r="AC2136" t="s">
        <v>74</v>
      </c>
      <c r="AD2136" t="s">
        <v>74</v>
      </c>
      <c r="AE2136" t="s">
        <v>74</v>
      </c>
      <c r="AF2136" t="s">
        <v>74</v>
      </c>
      <c r="AG2136">
        <v>43</v>
      </c>
      <c r="AH2136">
        <v>0</v>
      </c>
      <c r="AI2136">
        <v>0</v>
      </c>
      <c r="AJ2136">
        <v>1</v>
      </c>
      <c r="AK2136">
        <v>1</v>
      </c>
      <c r="AL2136" t="s">
        <v>74</v>
      </c>
      <c r="AM2136" t="s">
        <v>74</v>
      </c>
      <c r="AN2136" t="s">
        <v>74</v>
      </c>
      <c r="AO2136" t="s">
        <v>74</v>
      </c>
      <c r="AP2136" t="s">
        <v>16394</v>
      </c>
      <c r="AQ2136" t="s">
        <v>74</v>
      </c>
      <c r="AR2136" t="s">
        <v>74</v>
      </c>
      <c r="AS2136" t="s">
        <v>74</v>
      </c>
      <c r="AT2136" t="s">
        <v>614</v>
      </c>
      <c r="AU2136">
        <v>2022</v>
      </c>
      <c r="AV2136">
        <v>12</v>
      </c>
      <c r="AW2136">
        <v>7</v>
      </c>
      <c r="AX2136" t="s">
        <v>74</v>
      </c>
      <c r="AY2136" t="s">
        <v>74</v>
      </c>
      <c r="AZ2136" t="s">
        <v>74</v>
      </c>
      <c r="BA2136" t="s">
        <v>74</v>
      </c>
      <c r="BB2136" t="s">
        <v>74</v>
      </c>
      <c r="BC2136" t="s">
        <v>74</v>
      </c>
      <c r="BD2136">
        <v>451</v>
      </c>
      <c r="BE2136" t="s">
        <v>29123</v>
      </c>
      <c r="BF2136" t="str">
        <f>HYPERLINK("http://dx.doi.org/10.3390/bios12070451","http://dx.doi.org/10.3390/bios12070451")</f>
        <v>http://dx.doi.org/10.3390/bios12070451</v>
      </c>
      <c r="BG2136" t="s">
        <v>74</v>
      </c>
      <c r="BH2136" t="s">
        <v>74</v>
      </c>
      <c r="BI2136" t="s">
        <v>74</v>
      </c>
      <c r="BJ2136" t="s">
        <v>16396</v>
      </c>
      <c r="BK2136" t="s">
        <v>117</v>
      </c>
      <c r="BL2136" t="s">
        <v>16397</v>
      </c>
      <c r="BM2136" t="s">
        <v>74</v>
      </c>
      <c r="BN2136">
        <v>35884255</v>
      </c>
      <c r="BO2136" t="s">
        <v>74</v>
      </c>
      <c r="BP2136" t="s">
        <v>74</v>
      </c>
      <c r="BQ2136" t="s">
        <v>74</v>
      </c>
      <c r="BR2136" t="s">
        <v>96</v>
      </c>
      <c r="BS2136" t="s">
        <v>29124</v>
      </c>
      <c r="BT2136" t="str">
        <f>HYPERLINK("https%3A%2F%2Fwww.webofscience.com%2Fwos%2Fwoscc%2Ffull-record%2FWOS:000831996100001","View Full Record in Web of Science")</f>
        <v>View Full Record in Web of Science</v>
      </c>
    </row>
    <row r="2137" spans="1:72" x14ac:dyDescent="0.15">
      <c r="A2137" t="s">
        <v>98</v>
      </c>
      <c r="B2137" t="s">
        <v>29180</v>
      </c>
      <c r="C2137" t="s">
        <v>74</v>
      </c>
      <c r="D2137" t="s">
        <v>74</v>
      </c>
      <c r="E2137" t="s">
        <v>74</v>
      </c>
      <c r="F2137" t="s">
        <v>29181</v>
      </c>
      <c r="G2137" t="s">
        <v>74</v>
      </c>
      <c r="H2137" t="s">
        <v>74</v>
      </c>
      <c r="I2137" t="s">
        <v>29182</v>
      </c>
      <c r="J2137" t="s">
        <v>29183</v>
      </c>
      <c r="K2137" t="s">
        <v>74</v>
      </c>
      <c r="L2137" t="s">
        <v>74</v>
      </c>
      <c r="M2137" t="s">
        <v>74</v>
      </c>
      <c r="N2137" t="s">
        <v>103</v>
      </c>
      <c r="O2137" t="s">
        <v>74</v>
      </c>
      <c r="P2137" t="s">
        <v>74</v>
      </c>
      <c r="Q2137" t="s">
        <v>74</v>
      </c>
      <c r="R2137" t="s">
        <v>74</v>
      </c>
      <c r="S2137" t="s">
        <v>74</v>
      </c>
      <c r="T2137" t="s">
        <v>29184</v>
      </c>
      <c r="U2137" t="s">
        <v>29185</v>
      </c>
      <c r="V2137" t="s">
        <v>29186</v>
      </c>
      <c r="W2137" t="s">
        <v>29187</v>
      </c>
      <c r="X2137" t="s">
        <v>29188</v>
      </c>
      <c r="Y2137" t="s">
        <v>29189</v>
      </c>
      <c r="Z2137" t="s">
        <v>29190</v>
      </c>
      <c r="AA2137" t="s">
        <v>29191</v>
      </c>
      <c r="AB2137" t="s">
        <v>29192</v>
      </c>
      <c r="AC2137" t="s">
        <v>74</v>
      </c>
      <c r="AD2137" t="s">
        <v>74</v>
      </c>
      <c r="AE2137" t="s">
        <v>74</v>
      </c>
      <c r="AF2137" t="s">
        <v>74</v>
      </c>
      <c r="AG2137">
        <v>53</v>
      </c>
      <c r="AH2137">
        <v>0</v>
      </c>
      <c r="AI2137">
        <v>0</v>
      </c>
      <c r="AJ2137">
        <v>4</v>
      </c>
      <c r="AK2137">
        <v>4</v>
      </c>
      <c r="AL2137" t="s">
        <v>74</v>
      </c>
      <c r="AM2137" t="s">
        <v>74</v>
      </c>
      <c r="AN2137" t="s">
        <v>74</v>
      </c>
      <c r="AO2137" t="s">
        <v>29193</v>
      </c>
      <c r="AP2137" t="s">
        <v>29194</v>
      </c>
      <c r="AQ2137" t="s">
        <v>74</v>
      </c>
      <c r="AR2137" t="s">
        <v>74</v>
      </c>
      <c r="AS2137" t="s">
        <v>74</v>
      </c>
      <c r="AT2137" t="s">
        <v>74</v>
      </c>
      <c r="AU2137">
        <v>2022</v>
      </c>
      <c r="AV2137">
        <v>39</v>
      </c>
      <c r="AW2137">
        <v>1</v>
      </c>
      <c r="AX2137" t="s">
        <v>74</v>
      </c>
      <c r="AY2137" t="s">
        <v>74</v>
      </c>
      <c r="AZ2137" t="s">
        <v>74</v>
      </c>
      <c r="BA2137" t="s">
        <v>74</v>
      </c>
      <c r="BB2137">
        <v>13</v>
      </c>
      <c r="BC2137">
        <v>21</v>
      </c>
      <c r="BD2137" t="s">
        <v>74</v>
      </c>
      <c r="BE2137" t="s">
        <v>29195</v>
      </c>
      <c r="BF2137" t="str">
        <f>HYPERLINK("http://dx.doi.org/10.4274/tjh.galenos.2021.2021.0607","http://dx.doi.org/10.4274/tjh.galenos.2021.2021.0607")</f>
        <v>http://dx.doi.org/10.4274/tjh.galenos.2021.2021.0607</v>
      </c>
      <c r="BG2137" t="s">
        <v>74</v>
      </c>
      <c r="BH2137" t="s">
        <v>74</v>
      </c>
      <c r="BI2137" t="s">
        <v>74</v>
      </c>
      <c r="BJ2137" t="s">
        <v>2438</v>
      </c>
      <c r="BK2137" t="s">
        <v>117</v>
      </c>
      <c r="BL2137" t="s">
        <v>2438</v>
      </c>
      <c r="BM2137" t="s">
        <v>74</v>
      </c>
      <c r="BN2137">
        <v>34981912</v>
      </c>
      <c r="BO2137" t="s">
        <v>74</v>
      </c>
      <c r="BP2137" t="s">
        <v>74</v>
      </c>
      <c r="BQ2137" t="s">
        <v>74</v>
      </c>
      <c r="BR2137" t="s">
        <v>96</v>
      </c>
      <c r="BS2137" t="s">
        <v>29196</v>
      </c>
      <c r="BT2137" t="str">
        <f>HYPERLINK("https%3A%2F%2Fwww.webofscience.com%2Fwos%2Fwoscc%2Ffull-record%2FWOS:000761303000002","View Full Record in Web of Science")</f>
        <v>View Full Record in Web of Science</v>
      </c>
    </row>
    <row r="2138" spans="1:72" x14ac:dyDescent="0.15">
      <c r="A2138" t="s">
        <v>98</v>
      </c>
      <c r="B2138" t="s">
        <v>29244</v>
      </c>
      <c r="C2138" t="s">
        <v>74</v>
      </c>
      <c r="D2138" t="s">
        <v>74</v>
      </c>
      <c r="E2138" t="s">
        <v>74</v>
      </c>
      <c r="F2138" t="s">
        <v>29245</v>
      </c>
      <c r="G2138" t="s">
        <v>74</v>
      </c>
      <c r="H2138" t="s">
        <v>74</v>
      </c>
      <c r="I2138" t="s">
        <v>29246</v>
      </c>
      <c r="J2138" t="s">
        <v>29247</v>
      </c>
      <c r="K2138" t="s">
        <v>74</v>
      </c>
      <c r="L2138" t="s">
        <v>74</v>
      </c>
      <c r="M2138" t="s">
        <v>74</v>
      </c>
      <c r="N2138" t="s">
        <v>103</v>
      </c>
      <c r="O2138" t="s">
        <v>74</v>
      </c>
      <c r="P2138" t="s">
        <v>74</v>
      </c>
      <c r="Q2138" t="s">
        <v>74</v>
      </c>
      <c r="R2138" t="s">
        <v>74</v>
      </c>
      <c r="S2138" t="s">
        <v>74</v>
      </c>
      <c r="T2138" t="s">
        <v>29248</v>
      </c>
      <c r="U2138" t="s">
        <v>29249</v>
      </c>
      <c r="V2138" t="s">
        <v>29250</v>
      </c>
      <c r="W2138" t="s">
        <v>29251</v>
      </c>
      <c r="X2138" t="s">
        <v>29252</v>
      </c>
      <c r="Y2138" t="s">
        <v>29253</v>
      </c>
      <c r="Z2138" t="s">
        <v>29254</v>
      </c>
      <c r="AA2138" t="s">
        <v>29255</v>
      </c>
      <c r="AB2138" t="s">
        <v>29256</v>
      </c>
      <c r="AC2138" t="s">
        <v>74</v>
      </c>
      <c r="AD2138" t="s">
        <v>74</v>
      </c>
      <c r="AE2138" t="s">
        <v>74</v>
      </c>
      <c r="AF2138" t="s">
        <v>74</v>
      </c>
      <c r="AG2138">
        <v>38</v>
      </c>
      <c r="AH2138">
        <v>0</v>
      </c>
      <c r="AI2138">
        <v>0</v>
      </c>
      <c r="AJ2138">
        <v>0</v>
      </c>
      <c r="AK2138">
        <v>0</v>
      </c>
      <c r="AL2138" t="s">
        <v>74</v>
      </c>
      <c r="AM2138" t="s">
        <v>74</v>
      </c>
      <c r="AN2138" t="s">
        <v>74</v>
      </c>
      <c r="AO2138" t="s">
        <v>74</v>
      </c>
      <c r="AP2138" t="s">
        <v>29257</v>
      </c>
      <c r="AQ2138" t="s">
        <v>74</v>
      </c>
      <c r="AR2138" t="s">
        <v>74</v>
      </c>
      <c r="AS2138" t="s">
        <v>74</v>
      </c>
      <c r="AT2138" t="s">
        <v>132</v>
      </c>
      <c r="AU2138">
        <v>2022</v>
      </c>
      <c r="AV2138">
        <v>12</v>
      </c>
      <c r="AW2138">
        <v>4</v>
      </c>
      <c r="AX2138" t="s">
        <v>74</v>
      </c>
      <c r="AY2138" t="s">
        <v>74</v>
      </c>
      <c r="AZ2138" t="s">
        <v>74</v>
      </c>
      <c r="BA2138" t="s">
        <v>74</v>
      </c>
      <c r="BB2138" t="s">
        <v>74</v>
      </c>
      <c r="BC2138" t="s">
        <v>74</v>
      </c>
      <c r="BD2138">
        <v>506</v>
      </c>
      <c r="BE2138" t="s">
        <v>29258</v>
      </c>
      <c r="BF2138" t="str">
        <f>HYPERLINK("http://dx.doi.org/10.3390/life12040506","http://dx.doi.org/10.3390/life12040506")</f>
        <v>http://dx.doi.org/10.3390/life12040506</v>
      </c>
      <c r="BG2138" t="s">
        <v>74</v>
      </c>
      <c r="BH2138" t="s">
        <v>74</v>
      </c>
      <c r="BI2138" t="s">
        <v>74</v>
      </c>
      <c r="BJ2138" t="s">
        <v>29259</v>
      </c>
      <c r="BK2138" t="s">
        <v>117</v>
      </c>
      <c r="BL2138" t="s">
        <v>29260</v>
      </c>
      <c r="BM2138" t="s">
        <v>74</v>
      </c>
      <c r="BN2138">
        <v>35454997</v>
      </c>
      <c r="BO2138" t="s">
        <v>74</v>
      </c>
      <c r="BP2138" t="s">
        <v>74</v>
      </c>
      <c r="BQ2138" t="s">
        <v>74</v>
      </c>
      <c r="BR2138" t="s">
        <v>96</v>
      </c>
      <c r="BS2138" t="s">
        <v>29261</v>
      </c>
      <c r="BT2138" t="str">
        <f>HYPERLINK("https%3A%2F%2Fwww.webofscience.com%2Fwos%2Fwoscc%2Ffull-record%2FWOS:000785333700001","View Full Record in Web of Science")</f>
        <v>View Full Record in Web of Science</v>
      </c>
    </row>
    <row r="2139" spans="1:72" x14ac:dyDescent="0.15">
      <c r="A2139" t="s">
        <v>98</v>
      </c>
      <c r="B2139" t="s">
        <v>29322</v>
      </c>
      <c r="C2139" t="s">
        <v>74</v>
      </c>
      <c r="D2139" t="s">
        <v>74</v>
      </c>
      <c r="E2139" t="s">
        <v>74</v>
      </c>
      <c r="F2139" t="s">
        <v>29323</v>
      </c>
      <c r="G2139" t="s">
        <v>74</v>
      </c>
      <c r="H2139" t="s">
        <v>74</v>
      </c>
      <c r="I2139" t="s">
        <v>29324</v>
      </c>
      <c r="J2139" t="s">
        <v>3864</v>
      </c>
      <c r="K2139" t="s">
        <v>74</v>
      </c>
      <c r="L2139" t="s">
        <v>74</v>
      </c>
      <c r="M2139" t="s">
        <v>74</v>
      </c>
      <c r="N2139" t="s">
        <v>103</v>
      </c>
      <c r="O2139" t="s">
        <v>74</v>
      </c>
      <c r="P2139" t="s">
        <v>74</v>
      </c>
      <c r="Q2139" t="s">
        <v>74</v>
      </c>
      <c r="R2139" t="s">
        <v>74</v>
      </c>
      <c r="S2139" t="s">
        <v>74</v>
      </c>
      <c r="T2139" t="s">
        <v>29325</v>
      </c>
      <c r="U2139" t="s">
        <v>29326</v>
      </c>
      <c r="V2139" t="s">
        <v>29327</v>
      </c>
      <c r="W2139" t="s">
        <v>29328</v>
      </c>
      <c r="X2139" t="s">
        <v>29329</v>
      </c>
      <c r="Y2139" t="s">
        <v>29330</v>
      </c>
      <c r="Z2139" t="s">
        <v>29331</v>
      </c>
      <c r="AA2139" t="s">
        <v>74</v>
      </c>
      <c r="AB2139" t="s">
        <v>74</v>
      </c>
      <c r="AC2139" t="s">
        <v>74</v>
      </c>
      <c r="AD2139" t="s">
        <v>74</v>
      </c>
      <c r="AE2139" t="s">
        <v>74</v>
      </c>
      <c r="AF2139" t="s">
        <v>74</v>
      </c>
      <c r="AG2139">
        <v>45</v>
      </c>
      <c r="AH2139">
        <v>0</v>
      </c>
      <c r="AI2139">
        <v>0</v>
      </c>
      <c r="AJ2139">
        <v>36</v>
      </c>
      <c r="AK2139">
        <v>36</v>
      </c>
      <c r="AL2139" t="s">
        <v>74</v>
      </c>
      <c r="AM2139" t="s">
        <v>74</v>
      </c>
      <c r="AN2139" t="s">
        <v>74</v>
      </c>
      <c r="AO2139" t="s">
        <v>74</v>
      </c>
      <c r="AP2139" t="s">
        <v>3874</v>
      </c>
      <c r="AQ2139" t="s">
        <v>74</v>
      </c>
      <c r="AR2139" t="s">
        <v>74</v>
      </c>
      <c r="AS2139" t="s">
        <v>74</v>
      </c>
      <c r="AT2139" t="s">
        <v>12575</v>
      </c>
      <c r="AU2139">
        <v>2022</v>
      </c>
      <c r="AV2139">
        <v>20</v>
      </c>
      <c r="AW2139">
        <v>1</v>
      </c>
      <c r="AX2139" t="s">
        <v>74</v>
      </c>
      <c r="AY2139" t="s">
        <v>74</v>
      </c>
      <c r="AZ2139" t="s">
        <v>74</v>
      </c>
      <c r="BA2139" t="s">
        <v>74</v>
      </c>
      <c r="BB2139" t="s">
        <v>74</v>
      </c>
      <c r="BC2139" t="s">
        <v>74</v>
      </c>
      <c r="BD2139">
        <v>94</v>
      </c>
      <c r="BE2139" t="s">
        <v>29332</v>
      </c>
      <c r="BF2139" t="str">
        <f>HYPERLINK("http://dx.doi.org/10.1186/s12951-022-01289-w","http://dx.doi.org/10.1186/s12951-022-01289-w")</f>
        <v>http://dx.doi.org/10.1186/s12951-022-01289-w</v>
      </c>
      <c r="BG2139" t="s">
        <v>74</v>
      </c>
      <c r="BH2139" t="s">
        <v>74</v>
      </c>
      <c r="BI2139" t="s">
        <v>74</v>
      </c>
      <c r="BJ2139" t="s">
        <v>3877</v>
      </c>
      <c r="BK2139" t="s">
        <v>117</v>
      </c>
      <c r="BL2139" t="s">
        <v>3878</v>
      </c>
      <c r="BM2139" t="s">
        <v>74</v>
      </c>
      <c r="BN2139">
        <v>35197099</v>
      </c>
      <c r="BO2139" t="s">
        <v>74</v>
      </c>
      <c r="BP2139" t="s">
        <v>74</v>
      </c>
      <c r="BQ2139" t="s">
        <v>74</v>
      </c>
      <c r="BR2139" t="s">
        <v>96</v>
      </c>
      <c r="BS2139" t="s">
        <v>29333</v>
      </c>
      <c r="BT2139" t="str">
        <f>HYPERLINK("https%3A%2F%2Fwww.webofscience.com%2Fwos%2Fwoscc%2Ffull-record%2FWOS:000760206100001","View Full Record in Web of Science")</f>
        <v>View Full Record in Web of Science</v>
      </c>
    </row>
    <row r="2140" spans="1:72" x14ac:dyDescent="0.15">
      <c r="A2140" t="s">
        <v>98</v>
      </c>
      <c r="B2140" t="s">
        <v>29387</v>
      </c>
      <c r="C2140" t="s">
        <v>74</v>
      </c>
      <c r="D2140" t="s">
        <v>74</v>
      </c>
      <c r="E2140" t="s">
        <v>74</v>
      </c>
      <c r="F2140" t="s">
        <v>29388</v>
      </c>
      <c r="G2140" t="s">
        <v>74</v>
      </c>
      <c r="H2140" t="s">
        <v>74</v>
      </c>
      <c r="I2140" t="s">
        <v>29389</v>
      </c>
      <c r="J2140" t="s">
        <v>20070</v>
      </c>
      <c r="K2140" t="s">
        <v>74</v>
      </c>
      <c r="L2140" t="s">
        <v>74</v>
      </c>
      <c r="M2140" t="s">
        <v>74</v>
      </c>
      <c r="N2140" t="s">
        <v>103</v>
      </c>
      <c r="O2140" t="s">
        <v>74</v>
      </c>
      <c r="P2140" t="s">
        <v>74</v>
      </c>
      <c r="Q2140" t="s">
        <v>74</v>
      </c>
      <c r="R2140" t="s">
        <v>74</v>
      </c>
      <c r="S2140" t="s">
        <v>74</v>
      </c>
      <c r="T2140" t="s">
        <v>74</v>
      </c>
      <c r="U2140" t="s">
        <v>29390</v>
      </c>
      <c r="V2140" t="s">
        <v>29391</v>
      </c>
      <c r="W2140" t="s">
        <v>29392</v>
      </c>
      <c r="X2140" t="s">
        <v>29393</v>
      </c>
      <c r="Y2140" t="s">
        <v>29394</v>
      </c>
      <c r="Z2140" t="s">
        <v>29395</v>
      </c>
      <c r="AA2140" t="s">
        <v>74</v>
      </c>
      <c r="AB2140" t="s">
        <v>74</v>
      </c>
      <c r="AC2140" t="s">
        <v>74</v>
      </c>
      <c r="AD2140" t="s">
        <v>74</v>
      </c>
      <c r="AE2140" t="s">
        <v>74</v>
      </c>
      <c r="AF2140" t="s">
        <v>74</v>
      </c>
      <c r="AG2140">
        <v>46</v>
      </c>
      <c r="AH2140">
        <v>0</v>
      </c>
      <c r="AI2140">
        <v>0</v>
      </c>
      <c r="AJ2140">
        <v>0</v>
      </c>
      <c r="AK2140">
        <v>3</v>
      </c>
      <c r="AL2140" t="s">
        <v>74</v>
      </c>
      <c r="AM2140" t="s">
        <v>74</v>
      </c>
      <c r="AN2140" t="s">
        <v>74</v>
      </c>
      <c r="AO2140" t="s">
        <v>20077</v>
      </c>
      <c r="AP2140" t="s">
        <v>20078</v>
      </c>
      <c r="AQ2140" t="s">
        <v>74</v>
      </c>
      <c r="AR2140" t="s">
        <v>74</v>
      </c>
      <c r="AS2140" t="s">
        <v>74</v>
      </c>
      <c r="AT2140" t="s">
        <v>283</v>
      </c>
      <c r="AU2140">
        <v>2021</v>
      </c>
      <c r="AV2140">
        <v>28</v>
      </c>
      <c r="AW2140" t="s">
        <v>1694</v>
      </c>
      <c r="AX2140" t="s">
        <v>74</v>
      </c>
      <c r="AY2140" t="s">
        <v>74</v>
      </c>
      <c r="AZ2140" t="s">
        <v>74</v>
      </c>
      <c r="BA2140" t="s">
        <v>74</v>
      </c>
      <c r="BB2140">
        <v>38</v>
      </c>
      <c r="BC2140">
        <v>55</v>
      </c>
      <c r="BD2140" t="s">
        <v>74</v>
      </c>
      <c r="BE2140" t="s">
        <v>29396</v>
      </c>
      <c r="BF2140" t="str">
        <f>HYPERLINK("http://dx.doi.org/10.1038/s41434-020-0136-x","http://dx.doi.org/10.1038/s41434-020-0136-x")</f>
        <v>http://dx.doi.org/10.1038/s41434-020-0136-x</v>
      </c>
      <c r="BG2140" t="s">
        <v>74</v>
      </c>
      <c r="BH2140" t="s">
        <v>3944</v>
      </c>
      <c r="BI2140" t="s">
        <v>74</v>
      </c>
      <c r="BJ2140" t="s">
        <v>20080</v>
      </c>
      <c r="BK2140" t="s">
        <v>117</v>
      </c>
      <c r="BL2140" t="s">
        <v>20081</v>
      </c>
      <c r="BM2140" t="s">
        <v>74</v>
      </c>
      <c r="BN2140">
        <v>32127652</v>
      </c>
      <c r="BO2140" t="s">
        <v>74</v>
      </c>
      <c r="BP2140" t="s">
        <v>74</v>
      </c>
      <c r="BQ2140" t="s">
        <v>74</v>
      </c>
      <c r="BR2140" t="s">
        <v>96</v>
      </c>
      <c r="BS2140" t="s">
        <v>29397</v>
      </c>
      <c r="BT2140" t="str">
        <f>HYPERLINK("https%3A%2F%2Fwww.webofscience.com%2Fwos%2Fwoscc%2Ffull-record%2FWOS:000517861300001","View Full Record in Web of Science")</f>
        <v>View Full Record in Web of Science</v>
      </c>
    </row>
    <row r="2141" spans="1:72" x14ac:dyDescent="0.15">
      <c r="A2141" t="s">
        <v>98</v>
      </c>
      <c r="B2141" t="s">
        <v>29779</v>
      </c>
      <c r="C2141" t="s">
        <v>74</v>
      </c>
      <c r="D2141" t="s">
        <v>74</v>
      </c>
      <c r="E2141" t="s">
        <v>74</v>
      </c>
      <c r="F2141" t="s">
        <v>29780</v>
      </c>
      <c r="G2141" t="s">
        <v>74</v>
      </c>
      <c r="H2141" t="s">
        <v>74</v>
      </c>
      <c r="I2141" t="s">
        <v>29781</v>
      </c>
      <c r="J2141" t="s">
        <v>4486</v>
      </c>
      <c r="K2141" t="s">
        <v>74</v>
      </c>
      <c r="L2141" t="s">
        <v>74</v>
      </c>
      <c r="M2141" t="s">
        <v>74</v>
      </c>
      <c r="N2141" t="s">
        <v>103</v>
      </c>
      <c r="O2141" t="s">
        <v>74</v>
      </c>
      <c r="P2141" t="s">
        <v>74</v>
      </c>
      <c r="Q2141" t="s">
        <v>74</v>
      </c>
      <c r="R2141" t="s">
        <v>74</v>
      </c>
      <c r="S2141" t="s">
        <v>74</v>
      </c>
      <c r="T2141" t="s">
        <v>74</v>
      </c>
      <c r="U2141" t="s">
        <v>29782</v>
      </c>
      <c r="V2141" t="s">
        <v>29783</v>
      </c>
      <c r="W2141" t="s">
        <v>29784</v>
      </c>
      <c r="X2141" t="s">
        <v>29785</v>
      </c>
      <c r="Y2141" t="s">
        <v>29786</v>
      </c>
      <c r="Z2141" t="s">
        <v>29787</v>
      </c>
      <c r="AA2141" t="s">
        <v>29788</v>
      </c>
      <c r="AB2141" t="s">
        <v>29789</v>
      </c>
      <c r="AC2141" t="s">
        <v>74</v>
      </c>
      <c r="AD2141" t="s">
        <v>74</v>
      </c>
      <c r="AE2141" t="s">
        <v>74</v>
      </c>
      <c r="AF2141" t="s">
        <v>74</v>
      </c>
      <c r="AG2141">
        <v>45</v>
      </c>
      <c r="AH2141">
        <v>0</v>
      </c>
      <c r="AI2141">
        <v>0</v>
      </c>
      <c r="AJ2141">
        <v>7</v>
      </c>
      <c r="AK2141">
        <v>7</v>
      </c>
      <c r="AL2141" t="s">
        <v>74</v>
      </c>
      <c r="AM2141" t="s">
        <v>74</v>
      </c>
      <c r="AN2141" t="s">
        <v>74</v>
      </c>
      <c r="AO2141" t="s">
        <v>4493</v>
      </c>
      <c r="AP2141" t="s">
        <v>4494</v>
      </c>
      <c r="AQ2141" t="s">
        <v>74</v>
      </c>
      <c r="AR2141" t="s">
        <v>74</v>
      </c>
      <c r="AS2141" t="s">
        <v>74</v>
      </c>
      <c r="AT2141" t="s">
        <v>17631</v>
      </c>
      <c r="AU2141">
        <v>2022</v>
      </c>
      <c r="AV2141">
        <v>94</v>
      </c>
      <c r="AW2141">
        <v>23</v>
      </c>
      <c r="AX2141" t="s">
        <v>74</v>
      </c>
      <c r="AY2141" t="s">
        <v>74</v>
      </c>
      <c r="AZ2141" t="s">
        <v>74</v>
      </c>
      <c r="BA2141" t="s">
        <v>74</v>
      </c>
      <c r="BB2141">
        <v>8474</v>
      </c>
      <c r="BC2141">
        <v>8482</v>
      </c>
      <c r="BD2141" t="s">
        <v>74</v>
      </c>
      <c r="BE2141" t="s">
        <v>29790</v>
      </c>
      <c r="BF2141" t="str">
        <f>HYPERLINK("http://dx.doi.org/10.1021/acs.analchem.2c01313","http://dx.doi.org/10.1021/acs.analchem.2c01313")</f>
        <v>http://dx.doi.org/10.1021/acs.analchem.2c01313</v>
      </c>
      <c r="BG2141" t="s">
        <v>74</v>
      </c>
      <c r="BH2141" t="s">
        <v>74</v>
      </c>
      <c r="BI2141" t="s">
        <v>74</v>
      </c>
      <c r="BJ2141" t="s">
        <v>1118</v>
      </c>
      <c r="BK2141" t="s">
        <v>117</v>
      </c>
      <c r="BL2141" t="s">
        <v>1048</v>
      </c>
      <c r="BM2141" t="s">
        <v>74</v>
      </c>
      <c r="BN2141">
        <v>35652329</v>
      </c>
      <c r="BO2141" t="s">
        <v>74</v>
      </c>
      <c r="BP2141" t="s">
        <v>74</v>
      </c>
      <c r="BQ2141" t="s">
        <v>74</v>
      </c>
      <c r="BR2141" t="s">
        <v>96</v>
      </c>
      <c r="BS2141" t="s">
        <v>29791</v>
      </c>
      <c r="BT2141" t="str">
        <f>HYPERLINK("https%3A%2F%2Fwww.webofscience.com%2Fwos%2Fwoscc%2Ffull-record%2FWOS:000811939800001","View Full Record in Web of Science")</f>
        <v>View Full Record in Web of Science</v>
      </c>
    </row>
    <row r="2142" spans="1:72" x14ac:dyDescent="0.15">
      <c r="A2142" t="s">
        <v>98</v>
      </c>
      <c r="B2142" t="s">
        <v>29833</v>
      </c>
      <c r="C2142" t="s">
        <v>74</v>
      </c>
      <c r="D2142" t="s">
        <v>74</v>
      </c>
      <c r="E2142" t="s">
        <v>74</v>
      </c>
      <c r="F2142" t="s">
        <v>29834</v>
      </c>
      <c r="G2142" t="s">
        <v>74</v>
      </c>
      <c r="H2142" t="s">
        <v>74</v>
      </c>
      <c r="I2142" t="s">
        <v>29835</v>
      </c>
      <c r="J2142" t="s">
        <v>1432</v>
      </c>
      <c r="K2142" t="s">
        <v>74</v>
      </c>
      <c r="L2142" t="s">
        <v>74</v>
      </c>
      <c r="M2142" t="s">
        <v>74</v>
      </c>
      <c r="N2142" t="s">
        <v>103</v>
      </c>
      <c r="O2142" t="s">
        <v>74</v>
      </c>
      <c r="P2142" t="s">
        <v>74</v>
      </c>
      <c r="Q2142" t="s">
        <v>74</v>
      </c>
      <c r="R2142" t="s">
        <v>74</v>
      </c>
      <c r="S2142" t="s">
        <v>74</v>
      </c>
      <c r="T2142" t="s">
        <v>29836</v>
      </c>
      <c r="U2142" t="s">
        <v>29837</v>
      </c>
      <c r="V2142" t="s">
        <v>29838</v>
      </c>
      <c r="W2142" t="s">
        <v>29839</v>
      </c>
      <c r="X2142" t="s">
        <v>29840</v>
      </c>
      <c r="Y2142" t="s">
        <v>29841</v>
      </c>
      <c r="Z2142" t="s">
        <v>29842</v>
      </c>
      <c r="AA2142" t="s">
        <v>74</v>
      </c>
      <c r="AB2142" t="s">
        <v>74</v>
      </c>
      <c r="AC2142" t="s">
        <v>74</v>
      </c>
      <c r="AD2142" t="s">
        <v>74</v>
      </c>
      <c r="AE2142" t="s">
        <v>74</v>
      </c>
      <c r="AF2142" t="s">
        <v>74</v>
      </c>
      <c r="AG2142">
        <v>126</v>
      </c>
      <c r="AH2142">
        <v>0</v>
      </c>
      <c r="AI2142">
        <v>0</v>
      </c>
      <c r="AJ2142">
        <v>5</v>
      </c>
      <c r="AK2142">
        <v>17</v>
      </c>
      <c r="AL2142" t="s">
        <v>74</v>
      </c>
      <c r="AM2142" t="s">
        <v>74</v>
      </c>
      <c r="AN2142" t="s">
        <v>74</v>
      </c>
      <c r="AO2142" t="s">
        <v>1442</v>
      </c>
      <c r="AP2142" t="s">
        <v>1443</v>
      </c>
      <c r="AQ2142" t="s">
        <v>74</v>
      </c>
      <c r="AR2142" t="s">
        <v>74</v>
      </c>
      <c r="AS2142" t="s">
        <v>74</v>
      </c>
      <c r="AT2142" t="s">
        <v>9418</v>
      </c>
      <c r="AU2142">
        <v>2022</v>
      </c>
      <c r="AV2142">
        <v>28</v>
      </c>
      <c r="AW2142">
        <v>2</v>
      </c>
      <c r="AX2142" t="s">
        <v>74</v>
      </c>
      <c r="AY2142" t="s">
        <v>74</v>
      </c>
      <c r="AZ2142" t="s">
        <v>74</v>
      </c>
      <c r="BA2142" t="s">
        <v>74</v>
      </c>
      <c r="BB2142">
        <v>279</v>
      </c>
      <c r="BC2142">
        <v>294</v>
      </c>
      <c r="BD2142" t="s">
        <v>74</v>
      </c>
      <c r="BE2142" t="s">
        <v>29843</v>
      </c>
      <c r="BF2142" t="str">
        <f>HYPERLINK("http://dx.doi.org/10.1089/ten.teb.2020.0276","http://dx.doi.org/10.1089/ten.teb.2020.0276")</f>
        <v>http://dx.doi.org/10.1089/ten.teb.2020.0276</v>
      </c>
      <c r="BG2142" t="s">
        <v>74</v>
      </c>
      <c r="BH2142" t="s">
        <v>1136</v>
      </c>
      <c r="BI2142" t="s">
        <v>74</v>
      </c>
      <c r="BJ2142" t="s">
        <v>1445</v>
      </c>
      <c r="BK2142" t="s">
        <v>117</v>
      </c>
      <c r="BL2142" t="s">
        <v>1446</v>
      </c>
      <c r="BM2142" t="s">
        <v>74</v>
      </c>
      <c r="BN2142">
        <v>33528306</v>
      </c>
      <c r="BO2142" t="s">
        <v>74</v>
      </c>
      <c r="BP2142" t="s">
        <v>74</v>
      </c>
      <c r="BQ2142" t="s">
        <v>74</v>
      </c>
      <c r="BR2142" t="s">
        <v>96</v>
      </c>
      <c r="BS2142" t="s">
        <v>29844</v>
      </c>
      <c r="BT2142" t="str">
        <f>HYPERLINK("https%3A%2F%2Fwww.webofscience.com%2Fwos%2Fwoscc%2Ffull-record%2FWOS:000679484500001","View Full Record in Web of Science")</f>
        <v>View Full Record in Web of Science</v>
      </c>
    </row>
    <row r="2143" spans="1:72" x14ac:dyDescent="0.15">
      <c r="A2143" t="s">
        <v>72</v>
      </c>
      <c r="B2143" t="s">
        <v>29861</v>
      </c>
      <c r="C2143" t="s">
        <v>74</v>
      </c>
      <c r="D2143" t="s">
        <v>29263</v>
      </c>
      <c r="E2143" t="s">
        <v>74</v>
      </c>
      <c r="F2143" t="s">
        <v>29862</v>
      </c>
      <c r="G2143" t="s">
        <v>74</v>
      </c>
      <c r="H2143" t="s">
        <v>74</v>
      </c>
      <c r="I2143" t="s">
        <v>29863</v>
      </c>
      <c r="J2143" t="s">
        <v>29266</v>
      </c>
      <c r="K2143" t="s">
        <v>79</v>
      </c>
      <c r="L2143" t="s">
        <v>74</v>
      </c>
      <c r="M2143" t="s">
        <v>74</v>
      </c>
      <c r="N2143" t="s">
        <v>80</v>
      </c>
      <c r="O2143" t="s">
        <v>74</v>
      </c>
      <c r="P2143" t="s">
        <v>74</v>
      </c>
      <c r="Q2143" t="s">
        <v>74</v>
      </c>
      <c r="R2143" t="s">
        <v>74</v>
      </c>
      <c r="S2143" t="s">
        <v>74</v>
      </c>
      <c r="T2143" t="s">
        <v>29864</v>
      </c>
      <c r="U2143" t="s">
        <v>29865</v>
      </c>
      <c r="V2143" t="s">
        <v>29866</v>
      </c>
      <c r="W2143" t="s">
        <v>29867</v>
      </c>
      <c r="X2143" t="s">
        <v>29868</v>
      </c>
      <c r="Y2143" t="s">
        <v>29869</v>
      </c>
      <c r="Z2143" t="s">
        <v>74</v>
      </c>
      <c r="AA2143" t="s">
        <v>74</v>
      </c>
      <c r="AB2143" t="s">
        <v>29870</v>
      </c>
      <c r="AC2143" t="s">
        <v>74</v>
      </c>
      <c r="AD2143" t="s">
        <v>74</v>
      </c>
      <c r="AE2143" t="s">
        <v>74</v>
      </c>
      <c r="AF2143" t="s">
        <v>74</v>
      </c>
      <c r="AG2143">
        <v>28</v>
      </c>
      <c r="AH2143">
        <v>0</v>
      </c>
      <c r="AI2143">
        <v>0</v>
      </c>
      <c r="AJ2143">
        <v>0</v>
      </c>
      <c r="AK2143">
        <v>1</v>
      </c>
      <c r="AL2143" t="s">
        <v>74</v>
      </c>
      <c r="AM2143" t="s">
        <v>74</v>
      </c>
      <c r="AN2143" t="s">
        <v>74</v>
      </c>
      <c r="AO2143" t="s">
        <v>88</v>
      </c>
      <c r="AP2143" t="s">
        <v>89</v>
      </c>
      <c r="AQ2143" t="s">
        <v>29273</v>
      </c>
      <c r="AR2143" t="s">
        <v>74</v>
      </c>
      <c r="AS2143" t="s">
        <v>74</v>
      </c>
      <c r="AT2143" t="s">
        <v>74</v>
      </c>
      <c r="AU2143">
        <v>2016</v>
      </c>
      <c r="AV2143">
        <v>1448</v>
      </c>
      <c r="AW2143" t="s">
        <v>74</v>
      </c>
      <c r="AX2143" t="s">
        <v>74</v>
      </c>
      <c r="AY2143" t="s">
        <v>74</v>
      </c>
      <c r="AZ2143" t="s">
        <v>74</v>
      </c>
      <c r="BA2143" t="s">
        <v>74</v>
      </c>
      <c r="BB2143">
        <v>185</v>
      </c>
      <c r="BC2143">
        <v>198</v>
      </c>
      <c r="BD2143" t="s">
        <v>74</v>
      </c>
      <c r="BE2143" t="s">
        <v>29871</v>
      </c>
      <c r="BF2143" t="str">
        <f>HYPERLINK("http://dx.doi.org/10.1007/978-1-4939-3753-0_14","http://dx.doi.org/10.1007/978-1-4939-3753-0_14")</f>
        <v>http://dx.doi.org/10.1007/978-1-4939-3753-0_14</v>
      </c>
      <c r="BG2143" t="s">
        <v>29275</v>
      </c>
      <c r="BH2143" t="s">
        <v>74</v>
      </c>
      <c r="BI2143" t="s">
        <v>74</v>
      </c>
      <c r="BJ2143" t="s">
        <v>8267</v>
      </c>
      <c r="BK2143" t="s">
        <v>94</v>
      </c>
      <c r="BL2143" t="s">
        <v>950</v>
      </c>
      <c r="BM2143" t="s">
        <v>74</v>
      </c>
      <c r="BN2143">
        <v>27317182</v>
      </c>
      <c r="BO2143" t="s">
        <v>74</v>
      </c>
      <c r="BP2143" t="s">
        <v>74</v>
      </c>
      <c r="BQ2143" t="s">
        <v>74</v>
      </c>
      <c r="BR2143" t="s">
        <v>96</v>
      </c>
      <c r="BS2143" t="s">
        <v>29872</v>
      </c>
      <c r="BT2143" t="str">
        <f>HYPERLINK("https%3A%2F%2Fwww.webofscience.com%2Fwos%2Fwoscc%2Ffull-record%2FWOS:000386788700015","View Full Record in Web of Science")</f>
        <v>View Full Record in Web of Science</v>
      </c>
    </row>
    <row r="2144" spans="1:72" x14ac:dyDescent="0.15">
      <c r="A2144" t="s">
        <v>98</v>
      </c>
      <c r="B2144" t="s">
        <v>29873</v>
      </c>
      <c r="C2144" t="s">
        <v>74</v>
      </c>
      <c r="D2144" t="s">
        <v>74</v>
      </c>
      <c r="E2144" t="s">
        <v>74</v>
      </c>
      <c r="F2144" t="s">
        <v>29874</v>
      </c>
      <c r="G2144" t="s">
        <v>74</v>
      </c>
      <c r="H2144" t="s">
        <v>74</v>
      </c>
      <c r="I2144" t="s">
        <v>29875</v>
      </c>
      <c r="J2144" t="s">
        <v>11338</v>
      </c>
      <c r="K2144" t="s">
        <v>74</v>
      </c>
      <c r="L2144" t="s">
        <v>74</v>
      </c>
      <c r="M2144" t="s">
        <v>74</v>
      </c>
      <c r="N2144" t="s">
        <v>103</v>
      </c>
      <c r="O2144" t="s">
        <v>74</v>
      </c>
      <c r="P2144" t="s">
        <v>74</v>
      </c>
      <c r="Q2144" t="s">
        <v>74</v>
      </c>
      <c r="R2144" t="s">
        <v>74</v>
      </c>
      <c r="S2144" t="s">
        <v>74</v>
      </c>
      <c r="T2144" t="s">
        <v>74</v>
      </c>
      <c r="U2144" t="s">
        <v>29876</v>
      </c>
      <c r="V2144" t="s">
        <v>29877</v>
      </c>
      <c r="W2144" t="s">
        <v>29878</v>
      </c>
      <c r="X2144" t="s">
        <v>74</v>
      </c>
      <c r="Y2144" t="s">
        <v>29879</v>
      </c>
      <c r="Z2144" t="s">
        <v>29880</v>
      </c>
      <c r="AA2144" t="s">
        <v>74</v>
      </c>
      <c r="AB2144" t="s">
        <v>74</v>
      </c>
      <c r="AC2144" t="s">
        <v>74</v>
      </c>
      <c r="AD2144" t="s">
        <v>74</v>
      </c>
      <c r="AE2144" t="s">
        <v>74</v>
      </c>
      <c r="AF2144" t="s">
        <v>74</v>
      </c>
      <c r="AG2144">
        <v>72</v>
      </c>
      <c r="AH2144">
        <v>0</v>
      </c>
      <c r="AI2144">
        <v>0</v>
      </c>
      <c r="AJ2144">
        <v>0</v>
      </c>
      <c r="AK2144">
        <v>0</v>
      </c>
      <c r="AL2144" t="s">
        <v>74</v>
      </c>
      <c r="AM2144" t="s">
        <v>74</v>
      </c>
      <c r="AN2144" t="s">
        <v>74</v>
      </c>
      <c r="AO2144" t="s">
        <v>11346</v>
      </c>
      <c r="AP2144" t="s">
        <v>11347</v>
      </c>
      <c r="AQ2144" t="s">
        <v>74</v>
      </c>
      <c r="AR2144" t="s">
        <v>74</v>
      </c>
      <c r="AS2144" t="s">
        <v>74</v>
      </c>
      <c r="AT2144" t="s">
        <v>29881</v>
      </c>
      <c r="AU2144">
        <v>2022</v>
      </c>
      <c r="AV2144">
        <v>2022</v>
      </c>
      <c r="AW2144" t="s">
        <v>74</v>
      </c>
      <c r="AX2144" t="s">
        <v>74</v>
      </c>
      <c r="AY2144" t="s">
        <v>74</v>
      </c>
      <c r="AZ2144" t="s">
        <v>74</v>
      </c>
      <c r="BA2144" t="s">
        <v>74</v>
      </c>
      <c r="BB2144" t="s">
        <v>74</v>
      </c>
      <c r="BC2144" t="s">
        <v>74</v>
      </c>
      <c r="BD2144">
        <v>7819234</v>
      </c>
      <c r="BE2144" t="s">
        <v>29882</v>
      </c>
      <c r="BF2144" t="str">
        <f>HYPERLINK("http://dx.doi.org/10.1155/2022/7819234","http://dx.doi.org/10.1155/2022/7819234")</f>
        <v>http://dx.doi.org/10.1155/2022/7819234</v>
      </c>
      <c r="BG2144" t="s">
        <v>74</v>
      </c>
      <c r="BH2144" t="s">
        <v>74</v>
      </c>
      <c r="BI2144" t="s">
        <v>74</v>
      </c>
      <c r="BJ2144" t="s">
        <v>2100</v>
      </c>
      <c r="BK2144" t="s">
        <v>117</v>
      </c>
      <c r="BL2144" t="s">
        <v>135</v>
      </c>
      <c r="BM2144" t="s">
        <v>74</v>
      </c>
      <c r="BN2144">
        <v>35761831</v>
      </c>
      <c r="BO2144" t="s">
        <v>74</v>
      </c>
      <c r="BP2144" t="s">
        <v>74</v>
      </c>
      <c r="BQ2144" t="s">
        <v>74</v>
      </c>
      <c r="BR2144" t="s">
        <v>96</v>
      </c>
      <c r="BS2144" t="s">
        <v>29883</v>
      </c>
      <c r="BT2144" t="str">
        <f>HYPERLINK("https%3A%2F%2Fwww.webofscience.com%2Fwos%2Fwoscc%2Ffull-record%2FWOS:000817590700003","View Full Record in Web of Science")</f>
        <v>View Full Record in Web of Science</v>
      </c>
    </row>
    <row r="2145" spans="1:72" x14ac:dyDescent="0.15">
      <c r="A2145" t="s">
        <v>98</v>
      </c>
      <c r="B2145" t="s">
        <v>29884</v>
      </c>
      <c r="C2145" t="s">
        <v>74</v>
      </c>
      <c r="D2145" t="s">
        <v>74</v>
      </c>
      <c r="E2145" t="s">
        <v>74</v>
      </c>
      <c r="F2145" t="s">
        <v>29885</v>
      </c>
      <c r="G2145" t="s">
        <v>74</v>
      </c>
      <c r="H2145" t="s">
        <v>74</v>
      </c>
      <c r="I2145" t="s">
        <v>29886</v>
      </c>
      <c r="J2145" t="s">
        <v>8224</v>
      </c>
      <c r="K2145" t="s">
        <v>74</v>
      </c>
      <c r="L2145" t="s">
        <v>74</v>
      </c>
      <c r="M2145" t="s">
        <v>74</v>
      </c>
      <c r="N2145" t="s">
        <v>103</v>
      </c>
      <c r="O2145" t="s">
        <v>74</v>
      </c>
      <c r="P2145" t="s">
        <v>74</v>
      </c>
      <c r="Q2145" t="s">
        <v>74</v>
      </c>
      <c r="R2145" t="s">
        <v>74</v>
      </c>
      <c r="S2145" t="s">
        <v>74</v>
      </c>
      <c r="T2145" t="s">
        <v>29887</v>
      </c>
      <c r="U2145" t="s">
        <v>29888</v>
      </c>
      <c r="V2145" t="s">
        <v>29889</v>
      </c>
      <c r="W2145" t="s">
        <v>29890</v>
      </c>
      <c r="X2145" t="s">
        <v>29891</v>
      </c>
      <c r="Y2145" t="s">
        <v>29892</v>
      </c>
      <c r="Z2145" t="s">
        <v>29893</v>
      </c>
      <c r="AA2145" t="s">
        <v>29894</v>
      </c>
      <c r="AB2145" t="s">
        <v>29895</v>
      </c>
      <c r="AC2145" t="s">
        <v>74</v>
      </c>
      <c r="AD2145" t="s">
        <v>74</v>
      </c>
      <c r="AE2145" t="s">
        <v>74</v>
      </c>
      <c r="AF2145" t="s">
        <v>74</v>
      </c>
      <c r="AG2145">
        <v>89</v>
      </c>
      <c r="AH2145">
        <v>0</v>
      </c>
      <c r="AI2145">
        <v>0</v>
      </c>
      <c r="AJ2145">
        <v>4</v>
      </c>
      <c r="AK2145">
        <v>4</v>
      </c>
      <c r="AL2145" t="s">
        <v>74</v>
      </c>
      <c r="AM2145" t="s">
        <v>74</v>
      </c>
      <c r="AN2145" t="s">
        <v>74</v>
      </c>
      <c r="AO2145" t="s">
        <v>74</v>
      </c>
      <c r="AP2145" t="s">
        <v>8232</v>
      </c>
      <c r="AQ2145" t="s">
        <v>74</v>
      </c>
      <c r="AR2145" t="s">
        <v>74</v>
      </c>
      <c r="AS2145" t="s">
        <v>74</v>
      </c>
      <c r="AT2145" t="s">
        <v>170</v>
      </c>
      <c r="AU2145">
        <v>2022</v>
      </c>
      <c r="AV2145">
        <v>12</v>
      </c>
      <c r="AW2145">
        <v>6</v>
      </c>
      <c r="AX2145" t="s">
        <v>74</v>
      </c>
      <c r="AY2145" t="s">
        <v>74</v>
      </c>
      <c r="AZ2145" t="s">
        <v>74</v>
      </c>
      <c r="BA2145" t="s">
        <v>74</v>
      </c>
      <c r="BB2145" t="s">
        <v>74</v>
      </c>
      <c r="BC2145" t="s">
        <v>74</v>
      </c>
      <c r="BD2145">
        <v>550</v>
      </c>
      <c r="BE2145" t="s">
        <v>29896</v>
      </c>
      <c r="BF2145" t="str">
        <f>HYPERLINK("http://dx.doi.org/10.3390/metabo12060550","http://dx.doi.org/10.3390/metabo12060550")</f>
        <v>http://dx.doi.org/10.3390/metabo12060550</v>
      </c>
      <c r="BG2145" t="s">
        <v>74</v>
      </c>
      <c r="BH2145" t="s">
        <v>74</v>
      </c>
      <c r="BI2145" t="s">
        <v>74</v>
      </c>
      <c r="BJ2145" t="s">
        <v>95</v>
      </c>
      <c r="BK2145" t="s">
        <v>117</v>
      </c>
      <c r="BL2145" t="s">
        <v>95</v>
      </c>
      <c r="BM2145" t="s">
        <v>74</v>
      </c>
      <c r="BN2145">
        <v>35736483</v>
      </c>
      <c r="BO2145" t="s">
        <v>74</v>
      </c>
      <c r="BP2145" t="s">
        <v>74</v>
      </c>
      <c r="BQ2145" t="s">
        <v>74</v>
      </c>
      <c r="BR2145" t="s">
        <v>96</v>
      </c>
      <c r="BS2145" t="s">
        <v>29897</v>
      </c>
      <c r="BT2145" t="str">
        <f>HYPERLINK("https%3A%2F%2Fwww.webofscience.com%2Fwos%2Fwoscc%2Ffull-record%2FWOS:000817414000001","View Full Record in Web of Science")</f>
        <v>View Full Record in Web of Science</v>
      </c>
    </row>
    <row r="2146" spans="1:72" x14ac:dyDescent="0.15">
      <c r="A2146" t="s">
        <v>98</v>
      </c>
      <c r="B2146" t="s">
        <v>29898</v>
      </c>
      <c r="C2146" t="s">
        <v>74</v>
      </c>
      <c r="D2146" t="s">
        <v>74</v>
      </c>
      <c r="E2146" t="s">
        <v>74</v>
      </c>
      <c r="F2146" t="s">
        <v>29899</v>
      </c>
      <c r="G2146" t="s">
        <v>74</v>
      </c>
      <c r="H2146" t="s">
        <v>74</v>
      </c>
      <c r="I2146" t="s">
        <v>29900</v>
      </c>
      <c r="J2146" t="s">
        <v>1827</v>
      </c>
      <c r="K2146" t="s">
        <v>74</v>
      </c>
      <c r="L2146" t="s">
        <v>74</v>
      </c>
      <c r="M2146" t="s">
        <v>74</v>
      </c>
      <c r="N2146" t="s">
        <v>103</v>
      </c>
      <c r="O2146" t="s">
        <v>74</v>
      </c>
      <c r="P2146" t="s">
        <v>74</v>
      </c>
      <c r="Q2146" t="s">
        <v>74</v>
      </c>
      <c r="R2146" t="s">
        <v>74</v>
      </c>
      <c r="S2146" t="s">
        <v>74</v>
      </c>
      <c r="T2146" t="s">
        <v>29901</v>
      </c>
      <c r="U2146" t="s">
        <v>29902</v>
      </c>
      <c r="V2146" t="s">
        <v>29903</v>
      </c>
      <c r="W2146" t="s">
        <v>29904</v>
      </c>
      <c r="X2146" t="s">
        <v>29905</v>
      </c>
      <c r="Y2146" t="s">
        <v>29906</v>
      </c>
      <c r="Z2146" t="s">
        <v>29907</v>
      </c>
      <c r="AA2146" t="s">
        <v>74</v>
      </c>
      <c r="AB2146" t="s">
        <v>29908</v>
      </c>
      <c r="AC2146" t="s">
        <v>74</v>
      </c>
      <c r="AD2146" t="s">
        <v>74</v>
      </c>
      <c r="AE2146" t="s">
        <v>74</v>
      </c>
      <c r="AF2146" t="s">
        <v>74</v>
      </c>
      <c r="AG2146">
        <v>142</v>
      </c>
      <c r="AH2146">
        <v>0</v>
      </c>
      <c r="AI2146">
        <v>0</v>
      </c>
      <c r="AJ2146">
        <v>2</v>
      </c>
      <c r="AK2146">
        <v>3</v>
      </c>
      <c r="AL2146" t="s">
        <v>74</v>
      </c>
      <c r="AM2146" t="s">
        <v>74</v>
      </c>
      <c r="AN2146" t="s">
        <v>74</v>
      </c>
      <c r="AO2146" t="s">
        <v>74</v>
      </c>
      <c r="AP2146" t="s">
        <v>1836</v>
      </c>
      <c r="AQ2146" t="s">
        <v>74</v>
      </c>
      <c r="AR2146" t="s">
        <v>74</v>
      </c>
      <c r="AS2146" t="s">
        <v>74</v>
      </c>
      <c r="AT2146" t="s">
        <v>114</v>
      </c>
      <c r="AU2146">
        <v>2022</v>
      </c>
      <c r="AV2146">
        <v>11</v>
      </c>
      <c r="AW2146">
        <v>1</v>
      </c>
      <c r="AX2146" t="s">
        <v>74</v>
      </c>
      <c r="AY2146" t="s">
        <v>74</v>
      </c>
      <c r="AZ2146" t="s">
        <v>74</v>
      </c>
      <c r="BA2146" t="s">
        <v>74</v>
      </c>
      <c r="BB2146" t="s">
        <v>74</v>
      </c>
      <c r="BC2146" t="s">
        <v>74</v>
      </c>
      <c r="BD2146">
        <v>175</v>
      </c>
      <c r="BE2146" t="s">
        <v>29909</v>
      </c>
      <c r="BF2146" t="str">
        <f>HYPERLINK("http://dx.doi.org/10.3390/cells11010175","http://dx.doi.org/10.3390/cells11010175")</f>
        <v>http://dx.doi.org/10.3390/cells11010175</v>
      </c>
      <c r="BG2146" t="s">
        <v>74</v>
      </c>
      <c r="BH2146" t="s">
        <v>74</v>
      </c>
      <c r="BI2146" t="s">
        <v>74</v>
      </c>
      <c r="BJ2146" t="s">
        <v>135</v>
      </c>
      <c r="BK2146" t="s">
        <v>117</v>
      </c>
      <c r="BL2146" t="s">
        <v>135</v>
      </c>
      <c r="BM2146" t="s">
        <v>74</v>
      </c>
      <c r="BN2146">
        <v>35011735</v>
      </c>
      <c r="BO2146" t="s">
        <v>74</v>
      </c>
      <c r="BP2146" t="s">
        <v>74</v>
      </c>
      <c r="BQ2146" t="s">
        <v>74</v>
      </c>
      <c r="BR2146" t="s">
        <v>96</v>
      </c>
      <c r="BS2146" t="s">
        <v>29910</v>
      </c>
      <c r="BT2146" t="str">
        <f>HYPERLINK("https%3A%2F%2Fwww.webofscience.com%2Fwos%2Fwoscc%2Ffull-record%2FWOS:000743952400001","View Full Record in Web of Science")</f>
        <v>View Full Record in Web of Science</v>
      </c>
    </row>
    <row r="2147" spans="1:72" x14ac:dyDescent="0.15">
      <c r="A2147" t="s">
        <v>98</v>
      </c>
      <c r="B2147" t="s">
        <v>30050</v>
      </c>
      <c r="C2147" t="s">
        <v>74</v>
      </c>
      <c r="D2147" t="s">
        <v>74</v>
      </c>
      <c r="E2147" t="s">
        <v>74</v>
      </c>
      <c r="F2147" t="s">
        <v>30051</v>
      </c>
      <c r="G2147" t="s">
        <v>74</v>
      </c>
      <c r="H2147" t="s">
        <v>74</v>
      </c>
      <c r="I2147" t="s">
        <v>30052</v>
      </c>
      <c r="J2147" t="s">
        <v>30053</v>
      </c>
      <c r="K2147" t="s">
        <v>74</v>
      </c>
      <c r="L2147" t="s">
        <v>74</v>
      </c>
      <c r="M2147" t="s">
        <v>74</v>
      </c>
      <c r="N2147" t="s">
        <v>103</v>
      </c>
      <c r="O2147" t="s">
        <v>74</v>
      </c>
      <c r="P2147" t="s">
        <v>74</v>
      </c>
      <c r="Q2147" t="s">
        <v>74</v>
      </c>
      <c r="R2147" t="s">
        <v>74</v>
      </c>
      <c r="S2147" t="s">
        <v>74</v>
      </c>
      <c r="T2147" t="s">
        <v>30054</v>
      </c>
      <c r="U2147" t="s">
        <v>30055</v>
      </c>
      <c r="V2147" t="s">
        <v>30056</v>
      </c>
      <c r="W2147" t="s">
        <v>30057</v>
      </c>
      <c r="X2147" t="s">
        <v>30058</v>
      </c>
      <c r="Y2147" t="s">
        <v>30059</v>
      </c>
      <c r="Z2147" t="s">
        <v>30060</v>
      </c>
      <c r="AA2147" t="s">
        <v>30061</v>
      </c>
      <c r="AB2147" t="s">
        <v>30062</v>
      </c>
      <c r="AC2147" t="s">
        <v>74</v>
      </c>
      <c r="AD2147" t="s">
        <v>74</v>
      </c>
      <c r="AE2147" t="s">
        <v>74</v>
      </c>
      <c r="AF2147" t="s">
        <v>74</v>
      </c>
      <c r="AG2147">
        <v>113</v>
      </c>
      <c r="AH2147">
        <v>0</v>
      </c>
      <c r="AI2147">
        <v>0</v>
      </c>
      <c r="AJ2147">
        <v>0</v>
      </c>
      <c r="AK2147">
        <v>1</v>
      </c>
      <c r="AL2147" t="s">
        <v>74</v>
      </c>
      <c r="AM2147" t="s">
        <v>74</v>
      </c>
      <c r="AN2147" t="s">
        <v>74</v>
      </c>
      <c r="AO2147" t="s">
        <v>30063</v>
      </c>
      <c r="AP2147" t="s">
        <v>30064</v>
      </c>
      <c r="AQ2147" t="s">
        <v>74</v>
      </c>
      <c r="AR2147" t="s">
        <v>74</v>
      </c>
      <c r="AS2147" t="s">
        <v>74</v>
      </c>
      <c r="AT2147" t="s">
        <v>30065</v>
      </c>
      <c r="AU2147">
        <v>2021</v>
      </c>
      <c r="AV2147">
        <v>15</v>
      </c>
      <c r="AW2147">
        <v>5</v>
      </c>
      <c r="AX2147" t="s">
        <v>74</v>
      </c>
      <c r="AY2147" t="s">
        <v>74</v>
      </c>
      <c r="AZ2147" t="s">
        <v>447</v>
      </c>
      <c r="BA2147" t="s">
        <v>74</v>
      </c>
      <c r="BB2147">
        <v>487</v>
      </c>
      <c r="BC2147">
        <v>496</v>
      </c>
      <c r="BD2147" t="s">
        <v>74</v>
      </c>
      <c r="BE2147" t="s">
        <v>30066</v>
      </c>
      <c r="BF2147" t="str">
        <f>HYPERLINK("http://dx.doi.org/10.1080/17474124.2021.1900732","http://dx.doi.org/10.1080/17474124.2021.1900732")</f>
        <v>http://dx.doi.org/10.1080/17474124.2021.1900732</v>
      </c>
      <c r="BG2147" t="s">
        <v>74</v>
      </c>
      <c r="BH2147" t="s">
        <v>3345</v>
      </c>
      <c r="BI2147" t="s">
        <v>74</v>
      </c>
      <c r="BJ2147" t="s">
        <v>633</v>
      </c>
      <c r="BK2147" t="s">
        <v>117</v>
      </c>
      <c r="BL2147" t="s">
        <v>633</v>
      </c>
      <c r="BM2147" t="s">
        <v>74</v>
      </c>
      <c r="BN2147">
        <v>33682586</v>
      </c>
      <c r="BO2147" t="s">
        <v>74</v>
      </c>
      <c r="BP2147" t="s">
        <v>74</v>
      </c>
      <c r="BQ2147" t="s">
        <v>74</v>
      </c>
      <c r="BR2147" t="s">
        <v>96</v>
      </c>
      <c r="BS2147" t="s">
        <v>30067</v>
      </c>
      <c r="BT2147" t="str">
        <f>HYPERLINK("https%3A%2F%2Fwww.webofscience.com%2Fwos%2Fwoscc%2Ffull-record%2FWOS:000641525900001","View Full Record in Web of Science")</f>
        <v>View Full Record in Web of Science</v>
      </c>
    </row>
    <row r="2148" spans="1:72" x14ac:dyDescent="0.15">
      <c r="A2148" t="s">
        <v>98</v>
      </c>
      <c r="B2148" t="s">
        <v>30096</v>
      </c>
      <c r="C2148" t="s">
        <v>74</v>
      </c>
      <c r="D2148" t="s">
        <v>74</v>
      </c>
      <c r="E2148" t="s">
        <v>74</v>
      </c>
      <c r="F2148" t="s">
        <v>30097</v>
      </c>
      <c r="G2148" t="s">
        <v>74</v>
      </c>
      <c r="H2148" t="s">
        <v>74</v>
      </c>
      <c r="I2148" t="s">
        <v>30098</v>
      </c>
      <c r="J2148" t="s">
        <v>10654</v>
      </c>
      <c r="K2148" t="s">
        <v>74</v>
      </c>
      <c r="L2148" t="s">
        <v>74</v>
      </c>
      <c r="M2148" t="s">
        <v>74</v>
      </c>
      <c r="N2148" t="s">
        <v>103</v>
      </c>
      <c r="O2148" t="s">
        <v>74</v>
      </c>
      <c r="P2148" t="s">
        <v>74</v>
      </c>
      <c r="Q2148" t="s">
        <v>74</v>
      </c>
      <c r="R2148" t="s">
        <v>74</v>
      </c>
      <c r="S2148" t="s">
        <v>74</v>
      </c>
      <c r="T2148" t="s">
        <v>30099</v>
      </c>
      <c r="U2148" t="s">
        <v>30100</v>
      </c>
      <c r="V2148" t="s">
        <v>30101</v>
      </c>
      <c r="W2148" t="s">
        <v>30102</v>
      </c>
      <c r="X2148" t="s">
        <v>74</v>
      </c>
      <c r="Y2148" t="s">
        <v>30103</v>
      </c>
      <c r="Z2148" t="s">
        <v>30104</v>
      </c>
      <c r="AA2148" t="s">
        <v>74</v>
      </c>
      <c r="AB2148" t="s">
        <v>74</v>
      </c>
      <c r="AC2148" t="s">
        <v>74</v>
      </c>
      <c r="AD2148" t="s">
        <v>74</v>
      </c>
      <c r="AE2148" t="s">
        <v>74</v>
      </c>
      <c r="AF2148" t="s">
        <v>74</v>
      </c>
      <c r="AG2148">
        <v>289</v>
      </c>
      <c r="AH2148">
        <v>0</v>
      </c>
      <c r="AI2148">
        <v>0</v>
      </c>
      <c r="AJ2148">
        <v>0</v>
      </c>
      <c r="AK2148">
        <v>0</v>
      </c>
      <c r="AL2148" t="s">
        <v>74</v>
      </c>
      <c r="AM2148" t="s">
        <v>74</v>
      </c>
      <c r="AN2148" t="s">
        <v>74</v>
      </c>
      <c r="AO2148" t="s">
        <v>10663</v>
      </c>
      <c r="AP2148" t="s">
        <v>10664</v>
      </c>
      <c r="AQ2148" t="s">
        <v>74</v>
      </c>
      <c r="AR2148" t="s">
        <v>74</v>
      </c>
      <c r="AS2148" t="s">
        <v>74</v>
      </c>
      <c r="AT2148" t="s">
        <v>549</v>
      </c>
      <c r="AU2148">
        <v>2022</v>
      </c>
      <c r="AV2148">
        <v>532</v>
      </c>
      <c r="AW2148" t="s">
        <v>74</v>
      </c>
      <c r="AX2148" t="s">
        <v>74</v>
      </c>
      <c r="AY2148" t="s">
        <v>74</v>
      </c>
      <c r="AZ2148" t="s">
        <v>74</v>
      </c>
      <c r="BA2148" t="s">
        <v>74</v>
      </c>
      <c r="BB2148">
        <v>95</v>
      </c>
      <c r="BC2148">
        <v>114</v>
      </c>
      <c r="BD2148" t="s">
        <v>74</v>
      </c>
      <c r="BE2148" t="s">
        <v>30105</v>
      </c>
      <c r="BF2148" t="str">
        <f>HYPERLINK("http://dx.doi.org/10.1016/j.cca.2022.05.029","http://dx.doi.org/10.1016/j.cca.2022.05.029")</f>
        <v>http://dx.doi.org/10.1016/j.cca.2022.05.029</v>
      </c>
      <c r="BG2148" t="s">
        <v>74</v>
      </c>
      <c r="BH2148" t="s">
        <v>74</v>
      </c>
      <c r="BI2148" t="s">
        <v>74</v>
      </c>
      <c r="BJ2148" t="s">
        <v>2773</v>
      </c>
      <c r="BK2148" t="s">
        <v>117</v>
      </c>
      <c r="BL2148" t="s">
        <v>2773</v>
      </c>
      <c r="BM2148" t="s">
        <v>74</v>
      </c>
      <c r="BN2148">
        <v>35667477</v>
      </c>
      <c r="BO2148" t="s">
        <v>74</v>
      </c>
      <c r="BP2148" t="s">
        <v>74</v>
      </c>
      <c r="BQ2148" t="s">
        <v>74</v>
      </c>
      <c r="BR2148" t="s">
        <v>96</v>
      </c>
      <c r="BS2148" t="s">
        <v>30106</v>
      </c>
      <c r="BT2148" t="str">
        <f>HYPERLINK("https%3A%2F%2Fwww.webofscience.com%2Fwos%2Fwoscc%2Ffull-record%2FWOS:000813325700006","View Full Record in Web of Science")</f>
        <v>View Full Record in Web of Science</v>
      </c>
    </row>
    <row r="2149" spans="1:72" x14ac:dyDescent="0.15">
      <c r="A2149" t="s">
        <v>4291</v>
      </c>
      <c r="B2149" t="s">
        <v>30107</v>
      </c>
      <c r="C2149" t="s">
        <v>30107</v>
      </c>
      <c r="D2149" t="s">
        <v>74</v>
      </c>
      <c r="E2149" t="s">
        <v>74</v>
      </c>
      <c r="F2149" t="s">
        <v>30108</v>
      </c>
      <c r="G2149" t="s">
        <v>30107</v>
      </c>
      <c r="H2149" t="s">
        <v>74</v>
      </c>
      <c r="I2149" t="s">
        <v>30109</v>
      </c>
      <c r="J2149" t="s">
        <v>30110</v>
      </c>
      <c r="K2149" t="s">
        <v>74</v>
      </c>
      <c r="L2149" t="s">
        <v>74</v>
      </c>
      <c r="M2149" t="s">
        <v>74</v>
      </c>
      <c r="N2149" t="s">
        <v>80</v>
      </c>
      <c r="O2149" t="s">
        <v>74</v>
      </c>
      <c r="P2149" t="s">
        <v>74</v>
      </c>
      <c r="Q2149" t="s">
        <v>74</v>
      </c>
      <c r="R2149" t="s">
        <v>74</v>
      </c>
      <c r="S2149" t="s">
        <v>74</v>
      </c>
      <c r="T2149" t="s">
        <v>74</v>
      </c>
      <c r="U2149" t="s">
        <v>30111</v>
      </c>
      <c r="V2149" t="s">
        <v>74</v>
      </c>
      <c r="W2149" t="s">
        <v>74</v>
      </c>
      <c r="X2149" t="s">
        <v>74</v>
      </c>
      <c r="Y2149" t="s">
        <v>74</v>
      </c>
      <c r="Z2149" t="s">
        <v>74</v>
      </c>
      <c r="AA2149" t="s">
        <v>74</v>
      </c>
      <c r="AB2149" t="s">
        <v>74</v>
      </c>
      <c r="AC2149" t="s">
        <v>74</v>
      </c>
      <c r="AD2149" t="s">
        <v>74</v>
      </c>
      <c r="AE2149" t="s">
        <v>74</v>
      </c>
      <c r="AF2149" t="s">
        <v>74</v>
      </c>
      <c r="AG2149">
        <v>41</v>
      </c>
      <c r="AH2149">
        <v>0</v>
      </c>
      <c r="AI2149">
        <v>0</v>
      </c>
      <c r="AJ2149">
        <v>0</v>
      </c>
      <c r="AK2149">
        <v>0</v>
      </c>
      <c r="AL2149" t="s">
        <v>74</v>
      </c>
      <c r="AM2149" t="s">
        <v>74</v>
      </c>
      <c r="AN2149" t="s">
        <v>74</v>
      </c>
      <c r="AO2149" t="s">
        <v>74</v>
      </c>
      <c r="AP2149" t="s">
        <v>74</v>
      </c>
      <c r="AQ2149" t="s">
        <v>30112</v>
      </c>
      <c r="AR2149" t="s">
        <v>74</v>
      </c>
      <c r="AS2149" t="s">
        <v>74</v>
      </c>
      <c r="AT2149" t="s">
        <v>74</v>
      </c>
      <c r="AU2149">
        <v>2020</v>
      </c>
      <c r="AV2149" t="s">
        <v>74</v>
      </c>
      <c r="AW2149" t="s">
        <v>74</v>
      </c>
      <c r="AX2149" t="s">
        <v>74</v>
      </c>
      <c r="AY2149" t="s">
        <v>74</v>
      </c>
      <c r="AZ2149" t="s">
        <v>74</v>
      </c>
      <c r="BA2149" t="s">
        <v>74</v>
      </c>
      <c r="BB2149">
        <v>571</v>
      </c>
      <c r="BC2149">
        <v>580</v>
      </c>
      <c r="BD2149" t="s">
        <v>74</v>
      </c>
      <c r="BE2149" t="s">
        <v>74</v>
      </c>
      <c r="BF2149" t="s">
        <v>74</v>
      </c>
      <c r="BG2149" t="s">
        <v>74</v>
      </c>
      <c r="BH2149" t="s">
        <v>74</v>
      </c>
      <c r="BI2149" t="s">
        <v>74</v>
      </c>
      <c r="BJ2149" t="s">
        <v>4129</v>
      </c>
      <c r="BK2149" t="s">
        <v>94</v>
      </c>
      <c r="BL2149" t="s">
        <v>4130</v>
      </c>
      <c r="BM2149" t="s">
        <v>74</v>
      </c>
      <c r="BN2149" t="s">
        <v>74</v>
      </c>
      <c r="BO2149" t="s">
        <v>74</v>
      </c>
      <c r="BP2149" t="s">
        <v>74</v>
      </c>
      <c r="BQ2149" t="s">
        <v>74</v>
      </c>
      <c r="BR2149" t="s">
        <v>96</v>
      </c>
      <c r="BS2149" t="s">
        <v>30113</v>
      </c>
      <c r="BT2149" t="str">
        <f>HYPERLINK("https%3A%2F%2Fwww.webofscience.com%2Fwos%2Fwoscc%2Ffull-record%2FWOS:000796840000025","View Full Record in Web of Science")</f>
        <v>View Full Record in Web of Science</v>
      </c>
    </row>
    <row r="2150" spans="1:72" x14ac:dyDescent="0.15">
      <c r="A2150" t="s">
        <v>98</v>
      </c>
      <c r="B2150" t="s">
        <v>30127</v>
      </c>
      <c r="C2150" t="s">
        <v>74</v>
      </c>
      <c r="D2150" t="s">
        <v>74</v>
      </c>
      <c r="E2150" t="s">
        <v>74</v>
      </c>
      <c r="F2150" t="s">
        <v>30128</v>
      </c>
      <c r="G2150" t="s">
        <v>74</v>
      </c>
      <c r="H2150" t="s">
        <v>74</v>
      </c>
      <c r="I2150" t="s">
        <v>30129</v>
      </c>
      <c r="J2150" t="s">
        <v>27533</v>
      </c>
      <c r="K2150" t="s">
        <v>74</v>
      </c>
      <c r="L2150" t="s">
        <v>74</v>
      </c>
      <c r="M2150" t="s">
        <v>74</v>
      </c>
      <c r="N2150" t="s">
        <v>103</v>
      </c>
      <c r="O2150" t="s">
        <v>74</v>
      </c>
      <c r="P2150" t="s">
        <v>74</v>
      </c>
      <c r="Q2150" t="s">
        <v>74</v>
      </c>
      <c r="R2150" t="s">
        <v>74</v>
      </c>
      <c r="S2150" t="s">
        <v>74</v>
      </c>
      <c r="T2150" t="s">
        <v>30130</v>
      </c>
      <c r="U2150" t="s">
        <v>30131</v>
      </c>
      <c r="V2150" t="s">
        <v>30132</v>
      </c>
      <c r="W2150" t="s">
        <v>30133</v>
      </c>
      <c r="X2150" t="s">
        <v>6906</v>
      </c>
      <c r="Y2150" t="s">
        <v>30134</v>
      </c>
      <c r="Z2150" t="s">
        <v>30135</v>
      </c>
      <c r="AA2150" t="s">
        <v>74</v>
      </c>
      <c r="AB2150" t="s">
        <v>30136</v>
      </c>
      <c r="AC2150" t="s">
        <v>74</v>
      </c>
      <c r="AD2150" t="s">
        <v>74</v>
      </c>
      <c r="AE2150" t="s">
        <v>74</v>
      </c>
      <c r="AF2150" t="s">
        <v>74</v>
      </c>
      <c r="AG2150">
        <v>245</v>
      </c>
      <c r="AH2150">
        <v>0</v>
      </c>
      <c r="AI2150">
        <v>0</v>
      </c>
      <c r="AJ2150">
        <v>3</v>
      </c>
      <c r="AK2150">
        <v>10</v>
      </c>
      <c r="AL2150" t="s">
        <v>74</v>
      </c>
      <c r="AM2150" t="s">
        <v>74</v>
      </c>
      <c r="AN2150" t="s">
        <v>74</v>
      </c>
      <c r="AO2150" t="s">
        <v>27541</v>
      </c>
      <c r="AP2150" t="s">
        <v>27542</v>
      </c>
      <c r="AQ2150" t="s">
        <v>74</v>
      </c>
      <c r="AR2150" t="s">
        <v>74</v>
      </c>
      <c r="AS2150" t="s">
        <v>74</v>
      </c>
      <c r="AT2150" t="s">
        <v>230</v>
      </c>
      <c r="AU2150">
        <v>2021</v>
      </c>
      <c r="AV2150">
        <v>57</v>
      </c>
      <c r="AW2150">
        <v>8</v>
      </c>
      <c r="AX2150" t="s">
        <v>74</v>
      </c>
      <c r="AY2150" t="s">
        <v>74</v>
      </c>
      <c r="AZ2150" t="s">
        <v>74</v>
      </c>
      <c r="BA2150" t="s">
        <v>74</v>
      </c>
      <c r="BB2150" t="s">
        <v>74</v>
      </c>
      <c r="BC2150" t="s">
        <v>74</v>
      </c>
      <c r="BD2150">
        <v>739</v>
      </c>
      <c r="BE2150" t="s">
        <v>30137</v>
      </c>
      <c r="BF2150" t="str">
        <f>HYPERLINK("http://dx.doi.org/10.3390/medicina57080739","http://dx.doi.org/10.3390/medicina57080739")</f>
        <v>http://dx.doi.org/10.3390/medicina57080739</v>
      </c>
      <c r="BG2150" t="s">
        <v>74</v>
      </c>
      <c r="BH2150" t="s">
        <v>74</v>
      </c>
      <c r="BI2150" t="s">
        <v>74</v>
      </c>
      <c r="BJ2150" t="s">
        <v>2564</v>
      </c>
      <c r="BK2150" t="s">
        <v>117</v>
      </c>
      <c r="BL2150" t="s">
        <v>2565</v>
      </c>
      <c r="BM2150" t="s">
        <v>74</v>
      </c>
      <c r="BN2150">
        <v>34440945</v>
      </c>
      <c r="BO2150" t="s">
        <v>74</v>
      </c>
      <c r="BP2150" t="s">
        <v>74</v>
      </c>
      <c r="BQ2150" t="s">
        <v>74</v>
      </c>
      <c r="BR2150" t="s">
        <v>96</v>
      </c>
      <c r="BS2150" t="s">
        <v>30138</v>
      </c>
      <c r="BT2150" t="str">
        <f>HYPERLINK("https%3A%2F%2Fwww.webofscience.com%2Fwos%2Fwoscc%2Ffull-record%2FWOS:000689605000001","View Full Record in Web of Science")</f>
        <v>View Full Record in Web of Science</v>
      </c>
    </row>
    <row r="2151" spans="1:72" x14ac:dyDescent="0.15">
      <c r="A2151" t="s">
        <v>98</v>
      </c>
      <c r="B2151" t="s">
        <v>30193</v>
      </c>
      <c r="C2151" t="s">
        <v>74</v>
      </c>
      <c r="D2151" t="s">
        <v>74</v>
      </c>
      <c r="E2151" t="s">
        <v>74</v>
      </c>
      <c r="F2151" t="s">
        <v>30194</v>
      </c>
      <c r="G2151" t="s">
        <v>74</v>
      </c>
      <c r="H2151" t="s">
        <v>74</v>
      </c>
      <c r="I2151" t="s">
        <v>30195</v>
      </c>
      <c r="J2151" t="s">
        <v>30196</v>
      </c>
      <c r="K2151" t="s">
        <v>74</v>
      </c>
      <c r="L2151" t="s">
        <v>74</v>
      </c>
      <c r="M2151" t="s">
        <v>74</v>
      </c>
      <c r="N2151" t="s">
        <v>103</v>
      </c>
      <c r="O2151" t="s">
        <v>74</v>
      </c>
      <c r="P2151" t="s">
        <v>74</v>
      </c>
      <c r="Q2151" t="s">
        <v>74</v>
      </c>
      <c r="R2151" t="s">
        <v>74</v>
      </c>
      <c r="S2151" t="s">
        <v>74</v>
      </c>
      <c r="T2151" t="s">
        <v>30197</v>
      </c>
      <c r="U2151" t="s">
        <v>30198</v>
      </c>
      <c r="V2151" t="s">
        <v>30199</v>
      </c>
      <c r="W2151" t="s">
        <v>30200</v>
      </c>
      <c r="X2151" t="s">
        <v>30201</v>
      </c>
      <c r="Y2151" t="s">
        <v>30202</v>
      </c>
      <c r="Z2151" t="s">
        <v>30203</v>
      </c>
      <c r="AA2151" t="s">
        <v>30204</v>
      </c>
      <c r="AB2151" t="s">
        <v>74</v>
      </c>
      <c r="AC2151" t="s">
        <v>74</v>
      </c>
      <c r="AD2151" t="s">
        <v>74</v>
      </c>
      <c r="AE2151" t="s">
        <v>74</v>
      </c>
      <c r="AF2151" t="s">
        <v>74</v>
      </c>
      <c r="AG2151">
        <v>54</v>
      </c>
      <c r="AH2151">
        <v>0</v>
      </c>
      <c r="AI2151">
        <v>0</v>
      </c>
      <c r="AJ2151">
        <v>1</v>
      </c>
      <c r="AK2151">
        <v>8</v>
      </c>
      <c r="AL2151" t="s">
        <v>74</v>
      </c>
      <c r="AM2151" t="s">
        <v>74</v>
      </c>
      <c r="AN2151" t="s">
        <v>74</v>
      </c>
      <c r="AO2151" t="s">
        <v>30205</v>
      </c>
      <c r="AP2151" t="s">
        <v>30206</v>
      </c>
      <c r="AQ2151" t="s">
        <v>74</v>
      </c>
      <c r="AR2151" t="s">
        <v>74</v>
      </c>
      <c r="AS2151" t="s">
        <v>74</v>
      </c>
      <c r="AT2151" t="s">
        <v>74</v>
      </c>
      <c r="AU2151">
        <v>2019</v>
      </c>
      <c r="AV2151">
        <v>66</v>
      </c>
      <c r="AW2151">
        <v>1</v>
      </c>
      <c r="AX2151" t="s">
        <v>74</v>
      </c>
      <c r="AY2151" t="s">
        <v>74</v>
      </c>
      <c r="AZ2151" t="s">
        <v>74</v>
      </c>
      <c r="BA2151" t="s">
        <v>74</v>
      </c>
      <c r="BB2151">
        <v>1</v>
      </c>
      <c r="BC2151">
        <v>7</v>
      </c>
      <c r="BD2151" t="s">
        <v>74</v>
      </c>
      <c r="BE2151" t="s">
        <v>30207</v>
      </c>
      <c r="BF2151" t="str">
        <f>HYPERLINK("http://dx.doi.org/10.4149/neo_2018_180430N281","http://dx.doi.org/10.4149/neo_2018_180430N281")</f>
        <v>http://dx.doi.org/10.4149/neo_2018_180430N281</v>
      </c>
      <c r="BG2151" t="s">
        <v>74</v>
      </c>
      <c r="BH2151" t="s">
        <v>74</v>
      </c>
      <c r="BI2151" t="s">
        <v>74</v>
      </c>
      <c r="BJ2151" t="s">
        <v>267</v>
      </c>
      <c r="BK2151" t="s">
        <v>117</v>
      </c>
      <c r="BL2151" t="s">
        <v>267</v>
      </c>
      <c r="BM2151" t="s">
        <v>74</v>
      </c>
      <c r="BN2151">
        <v>30509097</v>
      </c>
      <c r="BO2151" t="s">
        <v>74</v>
      </c>
      <c r="BP2151" t="s">
        <v>74</v>
      </c>
      <c r="BQ2151" t="s">
        <v>74</v>
      </c>
      <c r="BR2151" t="s">
        <v>96</v>
      </c>
      <c r="BS2151" t="s">
        <v>30208</v>
      </c>
      <c r="BT2151" t="str">
        <f>HYPERLINK("https%3A%2F%2Fwww.webofscience.com%2Fwos%2Fwoscc%2Ffull-record%2FWOS:000465159200001","View Full Record in Web of Science")</f>
        <v>View Full Record in Web of Science</v>
      </c>
    </row>
    <row r="2152" spans="1:72" x14ac:dyDescent="0.15">
      <c r="A2152" t="s">
        <v>98</v>
      </c>
      <c r="B2152" t="s">
        <v>30429</v>
      </c>
      <c r="C2152" t="s">
        <v>74</v>
      </c>
      <c r="D2152" t="s">
        <v>74</v>
      </c>
      <c r="E2152" t="s">
        <v>74</v>
      </c>
      <c r="F2152" t="s">
        <v>30430</v>
      </c>
      <c r="G2152" t="s">
        <v>74</v>
      </c>
      <c r="H2152" t="s">
        <v>74</v>
      </c>
      <c r="I2152" t="s">
        <v>30431</v>
      </c>
      <c r="J2152" t="s">
        <v>2742</v>
      </c>
      <c r="K2152" t="s">
        <v>74</v>
      </c>
      <c r="L2152" t="s">
        <v>74</v>
      </c>
      <c r="M2152" t="s">
        <v>74</v>
      </c>
      <c r="N2152" t="s">
        <v>103</v>
      </c>
      <c r="O2152" t="s">
        <v>74</v>
      </c>
      <c r="P2152" t="s">
        <v>74</v>
      </c>
      <c r="Q2152" t="s">
        <v>74</v>
      </c>
      <c r="R2152" t="s">
        <v>74</v>
      </c>
      <c r="S2152" t="s">
        <v>74</v>
      </c>
      <c r="T2152" t="s">
        <v>30432</v>
      </c>
      <c r="U2152" t="s">
        <v>30433</v>
      </c>
      <c r="V2152" t="s">
        <v>30434</v>
      </c>
      <c r="W2152" t="s">
        <v>30435</v>
      </c>
      <c r="X2152" t="s">
        <v>30436</v>
      </c>
      <c r="Y2152" t="s">
        <v>30437</v>
      </c>
      <c r="Z2152" t="s">
        <v>30438</v>
      </c>
      <c r="AA2152" t="s">
        <v>30439</v>
      </c>
      <c r="AB2152" t="s">
        <v>30440</v>
      </c>
      <c r="AC2152" t="s">
        <v>74</v>
      </c>
      <c r="AD2152" t="s">
        <v>74</v>
      </c>
      <c r="AE2152" t="s">
        <v>74</v>
      </c>
      <c r="AF2152" t="s">
        <v>74</v>
      </c>
      <c r="AG2152">
        <v>92</v>
      </c>
      <c r="AH2152">
        <v>0</v>
      </c>
      <c r="AI2152">
        <v>0</v>
      </c>
      <c r="AJ2152">
        <v>3</v>
      </c>
      <c r="AK2152">
        <v>4</v>
      </c>
      <c r="AL2152" t="s">
        <v>74</v>
      </c>
      <c r="AM2152" t="s">
        <v>74</v>
      </c>
      <c r="AN2152" t="s">
        <v>74</v>
      </c>
      <c r="AO2152" t="s">
        <v>2752</v>
      </c>
      <c r="AP2152" t="s">
        <v>2753</v>
      </c>
      <c r="AQ2152" t="s">
        <v>74</v>
      </c>
      <c r="AR2152" t="s">
        <v>74</v>
      </c>
      <c r="AS2152" t="s">
        <v>74</v>
      </c>
      <c r="AT2152" t="s">
        <v>7326</v>
      </c>
      <c r="AU2152">
        <v>2022</v>
      </c>
      <c r="AV2152">
        <v>21</v>
      </c>
      <c r="AW2152">
        <v>1</v>
      </c>
      <c r="AX2152" t="s">
        <v>74</v>
      </c>
      <c r="AY2152" t="s">
        <v>74</v>
      </c>
      <c r="AZ2152" t="s">
        <v>74</v>
      </c>
      <c r="BA2152" t="s">
        <v>74</v>
      </c>
      <c r="BB2152">
        <v>30</v>
      </c>
      <c r="BC2152">
        <v>48</v>
      </c>
      <c r="BD2152" t="s">
        <v>74</v>
      </c>
      <c r="BE2152" t="s">
        <v>30441</v>
      </c>
      <c r="BF2152" t="str">
        <f>HYPERLINK("http://dx.doi.org/10.1021/acs.jproteome.1c00244","http://dx.doi.org/10.1021/acs.jproteome.1c00244")</f>
        <v>http://dx.doi.org/10.1021/acs.jproteome.1c00244</v>
      </c>
      <c r="BG2152" t="s">
        <v>74</v>
      </c>
      <c r="BH2152" t="s">
        <v>74</v>
      </c>
      <c r="BI2152" t="s">
        <v>74</v>
      </c>
      <c r="BJ2152" t="s">
        <v>812</v>
      </c>
      <c r="BK2152" t="s">
        <v>117</v>
      </c>
      <c r="BL2152" t="s">
        <v>95</v>
      </c>
      <c r="BM2152" t="s">
        <v>74</v>
      </c>
      <c r="BN2152">
        <v>34806897</v>
      </c>
      <c r="BO2152" t="s">
        <v>74</v>
      </c>
      <c r="BP2152" t="s">
        <v>74</v>
      </c>
      <c r="BQ2152" t="s">
        <v>74</v>
      </c>
      <c r="BR2152" t="s">
        <v>96</v>
      </c>
      <c r="BS2152" t="s">
        <v>30442</v>
      </c>
      <c r="BT2152" t="str">
        <f>HYPERLINK("https%3A%2F%2Fwww.webofscience.com%2Fwos%2Fwoscc%2Ffull-record%2FWOS:000744097700005","View Full Record in Web of Science")</f>
        <v>View Full Record in Web of Science</v>
      </c>
    </row>
  </sheetData>
  <sortState xmlns:xlrd2="http://schemas.microsoft.com/office/spreadsheetml/2017/richdata2" ref="A2:BT2153">
    <sortCondition descending="1" ref="AH1:AH2153"/>
  </sortState>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1EF8D-8976-CB47-8644-B5DF2C59FB0C}">
  <dimension ref="A1:K1845"/>
  <sheetViews>
    <sheetView workbookViewId="0">
      <selection activeCell="E13" sqref="A1:K1845"/>
    </sheetView>
  </sheetViews>
  <sheetFormatPr baseColWidth="10" defaultRowHeight="13" x14ac:dyDescent="0.15"/>
  <sheetData>
    <row r="1" spans="1:11" x14ac:dyDescent="0.15">
      <c r="A1" t="s">
        <v>30544</v>
      </c>
      <c r="B1" t="s">
        <v>30545</v>
      </c>
      <c r="C1" t="s">
        <v>1</v>
      </c>
      <c r="D1" t="s">
        <v>30546</v>
      </c>
      <c r="E1" t="s">
        <v>30547</v>
      </c>
      <c r="F1" t="s">
        <v>30548</v>
      </c>
      <c r="G1" t="s">
        <v>46</v>
      </c>
      <c r="H1" t="s">
        <v>30549</v>
      </c>
      <c r="I1" t="s">
        <v>30550</v>
      </c>
      <c r="J1" t="s">
        <v>30551</v>
      </c>
      <c r="K1" t="s">
        <v>56</v>
      </c>
    </row>
    <row r="2" spans="1:11" x14ac:dyDescent="0.15">
      <c r="A2">
        <v>30951670</v>
      </c>
      <c r="B2" t="s">
        <v>5218</v>
      </c>
      <c r="C2" t="s">
        <v>30552</v>
      </c>
      <c r="D2" t="s">
        <v>30553</v>
      </c>
      <c r="E2" t="s">
        <v>30554</v>
      </c>
      <c r="F2" t="s">
        <v>30555</v>
      </c>
      <c r="G2">
        <v>2019</v>
      </c>
      <c r="H2" s="1">
        <v>43561</v>
      </c>
      <c r="I2" t="s">
        <v>30556</v>
      </c>
      <c r="J2" t="s">
        <v>30557</v>
      </c>
      <c r="K2" t="s">
        <v>5230</v>
      </c>
    </row>
    <row r="3" spans="1:11" x14ac:dyDescent="0.15">
      <c r="A3">
        <v>33369392</v>
      </c>
      <c r="B3" t="s">
        <v>4437</v>
      </c>
      <c r="C3" t="s">
        <v>30558</v>
      </c>
      <c r="D3" t="s">
        <v>30559</v>
      </c>
      <c r="E3" t="s">
        <v>30560</v>
      </c>
      <c r="F3" t="s">
        <v>30561</v>
      </c>
      <c r="G3">
        <v>2021</v>
      </c>
      <c r="H3" s="1">
        <v>44193</v>
      </c>
      <c r="K3" t="s">
        <v>4447</v>
      </c>
    </row>
    <row r="4" spans="1:11" x14ac:dyDescent="0.15">
      <c r="A4">
        <v>27035812</v>
      </c>
      <c r="B4" t="s">
        <v>30562</v>
      </c>
      <c r="C4" t="s">
        <v>30563</v>
      </c>
      <c r="D4" t="s">
        <v>30564</v>
      </c>
      <c r="E4" t="s">
        <v>30565</v>
      </c>
      <c r="F4" t="s">
        <v>30566</v>
      </c>
      <c r="G4">
        <v>2016</v>
      </c>
      <c r="H4" s="1">
        <v>42462</v>
      </c>
      <c r="I4" t="s">
        <v>30567</v>
      </c>
      <c r="K4" t="s">
        <v>30568</v>
      </c>
    </row>
    <row r="5" spans="1:11" x14ac:dyDescent="0.15">
      <c r="A5">
        <v>32759948</v>
      </c>
      <c r="B5" t="s">
        <v>30569</v>
      </c>
      <c r="C5" t="s">
        <v>30570</v>
      </c>
      <c r="D5" t="s">
        <v>30571</v>
      </c>
      <c r="E5" t="s">
        <v>30572</v>
      </c>
      <c r="F5" t="s">
        <v>30573</v>
      </c>
      <c r="G5">
        <v>2020</v>
      </c>
      <c r="H5" s="1">
        <v>44051</v>
      </c>
      <c r="I5" t="s">
        <v>30574</v>
      </c>
      <c r="K5" t="s">
        <v>30575</v>
      </c>
    </row>
    <row r="6" spans="1:11" x14ac:dyDescent="0.15">
      <c r="A6">
        <v>29462587</v>
      </c>
      <c r="B6" t="s">
        <v>30576</v>
      </c>
      <c r="C6" t="s">
        <v>30577</v>
      </c>
      <c r="D6" t="s">
        <v>30578</v>
      </c>
      <c r="E6" t="s">
        <v>30579</v>
      </c>
      <c r="F6" t="s">
        <v>30580</v>
      </c>
      <c r="G6">
        <v>2018</v>
      </c>
      <c r="H6" s="1">
        <v>43152</v>
      </c>
      <c r="I6" t="s">
        <v>30581</v>
      </c>
      <c r="J6" t="s">
        <v>30582</v>
      </c>
      <c r="K6" t="s">
        <v>30583</v>
      </c>
    </row>
    <row r="7" spans="1:11" x14ac:dyDescent="0.15">
      <c r="A7">
        <v>32206116</v>
      </c>
      <c r="B7" t="s">
        <v>30584</v>
      </c>
      <c r="C7" t="s">
        <v>30585</v>
      </c>
      <c r="D7" t="s">
        <v>30586</v>
      </c>
      <c r="E7" t="s">
        <v>30587</v>
      </c>
      <c r="F7" t="s">
        <v>30588</v>
      </c>
      <c r="G7">
        <v>2020</v>
      </c>
      <c r="H7" s="1">
        <v>43915</v>
      </c>
      <c r="I7" t="s">
        <v>30589</v>
      </c>
      <c r="K7" t="s">
        <v>30590</v>
      </c>
    </row>
    <row r="8" spans="1:11" x14ac:dyDescent="0.15">
      <c r="A8">
        <v>29129785</v>
      </c>
      <c r="B8" t="s">
        <v>30591</v>
      </c>
      <c r="C8" t="s">
        <v>30592</v>
      </c>
      <c r="D8" t="s">
        <v>30593</v>
      </c>
      <c r="E8" t="s">
        <v>30594</v>
      </c>
      <c r="F8" t="s">
        <v>30595</v>
      </c>
      <c r="G8">
        <v>2018</v>
      </c>
      <c r="H8" s="1">
        <v>43053</v>
      </c>
      <c r="K8" t="s">
        <v>30596</v>
      </c>
    </row>
    <row r="9" spans="1:11" x14ac:dyDescent="0.15">
      <c r="A9">
        <v>30833413</v>
      </c>
      <c r="B9" t="s">
        <v>17026</v>
      </c>
      <c r="C9" t="s">
        <v>30597</v>
      </c>
      <c r="D9" t="s">
        <v>30598</v>
      </c>
      <c r="E9" t="s">
        <v>30599</v>
      </c>
      <c r="F9" t="s">
        <v>30600</v>
      </c>
      <c r="G9">
        <v>2019</v>
      </c>
      <c r="H9" s="1">
        <v>43530</v>
      </c>
      <c r="K9" t="s">
        <v>17038</v>
      </c>
    </row>
    <row r="10" spans="1:11" x14ac:dyDescent="0.15">
      <c r="A10">
        <v>33548389</v>
      </c>
      <c r="B10" t="s">
        <v>30601</v>
      </c>
      <c r="C10" t="s">
        <v>30602</v>
      </c>
      <c r="D10" t="s">
        <v>30603</v>
      </c>
      <c r="E10" t="s">
        <v>30604</v>
      </c>
      <c r="F10" t="s">
        <v>30605</v>
      </c>
      <c r="G10">
        <v>2021</v>
      </c>
      <c r="H10" s="1">
        <v>44233</v>
      </c>
      <c r="I10" t="s">
        <v>30606</v>
      </c>
      <c r="J10" t="s">
        <v>30607</v>
      </c>
      <c r="K10" t="s">
        <v>30608</v>
      </c>
    </row>
    <row r="11" spans="1:11" x14ac:dyDescent="0.15">
      <c r="A11">
        <v>29175307</v>
      </c>
      <c r="B11" t="s">
        <v>30609</v>
      </c>
      <c r="C11" t="s">
        <v>30610</v>
      </c>
      <c r="D11" t="s">
        <v>30611</v>
      </c>
      <c r="E11" t="s">
        <v>30612</v>
      </c>
      <c r="F11" t="s">
        <v>30613</v>
      </c>
      <c r="G11">
        <v>2018</v>
      </c>
      <c r="H11" s="1">
        <v>43067</v>
      </c>
      <c r="K11" t="s">
        <v>30614</v>
      </c>
    </row>
    <row r="12" spans="1:11" x14ac:dyDescent="0.15">
      <c r="A12">
        <v>33727157</v>
      </c>
      <c r="B12" t="s">
        <v>3424</v>
      </c>
      <c r="C12" t="s">
        <v>30615</v>
      </c>
      <c r="D12" t="s">
        <v>30616</v>
      </c>
      <c r="E12" t="s">
        <v>30617</v>
      </c>
      <c r="F12" t="s">
        <v>30618</v>
      </c>
      <c r="G12">
        <v>2021</v>
      </c>
      <c r="H12" s="1">
        <v>44272</v>
      </c>
      <c r="K12" t="s">
        <v>3437</v>
      </c>
    </row>
    <row r="13" spans="1:11" x14ac:dyDescent="0.15">
      <c r="A13">
        <v>33713214</v>
      </c>
      <c r="B13" t="s">
        <v>30619</v>
      </c>
      <c r="C13" t="s">
        <v>30620</v>
      </c>
      <c r="D13" t="s">
        <v>30621</v>
      </c>
      <c r="E13" t="s">
        <v>30622</v>
      </c>
      <c r="F13" t="s">
        <v>30623</v>
      </c>
      <c r="G13">
        <v>2021</v>
      </c>
      <c r="H13" s="1">
        <v>44268</v>
      </c>
      <c r="I13" t="s">
        <v>30624</v>
      </c>
      <c r="K13" t="s">
        <v>30625</v>
      </c>
    </row>
    <row r="14" spans="1:11" x14ac:dyDescent="0.15">
      <c r="A14">
        <v>31901224</v>
      </c>
      <c r="B14" t="s">
        <v>30626</v>
      </c>
      <c r="C14" t="s">
        <v>30627</v>
      </c>
      <c r="D14" t="s">
        <v>30628</v>
      </c>
      <c r="E14" t="s">
        <v>30629</v>
      </c>
      <c r="F14" t="s">
        <v>30630</v>
      </c>
      <c r="G14">
        <v>2020</v>
      </c>
      <c r="H14" s="1">
        <v>43836</v>
      </c>
      <c r="I14" t="s">
        <v>30631</v>
      </c>
      <c r="K14" t="s">
        <v>30632</v>
      </c>
    </row>
    <row r="15" spans="1:11" x14ac:dyDescent="0.15">
      <c r="A15">
        <v>34185424</v>
      </c>
      <c r="B15" t="s">
        <v>30633</v>
      </c>
      <c r="C15" t="s">
        <v>30634</v>
      </c>
      <c r="D15" t="s">
        <v>30635</v>
      </c>
      <c r="E15" t="s">
        <v>30636</v>
      </c>
      <c r="F15" t="s">
        <v>30637</v>
      </c>
      <c r="G15">
        <v>2021</v>
      </c>
      <c r="H15" s="1">
        <v>44376</v>
      </c>
      <c r="I15" t="s">
        <v>30638</v>
      </c>
      <c r="K15" t="s">
        <v>30639</v>
      </c>
    </row>
    <row r="16" spans="1:11" x14ac:dyDescent="0.15">
      <c r="A16">
        <v>33355987</v>
      </c>
      <c r="B16" t="s">
        <v>289</v>
      </c>
      <c r="C16" t="s">
        <v>30640</v>
      </c>
      <c r="D16" t="s">
        <v>30641</v>
      </c>
      <c r="E16" t="s">
        <v>30642</v>
      </c>
      <c r="F16" t="s">
        <v>30643</v>
      </c>
      <c r="G16">
        <v>2021</v>
      </c>
      <c r="H16" s="1">
        <v>44193</v>
      </c>
      <c r="I16" t="s">
        <v>30644</v>
      </c>
      <c r="K16" t="s">
        <v>303</v>
      </c>
    </row>
    <row r="17" spans="1:11" x14ac:dyDescent="0.15">
      <c r="A17">
        <v>30876419</v>
      </c>
      <c r="B17" t="s">
        <v>30645</v>
      </c>
      <c r="C17" t="s">
        <v>30646</v>
      </c>
      <c r="D17" t="s">
        <v>30647</v>
      </c>
      <c r="E17" t="s">
        <v>30648</v>
      </c>
      <c r="F17" t="s">
        <v>30630</v>
      </c>
      <c r="G17">
        <v>2019</v>
      </c>
      <c r="H17" s="1">
        <v>43541</v>
      </c>
      <c r="I17" t="s">
        <v>30649</v>
      </c>
      <c r="K17" t="s">
        <v>30650</v>
      </c>
    </row>
    <row r="18" spans="1:11" x14ac:dyDescent="0.15">
      <c r="A18">
        <v>30987213</v>
      </c>
      <c r="B18" t="s">
        <v>30651</v>
      </c>
      <c r="C18" t="s">
        <v>30652</v>
      </c>
      <c r="D18" t="s">
        <v>30653</v>
      </c>
      <c r="E18" t="s">
        <v>30654</v>
      </c>
      <c r="F18" t="s">
        <v>30655</v>
      </c>
      <c r="G18">
        <v>2019</v>
      </c>
      <c r="H18" s="1">
        <v>43572</v>
      </c>
      <c r="I18" t="s">
        <v>30656</v>
      </c>
      <c r="K18" t="s">
        <v>30657</v>
      </c>
    </row>
    <row r="19" spans="1:11" x14ac:dyDescent="0.15">
      <c r="A19">
        <v>31965891</v>
      </c>
      <c r="B19" t="s">
        <v>18098</v>
      </c>
      <c r="C19" t="s">
        <v>30658</v>
      </c>
      <c r="D19" t="s">
        <v>30659</v>
      </c>
      <c r="E19" t="s">
        <v>30660</v>
      </c>
      <c r="F19" t="s">
        <v>30661</v>
      </c>
      <c r="G19">
        <v>2020</v>
      </c>
      <c r="H19" s="1">
        <v>43853</v>
      </c>
      <c r="I19" t="s">
        <v>30662</v>
      </c>
      <c r="J19" t="s">
        <v>30663</v>
      </c>
      <c r="K19" t="s">
        <v>18110</v>
      </c>
    </row>
    <row r="20" spans="1:11" x14ac:dyDescent="0.15">
      <c r="A20">
        <v>28875730</v>
      </c>
      <c r="B20" t="s">
        <v>30664</v>
      </c>
      <c r="C20" t="s">
        <v>30665</v>
      </c>
      <c r="D20" t="s">
        <v>30666</v>
      </c>
      <c r="E20" t="s">
        <v>30667</v>
      </c>
      <c r="F20" t="s">
        <v>30668</v>
      </c>
      <c r="G20">
        <v>2017</v>
      </c>
      <c r="H20" s="1">
        <v>42985</v>
      </c>
      <c r="I20" t="s">
        <v>30669</v>
      </c>
      <c r="J20" t="s">
        <v>30670</v>
      </c>
      <c r="K20" t="s">
        <v>30671</v>
      </c>
    </row>
    <row r="21" spans="1:11" x14ac:dyDescent="0.15">
      <c r="A21">
        <v>29459780</v>
      </c>
      <c r="B21" t="s">
        <v>8482</v>
      </c>
      <c r="C21" t="s">
        <v>30672</v>
      </c>
      <c r="D21" t="s">
        <v>30673</v>
      </c>
      <c r="E21" t="s">
        <v>30674</v>
      </c>
      <c r="F21" t="s">
        <v>30675</v>
      </c>
      <c r="G21">
        <v>2018</v>
      </c>
      <c r="H21" s="1">
        <v>43152</v>
      </c>
      <c r="I21" t="s">
        <v>30676</v>
      </c>
      <c r="J21" t="s">
        <v>30677</v>
      </c>
      <c r="K21" t="s">
        <v>8494</v>
      </c>
    </row>
    <row r="22" spans="1:11" x14ac:dyDescent="0.15">
      <c r="A22">
        <v>30213559</v>
      </c>
      <c r="B22" t="s">
        <v>30678</v>
      </c>
      <c r="C22" t="s">
        <v>30679</v>
      </c>
      <c r="D22" t="s">
        <v>30680</v>
      </c>
      <c r="E22" t="s">
        <v>30681</v>
      </c>
      <c r="F22" t="s">
        <v>30682</v>
      </c>
      <c r="G22">
        <v>2018</v>
      </c>
      <c r="H22" s="1">
        <v>43358</v>
      </c>
      <c r="K22" t="s">
        <v>30683</v>
      </c>
    </row>
    <row r="23" spans="1:11" x14ac:dyDescent="0.15">
      <c r="A23">
        <v>32685026</v>
      </c>
      <c r="B23" t="s">
        <v>30684</v>
      </c>
      <c r="C23" t="s">
        <v>30685</v>
      </c>
      <c r="D23" t="s">
        <v>30686</v>
      </c>
      <c r="E23" t="s">
        <v>30687</v>
      </c>
      <c r="F23" t="s">
        <v>30588</v>
      </c>
      <c r="G23">
        <v>2020</v>
      </c>
      <c r="H23" s="1">
        <v>44033</v>
      </c>
      <c r="I23" t="s">
        <v>30688</v>
      </c>
      <c r="K23" t="s">
        <v>30689</v>
      </c>
    </row>
    <row r="24" spans="1:11" x14ac:dyDescent="0.15">
      <c r="A24">
        <v>32767659</v>
      </c>
      <c r="B24" t="s">
        <v>30690</v>
      </c>
      <c r="C24" t="s">
        <v>30691</v>
      </c>
      <c r="D24" t="s">
        <v>30692</v>
      </c>
      <c r="E24" t="s">
        <v>30693</v>
      </c>
      <c r="F24" t="s">
        <v>30694</v>
      </c>
      <c r="G24">
        <v>2021</v>
      </c>
      <c r="H24" s="1">
        <v>44052</v>
      </c>
      <c r="I24" t="s">
        <v>30695</v>
      </c>
      <c r="K24" t="s">
        <v>30696</v>
      </c>
    </row>
    <row r="25" spans="1:11" x14ac:dyDescent="0.15">
      <c r="A25">
        <v>30759880</v>
      </c>
      <c r="B25" t="s">
        <v>30697</v>
      </c>
      <c r="C25" t="s">
        <v>30698</v>
      </c>
      <c r="D25" t="s">
        <v>30699</v>
      </c>
      <c r="E25" t="s">
        <v>30700</v>
      </c>
      <c r="F25" t="s">
        <v>30655</v>
      </c>
      <c r="G25">
        <v>2019</v>
      </c>
      <c r="H25" s="1">
        <v>43511</v>
      </c>
      <c r="I25" t="s">
        <v>30701</v>
      </c>
      <c r="K25" t="s">
        <v>30702</v>
      </c>
    </row>
    <row r="26" spans="1:11" x14ac:dyDescent="0.15">
      <c r="A26">
        <v>29795272</v>
      </c>
      <c r="B26" t="s">
        <v>30703</v>
      </c>
      <c r="C26" t="s">
        <v>30704</v>
      </c>
      <c r="D26" t="s">
        <v>30705</v>
      </c>
      <c r="E26" t="s">
        <v>30706</v>
      </c>
      <c r="F26" t="s">
        <v>30707</v>
      </c>
      <c r="G26">
        <v>2018</v>
      </c>
      <c r="H26" s="1">
        <v>43246</v>
      </c>
      <c r="K26" t="s">
        <v>30708</v>
      </c>
    </row>
    <row r="27" spans="1:11" x14ac:dyDescent="0.15">
      <c r="A27">
        <v>30697211</v>
      </c>
      <c r="B27" t="s">
        <v>30709</v>
      </c>
      <c r="C27" t="s">
        <v>30710</v>
      </c>
      <c r="D27" t="s">
        <v>30711</v>
      </c>
      <c r="E27" t="s">
        <v>30712</v>
      </c>
      <c r="F27" t="s">
        <v>30713</v>
      </c>
      <c r="G27">
        <v>2019</v>
      </c>
      <c r="H27" s="1">
        <v>43496</v>
      </c>
      <c r="I27" t="s">
        <v>30714</v>
      </c>
      <c r="K27" t="s">
        <v>30715</v>
      </c>
    </row>
    <row r="28" spans="1:11" x14ac:dyDescent="0.15">
      <c r="A28">
        <v>28783104</v>
      </c>
      <c r="B28" t="s">
        <v>30716</v>
      </c>
      <c r="C28" t="s">
        <v>30717</v>
      </c>
      <c r="D28" t="s">
        <v>30718</v>
      </c>
      <c r="E28" t="s">
        <v>30719</v>
      </c>
      <c r="F28" t="s">
        <v>30720</v>
      </c>
      <c r="G28">
        <v>2017</v>
      </c>
      <c r="H28" s="1">
        <v>42955</v>
      </c>
      <c r="I28" t="s">
        <v>30721</v>
      </c>
      <c r="K28" t="s">
        <v>30722</v>
      </c>
    </row>
    <row r="29" spans="1:11" x14ac:dyDescent="0.15">
      <c r="A29">
        <v>29802541</v>
      </c>
      <c r="B29" t="s">
        <v>30723</v>
      </c>
      <c r="C29" t="s">
        <v>30724</v>
      </c>
      <c r="D29" t="s">
        <v>30725</v>
      </c>
      <c r="E29" t="s">
        <v>30726</v>
      </c>
      <c r="F29" t="s">
        <v>30727</v>
      </c>
      <c r="G29">
        <v>2019</v>
      </c>
      <c r="H29" s="1">
        <v>43247</v>
      </c>
      <c r="K29" t="s">
        <v>30728</v>
      </c>
    </row>
    <row r="30" spans="1:11" x14ac:dyDescent="0.15">
      <c r="A30">
        <v>32719324</v>
      </c>
      <c r="B30" t="s">
        <v>30729</v>
      </c>
      <c r="C30" t="s">
        <v>30730</v>
      </c>
      <c r="D30" t="s">
        <v>30731</v>
      </c>
      <c r="E30" t="s">
        <v>30732</v>
      </c>
      <c r="F30" t="s">
        <v>30733</v>
      </c>
      <c r="G30">
        <v>2020</v>
      </c>
      <c r="H30" s="1">
        <v>44041</v>
      </c>
      <c r="I30" t="s">
        <v>30734</v>
      </c>
      <c r="K30" t="s">
        <v>30735</v>
      </c>
    </row>
    <row r="31" spans="1:11" x14ac:dyDescent="0.15">
      <c r="A31">
        <v>31391108</v>
      </c>
      <c r="B31" t="s">
        <v>30736</v>
      </c>
      <c r="C31" t="s">
        <v>30737</v>
      </c>
      <c r="D31" t="s">
        <v>30738</v>
      </c>
      <c r="E31" t="s">
        <v>30739</v>
      </c>
      <c r="F31" t="s">
        <v>30740</v>
      </c>
      <c r="G31">
        <v>2019</v>
      </c>
      <c r="H31" s="1">
        <v>43686</v>
      </c>
      <c r="I31" t="s">
        <v>30741</v>
      </c>
      <c r="K31" t="s">
        <v>30742</v>
      </c>
    </row>
    <row r="32" spans="1:11" x14ac:dyDescent="0.15">
      <c r="A32">
        <v>34831121</v>
      </c>
      <c r="B32" t="s">
        <v>30743</v>
      </c>
      <c r="C32" t="s">
        <v>30744</v>
      </c>
      <c r="D32" t="s">
        <v>30745</v>
      </c>
      <c r="E32" t="s">
        <v>30746</v>
      </c>
      <c r="F32" t="s">
        <v>30655</v>
      </c>
      <c r="G32">
        <v>2021</v>
      </c>
      <c r="H32" s="1">
        <v>44527</v>
      </c>
      <c r="I32" t="s">
        <v>30747</v>
      </c>
      <c r="K32" t="s">
        <v>30748</v>
      </c>
    </row>
    <row r="33" spans="1:11" x14ac:dyDescent="0.15">
      <c r="A33">
        <v>34685513</v>
      </c>
      <c r="B33" t="s">
        <v>30749</v>
      </c>
      <c r="C33" t="s">
        <v>30750</v>
      </c>
      <c r="D33" t="s">
        <v>30751</v>
      </c>
      <c r="E33" t="s">
        <v>30752</v>
      </c>
      <c r="F33" t="s">
        <v>30655</v>
      </c>
      <c r="G33">
        <v>2021</v>
      </c>
      <c r="H33" s="1">
        <v>44492</v>
      </c>
      <c r="I33" t="s">
        <v>30753</v>
      </c>
      <c r="K33" t="s">
        <v>30754</v>
      </c>
    </row>
    <row r="34" spans="1:11" x14ac:dyDescent="0.15">
      <c r="A34">
        <v>31799396</v>
      </c>
      <c r="B34" t="s">
        <v>10988</v>
      </c>
      <c r="C34" t="s">
        <v>30755</v>
      </c>
      <c r="D34" t="s">
        <v>30756</v>
      </c>
      <c r="E34" t="s">
        <v>30757</v>
      </c>
      <c r="F34" t="s">
        <v>30758</v>
      </c>
      <c r="G34">
        <v>2019</v>
      </c>
      <c r="H34" s="1">
        <v>43804</v>
      </c>
      <c r="I34" t="s">
        <v>30759</v>
      </c>
      <c r="K34" t="s">
        <v>10996</v>
      </c>
    </row>
    <row r="35" spans="1:11" x14ac:dyDescent="0.15">
      <c r="A35">
        <v>31614072</v>
      </c>
      <c r="B35" t="s">
        <v>235</v>
      </c>
      <c r="C35" t="s">
        <v>30760</v>
      </c>
      <c r="D35" t="s">
        <v>30761</v>
      </c>
      <c r="E35" t="s">
        <v>30762</v>
      </c>
      <c r="F35" t="s">
        <v>30763</v>
      </c>
      <c r="G35">
        <v>2019</v>
      </c>
      <c r="H35" s="1">
        <v>43754</v>
      </c>
      <c r="K35" t="s">
        <v>248</v>
      </c>
    </row>
    <row r="36" spans="1:11" x14ac:dyDescent="0.15">
      <c r="A36">
        <v>29073103</v>
      </c>
      <c r="B36" t="s">
        <v>6971</v>
      </c>
      <c r="C36" t="s">
        <v>30764</v>
      </c>
      <c r="D36" t="s">
        <v>30765</v>
      </c>
      <c r="E36" t="s">
        <v>30766</v>
      </c>
      <c r="F36" t="s">
        <v>30767</v>
      </c>
      <c r="G36">
        <v>2017</v>
      </c>
      <c r="H36" s="1">
        <v>43035</v>
      </c>
      <c r="I36" t="s">
        <v>30768</v>
      </c>
      <c r="K36" t="s">
        <v>6983</v>
      </c>
    </row>
    <row r="37" spans="1:11" x14ac:dyDescent="0.15">
      <c r="A37">
        <v>33815695</v>
      </c>
      <c r="B37" t="s">
        <v>4784</v>
      </c>
      <c r="C37" t="s">
        <v>30769</v>
      </c>
      <c r="D37" t="s">
        <v>30770</v>
      </c>
      <c r="E37" t="s">
        <v>30771</v>
      </c>
      <c r="F37" t="s">
        <v>30772</v>
      </c>
      <c r="G37">
        <v>2021</v>
      </c>
      <c r="H37" s="1">
        <v>44291</v>
      </c>
      <c r="I37" t="s">
        <v>30773</v>
      </c>
      <c r="K37" t="s">
        <v>4795</v>
      </c>
    </row>
    <row r="38" spans="1:11" x14ac:dyDescent="0.15">
      <c r="A38">
        <v>30789261</v>
      </c>
      <c r="B38" t="s">
        <v>30774</v>
      </c>
      <c r="C38" t="s">
        <v>30775</v>
      </c>
      <c r="D38" t="s">
        <v>30776</v>
      </c>
      <c r="E38" t="s">
        <v>30777</v>
      </c>
      <c r="F38" t="s">
        <v>30778</v>
      </c>
      <c r="G38">
        <v>2019</v>
      </c>
      <c r="H38" s="1">
        <v>43518</v>
      </c>
      <c r="K38" t="s">
        <v>1046</v>
      </c>
    </row>
    <row r="39" spans="1:11" x14ac:dyDescent="0.15">
      <c r="A39">
        <v>34453041</v>
      </c>
      <c r="B39" t="s">
        <v>11810</v>
      </c>
      <c r="C39" t="s">
        <v>30779</v>
      </c>
      <c r="D39" t="s">
        <v>30780</v>
      </c>
      <c r="E39" t="s">
        <v>30781</v>
      </c>
      <c r="F39" t="s">
        <v>30733</v>
      </c>
      <c r="G39">
        <v>2021</v>
      </c>
      <c r="H39" s="1">
        <v>44436</v>
      </c>
      <c r="I39" t="s">
        <v>30782</v>
      </c>
      <c r="K39" t="s">
        <v>11821</v>
      </c>
    </row>
    <row r="40" spans="1:11" x14ac:dyDescent="0.15">
      <c r="A40">
        <v>28412169</v>
      </c>
      <c r="B40" t="s">
        <v>11687</v>
      </c>
      <c r="C40" t="s">
        <v>30783</v>
      </c>
      <c r="D40" t="s">
        <v>30784</v>
      </c>
      <c r="E40" t="s">
        <v>30785</v>
      </c>
      <c r="F40" t="s">
        <v>30786</v>
      </c>
      <c r="G40">
        <v>2017</v>
      </c>
      <c r="H40" s="1">
        <v>42842</v>
      </c>
      <c r="I40" t="s">
        <v>30787</v>
      </c>
      <c r="K40" t="s">
        <v>11697</v>
      </c>
    </row>
    <row r="41" spans="1:11" x14ac:dyDescent="0.15">
      <c r="A41">
        <v>27881406</v>
      </c>
      <c r="B41" t="s">
        <v>13040</v>
      </c>
      <c r="C41" t="s">
        <v>30788</v>
      </c>
      <c r="D41" t="s">
        <v>30789</v>
      </c>
      <c r="E41" t="s">
        <v>30790</v>
      </c>
      <c r="F41" t="s">
        <v>30791</v>
      </c>
      <c r="G41">
        <v>2017</v>
      </c>
      <c r="H41" s="1">
        <v>42699</v>
      </c>
      <c r="I41" t="s">
        <v>30792</v>
      </c>
      <c r="K41" t="s">
        <v>13055</v>
      </c>
    </row>
    <row r="42" spans="1:11" x14ac:dyDescent="0.15">
      <c r="A42">
        <v>28508895</v>
      </c>
      <c r="B42" t="s">
        <v>6209</v>
      </c>
      <c r="C42" t="s">
        <v>30793</v>
      </c>
      <c r="D42" t="s">
        <v>30794</v>
      </c>
      <c r="E42" t="s">
        <v>30795</v>
      </c>
      <c r="F42" t="s">
        <v>30796</v>
      </c>
      <c r="G42">
        <v>2017</v>
      </c>
      <c r="H42" s="1">
        <v>42872</v>
      </c>
      <c r="I42" t="s">
        <v>30797</v>
      </c>
      <c r="K42" t="s">
        <v>6219</v>
      </c>
    </row>
    <row r="43" spans="1:11" x14ac:dyDescent="0.15">
      <c r="A43">
        <v>34545708</v>
      </c>
      <c r="B43" t="s">
        <v>16476</v>
      </c>
      <c r="C43" t="s">
        <v>30798</v>
      </c>
      <c r="D43" t="s">
        <v>30799</v>
      </c>
      <c r="E43" t="s">
        <v>30800</v>
      </c>
      <c r="F43" t="s">
        <v>30772</v>
      </c>
      <c r="G43">
        <v>2021</v>
      </c>
      <c r="H43" s="1">
        <v>44460</v>
      </c>
      <c r="I43" t="s">
        <v>30801</v>
      </c>
      <c r="K43" t="s">
        <v>16484</v>
      </c>
    </row>
    <row r="44" spans="1:11" x14ac:dyDescent="0.15">
      <c r="A44">
        <v>29934873</v>
      </c>
      <c r="B44" t="s">
        <v>30802</v>
      </c>
      <c r="C44" t="s">
        <v>30803</v>
      </c>
      <c r="D44" t="s">
        <v>30804</v>
      </c>
      <c r="E44" t="s">
        <v>30805</v>
      </c>
      <c r="F44" t="s">
        <v>30806</v>
      </c>
      <c r="G44">
        <v>2018</v>
      </c>
      <c r="H44" s="1">
        <v>43275</v>
      </c>
      <c r="I44" t="s">
        <v>30807</v>
      </c>
      <c r="K44" t="s">
        <v>30808</v>
      </c>
    </row>
    <row r="45" spans="1:11" x14ac:dyDescent="0.15">
      <c r="A45">
        <v>32791387</v>
      </c>
      <c r="B45" t="s">
        <v>12894</v>
      </c>
      <c r="C45" t="s">
        <v>30809</v>
      </c>
      <c r="D45" t="s">
        <v>30810</v>
      </c>
      <c r="E45" t="s">
        <v>30811</v>
      </c>
      <c r="F45" t="s">
        <v>30812</v>
      </c>
      <c r="G45">
        <v>2020</v>
      </c>
      <c r="H45" s="1">
        <v>44057</v>
      </c>
      <c r="K45" t="s">
        <v>12903</v>
      </c>
    </row>
    <row r="46" spans="1:11" x14ac:dyDescent="0.15">
      <c r="A46">
        <v>32079252</v>
      </c>
      <c r="B46" t="s">
        <v>271</v>
      </c>
      <c r="C46" t="s">
        <v>30813</v>
      </c>
      <c r="D46" t="s">
        <v>30814</v>
      </c>
      <c r="E46" t="s">
        <v>30815</v>
      </c>
      <c r="F46" t="s">
        <v>30816</v>
      </c>
      <c r="G46">
        <v>2020</v>
      </c>
      <c r="H46" s="1">
        <v>43883</v>
      </c>
      <c r="I46" t="s">
        <v>30817</v>
      </c>
      <c r="K46" t="s">
        <v>284</v>
      </c>
    </row>
    <row r="47" spans="1:11" x14ac:dyDescent="0.15">
      <c r="A47">
        <v>30240661</v>
      </c>
      <c r="B47" t="s">
        <v>17744</v>
      </c>
      <c r="C47" t="s">
        <v>30818</v>
      </c>
      <c r="D47" t="s">
        <v>30819</v>
      </c>
      <c r="E47" t="s">
        <v>30820</v>
      </c>
      <c r="F47" t="s">
        <v>30821</v>
      </c>
      <c r="G47">
        <v>2019</v>
      </c>
      <c r="H47" s="1">
        <v>43365</v>
      </c>
      <c r="I47" t="s">
        <v>30822</v>
      </c>
      <c r="J47" t="s">
        <v>30823</v>
      </c>
      <c r="K47" t="s">
        <v>17753</v>
      </c>
    </row>
    <row r="48" spans="1:11" x14ac:dyDescent="0.15">
      <c r="A48">
        <v>33201170</v>
      </c>
      <c r="B48" t="s">
        <v>30824</v>
      </c>
      <c r="C48" t="s">
        <v>30825</v>
      </c>
      <c r="D48" t="s">
        <v>30826</v>
      </c>
      <c r="E48" t="s">
        <v>30827</v>
      </c>
      <c r="F48" t="s">
        <v>30828</v>
      </c>
      <c r="G48">
        <v>2020</v>
      </c>
      <c r="H48" s="1">
        <v>44152</v>
      </c>
      <c r="I48" t="s">
        <v>30829</v>
      </c>
      <c r="K48" t="s">
        <v>30830</v>
      </c>
    </row>
    <row r="49" spans="1:11" x14ac:dyDescent="0.15">
      <c r="A49">
        <v>28811610</v>
      </c>
      <c r="B49" t="s">
        <v>139</v>
      </c>
      <c r="C49" t="s">
        <v>30831</v>
      </c>
      <c r="D49" t="s">
        <v>30832</v>
      </c>
      <c r="E49" t="s">
        <v>30833</v>
      </c>
      <c r="F49" t="s">
        <v>30834</v>
      </c>
      <c r="G49">
        <v>2017</v>
      </c>
      <c r="H49" s="1">
        <v>42964</v>
      </c>
      <c r="I49" t="s">
        <v>30835</v>
      </c>
      <c r="K49" t="s">
        <v>151</v>
      </c>
    </row>
    <row r="50" spans="1:11" x14ac:dyDescent="0.15">
      <c r="A50">
        <v>33783474</v>
      </c>
      <c r="B50" t="s">
        <v>30836</v>
      </c>
      <c r="C50" t="s">
        <v>30837</v>
      </c>
      <c r="D50" t="s">
        <v>30838</v>
      </c>
      <c r="E50" t="s">
        <v>30839</v>
      </c>
      <c r="F50" t="s">
        <v>30840</v>
      </c>
      <c r="G50">
        <v>2021</v>
      </c>
      <c r="H50" s="1">
        <v>44285</v>
      </c>
      <c r="I50" t="s">
        <v>30841</v>
      </c>
      <c r="K50" t="s">
        <v>30842</v>
      </c>
    </row>
    <row r="51" spans="1:11" x14ac:dyDescent="0.15">
      <c r="A51">
        <v>34388259</v>
      </c>
      <c r="B51" t="s">
        <v>30843</v>
      </c>
      <c r="C51" t="s">
        <v>30844</v>
      </c>
      <c r="D51" t="s">
        <v>30845</v>
      </c>
      <c r="E51" t="s">
        <v>30846</v>
      </c>
      <c r="F51" t="s">
        <v>30847</v>
      </c>
      <c r="G51">
        <v>2022</v>
      </c>
      <c r="H51" s="1">
        <v>44421</v>
      </c>
      <c r="I51" t="s">
        <v>30848</v>
      </c>
      <c r="K51" t="s">
        <v>30849</v>
      </c>
    </row>
    <row r="52" spans="1:11" x14ac:dyDescent="0.15">
      <c r="A52">
        <v>32420990</v>
      </c>
      <c r="B52" t="s">
        <v>417</v>
      </c>
      <c r="C52" t="s">
        <v>30850</v>
      </c>
      <c r="D52" t="s">
        <v>30851</v>
      </c>
      <c r="E52" t="s">
        <v>30852</v>
      </c>
      <c r="F52" t="s">
        <v>30853</v>
      </c>
      <c r="G52">
        <v>2020</v>
      </c>
      <c r="H52" s="1">
        <v>43970</v>
      </c>
      <c r="K52" t="s">
        <v>430</v>
      </c>
    </row>
    <row r="53" spans="1:11" x14ac:dyDescent="0.15">
      <c r="A53">
        <v>34180968</v>
      </c>
      <c r="B53" t="s">
        <v>30854</v>
      </c>
      <c r="C53" t="s">
        <v>30855</v>
      </c>
      <c r="D53" t="s">
        <v>30856</v>
      </c>
      <c r="E53" t="s">
        <v>30857</v>
      </c>
      <c r="F53" t="s">
        <v>30858</v>
      </c>
      <c r="G53">
        <v>2021</v>
      </c>
      <c r="H53" s="1">
        <v>44375</v>
      </c>
      <c r="I53" t="s">
        <v>30859</v>
      </c>
      <c r="K53" t="s">
        <v>30860</v>
      </c>
    </row>
    <row r="54" spans="1:11" x14ac:dyDescent="0.15">
      <c r="A54">
        <v>24710597</v>
      </c>
      <c r="B54" t="s">
        <v>30861</v>
      </c>
      <c r="C54" t="s">
        <v>30862</v>
      </c>
      <c r="D54" t="s">
        <v>30863</v>
      </c>
      <c r="E54" t="s">
        <v>30864</v>
      </c>
      <c r="F54" t="s">
        <v>30865</v>
      </c>
      <c r="G54">
        <v>2014</v>
      </c>
      <c r="H54" s="1">
        <v>41738</v>
      </c>
      <c r="I54" t="s">
        <v>30866</v>
      </c>
      <c r="K54" t="s">
        <v>30867</v>
      </c>
    </row>
    <row r="55" spans="1:11" x14ac:dyDescent="0.15">
      <c r="A55">
        <v>23663360</v>
      </c>
      <c r="B55" t="s">
        <v>19714</v>
      </c>
      <c r="C55" t="s">
        <v>30868</v>
      </c>
      <c r="D55" t="s">
        <v>30869</v>
      </c>
      <c r="E55" t="s">
        <v>30870</v>
      </c>
      <c r="F55" t="s">
        <v>30871</v>
      </c>
      <c r="G55">
        <v>2013</v>
      </c>
      <c r="H55" s="1">
        <v>41408</v>
      </c>
      <c r="I55" t="s">
        <v>30872</v>
      </c>
      <c r="K55" t="s">
        <v>19724</v>
      </c>
    </row>
    <row r="56" spans="1:11" x14ac:dyDescent="0.15">
      <c r="A56">
        <v>27652382</v>
      </c>
      <c r="B56" t="s">
        <v>6547</v>
      </c>
      <c r="C56" t="s">
        <v>30873</v>
      </c>
      <c r="D56" t="s">
        <v>30874</v>
      </c>
      <c r="E56" t="s">
        <v>30875</v>
      </c>
      <c r="F56" t="s">
        <v>30876</v>
      </c>
      <c r="G56">
        <v>2016</v>
      </c>
      <c r="H56" s="1">
        <v>42635</v>
      </c>
      <c r="K56" t="s">
        <v>6555</v>
      </c>
    </row>
    <row r="57" spans="1:11" x14ac:dyDescent="0.15">
      <c r="A57">
        <v>33465400</v>
      </c>
      <c r="B57" t="s">
        <v>30877</v>
      </c>
      <c r="C57" t="s">
        <v>30878</v>
      </c>
      <c r="D57" t="s">
        <v>30879</v>
      </c>
      <c r="E57" t="s">
        <v>30880</v>
      </c>
      <c r="F57" t="s">
        <v>30881</v>
      </c>
      <c r="G57">
        <v>2021</v>
      </c>
      <c r="H57" s="1">
        <v>44215</v>
      </c>
      <c r="K57" t="s">
        <v>30882</v>
      </c>
    </row>
    <row r="58" spans="1:11" x14ac:dyDescent="0.15">
      <c r="A58">
        <v>32178818</v>
      </c>
      <c r="B58" t="s">
        <v>30883</v>
      </c>
      <c r="C58" t="s">
        <v>30884</v>
      </c>
      <c r="D58" t="s">
        <v>30885</v>
      </c>
      <c r="E58" t="s">
        <v>30886</v>
      </c>
      <c r="F58" t="s">
        <v>30887</v>
      </c>
      <c r="G58">
        <v>2020</v>
      </c>
      <c r="H58" s="1">
        <v>43908</v>
      </c>
      <c r="K58" t="s">
        <v>30888</v>
      </c>
    </row>
    <row r="59" spans="1:11" x14ac:dyDescent="0.15">
      <c r="A59">
        <v>31828924</v>
      </c>
      <c r="B59" t="s">
        <v>30889</v>
      </c>
      <c r="C59" t="s">
        <v>30890</v>
      </c>
      <c r="D59" t="s">
        <v>30891</v>
      </c>
      <c r="E59" t="s">
        <v>30892</v>
      </c>
      <c r="F59" t="s">
        <v>30893</v>
      </c>
      <c r="G59">
        <v>2020</v>
      </c>
      <c r="H59" s="1">
        <v>43812</v>
      </c>
      <c r="I59" t="s">
        <v>30894</v>
      </c>
      <c r="J59" t="s">
        <v>30895</v>
      </c>
      <c r="K59" t="s">
        <v>30896</v>
      </c>
    </row>
    <row r="60" spans="1:11" x14ac:dyDescent="0.15">
      <c r="A60">
        <v>33217521</v>
      </c>
      <c r="B60" t="s">
        <v>30897</v>
      </c>
      <c r="C60" t="s">
        <v>30898</v>
      </c>
      <c r="D60" t="s">
        <v>30899</v>
      </c>
      <c r="E60" t="s">
        <v>30900</v>
      </c>
      <c r="F60" t="s">
        <v>30901</v>
      </c>
      <c r="G60">
        <v>2021</v>
      </c>
      <c r="H60" s="1">
        <v>44155</v>
      </c>
      <c r="I60" t="s">
        <v>30902</v>
      </c>
      <c r="J60" t="s">
        <v>30903</v>
      </c>
      <c r="K60" t="s">
        <v>8019</v>
      </c>
    </row>
    <row r="61" spans="1:11" x14ac:dyDescent="0.15">
      <c r="A61">
        <v>33933815</v>
      </c>
      <c r="B61" t="s">
        <v>3332</v>
      </c>
      <c r="C61" t="s">
        <v>30904</v>
      </c>
      <c r="D61" t="s">
        <v>30905</v>
      </c>
      <c r="E61" t="s">
        <v>30906</v>
      </c>
      <c r="F61" t="s">
        <v>30907</v>
      </c>
      <c r="G61">
        <v>2021</v>
      </c>
      <c r="H61" s="1">
        <v>44318</v>
      </c>
      <c r="K61" t="s">
        <v>3344</v>
      </c>
    </row>
    <row r="62" spans="1:11" x14ac:dyDescent="0.15">
      <c r="A62">
        <v>29045505</v>
      </c>
      <c r="B62" t="s">
        <v>15985</v>
      </c>
      <c r="C62" t="s">
        <v>30908</v>
      </c>
      <c r="D62" t="s">
        <v>30909</v>
      </c>
      <c r="E62" t="s">
        <v>30910</v>
      </c>
      <c r="F62" t="s">
        <v>30605</v>
      </c>
      <c r="G62">
        <v>2018</v>
      </c>
      <c r="H62" s="1">
        <v>43027</v>
      </c>
      <c r="I62" t="s">
        <v>30911</v>
      </c>
      <c r="K62" t="s">
        <v>15992</v>
      </c>
    </row>
    <row r="63" spans="1:11" x14ac:dyDescent="0.15">
      <c r="A63">
        <v>34867996</v>
      </c>
      <c r="B63" t="s">
        <v>30912</v>
      </c>
      <c r="C63" t="s">
        <v>30913</v>
      </c>
      <c r="D63" t="s">
        <v>30914</v>
      </c>
      <c r="E63" t="s">
        <v>30915</v>
      </c>
      <c r="F63" t="s">
        <v>30713</v>
      </c>
      <c r="G63">
        <v>2021</v>
      </c>
      <c r="H63" s="1">
        <v>44536</v>
      </c>
      <c r="I63" t="s">
        <v>30916</v>
      </c>
      <c r="K63" t="s">
        <v>30917</v>
      </c>
    </row>
    <row r="64" spans="1:11" x14ac:dyDescent="0.15">
      <c r="A64">
        <v>29971917</v>
      </c>
      <c r="B64" t="s">
        <v>2006</v>
      </c>
      <c r="C64" t="s">
        <v>30918</v>
      </c>
      <c r="D64" t="s">
        <v>30919</v>
      </c>
      <c r="E64" t="s">
        <v>30920</v>
      </c>
      <c r="F64" t="s">
        <v>30921</v>
      </c>
      <c r="G64">
        <v>2018</v>
      </c>
      <c r="H64" s="1">
        <v>43286</v>
      </c>
      <c r="K64" t="s">
        <v>2016</v>
      </c>
    </row>
    <row r="65" spans="1:11" x14ac:dyDescent="0.15">
      <c r="A65">
        <v>28167212</v>
      </c>
      <c r="B65" t="s">
        <v>30922</v>
      </c>
      <c r="C65" t="s">
        <v>30923</v>
      </c>
      <c r="D65" t="s">
        <v>30924</v>
      </c>
      <c r="E65" t="s">
        <v>30925</v>
      </c>
      <c r="F65" t="s">
        <v>30926</v>
      </c>
      <c r="G65">
        <v>2017</v>
      </c>
      <c r="H65" s="1">
        <v>42774</v>
      </c>
      <c r="K65" t="s">
        <v>30927</v>
      </c>
    </row>
    <row r="66" spans="1:11" x14ac:dyDescent="0.15">
      <c r="A66">
        <v>33586060</v>
      </c>
      <c r="B66" t="s">
        <v>30928</v>
      </c>
      <c r="C66" t="s">
        <v>30929</v>
      </c>
      <c r="D66" t="s">
        <v>30930</v>
      </c>
      <c r="E66" t="s">
        <v>30931</v>
      </c>
      <c r="F66" t="s">
        <v>30932</v>
      </c>
      <c r="G66">
        <v>2021</v>
      </c>
      <c r="H66" s="1">
        <v>44242</v>
      </c>
      <c r="I66" t="s">
        <v>30933</v>
      </c>
      <c r="K66" t="s">
        <v>30934</v>
      </c>
    </row>
    <row r="67" spans="1:11" x14ac:dyDescent="0.15">
      <c r="A67">
        <v>34314775</v>
      </c>
      <c r="B67" t="s">
        <v>30935</v>
      </c>
      <c r="C67" t="s">
        <v>30936</v>
      </c>
      <c r="D67" t="s">
        <v>30937</v>
      </c>
      <c r="E67" t="s">
        <v>30938</v>
      </c>
      <c r="F67" t="s">
        <v>30939</v>
      </c>
      <c r="G67">
        <v>2021</v>
      </c>
      <c r="H67" s="1">
        <v>44404</v>
      </c>
      <c r="K67" t="s">
        <v>30940</v>
      </c>
    </row>
    <row r="68" spans="1:11" x14ac:dyDescent="0.15">
      <c r="A68">
        <v>33666501</v>
      </c>
      <c r="B68" t="s">
        <v>30941</v>
      </c>
      <c r="C68" t="s">
        <v>30942</v>
      </c>
      <c r="D68" t="s">
        <v>30943</v>
      </c>
      <c r="E68" t="s">
        <v>30944</v>
      </c>
      <c r="F68" t="s">
        <v>30945</v>
      </c>
      <c r="G68">
        <v>2021</v>
      </c>
      <c r="H68" s="1">
        <v>44260</v>
      </c>
      <c r="I68" t="s">
        <v>30946</v>
      </c>
      <c r="K68" t="s">
        <v>30947</v>
      </c>
    </row>
    <row r="69" spans="1:11" x14ac:dyDescent="0.15">
      <c r="A69">
        <v>25894694</v>
      </c>
      <c r="B69" t="s">
        <v>30948</v>
      </c>
      <c r="C69" t="s">
        <v>30949</v>
      </c>
      <c r="D69" t="s">
        <v>30950</v>
      </c>
      <c r="E69" t="s">
        <v>30951</v>
      </c>
      <c r="F69" t="s">
        <v>30876</v>
      </c>
      <c r="G69">
        <v>2015</v>
      </c>
      <c r="H69" s="1">
        <v>42115</v>
      </c>
      <c r="K69" t="s">
        <v>30952</v>
      </c>
    </row>
    <row r="70" spans="1:11" x14ac:dyDescent="0.15">
      <c r="A70">
        <v>32369338</v>
      </c>
      <c r="B70" t="s">
        <v>25785</v>
      </c>
      <c r="C70" t="s">
        <v>30953</v>
      </c>
      <c r="D70" t="s">
        <v>30954</v>
      </c>
      <c r="E70" t="s">
        <v>30955</v>
      </c>
      <c r="F70" t="s">
        <v>30956</v>
      </c>
      <c r="G70">
        <v>2020</v>
      </c>
      <c r="H70" s="1">
        <v>43957</v>
      </c>
      <c r="K70" t="s">
        <v>25794</v>
      </c>
    </row>
    <row r="71" spans="1:11" x14ac:dyDescent="0.15">
      <c r="A71">
        <v>24488559</v>
      </c>
      <c r="B71" t="s">
        <v>30957</v>
      </c>
      <c r="C71" t="s">
        <v>30958</v>
      </c>
      <c r="D71" t="s">
        <v>30959</v>
      </c>
      <c r="E71" t="s">
        <v>30960</v>
      </c>
      <c r="F71" t="s">
        <v>30961</v>
      </c>
      <c r="G71">
        <v>2014</v>
      </c>
      <c r="H71" s="1">
        <v>41674</v>
      </c>
      <c r="K71" t="s">
        <v>30962</v>
      </c>
    </row>
    <row r="72" spans="1:11" x14ac:dyDescent="0.15">
      <c r="A72">
        <v>27436038</v>
      </c>
      <c r="B72" t="s">
        <v>2068</v>
      </c>
      <c r="C72" t="s">
        <v>30963</v>
      </c>
      <c r="D72" t="s">
        <v>30964</v>
      </c>
      <c r="E72" t="s">
        <v>30965</v>
      </c>
      <c r="F72" t="s">
        <v>30966</v>
      </c>
      <c r="G72">
        <v>2016</v>
      </c>
      <c r="H72" s="1">
        <v>42572</v>
      </c>
      <c r="K72" t="s">
        <v>2082</v>
      </c>
    </row>
    <row r="73" spans="1:11" x14ac:dyDescent="0.15">
      <c r="A73">
        <v>21049390</v>
      </c>
      <c r="B73" t="s">
        <v>30967</v>
      </c>
      <c r="C73" t="s">
        <v>30968</v>
      </c>
      <c r="D73" t="s">
        <v>30969</v>
      </c>
      <c r="E73" t="s">
        <v>30970</v>
      </c>
      <c r="F73" t="s">
        <v>30971</v>
      </c>
      <c r="G73">
        <v>2010</v>
      </c>
      <c r="H73" s="1">
        <v>40487</v>
      </c>
      <c r="K73" t="s">
        <v>10487</v>
      </c>
    </row>
    <row r="74" spans="1:11" x14ac:dyDescent="0.15">
      <c r="A74">
        <v>32861876</v>
      </c>
      <c r="B74" t="s">
        <v>30972</v>
      </c>
      <c r="C74" t="s">
        <v>30973</v>
      </c>
      <c r="D74" t="s">
        <v>30974</v>
      </c>
      <c r="E74" t="s">
        <v>30975</v>
      </c>
      <c r="F74" t="s">
        <v>30976</v>
      </c>
      <c r="G74">
        <v>2020</v>
      </c>
      <c r="H74" s="1">
        <v>44074</v>
      </c>
      <c r="K74" t="s">
        <v>30977</v>
      </c>
    </row>
    <row r="75" spans="1:11" x14ac:dyDescent="0.15">
      <c r="A75">
        <v>30542983</v>
      </c>
      <c r="B75" t="s">
        <v>157</v>
      </c>
      <c r="C75" t="s">
        <v>30978</v>
      </c>
      <c r="D75" t="s">
        <v>30979</v>
      </c>
      <c r="E75" t="s">
        <v>30980</v>
      </c>
      <c r="F75" t="s">
        <v>30727</v>
      </c>
      <c r="G75">
        <v>2019</v>
      </c>
      <c r="H75" s="1">
        <v>43448</v>
      </c>
      <c r="K75" t="s">
        <v>171</v>
      </c>
    </row>
    <row r="76" spans="1:11" x14ac:dyDescent="0.15">
      <c r="A76">
        <v>27394168</v>
      </c>
      <c r="B76" t="s">
        <v>519</v>
      </c>
      <c r="C76" t="s">
        <v>30981</v>
      </c>
      <c r="D76" t="s">
        <v>30982</v>
      </c>
      <c r="E76" t="s">
        <v>30983</v>
      </c>
      <c r="F76" t="s">
        <v>30984</v>
      </c>
      <c r="G76">
        <v>2016</v>
      </c>
      <c r="H76" s="1">
        <v>42562</v>
      </c>
      <c r="K76" t="s">
        <v>532</v>
      </c>
    </row>
    <row r="77" spans="1:11" x14ac:dyDescent="0.15">
      <c r="A77">
        <v>33594754</v>
      </c>
      <c r="B77" t="s">
        <v>2504</v>
      </c>
      <c r="C77" t="s">
        <v>30985</v>
      </c>
      <c r="D77" t="s">
        <v>30986</v>
      </c>
      <c r="E77" t="s">
        <v>30987</v>
      </c>
      <c r="F77" t="s">
        <v>30988</v>
      </c>
      <c r="G77">
        <v>2021</v>
      </c>
      <c r="H77" s="1">
        <v>44244</v>
      </c>
      <c r="K77" t="s">
        <v>2515</v>
      </c>
    </row>
    <row r="78" spans="1:11" x14ac:dyDescent="0.15">
      <c r="A78">
        <v>31664614</v>
      </c>
      <c r="B78" t="s">
        <v>30989</v>
      </c>
      <c r="C78" t="s">
        <v>30990</v>
      </c>
      <c r="D78" t="s">
        <v>30991</v>
      </c>
      <c r="E78" t="s">
        <v>30992</v>
      </c>
      <c r="F78" t="s">
        <v>30727</v>
      </c>
      <c r="G78">
        <v>2020</v>
      </c>
      <c r="H78" s="1">
        <v>43769</v>
      </c>
      <c r="K78" t="s">
        <v>30993</v>
      </c>
    </row>
    <row r="79" spans="1:11" x14ac:dyDescent="0.15">
      <c r="A79">
        <v>31906023</v>
      </c>
      <c r="B79" t="s">
        <v>30994</v>
      </c>
      <c r="C79" t="s">
        <v>30995</v>
      </c>
      <c r="D79" t="s">
        <v>30996</v>
      </c>
      <c r="E79" t="s">
        <v>30997</v>
      </c>
      <c r="F79" t="s">
        <v>30655</v>
      </c>
      <c r="G79">
        <v>2019</v>
      </c>
      <c r="H79" s="1">
        <v>43838</v>
      </c>
      <c r="I79" t="s">
        <v>30998</v>
      </c>
      <c r="K79" t="s">
        <v>30999</v>
      </c>
    </row>
    <row r="80" spans="1:11" x14ac:dyDescent="0.15">
      <c r="A80">
        <v>33420990</v>
      </c>
      <c r="B80" t="s">
        <v>710</v>
      </c>
      <c r="C80" t="s">
        <v>31000</v>
      </c>
      <c r="D80" t="s">
        <v>31001</v>
      </c>
      <c r="E80" t="s">
        <v>31002</v>
      </c>
      <c r="F80" t="s">
        <v>31003</v>
      </c>
      <c r="G80">
        <v>2021</v>
      </c>
      <c r="H80" s="1">
        <v>44205</v>
      </c>
      <c r="K80" t="s">
        <v>734</v>
      </c>
    </row>
    <row r="81" spans="1:11" x14ac:dyDescent="0.15">
      <c r="A81">
        <v>32605316</v>
      </c>
      <c r="B81" t="s">
        <v>31004</v>
      </c>
      <c r="C81" t="s">
        <v>31005</v>
      </c>
      <c r="D81" t="s">
        <v>31006</v>
      </c>
      <c r="E81" t="s">
        <v>31007</v>
      </c>
      <c r="F81" t="s">
        <v>30720</v>
      </c>
      <c r="G81">
        <v>2020</v>
      </c>
      <c r="H81" s="1">
        <v>44014</v>
      </c>
      <c r="I81" t="s">
        <v>31008</v>
      </c>
      <c r="K81" t="s">
        <v>31009</v>
      </c>
    </row>
    <row r="82" spans="1:11" x14ac:dyDescent="0.15">
      <c r="A82">
        <v>32781015</v>
      </c>
      <c r="B82" t="s">
        <v>31010</v>
      </c>
      <c r="C82" t="s">
        <v>31011</v>
      </c>
      <c r="D82" t="s">
        <v>31012</v>
      </c>
      <c r="E82" t="s">
        <v>31013</v>
      </c>
      <c r="F82" t="s">
        <v>30682</v>
      </c>
      <c r="G82">
        <v>2020</v>
      </c>
      <c r="H82" s="1">
        <v>44055</v>
      </c>
      <c r="K82" t="s">
        <v>31014</v>
      </c>
    </row>
    <row r="83" spans="1:11" x14ac:dyDescent="0.15">
      <c r="A83">
        <v>28490541</v>
      </c>
      <c r="B83" t="s">
        <v>3195</v>
      </c>
      <c r="C83" t="s">
        <v>31015</v>
      </c>
      <c r="D83" t="s">
        <v>31016</v>
      </c>
      <c r="E83" t="s">
        <v>31017</v>
      </c>
      <c r="F83" t="s">
        <v>31018</v>
      </c>
      <c r="G83">
        <v>2018</v>
      </c>
      <c r="H83" s="1">
        <v>42867</v>
      </c>
      <c r="I83" t="s">
        <v>31019</v>
      </c>
      <c r="K83" t="s">
        <v>3206</v>
      </c>
    </row>
    <row r="84" spans="1:11" x14ac:dyDescent="0.15">
      <c r="A84">
        <v>28936730</v>
      </c>
      <c r="B84" t="s">
        <v>15568</v>
      </c>
      <c r="C84" t="s">
        <v>31020</v>
      </c>
      <c r="D84" t="s">
        <v>31021</v>
      </c>
      <c r="E84" t="s">
        <v>31022</v>
      </c>
      <c r="F84" t="s">
        <v>31023</v>
      </c>
      <c r="G84">
        <v>2017</v>
      </c>
      <c r="H84" s="1">
        <v>43001</v>
      </c>
      <c r="K84" t="s">
        <v>15578</v>
      </c>
    </row>
    <row r="85" spans="1:11" x14ac:dyDescent="0.15">
      <c r="A85">
        <v>29115853</v>
      </c>
      <c r="B85" t="s">
        <v>31024</v>
      </c>
      <c r="C85" t="s">
        <v>31025</v>
      </c>
      <c r="D85" t="s">
        <v>31026</v>
      </c>
      <c r="E85" t="s">
        <v>31027</v>
      </c>
      <c r="F85" t="s">
        <v>31028</v>
      </c>
      <c r="G85">
        <v>2018</v>
      </c>
      <c r="H85" s="1">
        <v>43048</v>
      </c>
      <c r="K85" t="s">
        <v>31029</v>
      </c>
    </row>
    <row r="86" spans="1:11" x14ac:dyDescent="0.15">
      <c r="A86">
        <v>34793917</v>
      </c>
      <c r="B86" t="s">
        <v>12089</v>
      </c>
      <c r="C86" t="s">
        <v>31030</v>
      </c>
      <c r="D86" t="s">
        <v>31031</v>
      </c>
      <c r="E86" t="s">
        <v>31032</v>
      </c>
      <c r="F86" t="s">
        <v>31033</v>
      </c>
      <c r="G86">
        <v>2022</v>
      </c>
      <c r="H86" s="1">
        <v>44518</v>
      </c>
      <c r="K86" t="s">
        <v>12097</v>
      </c>
    </row>
    <row r="87" spans="1:11" x14ac:dyDescent="0.15">
      <c r="A87">
        <v>30903454</v>
      </c>
      <c r="B87" t="s">
        <v>31034</v>
      </c>
      <c r="C87" t="s">
        <v>31035</v>
      </c>
      <c r="D87" t="s">
        <v>31036</v>
      </c>
      <c r="E87" t="s">
        <v>31037</v>
      </c>
      <c r="F87" t="s">
        <v>31038</v>
      </c>
      <c r="G87">
        <v>2019</v>
      </c>
      <c r="H87" s="1">
        <v>43548</v>
      </c>
      <c r="I87" t="s">
        <v>31039</v>
      </c>
      <c r="J87" t="s">
        <v>31040</v>
      </c>
      <c r="K87" t="s">
        <v>31041</v>
      </c>
    </row>
    <row r="88" spans="1:11" x14ac:dyDescent="0.15">
      <c r="A88">
        <v>33137926</v>
      </c>
      <c r="B88" t="s">
        <v>31042</v>
      </c>
      <c r="C88" t="s">
        <v>31043</v>
      </c>
      <c r="D88" t="s">
        <v>31044</v>
      </c>
      <c r="E88" t="s">
        <v>31045</v>
      </c>
      <c r="F88" t="s">
        <v>30816</v>
      </c>
      <c r="G88">
        <v>2020</v>
      </c>
      <c r="H88" s="1">
        <v>44138</v>
      </c>
      <c r="I88" t="s">
        <v>31046</v>
      </c>
      <c r="K88" t="s">
        <v>31047</v>
      </c>
    </row>
    <row r="89" spans="1:11" x14ac:dyDescent="0.15">
      <c r="A89">
        <v>27655784</v>
      </c>
      <c r="B89" t="s">
        <v>31048</v>
      </c>
      <c r="C89" t="s">
        <v>31049</v>
      </c>
      <c r="D89" t="s">
        <v>31050</v>
      </c>
      <c r="E89" t="s">
        <v>31051</v>
      </c>
      <c r="F89" t="s">
        <v>31052</v>
      </c>
      <c r="G89">
        <v>2016</v>
      </c>
      <c r="H89" s="1">
        <v>42636</v>
      </c>
      <c r="I89" t="s">
        <v>31053</v>
      </c>
      <c r="K89" t="s">
        <v>31054</v>
      </c>
    </row>
    <row r="90" spans="1:11" x14ac:dyDescent="0.15">
      <c r="A90">
        <v>28008089</v>
      </c>
      <c r="B90" t="s">
        <v>31055</v>
      </c>
      <c r="C90" t="s">
        <v>31056</v>
      </c>
      <c r="D90" t="s">
        <v>31057</v>
      </c>
      <c r="E90" t="s">
        <v>31058</v>
      </c>
      <c r="F90" t="s">
        <v>31059</v>
      </c>
      <c r="G90">
        <v>2017</v>
      </c>
      <c r="H90" s="1">
        <v>42728</v>
      </c>
      <c r="K90" t="s">
        <v>31060</v>
      </c>
    </row>
    <row r="91" spans="1:11" x14ac:dyDescent="0.15">
      <c r="A91">
        <v>29024380</v>
      </c>
      <c r="B91" t="s">
        <v>31061</v>
      </c>
      <c r="C91" t="s">
        <v>31062</v>
      </c>
      <c r="D91" t="s">
        <v>31063</v>
      </c>
      <c r="E91" t="s">
        <v>31064</v>
      </c>
      <c r="F91" t="s">
        <v>30694</v>
      </c>
      <c r="G91">
        <v>2017</v>
      </c>
      <c r="H91" s="1">
        <v>43021</v>
      </c>
      <c r="I91" t="s">
        <v>31065</v>
      </c>
      <c r="K91" t="s">
        <v>31066</v>
      </c>
    </row>
    <row r="92" spans="1:11" x14ac:dyDescent="0.15">
      <c r="A92">
        <v>27035811</v>
      </c>
      <c r="B92" t="s">
        <v>31067</v>
      </c>
      <c r="C92" t="s">
        <v>31068</v>
      </c>
      <c r="D92" t="s">
        <v>31069</v>
      </c>
      <c r="E92" t="s">
        <v>31070</v>
      </c>
      <c r="F92" t="s">
        <v>30566</v>
      </c>
      <c r="G92">
        <v>2016</v>
      </c>
      <c r="H92" s="1">
        <v>42462</v>
      </c>
      <c r="I92" t="s">
        <v>31071</v>
      </c>
      <c r="K92" t="s">
        <v>31072</v>
      </c>
    </row>
    <row r="93" spans="1:11" x14ac:dyDescent="0.15">
      <c r="A93">
        <v>29222068</v>
      </c>
      <c r="B93" t="s">
        <v>31073</v>
      </c>
      <c r="C93" t="s">
        <v>31074</v>
      </c>
      <c r="D93" t="s">
        <v>31075</v>
      </c>
      <c r="E93" t="s">
        <v>31076</v>
      </c>
      <c r="F93" t="s">
        <v>30613</v>
      </c>
      <c r="G93">
        <v>2018</v>
      </c>
      <c r="H93" s="1">
        <v>43079</v>
      </c>
      <c r="K93" t="s">
        <v>31077</v>
      </c>
    </row>
    <row r="94" spans="1:11" x14ac:dyDescent="0.15">
      <c r="A94">
        <v>34217734</v>
      </c>
      <c r="B94" t="s">
        <v>3999</v>
      </c>
      <c r="C94" t="s">
        <v>31078</v>
      </c>
      <c r="D94" t="s">
        <v>31079</v>
      </c>
      <c r="E94" t="s">
        <v>31080</v>
      </c>
      <c r="F94" t="s">
        <v>31081</v>
      </c>
      <c r="G94">
        <v>2021</v>
      </c>
      <c r="H94" s="1">
        <v>44381</v>
      </c>
      <c r="K94" t="s">
        <v>4009</v>
      </c>
    </row>
    <row r="95" spans="1:11" x14ac:dyDescent="0.15">
      <c r="A95">
        <v>35289089</v>
      </c>
      <c r="B95" t="s">
        <v>555</v>
      </c>
      <c r="C95" t="s">
        <v>31082</v>
      </c>
      <c r="D95" t="s">
        <v>31083</v>
      </c>
      <c r="E95" t="s">
        <v>31084</v>
      </c>
      <c r="F95" t="s">
        <v>30772</v>
      </c>
      <c r="G95">
        <v>2022</v>
      </c>
      <c r="H95" s="1">
        <v>44635</v>
      </c>
      <c r="I95" t="s">
        <v>31085</v>
      </c>
      <c r="K95" t="s">
        <v>567</v>
      </c>
    </row>
    <row r="96" spans="1:11" x14ac:dyDescent="0.15">
      <c r="A96">
        <v>26376343</v>
      </c>
      <c r="B96" t="s">
        <v>177</v>
      </c>
      <c r="C96" t="s">
        <v>31086</v>
      </c>
      <c r="D96" t="s">
        <v>31087</v>
      </c>
      <c r="E96" t="s">
        <v>31088</v>
      </c>
      <c r="F96" t="s">
        <v>31089</v>
      </c>
      <c r="G96">
        <v>2015</v>
      </c>
      <c r="H96" s="1">
        <v>42264</v>
      </c>
      <c r="I96" t="s">
        <v>31090</v>
      </c>
      <c r="J96" t="s">
        <v>31091</v>
      </c>
      <c r="K96" t="s">
        <v>190</v>
      </c>
    </row>
    <row r="97" spans="1:11" x14ac:dyDescent="0.15">
      <c r="A97">
        <v>31891869</v>
      </c>
      <c r="B97" t="s">
        <v>31092</v>
      </c>
      <c r="C97" t="s">
        <v>31093</v>
      </c>
      <c r="D97" t="s">
        <v>31094</v>
      </c>
      <c r="E97" t="s">
        <v>31095</v>
      </c>
      <c r="F97" t="s">
        <v>31096</v>
      </c>
      <c r="G97">
        <v>2020</v>
      </c>
      <c r="H97" s="1">
        <v>43831</v>
      </c>
      <c r="K97" t="s">
        <v>31097</v>
      </c>
    </row>
    <row r="98" spans="1:11" x14ac:dyDescent="0.15">
      <c r="A98">
        <v>34160815</v>
      </c>
      <c r="B98" t="s">
        <v>2356</v>
      </c>
      <c r="C98" t="s">
        <v>31098</v>
      </c>
      <c r="D98" t="s">
        <v>31099</v>
      </c>
      <c r="E98" t="s">
        <v>31100</v>
      </c>
      <c r="F98" t="s">
        <v>31003</v>
      </c>
      <c r="G98">
        <v>2021</v>
      </c>
      <c r="H98" s="1">
        <v>44370</v>
      </c>
      <c r="K98" t="s">
        <v>2367</v>
      </c>
    </row>
    <row r="99" spans="1:11" x14ac:dyDescent="0.15">
      <c r="A99">
        <v>31188499</v>
      </c>
      <c r="B99" t="s">
        <v>31101</v>
      </c>
      <c r="C99" t="s">
        <v>31102</v>
      </c>
      <c r="D99" t="s">
        <v>31103</v>
      </c>
      <c r="E99" t="s">
        <v>31104</v>
      </c>
      <c r="F99" t="s">
        <v>31105</v>
      </c>
      <c r="G99">
        <v>2019</v>
      </c>
      <c r="H99" s="1">
        <v>43629</v>
      </c>
      <c r="K99" t="s">
        <v>31106</v>
      </c>
    </row>
    <row r="100" spans="1:11" x14ac:dyDescent="0.15">
      <c r="A100">
        <v>31379812</v>
      </c>
      <c r="B100" t="s">
        <v>31107</v>
      </c>
      <c r="C100" t="s">
        <v>31108</v>
      </c>
      <c r="D100" t="s">
        <v>31109</v>
      </c>
      <c r="E100" t="s">
        <v>31110</v>
      </c>
      <c r="F100" t="s">
        <v>30713</v>
      </c>
      <c r="G100">
        <v>2019</v>
      </c>
      <c r="H100" s="1">
        <v>43683</v>
      </c>
      <c r="I100" t="s">
        <v>31111</v>
      </c>
      <c r="K100" t="s">
        <v>31112</v>
      </c>
    </row>
    <row r="101" spans="1:11" x14ac:dyDescent="0.15">
      <c r="A101">
        <v>30849983</v>
      </c>
      <c r="B101" t="s">
        <v>31113</v>
      </c>
      <c r="C101" t="s">
        <v>31114</v>
      </c>
      <c r="D101" t="s">
        <v>31115</v>
      </c>
      <c r="E101" t="s">
        <v>31116</v>
      </c>
      <c r="F101" t="s">
        <v>30630</v>
      </c>
      <c r="G101">
        <v>2019</v>
      </c>
      <c r="H101" s="1">
        <v>43534</v>
      </c>
      <c r="I101" t="s">
        <v>31117</v>
      </c>
      <c r="K101" t="s">
        <v>31118</v>
      </c>
    </row>
    <row r="102" spans="1:11" x14ac:dyDescent="0.15">
      <c r="A102">
        <v>28782514</v>
      </c>
      <c r="B102" t="s">
        <v>31119</v>
      </c>
      <c r="C102" t="s">
        <v>31120</v>
      </c>
      <c r="D102" t="s">
        <v>31121</v>
      </c>
      <c r="E102" t="s">
        <v>31122</v>
      </c>
      <c r="F102" t="s">
        <v>31123</v>
      </c>
      <c r="G102">
        <v>2017</v>
      </c>
      <c r="H102" s="1">
        <v>42955</v>
      </c>
      <c r="I102" t="s">
        <v>31124</v>
      </c>
      <c r="J102" t="s">
        <v>31125</v>
      </c>
      <c r="K102" t="s">
        <v>31126</v>
      </c>
    </row>
    <row r="103" spans="1:11" x14ac:dyDescent="0.15">
      <c r="A103">
        <v>33324409</v>
      </c>
      <c r="B103" t="s">
        <v>31127</v>
      </c>
      <c r="C103" t="s">
        <v>31128</v>
      </c>
      <c r="D103" t="s">
        <v>31129</v>
      </c>
      <c r="E103" t="s">
        <v>31130</v>
      </c>
      <c r="F103" t="s">
        <v>30713</v>
      </c>
      <c r="G103">
        <v>2020</v>
      </c>
      <c r="H103" s="1">
        <v>44181</v>
      </c>
      <c r="I103" t="s">
        <v>31131</v>
      </c>
      <c r="K103" t="s">
        <v>31132</v>
      </c>
    </row>
    <row r="104" spans="1:11" x14ac:dyDescent="0.15">
      <c r="A104">
        <v>34139872</v>
      </c>
      <c r="B104" t="s">
        <v>31133</v>
      </c>
      <c r="C104" t="s">
        <v>31134</v>
      </c>
      <c r="D104" t="s">
        <v>31135</v>
      </c>
      <c r="E104" t="s">
        <v>31136</v>
      </c>
      <c r="F104" t="s">
        <v>31137</v>
      </c>
      <c r="G104">
        <v>2021</v>
      </c>
      <c r="H104" s="1">
        <v>44365</v>
      </c>
      <c r="I104" t="s">
        <v>31138</v>
      </c>
      <c r="K104" t="s">
        <v>31139</v>
      </c>
    </row>
    <row r="105" spans="1:11" x14ac:dyDescent="0.15">
      <c r="A105">
        <v>33565967</v>
      </c>
      <c r="B105" t="s">
        <v>31140</v>
      </c>
      <c r="C105" t="s">
        <v>31141</v>
      </c>
      <c r="D105" t="s">
        <v>31142</v>
      </c>
      <c r="E105" t="s">
        <v>31143</v>
      </c>
      <c r="F105" t="s">
        <v>30887</v>
      </c>
      <c r="G105">
        <v>2020</v>
      </c>
      <c r="H105" s="1">
        <v>44237</v>
      </c>
      <c r="K105" t="s">
        <v>31144</v>
      </c>
    </row>
    <row r="106" spans="1:11" x14ac:dyDescent="0.15">
      <c r="A106">
        <v>26927673</v>
      </c>
      <c r="B106" t="s">
        <v>31145</v>
      </c>
      <c r="C106" t="s">
        <v>31146</v>
      </c>
      <c r="D106" t="s">
        <v>31147</v>
      </c>
      <c r="E106" t="s">
        <v>31148</v>
      </c>
      <c r="F106" t="s">
        <v>30566</v>
      </c>
      <c r="G106">
        <v>2016</v>
      </c>
      <c r="H106" s="1">
        <v>42431</v>
      </c>
      <c r="I106" t="s">
        <v>31149</v>
      </c>
      <c r="K106" t="s">
        <v>31150</v>
      </c>
    </row>
    <row r="107" spans="1:11" x14ac:dyDescent="0.15">
      <c r="A107">
        <v>31263077</v>
      </c>
      <c r="B107" t="s">
        <v>31151</v>
      </c>
      <c r="C107" t="s">
        <v>31152</v>
      </c>
      <c r="D107" t="s">
        <v>31153</v>
      </c>
      <c r="E107" t="s">
        <v>31154</v>
      </c>
      <c r="F107" t="s">
        <v>31155</v>
      </c>
      <c r="G107">
        <v>2019</v>
      </c>
      <c r="H107" s="1">
        <v>43649</v>
      </c>
      <c r="I107" t="s">
        <v>31156</v>
      </c>
      <c r="K107" t="s">
        <v>31157</v>
      </c>
    </row>
    <row r="108" spans="1:11" x14ac:dyDescent="0.15">
      <c r="A108">
        <v>29155161</v>
      </c>
      <c r="B108" t="s">
        <v>31158</v>
      </c>
      <c r="C108" t="s">
        <v>31159</v>
      </c>
      <c r="D108" t="s">
        <v>31160</v>
      </c>
      <c r="E108" t="s">
        <v>31161</v>
      </c>
      <c r="F108" t="s">
        <v>30613</v>
      </c>
      <c r="G108">
        <v>2018</v>
      </c>
      <c r="H108" s="1">
        <v>43060</v>
      </c>
      <c r="K108" t="s">
        <v>31162</v>
      </c>
    </row>
    <row r="109" spans="1:11" x14ac:dyDescent="0.15">
      <c r="A109">
        <v>31088834</v>
      </c>
      <c r="B109" t="s">
        <v>31163</v>
      </c>
      <c r="C109" t="s">
        <v>31164</v>
      </c>
      <c r="D109" t="s">
        <v>31165</v>
      </c>
      <c r="E109" t="s">
        <v>31166</v>
      </c>
      <c r="F109" t="s">
        <v>31167</v>
      </c>
      <c r="G109">
        <v>2019</v>
      </c>
      <c r="H109" s="1">
        <v>43601</v>
      </c>
      <c r="I109" t="s">
        <v>31168</v>
      </c>
      <c r="J109" t="s">
        <v>31169</v>
      </c>
      <c r="K109" t="s">
        <v>31170</v>
      </c>
    </row>
    <row r="110" spans="1:11" x14ac:dyDescent="0.15">
      <c r="A110">
        <v>31937439</v>
      </c>
      <c r="B110" t="s">
        <v>31171</v>
      </c>
      <c r="C110" t="s">
        <v>31172</v>
      </c>
      <c r="D110" t="s">
        <v>31173</v>
      </c>
      <c r="E110" t="s">
        <v>31174</v>
      </c>
      <c r="F110" t="s">
        <v>31175</v>
      </c>
      <c r="G110">
        <v>2020</v>
      </c>
      <c r="H110" s="1">
        <v>43846</v>
      </c>
      <c r="K110" t="s">
        <v>31176</v>
      </c>
    </row>
    <row r="111" spans="1:11" x14ac:dyDescent="0.15">
      <c r="A111">
        <v>32903777</v>
      </c>
      <c r="B111" t="s">
        <v>31177</v>
      </c>
      <c r="C111" t="s">
        <v>31178</v>
      </c>
      <c r="D111" t="s">
        <v>31179</v>
      </c>
      <c r="E111" t="s">
        <v>31180</v>
      </c>
      <c r="F111" t="s">
        <v>30713</v>
      </c>
      <c r="G111">
        <v>2020</v>
      </c>
      <c r="H111" s="1">
        <v>44083</v>
      </c>
      <c r="I111" t="s">
        <v>31181</v>
      </c>
      <c r="K111" t="s">
        <v>31182</v>
      </c>
    </row>
    <row r="112" spans="1:11" x14ac:dyDescent="0.15">
      <c r="A112">
        <v>30003942</v>
      </c>
      <c r="B112" t="s">
        <v>31183</v>
      </c>
      <c r="C112" t="s">
        <v>31184</v>
      </c>
      <c r="D112" t="s">
        <v>31185</v>
      </c>
      <c r="E112" t="s">
        <v>31186</v>
      </c>
      <c r="F112" t="s">
        <v>30939</v>
      </c>
      <c r="G112">
        <v>2019</v>
      </c>
      <c r="H112" s="1">
        <v>43295</v>
      </c>
      <c r="K112" t="s">
        <v>31187</v>
      </c>
    </row>
    <row r="113" spans="1:11" x14ac:dyDescent="0.15">
      <c r="A113">
        <v>25111183</v>
      </c>
      <c r="B113" t="s">
        <v>31188</v>
      </c>
      <c r="C113" t="s">
        <v>31189</v>
      </c>
      <c r="D113" t="s">
        <v>31190</v>
      </c>
      <c r="E113" t="s">
        <v>31191</v>
      </c>
      <c r="F113" t="s">
        <v>31192</v>
      </c>
      <c r="G113">
        <v>2014</v>
      </c>
      <c r="H113" s="1">
        <v>41863</v>
      </c>
      <c r="I113" t="s">
        <v>31193</v>
      </c>
      <c r="K113" t="s">
        <v>514</v>
      </c>
    </row>
    <row r="114" spans="1:11" x14ac:dyDescent="0.15">
      <c r="A114">
        <v>30697216</v>
      </c>
      <c r="B114" t="s">
        <v>31194</v>
      </c>
      <c r="C114" t="s">
        <v>31195</v>
      </c>
      <c r="D114" t="s">
        <v>31196</v>
      </c>
      <c r="E114" t="s">
        <v>31197</v>
      </c>
      <c r="F114" t="s">
        <v>30713</v>
      </c>
      <c r="G114">
        <v>2019</v>
      </c>
      <c r="H114" s="1">
        <v>43496</v>
      </c>
      <c r="I114" t="s">
        <v>31198</v>
      </c>
      <c r="K114" t="s">
        <v>31199</v>
      </c>
    </row>
    <row r="115" spans="1:11" x14ac:dyDescent="0.15">
      <c r="A115">
        <v>32986962</v>
      </c>
      <c r="B115" t="s">
        <v>31200</v>
      </c>
      <c r="C115" t="s">
        <v>31201</v>
      </c>
      <c r="D115" t="s">
        <v>31202</v>
      </c>
      <c r="E115" t="s">
        <v>31203</v>
      </c>
      <c r="F115" t="s">
        <v>30945</v>
      </c>
      <c r="G115">
        <v>2020</v>
      </c>
      <c r="H115" s="1">
        <v>44102</v>
      </c>
      <c r="I115" t="s">
        <v>31204</v>
      </c>
      <c r="K115" t="s">
        <v>31205</v>
      </c>
    </row>
    <row r="116" spans="1:11" x14ac:dyDescent="0.15">
      <c r="A116">
        <v>28833502</v>
      </c>
      <c r="B116" t="s">
        <v>31206</v>
      </c>
      <c r="C116" t="s">
        <v>31207</v>
      </c>
      <c r="D116" t="s">
        <v>31208</v>
      </c>
      <c r="E116" t="s">
        <v>31209</v>
      </c>
      <c r="F116" t="s">
        <v>30988</v>
      </c>
      <c r="G116">
        <v>2018</v>
      </c>
      <c r="H116" s="1">
        <v>42971</v>
      </c>
      <c r="K116" t="s">
        <v>31210</v>
      </c>
    </row>
    <row r="117" spans="1:11" x14ac:dyDescent="0.15">
      <c r="A117">
        <v>27150849</v>
      </c>
      <c r="B117" t="s">
        <v>31211</v>
      </c>
      <c r="C117" t="s">
        <v>31212</v>
      </c>
      <c r="D117" t="s">
        <v>31213</v>
      </c>
      <c r="E117" t="s">
        <v>31214</v>
      </c>
      <c r="F117" t="s">
        <v>31215</v>
      </c>
      <c r="G117">
        <v>2016</v>
      </c>
      <c r="H117" s="1">
        <v>42497</v>
      </c>
      <c r="K117" t="s">
        <v>31216</v>
      </c>
    </row>
    <row r="118" spans="1:11" x14ac:dyDescent="0.15">
      <c r="A118">
        <v>32067543</v>
      </c>
      <c r="B118" t="s">
        <v>31217</v>
      </c>
      <c r="C118" t="s">
        <v>31218</v>
      </c>
      <c r="D118" t="s">
        <v>31219</v>
      </c>
      <c r="E118" t="s">
        <v>31220</v>
      </c>
      <c r="F118" t="s">
        <v>30668</v>
      </c>
      <c r="G118">
        <v>2020</v>
      </c>
      <c r="H118" s="1">
        <v>43880</v>
      </c>
      <c r="I118" t="s">
        <v>31221</v>
      </c>
      <c r="J118" t="s">
        <v>31222</v>
      </c>
      <c r="K118" t="s">
        <v>31223</v>
      </c>
    </row>
    <row r="119" spans="1:11" x14ac:dyDescent="0.15">
      <c r="A119">
        <v>29904278</v>
      </c>
      <c r="B119" t="s">
        <v>31224</v>
      </c>
      <c r="C119" t="s">
        <v>31225</v>
      </c>
      <c r="D119" t="s">
        <v>31226</v>
      </c>
      <c r="E119" t="s">
        <v>31227</v>
      </c>
      <c r="F119" t="s">
        <v>31228</v>
      </c>
      <c r="G119">
        <v>2018</v>
      </c>
      <c r="H119" s="1">
        <v>43267</v>
      </c>
      <c r="I119" t="s">
        <v>31229</v>
      </c>
      <c r="K119" t="s">
        <v>31230</v>
      </c>
    </row>
    <row r="120" spans="1:11" x14ac:dyDescent="0.15">
      <c r="A120">
        <v>32968935</v>
      </c>
      <c r="B120" t="s">
        <v>6254</v>
      </c>
      <c r="C120" t="s">
        <v>31231</v>
      </c>
      <c r="D120" t="s">
        <v>31232</v>
      </c>
      <c r="E120" t="s">
        <v>31233</v>
      </c>
      <c r="F120" t="s">
        <v>31234</v>
      </c>
      <c r="G120">
        <v>2021</v>
      </c>
      <c r="H120" s="1">
        <v>44098</v>
      </c>
      <c r="K120" t="s">
        <v>6267</v>
      </c>
    </row>
    <row r="121" spans="1:11" x14ac:dyDescent="0.15">
      <c r="A121">
        <v>30925921</v>
      </c>
      <c r="B121" t="s">
        <v>31235</v>
      </c>
      <c r="C121" t="s">
        <v>31236</v>
      </c>
      <c r="D121" t="s">
        <v>31237</v>
      </c>
      <c r="E121" t="s">
        <v>31238</v>
      </c>
      <c r="F121" t="s">
        <v>30630</v>
      </c>
      <c r="G121">
        <v>2019</v>
      </c>
      <c r="H121" s="1">
        <v>43555</v>
      </c>
      <c r="I121" t="s">
        <v>31239</v>
      </c>
      <c r="K121" t="s">
        <v>31240</v>
      </c>
    </row>
    <row r="122" spans="1:11" x14ac:dyDescent="0.15">
      <c r="A122">
        <v>26582468</v>
      </c>
      <c r="B122" t="s">
        <v>31241</v>
      </c>
      <c r="C122" t="s">
        <v>31242</v>
      </c>
      <c r="D122" t="s">
        <v>31243</v>
      </c>
      <c r="E122" t="s">
        <v>31244</v>
      </c>
      <c r="F122" t="s">
        <v>31245</v>
      </c>
      <c r="G122">
        <v>2015</v>
      </c>
      <c r="H122" s="1">
        <v>42328</v>
      </c>
      <c r="I122" t="s">
        <v>31246</v>
      </c>
      <c r="K122" t="s">
        <v>31247</v>
      </c>
    </row>
    <row r="123" spans="1:11" x14ac:dyDescent="0.15">
      <c r="A123">
        <v>24969563</v>
      </c>
      <c r="B123" t="s">
        <v>31248</v>
      </c>
      <c r="C123" t="s">
        <v>31249</v>
      </c>
      <c r="D123" t="s">
        <v>31250</v>
      </c>
      <c r="E123" t="s">
        <v>30951</v>
      </c>
      <c r="F123" t="s">
        <v>31251</v>
      </c>
      <c r="G123">
        <v>2014</v>
      </c>
      <c r="H123" s="1">
        <v>41818</v>
      </c>
      <c r="K123" t="s">
        <v>31252</v>
      </c>
    </row>
    <row r="124" spans="1:11" x14ac:dyDescent="0.15">
      <c r="A124">
        <v>24578033</v>
      </c>
      <c r="B124" t="s">
        <v>31253</v>
      </c>
      <c r="C124" t="s">
        <v>31254</v>
      </c>
      <c r="D124" t="s">
        <v>31255</v>
      </c>
      <c r="E124" t="s">
        <v>31256</v>
      </c>
      <c r="F124" t="s">
        <v>31257</v>
      </c>
      <c r="G124">
        <v>2014</v>
      </c>
      <c r="H124" s="1">
        <v>41699</v>
      </c>
      <c r="I124" t="s">
        <v>31258</v>
      </c>
      <c r="J124" t="s">
        <v>31259</v>
      </c>
      <c r="K124" t="s">
        <v>31260</v>
      </c>
    </row>
    <row r="125" spans="1:11" x14ac:dyDescent="0.15">
      <c r="A125">
        <v>28259747</v>
      </c>
      <c r="B125" t="s">
        <v>19061</v>
      </c>
      <c r="C125" t="s">
        <v>31261</v>
      </c>
      <c r="D125" t="s">
        <v>31262</v>
      </c>
      <c r="E125" t="s">
        <v>31263</v>
      </c>
      <c r="F125" t="s">
        <v>31264</v>
      </c>
      <c r="G125">
        <v>2017</v>
      </c>
      <c r="H125" s="1">
        <v>42800</v>
      </c>
      <c r="K125" t="s">
        <v>19073</v>
      </c>
    </row>
    <row r="126" spans="1:11" x14ac:dyDescent="0.15">
      <c r="A126">
        <v>34595842</v>
      </c>
      <c r="B126" t="s">
        <v>754</v>
      </c>
      <c r="C126" t="s">
        <v>31265</v>
      </c>
      <c r="D126" t="s">
        <v>31266</v>
      </c>
      <c r="E126" t="s">
        <v>31267</v>
      </c>
      <c r="F126" t="s">
        <v>30772</v>
      </c>
      <c r="G126">
        <v>2021</v>
      </c>
      <c r="H126" s="1">
        <v>44470</v>
      </c>
      <c r="I126" t="s">
        <v>31268</v>
      </c>
      <c r="K126" t="s">
        <v>764</v>
      </c>
    </row>
    <row r="127" spans="1:11" x14ac:dyDescent="0.15">
      <c r="A127">
        <v>31740445</v>
      </c>
      <c r="B127" t="s">
        <v>31269</v>
      </c>
      <c r="C127" t="s">
        <v>31270</v>
      </c>
      <c r="D127" t="s">
        <v>31271</v>
      </c>
      <c r="E127" t="s">
        <v>31272</v>
      </c>
      <c r="F127" t="s">
        <v>31273</v>
      </c>
      <c r="G127">
        <v>2020</v>
      </c>
      <c r="H127" s="1">
        <v>43789</v>
      </c>
      <c r="I127" t="s">
        <v>31274</v>
      </c>
      <c r="K127" t="s">
        <v>7781</v>
      </c>
    </row>
    <row r="128" spans="1:11" x14ac:dyDescent="0.15">
      <c r="A128">
        <v>25292428</v>
      </c>
      <c r="B128" t="s">
        <v>31275</v>
      </c>
      <c r="C128" t="s">
        <v>31276</v>
      </c>
      <c r="D128" t="s">
        <v>31277</v>
      </c>
      <c r="E128" t="s">
        <v>31278</v>
      </c>
      <c r="F128" t="s">
        <v>31279</v>
      </c>
      <c r="G128">
        <v>2015</v>
      </c>
      <c r="H128" s="1">
        <v>41921</v>
      </c>
      <c r="I128" t="s">
        <v>31280</v>
      </c>
      <c r="J128" t="s">
        <v>31281</v>
      </c>
      <c r="K128" t="s">
        <v>31282</v>
      </c>
    </row>
    <row r="129" spans="1:11" x14ac:dyDescent="0.15">
      <c r="A129">
        <v>34600275</v>
      </c>
      <c r="B129" t="s">
        <v>31283</v>
      </c>
      <c r="C129" t="s">
        <v>31284</v>
      </c>
      <c r="D129" t="s">
        <v>31285</v>
      </c>
      <c r="E129" t="s">
        <v>31286</v>
      </c>
      <c r="F129" t="s">
        <v>31287</v>
      </c>
      <c r="G129">
        <v>2021</v>
      </c>
      <c r="H129" s="1">
        <v>44471</v>
      </c>
      <c r="K129" t="s">
        <v>10033</v>
      </c>
    </row>
    <row r="130" spans="1:11" x14ac:dyDescent="0.15">
      <c r="A130">
        <v>31748281</v>
      </c>
      <c r="B130" t="s">
        <v>637</v>
      </c>
      <c r="C130" t="s">
        <v>31288</v>
      </c>
      <c r="D130" t="s">
        <v>31289</v>
      </c>
      <c r="E130" t="s">
        <v>31290</v>
      </c>
      <c r="F130" t="s">
        <v>31291</v>
      </c>
      <c r="G130">
        <v>2019</v>
      </c>
      <c r="H130" s="1">
        <v>43791</v>
      </c>
      <c r="I130" t="s">
        <v>31292</v>
      </c>
      <c r="K130" t="s">
        <v>651</v>
      </c>
    </row>
    <row r="131" spans="1:11" x14ac:dyDescent="0.15">
      <c r="A131">
        <v>32093516</v>
      </c>
      <c r="B131" t="s">
        <v>31293</v>
      </c>
      <c r="C131" t="s">
        <v>31294</v>
      </c>
      <c r="D131" t="s">
        <v>31295</v>
      </c>
      <c r="E131" t="s">
        <v>31296</v>
      </c>
      <c r="F131" t="s">
        <v>31297</v>
      </c>
      <c r="G131">
        <v>2020</v>
      </c>
      <c r="H131" s="1">
        <v>43887</v>
      </c>
      <c r="I131" t="s">
        <v>31298</v>
      </c>
      <c r="K131" t="s">
        <v>31299</v>
      </c>
    </row>
    <row r="132" spans="1:11" x14ac:dyDescent="0.15">
      <c r="A132">
        <v>27756426</v>
      </c>
      <c r="B132" t="s">
        <v>31300</v>
      </c>
      <c r="C132" t="s">
        <v>31301</v>
      </c>
      <c r="D132" t="s">
        <v>31302</v>
      </c>
      <c r="E132" t="s">
        <v>31303</v>
      </c>
      <c r="F132" t="s">
        <v>31304</v>
      </c>
      <c r="G132">
        <v>2016</v>
      </c>
      <c r="H132" s="1">
        <v>42664</v>
      </c>
      <c r="I132" t="s">
        <v>31305</v>
      </c>
      <c r="K132" t="s">
        <v>31306</v>
      </c>
    </row>
    <row r="133" spans="1:11" x14ac:dyDescent="0.15">
      <c r="A133">
        <v>34139254</v>
      </c>
      <c r="B133" t="s">
        <v>31307</v>
      </c>
      <c r="C133" t="s">
        <v>31308</v>
      </c>
      <c r="D133" t="s">
        <v>31309</v>
      </c>
      <c r="E133" t="s">
        <v>31310</v>
      </c>
      <c r="F133" t="s">
        <v>31311</v>
      </c>
      <c r="G133">
        <v>2021</v>
      </c>
      <c r="H133" s="1">
        <v>44364</v>
      </c>
      <c r="K133" t="s">
        <v>31312</v>
      </c>
    </row>
    <row r="134" spans="1:11" x14ac:dyDescent="0.15">
      <c r="A134">
        <v>24032108</v>
      </c>
      <c r="B134" t="s">
        <v>31313</v>
      </c>
      <c r="C134" t="s">
        <v>31314</v>
      </c>
      <c r="D134" t="s">
        <v>31315</v>
      </c>
      <c r="E134" t="s">
        <v>31316</v>
      </c>
      <c r="F134" t="s">
        <v>31317</v>
      </c>
      <c r="G134">
        <v>2013</v>
      </c>
      <c r="H134" s="1">
        <v>41531</v>
      </c>
      <c r="I134" t="s">
        <v>31318</v>
      </c>
      <c r="K134" t="s">
        <v>31319</v>
      </c>
    </row>
    <row r="135" spans="1:11" x14ac:dyDescent="0.15">
      <c r="A135">
        <v>30663276</v>
      </c>
      <c r="B135" t="s">
        <v>31320</v>
      </c>
      <c r="C135" t="s">
        <v>31321</v>
      </c>
      <c r="D135" t="s">
        <v>31322</v>
      </c>
      <c r="E135" t="s">
        <v>31323</v>
      </c>
      <c r="F135" t="s">
        <v>31324</v>
      </c>
      <c r="G135">
        <v>2019</v>
      </c>
      <c r="H135" s="1">
        <v>43487</v>
      </c>
      <c r="K135" t="s">
        <v>31325</v>
      </c>
    </row>
    <row r="136" spans="1:11" x14ac:dyDescent="0.15">
      <c r="A136">
        <v>33424849</v>
      </c>
      <c r="B136" t="s">
        <v>31326</v>
      </c>
      <c r="C136" t="s">
        <v>31327</v>
      </c>
      <c r="D136" t="s">
        <v>31328</v>
      </c>
      <c r="E136" t="s">
        <v>31329</v>
      </c>
      <c r="F136" t="s">
        <v>30713</v>
      </c>
      <c r="G136">
        <v>2020</v>
      </c>
      <c r="H136" s="1">
        <v>44207</v>
      </c>
      <c r="I136" t="s">
        <v>31330</v>
      </c>
      <c r="K136" t="s">
        <v>31331</v>
      </c>
    </row>
    <row r="137" spans="1:11" x14ac:dyDescent="0.15">
      <c r="A137">
        <v>34449197</v>
      </c>
      <c r="B137" t="s">
        <v>31332</v>
      </c>
      <c r="C137" t="s">
        <v>31333</v>
      </c>
      <c r="D137" t="s">
        <v>31334</v>
      </c>
      <c r="E137" t="s">
        <v>31335</v>
      </c>
      <c r="F137" t="s">
        <v>30956</v>
      </c>
      <c r="G137">
        <v>2021</v>
      </c>
      <c r="H137" s="1">
        <v>44435</v>
      </c>
      <c r="K137" t="s">
        <v>31336</v>
      </c>
    </row>
    <row r="138" spans="1:11" x14ac:dyDescent="0.15">
      <c r="A138">
        <v>32980480</v>
      </c>
      <c r="B138" t="s">
        <v>6697</v>
      </c>
      <c r="C138" t="s">
        <v>31337</v>
      </c>
      <c r="D138" t="s">
        <v>31338</v>
      </c>
      <c r="E138" t="s">
        <v>31339</v>
      </c>
      <c r="F138" t="s">
        <v>30976</v>
      </c>
      <c r="G138">
        <v>2020</v>
      </c>
      <c r="H138" s="1">
        <v>44101</v>
      </c>
      <c r="I138" t="s">
        <v>31340</v>
      </c>
      <c r="J138" t="s">
        <v>31341</v>
      </c>
      <c r="K138" t="s">
        <v>6709</v>
      </c>
    </row>
    <row r="139" spans="1:11" x14ac:dyDescent="0.15">
      <c r="A139">
        <v>34734680</v>
      </c>
      <c r="B139" t="s">
        <v>31342</v>
      </c>
      <c r="C139" t="s">
        <v>31343</v>
      </c>
      <c r="D139" t="s">
        <v>31344</v>
      </c>
      <c r="E139" t="s">
        <v>31345</v>
      </c>
      <c r="F139" t="s">
        <v>31346</v>
      </c>
      <c r="G139">
        <v>2021</v>
      </c>
      <c r="H139" s="1">
        <v>44504</v>
      </c>
      <c r="I139" t="s">
        <v>31347</v>
      </c>
      <c r="K139" t="s">
        <v>31348</v>
      </c>
    </row>
    <row r="140" spans="1:11" x14ac:dyDescent="0.15">
      <c r="A140">
        <v>33384328</v>
      </c>
      <c r="B140" t="s">
        <v>19255</v>
      </c>
      <c r="C140" t="s">
        <v>31349</v>
      </c>
      <c r="D140" t="s">
        <v>31350</v>
      </c>
      <c r="E140" t="s">
        <v>31351</v>
      </c>
      <c r="F140" t="s">
        <v>30767</v>
      </c>
      <c r="G140">
        <v>2021</v>
      </c>
      <c r="H140" s="1">
        <v>44197</v>
      </c>
      <c r="I140" t="s">
        <v>31352</v>
      </c>
      <c r="K140" t="s">
        <v>19266</v>
      </c>
    </row>
    <row r="141" spans="1:11" x14ac:dyDescent="0.15">
      <c r="A141">
        <v>33769802</v>
      </c>
      <c r="B141" t="s">
        <v>4485</v>
      </c>
      <c r="C141" t="s">
        <v>31353</v>
      </c>
      <c r="D141" t="s">
        <v>31354</v>
      </c>
      <c r="E141" t="s">
        <v>31355</v>
      </c>
      <c r="F141" t="s">
        <v>30956</v>
      </c>
      <c r="G141">
        <v>2021</v>
      </c>
      <c r="H141" s="1">
        <v>44281</v>
      </c>
      <c r="K141" t="s">
        <v>4496</v>
      </c>
    </row>
    <row r="142" spans="1:11" x14ac:dyDescent="0.15">
      <c r="A142">
        <v>26452221</v>
      </c>
      <c r="B142" t="s">
        <v>31356</v>
      </c>
      <c r="C142" t="s">
        <v>31357</v>
      </c>
      <c r="D142" t="s">
        <v>31358</v>
      </c>
      <c r="E142" t="s">
        <v>31359</v>
      </c>
      <c r="F142" t="s">
        <v>31360</v>
      </c>
      <c r="G142">
        <v>2015</v>
      </c>
      <c r="H142" s="1">
        <v>42287</v>
      </c>
      <c r="I142" t="s">
        <v>31361</v>
      </c>
      <c r="K142" t="s">
        <v>31362</v>
      </c>
    </row>
    <row r="143" spans="1:11" x14ac:dyDescent="0.15">
      <c r="A143">
        <v>23505015</v>
      </c>
      <c r="B143" t="s">
        <v>31363</v>
      </c>
      <c r="C143" t="s">
        <v>31364</v>
      </c>
      <c r="D143" t="s">
        <v>31365</v>
      </c>
      <c r="E143" t="s">
        <v>31366</v>
      </c>
      <c r="F143" t="s">
        <v>31367</v>
      </c>
      <c r="G143">
        <v>2013</v>
      </c>
      <c r="H143" s="1">
        <v>41352</v>
      </c>
      <c r="K143" t="s">
        <v>31368</v>
      </c>
    </row>
    <row r="144" spans="1:11" x14ac:dyDescent="0.15">
      <c r="A144">
        <v>34605844</v>
      </c>
      <c r="B144" t="s">
        <v>7977</v>
      </c>
      <c r="C144" t="s">
        <v>31369</v>
      </c>
      <c r="D144" t="s">
        <v>31370</v>
      </c>
      <c r="E144" t="s">
        <v>31371</v>
      </c>
      <c r="F144" t="s">
        <v>31372</v>
      </c>
      <c r="G144">
        <v>2021</v>
      </c>
      <c r="H144" s="1">
        <v>44473</v>
      </c>
      <c r="K144" t="s">
        <v>7988</v>
      </c>
    </row>
    <row r="145" spans="1:11" x14ac:dyDescent="0.15">
      <c r="A145">
        <v>35235806</v>
      </c>
      <c r="B145" t="s">
        <v>1561</v>
      </c>
      <c r="C145" t="s">
        <v>31373</v>
      </c>
      <c r="D145" t="s">
        <v>31374</v>
      </c>
      <c r="E145" t="s">
        <v>31375</v>
      </c>
      <c r="F145" t="s">
        <v>31376</v>
      </c>
      <c r="G145">
        <v>2022</v>
      </c>
      <c r="H145" s="1">
        <v>44622</v>
      </c>
      <c r="K145" t="s">
        <v>1571</v>
      </c>
    </row>
    <row r="146" spans="1:11" x14ac:dyDescent="0.15">
      <c r="A146">
        <v>30699987</v>
      </c>
      <c r="B146" t="s">
        <v>31377</v>
      </c>
      <c r="C146" t="s">
        <v>31378</v>
      </c>
      <c r="D146" t="s">
        <v>31379</v>
      </c>
      <c r="E146" t="s">
        <v>31380</v>
      </c>
      <c r="F146" t="s">
        <v>30655</v>
      </c>
      <c r="G146">
        <v>2019</v>
      </c>
      <c r="H146" s="1">
        <v>43497</v>
      </c>
      <c r="I146" t="s">
        <v>31381</v>
      </c>
      <c r="K146" t="s">
        <v>31382</v>
      </c>
    </row>
    <row r="147" spans="1:11" x14ac:dyDescent="0.15">
      <c r="A147">
        <v>26784674</v>
      </c>
      <c r="B147" t="s">
        <v>31383</v>
      </c>
      <c r="C147" t="s">
        <v>31384</v>
      </c>
      <c r="D147" t="s">
        <v>31385</v>
      </c>
      <c r="E147" t="s">
        <v>31386</v>
      </c>
      <c r="F147" t="s">
        <v>31387</v>
      </c>
      <c r="G147">
        <v>2016</v>
      </c>
      <c r="H147" s="1">
        <v>42389</v>
      </c>
      <c r="K147" t="s">
        <v>31388</v>
      </c>
    </row>
    <row r="148" spans="1:11" x14ac:dyDescent="0.15">
      <c r="A148">
        <v>32976623</v>
      </c>
      <c r="B148" t="s">
        <v>31389</v>
      </c>
      <c r="C148" t="s">
        <v>31390</v>
      </c>
      <c r="D148" t="s">
        <v>31391</v>
      </c>
      <c r="E148" t="s">
        <v>31392</v>
      </c>
      <c r="F148" t="s">
        <v>31393</v>
      </c>
      <c r="G148">
        <v>2020</v>
      </c>
      <c r="H148" s="1">
        <v>44099</v>
      </c>
      <c r="I148" t="s">
        <v>31394</v>
      </c>
      <c r="K148" t="s">
        <v>31395</v>
      </c>
    </row>
    <row r="149" spans="1:11" x14ac:dyDescent="0.15">
      <c r="A149">
        <v>30071288</v>
      </c>
      <c r="B149" t="s">
        <v>31396</v>
      </c>
      <c r="C149" t="s">
        <v>31397</v>
      </c>
      <c r="D149" t="s">
        <v>31398</v>
      </c>
      <c r="E149" t="s">
        <v>30629</v>
      </c>
      <c r="F149" t="s">
        <v>30682</v>
      </c>
      <c r="G149">
        <v>2018</v>
      </c>
      <c r="H149" s="1">
        <v>43315</v>
      </c>
      <c r="K149" t="s">
        <v>31399</v>
      </c>
    </row>
    <row r="150" spans="1:11" x14ac:dyDescent="0.15">
      <c r="A150">
        <v>28676332</v>
      </c>
      <c r="B150" t="s">
        <v>31400</v>
      </c>
      <c r="C150" t="s">
        <v>31401</v>
      </c>
      <c r="D150" t="s">
        <v>31402</v>
      </c>
      <c r="E150" t="s">
        <v>31403</v>
      </c>
      <c r="F150" t="s">
        <v>31404</v>
      </c>
      <c r="G150">
        <v>2018</v>
      </c>
      <c r="H150" s="1">
        <v>42922</v>
      </c>
      <c r="I150" t="s">
        <v>31405</v>
      </c>
      <c r="J150" t="s">
        <v>31406</v>
      </c>
      <c r="K150" t="s">
        <v>31407</v>
      </c>
    </row>
    <row r="151" spans="1:11" x14ac:dyDescent="0.15">
      <c r="A151">
        <v>32930980</v>
      </c>
      <c r="B151" t="s">
        <v>6177</v>
      </c>
      <c r="C151" t="s">
        <v>31408</v>
      </c>
      <c r="D151" t="s">
        <v>31409</v>
      </c>
      <c r="E151" t="s">
        <v>31410</v>
      </c>
      <c r="F151" t="s">
        <v>31003</v>
      </c>
      <c r="G151">
        <v>2021</v>
      </c>
      <c r="H151" s="1">
        <v>44089</v>
      </c>
      <c r="K151" t="s">
        <v>6187</v>
      </c>
    </row>
    <row r="152" spans="1:11" x14ac:dyDescent="0.15">
      <c r="A152">
        <v>27230949</v>
      </c>
      <c r="B152" t="s">
        <v>31411</v>
      </c>
      <c r="C152" t="s">
        <v>31412</v>
      </c>
      <c r="D152" t="s">
        <v>31413</v>
      </c>
      <c r="E152" t="s">
        <v>31017</v>
      </c>
      <c r="F152" t="s">
        <v>31414</v>
      </c>
      <c r="G152">
        <v>2016</v>
      </c>
      <c r="H152" s="1">
        <v>42518</v>
      </c>
      <c r="K152" t="s">
        <v>31415</v>
      </c>
    </row>
    <row r="153" spans="1:11" x14ac:dyDescent="0.15">
      <c r="A153">
        <v>28424339</v>
      </c>
      <c r="B153" t="s">
        <v>31416</v>
      </c>
      <c r="C153" t="s">
        <v>31417</v>
      </c>
      <c r="D153" t="s">
        <v>31418</v>
      </c>
      <c r="E153" t="s">
        <v>30565</v>
      </c>
      <c r="F153" t="s">
        <v>31419</v>
      </c>
      <c r="G153">
        <v>2016</v>
      </c>
      <c r="H153" s="1">
        <v>42846</v>
      </c>
      <c r="K153" t="s">
        <v>31420</v>
      </c>
    </row>
    <row r="154" spans="1:11" x14ac:dyDescent="0.15">
      <c r="A154">
        <v>29122679</v>
      </c>
      <c r="B154" t="s">
        <v>31421</v>
      </c>
      <c r="C154" t="s">
        <v>31422</v>
      </c>
      <c r="D154" t="s">
        <v>31423</v>
      </c>
      <c r="E154" t="s">
        <v>31424</v>
      </c>
      <c r="F154" t="s">
        <v>30613</v>
      </c>
      <c r="G154">
        <v>2018</v>
      </c>
      <c r="H154" s="1">
        <v>43050</v>
      </c>
      <c r="I154" t="s">
        <v>31425</v>
      </c>
      <c r="J154" t="s">
        <v>31426</v>
      </c>
      <c r="K154" t="s">
        <v>31427</v>
      </c>
    </row>
    <row r="155" spans="1:11" x14ac:dyDescent="0.15">
      <c r="A155">
        <v>26797692</v>
      </c>
      <c r="B155" t="s">
        <v>31428</v>
      </c>
      <c r="C155" t="s">
        <v>31429</v>
      </c>
      <c r="D155" t="s">
        <v>31430</v>
      </c>
      <c r="E155" t="s">
        <v>31027</v>
      </c>
      <c r="F155" t="s">
        <v>31431</v>
      </c>
      <c r="G155">
        <v>2016</v>
      </c>
      <c r="H155" s="1">
        <v>42392</v>
      </c>
      <c r="I155" t="s">
        <v>31432</v>
      </c>
      <c r="K155" t="s">
        <v>31433</v>
      </c>
    </row>
    <row r="156" spans="1:11" x14ac:dyDescent="0.15">
      <c r="A156">
        <v>32917227</v>
      </c>
      <c r="B156" t="s">
        <v>31434</v>
      </c>
      <c r="C156" t="s">
        <v>31435</v>
      </c>
      <c r="D156" t="s">
        <v>31436</v>
      </c>
      <c r="E156" t="s">
        <v>31437</v>
      </c>
      <c r="F156" t="s">
        <v>31438</v>
      </c>
      <c r="G156">
        <v>2020</v>
      </c>
      <c r="H156" s="1">
        <v>44086</v>
      </c>
      <c r="I156" t="s">
        <v>31439</v>
      </c>
      <c r="K156" t="s">
        <v>31440</v>
      </c>
    </row>
    <row r="157" spans="1:11" x14ac:dyDescent="0.15">
      <c r="A157">
        <v>28196593</v>
      </c>
      <c r="B157" t="s">
        <v>31441</v>
      </c>
      <c r="C157" t="s">
        <v>31442</v>
      </c>
      <c r="D157" t="s">
        <v>31443</v>
      </c>
      <c r="E157" t="s">
        <v>31444</v>
      </c>
      <c r="F157" t="s">
        <v>31445</v>
      </c>
      <c r="G157">
        <v>2017</v>
      </c>
      <c r="H157" s="1">
        <v>42782</v>
      </c>
      <c r="K157" t="s">
        <v>31446</v>
      </c>
    </row>
    <row r="158" spans="1:11" x14ac:dyDescent="0.15">
      <c r="A158">
        <v>30257246</v>
      </c>
      <c r="B158" t="s">
        <v>31447</v>
      </c>
      <c r="C158" t="s">
        <v>31448</v>
      </c>
      <c r="D158" t="s">
        <v>31449</v>
      </c>
      <c r="E158" t="s">
        <v>31450</v>
      </c>
      <c r="F158" t="s">
        <v>31451</v>
      </c>
      <c r="G158">
        <v>2018</v>
      </c>
      <c r="H158" s="1">
        <v>43370</v>
      </c>
      <c r="I158" t="s">
        <v>31452</v>
      </c>
      <c r="K158" t="s">
        <v>31453</v>
      </c>
    </row>
    <row r="159" spans="1:11" x14ac:dyDescent="0.15">
      <c r="A159">
        <v>28456604</v>
      </c>
      <c r="B159" t="s">
        <v>31454</v>
      </c>
      <c r="C159" t="s">
        <v>31455</v>
      </c>
      <c r="D159" t="s">
        <v>31456</v>
      </c>
      <c r="E159" t="s">
        <v>31457</v>
      </c>
      <c r="F159" t="s">
        <v>31458</v>
      </c>
      <c r="G159">
        <v>2017</v>
      </c>
      <c r="H159" s="1">
        <v>42856</v>
      </c>
      <c r="K159" t="s">
        <v>31459</v>
      </c>
    </row>
    <row r="160" spans="1:11" x14ac:dyDescent="0.15">
      <c r="A160">
        <v>26133463</v>
      </c>
      <c r="B160" t="s">
        <v>31460</v>
      </c>
      <c r="C160" t="s">
        <v>31461</v>
      </c>
      <c r="D160" t="s">
        <v>31462</v>
      </c>
      <c r="E160" t="s">
        <v>31463</v>
      </c>
      <c r="F160" t="s">
        <v>31464</v>
      </c>
      <c r="G160">
        <v>2015</v>
      </c>
      <c r="H160" s="1">
        <v>42188</v>
      </c>
      <c r="K160" t="s">
        <v>31465</v>
      </c>
    </row>
    <row r="161" spans="1:11" x14ac:dyDescent="0.15">
      <c r="A161">
        <v>23607880</v>
      </c>
      <c r="B161" t="s">
        <v>31466</v>
      </c>
      <c r="C161" t="s">
        <v>31467</v>
      </c>
      <c r="D161" t="s">
        <v>31468</v>
      </c>
      <c r="E161" t="s">
        <v>31316</v>
      </c>
      <c r="F161" t="s">
        <v>31469</v>
      </c>
      <c r="G161">
        <v>2013</v>
      </c>
      <c r="H161" s="1">
        <v>41388</v>
      </c>
      <c r="I161" t="s">
        <v>31470</v>
      </c>
      <c r="K161" t="s">
        <v>31471</v>
      </c>
    </row>
    <row r="162" spans="1:11" x14ac:dyDescent="0.15">
      <c r="A162">
        <v>31585894</v>
      </c>
      <c r="B162" t="s">
        <v>3120</v>
      </c>
      <c r="C162" t="s">
        <v>31472</v>
      </c>
      <c r="D162" t="s">
        <v>31473</v>
      </c>
      <c r="E162" t="s">
        <v>31474</v>
      </c>
      <c r="F162" t="s">
        <v>31475</v>
      </c>
      <c r="G162">
        <v>2020</v>
      </c>
      <c r="H162" s="1">
        <v>43744</v>
      </c>
      <c r="K162" t="s">
        <v>3131</v>
      </c>
    </row>
    <row r="163" spans="1:11" x14ac:dyDescent="0.15">
      <c r="A163">
        <v>26637847</v>
      </c>
      <c r="B163" t="s">
        <v>31476</v>
      </c>
      <c r="C163" t="s">
        <v>31477</v>
      </c>
      <c r="D163" t="s">
        <v>31478</v>
      </c>
      <c r="E163" t="s">
        <v>31479</v>
      </c>
      <c r="F163" t="s">
        <v>31480</v>
      </c>
      <c r="G163">
        <v>2015</v>
      </c>
      <c r="H163" s="1">
        <v>42344</v>
      </c>
    </row>
    <row r="164" spans="1:11" x14ac:dyDescent="0.15">
      <c r="A164">
        <v>29656370</v>
      </c>
      <c r="B164" t="s">
        <v>31481</v>
      </c>
      <c r="C164" t="s">
        <v>31482</v>
      </c>
      <c r="D164" t="s">
        <v>31483</v>
      </c>
      <c r="E164" t="s">
        <v>31484</v>
      </c>
      <c r="F164" t="s">
        <v>31485</v>
      </c>
      <c r="G164">
        <v>2018</v>
      </c>
      <c r="H164" s="1">
        <v>43206</v>
      </c>
      <c r="K164" t="s">
        <v>31486</v>
      </c>
    </row>
    <row r="165" spans="1:11" x14ac:dyDescent="0.15">
      <c r="A165">
        <v>34080172</v>
      </c>
      <c r="B165" t="s">
        <v>13366</v>
      </c>
      <c r="C165" t="s">
        <v>31487</v>
      </c>
      <c r="D165" t="s">
        <v>31488</v>
      </c>
      <c r="E165" t="s">
        <v>31489</v>
      </c>
      <c r="F165" t="s">
        <v>31490</v>
      </c>
      <c r="G165">
        <v>2021</v>
      </c>
      <c r="H165" s="1">
        <v>44350</v>
      </c>
      <c r="K165" t="s">
        <v>13377</v>
      </c>
    </row>
    <row r="166" spans="1:11" x14ac:dyDescent="0.15">
      <c r="A166">
        <v>34423733</v>
      </c>
      <c r="B166" t="s">
        <v>31491</v>
      </c>
      <c r="C166" t="s">
        <v>31492</v>
      </c>
      <c r="D166" t="s">
        <v>31493</v>
      </c>
      <c r="E166" t="s">
        <v>31494</v>
      </c>
      <c r="F166" t="s">
        <v>31495</v>
      </c>
      <c r="G166">
        <v>2022</v>
      </c>
      <c r="H166" s="1">
        <v>44431</v>
      </c>
      <c r="I166" t="s">
        <v>31496</v>
      </c>
      <c r="J166" t="s">
        <v>31497</v>
      </c>
      <c r="K166" t="s">
        <v>31498</v>
      </c>
    </row>
    <row r="167" spans="1:11" x14ac:dyDescent="0.15">
      <c r="A167">
        <v>31512231</v>
      </c>
      <c r="B167" t="s">
        <v>31499</v>
      </c>
      <c r="C167" t="s">
        <v>31500</v>
      </c>
      <c r="D167" t="s">
        <v>31501</v>
      </c>
      <c r="E167" t="s">
        <v>31386</v>
      </c>
      <c r="F167" t="s">
        <v>30847</v>
      </c>
      <c r="G167">
        <v>2020</v>
      </c>
      <c r="H167" s="1">
        <v>43721</v>
      </c>
      <c r="K167" t="s">
        <v>31502</v>
      </c>
    </row>
    <row r="168" spans="1:11" x14ac:dyDescent="0.15">
      <c r="A168">
        <v>28077297</v>
      </c>
      <c r="B168" t="s">
        <v>31503</v>
      </c>
      <c r="C168" t="s">
        <v>31504</v>
      </c>
      <c r="D168" t="s">
        <v>31505</v>
      </c>
      <c r="E168" t="s">
        <v>31506</v>
      </c>
      <c r="F168" t="s">
        <v>31458</v>
      </c>
      <c r="G168">
        <v>2017</v>
      </c>
      <c r="H168" s="1">
        <v>42748</v>
      </c>
      <c r="K168" t="s">
        <v>31507</v>
      </c>
    </row>
    <row r="169" spans="1:11" x14ac:dyDescent="0.15">
      <c r="A169">
        <v>24436427</v>
      </c>
      <c r="B169" t="s">
        <v>31508</v>
      </c>
      <c r="C169" t="s">
        <v>31509</v>
      </c>
      <c r="D169" t="s">
        <v>31510</v>
      </c>
      <c r="E169" t="s">
        <v>31511</v>
      </c>
      <c r="F169" t="s">
        <v>31512</v>
      </c>
      <c r="G169">
        <v>2014</v>
      </c>
      <c r="H169" s="1">
        <v>41657</v>
      </c>
      <c r="K169" t="s">
        <v>31513</v>
      </c>
    </row>
    <row r="170" spans="1:11" x14ac:dyDescent="0.15">
      <c r="A170">
        <v>31502256</v>
      </c>
      <c r="B170" t="s">
        <v>1345</v>
      </c>
      <c r="C170" t="s">
        <v>31514</v>
      </c>
      <c r="D170" t="s">
        <v>31515</v>
      </c>
      <c r="E170" t="s">
        <v>31516</v>
      </c>
      <c r="F170" t="s">
        <v>30847</v>
      </c>
      <c r="G170">
        <v>2020</v>
      </c>
      <c r="H170" s="1">
        <v>43719</v>
      </c>
      <c r="K170" t="s">
        <v>1357</v>
      </c>
    </row>
    <row r="171" spans="1:11" x14ac:dyDescent="0.15">
      <c r="A171">
        <v>32363801</v>
      </c>
      <c r="B171" t="s">
        <v>31517</v>
      </c>
      <c r="C171" t="s">
        <v>31518</v>
      </c>
      <c r="D171" t="s">
        <v>31519</v>
      </c>
      <c r="E171" t="s">
        <v>31520</v>
      </c>
      <c r="F171" t="s">
        <v>31521</v>
      </c>
      <c r="G171">
        <v>2020</v>
      </c>
      <c r="H171" s="1">
        <v>43956</v>
      </c>
      <c r="K171" t="s">
        <v>31522</v>
      </c>
    </row>
    <row r="172" spans="1:11" x14ac:dyDescent="0.15">
      <c r="A172">
        <v>31584165</v>
      </c>
      <c r="B172" t="s">
        <v>3162</v>
      </c>
      <c r="C172" t="s">
        <v>31523</v>
      </c>
      <c r="D172" t="s">
        <v>31524</v>
      </c>
      <c r="E172" t="s">
        <v>31525</v>
      </c>
      <c r="F172" t="s">
        <v>31003</v>
      </c>
      <c r="G172">
        <v>2020</v>
      </c>
      <c r="H172" s="1">
        <v>43743</v>
      </c>
      <c r="K172" t="s">
        <v>3172</v>
      </c>
    </row>
    <row r="173" spans="1:11" x14ac:dyDescent="0.15">
      <c r="A173">
        <v>31216738</v>
      </c>
      <c r="B173" t="s">
        <v>31526</v>
      </c>
      <c r="C173" t="s">
        <v>31527</v>
      </c>
      <c r="D173" t="s">
        <v>31528</v>
      </c>
      <c r="E173" t="s">
        <v>31529</v>
      </c>
      <c r="F173" t="s">
        <v>30655</v>
      </c>
      <c r="G173">
        <v>2019</v>
      </c>
      <c r="H173" s="1">
        <v>43637</v>
      </c>
      <c r="I173" t="s">
        <v>31530</v>
      </c>
      <c r="K173" t="s">
        <v>31531</v>
      </c>
    </row>
    <row r="174" spans="1:11" x14ac:dyDescent="0.15">
      <c r="A174">
        <v>27939894</v>
      </c>
      <c r="B174" t="s">
        <v>31532</v>
      </c>
      <c r="C174" t="s">
        <v>31533</v>
      </c>
      <c r="D174" t="s">
        <v>31534</v>
      </c>
      <c r="E174" t="s">
        <v>31535</v>
      </c>
      <c r="F174" t="s">
        <v>31287</v>
      </c>
      <c r="G174">
        <v>2017</v>
      </c>
      <c r="H174" s="1">
        <v>42717</v>
      </c>
      <c r="K174" t="s">
        <v>31536</v>
      </c>
    </row>
    <row r="175" spans="1:11" x14ac:dyDescent="0.15">
      <c r="A175">
        <v>31017799</v>
      </c>
      <c r="B175" t="s">
        <v>9088</v>
      </c>
      <c r="C175" t="s">
        <v>31537</v>
      </c>
      <c r="D175" t="s">
        <v>31538</v>
      </c>
      <c r="E175" t="s">
        <v>31539</v>
      </c>
      <c r="F175" t="s">
        <v>31540</v>
      </c>
      <c r="G175">
        <v>2019</v>
      </c>
      <c r="H175" s="1">
        <v>43580</v>
      </c>
      <c r="I175" t="s">
        <v>31541</v>
      </c>
      <c r="K175" t="s">
        <v>9103</v>
      </c>
    </row>
    <row r="176" spans="1:11" x14ac:dyDescent="0.15">
      <c r="A176">
        <v>31127656</v>
      </c>
      <c r="B176" t="s">
        <v>12315</v>
      </c>
      <c r="C176" t="s">
        <v>31542</v>
      </c>
      <c r="D176" t="s">
        <v>31543</v>
      </c>
      <c r="E176" t="s">
        <v>31544</v>
      </c>
      <c r="F176" t="s">
        <v>30988</v>
      </c>
      <c r="G176">
        <v>2019</v>
      </c>
      <c r="H176" s="1">
        <v>43611</v>
      </c>
      <c r="K176" t="s">
        <v>12323</v>
      </c>
    </row>
    <row r="177" spans="1:11" x14ac:dyDescent="0.15">
      <c r="A177">
        <v>33741723</v>
      </c>
      <c r="B177" t="s">
        <v>9039</v>
      </c>
      <c r="C177" t="s">
        <v>31545</v>
      </c>
      <c r="D177" t="s">
        <v>31546</v>
      </c>
      <c r="E177" t="s">
        <v>31547</v>
      </c>
      <c r="F177" t="s">
        <v>31291</v>
      </c>
      <c r="G177">
        <v>2021</v>
      </c>
      <c r="H177" s="1">
        <v>44275</v>
      </c>
      <c r="I177" t="s">
        <v>31548</v>
      </c>
      <c r="K177" t="s">
        <v>9048</v>
      </c>
    </row>
    <row r="178" spans="1:11" x14ac:dyDescent="0.15">
      <c r="A178">
        <v>21174588</v>
      </c>
      <c r="B178" t="s">
        <v>31549</v>
      </c>
      <c r="C178" t="s">
        <v>31550</v>
      </c>
      <c r="D178" t="s">
        <v>31551</v>
      </c>
      <c r="E178" t="s">
        <v>31552</v>
      </c>
      <c r="F178" t="s">
        <v>31553</v>
      </c>
      <c r="G178">
        <v>2011</v>
      </c>
      <c r="H178" s="1">
        <v>40535</v>
      </c>
      <c r="K178" t="s">
        <v>31554</v>
      </c>
    </row>
    <row r="179" spans="1:11" x14ac:dyDescent="0.15">
      <c r="A179">
        <v>35011677</v>
      </c>
      <c r="B179" t="s">
        <v>9638</v>
      </c>
      <c r="C179" t="s">
        <v>31555</v>
      </c>
      <c r="D179" t="s">
        <v>31556</v>
      </c>
      <c r="E179" t="s">
        <v>31557</v>
      </c>
      <c r="F179" t="s">
        <v>30655</v>
      </c>
      <c r="G179">
        <v>2021</v>
      </c>
      <c r="H179" s="1">
        <v>44572</v>
      </c>
      <c r="I179" t="s">
        <v>31558</v>
      </c>
      <c r="K179" t="s">
        <v>9646</v>
      </c>
    </row>
    <row r="180" spans="1:11" x14ac:dyDescent="0.15">
      <c r="A180">
        <v>34528938</v>
      </c>
      <c r="B180" t="s">
        <v>21061</v>
      </c>
      <c r="C180" t="s">
        <v>31559</v>
      </c>
      <c r="D180" t="s">
        <v>31560</v>
      </c>
      <c r="E180" t="s">
        <v>31561</v>
      </c>
      <c r="F180" t="s">
        <v>31562</v>
      </c>
      <c r="G180">
        <v>2021</v>
      </c>
      <c r="H180" s="1">
        <v>44455</v>
      </c>
      <c r="K180" t="s">
        <v>21069</v>
      </c>
    </row>
    <row r="181" spans="1:11" x14ac:dyDescent="0.15">
      <c r="A181">
        <v>29023106</v>
      </c>
      <c r="B181" t="s">
        <v>31563</v>
      </c>
      <c r="C181" t="s">
        <v>31564</v>
      </c>
      <c r="D181" t="s">
        <v>31565</v>
      </c>
      <c r="E181" t="s">
        <v>31566</v>
      </c>
      <c r="F181" t="s">
        <v>31567</v>
      </c>
      <c r="G181">
        <v>2018</v>
      </c>
      <c r="H181" s="1">
        <v>43021</v>
      </c>
      <c r="I181" t="s">
        <v>31568</v>
      </c>
      <c r="J181" t="s">
        <v>31569</v>
      </c>
      <c r="K181" t="s">
        <v>31570</v>
      </c>
    </row>
    <row r="182" spans="1:11" x14ac:dyDescent="0.15">
      <c r="A182">
        <v>31469961</v>
      </c>
      <c r="B182" t="s">
        <v>2326</v>
      </c>
      <c r="C182" t="s">
        <v>31571</v>
      </c>
      <c r="D182" t="s">
        <v>31572</v>
      </c>
      <c r="E182" t="s">
        <v>31002</v>
      </c>
      <c r="F182" t="s">
        <v>30561</v>
      </c>
      <c r="G182">
        <v>2019</v>
      </c>
      <c r="H182" s="1">
        <v>43708</v>
      </c>
      <c r="K182" t="s">
        <v>2334</v>
      </c>
    </row>
    <row r="183" spans="1:11" x14ac:dyDescent="0.15">
      <c r="A183">
        <v>26341056</v>
      </c>
      <c r="B183" t="s">
        <v>31573</v>
      </c>
      <c r="C183" t="s">
        <v>31574</v>
      </c>
      <c r="D183" t="s">
        <v>31575</v>
      </c>
      <c r="E183" t="s">
        <v>31576</v>
      </c>
      <c r="F183" t="s">
        <v>31577</v>
      </c>
      <c r="G183">
        <v>2016</v>
      </c>
      <c r="H183" s="1">
        <v>42253</v>
      </c>
      <c r="K183" t="s">
        <v>31578</v>
      </c>
    </row>
    <row r="184" spans="1:11" x14ac:dyDescent="0.15">
      <c r="A184">
        <v>28077296</v>
      </c>
      <c r="B184" t="s">
        <v>31579</v>
      </c>
      <c r="C184" t="s">
        <v>31580</v>
      </c>
      <c r="D184" t="s">
        <v>31581</v>
      </c>
      <c r="E184" t="s">
        <v>31002</v>
      </c>
      <c r="F184" t="s">
        <v>31458</v>
      </c>
      <c r="G184">
        <v>2017</v>
      </c>
      <c r="H184" s="1">
        <v>42748</v>
      </c>
      <c r="K184" t="s">
        <v>31582</v>
      </c>
    </row>
    <row r="185" spans="1:11" x14ac:dyDescent="0.15">
      <c r="A185">
        <v>34059908</v>
      </c>
      <c r="B185" t="s">
        <v>31583</v>
      </c>
      <c r="C185" t="s">
        <v>31584</v>
      </c>
      <c r="D185" t="s">
        <v>31585</v>
      </c>
      <c r="E185" t="s">
        <v>31586</v>
      </c>
      <c r="F185" t="s">
        <v>31587</v>
      </c>
      <c r="G185">
        <v>2021</v>
      </c>
      <c r="H185" s="1">
        <v>44348</v>
      </c>
      <c r="I185" t="s">
        <v>31588</v>
      </c>
      <c r="K185" t="s">
        <v>31589</v>
      </c>
    </row>
    <row r="186" spans="1:11" x14ac:dyDescent="0.15">
      <c r="A186">
        <v>26272609</v>
      </c>
      <c r="B186" t="s">
        <v>31590</v>
      </c>
      <c r="C186" t="s">
        <v>31591</v>
      </c>
      <c r="D186" t="s">
        <v>31592</v>
      </c>
      <c r="E186" t="s">
        <v>31593</v>
      </c>
      <c r="F186" t="s">
        <v>31594</v>
      </c>
      <c r="G186">
        <v>2015</v>
      </c>
      <c r="H186" s="1">
        <v>42231</v>
      </c>
      <c r="I186" t="s">
        <v>31595</v>
      </c>
      <c r="K186" t="s">
        <v>10216</v>
      </c>
    </row>
    <row r="187" spans="1:11" x14ac:dyDescent="0.15">
      <c r="A187">
        <v>32219336</v>
      </c>
      <c r="B187" t="s">
        <v>31596</v>
      </c>
      <c r="C187" t="s">
        <v>31597</v>
      </c>
      <c r="D187" t="s">
        <v>31598</v>
      </c>
      <c r="E187" t="s">
        <v>31599</v>
      </c>
      <c r="F187" t="s">
        <v>31600</v>
      </c>
      <c r="G187">
        <v>2020</v>
      </c>
      <c r="H187" s="1">
        <v>43919</v>
      </c>
      <c r="K187" t="s">
        <v>31601</v>
      </c>
    </row>
    <row r="188" spans="1:11" x14ac:dyDescent="0.15">
      <c r="A188">
        <v>25721810</v>
      </c>
      <c r="B188" t="s">
        <v>31602</v>
      </c>
      <c r="C188" t="s">
        <v>31603</v>
      </c>
      <c r="D188" t="s">
        <v>31604</v>
      </c>
      <c r="E188" t="s">
        <v>31605</v>
      </c>
      <c r="F188" t="s">
        <v>31458</v>
      </c>
      <c r="G188">
        <v>2015</v>
      </c>
      <c r="H188" s="1">
        <v>42063</v>
      </c>
      <c r="K188" t="s">
        <v>31606</v>
      </c>
    </row>
    <row r="189" spans="1:11" x14ac:dyDescent="0.15">
      <c r="A189">
        <v>22082333</v>
      </c>
      <c r="B189" t="s">
        <v>31607</v>
      </c>
      <c r="C189" t="s">
        <v>31608</v>
      </c>
      <c r="D189" t="s">
        <v>31609</v>
      </c>
      <c r="E189" t="s">
        <v>31610</v>
      </c>
      <c r="F189" t="s">
        <v>31611</v>
      </c>
      <c r="G189">
        <v>2012</v>
      </c>
      <c r="H189" s="1">
        <v>40863</v>
      </c>
      <c r="K189" t="s">
        <v>31612</v>
      </c>
    </row>
    <row r="190" spans="1:11" x14ac:dyDescent="0.15">
      <c r="A190">
        <v>32647095</v>
      </c>
      <c r="B190" t="s">
        <v>31613</v>
      </c>
      <c r="C190" t="s">
        <v>31614</v>
      </c>
      <c r="D190" t="s">
        <v>31615</v>
      </c>
      <c r="E190" t="s">
        <v>31616</v>
      </c>
      <c r="F190" t="s">
        <v>31617</v>
      </c>
      <c r="G190">
        <v>2020</v>
      </c>
      <c r="H190" s="1">
        <v>44023</v>
      </c>
      <c r="K190" t="s">
        <v>31618</v>
      </c>
    </row>
    <row r="191" spans="1:11" x14ac:dyDescent="0.15">
      <c r="A191">
        <v>35731982</v>
      </c>
      <c r="B191" t="s">
        <v>5053</v>
      </c>
      <c r="C191" t="s">
        <v>31619</v>
      </c>
      <c r="D191" t="s">
        <v>31620</v>
      </c>
      <c r="E191" t="s">
        <v>31621</v>
      </c>
      <c r="F191" t="s">
        <v>30956</v>
      </c>
      <c r="G191">
        <v>2022</v>
      </c>
      <c r="H191" s="1">
        <v>44734</v>
      </c>
      <c r="K191" t="s">
        <v>5060</v>
      </c>
    </row>
    <row r="192" spans="1:11" x14ac:dyDescent="0.15">
      <c r="A192">
        <v>30644724</v>
      </c>
      <c r="B192" t="s">
        <v>5702</v>
      </c>
      <c r="C192" t="s">
        <v>31622</v>
      </c>
      <c r="D192" t="s">
        <v>31623</v>
      </c>
      <c r="E192" t="s">
        <v>31624</v>
      </c>
      <c r="F192" t="s">
        <v>30956</v>
      </c>
      <c r="G192">
        <v>2019</v>
      </c>
      <c r="H192" s="1">
        <v>43481</v>
      </c>
      <c r="K192" t="s">
        <v>5712</v>
      </c>
    </row>
    <row r="193" spans="1:11" x14ac:dyDescent="0.15">
      <c r="A193">
        <v>31325471</v>
      </c>
      <c r="B193" t="s">
        <v>31625</v>
      </c>
      <c r="C193" t="s">
        <v>31626</v>
      </c>
      <c r="D193" t="s">
        <v>31627</v>
      </c>
      <c r="E193" t="s">
        <v>31628</v>
      </c>
      <c r="F193" t="s">
        <v>31033</v>
      </c>
      <c r="G193">
        <v>2019</v>
      </c>
      <c r="H193" s="1">
        <v>43667</v>
      </c>
      <c r="K193" t="s">
        <v>31629</v>
      </c>
    </row>
    <row r="194" spans="1:11" x14ac:dyDescent="0.15">
      <c r="A194">
        <v>33354779</v>
      </c>
      <c r="B194" t="s">
        <v>9266</v>
      </c>
      <c r="C194" t="s">
        <v>31630</v>
      </c>
      <c r="D194" t="s">
        <v>31631</v>
      </c>
      <c r="E194" t="s">
        <v>31632</v>
      </c>
      <c r="F194" t="s">
        <v>31633</v>
      </c>
      <c r="G194">
        <v>2021</v>
      </c>
      <c r="H194" s="1">
        <v>44188</v>
      </c>
      <c r="I194" t="s">
        <v>31634</v>
      </c>
      <c r="K194" t="s">
        <v>9277</v>
      </c>
    </row>
    <row r="195" spans="1:11" x14ac:dyDescent="0.15">
      <c r="A195">
        <v>33497388</v>
      </c>
      <c r="B195" t="s">
        <v>31635</v>
      </c>
      <c r="C195" t="s">
        <v>31636</v>
      </c>
      <c r="D195" t="s">
        <v>31637</v>
      </c>
      <c r="E195" t="s">
        <v>31638</v>
      </c>
      <c r="F195" t="s">
        <v>31639</v>
      </c>
      <c r="G195">
        <v>2021</v>
      </c>
      <c r="H195" s="1">
        <v>44222</v>
      </c>
      <c r="I195" t="s">
        <v>31640</v>
      </c>
      <c r="K195" t="s">
        <v>31641</v>
      </c>
    </row>
    <row r="196" spans="1:11" x14ac:dyDescent="0.15">
      <c r="A196">
        <v>32092088</v>
      </c>
      <c r="B196" t="s">
        <v>16433</v>
      </c>
      <c r="C196" t="s">
        <v>31043</v>
      </c>
      <c r="D196" t="s">
        <v>31642</v>
      </c>
      <c r="E196" t="s">
        <v>31045</v>
      </c>
      <c r="F196" t="s">
        <v>31639</v>
      </c>
      <c r="G196">
        <v>2020</v>
      </c>
      <c r="H196" s="1">
        <v>43886</v>
      </c>
      <c r="I196" t="s">
        <v>31643</v>
      </c>
      <c r="K196" t="s">
        <v>16441</v>
      </c>
    </row>
    <row r="197" spans="1:11" x14ac:dyDescent="0.15">
      <c r="A197">
        <v>31597943</v>
      </c>
      <c r="B197" t="s">
        <v>9200</v>
      </c>
      <c r="C197" t="s">
        <v>31644</v>
      </c>
      <c r="D197" t="s">
        <v>31645</v>
      </c>
      <c r="E197" t="s">
        <v>31646</v>
      </c>
      <c r="F197" t="s">
        <v>30834</v>
      </c>
      <c r="G197">
        <v>2019</v>
      </c>
      <c r="H197" s="1">
        <v>43749</v>
      </c>
      <c r="I197" t="s">
        <v>31647</v>
      </c>
      <c r="K197" t="s">
        <v>9209</v>
      </c>
    </row>
    <row r="198" spans="1:11" x14ac:dyDescent="0.15">
      <c r="A198">
        <v>28185192</v>
      </c>
      <c r="B198" t="s">
        <v>77</v>
      </c>
      <c r="C198" t="s">
        <v>31648</v>
      </c>
      <c r="D198" t="s">
        <v>31649</v>
      </c>
      <c r="E198" t="s">
        <v>31650</v>
      </c>
      <c r="F198" t="s">
        <v>31003</v>
      </c>
      <c r="G198">
        <v>2017</v>
      </c>
      <c r="H198" s="1">
        <v>42777</v>
      </c>
      <c r="K198" t="s">
        <v>91</v>
      </c>
    </row>
    <row r="199" spans="1:11" x14ac:dyDescent="0.15">
      <c r="A199">
        <v>32383628</v>
      </c>
      <c r="B199" t="s">
        <v>12441</v>
      </c>
      <c r="C199" t="s">
        <v>31651</v>
      </c>
      <c r="D199" t="s">
        <v>31652</v>
      </c>
      <c r="E199" t="s">
        <v>31653</v>
      </c>
      <c r="F199" t="s">
        <v>31654</v>
      </c>
      <c r="G199">
        <v>2020</v>
      </c>
      <c r="H199" s="1">
        <v>43960</v>
      </c>
      <c r="K199" t="s">
        <v>12453</v>
      </c>
    </row>
    <row r="200" spans="1:11" x14ac:dyDescent="0.15">
      <c r="A200">
        <v>33944671</v>
      </c>
      <c r="B200" t="s">
        <v>31655</v>
      </c>
      <c r="C200" t="s">
        <v>31656</v>
      </c>
      <c r="D200" t="s">
        <v>31657</v>
      </c>
      <c r="E200" t="s">
        <v>31658</v>
      </c>
      <c r="F200" t="s">
        <v>31659</v>
      </c>
      <c r="G200">
        <v>2021</v>
      </c>
      <c r="H200" s="1">
        <v>44320</v>
      </c>
      <c r="I200" t="s">
        <v>31660</v>
      </c>
      <c r="K200" t="s">
        <v>31661</v>
      </c>
    </row>
    <row r="201" spans="1:11" x14ac:dyDescent="0.15">
      <c r="A201">
        <v>32634162</v>
      </c>
      <c r="B201" t="s">
        <v>10732</v>
      </c>
      <c r="C201" t="s">
        <v>31662</v>
      </c>
      <c r="D201" t="s">
        <v>31663</v>
      </c>
      <c r="E201" t="s">
        <v>31664</v>
      </c>
      <c r="F201" t="s">
        <v>31639</v>
      </c>
      <c r="G201">
        <v>2020</v>
      </c>
      <c r="H201" s="1">
        <v>44020</v>
      </c>
      <c r="I201" t="s">
        <v>31665</v>
      </c>
      <c r="K201" t="s">
        <v>31666</v>
      </c>
    </row>
    <row r="202" spans="1:11" x14ac:dyDescent="0.15">
      <c r="A202">
        <v>32924276</v>
      </c>
      <c r="B202" t="s">
        <v>31667</v>
      </c>
      <c r="C202" t="s">
        <v>31668</v>
      </c>
      <c r="D202" t="s">
        <v>31669</v>
      </c>
      <c r="E202" t="s">
        <v>31670</v>
      </c>
      <c r="F202" t="s">
        <v>31671</v>
      </c>
      <c r="G202">
        <v>2020</v>
      </c>
      <c r="H202" s="1">
        <v>44088</v>
      </c>
      <c r="I202" t="s">
        <v>31672</v>
      </c>
      <c r="K202" t="s">
        <v>31673</v>
      </c>
    </row>
    <row r="203" spans="1:11" x14ac:dyDescent="0.15">
      <c r="A203">
        <v>28832692</v>
      </c>
      <c r="B203" t="s">
        <v>31674</v>
      </c>
      <c r="C203" t="s">
        <v>31675</v>
      </c>
      <c r="D203" t="s">
        <v>31676</v>
      </c>
      <c r="E203" t="s">
        <v>31677</v>
      </c>
      <c r="F203" t="s">
        <v>31678</v>
      </c>
      <c r="G203">
        <v>2017</v>
      </c>
      <c r="H203" s="1">
        <v>42971</v>
      </c>
      <c r="I203" t="s">
        <v>31679</v>
      </c>
      <c r="J203" t="s">
        <v>31680</v>
      </c>
      <c r="K203" t="s">
        <v>31681</v>
      </c>
    </row>
    <row r="204" spans="1:11" x14ac:dyDescent="0.15">
      <c r="A204">
        <v>24909737</v>
      </c>
      <c r="B204" t="s">
        <v>31682</v>
      </c>
      <c r="C204" t="s">
        <v>31683</v>
      </c>
      <c r="D204" t="s">
        <v>31684</v>
      </c>
      <c r="E204" t="s">
        <v>31027</v>
      </c>
      <c r="F204" t="s">
        <v>31685</v>
      </c>
      <c r="G204">
        <v>2014</v>
      </c>
      <c r="H204" s="1">
        <v>41800</v>
      </c>
      <c r="K204" t="s">
        <v>31686</v>
      </c>
    </row>
    <row r="205" spans="1:11" x14ac:dyDescent="0.15">
      <c r="A205">
        <v>34158489</v>
      </c>
      <c r="B205" t="s">
        <v>31687</v>
      </c>
      <c r="C205" t="s">
        <v>31688</v>
      </c>
      <c r="D205" t="s">
        <v>31689</v>
      </c>
      <c r="E205" t="s">
        <v>31690</v>
      </c>
      <c r="F205" t="s">
        <v>30796</v>
      </c>
      <c r="G205">
        <v>2021</v>
      </c>
      <c r="H205" s="1">
        <v>44370</v>
      </c>
      <c r="I205" t="s">
        <v>31691</v>
      </c>
      <c r="K205" t="s">
        <v>31692</v>
      </c>
    </row>
    <row r="206" spans="1:11" x14ac:dyDescent="0.15">
      <c r="A206">
        <v>31752198</v>
      </c>
      <c r="B206" t="s">
        <v>31693</v>
      </c>
      <c r="C206" t="s">
        <v>31694</v>
      </c>
      <c r="D206" t="s">
        <v>31695</v>
      </c>
      <c r="E206" t="s">
        <v>31696</v>
      </c>
      <c r="F206" t="s">
        <v>30655</v>
      </c>
      <c r="G206">
        <v>2019</v>
      </c>
      <c r="H206" s="1">
        <v>43792</v>
      </c>
      <c r="I206" t="s">
        <v>31697</v>
      </c>
      <c r="K206" t="s">
        <v>31698</v>
      </c>
    </row>
    <row r="207" spans="1:11" x14ac:dyDescent="0.15">
      <c r="A207">
        <v>26156517</v>
      </c>
      <c r="B207" t="s">
        <v>31699</v>
      </c>
      <c r="C207" t="s">
        <v>31700</v>
      </c>
      <c r="D207" t="s">
        <v>31701</v>
      </c>
      <c r="E207" t="s">
        <v>31702</v>
      </c>
      <c r="F207" t="s">
        <v>31703</v>
      </c>
      <c r="G207">
        <v>2015</v>
      </c>
      <c r="H207" s="1">
        <v>42195</v>
      </c>
      <c r="I207" t="s">
        <v>31704</v>
      </c>
      <c r="K207" t="s">
        <v>31705</v>
      </c>
    </row>
    <row r="208" spans="1:11" x14ac:dyDescent="0.15">
      <c r="A208">
        <v>30637729</v>
      </c>
      <c r="B208" t="s">
        <v>31706</v>
      </c>
      <c r="C208" t="s">
        <v>31707</v>
      </c>
      <c r="D208" t="s">
        <v>31708</v>
      </c>
      <c r="E208" t="s">
        <v>31709</v>
      </c>
      <c r="F208" t="s">
        <v>30847</v>
      </c>
      <c r="G208">
        <v>2019</v>
      </c>
      <c r="H208" s="1">
        <v>43480</v>
      </c>
      <c r="K208" t="s">
        <v>31710</v>
      </c>
    </row>
    <row r="209" spans="1:11" x14ac:dyDescent="0.15">
      <c r="A209">
        <v>28816640</v>
      </c>
      <c r="B209" t="s">
        <v>31711</v>
      </c>
      <c r="C209" t="s">
        <v>31712</v>
      </c>
      <c r="D209" t="s">
        <v>31713</v>
      </c>
      <c r="E209" t="s">
        <v>31714</v>
      </c>
      <c r="F209" t="s">
        <v>31659</v>
      </c>
      <c r="G209">
        <v>2017</v>
      </c>
      <c r="H209" s="1">
        <v>42965</v>
      </c>
      <c r="I209" t="s">
        <v>31715</v>
      </c>
      <c r="K209" t="s">
        <v>31716</v>
      </c>
    </row>
    <row r="210" spans="1:11" x14ac:dyDescent="0.15">
      <c r="A210">
        <v>33513776</v>
      </c>
      <c r="B210" t="s">
        <v>31717</v>
      </c>
      <c r="C210" t="s">
        <v>31718</v>
      </c>
      <c r="D210" t="s">
        <v>31719</v>
      </c>
      <c r="E210" t="s">
        <v>31720</v>
      </c>
      <c r="F210" t="s">
        <v>30816</v>
      </c>
      <c r="G210">
        <v>2021</v>
      </c>
      <c r="H210" s="1">
        <v>44226</v>
      </c>
      <c r="I210" t="s">
        <v>31721</v>
      </c>
      <c r="K210" t="s">
        <v>31722</v>
      </c>
    </row>
    <row r="211" spans="1:11" x14ac:dyDescent="0.15">
      <c r="A211">
        <v>32134270</v>
      </c>
      <c r="B211" t="s">
        <v>31723</v>
      </c>
      <c r="C211" t="s">
        <v>31724</v>
      </c>
      <c r="D211" t="s">
        <v>31725</v>
      </c>
      <c r="E211" t="s">
        <v>31726</v>
      </c>
      <c r="F211" t="s">
        <v>30778</v>
      </c>
      <c r="G211">
        <v>2020</v>
      </c>
      <c r="H211" s="1">
        <v>43896</v>
      </c>
      <c r="K211" t="s">
        <v>31727</v>
      </c>
    </row>
    <row r="212" spans="1:11" x14ac:dyDescent="0.15">
      <c r="A212">
        <v>31159859</v>
      </c>
      <c r="B212" t="s">
        <v>31728</v>
      </c>
      <c r="C212" t="s">
        <v>31729</v>
      </c>
      <c r="D212" t="s">
        <v>31730</v>
      </c>
      <c r="E212" t="s">
        <v>31731</v>
      </c>
      <c r="F212" t="s">
        <v>30740</v>
      </c>
      <c r="G212">
        <v>2019</v>
      </c>
      <c r="H212" s="1">
        <v>43621</v>
      </c>
      <c r="I212" t="s">
        <v>31732</v>
      </c>
      <c r="K212" t="s">
        <v>31733</v>
      </c>
    </row>
    <row r="213" spans="1:11" x14ac:dyDescent="0.15">
      <c r="A213">
        <v>29376493</v>
      </c>
      <c r="B213" t="s">
        <v>31734</v>
      </c>
      <c r="C213" t="s">
        <v>31735</v>
      </c>
      <c r="D213" t="s">
        <v>31736</v>
      </c>
      <c r="E213" t="s">
        <v>31737</v>
      </c>
      <c r="F213" t="s">
        <v>31738</v>
      </c>
      <c r="G213">
        <v>2018</v>
      </c>
      <c r="H213" s="1">
        <v>43130</v>
      </c>
      <c r="K213" t="s">
        <v>31739</v>
      </c>
    </row>
    <row r="214" spans="1:11" x14ac:dyDescent="0.15">
      <c r="A214">
        <v>32334098</v>
      </c>
      <c r="B214" t="s">
        <v>7557</v>
      </c>
      <c r="C214" t="s">
        <v>31740</v>
      </c>
      <c r="D214" t="s">
        <v>31741</v>
      </c>
      <c r="E214" t="s">
        <v>31742</v>
      </c>
      <c r="F214" t="s">
        <v>31743</v>
      </c>
      <c r="G214">
        <v>2020</v>
      </c>
      <c r="H214" s="1">
        <v>43947</v>
      </c>
      <c r="K214" t="s">
        <v>7567</v>
      </c>
    </row>
    <row r="215" spans="1:11" x14ac:dyDescent="0.15">
      <c r="A215">
        <v>32551501</v>
      </c>
      <c r="B215" t="s">
        <v>17795</v>
      </c>
      <c r="C215" t="s">
        <v>31744</v>
      </c>
      <c r="D215" t="s">
        <v>31745</v>
      </c>
      <c r="E215" t="s">
        <v>31746</v>
      </c>
      <c r="F215" t="s">
        <v>30956</v>
      </c>
      <c r="G215">
        <v>2020</v>
      </c>
      <c r="H215" s="1">
        <v>44002</v>
      </c>
      <c r="K215" t="s">
        <v>17803</v>
      </c>
    </row>
    <row r="216" spans="1:11" x14ac:dyDescent="0.15">
      <c r="A216">
        <v>20235276</v>
      </c>
      <c r="B216" t="s">
        <v>31747</v>
      </c>
      <c r="C216" t="s">
        <v>31748</v>
      </c>
      <c r="D216" t="s">
        <v>31749</v>
      </c>
      <c r="E216" t="s">
        <v>31750</v>
      </c>
      <c r="F216" t="s">
        <v>31751</v>
      </c>
      <c r="G216">
        <v>2010</v>
      </c>
      <c r="H216" s="1">
        <v>40255</v>
      </c>
      <c r="I216" t="s">
        <v>31752</v>
      </c>
      <c r="J216" t="s">
        <v>31753</v>
      </c>
      <c r="K216" t="s">
        <v>31754</v>
      </c>
    </row>
    <row r="217" spans="1:11" x14ac:dyDescent="0.15">
      <c r="A217">
        <v>34289450</v>
      </c>
      <c r="B217" t="s">
        <v>31755</v>
      </c>
      <c r="C217" t="s">
        <v>31756</v>
      </c>
      <c r="D217" t="s">
        <v>31757</v>
      </c>
      <c r="E217" t="s">
        <v>31758</v>
      </c>
      <c r="F217" t="s">
        <v>31759</v>
      </c>
      <c r="G217">
        <v>2021</v>
      </c>
      <c r="H217" s="1">
        <v>44398</v>
      </c>
      <c r="I217" t="s">
        <v>31760</v>
      </c>
      <c r="K217" t="s">
        <v>31761</v>
      </c>
    </row>
    <row r="218" spans="1:11" x14ac:dyDescent="0.15">
      <c r="A218">
        <v>28867585</v>
      </c>
      <c r="B218" t="s">
        <v>31762</v>
      </c>
      <c r="C218" t="s">
        <v>31763</v>
      </c>
      <c r="D218" t="s">
        <v>31764</v>
      </c>
      <c r="E218" t="s">
        <v>31765</v>
      </c>
      <c r="F218" t="s">
        <v>30901</v>
      </c>
      <c r="G218">
        <v>2017</v>
      </c>
      <c r="H218" s="1">
        <v>42983</v>
      </c>
      <c r="K218" t="s">
        <v>31766</v>
      </c>
    </row>
    <row r="219" spans="1:11" x14ac:dyDescent="0.15">
      <c r="A219">
        <v>28321122</v>
      </c>
      <c r="B219" t="s">
        <v>31767</v>
      </c>
      <c r="C219" t="s">
        <v>31768</v>
      </c>
      <c r="D219" t="s">
        <v>31769</v>
      </c>
      <c r="E219" t="s">
        <v>31770</v>
      </c>
      <c r="F219" t="s">
        <v>31771</v>
      </c>
      <c r="G219">
        <v>2017</v>
      </c>
      <c r="H219" s="1">
        <v>42816</v>
      </c>
      <c r="K219" t="s">
        <v>31772</v>
      </c>
    </row>
    <row r="220" spans="1:11" x14ac:dyDescent="0.15">
      <c r="A220">
        <v>31436946</v>
      </c>
      <c r="B220" t="s">
        <v>2965</v>
      </c>
      <c r="C220" t="s">
        <v>31773</v>
      </c>
      <c r="D220" t="s">
        <v>31774</v>
      </c>
      <c r="E220" t="s">
        <v>31775</v>
      </c>
      <c r="F220" t="s">
        <v>30561</v>
      </c>
      <c r="G220">
        <v>2019</v>
      </c>
      <c r="H220" s="1">
        <v>43700</v>
      </c>
      <c r="I220" t="s">
        <v>31776</v>
      </c>
      <c r="J220" t="s">
        <v>31777</v>
      </c>
      <c r="K220" t="s">
        <v>2975</v>
      </c>
    </row>
    <row r="221" spans="1:11" x14ac:dyDescent="0.15">
      <c r="A221">
        <v>31017389</v>
      </c>
      <c r="B221" t="s">
        <v>8359</v>
      </c>
      <c r="C221" t="s">
        <v>31778</v>
      </c>
      <c r="D221" t="s">
        <v>31779</v>
      </c>
      <c r="E221" t="s">
        <v>31780</v>
      </c>
      <c r="F221" t="s">
        <v>31781</v>
      </c>
      <c r="G221">
        <v>2019</v>
      </c>
      <c r="H221" s="1">
        <v>43580</v>
      </c>
      <c r="K221" t="s">
        <v>8368</v>
      </c>
    </row>
    <row r="222" spans="1:11" x14ac:dyDescent="0.15">
      <c r="A222">
        <v>22506041</v>
      </c>
      <c r="B222" t="s">
        <v>31782</v>
      </c>
      <c r="C222" t="s">
        <v>31783</v>
      </c>
      <c r="D222" t="s">
        <v>31784</v>
      </c>
      <c r="E222" t="s">
        <v>31511</v>
      </c>
      <c r="F222" t="s">
        <v>31639</v>
      </c>
      <c r="G222">
        <v>2012</v>
      </c>
      <c r="H222" s="1">
        <v>41016</v>
      </c>
      <c r="I222" t="s">
        <v>31785</v>
      </c>
      <c r="K222" t="s">
        <v>1085</v>
      </c>
    </row>
    <row r="223" spans="1:11" x14ac:dyDescent="0.15">
      <c r="A223">
        <v>26238497</v>
      </c>
      <c r="B223" t="s">
        <v>31786</v>
      </c>
      <c r="C223" t="s">
        <v>31787</v>
      </c>
      <c r="D223" t="s">
        <v>31788</v>
      </c>
      <c r="E223" t="s">
        <v>31789</v>
      </c>
      <c r="F223" t="s">
        <v>31790</v>
      </c>
      <c r="G223">
        <v>2015</v>
      </c>
      <c r="H223" s="1">
        <v>42221</v>
      </c>
      <c r="K223" t="s">
        <v>31791</v>
      </c>
    </row>
    <row r="224" spans="1:11" x14ac:dyDescent="0.15">
      <c r="A224">
        <v>33420117</v>
      </c>
      <c r="B224" t="s">
        <v>31792</v>
      </c>
      <c r="C224" t="s">
        <v>31793</v>
      </c>
      <c r="D224" t="s">
        <v>31794</v>
      </c>
      <c r="E224" t="s">
        <v>31795</v>
      </c>
      <c r="F224" t="s">
        <v>30834</v>
      </c>
      <c r="G224">
        <v>2021</v>
      </c>
      <c r="H224" s="1">
        <v>44205</v>
      </c>
      <c r="I224" t="s">
        <v>31796</v>
      </c>
      <c r="K224" t="s">
        <v>7645</v>
      </c>
    </row>
    <row r="225" spans="1:11" x14ac:dyDescent="0.15">
      <c r="A225">
        <v>30236130</v>
      </c>
      <c r="B225" t="s">
        <v>918</v>
      </c>
      <c r="C225" t="s">
        <v>31797</v>
      </c>
      <c r="D225" t="s">
        <v>31798</v>
      </c>
      <c r="E225" t="s">
        <v>31799</v>
      </c>
      <c r="F225" t="s">
        <v>31800</v>
      </c>
      <c r="G225">
        <v>2018</v>
      </c>
      <c r="H225" s="1">
        <v>43365</v>
      </c>
      <c r="I225" t="s">
        <v>31801</v>
      </c>
      <c r="K225" t="s">
        <v>931</v>
      </c>
    </row>
    <row r="226" spans="1:11" x14ac:dyDescent="0.15">
      <c r="A226">
        <v>26350732</v>
      </c>
      <c r="B226" t="s">
        <v>31802</v>
      </c>
      <c r="C226" t="s">
        <v>31803</v>
      </c>
      <c r="D226" t="s">
        <v>31804</v>
      </c>
      <c r="E226" t="s">
        <v>31805</v>
      </c>
      <c r="F226" t="s">
        <v>31806</v>
      </c>
      <c r="G226">
        <v>2015</v>
      </c>
      <c r="H226" s="1">
        <v>42257</v>
      </c>
      <c r="K226" t="s">
        <v>31807</v>
      </c>
    </row>
    <row r="227" spans="1:11" x14ac:dyDescent="0.15">
      <c r="A227">
        <v>31198995</v>
      </c>
      <c r="B227" t="s">
        <v>4259</v>
      </c>
      <c r="C227" t="s">
        <v>31808</v>
      </c>
      <c r="D227" t="s">
        <v>31809</v>
      </c>
      <c r="E227" t="s">
        <v>31810</v>
      </c>
      <c r="F227" t="s">
        <v>31811</v>
      </c>
      <c r="G227">
        <v>2019</v>
      </c>
      <c r="H227" s="1">
        <v>43631</v>
      </c>
      <c r="K227" t="s">
        <v>4274</v>
      </c>
    </row>
    <row r="228" spans="1:11" x14ac:dyDescent="0.15">
      <c r="A228">
        <v>30451032</v>
      </c>
      <c r="B228" t="s">
        <v>31812</v>
      </c>
      <c r="C228" t="s">
        <v>31813</v>
      </c>
      <c r="D228" t="s">
        <v>31814</v>
      </c>
      <c r="E228" t="s">
        <v>31815</v>
      </c>
      <c r="F228" t="s">
        <v>31816</v>
      </c>
      <c r="G228">
        <v>2019</v>
      </c>
      <c r="H228" s="1">
        <v>43424</v>
      </c>
      <c r="I228" t="s">
        <v>31817</v>
      </c>
      <c r="J228" t="s">
        <v>31818</v>
      </c>
      <c r="K228" t="s">
        <v>31819</v>
      </c>
    </row>
    <row r="229" spans="1:11" x14ac:dyDescent="0.15">
      <c r="A229">
        <v>22713869</v>
      </c>
      <c r="B229" t="s">
        <v>31820</v>
      </c>
      <c r="C229" t="s">
        <v>31821</v>
      </c>
      <c r="D229" t="s">
        <v>31822</v>
      </c>
      <c r="E229" t="s">
        <v>31823</v>
      </c>
      <c r="F229" t="s">
        <v>31824</v>
      </c>
      <c r="G229">
        <v>2012</v>
      </c>
      <c r="H229" s="1">
        <v>41081</v>
      </c>
      <c r="I229" t="s">
        <v>31825</v>
      </c>
      <c r="K229" t="s">
        <v>31826</v>
      </c>
    </row>
    <row r="230" spans="1:11" x14ac:dyDescent="0.15">
      <c r="A230">
        <v>30139385</v>
      </c>
      <c r="B230" t="s">
        <v>12673</v>
      </c>
      <c r="C230" t="s">
        <v>31827</v>
      </c>
      <c r="D230" t="s">
        <v>31828</v>
      </c>
      <c r="E230" t="s">
        <v>30987</v>
      </c>
      <c r="F230" t="s">
        <v>30630</v>
      </c>
      <c r="G230">
        <v>2018</v>
      </c>
      <c r="H230" s="1">
        <v>43337</v>
      </c>
      <c r="I230" t="s">
        <v>31829</v>
      </c>
      <c r="K230" t="s">
        <v>12683</v>
      </c>
    </row>
    <row r="231" spans="1:11" x14ac:dyDescent="0.15">
      <c r="A231">
        <v>27753025</v>
      </c>
      <c r="B231" t="s">
        <v>4758</v>
      </c>
      <c r="C231" t="s">
        <v>31830</v>
      </c>
      <c r="D231" t="s">
        <v>31831</v>
      </c>
      <c r="E231" t="s">
        <v>30875</v>
      </c>
      <c r="F231" t="s">
        <v>31023</v>
      </c>
      <c r="G231">
        <v>2016</v>
      </c>
      <c r="H231" s="1">
        <v>42662</v>
      </c>
      <c r="K231" t="s">
        <v>4766</v>
      </c>
    </row>
    <row r="232" spans="1:11" x14ac:dyDescent="0.15">
      <c r="A232">
        <v>32715764</v>
      </c>
      <c r="B232" t="s">
        <v>12964</v>
      </c>
      <c r="C232" t="s">
        <v>31832</v>
      </c>
      <c r="D232" t="s">
        <v>31833</v>
      </c>
      <c r="E232" t="s">
        <v>31834</v>
      </c>
      <c r="F232" t="s">
        <v>31835</v>
      </c>
      <c r="G232">
        <v>2020</v>
      </c>
      <c r="H232" s="1">
        <v>44040</v>
      </c>
      <c r="I232" t="s">
        <v>31836</v>
      </c>
      <c r="K232" t="s">
        <v>12978</v>
      </c>
    </row>
    <row r="233" spans="1:11" x14ac:dyDescent="0.15">
      <c r="A233">
        <v>30463593</v>
      </c>
      <c r="B233" t="s">
        <v>31837</v>
      </c>
      <c r="C233" t="s">
        <v>31838</v>
      </c>
      <c r="D233" t="s">
        <v>31839</v>
      </c>
      <c r="E233" t="s">
        <v>31840</v>
      </c>
      <c r="F233" t="s">
        <v>30740</v>
      </c>
      <c r="G233">
        <v>2018</v>
      </c>
      <c r="H233" s="1">
        <v>43427</v>
      </c>
      <c r="I233" t="s">
        <v>31841</v>
      </c>
      <c r="K233" t="s">
        <v>31842</v>
      </c>
    </row>
    <row r="234" spans="1:11" x14ac:dyDescent="0.15">
      <c r="A234">
        <v>34632781</v>
      </c>
      <c r="B234" t="s">
        <v>14543</v>
      </c>
      <c r="C234" t="s">
        <v>31843</v>
      </c>
      <c r="D234" t="s">
        <v>31844</v>
      </c>
      <c r="E234" t="s">
        <v>31845</v>
      </c>
      <c r="F234" t="s">
        <v>31781</v>
      </c>
      <c r="G234">
        <v>2021</v>
      </c>
      <c r="H234" s="1">
        <v>44480</v>
      </c>
      <c r="K234" t="s">
        <v>14552</v>
      </c>
    </row>
    <row r="235" spans="1:11" x14ac:dyDescent="0.15">
      <c r="A235">
        <v>28069372</v>
      </c>
      <c r="B235" t="s">
        <v>31846</v>
      </c>
      <c r="C235" t="s">
        <v>31847</v>
      </c>
      <c r="D235" t="s">
        <v>31848</v>
      </c>
      <c r="E235" t="s">
        <v>31849</v>
      </c>
      <c r="F235" t="s">
        <v>31850</v>
      </c>
      <c r="G235">
        <v>2017</v>
      </c>
      <c r="H235" s="1">
        <v>42746</v>
      </c>
      <c r="I235" t="s">
        <v>31851</v>
      </c>
      <c r="J235" t="s">
        <v>31852</v>
      </c>
      <c r="K235" t="s">
        <v>31853</v>
      </c>
    </row>
    <row r="236" spans="1:11" x14ac:dyDescent="0.15">
      <c r="A236">
        <v>28356006</v>
      </c>
      <c r="B236" t="s">
        <v>31854</v>
      </c>
      <c r="C236" t="s">
        <v>31855</v>
      </c>
      <c r="D236" t="s">
        <v>31856</v>
      </c>
      <c r="E236" t="s">
        <v>31857</v>
      </c>
      <c r="F236" t="s">
        <v>31858</v>
      </c>
      <c r="G236">
        <v>2017</v>
      </c>
      <c r="H236" s="1">
        <v>42825</v>
      </c>
      <c r="K236" t="s">
        <v>31859</v>
      </c>
    </row>
    <row r="237" spans="1:11" x14ac:dyDescent="0.15">
      <c r="A237">
        <v>29146100</v>
      </c>
      <c r="B237" t="s">
        <v>31860</v>
      </c>
      <c r="C237" t="s">
        <v>31861</v>
      </c>
      <c r="D237" t="s">
        <v>31862</v>
      </c>
      <c r="E237" t="s">
        <v>31863</v>
      </c>
      <c r="F237" t="s">
        <v>30613</v>
      </c>
      <c r="G237">
        <v>2018</v>
      </c>
      <c r="H237" s="1">
        <v>43057</v>
      </c>
      <c r="K237" t="s">
        <v>31864</v>
      </c>
    </row>
    <row r="238" spans="1:11" x14ac:dyDescent="0.15">
      <c r="A238">
        <v>27206554</v>
      </c>
      <c r="B238" t="s">
        <v>31865</v>
      </c>
      <c r="C238" t="s">
        <v>31866</v>
      </c>
      <c r="D238" t="s">
        <v>31867</v>
      </c>
      <c r="E238" t="s">
        <v>31868</v>
      </c>
      <c r="F238" t="s">
        <v>30668</v>
      </c>
      <c r="G238">
        <v>2016</v>
      </c>
      <c r="H238" s="1">
        <v>42512</v>
      </c>
      <c r="K238" t="s">
        <v>31869</v>
      </c>
    </row>
    <row r="239" spans="1:11" x14ac:dyDescent="0.15">
      <c r="A239">
        <v>21318413</v>
      </c>
      <c r="B239" t="s">
        <v>31870</v>
      </c>
      <c r="C239" t="s">
        <v>31871</v>
      </c>
      <c r="D239" t="s">
        <v>31872</v>
      </c>
      <c r="E239" t="s">
        <v>31873</v>
      </c>
      <c r="F239" t="s">
        <v>31874</v>
      </c>
      <c r="G239">
        <v>2011</v>
      </c>
      <c r="H239" s="1">
        <v>40589</v>
      </c>
      <c r="K239" t="s">
        <v>31875</v>
      </c>
    </row>
    <row r="240" spans="1:11" x14ac:dyDescent="0.15">
      <c r="A240">
        <v>23613619</v>
      </c>
      <c r="B240" t="s">
        <v>31876</v>
      </c>
      <c r="C240" t="s">
        <v>31877</v>
      </c>
      <c r="D240" t="s">
        <v>31878</v>
      </c>
      <c r="E240" t="s">
        <v>31879</v>
      </c>
      <c r="F240" t="s">
        <v>31880</v>
      </c>
      <c r="G240">
        <v>2013</v>
      </c>
      <c r="H240" s="1">
        <v>41389</v>
      </c>
      <c r="K240" t="s">
        <v>31881</v>
      </c>
    </row>
    <row r="241" spans="1:11" x14ac:dyDescent="0.15">
      <c r="A241">
        <v>33756122</v>
      </c>
      <c r="B241" t="s">
        <v>6466</v>
      </c>
      <c r="C241" t="s">
        <v>31882</v>
      </c>
      <c r="D241" t="s">
        <v>31883</v>
      </c>
      <c r="E241" t="s">
        <v>31884</v>
      </c>
      <c r="F241" t="s">
        <v>31885</v>
      </c>
      <c r="G241">
        <v>2021</v>
      </c>
      <c r="H241" s="1">
        <v>44278</v>
      </c>
      <c r="K241" t="s">
        <v>6479</v>
      </c>
    </row>
    <row r="242" spans="1:11" x14ac:dyDescent="0.15">
      <c r="A242">
        <v>33404216</v>
      </c>
      <c r="B242" t="s">
        <v>22064</v>
      </c>
      <c r="C242" t="s">
        <v>31886</v>
      </c>
      <c r="D242" t="s">
        <v>31887</v>
      </c>
      <c r="E242" t="s">
        <v>31888</v>
      </c>
      <c r="F242" t="s">
        <v>30956</v>
      </c>
      <c r="G242">
        <v>2021</v>
      </c>
      <c r="H242" s="1">
        <v>44202</v>
      </c>
      <c r="K242" t="s">
        <v>22070</v>
      </c>
    </row>
    <row r="243" spans="1:11" x14ac:dyDescent="0.15">
      <c r="A243">
        <v>33369394</v>
      </c>
      <c r="B243" t="s">
        <v>15286</v>
      </c>
      <c r="C243" t="s">
        <v>31889</v>
      </c>
      <c r="D243" t="s">
        <v>31890</v>
      </c>
      <c r="E243" t="s">
        <v>31891</v>
      </c>
      <c r="F243" t="s">
        <v>30956</v>
      </c>
      <c r="G243">
        <v>2021</v>
      </c>
      <c r="H243" s="1">
        <v>44193</v>
      </c>
      <c r="K243" t="s">
        <v>15292</v>
      </c>
    </row>
    <row r="244" spans="1:11" x14ac:dyDescent="0.15">
      <c r="A244">
        <v>34051235</v>
      </c>
      <c r="B244" t="s">
        <v>31892</v>
      </c>
      <c r="C244" t="s">
        <v>31893</v>
      </c>
      <c r="D244" t="s">
        <v>31894</v>
      </c>
      <c r="E244" t="s">
        <v>31895</v>
      </c>
      <c r="F244" t="s">
        <v>31594</v>
      </c>
      <c r="G244">
        <v>2021</v>
      </c>
      <c r="H244" s="1">
        <v>44345</v>
      </c>
      <c r="I244" t="s">
        <v>31896</v>
      </c>
      <c r="K244" t="s">
        <v>31897</v>
      </c>
    </row>
    <row r="245" spans="1:11" x14ac:dyDescent="0.15">
      <c r="A245">
        <v>31319228</v>
      </c>
      <c r="B245" t="s">
        <v>31898</v>
      </c>
      <c r="C245" t="s">
        <v>31899</v>
      </c>
      <c r="D245" t="s">
        <v>31900</v>
      </c>
      <c r="E245" t="s">
        <v>31901</v>
      </c>
      <c r="F245" t="s">
        <v>31902</v>
      </c>
      <c r="G245">
        <v>2019</v>
      </c>
      <c r="H245" s="1">
        <v>43665</v>
      </c>
      <c r="I245" t="s">
        <v>31903</v>
      </c>
      <c r="K245" t="s">
        <v>31904</v>
      </c>
    </row>
    <row r="246" spans="1:11" x14ac:dyDescent="0.15">
      <c r="A246">
        <v>29953723</v>
      </c>
      <c r="B246" t="s">
        <v>217</v>
      </c>
      <c r="C246" t="s">
        <v>31905</v>
      </c>
      <c r="D246" t="s">
        <v>31906</v>
      </c>
      <c r="E246" t="s">
        <v>31907</v>
      </c>
      <c r="F246" t="s">
        <v>31908</v>
      </c>
      <c r="G246">
        <v>2018</v>
      </c>
      <c r="H246" s="1">
        <v>43280</v>
      </c>
      <c r="K246" t="s">
        <v>231</v>
      </c>
    </row>
    <row r="247" spans="1:11" x14ac:dyDescent="0.15">
      <c r="A247">
        <v>28332837</v>
      </c>
      <c r="B247" t="s">
        <v>3835</v>
      </c>
      <c r="C247" t="s">
        <v>31909</v>
      </c>
      <c r="D247" t="s">
        <v>31910</v>
      </c>
      <c r="E247" t="s">
        <v>31911</v>
      </c>
      <c r="F247" t="s">
        <v>30778</v>
      </c>
      <c r="G247">
        <v>2017</v>
      </c>
      <c r="H247" s="1">
        <v>42818</v>
      </c>
      <c r="I247" t="s">
        <v>31912</v>
      </c>
      <c r="J247" t="s">
        <v>31913</v>
      </c>
      <c r="K247" t="s">
        <v>3845</v>
      </c>
    </row>
    <row r="248" spans="1:11" x14ac:dyDescent="0.15">
      <c r="A248">
        <v>25220623</v>
      </c>
      <c r="B248" t="s">
        <v>31914</v>
      </c>
      <c r="C248" t="s">
        <v>31915</v>
      </c>
      <c r="D248" t="s">
        <v>31916</v>
      </c>
      <c r="E248" t="s">
        <v>31917</v>
      </c>
      <c r="F248" t="s">
        <v>31431</v>
      </c>
      <c r="G248">
        <v>2014</v>
      </c>
      <c r="H248" s="1">
        <v>41898</v>
      </c>
      <c r="I248" t="s">
        <v>31918</v>
      </c>
      <c r="J248" t="s">
        <v>31919</v>
      </c>
      <c r="K248" t="s">
        <v>31920</v>
      </c>
    </row>
    <row r="249" spans="1:11" x14ac:dyDescent="0.15">
      <c r="A249">
        <v>34114453</v>
      </c>
      <c r="B249" t="s">
        <v>13396</v>
      </c>
      <c r="C249" t="s">
        <v>31921</v>
      </c>
      <c r="D249" t="s">
        <v>31922</v>
      </c>
      <c r="E249" t="s">
        <v>31923</v>
      </c>
      <c r="F249" t="s">
        <v>30956</v>
      </c>
      <c r="G249">
        <v>2021</v>
      </c>
      <c r="H249" s="1">
        <v>44358</v>
      </c>
      <c r="K249" t="s">
        <v>13404</v>
      </c>
    </row>
    <row r="250" spans="1:11" x14ac:dyDescent="0.15">
      <c r="A250">
        <v>34031263</v>
      </c>
      <c r="B250" t="s">
        <v>31924</v>
      </c>
      <c r="C250" t="s">
        <v>31925</v>
      </c>
      <c r="D250" t="s">
        <v>31926</v>
      </c>
      <c r="E250" t="s">
        <v>31927</v>
      </c>
      <c r="F250" t="s">
        <v>31759</v>
      </c>
      <c r="G250">
        <v>2021</v>
      </c>
      <c r="H250" s="1">
        <v>44341</v>
      </c>
      <c r="I250" t="s">
        <v>31928</v>
      </c>
      <c r="K250" t="s">
        <v>31929</v>
      </c>
    </row>
    <row r="251" spans="1:11" x14ac:dyDescent="0.15">
      <c r="A251">
        <v>32433716</v>
      </c>
      <c r="B251" t="s">
        <v>21225</v>
      </c>
      <c r="C251" t="s">
        <v>31930</v>
      </c>
      <c r="D251" t="s">
        <v>31931</v>
      </c>
      <c r="E251" t="s">
        <v>31932</v>
      </c>
      <c r="F251" t="s">
        <v>31933</v>
      </c>
      <c r="G251">
        <v>2020</v>
      </c>
      <c r="H251" s="1">
        <v>43972</v>
      </c>
      <c r="I251" t="s">
        <v>31934</v>
      </c>
      <c r="K251" t="s">
        <v>21233</v>
      </c>
    </row>
    <row r="252" spans="1:11" x14ac:dyDescent="0.15">
      <c r="A252">
        <v>25051983</v>
      </c>
      <c r="B252" t="s">
        <v>31935</v>
      </c>
      <c r="C252" t="s">
        <v>31936</v>
      </c>
      <c r="D252" t="s">
        <v>31937</v>
      </c>
      <c r="E252" t="s">
        <v>31938</v>
      </c>
      <c r="F252" t="s">
        <v>31939</v>
      </c>
      <c r="G252">
        <v>2014</v>
      </c>
      <c r="H252" s="1">
        <v>41844</v>
      </c>
      <c r="I252" t="s">
        <v>31940</v>
      </c>
      <c r="J252" t="s">
        <v>31941</v>
      </c>
      <c r="K252" t="s">
        <v>7112</v>
      </c>
    </row>
    <row r="253" spans="1:11" x14ac:dyDescent="0.15">
      <c r="A253">
        <v>25537774</v>
      </c>
      <c r="B253" t="s">
        <v>31942</v>
      </c>
      <c r="C253" t="s">
        <v>31943</v>
      </c>
      <c r="D253" t="s">
        <v>31944</v>
      </c>
      <c r="E253" t="s">
        <v>30931</v>
      </c>
      <c r="F253" t="s">
        <v>31945</v>
      </c>
      <c r="G253">
        <v>2015</v>
      </c>
      <c r="H253" s="1">
        <v>41998</v>
      </c>
      <c r="K253" t="s">
        <v>5427</v>
      </c>
    </row>
    <row r="254" spans="1:11" x14ac:dyDescent="0.15">
      <c r="A254">
        <v>34464838</v>
      </c>
      <c r="B254" t="s">
        <v>24891</v>
      </c>
      <c r="C254" t="s">
        <v>31946</v>
      </c>
      <c r="D254" t="s">
        <v>31947</v>
      </c>
      <c r="E254" t="s">
        <v>31948</v>
      </c>
      <c r="F254" t="s">
        <v>30907</v>
      </c>
      <c r="G254">
        <v>2021</v>
      </c>
      <c r="H254" s="1">
        <v>44439</v>
      </c>
      <c r="K254" t="s">
        <v>24900</v>
      </c>
    </row>
    <row r="255" spans="1:11" x14ac:dyDescent="0.15">
      <c r="A255">
        <v>30038324</v>
      </c>
      <c r="B255" t="s">
        <v>14988</v>
      </c>
      <c r="C255" t="s">
        <v>31949</v>
      </c>
      <c r="D255" t="s">
        <v>31950</v>
      </c>
      <c r="E255" t="s">
        <v>31951</v>
      </c>
      <c r="F255" t="s">
        <v>31952</v>
      </c>
      <c r="G255">
        <v>2018</v>
      </c>
      <c r="H255" s="1">
        <v>43306</v>
      </c>
      <c r="I255" t="s">
        <v>31953</v>
      </c>
      <c r="K255" t="s">
        <v>14997</v>
      </c>
    </row>
    <row r="256" spans="1:11" x14ac:dyDescent="0.15">
      <c r="A256">
        <v>31660712</v>
      </c>
      <c r="B256" t="s">
        <v>5467</v>
      </c>
      <c r="C256" t="s">
        <v>31954</v>
      </c>
      <c r="D256" t="s">
        <v>31955</v>
      </c>
      <c r="E256" t="s">
        <v>31956</v>
      </c>
      <c r="F256" t="s">
        <v>30956</v>
      </c>
      <c r="G256">
        <v>2019</v>
      </c>
      <c r="H256" s="1">
        <v>43768</v>
      </c>
      <c r="K256" t="s">
        <v>5475</v>
      </c>
    </row>
    <row r="257" spans="1:11" x14ac:dyDescent="0.15">
      <c r="A257">
        <v>32292514</v>
      </c>
      <c r="B257" t="s">
        <v>31957</v>
      </c>
      <c r="C257" t="s">
        <v>31958</v>
      </c>
      <c r="D257" t="s">
        <v>31959</v>
      </c>
      <c r="E257" t="s">
        <v>31960</v>
      </c>
      <c r="F257" t="s">
        <v>30588</v>
      </c>
      <c r="G257">
        <v>2020</v>
      </c>
      <c r="H257" s="1">
        <v>43937</v>
      </c>
      <c r="I257" t="s">
        <v>31961</v>
      </c>
      <c r="K257" t="s">
        <v>31962</v>
      </c>
    </row>
    <row r="258" spans="1:11" x14ac:dyDescent="0.15">
      <c r="A258">
        <v>33753167</v>
      </c>
      <c r="B258" t="s">
        <v>9745</v>
      </c>
      <c r="C258" t="s">
        <v>31963</v>
      </c>
      <c r="D258" t="s">
        <v>31964</v>
      </c>
      <c r="E258" t="s">
        <v>31965</v>
      </c>
      <c r="F258" t="s">
        <v>31594</v>
      </c>
      <c r="G258">
        <v>2021</v>
      </c>
      <c r="H258" s="1">
        <v>44278</v>
      </c>
      <c r="I258" t="s">
        <v>31966</v>
      </c>
      <c r="K258" t="s">
        <v>9755</v>
      </c>
    </row>
    <row r="259" spans="1:11" x14ac:dyDescent="0.15">
      <c r="A259">
        <v>32188736</v>
      </c>
      <c r="B259" t="s">
        <v>23487</v>
      </c>
      <c r="C259" t="s">
        <v>31967</v>
      </c>
      <c r="D259" t="s">
        <v>31968</v>
      </c>
      <c r="E259" t="s">
        <v>31969</v>
      </c>
      <c r="F259" t="s">
        <v>31970</v>
      </c>
      <c r="G259">
        <v>2020</v>
      </c>
      <c r="H259" s="1">
        <v>43910</v>
      </c>
      <c r="I259" t="s">
        <v>31971</v>
      </c>
      <c r="K259" t="s">
        <v>23497</v>
      </c>
    </row>
    <row r="260" spans="1:11" x14ac:dyDescent="0.15">
      <c r="A260">
        <v>24863262</v>
      </c>
      <c r="B260" t="s">
        <v>31972</v>
      </c>
      <c r="C260" t="s">
        <v>31973</v>
      </c>
      <c r="D260" t="s">
        <v>31974</v>
      </c>
      <c r="E260" t="s">
        <v>31857</v>
      </c>
      <c r="F260" t="s">
        <v>31685</v>
      </c>
      <c r="G260">
        <v>2014</v>
      </c>
      <c r="H260" s="1">
        <v>41787</v>
      </c>
      <c r="K260" t="s">
        <v>31975</v>
      </c>
    </row>
    <row r="261" spans="1:11" x14ac:dyDescent="0.15">
      <c r="A261">
        <v>32089746</v>
      </c>
      <c r="B261" t="s">
        <v>31976</v>
      </c>
      <c r="C261" t="s">
        <v>31977</v>
      </c>
      <c r="D261" t="s">
        <v>31978</v>
      </c>
      <c r="E261" t="s">
        <v>31979</v>
      </c>
      <c r="F261" t="s">
        <v>30588</v>
      </c>
      <c r="G261">
        <v>2020</v>
      </c>
      <c r="H261" s="1">
        <v>43886</v>
      </c>
      <c r="I261" t="s">
        <v>31980</v>
      </c>
      <c r="K261" t="s">
        <v>31981</v>
      </c>
    </row>
    <row r="262" spans="1:11" x14ac:dyDescent="0.15">
      <c r="A262">
        <v>33351957</v>
      </c>
      <c r="B262" t="s">
        <v>31982</v>
      </c>
      <c r="C262" t="s">
        <v>31983</v>
      </c>
      <c r="D262" t="s">
        <v>31984</v>
      </c>
      <c r="E262" t="s">
        <v>31985</v>
      </c>
      <c r="F262" t="s">
        <v>31986</v>
      </c>
      <c r="G262">
        <v>2021</v>
      </c>
      <c r="H262" s="1">
        <v>44187</v>
      </c>
      <c r="K262" t="s">
        <v>31987</v>
      </c>
    </row>
    <row r="263" spans="1:11" x14ac:dyDescent="0.15">
      <c r="A263">
        <v>28121262</v>
      </c>
      <c r="B263" t="s">
        <v>8529</v>
      </c>
      <c r="C263" t="s">
        <v>31988</v>
      </c>
      <c r="D263" t="s">
        <v>31989</v>
      </c>
      <c r="E263" t="s">
        <v>31990</v>
      </c>
      <c r="F263" t="s">
        <v>31991</v>
      </c>
      <c r="G263">
        <v>2017</v>
      </c>
      <c r="H263" s="1">
        <v>42761</v>
      </c>
      <c r="I263" t="s">
        <v>31992</v>
      </c>
      <c r="K263" t="s">
        <v>8542</v>
      </c>
    </row>
    <row r="264" spans="1:11" x14ac:dyDescent="0.15">
      <c r="A264">
        <v>29580275</v>
      </c>
      <c r="B264" t="s">
        <v>31993</v>
      </c>
      <c r="C264" t="s">
        <v>31994</v>
      </c>
      <c r="D264" t="s">
        <v>31995</v>
      </c>
      <c r="E264" t="s">
        <v>31996</v>
      </c>
      <c r="F264" t="s">
        <v>31997</v>
      </c>
      <c r="G264">
        <v>2018</v>
      </c>
      <c r="H264" s="1">
        <v>43187</v>
      </c>
      <c r="I264" t="s">
        <v>31998</v>
      </c>
      <c r="K264" t="s">
        <v>31999</v>
      </c>
    </row>
    <row r="265" spans="1:11" x14ac:dyDescent="0.15">
      <c r="A265">
        <v>32065171</v>
      </c>
      <c r="B265" t="s">
        <v>3075</v>
      </c>
      <c r="C265" t="s">
        <v>32000</v>
      </c>
      <c r="D265" t="s">
        <v>32001</v>
      </c>
      <c r="E265" t="s">
        <v>32002</v>
      </c>
      <c r="F265" t="s">
        <v>30853</v>
      </c>
      <c r="G265">
        <v>2020</v>
      </c>
      <c r="H265" s="1">
        <v>43879</v>
      </c>
      <c r="K265" t="s">
        <v>3086</v>
      </c>
    </row>
    <row r="266" spans="1:11" x14ac:dyDescent="0.15">
      <c r="A266">
        <v>33311558</v>
      </c>
      <c r="B266" t="s">
        <v>14755</v>
      </c>
      <c r="C266" t="s">
        <v>32003</v>
      </c>
      <c r="D266" t="s">
        <v>32004</v>
      </c>
      <c r="E266" t="s">
        <v>32005</v>
      </c>
      <c r="F266" t="s">
        <v>30834</v>
      </c>
      <c r="G266">
        <v>2020</v>
      </c>
      <c r="H266" s="1">
        <v>44179</v>
      </c>
      <c r="I266" t="s">
        <v>32006</v>
      </c>
      <c r="K266" t="s">
        <v>14763</v>
      </c>
    </row>
    <row r="267" spans="1:11" x14ac:dyDescent="0.15">
      <c r="A267">
        <v>35014524</v>
      </c>
      <c r="B267" t="s">
        <v>17701</v>
      </c>
      <c r="C267" t="s">
        <v>32007</v>
      </c>
      <c r="D267" t="s">
        <v>32008</v>
      </c>
      <c r="E267" t="s">
        <v>32009</v>
      </c>
      <c r="F267" t="s">
        <v>32010</v>
      </c>
      <c r="G267">
        <v>2021</v>
      </c>
      <c r="H267" s="1">
        <v>44572</v>
      </c>
      <c r="K267" t="s">
        <v>17711</v>
      </c>
    </row>
    <row r="268" spans="1:11" x14ac:dyDescent="0.15">
      <c r="A268">
        <v>29196999</v>
      </c>
      <c r="B268" t="s">
        <v>8254</v>
      </c>
      <c r="C268" t="s">
        <v>32011</v>
      </c>
      <c r="D268" t="s">
        <v>32012</v>
      </c>
      <c r="E268" t="s">
        <v>32013</v>
      </c>
      <c r="F268" t="s">
        <v>31003</v>
      </c>
      <c r="G268">
        <v>2018</v>
      </c>
      <c r="H268" s="1">
        <v>43072</v>
      </c>
      <c r="K268" t="s">
        <v>8265</v>
      </c>
    </row>
    <row r="269" spans="1:11" x14ac:dyDescent="0.15">
      <c r="A269">
        <v>31896748</v>
      </c>
      <c r="B269" t="s">
        <v>17094</v>
      </c>
      <c r="C269" t="s">
        <v>32014</v>
      </c>
      <c r="D269" t="s">
        <v>32015</v>
      </c>
      <c r="E269" t="s">
        <v>32016</v>
      </c>
      <c r="F269" t="s">
        <v>30796</v>
      </c>
      <c r="G269">
        <v>2020</v>
      </c>
      <c r="H269" s="1">
        <v>43834</v>
      </c>
      <c r="I269" t="s">
        <v>32017</v>
      </c>
      <c r="K269" t="s">
        <v>17104</v>
      </c>
    </row>
    <row r="270" spans="1:11" x14ac:dyDescent="0.15">
      <c r="A270">
        <v>32006463</v>
      </c>
      <c r="B270" t="s">
        <v>32018</v>
      </c>
      <c r="C270" t="s">
        <v>32019</v>
      </c>
      <c r="D270" t="s">
        <v>32020</v>
      </c>
      <c r="E270" t="s">
        <v>32021</v>
      </c>
      <c r="F270" t="s">
        <v>32022</v>
      </c>
      <c r="G270">
        <v>2020</v>
      </c>
      <c r="H270" s="1">
        <v>43863</v>
      </c>
      <c r="I270" t="s">
        <v>32023</v>
      </c>
      <c r="J270" t="s">
        <v>32024</v>
      </c>
      <c r="K270" t="s">
        <v>32025</v>
      </c>
    </row>
    <row r="271" spans="1:11" x14ac:dyDescent="0.15">
      <c r="A271">
        <v>24250247</v>
      </c>
      <c r="B271" t="s">
        <v>32026</v>
      </c>
      <c r="C271" t="s">
        <v>32027</v>
      </c>
      <c r="D271" t="s">
        <v>32028</v>
      </c>
      <c r="E271" t="s">
        <v>32029</v>
      </c>
      <c r="F271" t="s">
        <v>31228</v>
      </c>
      <c r="G271">
        <v>2013</v>
      </c>
      <c r="H271" s="1">
        <v>41598</v>
      </c>
      <c r="I271" t="s">
        <v>32030</v>
      </c>
      <c r="K271" t="s">
        <v>32031</v>
      </c>
    </row>
    <row r="272" spans="1:11" x14ac:dyDescent="0.15">
      <c r="A272">
        <v>33656037</v>
      </c>
      <c r="B272" t="s">
        <v>23061</v>
      </c>
      <c r="C272" t="s">
        <v>32032</v>
      </c>
      <c r="D272" t="s">
        <v>32033</v>
      </c>
      <c r="E272" t="s">
        <v>32034</v>
      </c>
      <c r="F272" t="s">
        <v>32035</v>
      </c>
      <c r="G272">
        <v>2021</v>
      </c>
      <c r="H272" s="1">
        <v>44258</v>
      </c>
      <c r="K272" t="s">
        <v>23069</v>
      </c>
    </row>
    <row r="273" spans="1:11" x14ac:dyDescent="0.15">
      <c r="A273">
        <v>33753455</v>
      </c>
      <c r="B273" t="s">
        <v>12260</v>
      </c>
      <c r="C273" t="s">
        <v>32036</v>
      </c>
      <c r="D273" t="s">
        <v>32037</v>
      </c>
      <c r="E273" t="s">
        <v>32038</v>
      </c>
      <c r="F273" t="s">
        <v>32039</v>
      </c>
      <c r="G273">
        <v>2021</v>
      </c>
      <c r="H273" s="1">
        <v>44278</v>
      </c>
      <c r="I273" t="s">
        <v>32040</v>
      </c>
      <c r="J273" t="s">
        <v>32041</v>
      </c>
      <c r="K273" t="s">
        <v>12270</v>
      </c>
    </row>
    <row r="274" spans="1:11" x14ac:dyDescent="0.15">
      <c r="A274">
        <v>33275138</v>
      </c>
      <c r="B274" t="s">
        <v>19474</v>
      </c>
      <c r="C274" t="s">
        <v>32042</v>
      </c>
      <c r="D274" t="s">
        <v>32043</v>
      </c>
      <c r="E274" t="s">
        <v>32044</v>
      </c>
      <c r="F274" t="s">
        <v>30840</v>
      </c>
      <c r="G274">
        <v>2021</v>
      </c>
      <c r="H274" s="1">
        <v>44169</v>
      </c>
      <c r="I274" t="s">
        <v>32045</v>
      </c>
      <c r="K274" t="s">
        <v>19484</v>
      </c>
    </row>
    <row r="275" spans="1:11" x14ac:dyDescent="0.15">
      <c r="A275">
        <v>32594744</v>
      </c>
      <c r="B275" t="s">
        <v>17521</v>
      </c>
      <c r="C275" t="s">
        <v>32046</v>
      </c>
      <c r="D275" t="s">
        <v>32047</v>
      </c>
      <c r="E275" t="s">
        <v>32048</v>
      </c>
      <c r="F275" t="s">
        <v>31781</v>
      </c>
      <c r="G275">
        <v>2020</v>
      </c>
      <c r="H275" s="1">
        <v>44012</v>
      </c>
      <c r="K275" t="s">
        <v>17530</v>
      </c>
    </row>
    <row r="276" spans="1:11" x14ac:dyDescent="0.15">
      <c r="A276">
        <v>26973197</v>
      </c>
      <c r="B276" t="s">
        <v>32049</v>
      </c>
      <c r="C276" t="s">
        <v>32050</v>
      </c>
      <c r="D276" t="s">
        <v>32051</v>
      </c>
      <c r="E276" t="s">
        <v>32052</v>
      </c>
      <c r="F276" t="s">
        <v>31806</v>
      </c>
      <c r="G276">
        <v>2016</v>
      </c>
      <c r="H276" s="1">
        <v>42444</v>
      </c>
      <c r="K276" t="s">
        <v>32053</v>
      </c>
    </row>
    <row r="277" spans="1:11" x14ac:dyDescent="0.15">
      <c r="A277">
        <v>33190594</v>
      </c>
      <c r="B277" t="s">
        <v>18680</v>
      </c>
      <c r="C277" t="s">
        <v>32054</v>
      </c>
      <c r="D277" t="s">
        <v>32055</v>
      </c>
      <c r="E277" t="s">
        <v>32056</v>
      </c>
      <c r="F277" t="s">
        <v>31991</v>
      </c>
      <c r="G277">
        <v>2020</v>
      </c>
      <c r="H277" s="1">
        <v>44151</v>
      </c>
      <c r="I277" t="s">
        <v>32057</v>
      </c>
      <c r="K277" t="s">
        <v>18688</v>
      </c>
    </row>
    <row r="278" spans="1:11" x14ac:dyDescent="0.15">
      <c r="A278">
        <v>30519544</v>
      </c>
      <c r="B278" t="s">
        <v>3243</v>
      </c>
      <c r="C278" t="s">
        <v>32058</v>
      </c>
      <c r="D278" t="s">
        <v>32059</v>
      </c>
      <c r="E278" t="s">
        <v>32060</v>
      </c>
      <c r="F278" t="s">
        <v>31317</v>
      </c>
      <c r="G278">
        <v>2018</v>
      </c>
      <c r="H278" s="1">
        <v>43441</v>
      </c>
      <c r="I278" t="s">
        <v>32061</v>
      </c>
      <c r="K278" t="s">
        <v>3256</v>
      </c>
    </row>
    <row r="279" spans="1:11" x14ac:dyDescent="0.15">
      <c r="A279">
        <v>21132466</v>
      </c>
      <c r="B279" t="s">
        <v>6026</v>
      </c>
      <c r="C279" t="s">
        <v>32062</v>
      </c>
      <c r="D279" t="s">
        <v>32063</v>
      </c>
      <c r="E279" t="s">
        <v>32064</v>
      </c>
      <c r="F279" t="s">
        <v>32065</v>
      </c>
      <c r="G279">
        <v>2011</v>
      </c>
      <c r="H279" s="1">
        <v>40519</v>
      </c>
      <c r="I279" t="s">
        <v>32066</v>
      </c>
      <c r="J279" t="s">
        <v>32067</v>
      </c>
      <c r="K279" t="s">
        <v>6040</v>
      </c>
    </row>
    <row r="280" spans="1:11" x14ac:dyDescent="0.15">
      <c r="A280">
        <v>29986209</v>
      </c>
      <c r="B280" t="s">
        <v>12624</v>
      </c>
      <c r="C280" t="s">
        <v>32068</v>
      </c>
      <c r="D280" t="s">
        <v>32069</v>
      </c>
      <c r="E280" t="s">
        <v>31037</v>
      </c>
      <c r="F280" t="s">
        <v>32070</v>
      </c>
      <c r="G280">
        <v>2018</v>
      </c>
      <c r="H280" s="1">
        <v>43291</v>
      </c>
      <c r="I280" t="s">
        <v>32071</v>
      </c>
      <c r="K280" t="s">
        <v>12635</v>
      </c>
    </row>
    <row r="281" spans="1:11" x14ac:dyDescent="0.15">
      <c r="A281">
        <v>31168963</v>
      </c>
      <c r="B281" t="s">
        <v>434</v>
      </c>
      <c r="C281" t="s">
        <v>32072</v>
      </c>
      <c r="D281" t="s">
        <v>32073</v>
      </c>
      <c r="E281" t="s">
        <v>32074</v>
      </c>
      <c r="F281" t="s">
        <v>32075</v>
      </c>
      <c r="G281">
        <v>2020</v>
      </c>
      <c r="H281" s="1">
        <v>43623</v>
      </c>
      <c r="I281" t="s">
        <v>32076</v>
      </c>
      <c r="J281" t="s">
        <v>32077</v>
      </c>
      <c r="K281" t="s">
        <v>448</v>
      </c>
    </row>
    <row r="282" spans="1:11" x14ac:dyDescent="0.15">
      <c r="A282">
        <v>24141107</v>
      </c>
      <c r="B282" t="s">
        <v>32078</v>
      </c>
      <c r="C282" t="s">
        <v>32079</v>
      </c>
      <c r="D282" t="s">
        <v>32080</v>
      </c>
      <c r="E282" t="s">
        <v>32081</v>
      </c>
      <c r="F282" t="s">
        <v>31264</v>
      </c>
      <c r="G282">
        <v>2013</v>
      </c>
      <c r="H282" s="1">
        <v>41569</v>
      </c>
      <c r="K282" t="s">
        <v>19967</v>
      </c>
    </row>
    <row r="283" spans="1:11" x14ac:dyDescent="0.15">
      <c r="A283">
        <v>29950415</v>
      </c>
      <c r="B283" t="s">
        <v>32082</v>
      </c>
      <c r="C283" t="s">
        <v>32083</v>
      </c>
      <c r="D283" t="s">
        <v>32084</v>
      </c>
      <c r="E283" t="s">
        <v>32085</v>
      </c>
      <c r="F283" t="s">
        <v>31970</v>
      </c>
      <c r="G283">
        <v>2018</v>
      </c>
      <c r="H283" s="1">
        <v>43280</v>
      </c>
      <c r="I283" t="s">
        <v>32086</v>
      </c>
      <c r="K283" t="s">
        <v>32087</v>
      </c>
    </row>
    <row r="284" spans="1:11" x14ac:dyDescent="0.15">
      <c r="A284">
        <v>30496349</v>
      </c>
      <c r="B284" t="s">
        <v>32088</v>
      </c>
      <c r="C284" t="s">
        <v>32089</v>
      </c>
      <c r="D284" t="s">
        <v>32090</v>
      </c>
      <c r="E284" t="s">
        <v>32091</v>
      </c>
      <c r="F284" t="s">
        <v>32092</v>
      </c>
      <c r="G284">
        <v>2019</v>
      </c>
      <c r="H284" s="1">
        <v>43434</v>
      </c>
      <c r="I284" t="s">
        <v>32093</v>
      </c>
      <c r="K284" t="s">
        <v>32094</v>
      </c>
    </row>
    <row r="285" spans="1:11" x14ac:dyDescent="0.15">
      <c r="A285">
        <v>32020194</v>
      </c>
      <c r="B285" t="s">
        <v>32095</v>
      </c>
      <c r="C285" t="s">
        <v>32096</v>
      </c>
      <c r="D285" t="s">
        <v>32097</v>
      </c>
      <c r="E285" t="s">
        <v>32098</v>
      </c>
      <c r="F285" t="s">
        <v>31587</v>
      </c>
      <c r="G285">
        <v>2020</v>
      </c>
      <c r="H285" s="1">
        <v>43867</v>
      </c>
      <c r="I285" t="s">
        <v>32099</v>
      </c>
      <c r="K285" t="s">
        <v>32100</v>
      </c>
    </row>
    <row r="286" spans="1:11" x14ac:dyDescent="0.15">
      <c r="A286">
        <v>35467282</v>
      </c>
      <c r="B286" t="s">
        <v>32101</v>
      </c>
      <c r="C286" t="s">
        <v>32102</v>
      </c>
      <c r="D286" t="s">
        <v>32103</v>
      </c>
      <c r="E286" t="s">
        <v>32104</v>
      </c>
      <c r="F286" t="s">
        <v>31003</v>
      </c>
      <c r="G286">
        <v>2022</v>
      </c>
      <c r="H286" s="1">
        <v>44676</v>
      </c>
      <c r="K286" t="s">
        <v>32105</v>
      </c>
    </row>
    <row r="287" spans="1:11" x14ac:dyDescent="0.15">
      <c r="A287">
        <v>27293190</v>
      </c>
      <c r="B287" t="s">
        <v>32106</v>
      </c>
      <c r="C287" t="s">
        <v>32107</v>
      </c>
      <c r="D287" t="s">
        <v>32108</v>
      </c>
      <c r="E287" t="s">
        <v>32109</v>
      </c>
      <c r="F287" t="s">
        <v>30555</v>
      </c>
      <c r="G287">
        <v>2016</v>
      </c>
      <c r="H287" s="1">
        <v>42535</v>
      </c>
      <c r="I287" t="s">
        <v>32110</v>
      </c>
      <c r="J287" t="s">
        <v>32111</v>
      </c>
      <c r="K287" t="s">
        <v>32112</v>
      </c>
    </row>
    <row r="288" spans="1:11" x14ac:dyDescent="0.15">
      <c r="A288">
        <v>31903745</v>
      </c>
      <c r="B288" t="s">
        <v>17148</v>
      </c>
      <c r="C288" t="s">
        <v>32113</v>
      </c>
      <c r="D288" t="s">
        <v>32114</v>
      </c>
      <c r="E288" t="s">
        <v>31857</v>
      </c>
      <c r="F288" t="s">
        <v>30956</v>
      </c>
      <c r="G288">
        <v>2020</v>
      </c>
      <c r="H288" s="1">
        <v>43837</v>
      </c>
      <c r="K288" t="s">
        <v>17157</v>
      </c>
    </row>
    <row r="289" spans="1:11" x14ac:dyDescent="0.15">
      <c r="A289">
        <v>31882820</v>
      </c>
      <c r="B289" t="s">
        <v>32115</v>
      </c>
      <c r="C289" t="s">
        <v>32116</v>
      </c>
      <c r="D289" t="s">
        <v>32117</v>
      </c>
      <c r="E289" t="s">
        <v>32118</v>
      </c>
      <c r="F289" t="s">
        <v>30834</v>
      </c>
      <c r="G289">
        <v>2019</v>
      </c>
      <c r="H289" s="1">
        <v>43828</v>
      </c>
      <c r="I289" t="s">
        <v>32119</v>
      </c>
      <c r="K289" t="s">
        <v>32120</v>
      </c>
    </row>
    <row r="290" spans="1:11" x14ac:dyDescent="0.15">
      <c r="A290">
        <v>29787607</v>
      </c>
      <c r="B290" t="s">
        <v>16445</v>
      </c>
      <c r="C290" t="s">
        <v>32121</v>
      </c>
      <c r="D290" t="s">
        <v>32122</v>
      </c>
      <c r="E290" t="s">
        <v>31045</v>
      </c>
      <c r="F290" t="s">
        <v>31639</v>
      </c>
      <c r="G290">
        <v>2018</v>
      </c>
      <c r="H290" s="1">
        <v>43243</v>
      </c>
      <c r="I290" t="s">
        <v>32123</v>
      </c>
      <c r="K290" t="s">
        <v>16452</v>
      </c>
    </row>
    <row r="291" spans="1:11" x14ac:dyDescent="0.15">
      <c r="A291">
        <v>31678172</v>
      </c>
      <c r="B291" t="s">
        <v>12155</v>
      </c>
      <c r="C291" t="s">
        <v>32124</v>
      </c>
      <c r="D291" t="s">
        <v>32125</v>
      </c>
      <c r="E291" t="s">
        <v>32126</v>
      </c>
      <c r="F291" t="s">
        <v>32127</v>
      </c>
      <c r="G291">
        <v>2020</v>
      </c>
      <c r="H291" s="1">
        <v>43773</v>
      </c>
      <c r="I291" t="s">
        <v>32128</v>
      </c>
      <c r="J291" t="s">
        <v>32129</v>
      </c>
      <c r="K291" t="s">
        <v>12166</v>
      </c>
    </row>
    <row r="292" spans="1:11" x14ac:dyDescent="0.15">
      <c r="A292">
        <v>33897698</v>
      </c>
      <c r="B292" t="s">
        <v>32130</v>
      </c>
      <c r="C292" t="s">
        <v>32131</v>
      </c>
      <c r="D292" t="s">
        <v>32132</v>
      </c>
      <c r="E292" t="s">
        <v>32133</v>
      </c>
      <c r="F292" t="s">
        <v>30713</v>
      </c>
      <c r="G292">
        <v>2021</v>
      </c>
      <c r="H292" s="1">
        <v>44312</v>
      </c>
      <c r="I292" t="s">
        <v>32134</v>
      </c>
      <c r="K292" t="s">
        <v>32135</v>
      </c>
    </row>
    <row r="293" spans="1:11" x14ac:dyDescent="0.15">
      <c r="A293">
        <v>30793504</v>
      </c>
      <c r="B293" t="s">
        <v>4060</v>
      </c>
      <c r="C293" t="s">
        <v>32136</v>
      </c>
      <c r="D293" t="s">
        <v>32137</v>
      </c>
      <c r="E293" t="s">
        <v>32138</v>
      </c>
      <c r="F293" t="s">
        <v>32139</v>
      </c>
      <c r="G293">
        <v>2019</v>
      </c>
      <c r="H293" s="1">
        <v>43519</v>
      </c>
      <c r="I293" t="s">
        <v>32140</v>
      </c>
      <c r="K293" t="s">
        <v>4072</v>
      </c>
    </row>
    <row r="294" spans="1:11" x14ac:dyDescent="0.15">
      <c r="A294">
        <v>26126838</v>
      </c>
      <c r="B294" t="s">
        <v>32141</v>
      </c>
      <c r="C294" t="s">
        <v>32142</v>
      </c>
      <c r="D294" t="s">
        <v>32143</v>
      </c>
      <c r="E294" t="s">
        <v>32144</v>
      </c>
      <c r="F294" t="s">
        <v>32145</v>
      </c>
      <c r="G294">
        <v>2015</v>
      </c>
      <c r="H294" s="1">
        <v>42187</v>
      </c>
      <c r="K294" t="s">
        <v>212</v>
      </c>
    </row>
    <row r="295" spans="1:11" x14ac:dyDescent="0.15">
      <c r="A295">
        <v>31684971</v>
      </c>
      <c r="B295" t="s">
        <v>3228</v>
      </c>
      <c r="C295" t="s">
        <v>32146</v>
      </c>
      <c r="D295" t="s">
        <v>32147</v>
      </c>
      <c r="E295" t="s">
        <v>32148</v>
      </c>
      <c r="F295" t="s">
        <v>32149</v>
      </c>
      <c r="G295">
        <v>2019</v>
      </c>
      <c r="H295" s="1">
        <v>43775</v>
      </c>
      <c r="I295" t="s">
        <v>32150</v>
      </c>
      <c r="K295" t="s">
        <v>3239</v>
      </c>
    </row>
    <row r="296" spans="1:11" x14ac:dyDescent="0.15">
      <c r="A296">
        <v>33513083</v>
      </c>
      <c r="B296" t="s">
        <v>32151</v>
      </c>
      <c r="C296" t="s">
        <v>32152</v>
      </c>
      <c r="D296" t="s">
        <v>32153</v>
      </c>
      <c r="E296" t="s">
        <v>32154</v>
      </c>
      <c r="F296" t="s">
        <v>30945</v>
      </c>
      <c r="G296">
        <v>2021</v>
      </c>
      <c r="H296" s="1">
        <v>44225</v>
      </c>
      <c r="I296" t="s">
        <v>32155</v>
      </c>
      <c r="K296" t="s">
        <v>32156</v>
      </c>
    </row>
    <row r="297" spans="1:11" x14ac:dyDescent="0.15">
      <c r="A297">
        <v>28643865</v>
      </c>
      <c r="B297" t="s">
        <v>19163</v>
      </c>
      <c r="C297" t="s">
        <v>32157</v>
      </c>
      <c r="D297" t="s">
        <v>32158</v>
      </c>
      <c r="E297" t="s">
        <v>32159</v>
      </c>
      <c r="F297" t="s">
        <v>32160</v>
      </c>
      <c r="G297">
        <v>2017</v>
      </c>
      <c r="H297" s="1">
        <v>42910</v>
      </c>
      <c r="K297" t="s">
        <v>19175</v>
      </c>
    </row>
    <row r="298" spans="1:11" x14ac:dyDescent="0.15">
      <c r="A298">
        <v>25934618</v>
      </c>
      <c r="B298" t="s">
        <v>32161</v>
      </c>
      <c r="C298" t="s">
        <v>32162</v>
      </c>
      <c r="D298" t="s">
        <v>32163</v>
      </c>
      <c r="E298" t="s">
        <v>32164</v>
      </c>
      <c r="F298" t="s">
        <v>32165</v>
      </c>
      <c r="G298">
        <v>2015</v>
      </c>
      <c r="H298" s="1">
        <v>42127</v>
      </c>
      <c r="I298" t="s">
        <v>32166</v>
      </c>
      <c r="K298" t="s">
        <v>8728</v>
      </c>
    </row>
    <row r="299" spans="1:11" x14ac:dyDescent="0.15">
      <c r="A299">
        <v>33297857</v>
      </c>
      <c r="B299" t="s">
        <v>8416</v>
      </c>
      <c r="C299" t="s">
        <v>32167</v>
      </c>
      <c r="D299" t="s">
        <v>32168</v>
      </c>
      <c r="E299" t="s">
        <v>32169</v>
      </c>
      <c r="F299" t="s">
        <v>32170</v>
      </c>
      <c r="G299">
        <v>2022</v>
      </c>
      <c r="H299" s="1">
        <v>44175</v>
      </c>
      <c r="I299" t="s">
        <v>32171</v>
      </c>
      <c r="K299" t="s">
        <v>32172</v>
      </c>
    </row>
    <row r="300" spans="1:11" x14ac:dyDescent="0.15">
      <c r="A300">
        <v>34111932</v>
      </c>
      <c r="B300" t="s">
        <v>18597</v>
      </c>
      <c r="C300" t="s">
        <v>32173</v>
      </c>
      <c r="D300" t="s">
        <v>32174</v>
      </c>
      <c r="E300" t="s">
        <v>31339</v>
      </c>
      <c r="F300" t="s">
        <v>30956</v>
      </c>
      <c r="G300">
        <v>2021</v>
      </c>
      <c r="H300" s="1">
        <v>44358</v>
      </c>
      <c r="K300" t="s">
        <v>18606</v>
      </c>
    </row>
    <row r="301" spans="1:11" x14ac:dyDescent="0.15">
      <c r="A301">
        <v>29321591</v>
      </c>
      <c r="B301" t="s">
        <v>17122</v>
      </c>
      <c r="C301" t="s">
        <v>32175</v>
      </c>
      <c r="D301" t="s">
        <v>32176</v>
      </c>
      <c r="E301" t="s">
        <v>32177</v>
      </c>
      <c r="F301" t="s">
        <v>30834</v>
      </c>
      <c r="G301">
        <v>2018</v>
      </c>
      <c r="H301" s="1">
        <v>43112</v>
      </c>
      <c r="I301" t="s">
        <v>32178</v>
      </c>
      <c r="K301" t="s">
        <v>17131</v>
      </c>
    </row>
    <row r="302" spans="1:11" x14ac:dyDescent="0.15">
      <c r="A302">
        <v>35673574</v>
      </c>
      <c r="B302" t="s">
        <v>1142</v>
      </c>
      <c r="C302" t="s">
        <v>32179</v>
      </c>
      <c r="D302" t="s">
        <v>32180</v>
      </c>
      <c r="E302" t="s">
        <v>31758</v>
      </c>
      <c r="F302" t="s">
        <v>30588</v>
      </c>
      <c r="G302">
        <v>2022</v>
      </c>
      <c r="H302" s="1">
        <v>44720</v>
      </c>
      <c r="I302" t="s">
        <v>32181</v>
      </c>
      <c r="K302" t="s">
        <v>1154</v>
      </c>
    </row>
    <row r="303" spans="1:11" x14ac:dyDescent="0.15">
      <c r="A303">
        <v>30670543</v>
      </c>
      <c r="B303" t="s">
        <v>6272</v>
      </c>
      <c r="C303" t="s">
        <v>32182</v>
      </c>
      <c r="D303" t="s">
        <v>32183</v>
      </c>
      <c r="E303" t="s">
        <v>32184</v>
      </c>
      <c r="F303" t="s">
        <v>32185</v>
      </c>
      <c r="G303">
        <v>2019</v>
      </c>
      <c r="H303" s="1">
        <v>43489</v>
      </c>
      <c r="I303" t="s">
        <v>32186</v>
      </c>
      <c r="K303" t="s">
        <v>6284</v>
      </c>
    </row>
    <row r="304" spans="1:11" x14ac:dyDescent="0.15">
      <c r="A304">
        <v>31086179</v>
      </c>
      <c r="B304" t="s">
        <v>32187</v>
      </c>
      <c r="C304" t="s">
        <v>32188</v>
      </c>
      <c r="D304" t="s">
        <v>32189</v>
      </c>
      <c r="E304" t="s">
        <v>32190</v>
      </c>
      <c r="F304" t="s">
        <v>30796</v>
      </c>
      <c r="G304">
        <v>2019</v>
      </c>
      <c r="H304" s="1">
        <v>43601</v>
      </c>
      <c r="I304" t="s">
        <v>32191</v>
      </c>
      <c r="K304" t="s">
        <v>32192</v>
      </c>
    </row>
    <row r="305" spans="1:11" x14ac:dyDescent="0.15">
      <c r="A305">
        <v>27959588</v>
      </c>
      <c r="B305" t="s">
        <v>20575</v>
      </c>
      <c r="C305" t="s">
        <v>32193</v>
      </c>
      <c r="D305" t="s">
        <v>32194</v>
      </c>
      <c r="E305" t="s">
        <v>32195</v>
      </c>
      <c r="F305" t="s">
        <v>31654</v>
      </c>
      <c r="G305">
        <v>2017</v>
      </c>
      <c r="H305" s="1">
        <v>42718</v>
      </c>
      <c r="K305" t="s">
        <v>20581</v>
      </c>
    </row>
    <row r="306" spans="1:11" x14ac:dyDescent="0.15">
      <c r="A306">
        <v>35373518</v>
      </c>
      <c r="B306" t="s">
        <v>122</v>
      </c>
      <c r="C306" t="s">
        <v>32196</v>
      </c>
      <c r="D306" t="s">
        <v>32197</v>
      </c>
      <c r="E306" t="s">
        <v>32198</v>
      </c>
      <c r="F306" t="s">
        <v>30772</v>
      </c>
      <c r="G306">
        <v>2022</v>
      </c>
      <c r="H306" s="1">
        <v>44655</v>
      </c>
      <c r="I306" t="s">
        <v>32199</v>
      </c>
      <c r="K306" t="s">
        <v>134</v>
      </c>
    </row>
    <row r="307" spans="1:11" x14ac:dyDescent="0.15">
      <c r="A307">
        <v>34506226</v>
      </c>
      <c r="B307" t="s">
        <v>32200</v>
      </c>
      <c r="C307" t="s">
        <v>32201</v>
      </c>
      <c r="D307" t="s">
        <v>32202</v>
      </c>
      <c r="E307" t="s">
        <v>32203</v>
      </c>
      <c r="F307" t="s">
        <v>30945</v>
      </c>
      <c r="G307">
        <v>2021</v>
      </c>
      <c r="H307" s="1">
        <v>44449</v>
      </c>
      <c r="K307" t="s">
        <v>32204</v>
      </c>
    </row>
    <row r="308" spans="1:11" x14ac:dyDescent="0.15">
      <c r="A308">
        <v>24576997</v>
      </c>
      <c r="B308" t="s">
        <v>691</v>
      </c>
      <c r="C308" t="s">
        <v>32205</v>
      </c>
      <c r="D308" t="s">
        <v>32206</v>
      </c>
      <c r="E308" t="s">
        <v>32207</v>
      </c>
      <c r="F308" t="s">
        <v>32208</v>
      </c>
      <c r="G308">
        <v>2014</v>
      </c>
      <c r="H308" s="1">
        <v>41699</v>
      </c>
      <c r="I308" t="s">
        <v>32209</v>
      </c>
      <c r="J308" t="s">
        <v>32210</v>
      </c>
      <c r="K308" t="s">
        <v>704</v>
      </c>
    </row>
    <row r="309" spans="1:11" x14ac:dyDescent="0.15">
      <c r="A309">
        <v>32232575</v>
      </c>
      <c r="B309" t="s">
        <v>8925</v>
      </c>
      <c r="C309" t="s">
        <v>32211</v>
      </c>
      <c r="D309" t="s">
        <v>32212</v>
      </c>
      <c r="E309" t="s">
        <v>32213</v>
      </c>
      <c r="F309" t="s">
        <v>32214</v>
      </c>
      <c r="G309">
        <v>2020</v>
      </c>
      <c r="H309" s="1">
        <v>43923</v>
      </c>
      <c r="K309" t="s">
        <v>8937</v>
      </c>
    </row>
    <row r="310" spans="1:11" x14ac:dyDescent="0.15">
      <c r="A310">
        <v>32725655</v>
      </c>
      <c r="B310" t="s">
        <v>32215</v>
      </c>
      <c r="C310" t="s">
        <v>32216</v>
      </c>
      <c r="D310" t="s">
        <v>32217</v>
      </c>
      <c r="E310" t="s">
        <v>32218</v>
      </c>
      <c r="F310" t="s">
        <v>32219</v>
      </c>
      <c r="G310">
        <v>2021</v>
      </c>
      <c r="H310" s="1">
        <v>44042</v>
      </c>
      <c r="K310" t="s">
        <v>32220</v>
      </c>
    </row>
    <row r="311" spans="1:11" x14ac:dyDescent="0.15">
      <c r="A311">
        <v>19146850</v>
      </c>
      <c r="B311" t="s">
        <v>18781</v>
      </c>
      <c r="C311" t="s">
        <v>32221</v>
      </c>
      <c r="D311" t="s">
        <v>32222</v>
      </c>
      <c r="E311" t="s">
        <v>32223</v>
      </c>
      <c r="F311" t="s">
        <v>32127</v>
      </c>
      <c r="G311">
        <v>2009</v>
      </c>
      <c r="H311" s="1">
        <v>39830</v>
      </c>
      <c r="K311" t="s">
        <v>18787</v>
      </c>
    </row>
    <row r="312" spans="1:11" x14ac:dyDescent="0.15">
      <c r="A312">
        <v>32603406</v>
      </c>
      <c r="B312" t="s">
        <v>32224</v>
      </c>
      <c r="C312" t="s">
        <v>32225</v>
      </c>
      <c r="D312" t="s">
        <v>32226</v>
      </c>
      <c r="E312" t="s">
        <v>32227</v>
      </c>
      <c r="F312" t="s">
        <v>32228</v>
      </c>
      <c r="G312">
        <v>2022</v>
      </c>
      <c r="H312" s="1">
        <v>44013</v>
      </c>
      <c r="I312" t="s">
        <v>32229</v>
      </c>
      <c r="K312" t="s">
        <v>1409</v>
      </c>
    </row>
    <row r="313" spans="1:11" x14ac:dyDescent="0.15">
      <c r="A313">
        <v>27956165</v>
      </c>
      <c r="B313" t="s">
        <v>32230</v>
      </c>
      <c r="C313" t="s">
        <v>32231</v>
      </c>
      <c r="D313" t="s">
        <v>32232</v>
      </c>
      <c r="E313" t="s">
        <v>32233</v>
      </c>
      <c r="F313" t="s">
        <v>31458</v>
      </c>
      <c r="G313">
        <v>2017</v>
      </c>
      <c r="H313" s="1">
        <v>42718</v>
      </c>
      <c r="I313" t="s">
        <v>32234</v>
      </c>
      <c r="J313" t="s">
        <v>32235</v>
      </c>
      <c r="K313" t="s">
        <v>32236</v>
      </c>
    </row>
    <row r="314" spans="1:11" x14ac:dyDescent="0.15">
      <c r="A314">
        <v>35731951</v>
      </c>
      <c r="B314" t="s">
        <v>32237</v>
      </c>
      <c r="C314" t="s">
        <v>32238</v>
      </c>
      <c r="D314" t="s">
        <v>32239</v>
      </c>
      <c r="E314" t="s">
        <v>32240</v>
      </c>
      <c r="F314" t="s">
        <v>32241</v>
      </c>
      <c r="G314">
        <v>2022</v>
      </c>
      <c r="H314" s="1">
        <v>44734</v>
      </c>
      <c r="K314" t="s">
        <v>32242</v>
      </c>
    </row>
    <row r="315" spans="1:11" x14ac:dyDescent="0.15">
      <c r="A315">
        <v>32912198</v>
      </c>
      <c r="B315" t="s">
        <v>12075</v>
      </c>
      <c r="C315" t="s">
        <v>32243</v>
      </c>
      <c r="D315" t="s">
        <v>32244</v>
      </c>
      <c r="E315" t="s">
        <v>32245</v>
      </c>
      <c r="F315" t="s">
        <v>32149</v>
      </c>
      <c r="G315">
        <v>2020</v>
      </c>
      <c r="H315" s="1">
        <v>44085</v>
      </c>
      <c r="I315" t="s">
        <v>32246</v>
      </c>
      <c r="K315" t="s">
        <v>12085</v>
      </c>
    </row>
    <row r="316" spans="1:11" x14ac:dyDescent="0.15">
      <c r="A316">
        <v>26285688</v>
      </c>
      <c r="B316" t="s">
        <v>32247</v>
      </c>
      <c r="C316" t="s">
        <v>32248</v>
      </c>
      <c r="D316" t="s">
        <v>32249</v>
      </c>
      <c r="E316" t="s">
        <v>32250</v>
      </c>
      <c r="F316" t="s">
        <v>30834</v>
      </c>
      <c r="G316">
        <v>2015</v>
      </c>
      <c r="H316" s="1">
        <v>42236</v>
      </c>
      <c r="I316" t="s">
        <v>32251</v>
      </c>
      <c r="K316" t="s">
        <v>32252</v>
      </c>
    </row>
    <row r="317" spans="1:11" x14ac:dyDescent="0.15">
      <c r="A317">
        <v>32530449</v>
      </c>
      <c r="B317" t="s">
        <v>9848</v>
      </c>
      <c r="C317" t="s">
        <v>32253</v>
      </c>
      <c r="D317" t="s">
        <v>32254</v>
      </c>
      <c r="E317" t="s">
        <v>32255</v>
      </c>
      <c r="F317" t="s">
        <v>32256</v>
      </c>
      <c r="G317">
        <v>2020</v>
      </c>
      <c r="H317" s="1">
        <v>43995</v>
      </c>
      <c r="K317" t="s">
        <v>9860</v>
      </c>
    </row>
    <row r="318" spans="1:11" x14ac:dyDescent="0.15">
      <c r="A318">
        <v>29550075</v>
      </c>
      <c r="B318" t="s">
        <v>11026</v>
      </c>
      <c r="C318" t="s">
        <v>32257</v>
      </c>
      <c r="D318" t="s">
        <v>32258</v>
      </c>
      <c r="E318" t="s">
        <v>32259</v>
      </c>
      <c r="F318" t="s">
        <v>30786</v>
      </c>
      <c r="G318">
        <v>2018</v>
      </c>
      <c r="H318" s="1">
        <v>43178</v>
      </c>
      <c r="I318" t="s">
        <v>32260</v>
      </c>
      <c r="K318" t="s">
        <v>11035</v>
      </c>
    </row>
    <row r="319" spans="1:11" x14ac:dyDescent="0.15">
      <c r="A319">
        <v>32441840</v>
      </c>
      <c r="B319" t="s">
        <v>1052</v>
      </c>
      <c r="C319" t="s">
        <v>32261</v>
      </c>
      <c r="D319" t="s">
        <v>32262</v>
      </c>
      <c r="E319" t="s">
        <v>32263</v>
      </c>
      <c r="F319" t="s">
        <v>32264</v>
      </c>
      <c r="G319">
        <v>2020</v>
      </c>
      <c r="H319" s="1">
        <v>43974</v>
      </c>
      <c r="K319" t="s">
        <v>1065</v>
      </c>
    </row>
    <row r="320" spans="1:11" x14ac:dyDescent="0.15">
      <c r="A320">
        <v>34365576</v>
      </c>
      <c r="B320" t="s">
        <v>32265</v>
      </c>
      <c r="C320" t="s">
        <v>32266</v>
      </c>
      <c r="D320" t="s">
        <v>32267</v>
      </c>
      <c r="E320" t="s">
        <v>32268</v>
      </c>
      <c r="F320" t="s">
        <v>32269</v>
      </c>
      <c r="G320">
        <v>2022</v>
      </c>
      <c r="H320" s="1">
        <v>44416</v>
      </c>
      <c r="I320" t="s">
        <v>32270</v>
      </c>
      <c r="K320" t="s">
        <v>32271</v>
      </c>
    </row>
    <row r="321" spans="1:11" x14ac:dyDescent="0.15">
      <c r="A321">
        <v>24398677</v>
      </c>
      <c r="B321" t="s">
        <v>32272</v>
      </c>
      <c r="C321" t="s">
        <v>32273</v>
      </c>
      <c r="D321" t="s">
        <v>32274</v>
      </c>
      <c r="E321" t="s">
        <v>32275</v>
      </c>
      <c r="F321" t="s">
        <v>31594</v>
      </c>
      <c r="G321">
        <v>2014</v>
      </c>
      <c r="H321" s="1">
        <v>41648</v>
      </c>
      <c r="I321" t="s">
        <v>32276</v>
      </c>
      <c r="K321" t="s">
        <v>3713</v>
      </c>
    </row>
    <row r="322" spans="1:11" x14ac:dyDescent="0.15">
      <c r="A322">
        <v>30871557</v>
      </c>
      <c r="B322" t="s">
        <v>3984</v>
      </c>
      <c r="C322" t="s">
        <v>32277</v>
      </c>
      <c r="D322" t="s">
        <v>32278</v>
      </c>
      <c r="E322" t="s">
        <v>32279</v>
      </c>
      <c r="F322" t="s">
        <v>31304</v>
      </c>
      <c r="G322">
        <v>2019</v>
      </c>
      <c r="H322" s="1">
        <v>43540</v>
      </c>
      <c r="I322" t="s">
        <v>32280</v>
      </c>
      <c r="K322" t="s">
        <v>3995</v>
      </c>
    </row>
    <row r="323" spans="1:11" x14ac:dyDescent="0.15">
      <c r="A323">
        <v>29512380</v>
      </c>
      <c r="B323" t="s">
        <v>12529</v>
      </c>
      <c r="C323" t="s">
        <v>32281</v>
      </c>
      <c r="D323" t="s">
        <v>32282</v>
      </c>
      <c r="E323" t="s">
        <v>32283</v>
      </c>
      <c r="F323" t="s">
        <v>30956</v>
      </c>
      <c r="G323">
        <v>2018</v>
      </c>
      <c r="H323" s="1">
        <v>43167</v>
      </c>
      <c r="K323" t="s">
        <v>12538</v>
      </c>
    </row>
    <row r="324" spans="1:11" x14ac:dyDescent="0.15">
      <c r="A324">
        <v>24785274</v>
      </c>
      <c r="B324" t="s">
        <v>32284</v>
      </c>
      <c r="C324" t="s">
        <v>32285</v>
      </c>
      <c r="D324" t="s">
        <v>32286</v>
      </c>
      <c r="E324" t="s">
        <v>32287</v>
      </c>
      <c r="F324" t="s">
        <v>32288</v>
      </c>
      <c r="G324">
        <v>2014</v>
      </c>
      <c r="H324" s="1">
        <v>41762</v>
      </c>
    </row>
    <row r="325" spans="1:11" x14ac:dyDescent="0.15">
      <c r="A325">
        <v>30234974</v>
      </c>
      <c r="B325" t="s">
        <v>32289</v>
      </c>
      <c r="C325" t="s">
        <v>32290</v>
      </c>
      <c r="D325" t="s">
        <v>32291</v>
      </c>
      <c r="E325" t="s">
        <v>32292</v>
      </c>
      <c r="F325" t="s">
        <v>30956</v>
      </c>
      <c r="G325">
        <v>2018</v>
      </c>
      <c r="H325" s="1">
        <v>43364</v>
      </c>
      <c r="K325" t="s">
        <v>32293</v>
      </c>
    </row>
    <row r="326" spans="1:11" x14ac:dyDescent="0.15">
      <c r="A326">
        <v>33439673</v>
      </c>
      <c r="B326" t="s">
        <v>32294</v>
      </c>
      <c r="C326" t="s">
        <v>32295</v>
      </c>
      <c r="D326" t="s">
        <v>32296</v>
      </c>
      <c r="E326" t="s">
        <v>32297</v>
      </c>
      <c r="F326" t="s">
        <v>32298</v>
      </c>
      <c r="G326">
        <v>2021</v>
      </c>
      <c r="H326" s="1">
        <v>44209</v>
      </c>
      <c r="I326" t="s">
        <v>32299</v>
      </c>
      <c r="K326" t="s">
        <v>32300</v>
      </c>
    </row>
    <row r="327" spans="1:11" x14ac:dyDescent="0.15">
      <c r="A327">
        <v>21172122</v>
      </c>
      <c r="B327" t="s">
        <v>32301</v>
      </c>
      <c r="C327" t="s">
        <v>32302</v>
      </c>
      <c r="D327" t="s">
        <v>32303</v>
      </c>
      <c r="E327" t="s">
        <v>32304</v>
      </c>
      <c r="F327" t="s">
        <v>32305</v>
      </c>
      <c r="G327">
        <v>2011</v>
      </c>
      <c r="H327" s="1">
        <v>40534</v>
      </c>
      <c r="K327" t="s">
        <v>32306</v>
      </c>
    </row>
    <row r="328" spans="1:11" x14ac:dyDescent="0.15">
      <c r="A328">
        <v>31495861</v>
      </c>
      <c r="B328" t="s">
        <v>32307</v>
      </c>
      <c r="C328" t="s">
        <v>32308</v>
      </c>
      <c r="D328" t="s">
        <v>32309</v>
      </c>
      <c r="E328" t="s">
        <v>32310</v>
      </c>
      <c r="F328" t="s">
        <v>31678</v>
      </c>
      <c r="G328">
        <v>2019</v>
      </c>
      <c r="H328" s="1">
        <v>43718</v>
      </c>
      <c r="K328" t="s">
        <v>32311</v>
      </c>
    </row>
    <row r="329" spans="1:11" x14ac:dyDescent="0.15">
      <c r="A329">
        <v>24831807</v>
      </c>
      <c r="B329" t="s">
        <v>32312</v>
      </c>
      <c r="C329" t="s">
        <v>32313</v>
      </c>
      <c r="D329" t="s">
        <v>32314</v>
      </c>
      <c r="E329" t="s">
        <v>32315</v>
      </c>
      <c r="F329" t="s">
        <v>31639</v>
      </c>
      <c r="G329">
        <v>2014</v>
      </c>
      <c r="H329" s="1">
        <v>41776</v>
      </c>
      <c r="I329" t="s">
        <v>32316</v>
      </c>
      <c r="K329" t="s">
        <v>12810</v>
      </c>
    </row>
    <row r="330" spans="1:11" x14ac:dyDescent="0.15">
      <c r="A330">
        <v>29139297</v>
      </c>
      <c r="B330" t="s">
        <v>12170</v>
      </c>
      <c r="C330" t="s">
        <v>32317</v>
      </c>
      <c r="D330" t="s">
        <v>32318</v>
      </c>
      <c r="E330" t="s">
        <v>32319</v>
      </c>
      <c r="F330" t="s">
        <v>30956</v>
      </c>
      <c r="G330">
        <v>2017</v>
      </c>
      <c r="H330" s="1">
        <v>43055</v>
      </c>
      <c r="K330" t="s">
        <v>12178</v>
      </c>
    </row>
    <row r="331" spans="1:11" x14ac:dyDescent="0.15">
      <c r="A331">
        <v>33169756</v>
      </c>
      <c r="B331" t="s">
        <v>12500</v>
      </c>
      <c r="C331" t="s">
        <v>32320</v>
      </c>
      <c r="D331" t="s">
        <v>32321</v>
      </c>
      <c r="E331" t="s">
        <v>31670</v>
      </c>
      <c r="F331" t="s">
        <v>31678</v>
      </c>
      <c r="G331">
        <v>2020</v>
      </c>
      <c r="H331" s="1">
        <v>44145</v>
      </c>
      <c r="K331" t="s">
        <v>12510</v>
      </c>
    </row>
    <row r="332" spans="1:11" x14ac:dyDescent="0.15">
      <c r="A332">
        <v>30265222</v>
      </c>
      <c r="B332" t="s">
        <v>6223</v>
      </c>
      <c r="C332" t="s">
        <v>32322</v>
      </c>
      <c r="D332" t="s">
        <v>32323</v>
      </c>
      <c r="E332" t="s">
        <v>32324</v>
      </c>
      <c r="F332" t="s">
        <v>31387</v>
      </c>
      <c r="G332">
        <v>2018</v>
      </c>
      <c r="H332" s="1">
        <v>43372</v>
      </c>
      <c r="K332" t="s">
        <v>6236</v>
      </c>
    </row>
    <row r="333" spans="1:11" x14ac:dyDescent="0.15">
      <c r="A333">
        <v>26763354</v>
      </c>
      <c r="B333" t="s">
        <v>17729</v>
      </c>
      <c r="C333" t="s">
        <v>32325</v>
      </c>
      <c r="D333" t="s">
        <v>32326</v>
      </c>
      <c r="E333" t="s">
        <v>32327</v>
      </c>
      <c r="F333" t="s">
        <v>32328</v>
      </c>
      <c r="G333">
        <v>2016</v>
      </c>
      <c r="H333" s="1">
        <v>42384</v>
      </c>
      <c r="K333" t="s">
        <v>17740</v>
      </c>
    </row>
    <row r="334" spans="1:11" x14ac:dyDescent="0.15">
      <c r="A334">
        <v>25772109</v>
      </c>
      <c r="B334" t="s">
        <v>7359</v>
      </c>
      <c r="C334" t="s">
        <v>32329</v>
      </c>
      <c r="D334" t="s">
        <v>32330</v>
      </c>
      <c r="E334" t="s">
        <v>32331</v>
      </c>
      <c r="F334" t="s">
        <v>32332</v>
      </c>
      <c r="G334">
        <v>2015</v>
      </c>
      <c r="H334" s="1">
        <v>42080</v>
      </c>
      <c r="K334" t="s">
        <v>7370</v>
      </c>
    </row>
    <row r="335" spans="1:11" x14ac:dyDescent="0.15">
      <c r="A335">
        <v>35484557</v>
      </c>
      <c r="B335" t="s">
        <v>32333</v>
      </c>
      <c r="C335" t="s">
        <v>32334</v>
      </c>
      <c r="D335" t="s">
        <v>32335</v>
      </c>
      <c r="E335" t="s">
        <v>32336</v>
      </c>
      <c r="F335" t="s">
        <v>31304</v>
      </c>
      <c r="G335">
        <v>2022</v>
      </c>
      <c r="H335" s="1">
        <v>44679</v>
      </c>
      <c r="I335" t="s">
        <v>32337</v>
      </c>
      <c r="K335" t="s">
        <v>32338</v>
      </c>
    </row>
    <row r="336" spans="1:11" x14ac:dyDescent="0.15">
      <c r="A336">
        <v>29593276</v>
      </c>
      <c r="B336" t="s">
        <v>23928</v>
      </c>
      <c r="C336" t="s">
        <v>32339</v>
      </c>
      <c r="D336" t="s">
        <v>32340</v>
      </c>
      <c r="E336" t="s">
        <v>32341</v>
      </c>
      <c r="F336" t="s">
        <v>30796</v>
      </c>
      <c r="G336">
        <v>2018</v>
      </c>
      <c r="H336" s="1">
        <v>43189</v>
      </c>
      <c r="I336" t="s">
        <v>32342</v>
      </c>
      <c r="K336" t="s">
        <v>23938</v>
      </c>
    </row>
    <row r="337" spans="1:11" x14ac:dyDescent="0.15">
      <c r="A337">
        <v>33844518</v>
      </c>
      <c r="B337" t="s">
        <v>19322</v>
      </c>
      <c r="C337" t="s">
        <v>32343</v>
      </c>
      <c r="D337" t="s">
        <v>32344</v>
      </c>
      <c r="E337" t="s">
        <v>32345</v>
      </c>
      <c r="F337" t="s">
        <v>30956</v>
      </c>
      <c r="G337">
        <v>2021</v>
      </c>
      <c r="H337" s="1">
        <v>44298</v>
      </c>
      <c r="K337" t="s">
        <v>19331</v>
      </c>
    </row>
    <row r="338" spans="1:11" x14ac:dyDescent="0.15">
      <c r="A338">
        <v>31302031</v>
      </c>
      <c r="B338" t="s">
        <v>22258</v>
      </c>
      <c r="C338" t="s">
        <v>32346</v>
      </c>
      <c r="D338" t="s">
        <v>32347</v>
      </c>
      <c r="E338" t="s">
        <v>32348</v>
      </c>
      <c r="F338" t="s">
        <v>32127</v>
      </c>
      <c r="G338">
        <v>2019</v>
      </c>
      <c r="H338" s="1">
        <v>43661</v>
      </c>
      <c r="K338" t="s">
        <v>22266</v>
      </c>
    </row>
    <row r="339" spans="1:11" x14ac:dyDescent="0.15">
      <c r="A339">
        <v>20428099</v>
      </c>
      <c r="B339" t="s">
        <v>2197</v>
      </c>
      <c r="C339" t="s">
        <v>32349</v>
      </c>
      <c r="D339" t="s">
        <v>32350</v>
      </c>
      <c r="E339" t="s">
        <v>32351</v>
      </c>
      <c r="F339" t="s">
        <v>32352</v>
      </c>
      <c r="G339">
        <v>2010</v>
      </c>
      <c r="H339" s="1">
        <v>40298</v>
      </c>
      <c r="I339" t="s">
        <v>32353</v>
      </c>
      <c r="J339" t="s">
        <v>32354</v>
      </c>
      <c r="K339" t="s">
        <v>2210</v>
      </c>
    </row>
    <row r="340" spans="1:11" x14ac:dyDescent="0.15">
      <c r="A340">
        <v>34619318</v>
      </c>
      <c r="B340" t="s">
        <v>11642</v>
      </c>
      <c r="C340" t="s">
        <v>32355</v>
      </c>
      <c r="D340" t="s">
        <v>32356</v>
      </c>
      <c r="E340" t="s">
        <v>32357</v>
      </c>
      <c r="F340" t="s">
        <v>32358</v>
      </c>
      <c r="G340">
        <v>2021</v>
      </c>
      <c r="H340" s="1">
        <v>44476</v>
      </c>
      <c r="K340" t="s">
        <v>11654</v>
      </c>
    </row>
    <row r="341" spans="1:11" x14ac:dyDescent="0.15">
      <c r="A341">
        <v>35757760</v>
      </c>
      <c r="B341" t="s">
        <v>32359</v>
      </c>
      <c r="C341" t="s">
        <v>32360</v>
      </c>
      <c r="D341" t="s">
        <v>32361</v>
      </c>
      <c r="E341" t="s">
        <v>32362</v>
      </c>
      <c r="F341" t="s">
        <v>30713</v>
      </c>
      <c r="G341">
        <v>2022</v>
      </c>
      <c r="H341" s="1">
        <v>44739</v>
      </c>
      <c r="I341" t="s">
        <v>32363</v>
      </c>
      <c r="K341" t="s">
        <v>32364</v>
      </c>
    </row>
    <row r="342" spans="1:11" x14ac:dyDescent="0.15">
      <c r="A342">
        <v>31162940</v>
      </c>
      <c r="B342" t="s">
        <v>32365</v>
      </c>
      <c r="C342" t="s">
        <v>32366</v>
      </c>
      <c r="D342" t="s">
        <v>32367</v>
      </c>
      <c r="E342" t="s">
        <v>32368</v>
      </c>
      <c r="F342" t="s">
        <v>32264</v>
      </c>
      <c r="G342">
        <v>2019</v>
      </c>
      <c r="H342" s="1">
        <v>43621</v>
      </c>
      <c r="K342" t="s">
        <v>9196</v>
      </c>
    </row>
    <row r="343" spans="1:11" x14ac:dyDescent="0.15">
      <c r="A343">
        <v>34160894</v>
      </c>
      <c r="B343" t="s">
        <v>32369</v>
      </c>
      <c r="C343" t="s">
        <v>32370</v>
      </c>
      <c r="D343" t="s">
        <v>32371</v>
      </c>
      <c r="E343" t="s">
        <v>31180</v>
      </c>
      <c r="F343" t="s">
        <v>31671</v>
      </c>
      <c r="G343">
        <v>2021</v>
      </c>
      <c r="H343" s="1">
        <v>44370</v>
      </c>
      <c r="I343" t="s">
        <v>32372</v>
      </c>
      <c r="K343" t="s">
        <v>32373</v>
      </c>
    </row>
    <row r="344" spans="1:11" x14ac:dyDescent="0.15">
      <c r="A344">
        <v>35590035</v>
      </c>
      <c r="B344" t="s">
        <v>7961</v>
      </c>
      <c r="C344" t="s">
        <v>32374</v>
      </c>
      <c r="D344" t="s">
        <v>32375</v>
      </c>
      <c r="E344" t="s">
        <v>32376</v>
      </c>
      <c r="F344" t="s">
        <v>32377</v>
      </c>
      <c r="G344">
        <v>2022</v>
      </c>
      <c r="H344" s="1">
        <v>44700</v>
      </c>
      <c r="I344" t="s">
        <v>32378</v>
      </c>
      <c r="K344" t="s">
        <v>7971</v>
      </c>
    </row>
    <row r="345" spans="1:11" x14ac:dyDescent="0.15">
      <c r="A345">
        <v>34772443</v>
      </c>
      <c r="B345" t="s">
        <v>11164</v>
      </c>
      <c r="C345" t="s">
        <v>32379</v>
      </c>
      <c r="D345" t="s">
        <v>32380</v>
      </c>
      <c r="E345" t="s">
        <v>32381</v>
      </c>
      <c r="F345" t="s">
        <v>30740</v>
      </c>
      <c r="G345">
        <v>2021</v>
      </c>
      <c r="H345" s="1">
        <v>44513</v>
      </c>
      <c r="I345" t="s">
        <v>32382</v>
      </c>
      <c r="K345" t="s">
        <v>11174</v>
      </c>
    </row>
    <row r="346" spans="1:11" x14ac:dyDescent="0.15">
      <c r="A346">
        <v>30301925</v>
      </c>
      <c r="B346" t="s">
        <v>32383</v>
      </c>
      <c r="C346" t="s">
        <v>32384</v>
      </c>
      <c r="D346" t="s">
        <v>32385</v>
      </c>
      <c r="E346" t="s">
        <v>32386</v>
      </c>
      <c r="F346" t="s">
        <v>30834</v>
      </c>
      <c r="G346">
        <v>2018</v>
      </c>
      <c r="H346" s="1">
        <v>43384</v>
      </c>
      <c r="I346" t="s">
        <v>32387</v>
      </c>
      <c r="K346" t="s">
        <v>32388</v>
      </c>
    </row>
    <row r="347" spans="1:11" x14ac:dyDescent="0.15">
      <c r="A347">
        <v>28287705</v>
      </c>
      <c r="B347" t="s">
        <v>1711</v>
      </c>
      <c r="C347" t="s">
        <v>32389</v>
      </c>
      <c r="D347" t="s">
        <v>32390</v>
      </c>
      <c r="E347" t="s">
        <v>32391</v>
      </c>
      <c r="F347" t="s">
        <v>30561</v>
      </c>
      <c r="G347">
        <v>2017</v>
      </c>
      <c r="H347" s="1">
        <v>42808</v>
      </c>
      <c r="I347" t="s">
        <v>32392</v>
      </c>
      <c r="J347" t="s">
        <v>32393</v>
      </c>
      <c r="K347" t="s">
        <v>1724</v>
      </c>
    </row>
    <row r="348" spans="1:11" x14ac:dyDescent="0.15">
      <c r="A348">
        <v>29715009</v>
      </c>
      <c r="B348" t="s">
        <v>8083</v>
      </c>
      <c r="C348" t="s">
        <v>32394</v>
      </c>
      <c r="D348" t="s">
        <v>32395</v>
      </c>
      <c r="E348" t="s">
        <v>32396</v>
      </c>
      <c r="F348" t="s">
        <v>30956</v>
      </c>
      <c r="G348">
        <v>2018</v>
      </c>
      <c r="H348" s="1">
        <v>43222</v>
      </c>
      <c r="K348" t="s">
        <v>8093</v>
      </c>
    </row>
    <row r="349" spans="1:11" x14ac:dyDescent="0.15">
      <c r="A349">
        <v>35290034</v>
      </c>
      <c r="B349" t="s">
        <v>11534</v>
      </c>
      <c r="C349" t="s">
        <v>32397</v>
      </c>
      <c r="D349" t="s">
        <v>32398</v>
      </c>
      <c r="E349" t="s">
        <v>32399</v>
      </c>
      <c r="F349" t="s">
        <v>30956</v>
      </c>
      <c r="G349">
        <v>2022</v>
      </c>
      <c r="H349" s="1">
        <v>44635</v>
      </c>
      <c r="K349" t="s">
        <v>11543</v>
      </c>
    </row>
    <row r="350" spans="1:11" x14ac:dyDescent="0.15">
      <c r="A350">
        <v>33867829</v>
      </c>
      <c r="B350" t="s">
        <v>32400</v>
      </c>
      <c r="C350" t="s">
        <v>32401</v>
      </c>
      <c r="D350" t="s">
        <v>32402</v>
      </c>
      <c r="E350" t="s">
        <v>31339</v>
      </c>
      <c r="F350" t="s">
        <v>31228</v>
      </c>
      <c r="G350">
        <v>2021</v>
      </c>
      <c r="H350" s="1">
        <v>44305</v>
      </c>
      <c r="I350" t="s">
        <v>32403</v>
      </c>
      <c r="K350" t="s">
        <v>23993</v>
      </c>
    </row>
    <row r="351" spans="1:11" x14ac:dyDescent="0.15">
      <c r="A351">
        <v>30501880</v>
      </c>
      <c r="B351" t="s">
        <v>13353</v>
      </c>
      <c r="C351" t="s">
        <v>32404</v>
      </c>
      <c r="D351" t="s">
        <v>32405</v>
      </c>
      <c r="E351" t="s">
        <v>32198</v>
      </c>
      <c r="F351" t="s">
        <v>31287</v>
      </c>
      <c r="G351">
        <v>2018</v>
      </c>
      <c r="H351" s="1">
        <v>43438</v>
      </c>
      <c r="K351" t="s">
        <v>13362</v>
      </c>
    </row>
    <row r="352" spans="1:11" x14ac:dyDescent="0.15">
      <c r="A352">
        <v>22025668</v>
      </c>
      <c r="B352" t="s">
        <v>32406</v>
      </c>
      <c r="C352" t="s">
        <v>32407</v>
      </c>
      <c r="D352" t="s">
        <v>32408</v>
      </c>
      <c r="E352" t="s">
        <v>32409</v>
      </c>
      <c r="F352" t="s">
        <v>32410</v>
      </c>
      <c r="G352">
        <v>2011</v>
      </c>
      <c r="H352" s="1">
        <v>40842</v>
      </c>
      <c r="I352" t="s">
        <v>32411</v>
      </c>
      <c r="K352" t="s">
        <v>32412</v>
      </c>
    </row>
    <row r="353" spans="1:11" x14ac:dyDescent="0.15">
      <c r="A353">
        <v>30734479</v>
      </c>
      <c r="B353" t="s">
        <v>32413</v>
      </c>
      <c r="C353" t="s">
        <v>32414</v>
      </c>
      <c r="D353" t="s">
        <v>32415</v>
      </c>
      <c r="E353" t="s">
        <v>32416</v>
      </c>
      <c r="F353" t="s">
        <v>30763</v>
      </c>
      <c r="G353">
        <v>2019</v>
      </c>
      <c r="H353" s="1">
        <v>43505</v>
      </c>
      <c r="K353" t="s">
        <v>32417</v>
      </c>
    </row>
    <row r="354" spans="1:11" x14ac:dyDescent="0.15">
      <c r="A354">
        <v>31478613</v>
      </c>
      <c r="B354" t="s">
        <v>11300</v>
      </c>
      <c r="C354" t="s">
        <v>32418</v>
      </c>
      <c r="D354" t="s">
        <v>32419</v>
      </c>
      <c r="E354" t="s">
        <v>32420</v>
      </c>
      <c r="F354" t="s">
        <v>30763</v>
      </c>
      <c r="G354">
        <v>2019</v>
      </c>
      <c r="H354" s="1">
        <v>43712</v>
      </c>
      <c r="K354" t="s">
        <v>11308</v>
      </c>
    </row>
    <row r="355" spans="1:11" x14ac:dyDescent="0.15">
      <c r="A355">
        <v>28401635</v>
      </c>
      <c r="B355" t="s">
        <v>19191</v>
      </c>
      <c r="C355" t="s">
        <v>32421</v>
      </c>
      <c r="D355" t="s">
        <v>32422</v>
      </c>
      <c r="E355" t="s">
        <v>32423</v>
      </c>
      <c r="F355" t="s">
        <v>32424</v>
      </c>
      <c r="G355">
        <v>2017</v>
      </c>
      <c r="H355" s="1">
        <v>42838</v>
      </c>
      <c r="K355" t="s">
        <v>19198</v>
      </c>
    </row>
    <row r="356" spans="1:11" x14ac:dyDescent="0.15">
      <c r="A356">
        <v>31681284</v>
      </c>
      <c r="B356" t="s">
        <v>32425</v>
      </c>
      <c r="C356" t="s">
        <v>32426</v>
      </c>
      <c r="D356" t="s">
        <v>32427</v>
      </c>
      <c r="E356" t="s">
        <v>31632</v>
      </c>
      <c r="F356" t="s">
        <v>30713</v>
      </c>
      <c r="G356">
        <v>2019</v>
      </c>
      <c r="H356" s="1">
        <v>43774</v>
      </c>
      <c r="I356" t="s">
        <v>32428</v>
      </c>
      <c r="K356" t="s">
        <v>13009</v>
      </c>
    </row>
    <row r="357" spans="1:11" x14ac:dyDescent="0.15">
      <c r="A357">
        <v>25945690</v>
      </c>
      <c r="B357" t="s">
        <v>32429</v>
      </c>
      <c r="C357" t="s">
        <v>32430</v>
      </c>
      <c r="D357" t="s">
        <v>32431</v>
      </c>
      <c r="E357" t="s">
        <v>32432</v>
      </c>
      <c r="F357" t="s">
        <v>32433</v>
      </c>
      <c r="G357">
        <v>2015</v>
      </c>
      <c r="H357" s="1">
        <v>42131</v>
      </c>
      <c r="I357" t="s">
        <v>32434</v>
      </c>
      <c r="K357" t="s">
        <v>32435</v>
      </c>
    </row>
    <row r="358" spans="1:11" x14ac:dyDescent="0.15">
      <c r="A358">
        <v>29686075</v>
      </c>
      <c r="B358" t="s">
        <v>32436</v>
      </c>
      <c r="C358" t="s">
        <v>32437</v>
      </c>
      <c r="D358" t="s">
        <v>32438</v>
      </c>
      <c r="E358" t="s">
        <v>32439</v>
      </c>
      <c r="F358" t="s">
        <v>30767</v>
      </c>
      <c r="G358">
        <v>2018</v>
      </c>
      <c r="H358" s="1">
        <v>43215</v>
      </c>
      <c r="I358" t="s">
        <v>32440</v>
      </c>
      <c r="K358" t="s">
        <v>32441</v>
      </c>
    </row>
    <row r="359" spans="1:11" x14ac:dyDescent="0.15">
      <c r="A359">
        <v>31167142</v>
      </c>
      <c r="B359" t="s">
        <v>32442</v>
      </c>
      <c r="C359" t="s">
        <v>32443</v>
      </c>
      <c r="D359" t="s">
        <v>32444</v>
      </c>
      <c r="E359" t="s">
        <v>32445</v>
      </c>
      <c r="F359" t="s">
        <v>31376</v>
      </c>
      <c r="G359">
        <v>2019</v>
      </c>
      <c r="H359" s="1">
        <v>43622</v>
      </c>
      <c r="I359" t="s">
        <v>32446</v>
      </c>
      <c r="J359" t="s">
        <v>32447</v>
      </c>
      <c r="K359" t="s">
        <v>32448</v>
      </c>
    </row>
    <row r="360" spans="1:11" x14ac:dyDescent="0.15">
      <c r="A360">
        <v>21618878</v>
      </c>
      <c r="B360" t="s">
        <v>32449</v>
      </c>
      <c r="C360" t="s">
        <v>32450</v>
      </c>
      <c r="D360" t="s">
        <v>32451</v>
      </c>
      <c r="E360" t="s">
        <v>32452</v>
      </c>
      <c r="F360" t="s">
        <v>31023</v>
      </c>
      <c r="G360">
        <v>2010</v>
      </c>
      <c r="H360" s="1">
        <v>40694</v>
      </c>
    </row>
    <row r="361" spans="1:11" x14ac:dyDescent="0.15">
      <c r="A361">
        <v>35649159</v>
      </c>
      <c r="B361" t="s">
        <v>8826</v>
      </c>
      <c r="C361" t="s">
        <v>32453</v>
      </c>
      <c r="D361" t="s">
        <v>32454</v>
      </c>
      <c r="E361" t="s">
        <v>32455</v>
      </c>
      <c r="F361" t="s">
        <v>30956</v>
      </c>
      <c r="G361">
        <v>2022</v>
      </c>
      <c r="H361" s="1">
        <v>44713</v>
      </c>
      <c r="K361" t="s">
        <v>8834</v>
      </c>
    </row>
    <row r="362" spans="1:11" x14ac:dyDescent="0.15">
      <c r="A362">
        <v>26488306</v>
      </c>
      <c r="B362" t="s">
        <v>22284</v>
      </c>
      <c r="C362" t="s">
        <v>32456</v>
      </c>
      <c r="D362" t="s">
        <v>32457</v>
      </c>
      <c r="E362" t="s">
        <v>32458</v>
      </c>
      <c r="F362" t="s">
        <v>31659</v>
      </c>
      <c r="G362">
        <v>2015</v>
      </c>
      <c r="H362" s="1">
        <v>42299</v>
      </c>
      <c r="I362" t="s">
        <v>32459</v>
      </c>
      <c r="K362" t="s">
        <v>22296</v>
      </c>
    </row>
    <row r="363" spans="1:11" x14ac:dyDescent="0.15">
      <c r="A363">
        <v>35302760</v>
      </c>
      <c r="B363" t="s">
        <v>9726</v>
      </c>
      <c r="C363" t="s">
        <v>32460</v>
      </c>
      <c r="D363" t="s">
        <v>32461</v>
      </c>
      <c r="E363" t="s">
        <v>31775</v>
      </c>
      <c r="F363" t="s">
        <v>32462</v>
      </c>
      <c r="G363">
        <v>2022</v>
      </c>
      <c r="H363" s="1">
        <v>44638</v>
      </c>
      <c r="K363" t="s">
        <v>9739</v>
      </c>
    </row>
    <row r="364" spans="1:11" x14ac:dyDescent="0.15">
      <c r="A364">
        <v>27013199</v>
      </c>
      <c r="B364" t="s">
        <v>12704</v>
      </c>
      <c r="C364" t="s">
        <v>32463</v>
      </c>
      <c r="D364" t="s">
        <v>32464</v>
      </c>
      <c r="E364" t="s">
        <v>32465</v>
      </c>
      <c r="F364" t="s">
        <v>31167</v>
      </c>
      <c r="G364">
        <v>2016</v>
      </c>
      <c r="H364" s="1">
        <v>42455</v>
      </c>
      <c r="K364" t="s">
        <v>12713</v>
      </c>
    </row>
    <row r="365" spans="1:11" x14ac:dyDescent="0.15">
      <c r="A365">
        <v>23555312</v>
      </c>
      <c r="B365" t="s">
        <v>32466</v>
      </c>
      <c r="C365" t="s">
        <v>32467</v>
      </c>
      <c r="D365" t="s">
        <v>32468</v>
      </c>
      <c r="E365" t="s">
        <v>32469</v>
      </c>
      <c r="F365" t="s">
        <v>32470</v>
      </c>
      <c r="G365">
        <v>2013</v>
      </c>
      <c r="H365" s="1">
        <v>41369</v>
      </c>
      <c r="I365" t="s">
        <v>32471</v>
      </c>
      <c r="K365" t="s">
        <v>32472</v>
      </c>
    </row>
    <row r="366" spans="1:11" x14ac:dyDescent="0.15">
      <c r="A366">
        <v>19129916</v>
      </c>
      <c r="B366" t="s">
        <v>32473</v>
      </c>
      <c r="C366" t="s">
        <v>32474</v>
      </c>
      <c r="D366" t="s">
        <v>32475</v>
      </c>
      <c r="E366" t="s">
        <v>32476</v>
      </c>
      <c r="F366" t="s">
        <v>31639</v>
      </c>
      <c r="G366">
        <v>2009</v>
      </c>
      <c r="H366" s="1">
        <v>39822</v>
      </c>
      <c r="I366" t="s">
        <v>32477</v>
      </c>
      <c r="K366" t="s">
        <v>16417</v>
      </c>
    </row>
    <row r="367" spans="1:11" x14ac:dyDescent="0.15">
      <c r="A367">
        <v>27036745</v>
      </c>
      <c r="B367" t="s">
        <v>32478</v>
      </c>
      <c r="C367" t="s">
        <v>31523</v>
      </c>
      <c r="D367" t="s">
        <v>32479</v>
      </c>
      <c r="E367" t="s">
        <v>31525</v>
      </c>
      <c r="F367" t="s">
        <v>32480</v>
      </c>
      <c r="G367">
        <v>2015</v>
      </c>
      <c r="H367" s="1">
        <v>42463</v>
      </c>
      <c r="K367" t="s">
        <v>1463</v>
      </c>
    </row>
    <row r="368" spans="1:11" x14ac:dyDescent="0.15">
      <c r="A368">
        <v>35787656</v>
      </c>
      <c r="B368" t="s">
        <v>11065</v>
      </c>
      <c r="C368" t="s">
        <v>32481</v>
      </c>
      <c r="D368" t="s">
        <v>32482</v>
      </c>
      <c r="E368" t="s">
        <v>32483</v>
      </c>
      <c r="F368" t="s">
        <v>32377</v>
      </c>
      <c r="G368">
        <v>2022</v>
      </c>
      <c r="H368" s="1">
        <v>44747</v>
      </c>
      <c r="I368" t="s">
        <v>32484</v>
      </c>
      <c r="K368" t="s">
        <v>11074</v>
      </c>
    </row>
    <row r="369" spans="1:11" x14ac:dyDescent="0.15">
      <c r="A369">
        <v>33025277</v>
      </c>
      <c r="B369" t="s">
        <v>32485</v>
      </c>
      <c r="C369" t="s">
        <v>32486</v>
      </c>
      <c r="D369" t="s">
        <v>32487</v>
      </c>
      <c r="E369" t="s">
        <v>32488</v>
      </c>
      <c r="F369" t="s">
        <v>32214</v>
      </c>
      <c r="G369">
        <v>2020</v>
      </c>
      <c r="H369" s="1">
        <v>44111</v>
      </c>
      <c r="K369" t="s">
        <v>32489</v>
      </c>
    </row>
    <row r="370" spans="1:11" x14ac:dyDescent="0.15">
      <c r="A370">
        <v>31469974</v>
      </c>
      <c r="B370" t="s">
        <v>23862</v>
      </c>
      <c r="C370" t="s">
        <v>32490</v>
      </c>
      <c r="D370" t="s">
        <v>32491</v>
      </c>
      <c r="E370" t="s">
        <v>32492</v>
      </c>
      <c r="F370" t="s">
        <v>32493</v>
      </c>
      <c r="G370">
        <v>2020</v>
      </c>
      <c r="H370" s="1">
        <v>43708</v>
      </c>
      <c r="K370" t="s">
        <v>23873</v>
      </c>
    </row>
    <row r="371" spans="1:11" x14ac:dyDescent="0.15">
      <c r="A371">
        <v>32518284</v>
      </c>
      <c r="B371" t="s">
        <v>32494</v>
      </c>
      <c r="C371" t="s">
        <v>32495</v>
      </c>
      <c r="D371" t="s">
        <v>32496</v>
      </c>
      <c r="E371" t="s">
        <v>32497</v>
      </c>
      <c r="F371" t="s">
        <v>30834</v>
      </c>
      <c r="G371">
        <v>2020</v>
      </c>
      <c r="H371" s="1">
        <v>43993</v>
      </c>
      <c r="I371" t="s">
        <v>32498</v>
      </c>
      <c r="K371" t="s">
        <v>32499</v>
      </c>
    </row>
    <row r="372" spans="1:11" x14ac:dyDescent="0.15">
      <c r="A372">
        <v>25959588</v>
      </c>
      <c r="B372" t="s">
        <v>21917</v>
      </c>
      <c r="C372" t="s">
        <v>32500</v>
      </c>
      <c r="D372" t="s">
        <v>32501</v>
      </c>
      <c r="E372" t="s">
        <v>32502</v>
      </c>
      <c r="F372" t="s">
        <v>30796</v>
      </c>
      <c r="G372">
        <v>2015</v>
      </c>
      <c r="H372" s="1">
        <v>42136</v>
      </c>
      <c r="I372" t="s">
        <v>32503</v>
      </c>
      <c r="J372" t="s">
        <v>32504</v>
      </c>
      <c r="K372" t="s">
        <v>21925</v>
      </c>
    </row>
    <row r="373" spans="1:11" x14ac:dyDescent="0.15">
      <c r="A373">
        <v>25184951</v>
      </c>
      <c r="B373" t="s">
        <v>32505</v>
      </c>
      <c r="C373" t="s">
        <v>32506</v>
      </c>
      <c r="D373" t="s">
        <v>32507</v>
      </c>
      <c r="E373" t="s">
        <v>32508</v>
      </c>
      <c r="F373" t="s">
        <v>32509</v>
      </c>
      <c r="G373">
        <v>2014</v>
      </c>
      <c r="H373" s="1">
        <v>41886</v>
      </c>
      <c r="I373" t="s">
        <v>32510</v>
      </c>
      <c r="K373" t="s">
        <v>32511</v>
      </c>
    </row>
    <row r="374" spans="1:11" x14ac:dyDescent="0.15">
      <c r="A374">
        <v>29073095</v>
      </c>
      <c r="B374" t="s">
        <v>4857</v>
      </c>
      <c r="C374" t="s">
        <v>32512</v>
      </c>
      <c r="D374" t="s">
        <v>32513</v>
      </c>
      <c r="E374" t="s">
        <v>32514</v>
      </c>
      <c r="F374" t="s">
        <v>30767</v>
      </c>
      <c r="G374">
        <v>2017</v>
      </c>
      <c r="H374" s="1">
        <v>43035</v>
      </c>
      <c r="I374" t="s">
        <v>32515</v>
      </c>
      <c r="K374" t="s">
        <v>4869</v>
      </c>
    </row>
    <row r="375" spans="1:11" x14ac:dyDescent="0.15">
      <c r="A375">
        <v>23774836</v>
      </c>
      <c r="B375" t="s">
        <v>32516</v>
      </c>
      <c r="C375" t="s">
        <v>32517</v>
      </c>
      <c r="D375" t="s">
        <v>32518</v>
      </c>
      <c r="E375" t="s">
        <v>32519</v>
      </c>
      <c r="F375" t="s">
        <v>32509</v>
      </c>
      <c r="G375">
        <v>2013</v>
      </c>
      <c r="H375" s="1">
        <v>41444</v>
      </c>
      <c r="I375" t="s">
        <v>32520</v>
      </c>
      <c r="K375" t="s">
        <v>32521</v>
      </c>
    </row>
    <row r="376" spans="1:11" x14ac:dyDescent="0.15">
      <c r="A376">
        <v>23430739</v>
      </c>
      <c r="B376" t="s">
        <v>32522</v>
      </c>
      <c r="C376" t="s">
        <v>32523</v>
      </c>
      <c r="D376" t="s">
        <v>32524</v>
      </c>
      <c r="E376" t="s">
        <v>32525</v>
      </c>
      <c r="F376" t="s">
        <v>31594</v>
      </c>
      <c r="G376">
        <v>2013</v>
      </c>
      <c r="H376" s="1">
        <v>41328</v>
      </c>
      <c r="I376" t="s">
        <v>32526</v>
      </c>
      <c r="K376" t="s">
        <v>32527</v>
      </c>
    </row>
    <row r="377" spans="1:11" x14ac:dyDescent="0.15">
      <c r="A377">
        <v>26598621</v>
      </c>
      <c r="B377" t="s">
        <v>20412</v>
      </c>
      <c r="C377" t="s">
        <v>32528</v>
      </c>
      <c r="D377" t="s">
        <v>32529</v>
      </c>
      <c r="E377" t="s">
        <v>32530</v>
      </c>
      <c r="F377" t="s">
        <v>30828</v>
      </c>
      <c r="G377">
        <v>2015</v>
      </c>
      <c r="H377" s="1">
        <v>42333</v>
      </c>
      <c r="I377" t="s">
        <v>32531</v>
      </c>
      <c r="K377" t="s">
        <v>20421</v>
      </c>
    </row>
    <row r="378" spans="1:11" x14ac:dyDescent="0.15">
      <c r="A378">
        <v>21376534</v>
      </c>
      <c r="B378" t="s">
        <v>32532</v>
      </c>
      <c r="C378" t="s">
        <v>32533</v>
      </c>
      <c r="D378" t="s">
        <v>32534</v>
      </c>
      <c r="E378" t="s">
        <v>32535</v>
      </c>
      <c r="F378" t="s">
        <v>32536</v>
      </c>
      <c r="G378">
        <v>2011</v>
      </c>
      <c r="H378" s="1">
        <v>40610</v>
      </c>
      <c r="K378" t="s">
        <v>32537</v>
      </c>
    </row>
    <row r="379" spans="1:11" x14ac:dyDescent="0.15">
      <c r="A379">
        <v>35104460</v>
      </c>
      <c r="B379" t="s">
        <v>9864</v>
      </c>
      <c r="C379" t="s">
        <v>32538</v>
      </c>
      <c r="D379" t="s">
        <v>32539</v>
      </c>
      <c r="E379" t="s">
        <v>32540</v>
      </c>
      <c r="F379" t="s">
        <v>32541</v>
      </c>
      <c r="G379">
        <v>2022</v>
      </c>
      <c r="H379" s="1">
        <v>44593</v>
      </c>
      <c r="K379" t="s">
        <v>9877</v>
      </c>
    </row>
    <row r="380" spans="1:11" x14ac:dyDescent="0.15">
      <c r="A380">
        <v>35217095</v>
      </c>
      <c r="B380" t="s">
        <v>13206</v>
      </c>
      <c r="C380" t="s">
        <v>32542</v>
      </c>
      <c r="D380" t="s">
        <v>32543</v>
      </c>
      <c r="E380" t="s">
        <v>32544</v>
      </c>
      <c r="F380" t="s">
        <v>32545</v>
      </c>
      <c r="G380">
        <v>2022</v>
      </c>
      <c r="H380" s="1">
        <v>44618</v>
      </c>
      <c r="K380" t="s">
        <v>13216</v>
      </c>
    </row>
    <row r="381" spans="1:11" x14ac:dyDescent="0.15">
      <c r="A381">
        <v>25301203</v>
      </c>
      <c r="B381" t="s">
        <v>5641</v>
      </c>
      <c r="C381" t="s">
        <v>32546</v>
      </c>
      <c r="D381" t="s">
        <v>32547</v>
      </c>
      <c r="E381" t="s">
        <v>32548</v>
      </c>
      <c r="F381" t="s">
        <v>32549</v>
      </c>
      <c r="G381">
        <v>2014</v>
      </c>
      <c r="H381" s="1">
        <v>41923</v>
      </c>
      <c r="K381" t="s">
        <v>5652</v>
      </c>
    </row>
    <row r="382" spans="1:11" x14ac:dyDescent="0.15">
      <c r="A382">
        <v>31441580</v>
      </c>
      <c r="B382" t="s">
        <v>12952</v>
      </c>
      <c r="C382" t="s">
        <v>32550</v>
      </c>
      <c r="D382" t="s">
        <v>32551</v>
      </c>
      <c r="E382" t="s">
        <v>32552</v>
      </c>
      <c r="F382" t="s">
        <v>31346</v>
      </c>
      <c r="G382">
        <v>2019</v>
      </c>
      <c r="H382" s="1">
        <v>43701</v>
      </c>
      <c r="I382" t="s">
        <v>32553</v>
      </c>
      <c r="K382" t="s">
        <v>12960</v>
      </c>
    </row>
    <row r="383" spans="1:11" x14ac:dyDescent="0.15">
      <c r="A383">
        <v>34984833</v>
      </c>
      <c r="B383" t="s">
        <v>32554</v>
      </c>
      <c r="C383" t="s">
        <v>32555</v>
      </c>
      <c r="D383" t="s">
        <v>32556</v>
      </c>
      <c r="E383" t="s">
        <v>32557</v>
      </c>
      <c r="F383" t="s">
        <v>32558</v>
      </c>
      <c r="G383">
        <v>2022</v>
      </c>
      <c r="H383" s="1">
        <v>44566</v>
      </c>
      <c r="K383" t="s">
        <v>32559</v>
      </c>
    </row>
    <row r="384" spans="1:11" x14ac:dyDescent="0.15">
      <c r="A384">
        <v>35301052</v>
      </c>
      <c r="B384" t="s">
        <v>1699</v>
      </c>
      <c r="C384" t="s">
        <v>32560</v>
      </c>
      <c r="D384" t="s">
        <v>32561</v>
      </c>
      <c r="E384" t="s">
        <v>32562</v>
      </c>
      <c r="F384" t="s">
        <v>31033</v>
      </c>
      <c r="G384">
        <v>2022</v>
      </c>
      <c r="H384" s="1">
        <v>44638</v>
      </c>
      <c r="K384" t="s">
        <v>1707</v>
      </c>
    </row>
    <row r="385" spans="1:11" x14ac:dyDescent="0.15">
      <c r="A385">
        <v>27723556</v>
      </c>
      <c r="B385" t="s">
        <v>4901</v>
      </c>
      <c r="C385" t="s">
        <v>32563</v>
      </c>
      <c r="D385" t="s">
        <v>32564</v>
      </c>
      <c r="E385" t="s">
        <v>32565</v>
      </c>
      <c r="F385" t="s">
        <v>30812</v>
      </c>
      <c r="G385">
        <v>2016</v>
      </c>
      <c r="H385" s="1">
        <v>42654</v>
      </c>
      <c r="K385" t="s">
        <v>4908</v>
      </c>
    </row>
    <row r="386" spans="1:11" x14ac:dyDescent="0.15">
      <c r="A386">
        <v>23230278</v>
      </c>
      <c r="B386" t="s">
        <v>32566</v>
      </c>
      <c r="C386" t="s">
        <v>32567</v>
      </c>
      <c r="D386" t="s">
        <v>32568</v>
      </c>
      <c r="E386" t="s">
        <v>32569</v>
      </c>
      <c r="F386" t="s">
        <v>32570</v>
      </c>
      <c r="G386">
        <v>2013</v>
      </c>
      <c r="H386" s="1">
        <v>41255</v>
      </c>
      <c r="I386" t="s">
        <v>32571</v>
      </c>
      <c r="K386" t="s">
        <v>32572</v>
      </c>
    </row>
    <row r="387" spans="1:11" x14ac:dyDescent="0.15">
      <c r="A387">
        <v>31318684</v>
      </c>
      <c r="B387" t="s">
        <v>22605</v>
      </c>
      <c r="C387" t="s">
        <v>32573</v>
      </c>
      <c r="D387" t="s">
        <v>32574</v>
      </c>
      <c r="E387" t="s">
        <v>32575</v>
      </c>
      <c r="F387" t="s">
        <v>32576</v>
      </c>
      <c r="G387">
        <v>2020</v>
      </c>
      <c r="H387" s="1">
        <v>43665</v>
      </c>
      <c r="K387" t="s">
        <v>22616</v>
      </c>
    </row>
    <row r="388" spans="1:11" x14ac:dyDescent="0.15">
      <c r="A388">
        <v>32148013</v>
      </c>
      <c r="B388" t="s">
        <v>20439</v>
      </c>
      <c r="C388" t="s">
        <v>32577</v>
      </c>
      <c r="D388" t="s">
        <v>32578</v>
      </c>
      <c r="E388" t="s">
        <v>32579</v>
      </c>
      <c r="F388" t="s">
        <v>30956</v>
      </c>
      <c r="G388">
        <v>2020</v>
      </c>
      <c r="H388" s="1">
        <v>43900</v>
      </c>
      <c r="K388" t="s">
        <v>20444</v>
      </c>
    </row>
    <row r="389" spans="1:11" x14ac:dyDescent="0.15">
      <c r="A389">
        <v>31331349</v>
      </c>
      <c r="B389" t="s">
        <v>32580</v>
      </c>
      <c r="C389" t="s">
        <v>32581</v>
      </c>
      <c r="D389" t="s">
        <v>32582</v>
      </c>
      <c r="E389" t="s">
        <v>32583</v>
      </c>
      <c r="F389" t="s">
        <v>31304</v>
      </c>
      <c r="G389">
        <v>2019</v>
      </c>
      <c r="H389" s="1">
        <v>43670</v>
      </c>
      <c r="I389" t="s">
        <v>32584</v>
      </c>
      <c r="K389" t="s">
        <v>32585</v>
      </c>
    </row>
    <row r="390" spans="1:11" x14ac:dyDescent="0.15">
      <c r="A390">
        <v>20480522</v>
      </c>
      <c r="B390" t="s">
        <v>32586</v>
      </c>
      <c r="C390" t="s">
        <v>32587</v>
      </c>
      <c r="D390" t="s">
        <v>32588</v>
      </c>
      <c r="E390" t="s">
        <v>32589</v>
      </c>
      <c r="F390" t="s">
        <v>32590</v>
      </c>
      <c r="G390">
        <v>2010</v>
      </c>
      <c r="H390" s="1">
        <v>40317</v>
      </c>
      <c r="I390" t="s">
        <v>32591</v>
      </c>
      <c r="K390" t="s">
        <v>14210</v>
      </c>
    </row>
    <row r="391" spans="1:11" x14ac:dyDescent="0.15">
      <c r="A391">
        <v>25955720</v>
      </c>
      <c r="B391" t="s">
        <v>32592</v>
      </c>
      <c r="C391" t="s">
        <v>32593</v>
      </c>
      <c r="D391" t="s">
        <v>32594</v>
      </c>
      <c r="E391" t="s">
        <v>32595</v>
      </c>
      <c r="F391" t="s">
        <v>31639</v>
      </c>
      <c r="G391">
        <v>2015</v>
      </c>
      <c r="H391" s="1">
        <v>42133</v>
      </c>
      <c r="I391" t="s">
        <v>32596</v>
      </c>
      <c r="K391" t="s">
        <v>32597</v>
      </c>
    </row>
    <row r="392" spans="1:11" x14ac:dyDescent="0.15">
      <c r="A392">
        <v>29291399</v>
      </c>
      <c r="B392" t="s">
        <v>23022</v>
      </c>
      <c r="C392" t="s">
        <v>32598</v>
      </c>
      <c r="D392" t="s">
        <v>32599</v>
      </c>
      <c r="E392" t="s">
        <v>32600</v>
      </c>
      <c r="F392" t="s">
        <v>32127</v>
      </c>
      <c r="G392">
        <v>2018</v>
      </c>
      <c r="H392" s="1">
        <v>43102</v>
      </c>
      <c r="K392" t="s">
        <v>23029</v>
      </c>
    </row>
    <row r="393" spans="1:11" x14ac:dyDescent="0.15">
      <c r="A393">
        <v>28433888</v>
      </c>
      <c r="B393" t="s">
        <v>32601</v>
      </c>
      <c r="C393" t="s">
        <v>32602</v>
      </c>
      <c r="D393" t="s">
        <v>32603</v>
      </c>
      <c r="E393" t="s">
        <v>32604</v>
      </c>
      <c r="F393" t="s">
        <v>30907</v>
      </c>
      <c r="G393">
        <v>2017</v>
      </c>
      <c r="H393" s="1">
        <v>42849</v>
      </c>
      <c r="K393" t="s">
        <v>5123</v>
      </c>
    </row>
    <row r="394" spans="1:11" x14ac:dyDescent="0.15">
      <c r="A394">
        <v>25650727</v>
      </c>
      <c r="B394" t="s">
        <v>21750</v>
      </c>
      <c r="C394" t="s">
        <v>32605</v>
      </c>
      <c r="D394" t="s">
        <v>32606</v>
      </c>
      <c r="E394" t="s">
        <v>32607</v>
      </c>
      <c r="F394" t="s">
        <v>30853</v>
      </c>
      <c r="G394">
        <v>2015</v>
      </c>
      <c r="H394" s="1">
        <v>42040</v>
      </c>
      <c r="I394" t="s">
        <v>32608</v>
      </c>
      <c r="K394" t="s">
        <v>22217</v>
      </c>
    </row>
    <row r="395" spans="1:11" x14ac:dyDescent="0.15">
      <c r="A395">
        <v>28858636</v>
      </c>
      <c r="B395" t="s">
        <v>10401</v>
      </c>
      <c r="C395" t="s">
        <v>32609</v>
      </c>
      <c r="D395" t="s">
        <v>32610</v>
      </c>
      <c r="E395" t="s">
        <v>32611</v>
      </c>
      <c r="F395" t="s">
        <v>32612</v>
      </c>
      <c r="G395">
        <v>2017</v>
      </c>
      <c r="H395" s="1">
        <v>42979</v>
      </c>
      <c r="I395" t="s">
        <v>32613</v>
      </c>
      <c r="J395" t="s">
        <v>32614</v>
      </c>
      <c r="K395" t="s">
        <v>10413</v>
      </c>
    </row>
    <row r="396" spans="1:11" x14ac:dyDescent="0.15">
      <c r="A396">
        <v>28828675</v>
      </c>
      <c r="B396" t="s">
        <v>484</v>
      </c>
      <c r="C396" t="s">
        <v>32615</v>
      </c>
      <c r="D396" t="s">
        <v>32616</v>
      </c>
      <c r="E396" t="s">
        <v>32279</v>
      </c>
      <c r="F396" t="s">
        <v>31003</v>
      </c>
      <c r="G396">
        <v>2017</v>
      </c>
      <c r="H396" s="1">
        <v>42970</v>
      </c>
      <c r="K396" t="s">
        <v>495</v>
      </c>
    </row>
    <row r="397" spans="1:11" x14ac:dyDescent="0.15">
      <c r="A397">
        <v>21835908</v>
      </c>
      <c r="B397" t="s">
        <v>32617</v>
      </c>
      <c r="C397" t="s">
        <v>32618</v>
      </c>
      <c r="D397" t="s">
        <v>32619</v>
      </c>
      <c r="E397" t="s">
        <v>32620</v>
      </c>
      <c r="F397" t="s">
        <v>31512</v>
      </c>
      <c r="G397">
        <v>2011</v>
      </c>
      <c r="H397" s="1">
        <v>40768</v>
      </c>
      <c r="I397" t="s">
        <v>32621</v>
      </c>
      <c r="J397" t="s">
        <v>32622</v>
      </c>
      <c r="K397" t="s">
        <v>32623</v>
      </c>
    </row>
    <row r="398" spans="1:11" x14ac:dyDescent="0.15">
      <c r="A398">
        <v>24245560</v>
      </c>
      <c r="B398" t="s">
        <v>32624</v>
      </c>
      <c r="C398" t="s">
        <v>32625</v>
      </c>
      <c r="D398" t="s">
        <v>32626</v>
      </c>
      <c r="E398" t="s">
        <v>32627</v>
      </c>
      <c r="F398" t="s">
        <v>31438</v>
      </c>
      <c r="G398">
        <v>2013</v>
      </c>
      <c r="H398" s="1">
        <v>41598</v>
      </c>
      <c r="I398" t="s">
        <v>32628</v>
      </c>
      <c r="K398" t="s">
        <v>32629</v>
      </c>
    </row>
    <row r="399" spans="1:11" x14ac:dyDescent="0.15">
      <c r="A399">
        <v>35467280</v>
      </c>
      <c r="B399" t="s">
        <v>32630</v>
      </c>
      <c r="C399" t="s">
        <v>32631</v>
      </c>
      <c r="D399" t="s">
        <v>32632</v>
      </c>
      <c r="E399" t="s">
        <v>32013</v>
      </c>
      <c r="F399" t="s">
        <v>31003</v>
      </c>
      <c r="G399">
        <v>2022</v>
      </c>
      <c r="H399" s="1">
        <v>44676</v>
      </c>
      <c r="K399" t="s">
        <v>32633</v>
      </c>
    </row>
    <row r="400" spans="1:11" x14ac:dyDescent="0.15">
      <c r="A400">
        <v>23532734</v>
      </c>
      <c r="B400" t="s">
        <v>32634</v>
      </c>
      <c r="C400" t="s">
        <v>32635</v>
      </c>
      <c r="D400" t="s">
        <v>32636</v>
      </c>
      <c r="E400" t="s">
        <v>32637</v>
      </c>
      <c r="F400" t="s">
        <v>30600</v>
      </c>
      <c r="G400">
        <v>2013</v>
      </c>
      <c r="H400" s="1">
        <v>41361</v>
      </c>
      <c r="K400" t="s">
        <v>32638</v>
      </c>
    </row>
    <row r="401" spans="1:11" x14ac:dyDescent="0.15">
      <c r="A401">
        <v>30775458</v>
      </c>
      <c r="B401" t="s">
        <v>23253</v>
      </c>
      <c r="C401" t="s">
        <v>32639</v>
      </c>
      <c r="D401" t="s">
        <v>32640</v>
      </c>
      <c r="E401" t="s">
        <v>32641</v>
      </c>
      <c r="F401" t="s">
        <v>32377</v>
      </c>
      <c r="G401">
        <v>2019</v>
      </c>
      <c r="H401" s="1">
        <v>43515</v>
      </c>
      <c r="I401" t="s">
        <v>32642</v>
      </c>
      <c r="K401" t="s">
        <v>23261</v>
      </c>
    </row>
    <row r="402" spans="1:11" x14ac:dyDescent="0.15">
      <c r="A402">
        <v>35233930</v>
      </c>
      <c r="B402" t="s">
        <v>2803</v>
      </c>
      <c r="C402" t="s">
        <v>32643</v>
      </c>
      <c r="D402" t="s">
        <v>32644</v>
      </c>
      <c r="E402" t="s">
        <v>32645</v>
      </c>
      <c r="F402" t="s">
        <v>30772</v>
      </c>
      <c r="G402">
        <v>2022</v>
      </c>
      <c r="H402" s="1">
        <v>44622</v>
      </c>
      <c r="I402" t="s">
        <v>32646</v>
      </c>
      <c r="K402" t="s">
        <v>2813</v>
      </c>
    </row>
    <row r="403" spans="1:11" x14ac:dyDescent="0.15">
      <c r="A403">
        <v>22539202</v>
      </c>
      <c r="B403" t="s">
        <v>32647</v>
      </c>
      <c r="C403" t="s">
        <v>32648</v>
      </c>
      <c r="D403" t="s">
        <v>32649</v>
      </c>
      <c r="E403" t="s">
        <v>32650</v>
      </c>
      <c r="F403" t="s">
        <v>31192</v>
      </c>
      <c r="G403">
        <v>2012</v>
      </c>
      <c r="H403" s="1">
        <v>41027</v>
      </c>
      <c r="K403" t="s">
        <v>2700</v>
      </c>
    </row>
    <row r="404" spans="1:11" x14ac:dyDescent="0.15">
      <c r="A404">
        <v>29534966</v>
      </c>
      <c r="B404" t="s">
        <v>16401</v>
      </c>
      <c r="C404" t="s">
        <v>32651</v>
      </c>
      <c r="D404" t="s">
        <v>32652</v>
      </c>
      <c r="E404" t="s">
        <v>32653</v>
      </c>
      <c r="F404" t="s">
        <v>32654</v>
      </c>
      <c r="G404">
        <v>2018</v>
      </c>
      <c r="H404" s="1">
        <v>43174</v>
      </c>
      <c r="K404" t="s">
        <v>16409</v>
      </c>
    </row>
    <row r="405" spans="1:11" x14ac:dyDescent="0.15">
      <c r="A405">
        <v>24816817</v>
      </c>
      <c r="B405" t="s">
        <v>32655</v>
      </c>
      <c r="C405" t="s">
        <v>32656</v>
      </c>
      <c r="D405" t="s">
        <v>32657</v>
      </c>
      <c r="E405" t="s">
        <v>32351</v>
      </c>
      <c r="F405" t="s">
        <v>31639</v>
      </c>
      <c r="G405">
        <v>2014</v>
      </c>
      <c r="H405" s="1">
        <v>41772</v>
      </c>
      <c r="I405" t="s">
        <v>32658</v>
      </c>
      <c r="K405" t="s">
        <v>17144</v>
      </c>
    </row>
    <row r="406" spans="1:11" x14ac:dyDescent="0.15">
      <c r="A406">
        <v>25713383</v>
      </c>
      <c r="B406" t="s">
        <v>657</v>
      </c>
      <c r="C406" t="s">
        <v>32659</v>
      </c>
      <c r="D406" t="s">
        <v>32660</v>
      </c>
      <c r="E406" t="s">
        <v>32661</v>
      </c>
      <c r="F406" t="s">
        <v>30767</v>
      </c>
      <c r="G406">
        <v>2015</v>
      </c>
      <c r="H406" s="1">
        <v>42061</v>
      </c>
      <c r="I406" t="s">
        <v>32662</v>
      </c>
      <c r="K406" t="s">
        <v>672</v>
      </c>
    </row>
    <row r="407" spans="1:11" x14ac:dyDescent="0.15">
      <c r="A407">
        <v>23064154</v>
      </c>
      <c r="B407" t="s">
        <v>32663</v>
      </c>
      <c r="C407" t="s">
        <v>32664</v>
      </c>
      <c r="D407" t="s">
        <v>32665</v>
      </c>
      <c r="E407" t="s">
        <v>32666</v>
      </c>
      <c r="F407" t="s">
        <v>31659</v>
      </c>
      <c r="G407">
        <v>2013</v>
      </c>
      <c r="H407" s="1">
        <v>41198</v>
      </c>
      <c r="I407" t="s">
        <v>32667</v>
      </c>
      <c r="K407" t="s">
        <v>32668</v>
      </c>
    </row>
    <row r="408" spans="1:11" x14ac:dyDescent="0.15">
      <c r="A408">
        <v>34365510</v>
      </c>
      <c r="B408" t="s">
        <v>32669</v>
      </c>
      <c r="C408" t="s">
        <v>32670</v>
      </c>
      <c r="D408" t="s">
        <v>32671</v>
      </c>
      <c r="E408" t="s">
        <v>32672</v>
      </c>
      <c r="F408" t="s">
        <v>31587</v>
      </c>
      <c r="G408">
        <v>2021</v>
      </c>
      <c r="H408" s="1">
        <v>44416</v>
      </c>
      <c r="I408" t="s">
        <v>32673</v>
      </c>
      <c r="K408" t="s">
        <v>32674</v>
      </c>
    </row>
    <row r="409" spans="1:11" x14ac:dyDescent="0.15">
      <c r="A409">
        <v>31262819</v>
      </c>
      <c r="B409" t="s">
        <v>32675</v>
      </c>
      <c r="C409" t="s">
        <v>32676</v>
      </c>
      <c r="D409" t="s">
        <v>32677</v>
      </c>
      <c r="E409" t="s">
        <v>32678</v>
      </c>
      <c r="F409" t="s">
        <v>30767</v>
      </c>
      <c r="G409">
        <v>2019</v>
      </c>
      <c r="H409" s="1">
        <v>43649</v>
      </c>
      <c r="I409" t="s">
        <v>32679</v>
      </c>
      <c r="K409" t="s">
        <v>32680</v>
      </c>
    </row>
    <row r="410" spans="1:11" x14ac:dyDescent="0.15">
      <c r="A410">
        <v>25815511</v>
      </c>
      <c r="B410" t="s">
        <v>32681</v>
      </c>
      <c r="C410" t="s">
        <v>32682</v>
      </c>
      <c r="D410" t="s">
        <v>32683</v>
      </c>
      <c r="E410" t="s">
        <v>32684</v>
      </c>
      <c r="F410" t="s">
        <v>31639</v>
      </c>
      <c r="G410">
        <v>2015</v>
      </c>
      <c r="H410" s="1">
        <v>42091</v>
      </c>
      <c r="I410" t="s">
        <v>32685</v>
      </c>
      <c r="K410" t="s">
        <v>32686</v>
      </c>
    </row>
    <row r="411" spans="1:11" x14ac:dyDescent="0.15">
      <c r="A411">
        <v>32620067</v>
      </c>
      <c r="B411" t="s">
        <v>32687</v>
      </c>
      <c r="C411" t="s">
        <v>32688</v>
      </c>
      <c r="D411" t="s">
        <v>32689</v>
      </c>
      <c r="E411" t="s">
        <v>32690</v>
      </c>
      <c r="F411" t="s">
        <v>32691</v>
      </c>
      <c r="G411">
        <v>2020</v>
      </c>
      <c r="H411" s="1">
        <v>44017</v>
      </c>
      <c r="K411" t="s">
        <v>32692</v>
      </c>
    </row>
    <row r="412" spans="1:11" x14ac:dyDescent="0.15">
      <c r="A412">
        <v>31043377</v>
      </c>
      <c r="B412" t="s">
        <v>32693</v>
      </c>
      <c r="C412" t="s">
        <v>32694</v>
      </c>
      <c r="D412" t="s">
        <v>32695</v>
      </c>
      <c r="E412" t="s">
        <v>32275</v>
      </c>
      <c r="F412" t="s">
        <v>31167</v>
      </c>
      <c r="G412">
        <v>2019</v>
      </c>
      <c r="H412" s="1">
        <v>43588</v>
      </c>
      <c r="K412" t="s">
        <v>32696</v>
      </c>
    </row>
    <row r="413" spans="1:11" x14ac:dyDescent="0.15">
      <c r="A413">
        <v>24424840</v>
      </c>
      <c r="B413" t="s">
        <v>32697</v>
      </c>
      <c r="C413" t="s">
        <v>32698</v>
      </c>
      <c r="D413" t="s">
        <v>32699</v>
      </c>
      <c r="E413" t="s">
        <v>32700</v>
      </c>
      <c r="F413" t="s">
        <v>32701</v>
      </c>
      <c r="G413">
        <v>2014</v>
      </c>
      <c r="H413" s="1">
        <v>41655</v>
      </c>
      <c r="I413" t="s">
        <v>32702</v>
      </c>
      <c r="K413" t="s">
        <v>32703</v>
      </c>
    </row>
    <row r="414" spans="1:11" x14ac:dyDescent="0.15">
      <c r="A414">
        <v>35398304</v>
      </c>
      <c r="B414" t="s">
        <v>18671</v>
      </c>
      <c r="C414" t="s">
        <v>32704</v>
      </c>
      <c r="D414" t="s">
        <v>32705</v>
      </c>
      <c r="E414" t="s">
        <v>31339</v>
      </c>
      <c r="F414" t="s">
        <v>30976</v>
      </c>
      <c r="G414">
        <v>2022</v>
      </c>
      <c r="H414" s="1">
        <v>44661</v>
      </c>
      <c r="I414" t="s">
        <v>32706</v>
      </c>
      <c r="J414" t="s">
        <v>32707</v>
      </c>
      <c r="K414" t="s">
        <v>18676</v>
      </c>
    </row>
    <row r="415" spans="1:11" x14ac:dyDescent="0.15">
      <c r="A415">
        <v>30971101</v>
      </c>
      <c r="B415" t="s">
        <v>32708</v>
      </c>
      <c r="C415" t="s">
        <v>32709</v>
      </c>
      <c r="D415" t="s">
        <v>32710</v>
      </c>
      <c r="E415" t="s">
        <v>32711</v>
      </c>
      <c r="F415" t="s">
        <v>32712</v>
      </c>
      <c r="G415">
        <v>2019</v>
      </c>
      <c r="H415" s="1">
        <v>43567</v>
      </c>
      <c r="K415" t="s">
        <v>32713</v>
      </c>
    </row>
    <row r="416" spans="1:11" x14ac:dyDescent="0.15">
      <c r="A416">
        <v>32386350</v>
      </c>
      <c r="B416" t="s">
        <v>17468</v>
      </c>
      <c r="C416" t="s">
        <v>32714</v>
      </c>
      <c r="D416" t="s">
        <v>32715</v>
      </c>
      <c r="E416" t="s">
        <v>32716</v>
      </c>
      <c r="F416" t="s">
        <v>32717</v>
      </c>
      <c r="G416">
        <v>2020</v>
      </c>
      <c r="H416" s="1">
        <v>43961</v>
      </c>
      <c r="K416" t="s">
        <v>17480</v>
      </c>
    </row>
    <row r="417" spans="1:11" x14ac:dyDescent="0.15">
      <c r="A417">
        <v>24146982</v>
      </c>
      <c r="B417" t="s">
        <v>32718</v>
      </c>
      <c r="C417" t="s">
        <v>32719</v>
      </c>
      <c r="D417" t="s">
        <v>32720</v>
      </c>
      <c r="E417" t="s">
        <v>32721</v>
      </c>
      <c r="F417" t="s">
        <v>31639</v>
      </c>
      <c r="G417">
        <v>2013</v>
      </c>
      <c r="H417" s="1">
        <v>41570</v>
      </c>
      <c r="I417" t="s">
        <v>32722</v>
      </c>
      <c r="K417" t="s">
        <v>11022</v>
      </c>
    </row>
    <row r="418" spans="1:11" x14ac:dyDescent="0.15">
      <c r="A418">
        <v>34847299</v>
      </c>
      <c r="B418" t="s">
        <v>2704</v>
      </c>
      <c r="C418" t="s">
        <v>32723</v>
      </c>
      <c r="D418" t="s">
        <v>32724</v>
      </c>
      <c r="E418" t="s">
        <v>32725</v>
      </c>
      <c r="F418" t="s">
        <v>32726</v>
      </c>
      <c r="G418">
        <v>2022</v>
      </c>
      <c r="H418" s="1">
        <v>44530</v>
      </c>
      <c r="K418" t="s">
        <v>2717</v>
      </c>
    </row>
    <row r="419" spans="1:11" x14ac:dyDescent="0.15">
      <c r="A419">
        <v>35273384</v>
      </c>
      <c r="B419" t="s">
        <v>32727</v>
      </c>
      <c r="C419" t="s">
        <v>32728</v>
      </c>
      <c r="D419" t="s">
        <v>32729</v>
      </c>
      <c r="E419" t="s">
        <v>32730</v>
      </c>
      <c r="F419" t="s">
        <v>31952</v>
      </c>
      <c r="G419">
        <v>2022</v>
      </c>
      <c r="H419" s="1">
        <v>44631</v>
      </c>
      <c r="I419" t="s">
        <v>32731</v>
      </c>
      <c r="K419" t="s">
        <v>32732</v>
      </c>
    </row>
    <row r="420" spans="1:11" x14ac:dyDescent="0.15">
      <c r="A420">
        <v>35715382</v>
      </c>
      <c r="B420" t="s">
        <v>13825</v>
      </c>
      <c r="C420" t="s">
        <v>32733</v>
      </c>
      <c r="D420" t="s">
        <v>32734</v>
      </c>
      <c r="E420" t="s">
        <v>32735</v>
      </c>
      <c r="F420" t="s">
        <v>32736</v>
      </c>
      <c r="G420">
        <v>2022</v>
      </c>
      <c r="H420" s="1">
        <v>44729</v>
      </c>
      <c r="I420" t="s">
        <v>32737</v>
      </c>
      <c r="K420" t="s">
        <v>13835</v>
      </c>
    </row>
    <row r="421" spans="1:11" x14ac:dyDescent="0.15">
      <c r="A421">
        <v>18974299</v>
      </c>
      <c r="B421" t="s">
        <v>32738</v>
      </c>
      <c r="C421" t="s">
        <v>32739</v>
      </c>
      <c r="D421" t="s">
        <v>32740</v>
      </c>
      <c r="E421" t="s">
        <v>31750</v>
      </c>
      <c r="F421" t="s">
        <v>32741</v>
      </c>
      <c r="G421">
        <v>2008</v>
      </c>
      <c r="H421" s="1">
        <v>39753</v>
      </c>
      <c r="I421" t="s">
        <v>32742</v>
      </c>
      <c r="K421" t="s">
        <v>32743</v>
      </c>
    </row>
    <row r="422" spans="1:11" x14ac:dyDescent="0.15">
      <c r="A422">
        <v>34897815</v>
      </c>
      <c r="B422" t="s">
        <v>10799</v>
      </c>
      <c r="C422" t="s">
        <v>32744</v>
      </c>
      <c r="D422" t="s">
        <v>32745</v>
      </c>
      <c r="E422" t="s">
        <v>32746</v>
      </c>
      <c r="F422" t="s">
        <v>32747</v>
      </c>
      <c r="G422">
        <v>2022</v>
      </c>
      <c r="H422" s="1">
        <v>44543</v>
      </c>
      <c r="K422" t="s">
        <v>10811</v>
      </c>
    </row>
    <row r="423" spans="1:11" x14ac:dyDescent="0.15">
      <c r="A423">
        <v>24662828</v>
      </c>
      <c r="B423" t="s">
        <v>32748</v>
      </c>
      <c r="C423" t="s">
        <v>32749</v>
      </c>
      <c r="D423" t="s">
        <v>32750</v>
      </c>
      <c r="E423" t="s">
        <v>32751</v>
      </c>
      <c r="F423" t="s">
        <v>32752</v>
      </c>
      <c r="G423">
        <v>2014</v>
      </c>
      <c r="H423" s="1">
        <v>41724</v>
      </c>
      <c r="I423" t="s">
        <v>32753</v>
      </c>
      <c r="J423" t="s">
        <v>32754</v>
      </c>
      <c r="K423" t="s">
        <v>14239</v>
      </c>
    </row>
    <row r="424" spans="1:11" x14ac:dyDescent="0.15">
      <c r="A424">
        <v>29973048</v>
      </c>
      <c r="B424" t="s">
        <v>21349</v>
      </c>
      <c r="C424" t="s">
        <v>32755</v>
      </c>
      <c r="D424" t="s">
        <v>32756</v>
      </c>
      <c r="E424" t="s">
        <v>32757</v>
      </c>
      <c r="F424" t="s">
        <v>30956</v>
      </c>
      <c r="G424">
        <v>2018</v>
      </c>
      <c r="H424" s="1">
        <v>43287</v>
      </c>
      <c r="K424" t="s">
        <v>21357</v>
      </c>
    </row>
    <row r="425" spans="1:11" x14ac:dyDescent="0.15">
      <c r="A425">
        <v>24834468</v>
      </c>
      <c r="B425" t="s">
        <v>19642</v>
      </c>
      <c r="C425" t="s">
        <v>32758</v>
      </c>
      <c r="D425" t="s">
        <v>32759</v>
      </c>
      <c r="E425" t="s">
        <v>32760</v>
      </c>
      <c r="F425" t="s">
        <v>32761</v>
      </c>
      <c r="G425">
        <v>2014</v>
      </c>
      <c r="H425" s="1">
        <v>41776</v>
      </c>
      <c r="K425" t="s">
        <v>19655</v>
      </c>
    </row>
    <row r="426" spans="1:11" x14ac:dyDescent="0.15">
      <c r="A426">
        <v>24939845</v>
      </c>
      <c r="B426" t="s">
        <v>32762</v>
      </c>
      <c r="C426" t="s">
        <v>32763</v>
      </c>
      <c r="D426" t="s">
        <v>32764</v>
      </c>
      <c r="E426" t="s">
        <v>32765</v>
      </c>
      <c r="F426" t="s">
        <v>31594</v>
      </c>
      <c r="G426">
        <v>2014</v>
      </c>
      <c r="H426" s="1">
        <v>41809</v>
      </c>
      <c r="I426" t="s">
        <v>32766</v>
      </c>
      <c r="K426" t="s">
        <v>10512</v>
      </c>
    </row>
    <row r="427" spans="1:11" x14ac:dyDescent="0.15">
      <c r="A427">
        <v>31734770</v>
      </c>
      <c r="B427" t="s">
        <v>32767</v>
      </c>
      <c r="C427" t="s">
        <v>32768</v>
      </c>
      <c r="D427" t="s">
        <v>32769</v>
      </c>
      <c r="E427" t="s">
        <v>32770</v>
      </c>
      <c r="F427" t="s">
        <v>32214</v>
      </c>
      <c r="G427">
        <v>2019</v>
      </c>
      <c r="H427" s="1">
        <v>43787</v>
      </c>
      <c r="K427" t="s">
        <v>32771</v>
      </c>
    </row>
    <row r="428" spans="1:11" x14ac:dyDescent="0.15">
      <c r="A428">
        <v>29357442</v>
      </c>
      <c r="B428" t="s">
        <v>32772</v>
      </c>
      <c r="C428" t="s">
        <v>32773</v>
      </c>
      <c r="D428" t="s">
        <v>32774</v>
      </c>
      <c r="E428" t="s">
        <v>32775</v>
      </c>
      <c r="F428" t="s">
        <v>31835</v>
      </c>
      <c r="G428">
        <v>2018</v>
      </c>
      <c r="H428" s="1">
        <v>43124</v>
      </c>
      <c r="K428" t="s">
        <v>32776</v>
      </c>
    </row>
    <row r="429" spans="1:11" x14ac:dyDescent="0.15">
      <c r="A429">
        <v>23839527</v>
      </c>
      <c r="B429" t="s">
        <v>32777</v>
      </c>
      <c r="C429" t="s">
        <v>32778</v>
      </c>
      <c r="D429" t="s">
        <v>32779</v>
      </c>
      <c r="E429" t="s">
        <v>32600</v>
      </c>
      <c r="F429" t="s">
        <v>32780</v>
      </c>
      <c r="G429">
        <v>2014</v>
      </c>
      <c r="H429" s="1">
        <v>41466</v>
      </c>
      <c r="I429" t="s">
        <v>32781</v>
      </c>
      <c r="J429" t="s">
        <v>32782</v>
      </c>
      <c r="K429" t="s">
        <v>32783</v>
      </c>
    </row>
    <row r="430" spans="1:11" x14ac:dyDescent="0.15">
      <c r="A430">
        <v>31950173</v>
      </c>
      <c r="B430" t="s">
        <v>32784</v>
      </c>
      <c r="C430" t="s">
        <v>32785</v>
      </c>
      <c r="D430" t="s">
        <v>32786</v>
      </c>
      <c r="E430" t="s">
        <v>32787</v>
      </c>
      <c r="F430" t="s">
        <v>31587</v>
      </c>
      <c r="G430">
        <v>2020</v>
      </c>
      <c r="H430" s="1">
        <v>43848</v>
      </c>
      <c r="I430" t="s">
        <v>32788</v>
      </c>
      <c r="K430" t="s">
        <v>32789</v>
      </c>
    </row>
    <row r="431" spans="1:11" x14ac:dyDescent="0.15">
      <c r="A431">
        <v>25680078</v>
      </c>
      <c r="B431" t="s">
        <v>32790</v>
      </c>
      <c r="C431" t="s">
        <v>32791</v>
      </c>
      <c r="D431" t="s">
        <v>32792</v>
      </c>
      <c r="E431" t="s">
        <v>32793</v>
      </c>
      <c r="F431" t="s">
        <v>32470</v>
      </c>
      <c r="G431">
        <v>2015</v>
      </c>
      <c r="H431" s="1">
        <v>42049</v>
      </c>
      <c r="I431" t="s">
        <v>32794</v>
      </c>
      <c r="K431" t="s">
        <v>32795</v>
      </c>
    </row>
    <row r="432" spans="1:11" x14ac:dyDescent="0.15">
      <c r="A432">
        <v>18802920</v>
      </c>
      <c r="B432" t="s">
        <v>32796</v>
      </c>
      <c r="C432" t="s">
        <v>32797</v>
      </c>
      <c r="D432" t="s">
        <v>32798</v>
      </c>
      <c r="E432" t="s">
        <v>32799</v>
      </c>
      <c r="F432" t="s">
        <v>30988</v>
      </c>
      <c r="G432">
        <v>2008</v>
      </c>
      <c r="H432" s="1">
        <v>39711</v>
      </c>
      <c r="K432" t="s">
        <v>32800</v>
      </c>
    </row>
    <row r="433" spans="1:11" x14ac:dyDescent="0.15">
      <c r="A433">
        <v>34662248</v>
      </c>
      <c r="B433" t="s">
        <v>4279</v>
      </c>
      <c r="C433" t="s">
        <v>32801</v>
      </c>
      <c r="D433" t="s">
        <v>32802</v>
      </c>
      <c r="E433" t="s">
        <v>32803</v>
      </c>
      <c r="F433" t="s">
        <v>32804</v>
      </c>
      <c r="G433">
        <v>2022</v>
      </c>
      <c r="H433" s="1">
        <v>44487</v>
      </c>
      <c r="K433" t="s">
        <v>4289</v>
      </c>
    </row>
    <row r="434" spans="1:11" x14ac:dyDescent="0.15">
      <c r="A434">
        <v>22612287</v>
      </c>
      <c r="B434" t="s">
        <v>32805</v>
      </c>
      <c r="C434" t="s">
        <v>32806</v>
      </c>
      <c r="D434" t="s">
        <v>32807</v>
      </c>
      <c r="E434" t="s">
        <v>32195</v>
      </c>
      <c r="F434" t="s">
        <v>31654</v>
      </c>
      <c r="G434">
        <v>2012</v>
      </c>
      <c r="H434" s="1">
        <v>41052</v>
      </c>
      <c r="K434" t="s">
        <v>32808</v>
      </c>
    </row>
    <row r="435" spans="1:11" x14ac:dyDescent="0.15">
      <c r="A435">
        <v>22074924</v>
      </c>
      <c r="B435" t="s">
        <v>32809</v>
      </c>
      <c r="C435" t="s">
        <v>32810</v>
      </c>
      <c r="D435" t="s">
        <v>32811</v>
      </c>
      <c r="E435" t="s">
        <v>32812</v>
      </c>
      <c r="F435" t="s">
        <v>31594</v>
      </c>
      <c r="G435">
        <v>2012</v>
      </c>
      <c r="H435" s="1">
        <v>40862</v>
      </c>
      <c r="I435" t="s">
        <v>32813</v>
      </c>
      <c r="K435" t="s">
        <v>32814</v>
      </c>
    </row>
    <row r="436" spans="1:11" x14ac:dyDescent="0.15">
      <c r="A436">
        <v>19692638</v>
      </c>
      <c r="B436" t="s">
        <v>32815</v>
      </c>
      <c r="C436" t="s">
        <v>32816</v>
      </c>
      <c r="D436" t="s">
        <v>32817</v>
      </c>
      <c r="E436" t="s">
        <v>32818</v>
      </c>
      <c r="F436" t="s">
        <v>32819</v>
      </c>
      <c r="G436">
        <v>2009</v>
      </c>
      <c r="H436" s="1">
        <v>40046</v>
      </c>
      <c r="I436" t="s">
        <v>32820</v>
      </c>
      <c r="J436" t="s">
        <v>32821</v>
      </c>
      <c r="K436" t="s">
        <v>14930</v>
      </c>
    </row>
    <row r="437" spans="1:11" x14ac:dyDescent="0.15">
      <c r="A437">
        <v>31820935</v>
      </c>
      <c r="B437" t="s">
        <v>10631</v>
      </c>
      <c r="C437" t="s">
        <v>32822</v>
      </c>
      <c r="D437" t="s">
        <v>32823</v>
      </c>
      <c r="E437" t="s">
        <v>32824</v>
      </c>
      <c r="F437" t="s">
        <v>31781</v>
      </c>
      <c r="G437">
        <v>2019</v>
      </c>
      <c r="H437" s="1">
        <v>43810</v>
      </c>
      <c r="K437" t="s">
        <v>10638</v>
      </c>
    </row>
    <row r="438" spans="1:11" x14ac:dyDescent="0.15">
      <c r="A438">
        <v>24379393</v>
      </c>
      <c r="B438" t="s">
        <v>32825</v>
      </c>
      <c r="C438" t="s">
        <v>32826</v>
      </c>
      <c r="D438" t="s">
        <v>32827</v>
      </c>
      <c r="E438" t="s">
        <v>32828</v>
      </c>
      <c r="F438" t="s">
        <v>30767</v>
      </c>
      <c r="G438">
        <v>2014</v>
      </c>
      <c r="H438" s="1">
        <v>41640</v>
      </c>
      <c r="I438" t="s">
        <v>32829</v>
      </c>
      <c r="K438" t="s">
        <v>32830</v>
      </c>
    </row>
    <row r="439" spans="1:11" x14ac:dyDescent="0.15">
      <c r="A439">
        <v>22348503</v>
      </c>
      <c r="B439" t="s">
        <v>32831</v>
      </c>
      <c r="C439" t="s">
        <v>32832</v>
      </c>
      <c r="D439" t="s">
        <v>32833</v>
      </c>
      <c r="E439" t="s">
        <v>32834</v>
      </c>
      <c r="F439" t="s">
        <v>2064</v>
      </c>
      <c r="G439">
        <v>2012</v>
      </c>
      <c r="H439" s="1">
        <v>40961</v>
      </c>
      <c r="I439" t="s">
        <v>32835</v>
      </c>
      <c r="K439" t="s">
        <v>32836</v>
      </c>
    </row>
    <row r="440" spans="1:11" x14ac:dyDescent="0.15">
      <c r="A440">
        <v>24948658</v>
      </c>
      <c r="B440" t="s">
        <v>29431</v>
      </c>
      <c r="C440" t="s">
        <v>32837</v>
      </c>
      <c r="D440" t="s">
        <v>32838</v>
      </c>
      <c r="E440" t="s">
        <v>32839</v>
      </c>
      <c r="F440" t="s">
        <v>30600</v>
      </c>
      <c r="G440">
        <v>2014</v>
      </c>
      <c r="H440" s="1">
        <v>41811</v>
      </c>
      <c r="I440" t="s">
        <v>32840</v>
      </c>
      <c r="K440" t="s">
        <v>29437</v>
      </c>
    </row>
    <row r="441" spans="1:11" x14ac:dyDescent="0.15">
      <c r="A441">
        <v>23590857</v>
      </c>
      <c r="B441" t="s">
        <v>32841</v>
      </c>
      <c r="C441" t="s">
        <v>32842</v>
      </c>
      <c r="D441" t="s">
        <v>32843</v>
      </c>
      <c r="E441" t="s">
        <v>32844</v>
      </c>
      <c r="F441" t="s">
        <v>31800</v>
      </c>
      <c r="G441">
        <v>2013</v>
      </c>
      <c r="H441" s="1">
        <v>41382</v>
      </c>
      <c r="I441" t="s">
        <v>32845</v>
      </c>
      <c r="K441" t="s">
        <v>17817</v>
      </c>
    </row>
    <row r="442" spans="1:11" x14ac:dyDescent="0.15">
      <c r="A442">
        <v>35624495</v>
      </c>
      <c r="B442" t="s">
        <v>25985</v>
      </c>
      <c r="C442" t="s">
        <v>32846</v>
      </c>
      <c r="D442" t="s">
        <v>32847</v>
      </c>
      <c r="E442" t="s">
        <v>32848</v>
      </c>
      <c r="F442" t="s">
        <v>32849</v>
      </c>
      <c r="G442">
        <v>2022</v>
      </c>
      <c r="H442" s="1">
        <v>44708</v>
      </c>
      <c r="I442" t="s">
        <v>32850</v>
      </c>
      <c r="K442" t="s">
        <v>25998</v>
      </c>
    </row>
    <row r="443" spans="1:11" x14ac:dyDescent="0.15">
      <c r="A443">
        <v>24873886</v>
      </c>
      <c r="B443" t="s">
        <v>32851</v>
      </c>
      <c r="C443" t="s">
        <v>32852</v>
      </c>
      <c r="D443" t="s">
        <v>32853</v>
      </c>
      <c r="E443" t="s">
        <v>32535</v>
      </c>
      <c r="F443" t="s">
        <v>32854</v>
      </c>
      <c r="G443">
        <v>2014</v>
      </c>
      <c r="H443" s="1">
        <v>41790</v>
      </c>
      <c r="I443" t="s">
        <v>32855</v>
      </c>
      <c r="J443" t="s">
        <v>32856</v>
      </c>
      <c r="K443" t="s">
        <v>32857</v>
      </c>
    </row>
    <row r="444" spans="1:11" x14ac:dyDescent="0.15">
      <c r="A444">
        <v>18987139</v>
      </c>
      <c r="B444" t="s">
        <v>32858</v>
      </c>
      <c r="C444" t="s">
        <v>32859</v>
      </c>
      <c r="D444" t="s">
        <v>32860</v>
      </c>
      <c r="E444" t="s">
        <v>32861</v>
      </c>
      <c r="F444" t="s">
        <v>31970</v>
      </c>
      <c r="G444">
        <v>2009</v>
      </c>
      <c r="H444" s="1">
        <v>39759</v>
      </c>
      <c r="I444" t="s">
        <v>32862</v>
      </c>
      <c r="K444" t="s">
        <v>14336</v>
      </c>
    </row>
    <row r="445" spans="1:11" x14ac:dyDescent="0.15">
      <c r="A445">
        <v>25856674</v>
      </c>
      <c r="B445" t="s">
        <v>32863</v>
      </c>
      <c r="C445" t="s">
        <v>32864</v>
      </c>
      <c r="D445" t="s">
        <v>32865</v>
      </c>
      <c r="E445" t="s">
        <v>32866</v>
      </c>
      <c r="F445" t="s">
        <v>32509</v>
      </c>
      <c r="G445">
        <v>2015</v>
      </c>
      <c r="H445" s="1">
        <v>42104</v>
      </c>
      <c r="I445" t="s">
        <v>32867</v>
      </c>
      <c r="K445" t="s">
        <v>32868</v>
      </c>
    </row>
    <row r="446" spans="1:11" x14ac:dyDescent="0.15">
      <c r="A446">
        <v>23315742</v>
      </c>
      <c r="B446" t="s">
        <v>32869</v>
      </c>
      <c r="C446" t="s">
        <v>32870</v>
      </c>
      <c r="D446" t="s">
        <v>32871</v>
      </c>
      <c r="E446" t="s">
        <v>32872</v>
      </c>
      <c r="F446" t="s">
        <v>32165</v>
      </c>
      <c r="G446">
        <v>2013</v>
      </c>
      <c r="H446" s="1">
        <v>41289</v>
      </c>
      <c r="I446" t="s">
        <v>32873</v>
      </c>
      <c r="K446" t="s">
        <v>32874</v>
      </c>
    </row>
    <row r="447" spans="1:11" x14ac:dyDescent="0.15">
      <c r="A447">
        <v>29192155</v>
      </c>
      <c r="B447" t="s">
        <v>26832</v>
      </c>
      <c r="C447" t="s">
        <v>32875</v>
      </c>
      <c r="D447" t="s">
        <v>32876</v>
      </c>
      <c r="E447" t="s">
        <v>32877</v>
      </c>
      <c r="F447" t="s">
        <v>30834</v>
      </c>
      <c r="G447">
        <v>2017</v>
      </c>
      <c r="H447" s="1">
        <v>43071</v>
      </c>
      <c r="I447" t="s">
        <v>32878</v>
      </c>
      <c r="K447" t="s">
        <v>26839</v>
      </c>
    </row>
    <row r="448" spans="1:11" x14ac:dyDescent="0.15">
      <c r="A448">
        <v>25339697</v>
      </c>
      <c r="B448" t="s">
        <v>32879</v>
      </c>
      <c r="C448" t="s">
        <v>32880</v>
      </c>
      <c r="D448" t="s">
        <v>32881</v>
      </c>
      <c r="E448" t="s">
        <v>32882</v>
      </c>
      <c r="F448" t="s">
        <v>31835</v>
      </c>
      <c r="G448">
        <v>2014</v>
      </c>
      <c r="H448" s="1">
        <v>41936</v>
      </c>
      <c r="K448" t="s">
        <v>32883</v>
      </c>
    </row>
    <row r="449" spans="1:11" x14ac:dyDescent="0.15">
      <c r="A449">
        <v>35199894</v>
      </c>
      <c r="B449" t="s">
        <v>7723</v>
      </c>
      <c r="C449" t="s">
        <v>32884</v>
      </c>
      <c r="D449" t="s">
        <v>32885</v>
      </c>
      <c r="E449" t="s">
        <v>32886</v>
      </c>
      <c r="F449" t="s">
        <v>32887</v>
      </c>
      <c r="G449">
        <v>2022</v>
      </c>
      <c r="H449" s="1">
        <v>44616</v>
      </c>
      <c r="K449" t="s">
        <v>7732</v>
      </c>
    </row>
    <row r="450" spans="1:11" x14ac:dyDescent="0.15">
      <c r="A450">
        <v>34791687</v>
      </c>
      <c r="B450" t="s">
        <v>32888</v>
      </c>
      <c r="C450" t="s">
        <v>32889</v>
      </c>
      <c r="D450" t="s">
        <v>32890</v>
      </c>
      <c r="E450" t="s">
        <v>32770</v>
      </c>
      <c r="F450" t="s">
        <v>32424</v>
      </c>
      <c r="G450">
        <v>2022</v>
      </c>
      <c r="H450" s="1">
        <v>44518</v>
      </c>
      <c r="K450" t="s">
        <v>32891</v>
      </c>
    </row>
    <row r="451" spans="1:11" x14ac:dyDescent="0.15">
      <c r="A451">
        <v>22505472</v>
      </c>
      <c r="B451" t="s">
        <v>32892</v>
      </c>
      <c r="C451" t="s">
        <v>32893</v>
      </c>
      <c r="D451" t="s">
        <v>32894</v>
      </c>
      <c r="E451" t="s">
        <v>32895</v>
      </c>
      <c r="F451" t="s">
        <v>32264</v>
      </c>
      <c r="G451">
        <v>2012</v>
      </c>
      <c r="H451" s="1">
        <v>41016</v>
      </c>
      <c r="K451" t="s">
        <v>32896</v>
      </c>
    </row>
    <row r="452" spans="1:11" x14ac:dyDescent="0.15">
      <c r="A452">
        <v>25477253</v>
      </c>
      <c r="B452" t="s">
        <v>32897</v>
      </c>
      <c r="C452" t="s">
        <v>32898</v>
      </c>
      <c r="D452" t="s">
        <v>32899</v>
      </c>
      <c r="E452" t="s">
        <v>30674</v>
      </c>
      <c r="F452" t="s">
        <v>32900</v>
      </c>
      <c r="G452">
        <v>2015</v>
      </c>
      <c r="H452" s="1">
        <v>41979</v>
      </c>
      <c r="K452" t="s">
        <v>28798</v>
      </c>
    </row>
    <row r="453" spans="1:11" x14ac:dyDescent="0.15">
      <c r="A453">
        <v>21282980</v>
      </c>
      <c r="B453" t="s">
        <v>32901</v>
      </c>
      <c r="C453" t="s">
        <v>32902</v>
      </c>
      <c r="D453" t="s">
        <v>32903</v>
      </c>
      <c r="E453" t="s">
        <v>32904</v>
      </c>
      <c r="F453" t="s">
        <v>31659</v>
      </c>
      <c r="G453">
        <v>2011</v>
      </c>
      <c r="H453" s="1">
        <v>40576</v>
      </c>
      <c r="I453" t="s">
        <v>32905</v>
      </c>
      <c r="K453" t="s">
        <v>32906</v>
      </c>
    </row>
    <row r="454" spans="1:11" x14ac:dyDescent="0.15">
      <c r="A454">
        <v>35179366</v>
      </c>
      <c r="B454" t="s">
        <v>13536</v>
      </c>
      <c r="C454" t="s">
        <v>32907</v>
      </c>
      <c r="D454" t="s">
        <v>32908</v>
      </c>
      <c r="E454" t="s">
        <v>32562</v>
      </c>
      <c r="F454" t="s">
        <v>30956</v>
      </c>
      <c r="G454">
        <v>2022</v>
      </c>
      <c r="H454" s="1">
        <v>44610</v>
      </c>
      <c r="K454" t="s">
        <v>13545</v>
      </c>
    </row>
    <row r="455" spans="1:11" x14ac:dyDescent="0.15">
      <c r="A455">
        <v>24798520</v>
      </c>
      <c r="B455" t="s">
        <v>8655</v>
      </c>
      <c r="C455" t="s">
        <v>32909</v>
      </c>
      <c r="D455" t="s">
        <v>32910</v>
      </c>
      <c r="E455" t="s">
        <v>32911</v>
      </c>
      <c r="F455" t="s">
        <v>32912</v>
      </c>
      <c r="G455">
        <v>2014</v>
      </c>
      <c r="H455" s="1">
        <v>41766</v>
      </c>
      <c r="K455" t="s">
        <v>8668</v>
      </c>
    </row>
    <row r="456" spans="1:11" x14ac:dyDescent="0.15">
      <c r="A456">
        <v>35081499</v>
      </c>
      <c r="B456" t="s">
        <v>32913</v>
      </c>
      <c r="C456" t="s">
        <v>32914</v>
      </c>
      <c r="D456" t="s">
        <v>32915</v>
      </c>
      <c r="E456" t="s">
        <v>32916</v>
      </c>
      <c r="F456" t="s">
        <v>32654</v>
      </c>
      <c r="G456">
        <v>2022</v>
      </c>
      <c r="H456" s="1">
        <v>44587</v>
      </c>
      <c r="K456" t="s">
        <v>15322</v>
      </c>
    </row>
    <row r="457" spans="1:11" x14ac:dyDescent="0.15">
      <c r="A457">
        <v>30417099</v>
      </c>
      <c r="B457" t="s">
        <v>23799</v>
      </c>
      <c r="C457" t="s">
        <v>32917</v>
      </c>
      <c r="D457" t="s">
        <v>32918</v>
      </c>
      <c r="E457" t="s">
        <v>32919</v>
      </c>
      <c r="F457" t="s">
        <v>30758</v>
      </c>
      <c r="G457">
        <v>2018</v>
      </c>
      <c r="H457" s="1">
        <v>43417</v>
      </c>
      <c r="I457" t="s">
        <v>32920</v>
      </c>
      <c r="K457" t="s">
        <v>23809</v>
      </c>
    </row>
    <row r="458" spans="1:11" x14ac:dyDescent="0.15">
      <c r="A458">
        <v>27557622</v>
      </c>
      <c r="B458" t="s">
        <v>32921</v>
      </c>
      <c r="C458" t="s">
        <v>32922</v>
      </c>
      <c r="D458" t="s">
        <v>32923</v>
      </c>
      <c r="E458" t="s">
        <v>32924</v>
      </c>
      <c r="F458" t="s">
        <v>31155</v>
      </c>
      <c r="G458">
        <v>2016</v>
      </c>
      <c r="H458" s="1">
        <v>42608</v>
      </c>
      <c r="I458" t="s">
        <v>32925</v>
      </c>
      <c r="K458" t="s">
        <v>32926</v>
      </c>
    </row>
    <row r="459" spans="1:11" x14ac:dyDescent="0.15">
      <c r="A459">
        <v>31285775</v>
      </c>
      <c r="B459" t="s">
        <v>32927</v>
      </c>
      <c r="C459" t="s">
        <v>32928</v>
      </c>
      <c r="D459" t="s">
        <v>32929</v>
      </c>
      <c r="E459" t="s">
        <v>31624</v>
      </c>
      <c r="F459" t="s">
        <v>30588</v>
      </c>
      <c r="G459">
        <v>2019</v>
      </c>
      <c r="H459" s="1">
        <v>43656</v>
      </c>
      <c r="I459" t="s">
        <v>32930</v>
      </c>
      <c r="K459" t="s">
        <v>32931</v>
      </c>
    </row>
    <row r="460" spans="1:11" x14ac:dyDescent="0.15">
      <c r="A460">
        <v>23620794</v>
      </c>
      <c r="B460" t="s">
        <v>32932</v>
      </c>
      <c r="C460" t="s">
        <v>32933</v>
      </c>
      <c r="D460" t="s">
        <v>32934</v>
      </c>
      <c r="E460" t="s">
        <v>32935</v>
      </c>
      <c r="F460" t="s">
        <v>31639</v>
      </c>
      <c r="G460">
        <v>2013</v>
      </c>
      <c r="H460" s="1">
        <v>41391</v>
      </c>
      <c r="I460" t="s">
        <v>32936</v>
      </c>
      <c r="K460" t="s">
        <v>17886</v>
      </c>
    </row>
    <row r="461" spans="1:11" x14ac:dyDescent="0.15">
      <c r="A461">
        <v>35029990</v>
      </c>
      <c r="B461" t="s">
        <v>18178</v>
      </c>
      <c r="C461" t="s">
        <v>32937</v>
      </c>
      <c r="D461" t="s">
        <v>32938</v>
      </c>
      <c r="E461" t="s">
        <v>31080</v>
      </c>
      <c r="F461" t="s">
        <v>30956</v>
      </c>
      <c r="G461">
        <v>2022</v>
      </c>
      <c r="H461" s="1">
        <v>44575</v>
      </c>
      <c r="K461" t="s">
        <v>18184</v>
      </c>
    </row>
    <row r="462" spans="1:11" x14ac:dyDescent="0.15">
      <c r="A462">
        <v>23922679</v>
      </c>
      <c r="B462" t="s">
        <v>32939</v>
      </c>
      <c r="C462" t="s">
        <v>32940</v>
      </c>
      <c r="D462" t="s">
        <v>32941</v>
      </c>
      <c r="E462" t="s">
        <v>32942</v>
      </c>
      <c r="F462" t="s">
        <v>31639</v>
      </c>
      <c r="G462">
        <v>2013</v>
      </c>
      <c r="H462" s="1">
        <v>41494</v>
      </c>
      <c r="I462" t="s">
        <v>32943</v>
      </c>
      <c r="K462" t="s">
        <v>32944</v>
      </c>
    </row>
    <row r="463" spans="1:11" x14ac:dyDescent="0.15">
      <c r="A463">
        <v>26047659</v>
      </c>
      <c r="B463" t="s">
        <v>32945</v>
      </c>
      <c r="C463" t="s">
        <v>32946</v>
      </c>
      <c r="D463" t="s">
        <v>32947</v>
      </c>
      <c r="E463" t="s">
        <v>32948</v>
      </c>
      <c r="F463" t="s">
        <v>30876</v>
      </c>
      <c r="G463">
        <v>2015</v>
      </c>
      <c r="H463" s="1">
        <v>42162</v>
      </c>
      <c r="K463" t="s">
        <v>32949</v>
      </c>
    </row>
    <row r="464" spans="1:11" x14ac:dyDescent="0.15">
      <c r="A464">
        <v>24474753</v>
      </c>
      <c r="B464" t="s">
        <v>23785</v>
      </c>
      <c r="C464" t="s">
        <v>32950</v>
      </c>
      <c r="D464" t="s">
        <v>32951</v>
      </c>
      <c r="E464" t="s">
        <v>32952</v>
      </c>
      <c r="F464" t="s">
        <v>30767</v>
      </c>
      <c r="G464">
        <v>2014</v>
      </c>
      <c r="H464" s="1">
        <v>41669</v>
      </c>
      <c r="I464" t="s">
        <v>32953</v>
      </c>
      <c r="K464" t="s">
        <v>23795</v>
      </c>
    </row>
    <row r="465" spans="1:11" x14ac:dyDescent="0.15">
      <c r="A465">
        <v>29069893</v>
      </c>
      <c r="B465" t="s">
        <v>15170</v>
      </c>
      <c r="C465" t="s">
        <v>32954</v>
      </c>
      <c r="D465" t="s">
        <v>32955</v>
      </c>
      <c r="E465" t="s">
        <v>32956</v>
      </c>
      <c r="F465" t="s">
        <v>30956</v>
      </c>
      <c r="G465">
        <v>2017</v>
      </c>
      <c r="H465" s="1">
        <v>43035</v>
      </c>
      <c r="I465" t="s">
        <v>32957</v>
      </c>
      <c r="J465" t="s">
        <v>32958</v>
      </c>
      <c r="K465" t="s">
        <v>15178</v>
      </c>
    </row>
    <row r="466" spans="1:11" x14ac:dyDescent="0.15">
      <c r="A466">
        <v>35044159</v>
      </c>
      <c r="B466" t="s">
        <v>17275</v>
      </c>
      <c r="C466" t="s">
        <v>32959</v>
      </c>
      <c r="D466" t="s">
        <v>32960</v>
      </c>
      <c r="E466" t="s">
        <v>32961</v>
      </c>
      <c r="F466" t="s">
        <v>30956</v>
      </c>
      <c r="G466">
        <v>2022</v>
      </c>
      <c r="H466" s="1">
        <v>44580</v>
      </c>
      <c r="K466" t="s">
        <v>17284</v>
      </c>
    </row>
    <row r="467" spans="1:11" x14ac:dyDescent="0.15">
      <c r="A467">
        <v>21289488</v>
      </c>
      <c r="B467" t="s">
        <v>32962</v>
      </c>
      <c r="C467" t="s">
        <v>32963</v>
      </c>
      <c r="D467" t="s">
        <v>32964</v>
      </c>
      <c r="E467" t="s">
        <v>32965</v>
      </c>
      <c r="F467" t="s">
        <v>31659</v>
      </c>
      <c r="G467">
        <v>2011</v>
      </c>
      <c r="H467" s="1">
        <v>40578</v>
      </c>
      <c r="I467" t="s">
        <v>32966</v>
      </c>
      <c r="K467" t="s">
        <v>32967</v>
      </c>
    </row>
    <row r="468" spans="1:11" x14ac:dyDescent="0.15">
      <c r="A468">
        <v>31551298</v>
      </c>
      <c r="B468" t="s">
        <v>32968</v>
      </c>
      <c r="C468" t="s">
        <v>32969</v>
      </c>
      <c r="D468" t="s">
        <v>32970</v>
      </c>
      <c r="E468" t="s">
        <v>32971</v>
      </c>
      <c r="F468" t="s">
        <v>11924</v>
      </c>
      <c r="G468">
        <v>2019</v>
      </c>
      <c r="H468" s="1">
        <v>43734</v>
      </c>
      <c r="I468" t="s">
        <v>32972</v>
      </c>
      <c r="K468" t="s">
        <v>32973</v>
      </c>
    </row>
    <row r="469" spans="1:11" x14ac:dyDescent="0.15">
      <c r="A469">
        <v>35758600</v>
      </c>
      <c r="B469" t="s">
        <v>27093</v>
      </c>
      <c r="C469" t="s">
        <v>32974</v>
      </c>
      <c r="D469" t="s">
        <v>32975</v>
      </c>
      <c r="E469" t="s">
        <v>32824</v>
      </c>
      <c r="F469" t="s">
        <v>30956</v>
      </c>
      <c r="G469">
        <v>2022</v>
      </c>
      <c r="H469" s="1">
        <v>44739</v>
      </c>
      <c r="K469" t="s">
        <v>27101</v>
      </c>
    </row>
    <row r="470" spans="1:11" x14ac:dyDescent="0.15">
      <c r="A470">
        <v>35688134</v>
      </c>
      <c r="B470" t="s">
        <v>32976</v>
      </c>
      <c r="C470" t="s">
        <v>32977</v>
      </c>
      <c r="D470" t="s">
        <v>32978</v>
      </c>
      <c r="E470" t="s">
        <v>32979</v>
      </c>
      <c r="F470" t="s">
        <v>30555</v>
      </c>
      <c r="G470">
        <v>2022</v>
      </c>
      <c r="H470" s="1">
        <v>44722</v>
      </c>
      <c r="I470" t="s">
        <v>32980</v>
      </c>
      <c r="J470" t="s">
        <v>32981</v>
      </c>
      <c r="K470" t="s">
        <v>32982</v>
      </c>
    </row>
    <row r="471" spans="1:11" x14ac:dyDescent="0.15">
      <c r="A471">
        <v>35778435</v>
      </c>
      <c r="B471" t="s">
        <v>15647</v>
      </c>
      <c r="C471" t="s">
        <v>32983</v>
      </c>
      <c r="D471" t="s">
        <v>32984</v>
      </c>
      <c r="E471" t="s">
        <v>32985</v>
      </c>
      <c r="F471" t="s">
        <v>32377</v>
      </c>
      <c r="G471">
        <v>2022</v>
      </c>
      <c r="H471" s="1">
        <v>44743</v>
      </c>
      <c r="I471" t="s">
        <v>32986</v>
      </c>
      <c r="K471" t="s">
        <v>15654</v>
      </c>
    </row>
    <row r="472" spans="1:11" x14ac:dyDescent="0.15">
      <c r="A472">
        <v>31150422</v>
      </c>
      <c r="B472" t="s">
        <v>32987</v>
      </c>
      <c r="C472" t="s">
        <v>32988</v>
      </c>
      <c r="D472" t="s">
        <v>32989</v>
      </c>
      <c r="E472" t="s">
        <v>32990</v>
      </c>
      <c r="F472" t="s">
        <v>31639</v>
      </c>
      <c r="G472">
        <v>2019</v>
      </c>
      <c r="H472" s="1">
        <v>43617</v>
      </c>
      <c r="I472" t="s">
        <v>32991</v>
      </c>
      <c r="K472" t="s">
        <v>32992</v>
      </c>
    </row>
    <row r="473" spans="1:11" x14ac:dyDescent="0.15">
      <c r="A473">
        <v>34426211</v>
      </c>
      <c r="B473" t="s">
        <v>19881</v>
      </c>
      <c r="C473" t="s">
        <v>32993</v>
      </c>
      <c r="D473" t="s">
        <v>32994</v>
      </c>
      <c r="E473" t="s">
        <v>32995</v>
      </c>
      <c r="F473" t="s">
        <v>32996</v>
      </c>
      <c r="G473">
        <v>2022</v>
      </c>
      <c r="H473" s="1">
        <v>44432</v>
      </c>
      <c r="K473" t="s">
        <v>19892</v>
      </c>
    </row>
    <row r="474" spans="1:11" x14ac:dyDescent="0.15">
      <c r="A474">
        <v>35042294</v>
      </c>
      <c r="B474" t="s">
        <v>10008</v>
      </c>
      <c r="C474" t="s">
        <v>32997</v>
      </c>
      <c r="D474" t="s">
        <v>32998</v>
      </c>
      <c r="E474" t="s">
        <v>32999</v>
      </c>
      <c r="F474" t="s">
        <v>30956</v>
      </c>
      <c r="G474">
        <v>2022</v>
      </c>
      <c r="H474" s="1">
        <v>44580</v>
      </c>
      <c r="K474" t="s">
        <v>10017</v>
      </c>
    </row>
    <row r="475" spans="1:11" x14ac:dyDescent="0.15">
      <c r="A475">
        <v>18852879</v>
      </c>
      <c r="B475" t="s">
        <v>33000</v>
      </c>
      <c r="C475" t="s">
        <v>33001</v>
      </c>
      <c r="D475" t="s">
        <v>33002</v>
      </c>
      <c r="E475" t="s">
        <v>33003</v>
      </c>
      <c r="F475" t="s">
        <v>31639</v>
      </c>
      <c r="G475">
        <v>2008</v>
      </c>
      <c r="H475" s="1">
        <v>39736</v>
      </c>
      <c r="I475" t="s">
        <v>33004</v>
      </c>
      <c r="K475" t="s">
        <v>16557</v>
      </c>
    </row>
    <row r="476" spans="1:11" x14ac:dyDescent="0.15">
      <c r="A476">
        <v>24563408</v>
      </c>
      <c r="B476" t="s">
        <v>24712</v>
      </c>
      <c r="C476" t="s">
        <v>33005</v>
      </c>
      <c r="D476" t="s">
        <v>33006</v>
      </c>
      <c r="E476" t="s">
        <v>33007</v>
      </c>
      <c r="F476" t="s">
        <v>30600</v>
      </c>
      <c r="G476">
        <v>2014</v>
      </c>
      <c r="H476" s="1">
        <v>41695</v>
      </c>
      <c r="K476" t="s">
        <v>24721</v>
      </c>
    </row>
    <row r="477" spans="1:11" x14ac:dyDescent="0.15">
      <c r="A477">
        <v>25086355</v>
      </c>
      <c r="B477" t="s">
        <v>6044</v>
      </c>
      <c r="C477" t="s">
        <v>33008</v>
      </c>
      <c r="D477" t="s">
        <v>33009</v>
      </c>
      <c r="E477" t="s">
        <v>31873</v>
      </c>
      <c r="F477" t="s">
        <v>32654</v>
      </c>
      <c r="G477">
        <v>2014</v>
      </c>
      <c r="H477" s="1">
        <v>41854</v>
      </c>
      <c r="K477" t="s">
        <v>6053</v>
      </c>
    </row>
    <row r="478" spans="1:11" x14ac:dyDescent="0.15">
      <c r="A478">
        <v>23284625</v>
      </c>
      <c r="B478" t="s">
        <v>33010</v>
      </c>
      <c r="C478" t="s">
        <v>33011</v>
      </c>
      <c r="D478" t="s">
        <v>33012</v>
      </c>
      <c r="E478" t="s">
        <v>33013</v>
      </c>
      <c r="F478" t="s">
        <v>31639</v>
      </c>
      <c r="G478">
        <v>2012</v>
      </c>
      <c r="H478" s="1">
        <v>41278</v>
      </c>
      <c r="I478" t="s">
        <v>33014</v>
      </c>
      <c r="K478" t="s">
        <v>33015</v>
      </c>
    </row>
    <row r="479" spans="1:11" x14ac:dyDescent="0.15">
      <c r="A479">
        <v>27863241</v>
      </c>
      <c r="B479" t="s">
        <v>33016</v>
      </c>
      <c r="C479" t="s">
        <v>33017</v>
      </c>
      <c r="D479" t="s">
        <v>33018</v>
      </c>
      <c r="E479" t="s">
        <v>33019</v>
      </c>
      <c r="F479" t="s">
        <v>30555</v>
      </c>
      <c r="G479">
        <v>2016</v>
      </c>
      <c r="H479" s="1">
        <v>42693</v>
      </c>
      <c r="K479" t="s">
        <v>33020</v>
      </c>
    </row>
    <row r="480" spans="1:11" x14ac:dyDescent="0.15">
      <c r="A480">
        <v>22786771</v>
      </c>
      <c r="B480" t="s">
        <v>33021</v>
      </c>
      <c r="C480" t="s">
        <v>33022</v>
      </c>
      <c r="D480" t="s">
        <v>33023</v>
      </c>
      <c r="E480" t="s">
        <v>33024</v>
      </c>
      <c r="F480" t="s">
        <v>32819</v>
      </c>
      <c r="G480">
        <v>2012</v>
      </c>
      <c r="H480" s="1">
        <v>41103</v>
      </c>
      <c r="K480" t="s">
        <v>33025</v>
      </c>
    </row>
    <row r="481" spans="1:11" x14ac:dyDescent="0.15">
      <c r="A481">
        <v>22235295</v>
      </c>
      <c r="B481" t="s">
        <v>33026</v>
      </c>
      <c r="C481" t="s">
        <v>33027</v>
      </c>
      <c r="D481" t="s">
        <v>33028</v>
      </c>
      <c r="E481" t="s">
        <v>33029</v>
      </c>
      <c r="F481" t="s">
        <v>31639</v>
      </c>
      <c r="G481">
        <v>2012</v>
      </c>
      <c r="H481" s="1">
        <v>40920</v>
      </c>
      <c r="I481" t="s">
        <v>33030</v>
      </c>
      <c r="K481" t="s">
        <v>33031</v>
      </c>
    </row>
    <row r="482" spans="1:11" x14ac:dyDescent="0.15">
      <c r="A482">
        <v>24773308</v>
      </c>
      <c r="B482" t="s">
        <v>33032</v>
      </c>
      <c r="C482" t="s">
        <v>33033</v>
      </c>
      <c r="D482" t="s">
        <v>33034</v>
      </c>
      <c r="E482" t="s">
        <v>33035</v>
      </c>
      <c r="F482" t="s">
        <v>33036</v>
      </c>
      <c r="G482">
        <v>2014</v>
      </c>
      <c r="H482" s="1">
        <v>41759</v>
      </c>
      <c r="I482" t="s">
        <v>33037</v>
      </c>
      <c r="K482" t="s">
        <v>33038</v>
      </c>
    </row>
    <row r="483" spans="1:11" x14ac:dyDescent="0.15">
      <c r="A483">
        <v>27443190</v>
      </c>
      <c r="B483" t="s">
        <v>23407</v>
      </c>
      <c r="C483" t="s">
        <v>33039</v>
      </c>
      <c r="D483" t="s">
        <v>33040</v>
      </c>
      <c r="E483" t="s">
        <v>33041</v>
      </c>
      <c r="F483" t="s">
        <v>30834</v>
      </c>
      <c r="G483">
        <v>2016</v>
      </c>
      <c r="H483" s="1">
        <v>42574</v>
      </c>
      <c r="I483" t="s">
        <v>33042</v>
      </c>
      <c r="K483" t="s">
        <v>23415</v>
      </c>
    </row>
    <row r="484" spans="1:11" x14ac:dyDescent="0.15">
      <c r="A484">
        <v>24992257</v>
      </c>
      <c r="B484" t="s">
        <v>33043</v>
      </c>
      <c r="C484" t="s">
        <v>33044</v>
      </c>
      <c r="D484" t="s">
        <v>33045</v>
      </c>
      <c r="E484" t="s">
        <v>33046</v>
      </c>
      <c r="F484" t="s">
        <v>31639</v>
      </c>
      <c r="G484">
        <v>2014</v>
      </c>
      <c r="H484" s="1">
        <v>41824</v>
      </c>
      <c r="I484" t="s">
        <v>33047</v>
      </c>
      <c r="K484" t="s">
        <v>15925</v>
      </c>
    </row>
    <row r="485" spans="1:11" x14ac:dyDescent="0.15">
      <c r="A485">
        <v>22740476</v>
      </c>
      <c r="B485" t="s">
        <v>26503</v>
      </c>
      <c r="C485" t="s">
        <v>33048</v>
      </c>
      <c r="D485" t="s">
        <v>33049</v>
      </c>
      <c r="E485" t="s">
        <v>33050</v>
      </c>
      <c r="F485" t="s">
        <v>32424</v>
      </c>
      <c r="G485">
        <v>2012</v>
      </c>
      <c r="H485" s="1">
        <v>41089</v>
      </c>
      <c r="K485" t="s">
        <v>26512</v>
      </c>
    </row>
    <row r="486" spans="1:11" x14ac:dyDescent="0.15">
      <c r="A486">
        <v>35094679</v>
      </c>
      <c r="B486" t="s">
        <v>19541</v>
      </c>
      <c r="C486" t="s">
        <v>33051</v>
      </c>
      <c r="D486" t="s">
        <v>33052</v>
      </c>
      <c r="E486" t="s">
        <v>33053</v>
      </c>
      <c r="F486" t="s">
        <v>33054</v>
      </c>
      <c r="G486">
        <v>2022</v>
      </c>
      <c r="H486" s="1">
        <v>44592</v>
      </c>
      <c r="I486" t="s">
        <v>33055</v>
      </c>
      <c r="K486" t="s">
        <v>19552</v>
      </c>
    </row>
    <row r="487" spans="1:11" x14ac:dyDescent="0.15">
      <c r="A487">
        <v>26289026</v>
      </c>
      <c r="B487" t="s">
        <v>33056</v>
      </c>
      <c r="C487" t="s">
        <v>33057</v>
      </c>
      <c r="D487" t="s">
        <v>33058</v>
      </c>
      <c r="E487" t="s">
        <v>33059</v>
      </c>
      <c r="F487" t="s">
        <v>33060</v>
      </c>
      <c r="G487">
        <v>2015</v>
      </c>
      <c r="H487" s="1">
        <v>42237</v>
      </c>
      <c r="K487" t="s">
        <v>33061</v>
      </c>
    </row>
    <row r="488" spans="1:11" x14ac:dyDescent="0.15">
      <c r="A488">
        <v>34962643</v>
      </c>
      <c r="B488" t="s">
        <v>21620</v>
      </c>
      <c r="C488" t="s">
        <v>33062</v>
      </c>
      <c r="D488" t="s">
        <v>33063</v>
      </c>
      <c r="E488" t="s">
        <v>33064</v>
      </c>
      <c r="F488" t="s">
        <v>33065</v>
      </c>
      <c r="G488">
        <v>2022</v>
      </c>
      <c r="H488" s="1">
        <v>44558</v>
      </c>
      <c r="K488" t="s">
        <v>21632</v>
      </c>
    </row>
    <row r="489" spans="1:11" x14ac:dyDescent="0.15">
      <c r="A489">
        <v>21866298</v>
      </c>
      <c r="B489" t="s">
        <v>33066</v>
      </c>
      <c r="C489" t="s">
        <v>33067</v>
      </c>
      <c r="D489" t="s">
        <v>33068</v>
      </c>
      <c r="E489" t="s">
        <v>33069</v>
      </c>
      <c r="F489" t="s">
        <v>33070</v>
      </c>
      <c r="G489">
        <v>2011</v>
      </c>
      <c r="H489" s="1">
        <v>40781</v>
      </c>
      <c r="K489" t="s">
        <v>33071</v>
      </c>
    </row>
    <row r="490" spans="1:11" x14ac:dyDescent="0.15">
      <c r="A490">
        <v>23072732</v>
      </c>
      <c r="B490" t="s">
        <v>33072</v>
      </c>
      <c r="C490" t="s">
        <v>33073</v>
      </c>
      <c r="D490" t="s">
        <v>33074</v>
      </c>
      <c r="E490" t="s">
        <v>33075</v>
      </c>
      <c r="F490" t="s">
        <v>33076</v>
      </c>
      <c r="G490">
        <v>2013</v>
      </c>
      <c r="H490" s="1">
        <v>41200</v>
      </c>
      <c r="K490" t="s">
        <v>33077</v>
      </c>
    </row>
    <row r="491" spans="1:11" x14ac:dyDescent="0.15">
      <c r="A491">
        <v>19832990</v>
      </c>
      <c r="B491" t="s">
        <v>33078</v>
      </c>
      <c r="C491" t="s">
        <v>33079</v>
      </c>
      <c r="D491" t="s">
        <v>33080</v>
      </c>
      <c r="E491" t="s">
        <v>33081</v>
      </c>
      <c r="F491" t="s">
        <v>33082</v>
      </c>
      <c r="G491">
        <v>2009</v>
      </c>
      <c r="H491" s="1">
        <v>40103</v>
      </c>
      <c r="I491" t="s">
        <v>33083</v>
      </c>
      <c r="K491" t="s">
        <v>33084</v>
      </c>
    </row>
    <row r="492" spans="1:11" x14ac:dyDescent="0.15">
      <c r="A492">
        <v>20829609</v>
      </c>
      <c r="B492" t="s">
        <v>33085</v>
      </c>
      <c r="C492" t="s">
        <v>33086</v>
      </c>
      <c r="D492" t="s">
        <v>33087</v>
      </c>
      <c r="E492" t="s">
        <v>33088</v>
      </c>
      <c r="F492" t="s">
        <v>31451</v>
      </c>
      <c r="G492">
        <v>2010</v>
      </c>
      <c r="H492" s="1">
        <v>40432</v>
      </c>
      <c r="I492" t="s">
        <v>33089</v>
      </c>
      <c r="K492" t="s">
        <v>33090</v>
      </c>
    </row>
    <row r="493" spans="1:11" x14ac:dyDescent="0.15">
      <c r="A493">
        <v>27076633</v>
      </c>
      <c r="B493" t="s">
        <v>33091</v>
      </c>
      <c r="C493" t="s">
        <v>33092</v>
      </c>
      <c r="D493" t="s">
        <v>33093</v>
      </c>
      <c r="E493" t="s">
        <v>33094</v>
      </c>
      <c r="F493" t="s">
        <v>31594</v>
      </c>
      <c r="G493">
        <v>2016</v>
      </c>
      <c r="H493" s="1">
        <v>42475</v>
      </c>
      <c r="I493" t="s">
        <v>33095</v>
      </c>
      <c r="K493" t="s">
        <v>33096</v>
      </c>
    </row>
    <row r="494" spans="1:11" x14ac:dyDescent="0.15">
      <c r="A494">
        <v>22624035</v>
      </c>
      <c r="B494" t="s">
        <v>33097</v>
      </c>
      <c r="C494" t="s">
        <v>33098</v>
      </c>
      <c r="D494" t="s">
        <v>33099</v>
      </c>
      <c r="E494" t="s">
        <v>33100</v>
      </c>
      <c r="F494" t="s">
        <v>31639</v>
      </c>
      <c r="G494">
        <v>2012</v>
      </c>
      <c r="H494" s="1">
        <v>41054</v>
      </c>
      <c r="I494" t="s">
        <v>33101</v>
      </c>
      <c r="K494" t="s">
        <v>33102</v>
      </c>
    </row>
    <row r="495" spans="1:11" x14ac:dyDescent="0.15">
      <c r="A495">
        <v>23358822</v>
      </c>
      <c r="B495" t="s">
        <v>33103</v>
      </c>
      <c r="C495" t="s">
        <v>33104</v>
      </c>
      <c r="D495" t="s">
        <v>33105</v>
      </c>
      <c r="E495" t="s">
        <v>33106</v>
      </c>
      <c r="F495" t="s">
        <v>31587</v>
      </c>
      <c r="G495">
        <v>2013</v>
      </c>
      <c r="H495" s="1">
        <v>41304</v>
      </c>
      <c r="I495" t="s">
        <v>33107</v>
      </c>
      <c r="K495" t="s">
        <v>33108</v>
      </c>
    </row>
    <row r="496" spans="1:11" x14ac:dyDescent="0.15">
      <c r="A496">
        <v>24218614</v>
      </c>
      <c r="B496" t="s">
        <v>33109</v>
      </c>
      <c r="C496" t="s">
        <v>33110</v>
      </c>
      <c r="D496" t="s">
        <v>33111</v>
      </c>
      <c r="E496" t="s">
        <v>33112</v>
      </c>
      <c r="F496" t="s">
        <v>30767</v>
      </c>
      <c r="G496">
        <v>2013</v>
      </c>
      <c r="H496" s="1">
        <v>41591</v>
      </c>
      <c r="I496" t="s">
        <v>33113</v>
      </c>
      <c r="K496" t="s">
        <v>33114</v>
      </c>
    </row>
    <row r="497" spans="1:11" x14ac:dyDescent="0.15">
      <c r="A497">
        <v>18617898</v>
      </c>
      <c r="B497" t="s">
        <v>19740</v>
      </c>
      <c r="C497" t="s">
        <v>33115</v>
      </c>
      <c r="D497" t="s">
        <v>33116</v>
      </c>
      <c r="E497" t="s">
        <v>33117</v>
      </c>
      <c r="F497" t="s">
        <v>33118</v>
      </c>
      <c r="G497">
        <v>2008</v>
      </c>
      <c r="H497" s="1">
        <v>39641</v>
      </c>
      <c r="K497" t="s">
        <v>19750</v>
      </c>
    </row>
    <row r="498" spans="1:11" x14ac:dyDescent="0.15">
      <c r="A498">
        <v>35688157</v>
      </c>
      <c r="B498" t="s">
        <v>33119</v>
      </c>
      <c r="C498" t="s">
        <v>33120</v>
      </c>
      <c r="D498" t="s">
        <v>33121</v>
      </c>
      <c r="E498" t="s">
        <v>33122</v>
      </c>
      <c r="F498" t="s">
        <v>32022</v>
      </c>
      <c r="G498">
        <v>2022</v>
      </c>
      <c r="H498" s="1">
        <v>44722</v>
      </c>
      <c r="I498" t="s">
        <v>33123</v>
      </c>
      <c r="K498" t="s">
        <v>33124</v>
      </c>
    </row>
    <row r="499" spans="1:11" x14ac:dyDescent="0.15">
      <c r="A499">
        <v>23182441</v>
      </c>
      <c r="B499" t="s">
        <v>33125</v>
      </c>
      <c r="C499" t="s">
        <v>33126</v>
      </c>
      <c r="D499" t="s">
        <v>33127</v>
      </c>
      <c r="E499" t="s">
        <v>33128</v>
      </c>
      <c r="F499" t="s">
        <v>33129</v>
      </c>
      <c r="G499">
        <v>2013</v>
      </c>
      <c r="H499" s="1">
        <v>41241</v>
      </c>
      <c r="K499" t="s">
        <v>33130</v>
      </c>
    </row>
    <row r="500" spans="1:11" x14ac:dyDescent="0.15">
      <c r="A500">
        <v>23238453</v>
      </c>
      <c r="B500" t="s">
        <v>33131</v>
      </c>
      <c r="C500" t="s">
        <v>33132</v>
      </c>
      <c r="D500" t="s">
        <v>33133</v>
      </c>
      <c r="E500" t="s">
        <v>33134</v>
      </c>
      <c r="F500" t="s">
        <v>33135</v>
      </c>
      <c r="G500">
        <v>2013</v>
      </c>
      <c r="H500" s="1">
        <v>41258</v>
      </c>
      <c r="K500" t="s">
        <v>33136</v>
      </c>
    </row>
    <row r="501" spans="1:11" x14ac:dyDescent="0.15">
      <c r="A501">
        <v>19024647</v>
      </c>
      <c r="B501" t="s">
        <v>33137</v>
      </c>
      <c r="C501" t="s">
        <v>33138</v>
      </c>
      <c r="D501" t="s">
        <v>33139</v>
      </c>
      <c r="E501" t="s">
        <v>33140</v>
      </c>
      <c r="F501" t="s">
        <v>31654</v>
      </c>
      <c r="G501">
        <v>2008</v>
      </c>
      <c r="H501" s="1">
        <v>39778</v>
      </c>
      <c r="I501" t="s">
        <v>33141</v>
      </c>
      <c r="J501" t="s">
        <v>33142</v>
      </c>
      <c r="K501" t="s">
        <v>33143</v>
      </c>
    </row>
    <row r="502" spans="1:11" x14ac:dyDescent="0.15">
      <c r="A502">
        <v>33500249</v>
      </c>
      <c r="B502" t="s">
        <v>9341</v>
      </c>
      <c r="C502" t="s">
        <v>33144</v>
      </c>
      <c r="D502" t="s">
        <v>33145</v>
      </c>
      <c r="E502" t="s">
        <v>33146</v>
      </c>
      <c r="F502" t="s">
        <v>31167</v>
      </c>
      <c r="G502">
        <v>2021</v>
      </c>
      <c r="H502" s="1">
        <v>44223</v>
      </c>
      <c r="K502" t="s">
        <v>9348</v>
      </c>
    </row>
    <row r="503" spans="1:11" x14ac:dyDescent="0.15">
      <c r="A503">
        <v>31926290</v>
      </c>
      <c r="B503" t="s">
        <v>33147</v>
      </c>
      <c r="C503" t="s">
        <v>33148</v>
      </c>
      <c r="D503" t="s">
        <v>33149</v>
      </c>
      <c r="E503" t="s">
        <v>33150</v>
      </c>
      <c r="F503" t="s">
        <v>33151</v>
      </c>
      <c r="G503">
        <v>2020</v>
      </c>
      <c r="H503" s="1">
        <v>43842</v>
      </c>
      <c r="K503" t="s">
        <v>33152</v>
      </c>
    </row>
    <row r="504" spans="1:11" x14ac:dyDescent="0.15">
      <c r="A504">
        <v>30760538</v>
      </c>
      <c r="B504" t="s">
        <v>28039</v>
      </c>
      <c r="C504" t="s">
        <v>33153</v>
      </c>
      <c r="D504" t="s">
        <v>33154</v>
      </c>
      <c r="E504" t="s">
        <v>33155</v>
      </c>
      <c r="F504" t="s">
        <v>32570</v>
      </c>
      <c r="G504">
        <v>2019</v>
      </c>
      <c r="H504" s="1">
        <v>43511</v>
      </c>
      <c r="I504" t="s">
        <v>33156</v>
      </c>
      <c r="K504" t="s">
        <v>28048</v>
      </c>
    </row>
    <row r="505" spans="1:11" x14ac:dyDescent="0.15">
      <c r="A505">
        <v>27994032</v>
      </c>
      <c r="B505" t="s">
        <v>16048</v>
      </c>
      <c r="C505" t="s">
        <v>33157</v>
      </c>
      <c r="D505" t="s">
        <v>33158</v>
      </c>
      <c r="E505" t="s">
        <v>33159</v>
      </c>
      <c r="F505" t="s">
        <v>31587</v>
      </c>
      <c r="G505">
        <v>2017</v>
      </c>
      <c r="H505" s="1">
        <v>42725</v>
      </c>
      <c r="I505" t="s">
        <v>33160</v>
      </c>
      <c r="K505" t="s">
        <v>16058</v>
      </c>
    </row>
    <row r="506" spans="1:11" x14ac:dyDescent="0.15">
      <c r="A506">
        <v>30973972</v>
      </c>
      <c r="B506" t="s">
        <v>11794</v>
      </c>
      <c r="C506" t="s">
        <v>33161</v>
      </c>
      <c r="D506" t="s">
        <v>33162</v>
      </c>
      <c r="E506" t="s">
        <v>33163</v>
      </c>
      <c r="F506" t="s">
        <v>33164</v>
      </c>
      <c r="G506">
        <v>2019</v>
      </c>
      <c r="H506" s="1">
        <v>43567</v>
      </c>
      <c r="K506" t="s">
        <v>11806</v>
      </c>
    </row>
    <row r="507" spans="1:11" x14ac:dyDescent="0.15">
      <c r="A507">
        <v>33670563</v>
      </c>
      <c r="B507" t="s">
        <v>33165</v>
      </c>
      <c r="C507" t="s">
        <v>33166</v>
      </c>
      <c r="D507" t="s">
        <v>33167</v>
      </c>
      <c r="E507" t="s">
        <v>33168</v>
      </c>
      <c r="F507" t="s">
        <v>33169</v>
      </c>
      <c r="G507">
        <v>2021</v>
      </c>
      <c r="H507" s="1">
        <v>44261</v>
      </c>
      <c r="I507" t="s">
        <v>33170</v>
      </c>
      <c r="K507" t="s">
        <v>33171</v>
      </c>
    </row>
    <row r="508" spans="1:11" x14ac:dyDescent="0.15">
      <c r="A508">
        <v>32457507</v>
      </c>
      <c r="B508" t="s">
        <v>33172</v>
      </c>
      <c r="C508" t="s">
        <v>33173</v>
      </c>
      <c r="D508" t="s">
        <v>33174</v>
      </c>
      <c r="E508" t="s">
        <v>33175</v>
      </c>
      <c r="F508" t="s">
        <v>33176</v>
      </c>
      <c r="G508">
        <v>2020</v>
      </c>
      <c r="H508" s="1">
        <v>43979</v>
      </c>
      <c r="I508" t="s">
        <v>33177</v>
      </c>
      <c r="K508" t="s">
        <v>33178</v>
      </c>
    </row>
    <row r="509" spans="1:11" x14ac:dyDescent="0.15">
      <c r="A509">
        <v>29374476</v>
      </c>
      <c r="B509" t="s">
        <v>1158</v>
      </c>
      <c r="C509" t="s">
        <v>33179</v>
      </c>
      <c r="D509" t="s">
        <v>33180</v>
      </c>
      <c r="E509" t="s">
        <v>33181</v>
      </c>
      <c r="F509" t="s">
        <v>30630</v>
      </c>
      <c r="G509">
        <v>2018</v>
      </c>
      <c r="H509" s="1">
        <v>43129</v>
      </c>
      <c r="I509" t="s">
        <v>33182</v>
      </c>
      <c r="K509" t="s">
        <v>1170</v>
      </c>
    </row>
    <row r="510" spans="1:11" x14ac:dyDescent="0.15">
      <c r="A510">
        <v>34936368</v>
      </c>
      <c r="B510" t="s">
        <v>13163</v>
      </c>
      <c r="C510" t="s">
        <v>33183</v>
      </c>
      <c r="D510" t="s">
        <v>33184</v>
      </c>
      <c r="E510" t="s">
        <v>33185</v>
      </c>
      <c r="F510" t="s">
        <v>33186</v>
      </c>
      <c r="G510">
        <v>2022</v>
      </c>
      <c r="H510" s="1">
        <v>44552</v>
      </c>
      <c r="K510" t="s">
        <v>13173</v>
      </c>
    </row>
    <row r="511" spans="1:11" x14ac:dyDescent="0.15">
      <c r="A511">
        <v>28410618</v>
      </c>
      <c r="B511" t="s">
        <v>33187</v>
      </c>
      <c r="C511" t="s">
        <v>33188</v>
      </c>
      <c r="D511" t="s">
        <v>33189</v>
      </c>
      <c r="E511" t="s">
        <v>33190</v>
      </c>
      <c r="F511" t="s">
        <v>30630</v>
      </c>
      <c r="G511">
        <v>2017</v>
      </c>
      <c r="H511" s="1">
        <v>42841</v>
      </c>
      <c r="I511" t="s">
        <v>33191</v>
      </c>
      <c r="K511" t="s">
        <v>33192</v>
      </c>
    </row>
    <row r="512" spans="1:11" x14ac:dyDescent="0.15">
      <c r="A512">
        <v>33101266</v>
      </c>
      <c r="B512" t="s">
        <v>33193</v>
      </c>
      <c r="C512" t="s">
        <v>33194</v>
      </c>
      <c r="D512" t="s">
        <v>33195</v>
      </c>
      <c r="E512" t="s">
        <v>33196</v>
      </c>
      <c r="F512" t="s">
        <v>30713</v>
      </c>
      <c r="G512">
        <v>2020</v>
      </c>
      <c r="H512" s="1">
        <v>44130</v>
      </c>
      <c r="I512" t="s">
        <v>33197</v>
      </c>
      <c r="K512" t="s">
        <v>33198</v>
      </c>
    </row>
    <row r="513" spans="1:11" x14ac:dyDescent="0.15">
      <c r="A513">
        <v>29907693</v>
      </c>
      <c r="B513" t="s">
        <v>16140</v>
      </c>
      <c r="C513" t="s">
        <v>33199</v>
      </c>
      <c r="D513" t="s">
        <v>33200</v>
      </c>
      <c r="E513" t="s">
        <v>33201</v>
      </c>
      <c r="F513" t="s">
        <v>32900</v>
      </c>
      <c r="G513">
        <v>2018</v>
      </c>
      <c r="H513" s="1">
        <v>43268</v>
      </c>
      <c r="I513" t="s">
        <v>33202</v>
      </c>
      <c r="J513" t="s">
        <v>33203</v>
      </c>
      <c r="K513" t="s">
        <v>16152</v>
      </c>
    </row>
    <row r="514" spans="1:11" x14ac:dyDescent="0.15">
      <c r="A514">
        <v>22174383</v>
      </c>
      <c r="B514" t="s">
        <v>33204</v>
      </c>
      <c r="C514" t="s">
        <v>33205</v>
      </c>
      <c r="D514" t="s">
        <v>33206</v>
      </c>
      <c r="E514" t="s">
        <v>33207</v>
      </c>
      <c r="F514" t="s">
        <v>33208</v>
      </c>
      <c r="G514">
        <v>2012</v>
      </c>
      <c r="H514" s="1">
        <v>40894</v>
      </c>
      <c r="I514" t="s">
        <v>33209</v>
      </c>
      <c r="K514" t="s">
        <v>33210</v>
      </c>
    </row>
    <row r="515" spans="1:11" x14ac:dyDescent="0.15">
      <c r="A515">
        <v>26409934</v>
      </c>
      <c r="B515" t="s">
        <v>33211</v>
      </c>
      <c r="C515" t="s">
        <v>33212</v>
      </c>
      <c r="D515" t="s">
        <v>33213</v>
      </c>
      <c r="E515" t="s">
        <v>33214</v>
      </c>
      <c r="F515" t="s">
        <v>33215</v>
      </c>
      <c r="G515">
        <v>2016</v>
      </c>
      <c r="H515" s="1">
        <v>42275</v>
      </c>
      <c r="K515" t="s">
        <v>33216</v>
      </c>
    </row>
    <row r="516" spans="1:11" x14ac:dyDescent="0.15">
      <c r="A516">
        <v>33232189</v>
      </c>
      <c r="B516" t="s">
        <v>33217</v>
      </c>
      <c r="C516" t="s">
        <v>33218</v>
      </c>
      <c r="D516" t="s">
        <v>33219</v>
      </c>
      <c r="E516" t="s">
        <v>33220</v>
      </c>
      <c r="F516" t="s">
        <v>30668</v>
      </c>
      <c r="G516">
        <v>2020</v>
      </c>
      <c r="H516" s="1">
        <v>44159</v>
      </c>
      <c r="K516" t="s">
        <v>33221</v>
      </c>
    </row>
    <row r="517" spans="1:11" x14ac:dyDescent="0.15">
      <c r="A517">
        <v>28743887</v>
      </c>
      <c r="B517" t="s">
        <v>6095</v>
      </c>
      <c r="C517" t="s">
        <v>33222</v>
      </c>
      <c r="D517" t="s">
        <v>33223</v>
      </c>
      <c r="E517" t="s">
        <v>33224</v>
      </c>
      <c r="F517" t="s">
        <v>30834</v>
      </c>
      <c r="G517">
        <v>2017</v>
      </c>
      <c r="H517" s="1">
        <v>42943</v>
      </c>
      <c r="I517" t="s">
        <v>33225</v>
      </c>
      <c r="K517" t="s">
        <v>6105</v>
      </c>
    </row>
    <row r="518" spans="1:11" x14ac:dyDescent="0.15">
      <c r="A518">
        <v>31271518</v>
      </c>
      <c r="B518" t="s">
        <v>9584</v>
      </c>
      <c r="C518" t="s">
        <v>33226</v>
      </c>
      <c r="D518" t="s">
        <v>33227</v>
      </c>
      <c r="E518" t="s">
        <v>33228</v>
      </c>
      <c r="F518" t="s">
        <v>30763</v>
      </c>
      <c r="G518">
        <v>2019</v>
      </c>
      <c r="H518" s="1">
        <v>43651</v>
      </c>
      <c r="K518" t="s">
        <v>9593</v>
      </c>
    </row>
    <row r="519" spans="1:11" x14ac:dyDescent="0.15">
      <c r="A519">
        <v>25760330</v>
      </c>
      <c r="B519" t="s">
        <v>33229</v>
      </c>
      <c r="C519" t="s">
        <v>33230</v>
      </c>
      <c r="D519" t="s">
        <v>33231</v>
      </c>
      <c r="E519" t="s">
        <v>33232</v>
      </c>
      <c r="F519" t="s">
        <v>31933</v>
      </c>
      <c r="G519">
        <v>2015</v>
      </c>
      <c r="H519" s="1">
        <v>42075</v>
      </c>
      <c r="I519" t="s">
        <v>33233</v>
      </c>
      <c r="K519" t="s">
        <v>33234</v>
      </c>
    </row>
    <row r="520" spans="1:11" x14ac:dyDescent="0.15">
      <c r="A520">
        <v>29567396</v>
      </c>
      <c r="B520" t="s">
        <v>33235</v>
      </c>
      <c r="C520" t="s">
        <v>33236</v>
      </c>
      <c r="D520" t="s">
        <v>33237</v>
      </c>
      <c r="E520" t="s">
        <v>33238</v>
      </c>
      <c r="F520" t="s">
        <v>31311</v>
      </c>
      <c r="G520">
        <v>2018</v>
      </c>
      <c r="H520" s="1">
        <v>43183</v>
      </c>
      <c r="K520" t="s">
        <v>33239</v>
      </c>
    </row>
    <row r="521" spans="1:11" x14ac:dyDescent="0.15">
      <c r="A521">
        <v>25368198</v>
      </c>
      <c r="B521" t="s">
        <v>14131</v>
      </c>
      <c r="C521" t="s">
        <v>33240</v>
      </c>
      <c r="D521" t="s">
        <v>33241</v>
      </c>
      <c r="E521" t="s">
        <v>33242</v>
      </c>
      <c r="F521" t="s">
        <v>30767</v>
      </c>
      <c r="G521">
        <v>2014</v>
      </c>
      <c r="H521" s="1">
        <v>41948</v>
      </c>
      <c r="I521" t="s">
        <v>33243</v>
      </c>
      <c r="K521" t="s">
        <v>14141</v>
      </c>
    </row>
    <row r="522" spans="1:11" x14ac:dyDescent="0.15">
      <c r="A522">
        <v>23576546</v>
      </c>
      <c r="B522" t="s">
        <v>33244</v>
      </c>
      <c r="C522" t="s">
        <v>33245</v>
      </c>
      <c r="D522" t="s">
        <v>33246</v>
      </c>
      <c r="E522" t="s">
        <v>33247</v>
      </c>
      <c r="F522" t="s">
        <v>32298</v>
      </c>
      <c r="G522">
        <v>2013</v>
      </c>
      <c r="H522" s="1">
        <v>41376</v>
      </c>
      <c r="I522" t="s">
        <v>33248</v>
      </c>
      <c r="K522" t="s">
        <v>33249</v>
      </c>
    </row>
    <row r="523" spans="1:11" x14ac:dyDescent="0.15">
      <c r="A523">
        <v>35595717</v>
      </c>
      <c r="B523" t="s">
        <v>4090</v>
      </c>
      <c r="C523" t="s">
        <v>33250</v>
      </c>
      <c r="D523" t="s">
        <v>33251</v>
      </c>
      <c r="E523" t="s">
        <v>33252</v>
      </c>
      <c r="F523" t="s">
        <v>30772</v>
      </c>
      <c r="G523">
        <v>2022</v>
      </c>
      <c r="H523" s="1">
        <v>44701</v>
      </c>
      <c r="I523" t="s">
        <v>33253</v>
      </c>
      <c r="K523" t="s">
        <v>4099</v>
      </c>
    </row>
    <row r="524" spans="1:11" x14ac:dyDescent="0.15">
      <c r="A524">
        <v>31704541</v>
      </c>
      <c r="B524" t="s">
        <v>33254</v>
      </c>
      <c r="C524" t="s">
        <v>33255</v>
      </c>
      <c r="D524" t="s">
        <v>33256</v>
      </c>
      <c r="E524" t="s">
        <v>33257</v>
      </c>
      <c r="F524" t="s">
        <v>33258</v>
      </c>
      <c r="G524">
        <v>2019</v>
      </c>
      <c r="H524" s="1">
        <v>43779</v>
      </c>
      <c r="K524" t="s">
        <v>33259</v>
      </c>
    </row>
    <row r="525" spans="1:11" x14ac:dyDescent="0.15">
      <c r="A525">
        <v>33304477</v>
      </c>
      <c r="B525" t="s">
        <v>3494</v>
      </c>
      <c r="C525" t="s">
        <v>33260</v>
      </c>
      <c r="D525" t="s">
        <v>33261</v>
      </c>
      <c r="E525" t="s">
        <v>33262</v>
      </c>
      <c r="F525" t="s">
        <v>30772</v>
      </c>
      <c r="G525">
        <v>2020</v>
      </c>
      <c r="H525" s="1">
        <v>44176</v>
      </c>
      <c r="I525" t="s">
        <v>33263</v>
      </c>
      <c r="K525" t="s">
        <v>3503</v>
      </c>
    </row>
    <row r="526" spans="1:11" x14ac:dyDescent="0.15">
      <c r="A526">
        <v>31143191</v>
      </c>
      <c r="B526" t="s">
        <v>33264</v>
      </c>
      <c r="C526" t="s">
        <v>33265</v>
      </c>
      <c r="D526" t="s">
        <v>33266</v>
      </c>
      <c r="E526" t="s">
        <v>33267</v>
      </c>
      <c r="F526" t="s">
        <v>30713</v>
      </c>
      <c r="G526">
        <v>2019</v>
      </c>
      <c r="H526" s="1">
        <v>43616</v>
      </c>
      <c r="I526" t="s">
        <v>33268</v>
      </c>
      <c r="K526" t="s">
        <v>33269</v>
      </c>
    </row>
    <row r="527" spans="1:11" x14ac:dyDescent="0.15">
      <c r="A527">
        <v>26768848</v>
      </c>
      <c r="B527" t="s">
        <v>33270</v>
      </c>
      <c r="C527" t="s">
        <v>33271</v>
      </c>
      <c r="D527" t="s">
        <v>33272</v>
      </c>
      <c r="E527" t="s">
        <v>33273</v>
      </c>
      <c r="F527" t="s">
        <v>30767</v>
      </c>
      <c r="G527">
        <v>2016</v>
      </c>
      <c r="H527" s="1">
        <v>42385</v>
      </c>
      <c r="I527" t="s">
        <v>33274</v>
      </c>
      <c r="K527" t="s">
        <v>17697</v>
      </c>
    </row>
    <row r="528" spans="1:11" x14ac:dyDescent="0.15">
      <c r="A528">
        <v>31768989</v>
      </c>
      <c r="B528" t="s">
        <v>33275</v>
      </c>
      <c r="C528" t="s">
        <v>33276</v>
      </c>
      <c r="D528" t="s">
        <v>33277</v>
      </c>
      <c r="E528" t="s">
        <v>33278</v>
      </c>
      <c r="F528" t="s">
        <v>31003</v>
      </c>
      <c r="G528">
        <v>2020</v>
      </c>
      <c r="H528" s="1">
        <v>43796</v>
      </c>
      <c r="I528" t="s">
        <v>33279</v>
      </c>
      <c r="J528" t="s">
        <v>33280</v>
      </c>
      <c r="K528" t="s">
        <v>33281</v>
      </c>
    </row>
    <row r="529" spans="1:11" x14ac:dyDescent="0.15">
      <c r="A529">
        <v>19029311</v>
      </c>
      <c r="B529" t="s">
        <v>33282</v>
      </c>
      <c r="C529" t="s">
        <v>33283</v>
      </c>
      <c r="D529" t="s">
        <v>33284</v>
      </c>
      <c r="E529" t="s">
        <v>33285</v>
      </c>
      <c r="F529" t="s">
        <v>11924</v>
      </c>
      <c r="G529">
        <v>2009</v>
      </c>
      <c r="H529" s="1">
        <v>39778</v>
      </c>
      <c r="I529" t="s">
        <v>33286</v>
      </c>
      <c r="K529" t="s">
        <v>33287</v>
      </c>
    </row>
    <row r="530" spans="1:11" x14ac:dyDescent="0.15">
      <c r="A530">
        <v>34813275</v>
      </c>
      <c r="B530" t="s">
        <v>13303</v>
      </c>
      <c r="C530" t="s">
        <v>33288</v>
      </c>
      <c r="D530" t="s">
        <v>33289</v>
      </c>
      <c r="E530" t="s">
        <v>33290</v>
      </c>
      <c r="F530" t="s">
        <v>30561</v>
      </c>
      <c r="G530">
        <v>2021</v>
      </c>
      <c r="H530" s="1">
        <v>44523</v>
      </c>
      <c r="K530" t="s">
        <v>13313</v>
      </c>
    </row>
    <row r="531" spans="1:11" x14ac:dyDescent="0.15">
      <c r="A531">
        <v>34545097</v>
      </c>
      <c r="B531" t="s">
        <v>20474</v>
      </c>
      <c r="C531" t="s">
        <v>33291</v>
      </c>
      <c r="D531" t="s">
        <v>33292</v>
      </c>
      <c r="E531" t="s">
        <v>31720</v>
      </c>
      <c r="F531" t="s">
        <v>30796</v>
      </c>
      <c r="G531">
        <v>2021</v>
      </c>
      <c r="H531" s="1">
        <v>44460</v>
      </c>
      <c r="I531" t="s">
        <v>33293</v>
      </c>
      <c r="K531" t="s">
        <v>20483</v>
      </c>
    </row>
    <row r="532" spans="1:11" x14ac:dyDescent="0.15">
      <c r="A532">
        <v>35349793</v>
      </c>
      <c r="B532" t="s">
        <v>33294</v>
      </c>
      <c r="C532" t="s">
        <v>33295</v>
      </c>
      <c r="D532" t="s">
        <v>33296</v>
      </c>
      <c r="E532" t="s">
        <v>33297</v>
      </c>
      <c r="F532" t="s">
        <v>32022</v>
      </c>
      <c r="G532">
        <v>2022</v>
      </c>
      <c r="H532" s="1">
        <v>44649</v>
      </c>
      <c r="K532" t="s">
        <v>33298</v>
      </c>
    </row>
    <row r="533" spans="1:11" x14ac:dyDescent="0.15">
      <c r="A533">
        <v>34288927</v>
      </c>
      <c r="B533" t="s">
        <v>33299</v>
      </c>
      <c r="C533" t="s">
        <v>33300</v>
      </c>
      <c r="D533" t="s">
        <v>33301</v>
      </c>
      <c r="E533" t="s">
        <v>33302</v>
      </c>
      <c r="F533" t="s">
        <v>31639</v>
      </c>
      <c r="G533">
        <v>2021</v>
      </c>
      <c r="H533" s="1">
        <v>44398</v>
      </c>
      <c r="I533" t="s">
        <v>33303</v>
      </c>
      <c r="K533" t="s">
        <v>33304</v>
      </c>
    </row>
    <row r="534" spans="1:11" x14ac:dyDescent="0.15">
      <c r="A534">
        <v>27166683</v>
      </c>
      <c r="B534" t="s">
        <v>26188</v>
      </c>
      <c r="C534" t="s">
        <v>33305</v>
      </c>
      <c r="D534" t="s">
        <v>33306</v>
      </c>
      <c r="E534" t="s">
        <v>33307</v>
      </c>
      <c r="F534" t="s">
        <v>33308</v>
      </c>
      <c r="G534">
        <v>2016</v>
      </c>
      <c r="H534" s="1">
        <v>42502</v>
      </c>
      <c r="I534" t="s">
        <v>33309</v>
      </c>
      <c r="J534" t="s">
        <v>33310</v>
      </c>
      <c r="K534" t="s">
        <v>26199</v>
      </c>
    </row>
    <row r="535" spans="1:11" x14ac:dyDescent="0.15">
      <c r="A535">
        <v>30499000</v>
      </c>
      <c r="B535" t="s">
        <v>33311</v>
      </c>
      <c r="C535" t="s">
        <v>33312</v>
      </c>
      <c r="D535" t="s">
        <v>33313</v>
      </c>
      <c r="E535" t="s">
        <v>33314</v>
      </c>
      <c r="F535" t="s">
        <v>30727</v>
      </c>
      <c r="G535">
        <v>2019</v>
      </c>
      <c r="H535" s="1">
        <v>43435</v>
      </c>
      <c r="K535" t="s">
        <v>33315</v>
      </c>
    </row>
    <row r="536" spans="1:11" x14ac:dyDescent="0.15">
      <c r="A536">
        <v>27882925</v>
      </c>
      <c r="B536" t="s">
        <v>33316</v>
      </c>
      <c r="C536" t="s">
        <v>33317</v>
      </c>
      <c r="D536" t="s">
        <v>33318</v>
      </c>
      <c r="E536" t="s">
        <v>33319</v>
      </c>
      <c r="F536" t="s">
        <v>30796</v>
      </c>
      <c r="G536">
        <v>2016</v>
      </c>
      <c r="H536" s="1">
        <v>42699</v>
      </c>
      <c r="I536" t="s">
        <v>33320</v>
      </c>
      <c r="K536" t="s">
        <v>33321</v>
      </c>
    </row>
    <row r="537" spans="1:11" x14ac:dyDescent="0.15">
      <c r="A537">
        <v>28765539</v>
      </c>
      <c r="B537" t="s">
        <v>8515</v>
      </c>
      <c r="C537" t="s">
        <v>33322</v>
      </c>
      <c r="D537" t="s">
        <v>33323</v>
      </c>
      <c r="E537" t="s">
        <v>30771</v>
      </c>
      <c r="F537" t="s">
        <v>30834</v>
      </c>
      <c r="G537">
        <v>2017</v>
      </c>
      <c r="H537" s="1">
        <v>42950</v>
      </c>
      <c r="I537" t="s">
        <v>33324</v>
      </c>
      <c r="K537" t="s">
        <v>8525</v>
      </c>
    </row>
    <row r="538" spans="1:11" x14ac:dyDescent="0.15">
      <c r="A538">
        <v>35312297</v>
      </c>
      <c r="B538" t="s">
        <v>4076</v>
      </c>
      <c r="C538" t="s">
        <v>33325</v>
      </c>
      <c r="D538" t="s">
        <v>33326</v>
      </c>
      <c r="E538" t="s">
        <v>32824</v>
      </c>
      <c r="F538" t="s">
        <v>31781</v>
      </c>
      <c r="G538">
        <v>2022</v>
      </c>
      <c r="H538" s="1">
        <v>44641</v>
      </c>
      <c r="K538" t="s">
        <v>4086</v>
      </c>
    </row>
    <row r="539" spans="1:11" x14ac:dyDescent="0.15">
      <c r="A539">
        <v>32444558</v>
      </c>
      <c r="B539" t="s">
        <v>33327</v>
      </c>
      <c r="C539" t="s">
        <v>33328</v>
      </c>
      <c r="D539" t="s">
        <v>33329</v>
      </c>
      <c r="E539" t="s">
        <v>33330</v>
      </c>
      <c r="F539" t="s">
        <v>33331</v>
      </c>
      <c r="G539">
        <v>2020</v>
      </c>
      <c r="H539" s="1">
        <v>43975</v>
      </c>
      <c r="K539" t="s">
        <v>33332</v>
      </c>
    </row>
    <row r="540" spans="1:11" x14ac:dyDescent="0.15">
      <c r="A540">
        <v>30551256</v>
      </c>
      <c r="B540" t="s">
        <v>12687</v>
      </c>
      <c r="C540" t="s">
        <v>33333</v>
      </c>
      <c r="D540" t="s">
        <v>33334</v>
      </c>
      <c r="E540" t="s">
        <v>33335</v>
      </c>
      <c r="F540" t="s">
        <v>31751</v>
      </c>
      <c r="G540">
        <v>2018</v>
      </c>
      <c r="H540" s="1">
        <v>43449</v>
      </c>
      <c r="I540" t="s">
        <v>33336</v>
      </c>
      <c r="K540" t="s">
        <v>12700</v>
      </c>
    </row>
    <row r="541" spans="1:11" x14ac:dyDescent="0.15">
      <c r="A541">
        <v>28844893</v>
      </c>
      <c r="B541" t="s">
        <v>33337</v>
      </c>
      <c r="C541" t="s">
        <v>33338</v>
      </c>
      <c r="D541" t="s">
        <v>33339</v>
      </c>
      <c r="E541" t="s">
        <v>33340</v>
      </c>
      <c r="F541" t="s">
        <v>33341</v>
      </c>
      <c r="G541">
        <v>2017</v>
      </c>
      <c r="H541" s="1">
        <v>42976</v>
      </c>
      <c r="K541" t="s">
        <v>33342</v>
      </c>
    </row>
    <row r="542" spans="1:11" x14ac:dyDescent="0.15">
      <c r="A542">
        <v>20028739</v>
      </c>
      <c r="B542" t="s">
        <v>33343</v>
      </c>
      <c r="C542" t="s">
        <v>33344</v>
      </c>
      <c r="D542" t="s">
        <v>33345</v>
      </c>
      <c r="E542" t="s">
        <v>33346</v>
      </c>
      <c r="F542" t="s">
        <v>33347</v>
      </c>
      <c r="G542">
        <v>2010</v>
      </c>
      <c r="H542" s="1">
        <v>40171</v>
      </c>
      <c r="I542" t="s">
        <v>33348</v>
      </c>
      <c r="K542" t="s">
        <v>33349</v>
      </c>
    </row>
    <row r="543" spans="1:11" x14ac:dyDescent="0.15">
      <c r="A543">
        <v>31553171</v>
      </c>
      <c r="B543" t="s">
        <v>33350</v>
      </c>
      <c r="C543" t="s">
        <v>33351</v>
      </c>
      <c r="D543" t="s">
        <v>33352</v>
      </c>
      <c r="E543" t="s">
        <v>33353</v>
      </c>
      <c r="F543" t="s">
        <v>30956</v>
      </c>
      <c r="G543">
        <v>2019</v>
      </c>
      <c r="H543" s="1">
        <v>43734</v>
      </c>
      <c r="K543" t="s">
        <v>33354</v>
      </c>
    </row>
    <row r="544" spans="1:11" x14ac:dyDescent="0.15">
      <c r="A544">
        <v>24067531</v>
      </c>
      <c r="B544" t="s">
        <v>33355</v>
      </c>
      <c r="C544" t="s">
        <v>33356</v>
      </c>
      <c r="D544" t="s">
        <v>33357</v>
      </c>
      <c r="E544" t="s">
        <v>33358</v>
      </c>
      <c r="F544" t="s">
        <v>33359</v>
      </c>
      <c r="G544">
        <v>2014</v>
      </c>
      <c r="H544" s="1">
        <v>41544</v>
      </c>
      <c r="K544" t="s">
        <v>33360</v>
      </c>
    </row>
    <row r="545" spans="1:11" x14ac:dyDescent="0.15">
      <c r="A545">
        <v>22315426</v>
      </c>
      <c r="B545" t="s">
        <v>33361</v>
      </c>
      <c r="C545" t="s">
        <v>33362</v>
      </c>
      <c r="D545" t="s">
        <v>33363</v>
      </c>
      <c r="E545" t="s">
        <v>33364</v>
      </c>
      <c r="F545" t="s">
        <v>30767</v>
      </c>
      <c r="G545">
        <v>2012</v>
      </c>
      <c r="H545" s="1">
        <v>40948</v>
      </c>
      <c r="I545" t="s">
        <v>33365</v>
      </c>
      <c r="K545" t="s">
        <v>33366</v>
      </c>
    </row>
    <row r="546" spans="1:11" x14ac:dyDescent="0.15">
      <c r="A546">
        <v>33454965</v>
      </c>
      <c r="B546" t="s">
        <v>33367</v>
      </c>
      <c r="C546" t="s">
        <v>33368</v>
      </c>
      <c r="D546" t="s">
        <v>33369</v>
      </c>
      <c r="E546" t="s">
        <v>33370</v>
      </c>
      <c r="F546" t="s">
        <v>32264</v>
      </c>
      <c r="G546">
        <v>2021</v>
      </c>
      <c r="H546" s="1">
        <v>44213</v>
      </c>
      <c r="K546" t="s">
        <v>33371</v>
      </c>
    </row>
    <row r="547" spans="1:11" x14ac:dyDescent="0.15">
      <c r="A547">
        <v>20304794</v>
      </c>
      <c r="B547" t="s">
        <v>8748</v>
      </c>
      <c r="C547" t="s">
        <v>33372</v>
      </c>
      <c r="D547" t="s">
        <v>33373</v>
      </c>
      <c r="E547" t="s">
        <v>33374</v>
      </c>
      <c r="F547" t="s">
        <v>30767</v>
      </c>
      <c r="G547">
        <v>2010</v>
      </c>
      <c r="H547" s="1">
        <v>40260</v>
      </c>
      <c r="I547" t="s">
        <v>33375</v>
      </c>
      <c r="K547" t="s">
        <v>8758</v>
      </c>
    </row>
    <row r="548" spans="1:11" x14ac:dyDescent="0.15">
      <c r="A548">
        <v>27075967</v>
      </c>
      <c r="B548" t="s">
        <v>33376</v>
      </c>
      <c r="C548" t="s">
        <v>33377</v>
      </c>
      <c r="D548" t="s">
        <v>33378</v>
      </c>
      <c r="E548" t="s">
        <v>33379</v>
      </c>
      <c r="F548" t="s">
        <v>33380</v>
      </c>
      <c r="G548">
        <v>2016</v>
      </c>
      <c r="H548" s="1">
        <v>42475</v>
      </c>
      <c r="K548" t="s">
        <v>33381</v>
      </c>
    </row>
    <row r="549" spans="1:11" x14ac:dyDescent="0.15">
      <c r="A549">
        <v>29881375</v>
      </c>
      <c r="B549" t="s">
        <v>33382</v>
      </c>
      <c r="C549" t="s">
        <v>33383</v>
      </c>
      <c r="D549" t="s">
        <v>33384</v>
      </c>
      <c r="E549" t="s">
        <v>33385</v>
      </c>
      <c r="F549" t="s">
        <v>30713</v>
      </c>
      <c r="G549">
        <v>2018</v>
      </c>
      <c r="H549" s="1">
        <v>43260</v>
      </c>
      <c r="I549" t="s">
        <v>33386</v>
      </c>
      <c r="K549" t="s">
        <v>2063</v>
      </c>
    </row>
    <row r="550" spans="1:11" x14ac:dyDescent="0.15">
      <c r="A550">
        <v>33430027</v>
      </c>
      <c r="B550" t="s">
        <v>4377</v>
      </c>
      <c r="C550" t="s">
        <v>33387</v>
      </c>
      <c r="D550" t="s">
        <v>33388</v>
      </c>
      <c r="E550" t="s">
        <v>33389</v>
      </c>
      <c r="F550" t="s">
        <v>30655</v>
      </c>
      <c r="G550">
        <v>2021</v>
      </c>
      <c r="H550" s="1">
        <v>44208</v>
      </c>
      <c r="I550" t="s">
        <v>33390</v>
      </c>
      <c r="K550" t="s">
        <v>4386</v>
      </c>
    </row>
    <row r="551" spans="1:11" x14ac:dyDescent="0.15">
      <c r="A551">
        <v>31015625</v>
      </c>
      <c r="B551" t="s">
        <v>33391</v>
      </c>
      <c r="C551" t="s">
        <v>33392</v>
      </c>
      <c r="D551" t="s">
        <v>33393</v>
      </c>
      <c r="E551" t="s">
        <v>33394</v>
      </c>
      <c r="F551" t="s">
        <v>33395</v>
      </c>
      <c r="G551">
        <v>2018</v>
      </c>
      <c r="H551" s="1">
        <v>43580</v>
      </c>
      <c r="K551" t="s">
        <v>33396</v>
      </c>
    </row>
    <row r="552" spans="1:11" x14ac:dyDescent="0.15">
      <c r="A552">
        <v>30187611</v>
      </c>
      <c r="B552" t="s">
        <v>6987</v>
      </c>
      <c r="C552" t="s">
        <v>33397</v>
      </c>
      <c r="D552" t="s">
        <v>33398</v>
      </c>
      <c r="E552" t="s">
        <v>33399</v>
      </c>
      <c r="F552" t="s">
        <v>33400</v>
      </c>
      <c r="G552">
        <v>2019</v>
      </c>
      <c r="H552" s="1">
        <v>43350</v>
      </c>
      <c r="K552" t="s">
        <v>6998</v>
      </c>
    </row>
    <row r="553" spans="1:11" x14ac:dyDescent="0.15">
      <c r="A553">
        <v>32187520</v>
      </c>
      <c r="B553" t="s">
        <v>33401</v>
      </c>
      <c r="C553" t="s">
        <v>33402</v>
      </c>
      <c r="D553" t="s">
        <v>33403</v>
      </c>
      <c r="E553" t="s">
        <v>33404</v>
      </c>
      <c r="F553" t="s">
        <v>33405</v>
      </c>
      <c r="G553">
        <v>2020</v>
      </c>
      <c r="H553" s="1">
        <v>43909</v>
      </c>
      <c r="K553" t="s">
        <v>33406</v>
      </c>
    </row>
    <row r="554" spans="1:11" x14ac:dyDescent="0.15">
      <c r="A554">
        <v>33508126</v>
      </c>
      <c r="B554" t="s">
        <v>5153</v>
      </c>
      <c r="C554" t="s">
        <v>33407</v>
      </c>
      <c r="D554" t="s">
        <v>33408</v>
      </c>
      <c r="E554" t="s">
        <v>33409</v>
      </c>
      <c r="F554" t="s">
        <v>33410</v>
      </c>
      <c r="G554">
        <v>2021</v>
      </c>
      <c r="H554" s="1">
        <v>44224</v>
      </c>
      <c r="I554" t="s">
        <v>33411</v>
      </c>
      <c r="K554" t="s">
        <v>5166</v>
      </c>
    </row>
    <row r="555" spans="1:11" x14ac:dyDescent="0.15">
      <c r="A555">
        <v>21248205</v>
      </c>
      <c r="B555" t="s">
        <v>33412</v>
      </c>
      <c r="C555" t="s">
        <v>33027</v>
      </c>
      <c r="D555" t="s">
        <v>33413</v>
      </c>
      <c r="E555" t="s">
        <v>33029</v>
      </c>
      <c r="F555" t="s">
        <v>32298</v>
      </c>
      <c r="G555">
        <v>2011</v>
      </c>
      <c r="H555" s="1">
        <v>40564</v>
      </c>
      <c r="I555" t="s">
        <v>33414</v>
      </c>
      <c r="K555" t="s">
        <v>33415</v>
      </c>
    </row>
    <row r="556" spans="1:11" x14ac:dyDescent="0.15">
      <c r="A556">
        <v>29215015</v>
      </c>
      <c r="B556" t="s">
        <v>7331</v>
      </c>
      <c r="C556" t="s">
        <v>33416</v>
      </c>
      <c r="D556" t="s">
        <v>33417</v>
      </c>
      <c r="E556" t="s">
        <v>33418</v>
      </c>
      <c r="F556" t="s">
        <v>30796</v>
      </c>
      <c r="G556">
        <v>2017</v>
      </c>
      <c r="H556" s="1">
        <v>43077</v>
      </c>
      <c r="I556" t="s">
        <v>33419</v>
      </c>
      <c r="K556" t="s">
        <v>7341</v>
      </c>
    </row>
    <row r="557" spans="1:11" x14ac:dyDescent="0.15">
      <c r="A557">
        <v>29170447</v>
      </c>
      <c r="B557" t="s">
        <v>15805</v>
      </c>
      <c r="C557" t="s">
        <v>33420</v>
      </c>
      <c r="D557" t="s">
        <v>33421</v>
      </c>
      <c r="E557" t="s">
        <v>32995</v>
      </c>
      <c r="F557" t="s">
        <v>30834</v>
      </c>
      <c r="G557">
        <v>2017</v>
      </c>
      <c r="H557" s="1">
        <v>43064</v>
      </c>
      <c r="I557" t="s">
        <v>33422</v>
      </c>
      <c r="K557" t="s">
        <v>15815</v>
      </c>
    </row>
    <row r="558" spans="1:11" x14ac:dyDescent="0.15">
      <c r="A558">
        <v>33126845</v>
      </c>
      <c r="B558" t="s">
        <v>1431</v>
      </c>
      <c r="C558" t="s">
        <v>33423</v>
      </c>
      <c r="D558" t="s">
        <v>33424</v>
      </c>
      <c r="E558" t="s">
        <v>33425</v>
      </c>
      <c r="F558" t="s">
        <v>32170</v>
      </c>
      <c r="G558">
        <v>2021</v>
      </c>
      <c r="H558" s="1">
        <v>44135</v>
      </c>
      <c r="K558" t="s">
        <v>33426</v>
      </c>
    </row>
    <row r="559" spans="1:11" x14ac:dyDescent="0.15">
      <c r="A559">
        <v>34728780</v>
      </c>
      <c r="B559" t="s">
        <v>33427</v>
      </c>
      <c r="C559" t="s">
        <v>33428</v>
      </c>
      <c r="D559" t="s">
        <v>33429</v>
      </c>
      <c r="E559" t="s">
        <v>33430</v>
      </c>
      <c r="F559" t="s">
        <v>30834</v>
      </c>
      <c r="G559">
        <v>2021</v>
      </c>
      <c r="H559" s="1">
        <v>44503</v>
      </c>
      <c r="I559" t="s">
        <v>33431</v>
      </c>
      <c r="K559" t="s">
        <v>33432</v>
      </c>
    </row>
    <row r="560" spans="1:11" x14ac:dyDescent="0.15">
      <c r="A560">
        <v>32824702</v>
      </c>
      <c r="B560" t="s">
        <v>33433</v>
      </c>
      <c r="C560" t="s">
        <v>33434</v>
      </c>
      <c r="D560" t="s">
        <v>33435</v>
      </c>
      <c r="E560" t="s">
        <v>33436</v>
      </c>
      <c r="F560" t="s">
        <v>30655</v>
      </c>
      <c r="G560">
        <v>2020</v>
      </c>
      <c r="H560" s="1">
        <v>44066</v>
      </c>
      <c r="I560" t="s">
        <v>33437</v>
      </c>
      <c r="K560" t="s">
        <v>33438</v>
      </c>
    </row>
    <row r="561" spans="1:11" x14ac:dyDescent="0.15">
      <c r="A561">
        <v>33222670</v>
      </c>
      <c r="B561" t="s">
        <v>33439</v>
      </c>
      <c r="C561" t="s">
        <v>33440</v>
      </c>
      <c r="D561" t="s">
        <v>33441</v>
      </c>
      <c r="E561" t="s">
        <v>33442</v>
      </c>
      <c r="F561" t="s">
        <v>33443</v>
      </c>
      <c r="G561">
        <v>2021</v>
      </c>
      <c r="H561" s="1">
        <v>44158</v>
      </c>
      <c r="K561" t="s">
        <v>33444</v>
      </c>
    </row>
    <row r="562" spans="1:11" x14ac:dyDescent="0.15">
      <c r="A562">
        <v>32929376</v>
      </c>
      <c r="B562" t="s">
        <v>15396</v>
      </c>
      <c r="C562" t="s">
        <v>33445</v>
      </c>
      <c r="D562" t="s">
        <v>33446</v>
      </c>
      <c r="E562" t="s">
        <v>33447</v>
      </c>
      <c r="F562" t="s">
        <v>30588</v>
      </c>
      <c r="G562">
        <v>2020</v>
      </c>
      <c r="H562" s="1">
        <v>44089</v>
      </c>
      <c r="I562" t="s">
        <v>33448</v>
      </c>
      <c r="K562" t="s">
        <v>15406</v>
      </c>
    </row>
    <row r="563" spans="1:11" x14ac:dyDescent="0.15">
      <c r="A563">
        <v>29185455</v>
      </c>
      <c r="B563" t="s">
        <v>6334</v>
      </c>
      <c r="C563" t="s">
        <v>33449</v>
      </c>
      <c r="D563" t="s">
        <v>33450</v>
      </c>
      <c r="E563" t="s">
        <v>33451</v>
      </c>
      <c r="F563" t="s">
        <v>30834</v>
      </c>
      <c r="G563">
        <v>2017</v>
      </c>
      <c r="H563" s="1">
        <v>43069</v>
      </c>
      <c r="I563" t="s">
        <v>33452</v>
      </c>
      <c r="K563" t="s">
        <v>6344</v>
      </c>
    </row>
    <row r="564" spans="1:11" x14ac:dyDescent="0.15">
      <c r="A564">
        <v>32861822</v>
      </c>
      <c r="B564" t="s">
        <v>33453</v>
      </c>
      <c r="C564" t="s">
        <v>33454</v>
      </c>
      <c r="D564" t="s">
        <v>33455</v>
      </c>
      <c r="E564" t="s">
        <v>33456</v>
      </c>
      <c r="F564" t="s">
        <v>33457</v>
      </c>
      <c r="G564">
        <v>2020</v>
      </c>
      <c r="H564" s="1">
        <v>44074</v>
      </c>
      <c r="K564" t="s">
        <v>33458</v>
      </c>
    </row>
    <row r="565" spans="1:11" x14ac:dyDescent="0.15">
      <c r="A565">
        <v>32476238</v>
      </c>
      <c r="B565" t="s">
        <v>33459</v>
      </c>
      <c r="C565" t="s">
        <v>33460</v>
      </c>
      <c r="D565" t="s">
        <v>33461</v>
      </c>
      <c r="E565" t="s">
        <v>33462</v>
      </c>
      <c r="F565" t="s">
        <v>32160</v>
      </c>
      <c r="G565">
        <v>2020</v>
      </c>
      <c r="H565" s="1">
        <v>43984</v>
      </c>
      <c r="K565" t="s">
        <v>33463</v>
      </c>
    </row>
    <row r="566" spans="1:11" x14ac:dyDescent="0.15">
      <c r="A566">
        <v>29243807</v>
      </c>
      <c r="B566" t="s">
        <v>33464</v>
      </c>
      <c r="C566" t="s">
        <v>33465</v>
      </c>
      <c r="D566" t="s">
        <v>33466</v>
      </c>
      <c r="E566" t="s">
        <v>33467</v>
      </c>
      <c r="F566" t="s">
        <v>30847</v>
      </c>
      <c r="G566">
        <v>2018</v>
      </c>
      <c r="H566" s="1">
        <v>43085</v>
      </c>
      <c r="K566" t="s">
        <v>33468</v>
      </c>
    </row>
    <row r="567" spans="1:11" x14ac:dyDescent="0.15">
      <c r="A567">
        <v>31711714</v>
      </c>
      <c r="B567" t="s">
        <v>33469</v>
      </c>
      <c r="C567" t="s">
        <v>33470</v>
      </c>
      <c r="D567" t="s">
        <v>33471</v>
      </c>
      <c r="E567" t="s">
        <v>33472</v>
      </c>
      <c r="F567" t="s">
        <v>30613</v>
      </c>
      <c r="G567">
        <v>2020</v>
      </c>
      <c r="H567" s="1">
        <v>43782</v>
      </c>
      <c r="K567" t="s">
        <v>33473</v>
      </c>
    </row>
    <row r="568" spans="1:11" x14ac:dyDescent="0.15">
      <c r="A568">
        <v>22238051</v>
      </c>
      <c r="B568" t="s">
        <v>33474</v>
      </c>
      <c r="C568" t="s">
        <v>33475</v>
      </c>
      <c r="D568" t="s">
        <v>33476</v>
      </c>
      <c r="E568" t="s">
        <v>33477</v>
      </c>
      <c r="F568" t="s">
        <v>33478</v>
      </c>
      <c r="G568">
        <v>2012</v>
      </c>
      <c r="H568" s="1">
        <v>40921</v>
      </c>
      <c r="K568" t="s">
        <v>33479</v>
      </c>
    </row>
    <row r="569" spans="1:11" x14ac:dyDescent="0.15">
      <c r="A569">
        <v>30412280</v>
      </c>
      <c r="B569" t="s">
        <v>33480</v>
      </c>
      <c r="C569" t="s">
        <v>33481</v>
      </c>
      <c r="D569" t="s">
        <v>33482</v>
      </c>
      <c r="E569" t="s">
        <v>30674</v>
      </c>
      <c r="F569" t="s">
        <v>33483</v>
      </c>
      <c r="G569">
        <v>2019</v>
      </c>
      <c r="H569" s="1">
        <v>43414</v>
      </c>
      <c r="K569" t="s">
        <v>33484</v>
      </c>
    </row>
    <row r="570" spans="1:11" x14ac:dyDescent="0.15">
      <c r="A570">
        <v>29016925</v>
      </c>
      <c r="B570" t="s">
        <v>10051</v>
      </c>
      <c r="C570" t="s">
        <v>33485</v>
      </c>
      <c r="D570" t="s">
        <v>33486</v>
      </c>
      <c r="E570" t="s">
        <v>33487</v>
      </c>
      <c r="F570" t="s">
        <v>33410</v>
      </c>
      <c r="G570">
        <v>2018</v>
      </c>
      <c r="H570" s="1">
        <v>43019</v>
      </c>
      <c r="I570" t="s">
        <v>33488</v>
      </c>
      <c r="K570" t="s">
        <v>10060</v>
      </c>
    </row>
    <row r="571" spans="1:11" x14ac:dyDescent="0.15">
      <c r="A571">
        <v>24211404</v>
      </c>
      <c r="B571" t="s">
        <v>33489</v>
      </c>
      <c r="C571" t="s">
        <v>33490</v>
      </c>
      <c r="D571" t="s">
        <v>33491</v>
      </c>
      <c r="E571" t="s">
        <v>33492</v>
      </c>
      <c r="F571" t="s">
        <v>33493</v>
      </c>
      <c r="G571">
        <v>2014</v>
      </c>
      <c r="H571" s="1">
        <v>41590</v>
      </c>
      <c r="K571" t="s">
        <v>33494</v>
      </c>
    </row>
    <row r="572" spans="1:11" x14ac:dyDescent="0.15">
      <c r="A572">
        <v>32101730</v>
      </c>
      <c r="B572" t="s">
        <v>33495</v>
      </c>
      <c r="C572" t="s">
        <v>33496</v>
      </c>
      <c r="D572" t="s">
        <v>33497</v>
      </c>
      <c r="E572" t="s">
        <v>31845</v>
      </c>
      <c r="F572" t="s">
        <v>31376</v>
      </c>
      <c r="G572">
        <v>2020</v>
      </c>
      <c r="H572" s="1">
        <v>43888</v>
      </c>
      <c r="K572" t="s">
        <v>33498</v>
      </c>
    </row>
    <row r="573" spans="1:11" x14ac:dyDescent="0.15">
      <c r="A573">
        <v>26751387</v>
      </c>
      <c r="B573" t="s">
        <v>33499</v>
      </c>
      <c r="C573" t="s">
        <v>33500</v>
      </c>
      <c r="D573" t="s">
        <v>33501</v>
      </c>
      <c r="E573" t="s">
        <v>33502</v>
      </c>
      <c r="F573" t="s">
        <v>31639</v>
      </c>
      <c r="G573">
        <v>2016</v>
      </c>
      <c r="H573" s="1">
        <v>42381</v>
      </c>
      <c r="I573" t="s">
        <v>33503</v>
      </c>
      <c r="K573" t="s">
        <v>33504</v>
      </c>
    </row>
    <row r="574" spans="1:11" x14ac:dyDescent="0.15">
      <c r="A574">
        <v>32634139</v>
      </c>
      <c r="B574" t="s">
        <v>18417</v>
      </c>
      <c r="C574" t="s">
        <v>33505</v>
      </c>
      <c r="D574" t="s">
        <v>33506</v>
      </c>
      <c r="E574" t="s">
        <v>33507</v>
      </c>
      <c r="F574" t="s">
        <v>31639</v>
      </c>
      <c r="G574">
        <v>2020</v>
      </c>
      <c r="H574" s="1">
        <v>44020</v>
      </c>
      <c r="I574" t="s">
        <v>33508</v>
      </c>
      <c r="K574" t="s">
        <v>33509</v>
      </c>
    </row>
    <row r="575" spans="1:11" x14ac:dyDescent="0.15">
      <c r="A575">
        <v>32776418</v>
      </c>
      <c r="B575" t="s">
        <v>16464</v>
      </c>
      <c r="C575" t="s">
        <v>33510</v>
      </c>
      <c r="D575" t="s">
        <v>33511</v>
      </c>
      <c r="E575" t="s">
        <v>33512</v>
      </c>
      <c r="F575" t="s">
        <v>31671</v>
      </c>
      <c r="G575">
        <v>2020</v>
      </c>
      <c r="H575" s="1">
        <v>44054</v>
      </c>
      <c r="I575" t="s">
        <v>33513</v>
      </c>
      <c r="K575" t="s">
        <v>16472</v>
      </c>
    </row>
    <row r="576" spans="1:11" x14ac:dyDescent="0.15">
      <c r="A576">
        <v>34623384</v>
      </c>
      <c r="B576" t="s">
        <v>8167</v>
      </c>
      <c r="C576" t="s">
        <v>33514</v>
      </c>
      <c r="D576" t="s">
        <v>33515</v>
      </c>
      <c r="E576" t="s">
        <v>33516</v>
      </c>
      <c r="F576" t="s">
        <v>30828</v>
      </c>
      <c r="G576">
        <v>2021</v>
      </c>
      <c r="H576" s="1">
        <v>44477</v>
      </c>
      <c r="I576" t="s">
        <v>33517</v>
      </c>
      <c r="K576" t="s">
        <v>8181</v>
      </c>
    </row>
    <row r="577" spans="1:11" x14ac:dyDescent="0.15">
      <c r="A577">
        <v>34047336</v>
      </c>
      <c r="B577" t="s">
        <v>26817</v>
      </c>
      <c r="C577" t="s">
        <v>33518</v>
      </c>
      <c r="D577" t="s">
        <v>33519</v>
      </c>
      <c r="E577" t="s">
        <v>33520</v>
      </c>
      <c r="F577" t="s">
        <v>31059</v>
      </c>
      <c r="G577">
        <v>2021</v>
      </c>
      <c r="H577" s="1">
        <v>44344</v>
      </c>
      <c r="K577" t="s">
        <v>26828</v>
      </c>
    </row>
    <row r="578" spans="1:11" x14ac:dyDescent="0.15">
      <c r="A578">
        <v>20964628</v>
      </c>
      <c r="B578" t="s">
        <v>33521</v>
      </c>
      <c r="C578" t="s">
        <v>33522</v>
      </c>
      <c r="D578" t="s">
        <v>33523</v>
      </c>
      <c r="E578" t="s">
        <v>33524</v>
      </c>
      <c r="F578" t="s">
        <v>32912</v>
      </c>
      <c r="G578">
        <v>2011</v>
      </c>
      <c r="H578" s="1">
        <v>40474</v>
      </c>
      <c r="K578" t="s">
        <v>33525</v>
      </c>
    </row>
    <row r="579" spans="1:11" x14ac:dyDescent="0.15">
      <c r="A579">
        <v>31548226</v>
      </c>
      <c r="B579" t="s">
        <v>20194</v>
      </c>
      <c r="C579" t="s">
        <v>33526</v>
      </c>
      <c r="D579" t="s">
        <v>33527</v>
      </c>
      <c r="E579" t="s">
        <v>33528</v>
      </c>
      <c r="F579" t="s">
        <v>31018</v>
      </c>
      <c r="G579">
        <v>2020</v>
      </c>
      <c r="H579" s="1">
        <v>43733</v>
      </c>
      <c r="I579" t="s">
        <v>33529</v>
      </c>
      <c r="K579" t="s">
        <v>20203</v>
      </c>
    </row>
    <row r="580" spans="1:11" x14ac:dyDescent="0.15">
      <c r="A580">
        <v>31843276</v>
      </c>
      <c r="B580" t="s">
        <v>33530</v>
      </c>
      <c r="C580" t="s">
        <v>33531</v>
      </c>
      <c r="D580" t="s">
        <v>33532</v>
      </c>
      <c r="E580" t="s">
        <v>31303</v>
      </c>
      <c r="F580" t="s">
        <v>33533</v>
      </c>
      <c r="G580">
        <v>2020</v>
      </c>
      <c r="H580" s="1">
        <v>43817</v>
      </c>
      <c r="I580" t="s">
        <v>33534</v>
      </c>
      <c r="K580" t="s">
        <v>20693</v>
      </c>
    </row>
    <row r="581" spans="1:11" x14ac:dyDescent="0.15">
      <c r="A581">
        <v>28669749</v>
      </c>
      <c r="B581" t="s">
        <v>33535</v>
      </c>
      <c r="C581" t="s">
        <v>33536</v>
      </c>
      <c r="D581" t="s">
        <v>33537</v>
      </c>
      <c r="E581" t="s">
        <v>31316</v>
      </c>
      <c r="F581" t="s">
        <v>33151</v>
      </c>
      <c r="G581">
        <v>2017</v>
      </c>
      <c r="H581" s="1">
        <v>42920</v>
      </c>
      <c r="K581" t="s">
        <v>33538</v>
      </c>
    </row>
    <row r="582" spans="1:11" x14ac:dyDescent="0.15">
      <c r="A582">
        <v>31784837</v>
      </c>
      <c r="B582" t="s">
        <v>33539</v>
      </c>
      <c r="C582" t="s">
        <v>33540</v>
      </c>
      <c r="D582" t="s">
        <v>33541</v>
      </c>
      <c r="E582" t="s">
        <v>33542</v>
      </c>
      <c r="F582" t="s">
        <v>33543</v>
      </c>
      <c r="G582">
        <v>2019</v>
      </c>
      <c r="H582" s="1">
        <v>43800</v>
      </c>
      <c r="K582" t="s">
        <v>33544</v>
      </c>
    </row>
    <row r="583" spans="1:11" x14ac:dyDescent="0.15">
      <c r="A583">
        <v>31300343</v>
      </c>
      <c r="B583" t="s">
        <v>33545</v>
      </c>
      <c r="C583" t="s">
        <v>33546</v>
      </c>
      <c r="D583" t="s">
        <v>33547</v>
      </c>
      <c r="E583" t="s">
        <v>33548</v>
      </c>
      <c r="F583" t="s">
        <v>33549</v>
      </c>
      <c r="G583">
        <v>2019</v>
      </c>
      <c r="H583" s="1">
        <v>43660</v>
      </c>
      <c r="K583" t="s">
        <v>33550</v>
      </c>
    </row>
    <row r="584" spans="1:11" x14ac:dyDescent="0.15">
      <c r="A584">
        <v>23012657</v>
      </c>
      <c r="B584" t="s">
        <v>33551</v>
      </c>
      <c r="C584" t="s">
        <v>33552</v>
      </c>
      <c r="D584" t="s">
        <v>33553</v>
      </c>
      <c r="E584" t="s">
        <v>33554</v>
      </c>
      <c r="F584" t="s">
        <v>33555</v>
      </c>
      <c r="G584">
        <v>2012</v>
      </c>
      <c r="H584" s="1">
        <v>41179</v>
      </c>
      <c r="K584" t="s">
        <v>11756</v>
      </c>
    </row>
    <row r="585" spans="1:11" x14ac:dyDescent="0.15">
      <c r="A585">
        <v>33711340</v>
      </c>
      <c r="B585" t="s">
        <v>9964</v>
      </c>
      <c r="C585" t="s">
        <v>33556</v>
      </c>
      <c r="D585" t="s">
        <v>33557</v>
      </c>
      <c r="E585" t="s">
        <v>33558</v>
      </c>
      <c r="F585" t="s">
        <v>31594</v>
      </c>
      <c r="G585">
        <v>2021</v>
      </c>
      <c r="H585" s="1">
        <v>44267</v>
      </c>
      <c r="I585" t="s">
        <v>33559</v>
      </c>
      <c r="K585" t="s">
        <v>9972</v>
      </c>
    </row>
    <row r="586" spans="1:11" x14ac:dyDescent="0.15">
      <c r="A586">
        <v>22438260</v>
      </c>
      <c r="B586" t="s">
        <v>33560</v>
      </c>
      <c r="C586" t="s">
        <v>33561</v>
      </c>
      <c r="D586" t="s">
        <v>33562</v>
      </c>
      <c r="E586" t="s">
        <v>33563</v>
      </c>
      <c r="F586" t="s">
        <v>33564</v>
      </c>
      <c r="G586">
        <v>2012</v>
      </c>
      <c r="H586" s="1">
        <v>40991</v>
      </c>
      <c r="K586" t="s">
        <v>33565</v>
      </c>
    </row>
    <row r="587" spans="1:11" x14ac:dyDescent="0.15">
      <c r="A587">
        <v>22770246</v>
      </c>
      <c r="B587" t="s">
        <v>33566</v>
      </c>
      <c r="C587" t="s">
        <v>33567</v>
      </c>
      <c r="D587" t="s">
        <v>33568</v>
      </c>
      <c r="E587" t="s">
        <v>33569</v>
      </c>
      <c r="F587" t="s">
        <v>33570</v>
      </c>
      <c r="G587">
        <v>2012</v>
      </c>
      <c r="H587" s="1">
        <v>41100</v>
      </c>
      <c r="I587" t="s">
        <v>33571</v>
      </c>
      <c r="J587" t="s">
        <v>33572</v>
      </c>
      <c r="K587" t="s">
        <v>33573</v>
      </c>
    </row>
    <row r="588" spans="1:11" x14ac:dyDescent="0.15">
      <c r="A588">
        <v>33918465</v>
      </c>
      <c r="B588" t="s">
        <v>471</v>
      </c>
      <c r="C588" t="s">
        <v>33574</v>
      </c>
      <c r="D588" t="s">
        <v>33575</v>
      </c>
      <c r="E588" t="s">
        <v>33576</v>
      </c>
      <c r="F588" t="s">
        <v>30816</v>
      </c>
      <c r="G588">
        <v>2021</v>
      </c>
      <c r="H588" s="1">
        <v>44316</v>
      </c>
      <c r="I588" t="s">
        <v>33577</v>
      </c>
      <c r="K588" t="s">
        <v>479</v>
      </c>
    </row>
    <row r="589" spans="1:11" x14ac:dyDescent="0.15">
      <c r="A589">
        <v>35013578</v>
      </c>
      <c r="B589" t="s">
        <v>33578</v>
      </c>
      <c r="C589" t="s">
        <v>33579</v>
      </c>
      <c r="D589" t="s">
        <v>33580</v>
      </c>
      <c r="E589" t="s">
        <v>33581</v>
      </c>
      <c r="F589" t="s">
        <v>31952</v>
      </c>
      <c r="G589">
        <v>2022</v>
      </c>
      <c r="H589" s="1">
        <v>44572</v>
      </c>
      <c r="I589" t="s">
        <v>33582</v>
      </c>
      <c r="K589" t="s">
        <v>33583</v>
      </c>
    </row>
    <row r="590" spans="1:11" x14ac:dyDescent="0.15">
      <c r="A590">
        <v>24259003</v>
      </c>
      <c r="B590" t="s">
        <v>33584</v>
      </c>
      <c r="C590" t="s">
        <v>33585</v>
      </c>
      <c r="D590" t="s">
        <v>33586</v>
      </c>
      <c r="E590" t="s">
        <v>33587</v>
      </c>
      <c r="F590" t="s">
        <v>31003</v>
      </c>
      <c r="G590">
        <v>2014</v>
      </c>
      <c r="H590" s="1">
        <v>41600</v>
      </c>
      <c r="K590" t="s">
        <v>33588</v>
      </c>
    </row>
    <row r="591" spans="1:11" x14ac:dyDescent="0.15">
      <c r="A591">
        <v>33892051</v>
      </c>
      <c r="B591" t="s">
        <v>33589</v>
      </c>
      <c r="C591" t="s">
        <v>33590</v>
      </c>
      <c r="D591" t="s">
        <v>33591</v>
      </c>
      <c r="E591" t="s">
        <v>33314</v>
      </c>
      <c r="F591" t="s">
        <v>33151</v>
      </c>
      <c r="G591">
        <v>2021</v>
      </c>
      <c r="H591" s="1">
        <v>44309</v>
      </c>
      <c r="K591" t="s">
        <v>33592</v>
      </c>
    </row>
    <row r="592" spans="1:11" x14ac:dyDescent="0.15">
      <c r="A592">
        <v>31911034</v>
      </c>
      <c r="B592" t="s">
        <v>8853</v>
      </c>
      <c r="C592" t="s">
        <v>33593</v>
      </c>
      <c r="D592" t="s">
        <v>33594</v>
      </c>
      <c r="E592" t="s">
        <v>33595</v>
      </c>
      <c r="F592" t="s">
        <v>30786</v>
      </c>
      <c r="G592">
        <v>2020</v>
      </c>
      <c r="H592" s="1">
        <v>43839</v>
      </c>
      <c r="I592" t="s">
        <v>33596</v>
      </c>
      <c r="K592" t="s">
        <v>8864</v>
      </c>
    </row>
    <row r="593" spans="1:11" x14ac:dyDescent="0.15">
      <c r="A593">
        <v>32880856</v>
      </c>
      <c r="B593" t="s">
        <v>3103</v>
      </c>
      <c r="C593" t="s">
        <v>33597</v>
      </c>
      <c r="D593" t="s">
        <v>33598</v>
      </c>
      <c r="E593" t="s">
        <v>33599</v>
      </c>
      <c r="F593" t="s">
        <v>33600</v>
      </c>
      <c r="G593">
        <v>2020</v>
      </c>
      <c r="H593" s="1">
        <v>44078</v>
      </c>
      <c r="I593" t="s">
        <v>33601</v>
      </c>
      <c r="K593" t="s">
        <v>3114</v>
      </c>
    </row>
    <row r="594" spans="1:11" x14ac:dyDescent="0.15">
      <c r="A594">
        <v>32231001</v>
      </c>
      <c r="B594" t="s">
        <v>33602</v>
      </c>
      <c r="C594" t="s">
        <v>33603</v>
      </c>
      <c r="D594" t="s">
        <v>33604</v>
      </c>
      <c r="E594" t="s">
        <v>33605</v>
      </c>
      <c r="F594" t="s">
        <v>30655</v>
      </c>
      <c r="G594">
        <v>2020</v>
      </c>
      <c r="H594" s="1">
        <v>43923</v>
      </c>
      <c r="I594" t="s">
        <v>33606</v>
      </c>
      <c r="K594" t="s">
        <v>33607</v>
      </c>
    </row>
    <row r="595" spans="1:11" x14ac:dyDescent="0.15">
      <c r="A595">
        <v>31893376</v>
      </c>
      <c r="B595" t="s">
        <v>5097</v>
      </c>
      <c r="C595" t="s">
        <v>33608</v>
      </c>
      <c r="D595" t="s">
        <v>33609</v>
      </c>
      <c r="E595" t="s">
        <v>33610</v>
      </c>
      <c r="F595" t="s">
        <v>31003</v>
      </c>
      <c r="G595">
        <v>2020</v>
      </c>
      <c r="H595" s="1">
        <v>43832</v>
      </c>
      <c r="I595" t="s">
        <v>33611</v>
      </c>
      <c r="J595" t="s">
        <v>33612</v>
      </c>
      <c r="K595" t="s">
        <v>5107</v>
      </c>
    </row>
    <row r="596" spans="1:11" x14ac:dyDescent="0.15">
      <c r="A596">
        <v>26412464</v>
      </c>
      <c r="B596" t="s">
        <v>1414</v>
      </c>
      <c r="C596" t="s">
        <v>33613</v>
      </c>
      <c r="D596" t="s">
        <v>33614</v>
      </c>
      <c r="E596" t="s">
        <v>33615</v>
      </c>
      <c r="F596" t="s">
        <v>33616</v>
      </c>
      <c r="G596">
        <v>2016</v>
      </c>
      <c r="H596" s="1">
        <v>42276</v>
      </c>
      <c r="K596" t="s">
        <v>1427</v>
      </c>
    </row>
    <row r="597" spans="1:11" x14ac:dyDescent="0.15">
      <c r="A597">
        <v>31451692</v>
      </c>
      <c r="B597" t="s">
        <v>13663</v>
      </c>
      <c r="C597" t="s">
        <v>33617</v>
      </c>
      <c r="D597" t="s">
        <v>33618</v>
      </c>
      <c r="E597" t="s">
        <v>33619</v>
      </c>
      <c r="F597" t="s">
        <v>30796</v>
      </c>
      <c r="G597">
        <v>2019</v>
      </c>
      <c r="H597" s="1">
        <v>43705</v>
      </c>
      <c r="I597" t="s">
        <v>33620</v>
      </c>
      <c r="K597" t="s">
        <v>13673</v>
      </c>
    </row>
    <row r="598" spans="1:11" x14ac:dyDescent="0.15">
      <c r="A598">
        <v>26681674</v>
      </c>
      <c r="B598" t="s">
        <v>11039</v>
      </c>
      <c r="C598" t="s">
        <v>33621</v>
      </c>
      <c r="D598" t="s">
        <v>33622</v>
      </c>
      <c r="E598" t="s">
        <v>33623</v>
      </c>
      <c r="F598" t="s">
        <v>30605</v>
      </c>
      <c r="G598">
        <v>2016</v>
      </c>
      <c r="H598" s="1">
        <v>42357</v>
      </c>
      <c r="I598" t="s">
        <v>33624</v>
      </c>
      <c r="K598" t="s">
        <v>11048</v>
      </c>
    </row>
    <row r="599" spans="1:11" x14ac:dyDescent="0.15">
      <c r="A599">
        <v>22325213</v>
      </c>
      <c r="B599" t="s">
        <v>33625</v>
      </c>
      <c r="C599" t="s">
        <v>33626</v>
      </c>
      <c r="D599" t="s">
        <v>33627</v>
      </c>
      <c r="E599" t="s">
        <v>33628</v>
      </c>
      <c r="F599" t="s">
        <v>32288</v>
      </c>
      <c r="G599">
        <v>2011</v>
      </c>
      <c r="H599" s="1">
        <v>40953</v>
      </c>
    </row>
    <row r="600" spans="1:11" x14ac:dyDescent="0.15">
      <c r="A600">
        <v>28975808</v>
      </c>
      <c r="B600" t="s">
        <v>9500</v>
      </c>
      <c r="C600" t="s">
        <v>33629</v>
      </c>
      <c r="D600" t="s">
        <v>33630</v>
      </c>
      <c r="E600" t="s">
        <v>33631</v>
      </c>
      <c r="F600" t="s">
        <v>33632</v>
      </c>
      <c r="G600">
        <v>2018</v>
      </c>
      <c r="H600" s="1">
        <v>43013</v>
      </c>
      <c r="K600" t="s">
        <v>9513</v>
      </c>
    </row>
    <row r="601" spans="1:11" x14ac:dyDescent="0.15">
      <c r="A601">
        <v>31456107</v>
      </c>
      <c r="B601" t="s">
        <v>33633</v>
      </c>
      <c r="C601" t="s">
        <v>33634</v>
      </c>
      <c r="D601" t="s">
        <v>33635</v>
      </c>
      <c r="E601" t="s">
        <v>33636</v>
      </c>
      <c r="F601" t="s">
        <v>31485</v>
      </c>
      <c r="G601">
        <v>2020</v>
      </c>
      <c r="H601" s="1">
        <v>43706</v>
      </c>
      <c r="I601" t="s">
        <v>33637</v>
      </c>
      <c r="J601" t="s">
        <v>33638</v>
      </c>
      <c r="K601" t="s">
        <v>33639</v>
      </c>
    </row>
    <row r="602" spans="1:11" x14ac:dyDescent="0.15">
      <c r="A602">
        <v>25210768</v>
      </c>
      <c r="B602" t="s">
        <v>33640</v>
      </c>
      <c r="C602" t="s">
        <v>33641</v>
      </c>
      <c r="D602" t="s">
        <v>33642</v>
      </c>
      <c r="E602" t="s">
        <v>33643</v>
      </c>
      <c r="F602" t="s">
        <v>31639</v>
      </c>
      <c r="G602">
        <v>2014</v>
      </c>
      <c r="H602" s="1">
        <v>41894</v>
      </c>
      <c r="I602" t="s">
        <v>33644</v>
      </c>
      <c r="K602" t="s">
        <v>33645</v>
      </c>
    </row>
    <row r="603" spans="1:11" x14ac:dyDescent="0.15">
      <c r="A603">
        <v>24611950</v>
      </c>
      <c r="B603" t="s">
        <v>7259</v>
      </c>
      <c r="C603" t="s">
        <v>33646</v>
      </c>
      <c r="D603" t="s">
        <v>33647</v>
      </c>
      <c r="E603" t="s">
        <v>33648</v>
      </c>
      <c r="F603" t="s">
        <v>23613</v>
      </c>
      <c r="G603">
        <v>2014</v>
      </c>
      <c r="H603" s="1">
        <v>41710</v>
      </c>
      <c r="K603" t="s">
        <v>7272</v>
      </c>
    </row>
    <row r="604" spans="1:11" x14ac:dyDescent="0.15">
      <c r="A604">
        <v>24933019</v>
      </c>
      <c r="B604" t="s">
        <v>33649</v>
      </c>
      <c r="C604" t="s">
        <v>33650</v>
      </c>
      <c r="D604" t="s">
        <v>33651</v>
      </c>
      <c r="E604" t="s">
        <v>33652</v>
      </c>
      <c r="F604" t="s">
        <v>31639</v>
      </c>
      <c r="G604">
        <v>2014</v>
      </c>
      <c r="H604" s="1">
        <v>41807</v>
      </c>
      <c r="I604" t="s">
        <v>33653</v>
      </c>
      <c r="K604" t="s">
        <v>33654</v>
      </c>
    </row>
    <row r="605" spans="1:11" x14ac:dyDescent="0.15">
      <c r="A605">
        <v>32246814</v>
      </c>
      <c r="B605" t="s">
        <v>22833</v>
      </c>
      <c r="C605" t="s">
        <v>33655</v>
      </c>
      <c r="D605" t="s">
        <v>33656</v>
      </c>
      <c r="E605" t="s">
        <v>33657</v>
      </c>
      <c r="F605" t="s">
        <v>30694</v>
      </c>
      <c r="G605">
        <v>2020</v>
      </c>
      <c r="H605" s="1">
        <v>43926</v>
      </c>
      <c r="I605" t="s">
        <v>33658</v>
      </c>
      <c r="K605" t="s">
        <v>22843</v>
      </c>
    </row>
    <row r="606" spans="1:11" x14ac:dyDescent="0.15">
      <c r="A606">
        <v>30206166</v>
      </c>
      <c r="B606" t="s">
        <v>33659</v>
      </c>
      <c r="C606" t="s">
        <v>33660</v>
      </c>
      <c r="D606" t="s">
        <v>33661</v>
      </c>
      <c r="E606" t="s">
        <v>33662</v>
      </c>
      <c r="F606" t="s">
        <v>33663</v>
      </c>
      <c r="G606">
        <v>2018</v>
      </c>
      <c r="H606" s="1">
        <v>43356</v>
      </c>
      <c r="I606" t="s">
        <v>33664</v>
      </c>
      <c r="K606" t="s">
        <v>6362</v>
      </c>
    </row>
    <row r="607" spans="1:11" x14ac:dyDescent="0.15">
      <c r="A607">
        <v>22336707</v>
      </c>
      <c r="B607" t="s">
        <v>33665</v>
      </c>
      <c r="C607" t="s">
        <v>33666</v>
      </c>
      <c r="D607" t="s">
        <v>33667</v>
      </c>
      <c r="E607" t="s">
        <v>33668</v>
      </c>
      <c r="F607" t="s">
        <v>31659</v>
      </c>
      <c r="G607">
        <v>2012</v>
      </c>
      <c r="H607" s="1">
        <v>40956</v>
      </c>
      <c r="I607" t="s">
        <v>33669</v>
      </c>
      <c r="K607" t="s">
        <v>33670</v>
      </c>
    </row>
    <row r="608" spans="1:11" x14ac:dyDescent="0.15">
      <c r="A608">
        <v>33538116</v>
      </c>
      <c r="B608" t="s">
        <v>33671</v>
      </c>
      <c r="C608" t="s">
        <v>33672</v>
      </c>
      <c r="D608" t="s">
        <v>33673</v>
      </c>
      <c r="E608" t="s">
        <v>33674</v>
      </c>
      <c r="F608" t="s">
        <v>33675</v>
      </c>
      <c r="G608">
        <v>2021</v>
      </c>
      <c r="H608" s="1">
        <v>44231</v>
      </c>
      <c r="I608" t="s">
        <v>33676</v>
      </c>
      <c r="K608" t="s">
        <v>33677</v>
      </c>
    </row>
    <row r="609" spans="1:11" x14ac:dyDescent="0.15">
      <c r="A609">
        <v>26462606</v>
      </c>
      <c r="B609" t="s">
        <v>22973</v>
      </c>
      <c r="C609" t="s">
        <v>33678</v>
      </c>
      <c r="D609" t="s">
        <v>33679</v>
      </c>
      <c r="E609" t="s">
        <v>33680</v>
      </c>
      <c r="F609" t="s">
        <v>31633</v>
      </c>
      <c r="G609">
        <v>2016</v>
      </c>
      <c r="H609" s="1">
        <v>42292</v>
      </c>
      <c r="I609" t="s">
        <v>33681</v>
      </c>
      <c r="K609" t="s">
        <v>22983</v>
      </c>
    </row>
    <row r="610" spans="1:11" x14ac:dyDescent="0.15">
      <c r="A610">
        <v>29084979</v>
      </c>
      <c r="B610" t="s">
        <v>21578</v>
      </c>
      <c r="C610" t="s">
        <v>33682</v>
      </c>
      <c r="D610" t="s">
        <v>33683</v>
      </c>
      <c r="E610" t="s">
        <v>33684</v>
      </c>
      <c r="F610" t="s">
        <v>30834</v>
      </c>
      <c r="G610">
        <v>2017</v>
      </c>
      <c r="H610" s="1">
        <v>43040</v>
      </c>
      <c r="I610" t="s">
        <v>33685</v>
      </c>
      <c r="K610" t="s">
        <v>21587</v>
      </c>
    </row>
    <row r="611" spans="1:11" x14ac:dyDescent="0.15">
      <c r="A611">
        <v>28383029</v>
      </c>
      <c r="B611" t="s">
        <v>33686</v>
      </c>
      <c r="C611" t="s">
        <v>33687</v>
      </c>
      <c r="D611" t="s">
        <v>33688</v>
      </c>
      <c r="E611" t="s">
        <v>33689</v>
      </c>
      <c r="F611" t="s">
        <v>30834</v>
      </c>
      <c r="G611">
        <v>2017</v>
      </c>
      <c r="H611" s="1">
        <v>42832</v>
      </c>
      <c r="I611" t="s">
        <v>33690</v>
      </c>
      <c r="K611" t="s">
        <v>33691</v>
      </c>
    </row>
    <row r="612" spans="1:11" x14ac:dyDescent="0.15">
      <c r="A612">
        <v>35320943</v>
      </c>
      <c r="B612" t="s">
        <v>33692</v>
      </c>
      <c r="C612" t="s">
        <v>33693</v>
      </c>
      <c r="D612" t="s">
        <v>33694</v>
      </c>
      <c r="E612" t="s">
        <v>33695</v>
      </c>
      <c r="F612" t="s">
        <v>30713</v>
      </c>
      <c r="G612">
        <v>2022</v>
      </c>
      <c r="H612" s="1">
        <v>44644</v>
      </c>
      <c r="I612" t="s">
        <v>33696</v>
      </c>
      <c r="K612" t="s">
        <v>33697</v>
      </c>
    </row>
    <row r="613" spans="1:11" x14ac:dyDescent="0.15">
      <c r="A613">
        <v>33047121</v>
      </c>
      <c r="B613" t="s">
        <v>33698</v>
      </c>
      <c r="C613" t="s">
        <v>33699</v>
      </c>
      <c r="D613" t="s">
        <v>33700</v>
      </c>
      <c r="E613" t="s">
        <v>33701</v>
      </c>
      <c r="F613" t="s">
        <v>33702</v>
      </c>
      <c r="G613">
        <v>2020</v>
      </c>
      <c r="H613" s="1">
        <v>44117</v>
      </c>
      <c r="K613" t="s">
        <v>33703</v>
      </c>
    </row>
    <row r="614" spans="1:11" x14ac:dyDescent="0.15">
      <c r="A614">
        <v>30537027</v>
      </c>
      <c r="B614" t="s">
        <v>33704</v>
      </c>
      <c r="C614" t="s">
        <v>33705</v>
      </c>
      <c r="D614" t="s">
        <v>33706</v>
      </c>
      <c r="E614" t="s">
        <v>33707</v>
      </c>
      <c r="F614" t="s">
        <v>33708</v>
      </c>
      <c r="G614">
        <v>2019</v>
      </c>
      <c r="H614" s="1">
        <v>43446</v>
      </c>
      <c r="K614" t="s">
        <v>33709</v>
      </c>
    </row>
    <row r="615" spans="1:11" x14ac:dyDescent="0.15">
      <c r="A615">
        <v>31068945</v>
      </c>
      <c r="B615" t="s">
        <v>2248</v>
      </c>
      <c r="C615" t="s">
        <v>33710</v>
      </c>
      <c r="D615" t="s">
        <v>33711</v>
      </c>
      <c r="E615" t="s">
        <v>31664</v>
      </c>
      <c r="F615" t="s">
        <v>30713</v>
      </c>
      <c r="G615">
        <v>2019</v>
      </c>
      <c r="H615" s="1">
        <v>43595</v>
      </c>
      <c r="I615" t="s">
        <v>33712</v>
      </c>
      <c r="K615" t="s">
        <v>2259</v>
      </c>
    </row>
    <row r="616" spans="1:11" x14ac:dyDescent="0.15">
      <c r="A616">
        <v>32228703</v>
      </c>
      <c r="B616" t="s">
        <v>19024</v>
      </c>
      <c r="C616" t="s">
        <v>33713</v>
      </c>
      <c r="D616" t="s">
        <v>33714</v>
      </c>
      <c r="E616" t="s">
        <v>33715</v>
      </c>
      <c r="F616" t="s">
        <v>30630</v>
      </c>
      <c r="G616">
        <v>2020</v>
      </c>
      <c r="H616" s="1">
        <v>43923</v>
      </c>
      <c r="I616" t="s">
        <v>33716</v>
      </c>
      <c r="K616" t="s">
        <v>19033</v>
      </c>
    </row>
    <row r="617" spans="1:11" x14ac:dyDescent="0.15">
      <c r="A617">
        <v>30358122</v>
      </c>
      <c r="B617" t="s">
        <v>1683</v>
      </c>
      <c r="C617" t="s">
        <v>33717</v>
      </c>
      <c r="D617" t="s">
        <v>33718</v>
      </c>
      <c r="E617" t="s">
        <v>33719</v>
      </c>
      <c r="F617" t="s">
        <v>31367</v>
      </c>
      <c r="G617">
        <v>2019</v>
      </c>
      <c r="H617" s="1">
        <v>43399</v>
      </c>
      <c r="K617" t="s">
        <v>1695</v>
      </c>
    </row>
    <row r="618" spans="1:11" x14ac:dyDescent="0.15">
      <c r="A618">
        <v>34282051</v>
      </c>
      <c r="B618" t="s">
        <v>21361</v>
      </c>
      <c r="C618" t="s">
        <v>33720</v>
      </c>
      <c r="D618" t="s">
        <v>33721</v>
      </c>
      <c r="E618" t="s">
        <v>33558</v>
      </c>
      <c r="F618" t="s">
        <v>33722</v>
      </c>
      <c r="G618">
        <v>2021</v>
      </c>
      <c r="H618" s="1">
        <v>44397</v>
      </c>
      <c r="I618" t="s">
        <v>33723</v>
      </c>
      <c r="K618" t="s">
        <v>21372</v>
      </c>
    </row>
    <row r="619" spans="1:11" x14ac:dyDescent="0.15">
      <c r="A619">
        <v>35057806</v>
      </c>
      <c r="B619" t="s">
        <v>33724</v>
      </c>
      <c r="C619" t="s">
        <v>33725</v>
      </c>
      <c r="D619" t="s">
        <v>33726</v>
      </c>
      <c r="E619" t="s">
        <v>33727</v>
      </c>
      <c r="F619" t="s">
        <v>30630</v>
      </c>
      <c r="G619">
        <v>2022</v>
      </c>
      <c r="H619" s="1">
        <v>44582</v>
      </c>
      <c r="I619" t="s">
        <v>33728</v>
      </c>
      <c r="K619" t="s">
        <v>33729</v>
      </c>
    </row>
    <row r="620" spans="1:11" x14ac:dyDescent="0.15">
      <c r="A620">
        <v>28878382</v>
      </c>
      <c r="B620" t="s">
        <v>33730</v>
      </c>
      <c r="C620" t="s">
        <v>33731</v>
      </c>
      <c r="D620" t="s">
        <v>33732</v>
      </c>
      <c r="E620" t="s">
        <v>33733</v>
      </c>
      <c r="F620" t="s">
        <v>30834</v>
      </c>
      <c r="G620">
        <v>2017</v>
      </c>
      <c r="H620" s="1">
        <v>42986</v>
      </c>
      <c r="I620" t="s">
        <v>33734</v>
      </c>
      <c r="K620" t="s">
        <v>33735</v>
      </c>
    </row>
    <row r="621" spans="1:11" x14ac:dyDescent="0.15">
      <c r="A621">
        <v>28774835</v>
      </c>
      <c r="B621" t="s">
        <v>33736</v>
      </c>
      <c r="C621" t="s">
        <v>33737</v>
      </c>
      <c r="D621" t="s">
        <v>33738</v>
      </c>
      <c r="E621" t="s">
        <v>33739</v>
      </c>
      <c r="F621" t="s">
        <v>33740</v>
      </c>
      <c r="G621">
        <v>2018</v>
      </c>
      <c r="H621" s="1">
        <v>42952</v>
      </c>
      <c r="K621" t="s">
        <v>33741</v>
      </c>
    </row>
    <row r="622" spans="1:11" x14ac:dyDescent="0.15">
      <c r="A622">
        <v>22232189</v>
      </c>
      <c r="B622" t="s">
        <v>33742</v>
      </c>
      <c r="C622" t="s">
        <v>33743</v>
      </c>
      <c r="D622" t="s">
        <v>33744</v>
      </c>
      <c r="E622" t="s">
        <v>33745</v>
      </c>
      <c r="F622" t="s">
        <v>33746</v>
      </c>
      <c r="G622">
        <v>2012</v>
      </c>
      <c r="H622" s="1">
        <v>40919</v>
      </c>
      <c r="I622" t="s">
        <v>33747</v>
      </c>
      <c r="K622" t="s">
        <v>33748</v>
      </c>
    </row>
    <row r="623" spans="1:11" x14ac:dyDescent="0.15">
      <c r="A623">
        <v>21670248</v>
      </c>
      <c r="B623" t="s">
        <v>33749</v>
      </c>
      <c r="C623" t="s">
        <v>33750</v>
      </c>
      <c r="D623" t="s">
        <v>33751</v>
      </c>
      <c r="E623" t="s">
        <v>33752</v>
      </c>
      <c r="F623" t="s">
        <v>30767</v>
      </c>
      <c r="G623">
        <v>2011</v>
      </c>
      <c r="H623" s="1">
        <v>40709</v>
      </c>
      <c r="I623" t="s">
        <v>33753</v>
      </c>
      <c r="K623" t="s">
        <v>33754</v>
      </c>
    </row>
    <row r="624" spans="1:11" x14ac:dyDescent="0.15">
      <c r="A624">
        <v>32267172</v>
      </c>
      <c r="B624" t="s">
        <v>24851</v>
      </c>
      <c r="C624" t="s">
        <v>33755</v>
      </c>
      <c r="D624" t="s">
        <v>33756</v>
      </c>
      <c r="E624" t="s">
        <v>33757</v>
      </c>
      <c r="F624" t="s">
        <v>31297</v>
      </c>
      <c r="G624">
        <v>2020</v>
      </c>
      <c r="H624" s="1">
        <v>43930</v>
      </c>
      <c r="K624" t="s">
        <v>24864</v>
      </c>
    </row>
    <row r="625" spans="1:11" x14ac:dyDescent="0.15">
      <c r="A625">
        <v>27075363</v>
      </c>
      <c r="B625" t="s">
        <v>33758</v>
      </c>
      <c r="C625" t="s">
        <v>33759</v>
      </c>
      <c r="D625" t="s">
        <v>33760</v>
      </c>
      <c r="E625" t="s">
        <v>33761</v>
      </c>
      <c r="F625" t="s">
        <v>30740</v>
      </c>
      <c r="G625">
        <v>2016</v>
      </c>
      <c r="H625" s="1">
        <v>42475</v>
      </c>
      <c r="I625" t="s">
        <v>33762</v>
      </c>
      <c r="K625" t="s">
        <v>33763</v>
      </c>
    </row>
    <row r="626" spans="1:11" x14ac:dyDescent="0.15">
      <c r="A626">
        <v>31922357</v>
      </c>
      <c r="B626" t="s">
        <v>4770</v>
      </c>
      <c r="C626" t="s">
        <v>33764</v>
      </c>
      <c r="D626" t="s">
        <v>33765</v>
      </c>
      <c r="E626" t="s">
        <v>33766</v>
      </c>
      <c r="F626" t="s">
        <v>31346</v>
      </c>
      <c r="G626">
        <v>2020</v>
      </c>
      <c r="H626" s="1">
        <v>43841</v>
      </c>
      <c r="I626" t="s">
        <v>33767</v>
      </c>
      <c r="K626" t="s">
        <v>4779</v>
      </c>
    </row>
    <row r="627" spans="1:11" x14ac:dyDescent="0.15">
      <c r="A627">
        <v>31281309</v>
      </c>
      <c r="B627" t="s">
        <v>33768</v>
      </c>
      <c r="C627" t="s">
        <v>33769</v>
      </c>
      <c r="D627" t="s">
        <v>33770</v>
      </c>
      <c r="E627" t="s">
        <v>31303</v>
      </c>
      <c r="F627" t="s">
        <v>30713</v>
      </c>
      <c r="G627">
        <v>2019</v>
      </c>
      <c r="H627" s="1">
        <v>43655</v>
      </c>
      <c r="I627" t="s">
        <v>33771</v>
      </c>
      <c r="K627" t="s">
        <v>13458</v>
      </c>
    </row>
    <row r="628" spans="1:11" x14ac:dyDescent="0.15">
      <c r="A628">
        <v>33274611</v>
      </c>
      <c r="B628" t="s">
        <v>3932</v>
      </c>
      <c r="C628" t="s">
        <v>33772</v>
      </c>
      <c r="D628" t="s">
        <v>33773</v>
      </c>
      <c r="E628" t="s">
        <v>33774</v>
      </c>
      <c r="F628" t="s">
        <v>33775</v>
      </c>
      <c r="G628">
        <v>2020</v>
      </c>
      <c r="H628" s="1">
        <v>44169</v>
      </c>
      <c r="I628" t="s">
        <v>33776</v>
      </c>
      <c r="J628" t="s">
        <v>33777</v>
      </c>
      <c r="K628" t="s">
        <v>3943</v>
      </c>
    </row>
    <row r="629" spans="1:11" x14ac:dyDescent="0.15">
      <c r="A629">
        <v>28041903</v>
      </c>
      <c r="B629" t="s">
        <v>18166</v>
      </c>
      <c r="C629" t="s">
        <v>33778</v>
      </c>
      <c r="D629" t="s">
        <v>33779</v>
      </c>
      <c r="E629" t="s">
        <v>31714</v>
      </c>
      <c r="F629" t="s">
        <v>31885</v>
      </c>
      <c r="G629">
        <v>2017</v>
      </c>
      <c r="H629" s="1">
        <v>42738</v>
      </c>
      <c r="I629" t="s">
        <v>33780</v>
      </c>
      <c r="J629" t="s">
        <v>33781</v>
      </c>
      <c r="K629" t="s">
        <v>18174</v>
      </c>
    </row>
    <row r="630" spans="1:11" x14ac:dyDescent="0.15">
      <c r="A630">
        <v>33633746</v>
      </c>
      <c r="B630" t="s">
        <v>33782</v>
      </c>
      <c r="C630" t="s">
        <v>33783</v>
      </c>
      <c r="D630" t="s">
        <v>33784</v>
      </c>
      <c r="E630" t="s">
        <v>33785</v>
      </c>
      <c r="F630" t="s">
        <v>30713</v>
      </c>
      <c r="G630">
        <v>2021</v>
      </c>
      <c r="H630" s="1">
        <v>44253</v>
      </c>
      <c r="I630" t="s">
        <v>33786</v>
      </c>
      <c r="K630" t="s">
        <v>33787</v>
      </c>
    </row>
    <row r="631" spans="1:11" x14ac:dyDescent="0.15">
      <c r="A631">
        <v>32162067</v>
      </c>
      <c r="B631" t="s">
        <v>2457</v>
      </c>
      <c r="C631" t="s">
        <v>33788</v>
      </c>
      <c r="D631" t="s">
        <v>33789</v>
      </c>
      <c r="E631" t="s">
        <v>33790</v>
      </c>
      <c r="F631" t="s">
        <v>33791</v>
      </c>
      <c r="G631">
        <v>2020</v>
      </c>
      <c r="H631" s="1">
        <v>43903</v>
      </c>
      <c r="K631" t="s">
        <v>2471</v>
      </c>
    </row>
    <row r="632" spans="1:11" x14ac:dyDescent="0.15">
      <c r="A632">
        <v>30102952</v>
      </c>
      <c r="B632" t="s">
        <v>14571</v>
      </c>
      <c r="C632" t="s">
        <v>33792</v>
      </c>
      <c r="D632" t="s">
        <v>33793</v>
      </c>
      <c r="E632" t="s">
        <v>33794</v>
      </c>
      <c r="F632" t="s">
        <v>30682</v>
      </c>
      <c r="G632">
        <v>2018</v>
      </c>
      <c r="H632" s="1">
        <v>43326</v>
      </c>
      <c r="K632" t="s">
        <v>14581</v>
      </c>
    </row>
    <row r="633" spans="1:11" x14ac:dyDescent="0.15">
      <c r="A633">
        <v>32312151</v>
      </c>
      <c r="B633" t="s">
        <v>33795</v>
      </c>
      <c r="C633" t="s">
        <v>33796</v>
      </c>
      <c r="D633" t="s">
        <v>33797</v>
      </c>
      <c r="E633" t="s">
        <v>33798</v>
      </c>
      <c r="F633" t="s">
        <v>33799</v>
      </c>
      <c r="G633">
        <v>2020</v>
      </c>
      <c r="H633" s="1">
        <v>43943</v>
      </c>
      <c r="I633" t="s">
        <v>33800</v>
      </c>
      <c r="K633" t="s">
        <v>33801</v>
      </c>
    </row>
    <row r="634" spans="1:11" x14ac:dyDescent="0.15">
      <c r="A634">
        <v>27097729</v>
      </c>
      <c r="B634" t="s">
        <v>33802</v>
      </c>
      <c r="C634" t="s">
        <v>33803</v>
      </c>
      <c r="D634" t="s">
        <v>33804</v>
      </c>
      <c r="E634" t="s">
        <v>33805</v>
      </c>
      <c r="F634" t="s">
        <v>31671</v>
      </c>
      <c r="G634">
        <v>2016</v>
      </c>
      <c r="H634" s="1">
        <v>42482</v>
      </c>
      <c r="I634" t="s">
        <v>33806</v>
      </c>
      <c r="K634" t="s">
        <v>33807</v>
      </c>
    </row>
    <row r="635" spans="1:11" x14ac:dyDescent="0.15">
      <c r="A635">
        <v>33455159</v>
      </c>
      <c r="B635" t="s">
        <v>6559</v>
      </c>
      <c r="C635" t="s">
        <v>33808</v>
      </c>
      <c r="D635" t="s">
        <v>33809</v>
      </c>
      <c r="E635" t="s">
        <v>32544</v>
      </c>
      <c r="F635" t="s">
        <v>30778</v>
      </c>
      <c r="G635">
        <v>2021</v>
      </c>
      <c r="H635" s="1">
        <v>44214</v>
      </c>
      <c r="K635" t="s">
        <v>6567</v>
      </c>
    </row>
    <row r="636" spans="1:11" x14ac:dyDescent="0.15">
      <c r="A636">
        <v>34599143</v>
      </c>
      <c r="B636" t="s">
        <v>33810</v>
      </c>
      <c r="C636" t="s">
        <v>33811</v>
      </c>
      <c r="D636" t="s">
        <v>33812</v>
      </c>
      <c r="E636" t="s">
        <v>33813</v>
      </c>
      <c r="F636" t="s">
        <v>30733</v>
      </c>
      <c r="G636">
        <v>2021</v>
      </c>
      <c r="H636" s="1">
        <v>44471</v>
      </c>
      <c r="I636" t="s">
        <v>33814</v>
      </c>
      <c r="K636" t="s">
        <v>33815</v>
      </c>
    </row>
    <row r="637" spans="1:11" x14ac:dyDescent="0.15">
      <c r="A637">
        <v>27351774</v>
      </c>
      <c r="B637" t="s">
        <v>33816</v>
      </c>
      <c r="C637" t="s">
        <v>33817</v>
      </c>
      <c r="D637" t="s">
        <v>33818</v>
      </c>
      <c r="E637" t="s">
        <v>31303</v>
      </c>
      <c r="F637" t="s">
        <v>31659</v>
      </c>
      <c r="G637">
        <v>2016</v>
      </c>
      <c r="H637" s="1">
        <v>42550</v>
      </c>
      <c r="I637" t="s">
        <v>33819</v>
      </c>
      <c r="K637" t="s">
        <v>33820</v>
      </c>
    </row>
    <row r="638" spans="1:11" x14ac:dyDescent="0.15">
      <c r="A638">
        <v>33666247</v>
      </c>
      <c r="B638" t="s">
        <v>33821</v>
      </c>
      <c r="C638" t="s">
        <v>33822</v>
      </c>
      <c r="D638" t="s">
        <v>33823</v>
      </c>
      <c r="E638" t="s">
        <v>33824</v>
      </c>
      <c r="F638" t="s">
        <v>33825</v>
      </c>
      <c r="G638">
        <v>2021</v>
      </c>
      <c r="H638" s="1">
        <v>44260</v>
      </c>
      <c r="K638" t="s">
        <v>33826</v>
      </c>
    </row>
    <row r="639" spans="1:11" x14ac:dyDescent="0.15">
      <c r="A639">
        <v>25988257</v>
      </c>
      <c r="B639" t="s">
        <v>5318</v>
      </c>
      <c r="C639" t="s">
        <v>33827</v>
      </c>
      <c r="D639" t="s">
        <v>33828</v>
      </c>
      <c r="E639" t="s">
        <v>33829</v>
      </c>
      <c r="F639" t="s">
        <v>30834</v>
      </c>
      <c r="G639">
        <v>2015</v>
      </c>
      <c r="H639" s="1">
        <v>42144</v>
      </c>
      <c r="I639" t="s">
        <v>33830</v>
      </c>
      <c r="K639" t="s">
        <v>5326</v>
      </c>
    </row>
    <row r="640" spans="1:11" x14ac:dyDescent="0.15">
      <c r="A640">
        <v>32877016</v>
      </c>
      <c r="B640" t="s">
        <v>1468</v>
      </c>
      <c r="C640" t="s">
        <v>33831</v>
      </c>
      <c r="D640" t="s">
        <v>33832</v>
      </c>
      <c r="E640" t="s">
        <v>33833</v>
      </c>
      <c r="F640" t="s">
        <v>30763</v>
      </c>
      <c r="G640">
        <v>2020</v>
      </c>
      <c r="H640" s="1">
        <v>44077</v>
      </c>
      <c r="K640" t="s">
        <v>1478</v>
      </c>
    </row>
    <row r="641" spans="1:11" x14ac:dyDescent="0.15">
      <c r="A641">
        <v>31511614</v>
      </c>
      <c r="B641" t="s">
        <v>33834</v>
      </c>
      <c r="C641" t="s">
        <v>33835</v>
      </c>
      <c r="D641" t="s">
        <v>33836</v>
      </c>
      <c r="E641" t="s">
        <v>33837</v>
      </c>
      <c r="F641" t="s">
        <v>30834</v>
      </c>
      <c r="G641">
        <v>2019</v>
      </c>
      <c r="H641" s="1">
        <v>43721</v>
      </c>
      <c r="I641" t="s">
        <v>33838</v>
      </c>
      <c r="K641" t="s">
        <v>33839</v>
      </c>
    </row>
    <row r="642" spans="1:11" x14ac:dyDescent="0.15">
      <c r="A642">
        <v>26150337</v>
      </c>
      <c r="B642" t="s">
        <v>3967</v>
      </c>
      <c r="C642" t="s">
        <v>33840</v>
      </c>
      <c r="D642" t="s">
        <v>33841</v>
      </c>
      <c r="E642" t="s">
        <v>32548</v>
      </c>
      <c r="F642" t="s">
        <v>31251</v>
      </c>
      <c r="G642">
        <v>2015</v>
      </c>
      <c r="H642" s="1">
        <v>42193</v>
      </c>
      <c r="K642" t="s">
        <v>3980</v>
      </c>
    </row>
    <row r="643" spans="1:11" x14ac:dyDescent="0.15">
      <c r="A643">
        <v>31935901</v>
      </c>
      <c r="B643" t="s">
        <v>33842</v>
      </c>
      <c r="C643" t="s">
        <v>33843</v>
      </c>
      <c r="D643" t="s">
        <v>33844</v>
      </c>
      <c r="E643" t="s">
        <v>33845</v>
      </c>
      <c r="F643" t="s">
        <v>30655</v>
      </c>
      <c r="G643">
        <v>2020</v>
      </c>
      <c r="H643" s="1">
        <v>43846</v>
      </c>
      <c r="I643" t="s">
        <v>33846</v>
      </c>
      <c r="K643" t="s">
        <v>33847</v>
      </c>
    </row>
    <row r="644" spans="1:11" x14ac:dyDescent="0.15">
      <c r="A644">
        <v>30008386</v>
      </c>
      <c r="B644" t="s">
        <v>11312</v>
      </c>
      <c r="C644" t="s">
        <v>33848</v>
      </c>
      <c r="D644" t="s">
        <v>33849</v>
      </c>
      <c r="E644" t="s">
        <v>33850</v>
      </c>
      <c r="F644" t="s">
        <v>30682</v>
      </c>
      <c r="G644">
        <v>2018</v>
      </c>
      <c r="H644" s="1">
        <v>43298</v>
      </c>
      <c r="K644" t="s">
        <v>11320</v>
      </c>
    </row>
    <row r="645" spans="1:11" x14ac:dyDescent="0.15">
      <c r="A645">
        <v>33317598</v>
      </c>
      <c r="B645" t="s">
        <v>5262</v>
      </c>
      <c r="C645" t="s">
        <v>33851</v>
      </c>
      <c r="D645" t="s">
        <v>33852</v>
      </c>
      <c r="E645" t="s">
        <v>33853</v>
      </c>
      <c r="F645" t="s">
        <v>30740</v>
      </c>
      <c r="G645">
        <v>2020</v>
      </c>
      <c r="H645" s="1">
        <v>44180</v>
      </c>
      <c r="I645" t="s">
        <v>33854</v>
      </c>
      <c r="K645" t="s">
        <v>5272</v>
      </c>
    </row>
    <row r="646" spans="1:11" x14ac:dyDescent="0.15">
      <c r="A646">
        <v>34667108</v>
      </c>
      <c r="B646" t="s">
        <v>16619</v>
      </c>
      <c r="C646" t="s">
        <v>33855</v>
      </c>
      <c r="D646" t="s">
        <v>33856</v>
      </c>
      <c r="E646" t="s">
        <v>33857</v>
      </c>
      <c r="F646" t="s">
        <v>32900</v>
      </c>
      <c r="G646">
        <v>2021</v>
      </c>
      <c r="H646" s="1">
        <v>44489</v>
      </c>
      <c r="K646" t="s">
        <v>16626</v>
      </c>
    </row>
    <row r="647" spans="1:11" x14ac:dyDescent="0.15">
      <c r="A647">
        <v>34987478</v>
      </c>
      <c r="B647" t="s">
        <v>33858</v>
      </c>
      <c r="C647" t="s">
        <v>33859</v>
      </c>
      <c r="D647" t="s">
        <v>33860</v>
      </c>
      <c r="E647" t="s">
        <v>33861</v>
      </c>
      <c r="F647" t="s">
        <v>33862</v>
      </c>
      <c r="G647">
        <v>2021</v>
      </c>
      <c r="H647" s="1">
        <v>44567</v>
      </c>
      <c r="I647" t="s">
        <v>33863</v>
      </c>
      <c r="K647" t="s">
        <v>33864</v>
      </c>
    </row>
    <row r="648" spans="1:11" x14ac:dyDescent="0.15">
      <c r="A648">
        <v>26604130</v>
      </c>
      <c r="B648" t="s">
        <v>6959</v>
      </c>
      <c r="C648" t="s">
        <v>33865</v>
      </c>
      <c r="D648" t="s">
        <v>33866</v>
      </c>
      <c r="E648" t="s">
        <v>33867</v>
      </c>
      <c r="F648" t="s">
        <v>30682</v>
      </c>
      <c r="G648">
        <v>2016</v>
      </c>
      <c r="H648" s="1">
        <v>42334</v>
      </c>
      <c r="I648" t="s">
        <v>33868</v>
      </c>
      <c r="J648" t="s">
        <v>33869</v>
      </c>
      <c r="K648" t="s">
        <v>6967</v>
      </c>
    </row>
    <row r="649" spans="1:11" x14ac:dyDescent="0.15">
      <c r="A649">
        <v>25066235</v>
      </c>
      <c r="B649" t="s">
        <v>33870</v>
      </c>
      <c r="C649" t="s">
        <v>33871</v>
      </c>
      <c r="D649" t="s">
        <v>33872</v>
      </c>
      <c r="E649" t="s">
        <v>33873</v>
      </c>
      <c r="F649" t="s">
        <v>32022</v>
      </c>
      <c r="G649">
        <v>2014</v>
      </c>
      <c r="H649" s="1">
        <v>41849</v>
      </c>
      <c r="I649" t="s">
        <v>33874</v>
      </c>
      <c r="K649" t="s">
        <v>33875</v>
      </c>
    </row>
    <row r="650" spans="1:11" x14ac:dyDescent="0.15">
      <c r="A650">
        <v>26574648</v>
      </c>
      <c r="B650" t="s">
        <v>33876</v>
      </c>
      <c r="C650" t="s">
        <v>33877</v>
      </c>
      <c r="D650" t="s">
        <v>33878</v>
      </c>
      <c r="E650" t="s">
        <v>33879</v>
      </c>
      <c r="F650" t="s">
        <v>31659</v>
      </c>
      <c r="G650">
        <v>2016</v>
      </c>
      <c r="H650" s="1">
        <v>42326</v>
      </c>
      <c r="I650" t="s">
        <v>33880</v>
      </c>
      <c r="K650" t="s">
        <v>33881</v>
      </c>
    </row>
    <row r="651" spans="1:11" x14ac:dyDescent="0.15">
      <c r="A651">
        <v>31288510</v>
      </c>
      <c r="B651" t="s">
        <v>13276</v>
      </c>
      <c r="C651" t="s">
        <v>33882</v>
      </c>
      <c r="D651" t="s">
        <v>33883</v>
      </c>
      <c r="E651" t="s">
        <v>33813</v>
      </c>
      <c r="F651" t="s">
        <v>30956</v>
      </c>
      <c r="G651">
        <v>2019</v>
      </c>
      <c r="H651" s="1">
        <v>43657</v>
      </c>
      <c r="K651" t="s">
        <v>13286</v>
      </c>
    </row>
    <row r="652" spans="1:11" x14ac:dyDescent="0.15">
      <c r="A652">
        <v>31596073</v>
      </c>
      <c r="B652" t="s">
        <v>9163</v>
      </c>
      <c r="C652" t="s">
        <v>33884</v>
      </c>
      <c r="D652" t="s">
        <v>33885</v>
      </c>
      <c r="E652" t="s">
        <v>33886</v>
      </c>
      <c r="F652" t="s">
        <v>30956</v>
      </c>
      <c r="G652">
        <v>2019</v>
      </c>
      <c r="H652" s="1">
        <v>43748</v>
      </c>
      <c r="K652" t="s">
        <v>9171</v>
      </c>
    </row>
    <row r="653" spans="1:11" x14ac:dyDescent="0.15">
      <c r="A653">
        <v>30476045</v>
      </c>
      <c r="B653" t="s">
        <v>33887</v>
      </c>
      <c r="C653" t="s">
        <v>33888</v>
      </c>
      <c r="D653" t="s">
        <v>33889</v>
      </c>
      <c r="E653" t="s">
        <v>33890</v>
      </c>
      <c r="F653" t="s">
        <v>33891</v>
      </c>
      <c r="G653">
        <v>2019</v>
      </c>
      <c r="H653" s="1">
        <v>43431</v>
      </c>
      <c r="I653" t="s">
        <v>33892</v>
      </c>
      <c r="K653" t="s">
        <v>33893</v>
      </c>
    </row>
    <row r="654" spans="1:11" x14ac:dyDescent="0.15">
      <c r="A654">
        <v>24105744</v>
      </c>
      <c r="B654" t="s">
        <v>33894</v>
      </c>
      <c r="C654" t="s">
        <v>33895</v>
      </c>
      <c r="D654" t="s">
        <v>33896</v>
      </c>
      <c r="E654" t="s">
        <v>33897</v>
      </c>
      <c r="F654" t="s">
        <v>31824</v>
      </c>
      <c r="G654">
        <v>2013</v>
      </c>
      <c r="H654" s="1">
        <v>41557</v>
      </c>
      <c r="I654" t="s">
        <v>33898</v>
      </c>
      <c r="K654" t="s">
        <v>33899</v>
      </c>
    </row>
    <row r="655" spans="1:11" x14ac:dyDescent="0.15">
      <c r="A655">
        <v>27825390</v>
      </c>
      <c r="B655" t="s">
        <v>33900</v>
      </c>
      <c r="C655" t="s">
        <v>33901</v>
      </c>
      <c r="D655" t="s">
        <v>33902</v>
      </c>
      <c r="E655" t="s">
        <v>33903</v>
      </c>
      <c r="F655" t="s">
        <v>33904</v>
      </c>
      <c r="G655">
        <v>2016</v>
      </c>
      <c r="H655" s="1">
        <v>42684</v>
      </c>
      <c r="I655" t="s">
        <v>33905</v>
      </c>
      <c r="K655" t="s">
        <v>33906</v>
      </c>
    </row>
    <row r="656" spans="1:11" x14ac:dyDescent="0.15">
      <c r="A656">
        <v>33361424</v>
      </c>
      <c r="B656" t="s">
        <v>2535</v>
      </c>
      <c r="C656" t="s">
        <v>33907</v>
      </c>
      <c r="D656" t="s">
        <v>33908</v>
      </c>
      <c r="E656" t="s">
        <v>33909</v>
      </c>
      <c r="F656" t="s">
        <v>31970</v>
      </c>
      <c r="G656">
        <v>2021</v>
      </c>
      <c r="H656" s="1">
        <v>44193</v>
      </c>
      <c r="I656" t="s">
        <v>33910</v>
      </c>
      <c r="K656" t="s">
        <v>2547</v>
      </c>
    </row>
    <row r="657" spans="1:11" x14ac:dyDescent="0.15">
      <c r="A657">
        <v>32934287</v>
      </c>
      <c r="B657" t="s">
        <v>33911</v>
      </c>
      <c r="C657" t="s">
        <v>33912</v>
      </c>
      <c r="D657" t="s">
        <v>33913</v>
      </c>
      <c r="E657" t="s">
        <v>33914</v>
      </c>
      <c r="F657" t="s">
        <v>30834</v>
      </c>
      <c r="G657">
        <v>2020</v>
      </c>
      <c r="H657" s="1">
        <v>44090</v>
      </c>
      <c r="I657" t="s">
        <v>33915</v>
      </c>
      <c r="K657" t="s">
        <v>33916</v>
      </c>
    </row>
    <row r="658" spans="1:11" x14ac:dyDescent="0.15">
      <c r="A658">
        <v>22369922</v>
      </c>
      <c r="B658" t="s">
        <v>33917</v>
      </c>
      <c r="C658" t="s">
        <v>33918</v>
      </c>
      <c r="D658" t="s">
        <v>33919</v>
      </c>
      <c r="E658" t="s">
        <v>33920</v>
      </c>
      <c r="F658" t="s">
        <v>33740</v>
      </c>
      <c r="G658">
        <v>2012</v>
      </c>
      <c r="H658" s="1">
        <v>40968</v>
      </c>
      <c r="K658" t="s">
        <v>33921</v>
      </c>
    </row>
    <row r="659" spans="1:11" x14ac:dyDescent="0.15">
      <c r="A659">
        <v>30915846</v>
      </c>
      <c r="B659" t="s">
        <v>1216</v>
      </c>
      <c r="C659" t="s">
        <v>33922</v>
      </c>
      <c r="D659" t="s">
        <v>33923</v>
      </c>
      <c r="E659" t="s">
        <v>33924</v>
      </c>
      <c r="F659" t="s">
        <v>31781</v>
      </c>
      <c r="G659">
        <v>2019</v>
      </c>
      <c r="H659" s="1">
        <v>43552</v>
      </c>
      <c r="K659" t="s">
        <v>1228</v>
      </c>
    </row>
    <row r="660" spans="1:11" x14ac:dyDescent="0.15">
      <c r="A660">
        <v>32062572</v>
      </c>
      <c r="B660" t="s">
        <v>6900</v>
      </c>
      <c r="C660" t="s">
        <v>33925</v>
      </c>
      <c r="D660" t="s">
        <v>33926</v>
      </c>
      <c r="E660" t="s">
        <v>33927</v>
      </c>
      <c r="F660" t="s">
        <v>33928</v>
      </c>
      <c r="G660">
        <v>2020</v>
      </c>
      <c r="H660" s="1">
        <v>43878</v>
      </c>
      <c r="K660" t="s">
        <v>6913</v>
      </c>
    </row>
    <row r="661" spans="1:11" x14ac:dyDescent="0.15">
      <c r="A661">
        <v>32726764</v>
      </c>
      <c r="B661" t="s">
        <v>7622</v>
      </c>
      <c r="C661" t="s">
        <v>33929</v>
      </c>
      <c r="D661" t="s">
        <v>33930</v>
      </c>
      <c r="E661" t="s">
        <v>33931</v>
      </c>
      <c r="F661" t="s">
        <v>31617</v>
      </c>
      <c r="G661">
        <v>2021</v>
      </c>
      <c r="H661" s="1">
        <v>44042</v>
      </c>
      <c r="K661" t="s">
        <v>7633</v>
      </c>
    </row>
    <row r="662" spans="1:11" x14ac:dyDescent="0.15">
      <c r="A662">
        <v>35287054</v>
      </c>
      <c r="B662" t="s">
        <v>2832</v>
      </c>
      <c r="C662" t="s">
        <v>33932</v>
      </c>
      <c r="D662" t="s">
        <v>33933</v>
      </c>
      <c r="E662" t="s">
        <v>32824</v>
      </c>
      <c r="F662" t="s">
        <v>32654</v>
      </c>
      <c r="G662">
        <v>2022</v>
      </c>
      <c r="H662" s="1">
        <v>44634</v>
      </c>
      <c r="K662" t="s">
        <v>2844</v>
      </c>
    </row>
    <row r="663" spans="1:11" x14ac:dyDescent="0.15">
      <c r="A663">
        <v>32231660</v>
      </c>
      <c r="B663" t="s">
        <v>33934</v>
      </c>
      <c r="C663" t="s">
        <v>33935</v>
      </c>
      <c r="D663" t="s">
        <v>33936</v>
      </c>
      <c r="E663" t="s">
        <v>33937</v>
      </c>
      <c r="F663" t="s">
        <v>30713</v>
      </c>
      <c r="G663">
        <v>2020</v>
      </c>
      <c r="H663" s="1">
        <v>43923</v>
      </c>
      <c r="I663" t="s">
        <v>33938</v>
      </c>
      <c r="K663" t="s">
        <v>33939</v>
      </c>
    </row>
    <row r="664" spans="1:11" x14ac:dyDescent="0.15">
      <c r="A664">
        <v>29976662</v>
      </c>
      <c r="B664" t="s">
        <v>6673</v>
      </c>
      <c r="C664" t="s">
        <v>33940</v>
      </c>
      <c r="D664" t="s">
        <v>33941</v>
      </c>
      <c r="E664" t="s">
        <v>33942</v>
      </c>
      <c r="F664" t="s">
        <v>31970</v>
      </c>
      <c r="G664">
        <v>2018</v>
      </c>
      <c r="H664" s="1">
        <v>43288</v>
      </c>
      <c r="I664" t="s">
        <v>33943</v>
      </c>
      <c r="K664" t="s">
        <v>6679</v>
      </c>
    </row>
    <row r="665" spans="1:11" x14ac:dyDescent="0.15">
      <c r="A665">
        <v>30467990</v>
      </c>
      <c r="B665" t="s">
        <v>33944</v>
      </c>
      <c r="C665" t="s">
        <v>33945</v>
      </c>
      <c r="D665" t="s">
        <v>33946</v>
      </c>
      <c r="E665" t="s">
        <v>33947</v>
      </c>
      <c r="F665" t="s">
        <v>31367</v>
      </c>
      <c r="G665">
        <v>2019</v>
      </c>
      <c r="H665" s="1">
        <v>43428</v>
      </c>
      <c r="K665" t="s">
        <v>33948</v>
      </c>
    </row>
    <row r="666" spans="1:11" x14ac:dyDescent="0.15">
      <c r="A666">
        <v>33713701</v>
      </c>
      <c r="B666" t="s">
        <v>33949</v>
      </c>
      <c r="C666" t="s">
        <v>33950</v>
      </c>
      <c r="D666" t="s">
        <v>33951</v>
      </c>
      <c r="E666" t="s">
        <v>33952</v>
      </c>
      <c r="F666" t="s">
        <v>31594</v>
      </c>
      <c r="G666">
        <v>2021</v>
      </c>
      <c r="H666" s="1">
        <v>44268</v>
      </c>
      <c r="I666" t="s">
        <v>33953</v>
      </c>
      <c r="K666" t="s">
        <v>33954</v>
      </c>
    </row>
    <row r="667" spans="1:11" x14ac:dyDescent="0.15">
      <c r="A667">
        <v>30291794</v>
      </c>
      <c r="B667" t="s">
        <v>4827</v>
      </c>
      <c r="C667" t="s">
        <v>33955</v>
      </c>
      <c r="D667" t="s">
        <v>33956</v>
      </c>
      <c r="E667" t="s">
        <v>33957</v>
      </c>
      <c r="F667" t="s">
        <v>32887</v>
      </c>
      <c r="G667">
        <v>2018</v>
      </c>
      <c r="H667" s="1">
        <v>43380</v>
      </c>
      <c r="I667" t="s">
        <v>33958</v>
      </c>
      <c r="J667" t="s">
        <v>33959</v>
      </c>
      <c r="K667" t="s">
        <v>4839</v>
      </c>
    </row>
    <row r="668" spans="1:11" x14ac:dyDescent="0.15">
      <c r="A668">
        <v>22143786</v>
      </c>
      <c r="B668" t="s">
        <v>33960</v>
      </c>
      <c r="C668" t="s">
        <v>33961</v>
      </c>
      <c r="D668" t="s">
        <v>33962</v>
      </c>
      <c r="E668" t="s">
        <v>33963</v>
      </c>
      <c r="F668" t="s">
        <v>30767</v>
      </c>
      <c r="G668">
        <v>2011</v>
      </c>
      <c r="H668" s="1">
        <v>40884</v>
      </c>
      <c r="I668" t="s">
        <v>33964</v>
      </c>
      <c r="K668" t="s">
        <v>33965</v>
      </c>
    </row>
    <row r="669" spans="1:11" x14ac:dyDescent="0.15">
      <c r="A669">
        <v>29986606</v>
      </c>
      <c r="B669" t="s">
        <v>11211</v>
      </c>
      <c r="C669" t="s">
        <v>33966</v>
      </c>
      <c r="D669" t="s">
        <v>33967</v>
      </c>
      <c r="E669" t="s">
        <v>33968</v>
      </c>
      <c r="F669" t="s">
        <v>33969</v>
      </c>
      <c r="G669">
        <v>2018</v>
      </c>
      <c r="H669" s="1">
        <v>43292</v>
      </c>
      <c r="I669" t="s">
        <v>33970</v>
      </c>
      <c r="K669" t="s">
        <v>11223</v>
      </c>
    </row>
    <row r="670" spans="1:11" x14ac:dyDescent="0.15">
      <c r="A670">
        <v>30279572</v>
      </c>
      <c r="B670" t="s">
        <v>20959</v>
      </c>
      <c r="C670" t="s">
        <v>33971</v>
      </c>
      <c r="D670" t="s">
        <v>33972</v>
      </c>
      <c r="E670" t="s">
        <v>33973</v>
      </c>
      <c r="F670" t="s">
        <v>30834</v>
      </c>
      <c r="G670">
        <v>2018</v>
      </c>
      <c r="H670" s="1">
        <v>43377</v>
      </c>
      <c r="I670" t="s">
        <v>33974</v>
      </c>
      <c r="K670" t="s">
        <v>20967</v>
      </c>
    </row>
    <row r="671" spans="1:11" x14ac:dyDescent="0.15">
      <c r="A671">
        <v>35068480</v>
      </c>
      <c r="B671" t="s">
        <v>8285</v>
      </c>
      <c r="C671" t="s">
        <v>33975</v>
      </c>
      <c r="D671" t="s">
        <v>33976</v>
      </c>
      <c r="E671" t="s">
        <v>33977</v>
      </c>
      <c r="F671" t="s">
        <v>30853</v>
      </c>
      <c r="G671">
        <v>2022</v>
      </c>
      <c r="H671" s="1">
        <v>44585</v>
      </c>
      <c r="I671" t="s">
        <v>33978</v>
      </c>
      <c r="J671" t="s">
        <v>33979</v>
      </c>
      <c r="K671" t="s">
        <v>8291</v>
      </c>
    </row>
    <row r="672" spans="1:11" x14ac:dyDescent="0.15">
      <c r="A672">
        <v>21289297</v>
      </c>
      <c r="B672" t="s">
        <v>33980</v>
      </c>
      <c r="C672" t="s">
        <v>33981</v>
      </c>
      <c r="D672" t="s">
        <v>33982</v>
      </c>
      <c r="E672" t="s">
        <v>33983</v>
      </c>
      <c r="F672" t="s">
        <v>33984</v>
      </c>
      <c r="G672">
        <v>2011</v>
      </c>
      <c r="H672" s="1">
        <v>40578</v>
      </c>
      <c r="K672" t="s">
        <v>33985</v>
      </c>
    </row>
    <row r="673" spans="1:11" x14ac:dyDescent="0.15">
      <c r="A673">
        <v>33106559</v>
      </c>
      <c r="B673" t="s">
        <v>9077</v>
      </c>
      <c r="C673" t="s">
        <v>33986</v>
      </c>
      <c r="D673" t="s">
        <v>33987</v>
      </c>
      <c r="E673" t="s">
        <v>33988</v>
      </c>
      <c r="F673" t="s">
        <v>30834</v>
      </c>
      <c r="G673">
        <v>2020</v>
      </c>
      <c r="H673" s="1">
        <v>44131</v>
      </c>
      <c r="I673" t="s">
        <v>33989</v>
      </c>
      <c r="K673" t="s">
        <v>9084</v>
      </c>
    </row>
    <row r="674" spans="1:11" x14ac:dyDescent="0.15">
      <c r="A674">
        <v>31355328</v>
      </c>
      <c r="B674" t="s">
        <v>12193</v>
      </c>
      <c r="C674" t="s">
        <v>33990</v>
      </c>
      <c r="D674" t="s">
        <v>33991</v>
      </c>
      <c r="E674" t="s">
        <v>32824</v>
      </c>
      <c r="F674" t="s">
        <v>30758</v>
      </c>
      <c r="G674">
        <v>2019</v>
      </c>
      <c r="H674" s="1">
        <v>43676</v>
      </c>
      <c r="I674" t="s">
        <v>33992</v>
      </c>
      <c r="K674" t="s">
        <v>12201</v>
      </c>
    </row>
    <row r="675" spans="1:11" x14ac:dyDescent="0.15">
      <c r="A675">
        <v>34275103</v>
      </c>
      <c r="B675" t="s">
        <v>33993</v>
      </c>
      <c r="C675" t="s">
        <v>33994</v>
      </c>
      <c r="D675" t="s">
        <v>33995</v>
      </c>
      <c r="E675" t="s">
        <v>33996</v>
      </c>
      <c r="F675" t="s">
        <v>33997</v>
      </c>
      <c r="G675">
        <v>2021</v>
      </c>
      <c r="H675" s="1">
        <v>44395</v>
      </c>
      <c r="I675" t="s">
        <v>33998</v>
      </c>
      <c r="K675" t="s">
        <v>33999</v>
      </c>
    </row>
    <row r="676" spans="1:11" x14ac:dyDescent="0.15">
      <c r="A676">
        <v>34960750</v>
      </c>
      <c r="B676" t="s">
        <v>23419</v>
      </c>
      <c r="C676" t="s">
        <v>34000</v>
      </c>
      <c r="D676" t="s">
        <v>34001</v>
      </c>
      <c r="E676" t="s">
        <v>34002</v>
      </c>
      <c r="F676" t="s">
        <v>30720</v>
      </c>
      <c r="G676">
        <v>2021</v>
      </c>
      <c r="H676" s="1">
        <v>44558</v>
      </c>
      <c r="I676" t="s">
        <v>34003</v>
      </c>
      <c r="K676" t="s">
        <v>23429</v>
      </c>
    </row>
    <row r="677" spans="1:11" x14ac:dyDescent="0.15">
      <c r="A677">
        <v>32978452</v>
      </c>
      <c r="B677" t="s">
        <v>12035</v>
      </c>
      <c r="C677" t="s">
        <v>34004</v>
      </c>
      <c r="D677" t="s">
        <v>34005</v>
      </c>
      <c r="E677" t="s">
        <v>34006</v>
      </c>
      <c r="F677" t="s">
        <v>30834</v>
      </c>
      <c r="G677">
        <v>2020</v>
      </c>
      <c r="H677" s="1">
        <v>44100</v>
      </c>
      <c r="I677" t="s">
        <v>34007</v>
      </c>
      <c r="K677" t="s">
        <v>12044</v>
      </c>
    </row>
    <row r="678" spans="1:11" x14ac:dyDescent="0.15">
      <c r="A678">
        <v>30928427</v>
      </c>
      <c r="B678" t="s">
        <v>34008</v>
      </c>
      <c r="C678" t="s">
        <v>34009</v>
      </c>
      <c r="D678" t="s">
        <v>34010</v>
      </c>
      <c r="E678" t="s">
        <v>34011</v>
      </c>
      <c r="F678" t="s">
        <v>32328</v>
      </c>
      <c r="G678">
        <v>2019</v>
      </c>
      <c r="H678" s="1">
        <v>43556</v>
      </c>
      <c r="K678" t="s">
        <v>34012</v>
      </c>
    </row>
    <row r="679" spans="1:11" x14ac:dyDescent="0.15">
      <c r="A679">
        <v>29434260</v>
      </c>
      <c r="B679" t="s">
        <v>26096</v>
      </c>
      <c r="C679" t="s">
        <v>34013</v>
      </c>
      <c r="D679" t="s">
        <v>34014</v>
      </c>
      <c r="E679" t="s">
        <v>34015</v>
      </c>
      <c r="F679" t="s">
        <v>30834</v>
      </c>
      <c r="G679">
        <v>2018</v>
      </c>
      <c r="H679" s="1">
        <v>43145</v>
      </c>
      <c r="I679" t="s">
        <v>34016</v>
      </c>
      <c r="K679" t="s">
        <v>26102</v>
      </c>
    </row>
    <row r="680" spans="1:11" x14ac:dyDescent="0.15">
      <c r="A680">
        <v>23873874</v>
      </c>
      <c r="B680" t="s">
        <v>34017</v>
      </c>
      <c r="C680" t="s">
        <v>34018</v>
      </c>
      <c r="D680" t="s">
        <v>34019</v>
      </c>
      <c r="E680" t="s">
        <v>34020</v>
      </c>
      <c r="F680" t="s">
        <v>34021</v>
      </c>
      <c r="G680">
        <v>2014</v>
      </c>
      <c r="H680" s="1">
        <v>41478</v>
      </c>
      <c r="K680" t="s">
        <v>34022</v>
      </c>
    </row>
    <row r="681" spans="1:11" x14ac:dyDescent="0.15">
      <c r="A681">
        <v>30907225</v>
      </c>
      <c r="B681" t="s">
        <v>3731</v>
      </c>
      <c r="C681" t="s">
        <v>34023</v>
      </c>
      <c r="D681" t="s">
        <v>34024</v>
      </c>
      <c r="E681" t="s">
        <v>34025</v>
      </c>
      <c r="F681" t="s">
        <v>34026</v>
      </c>
      <c r="G681">
        <v>2019</v>
      </c>
      <c r="H681" s="1">
        <v>43550</v>
      </c>
      <c r="I681" t="s">
        <v>34027</v>
      </c>
      <c r="K681" t="s">
        <v>3745</v>
      </c>
    </row>
    <row r="682" spans="1:11" x14ac:dyDescent="0.15">
      <c r="A682">
        <v>34747333</v>
      </c>
      <c r="B682" t="s">
        <v>10669</v>
      </c>
      <c r="C682" t="s">
        <v>34028</v>
      </c>
      <c r="D682" t="s">
        <v>34029</v>
      </c>
      <c r="E682" t="s">
        <v>34030</v>
      </c>
      <c r="F682" t="s">
        <v>34031</v>
      </c>
      <c r="G682">
        <v>2021</v>
      </c>
      <c r="H682" s="1">
        <v>44508</v>
      </c>
      <c r="I682" t="s">
        <v>34032</v>
      </c>
      <c r="K682" t="s">
        <v>10682</v>
      </c>
    </row>
    <row r="683" spans="1:11" x14ac:dyDescent="0.15">
      <c r="A683">
        <v>30804548</v>
      </c>
      <c r="B683" t="s">
        <v>20711</v>
      </c>
      <c r="C683" t="s">
        <v>34033</v>
      </c>
      <c r="D683" t="s">
        <v>34034</v>
      </c>
      <c r="E683" t="s">
        <v>34035</v>
      </c>
      <c r="F683" t="s">
        <v>34036</v>
      </c>
      <c r="G683">
        <v>2019</v>
      </c>
      <c r="H683" s="1">
        <v>43523</v>
      </c>
      <c r="I683" t="s">
        <v>34037</v>
      </c>
      <c r="J683" t="s">
        <v>34038</v>
      </c>
      <c r="K683" t="s">
        <v>20722</v>
      </c>
    </row>
    <row r="684" spans="1:11" x14ac:dyDescent="0.15">
      <c r="A684">
        <v>29047044</v>
      </c>
      <c r="B684" t="s">
        <v>6318</v>
      </c>
      <c r="C684" t="s">
        <v>34039</v>
      </c>
      <c r="D684" t="s">
        <v>34040</v>
      </c>
      <c r="E684" t="s">
        <v>34041</v>
      </c>
      <c r="F684" t="s">
        <v>30932</v>
      </c>
      <c r="G684">
        <v>2017</v>
      </c>
      <c r="H684" s="1">
        <v>43028</v>
      </c>
      <c r="K684" t="s">
        <v>6330</v>
      </c>
    </row>
    <row r="685" spans="1:11" x14ac:dyDescent="0.15">
      <c r="A685">
        <v>31506601</v>
      </c>
      <c r="B685" t="s">
        <v>7229</v>
      </c>
      <c r="C685" t="s">
        <v>34042</v>
      </c>
      <c r="D685" t="s">
        <v>34043</v>
      </c>
      <c r="E685" t="s">
        <v>34044</v>
      </c>
      <c r="F685" t="s">
        <v>30834</v>
      </c>
      <c r="G685">
        <v>2019</v>
      </c>
      <c r="H685" s="1">
        <v>43720</v>
      </c>
      <c r="I685" t="s">
        <v>34045</v>
      </c>
      <c r="K685" t="s">
        <v>7237</v>
      </c>
    </row>
    <row r="686" spans="1:11" x14ac:dyDescent="0.15">
      <c r="A686">
        <v>33860784</v>
      </c>
      <c r="B686" t="s">
        <v>34046</v>
      </c>
      <c r="C686" t="s">
        <v>34047</v>
      </c>
      <c r="D686" t="s">
        <v>34048</v>
      </c>
      <c r="E686" t="s">
        <v>34049</v>
      </c>
      <c r="F686" t="s">
        <v>34050</v>
      </c>
      <c r="G686">
        <v>2021</v>
      </c>
      <c r="H686" s="1">
        <v>44302</v>
      </c>
      <c r="I686" t="s">
        <v>34051</v>
      </c>
      <c r="K686" t="s">
        <v>34052</v>
      </c>
    </row>
    <row r="687" spans="1:11" x14ac:dyDescent="0.15">
      <c r="A687">
        <v>33048442</v>
      </c>
      <c r="B687" t="s">
        <v>34053</v>
      </c>
      <c r="C687" t="s">
        <v>34054</v>
      </c>
      <c r="D687" t="s">
        <v>34055</v>
      </c>
      <c r="E687" t="s">
        <v>34056</v>
      </c>
      <c r="F687" t="s">
        <v>31521</v>
      </c>
      <c r="G687">
        <v>2021</v>
      </c>
      <c r="H687" s="1">
        <v>44117</v>
      </c>
      <c r="K687" t="s">
        <v>17074</v>
      </c>
    </row>
    <row r="688" spans="1:11" x14ac:dyDescent="0.15">
      <c r="A688">
        <v>32442760</v>
      </c>
      <c r="B688" t="s">
        <v>12327</v>
      </c>
      <c r="C688" t="s">
        <v>34057</v>
      </c>
      <c r="D688" t="s">
        <v>34058</v>
      </c>
      <c r="E688" t="s">
        <v>34059</v>
      </c>
      <c r="F688" t="s">
        <v>34060</v>
      </c>
      <c r="G688">
        <v>2020</v>
      </c>
      <c r="H688" s="1">
        <v>43974</v>
      </c>
      <c r="K688" t="s">
        <v>34061</v>
      </c>
    </row>
    <row r="689" spans="1:11" x14ac:dyDescent="0.15">
      <c r="A689">
        <v>30146796</v>
      </c>
      <c r="B689" t="s">
        <v>34062</v>
      </c>
      <c r="C689" t="s">
        <v>34063</v>
      </c>
      <c r="D689" t="s">
        <v>34064</v>
      </c>
      <c r="E689" t="s">
        <v>34065</v>
      </c>
      <c r="F689" t="s">
        <v>30847</v>
      </c>
      <c r="G689">
        <v>2019</v>
      </c>
      <c r="H689" s="1">
        <v>43340</v>
      </c>
      <c r="K689" t="s">
        <v>34066</v>
      </c>
    </row>
    <row r="690" spans="1:11" x14ac:dyDescent="0.15">
      <c r="A690">
        <v>24123326</v>
      </c>
      <c r="B690" t="s">
        <v>34067</v>
      </c>
      <c r="C690" t="s">
        <v>34068</v>
      </c>
      <c r="D690" t="s">
        <v>34069</v>
      </c>
      <c r="E690" t="s">
        <v>34070</v>
      </c>
      <c r="F690" t="s">
        <v>30893</v>
      </c>
      <c r="G690">
        <v>2014</v>
      </c>
      <c r="H690" s="1">
        <v>41562</v>
      </c>
      <c r="I690" t="s">
        <v>34071</v>
      </c>
      <c r="J690" t="s">
        <v>34072</v>
      </c>
      <c r="K690" t="s">
        <v>34073</v>
      </c>
    </row>
    <row r="691" spans="1:11" x14ac:dyDescent="0.15">
      <c r="A691">
        <v>26921248</v>
      </c>
      <c r="B691" t="s">
        <v>34074</v>
      </c>
      <c r="C691" t="s">
        <v>34075</v>
      </c>
      <c r="D691" t="s">
        <v>34076</v>
      </c>
      <c r="E691" t="s">
        <v>34077</v>
      </c>
      <c r="F691" t="s">
        <v>31360</v>
      </c>
      <c r="G691">
        <v>2016</v>
      </c>
      <c r="H691" s="1">
        <v>42428</v>
      </c>
      <c r="I691" t="s">
        <v>34078</v>
      </c>
      <c r="K691" t="s">
        <v>4740</v>
      </c>
    </row>
    <row r="692" spans="1:11" x14ac:dyDescent="0.15">
      <c r="A692">
        <v>33456577</v>
      </c>
      <c r="B692" t="s">
        <v>17769</v>
      </c>
      <c r="C692" t="s">
        <v>34079</v>
      </c>
      <c r="D692" t="s">
        <v>34080</v>
      </c>
      <c r="E692" t="s">
        <v>34081</v>
      </c>
      <c r="F692" t="s">
        <v>30588</v>
      </c>
      <c r="G692">
        <v>2021</v>
      </c>
      <c r="H692" s="1">
        <v>44214</v>
      </c>
      <c r="I692" t="s">
        <v>34082</v>
      </c>
      <c r="K692" t="s">
        <v>17778</v>
      </c>
    </row>
    <row r="693" spans="1:11" x14ac:dyDescent="0.15">
      <c r="A693">
        <v>24788895</v>
      </c>
      <c r="B693" t="s">
        <v>15467</v>
      </c>
      <c r="C693" t="s">
        <v>34083</v>
      </c>
      <c r="D693" t="s">
        <v>34084</v>
      </c>
      <c r="E693" t="s">
        <v>34085</v>
      </c>
      <c r="F693" t="s">
        <v>34086</v>
      </c>
      <c r="G693">
        <v>2015</v>
      </c>
      <c r="H693" s="1">
        <v>41762</v>
      </c>
      <c r="I693" t="s">
        <v>34087</v>
      </c>
      <c r="J693" t="s">
        <v>34088</v>
      </c>
      <c r="K693" t="s">
        <v>15477</v>
      </c>
    </row>
    <row r="694" spans="1:11" x14ac:dyDescent="0.15">
      <c r="A694">
        <v>34906563</v>
      </c>
      <c r="B694" t="s">
        <v>6011</v>
      </c>
      <c r="C694" t="s">
        <v>34089</v>
      </c>
      <c r="D694" t="s">
        <v>34090</v>
      </c>
      <c r="E694" t="s">
        <v>31775</v>
      </c>
      <c r="F694" t="s">
        <v>30901</v>
      </c>
      <c r="G694">
        <v>2022</v>
      </c>
      <c r="H694" s="1">
        <v>44545</v>
      </c>
      <c r="K694" t="s">
        <v>6022</v>
      </c>
    </row>
    <row r="695" spans="1:11" x14ac:dyDescent="0.15">
      <c r="A695">
        <v>31533487</v>
      </c>
      <c r="B695" t="s">
        <v>34091</v>
      </c>
      <c r="C695" t="s">
        <v>34092</v>
      </c>
      <c r="D695" t="s">
        <v>34093</v>
      </c>
      <c r="E695" t="s">
        <v>33790</v>
      </c>
      <c r="F695" t="s">
        <v>34094</v>
      </c>
      <c r="G695">
        <v>2019</v>
      </c>
      <c r="H695" s="1">
        <v>43728</v>
      </c>
      <c r="I695" t="s">
        <v>34095</v>
      </c>
      <c r="J695" t="s">
        <v>34096</v>
      </c>
      <c r="K695" t="s">
        <v>34097</v>
      </c>
    </row>
    <row r="696" spans="1:11" x14ac:dyDescent="0.15">
      <c r="A696">
        <v>18725234</v>
      </c>
      <c r="B696" t="s">
        <v>34098</v>
      </c>
      <c r="C696" t="s">
        <v>34099</v>
      </c>
      <c r="D696" t="s">
        <v>34100</v>
      </c>
      <c r="E696" t="s">
        <v>34101</v>
      </c>
      <c r="F696" t="s">
        <v>34102</v>
      </c>
      <c r="G696">
        <v>2008</v>
      </c>
      <c r="H696" s="1">
        <v>39690</v>
      </c>
      <c r="K696" t="s">
        <v>34103</v>
      </c>
    </row>
    <row r="697" spans="1:11" x14ac:dyDescent="0.15">
      <c r="A697">
        <v>32004570</v>
      </c>
      <c r="B697" t="s">
        <v>34104</v>
      </c>
      <c r="C697" t="s">
        <v>34105</v>
      </c>
      <c r="D697" t="s">
        <v>34106</v>
      </c>
      <c r="E697" t="s">
        <v>34107</v>
      </c>
      <c r="F697" t="s">
        <v>30682</v>
      </c>
      <c r="G697">
        <v>2020</v>
      </c>
      <c r="H697" s="1">
        <v>43862</v>
      </c>
      <c r="K697" t="s">
        <v>34108</v>
      </c>
    </row>
    <row r="698" spans="1:11" x14ac:dyDescent="0.15">
      <c r="A698">
        <v>31035752</v>
      </c>
      <c r="B698" t="s">
        <v>8154</v>
      </c>
      <c r="C698" t="s">
        <v>34109</v>
      </c>
      <c r="D698" t="s">
        <v>34110</v>
      </c>
      <c r="E698" t="s">
        <v>34111</v>
      </c>
      <c r="F698" t="s">
        <v>30956</v>
      </c>
      <c r="G698">
        <v>2019</v>
      </c>
      <c r="H698" s="1">
        <v>43586</v>
      </c>
      <c r="K698" t="s">
        <v>8163</v>
      </c>
    </row>
    <row r="699" spans="1:11" x14ac:dyDescent="0.15">
      <c r="A699">
        <v>35091566</v>
      </c>
      <c r="B699" t="s">
        <v>34112</v>
      </c>
      <c r="C699" t="s">
        <v>34113</v>
      </c>
      <c r="D699" t="s">
        <v>34114</v>
      </c>
      <c r="E699" t="s">
        <v>32575</v>
      </c>
      <c r="F699" t="s">
        <v>30796</v>
      </c>
      <c r="G699">
        <v>2022</v>
      </c>
      <c r="H699" s="1">
        <v>44590</v>
      </c>
      <c r="I699" t="s">
        <v>34115</v>
      </c>
      <c r="K699" t="s">
        <v>19187</v>
      </c>
    </row>
    <row r="700" spans="1:11" x14ac:dyDescent="0.15">
      <c r="A700">
        <v>33785738</v>
      </c>
      <c r="B700" t="s">
        <v>9316</v>
      </c>
      <c r="C700" t="s">
        <v>34116</v>
      </c>
      <c r="D700" t="s">
        <v>34117</v>
      </c>
      <c r="E700" t="s">
        <v>34118</v>
      </c>
      <c r="F700" t="s">
        <v>30796</v>
      </c>
      <c r="G700">
        <v>2021</v>
      </c>
      <c r="H700" s="1">
        <v>44286</v>
      </c>
      <c r="I700" t="s">
        <v>34119</v>
      </c>
      <c r="K700" t="s">
        <v>9322</v>
      </c>
    </row>
    <row r="701" spans="1:11" x14ac:dyDescent="0.15">
      <c r="A701">
        <v>35131372</v>
      </c>
      <c r="B701" t="s">
        <v>34120</v>
      </c>
      <c r="C701" t="s">
        <v>34121</v>
      </c>
      <c r="D701" t="s">
        <v>34122</v>
      </c>
      <c r="E701" t="s">
        <v>32672</v>
      </c>
      <c r="F701" t="s">
        <v>30926</v>
      </c>
      <c r="G701">
        <v>2022</v>
      </c>
      <c r="H701" s="1">
        <v>44600</v>
      </c>
      <c r="K701" t="s">
        <v>34123</v>
      </c>
    </row>
    <row r="702" spans="1:11" x14ac:dyDescent="0.15">
      <c r="A702">
        <v>34887868</v>
      </c>
      <c r="B702" t="s">
        <v>19529</v>
      </c>
      <c r="C702" t="s">
        <v>34124</v>
      </c>
      <c r="D702" t="s">
        <v>34125</v>
      </c>
      <c r="E702" t="s">
        <v>32492</v>
      </c>
      <c r="F702" t="s">
        <v>30713</v>
      </c>
      <c r="G702">
        <v>2021</v>
      </c>
      <c r="H702" s="1">
        <v>44540</v>
      </c>
      <c r="I702" t="s">
        <v>34126</v>
      </c>
      <c r="K702" t="s">
        <v>19537</v>
      </c>
    </row>
    <row r="703" spans="1:11" x14ac:dyDescent="0.15">
      <c r="A703">
        <v>24998979</v>
      </c>
      <c r="B703" t="s">
        <v>34127</v>
      </c>
      <c r="C703" t="s">
        <v>34128</v>
      </c>
      <c r="D703" t="s">
        <v>34129</v>
      </c>
      <c r="E703" t="s">
        <v>34130</v>
      </c>
      <c r="F703" t="s">
        <v>33493</v>
      </c>
      <c r="G703">
        <v>2014</v>
      </c>
      <c r="H703" s="1">
        <v>41828</v>
      </c>
      <c r="K703" t="s">
        <v>34131</v>
      </c>
    </row>
    <row r="704" spans="1:11" x14ac:dyDescent="0.15">
      <c r="A704">
        <v>33643547</v>
      </c>
      <c r="B704" t="s">
        <v>1279</v>
      </c>
      <c r="C704" t="s">
        <v>34132</v>
      </c>
      <c r="D704" t="s">
        <v>34133</v>
      </c>
      <c r="E704" t="s">
        <v>34134</v>
      </c>
      <c r="F704" t="s">
        <v>30772</v>
      </c>
      <c r="G704">
        <v>2021</v>
      </c>
      <c r="H704" s="1">
        <v>44256</v>
      </c>
      <c r="I704" t="s">
        <v>34135</v>
      </c>
      <c r="K704" t="s">
        <v>1290</v>
      </c>
    </row>
    <row r="705" spans="1:11" x14ac:dyDescent="0.15">
      <c r="A705">
        <v>26172304</v>
      </c>
      <c r="B705" t="s">
        <v>11840</v>
      </c>
      <c r="C705" t="s">
        <v>34136</v>
      </c>
      <c r="D705" t="s">
        <v>34137</v>
      </c>
      <c r="E705" t="s">
        <v>34138</v>
      </c>
      <c r="F705" t="s">
        <v>31360</v>
      </c>
      <c r="G705">
        <v>2015</v>
      </c>
      <c r="H705" s="1">
        <v>42200</v>
      </c>
      <c r="I705" t="s">
        <v>34139</v>
      </c>
      <c r="K705" t="s">
        <v>11851</v>
      </c>
    </row>
    <row r="706" spans="1:11" x14ac:dyDescent="0.15">
      <c r="A706">
        <v>31586864</v>
      </c>
      <c r="B706" t="s">
        <v>1971</v>
      </c>
      <c r="C706" t="s">
        <v>34140</v>
      </c>
      <c r="D706" t="s">
        <v>34141</v>
      </c>
      <c r="E706" t="s">
        <v>34142</v>
      </c>
      <c r="F706" t="s">
        <v>30812</v>
      </c>
      <c r="G706">
        <v>2019</v>
      </c>
      <c r="H706" s="1">
        <v>43745</v>
      </c>
      <c r="K706" t="s">
        <v>1982</v>
      </c>
    </row>
    <row r="707" spans="1:11" x14ac:dyDescent="0.15">
      <c r="A707">
        <v>34214634</v>
      </c>
      <c r="B707" t="s">
        <v>5810</v>
      </c>
      <c r="C707" t="s">
        <v>34143</v>
      </c>
      <c r="D707" t="s">
        <v>34144</v>
      </c>
      <c r="E707" t="s">
        <v>34145</v>
      </c>
      <c r="F707" t="s">
        <v>34146</v>
      </c>
      <c r="G707">
        <v>2021</v>
      </c>
      <c r="H707" s="1">
        <v>44379</v>
      </c>
      <c r="K707" t="s">
        <v>5824</v>
      </c>
    </row>
    <row r="708" spans="1:11" x14ac:dyDescent="0.15">
      <c r="A708">
        <v>33345401</v>
      </c>
      <c r="B708" t="s">
        <v>4500</v>
      </c>
      <c r="C708" t="s">
        <v>34147</v>
      </c>
      <c r="D708" t="s">
        <v>34148</v>
      </c>
      <c r="E708" t="s">
        <v>34149</v>
      </c>
      <c r="F708" t="s">
        <v>34150</v>
      </c>
      <c r="G708">
        <v>2021</v>
      </c>
      <c r="H708" s="1">
        <v>44186</v>
      </c>
      <c r="K708" t="s">
        <v>4513</v>
      </c>
    </row>
    <row r="709" spans="1:11" x14ac:dyDescent="0.15">
      <c r="A709">
        <v>33622348</v>
      </c>
      <c r="B709" t="s">
        <v>12567</v>
      </c>
      <c r="C709" t="s">
        <v>34151</v>
      </c>
      <c r="D709" t="s">
        <v>34152</v>
      </c>
      <c r="E709" t="s">
        <v>34153</v>
      </c>
      <c r="F709" t="s">
        <v>34154</v>
      </c>
      <c r="G709">
        <v>2021</v>
      </c>
      <c r="H709" s="1">
        <v>44251</v>
      </c>
      <c r="I709" t="s">
        <v>34155</v>
      </c>
      <c r="K709" t="s">
        <v>12576</v>
      </c>
    </row>
    <row r="710" spans="1:11" x14ac:dyDescent="0.15">
      <c r="A710">
        <v>27324559</v>
      </c>
      <c r="B710" t="s">
        <v>34156</v>
      </c>
      <c r="C710" t="s">
        <v>34157</v>
      </c>
      <c r="D710" t="s">
        <v>34158</v>
      </c>
      <c r="E710" t="s">
        <v>34159</v>
      </c>
      <c r="F710" t="s">
        <v>31490</v>
      </c>
      <c r="G710">
        <v>2016</v>
      </c>
      <c r="H710" s="1">
        <v>42543</v>
      </c>
      <c r="K710" t="s">
        <v>34160</v>
      </c>
    </row>
    <row r="711" spans="1:11" x14ac:dyDescent="0.15">
      <c r="A711">
        <v>32089744</v>
      </c>
      <c r="B711" t="s">
        <v>34161</v>
      </c>
      <c r="C711" t="s">
        <v>34162</v>
      </c>
      <c r="D711" t="s">
        <v>34163</v>
      </c>
      <c r="E711" t="s">
        <v>34164</v>
      </c>
      <c r="F711" t="s">
        <v>30588</v>
      </c>
      <c r="G711">
        <v>2020</v>
      </c>
      <c r="H711" s="1">
        <v>43886</v>
      </c>
      <c r="I711" t="s">
        <v>34165</v>
      </c>
      <c r="K711" t="s">
        <v>34166</v>
      </c>
    </row>
    <row r="712" spans="1:11" x14ac:dyDescent="0.15">
      <c r="A712">
        <v>25433011</v>
      </c>
      <c r="B712" t="s">
        <v>34167</v>
      </c>
      <c r="C712" t="s">
        <v>34168</v>
      </c>
      <c r="D712" t="s">
        <v>34169</v>
      </c>
      <c r="E712" t="s">
        <v>34170</v>
      </c>
      <c r="F712" t="s">
        <v>34171</v>
      </c>
      <c r="G712">
        <v>2015</v>
      </c>
      <c r="H712" s="1">
        <v>41973</v>
      </c>
      <c r="I712" t="s">
        <v>34172</v>
      </c>
      <c r="K712" t="s">
        <v>34173</v>
      </c>
    </row>
    <row r="713" spans="1:11" x14ac:dyDescent="0.15">
      <c r="A713">
        <v>28088446</v>
      </c>
      <c r="B713" t="s">
        <v>7457</v>
      </c>
      <c r="C713" t="s">
        <v>34174</v>
      </c>
      <c r="D713" t="s">
        <v>34175</v>
      </c>
      <c r="E713" t="s">
        <v>34176</v>
      </c>
      <c r="F713" t="s">
        <v>34177</v>
      </c>
      <c r="G713">
        <v>2017</v>
      </c>
      <c r="H713" s="1">
        <v>42751</v>
      </c>
      <c r="K713" t="s">
        <v>7469</v>
      </c>
    </row>
    <row r="714" spans="1:11" x14ac:dyDescent="0.15">
      <c r="A714">
        <v>31371728</v>
      </c>
      <c r="B714" t="s">
        <v>13247</v>
      </c>
      <c r="C714" t="s">
        <v>34178</v>
      </c>
      <c r="D714" t="s">
        <v>34179</v>
      </c>
      <c r="E714" t="s">
        <v>34180</v>
      </c>
      <c r="F714" t="s">
        <v>34181</v>
      </c>
      <c r="G714">
        <v>2019</v>
      </c>
      <c r="H714" s="1">
        <v>43680</v>
      </c>
      <c r="I714" t="s">
        <v>34182</v>
      </c>
      <c r="K714" t="s">
        <v>13255</v>
      </c>
    </row>
    <row r="715" spans="1:11" x14ac:dyDescent="0.15">
      <c r="A715">
        <v>28098260</v>
      </c>
      <c r="B715" t="s">
        <v>25620</v>
      </c>
      <c r="C715" t="s">
        <v>34183</v>
      </c>
      <c r="D715" t="s">
        <v>34184</v>
      </c>
      <c r="E715" t="s">
        <v>33228</v>
      </c>
      <c r="F715" t="s">
        <v>30834</v>
      </c>
      <c r="G715">
        <v>2017</v>
      </c>
      <c r="H715" s="1">
        <v>42754</v>
      </c>
      <c r="I715" t="s">
        <v>34185</v>
      </c>
      <c r="K715" t="s">
        <v>25627</v>
      </c>
    </row>
    <row r="716" spans="1:11" x14ac:dyDescent="0.15">
      <c r="A716">
        <v>35830762</v>
      </c>
      <c r="B716" t="s">
        <v>34186</v>
      </c>
      <c r="C716" t="s">
        <v>34187</v>
      </c>
      <c r="D716" t="s">
        <v>34188</v>
      </c>
      <c r="E716" t="s">
        <v>34189</v>
      </c>
      <c r="F716" t="s">
        <v>34190</v>
      </c>
      <c r="G716">
        <v>2022</v>
      </c>
      <c r="H716" s="1">
        <v>44755</v>
      </c>
      <c r="K716" t="s">
        <v>34191</v>
      </c>
    </row>
    <row r="717" spans="1:11" x14ac:dyDescent="0.15">
      <c r="A717">
        <v>22999859</v>
      </c>
      <c r="B717" t="s">
        <v>34192</v>
      </c>
      <c r="C717" t="s">
        <v>34193</v>
      </c>
      <c r="D717" t="s">
        <v>34194</v>
      </c>
      <c r="E717" t="s">
        <v>34195</v>
      </c>
      <c r="F717" t="s">
        <v>34196</v>
      </c>
      <c r="G717">
        <v>2012</v>
      </c>
      <c r="H717" s="1">
        <v>41177</v>
      </c>
      <c r="I717" t="s">
        <v>34197</v>
      </c>
      <c r="J717" t="s">
        <v>34198</v>
      </c>
      <c r="K717" t="s">
        <v>34199</v>
      </c>
    </row>
    <row r="718" spans="1:11" x14ac:dyDescent="0.15">
      <c r="A718">
        <v>32444772</v>
      </c>
      <c r="B718" t="s">
        <v>9808</v>
      </c>
      <c r="C718" t="s">
        <v>34200</v>
      </c>
      <c r="D718" t="s">
        <v>34201</v>
      </c>
      <c r="E718" t="s">
        <v>30920</v>
      </c>
      <c r="F718" t="s">
        <v>30834</v>
      </c>
      <c r="G718">
        <v>2020</v>
      </c>
      <c r="H718" s="1">
        <v>43975</v>
      </c>
      <c r="I718" t="s">
        <v>34202</v>
      </c>
      <c r="K718" t="s">
        <v>9817</v>
      </c>
    </row>
    <row r="719" spans="1:11" x14ac:dyDescent="0.15">
      <c r="A719">
        <v>34445894</v>
      </c>
      <c r="B719" t="s">
        <v>2862</v>
      </c>
      <c r="C719" t="s">
        <v>34203</v>
      </c>
      <c r="D719" t="s">
        <v>34204</v>
      </c>
      <c r="E719" t="s">
        <v>34205</v>
      </c>
      <c r="F719" t="s">
        <v>34206</v>
      </c>
      <c r="G719">
        <v>2021</v>
      </c>
      <c r="H719" s="1">
        <v>44435</v>
      </c>
      <c r="I719" t="s">
        <v>34207</v>
      </c>
      <c r="K719" t="s">
        <v>2874</v>
      </c>
    </row>
    <row r="720" spans="1:11" x14ac:dyDescent="0.15">
      <c r="A720">
        <v>31232418</v>
      </c>
      <c r="B720" t="s">
        <v>8560</v>
      </c>
      <c r="C720" t="s">
        <v>34208</v>
      </c>
      <c r="D720" t="s">
        <v>34209</v>
      </c>
      <c r="E720" t="s">
        <v>34210</v>
      </c>
      <c r="F720" t="s">
        <v>31678</v>
      </c>
      <c r="G720">
        <v>2019</v>
      </c>
      <c r="H720" s="1">
        <v>43641</v>
      </c>
      <c r="I720" t="s">
        <v>34211</v>
      </c>
      <c r="J720" t="s">
        <v>34212</v>
      </c>
      <c r="K720" t="s">
        <v>8568</v>
      </c>
    </row>
    <row r="721" spans="1:11" x14ac:dyDescent="0.15">
      <c r="A721">
        <v>31660081</v>
      </c>
      <c r="B721" t="s">
        <v>4657</v>
      </c>
      <c r="C721" t="s">
        <v>34213</v>
      </c>
      <c r="D721" t="s">
        <v>34214</v>
      </c>
      <c r="E721" t="s">
        <v>32824</v>
      </c>
      <c r="F721" t="s">
        <v>30588</v>
      </c>
      <c r="G721">
        <v>2019</v>
      </c>
      <c r="H721" s="1">
        <v>43768</v>
      </c>
      <c r="I721" t="s">
        <v>34215</v>
      </c>
      <c r="K721" t="s">
        <v>4667</v>
      </c>
    </row>
    <row r="722" spans="1:11" x14ac:dyDescent="0.15">
      <c r="A722">
        <v>33268351</v>
      </c>
      <c r="B722" t="s">
        <v>13794</v>
      </c>
      <c r="C722" t="s">
        <v>34216</v>
      </c>
      <c r="D722" t="s">
        <v>34217</v>
      </c>
      <c r="E722" t="s">
        <v>34218</v>
      </c>
      <c r="F722" t="s">
        <v>34219</v>
      </c>
      <c r="G722">
        <v>2020</v>
      </c>
      <c r="H722" s="1">
        <v>44168</v>
      </c>
      <c r="I722" t="s">
        <v>34220</v>
      </c>
      <c r="K722" t="s">
        <v>13807</v>
      </c>
    </row>
    <row r="723" spans="1:11" x14ac:dyDescent="0.15">
      <c r="A723">
        <v>32975947</v>
      </c>
      <c r="B723" t="s">
        <v>2741</v>
      </c>
      <c r="C723" t="s">
        <v>34221</v>
      </c>
      <c r="D723" t="s">
        <v>34222</v>
      </c>
      <c r="E723" t="s">
        <v>34223</v>
      </c>
      <c r="F723" t="s">
        <v>34224</v>
      </c>
      <c r="G723">
        <v>2020</v>
      </c>
      <c r="H723" s="1">
        <v>44099</v>
      </c>
      <c r="I723" t="s">
        <v>34225</v>
      </c>
      <c r="K723" t="s">
        <v>2755</v>
      </c>
    </row>
    <row r="724" spans="1:11" x14ac:dyDescent="0.15">
      <c r="A724">
        <v>29086374</v>
      </c>
      <c r="B724" t="s">
        <v>34226</v>
      </c>
      <c r="C724" t="s">
        <v>34227</v>
      </c>
      <c r="D724" t="s">
        <v>34228</v>
      </c>
      <c r="E724" t="s">
        <v>33232</v>
      </c>
      <c r="F724" t="s">
        <v>31003</v>
      </c>
      <c r="G724">
        <v>2018</v>
      </c>
      <c r="H724" s="1">
        <v>43040</v>
      </c>
      <c r="K724" t="s">
        <v>34229</v>
      </c>
    </row>
    <row r="725" spans="1:11" x14ac:dyDescent="0.15">
      <c r="A725">
        <v>29109780</v>
      </c>
      <c r="B725" t="s">
        <v>3717</v>
      </c>
      <c r="C725" t="s">
        <v>34230</v>
      </c>
      <c r="D725" t="s">
        <v>34231</v>
      </c>
      <c r="E725" t="s">
        <v>34232</v>
      </c>
      <c r="F725" t="s">
        <v>30588</v>
      </c>
      <c r="G725">
        <v>2017</v>
      </c>
      <c r="H725" s="1">
        <v>43047</v>
      </c>
      <c r="I725" t="s">
        <v>34233</v>
      </c>
      <c r="K725" t="s">
        <v>3727</v>
      </c>
    </row>
    <row r="726" spans="1:11" x14ac:dyDescent="0.15">
      <c r="A726">
        <v>26479035</v>
      </c>
      <c r="B726" t="s">
        <v>34234</v>
      </c>
      <c r="C726" t="s">
        <v>34235</v>
      </c>
      <c r="D726" t="s">
        <v>34236</v>
      </c>
      <c r="E726" t="s">
        <v>31547</v>
      </c>
      <c r="F726" t="s">
        <v>34237</v>
      </c>
      <c r="G726">
        <v>2015</v>
      </c>
      <c r="H726" s="1">
        <v>42297</v>
      </c>
      <c r="I726" t="s">
        <v>34238</v>
      </c>
      <c r="J726" t="s">
        <v>34239</v>
      </c>
      <c r="K726" t="s">
        <v>34240</v>
      </c>
    </row>
    <row r="727" spans="1:11" x14ac:dyDescent="0.15">
      <c r="A727">
        <v>31794834</v>
      </c>
      <c r="B727" t="s">
        <v>16198</v>
      </c>
      <c r="C727" t="s">
        <v>34241</v>
      </c>
      <c r="D727" t="s">
        <v>34242</v>
      </c>
      <c r="E727" t="s">
        <v>34243</v>
      </c>
      <c r="F727" t="s">
        <v>34244</v>
      </c>
      <c r="G727">
        <v>2020</v>
      </c>
      <c r="H727" s="1">
        <v>43803</v>
      </c>
      <c r="K727" t="s">
        <v>16206</v>
      </c>
    </row>
    <row r="728" spans="1:11" x14ac:dyDescent="0.15">
      <c r="A728">
        <v>33216751</v>
      </c>
      <c r="B728" t="s">
        <v>10618</v>
      </c>
      <c r="C728" t="s">
        <v>34245</v>
      </c>
      <c r="D728" t="s">
        <v>34246</v>
      </c>
      <c r="E728" t="s">
        <v>34247</v>
      </c>
      <c r="F728" t="s">
        <v>31639</v>
      </c>
      <c r="G728">
        <v>2020</v>
      </c>
      <c r="H728" s="1">
        <v>44155</v>
      </c>
      <c r="I728" t="s">
        <v>34248</v>
      </c>
      <c r="K728" t="s">
        <v>10627</v>
      </c>
    </row>
    <row r="729" spans="1:11" x14ac:dyDescent="0.15">
      <c r="A729">
        <v>22683267</v>
      </c>
      <c r="B729" t="s">
        <v>34249</v>
      </c>
      <c r="C729" t="s">
        <v>34250</v>
      </c>
      <c r="D729" t="s">
        <v>34251</v>
      </c>
      <c r="E729" t="s">
        <v>34252</v>
      </c>
      <c r="F729" t="s">
        <v>32022</v>
      </c>
      <c r="G729">
        <v>2012</v>
      </c>
      <c r="H729" s="1">
        <v>41072</v>
      </c>
      <c r="I729" t="s">
        <v>34253</v>
      </c>
      <c r="J729" t="s">
        <v>34254</v>
      </c>
      <c r="K729" t="s">
        <v>34255</v>
      </c>
    </row>
    <row r="730" spans="1:11" x14ac:dyDescent="0.15">
      <c r="A730">
        <v>33974805</v>
      </c>
      <c r="B730" t="s">
        <v>10968</v>
      </c>
      <c r="C730" t="s">
        <v>34256</v>
      </c>
      <c r="D730" t="s">
        <v>34257</v>
      </c>
      <c r="E730" t="s">
        <v>34258</v>
      </c>
      <c r="F730" t="s">
        <v>34259</v>
      </c>
      <c r="G730">
        <v>2021</v>
      </c>
      <c r="H730" s="1">
        <v>44327</v>
      </c>
      <c r="I730" t="s">
        <v>34260</v>
      </c>
      <c r="J730" t="s">
        <v>34261</v>
      </c>
      <c r="K730" t="s">
        <v>10982</v>
      </c>
    </row>
    <row r="731" spans="1:11" x14ac:dyDescent="0.15">
      <c r="A731">
        <v>32663850</v>
      </c>
      <c r="B731" t="s">
        <v>15531</v>
      </c>
      <c r="C731" t="s">
        <v>34262</v>
      </c>
      <c r="D731" t="s">
        <v>34263</v>
      </c>
      <c r="E731" t="s">
        <v>34264</v>
      </c>
      <c r="F731" t="s">
        <v>32228</v>
      </c>
      <c r="G731">
        <v>2021</v>
      </c>
      <c r="H731" s="1">
        <v>44027</v>
      </c>
      <c r="K731" t="s">
        <v>15539</v>
      </c>
    </row>
    <row r="732" spans="1:11" x14ac:dyDescent="0.15">
      <c r="A732">
        <v>26246139</v>
      </c>
      <c r="B732" t="s">
        <v>34265</v>
      </c>
      <c r="C732" t="s">
        <v>34266</v>
      </c>
      <c r="D732" t="s">
        <v>34267</v>
      </c>
      <c r="E732" t="s">
        <v>34268</v>
      </c>
      <c r="F732" t="s">
        <v>32819</v>
      </c>
      <c r="G732">
        <v>2015</v>
      </c>
      <c r="H732" s="1">
        <v>42223</v>
      </c>
      <c r="I732" t="s">
        <v>34269</v>
      </c>
      <c r="J732" t="s">
        <v>34270</v>
      </c>
      <c r="K732" t="s">
        <v>34271</v>
      </c>
    </row>
    <row r="733" spans="1:11" x14ac:dyDescent="0.15">
      <c r="A733">
        <v>26355701</v>
      </c>
      <c r="B733" t="s">
        <v>19728</v>
      </c>
      <c r="C733" t="s">
        <v>34272</v>
      </c>
      <c r="D733" t="s">
        <v>34273</v>
      </c>
      <c r="E733" t="s">
        <v>34274</v>
      </c>
      <c r="F733" t="s">
        <v>34275</v>
      </c>
      <c r="G733">
        <v>2015</v>
      </c>
      <c r="H733" s="1">
        <v>42258</v>
      </c>
      <c r="I733" t="s">
        <v>34276</v>
      </c>
      <c r="K733" t="s">
        <v>19736</v>
      </c>
    </row>
    <row r="734" spans="1:11" x14ac:dyDescent="0.15">
      <c r="A734">
        <v>30789912</v>
      </c>
      <c r="B734" t="s">
        <v>12021</v>
      </c>
      <c r="C734" t="s">
        <v>34277</v>
      </c>
      <c r="D734" t="s">
        <v>34278</v>
      </c>
      <c r="E734" t="s">
        <v>34279</v>
      </c>
      <c r="F734" t="s">
        <v>34280</v>
      </c>
      <c r="G734">
        <v>2019</v>
      </c>
      <c r="H734" s="1">
        <v>43518</v>
      </c>
      <c r="I734" t="s">
        <v>34281</v>
      </c>
      <c r="K734" t="s">
        <v>12031</v>
      </c>
    </row>
    <row r="735" spans="1:11" x14ac:dyDescent="0.15">
      <c r="A735">
        <v>24391924</v>
      </c>
      <c r="B735" t="s">
        <v>34282</v>
      </c>
      <c r="C735" t="s">
        <v>34283</v>
      </c>
      <c r="D735" t="s">
        <v>34284</v>
      </c>
      <c r="E735" t="s">
        <v>34285</v>
      </c>
      <c r="F735" t="s">
        <v>31639</v>
      </c>
      <c r="G735">
        <v>2013</v>
      </c>
      <c r="H735" s="1">
        <v>41646</v>
      </c>
      <c r="I735" t="s">
        <v>34286</v>
      </c>
      <c r="K735" t="s">
        <v>34287</v>
      </c>
    </row>
    <row r="736" spans="1:11" x14ac:dyDescent="0.15">
      <c r="A736">
        <v>31371743</v>
      </c>
      <c r="B736" t="s">
        <v>12554</v>
      </c>
      <c r="C736" t="s">
        <v>34288</v>
      </c>
      <c r="D736" t="s">
        <v>34289</v>
      </c>
      <c r="E736" t="s">
        <v>34290</v>
      </c>
      <c r="F736" t="s">
        <v>30834</v>
      </c>
      <c r="G736">
        <v>2019</v>
      </c>
      <c r="H736" s="1">
        <v>43680</v>
      </c>
      <c r="I736" t="s">
        <v>34291</v>
      </c>
      <c r="K736" t="s">
        <v>12563</v>
      </c>
    </row>
    <row r="737" spans="1:11" x14ac:dyDescent="0.15">
      <c r="A737">
        <v>28828673</v>
      </c>
      <c r="B737" t="s">
        <v>1234</v>
      </c>
      <c r="C737" t="s">
        <v>34292</v>
      </c>
      <c r="D737" t="s">
        <v>34293</v>
      </c>
      <c r="E737" t="s">
        <v>34294</v>
      </c>
      <c r="F737" t="s">
        <v>31003</v>
      </c>
      <c r="G737">
        <v>2017</v>
      </c>
      <c r="H737" s="1">
        <v>42970</v>
      </c>
      <c r="K737" t="s">
        <v>1243</v>
      </c>
    </row>
    <row r="738" spans="1:11" x14ac:dyDescent="0.15">
      <c r="A738">
        <v>29484596</v>
      </c>
      <c r="B738" t="s">
        <v>9225</v>
      </c>
      <c r="C738" t="s">
        <v>34295</v>
      </c>
      <c r="D738" t="s">
        <v>34296</v>
      </c>
      <c r="E738" t="s">
        <v>34297</v>
      </c>
      <c r="F738" t="s">
        <v>31003</v>
      </c>
      <c r="G738">
        <v>2018</v>
      </c>
      <c r="H738" s="1">
        <v>43159</v>
      </c>
      <c r="K738" t="s">
        <v>9235</v>
      </c>
    </row>
    <row r="739" spans="1:11" x14ac:dyDescent="0.15">
      <c r="A739">
        <v>34847357</v>
      </c>
      <c r="B739" t="s">
        <v>34298</v>
      </c>
      <c r="C739" t="s">
        <v>34299</v>
      </c>
      <c r="D739" t="s">
        <v>34300</v>
      </c>
      <c r="E739" t="s">
        <v>34301</v>
      </c>
      <c r="F739" t="s">
        <v>32022</v>
      </c>
      <c r="G739">
        <v>2022</v>
      </c>
      <c r="H739" s="1">
        <v>44530</v>
      </c>
      <c r="K739" t="s">
        <v>34302</v>
      </c>
    </row>
    <row r="740" spans="1:11" x14ac:dyDescent="0.15">
      <c r="A740">
        <v>34083751</v>
      </c>
      <c r="B740" t="s">
        <v>34303</v>
      </c>
      <c r="C740" t="s">
        <v>34304</v>
      </c>
      <c r="D740" t="s">
        <v>34305</v>
      </c>
      <c r="E740" t="s">
        <v>34306</v>
      </c>
      <c r="F740" t="s">
        <v>34307</v>
      </c>
      <c r="G740">
        <v>2021</v>
      </c>
      <c r="H740" s="1">
        <v>44351</v>
      </c>
      <c r="I740" t="s">
        <v>34308</v>
      </c>
      <c r="K740" t="s">
        <v>34309</v>
      </c>
    </row>
    <row r="741" spans="1:11" x14ac:dyDescent="0.15">
      <c r="A741">
        <v>28957874</v>
      </c>
      <c r="B741" t="s">
        <v>34310</v>
      </c>
      <c r="C741" t="s">
        <v>34311</v>
      </c>
      <c r="D741" t="s">
        <v>34312</v>
      </c>
      <c r="E741" t="s">
        <v>34313</v>
      </c>
      <c r="F741" t="s">
        <v>34314</v>
      </c>
      <c r="G741">
        <v>2018</v>
      </c>
      <c r="H741" s="1">
        <v>43007</v>
      </c>
      <c r="K741" t="s">
        <v>34315</v>
      </c>
    </row>
    <row r="742" spans="1:11" x14ac:dyDescent="0.15">
      <c r="A742">
        <v>32860954</v>
      </c>
      <c r="B742" t="s">
        <v>34316</v>
      </c>
      <c r="C742" t="s">
        <v>34317</v>
      </c>
      <c r="D742" t="s">
        <v>34318</v>
      </c>
      <c r="E742" t="s">
        <v>34319</v>
      </c>
      <c r="F742" t="s">
        <v>34320</v>
      </c>
      <c r="G742">
        <v>2020</v>
      </c>
      <c r="H742" s="1">
        <v>44073</v>
      </c>
      <c r="I742" t="s">
        <v>34321</v>
      </c>
      <c r="K742" t="s">
        <v>34322</v>
      </c>
    </row>
    <row r="743" spans="1:11" x14ac:dyDescent="0.15">
      <c r="A743">
        <v>34811396</v>
      </c>
      <c r="B743" t="s">
        <v>21159</v>
      </c>
      <c r="C743" t="s">
        <v>34323</v>
      </c>
      <c r="D743" t="s">
        <v>34324</v>
      </c>
      <c r="E743" t="s">
        <v>34325</v>
      </c>
      <c r="F743" t="s">
        <v>30834</v>
      </c>
      <c r="G743">
        <v>2021</v>
      </c>
      <c r="H743" s="1">
        <v>44523</v>
      </c>
      <c r="I743" t="s">
        <v>34326</v>
      </c>
      <c r="K743" t="s">
        <v>21168</v>
      </c>
    </row>
    <row r="744" spans="1:11" x14ac:dyDescent="0.15">
      <c r="A744">
        <v>30401711</v>
      </c>
      <c r="B744" t="s">
        <v>34327</v>
      </c>
      <c r="C744" t="s">
        <v>34328</v>
      </c>
      <c r="D744" t="s">
        <v>34329</v>
      </c>
      <c r="E744" t="s">
        <v>34330</v>
      </c>
      <c r="F744" t="s">
        <v>31167</v>
      </c>
      <c r="G744">
        <v>2019</v>
      </c>
      <c r="H744" s="1">
        <v>43412</v>
      </c>
      <c r="K744" t="s">
        <v>34331</v>
      </c>
    </row>
    <row r="745" spans="1:11" x14ac:dyDescent="0.15">
      <c r="A745">
        <v>24726328</v>
      </c>
      <c r="B745" t="s">
        <v>34332</v>
      </c>
      <c r="C745" t="s">
        <v>34333</v>
      </c>
      <c r="D745" t="s">
        <v>34334</v>
      </c>
      <c r="E745" t="s">
        <v>30674</v>
      </c>
      <c r="F745" t="s">
        <v>32022</v>
      </c>
      <c r="G745">
        <v>2014</v>
      </c>
      <c r="H745" s="1">
        <v>41744</v>
      </c>
      <c r="I745" t="s">
        <v>34335</v>
      </c>
      <c r="J745" t="s">
        <v>34336</v>
      </c>
      <c r="K745" t="s">
        <v>34337</v>
      </c>
    </row>
    <row r="746" spans="1:11" x14ac:dyDescent="0.15">
      <c r="A746">
        <v>32161398</v>
      </c>
      <c r="B746" t="s">
        <v>34338</v>
      </c>
      <c r="C746" t="s">
        <v>34339</v>
      </c>
      <c r="D746" t="s">
        <v>34340</v>
      </c>
      <c r="E746" t="s">
        <v>34341</v>
      </c>
      <c r="F746" t="s">
        <v>34342</v>
      </c>
      <c r="G746">
        <v>2020</v>
      </c>
      <c r="H746" s="1">
        <v>43903</v>
      </c>
      <c r="K746" t="s">
        <v>34343</v>
      </c>
    </row>
    <row r="747" spans="1:11" x14ac:dyDescent="0.15">
      <c r="A747">
        <v>33065194</v>
      </c>
      <c r="B747" t="s">
        <v>34344</v>
      </c>
      <c r="C747" t="s">
        <v>34345</v>
      </c>
      <c r="D747" t="s">
        <v>34346</v>
      </c>
      <c r="E747" t="s">
        <v>32104</v>
      </c>
      <c r="F747" t="s">
        <v>33151</v>
      </c>
      <c r="G747">
        <v>2020</v>
      </c>
      <c r="H747" s="1">
        <v>44120</v>
      </c>
      <c r="K747" t="s">
        <v>34347</v>
      </c>
    </row>
    <row r="748" spans="1:11" x14ac:dyDescent="0.15">
      <c r="A748">
        <v>33184263</v>
      </c>
      <c r="B748" t="s">
        <v>34348</v>
      </c>
      <c r="C748" t="s">
        <v>34349</v>
      </c>
      <c r="D748" t="s">
        <v>34350</v>
      </c>
      <c r="E748" t="s">
        <v>34351</v>
      </c>
      <c r="F748" t="s">
        <v>30733</v>
      </c>
      <c r="G748">
        <v>2020</v>
      </c>
      <c r="H748" s="1">
        <v>44148</v>
      </c>
      <c r="I748" t="s">
        <v>34352</v>
      </c>
      <c r="K748" t="s">
        <v>34353</v>
      </c>
    </row>
    <row r="749" spans="1:11" x14ac:dyDescent="0.15">
      <c r="A749">
        <v>30369925</v>
      </c>
      <c r="B749" t="s">
        <v>34354</v>
      </c>
      <c r="C749" t="s">
        <v>34355</v>
      </c>
      <c r="D749" t="s">
        <v>34356</v>
      </c>
      <c r="E749" t="s">
        <v>34357</v>
      </c>
      <c r="F749" t="s">
        <v>30713</v>
      </c>
      <c r="G749">
        <v>2018</v>
      </c>
      <c r="H749" s="1">
        <v>43403</v>
      </c>
      <c r="I749" t="s">
        <v>34358</v>
      </c>
      <c r="K749" t="s">
        <v>34359</v>
      </c>
    </row>
    <row r="750" spans="1:11" x14ac:dyDescent="0.15">
      <c r="A750">
        <v>29985392</v>
      </c>
      <c r="B750" t="s">
        <v>6683</v>
      </c>
      <c r="C750" t="s">
        <v>34360</v>
      </c>
      <c r="D750" t="s">
        <v>34361</v>
      </c>
      <c r="E750" t="s">
        <v>34362</v>
      </c>
      <c r="F750" t="s">
        <v>30796</v>
      </c>
      <c r="G750">
        <v>2018</v>
      </c>
      <c r="H750" s="1">
        <v>43291</v>
      </c>
      <c r="I750" t="s">
        <v>34363</v>
      </c>
      <c r="K750" t="s">
        <v>6693</v>
      </c>
    </row>
    <row r="751" spans="1:11" x14ac:dyDescent="0.15">
      <c r="A751">
        <v>35167807</v>
      </c>
      <c r="B751" t="s">
        <v>34364</v>
      </c>
      <c r="C751" t="s">
        <v>34365</v>
      </c>
      <c r="D751" t="s">
        <v>34366</v>
      </c>
      <c r="E751" t="s">
        <v>34367</v>
      </c>
      <c r="F751" t="s">
        <v>34368</v>
      </c>
      <c r="G751">
        <v>2022</v>
      </c>
      <c r="H751" s="1">
        <v>44607</v>
      </c>
      <c r="K751" t="s">
        <v>34369</v>
      </c>
    </row>
    <row r="752" spans="1:11" x14ac:dyDescent="0.15">
      <c r="A752">
        <v>29216783</v>
      </c>
      <c r="B752" t="s">
        <v>34370</v>
      </c>
      <c r="C752" t="s">
        <v>34371</v>
      </c>
      <c r="D752" t="s">
        <v>34372</v>
      </c>
      <c r="E752" t="s">
        <v>32544</v>
      </c>
      <c r="F752" t="s">
        <v>34373</v>
      </c>
      <c r="G752">
        <v>2018</v>
      </c>
      <c r="H752" s="1">
        <v>43078</v>
      </c>
      <c r="K752" t="s">
        <v>34374</v>
      </c>
    </row>
    <row r="753" spans="1:11" x14ac:dyDescent="0.15">
      <c r="A753">
        <v>25837312</v>
      </c>
      <c r="B753" t="s">
        <v>34375</v>
      </c>
      <c r="C753" t="s">
        <v>34376</v>
      </c>
      <c r="D753" t="s">
        <v>34377</v>
      </c>
      <c r="E753" t="s">
        <v>34378</v>
      </c>
      <c r="F753" t="s">
        <v>34244</v>
      </c>
      <c r="G753">
        <v>2015</v>
      </c>
      <c r="H753" s="1">
        <v>42098</v>
      </c>
      <c r="I753" t="s">
        <v>34379</v>
      </c>
      <c r="J753" t="s">
        <v>34380</v>
      </c>
      <c r="K753" t="s">
        <v>34381</v>
      </c>
    </row>
    <row r="754" spans="1:11" x14ac:dyDescent="0.15">
      <c r="A754">
        <v>32471033</v>
      </c>
      <c r="B754" t="s">
        <v>34382</v>
      </c>
      <c r="C754" t="s">
        <v>34383</v>
      </c>
      <c r="D754" t="s">
        <v>34384</v>
      </c>
      <c r="E754" t="s">
        <v>34385</v>
      </c>
      <c r="F754" t="s">
        <v>30720</v>
      </c>
      <c r="G754">
        <v>2020</v>
      </c>
      <c r="H754" s="1">
        <v>43982</v>
      </c>
      <c r="I754" t="s">
        <v>34386</v>
      </c>
      <c r="K754" t="s">
        <v>34387</v>
      </c>
    </row>
    <row r="755" spans="1:11" x14ac:dyDescent="0.15">
      <c r="A755">
        <v>33497844</v>
      </c>
      <c r="B755" t="s">
        <v>34388</v>
      </c>
      <c r="C755" t="s">
        <v>34389</v>
      </c>
      <c r="D755" t="s">
        <v>34390</v>
      </c>
      <c r="E755" t="s">
        <v>34391</v>
      </c>
      <c r="F755" t="s">
        <v>34392</v>
      </c>
      <c r="G755">
        <v>2021</v>
      </c>
      <c r="H755" s="1">
        <v>44222</v>
      </c>
      <c r="K755" t="s">
        <v>34393</v>
      </c>
    </row>
    <row r="756" spans="1:11" x14ac:dyDescent="0.15">
      <c r="A756">
        <v>33661579</v>
      </c>
      <c r="B756" t="s">
        <v>13124</v>
      </c>
      <c r="C756" t="s">
        <v>34394</v>
      </c>
      <c r="D756" t="s">
        <v>34395</v>
      </c>
      <c r="E756" t="s">
        <v>34396</v>
      </c>
      <c r="F756" t="s">
        <v>31367</v>
      </c>
      <c r="G756">
        <v>2021</v>
      </c>
      <c r="H756" s="1">
        <v>44259</v>
      </c>
      <c r="K756" t="s">
        <v>13135</v>
      </c>
    </row>
    <row r="757" spans="1:11" x14ac:dyDescent="0.15">
      <c r="A757">
        <v>34020253</v>
      </c>
      <c r="B757" t="s">
        <v>34397</v>
      </c>
      <c r="C757" t="s">
        <v>34398</v>
      </c>
      <c r="D757" t="s">
        <v>34399</v>
      </c>
      <c r="E757" t="s">
        <v>34400</v>
      </c>
      <c r="F757" t="s">
        <v>32536</v>
      </c>
      <c r="G757">
        <v>2021</v>
      </c>
      <c r="H757" s="1">
        <v>44337</v>
      </c>
      <c r="K757" t="s">
        <v>34401</v>
      </c>
    </row>
    <row r="758" spans="1:11" x14ac:dyDescent="0.15">
      <c r="A758">
        <v>33210708</v>
      </c>
      <c r="B758" t="s">
        <v>14036</v>
      </c>
      <c r="C758" t="s">
        <v>34402</v>
      </c>
      <c r="D758" t="s">
        <v>34403</v>
      </c>
      <c r="E758" t="s">
        <v>34404</v>
      </c>
      <c r="F758" t="s">
        <v>31600</v>
      </c>
      <c r="G758">
        <v>2020</v>
      </c>
      <c r="H758" s="1">
        <v>44154</v>
      </c>
      <c r="K758" t="s">
        <v>14044</v>
      </c>
    </row>
    <row r="759" spans="1:11" x14ac:dyDescent="0.15">
      <c r="A759">
        <v>19955569</v>
      </c>
      <c r="B759" t="s">
        <v>34405</v>
      </c>
      <c r="C759" t="s">
        <v>34406</v>
      </c>
      <c r="D759" t="s">
        <v>34407</v>
      </c>
      <c r="E759" t="s">
        <v>34408</v>
      </c>
      <c r="F759" t="s">
        <v>31594</v>
      </c>
      <c r="G759">
        <v>2010</v>
      </c>
      <c r="H759" s="1">
        <v>40151</v>
      </c>
      <c r="I759" t="s">
        <v>34409</v>
      </c>
      <c r="K759" t="s">
        <v>34410</v>
      </c>
    </row>
    <row r="760" spans="1:11" x14ac:dyDescent="0.15">
      <c r="A760">
        <v>33687214</v>
      </c>
      <c r="B760" t="s">
        <v>2597</v>
      </c>
      <c r="C760" t="s">
        <v>34411</v>
      </c>
      <c r="D760" t="s">
        <v>34412</v>
      </c>
      <c r="E760" t="s">
        <v>33774</v>
      </c>
      <c r="F760" t="s">
        <v>30561</v>
      </c>
      <c r="G760">
        <v>2021</v>
      </c>
      <c r="H760" s="1">
        <v>44264</v>
      </c>
      <c r="I760" t="s">
        <v>34413</v>
      </c>
      <c r="J760" t="s">
        <v>34414</v>
      </c>
      <c r="K760" t="s">
        <v>2606</v>
      </c>
    </row>
    <row r="761" spans="1:11" x14ac:dyDescent="0.15">
      <c r="A761">
        <v>25890246</v>
      </c>
      <c r="B761" t="s">
        <v>34415</v>
      </c>
      <c r="C761" t="s">
        <v>34416</v>
      </c>
      <c r="D761" t="s">
        <v>34417</v>
      </c>
      <c r="E761" t="s">
        <v>30706</v>
      </c>
      <c r="F761" t="s">
        <v>34244</v>
      </c>
      <c r="G761">
        <v>2015</v>
      </c>
      <c r="H761" s="1">
        <v>42113</v>
      </c>
      <c r="K761" t="s">
        <v>34418</v>
      </c>
    </row>
    <row r="762" spans="1:11" x14ac:dyDescent="0.15">
      <c r="A762">
        <v>34505766</v>
      </c>
      <c r="B762" t="s">
        <v>34419</v>
      </c>
      <c r="C762" t="s">
        <v>34420</v>
      </c>
      <c r="D762" t="s">
        <v>34421</v>
      </c>
      <c r="E762" t="s">
        <v>34422</v>
      </c>
      <c r="F762" t="s">
        <v>30561</v>
      </c>
      <c r="G762">
        <v>2021</v>
      </c>
      <c r="H762" s="1">
        <v>44449</v>
      </c>
      <c r="I762" t="s">
        <v>34423</v>
      </c>
      <c r="K762" t="s">
        <v>34424</v>
      </c>
    </row>
    <row r="763" spans="1:11" x14ac:dyDescent="0.15">
      <c r="A763">
        <v>33917426</v>
      </c>
      <c r="B763" t="s">
        <v>34425</v>
      </c>
      <c r="C763" t="s">
        <v>34426</v>
      </c>
      <c r="D763" t="s">
        <v>34427</v>
      </c>
      <c r="E763" t="s">
        <v>34428</v>
      </c>
      <c r="F763" t="s">
        <v>30655</v>
      </c>
      <c r="G763">
        <v>2021</v>
      </c>
      <c r="H763" s="1">
        <v>44316</v>
      </c>
      <c r="I763" t="s">
        <v>34429</v>
      </c>
      <c r="K763" t="s">
        <v>5383</v>
      </c>
    </row>
    <row r="764" spans="1:11" x14ac:dyDescent="0.15">
      <c r="A764">
        <v>29500342</v>
      </c>
      <c r="B764" t="s">
        <v>16314</v>
      </c>
      <c r="C764" t="s">
        <v>34430</v>
      </c>
      <c r="D764" t="s">
        <v>34431</v>
      </c>
      <c r="E764" t="s">
        <v>34432</v>
      </c>
      <c r="F764" t="s">
        <v>30733</v>
      </c>
      <c r="G764">
        <v>2018</v>
      </c>
      <c r="H764" s="1">
        <v>43163</v>
      </c>
      <c r="I764" t="s">
        <v>34433</v>
      </c>
      <c r="K764" t="s">
        <v>16322</v>
      </c>
    </row>
    <row r="765" spans="1:11" x14ac:dyDescent="0.15">
      <c r="A765">
        <v>31475741</v>
      </c>
      <c r="B765" t="s">
        <v>3062</v>
      </c>
      <c r="C765" t="s">
        <v>34434</v>
      </c>
      <c r="D765" t="s">
        <v>34435</v>
      </c>
      <c r="E765" t="s">
        <v>34436</v>
      </c>
      <c r="F765" t="s">
        <v>31192</v>
      </c>
      <c r="G765">
        <v>2019</v>
      </c>
      <c r="H765" s="1">
        <v>43711</v>
      </c>
      <c r="K765" t="s">
        <v>3071</v>
      </c>
    </row>
    <row r="766" spans="1:11" x14ac:dyDescent="0.15">
      <c r="A766">
        <v>34400637</v>
      </c>
      <c r="B766" t="s">
        <v>34437</v>
      </c>
      <c r="C766" t="s">
        <v>34438</v>
      </c>
      <c r="D766" t="s">
        <v>34439</v>
      </c>
      <c r="E766" t="s">
        <v>33873</v>
      </c>
      <c r="F766" t="s">
        <v>30796</v>
      </c>
      <c r="G766">
        <v>2021</v>
      </c>
      <c r="H766" s="1">
        <v>44425</v>
      </c>
      <c r="I766" t="s">
        <v>34440</v>
      </c>
      <c r="K766" t="s">
        <v>34441</v>
      </c>
    </row>
    <row r="767" spans="1:11" x14ac:dyDescent="0.15">
      <c r="A767">
        <v>31340551</v>
      </c>
      <c r="B767" t="s">
        <v>4843</v>
      </c>
      <c r="C767" t="s">
        <v>34442</v>
      </c>
      <c r="D767" t="s">
        <v>34443</v>
      </c>
      <c r="E767" t="s">
        <v>34444</v>
      </c>
      <c r="F767" t="s">
        <v>30655</v>
      </c>
      <c r="G767">
        <v>2019</v>
      </c>
      <c r="H767" s="1">
        <v>43672</v>
      </c>
      <c r="I767" t="s">
        <v>34445</v>
      </c>
      <c r="K767" t="s">
        <v>4853</v>
      </c>
    </row>
    <row r="768" spans="1:11" x14ac:dyDescent="0.15">
      <c r="A768">
        <v>32780361</v>
      </c>
      <c r="B768" t="s">
        <v>18472</v>
      </c>
      <c r="C768" t="s">
        <v>34446</v>
      </c>
      <c r="D768" t="s">
        <v>34447</v>
      </c>
      <c r="E768" t="s">
        <v>34448</v>
      </c>
      <c r="F768" t="s">
        <v>31234</v>
      </c>
      <c r="G768">
        <v>2021</v>
      </c>
      <c r="H768" s="1">
        <v>44055</v>
      </c>
      <c r="K768" t="s">
        <v>18480</v>
      </c>
    </row>
    <row r="769" spans="1:11" x14ac:dyDescent="0.15">
      <c r="A769">
        <v>30111566</v>
      </c>
      <c r="B769" t="s">
        <v>34449</v>
      </c>
      <c r="C769" t="s">
        <v>34450</v>
      </c>
      <c r="D769" t="s">
        <v>34451</v>
      </c>
      <c r="E769" t="s">
        <v>34452</v>
      </c>
      <c r="F769" t="s">
        <v>31970</v>
      </c>
      <c r="G769">
        <v>2018</v>
      </c>
      <c r="H769" s="1">
        <v>43329</v>
      </c>
      <c r="I769" t="s">
        <v>34453</v>
      </c>
      <c r="K769" t="s">
        <v>12890</v>
      </c>
    </row>
    <row r="770" spans="1:11" x14ac:dyDescent="0.15">
      <c r="A770">
        <v>24720881</v>
      </c>
      <c r="B770" t="s">
        <v>34454</v>
      </c>
      <c r="C770" t="s">
        <v>34455</v>
      </c>
      <c r="D770" t="s">
        <v>34456</v>
      </c>
      <c r="E770" t="s">
        <v>34457</v>
      </c>
      <c r="F770" t="s">
        <v>30812</v>
      </c>
      <c r="G770">
        <v>2014</v>
      </c>
      <c r="H770" s="1">
        <v>41741</v>
      </c>
      <c r="I770" t="s">
        <v>34458</v>
      </c>
      <c r="J770" t="s">
        <v>34459</v>
      </c>
      <c r="K770" t="s">
        <v>34460</v>
      </c>
    </row>
    <row r="771" spans="1:11" x14ac:dyDescent="0.15">
      <c r="A771">
        <v>25837156</v>
      </c>
      <c r="B771" t="s">
        <v>34461</v>
      </c>
      <c r="C771" t="s">
        <v>34462</v>
      </c>
      <c r="D771" t="s">
        <v>34463</v>
      </c>
      <c r="E771" t="s">
        <v>34464</v>
      </c>
      <c r="F771" t="s">
        <v>33740</v>
      </c>
      <c r="G771">
        <v>2015</v>
      </c>
      <c r="H771" s="1">
        <v>42098</v>
      </c>
      <c r="K771" t="s">
        <v>34465</v>
      </c>
    </row>
    <row r="772" spans="1:11" x14ac:dyDescent="0.15">
      <c r="A772">
        <v>34467244</v>
      </c>
      <c r="B772" t="s">
        <v>34466</v>
      </c>
      <c r="C772" t="s">
        <v>34467</v>
      </c>
      <c r="D772" t="s">
        <v>34468</v>
      </c>
      <c r="E772" t="s">
        <v>34469</v>
      </c>
      <c r="F772" t="s">
        <v>34470</v>
      </c>
      <c r="G772">
        <v>2021</v>
      </c>
      <c r="H772" s="1">
        <v>44440</v>
      </c>
      <c r="I772" t="s">
        <v>34471</v>
      </c>
      <c r="K772" t="s">
        <v>34472</v>
      </c>
    </row>
    <row r="773" spans="1:11" x14ac:dyDescent="0.15">
      <c r="A773">
        <v>26954233</v>
      </c>
      <c r="B773" t="s">
        <v>26655</v>
      </c>
      <c r="C773" t="s">
        <v>34473</v>
      </c>
      <c r="D773" t="s">
        <v>34474</v>
      </c>
      <c r="E773" t="s">
        <v>34475</v>
      </c>
      <c r="F773" t="s">
        <v>31639</v>
      </c>
      <c r="G773">
        <v>2016</v>
      </c>
      <c r="H773" s="1">
        <v>42438</v>
      </c>
      <c r="I773" t="s">
        <v>34476</v>
      </c>
      <c r="K773" t="s">
        <v>26664</v>
      </c>
    </row>
    <row r="774" spans="1:11" x14ac:dyDescent="0.15">
      <c r="A774">
        <v>32082312</v>
      </c>
      <c r="B774" t="s">
        <v>34477</v>
      </c>
      <c r="C774" t="s">
        <v>34478</v>
      </c>
      <c r="D774" t="s">
        <v>34479</v>
      </c>
      <c r="E774" t="s">
        <v>34480</v>
      </c>
      <c r="F774" t="s">
        <v>30713</v>
      </c>
      <c r="G774">
        <v>2020</v>
      </c>
      <c r="H774" s="1">
        <v>43883</v>
      </c>
      <c r="I774" t="s">
        <v>34481</v>
      </c>
      <c r="K774" t="s">
        <v>34482</v>
      </c>
    </row>
    <row r="775" spans="1:11" x14ac:dyDescent="0.15">
      <c r="A775">
        <v>30488570</v>
      </c>
      <c r="B775" t="s">
        <v>12760</v>
      </c>
      <c r="C775" t="s">
        <v>34483</v>
      </c>
      <c r="D775" t="s">
        <v>34484</v>
      </c>
      <c r="E775" t="s">
        <v>34485</v>
      </c>
      <c r="F775" t="s">
        <v>31367</v>
      </c>
      <c r="G775">
        <v>2019</v>
      </c>
      <c r="H775" s="1">
        <v>43434</v>
      </c>
      <c r="K775" t="s">
        <v>12769</v>
      </c>
    </row>
    <row r="776" spans="1:11" x14ac:dyDescent="0.15">
      <c r="A776">
        <v>32574550</v>
      </c>
      <c r="B776" t="s">
        <v>34486</v>
      </c>
      <c r="C776" t="s">
        <v>34487</v>
      </c>
      <c r="D776" t="s">
        <v>34488</v>
      </c>
      <c r="E776" t="s">
        <v>34489</v>
      </c>
      <c r="F776" t="s">
        <v>34490</v>
      </c>
      <c r="G776">
        <v>2020</v>
      </c>
      <c r="H776" s="1">
        <v>44006</v>
      </c>
      <c r="I776" t="s">
        <v>34491</v>
      </c>
      <c r="K776" t="s">
        <v>34492</v>
      </c>
    </row>
    <row r="777" spans="1:11" x14ac:dyDescent="0.15">
      <c r="A777">
        <v>31837917</v>
      </c>
      <c r="B777" t="s">
        <v>34493</v>
      </c>
      <c r="C777" t="s">
        <v>34494</v>
      </c>
      <c r="D777" t="s">
        <v>34495</v>
      </c>
      <c r="E777" t="s">
        <v>34496</v>
      </c>
      <c r="F777" t="s">
        <v>31175</v>
      </c>
      <c r="G777">
        <v>2020</v>
      </c>
      <c r="H777" s="1">
        <v>43815</v>
      </c>
      <c r="K777" t="s">
        <v>34497</v>
      </c>
    </row>
    <row r="778" spans="1:11" x14ac:dyDescent="0.15">
      <c r="A778">
        <v>21533172</v>
      </c>
      <c r="B778" t="s">
        <v>34498</v>
      </c>
      <c r="C778" t="s">
        <v>34499</v>
      </c>
      <c r="D778" t="s">
        <v>34500</v>
      </c>
      <c r="E778" t="s">
        <v>34501</v>
      </c>
      <c r="F778" t="s">
        <v>31639</v>
      </c>
      <c r="G778">
        <v>2011</v>
      </c>
      <c r="H778" s="1">
        <v>40666</v>
      </c>
      <c r="I778" t="s">
        <v>34502</v>
      </c>
      <c r="K778" t="s">
        <v>34503</v>
      </c>
    </row>
    <row r="779" spans="1:11" x14ac:dyDescent="0.15">
      <c r="A779">
        <v>32628360</v>
      </c>
      <c r="B779" t="s">
        <v>34504</v>
      </c>
      <c r="C779" t="s">
        <v>34505</v>
      </c>
      <c r="D779" t="s">
        <v>34506</v>
      </c>
      <c r="E779" t="s">
        <v>34507</v>
      </c>
      <c r="F779" t="s">
        <v>34508</v>
      </c>
      <c r="G779">
        <v>2020</v>
      </c>
      <c r="H779" s="1">
        <v>44019</v>
      </c>
      <c r="I779" t="s">
        <v>34509</v>
      </c>
      <c r="K779" t="s">
        <v>34510</v>
      </c>
    </row>
    <row r="780" spans="1:11" x14ac:dyDescent="0.15">
      <c r="A780">
        <v>21778410</v>
      </c>
      <c r="B780" t="s">
        <v>34511</v>
      </c>
      <c r="C780" t="s">
        <v>34512</v>
      </c>
      <c r="D780" t="s">
        <v>34513</v>
      </c>
      <c r="E780" t="s">
        <v>34514</v>
      </c>
      <c r="F780" t="s">
        <v>32570</v>
      </c>
      <c r="G780">
        <v>2011</v>
      </c>
      <c r="H780" s="1">
        <v>40747</v>
      </c>
      <c r="I780" t="s">
        <v>34515</v>
      </c>
      <c r="K780" t="s">
        <v>34516</v>
      </c>
    </row>
    <row r="781" spans="1:11" x14ac:dyDescent="0.15">
      <c r="A781">
        <v>27396686</v>
      </c>
      <c r="B781" t="s">
        <v>34517</v>
      </c>
      <c r="C781" t="s">
        <v>34518</v>
      </c>
      <c r="D781" t="s">
        <v>34519</v>
      </c>
      <c r="E781" t="s">
        <v>34520</v>
      </c>
      <c r="F781" t="s">
        <v>34521</v>
      </c>
      <c r="G781">
        <v>2016</v>
      </c>
      <c r="H781" s="1">
        <v>42563</v>
      </c>
      <c r="K781" t="s">
        <v>34522</v>
      </c>
    </row>
    <row r="782" spans="1:11" x14ac:dyDescent="0.15">
      <c r="A782">
        <v>22998189</v>
      </c>
      <c r="B782" t="s">
        <v>34523</v>
      </c>
      <c r="C782" t="s">
        <v>34524</v>
      </c>
      <c r="D782" t="s">
        <v>34525</v>
      </c>
      <c r="E782" t="s">
        <v>34526</v>
      </c>
      <c r="F782" t="s">
        <v>34527</v>
      </c>
      <c r="G782">
        <v>2013</v>
      </c>
      <c r="H782" s="1">
        <v>41177</v>
      </c>
      <c r="I782" t="s">
        <v>34528</v>
      </c>
      <c r="J782" t="s">
        <v>34529</v>
      </c>
      <c r="K782" t="s">
        <v>34530</v>
      </c>
    </row>
    <row r="783" spans="1:11" x14ac:dyDescent="0.15">
      <c r="A783">
        <v>31756034</v>
      </c>
      <c r="B783" t="s">
        <v>8342</v>
      </c>
      <c r="C783" t="s">
        <v>34531</v>
      </c>
      <c r="D783" t="s">
        <v>34532</v>
      </c>
      <c r="E783" t="s">
        <v>34533</v>
      </c>
      <c r="F783" t="s">
        <v>34534</v>
      </c>
      <c r="G783">
        <v>2020</v>
      </c>
      <c r="H783" s="1">
        <v>43792</v>
      </c>
      <c r="I783" t="s">
        <v>34535</v>
      </c>
      <c r="J783" t="s">
        <v>34536</v>
      </c>
      <c r="K783" t="s">
        <v>8355</v>
      </c>
    </row>
    <row r="784" spans="1:11" x14ac:dyDescent="0.15">
      <c r="A784">
        <v>33610731</v>
      </c>
      <c r="B784" t="s">
        <v>14094</v>
      </c>
      <c r="C784" t="s">
        <v>34537</v>
      </c>
      <c r="D784" t="s">
        <v>34538</v>
      </c>
      <c r="E784" t="s">
        <v>33867</v>
      </c>
      <c r="F784" t="s">
        <v>30682</v>
      </c>
      <c r="G784">
        <v>2021</v>
      </c>
      <c r="H784" s="1">
        <v>44248</v>
      </c>
      <c r="I784" t="s">
        <v>34539</v>
      </c>
      <c r="J784" t="s">
        <v>34540</v>
      </c>
      <c r="K784" t="s">
        <v>14103</v>
      </c>
    </row>
    <row r="785" spans="1:11" x14ac:dyDescent="0.15">
      <c r="A785">
        <v>25820722</v>
      </c>
      <c r="B785" t="s">
        <v>34541</v>
      </c>
      <c r="C785" t="s">
        <v>34542</v>
      </c>
      <c r="D785" t="s">
        <v>34543</v>
      </c>
      <c r="E785" t="s">
        <v>34544</v>
      </c>
      <c r="F785" t="s">
        <v>31003</v>
      </c>
      <c r="G785">
        <v>2015</v>
      </c>
      <c r="H785" s="1">
        <v>42094</v>
      </c>
      <c r="K785" t="s">
        <v>721</v>
      </c>
    </row>
    <row r="786" spans="1:11" x14ac:dyDescent="0.15">
      <c r="A786">
        <v>28811546</v>
      </c>
      <c r="B786" t="s">
        <v>10850</v>
      </c>
      <c r="C786" t="s">
        <v>34545</v>
      </c>
      <c r="D786" t="s">
        <v>34546</v>
      </c>
      <c r="E786" t="s">
        <v>34547</v>
      </c>
      <c r="F786" t="s">
        <v>30834</v>
      </c>
      <c r="G786">
        <v>2017</v>
      </c>
      <c r="H786" s="1">
        <v>42964</v>
      </c>
      <c r="I786" t="s">
        <v>34548</v>
      </c>
      <c r="K786" t="s">
        <v>10859</v>
      </c>
    </row>
    <row r="787" spans="1:11" x14ac:dyDescent="0.15">
      <c r="A787">
        <v>27169926</v>
      </c>
      <c r="B787" t="s">
        <v>34549</v>
      </c>
      <c r="C787" t="s">
        <v>34550</v>
      </c>
      <c r="D787" t="s">
        <v>34551</v>
      </c>
      <c r="E787" t="s">
        <v>34552</v>
      </c>
      <c r="F787" t="s">
        <v>34553</v>
      </c>
      <c r="G787">
        <v>2016</v>
      </c>
      <c r="H787" s="1">
        <v>42503</v>
      </c>
      <c r="K787" t="s">
        <v>34554</v>
      </c>
    </row>
    <row r="788" spans="1:11" x14ac:dyDescent="0.15">
      <c r="A788">
        <v>33919158</v>
      </c>
      <c r="B788" t="s">
        <v>34555</v>
      </c>
      <c r="C788" t="s">
        <v>34556</v>
      </c>
      <c r="D788" t="s">
        <v>34557</v>
      </c>
      <c r="E788" t="s">
        <v>34558</v>
      </c>
      <c r="F788" t="s">
        <v>30655</v>
      </c>
      <c r="G788">
        <v>2021</v>
      </c>
      <c r="H788" s="1">
        <v>44316</v>
      </c>
      <c r="I788" t="s">
        <v>34559</v>
      </c>
      <c r="K788" t="s">
        <v>34560</v>
      </c>
    </row>
    <row r="789" spans="1:11" x14ac:dyDescent="0.15">
      <c r="A789">
        <v>34294160</v>
      </c>
      <c r="B789" t="s">
        <v>4943</v>
      </c>
      <c r="C789" t="s">
        <v>34561</v>
      </c>
      <c r="D789" t="s">
        <v>34562</v>
      </c>
      <c r="E789" t="s">
        <v>34563</v>
      </c>
      <c r="F789" t="s">
        <v>30740</v>
      </c>
      <c r="G789">
        <v>2021</v>
      </c>
      <c r="H789" s="1">
        <v>44400</v>
      </c>
      <c r="I789" t="s">
        <v>34564</v>
      </c>
      <c r="K789" t="s">
        <v>4953</v>
      </c>
    </row>
    <row r="790" spans="1:11" x14ac:dyDescent="0.15">
      <c r="A790">
        <v>31547130</v>
      </c>
      <c r="B790" t="s">
        <v>5492</v>
      </c>
      <c r="C790" t="s">
        <v>34565</v>
      </c>
      <c r="D790" t="s">
        <v>34566</v>
      </c>
      <c r="E790" t="s">
        <v>34567</v>
      </c>
      <c r="F790" t="s">
        <v>30720</v>
      </c>
      <c r="G790">
        <v>2019</v>
      </c>
      <c r="H790" s="1">
        <v>43733</v>
      </c>
      <c r="I790" t="s">
        <v>34568</v>
      </c>
      <c r="K790" t="s">
        <v>5504</v>
      </c>
    </row>
    <row r="791" spans="1:11" x14ac:dyDescent="0.15">
      <c r="A791">
        <v>34487126</v>
      </c>
      <c r="B791" t="s">
        <v>12514</v>
      </c>
      <c r="C791" t="s">
        <v>34569</v>
      </c>
      <c r="D791" t="s">
        <v>34570</v>
      </c>
      <c r="E791" t="s">
        <v>34571</v>
      </c>
      <c r="F791" t="s">
        <v>31562</v>
      </c>
      <c r="G791">
        <v>2021</v>
      </c>
      <c r="H791" s="1">
        <v>44445</v>
      </c>
      <c r="K791" t="s">
        <v>12523</v>
      </c>
    </row>
    <row r="792" spans="1:11" x14ac:dyDescent="0.15">
      <c r="A792">
        <v>34042225</v>
      </c>
      <c r="B792" t="s">
        <v>2442</v>
      </c>
      <c r="C792" t="s">
        <v>34572</v>
      </c>
      <c r="D792" t="s">
        <v>34573</v>
      </c>
      <c r="E792" t="s">
        <v>34574</v>
      </c>
      <c r="F792" t="s">
        <v>32264</v>
      </c>
      <c r="G792">
        <v>2021</v>
      </c>
      <c r="H792" s="1">
        <v>44343</v>
      </c>
      <c r="K792" t="s">
        <v>2453</v>
      </c>
    </row>
    <row r="793" spans="1:11" x14ac:dyDescent="0.15">
      <c r="A793">
        <v>33152356</v>
      </c>
      <c r="B793" t="s">
        <v>1543</v>
      </c>
      <c r="C793" t="s">
        <v>34575</v>
      </c>
      <c r="D793" t="s">
        <v>34576</v>
      </c>
      <c r="E793" t="s">
        <v>34577</v>
      </c>
      <c r="F793" t="s">
        <v>30821</v>
      </c>
      <c r="G793">
        <v>2021</v>
      </c>
      <c r="H793" s="1">
        <v>44140</v>
      </c>
      <c r="I793" t="s">
        <v>34578</v>
      </c>
      <c r="J793" t="s">
        <v>34579</v>
      </c>
      <c r="K793" t="s">
        <v>1556</v>
      </c>
    </row>
    <row r="794" spans="1:11" x14ac:dyDescent="0.15">
      <c r="A794">
        <v>29219656</v>
      </c>
      <c r="B794" t="s">
        <v>34580</v>
      </c>
      <c r="C794" t="s">
        <v>34581</v>
      </c>
      <c r="D794" t="s">
        <v>34582</v>
      </c>
      <c r="E794" t="s">
        <v>34583</v>
      </c>
      <c r="F794" t="s">
        <v>31991</v>
      </c>
      <c r="G794">
        <v>2018</v>
      </c>
      <c r="H794" s="1">
        <v>43078</v>
      </c>
      <c r="I794" t="s">
        <v>34584</v>
      </c>
      <c r="K794" t="s">
        <v>34585</v>
      </c>
    </row>
    <row r="795" spans="1:11" x14ac:dyDescent="0.15">
      <c r="A795">
        <v>32267490</v>
      </c>
      <c r="B795" t="s">
        <v>34586</v>
      </c>
      <c r="C795" t="s">
        <v>34587</v>
      </c>
      <c r="D795" t="s">
        <v>34588</v>
      </c>
      <c r="E795" t="s">
        <v>34589</v>
      </c>
      <c r="F795" t="s">
        <v>34050</v>
      </c>
      <c r="G795">
        <v>2020</v>
      </c>
      <c r="H795" s="1">
        <v>43930</v>
      </c>
      <c r="I795" t="s">
        <v>34590</v>
      </c>
      <c r="K795" t="s">
        <v>34591</v>
      </c>
    </row>
    <row r="796" spans="1:11" x14ac:dyDescent="0.15">
      <c r="A796">
        <v>33812182</v>
      </c>
      <c r="B796" t="s">
        <v>34592</v>
      </c>
      <c r="C796" t="s">
        <v>34593</v>
      </c>
      <c r="D796" t="s">
        <v>34594</v>
      </c>
      <c r="E796" t="s">
        <v>34595</v>
      </c>
      <c r="F796" t="s">
        <v>34596</v>
      </c>
      <c r="G796">
        <v>2021</v>
      </c>
      <c r="H796" s="1">
        <v>44289</v>
      </c>
      <c r="K796" t="s">
        <v>34597</v>
      </c>
    </row>
    <row r="797" spans="1:11" x14ac:dyDescent="0.15">
      <c r="A797">
        <v>29282521</v>
      </c>
      <c r="B797" t="s">
        <v>9991</v>
      </c>
      <c r="C797" t="s">
        <v>34598</v>
      </c>
      <c r="D797" t="s">
        <v>34599</v>
      </c>
      <c r="E797" t="s">
        <v>34600</v>
      </c>
      <c r="F797" t="s">
        <v>34601</v>
      </c>
      <c r="G797">
        <v>2018</v>
      </c>
      <c r="H797" s="1">
        <v>43098</v>
      </c>
      <c r="K797" t="s">
        <v>10002</v>
      </c>
    </row>
    <row r="798" spans="1:11" x14ac:dyDescent="0.15">
      <c r="A798">
        <v>34158841</v>
      </c>
      <c r="B798" t="s">
        <v>2777</v>
      </c>
      <c r="C798" t="s">
        <v>34602</v>
      </c>
      <c r="D798" t="s">
        <v>34603</v>
      </c>
      <c r="E798" t="s">
        <v>32544</v>
      </c>
      <c r="F798" t="s">
        <v>30588</v>
      </c>
      <c r="G798">
        <v>2021</v>
      </c>
      <c r="H798" s="1">
        <v>44370</v>
      </c>
      <c r="I798" t="s">
        <v>34604</v>
      </c>
      <c r="K798" t="s">
        <v>2786</v>
      </c>
    </row>
    <row r="799" spans="1:11" x14ac:dyDescent="0.15">
      <c r="A799">
        <v>33734019</v>
      </c>
      <c r="B799" t="s">
        <v>34605</v>
      </c>
      <c r="C799" t="s">
        <v>34606</v>
      </c>
      <c r="D799" t="s">
        <v>34607</v>
      </c>
      <c r="E799" t="s">
        <v>34608</v>
      </c>
      <c r="F799" t="s">
        <v>34026</v>
      </c>
      <c r="G799">
        <v>2022</v>
      </c>
      <c r="H799" s="1">
        <v>44273</v>
      </c>
      <c r="I799" t="s">
        <v>34609</v>
      </c>
      <c r="K799" t="s">
        <v>34610</v>
      </c>
    </row>
    <row r="800" spans="1:11" x14ac:dyDescent="0.15">
      <c r="A800">
        <v>33670924</v>
      </c>
      <c r="B800" t="s">
        <v>34611</v>
      </c>
      <c r="C800" t="s">
        <v>34612</v>
      </c>
      <c r="D800" t="s">
        <v>34613</v>
      </c>
      <c r="E800" t="s">
        <v>34614</v>
      </c>
      <c r="F800" t="s">
        <v>30655</v>
      </c>
      <c r="G800">
        <v>2021</v>
      </c>
      <c r="H800" s="1">
        <v>44261</v>
      </c>
      <c r="I800" t="s">
        <v>34615</v>
      </c>
      <c r="K800" t="s">
        <v>34616</v>
      </c>
    </row>
    <row r="801" spans="1:11" x14ac:dyDescent="0.15">
      <c r="A801">
        <v>29727453</v>
      </c>
      <c r="B801" t="s">
        <v>12355</v>
      </c>
      <c r="C801" t="s">
        <v>34617</v>
      </c>
      <c r="D801" t="s">
        <v>34618</v>
      </c>
      <c r="E801" t="s">
        <v>34619</v>
      </c>
      <c r="F801" t="s">
        <v>34280</v>
      </c>
      <c r="G801">
        <v>2018</v>
      </c>
      <c r="H801" s="1">
        <v>43225</v>
      </c>
      <c r="I801" t="s">
        <v>34620</v>
      </c>
      <c r="K801" t="s">
        <v>12365</v>
      </c>
    </row>
    <row r="802" spans="1:11" x14ac:dyDescent="0.15">
      <c r="A802">
        <v>31577907</v>
      </c>
      <c r="B802" t="s">
        <v>34621</v>
      </c>
      <c r="C802" t="s">
        <v>34622</v>
      </c>
      <c r="D802" t="s">
        <v>34623</v>
      </c>
      <c r="E802" t="s">
        <v>34624</v>
      </c>
      <c r="F802" t="s">
        <v>30668</v>
      </c>
      <c r="G802">
        <v>2020</v>
      </c>
      <c r="H802" s="1">
        <v>43741</v>
      </c>
      <c r="K802" t="s">
        <v>34625</v>
      </c>
    </row>
    <row r="803" spans="1:11" x14ac:dyDescent="0.15">
      <c r="A803">
        <v>34262675</v>
      </c>
      <c r="B803" t="s">
        <v>604</v>
      </c>
      <c r="C803" t="s">
        <v>34626</v>
      </c>
      <c r="D803" t="s">
        <v>34627</v>
      </c>
      <c r="E803" t="s">
        <v>34628</v>
      </c>
      <c r="F803" t="s">
        <v>30772</v>
      </c>
      <c r="G803">
        <v>2021</v>
      </c>
      <c r="H803" s="1">
        <v>44392</v>
      </c>
      <c r="I803" t="s">
        <v>34629</v>
      </c>
      <c r="K803" t="s">
        <v>616</v>
      </c>
    </row>
    <row r="804" spans="1:11" x14ac:dyDescent="0.15">
      <c r="A804">
        <v>34647460</v>
      </c>
      <c r="B804" t="s">
        <v>1957</v>
      </c>
      <c r="C804" t="s">
        <v>34630</v>
      </c>
      <c r="D804" t="s">
        <v>34631</v>
      </c>
      <c r="E804" t="s">
        <v>34632</v>
      </c>
      <c r="F804" t="s">
        <v>34633</v>
      </c>
      <c r="G804">
        <v>2021</v>
      </c>
      <c r="H804" s="1">
        <v>44483</v>
      </c>
      <c r="K804" t="s">
        <v>1966</v>
      </c>
    </row>
    <row r="805" spans="1:11" x14ac:dyDescent="0.15">
      <c r="A805">
        <v>27191915</v>
      </c>
      <c r="B805" t="s">
        <v>34634</v>
      </c>
      <c r="C805" t="s">
        <v>34635</v>
      </c>
      <c r="D805" t="s">
        <v>34636</v>
      </c>
      <c r="E805" t="s">
        <v>34637</v>
      </c>
      <c r="F805" t="s">
        <v>34638</v>
      </c>
      <c r="G805">
        <v>2016</v>
      </c>
      <c r="H805" s="1">
        <v>42509</v>
      </c>
      <c r="K805" t="s">
        <v>34639</v>
      </c>
    </row>
    <row r="806" spans="1:11" x14ac:dyDescent="0.15">
      <c r="A806">
        <v>33580122</v>
      </c>
      <c r="B806" t="s">
        <v>10388</v>
      </c>
      <c r="C806" t="s">
        <v>34640</v>
      </c>
      <c r="D806" t="s">
        <v>34641</v>
      </c>
      <c r="E806" t="s">
        <v>34642</v>
      </c>
      <c r="F806" t="s">
        <v>30834</v>
      </c>
      <c r="G806">
        <v>2021</v>
      </c>
      <c r="H806" s="1">
        <v>44240</v>
      </c>
      <c r="I806" t="s">
        <v>34643</v>
      </c>
      <c r="K806" t="s">
        <v>10397</v>
      </c>
    </row>
    <row r="807" spans="1:11" x14ac:dyDescent="0.15">
      <c r="A807">
        <v>26510393</v>
      </c>
      <c r="B807" t="s">
        <v>11324</v>
      </c>
      <c r="C807" t="s">
        <v>34644</v>
      </c>
      <c r="D807" t="s">
        <v>34645</v>
      </c>
      <c r="E807" t="s">
        <v>34646</v>
      </c>
      <c r="F807" t="s">
        <v>30834</v>
      </c>
      <c r="G807">
        <v>2015</v>
      </c>
      <c r="H807" s="1">
        <v>42307</v>
      </c>
      <c r="I807" t="s">
        <v>34647</v>
      </c>
      <c r="K807" t="s">
        <v>11333</v>
      </c>
    </row>
    <row r="808" spans="1:11" x14ac:dyDescent="0.15">
      <c r="A808">
        <v>31311428</v>
      </c>
      <c r="B808" t="s">
        <v>34648</v>
      </c>
      <c r="C808" t="s">
        <v>34649</v>
      </c>
      <c r="D808" t="s">
        <v>34650</v>
      </c>
      <c r="E808" t="s">
        <v>34651</v>
      </c>
      <c r="F808" t="s">
        <v>32691</v>
      </c>
      <c r="G808">
        <v>2019</v>
      </c>
      <c r="H808" s="1">
        <v>43664</v>
      </c>
      <c r="K808" t="s">
        <v>34652</v>
      </c>
    </row>
    <row r="809" spans="1:11" x14ac:dyDescent="0.15">
      <c r="A809">
        <v>32747701</v>
      </c>
      <c r="B809" t="s">
        <v>10716</v>
      </c>
      <c r="C809" t="s">
        <v>34653</v>
      </c>
      <c r="D809" t="s">
        <v>34654</v>
      </c>
      <c r="E809" t="s">
        <v>34655</v>
      </c>
      <c r="F809" t="s">
        <v>34181</v>
      </c>
      <c r="G809">
        <v>2020</v>
      </c>
      <c r="H809" s="1">
        <v>44048</v>
      </c>
      <c r="I809" t="s">
        <v>34656</v>
      </c>
      <c r="K809" t="s">
        <v>10728</v>
      </c>
    </row>
    <row r="810" spans="1:11" x14ac:dyDescent="0.15">
      <c r="A810">
        <v>32101745</v>
      </c>
      <c r="B810" t="s">
        <v>34657</v>
      </c>
      <c r="C810" t="s">
        <v>34658</v>
      </c>
      <c r="D810" t="s">
        <v>34659</v>
      </c>
      <c r="E810" t="s">
        <v>34660</v>
      </c>
      <c r="F810" t="s">
        <v>31376</v>
      </c>
      <c r="G810">
        <v>2020</v>
      </c>
      <c r="H810" s="1">
        <v>43888</v>
      </c>
      <c r="K810" t="s">
        <v>34661</v>
      </c>
    </row>
    <row r="811" spans="1:11" x14ac:dyDescent="0.15">
      <c r="A811">
        <v>30338706</v>
      </c>
      <c r="B811" t="s">
        <v>7289</v>
      </c>
      <c r="C811" t="s">
        <v>34662</v>
      </c>
      <c r="D811" t="s">
        <v>34663</v>
      </c>
      <c r="E811" t="s">
        <v>34664</v>
      </c>
      <c r="F811" t="s">
        <v>31387</v>
      </c>
      <c r="G811">
        <v>2018</v>
      </c>
      <c r="H811" s="1">
        <v>43393</v>
      </c>
      <c r="K811" t="s">
        <v>7299</v>
      </c>
    </row>
    <row r="812" spans="1:11" x14ac:dyDescent="0.15">
      <c r="A812">
        <v>34454177</v>
      </c>
      <c r="B812" t="s">
        <v>5347</v>
      </c>
      <c r="C812" t="s">
        <v>34665</v>
      </c>
      <c r="D812" t="s">
        <v>34666</v>
      </c>
      <c r="E812" t="s">
        <v>34667</v>
      </c>
      <c r="F812" t="s">
        <v>32654</v>
      </c>
      <c r="G812">
        <v>2021</v>
      </c>
      <c r="H812" s="1">
        <v>44436</v>
      </c>
      <c r="K812" t="s">
        <v>5357</v>
      </c>
    </row>
    <row r="813" spans="1:11" x14ac:dyDescent="0.15">
      <c r="A813">
        <v>33938882</v>
      </c>
      <c r="B813" t="s">
        <v>34668</v>
      </c>
      <c r="C813" t="s">
        <v>34669</v>
      </c>
      <c r="D813" t="s">
        <v>34670</v>
      </c>
      <c r="E813" t="s">
        <v>34671</v>
      </c>
      <c r="F813" t="s">
        <v>30853</v>
      </c>
      <c r="G813">
        <v>2021</v>
      </c>
      <c r="H813" s="1">
        <v>44319</v>
      </c>
      <c r="K813" t="s">
        <v>34672</v>
      </c>
    </row>
    <row r="814" spans="1:11" x14ac:dyDescent="0.15">
      <c r="A814">
        <v>32450612</v>
      </c>
      <c r="B814" t="s">
        <v>2338</v>
      </c>
      <c r="C814" t="s">
        <v>34673</v>
      </c>
      <c r="D814" t="s">
        <v>34674</v>
      </c>
      <c r="E814" t="s">
        <v>34675</v>
      </c>
      <c r="F814" t="s">
        <v>34676</v>
      </c>
      <c r="G814">
        <v>2020</v>
      </c>
      <c r="H814" s="1">
        <v>43977</v>
      </c>
      <c r="I814" t="s">
        <v>34677</v>
      </c>
      <c r="J814" t="s">
        <v>34678</v>
      </c>
      <c r="K814" t="s">
        <v>2350</v>
      </c>
    </row>
    <row r="815" spans="1:11" x14ac:dyDescent="0.15">
      <c r="A815">
        <v>33095582</v>
      </c>
      <c r="B815" t="s">
        <v>13549</v>
      </c>
      <c r="C815" t="s">
        <v>34679</v>
      </c>
      <c r="D815" t="s">
        <v>34680</v>
      </c>
      <c r="E815" t="s">
        <v>34681</v>
      </c>
      <c r="F815" t="s">
        <v>34682</v>
      </c>
      <c r="G815">
        <v>2020</v>
      </c>
      <c r="H815" s="1">
        <v>44127</v>
      </c>
      <c r="K815" t="s">
        <v>13559</v>
      </c>
    </row>
    <row r="816" spans="1:11" x14ac:dyDescent="0.15">
      <c r="A816">
        <v>32730709</v>
      </c>
      <c r="B816" t="s">
        <v>7420</v>
      </c>
      <c r="C816" t="s">
        <v>34683</v>
      </c>
      <c r="D816" t="s">
        <v>34684</v>
      </c>
      <c r="E816" t="s">
        <v>31863</v>
      </c>
      <c r="F816" t="s">
        <v>31028</v>
      </c>
      <c r="G816">
        <v>2020</v>
      </c>
      <c r="H816" s="1">
        <v>44043</v>
      </c>
      <c r="K816" t="s">
        <v>7433</v>
      </c>
    </row>
    <row r="817" spans="1:11" x14ac:dyDescent="0.15">
      <c r="A817">
        <v>27117590</v>
      </c>
      <c r="B817" t="s">
        <v>26967</v>
      </c>
      <c r="C817" t="s">
        <v>34685</v>
      </c>
      <c r="D817" t="s">
        <v>34686</v>
      </c>
      <c r="E817" t="s">
        <v>34687</v>
      </c>
      <c r="F817" t="s">
        <v>34688</v>
      </c>
      <c r="G817">
        <v>2016</v>
      </c>
      <c r="H817" s="1">
        <v>42488</v>
      </c>
      <c r="I817" t="s">
        <v>34689</v>
      </c>
      <c r="K817" t="s">
        <v>26979</v>
      </c>
    </row>
    <row r="818" spans="1:11" x14ac:dyDescent="0.15">
      <c r="A818">
        <v>23526637</v>
      </c>
      <c r="B818" t="s">
        <v>34690</v>
      </c>
      <c r="C818" t="s">
        <v>34691</v>
      </c>
      <c r="D818" t="s">
        <v>34692</v>
      </c>
      <c r="E818" t="s">
        <v>33232</v>
      </c>
      <c r="F818" t="s">
        <v>33483</v>
      </c>
      <c r="G818">
        <v>2013</v>
      </c>
      <c r="H818" s="1">
        <v>41359</v>
      </c>
      <c r="K818" t="s">
        <v>34693</v>
      </c>
    </row>
    <row r="819" spans="1:11" x14ac:dyDescent="0.15">
      <c r="A819">
        <v>32134252</v>
      </c>
      <c r="B819" t="s">
        <v>4599</v>
      </c>
      <c r="C819" t="s">
        <v>34694</v>
      </c>
      <c r="D819" t="s">
        <v>34695</v>
      </c>
      <c r="E819" t="s">
        <v>32148</v>
      </c>
      <c r="F819" t="s">
        <v>31781</v>
      </c>
      <c r="G819">
        <v>2020</v>
      </c>
      <c r="H819" s="1">
        <v>43896</v>
      </c>
      <c r="K819" t="s">
        <v>4610</v>
      </c>
    </row>
    <row r="820" spans="1:11" x14ac:dyDescent="0.15">
      <c r="A820">
        <v>34619562</v>
      </c>
      <c r="B820" t="s">
        <v>8185</v>
      </c>
      <c r="C820" t="s">
        <v>34696</v>
      </c>
      <c r="D820" t="s">
        <v>34697</v>
      </c>
      <c r="E820" t="s">
        <v>34698</v>
      </c>
      <c r="F820" t="s">
        <v>30812</v>
      </c>
      <c r="G820">
        <v>2021</v>
      </c>
      <c r="H820" s="1">
        <v>44476</v>
      </c>
      <c r="K820" t="s">
        <v>8195</v>
      </c>
    </row>
    <row r="821" spans="1:11" x14ac:dyDescent="0.15">
      <c r="A821">
        <v>33850235</v>
      </c>
      <c r="B821" t="s">
        <v>9175</v>
      </c>
      <c r="C821" t="s">
        <v>34699</v>
      </c>
      <c r="D821" t="s">
        <v>34700</v>
      </c>
      <c r="E821" t="s">
        <v>34701</v>
      </c>
      <c r="F821" t="s">
        <v>30834</v>
      </c>
      <c r="G821">
        <v>2021</v>
      </c>
      <c r="H821" s="1">
        <v>44300</v>
      </c>
      <c r="I821" t="s">
        <v>34702</v>
      </c>
      <c r="K821" t="s">
        <v>9184</v>
      </c>
    </row>
    <row r="822" spans="1:11" x14ac:dyDescent="0.15">
      <c r="A822">
        <v>32544093</v>
      </c>
      <c r="B822" t="s">
        <v>34703</v>
      </c>
      <c r="C822" t="s">
        <v>34704</v>
      </c>
      <c r="D822" t="s">
        <v>34705</v>
      </c>
      <c r="E822" t="s">
        <v>31392</v>
      </c>
      <c r="F822" t="s">
        <v>34706</v>
      </c>
      <c r="G822">
        <v>2020</v>
      </c>
      <c r="H822" s="1">
        <v>43999</v>
      </c>
      <c r="I822" t="s">
        <v>34707</v>
      </c>
      <c r="K822" t="s">
        <v>13627</v>
      </c>
    </row>
    <row r="823" spans="1:11" x14ac:dyDescent="0.15">
      <c r="A823">
        <v>32819967</v>
      </c>
      <c r="B823" t="s">
        <v>34708</v>
      </c>
      <c r="C823" t="s">
        <v>34709</v>
      </c>
      <c r="D823" t="s">
        <v>34710</v>
      </c>
      <c r="E823" t="s">
        <v>34711</v>
      </c>
      <c r="F823" t="s">
        <v>34712</v>
      </c>
      <c r="G823">
        <v>2020</v>
      </c>
      <c r="H823" s="1">
        <v>44065</v>
      </c>
      <c r="I823" t="s">
        <v>34713</v>
      </c>
      <c r="J823" t="s">
        <v>34714</v>
      </c>
      <c r="K823" t="s">
        <v>34715</v>
      </c>
    </row>
    <row r="824" spans="1:11" x14ac:dyDescent="0.15">
      <c r="A824">
        <v>30412034</v>
      </c>
      <c r="B824" t="s">
        <v>34716</v>
      </c>
      <c r="C824" t="s">
        <v>34717</v>
      </c>
      <c r="D824" t="s">
        <v>34718</v>
      </c>
      <c r="E824" t="s">
        <v>34719</v>
      </c>
      <c r="F824" t="s">
        <v>32691</v>
      </c>
      <c r="G824">
        <v>2019</v>
      </c>
      <c r="H824" s="1">
        <v>43414</v>
      </c>
      <c r="K824" t="s">
        <v>34720</v>
      </c>
    </row>
    <row r="825" spans="1:11" x14ac:dyDescent="0.15">
      <c r="A825">
        <v>30703330</v>
      </c>
      <c r="B825" t="s">
        <v>10232</v>
      </c>
      <c r="C825" t="s">
        <v>34721</v>
      </c>
      <c r="D825" t="s">
        <v>34722</v>
      </c>
      <c r="E825" t="s">
        <v>34723</v>
      </c>
      <c r="F825" t="s">
        <v>34724</v>
      </c>
      <c r="G825">
        <v>2019</v>
      </c>
      <c r="H825" s="1">
        <v>43497</v>
      </c>
      <c r="K825" t="s">
        <v>10244</v>
      </c>
    </row>
    <row r="826" spans="1:11" x14ac:dyDescent="0.15">
      <c r="A826">
        <v>19950695</v>
      </c>
      <c r="B826" t="s">
        <v>34725</v>
      </c>
      <c r="C826" t="s">
        <v>34726</v>
      </c>
      <c r="D826" t="s">
        <v>34727</v>
      </c>
      <c r="E826" t="s">
        <v>34728</v>
      </c>
      <c r="F826" t="s">
        <v>32288</v>
      </c>
      <c r="G826">
        <v>2009</v>
      </c>
      <c r="H826" s="1">
        <v>40150</v>
      </c>
    </row>
    <row r="827" spans="1:11" x14ac:dyDescent="0.15">
      <c r="A827">
        <v>35253032</v>
      </c>
      <c r="B827" t="s">
        <v>34729</v>
      </c>
      <c r="C827" t="s">
        <v>34730</v>
      </c>
      <c r="D827" t="s">
        <v>34731</v>
      </c>
      <c r="E827" t="s">
        <v>34732</v>
      </c>
      <c r="F827" t="s">
        <v>31678</v>
      </c>
      <c r="G827">
        <v>2022</v>
      </c>
      <c r="H827" s="1">
        <v>44627</v>
      </c>
      <c r="K827" t="s">
        <v>34733</v>
      </c>
    </row>
    <row r="828" spans="1:11" x14ac:dyDescent="0.15">
      <c r="A828">
        <v>30546088</v>
      </c>
      <c r="B828" t="s">
        <v>24920</v>
      </c>
      <c r="C828" t="s">
        <v>34734</v>
      </c>
      <c r="D828" t="s">
        <v>34735</v>
      </c>
      <c r="E828" t="s">
        <v>30674</v>
      </c>
      <c r="F828" t="s">
        <v>32752</v>
      </c>
      <c r="G828">
        <v>2019</v>
      </c>
      <c r="H828" s="1">
        <v>43449</v>
      </c>
      <c r="I828" t="s">
        <v>34736</v>
      </c>
      <c r="K828" t="s">
        <v>24928</v>
      </c>
    </row>
    <row r="829" spans="1:11" x14ac:dyDescent="0.15">
      <c r="A829">
        <v>29355922</v>
      </c>
      <c r="B829" t="s">
        <v>34737</v>
      </c>
      <c r="C829" t="s">
        <v>34738</v>
      </c>
      <c r="D829" t="s">
        <v>34739</v>
      </c>
      <c r="E829" t="s">
        <v>34740</v>
      </c>
      <c r="F829" t="s">
        <v>31811</v>
      </c>
      <c r="G829">
        <v>2018</v>
      </c>
      <c r="H829" s="1">
        <v>43123</v>
      </c>
      <c r="K829" t="s">
        <v>34741</v>
      </c>
    </row>
    <row r="830" spans="1:11" x14ac:dyDescent="0.15">
      <c r="A830">
        <v>29562785</v>
      </c>
      <c r="B830" t="s">
        <v>8685</v>
      </c>
      <c r="C830" t="s">
        <v>34742</v>
      </c>
      <c r="D830" t="s">
        <v>34743</v>
      </c>
      <c r="E830" t="s">
        <v>34744</v>
      </c>
      <c r="F830" t="s">
        <v>34745</v>
      </c>
      <c r="G830">
        <v>2018</v>
      </c>
      <c r="H830" s="1">
        <v>43182</v>
      </c>
      <c r="I830" t="s">
        <v>34746</v>
      </c>
      <c r="K830" t="s">
        <v>8698</v>
      </c>
    </row>
    <row r="831" spans="1:11" x14ac:dyDescent="0.15">
      <c r="A831">
        <v>34263556</v>
      </c>
      <c r="B831" t="s">
        <v>34747</v>
      </c>
      <c r="C831" t="s">
        <v>34748</v>
      </c>
      <c r="D831" t="s">
        <v>34749</v>
      </c>
      <c r="E831" t="s">
        <v>34750</v>
      </c>
      <c r="F831" t="s">
        <v>34751</v>
      </c>
      <c r="G831">
        <v>2021</v>
      </c>
      <c r="H831" s="1">
        <v>44392</v>
      </c>
      <c r="I831" t="s">
        <v>34752</v>
      </c>
      <c r="K831" t="s">
        <v>34753</v>
      </c>
    </row>
    <row r="832" spans="1:11" x14ac:dyDescent="0.15">
      <c r="A832">
        <v>32664737</v>
      </c>
      <c r="B832" t="s">
        <v>34754</v>
      </c>
      <c r="C832" t="s">
        <v>34755</v>
      </c>
      <c r="D832" t="s">
        <v>34756</v>
      </c>
      <c r="E832" t="s">
        <v>34757</v>
      </c>
      <c r="F832" t="s">
        <v>34758</v>
      </c>
      <c r="G832">
        <v>2021</v>
      </c>
      <c r="H832" s="1">
        <v>44028</v>
      </c>
      <c r="K832" t="s">
        <v>5841</v>
      </c>
    </row>
    <row r="833" spans="1:11" x14ac:dyDescent="0.15">
      <c r="A833">
        <v>30604797</v>
      </c>
      <c r="B833" t="s">
        <v>9442</v>
      </c>
      <c r="C833" t="s">
        <v>34759</v>
      </c>
      <c r="D833" t="s">
        <v>34760</v>
      </c>
      <c r="E833" t="s">
        <v>31080</v>
      </c>
      <c r="F833" t="s">
        <v>31678</v>
      </c>
      <c r="G833">
        <v>2019</v>
      </c>
      <c r="H833" s="1">
        <v>43469</v>
      </c>
      <c r="K833" t="s">
        <v>9450</v>
      </c>
    </row>
    <row r="834" spans="1:11" x14ac:dyDescent="0.15">
      <c r="A834">
        <v>32993049</v>
      </c>
      <c r="B834" t="s">
        <v>34761</v>
      </c>
      <c r="C834" t="s">
        <v>34762</v>
      </c>
      <c r="D834" t="s">
        <v>34763</v>
      </c>
      <c r="E834" t="s">
        <v>34764</v>
      </c>
      <c r="F834" t="s">
        <v>30720</v>
      </c>
      <c r="G834">
        <v>2020</v>
      </c>
      <c r="H834" s="1">
        <v>44104</v>
      </c>
      <c r="I834" t="s">
        <v>34765</v>
      </c>
      <c r="K834" t="s">
        <v>34766</v>
      </c>
    </row>
    <row r="835" spans="1:11" x14ac:dyDescent="0.15">
      <c r="A835">
        <v>25391690</v>
      </c>
      <c r="B835" t="s">
        <v>15133</v>
      </c>
      <c r="C835" t="s">
        <v>34767</v>
      </c>
      <c r="D835" t="s">
        <v>34768</v>
      </c>
      <c r="E835" t="s">
        <v>34769</v>
      </c>
      <c r="F835" t="s">
        <v>34770</v>
      </c>
      <c r="G835">
        <v>2015</v>
      </c>
      <c r="H835" s="1">
        <v>41957</v>
      </c>
      <c r="K835" t="s">
        <v>15142</v>
      </c>
    </row>
    <row r="836" spans="1:11" x14ac:dyDescent="0.15">
      <c r="A836">
        <v>26968172</v>
      </c>
      <c r="B836" t="s">
        <v>978</v>
      </c>
      <c r="C836" t="s">
        <v>34771</v>
      </c>
      <c r="D836" t="s">
        <v>34772</v>
      </c>
      <c r="E836" t="s">
        <v>34773</v>
      </c>
      <c r="F836" t="s">
        <v>34774</v>
      </c>
      <c r="G836">
        <v>2016</v>
      </c>
      <c r="H836" s="1">
        <v>42442</v>
      </c>
      <c r="I836" t="s">
        <v>34775</v>
      </c>
      <c r="J836" t="s">
        <v>34776</v>
      </c>
      <c r="K836" t="s">
        <v>995</v>
      </c>
    </row>
    <row r="837" spans="1:11" x14ac:dyDescent="0.15">
      <c r="A837">
        <v>32212674</v>
      </c>
      <c r="B837" t="s">
        <v>34777</v>
      </c>
      <c r="C837" t="s">
        <v>34778</v>
      </c>
      <c r="D837" t="s">
        <v>34779</v>
      </c>
      <c r="E837" t="s">
        <v>34780</v>
      </c>
      <c r="F837" t="s">
        <v>30561</v>
      </c>
      <c r="G837">
        <v>2020</v>
      </c>
      <c r="H837" s="1">
        <v>43918</v>
      </c>
      <c r="K837" t="s">
        <v>6742</v>
      </c>
    </row>
    <row r="838" spans="1:11" x14ac:dyDescent="0.15">
      <c r="A838">
        <v>25119026</v>
      </c>
      <c r="B838" t="s">
        <v>34781</v>
      </c>
      <c r="C838" t="s">
        <v>34782</v>
      </c>
      <c r="D838" t="s">
        <v>34783</v>
      </c>
      <c r="E838" t="s">
        <v>34784</v>
      </c>
      <c r="F838" t="s">
        <v>34237</v>
      </c>
      <c r="G838">
        <v>2014</v>
      </c>
      <c r="H838" s="1">
        <v>41866</v>
      </c>
      <c r="I838" t="s">
        <v>34785</v>
      </c>
      <c r="J838" t="s">
        <v>34786</v>
      </c>
      <c r="K838" t="s">
        <v>34787</v>
      </c>
    </row>
    <row r="839" spans="1:11" x14ac:dyDescent="0.15">
      <c r="A839">
        <v>34750393</v>
      </c>
      <c r="B839" t="s">
        <v>13330</v>
      </c>
      <c r="C839" t="s">
        <v>34788</v>
      </c>
      <c r="D839" t="s">
        <v>34789</v>
      </c>
      <c r="E839" t="s">
        <v>34790</v>
      </c>
      <c r="F839" t="s">
        <v>30834</v>
      </c>
      <c r="G839">
        <v>2021</v>
      </c>
      <c r="H839" s="1">
        <v>44509</v>
      </c>
      <c r="I839" t="s">
        <v>34791</v>
      </c>
      <c r="K839" t="s">
        <v>13338</v>
      </c>
    </row>
    <row r="840" spans="1:11" x14ac:dyDescent="0.15">
      <c r="A840">
        <v>33002329</v>
      </c>
      <c r="B840" t="s">
        <v>34792</v>
      </c>
      <c r="C840" t="s">
        <v>34793</v>
      </c>
      <c r="D840" t="s">
        <v>34794</v>
      </c>
      <c r="E840" t="s">
        <v>34795</v>
      </c>
      <c r="F840" t="s">
        <v>31671</v>
      </c>
      <c r="G840">
        <v>2020</v>
      </c>
      <c r="H840" s="1">
        <v>44105</v>
      </c>
      <c r="I840" t="s">
        <v>34796</v>
      </c>
      <c r="K840" t="s">
        <v>34797</v>
      </c>
    </row>
    <row r="841" spans="1:11" x14ac:dyDescent="0.15">
      <c r="A841">
        <v>33526923</v>
      </c>
      <c r="B841" t="s">
        <v>34798</v>
      </c>
      <c r="C841" t="s">
        <v>34799</v>
      </c>
      <c r="D841" t="s">
        <v>34800</v>
      </c>
      <c r="E841" t="s">
        <v>31849</v>
      </c>
      <c r="F841" t="s">
        <v>34801</v>
      </c>
      <c r="G841">
        <v>2021</v>
      </c>
      <c r="H841" s="1">
        <v>44229</v>
      </c>
      <c r="I841" t="s">
        <v>34802</v>
      </c>
      <c r="J841" t="s">
        <v>34803</v>
      </c>
      <c r="K841" t="s">
        <v>34804</v>
      </c>
    </row>
    <row r="842" spans="1:11" x14ac:dyDescent="0.15">
      <c r="A842">
        <v>29858571</v>
      </c>
      <c r="B842" t="s">
        <v>28508</v>
      </c>
      <c r="C842" t="s">
        <v>34805</v>
      </c>
      <c r="D842" t="s">
        <v>34806</v>
      </c>
      <c r="E842" t="s">
        <v>34807</v>
      </c>
      <c r="F842" t="s">
        <v>30796</v>
      </c>
      <c r="G842">
        <v>2018</v>
      </c>
      <c r="H842" s="1">
        <v>43254</v>
      </c>
      <c r="I842" t="s">
        <v>34808</v>
      </c>
      <c r="K842" t="s">
        <v>28517</v>
      </c>
    </row>
    <row r="843" spans="1:11" x14ac:dyDescent="0.15">
      <c r="A843">
        <v>34247486</v>
      </c>
      <c r="B843" t="s">
        <v>7276</v>
      </c>
      <c r="C843" t="s">
        <v>34809</v>
      </c>
      <c r="D843" t="s">
        <v>34810</v>
      </c>
      <c r="E843" t="s">
        <v>31780</v>
      </c>
      <c r="F843" t="s">
        <v>30956</v>
      </c>
      <c r="G843">
        <v>2021</v>
      </c>
      <c r="H843" s="1">
        <v>44389</v>
      </c>
      <c r="K843" t="s">
        <v>7285</v>
      </c>
    </row>
    <row r="844" spans="1:11" x14ac:dyDescent="0.15">
      <c r="A844">
        <v>31387924</v>
      </c>
      <c r="B844" t="s">
        <v>7064</v>
      </c>
      <c r="C844" t="s">
        <v>34811</v>
      </c>
      <c r="D844" t="s">
        <v>34812</v>
      </c>
      <c r="E844" t="s">
        <v>34134</v>
      </c>
      <c r="F844" t="s">
        <v>31167</v>
      </c>
      <c r="G844">
        <v>2019</v>
      </c>
      <c r="H844" s="1">
        <v>43685</v>
      </c>
      <c r="I844" t="s">
        <v>34813</v>
      </c>
      <c r="J844" t="s">
        <v>34814</v>
      </c>
      <c r="K844" t="s">
        <v>7076</v>
      </c>
    </row>
    <row r="845" spans="1:11" x14ac:dyDescent="0.15">
      <c r="A845">
        <v>35438977</v>
      </c>
      <c r="B845" t="s">
        <v>4564</v>
      </c>
      <c r="C845" t="s">
        <v>34815</v>
      </c>
      <c r="D845" t="s">
        <v>34816</v>
      </c>
      <c r="E845" t="s">
        <v>34817</v>
      </c>
      <c r="F845" t="s">
        <v>34818</v>
      </c>
      <c r="G845">
        <v>2022</v>
      </c>
      <c r="H845" s="1">
        <v>44670</v>
      </c>
      <c r="K845" t="s">
        <v>4578</v>
      </c>
    </row>
    <row r="846" spans="1:11" x14ac:dyDescent="0.15">
      <c r="A846">
        <v>34363756</v>
      </c>
      <c r="B846" t="s">
        <v>34819</v>
      </c>
      <c r="C846" t="s">
        <v>34820</v>
      </c>
      <c r="D846" t="s">
        <v>34821</v>
      </c>
      <c r="E846" t="s">
        <v>34822</v>
      </c>
      <c r="F846" t="s">
        <v>30555</v>
      </c>
      <c r="G846">
        <v>2021</v>
      </c>
      <c r="H846" s="1">
        <v>44415</v>
      </c>
      <c r="I846" t="s">
        <v>34823</v>
      </c>
      <c r="J846" t="s">
        <v>34824</v>
      </c>
      <c r="K846" t="s">
        <v>34825</v>
      </c>
    </row>
    <row r="847" spans="1:11" x14ac:dyDescent="0.15">
      <c r="A847">
        <v>33973465</v>
      </c>
      <c r="B847" t="s">
        <v>13480</v>
      </c>
      <c r="C847" t="s">
        <v>34826</v>
      </c>
      <c r="D847" t="s">
        <v>34827</v>
      </c>
      <c r="E847" t="s">
        <v>32098</v>
      </c>
      <c r="F847" t="s">
        <v>30956</v>
      </c>
      <c r="G847">
        <v>2021</v>
      </c>
      <c r="H847" s="1">
        <v>44327</v>
      </c>
      <c r="K847" t="s">
        <v>13489</v>
      </c>
    </row>
    <row r="848" spans="1:11" x14ac:dyDescent="0.15">
      <c r="A848">
        <v>32962683</v>
      </c>
      <c r="B848" t="s">
        <v>5859</v>
      </c>
      <c r="C848" t="s">
        <v>34828</v>
      </c>
      <c r="D848" t="s">
        <v>34829</v>
      </c>
      <c r="E848" t="s">
        <v>34830</v>
      </c>
      <c r="F848" t="s">
        <v>31304</v>
      </c>
      <c r="G848">
        <v>2020</v>
      </c>
      <c r="H848" s="1">
        <v>44097</v>
      </c>
      <c r="I848" t="s">
        <v>34831</v>
      </c>
      <c r="K848" t="s">
        <v>5870</v>
      </c>
    </row>
    <row r="849" spans="1:11" x14ac:dyDescent="0.15">
      <c r="A849">
        <v>26859882</v>
      </c>
      <c r="B849" t="s">
        <v>11488</v>
      </c>
      <c r="C849" t="s">
        <v>34832</v>
      </c>
      <c r="D849" t="s">
        <v>34833</v>
      </c>
      <c r="E849" t="s">
        <v>34834</v>
      </c>
      <c r="F849" t="s">
        <v>31639</v>
      </c>
      <c r="G849">
        <v>2016</v>
      </c>
      <c r="H849" s="1">
        <v>42410</v>
      </c>
      <c r="I849" t="s">
        <v>34835</v>
      </c>
      <c r="K849" t="s">
        <v>11498</v>
      </c>
    </row>
    <row r="850" spans="1:11" x14ac:dyDescent="0.15">
      <c r="A850">
        <v>34215331</v>
      </c>
      <c r="B850" t="s">
        <v>4886</v>
      </c>
      <c r="C850" t="s">
        <v>34836</v>
      </c>
      <c r="D850" t="s">
        <v>34837</v>
      </c>
      <c r="E850" t="s">
        <v>34838</v>
      </c>
      <c r="F850" t="s">
        <v>30740</v>
      </c>
      <c r="G850">
        <v>2021</v>
      </c>
      <c r="H850" s="1">
        <v>44380</v>
      </c>
      <c r="I850" t="s">
        <v>34839</v>
      </c>
      <c r="K850" t="s">
        <v>4897</v>
      </c>
    </row>
    <row r="851" spans="1:11" x14ac:dyDescent="0.15">
      <c r="A851">
        <v>19593367</v>
      </c>
      <c r="B851" t="s">
        <v>34840</v>
      </c>
      <c r="C851" t="s">
        <v>34841</v>
      </c>
      <c r="D851" t="s">
        <v>34842</v>
      </c>
      <c r="E851" t="s">
        <v>34843</v>
      </c>
      <c r="F851" t="s">
        <v>32470</v>
      </c>
      <c r="G851">
        <v>2009</v>
      </c>
      <c r="H851" s="1">
        <v>40008</v>
      </c>
      <c r="I851" t="s">
        <v>34844</v>
      </c>
      <c r="K851" t="s">
        <v>34845</v>
      </c>
    </row>
    <row r="852" spans="1:11" x14ac:dyDescent="0.15">
      <c r="A852">
        <v>31504796</v>
      </c>
      <c r="B852" t="s">
        <v>34846</v>
      </c>
      <c r="C852" t="s">
        <v>34847</v>
      </c>
      <c r="D852" t="s">
        <v>34848</v>
      </c>
      <c r="E852" t="s">
        <v>34849</v>
      </c>
      <c r="F852" t="s">
        <v>33410</v>
      </c>
      <c r="G852">
        <v>2019</v>
      </c>
      <c r="H852" s="1">
        <v>43719</v>
      </c>
      <c r="I852" t="s">
        <v>34850</v>
      </c>
      <c r="K852" t="s">
        <v>34851</v>
      </c>
    </row>
    <row r="853" spans="1:11" x14ac:dyDescent="0.15">
      <c r="A853">
        <v>24941021</v>
      </c>
      <c r="B853" t="s">
        <v>34852</v>
      </c>
      <c r="C853" t="s">
        <v>34853</v>
      </c>
      <c r="D853" t="s">
        <v>34854</v>
      </c>
      <c r="E853" t="s">
        <v>34855</v>
      </c>
      <c r="F853" t="s">
        <v>30821</v>
      </c>
      <c r="G853">
        <v>2014</v>
      </c>
      <c r="H853" s="1">
        <v>41809</v>
      </c>
      <c r="I853" t="s">
        <v>34856</v>
      </c>
      <c r="K853" t="s">
        <v>34857</v>
      </c>
    </row>
    <row r="854" spans="1:11" x14ac:dyDescent="0.15">
      <c r="A854">
        <v>33597619</v>
      </c>
      <c r="B854" t="s">
        <v>7798</v>
      </c>
      <c r="C854" t="s">
        <v>34858</v>
      </c>
      <c r="D854" t="s">
        <v>34859</v>
      </c>
      <c r="E854" t="s">
        <v>34860</v>
      </c>
      <c r="F854" t="s">
        <v>30834</v>
      </c>
      <c r="G854">
        <v>2021</v>
      </c>
      <c r="H854" s="1">
        <v>44245</v>
      </c>
      <c r="I854" t="s">
        <v>34861</v>
      </c>
      <c r="K854" t="s">
        <v>7806</v>
      </c>
    </row>
    <row r="855" spans="1:11" x14ac:dyDescent="0.15">
      <c r="A855">
        <v>32777999</v>
      </c>
      <c r="B855" t="s">
        <v>34862</v>
      </c>
      <c r="C855" t="s">
        <v>34863</v>
      </c>
      <c r="D855" t="s">
        <v>34864</v>
      </c>
      <c r="E855" t="s">
        <v>34865</v>
      </c>
      <c r="F855" t="s">
        <v>34026</v>
      </c>
      <c r="G855">
        <v>2021</v>
      </c>
      <c r="H855" s="1">
        <v>44055</v>
      </c>
      <c r="I855" t="s">
        <v>34866</v>
      </c>
      <c r="K855" t="s">
        <v>34867</v>
      </c>
    </row>
    <row r="856" spans="1:11" x14ac:dyDescent="0.15">
      <c r="A856">
        <v>28963481</v>
      </c>
      <c r="B856" t="s">
        <v>34868</v>
      </c>
      <c r="C856" t="s">
        <v>34869</v>
      </c>
      <c r="D856" t="s">
        <v>34870</v>
      </c>
      <c r="E856" t="s">
        <v>34871</v>
      </c>
      <c r="F856" t="s">
        <v>30796</v>
      </c>
      <c r="G856">
        <v>2017</v>
      </c>
      <c r="H856" s="1">
        <v>43009</v>
      </c>
      <c r="I856" t="s">
        <v>34872</v>
      </c>
      <c r="K856" t="s">
        <v>34873</v>
      </c>
    </row>
    <row r="857" spans="1:11" x14ac:dyDescent="0.15">
      <c r="A857">
        <v>33720339</v>
      </c>
      <c r="B857" t="s">
        <v>10430</v>
      </c>
      <c r="C857" t="s">
        <v>34874</v>
      </c>
      <c r="D857" t="s">
        <v>34875</v>
      </c>
      <c r="E857" t="s">
        <v>34876</v>
      </c>
      <c r="F857" t="s">
        <v>34877</v>
      </c>
      <c r="G857">
        <v>2021</v>
      </c>
      <c r="H857" s="1">
        <v>44270</v>
      </c>
      <c r="I857" t="s">
        <v>34878</v>
      </c>
      <c r="K857" t="s">
        <v>10439</v>
      </c>
    </row>
    <row r="858" spans="1:11" x14ac:dyDescent="0.15">
      <c r="A858">
        <v>21791617</v>
      </c>
      <c r="B858" t="s">
        <v>34879</v>
      </c>
      <c r="C858" t="s">
        <v>34880</v>
      </c>
      <c r="D858" t="s">
        <v>34881</v>
      </c>
      <c r="E858" t="s">
        <v>34882</v>
      </c>
      <c r="F858" t="s">
        <v>33347</v>
      </c>
      <c r="G858">
        <v>2011</v>
      </c>
      <c r="H858" s="1">
        <v>40752</v>
      </c>
      <c r="I858" t="s">
        <v>34883</v>
      </c>
      <c r="K858" t="s">
        <v>34884</v>
      </c>
    </row>
    <row r="859" spans="1:11" x14ac:dyDescent="0.15">
      <c r="A859">
        <v>30400025</v>
      </c>
      <c r="B859" t="s">
        <v>34885</v>
      </c>
      <c r="C859" t="s">
        <v>34886</v>
      </c>
      <c r="D859" t="s">
        <v>34887</v>
      </c>
      <c r="E859" t="s">
        <v>31742</v>
      </c>
      <c r="F859" t="s">
        <v>34888</v>
      </c>
      <c r="G859">
        <v>2018</v>
      </c>
      <c r="H859" s="1">
        <v>43412</v>
      </c>
      <c r="K859" t="s">
        <v>34889</v>
      </c>
    </row>
    <row r="860" spans="1:11" x14ac:dyDescent="0.15">
      <c r="A860">
        <v>33903726</v>
      </c>
      <c r="B860" t="s">
        <v>12735</v>
      </c>
      <c r="C860" t="s">
        <v>34890</v>
      </c>
      <c r="D860" t="s">
        <v>34891</v>
      </c>
      <c r="E860" t="s">
        <v>34892</v>
      </c>
      <c r="F860" t="s">
        <v>34307</v>
      </c>
      <c r="G860">
        <v>2021</v>
      </c>
      <c r="H860" s="1">
        <v>44313</v>
      </c>
      <c r="I860" t="s">
        <v>34893</v>
      </c>
      <c r="K860" t="s">
        <v>12744</v>
      </c>
    </row>
    <row r="861" spans="1:11" x14ac:dyDescent="0.15">
      <c r="A861">
        <v>33169793</v>
      </c>
      <c r="B861" t="s">
        <v>12274</v>
      </c>
      <c r="C861" t="s">
        <v>34894</v>
      </c>
      <c r="D861" t="s">
        <v>34895</v>
      </c>
      <c r="E861" t="s">
        <v>34896</v>
      </c>
      <c r="F861" t="s">
        <v>34897</v>
      </c>
      <c r="G861">
        <v>2020</v>
      </c>
      <c r="H861" s="1">
        <v>44145</v>
      </c>
      <c r="I861" t="s">
        <v>34898</v>
      </c>
      <c r="K861" t="s">
        <v>12285</v>
      </c>
    </row>
    <row r="862" spans="1:11" x14ac:dyDescent="0.15">
      <c r="A862">
        <v>31281536</v>
      </c>
      <c r="B862" t="s">
        <v>34899</v>
      </c>
      <c r="C862" t="s">
        <v>34900</v>
      </c>
      <c r="D862" t="s">
        <v>34901</v>
      </c>
      <c r="E862" t="s">
        <v>34902</v>
      </c>
      <c r="F862" t="s">
        <v>30588</v>
      </c>
      <c r="G862">
        <v>2019</v>
      </c>
      <c r="H862" s="1">
        <v>43655</v>
      </c>
      <c r="I862" t="s">
        <v>34903</v>
      </c>
      <c r="K862" t="s">
        <v>34904</v>
      </c>
    </row>
    <row r="863" spans="1:11" x14ac:dyDescent="0.15">
      <c r="A863">
        <v>32737132</v>
      </c>
      <c r="B863" t="s">
        <v>3031</v>
      </c>
      <c r="C863" t="s">
        <v>34905</v>
      </c>
      <c r="D863" t="s">
        <v>34906</v>
      </c>
      <c r="E863" t="s">
        <v>34907</v>
      </c>
      <c r="F863" t="s">
        <v>32165</v>
      </c>
      <c r="G863">
        <v>2020</v>
      </c>
      <c r="H863" s="1">
        <v>44045</v>
      </c>
      <c r="I863" t="s">
        <v>34908</v>
      </c>
      <c r="K863" t="s">
        <v>3044</v>
      </c>
    </row>
    <row r="864" spans="1:11" x14ac:dyDescent="0.15">
      <c r="A864">
        <v>25200057</v>
      </c>
      <c r="B864" t="s">
        <v>34909</v>
      </c>
      <c r="C864" t="s">
        <v>34910</v>
      </c>
      <c r="D864" t="s">
        <v>34911</v>
      </c>
      <c r="E864" t="s">
        <v>34912</v>
      </c>
      <c r="F864" t="s">
        <v>34913</v>
      </c>
      <c r="G864">
        <v>2014</v>
      </c>
      <c r="H864" s="1">
        <v>41892</v>
      </c>
      <c r="I864" t="s">
        <v>34914</v>
      </c>
      <c r="J864" t="s">
        <v>34915</v>
      </c>
      <c r="K864" t="s">
        <v>34916</v>
      </c>
    </row>
    <row r="865" spans="1:11" x14ac:dyDescent="0.15">
      <c r="A865">
        <v>30195377</v>
      </c>
      <c r="B865" t="s">
        <v>34917</v>
      </c>
      <c r="C865" t="s">
        <v>34918</v>
      </c>
      <c r="D865" t="s">
        <v>34919</v>
      </c>
      <c r="E865" t="s">
        <v>34920</v>
      </c>
      <c r="F865" t="s">
        <v>34921</v>
      </c>
      <c r="G865">
        <v>2018</v>
      </c>
      <c r="H865" s="1">
        <v>43353</v>
      </c>
      <c r="K865" t="s">
        <v>34922</v>
      </c>
    </row>
    <row r="866" spans="1:11" x14ac:dyDescent="0.15">
      <c r="A866">
        <v>23696541</v>
      </c>
      <c r="B866" t="s">
        <v>34923</v>
      </c>
      <c r="C866" t="s">
        <v>34924</v>
      </c>
      <c r="D866" t="s">
        <v>34925</v>
      </c>
      <c r="E866" t="s">
        <v>34926</v>
      </c>
      <c r="F866" t="s">
        <v>34927</v>
      </c>
      <c r="G866">
        <v>2013</v>
      </c>
      <c r="H866" s="1">
        <v>41417</v>
      </c>
      <c r="K866" t="s">
        <v>34928</v>
      </c>
    </row>
    <row r="867" spans="1:11" x14ac:dyDescent="0.15">
      <c r="A867">
        <v>32484293</v>
      </c>
      <c r="B867" t="s">
        <v>34929</v>
      </c>
      <c r="C867" t="s">
        <v>34930</v>
      </c>
      <c r="D867" t="s">
        <v>34931</v>
      </c>
      <c r="E867" t="s">
        <v>34932</v>
      </c>
      <c r="F867" t="s">
        <v>33775</v>
      </c>
      <c r="G867">
        <v>2020</v>
      </c>
      <c r="H867" s="1">
        <v>43985</v>
      </c>
      <c r="I867" t="s">
        <v>34933</v>
      </c>
      <c r="J867" t="s">
        <v>34934</v>
      </c>
      <c r="K867" t="s">
        <v>34935</v>
      </c>
    </row>
    <row r="868" spans="1:11" x14ac:dyDescent="0.15">
      <c r="A868">
        <v>31891778</v>
      </c>
      <c r="B868" t="s">
        <v>34936</v>
      </c>
      <c r="C868" t="s">
        <v>34937</v>
      </c>
      <c r="D868" t="s">
        <v>34938</v>
      </c>
      <c r="E868" t="s">
        <v>34939</v>
      </c>
      <c r="F868" t="s">
        <v>33740</v>
      </c>
      <c r="G868">
        <v>2020</v>
      </c>
      <c r="H868" s="1">
        <v>43831</v>
      </c>
      <c r="K868" t="s">
        <v>34940</v>
      </c>
    </row>
    <row r="869" spans="1:11" x14ac:dyDescent="0.15">
      <c r="A869">
        <v>26846451</v>
      </c>
      <c r="B869" t="s">
        <v>14301</v>
      </c>
      <c r="C869" t="s">
        <v>34941</v>
      </c>
      <c r="D869" t="s">
        <v>34942</v>
      </c>
      <c r="E869" t="s">
        <v>34943</v>
      </c>
      <c r="F869" t="s">
        <v>34181</v>
      </c>
      <c r="G869">
        <v>2016</v>
      </c>
      <c r="H869" s="1">
        <v>42406</v>
      </c>
      <c r="I869" t="s">
        <v>34944</v>
      </c>
      <c r="K869" t="s">
        <v>14311</v>
      </c>
    </row>
    <row r="870" spans="1:11" x14ac:dyDescent="0.15">
      <c r="A870">
        <v>32350000</v>
      </c>
      <c r="B870" t="s">
        <v>34945</v>
      </c>
      <c r="C870" t="s">
        <v>34946</v>
      </c>
      <c r="D870" t="s">
        <v>34947</v>
      </c>
      <c r="E870" t="s">
        <v>34948</v>
      </c>
      <c r="F870" t="s">
        <v>32900</v>
      </c>
      <c r="G870">
        <v>2020</v>
      </c>
      <c r="H870" s="1">
        <v>43952</v>
      </c>
      <c r="K870" t="s">
        <v>34949</v>
      </c>
    </row>
    <row r="871" spans="1:11" x14ac:dyDescent="0.15">
      <c r="A871">
        <v>34127763</v>
      </c>
      <c r="B871" t="s">
        <v>8097</v>
      </c>
      <c r="C871" t="s">
        <v>34950</v>
      </c>
      <c r="D871" t="s">
        <v>34951</v>
      </c>
      <c r="E871" t="s">
        <v>34952</v>
      </c>
      <c r="F871" t="s">
        <v>30834</v>
      </c>
      <c r="G871">
        <v>2021</v>
      </c>
      <c r="H871" s="1">
        <v>44362</v>
      </c>
      <c r="I871" t="s">
        <v>34953</v>
      </c>
      <c r="K871" t="s">
        <v>8104</v>
      </c>
    </row>
    <row r="872" spans="1:11" x14ac:dyDescent="0.15">
      <c r="A872">
        <v>33882455</v>
      </c>
      <c r="B872" t="s">
        <v>34954</v>
      </c>
      <c r="C872" t="s">
        <v>34955</v>
      </c>
      <c r="D872" t="s">
        <v>34956</v>
      </c>
      <c r="E872" t="s">
        <v>34957</v>
      </c>
      <c r="F872" t="s">
        <v>31759</v>
      </c>
      <c r="G872">
        <v>2021</v>
      </c>
      <c r="H872" s="1">
        <v>44307</v>
      </c>
      <c r="I872" t="s">
        <v>34958</v>
      </c>
      <c r="K872" t="s">
        <v>34959</v>
      </c>
    </row>
    <row r="873" spans="1:11" x14ac:dyDescent="0.15">
      <c r="A873">
        <v>33995674</v>
      </c>
      <c r="B873" t="s">
        <v>34960</v>
      </c>
      <c r="C873" t="s">
        <v>34961</v>
      </c>
      <c r="D873" t="s">
        <v>34962</v>
      </c>
      <c r="E873" t="s">
        <v>34963</v>
      </c>
      <c r="F873" t="s">
        <v>30588</v>
      </c>
      <c r="G873">
        <v>2021</v>
      </c>
      <c r="H873" s="1">
        <v>44333</v>
      </c>
      <c r="I873" t="s">
        <v>34964</v>
      </c>
      <c r="K873" t="s">
        <v>34965</v>
      </c>
    </row>
    <row r="874" spans="1:11" x14ac:dyDescent="0.15">
      <c r="A874">
        <v>31228184</v>
      </c>
      <c r="B874" t="s">
        <v>34966</v>
      </c>
      <c r="C874" t="s">
        <v>34967</v>
      </c>
      <c r="D874" t="s">
        <v>34968</v>
      </c>
      <c r="E874" t="s">
        <v>34969</v>
      </c>
      <c r="F874" t="s">
        <v>30605</v>
      </c>
      <c r="G874">
        <v>2019</v>
      </c>
      <c r="H874" s="1">
        <v>43639</v>
      </c>
      <c r="K874" t="s">
        <v>34970</v>
      </c>
    </row>
    <row r="875" spans="1:11" x14ac:dyDescent="0.15">
      <c r="A875">
        <v>30042153</v>
      </c>
      <c r="B875" t="s">
        <v>16670</v>
      </c>
      <c r="C875" t="s">
        <v>34971</v>
      </c>
      <c r="D875" t="s">
        <v>34972</v>
      </c>
      <c r="E875" t="s">
        <v>34973</v>
      </c>
      <c r="F875" t="s">
        <v>31167</v>
      </c>
      <c r="G875">
        <v>2018</v>
      </c>
      <c r="H875" s="1">
        <v>43307</v>
      </c>
      <c r="K875" t="s">
        <v>16677</v>
      </c>
    </row>
    <row r="876" spans="1:11" x14ac:dyDescent="0.15">
      <c r="A876">
        <v>31771176</v>
      </c>
      <c r="B876" t="s">
        <v>7142</v>
      </c>
      <c r="C876" t="s">
        <v>34974</v>
      </c>
      <c r="D876" t="s">
        <v>34975</v>
      </c>
      <c r="E876" t="s">
        <v>34976</v>
      </c>
      <c r="F876" t="s">
        <v>30655</v>
      </c>
      <c r="G876">
        <v>2019</v>
      </c>
      <c r="H876" s="1">
        <v>43797</v>
      </c>
      <c r="I876" t="s">
        <v>34977</v>
      </c>
      <c r="K876" t="s">
        <v>7152</v>
      </c>
    </row>
    <row r="877" spans="1:11" x14ac:dyDescent="0.15">
      <c r="A877">
        <v>32556367</v>
      </c>
      <c r="B877" t="s">
        <v>34978</v>
      </c>
      <c r="C877" t="s">
        <v>34979</v>
      </c>
      <c r="D877" t="s">
        <v>34980</v>
      </c>
      <c r="E877" t="s">
        <v>34981</v>
      </c>
      <c r="F877" t="s">
        <v>34601</v>
      </c>
      <c r="G877">
        <v>2020</v>
      </c>
      <c r="H877" s="1">
        <v>44002</v>
      </c>
      <c r="I877" t="s">
        <v>34982</v>
      </c>
      <c r="J877" t="s">
        <v>34983</v>
      </c>
      <c r="K877" t="s">
        <v>16246</v>
      </c>
    </row>
    <row r="878" spans="1:11" x14ac:dyDescent="0.15">
      <c r="A878">
        <v>35545008</v>
      </c>
      <c r="B878" t="s">
        <v>34984</v>
      </c>
      <c r="C878" t="s">
        <v>34985</v>
      </c>
      <c r="D878" t="s">
        <v>34986</v>
      </c>
      <c r="E878" t="s">
        <v>34987</v>
      </c>
      <c r="F878" t="s">
        <v>34988</v>
      </c>
      <c r="G878">
        <v>2022</v>
      </c>
      <c r="H878" s="1">
        <v>44692</v>
      </c>
      <c r="K878" t="s">
        <v>34989</v>
      </c>
    </row>
    <row r="879" spans="1:11" x14ac:dyDescent="0.15">
      <c r="A879">
        <v>27793845</v>
      </c>
      <c r="B879" t="s">
        <v>7827</v>
      </c>
      <c r="C879" t="s">
        <v>34990</v>
      </c>
      <c r="D879" t="s">
        <v>34991</v>
      </c>
      <c r="E879" t="s">
        <v>34992</v>
      </c>
      <c r="F879" t="s">
        <v>31167</v>
      </c>
      <c r="G879">
        <v>2017</v>
      </c>
      <c r="H879" s="1">
        <v>42673</v>
      </c>
      <c r="K879" t="s">
        <v>7836</v>
      </c>
    </row>
    <row r="880" spans="1:11" x14ac:dyDescent="0.15">
      <c r="A880">
        <v>29382201</v>
      </c>
      <c r="B880" t="s">
        <v>5615</v>
      </c>
      <c r="C880" t="s">
        <v>34993</v>
      </c>
      <c r="D880" t="s">
        <v>34994</v>
      </c>
      <c r="E880" t="s">
        <v>34995</v>
      </c>
      <c r="F880" t="s">
        <v>31089</v>
      </c>
      <c r="G880">
        <v>2018</v>
      </c>
      <c r="H880" s="1">
        <v>43132</v>
      </c>
      <c r="K880" t="s">
        <v>5623</v>
      </c>
    </row>
    <row r="881" spans="1:11" x14ac:dyDescent="0.15">
      <c r="A881">
        <v>26889830</v>
      </c>
      <c r="B881" t="s">
        <v>34996</v>
      </c>
      <c r="C881" t="s">
        <v>34997</v>
      </c>
      <c r="D881" t="s">
        <v>34998</v>
      </c>
      <c r="E881" t="s">
        <v>34999</v>
      </c>
      <c r="F881" t="s">
        <v>32470</v>
      </c>
      <c r="G881">
        <v>2016</v>
      </c>
      <c r="H881" s="1">
        <v>42419</v>
      </c>
      <c r="I881" t="s">
        <v>35000</v>
      </c>
      <c r="K881" t="s">
        <v>35001</v>
      </c>
    </row>
    <row r="882" spans="1:11" x14ac:dyDescent="0.15">
      <c r="A882">
        <v>32343702</v>
      </c>
      <c r="B882" t="s">
        <v>35002</v>
      </c>
      <c r="C882" t="s">
        <v>35003</v>
      </c>
      <c r="D882" t="s">
        <v>35004</v>
      </c>
      <c r="E882" t="s">
        <v>35005</v>
      </c>
      <c r="F882" t="s">
        <v>32470</v>
      </c>
      <c r="G882">
        <v>2020</v>
      </c>
      <c r="H882" s="1">
        <v>43950</v>
      </c>
      <c r="I882" t="s">
        <v>35006</v>
      </c>
      <c r="K882" t="s">
        <v>35007</v>
      </c>
    </row>
    <row r="883" spans="1:11" x14ac:dyDescent="0.15">
      <c r="A883">
        <v>32943183</v>
      </c>
      <c r="B883" t="s">
        <v>22959</v>
      </c>
      <c r="C883" t="s">
        <v>35008</v>
      </c>
      <c r="D883" t="s">
        <v>35009</v>
      </c>
      <c r="E883" t="s">
        <v>35010</v>
      </c>
      <c r="F883" t="s">
        <v>32654</v>
      </c>
      <c r="G883">
        <v>2020</v>
      </c>
      <c r="H883" s="1">
        <v>44092</v>
      </c>
      <c r="K883" t="s">
        <v>22969</v>
      </c>
    </row>
    <row r="884" spans="1:11" x14ac:dyDescent="0.15">
      <c r="A884">
        <v>33380271</v>
      </c>
      <c r="B884" t="s">
        <v>5905</v>
      </c>
      <c r="C884" t="s">
        <v>35011</v>
      </c>
      <c r="D884" t="s">
        <v>35012</v>
      </c>
      <c r="E884" t="s">
        <v>35013</v>
      </c>
      <c r="F884" t="s">
        <v>34026</v>
      </c>
      <c r="G884">
        <v>2021</v>
      </c>
      <c r="H884" s="1">
        <v>44196</v>
      </c>
      <c r="I884" t="s">
        <v>35014</v>
      </c>
      <c r="K884" t="s">
        <v>5914</v>
      </c>
    </row>
    <row r="885" spans="1:11" x14ac:dyDescent="0.15">
      <c r="A885">
        <v>32483153</v>
      </c>
      <c r="B885" t="s">
        <v>35015</v>
      </c>
      <c r="C885" t="s">
        <v>35016</v>
      </c>
      <c r="D885" t="s">
        <v>35017</v>
      </c>
      <c r="E885" t="s">
        <v>35018</v>
      </c>
      <c r="F885" t="s">
        <v>30834</v>
      </c>
      <c r="G885">
        <v>2020</v>
      </c>
      <c r="H885" s="1">
        <v>43985</v>
      </c>
      <c r="I885" t="s">
        <v>35019</v>
      </c>
      <c r="K885" t="s">
        <v>35020</v>
      </c>
    </row>
    <row r="886" spans="1:11" x14ac:dyDescent="0.15">
      <c r="A886">
        <v>31373041</v>
      </c>
      <c r="B886" t="s">
        <v>1841</v>
      </c>
      <c r="C886" t="s">
        <v>35021</v>
      </c>
      <c r="D886" t="s">
        <v>35022</v>
      </c>
      <c r="E886" t="s">
        <v>35023</v>
      </c>
      <c r="F886" t="s">
        <v>33708</v>
      </c>
      <c r="G886">
        <v>2019</v>
      </c>
      <c r="H886" s="1">
        <v>43680</v>
      </c>
      <c r="K886" t="s">
        <v>1854</v>
      </c>
    </row>
    <row r="887" spans="1:11" x14ac:dyDescent="0.15">
      <c r="A887">
        <v>21515746</v>
      </c>
      <c r="B887" t="s">
        <v>35024</v>
      </c>
      <c r="C887" t="s">
        <v>35025</v>
      </c>
      <c r="D887" t="s">
        <v>35026</v>
      </c>
      <c r="E887" t="s">
        <v>35027</v>
      </c>
      <c r="F887" t="s">
        <v>32264</v>
      </c>
      <c r="G887">
        <v>2011</v>
      </c>
      <c r="H887" s="1">
        <v>40659</v>
      </c>
      <c r="K887" t="s">
        <v>35028</v>
      </c>
    </row>
    <row r="888" spans="1:11" x14ac:dyDescent="0.15">
      <c r="A888">
        <v>33601339</v>
      </c>
      <c r="B888" t="s">
        <v>14504</v>
      </c>
      <c r="C888" t="s">
        <v>35029</v>
      </c>
      <c r="D888" t="s">
        <v>35030</v>
      </c>
      <c r="E888" t="s">
        <v>35031</v>
      </c>
      <c r="F888" t="s">
        <v>31759</v>
      </c>
      <c r="G888">
        <v>2021</v>
      </c>
      <c r="H888" s="1">
        <v>44245</v>
      </c>
      <c r="I888" t="s">
        <v>35032</v>
      </c>
      <c r="K888" t="s">
        <v>35033</v>
      </c>
    </row>
    <row r="889" spans="1:11" x14ac:dyDescent="0.15">
      <c r="A889">
        <v>30346568</v>
      </c>
      <c r="B889" t="s">
        <v>35034</v>
      </c>
      <c r="C889" t="s">
        <v>35035</v>
      </c>
      <c r="D889" t="s">
        <v>35036</v>
      </c>
      <c r="E889" t="s">
        <v>35037</v>
      </c>
      <c r="F889" t="s">
        <v>32228</v>
      </c>
      <c r="G889">
        <v>2019</v>
      </c>
      <c r="H889" s="1">
        <v>43396</v>
      </c>
      <c r="I889" t="s">
        <v>35038</v>
      </c>
      <c r="K889" t="s">
        <v>35039</v>
      </c>
    </row>
    <row r="890" spans="1:11" x14ac:dyDescent="0.15">
      <c r="A890">
        <v>26802051</v>
      </c>
      <c r="B890" t="s">
        <v>35040</v>
      </c>
      <c r="C890" t="s">
        <v>35041</v>
      </c>
      <c r="D890" t="s">
        <v>35042</v>
      </c>
      <c r="E890" t="s">
        <v>35043</v>
      </c>
      <c r="F890" t="s">
        <v>35044</v>
      </c>
      <c r="G890">
        <v>2016</v>
      </c>
      <c r="H890" s="1">
        <v>42393</v>
      </c>
      <c r="I890" t="s">
        <v>35045</v>
      </c>
      <c r="K890" t="s">
        <v>35046</v>
      </c>
    </row>
    <row r="891" spans="1:11" x14ac:dyDescent="0.15">
      <c r="A891">
        <v>32277372</v>
      </c>
      <c r="B891" t="s">
        <v>35047</v>
      </c>
      <c r="C891" t="s">
        <v>35048</v>
      </c>
      <c r="D891" t="s">
        <v>35049</v>
      </c>
      <c r="E891" t="s">
        <v>35050</v>
      </c>
      <c r="F891" t="s">
        <v>35051</v>
      </c>
      <c r="G891">
        <v>2021</v>
      </c>
      <c r="H891" s="1">
        <v>43933</v>
      </c>
      <c r="K891" t="s">
        <v>35052</v>
      </c>
    </row>
    <row r="892" spans="1:11" x14ac:dyDescent="0.15">
      <c r="A892">
        <v>34685720</v>
      </c>
      <c r="B892" t="s">
        <v>35053</v>
      </c>
      <c r="C892" t="s">
        <v>35054</v>
      </c>
      <c r="D892" t="s">
        <v>35055</v>
      </c>
      <c r="E892" t="s">
        <v>35056</v>
      </c>
      <c r="F892" t="s">
        <v>30655</v>
      </c>
      <c r="G892">
        <v>2021</v>
      </c>
      <c r="H892" s="1">
        <v>44492</v>
      </c>
      <c r="I892" t="s">
        <v>35057</v>
      </c>
      <c r="K892" t="s">
        <v>35058</v>
      </c>
    </row>
    <row r="893" spans="1:11" x14ac:dyDescent="0.15">
      <c r="A893">
        <v>32621842</v>
      </c>
      <c r="B893" t="s">
        <v>35059</v>
      </c>
      <c r="C893" t="s">
        <v>35060</v>
      </c>
      <c r="D893" t="s">
        <v>35061</v>
      </c>
      <c r="E893" t="s">
        <v>35062</v>
      </c>
      <c r="F893" t="s">
        <v>32328</v>
      </c>
      <c r="G893">
        <v>2020</v>
      </c>
      <c r="H893" s="1">
        <v>44017</v>
      </c>
      <c r="K893" t="s">
        <v>35063</v>
      </c>
    </row>
    <row r="894" spans="1:11" x14ac:dyDescent="0.15">
      <c r="A894">
        <v>34681030</v>
      </c>
      <c r="B894" t="s">
        <v>6123</v>
      </c>
      <c r="C894" t="s">
        <v>35064</v>
      </c>
      <c r="D894" t="s">
        <v>35065</v>
      </c>
      <c r="E894" t="s">
        <v>35066</v>
      </c>
      <c r="F894" t="s">
        <v>30816</v>
      </c>
      <c r="G894">
        <v>2021</v>
      </c>
      <c r="H894" s="1">
        <v>44492</v>
      </c>
      <c r="I894" t="s">
        <v>35067</v>
      </c>
      <c r="K894" t="s">
        <v>6133</v>
      </c>
    </row>
    <row r="895" spans="1:11" x14ac:dyDescent="0.15">
      <c r="A895">
        <v>34572021</v>
      </c>
      <c r="B895" t="s">
        <v>6452</v>
      </c>
      <c r="C895" t="s">
        <v>35068</v>
      </c>
      <c r="D895" t="s">
        <v>35069</v>
      </c>
      <c r="E895" t="s">
        <v>35070</v>
      </c>
      <c r="F895" t="s">
        <v>30655</v>
      </c>
      <c r="G895">
        <v>2021</v>
      </c>
      <c r="H895" s="1">
        <v>44467</v>
      </c>
      <c r="I895" t="s">
        <v>35071</v>
      </c>
      <c r="K895" t="s">
        <v>6462</v>
      </c>
    </row>
    <row r="896" spans="1:11" x14ac:dyDescent="0.15">
      <c r="A896">
        <v>29330365</v>
      </c>
      <c r="B896" t="s">
        <v>8613</v>
      </c>
      <c r="C896" t="s">
        <v>35072</v>
      </c>
      <c r="D896" t="s">
        <v>35073</v>
      </c>
      <c r="E896" t="s">
        <v>35074</v>
      </c>
      <c r="F896" t="s">
        <v>30796</v>
      </c>
      <c r="G896">
        <v>2018</v>
      </c>
      <c r="H896" s="1">
        <v>43114</v>
      </c>
      <c r="I896" t="s">
        <v>35075</v>
      </c>
      <c r="K896" t="s">
        <v>8622</v>
      </c>
    </row>
    <row r="897" spans="1:11" x14ac:dyDescent="0.15">
      <c r="A897">
        <v>35741061</v>
      </c>
      <c r="B897" t="s">
        <v>5040</v>
      </c>
      <c r="C897" t="s">
        <v>35076</v>
      </c>
      <c r="D897" t="s">
        <v>35077</v>
      </c>
      <c r="E897" t="s">
        <v>35078</v>
      </c>
      <c r="F897" t="s">
        <v>30655</v>
      </c>
      <c r="G897">
        <v>2022</v>
      </c>
      <c r="H897" s="1">
        <v>44736</v>
      </c>
      <c r="I897" t="s">
        <v>35079</v>
      </c>
      <c r="K897" t="s">
        <v>5049</v>
      </c>
    </row>
    <row r="898" spans="1:11" x14ac:dyDescent="0.15">
      <c r="A898">
        <v>26530043</v>
      </c>
      <c r="B898" t="s">
        <v>21725</v>
      </c>
      <c r="C898" t="s">
        <v>35080</v>
      </c>
      <c r="D898" t="s">
        <v>35081</v>
      </c>
      <c r="E898" t="s">
        <v>35082</v>
      </c>
      <c r="F898" t="s">
        <v>30847</v>
      </c>
      <c r="G898">
        <v>2016</v>
      </c>
      <c r="H898" s="1">
        <v>42313</v>
      </c>
      <c r="I898" t="s">
        <v>35083</v>
      </c>
      <c r="J898" t="s">
        <v>35084</v>
      </c>
      <c r="K898" t="s">
        <v>21733</v>
      </c>
    </row>
    <row r="899" spans="1:11" x14ac:dyDescent="0.15">
      <c r="A899">
        <v>30567989</v>
      </c>
      <c r="B899" t="s">
        <v>35085</v>
      </c>
      <c r="C899" t="s">
        <v>35086</v>
      </c>
      <c r="D899" t="s">
        <v>35087</v>
      </c>
      <c r="E899" t="s">
        <v>35088</v>
      </c>
      <c r="F899" t="s">
        <v>31970</v>
      </c>
      <c r="G899">
        <v>2019</v>
      </c>
      <c r="H899" s="1">
        <v>43455</v>
      </c>
      <c r="I899" t="s">
        <v>35089</v>
      </c>
      <c r="K899" t="s">
        <v>35090</v>
      </c>
    </row>
    <row r="900" spans="1:11" x14ac:dyDescent="0.15">
      <c r="A900">
        <v>34910364</v>
      </c>
      <c r="B900" t="s">
        <v>35091</v>
      </c>
      <c r="C900" t="s">
        <v>35092</v>
      </c>
      <c r="D900" t="s">
        <v>35093</v>
      </c>
      <c r="E900" t="s">
        <v>35094</v>
      </c>
      <c r="F900" t="s">
        <v>31671</v>
      </c>
      <c r="G900">
        <v>2022</v>
      </c>
      <c r="H900" s="1">
        <v>44545</v>
      </c>
      <c r="I900" t="s">
        <v>35095</v>
      </c>
      <c r="K900" t="s">
        <v>35096</v>
      </c>
    </row>
    <row r="901" spans="1:11" x14ac:dyDescent="0.15">
      <c r="A901">
        <v>31451563</v>
      </c>
      <c r="B901" t="s">
        <v>11228</v>
      </c>
      <c r="C901" t="s">
        <v>35097</v>
      </c>
      <c r="D901" t="s">
        <v>35098</v>
      </c>
      <c r="E901" t="s">
        <v>32661</v>
      </c>
      <c r="F901" t="s">
        <v>34988</v>
      </c>
      <c r="G901">
        <v>2019</v>
      </c>
      <c r="H901" s="1">
        <v>43705</v>
      </c>
      <c r="I901" t="s">
        <v>35099</v>
      </c>
      <c r="J901" t="s">
        <v>35100</v>
      </c>
      <c r="K901" t="s">
        <v>11240</v>
      </c>
    </row>
    <row r="902" spans="1:11" x14ac:dyDescent="0.15">
      <c r="A902">
        <v>31074077</v>
      </c>
      <c r="B902" t="s">
        <v>35101</v>
      </c>
      <c r="C902" t="s">
        <v>35102</v>
      </c>
      <c r="D902" t="s">
        <v>35103</v>
      </c>
      <c r="E902" t="s">
        <v>35104</v>
      </c>
      <c r="F902" t="s">
        <v>35105</v>
      </c>
      <c r="G902">
        <v>2019</v>
      </c>
      <c r="H902" s="1">
        <v>43596</v>
      </c>
      <c r="I902" t="s">
        <v>35106</v>
      </c>
      <c r="K902" t="s">
        <v>35107</v>
      </c>
    </row>
    <row r="903" spans="1:11" x14ac:dyDescent="0.15">
      <c r="A903">
        <v>32929219</v>
      </c>
      <c r="B903" t="s">
        <v>24415</v>
      </c>
      <c r="C903" t="s">
        <v>35108</v>
      </c>
      <c r="D903" t="s">
        <v>35109</v>
      </c>
      <c r="E903" t="s">
        <v>35110</v>
      </c>
      <c r="F903" t="s">
        <v>33118</v>
      </c>
      <c r="G903">
        <v>2021</v>
      </c>
      <c r="H903" s="1">
        <v>44089</v>
      </c>
      <c r="I903" t="s">
        <v>35111</v>
      </c>
      <c r="K903" t="s">
        <v>24422</v>
      </c>
    </row>
    <row r="904" spans="1:11" x14ac:dyDescent="0.15">
      <c r="A904">
        <v>30177542</v>
      </c>
      <c r="B904" t="s">
        <v>20609</v>
      </c>
      <c r="C904" t="s">
        <v>35112</v>
      </c>
      <c r="D904" t="s">
        <v>35113</v>
      </c>
      <c r="E904" t="s">
        <v>35114</v>
      </c>
      <c r="F904" t="s">
        <v>35115</v>
      </c>
      <c r="G904">
        <v>2018</v>
      </c>
      <c r="H904" s="1">
        <v>43348</v>
      </c>
      <c r="K904" t="s">
        <v>20620</v>
      </c>
    </row>
    <row r="905" spans="1:11" x14ac:dyDescent="0.15">
      <c r="A905">
        <v>31666668</v>
      </c>
      <c r="B905" t="s">
        <v>35116</v>
      </c>
      <c r="C905" t="s">
        <v>35117</v>
      </c>
      <c r="D905" t="s">
        <v>35118</v>
      </c>
      <c r="E905" t="s">
        <v>35119</v>
      </c>
      <c r="F905" t="s">
        <v>31952</v>
      </c>
      <c r="G905">
        <v>2020</v>
      </c>
      <c r="H905" s="1">
        <v>43770</v>
      </c>
      <c r="I905" t="s">
        <v>35120</v>
      </c>
      <c r="K905" t="s">
        <v>35121</v>
      </c>
    </row>
    <row r="906" spans="1:11" x14ac:dyDescent="0.15">
      <c r="A906">
        <v>24875543</v>
      </c>
      <c r="B906" t="s">
        <v>35122</v>
      </c>
      <c r="C906" t="s">
        <v>35123</v>
      </c>
      <c r="D906" t="s">
        <v>35124</v>
      </c>
      <c r="E906" t="s">
        <v>35125</v>
      </c>
      <c r="F906" t="s">
        <v>32352</v>
      </c>
      <c r="G906">
        <v>2014</v>
      </c>
      <c r="H906" s="1">
        <v>41790</v>
      </c>
      <c r="K906" t="s">
        <v>35126</v>
      </c>
    </row>
    <row r="907" spans="1:11" x14ac:dyDescent="0.15">
      <c r="A907">
        <v>35605028</v>
      </c>
      <c r="B907" t="s">
        <v>35127</v>
      </c>
      <c r="C907" t="s">
        <v>35128</v>
      </c>
      <c r="D907" t="s">
        <v>35129</v>
      </c>
      <c r="E907" t="s">
        <v>35130</v>
      </c>
      <c r="F907" t="s">
        <v>30637</v>
      </c>
      <c r="G907">
        <v>2022</v>
      </c>
      <c r="H907" s="1">
        <v>44704</v>
      </c>
      <c r="I907" t="s">
        <v>35131</v>
      </c>
      <c r="K907" t="s">
        <v>35132</v>
      </c>
    </row>
    <row r="908" spans="1:11" x14ac:dyDescent="0.15">
      <c r="A908">
        <v>29288729</v>
      </c>
      <c r="B908" t="s">
        <v>1746</v>
      </c>
      <c r="C908" t="s">
        <v>35133</v>
      </c>
      <c r="D908" t="s">
        <v>35134</v>
      </c>
      <c r="E908" t="s">
        <v>35135</v>
      </c>
      <c r="F908" t="s">
        <v>31743</v>
      </c>
      <c r="G908">
        <v>2018</v>
      </c>
      <c r="H908" s="1">
        <v>43100</v>
      </c>
      <c r="K908" t="s">
        <v>1759</v>
      </c>
    </row>
    <row r="909" spans="1:11" x14ac:dyDescent="0.15">
      <c r="A909">
        <v>30451371</v>
      </c>
      <c r="B909" t="s">
        <v>5627</v>
      </c>
      <c r="C909" t="s">
        <v>35136</v>
      </c>
      <c r="D909" t="s">
        <v>35137</v>
      </c>
      <c r="E909" t="s">
        <v>35138</v>
      </c>
      <c r="F909" t="s">
        <v>31367</v>
      </c>
      <c r="G909">
        <v>2019</v>
      </c>
      <c r="H909" s="1">
        <v>43424</v>
      </c>
      <c r="K909" t="s">
        <v>5637</v>
      </c>
    </row>
    <row r="910" spans="1:11" x14ac:dyDescent="0.15">
      <c r="A910">
        <v>31223277</v>
      </c>
      <c r="B910" t="s">
        <v>35139</v>
      </c>
      <c r="C910" t="s">
        <v>35140</v>
      </c>
      <c r="D910" t="s">
        <v>35141</v>
      </c>
      <c r="E910" t="s">
        <v>31547</v>
      </c>
      <c r="F910" t="s">
        <v>31228</v>
      </c>
      <c r="G910">
        <v>2019</v>
      </c>
      <c r="H910" s="1">
        <v>43638</v>
      </c>
      <c r="I910" t="s">
        <v>35142</v>
      </c>
      <c r="K910" t="s">
        <v>35143</v>
      </c>
    </row>
    <row r="911" spans="1:11" x14ac:dyDescent="0.15">
      <c r="A911">
        <v>25805497</v>
      </c>
      <c r="B911" t="s">
        <v>35144</v>
      </c>
      <c r="C911" t="s">
        <v>35145</v>
      </c>
      <c r="D911" t="s">
        <v>35146</v>
      </c>
      <c r="E911" t="s">
        <v>35147</v>
      </c>
      <c r="F911" t="s">
        <v>31594</v>
      </c>
      <c r="G911">
        <v>2015</v>
      </c>
      <c r="H911" s="1">
        <v>42089</v>
      </c>
      <c r="I911" t="s">
        <v>35148</v>
      </c>
      <c r="K911" t="s">
        <v>35149</v>
      </c>
    </row>
    <row r="912" spans="1:11" x14ac:dyDescent="0.15">
      <c r="A912">
        <v>32051530</v>
      </c>
      <c r="B912" t="s">
        <v>35150</v>
      </c>
      <c r="C912" t="s">
        <v>35151</v>
      </c>
      <c r="D912" t="s">
        <v>35152</v>
      </c>
      <c r="E912" t="s">
        <v>35153</v>
      </c>
      <c r="F912" t="s">
        <v>31771</v>
      </c>
      <c r="G912">
        <v>2020</v>
      </c>
      <c r="H912" s="1">
        <v>43875</v>
      </c>
      <c r="K912" t="s">
        <v>35154</v>
      </c>
    </row>
    <row r="913" spans="1:11" x14ac:dyDescent="0.15">
      <c r="A913">
        <v>31369817</v>
      </c>
      <c r="B913" t="s">
        <v>35155</v>
      </c>
      <c r="C913" t="s">
        <v>35156</v>
      </c>
      <c r="D913" t="s">
        <v>35157</v>
      </c>
      <c r="E913" t="s">
        <v>35158</v>
      </c>
      <c r="F913" t="s">
        <v>33740</v>
      </c>
      <c r="G913">
        <v>2020</v>
      </c>
      <c r="H913" s="1">
        <v>43679</v>
      </c>
      <c r="K913" t="s">
        <v>35159</v>
      </c>
    </row>
    <row r="914" spans="1:11" x14ac:dyDescent="0.15">
      <c r="A914">
        <v>32269293</v>
      </c>
      <c r="B914" t="s">
        <v>8141</v>
      </c>
      <c r="C914" t="s">
        <v>35160</v>
      </c>
      <c r="D914" t="s">
        <v>35161</v>
      </c>
      <c r="E914" t="s">
        <v>34860</v>
      </c>
      <c r="F914" t="s">
        <v>30834</v>
      </c>
      <c r="G914">
        <v>2020</v>
      </c>
      <c r="H914" s="1">
        <v>43931</v>
      </c>
      <c r="I914" t="s">
        <v>35162</v>
      </c>
      <c r="K914" t="s">
        <v>8150</v>
      </c>
    </row>
    <row r="915" spans="1:11" x14ac:dyDescent="0.15">
      <c r="A915">
        <v>34135428</v>
      </c>
      <c r="B915" t="s">
        <v>35163</v>
      </c>
      <c r="C915" t="s">
        <v>35164</v>
      </c>
      <c r="D915" t="s">
        <v>35165</v>
      </c>
      <c r="E915" t="s">
        <v>35166</v>
      </c>
      <c r="F915" t="s">
        <v>30834</v>
      </c>
      <c r="G915">
        <v>2021</v>
      </c>
      <c r="H915" s="1">
        <v>44364</v>
      </c>
      <c r="I915" t="s">
        <v>35167</v>
      </c>
      <c r="K915" t="s">
        <v>35168</v>
      </c>
    </row>
    <row r="916" spans="1:11" x14ac:dyDescent="0.15">
      <c r="A916">
        <v>33160816</v>
      </c>
      <c r="B916" t="s">
        <v>9882</v>
      </c>
      <c r="C916" t="s">
        <v>35169</v>
      </c>
      <c r="D916" t="s">
        <v>35170</v>
      </c>
      <c r="E916" t="s">
        <v>35171</v>
      </c>
      <c r="F916" t="s">
        <v>35172</v>
      </c>
      <c r="G916">
        <v>2021</v>
      </c>
      <c r="H916" s="1">
        <v>44143</v>
      </c>
      <c r="K916" t="s">
        <v>9894</v>
      </c>
    </row>
    <row r="917" spans="1:11" x14ac:dyDescent="0.15">
      <c r="A917">
        <v>34715991</v>
      </c>
      <c r="B917" t="s">
        <v>8886</v>
      </c>
      <c r="C917" t="s">
        <v>35173</v>
      </c>
      <c r="D917" t="s">
        <v>35174</v>
      </c>
      <c r="E917" t="s">
        <v>35175</v>
      </c>
      <c r="F917" t="s">
        <v>35176</v>
      </c>
      <c r="G917">
        <v>2022</v>
      </c>
      <c r="H917" s="1">
        <v>44499</v>
      </c>
      <c r="I917" t="s">
        <v>35177</v>
      </c>
      <c r="J917" t="s">
        <v>35178</v>
      </c>
      <c r="K917" t="s">
        <v>8898</v>
      </c>
    </row>
    <row r="918" spans="1:11" x14ac:dyDescent="0.15">
      <c r="A918">
        <v>35159325</v>
      </c>
      <c r="B918" t="s">
        <v>18996</v>
      </c>
      <c r="C918" t="s">
        <v>35179</v>
      </c>
      <c r="D918" t="s">
        <v>35180</v>
      </c>
      <c r="E918" t="s">
        <v>35181</v>
      </c>
      <c r="F918" t="s">
        <v>30655</v>
      </c>
      <c r="G918">
        <v>2022</v>
      </c>
      <c r="H918" s="1">
        <v>44607</v>
      </c>
      <c r="I918" t="s">
        <v>35182</v>
      </c>
      <c r="K918" t="s">
        <v>19006</v>
      </c>
    </row>
    <row r="919" spans="1:11" x14ac:dyDescent="0.15">
      <c r="A919">
        <v>34739016</v>
      </c>
      <c r="B919" t="s">
        <v>11091</v>
      </c>
      <c r="C919" t="s">
        <v>35183</v>
      </c>
      <c r="D919" t="s">
        <v>35184</v>
      </c>
      <c r="E919" t="s">
        <v>35185</v>
      </c>
      <c r="F919" t="s">
        <v>31678</v>
      </c>
      <c r="G919">
        <v>2021</v>
      </c>
      <c r="H919" s="1">
        <v>44505</v>
      </c>
      <c r="K919" t="s">
        <v>11100</v>
      </c>
    </row>
    <row r="920" spans="1:11" x14ac:dyDescent="0.15">
      <c r="A920">
        <v>28750687</v>
      </c>
      <c r="B920" t="s">
        <v>4390</v>
      </c>
      <c r="C920" t="s">
        <v>35186</v>
      </c>
      <c r="D920" t="s">
        <v>35187</v>
      </c>
      <c r="E920" t="s">
        <v>35188</v>
      </c>
      <c r="F920" t="s">
        <v>30740</v>
      </c>
      <c r="G920">
        <v>2017</v>
      </c>
      <c r="H920" s="1">
        <v>42945</v>
      </c>
      <c r="I920" t="s">
        <v>35189</v>
      </c>
      <c r="K920" t="s">
        <v>4403</v>
      </c>
    </row>
    <row r="921" spans="1:11" x14ac:dyDescent="0.15">
      <c r="A921">
        <v>32958884</v>
      </c>
      <c r="B921" t="s">
        <v>35190</v>
      </c>
      <c r="C921" t="s">
        <v>35191</v>
      </c>
      <c r="D921" t="s">
        <v>35192</v>
      </c>
      <c r="E921" t="s">
        <v>32886</v>
      </c>
      <c r="F921" t="s">
        <v>30834</v>
      </c>
      <c r="G921">
        <v>2020</v>
      </c>
      <c r="H921" s="1">
        <v>44096</v>
      </c>
      <c r="I921" t="s">
        <v>35193</v>
      </c>
      <c r="K921" t="s">
        <v>35194</v>
      </c>
    </row>
    <row r="922" spans="1:11" x14ac:dyDescent="0.15">
      <c r="A922">
        <v>31279903</v>
      </c>
      <c r="B922" t="s">
        <v>2660</v>
      </c>
      <c r="C922" t="s">
        <v>35195</v>
      </c>
      <c r="D922" t="s">
        <v>35196</v>
      </c>
      <c r="E922" t="s">
        <v>35197</v>
      </c>
      <c r="F922" t="s">
        <v>35198</v>
      </c>
      <c r="G922">
        <v>2019</v>
      </c>
      <c r="H922" s="1">
        <v>43654</v>
      </c>
      <c r="I922" t="s">
        <v>35199</v>
      </c>
      <c r="J922" t="s">
        <v>35200</v>
      </c>
      <c r="K922" t="s">
        <v>2672</v>
      </c>
    </row>
    <row r="923" spans="1:11" x14ac:dyDescent="0.15">
      <c r="A923">
        <v>32744099</v>
      </c>
      <c r="B923" t="s">
        <v>7080</v>
      </c>
      <c r="C923" t="s">
        <v>35201</v>
      </c>
      <c r="D923" t="s">
        <v>35202</v>
      </c>
      <c r="E923" t="s">
        <v>35203</v>
      </c>
      <c r="F923" t="s">
        <v>35204</v>
      </c>
      <c r="G923">
        <v>2020</v>
      </c>
      <c r="H923" s="1">
        <v>44047</v>
      </c>
      <c r="K923" t="s">
        <v>7095</v>
      </c>
    </row>
    <row r="924" spans="1:11" x14ac:dyDescent="0.15">
      <c r="A924">
        <v>34344968</v>
      </c>
      <c r="B924" t="s">
        <v>9542</v>
      </c>
      <c r="C924" t="s">
        <v>35205</v>
      </c>
      <c r="D924" t="s">
        <v>35206</v>
      </c>
      <c r="E924" t="s">
        <v>35207</v>
      </c>
      <c r="F924" t="s">
        <v>30834</v>
      </c>
      <c r="G924">
        <v>2021</v>
      </c>
      <c r="H924" s="1">
        <v>44412</v>
      </c>
      <c r="I924" t="s">
        <v>35208</v>
      </c>
      <c r="K924" t="s">
        <v>9552</v>
      </c>
    </row>
    <row r="925" spans="1:11" x14ac:dyDescent="0.15">
      <c r="A925">
        <v>32447063</v>
      </c>
      <c r="B925" t="s">
        <v>35209</v>
      </c>
      <c r="C925" t="s">
        <v>35210</v>
      </c>
      <c r="D925" t="s">
        <v>35211</v>
      </c>
      <c r="E925" t="s">
        <v>35212</v>
      </c>
      <c r="F925" t="s">
        <v>35213</v>
      </c>
      <c r="G925">
        <v>2020</v>
      </c>
      <c r="H925" s="1">
        <v>43976</v>
      </c>
      <c r="K925" t="s">
        <v>35214</v>
      </c>
    </row>
    <row r="926" spans="1:11" x14ac:dyDescent="0.15">
      <c r="A926">
        <v>27941871</v>
      </c>
      <c r="B926" t="s">
        <v>18265</v>
      </c>
      <c r="C926" t="s">
        <v>35215</v>
      </c>
      <c r="D926" t="s">
        <v>35216</v>
      </c>
      <c r="E926" t="s">
        <v>30931</v>
      </c>
      <c r="F926" t="s">
        <v>30834</v>
      </c>
      <c r="G926">
        <v>2016</v>
      </c>
      <c r="H926" s="1">
        <v>42717</v>
      </c>
      <c r="I926" t="s">
        <v>35217</v>
      </c>
      <c r="K926" t="s">
        <v>18273</v>
      </c>
    </row>
    <row r="927" spans="1:11" x14ac:dyDescent="0.15">
      <c r="A927">
        <v>28592251</v>
      </c>
      <c r="B927" t="s">
        <v>35218</v>
      </c>
      <c r="C927" t="s">
        <v>35219</v>
      </c>
      <c r="D927" t="s">
        <v>35220</v>
      </c>
      <c r="E927" t="s">
        <v>35221</v>
      </c>
      <c r="F927" t="s">
        <v>31304</v>
      </c>
      <c r="G927">
        <v>2017</v>
      </c>
      <c r="H927" s="1">
        <v>42895</v>
      </c>
      <c r="I927" t="s">
        <v>35222</v>
      </c>
      <c r="K927" t="s">
        <v>35223</v>
      </c>
    </row>
    <row r="928" spans="1:11" x14ac:dyDescent="0.15">
      <c r="A928">
        <v>30092207</v>
      </c>
      <c r="B928" t="s">
        <v>24601</v>
      </c>
      <c r="C928" t="s">
        <v>35224</v>
      </c>
      <c r="D928" t="s">
        <v>35225</v>
      </c>
      <c r="E928" t="s">
        <v>35226</v>
      </c>
      <c r="F928" t="s">
        <v>32493</v>
      </c>
      <c r="G928">
        <v>2018</v>
      </c>
      <c r="H928" s="1">
        <v>43322</v>
      </c>
      <c r="I928" t="s">
        <v>35227</v>
      </c>
      <c r="J928" t="s">
        <v>35228</v>
      </c>
      <c r="K928" t="s">
        <v>24610</v>
      </c>
    </row>
    <row r="929" spans="1:11" x14ac:dyDescent="0.15">
      <c r="A929">
        <v>30622304</v>
      </c>
      <c r="B929" t="s">
        <v>21093</v>
      </c>
      <c r="C929" t="s">
        <v>35229</v>
      </c>
      <c r="D929" t="s">
        <v>35230</v>
      </c>
      <c r="E929" t="s">
        <v>35231</v>
      </c>
      <c r="F929" t="s">
        <v>33118</v>
      </c>
      <c r="G929">
        <v>2019</v>
      </c>
      <c r="H929" s="1">
        <v>43475</v>
      </c>
      <c r="I929" t="s">
        <v>35232</v>
      </c>
      <c r="K929" t="s">
        <v>21102</v>
      </c>
    </row>
    <row r="930" spans="1:11" x14ac:dyDescent="0.15">
      <c r="A930">
        <v>33154575</v>
      </c>
      <c r="B930" t="s">
        <v>35233</v>
      </c>
      <c r="C930" t="s">
        <v>35234</v>
      </c>
      <c r="D930" t="s">
        <v>35235</v>
      </c>
      <c r="E930" t="s">
        <v>35236</v>
      </c>
      <c r="F930" t="s">
        <v>35237</v>
      </c>
      <c r="G930">
        <v>2021</v>
      </c>
      <c r="H930" s="1">
        <v>44141</v>
      </c>
      <c r="K930" t="s">
        <v>35238</v>
      </c>
    </row>
    <row r="931" spans="1:11" x14ac:dyDescent="0.15">
      <c r="A931">
        <v>32075753</v>
      </c>
      <c r="B931" t="s">
        <v>10120</v>
      </c>
      <c r="C931" t="s">
        <v>35239</v>
      </c>
      <c r="D931" t="s">
        <v>35240</v>
      </c>
      <c r="E931" t="s">
        <v>35241</v>
      </c>
      <c r="F931" t="s">
        <v>31376</v>
      </c>
      <c r="G931">
        <v>2020</v>
      </c>
      <c r="H931" s="1">
        <v>43882</v>
      </c>
      <c r="I931" t="s">
        <v>35242</v>
      </c>
      <c r="J931" t="s">
        <v>35243</v>
      </c>
      <c r="K931" t="s">
        <v>10130</v>
      </c>
    </row>
    <row r="932" spans="1:11" x14ac:dyDescent="0.15">
      <c r="A932">
        <v>33897894</v>
      </c>
      <c r="B932" t="s">
        <v>6643</v>
      </c>
      <c r="C932" t="s">
        <v>35244</v>
      </c>
      <c r="D932" t="s">
        <v>35245</v>
      </c>
      <c r="E932" t="s">
        <v>35246</v>
      </c>
      <c r="F932" t="s">
        <v>30588</v>
      </c>
      <c r="G932">
        <v>2021</v>
      </c>
      <c r="H932" s="1">
        <v>44312</v>
      </c>
      <c r="I932" t="s">
        <v>35247</v>
      </c>
      <c r="K932" t="s">
        <v>6651</v>
      </c>
    </row>
    <row r="933" spans="1:11" x14ac:dyDescent="0.15">
      <c r="A933">
        <v>31794192</v>
      </c>
      <c r="B933" t="s">
        <v>11396</v>
      </c>
      <c r="C933" t="s">
        <v>35248</v>
      </c>
      <c r="D933" t="s">
        <v>35249</v>
      </c>
      <c r="E933" t="s">
        <v>35250</v>
      </c>
      <c r="F933" t="s">
        <v>30561</v>
      </c>
      <c r="G933">
        <v>2020</v>
      </c>
      <c r="H933" s="1">
        <v>43803</v>
      </c>
      <c r="K933" t="s">
        <v>11406</v>
      </c>
    </row>
    <row r="934" spans="1:11" x14ac:dyDescent="0.15">
      <c r="A934">
        <v>31331976</v>
      </c>
      <c r="B934" t="s">
        <v>35251</v>
      </c>
      <c r="C934" t="s">
        <v>35252</v>
      </c>
      <c r="D934" t="s">
        <v>35253</v>
      </c>
      <c r="E934" t="s">
        <v>35254</v>
      </c>
      <c r="F934" t="s">
        <v>32185</v>
      </c>
      <c r="G934">
        <v>2019</v>
      </c>
      <c r="H934" s="1">
        <v>43670</v>
      </c>
      <c r="I934" t="s">
        <v>35255</v>
      </c>
      <c r="K934" t="s">
        <v>35256</v>
      </c>
    </row>
    <row r="935" spans="1:11" x14ac:dyDescent="0.15">
      <c r="A935">
        <v>33858390</v>
      </c>
      <c r="B935" t="s">
        <v>35257</v>
      </c>
      <c r="C935" t="s">
        <v>35258</v>
      </c>
      <c r="D935" t="s">
        <v>35259</v>
      </c>
      <c r="E935" t="s">
        <v>35260</v>
      </c>
      <c r="F935" t="s">
        <v>35261</v>
      </c>
      <c r="G935">
        <v>2021</v>
      </c>
      <c r="H935" s="1">
        <v>44302</v>
      </c>
      <c r="I935" t="s">
        <v>35262</v>
      </c>
      <c r="K935" t="s">
        <v>35263</v>
      </c>
    </row>
    <row r="936" spans="1:11" x14ac:dyDescent="0.15">
      <c r="A936">
        <v>21541969</v>
      </c>
      <c r="B936" t="s">
        <v>35264</v>
      </c>
      <c r="C936" t="s">
        <v>35265</v>
      </c>
      <c r="D936" t="s">
        <v>35266</v>
      </c>
      <c r="E936" t="s">
        <v>35267</v>
      </c>
      <c r="F936" t="s">
        <v>31192</v>
      </c>
      <c r="G936">
        <v>2011</v>
      </c>
      <c r="H936" s="1">
        <v>40668</v>
      </c>
      <c r="K936" t="s">
        <v>22442</v>
      </c>
    </row>
    <row r="937" spans="1:11" x14ac:dyDescent="0.15">
      <c r="A937">
        <v>31506436</v>
      </c>
      <c r="B937" t="s">
        <v>25812</v>
      </c>
      <c r="C937" t="s">
        <v>35268</v>
      </c>
      <c r="D937" t="s">
        <v>35269</v>
      </c>
      <c r="E937" t="s">
        <v>35270</v>
      </c>
      <c r="F937" t="s">
        <v>30733</v>
      </c>
      <c r="G937">
        <v>2019</v>
      </c>
      <c r="H937" s="1">
        <v>43720</v>
      </c>
      <c r="I937" t="s">
        <v>35271</v>
      </c>
      <c r="K937" t="s">
        <v>25819</v>
      </c>
    </row>
    <row r="938" spans="1:11" x14ac:dyDescent="0.15">
      <c r="A938">
        <v>30339193</v>
      </c>
      <c r="B938" t="s">
        <v>2477</v>
      </c>
      <c r="C938" t="s">
        <v>35272</v>
      </c>
      <c r="D938" t="s">
        <v>35273</v>
      </c>
      <c r="E938" t="s">
        <v>34210</v>
      </c>
      <c r="F938" t="s">
        <v>30605</v>
      </c>
      <c r="G938">
        <v>2018</v>
      </c>
      <c r="H938" s="1">
        <v>43393</v>
      </c>
      <c r="I938" t="s">
        <v>35274</v>
      </c>
      <c r="K938" t="s">
        <v>2489</v>
      </c>
    </row>
    <row r="939" spans="1:11" x14ac:dyDescent="0.15">
      <c r="A939">
        <v>30514916</v>
      </c>
      <c r="B939" t="s">
        <v>13851</v>
      </c>
      <c r="C939" t="s">
        <v>35275</v>
      </c>
      <c r="D939" t="s">
        <v>35276</v>
      </c>
      <c r="E939" t="s">
        <v>35277</v>
      </c>
      <c r="F939" t="s">
        <v>30834</v>
      </c>
      <c r="G939">
        <v>2018</v>
      </c>
      <c r="H939" s="1">
        <v>43440</v>
      </c>
      <c r="I939" t="s">
        <v>35278</v>
      </c>
      <c r="K939" t="s">
        <v>13858</v>
      </c>
    </row>
    <row r="940" spans="1:11" x14ac:dyDescent="0.15">
      <c r="A940">
        <v>29891956</v>
      </c>
      <c r="B940" t="s">
        <v>35279</v>
      </c>
      <c r="C940" t="s">
        <v>35280</v>
      </c>
      <c r="D940" t="s">
        <v>35281</v>
      </c>
      <c r="E940" t="s">
        <v>35282</v>
      </c>
      <c r="F940" t="s">
        <v>30834</v>
      </c>
      <c r="G940">
        <v>2018</v>
      </c>
      <c r="H940" s="1">
        <v>43264</v>
      </c>
      <c r="I940" t="s">
        <v>35283</v>
      </c>
      <c r="K940" t="s">
        <v>35284</v>
      </c>
    </row>
    <row r="941" spans="1:11" x14ac:dyDescent="0.15">
      <c r="A941">
        <v>33728821</v>
      </c>
      <c r="B941" t="s">
        <v>35285</v>
      </c>
      <c r="C941" t="s">
        <v>35286</v>
      </c>
      <c r="D941" t="s">
        <v>35287</v>
      </c>
      <c r="E941" t="s">
        <v>35288</v>
      </c>
      <c r="F941" t="s">
        <v>30643</v>
      </c>
      <c r="G941">
        <v>2021</v>
      </c>
      <c r="H941" s="1">
        <v>44272</v>
      </c>
      <c r="I941" t="s">
        <v>35289</v>
      </c>
      <c r="K941" t="s">
        <v>35290</v>
      </c>
    </row>
    <row r="942" spans="1:11" x14ac:dyDescent="0.15">
      <c r="A942">
        <v>25897780</v>
      </c>
      <c r="B942" t="s">
        <v>35291</v>
      </c>
      <c r="C942" t="s">
        <v>35292</v>
      </c>
      <c r="D942" t="s">
        <v>35293</v>
      </c>
      <c r="E942" t="s">
        <v>35294</v>
      </c>
      <c r="F942" t="s">
        <v>31639</v>
      </c>
      <c r="G942">
        <v>2015</v>
      </c>
      <c r="H942" s="1">
        <v>42116</v>
      </c>
      <c r="I942" t="s">
        <v>35295</v>
      </c>
      <c r="K942" t="s">
        <v>35296</v>
      </c>
    </row>
    <row r="943" spans="1:11" x14ac:dyDescent="0.15">
      <c r="A943">
        <v>34309628</v>
      </c>
      <c r="B943" t="s">
        <v>35297</v>
      </c>
      <c r="C943" t="s">
        <v>35298</v>
      </c>
      <c r="D943" t="s">
        <v>35299</v>
      </c>
      <c r="E943" t="s">
        <v>35300</v>
      </c>
      <c r="F943" t="s">
        <v>30828</v>
      </c>
      <c r="G943">
        <v>2021</v>
      </c>
      <c r="H943" s="1">
        <v>44403</v>
      </c>
      <c r="I943" t="s">
        <v>35301</v>
      </c>
      <c r="K943" t="s">
        <v>35302</v>
      </c>
    </row>
    <row r="944" spans="1:11" x14ac:dyDescent="0.15">
      <c r="A944">
        <v>34532864</v>
      </c>
      <c r="B944" t="s">
        <v>35303</v>
      </c>
      <c r="C944" t="s">
        <v>35304</v>
      </c>
      <c r="D944" t="s">
        <v>35305</v>
      </c>
      <c r="E944" t="s">
        <v>35306</v>
      </c>
      <c r="F944" t="s">
        <v>35307</v>
      </c>
      <c r="G944">
        <v>2021</v>
      </c>
      <c r="H944" s="1">
        <v>44456</v>
      </c>
      <c r="I944" t="s">
        <v>35308</v>
      </c>
      <c r="K944" t="s">
        <v>35309</v>
      </c>
    </row>
    <row r="945" spans="1:11" x14ac:dyDescent="0.15">
      <c r="A945">
        <v>29511190</v>
      </c>
      <c r="B945" t="s">
        <v>14732</v>
      </c>
      <c r="C945" t="s">
        <v>35310</v>
      </c>
      <c r="D945" t="s">
        <v>35311</v>
      </c>
      <c r="E945" t="s">
        <v>35094</v>
      </c>
      <c r="F945" t="s">
        <v>30796</v>
      </c>
      <c r="G945">
        <v>2018</v>
      </c>
      <c r="H945" s="1">
        <v>43167</v>
      </c>
      <c r="I945" t="s">
        <v>35312</v>
      </c>
      <c r="K945" t="s">
        <v>14739</v>
      </c>
    </row>
    <row r="946" spans="1:11" x14ac:dyDescent="0.15">
      <c r="A946">
        <v>33038325</v>
      </c>
      <c r="B946" t="s">
        <v>35313</v>
      </c>
      <c r="C946" t="s">
        <v>35314</v>
      </c>
      <c r="D946" t="s">
        <v>35315</v>
      </c>
      <c r="E946" t="s">
        <v>35316</v>
      </c>
      <c r="F946" t="s">
        <v>30786</v>
      </c>
      <c r="G946">
        <v>2021</v>
      </c>
      <c r="H946" s="1">
        <v>44114</v>
      </c>
      <c r="I946" t="s">
        <v>35317</v>
      </c>
      <c r="K946" t="s">
        <v>35318</v>
      </c>
    </row>
    <row r="947" spans="1:11" x14ac:dyDescent="0.15">
      <c r="A947">
        <v>34593932</v>
      </c>
      <c r="B947" t="s">
        <v>19310</v>
      </c>
      <c r="C947" t="s">
        <v>35319</v>
      </c>
      <c r="D947" t="s">
        <v>35320</v>
      </c>
      <c r="E947" t="s">
        <v>35321</v>
      </c>
      <c r="F947" t="s">
        <v>30834</v>
      </c>
      <c r="G947">
        <v>2021</v>
      </c>
      <c r="H947" s="1">
        <v>44470</v>
      </c>
      <c r="I947" t="s">
        <v>35322</v>
      </c>
      <c r="K947" t="s">
        <v>19318</v>
      </c>
    </row>
    <row r="948" spans="1:11" x14ac:dyDescent="0.15">
      <c r="A948">
        <v>32810272</v>
      </c>
      <c r="B948" t="s">
        <v>6746</v>
      </c>
      <c r="C948" t="s">
        <v>35323</v>
      </c>
      <c r="D948" t="s">
        <v>35324</v>
      </c>
      <c r="E948" t="s">
        <v>35325</v>
      </c>
      <c r="F948" t="s">
        <v>31587</v>
      </c>
      <c r="G948">
        <v>2020</v>
      </c>
      <c r="H948" s="1">
        <v>44062</v>
      </c>
      <c r="I948" t="s">
        <v>35326</v>
      </c>
      <c r="K948" t="s">
        <v>6758</v>
      </c>
    </row>
    <row r="949" spans="1:11" x14ac:dyDescent="0.15">
      <c r="A949">
        <v>31941602</v>
      </c>
      <c r="B949" t="s">
        <v>5290</v>
      </c>
      <c r="C949" t="s">
        <v>35327</v>
      </c>
      <c r="D949" t="s">
        <v>35328</v>
      </c>
      <c r="E949" t="s">
        <v>35329</v>
      </c>
      <c r="F949" t="s">
        <v>32654</v>
      </c>
      <c r="G949">
        <v>2020</v>
      </c>
      <c r="H949" s="1">
        <v>43847</v>
      </c>
      <c r="K949" t="s">
        <v>5300</v>
      </c>
    </row>
    <row r="950" spans="1:11" x14ac:dyDescent="0.15">
      <c r="A950">
        <v>28246015</v>
      </c>
      <c r="B950" t="s">
        <v>35330</v>
      </c>
      <c r="C950" t="s">
        <v>35331</v>
      </c>
      <c r="D950" t="s">
        <v>35332</v>
      </c>
      <c r="E950" t="s">
        <v>35333</v>
      </c>
      <c r="F950" t="s">
        <v>30821</v>
      </c>
      <c r="G950">
        <v>2017</v>
      </c>
      <c r="H950" s="1">
        <v>42796</v>
      </c>
      <c r="K950" t="s">
        <v>35334</v>
      </c>
    </row>
    <row r="951" spans="1:11" x14ac:dyDescent="0.15">
      <c r="A951">
        <v>34413232</v>
      </c>
      <c r="B951" t="s">
        <v>35335</v>
      </c>
      <c r="C951" t="s">
        <v>35336</v>
      </c>
      <c r="D951" t="s">
        <v>35337</v>
      </c>
      <c r="E951" t="s">
        <v>35338</v>
      </c>
      <c r="F951" t="s">
        <v>35339</v>
      </c>
      <c r="G951">
        <v>2021</v>
      </c>
      <c r="H951" s="1">
        <v>44428</v>
      </c>
      <c r="I951" t="s">
        <v>35340</v>
      </c>
      <c r="J951" t="s">
        <v>35341</v>
      </c>
      <c r="K951" t="s">
        <v>35342</v>
      </c>
    </row>
    <row r="952" spans="1:11" x14ac:dyDescent="0.15">
      <c r="A952">
        <v>33912378</v>
      </c>
      <c r="B952" t="s">
        <v>35343</v>
      </c>
      <c r="C952" t="s">
        <v>35344</v>
      </c>
      <c r="D952" t="s">
        <v>35345</v>
      </c>
      <c r="E952" t="s">
        <v>35346</v>
      </c>
      <c r="F952" t="s">
        <v>35347</v>
      </c>
      <c r="G952">
        <v>2021</v>
      </c>
      <c r="H952" s="1">
        <v>44315</v>
      </c>
      <c r="I952" t="s">
        <v>35348</v>
      </c>
      <c r="K952" t="s">
        <v>35349</v>
      </c>
    </row>
    <row r="953" spans="1:11" x14ac:dyDescent="0.15">
      <c r="A953">
        <v>31267709</v>
      </c>
      <c r="B953" t="s">
        <v>2372</v>
      </c>
      <c r="C953" t="s">
        <v>35350</v>
      </c>
      <c r="D953" t="s">
        <v>35351</v>
      </c>
      <c r="E953" t="s">
        <v>35352</v>
      </c>
      <c r="F953" t="s">
        <v>35353</v>
      </c>
      <c r="G953">
        <v>2019</v>
      </c>
      <c r="H953" s="1">
        <v>43650</v>
      </c>
      <c r="I953" t="s">
        <v>35354</v>
      </c>
      <c r="K953" t="s">
        <v>2385</v>
      </c>
    </row>
    <row r="954" spans="1:11" x14ac:dyDescent="0.15">
      <c r="A954">
        <v>32198406</v>
      </c>
      <c r="B954" t="s">
        <v>9052</v>
      </c>
      <c r="C954" t="s">
        <v>35355</v>
      </c>
      <c r="D954" t="s">
        <v>35356</v>
      </c>
      <c r="E954" t="s">
        <v>35357</v>
      </c>
      <c r="F954" t="s">
        <v>30796</v>
      </c>
      <c r="G954">
        <v>2020</v>
      </c>
      <c r="H954" s="1">
        <v>43912</v>
      </c>
      <c r="I954" t="s">
        <v>35358</v>
      </c>
      <c r="K954" t="s">
        <v>9060</v>
      </c>
    </row>
    <row r="955" spans="1:11" x14ac:dyDescent="0.15">
      <c r="A955">
        <v>33942501</v>
      </c>
      <c r="B955" t="s">
        <v>14145</v>
      </c>
      <c r="C955" t="s">
        <v>35359</v>
      </c>
      <c r="D955" t="s">
        <v>35360</v>
      </c>
      <c r="E955" t="s">
        <v>35361</v>
      </c>
      <c r="F955" t="s">
        <v>30694</v>
      </c>
      <c r="G955">
        <v>2021</v>
      </c>
      <c r="H955" s="1">
        <v>44320</v>
      </c>
      <c r="I955" t="s">
        <v>35362</v>
      </c>
      <c r="K955" t="s">
        <v>14158</v>
      </c>
    </row>
    <row r="956" spans="1:11" x14ac:dyDescent="0.15">
      <c r="A956">
        <v>34937167</v>
      </c>
      <c r="B956" t="s">
        <v>8237</v>
      </c>
      <c r="C956" t="s">
        <v>35363</v>
      </c>
      <c r="D956" t="s">
        <v>35364</v>
      </c>
      <c r="E956" t="s">
        <v>30771</v>
      </c>
      <c r="F956" t="s">
        <v>35365</v>
      </c>
      <c r="G956">
        <v>2021</v>
      </c>
      <c r="H956" s="1">
        <v>44553</v>
      </c>
      <c r="I956" t="s">
        <v>35366</v>
      </c>
      <c r="K956" t="s">
        <v>8249</v>
      </c>
    </row>
    <row r="957" spans="1:11" x14ac:dyDescent="0.15">
      <c r="A957">
        <v>35699856</v>
      </c>
      <c r="B957" t="s">
        <v>5330</v>
      </c>
      <c r="C957" t="s">
        <v>35367</v>
      </c>
      <c r="D957" t="s">
        <v>35368</v>
      </c>
      <c r="E957" t="s">
        <v>35369</v>
      </c>
      <c r="F957" t="s">
        <v>34086</v>
      </c>
      <c r="G957">
        <v>2022</v>
      </c>
      <c r="H957" s="1">
        <v>44726</v>
      </c>
      <c r="K957" t="s">
        <v>5341</v>
      </c>
    </row>
    <row r="958" spans="1:11" x14ac:dyDescent="0.15">
      <c r="A958">
        <v>30305607</v>
      </c>
      <c r="B958" t="s">
        <v>35370</v>
      </c>
      <c r="C958" t="s">
        <v>35371</v>
      </c>
      <c r="D958" t="s">
        <v>35372</v>
      </c>
      <c r="E958" t="s">
        <v>35373</v>
      </c>
      <c r="F958" t="s">
        <v>30733</v>
      </c>
      <c r="G958">
        <v>2018</v>
      </c>
      <c r="H958" s="1">
        <v>43385</v>
      </c>
      <c r="I958" t="s">
        <v>35374</v>
      </c>
      <c r="K958" t="s">
        <v>20745</v>
      </c>
    </row>
    <row r="959" spans="1:11" x14ac:dyDescent="0.15">
      <c r="A959">
        <v>24932692</v>
      </c>
      <c r="B959" t="s">
        <v>35375</v>
      </c>
      <c r="C959" t="s">
        <v>35376</v>
      </c>
      <c r="D959" t="s">
        <v>35377</v>
      </c>
      <c r="E959" t="s">
        <v>35378</v>
      </c>
      <c r="F959" t="s">
        <v>31639</v>
      </c>
      <c r="G959">
        <v>2014</v>
      </c>
      <c r="H959" s="1">
        <v>41807</v>
      </c>
      <c r="I959" t="s">
        <v>35379</v>
      </c>
      <c r="K959" t="s">
        <v>35380</v>
      </c>
    </row>
    <row r="960" spans="1:11" x14ac:dyDescent="0.15">
      <c r="A960">
        <v>34907783</v>
      </c>
      <c r="B960" t="s">
        <v>35381</v>
      </c>
      <c r="C960" t="s">
        <v>35382</v>
      </c>
      <c r="D960" t="s">
        <v>35383</v>
      </c>
      <c r="E960" t="s">
        <v>35384</v>
      </c>
      <c r="F960" t="s">
        <v>35385</v>
      </c>
      <c r="G960">
        <v>2022</v>
      </c>
      <c r="H960" s="1">
        <v>44545</v>
      </c>
      <c r="K960" t="s">
        <v>35386</v>
      </c>
    </row>
    <row r="961" spans="1:11" x14ac:dyDescent="0.15">
      <c r="A961">
        <v>21078874</v>
      </c>
      <c r="B961" t="s">
        <v>35387</v>
      </c>
      <c r="C961" t="s">
        <v>35388</v>
      </c>
      <c r="D961" t="s">
        <v>35389</v>
      </c>
      <c r="E961" t="s">
        <v>35390</v>
      </c>
      <c r="F961" t="s">
        <v>33347</v>
      </c>
      <c r="G961">
        <v>2011</v>
      </c>
      <c r="H961" s="1">
        <v>40499</v>
      </c>
      <c r="I961" t="s">
        <v>35391</v>
      </c>
      <c r="K961" t="s">
        <v>35392</v>
      </c>
    </row>
    <row r="962" spans="1:11" x14ac:dyDescent="0.15">
      <c r="A962">
        <v>31123713</v>
      </c>
      <c r="B962" t="s">
        <v>8941</v>
      </c>
      <c r="C962" t="s">
        <v>35393</v>
      </c>
      <c r="D962" t="s">
        <v>35394</v>
      </c>
      <c r="E962" t="s">
        <v>35395</v>
      </c>
      <c r="F962" t="s">
        <v>32377</v>
      </c>
      <c r="G962">
        <v>2019</v>
      </c>
      <c r="H962" s="1">
        <v>43610</v>
      </c>
      <c r="I962" t="s">
        <v>35396</v>
      </c>
      <c r="K962" t="s">
        <v>8951</v>
      </c>
    </row>
    <row r="963" spans="1:11" x14ac:dyDescent="0.15">
      <c r="A963">
        <v>33494385</v>
      </c>
      <c r="B963" t="s">
        <v>12205</v>
      </c>
      <c r="C963" t="s">
        <v>35397</v>
      </c>
      <c r="D963" t="s">
        <v>35398</v>
      </c>
      <c r="E963" t="s">
        <v>35399</v>
      </c>
      <c r="F963" t="s">
        <v>30655</v>
      </c>
      <c r="G963">
        <v>2021</v>
      </c>
      <c r="H963" s="1">
        <v>44222</v>
      </c>
      <c r="I963" t="s">
        <v>35400</v>
      </c>
      <c r="K963" t="s">
        <v>12215</v>
      </c>
    </row>
    <row r="964" spans="1:11" x14ac:dyDescent="0.15">
      <c r="A964">
        <v>34295338</v>
      </c>
      <c r="B964" t="s">
        <v>35401</v>
      </c>
      <c r="C964" t="s">
        <v>35402</v>
      </c>
      <c r="D964" t="s">
        <v>35403</v>
      </c>
      <c r="E964" t="s">
        <v>35404</v>
      </c>
      <c r="F964" t="s">
        <v>30713</v>
      </c>
      <c r="G964">
        <v>2021</v>
      </c>
      <c r="H964" s="1">
        <v>44400</v>
      </c>
      <c r="I964" t="s">
        <v>35405</v>
      </c>
      <c r="K964" t="s">
        <v>35406</v>
      </c>
    </row>
    <row r="965" spans="1:11" x14ac:dyDescent="0.15">
      <c r="A965">
        <v>29558959</v>
      </c>
      <c r="B965" t="s">
        <v>24740</v>
      </c>
      <c r="C965" t="s">
        <v>35407</v>
      </c>
      <c r="D965" t="s">
        <v>35408</v>
      </c>
      <c r="E965" t="s">
        <v>35409</v>
      </c>
      <c r="F965" t="s">
        <v>30630</v>
      </c>
      <c r="G965">
        <v>2018</v>
      </c>
      <c r="H965" s="1">
        <v>43181</v>
      </c>
      <c r="I965" t="s">
        <v>35410</v>
      </c>
      <c r="K965" t="s">
        <v>24750</v>
      </c>
    </row>
    <row r="966" spans="1:11" x14ac:dyDescent="0.15">
      <c r="A966">
        <v>26892862</v>
      </c>
      <c r="B966" t="s">
        <v>35411</v>
      </c>
      <c r="C966" t="s">
        <v>35412</v>
      </c>
      <c r="D966" t="s">
        <v>35413</v>
      </c>
      <c r="E966" t="s">
        <v>35414</v>
      </c>
      <c r="F966" t="s">
        <v>30668</v>
      </c>
      <c r="G966">
        <v>2016</v>
      </c>
      <c r="H966" s="1">
        <v>42420</v>
      </c>
      <c r="I966" t="s">
        <v>35415</v>
      </c>
      <c r="J966" t="s">
        <v>35416</v>
      </c>
      <c r="K966" t="s">
        <v>35417</v>
      </c>
    </row>
    <row r="967" spans="1:11" x14ac:dyDescent="0.15">
      <c r="A967">
        <v>32446697</v>
      </c>
      <c r="B967" t="s">
        <v>12921</v>
      </c>
      <c r="C967" t="s">
        <v>35418</v>
      </c>
      <c r="D967" t="s">
        <v>35419</v>
      </c>
      <c r="E967" t="s">
        <v>35420</v>
      </c>
      <c r="F967" t="s">
        <v>30821</v>
      </c>
      <c r="G967">
        <v>2020</v>
      </c>
      <c r="H967" s="1">
        <v>43976</v>
      </c>
      <c r="K967" t="s">
        <v>12931</v>
      </c>
    </row>
    <row r="968" spans="1:11" x14ac:dyDescent="0.15">
      <c r="A968">
        <v>30216846</v>
      </c>
      <c r="B968" t="s">
        <v>7166</v>
      </c>
      <c r="C968" t="s">
        <v>35421</v>
      </c>
      <c r="D968" t="s">
        <v>35422</v>
      </c>
      <c r="E968" t="s">
        <v>35423</v>
      </c>
      <c r="F968" t="s">
        <v>35424</v>
      </c>
      <c r="G968">
        <v>2018</v>
      </c>
      <c r="H968" s="1">
        <v>43358</v>
      </c>
      <c r="I968" t="s">
        <v>35425</v>
      </c>
      <c r="J968" t="s">
        <v>35426</v>
      </c>
      <c r="K968" t="s">
        <v>7179</v>
      </c>
    </row>
    <row r="969" spans="1:11" x14ac:dyDescent="0.15">
      <c r="A969">
        <v>23132787</v>
      </c>
      <c r="B969" t="s">
        <v>35427</v>
      </c>
      <c r="C969" t="s">
        <v>35428</v>
      </c>
      <c r="D969" t="s">
        <v>35429</v>
      </c>
      <c r="E969" t="s">
        <v>35430</v>
      </c>
      <c r="F969" t="s">
        <v>35431</v>
      </c>
      <c r="G969">
        <v>2013</v>
      </c>
      <c r="H969" s="1">
        <v>41221</v>
      </c>
      <c r="I969" t="s">
        <v>35432</v>
      </c>
      <c r="K969" t="s">
        <v>35433</v>
      </c>
    </row>
    <row r="970" spans="1:11" x14ac:dyDescent="0.15">
      <c r="A970">
        <v>35203322</v>
      </c>
      <c r="B970" t="s">
        <v>35434</v>
      </c>
      <c r="C970" t="s">
        <v>35435</v>
      </c>
      <c r="D970" t="s">
        <v>35436</v>
      </c>
      <c r="E970" t="s">
        <v>35437</v>
      </c>
      <c r="F970" t="s">
        <v>30655</v>
      </c>
      <c r="G970">
        <v>2022</v>
      </c>
      <c r="H970" s="1">
        <v>44617</v>
      </c>
      <c r="I970" t="s">
        <v>35438</v>
      </c>
      <c r="K970" t="s">
        <v>35439</v>
      </c>
    </row>
    <row r="971" spans="1:11" x14ac:dyDescent="0.15">
      <c r="A971">
        <v>33270495</v>
      </c>
      <c r="B971" t="s">
        <v>35440</v>
      </c>
      <c r="C971" t="s">
        <v>35441</v>
      </c>
      <c r="D971" t="s">
        <v>35442</v>
      </c>
      <c r="E971" t="s">
        <v>31805</v>
      </c>
      <c r="F971" t="s">
        <v>30668</v>
      </c>
      <c r="G971">
        <v>2021</v>
      </c>
      <c r="H971" s="1">
        <v>44168</v>
      </c>
      <c r="K971" t="s">
        <v>35443</v>
      </c>
    </row>
    <row r="972" spans="1:11" x14ac:dyDescent="0.15">
      <c r="A972">
        <v>34421932</v>
      </c>
      <c r="B972" t="s">
        <v>35444</v>
      </c>
      <c r="C972" t="s">
        <v>35445</v>
      </c>
      <c r="D972" t="s">
        <v>35446</v>
      </c>
      <c r="E972" t="s">
        <v>32064</v>
      </c>
      <c r="F972" t="s">
        <v>30713</v>
      </c>
      <c r="G972">
        <v>2021</v>
      </c>
      <c r="H972" s="1">
        <v>44431</v>
      </c>
      <c r="I972" t="s">
        <v>35447</v>
      </c>
      <c r="K972" t="s">
        <v>35448</v>
      </c>
    </row>
    <row r="973" spans="1:11" x14ac:dyDescent="0.15">
      <c r="A973">
        <v>29556344</v>
      </c>
      <c r="B973" t="s">
        <v>35449</v>
      </c>
      <c r="C973" t="s">
        <v>35450</v>
      </c>
      <c r="D973" t="s">
        <v>35451</v>
      </c>
      <c r="E973" t="s">
        <v>35212</v>
      </c>
      <c r="F973" t="s">
        <v>30588</v>
      </c>
      <c r="G973">
        <v>2018</v>
      </c>
      <c r="H973" s="1">
        <v>43180</v>
      </c>
      <c r="I973" t="s">
        <v>35452</v>
      </c>
      <c r="K973" t="s">
        <v>35453</v>
      </c>
    </row>
    <row r="974" spans="1:11" x14ac:dyDescent="0.15">
      <c r="A974">
        <v>29162835</v>
      </c>
      <c r="B974" t="s">
        <v>8969</v>
      </c>
      <c r="C974" t="s">
        <v>35454</v>
      </c>
      <c r="D974" t="s">
        <v>35455</v>
      </c>
      <c r="E974" t="s">
        <v>35456</v>
      </c>
      <c r="F974" t="s">
        <v>30796</v>
      </c>
      <c r="G974">
        <v>2017</v>
      </c>
      <c r="H974" s="1">
        <v>43062</v>
      </c>
      <c r="I974" t="s">
        <v>35457</v>
      </c>
      <c r="K974" t="s">
        <v>8977</v>
      </c>
    </row>
    <row r="975" spans="1:11" x14ac:dyDescent="0.15">
      <c r="A975">
        <v>29760280</v>
      </c>
      <c r="B975" t="s">
        <v>35458</v>
      </c>
      <c r="C975" t="s">
        <v>35459</v>
      </c>
      <c r="D975" t="s">
        <v>35460</v>
      </c>
      <c r="E975" t="s">
        <v>35461</v>
      </c>
      <c r="F975" t="s">
        <v>33347</v>
      </c>
      <c r="G975">
        <v>2018</v>
      </c>
      <c r="H975" s="1">
        <v>43236</v>
      </c>
      <c r="I975" t="s">
        <v>35462</v>
      </c>
      <c r="K975" t="s">
        <v>35463</v>
      </c>
    </row>
    <row r="976" spans="1:11" x14ac:dyDescent="0.15">
      <c r="A976">
        <v>30480287</v>
      </c>
      <c r="B976" t="s">
        <v>35464</v>
      </c>
      <c r="C976" t="s">
        <v>35465</v>
      </c>
      <c r="D976" t="s">
        <v>35466</v>
      </c>
      <c r="E976" t="s">
        <v>35467</v>
      </c>
      <c r="F976" t="s">
        <v>31678</v>
      </c>
      <c r="G976">
        <v>2018</v>
      </c>
      <c r="H976" s="1">
        <v>43432</v>
      </c>
      <c r="K976" t="s">
        <v>35468</v>
      </c>
    </row>
    <row r="977" spans="1:11" x14ac:dyDescent="0.15">
      <c r="A977">
        <v>23580760</v>
      </c>
      <c r="B977" t="s">
        <v>2979</v>
      </c>
      <c r="C977" t="s">
        <v>35469</v>
      </c>
      <c r="D977" t="s">
        <v>35470</v>
      </c>
      <c r="E977" t="s">
        <v>35471</v>
      </c>
      <c r="F977" t="s">
        <v>35472</v>
      </c>
      <c r="G977">
        <v>2013</v>
      </c>
      <c r="H977" s="1">
        <v>41377</v>
      </c>
      <c r="I977" t="s">
        <v>35473</v>
      </c>
      <c r="K977" t="s">
        <v>2990</v>
      </c>
    </row>
    <row r="978" spans="1:11" x14ac:dyDescent="0.15">
      <c r="A978">
        <v>28507029</v>
      </c>
      <c r="B978" t="s">
        <v>7840</v>
      </c>
      <c r="C978" t="s">
        <v>35474</v>
      </c>
      <c r="D978" t="s">
        <v>35475</v>
      </c>
      <c r="E978" t="s">
        <v>35476</v>
      </c>
      <c r="F978" t="s">
        <v>32819</v>
      </c>
      <c r="G978">
        <v>2017</v>
      </c>
      <c r="H978" s="1">
        <v>42872</v>
      </c>
      <c r="K978" t="s">
        <v>7852</v>
      </c>
    </row>
    <row r="979" spans="1:11" x14ac:dyDescent="0.15">
      <c r="A979">
        <v>35215922</v>
      </c>
      <c r="B979" t="s">
        <v>7664</v>
      </c>
      <c r="C979" t="s">
        <v>35477</v>
      </c>
      <c r="D979" t="s">
        <v>35478</v>
      </c>
      <c r="E979" t="s">
        <v>35479</v>
      </c>
      <c r="F979" t="s">
        <v>30720</v>
      </c>
      <c r="G979">
        <v>2022</v>
      </c>
      <c r="H979" s="1">
        <v>44618</v>
      </c>
      <c r="I979" t="s">
        <v>35480</v>
      </c>
      <c r="K979" t="s">
        <v>7673</v>
      </c>
    </row>
    <row r="980" spans="1:11" x14ac:dyDescent="0.15">
      <c r="A980">
        <v>29051321</v>
      </c>
      <c r="B980" t="s">
        <v>35481</v>
      </c>
      <c r="C980" t="s">
        <v>35482</v>
      </c>
      <c r="D980" t="s">
        <v>35483</v>
      </c>
      <c r="E980" t="s">
        <v>35484</v>
      </c>
      <c r="F980" t="s">
        <v>32039</v>
      </c>
      <c r="G980">
        <v>2018</v>
      </c>
      <c r="H980" s="1">
        <v>43029</v>
      </c>
      <c r="I980" t="s">
        <v>35485</v>
      </c>
      <c r="J980" t="s">
        <v>35486</v>
      </c>
      <c r="K980" t="s">
        <v>35487</v>
      </c>
    </row>
    <row r="981" spans="1:11" x14ac:dyDescent="0.15">
      <c r="A981">
        <v>25434003</v>
      </c>
      <c r="B981" t="s">
        <v>35488</v>
      </c>
      <c r="C981" t="s">
        <v>35489</v>
      </c>
      <c r="D981" t="s">
        <v>35490</v>
      </c>
      <c r="E981" t="s">
        <v>35491</v>
      </c>
      <c r="F981" t="s">
        <v>35492</v>
      </c>
      <c r="G981">
        <v>2014</v>
      </c>
      <c r="H981" s="1">
        <v>41974</v>
      </c>
      <c r="I981" t="s">
        <v>35493</v>
      </c>
      <c r="K981" t="s">
        <v>35494</v>
      </c>
    </row>
    <row r="982" spans="1:11" x14ac:dyDescent="0.15">
      <c r="A982">
        <v>23137708</v>
      </c>
      <c r="B982" t="s">
        <v>35495</v>
      </c>
      <c r="C982" t="s">
        <v>35496</v>
      </c>
      <c r="D982" t="s">
        <v>35497</v>
      </c>
      <c r="E982" t="s">
        <v>35498</v>
      </c>
      <c r="F982" t="s">
        <v>35499</v>
      </c>
      <c r="G982">
        <v>2013</v>
      </c>
      <c r="H982" s="1">
        <v>41223</v>
      </c>
      <c r="K982" t="s">
        <v>35500</v>
      </c>
    </row>
    <row r="983" spans="1:11" x14ac:dyDescent="0.15">
      <c r="A983">
        <v>30030445</v>
      </c>
      <c r="B983" t="s">
        <v>35501</v>
      </c>
      <c r="C983" t="s">
        <v>35502</v>
      </c>
      <c r="D983" t="s">
        <v>35503</v>
      </c>
      <c r="E983" t="s">
        <v>31702</v>
      </c>
      <c r="F983" t="s">
        <v>30796</v>
      </c>
      <c r="G983">
        <v>2018</v>
      </c>
      <c r="H983" s="1">
        <v>43303</v>
      </c>
      <c r="I983" t="s">
        <v>35504</v>
      </c>
      <c r="K983" t="s">
        <v>35505</v>
      </c>
    </row>
    <row r="984" spans="1:11" x14ac:dyDescent="0.15">
      <c r="A984">
        <v>34663679</v>
      </c>
      <c r="B984" t="s">
        <v>35506</v>
      </c>
      <c r="C984" t="s">
        <v>35507</v>
      </c>
      <c r="D984" t="s">
        <v>35508</v>
      </c>
      <c r="E984" t="s">
        <v>35509</v>
      </c>
      <c r="F984" t="s">
        <v>33722</v>
      </c>
      <c r="G984">
        <v>2021</v>
      </c>
      <c r="H984" s="1">
        <v>44488</v>
      </c>
      <c r="I984" t="s">
        <v>35510</v>
      </c>
      <c r="K984" t="s">
        <v>35511</v>
      </c>
    </row>
    <row r="985" spans="1:11" x14ac:dyDescent="0.15">
      <c r="A985">
        <v>28701473</v>
      </c>
      <c r="B985" t="s">
        <v>35512</v>
      </c>
      <c r="C985" t="s">
        <v>35513</v>
      </c>
      <c r="D985" t="s">
        <v>35514</v>
      </c>
      <c r="E985" t="s">
        <v>35515</v>
      </c>
      <c r="F985" t="s">
        <v>35516</v>
      </c>
      <c r="G985">
        <v>2017</v>
      </c>
      <c r="H985" s="1">
        <v>42930</v>
      </c>
      <c r="I985" t="s">
        <v>35517</v>
      </c>
      <c r="J985" t="s">
        <v>35518</v>
      </c>
      <c r="K985" t="s">
        <v>35519</v>
      </c>
    </row>
    <row r="986" spans="1:11" x14ac:dyDescent="0.15">
      <c r="A986">
        <v>34098025</v>
      </c>
      <c r="B986" t="s">
        <v>10443</v>
      </c>
      <c r="C986" t="s">
        <v>35520</v>
      </c>
      <c r="D986" t="s">
        <v>35521</v>
      </c>
      <c r="E986" t="s">
        <v>35522</v>
      </c>
      <c r="F986" t="s">
        <v>35523</v>
      </c>
      <c r="G986">
        <v>2021</v>
      </c>
      <c r="H986" s="1">
        <v>44354</v>
      </c>
      <c r="K986" t="s">
        <v>10454</v>
      </c>
    </row>
    <row r="987" spans="1:11" x14ac:dyDescent="0.15">
      <c r="A987">
        <v>34460871</v>
      </c>
      <c r="B987" t="s">
        <v>35524</v>
      </c>
      <c r="C987" t="s">
        <v>35525</v>
      </c>
      <c r="D987" t="s">
        <v>35526</v>
      </c>
      <c r="E987" t="s">
        <v>35527</v>
      </c>
      <c r="F987" t="s">
        <v>31933</v>
      </c>
      <c r="G987">
        <v>2021</v>
      </c>
      <c r="H987" s="1">
        <v>44438</v>
      </c>
      <c r="I987" t="s">
        <v>35528</v>
      </c>
      <c r="K987" t="s">
        <v>18812</v>
      </c>
    </row>
    <row r="988" spans="1:11" x14ac:dyDescent="0.15">
      <c r="A988">
        <v>29483213</v>
      </c>
      <c r="B988" t="s">
        <v>13902</v>
      </c>
      <c r="C988" t="s">
        <v>35529</v>
      </c>
      <c r="D988" t="s">
        <v>35530</v>
      </c>
      <c r="E988" t="s">
        <v>35531</v>
      </c>
      <c r="F988" t="s">
        <v>34988</v>
      </c>
      <c r="G988">
        <v>2018</v>
      </c>
      <c r="H988" s="1">
        <v>43159</v>
      </c>
      <c r="I988" t="s">
        <v>35532</v>
      </c>
      <c r="J988" t="s">
        <v>35533</v>
      </c>
      <c r="K988" t="s">
        <v>13911</v>
      </c>
    </row>
    <row r="989" spans="1:11" x14ac:dyDescent="0.15">
      <c r="A989">
        <v>29601337</v>
      </c>
      <c r="B989" t="s">
        <v>35534</v>
      </c>
      <c r="C989" t="s">
        <v>35535</v>
      </c>
      <c r="D989" t="s">
        <v>35536</v>
      </c>
      <c r="E989" t="s">
        <v>35537</v>
      </c>
      <c r="F989" t="s">
        <v>35538</v>
      </c>
      <c r="G989">
        <v>2018</v>
      </c>
      <c r="H989" s="1">
        <v>43190</v>
      </c>
      <c r="I989" t="s">
        <v>35539</v>
      </c>
      <c r="J989" t="s">
        <v>35540</v>
      </c>
      <c r="K989" t="s">
        <v>35541</v>
      </c>
    </row>
    <row r="990" spans="1:11" x14ac:dyDescent="0.15">
      <c r="A990">
        <v>32203399</v>
      </c>
      <c r="B990" t="s">
        <v>35542</v>
      </c>
      <c r="C990" t="s">
        <v>35543</v>
      </c>
      <c r="D990" t="s">
        <v>35544</v>
      </c>
      <c r="E990" t="s">
        <v>35545</v>
      </c>
      <c r="F990" t="s">
        <v>35546</v>
      </c>
      <c r="G990">
        <v>2020</v>
      </c>
      <c r="H990" s="1">
        <v>43914</v>
      </c>
      <c r="I990" t="s">
        <v>35547</v>
      </c>
      <c r="J990" t="s">
        <v>35548</v>
      </c>
      <c r="K990" t="s">
        <v>35549</v>
      </c>
    </row>
    <row r="991" spans="1:11" x14ac:dyDescent="0.15">
      <c r="A991">
        <v>29844574</v>
      </c>
      <c r="B991" t="s">
        <v>35550</v>
      </c>
      <c r="C991" t="s">
        <v>35551</v>
      </c>
      <c r="D991" t="s">
        <v>35552</v>
      </c>
      <c r="E991" t="s">
        <v>35553</v>
      </c>
      <c r="F991" t="s">
        <v>32752</v>
      </c>
      <c r="G991">
        <v>2018</v>
      </c>
      <c r="H991" s="1">
        <v>43251</v>
      </c>
      <c r="K991" t="s">
        <v>35554</v>
      </c>
    </row>
    <row r="992" spans="1:11" x14ac:dyDescent="0.15">
      <c r="A992">
        <v>21638509</v>
      </c>
      <c r="B992" t="s">
        <v>35555</v>
      </c>
      <c r="C992" t="s">
        <v>35556</v>
      </c>
      <c r="D992" t="s">
        <v>35557</v>
      </c>
      <c r="E992" t="s">
        <v>32650</v>
      </c>
      <c r="F992" t="s">
        <v>34150</v>
      </c>
      <c r="G992">
        <v>2011</v>
      </c>
      <c r="H992" s="1">
        <v>40698</v>
      </c>
      <c r="K992" t="s">
        <v>15826</v>
      </c>
    </row>
    <row r="993" spans="1:11" x14ac:dyDescent="0.15">
      <c r="A993">
        <v>34823431</v>
      </c>
      <c r="B993" t="s">
        <v>35558</v>
      </c>
      <c r="C993" t="s">
        <v>35559</v>
      </c>
      <c r="D993" t="s">
        <v>35560</v>
      </c>
      <c r="E993" t="s">
        <v>35561</v>
      </c>
      <c r="F993" t="s">
        <v>35562</v>
      </c>
      <c r="G993">
        <v>2021</v>
      </c>
      <c r="H993" s="1">
        <v>44526</v>
      </c>
      <c r="K993" t="s">
        <v>35563</v>
      </c>
    </row>
    <row r="994" spans="1:11" x14ac:dyDescent="0.15">
      <c r="A994">
        <v>30411781</v>
      </c>
      <c r="B994" t="s">
        <v>17337</v>
      </c>
      <c r="C994" t="s">
        <v>35564</v>
      </c>
      <c r="D994" t="s">
        <v>35565</v>
      </c>
      <c r="E994" t="s">
        <v>35566</v>
      </c>
      <c r="F994" t="s">
        <v>33483</v>
      </c>
      <c r="G994">
        <v>2019</v>
      </c>
      <c r="H994" s="1">
        <v>43414</v>
      </c>
      <c r="I994" t="s">
        <v>35567</v>
      </c>
      <c r="K994" t="s">
        <v>17346</v>
      </c>
    </row>
    <row r="995" spans="1:11" x14ac:dyDescent="0.15">
      <c r="A995">
        <v>24408433</v>
      </c>
      <c r="B995" t="s">
        <v>35568</v>
      </c>
      <c r="C995" t="s">
        <v>35569</v>
      </c>
      <c r="D995" t="s">
        <v>35570</v>
      </c>
      <c r="E995" t="s">
        <v>35571</v>
      </c>
      <c r="F995" t="s">
        <v>35339</v>
      </c>
      <c r="G995">
        <v>2014</v>
      </c>
      <c r="H995" s="1">
        <v>41650</v>
      </c>
      <c r="K995" t="s">
        <v>9007</v>
      </c>
    </row>
    <row r="996" spans="1:11" x14ac:dyDescent="0.15">
      <c r="A996">
        <v>32299821</v>
      </c>
      <c r="B996" t="s">
        <v>13875</v>
      </c>
      <c r="C996" t="s">
        <v>35572</v>
      </c>
      <c r="D996" t="s">
        <v>35573</v>
      </c>
      <c r="E996" t="s">
        <v>35574</v>
      </c>
      <c r="F996" t="s">
        <v>32039</v>
      </c>
      <c r="G996">
        <v>2020</v>
      </c>
      <c r="H996" s="1">
        <v>43939</v>
      </c>
      <c r="I996" t="s">
        <v>35575</v>
      </c>
      <c r="J996" t="s">
        <v>35576</v>
      </c>
      <c r="K996" t="s">
        <v>13884</v>
      </c>
    </row>
    <row r="997" spans="1:11" x14ac:dyDescent="0.15">
      <c r="A997">
        <v>15111327</v>
      </c>
      <c r="B997" t="s">
        <v>35577</v>
      </c>
      <c r="C997" t="s">
        <v>35578</v>
      </c>
      <c r="D997" t="s">
        <v>35579</v>
      </c>
      <c r="E997" t="s">
        <v>35580</v>
      </c>
      <c r="F997" t="s">
        <v>32741</v>
      </c>
      <c r="G997">
        <v>2004</v>
      </c>
      <c r="H997" s="1">
        <v>38105</v>
      </c>
      <c r="I997" t="s">
        <v>35581</v>
      </c>
      <c r="K997" t="s">
        <v>35582</v>
      </c>
    </row>
    <row r="998" spans="1:11" x14ac:dyDescent="0.15">
      <c r="A998">
        <v>34953858</v>
      </c>
      <c r="B998" t="s">
        <v>18865</v>
      </c>
      <c r="C998" t="s">
        <v>35583</v>
      </c>
      <c r="D998" t="s">
        <v>35584</v>
      </c>
      <c r="E998" t="s">
        <v>35585</v>
      </c>
      <c r="F998" t="s">
        <v>31594</v>
      </c>
      <c r="G998">
        <v>2022</v>
      </c>
      <c r="H998" s="1">
        <v>44556</v>
      </c>
      <c r="I998" t="s">
        <v>35586</v>
      </c>
      <c r="K998" t="s">
        <v>18872</v>
      </c>
    </row>
    <row r="999" spans="1:11" x14ac:dyDescent="0.15">
      <c r="A999">
        <v>32315358</v>
      </c>
      <c r="B999" t="s">
        <v>35587</v>
      </c>
      <c r="C999" t="s">
        <v>35588</v>
      </c>
      <c r="D999" t="s">
        <v>35589</v>
      </c>
      <c r="E999" t="s">
        <v>35590</v>
      </c>
      <c r="F999" t="s">
        <v>31933</v>
      </c>
      <c r="G999">
        <v>2020</v>
      </c>
      <c r="H999" s="1">
        <v>43943</v>
      </c>
      <c r="I999" t="s">
        <v>35591</v>
      </c>
      <c r="K999" t="s">
        <v>12995</v>
      </c>
    </row>
    <row r="1000" spans="1:11" x14ac:dyDescent="0.15">
      <c r="A1000">
        <v>29415817</v>
      </c>
      <c r="B1000" t="s">
        <v>27065</v>
      </c>
      <c r="C1000" t="s">
        <v>35592</v>
      </c>
      <c r="D1000" t="s">
        <v>35593</v>
      </c>
      <c r="E1000" t="s">
        <v>31116</v>
      </c>
      <c r="F1000" t="s">
        <v>35594</v>
      </c>
      <c r="G1000">
        <v>2018</v>
      </c>
      <c r="H1000" s="1">
        <v>43140</v>
      </c>
      <c r="K1000" t="s">
        <v>27077</v>
      </c>
    </row>
    <row r="1001" spans="1:11" x14ac:dyDescent="0.15">
      <c r="A1001">
        <v>34295456</v>
      </c>
      <c r="B1001" t="s">
        <v>3275</v>
      </c>
      <c r="C1001" t="s">
        <v>35595</v>
      </c>
      <c r="D1001" t="s">
        <v>35596</v>
      </c>
      <c r="E1001" t="s">
        <v>35597</v>
      </c>
      <c r="F1001" t="s">
        <v>30772</v>
      </c>
      <c r="G1001">
        <v>2021</v>
      </c>
      <c r="H1001" s="1">
        <v>44400</v>
      </c>
      <c r="I1001" t="s">
        <v>35598</v>
      </c>
      <c r="K1001" t="s">
        <v>3286</v>
      </c>
    </row>
    <row r="1002" spans="1:11" x14ac:dyDescent="0.15">
      <c r="A1002">
        <v>32766689</v>
      </c>
      <c r="B1002" t="s">
        <v>35599</v>
      </c>
      <c r="C1002" t="s">
        <v>35600</v>
      </c>
      <c r="D1002" t="s">
        <v>35601</v>
      </c>
      <c r="E1002" t="s">
        <v>35602</v>
      </c>
      <c r="F1002" t="s">
        <v>35603</v>
      </c>
      <c r="G1002">
        <v>2020</v>
      </c>
      <c r="H1002" s="1">
        <v>44052</v>
      </c>
      <c r="I1002" t="s">
        <v>35604</v>
      </c>
      <c r="K1002" t="s">
        <v>35605</v>
      </c>
    </row>
    <row r="1003" spans="1:11" x14ac:dyDescent="0.15">
      <c r="A1003">
        <v>26328805</v>
      </c>
      <c r="B1003" t="s">
        <v>35606</v>
      </c>
      <c r="C1003" t="s">
        <v>35607</v>
      </c>
      <c r="D1003" t="s">
        <v>35608</v>
      </c>
      <c r="E1003" t="s">
        <v>35609</v>
      </c>
      <c r="F1003" t="s">
        <v>35610</v>
      </c>
      <c r="G1003">
        <v>2016</v>
      </c>
      <c r="H1003" s="1">
        <v>42250</v>
      </c>
      <c r="I1003" t="s">
        <v>35611</v>
      </c>
      <c r="K1003" t="s">
        <v>35612</v>
      </c>
    </row>
    <row r="1004" spans="1:11" x14ac:dyDescent="0.15">
      <c r="A1004">
        <v>29532035</v>
      </c>
      <c r="B1004" t="s">
        <v>10743</v>
      </c>
      <c r="C1004" t="s">
        <v>35613</v>
      </c>
      <c r="D1004" t="s">
        <v>35614</v>
      </c>
      <c r="E1004" t="s">
        <v>35615</v>
      </c>
      <c r="F1004" t="s">
        <v>30758</v>
      </c>
      <c r="G1004">
        <v>2018</v>
      </c>
      <c r="H1004" s="1">
        <v>43173</v>
      </c>
      <c r="I1004" t="s">
        <v>35616</v>
      </c>
      <c r="K1004" t="s">
        <v>10755</v>
      </c>
    </row>
    <row r="1005" spans="1:11" x14ac:dyDescent="0.15">
      <c r="A1005">
        <v>29668342</v>
      </c>
      <c r="B1005" t="s">
        <v>35617</v>
      </c>
      <c r="C1005" t="s">
        <v>35618</v>
      </c>
      <c r="D1005" t="s">
        <v>35619</v>
      </c>
      <c r="E1005" t="s">
        <v>35620</v>
      </c>
      <c r="F1005" t="s">
        <v>34638</v>
      </c>
      <c r="G1005">
        <v>2018</v>
      </c>
      <c r="H1005" s="1">
        <v>43209</v>
      </c>
      <c r="K1005" t="s">
        <v>35621</v>
      </c>
    </row>
    <row r="1006" spans="1:11" x14ac:dyDescent="0.15">
      <c r="A1006">
        <v>29907766</v>
      </c>
      <c r="B1006" t="s">
        <v>8469</v>
      </c>
      <c r="C1006" t="s">
        <v>35622</v>
      </c>
      <c r="D1006" t="s">
        <v>35623</v>
      </c>
      <c r="E1006" t="s">
        <v>35624</v>
      </c>
      <c r="F1006" t="s">
        <v>30796</v>
      </c>
      <c r="G1006">
        <v>2018</v>
      </c>
      <c r="H1006" s="1">
        <v>43268</v>
      </c>
      <c r="I1006" t="s">
        <v>35625</v>
      </c>
      <c r="K1006" t="s">
        <v>8478</v>
      </c>
    </row>
    <row r="1007" spans="1:11" x14ac:dyDescent="0.15">
      <c r="A1007">
        <v>29906447</v>
      </c>
      <c r="B1007" t="s">
        <v>23969</v>
      </c>
      <c r="C1007" t="s">
        <v>35626</v>
      </c>
      <c r="D1007" t="s">
        <v>35627</v>
      </c>
      <c r="E1007" t="s">
        <v>35628</v>
      </c>
      <c r="F1007" t="s">
        <v>30555</v>
      </c>
      <c r="G1007">
        <v>2018</v>
      </c>
      <c r="H1007" s="1">
        <v>43267</v>
      </c>
      <c r="I1007" t="s">
        <v>35629</v>
      </c>
      <c r="J1007" t="s">
        <v>35630</v>
      </c>
      <c r="K1007" t="s">
        <v>23977</v>
      </c>
    </row>
    <row r="1008" spans="1:11" x14ac:dyDescent="0.15">
      <c r="A1008">
        <v>34006093</v>
      </c>
      <c r="B1008" t="s">
        <v>35631</v>
      </c>
      <c r="C1008" t="s">
        <v>35632</v>
      </c>
      <c r="D1008" t="s">
        <v>35633</v>
      </c>
      <c r="E1008" t="s">
        <v>35634</v>
      </c>
      <c r="F1008" t="s">
        <v>35635</v>
      </c>
      <c r="G1008">
        <v>2021</v>
      </c>
      <c r="H1008" s="1">
        <v>44335</v>
      </c>
      <c r="K1008" t="s">
        <v>35636</v>
      </c>
    </row>
    <row r="1009" spans="1:11" x14ac:dyDescent="0.15">
      <c r="A1009">
        <v>34426493</v>
      </c>
      <c r="B1009" t="s">
        <v>13025</v>
      </c>
      <c r="C1009" t="s">
        <v>35637</v>
      </c>
      <c r="D1009" t="s">
        <v>35638</v>
      </c>
      <c r="E1009" t="s">
        <v>35639</v>
      </c>
      <c r="F1009" t="s">
        <v>30767</v>
      </c>
      <c r="G1009">
        <v>2021</v>
      </c>
      <c r="H1009" s="1">
        <v>44432</v>
      </c>
      <c r="I1009" t="s">
        <v>35640</v>
      </c>
      <c r="K1009" t="s">
        <v>13036</v>
      </c>
    </row>
    <row r="1010" spans="1:11" x14ac:dyDescent="0.15">
      <c r="A1010">
        <v>35759303</v>
      </c>
      <c r="B1010" t="s">
        <v>11244</v>
      </c>
      <c r="C1010" t="s">
        <v>35641</v>
      </c>
      <c r="D1010" t="s">
        <v>35642</v>
      </c>
      <c r="E1010" t="s">
        <v>35643</v>
      </c>
      <c r="F1010" t="s">
        <v>34314</v>
      </c>
      <c r="G1010">
        <v>2022</v>
      </c>
      <c r="H1010" s="1">
        <v>44739</v>
      </c>
      <c r="K1010" t="s">
        <v>11256</v>
      </c>
    </row>
    <row r="1011" spans="1:11" x14ac:dyDescent="0.15">
      <c r="A1011">
        <v>30085064</v>
      </c>
      <c r="B1011" t="s">
        <v>35644</v>
      </c>
      <c r="C1011" t="s">
        <v>35645</v>
      </c>
      <c r="D1011" t="s">
        <v>35646</v>
      </c>
      <c r="E1011" t="s">
        <v>35647</v>
      </c>
      <c r="F1011" t="s">
        <v>35648</v>
      </c>
      <c r="G1011">
        <v>2018</v>
      </c>
      <c r="H1011" s="1">
        <v>43320</v>
      </c>
      <c r="K1011" t="s">
        <v>35649</v>
      </c>
    </row>
    <row r="1012" spans="1:11" x14ac:dyDescent="0.15">
      <c r="A1012">
        <v>33771977</v>
      </c>
      <c r="B1012" t="s">
        <v>16326</v>
      </c>
      <c r="C1012" t="s">
        <v>35650</v>
      </c>
      <c r="D1012" t="s">
        <v>35651</v>
      </c>
      <c r="E1012" t="s">
        <v>35652</v>
      </c>
      <c r="F1012" t="s">
        <v>30733</v>
      </c>
      <c r="G1012">
        <v>2021</v>
      </c>
      <c r="H1012" s="1">
        <v>44282</v>
      </c>
      <c r="I1012" t="s">
        <v>35653</v>
      </c>
      <c r="K1012" t="s">
        <v>16336</v>
      </c>
    </row>
    <row r="1013" spans="1:11" x14ac:dyDescent="0.15">
      <c r="A1013">
        <v>32648491</v>
      </c>
      <c r="B1013" t="s">
        <v>35654</v>
      </c>
      <c r="C1013" t="s">
        <v>35655</v>
      </c>
      <c r="D1013" t="s">
        <v>35656</v>
      </c>
      <c r="E1013" t="s">
        <v>35657</v>
      </c>
      <c r="F1013" t="s">
        <v>35658</v>
      </c>
      <c r="G1013">
        <v>2020</v>
      </c>
      <c r="H1013" s="1">
        <v>44023</v>
      </c>
      <c r="I1013" t="s">
        <v>35659</v>
      </c>
      <c r="J1013" t="s">
        <v>35660</v>
      </c>
      <c r="K1013" t="s">
        <v>35661</v>
      </c>
    </row>
    <row r="1014" spans="1:11" x14ac:dyDescent="0.15">
      <c r="A1014">
        <v>24152966</v>
      </c>
      <c r="B1014" t="s">
        <v>35662</v>
      </c>
      <c r="C1014" t="s">
        <v>35663</v>
      </c>
      <c r="D1014" t="s">
        <v>35664</v>
      </c>
      <c r="E1014" t="s">
        <v>35665</v>
      </c>
      <c r="F1014" t="s">
        <v>32352</v>
      </c>
      <c r="G1014">
        <v>2014</v>
      </c>
      <c r="H1014" s="1">
        <v>41572</v>
      </c>
      <c r="I1014" t="s">
        <v>35666</v>
      </c>
      <c r="J1014" t="s">
        <v>35667</v>
      </c>
      <c r="K1014" t="s">
        <v>35668</v>
      </c>
    </row>
    <row r="1015" spans="1:11" x14ac:dyDescent="0.15">
      <c r="A1015">
        <v>27753024</v>
      </c>
      <c r="B1015" t="s">
        <v>3548</v>
      </c>
      <c r="C1015" t="s">
        <v>35669</v>
      </c>
      <c r="D1015" t="s">
        <v>35670</v>
      </c>
      <c r="E1015" t="s">
        <v>35671</v>
      </c>
      <c r="F1015" t="s">
        <v>31023</v>
      </c>
      <c r="G1015">
        <v>2016</v>
      </c>
      <c r="H1015" s="1">
        <v>42662</v>
      </c>
      <c r="K1015" t="s">
        <v>3563</v>
      </c>
    </row>
    <row r="1016" spans="1:11" x14ac:dyDescent="0.15">
      <c r="A1016">
        <v>29328915</v>
      </c>
      <c r="B1016" t="s">
        <v>35672</v>
      </c>
      <c r="C1016" t="s">
        <v>35673</v>
      </c>
      <c r="D1016" t="s">
        <v>35674</v>
      </c>
      <c r="E1016" t="s">
        <v>35675</v>
      </c>
      <c r="F1016" t="s">
        <v>30555</v>
      </c>
      <c r="G1016">
        <v>2018</v>
      </c>
      <c r="H1016" s="1">
        <v>43113</v>
      </c>
      <c r="I1016" t="s">
        <v>35676</v>
      </c>
      <c r="J1016" t="s">
        <v>35677</v>
      </c>
      <c r="K1016" t="s">
        <v>35678</v>
      </c>
    </row>
    <row r="1017" spans="1:11" x14ac:dyDescent="0.15">
      <c r="A1017">
        <v>32105369</v>
      </c>
      <c r="B1017" t="s">
        <v>35679</v>
      </c>
      <c r="C1017" t="s">
        <v>35680</v>
      </c>
      <c r="D1017" t="s">
        <v>35681</v>
      </c>
      <c r="E1017" t="s">
        <v>32190</v>
      </c>
      <c r="F1017" t="s">
        <v>31105</v>
      </c>
      <c r="G1017">
        <v>2020</v>
      </c>
      <c r="H1017" s="1">
        <v>43889</v>
      </c>
      <c r="K1017" t="s">
        <v>35682</v>
      </c>
    </row>
    <row r="1018" spans="1:11" x14ac:dyDescent="0.15">
      <c r="A1018">
        <v>30928015</v>
      </c>
      <c r="B1018" t="s">
        <v>35683</v>
      </c>
      <c r="C1018" t="s">
        <v>35684</v>
      </c>
      <c r="D1018" t="s">
        <v>35685</v>
      </c>
      <c r="E1018" t="s">
        <v>35686</v>
      </c>
      <c r="F1018" t="s">
        <v>35687</v>
      </c>
      <c r="G1018">
        <v>2019</v>
      </c>
      <c r="H1018" s="1">
        <v>43556</v>
      </c>
      <c r="K1018" t="s">
        <v>35688</v>
      </c>
    </row>
    <row r="1019" spans="1:11" x14ac:dyDescent="0.15">
      <c r="A1019">
        <v>33539341</v>
      </c>
      <c r="B1019" t="s">
        <v>35689</v>
      </c>
      <c r="C1019" t="s">
        <v>35690</v>
      </c>
      <c r="D1019" t="s">
        <v>35691</v>
      </c>
      <c r="E1019" t="s">
        <v>35692</v>
      </c>
      <c r="F1019" t="s">
        <v>32470</v>
      </c>
      <c r="G1019">
        <v>2021</v>
      </c>
      <c r="H1019" s="1">
        <v>44231</v>
      </c>
      <c r="I1019" t="s">
        <v>35693</v>
      </c>
      <c r="K1019" t="s">
        <v>35694</v>
      </c>
    </row>
    <row r="1020" spans="1:11" x14ac:dyDescent="0.15">
      <c r="A1020">
        <v>30997751</v>
      </c>
      <c r="B1020" t="s">
        <v>12814</v>
      </c>
      <c r="C1020" t="s">
        <v>35695</v>
      </c>
      <c r="D1020" t="s">
        <v>35696</v>
      </c>
      <c r="E1020" t="s">
        <v>32935</v>
      </c>
      <c r="F1020" t="s">
        <v>31324</v>
      </c>
      <c r="G1020">
        <v>2019</v>
      </c>
      <c r="H1020" s="1">
        <v>43574</v>
      </c>
      <c r="I1020" t="s">
        <v>35697</v>
      </c>
      <c r="J1020" t="s">
        <v>35698</v>
      </c>
      <c r="K1020" t="s">
        <v>12827</v>
      </c>
    </row>
    <row r="1021" spans="1:11" x14ac:dyDescent="0.15">
      <c r="A1021">
        <v>33321257</v>
      </c>
      <c r="B1021" t="s">
        <v>35699</v>
      </c>
      <c r="C1021" t="s">
        <v>35700</v>
      </c>
      <c r="D1021" t="s">
        <v>35701</v>
      </c>
      <c r="E1021" t="s">
        <v>35702</v>
      </c>
      <c r="F1021" t="s">
        <v>32493</v>
      </c>
      <c r="G1021">
        <v>2021</v>
      </c>
      <c r="H1021" s="1">
        <v>44180</v>
      </c>
      <c r="K1021" t="s">
        <v>35703</v>
      </c>
    </row>
    <row r="1022" spans="1:11" x14ac:dyDescent="0.15">
      <c r="A1022">
        <v>26846164</v>
      </c>
      <c r="B1022" t="s">
        <v>35704</v>
      </c>
      <c r="C1022" t="s">
        <v>35705</v>
      </c>
      <c r="D1022" t="s">
        <v>35706</v>
      </c>
      <c r="E1022" t="s">
        <v>35707</v>
      </c>
      <c r="F1022" t="s">
        <v>32558</v>
      </c>
      <c r="G1022">
        <v>2016</v>
      </c>
      <c r="H1022" s="1">
        <v>42406</v>
      </c>
      <c r="I1022" t="s">
        <v>35708</v>
      </c>
      <c r="J1022" t="s">
        <v>35709</v>
      </c>
      <c r="K1022" t="s">
        <v>35710</v>
      </c>
    </row>
    <row r="1023" spans="1:11" x14ac:dyDescent="0.15">
      <c r="A1023">
        <v>27863260</v>
      </c>
      <c r="B1023" t="s">
        <v>35711</v>
      </c>
      <c r="C1023" t="s">
        <v>35712</v>
      </c>
      <c r="D1023" t="s">
        <v>35713</v>
      </c>
      <c r="E1023" t="s">
        <v>35714</v>
      </c>
      <c r="F1023" t="s">
        <v>33533</v>
      </c>
      <c r="G1023">
        <v>2017</v>
      </c>
      <c r="H1023" s="1">
        <v>42693</v>
      </c>
      <c r="K1023" t="s">
        <v>35715</v>
      </c>
    </row>
    <row r="1024" spans="1:11" x14ac:dyDescent="0.15">
      <c r="A1024">
        <v>18625304</v>
      </c>
      <c r="B1024" t="s">
        <v>884</v>
      </c>
      <c r="C1024" t="s">
        <v>35716</v>
      </c>
      <c r="D1024" t="s">
        <v>35717</v>
      </c>
      <c r="E1024" t="s">
        <v>31520</v>
      </c>
      <c r="F1024" t="s">
        <v>35718</v>
      </c>
      <c r="G1024">
        <v>2008</v>
      </c>
      <c r="H1024" s="1">
        <v>39645</v>
      </c>
      <c r="K1024" t="s">
        <v>897</v>
      </c>
    </row>
    <row r="1025" spans="1:11" x14ac:dyDescent="0.15">
      <c r="A1025">
        <v>21285958</v>
      </c>
      <c r="B1025" t="s">
        <v>9914</v>
      </c>
      <c r="C1025" t="s">
        <v>35719</v>
      </c>
      <c r="D1025" t="s">
        <v>35720</v>
      </c>
      <c r="E1025" t="s">
        <v>33829</v>
      </c>
      <c r="F1025" t="s">
        <v>30796</v>
      </c>
      <c r="G1025">
        <v>2011</v>
      </c>
      <c r="H1025" s="1">
        <v>40577</v>
      </c>
      <c r="I1025" t="s">
        <v>35721</v>
      </c>
      <c r="J1025" t="s">
        <v>35722</v>
      </c>
      <c r="K1025" t="s">
        <v>9922</v>
      </c>
    </row>
    <row r="1026" spans="1:11" x14ac:dyDescent="0.15">
      <c r="A1026">
        <v>24503127</v>
      </c>
      <c r="B1026" t="s">
        <v>35723</v>
      </c>
      <c r="C1026" t="s">
        <v>35724</v>
      </c>
      <c r="D1026" t="s">
        <v>35725</v>
      </c>
      <c r="E1026" t="s">
        <v>35726</v>
      </c>
      <c r="F1026" t="s">
        <v>30821</v>
      </c>
      <c r="G1026">
        <v>2014</v>
      </c>
      <c r="H1026" s="1">
        <v>41678</v>
      </c>
      <c r="K1026" t="s">
        <v>35727</v>
      </c>
    </row>
    <row r="1027" spans="1:11" x14ac:dyDescent="0.15">
      <c r="A1027">
        <v>25133686</v>
      </c>
      <c r="B1027" t="s">
        <v>35728</v>
      </c>
      <c r="C1027" t="s">
        <v>35729</v>
      </c>
      <c r="D1027" t="s">
        <v>35730</v>
      </c>
      <c r="E1027" t="s">
        <v>35471</v>
      </c>
      <c r="F1027" t="s">
        <v>31639</v>
      </c>
      <c r="G1027">
        <v>2014</v>
      </c>
      <c r="H1027" s="1">
        <v>41870</v>
      </c>
      <c r="I1027" t="s">
        <v>35731</v>
      </c>
      <c r="K1027" t="s">
        <v>6937</v>
      </c>
    </row>
    <row r="1028" spans="1:11" x14ac:dyDescent="0.15">
      <c r="A1028">
        <v>32706245</v>
      </c>
      <c r="B1028" t="s">
        <v>35732</v>
      </c>
      <c r="C1028" t="s">
        <v>35733</v>
      </c>
      <c r="D1028" t="s">
        <v>35734</v>
      </c>
      <c r="E1028" t="s">
        <v>35735</v>
      </c>
      <c r="F1028" t="s">
        <v>30956</v>
      </c>
      <c r="G1028">
        <v>2020</v>
      </c>
      <c r="H1028" s="1">
        <v>44037</v>
      </c>
      <c r="K1028" t="s">
        <v>35736</v>
      </c>
    </row>
    <row r="1029" spans="1:11" x14ac:dyDescent="0.15">
      <c r="A1029">
        <v>28470712</v>
      </c>
      <c r="B1029" t="s">
        <v>14627</v>
      </c>
      <c r="C1029" t="s">
        <v>35737</v>
      </c>
      <c r="D1029" t="s">
        <v>35738</v>
      </c>
      <c r="E1029" t="s">
        <v>35739</v>
      </c>
      <c r="F1029" t="s">
        <v>33483</v>
      </c>
      <c r="G1029">
        <v>2017</v>
      </c>
      <c r="H1029" s="1">
        <v>42860</v>
      </c>
      <c r="K1029" t="s">
        <v>14640</v>
      </c>
    </row>
    <row r="1030" spans="1:11" x14ac:dyDescent="0.15">
      <c r="A1030">
        <v>20484514</v>
      </c>
      <c r="B1030" t="s">
        <v>35740</v>
      </c>
      <c r="C1030" t="s">
        <v>35741</v>
      </c>
      <c r="D1030" t="s">
        <v>35742</v>
      </c>
      <c r="E1030" t="s">
        <v>35743</v>
      </c>
      <c r="F1030" t="s">
        <v>31970</v>
      </c>
      <c r="G1030">
        <v>2010</v>
      </c>
      <c r="H1030" s="1">
        <v>40319</v>
      </c>
      <c r="I1030" t="s">
        <v>35744</v>
      </c>
      <c r="K1030" t="s">
        <v>25142</v>
      </c>
    </row>
    <row r="1031" spans="1:11" x14ac:dyDescent="0.15">
      <c r="A1031">
        <v>33155647</v>
      </c>
      <c r="B1031" t="s">
        <v>35745</v>
      </c>
      <c r="C1031" t="s">
        <v>35746</v>
      </c>
      <c r="D1031" t="s">
        <v>35747</v>
      </c>
      <c r="E1031" t="s">
        <v>35748</v>
      </c>
      <c r="F1031" t="s">
        <v>34050</v>
      </c>
      <c r="G1031">
        <v>2020</v>
      </c>
      <c r="H1031" s="1">
        <v>44141</v>
      </c>
      <c r="K1031" t="s">
        <v>35749</v>
      </c>
    </row>
    <row r="1032" spans="1:11" x14ac:dyDescent="0.15">
      <c r="A1032">
        <v>26214286</v>
      </c>
      <c r="B1032" t="s">
        <v>35750</v>
      </c>
      <c r="C1032" t="s">
        <v>35751</v>
      </c>
      <c r="D1032" t="s">
        <v>35752</v>
      </c>
      <c r="E1032" t="s">
        <v>35753</v>
      </c>
      <c r="F1032" t="s">
        <v>35754</v>
      </c>
      <c r="G1032">
        <v>2015</v>
      </c>
      <c r="H1032" s="1">
        <v>42213</v>
      </c>
      <c r="K1032" t="s">
        <v>35755</v>
      </c>
    </row>
    <row r="1033" spans="1:11" x14ac:dyDescent="0.15">
      <c r="A1033">
        <v>22995828</v>
      </c>
      <c r="B1033" t="s">
        <v>35756</v>
      </c>
      <c r="C1033" t="s">
        <v>35757</v>
      </c>
      <c r="D1033" t="s">
        <v>35758</v>
      </c>
      <c r="E1033" t="s">
        <v>35759</v>
      </c>
      <c r="F1033" t="s">
        <v>31659</v>
      </c>
      <c r="G1033">
        <v>2013</v>
      </c>
      <c r="H1033" s="1">
        <v>41174</v>
      </c>
      <c r="I1033" t="s">
        <v>35760</v>
      </c>
      <c r="K1033" t="s">
        <v>35761</v>
      </c>
    </row>
    <row r="1034" spans="1:11" x14ac:dyDescent="0.15">
      <c r="A1034">
        <v>35159179</v>
      </c>
      <c r="B1034" t="s">
        <v>5479</v>
      </c>
      <c r="C1034" t="s">
        <v>35762</v>
      </c>
      <c r="D1034" t="s">
        <v>35763</v>
      </c>
      <c r="E1034" t="s">
        <v>35764</v>
      </c>
      <c r="F1034" t="s">
        <v>30655</v>
      </c>
      <c r="G1034">
        <v>2022</v>
      </c>
      <c r="H1034" s="1">
        <v>44607</v>
      </c>
      <c r="I1034" t="s">
        <v>35765</v>
      </c>
      <c r="K1034" t="s">
        <v>5488</v>
      </c>
    </row>
    <row r="1035" spans="1:11" x14ac:dyDescent="0.15">
      <c r="A1035">
        <v>2004649</v>
      </c>
      <c r="B1035" t="s">
        <v>35766</v>
      </c>
      <c r="C1035" t="s">
        <v>35767</v>
      </c>
      <c r="D1035" t="s">
        <v>35768</v>
      </c>
      <c r="E1035" t="s">
        <v>35769</v>
      </c>
      <c r="F1035" t="s">
        <v>32127</v>
      </c>
      <c r="G1035">
        <v>1991</v>
      </c>
      <c r="H1035" s="1">
        <v>33329</v>
      </c>
      <c r="K1035" t="s">
        <v>35770</v>
      </c>
    </row>
    <row r="1036" spans="1:11" x14ac:dyDescent="0.15">
      <c r="A1036">
        <v>29282861</v>
      </c>
      <c r="B1036" t="s">
        <v>35771</v>
      </c>
      <c r="C1036" t="s">
        <v>35772</v>
      </c>
      <c r="D1036" t="s">
        <v>35773</v>
      </c>
      <c r="E1036" t="s">
        <v>35774</v>
      </c>
      <c r="F1036" t="s">
        <v>30763</v>
      </c>
      <c r="G1036">
        <v>2018</v>
      </c>
      <c r="H1036" s="1">
        <v>43098</v>
      </c>
      <c r="K1036" t="s">
        <v>35775</v>
      </c>
    </row>
    <row r="1037" spans="1:11" x14ac:dyDescent="0.15">
      <c r="A1037">
        <v>34680868</v>
      </c>
      <c r="B1037" t="s">
        <v>35776</v>
      </c>
      <c r="C1037" t="s">
        <v>35777</v>
      </c>
      <c r="D1037" t="s">
        <v>35778</v>
      </c>
      <c r="E1037" t="s">
        <v>35779</v>
      </c>
      <c r="F1037" t="s">
        <v>30816</v>
      </c>
      <c r="G1037">
        <v>2021</v>
      </c>
      <c r="H1037" s="1">
        <v>44492</v>
      </c>
      <c r="I1037" t="s">
        <v>35780</v>
      </c>
      <c r="K1037" t="s">
        <v>35781</v>
      </c>
    </row>
    <row r="1038" spans="1:11" x14ac:dyDescent="0.15">
      <c r="A1038">
        <v>32865792</v>
      </c>
      <c r="B1038" t="s">
        <v>35782</v>
      </c>
      <c r="C1038" t="s">
        <v>35783</v>
      </c>
      <c r="D1038" t="s">
        <v>35784</v>
      </c>
      <c r="E1038" t="s">
        <v>35785</v>
      </c>
      <c r="F1038" t="s">
        <v>31003</v>
      </c>
      <c r="G1038">
        <v>2020</v>
      </c>
      <c r="H1038" s="1">
        <v>44075</v>
      </c>
      <c r="K1038" t="s">
        <v>35786</v>
      </c>
    </row>
    <row r="1039" spans="1:11" x14ac:dyDescent="0.15">
      <c r="A1039">
        <v>23755885</v>
      </c>
      <c r="B1039" t="s">
        <v>14684</v>
      </c>
      <c r="C1039" t="s">
        <v>35787</v>
      </c>
      <c r="D1039" t="s">
        <v>35788</v>
      </c>
      <c r="E1039" t="s">
        <v>35789</v>
      </c>
      <c r="F1039" t="s">
        <v>35790</v>
      </c>
      <c r="G1039">
        <v>2013</v>
      </c>
      <c r="H1039" s="1">
        <v>41438</v>
      </c>
      <c r="K1039" t="s">
        <v>14697</v>
      </c>
    </row>
    <row r="1040" spans="1:11" x14ac:dyDescent="0.15">
      <c r="A1040">
        <v>30484685</v>
      </c>
      <c r="B1040" t="s">
        <v>15296</v>
      </c>
      <c r="C1040" t="s">
        <v>35791</v>
      </c>
      <c r="D1040" t="s">
        <v>35792</v>
      </c>
      <c r="E1040" t="s">
        <v>35793</v>
      </c>
      <c r="F1040" t="s">
        <v>35794</v>
      </c>
      <c r="G1040">
        <v>2019</v>
      </c>
      <c r="H1040" s="1">
        <v>43433</v>
      </c>
      <c r="K1040" t="s">
        <v>15309</v>
      </c>
    </row>
    <row r="1041" spans="1:11" x14ac:dyDescent="0.15">
      <c r="A1041">
        <v>33960622</v>
      </c>
      <c r="B1041" t="s">
        <v>14011</v>
      </c>
      <c r="C1041" t="s">
        <v>35795</v>
      </c>
      <c r="D1041" t="s">
        <v>35796</v>
      </c>
      <c r="E1041" t="s">
        <v>35797</v>
      </c>
      <c r="F1041" t="s">
        <v>30763</v>
      </c>
      <c r="G1041">
        <v>2021</v>
      </c>
      <c r="H1041" s="1">
        <v>44323</v>
      </c>
      <c r="K1041" t="s">
        <v>14018</v>
      </c>
    </row>
    <row r="1042" spans="1:11" x14ac:dyDescent="0.15">
      <c r="A1042">
        <v>34346466</v>
      </c>
      <c r="B1042" t="s">
        <v>35798</v>
      </c>
      <c r="C1042" t="s">
        <v>35799</v>
      </c>
      <c r="D1042" t="s">
        <v>35800</v>
      </c>
      <c r="E1042" t="s">
        <v>35801</v>
      </c>
      <c r="F1042" t="s">
        <v>31678</v>
      </c>
      <c r="G1042">
        <v>2021</v>
      </c>
      <c r="H1042" s="1">
        <v>44412</v>
      </c>
      <c r="K1042" t="s">
        <v>35802</v>
      </c>
    </row>
    <row r="1043" spans="1:11" x14ac:dyDescent="0.15">
      <c r="A1043">
        <v>29867148</v>
      </c>
      <c r="B1043" t="s">
        <v>15068</v>
      </c>
      <c r="C1043" t="s">
        <v>35803</v>
      </c>
      <c r="D1043" t="s">
        <v>35804</v>
      </c>
      <c r="E1043" t="s">
        <v>35805</v>
      </c>
      <c r="F1043" t="s">
        <v>30834</v>
      </c>
      <c r="G1043">
        <v>2018</v>
      </c>
      <c r="H1043" s="1">
        <v>43257</v>
      </c>
      <c r="I1043" t="s">
        <v>35806</v>
      </c>
      <c r="K1043" t="s">
        <v>15078</v>
      </c>
    </row>
    <row r="1044" spans="1:11" x14ac:dyDescent="0.15">
      <c r="A1044">
        <v>24605048</v>
      </c>
      <c r="B1044" t="s">
        <v>35807</v>
      </c>
      <c r="C1044" t="s">
        <v>35808</v>
      </c>
      <c r="D1044" t="s">
        <v>35809</v>
      </c>
      <c r="E1044" t="s">
        <v>35810</v>
      </c>
      <c r="F1044" t="s">
        <v>35811</v>
      </c>
      <c r="G1044">
        <v>2014</v>
      </c>
      <c r="H1044" s="1">
        <v>41706</v>
      </c>
      <c r="I1044" t="s">
        <v>35812</v>
      </c>
      <c r="K1044" t="s">
        <v>12189</v>
      </c>
    </row>
    <row r="1045" spans="1:11" x14ac:dyDescent="0.15">
      <c r="A1045">
        <v>34837760</v>
      </c>
      <c r="B1045" t="s">
        <v>15337</v>
      </c>
      <c r="C1045" t="s">
        <v>35813</v>
      </c>
      <c r="D1045" t="s">
        <v>35814</v>
      </c>
      <c r="E1045" t="s">
        <v>35815</v>
      </c>
      <c r="F1045" t="s">
        <v>35816</v>
      </c>
      <c r="G1045">
        <v>2022</v>
      </c>
      <c r="H1045" s="1">
        <v>44527</v>
      </c>
      <c r="K1045" t="s">
        <v>15347</v>
      </c>
    </row>
    <row r="1046" spans="1:11" x14ac:dyDescent="0.15">
      <c r="A1046">
        <v>28087167</v>
      </c>
      <c r="B1046" t="s">
        <v>35817</v>
      </c>
      <c r="C1046" t="s">
        <v>35818</v>
      </c>
      <c r="D1046" t="s">
        <v>35819</v>
      </c>
      <c r="E1046" t="s">
        <v>35820</v>
      </c>
      <c r="F1046" t="s">
        <v>35821</v>
      </c>
      <c r="G1046">
        <v>2017</v>
      </c>
      <c r="H1046" s="1">
        <v>42750</v>
      </c>
      <c r="I1046" t="s">
        <v>35822</v>
      </c>
      <c r="J1046" t="s">
        <v>35823</v>
      </c>
      <c r="K1046" t="s">
        <v>35824</v>
      </c>
    </row>
    <row r="1047" spans="1:11" x14ac:dyDescent="0.15">
      <c r="A1047">
        <v>35193353</v>
      </c>
      <c r="B1047" t="s">
        <v>19896</v>
      </c>
      <c r="C1047" t="s">
        <v>35825</v>
      </c>
      <c r="D1047" t="s">
        <v>35826</v>
      </c>
      <c r="E1047" t="s">
        <v>35373</v>
      </c>
      <c r="F1047" t="s">
        <v>30956</v>
      </c>
      <c r="G1047">
        <v>2022</v>
      </c>
      <c r="H1047" s="1">
        <v>44615</v>
      </c>
      <c r="K1047" t="s">
        <v>19904</v>
      </c>
    </row>
    <row r="1048" spans="1:11" x14ac:dyDescent="0.15">
      <c r="A1048">
        <v>33798333</v>
      </c>
      <c r="B1048" t="s">
        <v>35827</v>
      </c>
      <c r="C1048" t="s">
        <v>35828</v>
      </c>
      <c r="D1048" t="s">
        <v>35829</v>
      </c>
      <c r="E1048" t="s">
        <v>35830</v>
      </c>
      <c r="F1048" t="s">
        <v>30956</v>
      </c>
      <c r="G1048">
        <v>2021</v>
      </c>
      <c r="H1048" s="1">
        <v>44288</v>
      </c>
      <c r="K1048" t="s">
        <v>35831</v>
      </c>
    </row>
    <row r="1049" spans="1:11" x14ac:dyDescent="0.15">
      <c r="A1049">
        <v>33422353</v>
      </c>
      <c r="B1049" t="s">
        <v>35832</v>
      </c>
      <c r="C1049" t="s">
        <v>35833</v>
      </c>
      <c r="D1049" t="s">
        <v>35834</v>
      </c>
      <c r="E1049" t="s">
        <v>35835</v>
      </c>
      <c r="F1049" t="s">
        <v>35836</v>
      </c>
      <c r="G1049">
        <v>2021</v>
      </c>
      <c r="H1049" s="1">
        <v>44206</v>
      </c>
      <c r="I1049" t="s">
        <v>35837</v>
      </c>
      <c r="J1049" t="s">
        <v>35838</v>
      </c>
      <c r="K1049" t="s">
        <v>35839</v>
      </c>
    </row>
    <row r="1050" spans="1:11" x14ac:dyDescent="0.15">
      <c r="A1050">
        <v>34008692</v>
      </c>
      <c r="B1050" t="s">
        <v>35840</v>
      </c>
      <c r="C1050" t="s">
        <v>35841</v>
      </c>
      <c r="D1050" t="s">
        <v>35842</v>
      </c>
      <c r="E1050" t="s">
        <v>33353</v>
      </c>
      <c r="F1050" t="s">
        <v>32035</v>
      </c>
      <c r="G1050">
        <v>2021</v>
      </c>
      <c r="H1050" s="1">
        <v>44335</v>
      </c>
      <c r="K1050" t="s">
        <v>35843</v>
      </c>
    </row>
    <row r="1051" spans="1:11" x14ac:dyDescent="0.15">
      <c r="A1051">
        <v>17174896</v>
      </c>
      <c r="B1051" t="s">
        <v>35844</v>
      </c>
      <c r="C1051" t="s">
        <v>35845</v>
      </c>
      <c r="D1051" t="s">
        <v>35846</v>
      </c>
      <c r="E1051" t="s">
        <v>35847</v>
      </c>
      <c r="F1051" t="s">
        <v>30555</v>
      </c>
      <c r="G1051">
        <v>2006</v>
      </c>
      <c r="H1051" s="1">
        <v>39070</v>
      </c>
      <c r="K1051" t="s">
        <v>35848</v>
      </c>
    </row>
    <row r="1052" spans="1:11" x14ac:dyDescent="0.15">
      <c r="A1052">
        <v>26556992</v>
      </c>
      <c r="B1052" t="s">
        <v>15182</v>
      </c>
      <c r="C1052" t="s">
        <v>35849</v>
      </c>
      <c r="D1052" t="s">
        <v>35850</v>
      </c>
      <c r="E1052" t="s">
        <v>35851</v>
      </c>
      <c r="F1052" t="s">
        <v>32590</v>
      </c>
      <c r="G1052">
        <v>2015</v>
      </c>
      <c r="H1052" s="1">
        <v>42320</v>
      </c>
      <c r="I1052" t="s">
        <v>35852</v>
      </c>
      <c r="K1052" t="s">
        <v>15192</v>
      </c>
    </row>
    <row r="1053" spans="1:11" x14ac:dyDescent="0.15">
      <c r="A1053">
        <v>18829542</v>
      </c>
      <c r="B1053" t="s">
        <v>18114</v>
      </c>
      <c r="C1053" t="s">
        <v>35853</v>
      </c>
      <c r="D1053" t="s">
        <v>35854</v>
      </c>
      <c r="E1053" t="s">
        <v>35855</v>
      </c>
      <c r="F1053" t="s">
        <v>31167</v>
      </c>
      <c r="G1053">
        <v>2008</v>
      </c>
      <c r="H1053" s="1">
        <v>39724</v>
      </c>
      <c r="I1053" t="s">
        <v>35856</v>
      </c>
      <c r="J1053" t="s">
        <v>35857</v>
      </c>
      <c r="K1053" t="s">
        <v>18123</v>
      </c>
    </row>
    <row r="1054" spans="1:11" x14ac:dyDescent="0.15">
      <c r="A1054">
        <v>34773243</v>
      </c>
      <c r="B1054" t="s">
        <v>35858</v>
      </c>
      <c r="C1054" t="s">
        <v>35859</v>
      </c>
      <c r="D1054" t="s">
        <v>35860</v>
      </c>
      <c r="E1054" t="s">
        <v>35861</v>
      </c>
      <c r="F1054" t="s">
        <v>31490</v>
      </c>
      <c r="G1054">
        <v>2022</v>
      </c>
      <c r="H1054" s="1">
        <v>44513</v>
      </c>
      <c r="K1054" t="s">
        <v>35862</v>
      </c>
    </row>
    <row r="1055" spans="1:11" x14ac:dyDescent="0.15">
      <c r="A1055">
        <v>22593716</v>
      </c>
      <c r="B1055" t="s">
        <v>35863</v>
      </c>
      <c r="C1055" t="s">
        <v>35864</v>
      </c>
      <c r="D1055" t="s">
        <v>35865</v>
      </c>
      <c r="E1055" t="s">
        <v>35866</v>
      </c>
      <c r="F1055" t="s">
        <v>35811</v>
      </c>
      <c r="G1055">
        <v>2012</v>
      </c>
      <c r="H1055" s="1">
        <v>41047</v>
      </c>
      <c r="I1055" t="s">
        <v>35867</v>
      </c>
      <c r="K1055" t="s">
        <v>18564</v>
      </c>
    </row>
    <row r="1056" spans="1:11" x14ac:dyDescent="0.15">
      <c r="A1056">
        <v>30382599</v>
      </c>
      <c r="B1056" t="s">
        <v>35868</v>
      </c>
      <c r="C1056" t="s">
        <v>35869</v>
      </c>
      <c r="D1056" t="s">
        <v>35870</v>
      </c>
      <c r="E1056" t="s">
        <v>35871</v>
      </c>
      <c r="F1056" t="s">
        <v>35872</v>
      </c>
      <c r="G1056">
        <v>2019</v>
      </c>
      <c r="H1056" s="1">
        <v>43406</v>
      </c>
      <c r="K1056" t="s">
        <v>35873</v>
      </c>
    </row>
    <row r="1057" spans="1:11" x14ac:dyDescent="0.15">
      <c r="A1057">
        <v>27998963</v>
      </c>
      <c r="B1057" t="s">
        <v>35874</v>
      </c>
      <c r="C1057" t="s">
        <v>35875</v>
      </c>
      <c r="D1057" t="s">
        <v>35876</v>
      </c>
      <c r="E1057" t="s">
        <v>35877</v>
      </c>
      <c r="F1057" t="s">
        <v>30605</v>
      </c>
      <c r="G1057">
        <v>2017</v>
      </c>
      <c r="H1057" s="1">
        <v>42726</v>
      </c>
      <c r="I1057" t="s">
        <v>35878</v>
      </c>
      <c r="K1057" t="s">
        <v>35879</v>
      </c>
    </row>
    <row r="1058" spans="1:11" x14ac:dyDescent="0.15">
      <c r="A1058">
        <v>23227894</v>
      </c>
      <c r="B1058" t="s">
        <v>35880</v>
      </c>
      <c r="C1058" t="s">
        <v>35881</v>
      </c>
      <c r="D1058" t="s">
        <v>35882</v>
      </c>
      <c r="E1058" t="s">
        <v>35883</v>
      </c>
      <c r="F1058" t="s">
        <v>31521</v>
      </c>
      <c r="G1058">
        <v>2013</v>
      </c>
      <c r="H1058" s="1">
        <v>41255</v>
      </c>
      <c r="K1058" t="s">
        <v>35884</v>
      </c>
    </row>
    <row r="1059" spans="1:11" x14ac:dyDescent="0.15">
      <c r="A1059">
        <v>32169503</v>
      </c>
      <c r="B1059" t="s">
        <v>35885</v>
      </c>
      <c r="C1059" t="s">
        <v>35886</v>
      </c>
      <c r="D1059" t="s">
        <v>35887</v>
      </c>
      <c r="E1059" t="s">
        <v>35888</v>
      </c>
      <c r="F1059" t="s">
        <v>35889</v>
      </c>
      <c r="G1059">
        <v>2020</v>
      </c>
      <c r="H1059" s="1">
        <v>43905</v>
      </c>
      <c r="K1059" t="s">
        <v>35890</v>
      </c>
    </row>
    <row r="1060" spans="1:11" x14ac:dyDescent="0.15">
      <c r="A1060">
        <v>15906406</v>
      </c>
      <c r="B1060" t="s">
        <v>35891</v>
      </c>
      <c r="C1060" t="s">
        <v>35892</v>
      </c>
      <c r="D1060" t="s">
        <v>35893</v>
      </c>
      <c r="E1060" t="s">
        <v>35894</v>
      </c>
      <c r="F1060" t="s">
        <v>33564</v>
      </c>
      <c r="G1060">
        <v>2005</v>
      </c>
      <c r="H1060" s="1">
        <v>38493</v>
      </c>
      <c r="K1060" t="s">
        <v>35895</v>
      </c>
    </row>
    <row r="1061" spans="1:11" x14ac:dyDescent="0.15">
      <c r="A1061">
        <v>23022668</v>
      </c>
      <c r="B1061" t="s">
        <v>7487</v>
      </c>
      <c r="C1061" t="s">
        <v>35896</v>
      </c>
      <c r="D1061" t="s">
        <v>35897</v>
      </c>
      <c r="E1061" t="s">
        <v>35898</v>
      </c>
      <c r="F1061" t="s">
        <v>35899</v>
      </c>
      <c r="G1061">
        <v>2013</v>
      </c>
      <c r="H1061" s="1">
        <v>41184</v>
      </c>
      <c r="I1061" t="s">
        <v>35900</v>
      </c>
      <c r="K1061" t="s">
        <v>7497</v>
      </c>
    </row>
    <row r="1062" spans="1:11" x14ac:dyDescent="0.15">
      <c r="A1062">
        <v>26604698</v>
      </c>
      <c r="B1062" t="s">
        <v>35901</v>
      </c>
      <c r="C1062" t="s">
        <v>35902</v>
      </c>
      <c r="D1062" t="s">
        <v>35903</v>
      </c>
      <c r="E1062" t="s">
        <v>35904</v>
      </c>
      <c r="F1062" t="s">
        <v>35905</v>
      </c>
      <c r="G1062">
        <v>2015</v>
      </c>
      <c r="H1062" s="1">
        <v>42334</v>
      </c>
      <c r="I1062" t="s">
        <v>35906</v>
      </c>
      <c r="K1062" t="s">
        <v>35907</v>
      </c>
    </row>
    <row r="1063" spans="1:11" x14ac:dyDescent="0.15">
      <c r="A1063">
        <v>1383382</v>
      </c>
      <c r="B1063" t="s">
        <v>35908</v>
      </c>
      <c r="C1063" t="s">
        <v>35909</v>
      </c>
      <c r="D1063" t="s">
        <v>35910</v>
      </c>
      <c r="E1063" t="s">
        <v>35911</v>
      </c>
      <c r="F1063" t="s">
        <v>30840</v>
      </c>
      <c r="G1063">
        <v>1992</v>
      </c>
      <c r="H1063" s="1">
        <v>33878</v>
      </c>
      <c r="I1063" t="s">
        <v>35912</v>
      </c>
      <c r="K1063" t="s">
        <v>35913</v>
      </c>
    </row>
    <row r="1064" spans="1:11" x14ac:dyDescent="0.15">
      <c r="A1064">
        <v>32105824</v>
      </c>
      <c r="B1064" t="s">
        <v>17579</v>
      </c>
      <c r="C1064" t="s">
        <v>35914</v>
      </c>
      <c r="D1064" t="s">
        <v>35915</v>
      </c>
      <c r="E1064" t="s">
        <v>35916</v>
      </c>
      <c r="F1064" t="s">
        <v>35889</v>
      </c>
      <c r="G1064">
        <v>2020</v>
      </c>
      <c r="H1064" s="1">
        <v>43889</v>
      </c>
      <c r="K1064" t="s">
        <v>17592</v>
      </c>
    </row>
    <row r="1065" spans="1:11" x14ac:dyDescent="0.15">
      <c r="A1065">
        <v>15837433</v>
      </c>
      <c r="B1065" t="s">
        <v>35917</v>
      </c>
      <c r="C1065" t="s">
        <v>35918</v>
      </c>
      <c r="D1065" t="s">
        <v>35919</v>
      </c>
      <c r="E1065" t="s">
        <v>31670</v>
      </c>
      <c r="F1065" t="s">
        <v>31577</v>
      </c>
      <c r="G1065">
        <v>2005</v>
      </c>
      <c r="H1065" s="1">
        <v>38462</v>
      </c>
      <c r="K1065" t="s">
        <v>35920</v>
      </c>
    </row>
    <row r="1066" spans="1:11" x14ac:dyDescent="0.15">
      <c r="A1066">
        <v>3753981</v>
      </c>
      <c r="B1066" t="s">
        <v>35921</v>
      </c>
      <c r="C1066" t="s">
        <v>35922</v>
      </c>
      <c r="D1066" t="s">
        <v>35923</v>
      </c>
      <c r="E1066" t="s">
        <v>35924</v>
      </c>
      <c r="F1066" t="s">
        <v>30828</v>
      </c>
      <c r="G1066">
        <v>1986</v>
      </c>
      <c r="H1066" s="1">
        <v>31472</v>
      </c>
      <c r="I1066" t="s">
        <v>35925</v>
      </c>
      <c r="K1066" t="s">
        <v>35926</v>
      </c>
    </row>
    <row r="1067" spans="1:11" x14ac:dyDescent="0.15">
      <c r="A1067">
        <v>26350316</v>
      </c>
      <c r="B1067" t="s">
        <v>35927</v>
      </c>
      <c r="C1067" t="s">
        <v>35928</v>
      </c>
      <c r="D1067" t="s">
        <v>35929</v>
      </c>
      <c r="E1067" t="s">
        <v>35930</v>
      </c>
      <c r="F1067" t="s">
        <v>35365</v>
      </c>
      <c r="G1067">
        <v>2015</v>
      </c>
      <c r="H1067" s="1">
        <v>42257</v>
      </c>
      <c r="I1067" t="s">
        <v>35931</v>
      </c>
      <c r="J1067" t="s">
        <v>35932</v>
      </c>
      <c r="K1067" t="s">
        <v>35933</v>
      </c>
    </row>
    <row r="1068" spans="1:11" x14ac:dyDescent="0.15">
      <c r="A1068">
        <v>30536653</v>
      </c>
      <c r="B1068" t="s">
        <v>15696</v>
      </c>
      <c r="C1068" t="s">
        <v>35934</v>
      </c>
      <c r="D1068" t="s">
        <v>35935</v>
      </c>
      <c r="E1068" t="s">
        <v>35936</v>
      </c>
      <c r="F1068" t="s">
        <v>33483</v>
      </c>
      <c r="G1068">
        <v>2019</v>
      </c>
      <c r="H1068" s="1">
        <v>43446</v>
      </c>
      <c r="K1068" t="s">
        <v>15706</v>
      </c>
    </row>
    <row r="1069" spans="1:11" x14ac:dyDescent="0.15">
      <c r="A1069">
        <v>24022222</v>
      </c>
      <c r="B1069" t="s">
        <v>35937</v>
      </c>
      <c r="C1069" t="s">
        <v>35938</v>
      </c>
      <c r="D1069" t="s">
        <v>35939</v>
      </c>
      <c r="E1069" t="s">
        <v>35940</v>
      </c>
      <c r="F1069" t="s">
        <v>35941</v>
      </c>
      <c r="G1069">
        <v>2013</v>
      </c>
      <c r="H1069" s="1">
        <v>41529</v>
      </c>
      <c r="K1069" t="s">
        <v>35942</v>
      </c>
    </row>
    <row r="1070" spans="1:11" x14ac:dyDescent="0.15">
      <c r="A1070">
        <v>9245765</v>
      </c>
      <c r="B1070" t="s">
        <v>35943</v>
      </c>
      <c r="C1070" t="s">
        <v>35944</v>
      </c>
      <c r="D1070" t="s">
        <v>35945</v>
      </c>
      <c r="E1070" t="s">
        <v>35946</v>
      </c>
      <c r="F1070" t="s">
        <v>35947</v>
      </c>
      <c r="G1070">
        <v>1997</v>
      </c>
      <c r="H1070" s="1">
        <v>35643</v>
      </c>
      <c r="K1070" t="s">
        <v>15592</v>
      </c>
    </row>
    <row r="1071" spans="1:11" x14ac:dyDescent="0.15">
      <c r="A1071">
        <v>34454680</v>
      </c>
      <c r="B1071" t="s">
        <v>9679</v>
      </c>
      <c r="C1071" t="s">
        <v>35948</v>
      </c>
      <c r="D1071" t="s">
        <v>35949</v>
      </c>
      <c r="E1071" t="s">
        <v>35950</v>
      </c>
      <c r="F1071" t="s">
        <v>35951</v>
      </c>
      <c r="G1071">
        <v>2021</v>
      </c>
      <c r="H1071" s="1">
        <v>44437</v>
      </c>
      <c r="K1071" t="s">
        <v>9692</v>
      </c>
    </row>
    <row r="1072" spans="1:11" x14ac:dyDescent="0.15">
      <c r="A1072">
        <v>30257227</v>
      </c>
      <c r="B1072" t="s">
        <v>35952</v>
      </c>
      <c r="C1072" t="s">
        <v>35953</v>
      </c>
      <c r="D1072" t="s">
        <v>35954</v>
      </c>
      <c r="E1072" t="s">
        <v>35955</v>
      </c>
      <c r="F1072" t="s">
        <v>35956</v>
      </c>
      <c r="G1072">
        <v>2018</v>
      </c>
      <c r="H1072" s="1">
        <v>43370</v>
      </c>
      <c r="K1072" t="s">
        <v>35957</v>
      </c>
    </row>
    <row r="1073" spans="1:11" x14ac:dyDescent="0.15">
      <c r="A1073">
        <v>1697030</v>
      </c>
      <c r="B1073" t="s">
        <v>35958</v>
      </c>
      <c r="C1073" t="s">
        <v>35959</v>
      </c>
      <c r="D1073" t="s">
        <v>35960</v>
      </c>
      <c r="E1073" t="s">
        <v>35961</v>
      </c>
      <c r="F1073" t="s">
        <v>33347</v>
      </c>
      <c r="G1073">
        <v>1990</v>
      </c>
      <c r="H1073" s="1">
        <v>33117</v>
      </c>
      <c r="I1073" t="s">
        <v>35962</v>
      </c>
      <c r="K1073" t="s">
        <v>35963</v>
      </c>
    </row>
    <row r="1074" spans="1:11" x14ac:dyDescent="0.15">
      <c r="A1074">
        <v>20506116</v>
      </c>
      <c r="B1074" t="s">
        <v>35964</v>
      </c>
      <c r="C1074" t="s">
        <v>35965</v>
      </c>
      <c r="D1074" t="s">
        <v>35966</v>
      </c>
      <c r="E1074" t="s">
        <v>35967</v>
      </c>
      <c r="F1074" t="s">
        <v>30847</v>
      </c>
      <c r="G1074">
        <v>2010</v>
      </c>
      <c r="H1074" s="1">
        <v>40326</v>
      </c>
      <c r="K1074" t="s">
        <v>35968</v>
      </c>
    </row>
    <row r="1075" spans="1:11" x14ac:dyDescent="0.15">
      <c r="A1075">
        <v>6981641</v>
      </c>
      <c r="B1075" t="s">
        <v>35969</v>
      </c>
      <c r="C1075" t="s">
        <v>35970</v>
      </c>
      <c r="D1075" t="s">
        <v>35971</v>
      </c>
      <c r="E1075" t="s">
        <v>35972</v>
      </c>
      <c r="F1075" t="s">
        <v>32185</v>
      </c>
      <c r="G1075">
        <v>1982</v>
      </c>
      <c r="H1075" s="1">
        <v>30225</v>
      </c>
      <c r="I1075" t="s">
        <v>35973</v>
      </c>
      <c r="K1075" t="s">
        <v>35974</v>
      </c>
    </row>
    <row r="1076" spans="1:11" x14ac:dyDescent="0.15">
      <c r="A1076">
        <v>20980822</v>
      </c>
      <c r="B1076" t="s">
        <v>35975</v>
      </c>
      <c r="C1076" t="s">
        <v>35976</v>
      </c>
      <c r="D1076" t="s">
        <v>35977</v>
      </c>
      <c r="E1076" t="s">
        <v>35978</v>
      </c>
      <c r="F1076" t="s">
        <v>35979</v>
      </c>
      <c r="G1076">
        <v>2010</v>
      </c>
      <c r="H1076" s="1">
        <v>40480</v>
      </c>
      <c r="K1076" t="s">
        <v>35980</v>
      </c>
    </row>
    <row r="1077" spans="1:11" x14ac:dyDescent="0.15">
      <c r="A1077">
        <v>24887393</v>
      </c>
      <c r="B1077" t="s">
        <v>35981</v>
      </c>
      <c r="C1077" t="s">
        <v>35982</v>
      </c>
      <c r="D1077" t="s">
        <v>35983</v>
      </c>
      <c r="E1077" t="s">
        <v>35984</v>
      </c>
      <c r="F1077" t="s">
        <v>35985</v>
      </c>
      <c r="G1077">
        <v>2014</v>
      </c>
      <c r="H1077" s="1">
        <v>41793</v>
      </c>
      <c r="I1077" t="s">
        <v>35986</v>
      </c>
      <c r="J1077" t="s">
        <v>35987</v>
      </c>
      <c r="K1077" t="s">
        <v>35988</v>
      </c>
    </row>
    <row r="1078" spans="1:11" x14ac:dyDescent="0.15">
      <c r="A1078">
        <v>30578260</v>
      </c>
      <c r="B1078" t="s">
        <v>17235</v>
      </c>
      <c r="C1078" t="s">
        <v>35989</v>
      </c>
      <c r="D1078" t="s">
        <v>35990</v>
      </c>
      <c r="E1078" t="s">
        <v>35991</v>
      </c>
      <c r="F1078" t="s">
        <v>32165</v>
      </c>
      <c r="G1078">
        <v>2019</v>
      </c>
      <c r="H1078" s="1">
        <v>43457</v>
      </c>
      <c r="I1078" t="s">
        <v>35992</v>
      </c>
      <c r="K1078" t="s">
        <v>17244</v>
      </c>
    </row>
    <row r="1079" spans="1:11" x14ac:dyDescent="0.15">
      <c r="A1079">
        <v>28225755</v>
      </c>
      <c r="B1079" t="s">
        <v>35993</v>
      </c>
      <c r="C1079" t="s">
        <v>35994</v>
      </c>
      <c r="D1079" t="s">
        <v>35995</v>
      </c>
      <c r="E1079" t="s">
        <v>35996</v>
      </c>
      <c r="F1079" t="s">
        <v>34237</v>
      </c>
      <c r="G1079">
        <v>2017</v>
      </c>
      <c r="H1079" s="1">
        <v>42789</v>
      </c>
      <c r="K1079" t="s">
        <v>35997</v>
      </c>
    </row>
    <row r="1080" spans="1:11" x14ac:dyDescent="0.15">
      <c r="A1080">
        <v>16920200</v>
      </c>
      <c r="B1080" t="s">
        <v>16695</v>
      </c>
      <c r="C1080" t="s">
        <v>35998</v>
      </c>
      <c r="D1080" t="s">
        <v>35999</v>
      </c>
      <c r="E1080" t="s">
        <v>36000</v>
      </c>
      <c r="F1080" t="s">
        <v>36001</v>
      </c>
      <c r="G1080">
        <v>2006</v>
      </c>
      <c r="H1080" s="1">
        <v>38951</v>
      </c>
      <c r="I1080" t="s">
        <v>36002</v>
      </c>
      <c r="J1080" t="s">
        <v>36003</v>
      </c>
      <c r="K1080" t="s">
        <v>16705</v>
      </c>
    </row>
    <row r="1081" spans="1:11" x14ac:dyDescent="0.15">
      <c r="A1081">
        <v>15136153</v>
      </c>
      <c r="B1081" t="s">
        <v>36004</v>
      </c>
      <c r="C1081" t="s">
        <v>36005</v>
      </c>
      <c r="D1081" t="s">
        <v>36006</v>
      </c>
      <c r="E1081" t="s">
        <v>36007</v>
      </c>
      <c r="F1081" t="s">
        <v>36008</v>
      </c>
      <c r="G1081">
        <v>2004</v>
      </c>
      <c r="H1081" s="1">
        <v>38119</v>
      </c>
      <c r="K1081" t="s">
        <v>36009</v>
      </c>
    </row>
    <row r="1082" spans="1:11" x14ac:dyDescent="0.15">
      <c r="A1082">
        <v>18007593</v>
      </c>
      <c r="B1082" t="s">
        <v>36010</v>
      </c>
      <c r="C1082" t="s">
        <v>36011</v>
      </c>
      <c r="D1082" t="s">
        <v>36012</v>
      </c>
      <c r="E1082" t="s">
        <v>36013</v>
      </c>
      <c r="F1082" t="s">
        <v>35307</v>
      </c>
      <c r="G1082">
        <v>2007</v>
      </c>
      <c r="H1082" s="1">
        <v>39403</v>
      </c>
      <c r="I1082" t="s">
        <v>36014</v>
      </c>
      <c r="K1082" t="s">
        <v>36015</v>
      </c>
    </row>
    <row r="1083" spans="1:11" x14ac:dyDescent="0.15">
      <c r="A1083">
        <v>16553852</v>
      </c>
      <c r="B1083" t="s">
        <v>21335</v>
      </c>
      <c r="C1083" t="s">
        <v>36016</v>
      </c>
      <c r="D1083" t="s">
        <v>36017</v>
      </c>
      <c r="E1083" t="s">
        <v>36018</v>
      </c>
      <c r="F1083" t="s">
        <v>35648</v>
      </c>
      <c r="G1083">
        <v>2006</v>
      </c>
      <c r="H1083" s="1">
        <v>38800</v>
      </c>
      <c r="K1083" t="s">
        <v>21345</v>
      </c>
    </row>
    <row r="1084" spans="1:11" x14ac:dyDescent="0.15">
      <c r="A1084">
        <v>17704127</v>
      </c>
      <c r="B1084" t="s">
        <v>36019</v>
      </c>
      <c r="C1084" t="s">
        <v>36020</v>
      </c>
      <c r="D1084" t="s">
        <v>36021</v>
      </c>
      <c r="E1084" t="s">
        <v>36022</v>
      </c>
      <c r="F1084" t="s">
        <v>31587</v>
      </c>
      <c r="G1084">
        <v>2007</v>
      </c>
      <c r="H1084" s="1">
        <v>39315</v>
      </c>
      <c r="I1084" t="s">
        <v>36023</v>
      </c>
      <c r="K1084" t="s">
        <v>36024</v>
      </c>
    </row>
    <row r="1085" spans="1:11" x14ac:dyDescent="0.15">
      <c r="A1085">
        <v>23980617</v>
      </c>
      <c r="B1085" t="s">
        <v>36025</v>
      </c>
      <c r="C1085" t="s">
        <v>36026</v>
      </c>
      <c r="D1085" t="s">
        <v>36027</v>
      </c>
      <c r="E1085" t="s">
        <v>36028</v>
      </c>
      <c r="F1085" t="s">
        <v>36029</v>
      </c>
      <c r="G1085">
        <v>2013</v>
      </c>
      <c r="H1085" s="1">
        <v>41515</v>
      </c>
      <c r="I1085" t="s">
        <v>36030</v>
      </c>
      <c r="J1085" t="s">
        <v>36031</v>
      </c>
      <c r="K1085" t="s">
        <v>36032</v>
      </c>
    </row>
    <row r="1086" spans="1:11" x14ac:dyDescent="0.15">
      <c r="A1086">
        <v>29520561</v>
      </c>
      <c r="B1086" t="s">
        <v>36033</v>
      </c>
      <c r="C1086" t="s">
        <v>36034</v>
      </c>
      <c r="D1086" t="s">
        <v>36035</v>
      </c>
      <c r="E1086" t="s">
        <v>36036</v>
      </c>
      <c r="F1086" t="s">
        <v>36037</v>
      </c>
      <c r="G1086">
        <v>2018</v>
      </c>
      <c r="H1086" s="1">
        <v>43169</v>
      </c>
      <c r="K1086" t="s">
        <v>36038</v>
      </c>
    </row>
    <row r="1087" spans="1:11" x14ac:dyDescent="0.15">
      <c r="A1087">
        <v>15256559</v>
      </c>
      <c r="B1087" t="s">
        <v>12288</v>
      </c>
      <c r="C1087" t="s">
        <v>36039</v>
      </c>
      <c r="D1087" t="s">
        <v>36040</v>
      </c>
      <c r="E1087" t="s">
        <v>36041</v>
      </c>
      <c r="F1087" t="s">
        <v>33208</v>
      </c>
      <c r="G1087">
        <v>2004</v>
      </c>
      <c r="H1087" s="1">
        <v>38185</v>
      </c>
      <c r="K1087" t="s">
        <v>12298</v>
      </c>
    </row>
    <row r="1088" spans="1:11" x14ac:dyDescent="0.15">
      <c r="A1088">
        <v>23303825</v>
      </c>
      <c r="B1088" t="s">
        <v>36042</v>
      </c>
      <c r="C1088" t="s">
        <v>36043</v>
      </c>
      <c r="D1088" t="s">
        <v>36044</v>
      </c>
      <c r="E1088" t="s">
        <v>36045</v>
      </c>
      <c r="F1088" t="s">
        <v>30600</v>
      </c>
      <c r="G1088">
        <v>2013</v>
      </c>
      <c r="H1088" s="1">
        <v>41285</v>
      </c>
      <c r="I1088" t="s">
        <v>36046</v>
      </c>
      <c r="K1088" t="s">
        <v>36047</v>
      </c>
    </row>
    <row r="1089" spans="1:11" x14ac:dyDescent="0.15">
      <c r="A1089">
        <v>35581740</v>
      </c>
      <c r="B1089" t="s">
        <v>20654</v>
      </c>
      <c r="C1089" t="s">
        <v>36048</v>
      </c>
      <c r="D1089" t="s">
        <v>36049</v>
      </c>
      <c r="E1089" t="s">
        <v>36050</v>
      </c>
      <c r="F1089" t="s">
        <v>35105</v>
      </c>
      <c r="G1089">
        <v>2022</v>
      </c>
      <c r="H1089" s="1">
        <v>44699</v>
      </c>
      <c r="I1089" t="s">
        <v>36051</v>
      </c>
      <c r="K1089" t="s">
        <v>20665</v>
      </c>
    </row>
    <row r="1090" spans="1:11" x14ac:dyDescent="0.15">
      <c r="A1090">
        <v>29513618</v>
      </c>
      <c r="B1090" t="s">
        <v>36052</v>
      </c>
      <c r="C1090" t="s">
        <v>36053</v>
      </c>
      <c r="D1090" t="s">
        <v>36054</v>
      </c>
      <c r="E1090" t="s">
        <v>36055</v>
      </c>
      <c r="F1090" t="s">
        <v>36056</v>
      </c>
      <c r="G1090">
        <v>2018</v>
      </c>
      <c r="H1090" s="1">
        <v>43167</v>
      </c>
      <c r="I1090" t="s">
        <v>36057</v>
      </c>
      <c r="K1090" t="s">
        <v>36058</v>
      </c>
    </row>
    <row r="1091" spans="1:11" x14ac:dyDescent="0.15">
      <c r="A1091">
        <v>3335047</v>
      </c>
      <c r="B1091" t="s">
        <v>36059</v>
      </c>
      <c r="C1091" t="s">
        <v>36060</v>
      </c>
      <c r="D1091" t="s">
        <v>36061</v>
      </c>
      <c r="E1091" t="s">
        <v>36062</v>
      </c>
      <c r="F1091" t="s">
        <v>33702</v>
      </c>
      <c r="G1091">
        <v>1988</v>
      </c>
      <c r="H1091" s="1">
        <v>32143</v>
      </c>
      <c r="K1091" t="s">
        <v>36063</v>
      </c>
    </row>
    <row r="1092" spans="1:11" x14ac:dyDescent="0.15">
      <c r="A1092">
        <v>24748612</v>
      </c>
      <c r="B1092" t="s">
        <v>36064</v>
      </c>
      <c r="C1092" t="s">
        <v>36065</v>
      </c>
      <c r="D1092" t="s">
        <v>36066</v>
      </c>
      <c r="E1092" t="s">
        <v>32672</v>
      </c>
      <c r="F1092" t="s">
        <v>32185</v>
      </c>
      <c r="G1092">
        <v>2014</v>
      </c>
      <c r="H1092" s="1">
        <v>41751</v>
      </c>
      <c r="I1092" t="s">
        <v>36067</v>
      </c>
      <c r="K1092" t="s">
        <v>10384</v>
      </c>
    </row>
    <row r="1093" spans="1:11" x14ac:dyDescent="0.15">
      <c r="A1093">
        <v>1730636</v>
      </c>
      <c r="B1093" t="s">
        <v>36068</v>
      </c>
      <c r="C1093" t="s">
        <v>36069</v>
      </c>
      <c r="D1093" t="s">
        <v>36070</v>
      </c>
      <c r="E1093" t="s">
        <v>36071</v>
      </c>
      <c r="F1093" t="s">
        <v>31594</v>
      </c>
      <c r="G1093">
        <v>1992</v>
      </c>
      <c r="H1093" s="1">
        <v>33618</v>
      </c>
    </row>
    <row r="1094" spans="1:11" x14ac:dyDescent="0.15">
      <c r="A1094">
        <v>16841193</v>
      </c>
      <c r="B1094" t="s">
        <v>36072</v>
      </c>
      <c r="C1094" t="s">
        <v>36073</v>
      </c>
      <c r="D1094" t="s">
        <v>36074</v>
      </c>
      <c r="E1094" t="s">
        <v>36075</v>
      </c>
      <c r="F1094" t="s">
        <v>36076</v>
      </c>
      <c r="G1094">
        <v>2006</v>
      </c>
      <c r="H1094" s="1">
        <v>38913</v>
      </c>
      <c r="K1094" t="s">
        <v>19498</v>
      </c>
    </row>
    <row r="1095" spans="1:11" x14ac:dyDescent="0.15">
      <c r="A1095">
        <v>9430674</v>
      </c>
      <c r="B1095" t="s">
        <v>36077</v>
      </c>
      <c r="C1095" t="s">
        <v>36078</v>
      </c>
      <c r="D1095" t="s">
        <v>36079</v>
      </c>
      <c r="E1095" t="s">
        <v>36080</v>
      </c>
      <c r="F1095" t="s">
        <v>31594</v>
      </c>
      <c r="G1095">
        <v>1998</v>
      </c>
      <c r="H1095" s="1">
        <v>35822</v>
      </c>
      <c r="K1095" t="s">
        <v>36081</v>
      </c>
    </row>
    <row r="1096" spans="1:11" x14ac:dyDescent="0.15">
      <c r="A1096">
        <v>17640085</v>
      </c>
      <c r="B1096" t="s">
        <v>36082</v>
      </c>
      <c r="C1096" t="s">
        <v>36083</v>
      </c>
      <c r="D1096" t="s">
        <v>36084</v>
      </c>
      <c r="E1096" t="s">
        <v>36085</v>
      </c>
      <c r="F1096" t="s">
        <v>36086</v>
      </c>
      <c r="G1096">
        <v>2007</v>
      </c>
      <c r="H1096" s="1">
        <v>39284</v>
      </c>
      <c r="K1096" t="s">
        <v>36087</v>
      </c>
    </row>
    <row r="1097" spans="1:11" x14ac:dyDescent="0.15">
      <c r="A1097">
        <v>30509943</v>
      </c>
      <c r="B1097" t="s">
        <v>36088</v>
      </c>
      <c r="C1097" t="s">
        <v>36089</v>
      </c>
      <c r="D1097" t="s">
        <v>36090</v>
      </c>
      <c r="E1097" t="s">
        <v>36091</v>
      </c>
      <c r="F1097" t="s">
        <v>36092</v>
      </c>
      <c r="G1097">
        <v>2019</v>
      </c>
      <c r="H1097" s="1">
        <v>43439</v>
      </c>
      <c r="I1097" t="s">
        <v>36093</v>
      </c>
      <c r="K1097" t="s">
        <v>9495</v>
      </c>
    </row>
    <row r="1098" spans="1:11" x14ac:dyDescent="0.15">
      <c r="A1098">
        <v>18426909</v>
      </c>
      <c r="B1098" t="s">
        <v>36094</v>
      </c>
      <c r="C1098" t="s">
        <v>36095</v>
      </c>
      <c r="D1098" t="s">
        <v>36096</v>
      </c>
      <c r="E1098" t="s">
        <v>36097</v>
      </c>
      <c r="F1098" t="s">
        <v>33347</v>
      </c>
      <c r="G1098">
        <v>2008</v>
      </c>
      <c r="H1098" s="1">
        <v>39561</v>
      </c>
      <c r="I1098" t="s">
        <v>36098</v>
      </c>
      <c r="K1098" t="s">
        <v>36099</v>
      </c>
    </row>
    <row r="1099" spans="1:11" x14ac:dyDescent="0.15">
      <c r="A1099">
        <v>34649994</v>
      </c>
      <c r="B1099" t="s">
        <v>23318</v>
      </c>
      <c r="C1099" t="s">
        <v>36100</v>
      </c>
      <c r="D1099" t="s">
        <v>36101</v>
      </c>
      <c r="E1099" t="s">
        <v>36102</v>
      </c>
      <c r="F1099" t="s">
        <v>30767</v>
      </c>
      <c r="G1099">
        <v>2021</v>
      </c>
      <c r="H1099" s="1">
        <v>44484</v>
      </c>
      <c r="I1099" t="s">
        <v>36103</v>
      </c>
      <c r="K1099" t="s">
        <v>23328</v>
      </c>
    </row>
    <row r="1100" spans="1:11" x14ac:dyDescent="0.15">
      <c r="A1100">
        <v>24034793</v>
      </c>
      <c r="B1100" t="s">
        <v>7571</v>
      </c>
      <c r="C1100" t="s">
        <v>36104</v>
      </c>
      <c r="D1100" t="s">
        <v>36105</v>
      </c>
      <c r="E1100" t="s">
        <v>36106</v>
      </c>
      <c r="F1100" t="s">
        <v>31521</v>
      </c>
      <c r="G1100">
        <v>2014</v>
      </c>
      <c r="H1100" s="1">
        <v>41534</v>
      </c>
      <c r="K1100" t="s">
        <v>7583</v>
      </c>
    </row>
    <row r="1101" spans="1:11" x14ac:dyDescent="0.15">
      <c r="A1101">
        <v>29309057</v>
      </c>
      <c r="B1101" t="s">
        <v>36107</v>
      </c>
      <c r="C1101" t="s">
        <v>36108</v>
      </c>
      <c r="D1101" t="s">
        <v>36109</v>
      </c>
      <c r="E1101" t="s">
        <v>36110</v>
      </c>
      <c r="F1101" t="s">
        <v>36111</v>
      </c>
      <c r="G1101">
        <v>2018</v>
      </c>
      <c r="H1101" s="1">
        <v>43109</v>
      </c>
      <c r="K1101" t="s">
        <v>36112</v>
      </c>
    </row>
    <row r="1102" spans="1:11" x14ac:dyDescent="0.15">
      <c r="A1102">
        <v>31720646</v>
      </c>
      <c r="B1102" t="s">
        <v>27337</v>
      </c>
      <c r="C1102" t="s">
        <v>36113</v>
      </c>
      <c r="D1102" t="s">
        <v>36114</v>
      </c>
      <c r="E1102" t="s">
        <v>36115</v>
      </c>
      <c r="F1102" t="s">
        <v>31678</v>
      </c>
      <c r="G1102">
        <v>2019</v>
      </c>
      <c r="H1102" s="1">
        <v>43783</v>
      </c>
      <c r="I1102" t="s">
        <v>36116</v>
      </c>
      <c r="J1102" t="s">
        <v>36117</v>
      </c>
      <c r="K1102" t="s">
        <v>27346</v>
      </c>
    </row>
    <row r="1103" spans="1:11" x14ac:dyDescent="0.15">
      <c r="A1103">
        <v>7077301</v>
      </c>
      <c r="B1103" t="s">
        <v>36118</v>
      </c>
      <c r="C1103" t="s">
        <v>36119</v>
      </c>
      <c r="D1103" t="s">
        <v>36120</v>
      </c>
      <c r="E1103" t="s">
        <v>36121</v>
      </c>
      <c r="F1103" t="s">
        <v>36122</v>
      </c>
      <c r="G1103">
        <v>1982</v>
      </c>
      <c r="H1103" s="1">
        <v>30042</v>
      </c>
      <c r="K1103" t="s">
        <v>36123</v>
      </c>
    </row>
    <row r="1104" spans="1:11" x14ac:dyDescent="0.15">
      <c r="A1104">
        <v>30835829</v>
      </c>
      <c r="B1104" t="s">
        <v>36124</v>
      </c>
      <c r="C1104" t="s">
        <v>36125</v>
      </c>
      <c r="D1104" t="s">
        <v>36126</v>
      </c>
      <c r="E1104" t="s">
        <v>36127</v>
      </c>
      <c r="F1104" t="s">
        <v>30847</v>
      </c>
      <c r="G1104">
        <v>2019</v>
      </c>
      <c r="H1104" s="1">
        <v>43530</v>
      </c>
      <c r="K1104" t="s">
        <v>36128</v>
      </c>
    </row>
    <row r="1105" spans="1:11" x14ac:dyDescent="0.15">
      <c r="A1105">
        <v>15220333</v>
      </c>
      <c r="B1105" t="s">
        <v>36129</v>
      </c>
      <c r="C1105" t="s">
        <v>36130</v>
      </c>
      <c r="D1105" t="s">
        <v>36131</v>
      </c>
      <c r="E1105" t="s">
        <v>36132</v>
      </c>
      <c r="F1105" t="s">
        <v>31594</v>
      </c>
      <c r="G1105">
        <v>2004</v>
      </c>
      <c r="H1105" s="1">
        <v>38167</v>
      </c>
      <c r="K1105" t="s">
        <v>36133</v>
      </c>
    </row>
    <row r="1106" spans="1:11" x14ac:dyDescent="0.15">
      <c r="A1106">
        <v>34229573</v>
      </c>
      <c r="B1106" t="s">
        <v>36134</v>
      </c>
      <c r="C1106" t="s">
        <v>36135</v>
      </c>
      <c r="D1106" t="s">
        <v>36136</v>
      </c>
      <c r="E1106" t="s">
        <v>36137</v>
      </c>
      <c r="F1106" t="s">
        <v>31659</v>
      </c>
      <c r="G1106">
        <v>2021</v>
      </c>
      <c r="H1106" s="1">
        <v>44384</v>
      </c>
      <c r="I1106" t="s">
        <v>36138</v>
      </c>
      <c r="K1106" t="s">
        <v>36139</v>
      </c>
    </row>
    <row r="1107" spans="1:11" x14ac:dyDescent="0.15">
      <c r="A1107">
        <v>31863816</v>
      </c>
      <c r="B1107" t="s">
        <v>36140</v>
      </c>
      <c r="C1107" t="s">
        <v>36141</v>
      </c>
      <c r="D1107" t="s">
        <v>36142</v>
      </c>
      <c r="E1107" t="s">
        <v>36143</v>
      </c>
      <c r="F1107" t="s">
        <v>30881</v>
      </c>
      <c r="G1107">
        <v>2020</v>
      </c>
      <c r="H1107" s="1">
        <v>43821</v>
      </c>
      <c r="I1107" t="s">
        <v>36144</v>
      </c>
      <c r="J1107" t="s">
        <v>36145</v>
      </c>
      <c r="K1107" t="s">
        <v>36146</v>
      </c>
    </row>
    <row r="1108" spans="1:11" x14ac:dyDescent="0.15">
      <c r="A1108">
        <v>17286953</v>
      </c>
      <c r="B1108" t="s">
        <v>19366</v>
      </c>
      <c r="C1108" t="s">
        <v>36147</v>
      </c>
      <c r="D1108" t="s">
        <v>36148</v>
      </c>
      <c r="E1108" t="s">
        <v>36149</v>
      </c>
      <c r="F1108" t="s">
        <v>36150</v>
      </c>
      <c r="G1108">
        <v>2007</v>
      </c>
      <c r="H1108" s="1">
        <v>39122</v>
      </c>
      <c r="K1108" t="s">
        <v>19378</v>
      </c>
    </row>
    <row r="1109" spans="1:11" x14ac:dyDescent="0.15">
      <c r="A1109">
        <v>18024180</v>
      </c>
      <c r="B1109" t="s">
        <v>36151</v>
      </c>
      <c r="C1109" t="s">
        <v>36152</v>
      </c>
      <c r="D1109" t="s">
        <v>36153</v>
      </c>
      <c r="E1109" t="s">
        <v>36154</v>
      </c>
      <c r="F1109" t="s">
        <v>36155</v>
      </c>
      <c r="G1109">
        <v>2008</v>
      </c>
      <c r="H1109" s="1">
        <v>39407</v>
      </c>
      <c r="K1109" t="s">
        <v>36156</v>
      </c>
    </row>
    <row r="1110" spans="1:11" x14ac:dyDescent="0.15">
      <c r="A1110">
        <v>27075392</v>
      </c>
      <c r="B1110" t="s">
        <v>14059</v>
      </c>
      <c r="C1110" t="s">
        <v>36157</v>
      </c>
      <c r="D1110" t="s">
        <v>36158</v>
      </c>
      <c r="E1110" t="s">
        <v>36159</v>
      </c>
      <c r="F1110" t="s">
        <v>30796</v>
      </c>
      <c r="G1110">
        <v>2016</v>
      </c>
      <c r="H1110" s="1">
        <v>42475</v>
      </c>
      <c r="I1110" t="s">
        <v>36160</v>
      </c>
      <c r="K1110" t="s">
        <v>14068</v>
      </c>
    </row>
    <row r="1111" spans="1:11" x14ac:dyDescent="0.15">
      <c r="A1111">
        <v>31957088</v>
      </c>
      <c r="B1111" t="s">
        <v>19432</v>
      </c>
      <c r="C1111" t="s">
        <v>36161</v>
      </c>
      <c r="D1111" t="s">
        <v>36162</v>
      </c>
      <c r="E1111" t="s">
        <v>36163</v>
      </c>
      <c r="F1111" t="s">
        <v>32264</v>
      </c>
      <c r="G1111">
        <v>2020</v>
      </c>
      <c r="H1111" s="1">
        <v>43851</v>
      </c>
      <c r="K1111" t="s">
        <v>19442</v>
      </c>
    </row>
    <row r="1112" spans="1:11" x14ac:dyDescent="0.15">
      <c r="A1112">
        <v>12788944</v>
      </c>
      <c r="B1112" t="s">
        <v>36164</v>
      </c>
      <c r="C1112" t="s">
        <v>36165</v>
      </c>
      <c r="D1112" t="s">
        <v>36166</v>
      </c>
      <c r="E1112" t="s">
        <v>36167</v>
      </c>
      <c r="F1112" t="s">
        <v>31594</v>
      </c>
      <c r="G1112">
        <v>2003</v>
      </c>
      <c r="H1112" s="1">
        <v>37778</v>
      </c>
      <c r="K1112" t="s">
        <v>36168</v>
      </c>
    </row>
    <row r="1113" spans="1:11" x14ac:dyDescent="0.15">
      <c r="A1113">
        <v>14963039</v>
      </c>
      <c r="B1113" t="s">
        <v>15093</v>
      </c>
      <c r="C1113" t="s">
        <v>36169</v>
      </c>
      <c r="D1113" t="s">
        <v>36170</v>
      </c>
      <c r="E1113" t="s">
        <v>36171</v>
      </c>
      <c r="F1113" t="s">
        <v>31594</v>
      </c>
      <c r="G1113">
        <v>2004</v>
      </c>
      <c r="H1113" s="1">
        <v>38031</v>
      </c>
      <c r="K1113" t="s">
        <v>15102</v>
      </c>
    </row>
    <row r="1114" spans="1:11" x14ac:dyDescent="0.15">
      <c r="A1114">
        <v>34605236</v>
      </c>
      <c r="B1114" t="s">
        <v>20806</v>
      </c>
      <c r="C1114" t="s">
        <v>36172</v>
      </c>
      <c r="D1114" t="s">
        <v>36173</v>
      </c>
      <c r="E1114" t="s">
        <v>35005</v>
      </c>
      <c r="F1114" t="s">
        <v>30956</v>
      </c>
      <c r="G1114">
        <v>2021</v>
      </c>
      <c r="H1114" s="1">
        <v>44473</v>
      </c>
      <c r="K1114" t="s">
        <v>20815</v>
      </c>
    </row>
    <row r="1115" spans="1:11" x14ac:dyDescent="0.15">
      <c r="A1115">
        <v>24631214</v>
      </c>
      <c r="B1115" t="s">
        <v>11118</v>
      </c>
      <c r="C1115" t="s">
        <v>36174</v>
      </c>
      <c r="D1115" t="s">
        <v>36175</v>
      </c>
      <c r="E1115" t="s">
        <v>36176</v>
      </c>
      <c r="F1115" t="s">
        <v>36177</v>
      </c>
      <c r="G1115">
        <v>2014</v>
      </c>
      <c r="H1115" s="1">
        <v>41716</v>
      </c>
      <c r="I1115" t="s">
        <v>36178</v>
      </c>
      <c r="J1115" t="s">
        <v>36179</v>
      </c>
      <c r="K1115" t="s">
        <v>11131</v>
      </c>
    </row>
    <row r="1116" spans="1:11" x14ac:dyDescent="0.15">
      <c r="A1116">
        <v>23806215</v>
      </c>
      <c r="B1116" t="s">
        <v>36180</v>
      </c>
      <c r="C1116" t="s">
        <v>36181</v>
      </c>
      <c r="D1116" t="s">
        <v>36182</v>
      </c>
      <c r="E1116" t="s">
        <v>33353</v>
      </c>
      <c r="F1116" t="s">
        <v>35899</v>
      </c>
      <c r="G1116">
        <v>2013</v>
      </c>
      <c r="H1116" s="1">
        <v>41454</v>
      </c>
      <c r="K1116" t="s">
        <v>36183</v>
      </c>
    </row>
    <row r="1117" spans="1:11" x14ac:dyDescent="0.15">
      <c r="A1117">
        <v>23020974</v>
      </c>
      <c r="B1117" t="s">
        <v>36184</v>
      </c>
      <c r="C1117" t="s">
        <v>36185</v>
      </c>
      <c r="D1117" t="s">
        <v>36186</v>
      </c>
      <c r="E1117" t="s">
        <v>36187</v>
      </c>
      <c r="F1117" t="s">
        <v>36188</v>
      </c>
      <c r="G1117">
        <v>2012</v>
      </c>
      <c r="H1117" s="1">
        <v>41184</v>
      </c>
      <c r="K1117" t="s">
        <v>36189</v>
      </c>
    </row>
    <row r="1118" spans="1:11" x14ac:dyDescent="0.15">
      <c r="A1118">
        <v>31996469</v>
      </c>
      <c r="B1118" t="s">
        <v>36190</v>
      </c>
      <c r="C1118" t="s">
        <v>36191</v>
      </c>
      <c r="D1118" t="s">
        <v>36192</v>
      </c>
      <c r="E1118" t="s">
        <v>36193</v>
      </c>
      <c r="F1118" t="s">
        <v>33984</v>
      </c>
      <c r="G1118">
        <v>2020</v>
      </c>
      <c r="H1118" s="1">
        <v>43861</v>
      </c>
      <c r="K1118" t="s">
        <v>36194</v>
      </c>
    </row>
    <row r="1119" spans="1:11" x14ac:dyDescent="0.15">
      <c r="A1119">
        <v>6206833</v>
      </c>
      <c r="B1119" t="s">
        <v>36195</v>
      </c>
      <c r="C1119" t="s">
        <v>36196</v>
      </c>
      <c r="D1119" t="s">
        <v>36197</v>
      </c>
      <c r="E1119" t="s">
        <v>36198</v>
      </c>
      <c r="F1119" t="s">
        <v>36199</v>
      </c>
      <c r="G1119">
        <v>1984</v>
      </c>
      <c r="H1119" s="1">
        <v>30682</v>
      </c>
      <c r="K1119" t="s">
        <v>36200</v>
      </c>
    </row>
    <row r="1120" spans="1:11" x14ac:dyDescent="0.15">
      <c r="A1120">
        <v>31307864</v>
      </c>
      <c r="B1120" t="s">
        <v>11895</v>
      </c>
      <c r="C1120" t="s">
        <v>36201</v>
      </c>
      <c r="D1120" t="s">
        <v>36202</v>
      </c>
      <c r="E1120" t="s">
        <v>36203</v>
      </c>
      <c r="F1120" t="s">
        <v>36204</v>
      </c>
      <c r="G1120">
        <v>2019</v>
      </c>
      <c r="H1120" s="1">
        <v>43663</v>
      </c>
      <c r="I1120" t="s">
        <v>36205</v>
      </c>
      <c r="J1120" t="s">
        <v>36206</v>
      </c>
      <c r="K1120" t="s">
        <v>11906</v>
      </c>
    </row>
    <row r="1121" spans="1:11" x14ac:dyDescent="0.15">
      <c r="A1121">
        <v>20659009</v>
      </c>
      <c r="B1121" t="s">
        <v>36207</v>
      </c>
      <c r="C1121" t="s">
        <v>36208</v>
      </c>
      <c r="D1121" t="s">
        <v>36209</v>
      </c>
      <c r="E1121" t="s">
        <v>36210</v>
      </c>
      <c r="F1121" t="s">
        <v>34050</v>
      </c>
      <c r="G1121">
        <v>2010</v>
      </c>
      <c r="H1121" s="1">
        <v>40387</v>
      </c>
      <c r="K1121" t="s">
        <v>36211</v>
      </c>
    </row>
    <row r="1122" spans="1:11" x14ac:dyDescent="0.15">
      <c r="A1122">
        <v>11929972</v>
      </c>
      <c r="B1122" t="s">
        <v>36212</v>
      </c>
      <c r="C1122" t="s">
        <v>36213</v>
      </c>
      <c r="D1122" t="s">
        <v>36214</v>
      </c>
      <c r="E1122" t="s">
        <v>36215</v>
      </c>
      <c r="F1122" t="s">
        <v>30767</v>
      </c>
      <c r="G1122">
        <v>2002</v>
      </c>
      <c r="H1122" s="1">
        <v>37350</v>
      </c>
      <c r="I1122" t="s">
        <v>36216</v>
      </c>
      <c r="K1122" t="s">
        <v>36217</v>
      </c>
    </row>
    <row r="1123" spans="1:11" x14ac:dyDescent="0.15">
      <c r="A1123">
        <v>1644924</v>
      </c>
      <c r="B1123" t="s">
        <v>36218</v>
      </c>
      <c r="C1123" t="s">
        <v>36219</v>
      </c>
      <c r="D1123" t="s">
        <v>36220</v>
      </c>
      <c r="E1123" t="s">
        <v>36221</v>
      </c>
      <c r="F1123" t="s">
        <v>30566</v>
      </c>
      <c r="G1123">
        <v>1992</v>
      </c>
      <c r="H1123" s="1">
        <v>33817</v>
      </c>
      <c r="I1123" t="s">
        <v>36222</v>
      </c>
      <c r="K1123" t="s">
        <v>36223</v>
      </c>
    </row>
    <row r="1124" spans="1:11" x14ac:dyDescent="0.15">
      <c r="A1124">
        <v>34060032</v>
      </c>
      <c r="B1124" t="s">
        <v>36224</v>
      </c>
      <c r="C1124" t="s">
        <v>36225</v>
      </c>
      <c r="D1124" t="s">
        <v>36226</v>
      </c>
      <c r="E1124" t="s">
        <v>36227</v>
      </c>
      <c r="F1124" t="s">
        <v>31003</v>
      </c>
      <c r="G1124">
        <v>2021</v>
      </c>
      <c r="H1124" s="1">
        <v>44348</v>
      </c>
      <c r="K1124" t="s">
        <v>36228</v>
      </c>
    </row>
    <row r="1125" spans="1:11" x14ac:dyDescent="0.15">
      <c r="A1125">
        <v>33593396</v>
      </c>
      <c r="B1125" t="s">
        <v>36229</v>
      </c>
      <c r="C1125" t="s">
        <v>36230</v>
      </c>
      <c r="D1125" t="s">
        <v>36231</v>
      </c>
      <c r="E1125" t="s">
        <v>36232</v>
      </c>
      <c r="F1125" t="s">
        <v>30630</v>
      </c>
      <c r="G1125">
        <v>2021</v>
      </c>
      <c r="H1125" s="1">
        <v>44244</v>
      </c>
      <c r="I1125" t="s">
        <v>36233</v>
      </c>
      <c r="K1125" t="s">
        <v>36234</v>
      </c>
    </row>
    <row r="1126" spans="1:11" x14ac:dyDescent="0.15">
      <c r="A1126">
        <v>10907991</v>
      </c>
      <c r="B1126" t="s">
        <v>36235</v>
      </c>
      <c r="C1126" t="s">
        <v>36236</v>
      </c>
      <c r="D1126" t="s">
        <v>36237</v>
      </c>
      <c r="E1126" t="s">
        <v>36238</v>
      </c>
      <c r="F1126" t="s">
        <v>36239</v>
      </c>
      <c r="G1126">
        <v>2000</v>
      </c>
      <c r="H1126" s="1">
        <v>36732</v>
      </c>
      <c r="K1126" t="s">
        <v>21977</v>
      </c>
    </row>
    <row r="1127" spans="1:11" x14ac:dyDescent="0.15">
      <c r="A1127">
        <v>26480919</v>
      </c>
      <c r="B1127" t="s">
        <v>22886</v>
      </c>
      <c r="C1127" t="s">
        <v>36240</v>
      </c>
      <c r="D1127" t="s">
        <v>36241</v>
      </c>
      <c r="E1127" t="s">
        <v>36242</v>
      </c>
      <c r="F1127" t="s">
        <v>36243</v>
      </c>
      <c r="G1127">
        <v>2015</v>
      </c>
      <c r="H1127" s="1">
        <v>42298</v>
      </c>
      <c r="K1127" t="s">
        <v>22900</v>
      </c>
    </row>
    <row r="1128" spans="1:11" x14ac:dyDescent="0.15">
      <c r="A1128">
        <v>20833130</v>
      </c>
      <c r="B1128" t="s">
        <v>5203</v>
      </c>
      <c r="C1128" t="s">
        <v>36244</v>
      </c>
      <c r="D1128" t="s">
        <v>36245</v>
      </c>
      <c r="E1128" t="s">
        <v>36246</v>
      </c>
      <c r="F1128" t="s">
        <v>32654</v>
      </c>
      <c r="G1128">
        <v>2010</v>
      </c>
      <c r="H1128" s="1">
        <v>40435</v>
      </c>
      <c r="I1128" t="s">
        <v>36247</v>
      </c>
      <c r="J1128" t="s">
        <v>36248</v>
      </c>
      <c r="K1128" t="s">
        <v>5214</v>
      </c>
    </row>
    <row r="1129" spans="1:11" x14ac:dyDescent="0.15">
      <c r="A1129">
        <v>7790057</v>
      </c>
      <c r="B1129" t="s">
        <v>36249</v>
      </c>
      <c r="C1129" t="s">
        <v>36250</v>
      </c>
      <c r="D1129" t="s">
        <v>36251</v>
      </c>
      <c r="E1129" t="s">
        <v>36252</v>
      </c>
      <c r="F1129" t="s">
        <v>33746</v>
      </c>
      <c r="G1129">
        <v>1995</v>
      </c>
      <c r="H1129" s="1">
        <v>34881</v>
      </c>
      <c r="I1129" t="s">
        <v>36253</v>
      </c>
      <c r="K1129" t="s">
        <v>36254</v>
      </c>
    </row>
    <row r="1130" spans="1:11" x14ac:dyDescent="0.15">
      <c r="A1130">
        <v>34229724</v>
      </c>
      <c r="B1130" t="s">
        <v>36255</v>
      </c>
      <c r="C1130" t="s">
        <v>36256</v>
      </c>
      <c r="D1130" t="s">
        <v>36257</v>
      </c>
      <c r="E1130" t="s">
        <v>36258</v>
      </c>
      <c r="F1130" t="s">
        <v>33082</v>
      </c>
      <c r="G1130">
        <v>2021</v>
      </c>
      <c r="H1130" s="1">
        <v>44384</v>
      </c>
      <c r="I1130" t="s">
        <v>36259</v>
      </c>
      <c r="K1130" t="s">
        <v>36260</v>
      </c>
    </row>
    <row r="1131" spans="1:11" x14ac:dyDescent="0.15">
      <c r="A1131">
        <v>1846881</v>
      </c>
      <c r="B1131" t="s">
        <v>36261</v>
      </c>
      <c r="C1131" t="s">
        <v>36262</v>
      </c>
      <c r="D1131" t="s">
        <v>36263</v>
      </c>
      <c r="E1131" t="s">
        <v>36264</v>
      </c>
      <c r="F1131" t="s">
        <v>30566</v>
      </c>
      <c r="G1131">
        <v>1991</v>
      </c>
      <c r="H1131" s="1">
        <v>33270</v>
      </c>
      <c r="I1131" t="s">
        <v>36265</v>
      </c>
      <c r="K1131" t="s">
        <v>26319</v>
      </c>
    </row>
    <row r="1132" spans="1:11" x14ac:dyDescent="0.15">
      <c r="A1132">
        <v>3574460</v>
      </c>
      <c r="B1132" t="s">
        <v>36266</v>
      </c>
      <c r="C1132" t="s">
        <v>36267</v>
      </c>
      <c r="D1132" t="s">
        <v>36268</v>
      </c>
      <c r="E1132" t="s">
        <v>36269</v>
      </c>
      <c r="F1132" t="s">
        <v>34237</v>
      </c>
      <c r="G1132">
        <v>1987</v>
      </c>
      <c r="H1132" s="1">
        <v>31873</v>
      </c>
      <c r="K1132" t="s">
        <v>36270</v>
      </c>
    </row>
    <row r="1133" spans="1:11" x14ac:dyDescent="0.15">
      <c r="A1133">
        <v>19458082</v>
      </c>
      <c r="B1133" t="s">
        <v>36271</v>
      </c>
      <c r="C1133" t="s">
        <v>36272</v>
      </c>
      <c r="D1133" t="s">
        <v>36273</v>
      </c>
      <c r="E1133" t="s">
        <v>36274</v>
      </c>
      <c r="F1133" t="s">
        <v>31594</v>
      </c>
      <c r="G1133">
        <v>2009</v>
      </c>
      <c r="H1133" s="1">
        <v>39955</v>
      </c>
      <c r="I1133" t="s">
        <v>36275</v>
      </c>
      <c r="K1133" t="s">
        <v>36276</v>
      </c>
    </row>
    <row r="1134" spans="1:11" x14ac:dyDescent="0.15">
      <c r="A1134">
        <v>21430174</v>
      </c>
      <c r="B1134" t="s">
        <v>36277</v>
      </c>
      <c r="C1134" t="s">
        <v>36278</v>
      </c>
      <c r="D1134" t="s">
        <v>36279</v>
      </c>
      <c r="E1134" t="s">
        <v>36280</v>
      </c>
      <c r="F1134" t="s">
        <v>31291</v>
      </c>
      <c r="G1134">
        <v>2011</v>
      </c>
      <c r="H1134" s="1">
        <v>40627</v>
      </c>
      <c r="I1134" t="s">
        <v>36281</v>
      </c>
      <c r="J1134" t="s">
        <v>36282</v>
      </c>
      <c r="K1134" t="s">
        <v>36283</v>
      </c>
    </row>
    <row r="1135" spans="1:11" x14ac:dyDescent="0.15">
      <c r="A1135">
        <v>35112881</v>
      </c>
      <c r="B1135" t="s">
        <v>15901</v>
      </c>
      <c r="C1135" t="s">
        <v>36284</v>
      </c>
      <c r="D1135" t="s">
        <v>36285</v>
      </c>
      <c r="E1135" t="s">
        <v>32575</v>
      </c>
      <c r="F1135" t="s">
        <v>36286</v>
      </c>
      <c r="G1135">
        <v>2022</v>
      </c>
      <c r="H1135" s="1">
        <v>44595</v>
      </c>
      <c r="I1135" t="s">
        <v>36287</v>
      </c>
      <c r="K1135" t="s">
        <v>15911</v>
      </c>
    </row>
    <row r="1136" spans="1:11" x14ac:dyDescent="0.15">
      <c r="A1136">
        <v>19521526</v>
      </c>
      <c r="B1136" t="s">
        <v>36288</v>
      </c>
      <c r="C1136" t="s">
        <v>36289</v>
      </c>
      <c r="D1136" t="s">
        <v>36290</v>
      </c>
      <c r="E1136" t="s">
        <v>36291</v>
      </c>
      <c r="F1136" t="s">
        <v>31639</v>
      </c>
      <c r="G1136">
        <v>2009</v>
      </c>
      <c r="H1136" s="1">
        <v>39977</v>
      </c>
      <c r="I1136" t="s">
        <v>36292</v>
      </c>
      <c r="K1136" t="s">
        <v>36293</v>
      </c>
    </row>
    <row r="1137" spans="1:11" x14ac:dyDescent="0.15">
      <c r="A1137">
        <v>31152821</v>
      </c>
      <c r="B1137" t="s">
        <v>36294</v>
      </c>
      <c r="C1137" t="s">
        <v>36295</v>
      </c>
      <c r="D1137" t="s">
        <v>36296</v>
      </c>
      <c r="E1137" t="s">
        <v>36297</v>
      </c>
      <c r="F1137" t="s">
        <v>33151</v>
      </c>
      <c r="G1137">
        <v>2019</v>
      </c>
      <c r="H1137" s="1">
        <v>43618</v>
      </c>
      <c r="I1137" t="s">
        <v>36298</v>
      </c>
      <c r="J1137" t="s">
        <v>36299</v>
      </c>
      <c r="K1137" t="s">
        <v>36300</v>
      </c>
    </row>
    <row r="1138" spans="1:11" x14ac:dyDescent="0.15">
      <c r="A1138">
        <v>25867090</v>
      </c>
      <c r="B1138" t="s">
        <v>36301</v>
      </c>
      <c r="C1138" t="s">
        <v>36302</v>
      </c>
      <c r="D1138" t="s">
        <v>36303</v>
      </c>
      <c r="E1138" t="s">
        <v>36304</v>
      </c>
      <c r="F1138" t="s">
        <v>30853</v>
      </c>
      <c r="G1138">
        <v>2015</v>
      </c>
      <c r="H1138" s="1">
        <v>42108</v>
      </c>
      <c r="I1138" t="s">
        <v>36305</v>
      </c>
      <c r="K1138" t="s">
        <v>36306</v>
      </c>
    </row>
    <row r="1139" spans="1:11" x14ac:dyDescent="0.15">
      <c r="A1139">
        <v>32170015</v>
      </c>
      <c r="B1139" t="s">
        <v>22858</v>
      </c>
      <c r="C1139" t="s">
        <v>36307</v>
      </c>
      <c r="D1139" t="s">
        <v>36308</v>
      </c>
      <c r="E1139" t="s">
        <v>36309</v>
      </c>
      <c r="F1139" t="s">
        <v>30767</v>
      </c>
      <c r="G1139">
        <v>2020</v>
      </c>
      <c r="H1139" s="1">
        <v>43905</v>
      </c>
      <c r="I1139" t="s">
        <v>36310</v>
      </c>
      <c r="K1139" t="s">
        <v>22868</v>
      </c>
    </row>
    <row r="1140" spans="1:11" x14ac:dyDescent="0.15">
      <c r="A1140">
        <v>20566852</v>
      </c>
      <c r="B1140" t="s">
        <v>36311</v>
      </c>
      <c r="C1140" t="s">
        <v>36312</v>
      </c>
      <c r="D1140" t="s">
        <v>36313</v>
      </c>
      <c r="E1140" t="s">
        <v>36314</v>
      </c>
      <c r="F1140" t="s">
        <v>30767</v>
      </c>
      <c r="G1140">
        <v>2010</v>
      </c>
      <c r="H1140" s="1">
        <v>40352</v>
      </c>
      <c r="I1140" t="s">
        <v>36315</v>
      </c>
      <c r="K1140" t="s">
        <v>36316</v>
      </c>
    </row>
    <row r="1141" spans="1:11" x14ac:dyDescent="0.15">
      <c r="A1141">
        <v>30359531</v>
      </c>
      <c r="B1141" t="s">
        <v>26396</v>
      </c>
      <c r="C1141" t="s">
        <v>36317</v>
      </c>
      <c r="D1141" t="s">
        <v>36318</v>
      </c>
      <c r="E1141" t="s">
        <v>30629</v>
      </c>
      <c r="F1141" t="s">
        <v>30956</v>
      </c>
      <c r="G1141">
        <v>2018</v>
      </c>
      <c r="H1141" s="1">
        <v>43399</v>
      </c>
      <c r="I1141" t="s">
        <v>36319</v>
      </c>
      <c r="J1141" t="s">
        <v>36320</v>
      </c>
      <c r="K1141" t="s">
        <v>26404</v>
      </c>
    </row>
    <row r="1142" spans="1:11" x14ac:dyDescent="0.15">
      <c r="A1142">
        <v>19390692</v>
      </c>
      <c r="B1142" t="s">
        <v>36321</v>
      </c>
      <c r="C1142" t="s">
        <v>36322</v>
      </c>
      <c r="D1142" t="s">
        <v>36323</v>
      </c>
      <c r="E1142" t="s">
        <v>32476</v>
      </c>
      <c r="F1142" t="s">
        <v>31639</v>
      </c>
      <c r="G1142">
        <v>2009</v>
      </c>
      <c r="H1142" s="1">
        <v>39928</v>
      </c>
      <c r="I1142" t="s">
        <v>36324</v>
      </c>
      <c r="K1142" t="s">
        <v>25676</v>
      </c>
    </row>
    <row r="1143" spans="1:11" x14ac:dyDescent="0.15">
      <c r="A1143">
        <v>9562621</v>
      </c>
      <c r="B1143" t="s">
        <v>36325</v>
      </c>
      <c r="C1143" t="s">
        <v>36326</v>
      </c>
      <c r="D1143" t="s">
        <v>36327</v>
      </c>
      <c r="E1143" t="s">
        <v>36328</v>
      </c>
      <c r="F1143" t="s">
        <v>36329</v>
      </c>
      <c r="G1143">
        <v>1998</v>
      </c>
      <c r="H1143" s="1">
        <v>35965</v>
      </c>
      <c r="K1143" t="s">
        <v>36330</v>
      </c>
    </row>
    <row r="1144" spans="1:11" x14ac:dyDescent="0.15">
      <c r="A1144">
        <v>1719228</v>
      </c>
      <c r="B1144" t="s">
        <v>36331</v>
      </c>
      <c r="C1144" t="s">
        <v>36332</v>
      </c>
      <c r="D1144" t="s">
        <v>36333</v>
      </c>
      <c r="E1144" t="s">
        <v>36334</v>
      </c>
      <c r="F1144" t="s">
        <v>31970</v>
      </c>
      <c r="G1144">
        <v>1991</v>
      </c>
      <c r="H1144" s="1">
        <v>33573</v>
      </c>
      <c r="I1144" t="s">
        <v>36335</v>
      </c>
      <c r="K1144" t="s">
        <v>26075</v>
      </c>
    </row>
    <row r="1145" spans="1:11" x14ac:dyDescent="0.15">
      <c r="A1145">
        <v>18771282</v>
      </c>
      <c r="B1145" t="s">
        <v>36336</v>
      </c>
      <c r="C1145" t="s">
        <v>36337</v>
      </c>
      <c r="D1145" t="s">
        <v>36338</v>
      </c>
      <c r="E1145" t="s">
        <v>36339</v>
      </c>
      <c r="F1145" t="s">
        <v>36029</v>
      </c>
      <c r="G1145">
        <v>2008</v>
      </c>
      <c r="H1145" s="1">
        <v>39697</v>
      </c>
      <c r="I1145" t="s">
        <v>36340</v>
      </c>
      <c r="J1145" t="s">
        <v>36341</v>
      </c>
      <c r="K1145" t="s">
        <v>36342</v>
      </c>
    </row>
    <row r="1146" spans="1:11" x14ac:dyDescent="0.15">
      <c r="A1146">
        <v>35487268</v>
      </c>
      <c r="B1146" t="s">
        <v>36343</v>
      </c>
      <c r="C1146" t="s">
        <v>36344</v>
      </c>
      <c r="D1146" t="s">
        <v>36345</v>
      </c>
      <c r="E1146" t="s">
        <v>36346</v>
      </c>
      <c r="F1146" t="s">
        <v>36150</v>
      </c>
      <c r="G1146">
        <v>2022</v>
      </c>
      <c r="H1146" s="1">
        <v>44680</v>
      </c>
      <c r="K1146" t="s">
        <v>36347</v>
      </c>
    </row>
    <row r="1147" spans="1:11" x14ac:dyDescent="0.15">
      <c r="A1147">
        <v>21102562</v>
      </c>
      <c r="B1147" t="s">
        <v>36348</v>
      </c>
      <c r="C1147" t="s">
        <v>36349</v>
      </c>
      <c r="D1147" t="s">
        <v>36350</v>
      </c>
      <c r="E1147" t="s">
        <v>36351</v>
      </c>
      <c r="F1147" t="s">
        <v>30786</v>
      </c>
      <c r="G1147">
        <v>2011</v>
      </c>
      <c r="H1147" s="1">
        <v>40507</v>
      </c>
      <c r="I1147" t="s">
        <v>36352</v>
      </c>
      <c r="K1147" t="s">
        <v>36353</v>
      </c>
    </row>
    <row r="1148" spans="1:11" x14ac:dyDescent="0.15">
      <c r="A1148">
        <v>15517629</v>
      </c>
      <c r="B1148" t="s">
        <v>36354</v>
      </c>
      <c r="C1148" t="s">
        <v>36355</v>
      </c>
      <c r="D1148" t="s">
        <v>36356</v>
      </c>
      <c r="E1148" t="s">
        <v>36357</v>
      </c>
      <c r="F1148" t="s">
        <v>36358</v>
      </c>
      <c r="G1148">
        <v>2004</v>
      </c>
      <c r="H1148" s="1">
        <v>38293</v>
      </c>
    </row>
    <row r="1149" spans="1:11" x14ac:dyDescent="0.15">
      <c r="A1149">
        <v>21098229</v>
      </c>
      <c r="B1149" t="s">
        <v>36359</v>
      </c>
      <c r="C1149" t="s">
        <v>36360</v>
      </c>
      <c r="D1149" t="s">
        <v>36361</v>
      </c>
      <c r="E1149" t="s">
        <v>36362</v>
      </c>
      <c r="F1149" t="s">
        <v>32819</v>
      </c>
      <c r="G1149">
        <v>2010</v>
      </c>
      <c r="H1149" s="1">
        <v>40507</v>
      </c>
      <c r="K1149" t="s">
        <v>13967</v>
      </c>
    </row>
    <row r="1150" spans="1:11" x14ac:dyDescent="0.15">
      <c r="A1150">
        <v>7961777</v>
      </c>
      <c r="B1150" t="s">
        <v>36363</v>
      </c>
      <c r="C1150" t="s">
        <v>36364</v>
      </c>
      <c r="D1150" t="s">
        <v>36365</v>
      </c>
      <c r="E1150" t="s">
        <v>36366</v>
      </c>
      <c r="F1150" t="s">
        <v>31594</v>
      </c>
      <c r="G1150">
        <v>1994</v>
      </c>
      <c r="H1150" s="1">
        <v>34649</v>
      </c>
    </row>
    <row r="1151" spans="1:11" x14ac:dyDescent="0.15">
      <c r="A1151">
        <v>23720022</v>
      </c>
      <c r="B1151" t="s">
        <v>36367</v>
      </c>
      <c r="C1151" t="s">
        <v>36368</v>
      </c>
      <c r="D1151" t="s">
        <v>36369</v>
      </c>
      <c r="E1151" t="s">
        <v>36370</v>
      </c>
      <c r="F1151" t="s">
        <v>31540</v>
      </c>
      <c r="G1151">
        <v>2013</v>
      </c>
      <c r="H1151" s="1">
        <v>41425</v>
      </c>
      <c r="I1151" t="s">
        <v>36371</v>
      </c>
      <c r="K1151" t="s">
        <v>36372</v>
      </c>
    </row>
    <row r="1152" spans="1:11" x14ac:dyDescent="0.15">
      <c r="A1152">
        <v>8654502</v>
      </c>
      <c r="B1152" t="s">
        <v>36373</v>
      </c>
      <c r="C1152" t="s">
        <v>36374</v>
      </c>
      <c r="D1152" t="s">
        <v>36375</v>
      </c>
      <c r="E1152" t="s">
        <v>36376</v>
      </c>
      <c r="F1152" t="s">
        <v>36377</v>
      </c>
      <c r="G1152">
        <v>1995</v>
      </c>
      <c r="H1152" s="1">
        <v>35004</v>
      </c>
      <c r="K1152" t="s">
        <v>36378</v>
      </c>
    </row>
    <row r="1153" spans="1:11" x14ac:dyDescent="0.15">
      <c r="A1153">
        <v>9106484</v>
      </c>
      <c r="B1153" t="s">
        <v>36379</v>
      </c>
      <c r="C1153" t="s">
        <v>36380</v>
      </c>
      <c r="D1153" t="s">
        <v>36381</v>
      </c>
      <c r="E1153" t="s">
        <v>36382</v>
      </c>
      <c r="F1153" t="s">
        <v>34553</v>
      </c>
      <c r="G1153">
        <v>1997</v>
      </c>
      <c r="H1153" s="1">
        <v>35523</v>
      </c>
      <c r="K1153" t="s">
        <v>36383</v>
      </c>
    </row>
    <row r="1154" spans="1:11" x14ac:dyDescent="0.15">
      <c r="A1154">
        <v>35275615</v>
      </c>
      <c r="B1154" t="s">
        <v>36384</v>
      </c>
      <c r="C1154" t="s">
        <v>36385</v>
      </c>
      <c r="D1154" t="s">
        <v>36386</v>
      </c>
      <c r="E1154" t="s">
        <v>31702</v>
      </c>
      <c r="F1154" t="s">
        <v>30956</v>
      </c>
      <c r="G1154">
        <v>2022</v>
      </c>
      <c r="H1154" s="1">
        <v>44631</v>
      </c>
      <c r="K1154" t="s">
        <v>36387</v>
      </c>
    </row>
    <row r="1155" spans="1:11" x14ac:dyDescent="0.15">
      <c r="A1155">
        <v>25934359</v>
      </c>
      <c r="B1155" t="s">
        <v>36388</v>
      </c>
      <c r="C1155" t="s">
        <v>36389</v>
      </c>
      <c r="D1155" t="s">
        <v>36390</v>
      </c>
      <c r="E1155" t="s">
        <v>36391</v>
      </c>
      <c r="F1155" t="s">
        <v>36392</v>
      </c>
      <c r="G1155">
        <v>2015</v>
      </c>
      <c r="H1155" s="1">
        <v>42127</v>
      </c>
      <c r="K1155" t="s">
        <v>36393</v>
      </c>
    </row>
    <row r="1156" spans="1:11" x14ac:dyDescent="0.15">
      <c r="A1156">
        <v>8912005</v>
      </c>
      <c r="B1156" t="s">
        <v>36394</v>
      </c>
      <c r="C1156" t="s">
        <v>36395</v>
      </c>
      <c r="D1156" t="s">
        <v>36396</v>
      </c>
      <c r="E1156" t="s">
        <v>36397</v>
      </c>
      <c r="F1156" t="s">
        <v>33380</v>
      </c>
      <c r="G1156">
        <v>1996</v>
      </c>
      <c r="H1156" s="1">
        <v>35339</v>
      </c>
      <c r="K1156" t="s">
        <v>36398</v>
      </c>
    </row>
    <row r="1157" spans="1:11" x14ac:dyDescent="0.15">
      <c r="A1157">
        <v>34159897</v>
      </c>
      <c r="B1157" t="s">
        <v>36399</v>
      </c>
      <c r="C1157" t="s">
        <v>36400</v>
      </c>
      <c r="D1157" t="s">
        <v>36401</v>
      </c>
      <c r="E1157" t="s">
        <v>35847</v>
      </c>
      <c r="F1157" t="s">
        <v>36402</v>
      </c>
      <c r="G1157">
        <v>2021</v>
      </c>
      <c r="H1157" s="1">
        <v>44370</v>
      </c>
      <c r="I1157" t="s">
        <v>36403</v>
      </c>
      <c r="K1157" t="s">
        <v>36404</v>
      </c>
    </row>
    <row r="1158" spans="1:11" x14ac:dyDescent="0.15">
      <c r="A1158">
        <v>11142370</v>
      </c>
      <c r="B1158" t="s">
        <v>36405</v>
      </c>
      <c r="C1158" t="s">
        <v>36406</v>
      </c>
      <c r="D1158" t="s">
        <v>36407</v>
      </c>
      <c r="E1158" t="s">
        <v>36408</v>
      </c>
      <c r="F1158" t="s">
        <v>11924</v>
      </c>
      <c r="G1158">
        <v>2000</v>
      </c>
      <c r="H1158" s="1">
        <v>36897</v>
      </c>
      <c r="I1158" t="s">
        <v>36409</v>
      </c>
      <c r="K1158" t="s">
        <v>36410</v>
      </c>
    </row>
    <row r="1159" spans="1:11" x14ac:dyDescent="0.15">
      <c r="A1159">
        <v>19684203</v>
      </c>
      <c r="B1159" t="s">
        <v>36411</v>
      </c>
      <c r="C1159" t="s">
        <v>36412</v>
      </c>
      <c r="D1159" t="s">
        <v>36413</v>
      </c>
      <c r="E1159" t="s">
        <v>36414</v>
      </c>
      <c r="F1159" t="s">
        <v>30791</v>
      </c>
      <c r="G1159">
        <v>2009</v>
      </c>
      <c r="H1159" s="1">
        <v>40043</v>
      </c>
      <c r="I1159" t="s">
        <v>36415</v>
      </c>
      <c r="K1159" t="s">
        <v>36416</v>
      </c>
    </row>
    <row r="1160" spans="1:11" x14ac:dyDescent="0.15">
      <c r="A1160">
        <v>30581439</v>
      </c>
      <c r="B1160" t="s">
        <v>36417</v>
      </c>
      <c r="C1160" t="s">
        <v>36418</v>
      </c>
      <c r="D1160" t="s">
        <v>36419</v>
      </c>
      <c r="E1160" t="s">
        <v>36420</v>
      </c>
      <c r="F1160" t="s">
        <v>30713</v>
      </c>
      <c r="G1160">
        <v>2018</v>
      </c>
      <c r="H1160" s="1">
        <v>43459</v>
      </c>
      <c r="I1160" t="s">
        <v>36421</v>
      </c>
      <c r="K1160" t="s">
        <v>36422</v>
      </c>
    </row>
    <row r="1161" spans="1:11" x14ac:dyDescent="0.15">
      <c r="A1161">
        <v>9873029</v>
      </c>
      <c r="B1161" t="s">
        <v>36423</v>
      </c>
      <c r="C1161" t="s">
        <v>36424</v>
      </c>
      <c r="D1161" t="s">
        <v>36425</v>
      </c>
      <c r="E1161" t="s">
        <v>36426</v>
      </c>
      <c r="F1161" t="s">
        <v>31594</v>
      </c>
      <c r="G1161">
        <v>1999</v>
      </c>
      <c r="H1161" s="1">
        <v>36165</v>
      </c>
      <c r="K1161" t="s">
        <v>36427</v>
      </c>
    </row>
    <row r="1162" spans="1:11" x14ac:dyDescent="0.15">
      <c r="A1162">
        <v>25082876</v>
      </c>
      <c r="B1162" t="s">
        <v>36428</v>
      </c>
      <c r="C1162" t="s">
        <v>36429</v>
      </c>
      <c r="D1162" t="s">
        <v>36430</v>
      </c>
      <c r="E1162" t="s">
        <v>36431</v>
      </c>
      <c r="F1162" t="s">
        <v>30600</v>
      </c>
      <c r="G1162">
        <v>2014</v>
      </c>
      <c r="H1162" s="1">
        <v>41853</v>
      </c>
      <c r="I1162" t="s">
        <v>36432</v>
      </c>
      <c r="K1162" t="s">
        <v>20379</v>
      </c>
    </row>
    <row r="1163" spans="1:11" x14ac:dyDescent="0.15">
      <c r="A1163">
        <v>27129225</v>
      </c>
      <c r="B1163" t="s">
        <v>36433</v>
      </c>
      <c r="C1163" t="s">
        <v>36434</v>
      </c>
      <c r="D1163" t="s">
        <v>36435</v>
      </c>
      <c r="E1163" t="s">
        <v>36436</v>
      </c>
      <c r="F1163" t="s">
        <v>31594</v>
      </c>
      <c r="G1163">
        <v>2016</v>
      </c>
      <c r="H1163" s="1">
        <v>42490</v>
      </c>
      <c r="I1163" t="s">
        <v>36437</v>
      </c>
      <c r="K1163" t="s">
        <v>36438</v>
      </c>
    </row>
    <row r="1164" spans="1:11" x14ac:dyDescent="0.15">
      <c r="A1164">
        <v>1649554</v>
      </c>
      <c r="B1164" t="s">
        <v>36439</v>
      </c>
      <c r="C1164" t="s">
        <v>36440</v>
      </c>
      <c r="D1164" t="s">
        <v>36441</v>
      </c>
      <c r="E1164" t="s">
        <v>36442</v>
      </c>
      <c r="F1164" t="s">
        <v>32741</v>
      </c>
      <c r="G1164">
        <v>1991</v>
      </c>
      <c r="H1164" s="1">
        <v>33420</v>
      </c>
      <c r="I1164" t="s">
        <v>36443</v>
      </c>
    </row>
    <row r="1165" spans="1:11" x14ac:dyDescent="0.15">
      <c r="A1165">
        <v>16572466</v>
      </c>
      <c r="B1165" t="s">
        <v>36444</v>
      </c>
      <c r="C1165" t="s">
        <v>36445</v>
      </c>
      <c r="D1165" t="s">
        <v>36446</v>
      </c>
      <c r="E1165" t="s">
        <v>36447</v>
      </c>
      <c r="F1165" t="s">
        <v>34150</v>
      </c>
      <c r="G1165">
        <v>2006</v>
      </c>
      <c r="H1165" s="1">
        <v>38807</v>
      </c>
      <c r="K1165" t="s">
        <v>36448</v>
      </c>
    </row>
    <row r="1166" spans="1:11" x14ac:dyDescent="0.15">
      <c r="A1166">
        <v>12686559</v>
      </c>
      <c r="B1166" t="s">
        <v>36449</v>
      </c>
      <c r="C1166" t="s">
        <v>36450</v>
      </c>
      <c r="D1166" t="s">
        <v>36451</v>
      </c>
      <c r="E1166" t="s">
        <v>36452</v>
      </c>
      <c r="F1166" t="s">
        <v>31594</v>
      </c>
      <c r="G1166">
        <v>2003</v>
      </c>
      <c r="H1166" s="1">
        <v>37722</v>
      </c>
      <c r="K1166" t="s">
        <v>36453</v>
      </c>
    </row>
    <row r="1167" spans="1:11" x14ac:dyDescent="0.15">
      <c r="A1167">
        <v>9530176</v>
      </c>
      <c r="B1167" t="s">
        <v>36454</v>
      </c>
      <c r="C1167" t="s">
        <v>36455</v>
      </c>
      <c r="D1167" t="s">
        <v>36456</v>
      </c>
      <c r="E1167" t="s">
        <v>36457</v>
      </c>
      <c r="F1167" t="s">
        <v>36458</v>
      </c>
      <c r="G1167">
        <v>1998</v>
      </c>
      <c r="H1167" s="1">
        <v>35893</v>
      </c>
      <c r="K1167" t="s">
        <v>36459</v>
      </c>
    </row>
    <row r="1168" spans="1:11" x14ac:dyDescent="0.15">
      <c r="A1168">
        <v>35673560</v>
      </c>
      <c r="B1168" t="s">
        <v>36460</v>
      </c>
      <c r="C1168" t="s">
        <v>36461</v>
      </c>
      <c r="D1168" t="s">
        <v>36462</v>
      </c>
      <c r="E1168" t="s">
        <v>36463</v>
      </c>
      <c r="F1168" t="s">
        <v>30588</v>
      </c>
      <c r="G1168">
        <v>2022</v>
      </c>
      <c r="H1168" s="1">
        <v>44720</v>
      </c>
      <c r="I1168" t="s">
        <v>36464</v>
      </c>
      <c r="K1168" t="s">
        <v>20470</v>
      </c>
    </row>
    <row r="1169" spans="1:11" x14ac:dyDescent="0.15">
      <c r="A1169">
        <v>10532697</v>
      </c>
      <c r="B1169" t="s">
        <v>23539</v>
      </c>
      <c r="C1169" t="s">
        <v>36465</v>
      </c>
      <c r="D1169" t="s">
        <v>36466</v>
      </c>
      <c r="E1169" t="s">
        <v>36467</v>
      </c>
      <c r="F1169" t="s">
        <v>34190</v>
      </c>
      <c r="G1169">
        <v>1999</v>
      </c>
      <c r="H1169" s="1">
        <v>36459</v>
      </c>
      <c r="K1169" t="s">
        <v>36468</v>
      </c>
    </row>
    <row r="1170" spans="1:11" x14ac:dyDescent="0.15">
      <c r="A1170">
        <v>7773008</v>
      </c>
      <c r="B1170" t="s">
        <v>36469</v>
      </c>
      <c r="C1170" t="s">
        <v>36470</v>
      </c>
      <c r="D1170" t="s">
        <v>36471</v>
      </c>
      <c r="E1170" t="s">
        <v>36472</v>
      </c>
      <c r="F1170" t="s">
        <v>36473</v>
      </c>
      <c r="G1170">
        <v>1995</v>
      </c>
      <c r="H1170" s="1">
        <v>34731</v>
      </c>
      <c r="K1170" t="s">
        <v>36474</v>
      </c>
    </row>
    <row r="1171" spans="1:11" x14ac:dyDescent="0.15">
      <c r="A1171">
        <v>30301808</v>
      </c>
      <c r="B1171" t="s">
        <v>36475</v>
      </c>
      <c r="C1171" t="s">
        <v>36476</v>
      </c>
      <c r="D1171" t="s">
        <v>36477</v>
      </c>
      <c r="E1171" t="s">
        <v>36478</v>
      </c>
      <c r="F1171" t="s">
        <v>30767</v>
      </c>
      <c r="G1171">
        <v>2018</v>
      </c>
      <c r="H1171" s="1">
        <v>43384</v>
      </c>
      <c r="I1171" t="s">
        <v>36479</v>
      </c>
      <c r="K1171" t="s">
        <v>36480</v>
      </c>
    </row>
    <row r="1172" spans="1:11" x14ac:dyDescent="0.15">
      <c r="A1172">
        <v>12566592</v>
      </c>
      <c r="B1172" t="s">
        <v>36481</v>
      </c>
      <c r="C1172" t="s">
        <v>36482</v>
      </c>
      <c r="D1172" t="s">
        <v>36483</v>
      </c>
      <c r="E1172" t="s">
        <v>36484</v>
      </c>
      <c r="F1172" t="s">
        <v>36485</v>
      </c>
      <c r="G1172">
        <v>2003</v>
      </c>
      <c r="H1172" s="1">
        <v>37657</v>
      </c>
      <c r="I1172" t="s">
        <v>36486</v>
      </c>
      <c r="K1172" t="s">
        <v>36487</v>
      </c>
    </row>
    <row r="1173" spans="1:11" x14ac:dyDescent="0.15">
      <c r="A1173">
        <v>35337361</v>
      </c>
      <c r="B1173" t="s">
        <v>36488</v>
      </c>
      <c r="C1173" t="s">
        <v>36489</v>
      </c>
      <c r="D1173" t="s">
        <v>36490</v>
      </c>
      <c r="E1173" t="s">
        <v>36491</v>
      </c>
      <c r="F1173" t="s">
        <v>30630</v>
      </c>
      <c r="G1173">
        <v>2022</v>
      </c>
      <c r="H1173" s="1">
        <v>44646</v>
      </c>
      <c r="I1173" t="s">
        <v>36492</v>
      </c>
      <c r="K1173" t="s">
        <v>36493</v>
      </c>
    </row>
    <row r="1174" spans="1:11" x14ac:dyDescent="0.15">
      <c r="A1174">
        <v>34234173</v>
      </c>
      <c r="B1174" t="s">
        <v>18016</v>
      </c>
      <c r="C1174" t="s">
        <v>36494</v>
      </c>
      <c r="D1174" t="s">
        <v>36495</v>
      </c>
      <c r="E1174" t="s">
        <v>36496</v>
      </c>
      <c r="F1174" t="s">
        <v>30834</v>
      </c>
      <c r="G1174">
        <v>2021</v>
      </c>
      <c r="H1174" s="1">
        <v>44385</v>
      </c>
      <c r="I1174" t="s">
        <v>36497</v>
      </c>
      <c r="K1174" t="s">
        <v>18025</v>
      </c>
    </row>
    <row r="1175" spans="1:11" x14ac:dyDescent="0.15">
      <c r="A1175">
        <v>22100842</v>
      </c>
      <c r="B1175" t="s">
        <v>36498</v>
      </c>
      <c r="C1175" t="s">
        <v>36499</v>
      </c>
      <c r="D1175" t="s">
        <v>36500</v>
      </c>
      <c r="E1175" t="s">
        <v>36501</v>
      </c>
      <c r="F1175" t="s">
        <v>36502</v>
      </c>
      <c r="G1175">
        <v>2011</v>
      </c>
      <c r="H1175" s="1">
        <v>40869</v>
      </c>
    </row>
    <row r="1176" spans="1:11" x14ac:dyDescent="0.15">
      <c r="A1176">
        <v>15828860</v>
      </c>
      <c r="B1176" t="s">
        <v>36503</v>
      </c>
      <c r="C1176" t="s">
        <v>36504</v>
      </c>
      <c r="D1176" t="s">
        <v>36505</v>
      </c>
      <c r="E1176" t="s">
        <v>36506</v>
      </c>
      <c r="F1176" t="s">
        <v>36507</v>
      </c>
      <c r="G1176">
        <v>2005</v>
      </c>
      <c r="H1176" s="1">
        <v>38457</v>
      </c>
      <c r="I1176" t="s">
        <v>36508</v>
      </c>
      <c r="K1176" t="s">
        <v>36509</v>
      </c>
    </row>
    <row r="1177" spans="1:11" x14ac:dyDescent="0.15">
      <c r="A1177">
        <v>23530048</v>
      </c>
      <c r="B1177" t="s">
        <v>36510</v>
      </c>
      <c r="C1177" t="s">
        <v>36511</v>
      </c>
      <c r="D1177" t="s">
        <v>36512</v>
      </c>
      <c r="E1177" t="s">
        <v>36513</v>
      </c>
      <c r="F1177" t="s">
        <v>31594</v>
      </c>
      <c r="G1177">
        <v>2013</v>
      </c>
      <c r="H1177" s="1">
        <v>41360</v>
      </c>
      <c r="I1177" t="s">
        <v>36514</v>
      </c>
      <c r="K1177" t="s">
        <v>36515</v>
      </c>
    </row>
    <row r="1178" spans="1:11" x14ac:dyDescent="0.15">
      <c r="A1178">
        <v>28160602</v>
      </c>
      <c r="B1178" t="s">
        <v>36516</v>
      </c>
      <c r="C1178" t="s">
        <v>36517</v>
      </c>
      <c r="D1178" t="s">
        <v>36518</v>
      </c>
      <c r="E1178" t="s">
        <v>36519</v>
      </c>
      <c r="F1178" t="s">
        <v>31587</v>
      </c>
      <c r="G1178">
        <v>2017</v>
      </c>
      <c r="H1178" s="1">
        <v>42771</v>
      </c>
      <c r="I1178" t="s">
        <v>36520</v>
      </c>
      <c r="K1178" t="s">
        <v>36521</v>
      </c>
    </row>
    <row r="1179" spans="1:11" x14ac:dyDescent="0.15">
      <c r="A1179">
        <v>21623458</v>
      </c>
      <c r="B1179" t="s">
        <v>36522</v>
      </c>
      <c r="C1179" t="s">
        <v>36523</v>
      </c>
      <c r="D1179" t="s">
        <v>36524</v>
      </c>
      <c r="E1179" t="s">
        <v>36525</v>
      </c>
      <c r="F1179" t="s">
        <v>35811</v>
      </c>
      <c r="G1179">
        <v>2011</v>
      </c>
      <c r="H1179" s="1">
        <v>40694</v>
      </c>
      <c r="I1179" t="s">
        <v>36526</v>
      </c>
      <c r="K1179" t="s">
        <v>2735</v>
      </c>
    </row>
    <row r="1180" spans="1:11" x14ac:dyDescent="0.15">
      <c r="A1180">
        <v>10931929</v>
      </c>
      <c r="B1180" t="s">
        <v>36527</v>
      </c>
      <c r="C1180" t="s">
        <v>36528</v>
      </c>
      <c r="D1180" t="s">
        <v>36529</v>
      </c>
      <c r="E1180" t="s">
        <v>36530</v>
      </c>
      <c r="F1180" t="s">
        <v>31587</v>
      </c>
      <c r="G1180">
        <v>2000</v>
      </c>
      <c r="H1180" s="1">
        <v>36748</v>
      </c>
      <c r="I1180" t="s">
        <v>36531</v>
      </c>
      <c r="K1180" t="s">
        <v>36532</v>
      </c>
    </row>
    <row r="1181" spans="1:11" x14ac:dyDescent="0.15">
      <c r="A1181">
        <v>16055222</v>
      </c>
      <c r="B1181" t="s">
        <v>36533</v>
      </c>
      <c r="C1181" t="s">
        <v>36534</v>
      </c>
      <c r="D1181" t="s">
        <v>36535</v>
      </c>
      <c r="E1181" t="s">
        <v>36536</v>
      </c>
      <c r="F1181" t="s">
        <v>36537</v>
      </c>
      <c r="G1181">
        <v>2005</v>
      </c>
      <c r="H1181" s="1">
        <v>38566</v>
      </c>
      <c r="K1181" t="s">
        <v>36538</v>
      </c>
    </row>
    <row r="1182" spans="1:11" x14ac:dyDescent="0.15">
      <c r="A1182">
        <v>16832048</v>
      </c>
      <c r="B1182" t="s">
        <v>36539</v>
      </c>
      <c r="C1182" t="s">
        <v>36540</v>
      </c>
      <c r="D1182" t="s">
        <v>36541</v>
      </c>
      <c r="E1182" t="s">
        <v>36542</v>
      </c>
      <c r="F1182" t="s">
        <v>30767</v>
      </c>
      <c r="G1182">
        <v>2006</v>
      </c>
      <c r="H1182" s="1">
        <v>38911</v>
      </c>
      <c r="I1182" t="s">
        <v>36543</v>
      </c>
      <c r="K1182" t="s">
        <v>36544</v>
      </c>
    </row>
    <row r="1183" spans="1:11" x14ac:dyDescent="0.15">
      <c r="A1183">
        <v>32602227</v>
      </c>
      <c r="B1183" t="s">
        <v>36545</v>
      </c>
      <c r="C1183" t="s">
        <v>36546</v>
      </c>
      <c r="D1183" t="s">
        <v>36547</v>
      </c>
      <c r="E1183" t="s">
        <v>36548</v>
      </c>
      <c r="F1183" t="s">
        <v>36549</v>
      </c>
      <c r="G1183">
        <v>2020</v>
      </c>
      <c r="H1183" s="1">
        <v>44013</v>
      </c>
      <c r="I1183" t="s">
        <v>36550</v>
      </c>
      <c r="J1183" t="s">
        <v>36551</v>
      </c>
      <c r="K1183" t="s">
        <v>16982</v>
      </c>
    </row>
    <row r="1184" spans="1:11" x14ac:dyDescent="0.15">
      <c r="A1184">
        <v>1418007</v>
      </c>
      <c r="B1184" t="s">
        <v>36552</v>
      </c>
      <c r="C1184" t="s">
        <v>36553</v>
      </c>
      <c r="D1184" t="s">
        <v>36554</v>
      </c>
      <c r="E1184" t="s">
        <v>36555</v>
      </c>
      <c r="F1184" t="s">
        <v>33478</v>
      </c>
      <c r="G1184">
        <v>1992</v>
      </c>
      <c r="H1184" s="1">
        <v>33888</v>
      </c>
      <c r="K1184" t="s">
        <v>36556</v>
      </c>
    </row>
    <row r="1185" spans="1:11" x14ac:dyDescent="0.15">
      <c r="A1185">
        <v>31053471</v>
      </c>
      <c r="B1185" t="s">
        <v>36557</v>
      </c>
      <c r="C1185" t="s">
        <v>36558</v>
      </c>
      <c r="D1185" t="s">
        <v>36559</v>
      </c>
      <c r="E1185" t="s">
        <v>36560</v>
      </c>
      <c r="F1185" t="s">
        <v>32022</v>
      </c>
      <c r="G1185">
        <v>2019</v>
      </c>
      <c r="H1185" s="1">
        <v>43590</v>
      </c>
      <c r="I1185" t="s">
        <v>36561</v>
      </c>
      <c r="J1185" t="s">
        <v>36562</v>
      </c>
      <c r="K1185" t="s">
        <v>36563</v>
      </c>
    </row>
    <row r="1186" spans="1:11" x14ac:dyDescent="0.15">
      <c r="A1186">
        <v>17074811</v>
      </c>
      <c r="B1186" t="s">
        <v>36564</v>
      </c>
      <c r="C1186" t="s">
        <v>36565</v>
      </c>
      <c r="D1186" t="s">
        <v>36566</v>
      </c>
      <c r="E1186" t="s">
        <v>36567</v>
      </c>
      <c r="F1186" t="s">
        <v>33347</v>
      </c>
      <c r="G1186">
        <v>2007</v>
      </c>
      <c r="H1186" s="1">
        <v>39022</v>
      </c>
      <c r="I1186" t="s">
        <v>36568</v>
      </c>
      <c r="K1186" t="s">
        <v>36569</v>
      </c>
    </row>
    <row r="1187" spans="1:11" x14ac:dyDescent="0.15">
      <c r="A1187">
        <v>9090058</v>
      </c>
      <c r="B1187" t="s">
        <v>36570</v>
      </c>
      <c r="C1187" t="s">
        <v>36571</v>
      </c>
      <c r="D1187" t="s">
        <v>36572</v>
      </c>
      <c r="E1187" t="s">
        <v>36573</v>
      </c>
      <c r="F1187" t="s">
        <v>36086</v>
      </c>
      <c r="G1187">
        <v>1997</v>
      </c>
      <c r="H1187" s="1">
        <v>35504</v>
      </c>
      <c r="K1187" t="s">
        <v>36574</v>
      </c>
    </row>
    <row r="1188" spans="1:11" x14ac:dyDescent="0.15">
      <c r="A1188">
        <v>26098692</v>
      </c>
      <c r="B1188" t="s">
        <v>36575</v>
      </c>
      <c r="C1188" t="s">
        <v>36576</v>
      </c>
      <c r="D1188" t="s">
        <v>36577</v>
      </c>
      <c r="E1188" t="s">
        <v>36578</v>
      </c>
      <c r="F1188" t="s">
        <v>31639</v>
      </c>
      <c r="G1188">
        <v>2015</v>
      </c>
      <c r="H1188" s="1">
        <v>42178</v>
      </c>
      <c r="I1188" t="s">
        <v>36579</v>
      </c>
      <c r="K1188" t="s">
        <v>36580</v>
      </c>
    </row>
    <row r="1189" spans="1:11" x14ac:dyDescent="0.15">
      <c r="A1189">
        <v>10522226</v>
      </c>
      <c r="B1189" t="s">
        <v>36581</v>
      </c>
      <c r="C1189" t="s">
        <v>36582</v>
      </c>
      <c r="D1189" t="s">
        <v>36583</v>
      </c>
      <c r="E1189" t="s">
        <v>36584</v>
      </c>
      <c r="F1189" t="s">
        <v>36585</v>
      </c>
      <c r="G1189">
        <v>1999</v>
      </c>
      <c r="H1189" s="1">
        <v>36449</v>
      </c>
      <c r="K1189" t="s">
        <v>36586</v>
      </c>
    </row>
    <row r="1190" spans="1:11" x14ac:dyDescent="0.15">
      <c r="A1190">
        <v>30227944</v>
      </c>
      <c r="B1190" t="s">
        <v>36587</v>
      </c>
      <c r="C1190" t="s">
        <v>36588</v>
      </c>
      <c r="D1190" t="s">
        <v>36589</v>
      </c>
      <c r="E1190" t="s">
        <v>35231</v>
      </c>
      <c r="F1190" t="s">
        <v>36590</v>
      </c>
      <c r="G1190">
        <v>2018</v>
      </c>
      <c r="H1190" s="1">
        <v>43363</v>
      </c>
      <c r="K1190" t="s">
        <v>36591</v>
      </c>
    </row>
    <row r="1191" spans="1:11" x14ac:dyDescent="0.15">
      <c r="A1191">
        <v>18280237</v>
      </c>
      <c r="B1191" t="s">
        <v>36592</v>
      </c>
      <c r="C1191" t="s">
        <v>36593</v>
      </c>
      <c r="D1191" t="s">
        <v>36594</v>
      </c>
      <c r="E1191" t="s">
        <v>36595</v>
      </c>
      <c r="F1191" t="s">
        <v>32022</v>
      </c>
      <c r="G1191">
        <v>2008</v>
      </c>
      <c r="H1191" s="1">
        <v>39497</v>
      </c>
      <c r="K1191" t="s">
        <v>36596</v>
      </c>
    </row>
    <row r="1192" spans="1:11" x14ac:dyDescent="0.15">
      <c r="A1192">
        <v>15185339</v>
      </c>
      <c r="B1192" t="s">
        <v>36597</v>
      </c>
      <c r="C1192" t="s">
        <v>36598</v>
      </c>
      <c r="D1192" t="s">
        <v>36599</v>
      </c>
      <c r="E1192" t="s">
        <v>36600</v>
      </c>
      <c r="F1192" t="s">
        <v>33483</v>
      </c>
      <c r="G1192">
        <v>2004</v>
      </c>
      <c r="H1192" s="1">
        <v>38147</v>
      </c>
      <c r="K1192" t="s">
        <v>36601</v>
      </c>
    </row>
    <row r="1193" spans="1:11" x14ac:dyDescent="0.15">
      <c r="A1193">
        <v>9581791</v>
      </c>
      <c r="B1193" t="s">
        <v>36602</v>
      </c>
      <c r="C1193" t="s">
        <v>36603</v>
      </c>
      <c r="D1193" t="s">
        <v>36604</v>
      </c>
      <c r="E1193" t="s">
        <v>36605</v>
      </c>
      <c r="F1193" t="s">
        <v>932</v>
      </c>
      <c r="G1193">
        <v>1998</v>
      </c>
      <c r="H1193" s="1">
        <v>35930</v>
      </c>
      <c r="K1193" t="s">
        <v>21292</v>
      </c>
    </row>
    <row r="1194" spans="1:11" x14ac:dyDescent="0.15">
      <c r="A1194">
        <v>10721728</v>
      </c>
      <c r="B1194" t="s">
        <v>36606</v>
      </c>
      <c r="C1194" t="s">
        <v>36607</v>
      </c>
      <c r="D1194" t="s">
        <v>36608</v>
      </c>
      <c r="E1194" t="s">
        <v>36609</v>
      </c>
      <c r="F1194" t="s">
        <v>31577</v>
      </c>
      <c r="G1194">
        <v>2000</v>
      </c>
      <c r="H1194" s="1">
        <v>36603</v>
      </c>
      <c r="K1194" t="s">
        <v>36610</v>
      </c>
    </row>
    <row r="1195" spans="1:11" x14ac:dyDescent="0.15">
      <c r="A1195">
        <v>17599775</v>
      </c>
      <c r="B1195" t="s">
        <v>36611</v>
      </c>
      <c r="C1195" t="s">
        <v>36612</v>
      </c>
      <c r="D1195" t="s">
        <v>36613</v>
      </c>
      <c r="E1195" t="s">
        <v>36614</v>
      </c>
      <c r="F1195" t="s">
        <v>33478</v>
      </c>
      <c r="G1195">
        <v>2007</v>
      </c>
      <c r="H1195" s="1">
        <v>39263</v>
      </c>
      <c r="K1195" t="s">
        <v>36615</v>
      </c>
    </row>
    <row r="1196" spans="1:11" x14ac:dyDescent="0.15">
      <c r="A1196">
        <v>12069902</v>
      </c>
      <c r="B1196" t="s">
        <v>36616</v>
      </c>
      <c r="C1196" t="s">
        <v>36617</v>
      </c>
      <c r="D1196" t="s">
        <v>36618</v>
      </c>
      <c r="E1196" t="s">
        <v>36619</v>
      </c>
      <c r="F1196" t="s">
        <v>36620</v>
      </c>
      <c r="G1196">
        <v>2002</v>
      </c>
      <c r="H1196" s="1">
        <v>37426</v>
      </c>
      <c r="K1196" t="s">
        <v>36621</v>
      </c>
    </row>
    <row r="1197" spans="1:11" x14ac:dyDescent="0.15">
      <c r="A1197">
        <v>8652409</v>
      </c>
      <c r="B1197" t="s">
        <v>36622</v>
      </c>
      <c r="C1197" t="s">
        <v>36623</v>
      </c>
      <c r="D1197" t="s">
        <v>36624</v>
      </c>
      <c r="E1197" t="s">
        <v>36625</v>
      </c>
      <c r="F1197" t="s">
        <v>36626</v>
      </c>
      <c r="G1197">
        <v>1996</v>
      </c>
      <c r="H1197" s="1">
        <v>35096</v>
      </c>
      <c r="K1197" t="s">
        <v>36627</v>
      </c>
    </row>
    <row r="1198" spans="1:11" x14ac:dyDescent="0.15">
      <c r="A1198">
        <v>26942678</v>
      </c>
      <c r="B1198" t="s">
        <v>36628</v>
      </c>
      <c r="C1198" t="s">
        <v>36629</v>
      </c>
      <c r="D1198" t="s">
        <v>36630</v>
      </c>
      <c r="E1198" t="s">
        <v>36631</v>
      </c>
      <c r="F1198" t="s">
        <v>32022</v>
      </c>
      <c r="G1198">
        <v>2016</v>
      </c>
      <c r="H1198" s="1">
        <v>42434</v>
      </c>
      <c r="I1198" t="s">
        <v>36632</v>
      </c>
      <c r="J1198" t="s">
        <v>36633</v>
      </c>
      <c r="K1198" t="s">
        <v>36634</v>
      </c>
    </row>
    <row r="1199" spans="1:11" x14ac:dyDescent="0.15">
      <c r="A1199">
        <v>26389589</v>
      </c>
      <c r="B1199" t="s">
        <v>36635</v>
      </c>
      <c r="C1199" t="s">
        <v>36636</v>
      </c>
      <c r="D1199" t="s">
        <v>36637</v>
      </c>
      <c r="E1199" t="s">
        <v>36638</v>
      </c>
      <c r="F1199" t="s">
        <v>32470</v>
      </c>
      <c r="G1199">
        <v>2015</v>
      </c>
      <c r="H1199" s="1">
        <v>42269</v>
      </c>
      <c r="I1199" t="s">
        <v>36639</v>
      </c>
      <c r="K1199" t="s">
        <v>36640</v>
      </c>
    </row>
    <row r="1200" spans="1:11" x14ac:dyDescent="0.15">
      <c r="A1200">
        <v>15590739</v>
      </c>
      <c r="B1200" t="s">
        <v>36641</v>
      </c>
      <c r="C1200" t="s">
        <v>36642</v>
      </c>
      <c r="D1200" t="s">
        <v>36643</v>
      </c>
      <c r="E1200" t="s">
        <v>36644</v>
      </c>
      <c r="F1200" t="s">
        <v>30966</v>
      </c>
      <c r="G1200">
        <v>2005</v>
      </c>
      <c r="H1200" s="1">
        <v>38335</v>
      </c>
      <c r="K1200" t="s">
        <v>36645</v>
      </c>
    </row>
    <row r="1201" spans="1:11" x14ac:dyDescent="0.15">
      <c r="A1201">
        <v>21553248</v>
      </c>
      <c r="B1201" t="s">
        <v>36646</v>
      </c>
      <c r="C1201" t="s">
        <v>36647</v>
      </c>
      <c r="D1201" t="s">
        <v>36648</v>
      </c>
      <c r="E1201" t="s">
        <v>36649</v>
      </c>
      <c r="F1201" t="s">
        <v>36650</v>
      </c>
      <c r="G1201">
        <v>2011</v>
      </c>
      <c r="H1201" s="1">
        <v>40673</v>
      </c>
      <c r="I1201" t="s">
        <v>36651</v>
      </c>
      <c r="J1201" t="s">
        <v>36652</v>
      </c>
      <c r="K1201" t="s">
        <v>5668</v>
      </c>
    </row>
    <row r="1202" spans="1:11" x14ac:dyDescent="0.15">
      <c r="A1202">
        <v>16553833</v>
      </c>
      <c r="B1202" t="s">
        <v>36653</v>
      </c>
      <c r="C1202" t="s">
        <v>36654</v>
      </c>
      <c r="D1202" t="s">
        <v>36655</v>
      </c>
      <c r="E1202" t="s">
        <v>36656</v>
      </c>
      <c r="F1202" t="s">
        <v>35648</v>
      </c>
      <c r="G1202">
        <v>2006</v>
      </c>
      <c r="H1202" s="1">
        <v>38800</v>
      </c>
      <c r="K1202" t="s">
        <v>36657</v>
      </c>
    </row>
    <row r="1203" spans="1:11" x14ac:dyDescent="0.15">
      <c r="A1203">
        <v>8896453</v>
      </c>
      <c r="B1203" t="s">
        <v>36658</v>
      </c>
      <c r="C1203" t="s">
        <v>36659</v>
      </c>
      <c r="D1203" t="s">
        <v>36660</v>
      </c>
      <c r="E1203" t="s">
        <v>36661</v>
      </c>
      <c r="F1203" t="s">
        <v>35307</v>
      </c>
      <c r="G1203">
        <v>1996</v>
      </c>
      <c r="H1203" s="1">
        <v>35353</v>
      </c>
      <c r="I1203" t="s">
        <v>36662</v>
      </c>
    </row>
    <row r="1204" spans="1:11" x14ac:dyDescent="0.15">
      <c r="A1204">
        <v>16260630</v>
      </c>
      <c r="B1204" t="s">
        <v>36663</v>
      </c>
      <c r="C1204" t="s">
        <v>36664</v>
      </c>
      <c r="D1204" t="s">
        <v>36665</v>
      </c>
      <c r="E1204" t="s">
        <v>36666</v>
      </c>
      <c r="F1204" t="s">
        <v>33347</v>
      </c>
      <c r="G1204">
        <v>2005</v>
      </c>
      <c r="H1204" s="1">
        <v>38658</v>
      </c>
      <c r="I1204" t="s">
        <v>36667</v>
      </c>
      <c r="K1204" t="s">
        <v>36668</v>
      </c>
    </row>
    <row r="1205" spans="1:11" x14ac:dyDescent="0.15">
      <c r="A1205">
        <v>21955587</v>
      </c>
      <c r="B1205" t="s">
        <v>36669</v>
      </c>
      <c r="C1205" t="s">
        <v>36670</v>
      </c>
      <c r="D1205" t="s">
        <v>36671</v>
      </c>
      <c r="E1205" t="s">
        <v>36672</v>
      </c>
      <c r="F1205" t="s">
        <v>31659</v>
      </c>
      <c r="G1205">
        <v>2011</v>
      </c>
      <c r="H1205" s="1">
        <v>40816</v>
      </c>
      <c r="K1205" t="s">
        <v>36673</v>
      </c>
    </row>
    <row r="1206" spans="1:11" x14ac:dyDescent="0.15">
      <c r="A1206">
        <v>10978325</v>
      </c>
      <c r="B1206" t="s">
        <v>36674</v>
      </c>
      <c r="C1206" t="s">
        <v>36675</v>
      </c>
      <c r="D1206" t="s">
        <v>36676</v>
      </c>
      <c r="E1206" t="s">
        <v>36677</v>
      </c>
      <c r="F1206" t="s">
        <v>31594</v>
      </c>
      <c r="G1206">
        <v>2000</v>
      </c>
      <c r="H1206" s="1">
        <v>36778</v>
      </c>
      <c r="K1206" t="s">
        <v>36678</v>
      </c>
    </row>
    <row r="1207" spans="1:11" x14ac:dyDescent="0.15">
      <c r="A1207">
        <v>19570101</v>
      </c>
      <c r="B1207" t="s">
        <v>36679</v>
      </c>
      <c r="C1207" t="s">
        <v>36680</v>
      </c>
      <c r="D1207" t="s">
        <v>36681</v>
      </c>
      <c r="E1207" t="s">
        <v>36682</v>
      </c>
      <c r="F1207" t="s">
        <v>36683</v>
      </c>
      <c r="G1207">
        <v>2009</v>
      </c>
      <c r="H1207" s="1">
        <v>39997</v>
      </c>
      <c r="K1207" t="s">
        <v>36684</v>
      </c>
    </row>
    <row r="1208" spans="1:11" x14ac:dyDescent="0.15">
      <c r="A1208">
        <v>30718911</v>
      </c>
      <c r="B1208" t="s">
        <v>36685</v>
      </c>
      <c r="C1208" t="s">
        <v>36686</v>
      </c>
      <c r="D1208" t="s">
        <v>36687</v>
      </c>
      <c r="E1208" t="s">
        <v>36688</v>
      </c>
      <c r="F1208" t="s">
        <v>30834</v>
      </c>
      <c r="G1208">
        <v>2019</v>
      </c>
      <c r="H1208" s="1">
        <v>43502</v>
      </c>
      <c r="I1208" t="s">
        <v>36689</v>
      </c>
      <c r="K1208" t="s">
        <v>36690</v>
      </c>
    </row>
    <row r="1209" spans="1:11" x14ac:dyDescent="0.15">
      <c r="A1209">
        <v>11550206</v>
      </c>
      <c r="B1209" t="s">
        <v>36691</v>
      </c>
      <c r="C1209" t="s">
        <v>36692</v>
      </c>
      <c r="D1209" t="s">
        <v>36693</v>
      </c>
      <c r="E1209" t="s">
        <v>36694</v>
      </c>
      <c r="F1209" t="s">
        <v>31192</v>
      </c>
      <c r="G1209">
        <v>2001</v>
      </c>
      <c r="H1209" s="1">
        <v>37145</v>
      </c>
      <c r="K1209" t="s">
        <v>36695</v>
      </c>
    </row>
    <row r="1210" spans="1:11" x14ac:dyDescent="0.15">
      <c r="A1210">
        <v>11113118</v>
      </c>
      <c r="B1210" t="s">
        <v>36696</v>
      </c>
      <c r="C1210" t="s">
        <v>36697</v>
      </c>
      <c r="D1210" t="s">
        <v>36698</v>
      </c>
      <c r="E1210" t="s">
        <v>36699</v>
      </c>
      <c r="F1210" t="s">
        <v>31594</v>
      </c>
      <c r="G1210">
        <v>2001</v>
      </c>
      <c r="H1210" s="1">
        <v>36873</v>
      </c>
      <c r="K1210" t="s">
        <v>36700</v>
      </c>
    </row>
    <row r="1211" spans="1:11" x14ac:dyDescent="0.15">
      <c r="A1211">
        <v>1569964</v>
      </c>
      <c r="B1211" t="s">
        <v>36701</v>
      </c>
      <c r="C1211" t="s">
        <v>36702</v>
      </c>
      <c r="D1211" t="s">
        <v>36703</v>
      </c>
      <c r="E1211" t="s">
        <v>36704</v>
      </c>
      <c r="F1211" t="s">
        <v>36705</v>
      </c>
      <c r="G1211">
        <v>1992</v>
      </c>
      <c r="H1211" s="1">
        <v>33635</v>
      </c>
      <c r="K1211" t="s">
        <v>36706</v>
      </c>
    </row>
    <row r="1212" spans="1:11" x14ac:dyDescent="0.15">
      <c r="A1212">
        <v>31315434</v>
      </c>
      <c r="B1212" t="s">
        <v>36707</v>
      </c>
      <c r="C1212" t="s">
        <v>36708</v>
      </c>
      <c r="D1212" t="s">
        <v>36709</v>
      </c>
      <c r="E1212" t="s">
        <v>36710</v>
      </c>
      <c r="F1212" t="s">
        <v>36711</v>
      </c>
      <c r="G1212">
        <v>2019</v>
      </c>
      <c r="H1212" s="1">
        <v>43665</v>
      </c>
      <c r="I1212" t="s">
        <v>36712</v>
      </c>
      <c r="J1212" t="s">
        <v>36713</v>
      </c>
      <c r="K1212" t="s">
        <v>36714</v>
      </c>
    </row>
    <row r="1213" spans="1:11" x14ac:dyDescent="0.15">
      <c r="A1213">
        <v>35436521</v>
      </c>
      <c r="B1213" t="s">
        <v>36715</v>
      </c>
      <c r="C1213" t="s">
        <v>36716</v>
      </c>
      <c r="D1213" t="s">
        <v>36717</v>
      </c>
      <c r="E1213" t="s">
        <v>34902</v>
      </c>
      <c r="F1213" t="s">
        <v>33151</v>
      </c>
      <c r="G1213">
        <v>2022</v>
      </c>
      <c r="H1213" s="1">
        <v>44669</v>
      </c>
      <c r="K1213" t="s">
        <v>36718</v>
      </c>
    </row>
    <row r="1214" spans="1:11" x14ac:dyDescent="0.15">
      <c r="A1214">
        <v>11988182</v>
      </c>
      <c r="B1214" t="s">
        <v>36719</v>
      </c>
      <c r="C1214" t="s">
        <v>36720</v>
      </c>
      <c r="D1214" t="s">
        <v>36721</v>
      </c>
      <c r="E1214" t="s">
        <v>36722</v>
      </c>
      <c r="F1214" t="s">
        <v>34553</v>
      </c>
      <c r="G1214">
        <v>2002</v>
      </c>
      <c r="H1214" s="1">
        <v>37380</v>
      </c>
      <c r="K1214" t="s">
        <v>36723</v>
      </c>
    </row>
    <row r="1215" spans="1:11" x14ac:dyDescent="0.15">
      <c r="A1215">
        <v>1944266</v>
      </c>
      <c r="B1215" t="s">
        <v>36724</v>
      </c>
      <c r="C1215" t="s">
        <v>36725</v>
      </c>
      <c r="D1215" t="s">
        <v>36726</v>
      </c>
      <c r="E1215" t="s">
        <v>36727</v>
      </c>
      <c r="F1215" t="s">
        <v>33347</v>
      </c>
      <c r="G1215">
        <v>1991</v>
      </c>
      <c r="H1215" s="1">
        <v>33573</v>
      </c>
      <c r="I1215" t="s">
        <v>36728</v>
      </c>
      <c r="K1215" t="s">
        <v>36729</v>
      </c>
    </row>
    <row r="1216" spans="1:11" x14ac:dyDescent="0.15">
      <c r="A1216">
        <v>25485651</v>
      </c>
      <c r="B1216" t="s">
        <v>36730</v>
      </c>
      <c r="C1216" t="s">
        <v>36731</v>
      </c>
      <c r="D1216" t="s">
        <v>36732</v>
      </c>
      <c r="E1216" t="s">
        <v>36733</v>
      </c>
      <c r="F1216" t="s">
        <v>36734</v>
      </c>
      <c r="G1216">
        <v>2015</v>
      </c>
      <c r="H1216" s="1">
        <v>41982</v>
      </c>
      <c r="K1216" t="s">
        <v>36735</v>
      </c>
    </row>
    <row r="1217" spans="1:11" x14ac:dyDescent="0.15">
      <c r="A1217">
        <v>34331845</v>
      </c>
      <c r="B1217" t="s">
        <v>36736</v>
      </c>
      <c r="C1217" t="s">
        <v>36737</v>
      </c>
      <c r="D1217" t="s">
        <v>36738</v>
      </c>
      <c r="E1217" t="s">
        <v>34180</v>
      </c>
      <c r="F1217" t="s">
        <v>36739</v>
      </c>
      <c r="G1217">
        <v>2021</v>
      </c>
      <c r="H1217" s="1">
        <v>44408</v>
      </c>
      <c r="I1217" t="s">
        <v>36740</v>
      </c>
      <c r="K1217" t="s">
        <v>36741</v>
      </c>
    </row>
    <row r="1218" spans="1:11" x14ac:dyDescent="0.15">
      <c r="A1218">
        <v>2157058</v>
      </c>
      <c r="B1218" t="s">
        <v>36742</v>
      </c>
      <c r="C1218" t="s">
        <v>36743</v>
      </c>
      <c r="D1218" t="s">
        <v>36744</v>
      </c>
      <c r="E1218" t="s">
        <v>36745</v>
      </c>
      <c r="F1218" t="s">
        <v>31970</v>
      </c>
      <c r="G1218">
        <v>1990</v>
      </c>
      <c r="H1218" s="1">
        <v>32964</v>
      </c>
      <c r="I1218" t="s">
        <v>36746</v>
      </c>
      <c r="K1218" t="s">
        <v>36747</v>
      </c>
    </row>
    <row r="1219" spans="1:11" x14ac:dyDescent="0.15">
      <c r="A1219">
        <v>3007532</v>
      </c>
      <c r="B1219" t="s">
        <v>36748</v>
      </c>
      <c r="C1219" t="s">
        <v>36749</v>
      </c>
      <c r="D1219" t="s">
        <v>36750</v>
      </c>
      <c r="E1219" t="s">
        <v>36751</v>
      </c>
      <c r="F1219" t="s">
        <v>30828</v>
      </c>
      <c r="G1219">
        <v>1986</v>
      </c>
      <c r="H1219" s="1">
        <v>31503</v>
      </c>
      <c r="I1219" t="s">
        <v>36752</v>
      </c>
      <c r="K1219" t="s">
        <v>36753</v>
      </c>
    </row>
    <row r="1220" spans="1:11" x14ac:dyDescent="0.15">
      <c r="A1220">
        <v>16407280</v>
      </c>
      <c r="B1220" t="s">
        <v>36754</v>
      </c>
      <c r="C1220" t="s">
        <v>36755</v>
      </c>
      <c r="D1220" t="s">
        <v>36756</v>
      </c>
      <c r="E1220" t="s">
        <v>36757</v>
      </c>
      <c r="F1220" t="s">
        <v>31594</v>
      </c>
      <c r="G1220">
        <v>2006</v>
      </c>
      <c r="H1220" s="1">
        <v>38730</v>
      </c>
      <c r="K1220" t="s">
        <v>36758</v>
      </c>
    </row>
    <row r="1221" spans="1:11" x14ac:dyDescent="0.15">
      <c r="A1221">
        <v>26170411</v>
      </c>
      <c r="B1221" t="s">
        <v>36759</v>
      </c>
      <c r="C1221" t="s">
        <v>36760</v>
      </c>
      <c r="D1221" t="s">
        <v>36761</v>
      </c>
      <c r="E1221" t="s">
        <v>36762</v>
      </c>
      <c r="F1221" t="s">
        <v>32185</v>
      </c>
      <c r="G1221">
        <v>2015</v>
      </c>
      <c r="H1221" s="1">
        <v>42200</v>
      </c>
      <c r="I1221" t="s">
        <v>36763</v>
      </c>
      <c r="K1221" t="s">
        <v>36764</v>
      </c>
    </row>
    <row r="1222" spans="1:11" x14ac:dyDescent="0.15">
      <c r="A1222">
        <v>2154094</v>
      </c>
      <c r="B1222" t="s">
        <v>36765</v>
      </c>
      <c r="C1222" t="s">
        <v>36766</v>
      </c>
      <c r="D1222" t="s">
        <v>36767</v>
      </c>
      <c r="E1222" t="s">
        <v>36768</v>
      </c>
      <c r="F1222" t="s">
        <v>36769</v>
      </c>
      <c r="G1222">
        <v>1990</v>
      </c>
      <c r="H1222" s="1">
        <v>32905</v>
      </c>
      <c r="K1222" t="s">
        <v>36770</v>
      </c>
    </row>
    <row r="1223" spans="1:11" x14ac:dyDescent="0.15">
      <c r="A1223">
        <v>2689174</v>
      </c>
      <c r="B1223" t="s">
        <v>36771</v>
      </c>
      <c r="C1223" t="s">
        <v>36772</v>
      </c>
      <c r="D1223" t="s">
        <v>36773</v>
      </c>
      <c r="E1223" t="s">
        <v>36774</v>
      </c>
      <c r="F1223" t="s">
        <v>36775</v>
      </c>
      <c r="G1223">
        <v>1989</v>
      </c>
      <c r="H1223" s="1">
        <v>32850</v>
      </c>
      <c r="K1223" t="s">
        <v>36776</v>
      </c>
    </row>
    <row r="1224" spans="1:11" x14ac:dyDescent="0.15">
      <c r="A1224">
        <v>17448744</v>
      </c>
      <c r="B1224" t="s">
        <v>36777</v>
      </c>
      <c r="C1224" t="s">
        <v>36778</v>
      </c>
      <c r="D1224" t="s">
        <v>36779</v>
      </c>
      <c r="E1224" t="s">
        <v>36780</v>
      </c>
      <c r="F1224" t="s">
        <v>36781</v>
      </c>
      <c r="G1224">
        <v>2007</v>
      </c>
      <c r="H1224" s="1">
        <v>39196</v>
      </c>
      <c r="K1224" t="s">
        <v>36782</v>
      </c>
    </row>
    <row r="1225" spans="1:11" x14ac:dyDescent="0.15">
      <c r="A1225">
        <v>25408252</v>
      </c>
      <c r="B1225" t="s">
        <v>36783</v>
      </c>
      <c r="C1225" t="s">
        <v>36784</v>
      </c>
      <c r="D1225" t="s">
        <v>36785</v>
      </c>
      <c r="E1225" t="s">
        <v>36786</v>
      </c>
      <c r="F1225" t="s">
        <v>32433</v>
      </c>
      <c r="G1225">
        <v>2015</v>
      </c>
      <c r="H1225" s="1">
        <v>41963</v>
      </c>
      <c r="I1225" t="s">
        <v>36787</v>
      </c>
      <c r="K1225" t="s">
        <v>17995</v>
      </c>
    </row>
    <row r="1226" spans="1:11" x14ac:dyDescent="0.15">
      <c r="A1226">
        <v>27345571</v>
      </c>
      <c r="B1226" t="s">
        <v>36788</v>
      </c>
      <c r="C1226" t="s">
        <v>36789</v>
      </c>
      <c r="D1226" t="s">
        <v>36790</v>
      </c>
      <c r="E1226" t="s">
        <v>36791</v>
      </c>
      <c r="F1226" t="s">
        <v>34553</v>
      </c>
      <c r="G1226">
        <v>2016</v>
      </c>
      <c r="H1226" s="1">
        <v>42549</v>
      </c>
      <c r="I1226" t="s">
        <v>36792</v>
      </c>
      <c r="J1226" t="s">
        <v>36793</v>
      </c>
      <c r="K1226" t="s">
        <v>36794</v>
      </c>
    </row>
    <row r="1227" spans="1:11" x14ac:dyDescent="0.15">
      <c r="A1227">
        <v>12383240</v>
      </c>
      <c r="B1227" t="s">
        <v>36795</v>
      </c>
      <c r="C1227" t="s">
        <v>36796</v>
      </c>
      <c r="D1227" t="s">
        <v>36797</v>
      </c>
      <c r="E1227" t="s">
        <v>36798</v>
      </c>
      <c r="F1227" t="s">
        <v>36799</v>
      </c>
      <c r="G1227">
        <v>2002</v>
      </c>
      <c r="H1227" s="1">
        <v>37547</v>
      </c>
      <c r="K1227" t="s">
        <v>36800</v>
      </c>
    </row>
    <row r="1228" spans="1:11" x14ac:dyDescent="0.15">
      <c r="A1228">
        <v>31631581</v>
      </c>
      <c r="B1228" t="s">
        <v>36801</v>
      </c>
      <c r="C1228" t="s">
        <v>36802</v>
      </c>
      <c r="D1228" t="s">
        <v>36803</v>
      </c>
      <c r="E1228" t="s">
        <v>36804</v>
      </c>
      <c r="F1228" t="s">
        <v>36805</v>
      </c>
      <c r="G1228">
        <v>2020</v>
      </c>
      <c r="H1228" s="1">
        <v>43760</v>
      </c>
      <c r="K1228" t="s">
        <v>36806</v>
      </c>
    </row>
    <row r="1229" spans="1:11" x14ac:dyDescent="0.15">
      <c r="A1229">
        <v>29343810</v>
      </c>
      <c r="B1229" t="s">
        <v>16681</v>
      </c>
      <c r="C1229" t="s">
        <v>36807</v>
      </c>
      <c r="D1229" t="s">
        <v>36808</v>
      </c>
      <c r="E1229" t="s">
        <v>36809</v>
      </c>
      <c r="F1229" t="s">
        <v>30834</v>
      </c>
      <c r="G1229">
        <v>2018</v>
      </c>
      <c r="H1229" s="1">
        <v>43119</v>
      </c>
      <c r="I1229" t="s">
        <v>36810</v>
      </c>
      <c r="K1229" t="s">
        <v>16691</v>
      </c>
    </row>
    <row r="1230" spans="1:11" x14ac:dyDescent="0.15">
      <c r="A1230">
        <v>9368286</v>
      </c>
      <c r="B1230" t="s">
        <v>20544</v>
      </c>
      <c r="C1230" t="s">
        <v>36811</v>
      </c>
      <c r="D1230" t="s">
        <v>36812</v>
      </c>
      <c r="E1230" t="s">
        <v>36813</v>
      </c>
      <c r="F1230" t="s">
        <v>30893</v>
      </c>
      <c r="G1230">
        <v>1997</v>
      </c>
      <c r="H1230" s="1">
        <v>35431</v>
      </c>
      <c r="K1230" t="s">
        <v>36814</v>
      </c>
    </row>
    <row r="1231" spans="1:11" x14ac:dyDescent="0.15">
      <c r="A1231">
        <v>7890419</v>
      </c>
      <c r="B1231" t="s">
        <v>36815</v>
      </c>
      <c r="C1231" t="s">
        <v>36816</v>
      </c>
      <c r="D1231" t="s">
        <v>36817</v>
      </c>
      <c r="E1231" t="s">
        <v>36818</v>
      </c>
      <c r="F1231" t="s">
        <v>33746</v>
      </c>
      <c r="G1231">
        <v>1995</v>
      </c>
      <c r="H1231" s="1">
        <v>34790</v>
      </c>
      <c r="I1231" t="s">
        <v>36819</v>
      </c>
      <c r="K1231" t="s">
        <v>36820</v>
      </c>
    </row>
    <row r="1232" spans="1:11" x14ac:dyDescent="0.15">
      <c r="A1232">
        <v>15905077</v>
      </c>
      <c r="B1232" t="s">
        <v>36821</v>
      </c>
      <c r="C1232" t="s">
        <v>36822</v>
      </c>
      <c r="D1232" t="s">
        <v>36823</v>
      </c>
      <c r="E1232" t="s">
        <v>36824</v>
      </c>
      <c r="F1232" t="s">
        <v>36626</v>
      </c>
      <c r="G1232">
        <v>2005</v>
      </c>
      <c r="H1232" s="1">
        <v>38493</v>
      </c>
      <c r="K1232" t="s">
        <v>36825</v>
      </c>
    </row>
    <row r="1233" spans="1:11" x14ac:dyDescent="0.15">
      <c r="A1233">
        <v>11331402</v>
      </c>
      <c r="B1233" t="s">
        <v>36826</v>
      </c>
      <c r="C1233" t="s">
        <v>36827</v>
      </c>
      <c r="D1233" t="s">
        <v>36828</v>
      </c>
      <c r="E1233" t="s">
        <v>36829</v>
      </c>
      <c r="F1233" t="s">
        <v>36830</v>
      </c>
      <c r="G1233">
        <v>2001</v>
      </c>
      <c r="H1233" s="1">
        <v>37013</v>
      </c>
      <c r="K1233" t="s">
        <v>36831</v>
      </c>
    </row>
    <row r="1234" spans="1:11" x14ac:dyDescent="0.15">
      <c r="A1234">
        <v>11879181</v>
      </c>
      <c r="B1234" t="s">
        <v>36832</v>
      </c>
      <c r="C1234" t="s">
        <v>36833</v>
      </c>
      <c r="D1234" t="s">
        <v>36834</v>
      </c>
      <c r="E1234" t="s">
        <v>36835</v>
      </c>
      <c r="F1234" t="s">
        <v>31059</v>
      </c>
      <c r="G1234">
        <v>2002</v>
      </c>
      <c r="H1234" s="1">
        <v>37322</v>
      </c>
      <c r="I1234" t="s">
        <v>36836</v>
      </c>
      <c r="K1234" t="s">
        <v>36837</v>
      </c>
    </row>
    <row r="1235" spans="1:11" x14ac:dyDescent="0.15">
      <c r="A1235">
        <v>31104002</v>
      </c>
      <c r="B1235" t="s">
        <v>36838</v>
      </c>
      <c r="C1235" t="s">
        <v>36839</v>
      </c>
      <c r="D1235" t="s">
        <v>36840</v>
      </c>
      <c r="E1235" t="s">
        <v>36841</v>
      </c>
      <c r="F1235" t="s">
        <v>36842</v>
      </c>
      <c r="G1235">
        <v>2019</v>
      </c>
      <c r="H1235" s="1">
        <v>43605</v>
      </c>
      <c r="I1235" t="s">
        <v>36843</v>
      </c>
      <c r="K1235" t="s">
        <v>36844</v>
      </c>
    </row>
    <row r="1236" spans="1:11" x14ac:dyDescent="0.15">
      <c r="A1236">
        <v>23284671</v>
      </c>
      <c r="B1236" t="s">
        <v>36845</v>
      </c>
      <c r="C1236" t="s">
        <v>36846</v>
      </c>
      <c r="D1236" t="s">
        <v>36847</v>
      </c>
      <c r="E1236" t="s">
        <v>36848</v>
      </c>
      <c r="F1236" t="s">
        <v>31639</v>
      </c>
      <c r="G1236">
        <v>2012</v>
      </c>
      <c r="H1236" s="1">
        <v>41278</v>
      </c>
      <c r="I1236" t="s">
        <v>36849</v>
      </c>
      <c r="K1236" t="s">
        <v>22456</v>
      </c>
    </row>
    <row r="1237" spans="1:11" x14ac:dyDescent="0.15">
      <c r="A1237">
        <v>15709166</v>
      </c>
      <c r="B1237" t="s">
        <v>19445</v>
      </c>
      <c r="C1237" t="s">
        <v>36850</v>
      </c>
      <c r="D1237" t="s">
        <v>36851</v>
      </c>
      <c r="E1237" t="s">
        <v>36852</v>
      </c>
      <c r="F1237" t="s">
        <v>32039</v>
      </c>
      <c r="G1237">
        <v>2005</v>
      </c>
      <c r="H1237" s="1">
        <v>38398</v>
      </c>
    </row>
    <row r="1238" spans="1:11" x14ac:dyDescent="0.15">
      <c r="A1238">
        <v>35204785</v>
      </c>
      <c r="B1238" t="s">
        <v>36853</v>
      </c>
      <c r="C1238" t="s">
        <v>36854</v>
      </c>
      <c r="D1238" t="s">
        <v>36855</v>
      </c>
      <c r="E1238" t="s">
        <v>36856</v>
      </c>
      <c r="F1238" t="s">
        <v>33169</v>
      </c>
      <c r="G1238">
        <v>2022</v>
      </c>
      <c r="H1238" s="1">
        <v>44617</v>
      </c>
      <c r="I1238" t="s">
        <v>36857</v>
      </c>
      <c r="K1238" t="s">
        <v>36858</v>
      </c>
    </row>
    <row r="1239" spans="1:11" x14ac:dyDescent="0.15">
      <c r="A1239">
        <v>34896392</v>
      </c>
      <c r="B1239" t="s">
        <v>36859</v>
      </c>
      <c r="C1239" t="s">
        <v>36860</v>
      </c>
      <c r="D1239" t="s">
        <v>36861</v>
      </c>
      <c r="E1239" t="s">
        <v>36862</v>
      </c>
      <c r="F1239" t="s">
        <v>31594</v>
      </c>
      <c r="G1239">
        <v>2022</v>
      </c>
      <c r="H1239" s="1">
        <v>44543</v>
      </c>
      <c r="I1239" t="s">
        <v>36863</v>
      </c>
      <c r="K1239" t="s">
        <v>36864</v>
      </c>
    </row>
    <row r="1240" spans="1:11" x14ac:dyDescent="0.15">
      <c r="A1240">
        <v>31732191</v>
      </c>
      <c r="B1240" t="s">
        <v>28422</v>
      </c>
      <c r="C1240" t="s">
        <v>36865</v>
      </c>
      <c r="D1240" t="s">
        <v>36866</v>
      </c>
      <c r="E1240" t="s">
        <v>36867</v>
      </c>
      <c r="F1240" t="s">
        <v>32536</v>
      </c>
      <c r="G1240">
        <v>2020</v>
      </c>
      <c r="H1240" s="1">
        <v>43786</v>
      </c>
      <c r="K1240" t="s">
        <v>28432</v>
      </c>
    </row>
    <row r="1241" spans="1:11" x14ac:dyDescent="0.15">
      <c r="A1241">
        <v>8599240</v>
      </c>
      <c r="B1241" t="s">
        <v>36868</v>
      </c>
      <c r="C1241" t="s">
        <v>36869</v>
      </c>
      <c r="D1241" t="s">
        <v>36870</v>
      </c>
      <c r="E1241" t="s">
        <v>36605</v>
      </c>
      <c r="F1241" t="s">
        <v>932</v>
      </c>
      <c r="G1241">
        <v>1996</v>
      </c>
      <c r="H1241" s="1">
        <v>35125</v>
      </c>
      <c r="K1241" t="s">
        <v>36871</v>
      </c>
    </row>
    <row r="1242" spans="1:11" x14ac:dyDescent="0.15">
      <c r="A1242">
        <v>33952325</v>
      </c>
      <c r="B1242" t="s">
        <v>36872</v>
      </c>
      <c r="C1242" t="s">
        <v>36873</v>
      </c>
      <c r="D1242" t="s">
        <v>36874</v>
      </c>
      <c r="E1242" t="s">
        <v>36875</v>
      </c>
      <c r="F1242" t="s">
        <v>36876</v>
      </c>
      <c r="G1242">
        <v>2021</v>
      </c>
      <c r="H1242" s="1">
        <v>44322</v>
      </c>
      <c r="I1242" t="s">
        <v>36877</v>
      </c>
      <c r="K1242" t="s">
        <v>36878</v>
      </c>
    </row>
    <row r="1243" spans="1:11" x14ac:dyDescent="0.15">
      <c r="A1243">
        <v>11854410</v>
      </c>
      <c r="B1243" t="s">
        <v>36879</v>
      </c>
      <c r="C1243" t="s">
        <v>36880</v>
      </c>
      <c r="D1243" t="s">
        <v>36881</v>
      </c>
      <c r="E1243" t="s">
        <v>36882</v>
      </c>
      <c r="F1243" t="s">
        <v>32298</v>
      </c>
      <c r="G1243">
        <v>2002</v>
      </c>
      <c r="H1243" s="1">
        <v>37308</v>
      </c>
      <c r="I1243" t="s">
        <v>36883</v>
      </c>
      <c r="K1243" t="s">
        <v>36884</v>
      </c>
    </row>
    <row r="1244" spans="1:11" x14ac:dyDescent="0.15">
      <c r="A1244">
        <v>14642889</v>
      </c>
      <c r="B1244" t="s">
        <v>36885</v>
      </c>
      <c r="C1244" t="s">
        <v>36886</v>
      </c>
      <c r="D1244" t="s">
        <v>36887</v>
      </c>
      <c r="E1244" t="s">
        <v>36888</v>
      </c>
      <c r="F1244" t="s">
        <v>32541</v>
      </c>
      <c r="G1244">
        <v>2004</v>
      </c>
      <c r="H1244" s="1">
        <v>37958</v>
      </c>
      <c r="K1244" t="s">
        <v>25586</v>
      </c>
    </row>
    <row r="1245" spans="1:11" x14ac:dyDescent="0.15">
      <c r="A1245">
        <v>19818712</v>
      </c>
      <c r="B1245" t="s">
        <v>36889</v>
      </c>
      <c r="C1245" t="s">
        <v>36890</v>
      </c>
      <c r="D1245" t="s">
        <v>36891</v>
      </c>
      <c r="E1245" t="s">
        <v>36892</v>
      </c>
      <c r="F1245" t="s">
        <v>32022</v>
      </c>
      <c r="G1245">
        <v>2009</v>
      </c>
      <c r="H1245" s="1">
        <v>40099</v>
      </c>
      <c r="I1245" t="s">
        <v>36893</v>
      </c>
      <c r="K1245" t="s">
        <v>36894</v>
      </c>
    </row>
    <row r="1246" spans="1:11" x14ac:dyDescent="0.15">
      <c r="A1246">
        <v>18025105</v>
      </c>
      <c r="B1246" t="s">
        <v>36895</v>
      </c>
      <c r="C1246" t="s">
        <v>36896</v>
      </c>
      <c r="D1246" t="s">
        <v>36897</v>
      </c>
      <c r="E1246" t="s">
        <v>36898</v>
      </c>
      <c r="F1246" t="s">
        <v>33347</v>
      </c>
      <c r="G1246">
        <v>2008</v>
      </c>
      <c r="H1246" s="1">
        <v>39407</v>
      </c>
      <c r="I1246" t="s">
        <v>36899</v>
      </c>
      <c r="K1246" t="s">
        <v>36900</v>
      </c>
    </row>
    <row r="1247" spans="1:11" x14ac:dyDescent="0.15">
      <c r="A1247">
        <v>9668172</v>
      </c>
      <c r="B1247" t="s">
        <v>36901</v>
      </c>
      <c r="C1247" t="s">
        <v>36902</v>
      </c>
      <c r="D1247" t="s">
        <v>36903</v>
      </c>
      <c r="E1247" t="s">
        <v>36904</v>
      </c>
      <c r="F1247" t="s">
        <v>33359</v>
      </c>
      <c r="G1247">
        <v>1998</v>
      </c>
      <c r="H1247" s="1">
        <v>35997</v>
      </c>
      <c r="K1247" t="s">
        <v>36905</v>
      </c>
    </row>
    <row r="1248" spans="1:11" x14ac:dyDescent="0.15">
      <c r="A1248">
        <v>9653649</v>
      </c>
      <c r="B1248" t="s">
        <v>36906</v>
      </c>
      <c r="C1248" t="s">
        <v>36907</v>
      </c>
      <c r="D1248" t="s">
        <v>36908</v>
      </c>
      <c r="E1248" t="s">
        <v>36909</v>
      </c>
      <c r="F1248" t="s">
        <v>36910</v>
      </c>
      <c r="G1248">
        <v>1998</v>
      </c>
      <c r="H1248" s="1">
        <v>35984</v>
      </c>
      <c r="K1248" t="s">
        <v>36911</v>
      </c>
    </row>
    <row r="1249" spans="1:11" x14ac:dyDescent="0.15">
      <c r="A1249">
        <v>34710587</v>
      </c>
      <c r="B1249" t="s">
        <v>36912</v>
      </c>
      <c r="C1249" t="s">
        <v>36913</v>
      </c>
      <c r="D1249" t="s">
        <v>36914</v>
      </c>
      <c r="E1249" t="s">
        <v>36915</v>
      </c>
      <c r="F1249" t="s">
        <v>30618</v>
      </c>
      <c r="G1249">
        <v>2022</v>
      </c>
      <c r="H1249" s="1">
        <v>44497</v>
      </c>
      <c r="K1249" t="s">
        <v>36916</v>
      </c>
    </row>
    <row r="1250" spans="1:11" x14ac:dyDescent="0.15">
      <c r="A1250">
        <v>21715023</v>
      </c>
      <c r="B1250" t="s">
        <v>36917</v>
      </c>
      <c r="C1250" t="s">
        <v>36918</v>
      </c>
      <c r="D1250" t="s">
        <v>36919</v>
      </c>
      <c r="E1250" t="s">
        <v>36920</v>
      </c>
      <c r="F1250" t="s">
        <v>36921</v>
      </c>
      <c r="G1250">
        <v>2011</v>
      </c>
      <c r="H1250" s="1">
        <v>40725</v>
      </c>
      <c r="K1250" t="s">
        <v>36922</v>
      </c>
    </row>
    <row r="1251" spans="1:11" x14ac:dyDescent="0.15">
      <c r="A1251">
        <v>6150137</v>
      </c>
      <c r="B1251" t="s">
        <v>36923</v>
      </c>
      <c r="C1251" t="s">
        <v>36924</v>
      </c>
      <c r="D1251" t="s">
        <v>36925</v>
      </c>
      <c r="E1251" t="s">
        <v>36926</v>
      </c>
      <c r="F1251" t="s">
        <v>36927</v>
      </c>
      <c r="G1251">
        <v>1984</v>
      </c>
      <c r="H1251" s="1">
        <v>31017</v>
      </c>
    </row>
    <row r="1252" spans="1:11" x14ac:dyDescent="0.15">
      <c r="A1252">
        <v>12509439</v>
      </c>
      <c r="B1252" t="s">
        <v>36928</v>
      </c>
      <c r="C1252" t="s">
        <v>36929</v>
      </c>
      <c r="D1252" t="s">
        <v>36930</v>
      </c>
      <c r="E1252" t="s">
        <v>36931</v>
      </c>
      <c r="F1252" t="s">
        <v>31594</v>
      </c>
      <c r="G1252">
        <v>2003</v>
      </c>
      <c r="H1252" s="1">
        <v>37623</v>
      </c>
      <c r="K1252" t="s">
        <v>36932</v>
      </c>
    </row>
    <row r="1253" spans="1:11" x14ac:dyDescent="0.15">
      <c r="A1253">
        <v>7559527</v>
      </c>
      <c r="B1253" t="s">
        <v>36933</v>
      </c>
      <c r="C1253" t="s">
        <v>36934</v>
      </c>
      <c r="D1253" t="s">
        <v>36935</v>
      </c>
      <c r="E1253" t="s">
        <v>36936</v>
      </c>
      <c r="F1253" t="s">
        <v>31594</v>
      </c>
      <c r="G1253">
        <v>1995</v>
      </c>
      <c r="H1253" s="1">
        <v>34978</v>
      </c>
      <c r="K1253" t="s">
        <v>36937</v>
      </c>
    </row>
    <row r="1254" spans="1:11" x14ac:dyDescent="0.15">
      <c r="A1254">
        <v>9148967</v>
      </c>
      <c r="B1254" t="s">
        <v>36938</v>
      </c>
      <c r="C1254" t="s">
        <v>36939</v>
      </c>
      <c r="D1254" t="s">
        <v>36940</v>
      </c>
      <c r="E1254" t="s">
        <v>36941</v>
      </c>
      <c r="F1254" t="s">
        <v>31594</v>
      </c>
      <c r="G1254">
        <v>1997</v>
      </c>
      <c r="H1254" s="1">
        <v>35566</v>
      </c>
      <c r="K1254" t="s">
        <v>36942</v>
      </c>
    </row>
    <row r="1255" spans="1:11" x14ac:dyDescent="0.15">
      <c r="A1255">
        <v>28408343</v>
      </c>
      <c r="B1255" t="s">
        <v>26383</v>
      </c>
      <c r="C1255" t="s">
        <v>36943</v>
      </c>
      <c r="D1255" t="s">
        <v>36944</v>
      </c>
      <c r="E1255" t="s">
        <v>36945</v>
      </c>
      <c r="F1255" t="s">
        <v>34368</v>
      </c>
      <c r="G1255">
        <v>2017</v>
      </c>
      <c r="H1255" s="1">
        <v>42840</v>
      </c>
      <c r="K1255" t="s">
        <v>26392</v>
      </c>
    </row>
    <row r="1256" spans="1:11" x14ac:dyDescent="0.15">
      <c r="A1256">
        <v>21478823</v>
      </c>
      <c r="B1256" t="s">
        <v>36946</v>
      </c>
      <c r="C1256" t="s">
        <v>36947</v>
      </c>
      <c r="D1256" t="s">
        <v>36948</v>
      </c>
      <c r="E1256" t="s">
        <v>36949</v>
      </c>
      <c r="F1256" t="s">
        <v>35307</v>
      </c>
      <c r="G1256">
        <v>2011</v>
      </c>
      <c r="H1256" s="1">
        <v>40645</v>
      </c>
      <c r="I1256" t="s">
        <v>36950</v>
      </c>
      <c r="K1256" t="s">
        <v>36951</v>
      </c>
    </row>
    <row r="1257" spans="1:11" x14ac:dyDescent="0.15">
      <c r="A1257">
        <v>29601331</v>
      </c>
      <c r="B1257" t="s">
        <v>36952</v>
      </c>
      <c r="C1257" t="s">
        <v>36953</v>
      </c>
      <c r="D1257" t="s">
        <v>36954</v>
      </c>
      <c r="E1257" t="s">
        <v>36955</v>
      </c>
      <c r="F1257" t="s">
        <v>35538</v>
      </c>
      <c r="G1257">
        <v>2018</v>
      </c>
      <c r="H1257" s="1">
        <v>43190</v>
      </c>
      <c r="I1257" t="s">
        <v>36956</v>
      </c>
      <c r="J1257" t="s">
        <v>36957</v>
      </c>
      <c r="K1257" t="s">
        <v>36958</v>
      </c>
    </row>
    <row r="1258" spans="1:11" x14ac:dyDescent="0.15">
      <c r="A1258">
        <v>8282779</v>
      </c>
      <c r="B1258" t="s">
        <v>36959</v>
      </c>
      <c r="C1258" t="s">
        <v>36960</v>
      </c>
      <c r="D1258" t="s">
        <v>36961</v>
      </c>
      <c r="E1258" t="s">
        <v>36962</v>
      </c>
      <c r="F1258" t="s">
        <v>30566</v>
      </c>
      <c r="G1258">
        <v>1994</v>
      </c>
      <c r="H1258" s="1">
        <v>34335</v>
      </c>
      <c r="I1258" t="s">
        <v>36963</v>
      </c>
      <c r="K1258" t="s">
        <v>27585</v>
      </c>
    </row>
    <row r="1259" spans="1:11" x14ac:dyDescent="0.15">
      <c r="A1259">
        <v>9188566</v>
      </c>
      <c r="B1259" t="s">
        <v>36964</v>
      </c>
      <c r="C1259" t="s">
        <v>36965</v>
      </c>
      <c r="D1259" t="s">
        <v>36966</v>
      </c>
      <c r="E1259" t="s">
        <v>36967</v>
      </c>
      <c r="F1259" t="s">
        <v>31970</v>
      </c>
      <c r="G1259">
        <v>1997</v>
      </c>
      <c r="H1259" s="1">
        <v>35612</v>
      </c>
      <c r="I1259" t="s">
        <v>36968</v>
      </c>
      <c r="K1259" t="s">
        <v>36969</v>
      </c>
    </row>
    <row r="1260" spans="1:11" x14ac:dyDescent="0.15">
      <c r="A1260">
        <v>8662812</v>
      </c>
      <c r="B1260" t="s">
        <v>36970</v>
      </c>
      <c r="C1260" t="s">
        <v>36971</v>
      </c>
      <c r="D1260" t="s">
        <v>36972</v>
      </c>
      <c r="E1260" t="s">
        <v>36973</v>
      </c>
      <c r="F1260" t="s">
        <v>31594</v>
      </c>
      <c r="G1260">
        <v>1996</v>
      </c>
      <c r="H1260" s="1">
        <v>35223</v>
      </c>
      <c r="K1260" t="s">
        <v>36974</v>
      </c>
    </row>
    <row r="1261" spans="1:11" x14ac:dyDescent="0.15">
      <c r="A1261">
        <v>21855801</v>
      </c>
      <c r="B1261" t="s">
        <v>36975</v>
      </c>
      <c r="C1261" t="s">
        <v>36976</v>
      </c>
      <c r="D1261" t="s">
        <v>36977</v>
      </c>
      <c r="E1261" t="s">
        <v>36978</v>
      </c>
      <c r="F1261" t="s">
        <v>32022</v>
      </c>
      <c r="G1261">
        <v>2011</v>
      </c>
      <c r="H1261" s="1">
        <v>40778</v>
      </c>
      <c r="K1261" t="s">
        <v>36979</v>
      </c>
    </row>
    <row r="1262" spans="1:11" x14ac:dyDescent="0.15">
      <c r="A1262">
        <v>33446491</v>
      </c>
      <c r="B1262" t="s">
        <v>36980</v>
      </c>
      <c r="C1262" t="s">
        <v>36981</v>
      </c>
      <c r="D1262" t="s">
        <v>36982</v>
      </c>
      <c r="E1262" t="s">
        <v>36983</v>
      </c>
      <c r="F1262" t="s">
        <v>33722</v>
      </c>
      <c r="G1262">
        <v>2021</v>
      </c>
      <c r="H1262" s="1">
        <v>44211</v>
      </c>
      <c r="I1262" t="s">
        <v>36984</v>
      </c>
      <c r="K1262" t="s">
        <v>36985</v>
      </c>
    </row>
    <row r="1263" spans="1:11" x14ac:dyDescent="0.15">
      <c r="A1263">
        <v>17601531</v>
      </c>
      <c r="B1263" t="s">
        <v>36986</v>
      </c>
      <c r="C1263" t="s">
        <v>36987</v>
      </c>
      <c r="D1263" t="s">
        <v>36988</v>
      </c>
      <c r="E1263" t="s">
        <v>36989</v>
      </c>
      <c r="F1263" t="s">
        <v>36008</v>
      </c>
      <c r="G1263">
        <v>2007</v>
      </c>
      <c r="H1263" s="1">
        <v>39266</v>
      </c>
      <c r="K1263" t="s">
        <v>36990</v>
      </c>
    </row>
    <row r="1264" spans="1:11" x14ac:dyDescent="0.15">
      <c r="A1264">
        <v>32225029</v>
      </c>
      <c r="B1264" t="s">
        <v>36991</v>
      </c>
      <c r="C1264" t="s">
        <v>36992</v>
      </c>
      <c r="D1264" t="s">
        <v>36993</v>
      </c>
      <c r="E1264" t="s">
        <v>36994</v>
      </c>
      <c r="F1264" t="s">
        <v>30655</v>
      </c>
      <c r="G1264">
        <v>2020</v>
      </c>
      <c r="H1264" s="1">
        <v>43922</v>
      </c>
      <c r="I1264" t="s">
        <v>36995</v>
      </c>
      <c r="K1264" t="s">
        <v>36996</v>
      </c>
    </row>
    <row r="1265" spans="1:11" x14ac:dyDescent="0.15">
      <c r="A1265">
        <v>35545786</v>
      </c>
      <c r="B1265" t="s">
        <v>36997</v>
      </c>
      <c r="C1265" t="s">
        <v>36998</v>
      </c>
      <c r="D1265" t="s">
        <v>36999</v>
      </c>
      <c r="E1265" t="s">
        <v>37000</v>
      </c>
      <c r="F1265" t="s">
        <v>30630</v>
      </c>
      <c r="G1265">
        <v>2022</v>
      </c>
      <c r="H1265" s="1">
        <v>44692</v>
      </c>
      <c r="I1265" t="s">
        <v>37001</v>
      </c>
      <c r="K1265" t="s">
        <v>37002</v>
      </c>
    </row>
    <row r="1266" spans="1:11" x14ac:dyDescent="0.15">
      <c r="A1266">
        <v>19593443</v>
      </c>
      <c r="B1266" t="s">
        <v>37003</v>
      </c>
      <c r="C1266" t="s">
        <v>37004</v>
      </c>
      <c r="D1266" t="s">
        <v>37005</v>
      </c>
      <c r="E1266" t="s">
        <v>37006</v>
      </c>
      <c r="F1266" t="s">
        <v>31639</v>
      </c>
      <c r="G1266">
        <v>2009</v>
      </c>
      <c r="H1266" s="1">
        <v>40008</v>
      </c>
      <c r="I1266" t="s">
        <v>37007</v>
      </c>
      <c r="K1266" t="s">
        <v>37008</v>
      </c>
    </row>
    <row r="1267" spans="1:11" x14ac:dyDescent="0.15">
      <c r="A1267">
        <v>26959653</v>
      </c>
      <c r="B1267" t="s">
        <v>18154</v>
      </c>
      <c r="C1267" t="s">
        <v>37009</v>
      </c>
      <c r="D1267" t="s">
        <v>37010</v>
      </c>
      <c r="E1267" t="s">
        <v>37011</v>
      </c>
      <c r="F1267" t="s">
        <v>32328</v>
      </c>
      <c r="G1267">
        <v>2016</v>
      </c>
      <c r="H1267" s="1">
        <v>42439</v>
      </c>
      <c r="K1267" t="s">
        <v>18162</v>
      </c>
    </row>
    <row r="1268" spans="1:11" x14ac:dyDescent="0.15">
      <c r="A1268">
        <v>8034739</v>
      </c>
      <c r="B1268" t="s">
        <v>37012</v>
      </c>
      <c r="C1268" t="s">
        <v>37013</v>
      </c>
      <c r="D1268" t="s">
        <v>37014</v>
      </c>
      <c r="E1268" t="s">
        <v>37015</v>
      </c>
      <c r="F1268" t="s">
        <v>30828</v>
      </c>
      <c r="G1268">
        <v>1994</v>
      </c>
      <c r="H1268" s="1">
        <v>34516</v>
      </c>
      <c r="I1268" t="s">
        <v>37016</v>
      </c>
      <c r="K1268" t="s">
        <v>37017</v>
      </c>
    </row>
    <row r="1269" spans="1:11" x14ac:dyDescent="0.15">
      <c r="A1269">
        <v>28368488</v>
      </c>
      <c r="B1269" t="s">
        <v>20259</v>
      </c>
      <c r="C1269" t="s">
        <v>37018</v>
      </c>
      <c r="D1269" t="s">
        <v>37019</v>
      </c>
      <c r="E1269" t="s">
        <v>37020</v>
      </c>
      <c r="F1269" t="s">
        <v>32228</v>
      </c>
      <c r="G1269">
        <v>2017</v>
      </c>
      <c r="H1269" s="1">
        <v>42829</v>
      </c>
      <c r="K1269" t="s">
        <v>20269</v>
      </c>
    </row>
    <row r="1270" spans="1:11" x14ac:dyDescent="0.15">
      <c r="A1270">
        <v>21893226</v>
      </c>
      <c r="B1270" t="s">
        <v>24799</v>
      </c>
      <c r="C1270" t="s">
        <v>37021</v>
      </c>
      <c r="D1270" t="s">
        <v>37022</v>
      </c>
      <c r="E1270" t="s">
        <v>37023</v>
      </c>
      <c r="F1270" t="s">
        <v>36781</v>
      </c>
      <c r="G1270">
        <v>2011</v>
      </c>
      <c r="H1270" s="1">
        <v>40793</v>
      </c>
      <c r="K1270" t="s">
        <v>24811</v>
      </c>
    </row>
    <row r="1271" spans="1:11" x14ac:dyDescent="0.15">
      <c r="A1271">
        <v>35190695</v>
      </c>
      <c r="B1271" t="s">
        <v>37024</v>
      </c>
      <c r="C1271" t="s">
        <v>37025</v>
      </c>
      <c r="D1271" t="s">
        <v>37026</v>
      </c>
      <c r="E1271" t="s">
        <v>37027</v>
      </c>
      <c r="F1271" t="s">
        <v>31952</v>
      </c>
      <c r="G1271">
        <v>2022</v>
      </c>
      <c r="H1271" s="1">
        <v>44614</v>
      </c>
      <c r="I1271" t="s">
        <v>37028</v>
      </c>
      <c r="K1271" t="s">
        <v>37029</v>
      </c>
    </row>
    <row r="1272" spans="1:11" x14ac:dyDescent="0.15">
      <c r="A1272">
        <v>17296737</v>
      </c>
      <c r="B1272" t="s">
        <v>37030</v>
      </c>
      <c r="C1272" t="s">
        <v>37031</v>
      </c>
      <c r="D1272" t="s">
        <v>37032</v>
      </c>
      <c r="E1272" t="s">
        <v>37033</v>
      </c>
      <c r="F1272" t="s">
        <v>33347</v>
      </c>
      <c r="G1272">
        <v>2007</v>
      </c>
      <c r="H1272" s="1">
        <v>39127</v>
      </c>
      <c r="I1272" t="s">
        <v>37034</v>
      </c>
      <c r="K1272" t="s">
        <v>37035</v>
      </c>
    </row>
    <row r="1273" spans="1:11" x14ac:dyDescent="0.15">
      <c r="A1273">
        <v>12198172</v>
      </c>
      <c r="B1273" t="s">
        <v>37036</v>
      </c>
      <c r="C1273" t="s">
        <v>37037</v>
      </c>
      <c r="D1273" t="s">
        <v>37038</v>
      </c>
      <c r="E1273" t="s">
        <v>32198</v>
      </c>
      <c r="F1273" t="s">
        <v>35307</v>
      </c>
      <c r="G1273">
        <v>2002</v>
      </c>
      <c r="H1273" s="1">
        <v>37497</v>
      </c>
      <c r="I1273" t="s">
        <v>37039</v>
      </c>
      <c r="K1273" t="s">
        <v>37040</v>
      </c>
    </row>
    <row r="1274" spans="1:11" x14ac:dyDescent="0.15">
      <c r="A1274">
        <v>19483673</v>
      </c>
      <c r="B1274" t="s">
        <v>18610</v>
      </c>
      <c r="C1274" t="s">
        <v>37041</v>
      </c>
      <c r="D1274" t="s">
        <v>37042</v>
      </c>
      <c r="E1274" t="s">
        <v>37043</v>
      </c>
      <c r="F1274" t="s">
        <v>35353</v>
      </c>
      <c r="G1274">
        <v>2009</v>
      </c>
      <c r="H1274" s="1">
        <v>39966</v>
      </c>
      <c r="I1274" t="s">
        <v>37044</v>
      </c>
      <c r="K1274" t="s">
        <v>18620</v>
      </c>
    </row>
    <row r="1275" spans="1:11" x14ac:dyDescent="0.15">
      <c r="A1275">
        <v>162859</v>
      </c>
      <c r="B1275" t="s">
        <v>37045</v>
      </c>
      <c r="C1275" t="s">
        <v>37046</v>
      </c>
      <c r="D1275" t="s">
        <v>37047</v>
      </c>
      <c r="E1275" t="s">
        <v>37048</v>
      </c>
      <c r="F1275" t="s">
        <v>31167</v>
      </c>
      <c r="G1275">
        <v>1975</v>
      </c>
      <c r="H1275" s="1">
        <v>27395</v>
      </c>
    </row>
    <row r="1276" spans="1:11" x14ac:dyDescent="0.15">
      <c r="A1276">
        <v>19357164</v>
      </c>
      <c r="B1276" t="s">
        <v>37049</v>
      </c>
      <c r="C1276" t="s">
        <v>37050</v>
      </c>
      <c r="D1276" t="s">
        <v>37051</v>
      </c>
      <c r="E1276" t="s">
        <v>37052</v>
      </c>
      <c r="F1276" t="s">
        <v>31970</v>
      </c>
      <c r="G1276">
        <v>2009</v>
      </c>
      <c r="H1276" s="1">
        <v>39913</v>
      </c>
      <c r="I1276" t="s">
        <v>37053</v>
      </c>
      <c r="K1276" t="s">
        <v>37054</v>
      </c>
    </row>
    <row r="1277" spans="1:11" x14ac:dyDescent="0.15">
      <c r="A1277">
        <v>23283972</v>
      </c>
      <c r="B1277" t="s">
        <v>37055</v>
      </c>
      <c r="C1277" t="s">
        <v>37056</v>
      </c>
      <c r="D1277" t="s">
        <v>37057</v>
      </c>
      <c r="E1277" t="s">
        <v>37058</v>
      </c>
      <c r="F1277" t="s">
        <v>31594</v>
      </c>
      <c r="G1277">
        <v>2013</v>
      </c>
      <c r="H1277" s="1">
        <v>41278</v>
      </c>
      <c r="I1277" t="s">
        <v>37059</v>
      </c>
      <c r="K1277" t="s">
        <v>37060</v>
      </c>
    </row>
    <row r="1278" spans="1:11" x14ac:dyDescent="0.15">
      <c r="A1278">
        <v>22766015</v>
      </c>
      <c r="B1278" t="s">
        <v>37061</v>
      </c>
      <c r="C1278" t="s">
        <v>37062</v>
      </c>
      <c r="D1278" t="s">
        <v>37063</v>
      </c>
      <c r="E1278" t="s">
        <v>37064</v>
      </c>
      <c r="F1278" t="s">
        <v>37065</v>
      </c>
      <c r="G1278">
        <v>2012</v>
      </c>
      <c r="H1278" s="1">
        <v>41097</v>
      </c>
      <c r="K1278" t="s">
        <v>37066</v>
      </c>
    </row>
    <row r="1279" spans="1:11" x14ac:dyDescent="0.15">
      <c r="A1279">
        <v>32289533</v>
      </c>
      <c r="B1279" t="s">
        <v>37067</v>
      </c>
      <c r="C1279" t="s">
        <v>37068</v>
      </c>
      <c r="D1279" t="s">
        <v>37069</v>
      </c>
      <c r="E1279" t="s">
        <v>37070</v>
      </c>
      <c r="F1279" t="s">
        <v>37071</v>
      </c>
      <c r="G1279">
        <v>2020</v>
      </c>
      <c r="H1279" s="1">
        <v>43936</v>
      </c>
      <c r="I1279" t="s">
        <v>37072</v>
      </c>
      <c r="J1279" t="s">
        <v>37073</v>
      </c>
      <c r="K1279" t="s">
        <v>37074</v>
      </c>
    </row>
    <row r="1280" spans="1:11" x14ac:dyDescent="0.15">
      <c r="A1280">
        <v>23869968</v>
      </c>
      <c r="B1280" t="s">
        <v>14454</v>
      </c>
      <c r="C1280" t="s">
        <v>37075</v>
      </c>
      <c r="D1280" t="s">
        <v>37076</v>
      </c>
      <c r="E1280" t="s">
        <v>37077</v>
      </c>
      <c r="F1280" t="s">
        <v>33076</v>
      </c>
      <c r="G1280">
        <v>2013</v>
      </c>
      <c r="H1280" s="1">
        <v>41478</v>
      </c>
      <c r="K1280" t="s">
        <v>14466</v>
      </c>
    </row>
    <row r="1281" spans="1:11" x14ac:dyDescent="0.15">
      <c r="A1281">
        <v>12034747</v>
      </c>
      <c r="B1281" t="s">
        <v>37078</v>
      </c>
      <c r="C1281" t="s">
        <v>37079</v>
      </c>
      <c r="D1281" t="s">
        <v>37080</v>
      </c>
      <c r="E1281" t="s">
        <v>37081</v>
      </c>
      <c r="F1281" t="s">
        <v>31594</v>
      </c>
      <c r="G1281">
        <v>2002</v>
      </c>
      <c r="H1281" s="1">
        <v>37406</v>
      </c>
      <c r="K1281" t="s">
        <v>37082</v>
      </c>
    </row>
    <row r="1282" spans="1:11" x14ac:dyDescent="0.15">
      <c r="A1282">
        <v>24758196</v>
      </c>
      <c r="B1282" t="s">
        <v>37083</v>
      </c>
      <c r="C1282" t="s">
        <v>37084</v>
      </c>
      <c r="D1282" t="s">
        <v>37085</v>
      </c>
      <c r="E1282" t="s">
        <v>37086</v>
      </c>
      <c r="F1282" t="s">
        <v>31633</v>
      </c>
      <c r="G1282">
        <v>2015</v>
      </c>
      <c r="H1282" s="1">
        <v>41754</v>
      </c>
      <c r="I1282" t="s">
        <v>37087</v>
      </c>
      <c r="K1282" t="s">
        <v>37088</v>
      </c>
    </row>
    <row r="1283" spans="1:11" x14ac:dyDescent="0.15">
      <c r="A1283">
        <v>7717462</v>
      </c>
      <c r="B1283" t="s">
        <v>37089</v>
      </c>
      <c r="C1283" t="s">
        <v>37090</v>
      </c>
      <c r="D1283" t="s">
        <v>37091</v>
      </c>
      <c r="E1283" t="s">
        <v>37092</v>
      </c>
      <c r="F1283" t="s">
        <v>32741</v>
      </c>
      <c r="G1283">
        <v>1995</v>
      </c>
      <c r="H1283" s="1">
        <v>34790</v>
      </c>
      <c r="I1283" t="s">
        <v>37093</v>
      </c>
    </row>
    <row r="1284" spans="1:11" x14ac:dyDescent="0.15">
      <c r="A1284">
        <v>10772249</v>
      </c>
      <c r="B1284" t="s">
        <v>37094</v>
      </c>
      <c r="C1284" t="s">
        <v>37095</v>
      </c>
      <c r="D1284" t="s">
        <v>37096</v>
      </c>
      <c r="E1284" t="s">
        <v>37097</v>
      </c>
      <c r="F1284" t="s">
        <v>37098</v>
      </c>
      <c r="G1284">
        <v>2000</v>
      </c>
      <c r="H1284" s="1">
        <v>36636</v>
      </c>
      <c r="K1284" t="s">
        <v>37099</v>
      </c>
    </row>
    <row r="1285" spans="1:11" x14ac:dyDescent="0.15">
      <c r="A1285">
        <v>35167425</v>
      </c>
      <c r="B1285" t="s">
        <v>37100</v>
      </c>
      <c r="C1285" t="s">
        <v>37101</v>
      </c>
      <c r="D1285" t="s">
        <v>37102</v>
      </c>
      <c r="E1285" t="s">
        <v>35639</v>
      </c>
      <c r="F1285" t="s">
        <v>37103</v>
      </c>
      <c r="G1285">
        <v>2022</v>
      </c>
      <c r="H1285" s="1">
        <v>44607</v>
      </c>
      <c r="I1285" t="s">
        <v>37104</v>
      </c>
      <c r="K1285" t="s">
        <v>37105</v>
      </c>
    </row>
    <row r="1286" spans="1:11" x14ac:dyDescent="0.15">
      <c r="A1286">
        <v>29648974</v>
      </c>
      <c r="B1286" t="s">
        <v>37106</v>
      </c>
      <c r="C1286" t="s">
        <v>37107</v>
      </c>
      <c r="D1286" t="s">
        <v>37108</v>
      </c>
      <c r="E1286" t="s">
        <v>37109</v>
      </c>
      <c r="F1286" t="s">
        <v>33799</v>
      </c>
      <c r="G1286">
        <v>2018</v>
      </c>
      <c r="H1286" s="1">
        <v>43203</v>
      </c>
      <c r="I1286" t="s">
        <v>37110</v>
      </c>
      <c r="K1286" t="s">
        <v>37111</v>
      </c>
    </row>
    <row r="1287" spans="1:11" x14ac:dyDescent="0.15">
      <c r="A1287">
        <v>29317705</v>
      </c>
      <c r="B1287" t="s">
        <v>18692</v>
      </c>
      <c r="C1287" t="s">
        <v>37112</v>
      </c>
      <c r="D1287" t="s">
        <v>37113</v>
      </c>
      <c r="E1287" t="s">
        <v>37114</v>
      </c>
      <c r="F1287" t="s">
        <v>30834</v>
      </c>
      <c r="G1287">
        <v>2018</v>
      </c>
      <c r="H1287" s="1">
        <v>43111</v>
      </c>
      <c r="I1287" t="s">
        <v>37115</v>
      </c>
      <c r="K1287" t="s">
        <v>18701</v>
      </c>
    </row>
    <row r="1288" spans="1:11" x14ac:dyDescent="0.15">
      <c r="A1288">
        <v>12376568</v>
      </c>
      <c r="B1288" t="s">
        <v>37116</v>
      </c>
      <c r="C1288" t="s">
        <v>37117</v>
      </c>
      <c r="D1288" t="s">
        <v>37118</v>
      </c>
      <c r="E1288" t="s">
        <v>37119</v>
      </c>
      <c r="F1288" t="s">
        <v>31155</v>
      </c>
      <c r="G1288">
        <v>2002</v>
      </c>
      <c r="H1288" s="1">
        <v>37541</v>
      </c>
      <c r="K1288" t="s">
        <v>37120</v>
      </c>
    </row>
    <row r="1289" spans="1:11" x14ac:dyDescent="0.15">
      <c r="A1289">
        <v>15190121</v>
      </c>
      <c r="B1289" t="s">
        <v>37121</v>
      </c>
      <c r="C1289" t="s">
        <v>37122</v>
      </c>
      <c r="D1289" t="s">
        <v>37123</v>
      </c>
      <c r="E1289" t="s">
        <v>37124</v>
      </c>
      <c r="F1289" t="s">
        <v>31155</v>
      </c>
      <c r="G1289">
        <v>2004</v>
      </c>
      <c r="H1289" s="1">
        <v>38149</v>
      </c>
      <c r="K1289" t="s">
        <v>37125</v>
      </c>
    </row>
    <row r="1290" spans="1:11" x14ac:dyDescent="0.15">
      <c r="A1290">
        <v>16087731</v>
      </c>
      <c r="B1290" t="s">
        <v>37126</v>
      </c>
      <c r="C1290" t="s">
        <v>37127</v>
      </c>
      <c r="D1290" t="s">
        <v>37128</v>
      </c>
      <c r="E1290" t="s">
        <v>37129</v>
      </c>
      <c r="F1290" t="s">
        <v>37130</v>
      </c>
      <c r="G1290">
        <v>2005</v>
      </c>
      <c r="H1290" s="1">
        <v>38574</v>
      </c>
      <c r="K1290" t="s">
        <v>37131</v>
      </c>
    </row>
    <row r="1291" spans="1:11" x14ac:dyDescent="0.15">
      <c r="A1291">
        <v>31136569</v>
      </c>
      <c r="B1291" t="s">
        <v>37132</v>
      </c>
      <c r="C1291" t="s">
        <v>37133</v>
      </c>
      <c r="D1291" t="s">
        <v>37134</v>
      </c>
      <c r="E1291" t="s">
        <v>37135</v>
      </c>
      <c r="F1291" t="s">
        <v>32470</v>
      </c>
      <c r="G1291">
        <v>2019</v>
      </c>
      <c r="H1291" s="1">
        <v>43614</v>
      </c>
      <c r="I1291" t="s">
        <v>37136</v>
      </c>
      <c r="K1291" t="s">
        <v>37137</v>
      </c>
    </row>
    <row r="1292" spans="1:11" x14ac:dyDescent="0.15">
      <c r="A1292">
        <v>15998788</v>
      </c>
      <c r="B1292" t="s">
        <v>37138</v>
      </c>
      <c r="C1292" t="s">
        <v>37139</v>
      </c>
      <c r="D1292" t="s">
        <v>37140</v>
      </c>
      <c r="E1292" t="s">
        <v>37141</v>
      </c>
      <c r="F1292" t="s">
        <v>30840</v>
      </c>
      <c r="G1292">
        <v>2005</v>
      </c>
      <c r="H1292" s="1">
        <v>38540</v>
      </c>
      <c r="I1292" t="s">
        <v>37142</v>
      </c>
      <c r="K1292" t="s">
        <v>37143</v>
      </c>
    </row>
    <row r="1293" spans="1:11" x14ac:dyDescent="0.15">
      <c r="A1293">
        <v>27905398</v>
      </c>
      <c r="B1293" t="s">
        <v>37144</v>
      </c>
      <c r="C1293" t="s">
        <v>37145</v>
      </c>
      <c r="D1293" t="s">
        <v>37146</v>
      </c>
      <c r="E1293" t="s">
        <v>37147</v>
      </c>
      <c r="F1293" t="s">
        <v>30796</v>
      </c>
      <c r="G1293">
        <v>2016</v>
      </c>
      <c r="H1293" s="1">
        <v>42706</v>
      </c>
      <c r="I1293" t="s">
        <v>37148</v>
      </c>
      <c r="K1293" t="s">
        <v>37149</v>
      </c>
    </row>
    <row r="1294" spans="1:11" x14ac:dyDescent="0.15">
      <c r="A1294">
        <v>10625067</v>
      </c>
      <c r="B1294" t="s">
        <v>37150</v>
      </c>
      <c r="C1294" t="s">
        <v>37151</v>
      </c>
      <c r="D1294" t="s">
        <v>37152</v>
      </c>
      <c r="E1294" t="s">
        <v>37153</v>
      </c>
      <c r="F1294" t="s">
        <v>37154</v>
      </c>
      <c r="G1294">
        <v>1999</v>
      </c>
      <c r="H1294" s="1">
        <v>36532</v>
      </c>
      <c r="K1294" t="s">
        <v>37155</v>
      </c>
    </row>
    <row r="1295" spans="1:11" x14ac:dyDescent="0.15">
      <c r="A1295">
        <v>10497219</v>
      </c>
      <c r="B1295" t="s">
        <v>37156</v>
      </c>
      <c r="C1295" t="s">
        <v>37157</v>
      </c>
      <c r="D1295" t="s">
        <v>37158</v>
      </c>
      <c r="E1295" t="s">
        <v>35714</v>
      </c>
      <c r="F1295" t="s">
        <v>31594</v>
      </c>
      <c r="G1295">
        <v>1999</v>
      </c>
      <c r="H1295" s="1">
        <v>36428</v>
      </c>
      <c r="K1295" t="s">
        <v>37159</v>
      </c>
    </row>
    <row r="1296" spans="1:11" x14ac:dyDescent="0.15">
      <c r="A1296">
        <v>32753598</v>
      </c>
      <c r="B1296" t="s">
        <v>24667</v>
      </c>
      <c r="C1296" t="s">
        <v>37160</v>
      </c>
      <c r="D1296" t="s">
        <v>37161</v>
      </c>
      <c r="E1296" t="s">
        <v>37162</v>
      </c>
      <c r="F1296" t="s">
        <v>30796</v>
      </c>
      <c r="G1296">
        <v>2020</v>
      </c>
      <c r="H1296" s="1">
        <v>44049</v>
      </c>
      <c r="I1296" t="s">
        <v>37163</v>
      </c>
      <c r="K1296" t="s">
        <v>24676</v>
      </c>
    </row>
    <row r="1297" spans="1:11" x14ac:dyDescent="0.15">
      <c r="A1297">
        <v>15655551</v>
      </c>
      <c r="B1297" t="s">
        <v>10348</v>
      </c>
      <c r="C1297" t="s">
        <v>37164</v>
      </c>
      <c r="D1297" t="s">
        <v>37165</v>
      </c>
      <c r="E1297" t="s">
        <v>37166</v>
      </c>
      <c r="F1297" t="s">
        <v>31952</v>
      </c>
      <c r="G1297">
        <v>2005</v>
      </c>
      <c r="H1297" s="1">
        <v>38371</v>
      </c>
      <c r="I1297" t="s">
        <v>37167</v>
      </c>
      <c r="K1297" t="s">
        <v>10360</v>
      </c>
    </row>
    <row r="1298" spans="1:11" x14ac:dyDescent="0.15">
      <c r="A1298">
        <v>31962066</v>
      </c>
      <c r="B1298" t="s">
        <v>37168</v>
      </c>
      <c r="C1298" t="s">
        <v>37169</v>
      </c>
      <c r="D1298" t="s">
        <v>37170</v>
      </c>
      <c r="E1298" t="s">
        <v>37171</v>
      </c>
      <c r="F1298" t="s">
        <v>32328</v>
      </c>
      <c r="G1298">
        <v>2020</v>
      </c>
      <c r="H1298" s="1">
        <v>43852</v>
      </c>
      <c r="K1298" t="s">
        <v>37172</v>
      </c>
    </row>
    <row r="1299" spans="1:11" x14ac:dyDescent="0.15">
      <c r="A1299">
        <v>12359762</v>
      </c>
      <c r="B1299" t="s">
        <v>37173</v>
      </c>
      <c r="C1299" t="s">
        <v>37174</v>
      </c>
      <c r="D1299" t="s">
        <v>37175</v>
      </c>
      <c r="E1299" t="s">
        <v>37176</v>
      </c>
      <c r="F1299" t="s">
        <v>31167</v>
      </c>
      <c r="G1299">
        <v>2002</v>
      </c>
      <c r="H1299" s="1">
        <v>37532</v>
      </c>
      <c r="I1299" t="s">
        <v>37177</v>
      </c>
      <c r="J1299" t="s">
        <v>37178</v>
      </c>
    </row>
    <row r="1300" spans="1:11" x14ac:dyDescent="0.15">
      <c r="A1300">
        <v>16129049</v>
      </c>
      <c r="B1300" t="s">
        <v>37179</v>
      </c>
      <c r="C1300" t="s">
        <v>37180</v>
      </c>
      <c r="D1300" t="s">
        <v>37181</v>
      </c>
      <c r="E1300" t="s">
        <v>37182</v>
      </c>
      <c r="F1300" t="s">
        <v>37183</v>
      </c>
      <c r="G1300">
        <v>2005</v>
      </c>
      <c r="H1300" s="1">
        <v>38596</v>
      </c>
    </row>
    <row r="1301" spans="1:11" x14ac:dyDescent="0.15">
      <c r="A1301">
        <v>31315997</v>
      </c>
      <c r="B1301" t="s">
        <v>37184</v>
      </c>
      <c r="C1301" t="s">
        <v>37185</v>
      </c>
      <c r="D1301" t="s">
        <v>37186</v>
      </c>
      <c r="E1301" t="s">
        <v>37187</v>
      </c>
      <c r="F1301" t="s">
        <v>31970</v>
      </c>
      <c r="G1301">
        <v>2019</v>
      </c>
      <c r="H1301" s="1">
        <v>43665</v>
      </c>
      <c r="I1301" t="s">
        <v>37188</v>
      </c>
      <c r="K1301" t="s">
        <v>37189</v>
      </c>
    </row>
    <row r="1302" spans="1:11" x14ac:dyDescent="0.15">
      <c r="A1302">
        <v>29750752</v>
      </c>
      <c r="B1302" t="s">
        <v>24312</v>
      </c>
      <c r="C1302" t="s">
        <v>37190</v>
      </c>
      <c r="D1302" t="s">
        <v>37191</v>
      </c>
      <c r="E1302" t="s">
        <v>37192</v>
      </c>
      <c r="F1302" t="s">
        <v>37193</v>
      </c>
      <c r="G1302">
        <v>2018</v>
      </c>
      <c r="H1302" s="1">
        <v>43232</v>
      </c>
      <c r="K1302" t="s">
        <v>24320</v>
      </c>
    </row>
    <row r="1303" spans="1:11" x14ac:dyDescent="0.15">
      <c r="A1303">
        <v>11551935</v>
      </c>
      <c r="B1303" t="s">
        <v>37194</v>
      </c>
      <c r="C1303" t="s">
        <v>37195</v>
      </c>
      <c r="D1303" t="s">
        <v>37196</v>
      </c>
      <c r="E1303" t="s">
        <v>37197</v>
      </c>
      <c r="F1303" t="s">
        <v>31594</v>
      </c>
      <c r="G1303">
        <v>2001</v>
      </c>
      <c r="H1303" s="1">
        <v>37146</v>
      </c>
      <c r="K1303" t="s">
        <v>37198</v>
      </c>
    </row>
    <row r="1304" spans="1:11" x14ac:dyDescent="0.15">
      <c r="A1304">
        <v>24923561</v>
      </c>
      <c r="B1304" t="s">
        <v>37199</v>
      </c>
      <c r="C1304" t="s">
        <v>37200</v>
      </c>
      <c r="D1304" t="s">
        <v>37201</v>
      </c>
      <c r="E1304" t="s">
        <v>31339</v>
      </c>
      <c r="F1304" t="s">
        <v>30796</v>
      </c>
      <c r="G1304">
        <v>2014</v>
      </c>
      <c r="H1304" s="1">
        <v>41804</v>
      </c>
      <c r="I1304" t="s">
        <v>37202</v>
      </c>
      <c r="J1304" t="s">
        <v>37203</v>
      </c>
      <c r="K1304" t="s">
        <v>37204</v>
      </c>
    </row>
    <row r="1305" spans="1:11" x14ac:dyDescent="0.15">
      <c r="A1305">
        <v>35303879</v>
      </c>
      <c r="B1305" t="s">
        <v>37205</v>
      </c>
      <c r="C1305" t="s">
        <v>37206</v>
      </c>
      <c r="D1305" t="s">
        <v>37207</v>
      </c>
      <c r="E1305" t="s">
        <v>37208</v>
      </c>
      <c r="F1305" t="s">
        <v>30630</v>
      </c>
      <c r="G1305">
        <v>2022</v>
      </c>
      <c r="H1305" s="1">
        <v>44639</v>
      </c>
      <c r="I1305" t="s">
        <v>37209</v>
      </c>
      <c r="K1305" t="s">
        <v>37210</v>
      </c>
    </row>
    <row r="1306" spans="1:11" x14ac:dyDescent="0.15">
      <c r="A1306">
        <v>34256353</v>
      </c>
      <c r="B1306" t="s">
        <v>37211</v>
      </c>
      <c r="C1306" t="s">
        <v>37212</v>
      </c>
      <c r="D1306" t="s">
        <v>37213</v>
      </c>
      <c r="E1306" t="s">
        <v>37214</v>
      </c>
      <c r="F1306" t="s">
        <v>34888</v>
      </c>
      <c r="G1306">
        <v>2021</v>
      </c>
      <c r="H1306" s="1">
        <v>44390</v>
      </c>
      <c r="K1306" t="s">
        <v>37215</v>
      </c>
    </row>
    <row r="1307" spans="1:11" x14ac:dyDescent="0.15">
      <c r="A1307">
        <v>9916777</v>
      </c>
      <c r="B1307" t="s">
        <v>37216</v>
      </c>
      <c r="C1307" t="s">
        <v>37217</v>
      </c>
      <c r="D1307" t="s">
        <v>37218</v>
      </c>
      <c r="E1307" t="s">
        <v>37219</v>
      </c>
      <c r="F1307" t="s">
        <v>36781</v>
      </c>
      <c r="G1307">
        <v>1999</v>
      </c>
      <c r="H1307" s="1">
        <v>36183</v>
      </c>
      <c r="K1307" t="s">
        <v>37220</v>
      </c>
    </row>
    <row r="1308" spans="1:11" x14ac:dyDescent="0.15">
      <c r="A1308">
        <v>28711596</v>
      </c>
      <c r="B1308" t="s">
        <v>37221</v>
      </c>
      <c r="C1308" t="s">
        <v>37222</v>
      </c>
      <c r="D1308" t="s">
        <v>37223</v>
      </c>
      <c r="E1308" t="s">
        <v>37224</v>
      </c>
      <c r="F1308" t="s">
        <v>35889</v>
      </c>
      <c r="G1308">
        <v>2017</v>
      </c>
      <c r="H1308" s="1">
        <v>42933</v>
      </c>
      <c r="I1308" t="s">
        <v>37225</v>
      </c>
      <c r="K1308" t="s">
        <v>37226</v>
      </c>
    </row>
    <row r="1309" spans="1:11" x14ac:dyDescent="0.15">
      <c r="A1309">
        <v>15031288</v>
      </c>
      <c r="B1309" t="s">
        <v>37227</v>
      </c>
      <c r="C1309" t="s">
        <v>37228</v>
      </c>
      <c r="D1309" t="s">
        <v>37229</v>
      </c>
      <c r="E1309" t="s">
        <v>37230</v>
      </c>
      <c r="F1309" t="s">
        <v>31594</v>
      </c>
      <c r="G1309">
        <v>2004</v>
      </c>
      <c r="H1309" s="1">
        <v>38066</v>
      </c>
      <c r="K1309" t="s">
        <v>37231</v>
      </c>
    </row>
    <row r="1310" spans="1:11" x14ac:dyDescent="0.15">
      <c r="A1310">
        <v>14976217</v>
      </c>
      <c r="B1310" t="s">
        <v>37232</v>
      </c>
      <c r="C1310" t="s">
        <v>37233</v>
      </c>
      <c r="D1310" t="s">
        <v>37234</v>
      </c>
      <c r="E1310" t="s">
        <v>37235</v>
      </c>
      <c r="F1310" t="s">
        <v>31594</v>
      </c>
      <c r="G1310">
        <v>2004</v>
      </c>
      <c r="H1310" s="1">
        <v>38038</v>
      </c>
      <c r="K1310" t="s">
        <v>37236</v>
      </c>
    </row>
    <row r="1311" spans="1:11" x14ac:dyDescent="0.15">
      <c r="A1311">
        <v>19940036</v>
      </c>
      <c r="B1311" t="s">
        <v>37237</v>
      </c>
      <c r="C1311" t="s">
        <v>37238</v>
      </c>
      <c r="D1311" t="s">
        <v>37239</v>
      </c>
      <c r="E1311" t="s">
        <v>37240</v>
      </c>
      <c r="F1311" t="s">
        <v>31835</v>
      </c>
      <c r="G1311">
        <v>2010</v>
      </c>
      <c r="H1311" s="1">
        <v>40144</v>
      </c>
      <c r="I1311" t="s">
        <v>37241</v>
      </c>
      <c r="K1311" t="s">
        <v>37242</v>
      </c>
    </row>
    <row r="1312" spans="1:11" x14ac:dyDescent="0.15">
      <c r="A1312">
        <v>23151475</v>
      </c>
      <c r="B1312" t="s">
        <v>37243</v>
      </c>
      <c r="C1312" t="s">
        <v>37244</v>
      </c>
      <c r="D1312" t="s">
        <v>37245</v>
      </c>
      <c r="E1312" t="s">
        <v>37246</v>
      </c>
      <c r="F1312" t="s">
        <v>34237</v>
      </c>
      <c r="G1312">
        <v>2013</v>
      </c>
      <c r="H1312" s="1">
        <v>41229</v>
      </c>
      <c r="I1312" t="s">
        <v>37247</v>
      </c>
      <c r="J1312" t="s">
        <v>37248</v>
      </c>
      <c r="K1312" t="s">
        <v>37249</v>
      </c>
    </row>
    <row r="1313" spans="1:11" x14ac:dyDescent="0.15">
      <c r="A1313">
        <v>9050235</v>
      </c>
      <c r="B1313" t="s">
        <v>37250</v>
      </c>
      <c r="C1313" t="s">
        <v>37251</v>
      </c>
      <c r="D1313" t="s">
        <v>37252</v>
      </c>
      <c r="E1313" t="s">
        <v>37253</v>
      </c>
      <c r="F1313" t="s">
        <v>37254</v>
      </c>
      <c r="G1313">
        <v>1997</v>
      </c>
      <c r="H1313" s="1">
        <v>35431</v>
      </c>
      <c r="K1313" t="s">
        <v>37255</v>
      </c>
    </row>
    <row r="1314" spans="1:11" x14ac:dyDescent="0.15">
      <c r="A1314">
        <v>12885772</v>
      </c>
      <c r="B1314" t="s">
        <v>37256</v>
      </c>
      <c r="C1314" t="s">
        <v>37257</v>
      </c>
      <c r="D1314" t="s">
        <v>37258</v>
      </c>
      <c r="E1314" t="s">
        <v>37259</v>
      </c>
      <c r="F1314" t="s">
        <v>31594</v>
      </c>
      <c r="G1314">
        <v>2003</v>
      </c>
      <c r="H1314" s="1">
        <v>37832</v>
      </c>
      <c r="K1314" t="s">
        <v>37260</v>
      </c>
    </row>
    <row r="1315" spans="1:11" x14ac:dyDescent="0.15">
      <c r="A1315">
        <v>25472905</v>
      </c>
      <c r="B1315" t="s">
        <v>11136</v>
      </c>
      <c r="C1315" t="s">
        <v>37261</v>
      </c>
      <c r="D1315" t="s">
        <v>37262</v>
      </c>
      <c r="E1315" t="s">
        <v>37263</v>
      </c>
      <c r="F1315" t="s">
        <v>37264</v>
      </c>
      <c r="G1315">
        <v>2014</v>
      </c>
      <c r="H1315" s="1">
        <v>41978</v>
      </c>
      <c r="I1315" t="s">
        <v>37265</v>
      </c>
      <c r="K1315" t="s">
        <v>11147</v>
      </c>
    </row>
    <row r="1316" spans="1:11" x14ac:dyDescent="0.15">
      <c r="A1316">
        <v>29601336</v>
      </c>
      <c r="B1316" t="s">
        <v>37266</v>
      </c>
      <c r="C1316" t="s">
        <v>37267</v>
      </c>
      <c r="D1316" t="s">
        <v>37268</v>
      </c>
      <c r="E1316" t="s">
        <v>34258</v>
      </c>
      <c r="F1316" t="s">
        <v>35538</v>
      </c>
      <c r="G1316">
        <v>2018</v>
      </c>
      <c r="H1316" s="1">
        <v>43190</v>
      </c>
      <c r="I1316" t="s">
        <v>37269</v>
      </c>
      <c r="J1316" t="s">
        <v>37270</v>
      </c>
      <c r="K1316" t="s">
        <v>37271</v>
      </c>
    </row>
    <row r="1317" spans="1:11" x14ac:dyDescent="0.15">
      <c r="A1317">
        <v>25738184</v>
      </c>
      <c r="B1317" t="s">
        <v>37272</v>
      </c>
      <c r="C1317" t="s">
        <v>37273</v>
      </c>
      <c r="D1317" t="s">
        <v>37274</v>
      </c>
      <c r="E1317" t="s">
        <v>37275</v>
      </c>
      <c r="F1317" t="s">
        <v>37276</v>
      </c>
      <c r="G1317">
        <v>2015</v>
      </c>
      <c r="H1317" s="1">
        <v>42068</v>
      </c>
      <c r="K1317" t="s">
        <v>37277</v>
      </c>
    </row>
    <row r="1318" spans="1:11" x14ac:dyDescent="0.15">
      <c r="A1318">
        <v>14764679</v>
      </c>
      <c r="B1318" t="s">
        <v>14950</v>
      </c>
      <c r="C1318" t="s">
        <v>37278</v>
      </c>
      <c r="D1318" t="s">
        <v>37279</v>
      </c>
      <c r="E1318" t="s">
        <v>37280</v>
      </c>
      <c r="F1318" t="s">
        <v>32819</v>
      </c>
      <c r="G1318">
        <v>2004</v>
      </c>
      <c r="H1318" s="1">
        <v>38024</v>
      </c>
      <c r="K1318" t="s">
        <v>14959</v>
      </c>
    </row>
    <row r="1319" spans="1:11" x14ac:dyDescent="0.15">
      <c r="A1319">
        <v>19679100</v>
      </c>
      <c r="B1319" t="s">
        <v>4407</v>
      </c>
      <c r="C1319" t="s">
        <v>37281</v>
      </c>
      <c r="D1319" t="s">
        <v>37282</v>
      </c>
      <c r="E1319" t="s">
        <v>37283</v>
      </c>
      <c r="F1319" t="s">
        <v>32654</v>
      </c>
      <c r="G1319">
        <v>2009</v>
      </c>
      <c r="H1319" s="1">
        <v>40040</v>
      </c>
      <c r="I1319" t="s">
        <v>37284</v>
      </c>
      <c r="J1319" t="s">
        <v>37285</v>
      </c>
      <c r="K1319" t="s">
        <v>4416</v>
      </c>
    </row>
    <row r="1320" spans="1:11" x14ac:dyDescent="0.15">
      <c r="A1320">
        <v>30317145</v>
      </c>
      <c r="B1320" t="s">
        <v>37286</v>
      </c>
      <c r="C1320" t="s">
        <v>37287</v>
      </c>
      <c r="D1320" t="s">
        <v>37288</v>
      </c>
      <c r="E1320" t="s">
        <v>37289</v>
      </c>
      <c r="F1320" t="s">
        <v>31096</v>
      </c>
      <c r="G1320">
        <v>2019</v>
      </c>
      <c r="H1320" s="1">
        <v>43388</v>
      </c>
      <c r="K1320" t="s">
        <v>37290</v>
      </c>
    </row>
    <row r="1321" spans="1:11" x14ac:dyDescent="0.15">
      <c r="A1321">
        <v>35142442</v>
      </c>
      <c r="B1321" t="s">
        <v>18362</v>
      </c>
      <c r="C1321" t="s">
        <v>37291</v>
      </c>
      <c r="D1321" t="s">
        <v>37292</v>
      </c>
      <c r="E1321" t="s">
        <v>37293</v>
      </c>
      <c r="F1321" t="s">
        <v>37294</v>
      </c>
      <c r="G1321">
        <v>2022</v>
      </c>
      <c r="H1321" s="1">
        <v>44602</v>
      </c>
      <c r="K1321" t="s">
        <v>18375</v>
      </c>
    </row>
    <row r="1322" spans="1:11" x14ac:dyDescent="0.15">
      <c r="A1322">
        <v>33128169</v>
      </c>
      <c r="B1322" t="s">
        <v>21260</v>
      </c>
      <c r="C1322" t="s">
        <v>37295</v>
      </c>
      <c r="D1322" t="s">
        <v>37296</v>
      </c>
      <c r="E1322" t="s">
        <v>37297</v>
      </c>
      <c r="F1322" t="s">
        <v>33600</v>
      </c>
      <c r="G1322">
        <v>2021</v>
      </c>
      <c r="H1322" s="1">
        <v>44135</v>
      </c>
      <c r="I1322" t="s">
        <v>37298</v>
      </c>
      <c r="K1322" t="s">
        <v>21269</v>
      </c>
    </row>
    <row r="1323" spans="1:11" x14ac:dyDescent="0.15">
      <c r="A1323">
        <v>8621763</v>
      </c>
      <c r="B1323" t="s">
        <v>25478</v>
      </c>
      <c r="C1323" t="s">
        <v>37299</v>
      </c>
      <c r="D1323" t="s">
        <v>37300</v>
      </c>
      <c r="E1323" t="s">
        <v>37301</v>
      </c>
      <c r="F1323" t="s">
        <v>30566</v>
      </c>
      <c r="G1323">
        <v>1996</v>
      </c>
      <c r="H1323" s="1">
        <v>35170</v>
      </c>
      <c r="I1323" t="s">
        <v>37302</v>
      </c>
      <c r="K1323" t="s">
        <v>25486</v>
      </c>
    </row>
    <row r="1324" spans="1:11" x14ac:dyDescent="0.15">
      <c r="A1324">
        <v>35921289</v>
      </c>
      <c r="B1324" t="s">
        <v>37303</v>
      </c>
      <c r="C1324" t="s">
        <v>37304</v>
      </c>
      <c r="D1324" t="s">
        <v>37305</v>
      </c>
      <c r="E1324" t="s">
        <v>32544</v>
      </c>
      <c r="F1324" t="s">
        <v>31991</v>
      </c>
      <c r="G1324">
        <v>2022</v>
      </c>
      <c r="H1324" s="1">
        <v>44776</v>
      </c>
      <c r="I1324" t="s">
        <v>37306</v>
      </c>
      <c r="K1324" t="s">
        <v>37307</v>
      </c>
    </row>
    <row r="1325" spans="1:11" x14ac:dyDescent="0.15">
      <c r="A1325">
        <v>10549638</v>
      </c>
      <c r="B1325" t="s">
        <v>37308</v>
      </c>
      <c r="C1325" t="s">
        <v>37309</v>
      </c>
      <c r="D1325" t="s">
        <v>37310</v>
      </c>
      <c r="E1325" t="s">
        <v>37311</v>
      </c>
      <c r="F1325" t="s">
        <v>37312</v>
      </c>
      <c r="G1325">
        <v>1999</v>
      </c>
      <c r="H1325" s="1">
        <v>36469</v>
      </c>
    </row>
    <row r="1326" spans="1:11" x14ac:dyDescent="0.15">
      <c r="A1326">
        <v>23483985</v>
      </c>
      <c r="B1326" t="s">
        <v>37313</v>
      </c>
      <c r="C1326" t="s">
        <v>37314</v>
      </c>
      <c r="D1326" t="s">
        <v>37315</v>
      </c>
      <c r="E1326" t="s">
        <v>37316</v>
      </c>
      <c r="F1326" t="s">
        <v>31639</v>
      </c>
      <c r="G1326">
        <v>2013</v>
      </c>
      <c r="H1326" s="1">
        <v>41347</v>
      </c>
      <c r="I1326" t="s">
        <v>37317</v>
      </c>
      <c r="K1326" t="s">
        <v>37318</v>
      </c>
    </row>
    <row r="1327" spans="1:11" x14ac:dyDescent="0.15">
      <c r="A1327">
        <v>34698812</v>
      </c>
      <c r="B1327" t="s">
        <v>27913</v>
      </c>
      <c r="C1327" t="s">
        <v>37319</v>
      </c>
      <c r="D1327" t="s">
        <v>37320</v>
      </c>
      <c r="E1327" t="s">
        <v>37321</v>
      </c>
      <c r="F1327" t="s">
        <v>37322</v>
      </c>
      <c r="G1327">
        <v>2022</v>
      </c>
      <c r="H1327" s="1">
        <v>44495</v>
      </c>
      <c r="K1327" t="s">
        <v>27924</v>
      </c>
    </row>
    <row r="1328" spans="1:11" x14ac:dyDescent="0.15">
      <c r="A1328">
        <v>26369507</v>
      </c>
      <c r="B1328" t="s">
        <v>37323</v>
      </c>
      <c r="C1328" t="s">
        <v>37324</v>
      </c>
      <c r="D1328" t="s">
        <v>37325</v>
      </c>
      <c r="E1328" t="s">
        <v>37326</v>
      </c>
      <c r="F1328" t="s">
        <v>35546</v>
      </c>
      <c r="G1328">
        <v>2015</v>
      </c>
      <c r="H1328" s="1">
        <v>42263</v>
      </c>
      <c r="K1328" t="s">
        <v>37327</v>
      </c>
    </row>
    <row r="1329" spans="1:11" x14ac:dyDescent="0.15">
      <c r="A1329">
        <v>30030656</v>
      </c>
      <c r="B1329" t="s">
        <v>37328</v>
      </c>
      <c r="C1329" t="s">
        <v>37329</v>
      </c>
      <c r="D1329" t="s">
        <v>37330</v>
      </c>
      <c r="E1329" t="s">
        <v>34642</v>
      </c>
      <c r="F1329" t="s">
        <v>37331</v>
      </c>
      <c r="G1329">
        <v>2018</v>
      </c>
      <c r="H1329" s="1">
        <v>43303</v>
      </c>
      <c r="K1329" t="s">
        <v>37332</v>
      </c>
    </row>
    <row r="1330" spans="1:11" x14ac:dyDescent="0.15">
      <c r="A1330">
        <v>21949810</v>
      </c>
      <c r="B1330" t="s">
        <v>37333</v>
      </c>
      <c r="C1330" t="s">
        <v>37334</v>
      </c>
      <c r="D1330" t="s">
        <v>37335</v>
      </c>
      <c r="E1330" t="s">
        <v>37336</v>
      </c>
      <c r="F1330" t="s">
        <v>31639</v>
      </c>
      <c r="G1330">
        <v>2011</v>
      </c>
      <c r="H1330" s="1">
        <v>40814</v>
      </c>
      <c r="I1330" t="s">
        <v>37337</v>
      </c>
      <c r="K1330" t="s">
        <v>37338</v>
      </c>
    </row>
    <row r="1331" spans="1:11" x14ac:dyDescent="0.15">
      <c r="A1331">
        <v>30646958</v>
      </c>
      <c r="B1331" t="s">
        <v>37339</v>
      </c>
      <c r="C1331" t="s">
        <v>37340</v>
      </c>
      <c r="D1331" t="s">
        <v>37341</v>
      </c>
      <c r="E1331" t="s">
        <v>37342</v>
      </c>
      <c r="F1331" t="s">
        <v>30740</v>
      </c>
      <c r="G1331">
        <v>2019</v>
      </c>
      <c r="H1331" s="1">
        <v>43482</v>
      </c>
      <c r="I1331" t="s">
        <v>37343</v>
      </c>
      <c r="K1331" t="s">
        <v>11949</v>
      </c>
    </row>
    <row r="1332" spans="1:11" x14ac:dyDescent="0.15">
      <c r="A1332">
        <v>21880748</v>
      </c>
      <c r="B1332" t="s">
        <v>37344</v>
      </c>
      <c r="C1332" t="s">
        <v>37345</v>
      </c>
      <c r="D1332" t="s">
        <v>37346</v>
      </c>
      <c r="E1332" t="s">
        <v>37347</v>
      </c>
      <c r="F1332" t="s">
        <v>31970</v>
      </c>
      <c r="G1332">
        <v>2011</v>
      </c>
      <c r="H1332" s="1">
        <v>40788</v>
      </c>
      <c r="I1332" t="s">
        <v>37348</v>
      </c>
      <c r="K1332" t="s">
        <v>25899</v>
      </c>
    </row>
    <row r="1333" spans="1:11" x14ac:dyDescent="0.15">
      <c r="A1333">
        <v>19638309</v>
      </c>
      <c r="B1333" t="s">
        <v>37349</v>
      </c>
      <c r="C1333" t="s">
        <v>37350</v>
      </c>
      <c r="D1333" t="s">
        <v>37351</v>
      </c>
      <c r="E1333" t="s">
        <v>37352</v>
      </c>
      <c r="F1333" t="s">
        <v>35985</v>
      </c>
      <c r="G1333">
        <v>2009</v>
      </c>
      <c r="H1333" s="1">
        <v>40024</v>
      </c>
      <c r="K1333" t="s">
        <v>37353</v>
      </c>
    </row>
    <row r="1334" spans="1:11" x14ac:dyDescent="0.15">
      <c r="A1334">
        <v>32641991</v>
      </c>
      <c r="B1334" t="s">
        <v>37354</v>
      </c>
      <c r="C1334" t="s">
        <v>37355</v>
      </c>
      <c r="D1334" t="s">
        <v>37356</v>
      </c>
      <c r="E1334" t="s">
        <v>37357</v>
      </c>
      <c r="F1334" t="s">
        <v>30588</v>
      </c>
      <c r="G1334">
        <v>2020</v>
      </c>
      <c r="H1334" s="1">
        <v>44022</v>
      </c>
      <c r="I1334" t="s">
        <v>37358</v>
      </c>
      <c r="K1334" t="s">
        <v>37359</v>
      </c>
    </row>
    <row r="1335" spans="1:11" x14ac:dyDescent="0.15">
      <c r="A1335">
        <v>31896533</v>
      </c>
      <c r="B1335" t="s">
        <v>22327</v>
      </c>
      <c r="C1335" t="s">
        <v>37360</v>
      </c>
      <c r="D1335" t="s">
        <v>37361</v>
      </c>
      <c r="E1335" t="s">
        <v>37362</v>
      </c>
      <c r="F1335" t="s">
        <v>37363</v>
      </c>
      <c r="G1335">
        <v>2020</v>
      </c>
      <c r="H1335" s="1">
        <v>43834</v>
      </c>
      <c r="K1335" t="s">
        <v>22339</v>
      </c>
    </row>
    <row r="1336" spans="1:11" x14ac:dyDescent="0.15">
      <c r="A1336">
        <v>31808871</v>
      </c>
      <c r="B1336" t="s">
        <v>19660</v>
      </c>
      <c r="C1336" t="s">
        <v>37364</v>
      </c>
      <c r="D1336" t="s">
        <v>37365</v>
      </c>
      <c r="E1336" t="s">
        <v>37366</v>
      </c>
      <c r="F1336" t="s">
        <v>37367</v>
      </c>
      <c r="G1336">
        <v>2019</v>
      </c>
      <c r="H1336" s="1">
        <v>43806</v>
      </c>
      <c r="I1336" t="s">
        <v>37368</v>
      </c>
      <c r="K1336" t="s">
        <v>37369</v>
      </c>
    </row>
    <row r="1337" spans="1:11" x14ac:dyDescent="0.15">
      <c r="A1337">
        <v>30538124</v>
      </c>
      <c r="B1337" t="s">
        <v>37370</v>
      </c>
      <c r="C1337" t="s">
        <v>37371</v>
      </c>
      <c r="D1337" t="s">
        <v>37372</v>
      </c>
      <c r="E1337" t="s">
        <v>37373</v>
      </c>
      <c r="F1337" t="s">
        <v>37374</v>
      </c>
      <c r="G1337">
        <v>2019</v>
      </c>
      <c r="H1337" s="1">
        <v>43447</v>
      </c>
      <c r="K1337" t="s">
        <v>37375</v>
      </c>
    </row>
    <row r="1338" spans="1:11" x14ac:dyDescent="0.15">
      <c r="A1338">
        <v>23324612</v>
      </c>
      <c r="B1338" t="s">
        <v>37376</v>
      </c>
      <c r="C1338" t="s">
        <v>37377</v>
      </c>
      <c r="D1338" t="s">
        <v>37378</v>
      </c>
      <c r="E1338" t="s">
        <v>37379</v>
      </c>
      <c r="F1338" t="s">
        <v>31659</v>
      </c>
      <c r="G1338">
        <v>2013</v>
      </c>
      <c r="H1338" s="1">
        <v>41292</v>
      </c>
      <c r="I1338" t="s">
        <v>37380</v>
      </c>
      <c r="K1338" t="s">
        <v>37381</v>
      </c>
    </row>
    <row r="1339" spans="1:11" x14ac:dyDescent="0.15">
      <c r="A1339">
        <v>30809289</v>
      </c>
      <c r="B1339" t="s">
        <v>37382</v>
      </c>
      <c r="C1339" t="s">
        <v>37383</v>
      </c>
      <c r="D1339" t="s">
        <v>37384</v>
      </c>
      <c r="E1339" t="s">
        <v>32824</v>
      </c>
      <c r="F1339" t="s">
        <v>30588</v>
      </c>
      <c r="G1339">
        <v>2019</v>
      </c>
      <c r="H1339" s="1">
        <v>43524</v>
      </c>
      <c r="I1339" t="s">
        <v>37385</v>
      </c>
      <c r="K1339" t="s">
        <v>37386</v>
      </c>
    </row>
    <row r="1340" spans="1:11" x14ac:dyDescent="0.15">
      <c r="A1340">
        <v>28740555</v>
      </c>
      <c r="B1340" t="s">
        <v>27117</v>
      </c>
      <c r="C1340" t="s">
        <v>37387</v>
      </c>
      <c r="D1340" t="s">
        <v>37388</v>
      </c>
      <c r="E1340" t="s">
        <v>37389</v>
      </c>
      <c r="F1340" t="s">
        <v>30588</v>
      </c>
      <c r="G1340">
        <v>2017</v>
      </c>
      <c r="H1340" s="1">
        <v>42942</v>
      </c>
      <c r="I1340" t="s">
        <v>37390</v>
      </c>
      <c r="K1340" t="s">
        <v>27125</v>
      </c>
    </row>
    <row r="1341" spans="1:11" x14ac:dyDescent="0.15">
      <c r="A1341">
        <v>22530032</v>
      </c>
      <c r="B1341" t="s">
        <v>37391</v>
      </c>
      <c r="C1341" t="s">
        <v>37392</v>
      </c>
      <c r="D1341" t="s">
        <v>37393</v>
      </c>
      <c r="E1341" t="s">
        <v>37394</v>
      </c>
      <c r="F1341" t="s">
        <v>31639</v>
      </c>
      <c r="G1341">
        <v>2012</v>
      </c>
      <c r="H1341" s="1">
        <v>41024</v>
      </c>
      <c r="I1341" t="s">
        <v>37395</v>
      </c>
      <c r="K1341" t="s">
        <v>37396</v>
      </c>
    </row>
    <row r="1342" spans="1:11" x14ac:dyDescent="0.15">
      <c r="A1342">
        <v>25632158</v>
      </c>
      <c r="B1342" t="s">
        <v>37397</v>
      </c>
      <c r="C1342" t="s">
        <v>37398</v>
      </c>
      <c r="D1342" t="s">
        <v>37399</v>
      </c>
      <c r="E1342" t="s">
        <v>37400</v>
      </c>
      <c r="F1342" t="s">
        <v>31155</v>
      </c>
      <c r="G1342">
        <v>2015</v>
      </c>
      <c r="H1342" s="1">
        <v>42034</v>
      </c>
      <c r="K1342" t="s">
        <v>37401</v>
      </c>
    </row>
    <row r="1343" spans="1:11" x14ac:dyDescent="0.15">
      <c r="A1343">
        <v>25832550</v>
      </c>
      <c r="B1343" t="s">
        <v>37402</v>
      </c>
      <c r="C1343" t="s">
        <v>37403</v>
      </c>
      <c r="D1343" t="s">
        <v>37404</v>
      </c>
      <c r="E1343" t="s">
        <v>37405</v>
      </c>
      <c r="F1343" t="s">
        <v>37406</v>
      </c>
      <c r="G1343">
        <v>2015</v>
      </c>
      <c r="H1343" s="1">
        <v>42097</v>
      </c>
      <c r="K1343" t="s">
        <v>37407</v>
      </c>
    </row>
    <row r="1344" spans="1:11" x14ac:dyDescent="0.15">
      <c r="A1344">
        <v>17078816</v>
      </c>
      <c r="B1344" t="s">
        <v>37408</v>
      </c>
      <c r="C1344" t="s">
        <v>37409</v>
      </c>
      <c r="D1344" t="s">
        <v>37410</v>
      </c>
      <c r="E1344" t="s">
        <v>37411</v>
      </c>
      <c r="F1344" t="s">
        <v>36683</v>
      </c>
      <c r="G1344">
        <v>2006</v>
      </c>
      <c r="H1344" s="1">
        <v>39024</v>
      </c>
      <c r="K1344" t="s">
        <v>37412</v>
      </c>
    </row>
    <row r="1345" spans="1:11" x14ac:dyDescent="0.15">
      <c r="A1345">
        <v>27976581</v>
      </c>
      <c r="B1345" t="s">
        <v>24471</v>
      </c>
      <c r="C1345" t="s">
        <v>37413</v>
      </c>
      <c r="D1345" t="s">
        <v>37414</v>
      </c>
      <c r="E1345" t="s">
        <v>34632</v>
      </c>
      <c r="F1345" t="s">
        <v>34224</v>
      </c>
      <c r="G1345">
        <v>2017</v>
      </c>
      <c r="H1345" s="1">
        <v>42720</v>
      </c>
      <c r="K1345" t="s">
        <v>24481</v>
      </c>
    </row>
    <row r="1346" spans="1:11" x14ac:dyDescent="0.15">
      <c r="A1346">
        <v>25326320</v>
      </c>
      <c r="B1346" t="s">
        <v>37415</v>
      </c>
      <c r="C1346" t="s">
        <v>37377</v>
      </c>
      <c r="D1346" t="s">
        <v>37416</v>
      </c>
      <c r="E1346" t="s">
        <v>37379</v>
      </c>
      <c r="F1346" t="s">
        <v>31587</v>
      </c>
      <c r="G1346">
        <v>2014</v>
      </c>
      <c r="H1346" s="1">
        <v>41931</v>
      </c>
      <c r="I1346" t="s">
        <v>37417</v>
      </c>
      <c r="K1346" t="s">
        <v>37418</v>
      </c>
    </row>
    <row r="1347" spans="1:11" x14ac:dyDescent="0.15">
      <c r="A1347">
        <v>1991793</v>
      </c>
      <c r="B1347" t="s">
        <v>37419</v>
      </c>
      <c r="C1347" t="s">
        <v>37420</v>
      </c>
      <c r="D1347" t="s">
        <v>37421</v>
      </c>
      <c r="E1347" t="s">
        <v>37422</v>
      </c>
      <c r="F1347" t="s">
        <v>30828</v>
      </c>
      <c r="G1347">
        <v>1991</v>
      </c>
      <c r="H1347" s="1">
        <v>33270</v>
      </c>
      <c r="I1347" t="s">
        <v>37423</v>
      </c>
      <c r="K1347" t="s">
        <v>17004</v>
      </c>
    </row>
    <row r="1348" spans="1:11" x14ac:dyDescent="0.15">
      <c r="A1348">
        <v>19620282</v>
      </c>
      <c r="B1348" t="s">
        <v>37424</v>
      </c>
      <c r="C1348" t="s">
        <v>37425</v>
      </c>
      <c r="D1348" t="s">
        <v>37426</v>
      </c>
      <c r="E1348" t="s">
        <v>37427</v>
      </c>
      <c r="F1348" t="s">
        <v>33347</v>
      </c>
      <c r="G1348">
        <v>2009</v>
      </c>
      <c r="H1348" s="1">
        <v>40016</v>
      </c>
      <c r="I1348" t="s">
        <v>37428</v>
      </c>
      <c r="K1348" t="s">
        <v>37429</v>
      </c>
    </row>
    <row r="1349" spans="1:11" x14ac:dyDescent="0.15">
      <c r="A1349">
        <v>16431988</v>
      </c>
      <c r="B1349" t="s">
        <v>37430</v>
      </c>
      <c r="C1349" t="s">
        <v>37431</v>
      </c>
      <c r="D1349" t="s">
        <v>37432</v>
      </c>
      <c r="E1349" t="s">
        <v>37433</v>
      </c>
      <c r="F1349" t="s">
        <v>11924</v>
      </c>
      <c r="G1349">
        <v>2006</v>
      </c>
      <c r="H1349" s="1">
        <v>38742</v>
      </c>
      <c r="I1349" t="s">
        <v>37434</v>
      </c>
      <c r="K1349" t="s">
        <v>37435</v>
      </c>
    </row>
    <row r="1350" spans="1:11" x14ac:dyDescent="0.15">
      <c r="A1350">
        <v>22992520</v>
      </c>
      <c r="B1350" t="s">
        <v>28087</v>
      </c>
      <c r="C1350" t="s">
        <v>37436</v>
      </c>
      <c r="D1350" t="s">
        <v>37437</v>
      </c>
      <c r="E1350" t="s">
        <v>37438</v>
      </c>
      <c r="F1350" t="s">
        <v>34237</v>
      </c>
      <c r="G1350">
        <v>2012</v>
      </c>
      <c r="H1350" s="1">
        <v>41173</v>
      </c>
      <c r="K1350" t="s">
        <v>28096</v>
      </c>
    </row>
    <row r="1351" spans="1:11" x14ac:dyDescent="0.15">
      <c r="A1351">
        <v>32119540</v>
      </c>
      <c r="B1351" t="s">
        <v>19214</v>
      </c>
      <c r="C1351" t="s">
        <v>37439</v>
      </c>
      <c r="D1351" t="s">
        <v>37440</v>
      </c>
      <c r="E1351" t="s">
        <v>37441</v>
      </c>
      <c r="F1351" t="s">
        <v>30778</v>
      </c>
      <c r="G1351">
        <v>2020</v>
      </c>
      <c r="H1351" s="1">
        <v>43893</v>
      </c>
      <c r="K1351" t="s">
        <v>19224</v>
      </c>
    </row>
    <row r="1352" spans="1:11" x14ac:dyDescent="0.15">
      <c r="A1352">
        <v>31585396</v>
      </c>
      <c r="B1352" t="s">
        <v>37442</v>
      </c>
      <c r="C1352" t="s">
        <v>37443</v>
      </c>
      <c r="D1352" t="s">
        <v>37444</v>
      </c>
      <c r="E1352" t="s">
        <v>37445</v>
      </c>
      <c r="F1352" t="s">
        <v>33258</v>
      </c>
      <c r="G1352">
        <v>2019</v>
      </c>
      <c r="H1352" s="1">
        <v>43743</v>
      </c>
      <c r="K1352" t="s">
        <v>37446</v>
      </c>
    </row>
    <row r="1353" spans="1:11" x14ac:dyDescent="0.15">
      <c r="A1353">
        <v>21672581</v>
      </c>
      <c r="B1353" t="s">
        <v>37447</v>
      </c>
      <c r="C1353" t="s">
        <v>37448</v>
      </c>
      <c r="D1353" t="s">
        <v>37449</v>
      </c>
      <c r="E1353" t="s">
        <v>37450</v>
      </c>
      <c r="F1353" t="s">
        <v>37451</v>
      </c>
      <c r="G1353">
        <v>2011</v>
      </c>
      <c r="H1353" s="1">
        <v>40710</v>
      </c>
      <c r="K1353" t="s">
        <v>37452</v>
      </c>
    </row>
    <row r="1354" spans="1:11" x14ac:dyDescent="0.15">
      <c r="A1354">
        <v>9326278</v>
      </c>
      <c r="B1354" t="s">
        <v>23902</v>
      </c>
      <c r="C1354" t="s">
        <v>37453</v>
      </c>
      <c r="D1354" t="s">
        <v>37454</v>
      </c>
      <c r="E1354" t="s">
        <v>37455</v>
      </c>
      <c r="F1354" t="s">
        <v>36830</v>
      </c>
      <c r="G1354">
        <v>1997</v>
      </c>
      <c r="H1354" s="1">
        <v>35739</v>
      </c>
      <c r="K1354" t="s">
        <v>37456</v>
      </c>
    </row>
    <row r="1355" spans="1:11" x14ac:dyDescent="0.15">
      <c r="A1355">
        <v>33086079</v>
      </c>
      <c r="B1355" t="s">
        <v>20394</v>
      </c>
      <c r="C1355" t="s">
        <v>37457</v>
      </c>
      <c r="D1355" t="s">
        <v>37458</v>
      </c>
      <c r="E1355" t="s">
        <v>37459</v>
      </c>
      <c r="F1355" t="s">
        <v>37460</v>
      </c>
      <c r="G1355">
        <v>2021</v>
      </c>
      <c r="H1355" s="1">
        <v>44125</v>
      </c>
      <c r="K1355" t="s">
        <v>20407</v>
      </c>
    </row>
    <row r="1356" spans="1:11" x14ac:dyDescent="0.15">
      <c r="A1356">
        <v>32867502</v>
      </c>
      <c r="B1356" t="s">
        <v>37461</v>
      </c>
      <c r="C1356" t="s">
        <v>37462</v>
      </c>
      <c r="D1356" t="s">
        <v>37463</v>
      </c>
      <c r="E1356" t="s">
        <v>37464</v>
      </c>
      <c r="F1356" t="s">
        <v>30956</v>
      </c>
      <c r="G1356">
        <v>2020</v>
      </c>
      <c r="H1356" s="1">
        <v>44076</v>
      </c>
      <c r="K1356" t="s">
        <v>37465</v>
      </c>
    </row>
    <row r="1357" spans="1:11" x14ac:dyDescent="0.15">
      <c r="A1357">
        <v>22504169</v>
      </c>
      <c r="B1357" t="s">
        <v>37466</v>
      </c>
      <c r="C1357" t="s">
        <v>37467</v>
      </c>
      <c r="D1357" t="s">
        <v>37468</v>
      </c>
      <c r="E1357" t="s">
        <v>37469</v>
      </c>
      <c r="F1357" t="s">
        <v>32332</v>
      </c>
      <c r="G1357">
        <v>2012</v>
      </c>
      <c r="H1357" s="1">
        <v>41016</v>
      </c>
      <c r="K1357" t="s">
        <v>37470</v>
      </c>
    </row>
    <row r="1358" spans="1:11" x14ac:dyDescent="0.15">
      <c r="A1358">
        <v>17546597</v>
      </c>
      <c r="B1358" t="s">
        <v>37471</v>
      </c>
      <c r="C1358" t="s">
        <v>37472</v>
      </c>
      <c r="D1358" t="s">
        <v>37473</v>
      </c>
      <c r="E1358" t="s">
        <v>37474</v>
      </c>
      <c r="F1358" t="s">
        <v>33483</v>
      </c>
      <c r="G1358">
        <v>2007</v>
      </c>
      <c r="H1358" s="1">
        <v>39238</v>
      </c>
      <c r="K1358" t="s">
        <v>37475</v>
      </c>
    </row>
    <row r="1359" spans="1:11" x14ac:dyDescent="0.15">
      <c r="A1359">
        <v>32574708</v>
      </c>
      <c r="B1359" t="s">
        <v>37476</v>
      </c>
      <c r="C1359" t="s">
        <v>37477</v>
      </c>
      <c r="D1359" t="s">
        <v>37478</v>
      </c>
      <c r="E1359" t="s">
        <v>37479</v>
      </c>
      <c r="F1359" t="s">
        <v>30976</v>
      </c>
      <c r="G1359">
        <v>2020</v>
      </c>
      <c r="H1359" s="1">
        <v>44006</v>
      </c>
      <c r="I1359" t="s">
        <v>37480</v>
      </c>
      <c r="K1359" t="s">
        <v>37481</v>
      </c>
    </row>
    <row r="1360" spans="1:11" x14ac:dyDescent="0.15">
      <c r="A1360">
        <v>15935758</v>
      </c>
      <c r="B1360" t="s">
        <v>37482</v>
      </c>
      <c r="C1360" t="s">
        <v>37483</v>
      </c>
      <c r="D1360" t="s">
        <v>37484</v>
      </c>
      <c r="E1360" t="s">
        <v>37485</v>
      </c>
      <c r="F1360" t="s">
        <v>30555</v>
      </c>
      <c r="G1360">
        <v>2005</v>
      </c>
      <c r="H1360" s="1">
        <v>38510</v>
      </c>
      <c r="K1360" t="s">
        <v>37486</v>
      </c>
    </row>
    <row r="1361" spans="1:11" x14ac:dyDescent="0.15">
      <c r="A1361">
        <v>23853601</v>
      </c>
      <c r="B1361" t="s">
        <v>37487</v>
      </c>
      <c r="C1361" t="s">
        <v>37488</v>
      </c>
      <c r="D1361" t="s">
        <v>37489</v>
      </c>
      <c r="E1361" t="s">
        <v>37490</v>
      </c>
      <c r="F1361" t="s">
        <v>31933</v>
      </c>
      <c r="G1361">
        <v>2013</v>
      </c>
      <c r="H1361" s="1">
        <v>41471</v>
      </c>
      <c r="I1361" t="s">
        <v>37491</v>
      </c>
      <c r="K1361" t="s">
        <v>37492</v>
      </c>
    </row>
    <row r="1362" spans="1:11" x14ac:dyDescent="0.15">
      <c r="A1362">
        <v>31182116</v>
      </c>
      <c r="B1362" t="s">
        <v>37493</v>
      </c>
      <c r="C1362" t="s">
        <v>37494</v>
      </c>
      <c r="D1362" t="s">
        <v>37495</v>
      </c>
      <c r="E1362" t="s">
        <v>37496</v>
      </c>
      <c r="F1362" t="s">
        <v>31703</v>
      </c>
      <c r="G1362">
        <v>2019</v>
      </c>
      <c r="H1362" s="1">
        <v>43628</v>
      </c>
      <c r="I1362" t="s">
        <v>37497</v>
      </c>
      <c r="K1362" t="s">
        <v>17333</v>
      </c>
    </row>
    <row r="1363" spans="1:11" x14ac:dyDescent="0.15">
      <c r="A1363">
        <v>19592610</v>
      </c>
      <c r="B1363" t="s">
        <v>19971</v>
      </c>
      <c r="C1363" t="s">
        <v>37498</v>
      </c>
      <c r="D1363" t="s">
        <v>37499</v>
      </c>
      <c r="E1363" t="s">
        <v>37500</v>
      </c>
      <c r="F1363" t="s">
        <v>30945</v>
      </c>
      <c r="G1363">
        <v>2009</v>
      </c>
      <c r="H1363" s="1">
        <v>40008</v>
      </c>
      <c r="I1363" t="s">
        <v>37501</v>
      </c>
      <c r="K1363" t="s">
        <v>19984</v>
      </c>
    </row>
    <row r="1364" spans="1:11" x14ac:dyDescent="0.15">
      <c r="A1364">
        <v>11447124</v>
      </c>
      <c r="B1364" t="s">
        <v>37502</v>
      </c>
      <c r="C1364" t="s">
        <v>37503</v>
      </c>
      <c r="D1364" t="s">
        <v>37504</v>
      </c>
      <c r="E1364" t="s">
        <v>37505</v>
      </c>
      <c r="F1364" t="s">
        <v>35307</v>
      </c>
      <c r="G1364">
        <v>2001</v>
      </c>
      <c r="H1364" s="1">
        <v>37084</v>
      </c>
      <c r="I1364" t="s">
        <v>37506</v>
      </c>
      <c r="K1364" t="s">
        <v>37507</v>
      </c>
    </row>
    <row r="1365" spans="1:11" x14ac:dyDescent="0.15">
      <c r="A1365">
        <v>17410208</v>
      </c>
      <c r="B1365" t="s">
        <v>37508</v>
      </c>
      <c r="C1365" t="s">
        <v>37509</v>
      </c>
      <c r="D1365" t="s">
        <v>37510</v>
      </c>
      <c r="E1365" t="s">
        <v>37511</v>
      </c>
      <c r="F1365" t="s">
        <v>35307</v>
      </c>
      <c r="G1365">
        <v>2007</v>
      </c>
      <c r="H1365" s="1">
        <v>39178</v>
      </c>
      <c r="I1365" t="s">
        <v>37512</v>
      </c>
      <c r="K1365" t="s">
        <v>37513</v>
      </c>
    </row>
    <row r="1366" spans="1:11" x14ac:dyDescent="0.15">
      <c r="A1366">
        <v>19369424</v>
      </c>
      <c r="B1366" t="s">
        <v>37514</v>
      </c>
      <c r="C1366" t="s">
        <v>37515</v>
      </c>
      <c r="D1366" t="s">
        <v>37516</v>
      </c>
      <c r="E1366" t="s">
        <v>37517</v>
      </c>
      <c r="F1366" t="s">
        <v>11924</v>
      </c>
      <c r="G1366">
        <v>2009</v>
      </c>
      <c r="H1366" s="1">
        <v>39920</v>
      </c>
      <c r="I1366" t="s">
        <v>37518</v>
      </c>
      <c r="K1366" t="s">
        <v>37519</v>
      </c>
    </row>
    <row r="1367" spans="1:11" x14ac:dyDescent="0.15">
      <c r="A1367">
        <v>26405199</v>
      </c>
      <c r="B1367" t="s">
        <v>17414</v>
      </c>
      <c r="C1367" t="s">
        <v>37520</v>
      </c>
      <c r="D1367" t="s">
        <v>37521</v>
      </c>
      <c r="E1367" t="s">
        <v>37522</v>
      </c>
      <c r="F1367" t="s">
        <v>31587</v>
      </c>
      <c r="G1367">
        <v>2015</v>
      </c>
      <c r="H1367" s="1">
        <v>42273</v>
      </c>
      <c r="I1367" t="s">
        <v>37523</v>
      </c>
      <c r="K1367" t="s">
        <v>17424</v>
      </c>
    </row>
    <row r="1368" spans="1:11" x14ac:dyDescent="0.15">
      <c r="A1368">
        <v>32929726</v>
      </c>
      <c r="B1368" t="s">
        <v>37524</v>
      </c>
      <c r="C1368" t="s">
        <v>37525</v>
      </c>
      <c r="D1368" t="s">
        <v>37526</v>
      </c>
      <c r="E1368" t="s">
        <v>37527</v>
      </c>
      <c r="F1368" t="s">
        <v>37528</v>
      </c>
      <c r="G1368">
        <v>2021</v>
      </c>
      <c r="H1368" s="1">
        <v>44089</v>
      </c>
      <c r="K1368" t="s">
        <v>37529</v>
      </c>
    </row>
    <row r="1369" spans="1:11" x14ac:dyDescent="0.15">
      <c r="A1369">
        <v>25189701</v>
      </c>
      <c r="B1369" t="s">
        <v>37530</v>
      </c>
      <c r="C1369" t="s">
        <v>37531</v>
      </c>
      <c r="D1369" t="s">
        <v>37532</v>
      </c>
      <c r="E1369" t="s">
        <v>37533</v>
      </c>
      <c r="F1369" t="s">
        <v>31824</v>
      </c>
      <c r="G1369">
        <v>2014</v>
      </c>
      <c r="H1369" s="1">
        <v>41888</v>
      </c>
      <c r="I1369" t="s">
        <v>37534</v>
      </c>
      <c r="K1369" t="s">
        <v>37535</v>
      </c>
    </row>
    <row r="1370" spans="1:11" x14ac:dyDescent="0.15">
      <c r="A1370">
        <v>25319134</v>
      </c>
      <c r="B1370" t="s">
        <v>18816</v>
      </c>
      <c r="C1370" t="s">
        <v>37536</v>
      </c>
      <c r="D1370" t="s">
        <v>37537</v>
      </c>
      <c r="E1370" t="s">
        <v>37538</v>
      </c>
      <c r="F1370" t="s">
        <v>37539</v>
      </c>
      <c r="G1370">
        <v>2014</v>
      </c>
      <c r="H1370" s="1">
        <v>41929</v>
      </c>
      <c r="K1370" t="s">
        <v>18829</v>
      </c>
    </row>
    <row r="1371" spans="1:11" x14ac:dyDescent="0.15">
      <c r="A1371">
        <v>26364722</v>
      </c>
      <c r="B1371" t="s">
        <v>37540</v>
      </c>
      <c r="C1371" t="s">
        <v>37541</v>
      </c>
      <c r="D1371" t="s">
        <v>37542</v>
      </c>
      <c r="E1371" t="s">
        <v>37543</v>
      </c>
      <c r="F1371" t="s">
        <v>31811</v>
      </c>
      <c r="G1371">
        <v>2015</v>
      </c>
      <c r="H1371" s="1">
        <v>42262</v>
      </c>
      <c r="K1371" t="s">
        <v>37544</v>
      </c>
    </row>
    <row r="1372" spans="1:11" x14ac:dyDescent="0.15">
      <c r="A1372">
        <v>33690911</v>
      </c>
      <c r="B1372" t="s">
        <v>37545</v>
      </c>
      <c r="C1372" t="s">
        <v>37546</v>
      </c>
      <c r="D1372" t="s">
        <v>37547</v>
      </c>
      <c r="E1372" t="s">
        <v>37548</v>
      </c>
      <c r="F1372" t="s">
        <v>36585</v>
      </c>
      <c r="G1372">
        <v>2021</v>
      </c>
      <c r="H1372" s="1">
        <v>44265</v>
      </c>
      <c r="K1372" t="s">
        <v>37549</v>
      </c>
    </row>
    <row r="1373" spans="1:11" x14ac:dyDescent="0.15">
      <c r="A1373">
        <v>33119769</v>
      </c>
      <c r="B1373" t="s">
        <v>37550</v>
      </c>
      <c r="C1373" t="s">
        <v>37551</v>
      </c>
      <c r="D1373" t="s">
        <v>37552</v>
      </c>
      <c r="E1373" t="s">
        <v>37553</v>
      </c>
      <c r="F1373" t="s">
        <v>31587</v>
      </c>
      <c r="G1373">
        <v>2020</v>
      </c>
      <c r="H1373" s="1">
        <v>44133</v>
      </c>
      <c r="I1373" t="s">
        <v>37554</v>
      </c>
      <c r="K1373" t="s">
        <v>37555</v>
      </c>
    </row>
    <row r="1374" spans="1:11" x14ac:dyDescent="0.15">
      <c r="A1374">
        <v>29020613</v>
      </c>
      <c r="B1374" t="s">
        <v>37556</v>
      </c>
      <c r="C1374" t="s">
        <v>37557</v>
      </c>
      <c r="D1374" t="s">
        <v>37558</v>
      </c>
      <c r="E1374" t="s">
        <v>37559</v>
      </c>
      <c r="F1374" t="s">
        <v>37560</v>
      </c>
      <c r="G1374">
        <v>2017</v>
      </c>
      <c r="H1374" s="1">
        <v>43020</v>
      </c>
      <c r="I1374" t="s">
        <v>37561</v>
      </c>
      <c r="K1374" t="s">
        <v>37562</v>
      </c>
    </row>
    <row r="1375" spans="1:11" x14ac:dyDescent="0.15">
      <c r="A1375">
        <v>17403903</v>
      </c>
      <c r="B1375" t="s">
        <v>37563</v>
      </c>
      <c r="C1375" t="s">
        <v>37564</v>
      </c>
      <c r="D1375" t="s">
        <v>37565</v>
      </c>
      <c r="E1375" t="s">
        <v>37566</v>
      </c>
      <c r="F1375" t="s">
        <v>33347</v>
      </c>
      <c r="G1375">
        <v>2007</v>
      </c>
      <c r="H1375" s="1">
        <v>39176</v>
      </c>
      <c r="I1375" t="s">
        <v>37567</v>
      </c>
      <c r="K1375" t="s">
        <v>37568</v>
      </c>
    </row>
    <row r="1376" spans="1:11" x14ac:dyDescent="0.15">
      <c r="A1376">
        <v>11404326</v>
      </c>
      <c r="B1376" t="s">
        <v>37569</v>
      </c>
      <c r="C1376" t="s">
        <v>37570</v>
      </c>
      <c r="D1376" t="s">
        <v>37571</v>
      </c>
      <c r="E1376" t="s">
        <v>37572</v>
      </c>
      <c r="F1376" t="s">
        <v>37573</v>
      </c>
      <c r="G1376">
        <v>2001</v>
      </c>
      <c r="H1376" s="1">
        <v>37061</v>
      </c>
      <c r="I1376" t="s">
        <v>37574</v>
      </c>
      <c r="K1376" t="s">
        <v>37575</v>
      </c>
    </row>
    <row r="1377" spans="1:11" x14ac:dyDescent="0.15">
      <c r="A1377">
        <v>14624005</v>
      </c>
      <c r="B1377" t="s">
        <v>37576</v>
      </c>
      <c r="C1377" t="s">
        <v>37577</v>
      </c>
      <c r="D1377" t="s">
        <v>37578</v>
      </c>
      <c r="E1377" t="s">
        <v>37579</v>
      </c>
      <c r="F1377" t="s">
        <v>11924</v>
      </c>
      <c r="G1377">
        <v>2003</v>
      </c>
      <c r="H1377" s="1">
        <v>37944</v>
      </c>
      <c r="I1377" t="s">
        <v>37580</v>
      </c>
      <c r="K1377" t="s">
        <v>37581</v>
      </c>
    </row>
    <row r="1378" spans="1:11" x14ac:dyDescent="0.15">
      <c r="A1378">
        <v>26073986</v>
      </c>
      <c r="B1378" t="s">
        <v>37582</v>
      </c>
      <c r="C1378" t="s">
        <v>37583</v>
      </c>
      <c r="D1378" t="s">
        <v>37584</v>
      </c>
      <c r="E1378" t="s">
        <v>34784</v>
      </c>
      <c r="F1378" t="s">
        <v>37585</v>
      </c>
      <c r="G1378">
        <v>2015</v>
      </c>
      <c r="H1378" s="1">
        <v>42171</v>
      </c>
      <c r="I1378" t="s">
        <v>37586</v>
      </c>
      <c r="J1378" t="s">
        <v>37587</v>
      </c>
      <c r="K1378" t="s">
        <v>37588</v>
      </c>
    </row>
    <row r="1379" spans="1:11" x14ac:dyDescent="0.15">
      <c r="A1379">
        <v>18631361</v>
      </c>
      <c r="B1379" t="s">
        <v>37589</v>
      </c>
      <c r="C1379" t="s">
        <v>37590</v>
      </c>
      <c r="D1379" t="s">
        <v>37591</v>
      </c>
      <c r="E1379" t="s">
        <v>37592</v>
      </c>
      <c r="F1379" t="s">
        <v>31908</v>
      </c>
      <c r="G1379">
        <v>2008</v>
      </c>
      <c r="H1379" s="1">
        <v>39647</v>
      </c>
      <c r="K1379" t="s">
        <v>37593</v>
      </c>
    </row>
    <row r="1380" spans="1:11" x14ac:dyDescent="0.15">
      <c r="A1380">
        <v>33249316</v>
      </c>
      <c r="B1380" t="s">
        <v>20518</v>
      </c>
      <c r="C1380" t="s">
        <v>37594</v>
      </c>
      <c r="D1380" t="s">
        <v>37595</v>
      </c>
      <c r="E1380" t="s">
        <v>31726</v>
      </c>
      <c r="F1380" t="s">
        <v>30812</v>
      </c>
      <c r="G1380">
        <v>2021</v>
      </c>
      <c r="H1380" s="1">
        <v>44164</v>
      </c>
      <c r="K1380" t="s">
        <v>20528</v>
      </c>
    </row>
    <row r="1381" spans="1:11" x14ac:dyDescent="0.15">
      <c r="A1381">
        <v>26229115</v>
      </c>
      <c r="B1381" t="s">
        <v>20235</v>
      </c>
      <c r="C1381" t="s">
        <v>37596</v>
      </c>
      <c r="D1381" t="s">
        <v>37597</v>
      </c>
      <c r="E1381" t="s">
        <v>37598</v>
      </c>
      <c r="F1381" t="s">
        <v>35339</v>
      </c>
      <c r="G1381">
        <v>2015</v>
      </c>
      <c r="H1381" s="1">
        <v>42217</v>
      </c>
      <c r="K1381" t="s">
        <v>20244</v>
      </c>
    </row>
    <row r="1382" spans="1:11" x14ac:dyDescent="0.15">
      <c r="A1382">
        <v>17179095</v>
      </c>
      <c r="B1382" t="s">
        <v>37599</v>
      </c>
      <c r="C1382" t="s">
        <v>37600</v>
      </c>
      <c r="D1382" t="s">
        <v>37601</v>
      </c>
      <c r="E1382" t="s">
        <v>37602</v>
      </c>
      <c r="F1382" t="s">
        <v>37573</v>
      </c>
      <c r="G1382">
        <v>2007</v>
      </c>
      <c r="H1382" s="1">
        <v>39072</v>
      </c>
      <c r="I1382" t="s">
        <v>37603</v>
      </c>
      <c r="K1382" t="s">
        <v>37604</v>
      </c>
    </row>
    <row r="1383" spans="1:11" x14ac:dyDescent="0.15">
      <c r="A1383">
        <v>30602476</v>
      </c>
      <c r="B1383" t="s">
        <v>37605</v>
      </c>
      <c r="C1383" t="s">
        <v>37606</v>
      </c>
      <c r="D1383" t="s">
        <v>37607</v>
      </c>
      <c r="E1383" t="s">
        <v>37608</v>
      </c>
      <c r="F1383" t="s">
        <v>37374</v>
      </c>
      <c r="G1383">
        <v>2019</v>
      </c>
      <c r="H1383" s="1">
        <v>43469</v>
      </c>
      <c r="K1383" t="s">
        <v>37609</v>
      </c>
    </row>
    <row r="1384" spans="1:11" x14ac:dyDescent="0.15">
      <c r="A1384">
        <v>20660080</v>
      </c>
      <c r="B1384" t="s">
        <v>37610</v>
      </c>
      <c r="C1384" t="s">
        <v>37611</v>
      </c>
      <c r="D1384" t="s">
        <v>37612</v>
      </c>
      <c r="E1384" t="s">
        <v>37613</v>
      </c>
      <c r="F1384" t="s">
        <v>11924</v>
      </c>
      <c r="G1384">
        <v>2010</v>
      </c>
      <c r="H1384" s="1">
        <v>40387</v>
      </c>
      <c r="I1384" t="s">
        <v>37614</v>
      </c>
      <c r="K1384" t="s">
        <v>37615</v>
      </c>
    </row>
    <row r="1385" spans="1:11" x14ac:dyDescent="0.15">
      <c r="A1385">
        <v>24487619</v>
      </c>
      <c r="B1385" t="s">
        <v>37616</v>
      </c>
      <c r="C1385" t="s">
        <v>37617</v>
      </c>
      <c r="D1385" t="s">
        <v>37618</v>
      </c>
      <c r="E1385" t="s">
        <v>37619</v>
      </c>
      <c r="F1385" t="s">
        <v>34237</v>
      </c>
      <c r="G1385">
        <v>2014</v>
      </c>
      <c r="H1385" s="1">
        <v>41674</v>
      </c>
      <c r="I1385" t="s">
        <v>37620</v>
      </c>
      <c r="J1385" t="s">
        <v>37621</v>
      </c>
      <c r="K1385" t="s">
        <v>37622</v>
      </c>
    </row>
    <row r="1386" spans="1:11" x14ac:dyDescent="0.15">
      <c r="A1386">
        <v>7697722</v>
      </c>
      <c r="B1386" t="s">
        <v>37623</v>
      </c>
      <c r="C1386" t="s">
        <v>37624</v>
      </c>
      <c r="D1386" t="s">
        <v>37625</v>
      </c>
      <c r="E1386" t="s">
        <v>37626</v>
      </c>
      <c r="F1386" t="s">
        <v>30555</v>
      </c>
      <c r="G1386">
        <v>1995</v>
      </c>
      <c r="H1386" s="1">
        <v>34782</v>
      </c>
      <c r="K1386" t="s">
        <v>37627</v>
      </c>
    </row>
    <row r="1387" spans="1:11" x14ac:dyDescent="0.15">
      <c r="A1387">
        <v>28148795</v>
      </c>
      <c r="B1387" t="s">
        <v>27741</v>
      </c>
      <c r="C1387" t="s">
        <v>37628</v>
      </c>
      <c r="D1387" t="s">
        <v>37629</v>
      </c>
      <c r="E1387" t="s">
        <v>37630</v>
      </c>
      <c r="F1387" t="s">
        <v>31970</v>
      </c>
      <c r="G1387">
        <v>2017</v>
      </c>
      <c r="H1387" s="1">
        <v>42769</v>
      </c>
      <c r="I1387" t="s">
        <v>37631</v>
      </c>
      <c r="K1387" t="s">
        <v>27749</v>
      </c>
    </row>
    <row r="1388" spans="1:11" x14ac:dyDescent="0.15">
      <c r="A1388">
        <v>28392234</v>
      </c>
      <c r="B1388" t="s">
        <v>37632</v>
      </c>
      <c r="C1388" t="s">
        <v>37633</v>
      </c>
      <c r="D1388" t="s">
        <v>37634</v>
      </c>
      <c r="E1388" t="s">
        <v>37635</v>
      </c>
      <c r="F1388" t="s">
        <v>35198</v>
      </c>
      <c r="G1388">
        <v>2017</v>
      </c>
      <c r="H1388" s="1">
        <v>42836</v>
      </c>
      <c r="I1388" t="s">
        <v>37636</v>
      </c>
      <c r="J1388" t="s">
        <v>37637</v>
      </c>
      <c r="K1388" t="s">
        <v>37638</v>
      </c>
    </row>
    <row r="1389" spans="1:11" x14ac:dyDescent="0.15">
      <c r="A1389">
        <v>33900057</v>
      </c>
      <c r="B1389" t="s">
        <v>25023</v>
      </c>
      <c r="C1389" t="s">
        <v>37639</v>
      </c>
      <c r="D1389" t="s">
        <v>37640</v>
      </c>
      <c r="E1389" t="s">
        <v>37641</v>
      </c>
      <c r="F1389" t="s">
        <v>37642</v>
      </c>
      <c r="G1389">
        <v>2022</v>
      </c>
      <c r="H1389" s="1">
        <v>44312</v>
      </c>
      <c r="I1389" t="s">
        <v>37643</v>
      </c>
      <c r="J1389" t="s">
        <v>37644</v>
      </c>
      <c r="K1389" t="s">
        <v>25035</v>
      </c>
    </row>
    <row r="1390" spans="1:11" x14ac:dyDescent="0.15">
      <c r="A1390">
        <v>33362721</v>
      </c>
      <c r="B1390" t="s">
        <v>37645</v>
      </c>
      <c r="C1390" t="s">
        <v>37646</v>
      </c>
      <c r="D1390" t="s">
        <v>37647</v>
      </c>
      <c r="E1390" t="s">
        <v>37648</v>
      </c>
      <c r="F1390" t="s">
        <v>33862</v>
      </c>
      <c r="G1390">
        <v>2020</v>
      </c>
      <c r="H1390" s="1">
        <v>44193</v>
      </c>
      <c r="I1390" t="s">
        <v>37649</v>
      </c>
      <c r="K1390" t="s">
        <v>37650</v>
      </c>
    </row>
    <row r="1391" spans="1:11" x14ac:dyDescent="0.15">
      <c r="A1391">
        <v>29921699</v>
      </c>
      <c r="B1391" t="s">
        <v>37651</v>
      </c>
      <c r="C1391" t="s">
        <v>37652</v>
      </c>
      <c r="D1391" t="s">
        <v>37653</v>
      </c>
      <c r="E1391" t="s">
        <v>37654</v>
      </c>
      <c r="F1391" t="s">
        <v>31167</v>
      </c>
      <c r="G1391">
        <v>2018</v>
      </c>
      <c r="H1391" s="1">
        <v>43272</v>
      </c>
      <c r="K1391" t="s">
        <v>37655</v>
      </c>
    </row>
    <row r="1392" spans="1:11" x14ac:dyDescent="0.15">
      <c r="A1392">
        <v>24989451</v>
      </c>
      <c r="B1392" t="s">
        <v>37656</v>
      </c>
      <c r="C1392" t="s">
        <v>37657</v>
      </c>
      <c r="D1392" t="s">
        <v>37658</v>
      </c>
      <c r="E1392" t="s">
        <v>37659</v>
      </c>
      <c r="F1392" t="s">
        <v>30796</v>
      </c>
      <c r="G1392">
        <v>2014</v>
      </c>
      <c r="H1392" s="1">
        <v>41824</v>
      </c>
      <c r="I1392" t="s">
        <v>37660</v>
      </c>
      <c r="K1392" t="s">
        <v>37661</v>
      </c>
    </row>
    <row r="1393" spans="1:11" x14ac:dyDescent="0.15">
      <c r="A1393">
        <v>15145828</v>
      </c>
      <c r="B1393" t="s">
        <v>37662</v>
      </c>
      <c r="C1393" t="s">
        <v>37663</v>
      </c>
      <c r="D1393" t="s">
        <v>37664</v>
      </c>
      <c r="E1393" t="s">
        <v>37433</v>
      </c>
      <c r="F1393" t="s">
        <v>31824</v>
      </c>
      <c r="G1393">
        <v>2004</v>
      </c>
      <c r="H1393" s="1">
        <v>38125</v>
      </c>
      <c r="I1393" t="s">
        <v>37665</v>
      </c>
      <c r="K1393" t="s">
        <v>37666</v>
      </c>
    </row>
    <row r="1394" spans="1:11" x14ac:dyDescent="0.15">
      <c r="A1394">
        <v>24047896</v>
      </c>
      <c r="B1394" t="s">
        <v>37667</v>
      </c>
      <c r="C1394" t="s">
        <v>37668</v>
      </c>
      <c r="D1394" t="s">
        <v>37669</v>
      </c>
      <c r="E1394" t="s">
        <v>37670</v>
      </c>
      <c r="F1394" t="s">
        <v>31594</v>
      </c>
      <c r="G1394">
        <v>2013</v>
      </c>
      <c r="H1394" s="1">
        <v>41537</v>
      </c>
      <c r="I1394" t="s">
        <v>37671</v>
      </c>
      <c r="K1394" t="s">
        <v>37672</v>
      </c>
    </row>
    <row r="1395" spans="1:11" x14ac:dyDescent="0.15">
      <c r="A1395">
        <v>31480283</v>
      </c>
      <c r="B1395" t="s">
        <v>37673</v>
      </c>
      <c r="C1395" t="s">
        <v>37674</v>
      </c>
      <c r="D1395" t="s">
        <v>37675</v>
      </c>
      <c r="E1395" t="s">
        <v>37676</v>
      </c>
      <c r="F1395" t="s">
        <v>30655</v>
      </c>
      <c r="G1395">
        <v>2019</v>
      </c>
      <c r="H1395" s="1">
        <v>43713</v>
      </c>
      <c r="I1395" t="s">
        <v>37677</v>
      </c>
      <c r="K1395" t="s">
        <v>37678</v>
      </c>
    </row>
    <row r="1396" spans="1:11" x14ac:dyDescent="0.15">
      <c r="A1396">
        <v>24244451</v>
      </c>
      <c r="B1396" t="s">
        <v>37679</v>
      </c>
      <c r="C1396" t="s">
        <v>37680</v>
      </c>
      <c r="D1396" t="s">
        <v>37681</v>
      </c>
      <c r="E1396" t="s">
        <v>37682</v>
      </c>
      <c r="F1396" t="s">
        <v>31639</v>
      </c>
      <c r="G1396">
        <v>2013</v>
      </c>
      <c r="H1396" s="1">
        <v>41597</v>
      </c>
      <c r="I1396" t="s">
        <v>37683</v>
      </c>
      <c r="K1396" t="s">
        <v>37684</v>
      </c>
    </row>
    <row r="1397" spans="1:11" x14ac:dyDescent="0.15">
      <c r="A1397">
        <v>31729316</v>
      </c>
      <c r="B1397" t="s">
        <v>37685</v>
      </c>
      <c r="C1397" t="s">
        <v>37686</v>
      </c>
      <c r="D1397" t="s">
        <v>37687</v>
      </c>
      <c r="E1397" t="s">
        <v>37688</v>
      </c>
      <c r="F1397" t="s">
        <v>36402</v>
      </c>
      <c r="G1397">
        <v>2019</v>
      </c>
      <c r="H1397" s="1">
        <v>43785</v>
      </c>
      <c r="I1397" t="s">
        <v>37689</v>
      </c>
      <c r="K1397" t="s">
        <v>37690</v>
      </c>
    </row>
    <row r="1398" spans="1:11" x14ac:dyDescent="0.15">
      <c r="A1398">
        <v>18951092</v>
      </c>
      <c r="B1398" t="s">
        <v>37691</v>
      </c>
      <c r="C1398" t="s">
        <v>37692</v>
      </c>
      <c r="D1398" t="s">
        <v>37693</v>
      </c>
      <c r="E1398" t="s">
        <v>37694</v>
      </c>
      <c r="F1398" t="s">
        <v>32022</v>
      </c>
      <c r="G1398">
        <v>2008</v>
      </c>
      <c r="H1398" s="1">
        <v>39749</v>
      </c>
      <c r="I1398" t="s">
        <v>37695</v>
      </c>
      <c r="K1398" t="s">
        <v>37696</v>
      </c>
    </row>
    <row r="1399" spans="1:11" x14ac:dyDescent="0.15">
      <c r="A1399">
        <v>11747611</v>
      </c>
      <c r="B1399" t="s">
        <v>37697</v>
      </c>
      <c r="C1399" t="s">
        <v>37698</v>
      </c>
      <c r="D1399" t="s">
        <v>37699</v>
      </c>
      <c r="E1399" t="s">
        <v>37700</v>
      </c>
      <c r="F1399" t="s">
        <v>32433</v>
      </c>
      <c r="G1399">
        <v>2001</v>
      </c>
      <c r="H1399" s="1">
        <v>37244</v>
      </c>
      <c r="K1399" t="s">
        <v>16028</v>
      </c>
    </row>
    <row r="1400" spans="1:11" x14ac:dyDescent="0.15">
      <c r="A1400">
        <v>26831114</v>
      </c>
      <c r="B1400" t="s">
        <v>27423</v>
      </c>
      <c r="C1400" t="s">
        <v>37701</v>
      </c>
      <c r="D1400" t="s">
        <v>37702</v>
      </c>
      <c r="E1400" t="s">
        <v>37703</v>
      </c>
      <c r="F1400" t="s">
        <v>30767</v>
      </c>
      <c r="G1400">
        <v>2016</v>
      </c>
      <c r="H1400" s="1">
        <v>42403</v>
      </c>
      <c r="I1400" t="s">
        <v>37704</v>
      </c>
      <c r="K1400" t="s">
        <v>27432</v>
      </c>
    </row>
    <row r="1401" spans="1:11" x14ac:dyDescent="0.15">
      <c r="A1401">
        <v>15489286</v>
      </c>
      <c r="B1401" t="s">
        <v>37705</v>
      </c>
      <c r="C1401" t="s">
        <v>37706</v>
      </c>
      <c r="D1401" t="s">
        <v>37707</v>
      </c>
      <c r="E1401" t="s">
        <v>37708</v>
      </c>
      <c r="F1401" t="s">
        <v>31824</v>
      </c>
      <c r="G1401">
        <v>2004</v>
      </c>
      <c r="H1401" s="1">
        <v>38279</v>
      </c>
      <c r="I1401" t="s">
        <v>37709</v>
      </c>
      <c r="K1401" t="s">
        <v>37710</v>
      </c>
    </row>
    <row r="1402" spans="1:11" x14ac:dyDescent="0.15">
      <c r="A1402">
        <v>12947419</v>
      </c>
      <c r="B1402" t="s">
        <v>37711</v>
      </c>
      <c r="C1402" t="s">
        <v>37712</v>
      </c>
      <c r="D1402" t="s">
        <v>37713</v>
      </c>
      <c r="E1402" t="s">
        <v>32965</v>
      </c>
      <c r="F1402" t="s">
        <v>35353</v>
      </c>
      <c r="G1402">
        <v>2003</v>
      </c>
      <c r="H1402" s="1">
        <v>37863</v>
      </c>
      <c r="I1402" t="s">
        <v>37714</v>
      </c>
      <c r="K1402" t="s">
        <v>37715</v>
      </c>
    </row>
    <row r="1403" spans="1:11" x14ac:dyDescent="0.15">
      <c r="A1403">
        <v>24097436</v>
      </c>
      <c r="B1403" t="s">
        <v>37716</v>
      </c>
      <c r="C1403" t="s">
        <v>37717</v>
      </c>
      <c r="D1403" t="s">
        <v>37718</v>
      </c>
      <c r="E1403" t="s">
        <v>37719</v>
      </c>
      <c r="F1403" t="s">
        <v>31587</v>
      </c>
      <c r="G1403">
        <v>2014</v>
      </c>
      <c r="H1403" s="1">
        <v>41555</v>
      </c>
      <c r="I1403" t="s">
        <v>37720</v>
      </c>
      <c r="K1403" t="s">
        <v>37721</v>
      </c>
    </row>
    <row r="1404" spans="1:11" x14ac:dyDescent="0.15">
      <c r="A1404">
        <v>29435929</v>
      </c>
      <c r="B1404" t="s">
        <v>8499</v>
      </c>
      <c r="C1404" t="s">
        <v>37722</v>
      </c>
      <c r="D1404" t="s">
        <v>37723</v>
      </c>
      <c r="E1404" t="s">
        <v>37724</v>
      </c>
      <c r="F1404" t="s">
        <v>31003</v>
      </c>
      <c r="G1404">
        <v>2018</v>
      </c>
      <c r="H1404" s="1">
        <v>43145</v>
      </c>
      <c r="K1404" t="s">
        <v>8510</v>
      </c>
    </row>
    <row r="1405" spans="1:11" x14ac:dyDescent="0.15">
      <c r="A1405">
        <v>3174632</v>
      </c>
      <c r="B1405" t="s">
        <v>37725</v>
      </c>
      <c r="C1405" t="s">
        <v>37726</v>
      </c>
      <c r="D1405" t="s">
        <v>37727</v>
      </c>
      <c r="E1405" t="s">
        <v>37728</v>
      </c>
      <c r="F1405" t="s">
        <v>30767</v>
      </c>
      <c r="G1405">
        <v>1988</v>
      </c>
      <c r="H1405" s="1">
        <v>32417</v>
      </c>
      <c r="I1405" t="s">
        <v>37729</v>
      </c>
      <c r="K1405" t="s">
        <v>37730</v>
      </c>
    </row>
    <row r="1406" spans="1:11" x14ac:dyDescent="0.15">
      <c r="A1406">
        <v>26104461</v>
      </c>
      <c r="B1406" t="s">
        <v>20878</v>
      </c>
      <c r="C1406" t="s">
        <v>37731</v>
      </c>
      <c r="D1406" t="s">
        <v>37732</v>
      </c>
      <c r="E1406" t="s">
        <v>37733</v>
      </c>
      <c r="F1406" t="s">
        <v>35365</v>
      </c>
      <c r="G1406">
        <v>2014</v>
      </c>
      <c r="H1406" s="1">
        <v>42180</v>
      </c>
      <c r="K1406" t="s">
        <v>20888</v>
      </c>
    </row>
    <row r="1407" spans="1:11" x14ac:dyDescent="0.15">
      <c r="A1407">
        <v>20442321</v>
      </c>
      <c r="B1407" t="s">
        <v>37734</v>
      </c>
      <c r="C1407" t="s">
        <v>37735</v>
      </c>
      <c r="D1407" t="s">
        <v>37736</v>
      </c>
      <c r="E1407" t="s">
        <v>37737</v>
      </c>
      <c r="F1407" t="s">
        <v>35204</v>
      </c>
      <c r="G1407">
        <v>2010</v>
      </c>
      <c r="H1407" s="1">
        <v>40304</v>
      </c>
      <c r="I1407" t="s">
        <v>37738</v>
      </c>
      <c r="K1407" t="s">
        <v>37739</v>
      </c>
    </row>
    <row r="1408" spans="1:11" x14ac:dyDescent="0.15">
      <c r="A1408">
        <v>24106327</v>
      </c>
      <c r="B1408" t="s">
        <v>37740</v>
      </c>
      <c r="C1408" t="s">
        <v>37741</v>
      </c>
      <c r="D1408" t="s">
        <v>37742</v>
      </c>
      <c r="E1408" t="s">
        <v>33297</v>
      </c>
      <c r="F1408" t="s">
        <v>11924</v>
      </c>
      <c r="G1408">
        <v>2013</v>
      </c>
      <c r="H1408" s="1">
        <v>41557</v>
      </c>
      <c r="I1408" t="s">
        <v>37743</v>
      </c>
      <c r="K1408" t="s">
        <v>37744</v>
      </c>
    </row>
    <row r="1409" spans="1:11" x14ac:dyDescent="0.15">
      <c r="A1409">
        <v>23008348</v>
      </c>
      <c r="B1409" t="s">
        <v>37745</v>
      </c>
      <c r="C1409" t="s">
        <v>37746</v>
      </c>
      <c r="D1409" t="s">
        <v>37747</v>
      </c>
      <c r="E1409" t="s">
        <v>37748</v>
      </c>
      <c r="F1409" t="s">
        <v>32780</v>
      </c>
      <c r="G1409">
        <v>2013</v>
      </c>
      <c r="H1409" s="1">
        <v>41178</v>
      </c>
      <c r="K1409" t="s">
        <v>37749</v>
      </c>
    </row>
    <row r="1410" spans="1:11" x14ac:dyDescent="0.15">
      <c r="A1410">
        <v>25040043</v>
      </c>
      <c r="B1410" t="s">
        <v>23954</v>
      </c>
      <c r="C1410" t="s">
        <v>37750</v>
      </c>
      <c r="D1410" t="s">
        <v>37751</v>
      </c>
      <c r="E1410" t="s">
        <v>37752</v>
      </c>
      <c r="F1410" t="s">
        <v>37753</v>
      </c>
      <c r="G1410">
        <v>2015</v>
      </c>
      <c r="H1410" s="1">
        <v>41842</v>
      </c>
      <c r="I1410" t="s">
        <v>37754</v>
      </c>
      <c r="J1410" t="s">
        <v>37755</v>
      </c>
      <c r="K1410" t="s">
        <v>23965</v>
      </c>
    </row>
    <row r="1411" spans="1:11" x14ac:dyDescent="0.15">
      <c r="A1411">
        <v>30521613</v>
      </c>
      <c r="B1411" t="s">
        <v>37756</v>
      </c>
      <c r="C1411" t="s">
        <v>37757</v>
      </c>
      <c r="D1411" t="s">
        <v>37758</v>
      </c>
      <c r="E1411" t="s">
        <v>37759</v>
      </c>
      <c r="F1411" t="s">
        <v>31639</v>
      </c>
      <c r="G1411">
        <v>2018</v>
      </c>
      <c r="H1411" s="1">
        <v>43441</v>
      </c>
      <c r="I1411" t="s">
        <v>37760</v>
      </c>
      <c r="K1411" t="s">
        <v>37761</v>
      </c>
    </row>
    <row r="1412" spans="1:11" x14ac:dyDescent="0.15">
      <c r="A1412">
        <v>26273910</v>
      </c>
      <c r="B1412" t="s">
        <v>37762</v>
      </c>
      <c r="C1412" t="s">
        <v>37763</v>
      </c>
      <c r="D1412" t="s">
        <v>37764</v>
      </c>
      <c r="E1412" t="s">
        <v>37765</v>
      </c>
      <c r="F1412" t="s">
        <v>31659</v>
      </c>
      <c r="G1412">
        <v>2015</v>
      </c>
      <c r="H1412" s="1">
        <v>42231</v>
      </c>
      <c r="I1412" t="s">
        <v>37766</v>
      </c>
      <c r="K1412" t="s">
        <v>37767</v>
      </c>
    </row>
    <row r="1413" spans="1:11" x14ac:dyDescent="0.15">
      <c r="A1413">
        <v>25836330</v>
      </c>
      <c r="B1413" t="s">
        <v>37768</v>
      </c>
      <c r="C1413" t="s">
        <v>37769</v>
      </c>
      <c r="D1413" t="s">
        <v>37770</v>
      </c>
      <c r="E1413" t="s">
        <v>37771</v>
      </c>
      <c r="F1413" t="s">
        <v>31933</v>
      </c>
      <c r="G1413">
        <v>2015</v>
      </c>
      <c r="H1413" s="1">
        <v>42098</v>
      </c>
      <c r="I1413" t="s">
        <v>37772</v>
      </c>
      <c r="K1413" t="s">
        <v>37773</v>
      </c>
    </row>
    <row r="1414" spans="1:11" x14ac:dyDescent="0.15">
      <c r="A1414">
        <v>26222026</v>
      </c>
      <c r="B1414" t="s">
        <v>37774</v>
      </c>
      <c r="C1414" t="s">
        <v>37775</v>
      </c>
      <c r="D1414" t="s">
        <v>37776</v>
      </c>
      <c r="E1414" t="s">
        <v>37777</v>
      </c>
      <c r="F1414" t="s">
        <v>34237</v>
      </c>
      <c r="G1414">
        <v>2015</v>
      </c>
      <c r="H1414" s="1">
        <v>42215</v>
      </c>
      <c r="K1414" t="s">
        <v>37778</v>
      </c>
    </row>
    <row r="1415" spans="1:11" x14ac:dyDescent="0.15">
      <c r="A1415">
        <v>34450044</v>
      </c>
      <c r="B1415" t="s">
        <v>37779</v>
      </c>
      <c r="C1415" t="s">
        <v>37780</v>
      </c>
      <c r="D1415" t="s">
        <v>37781</v>
      </c>
      <c r="E1415" t="s">
        <v>37782</v>
      </c>
      <c r="F1415" t="s">
        <v>32022</v>
      </c>
      <c r="G1415">
        <v>2021</v>
      </c>
      <c r="H1415" s="1">
        <v>44435</v>
      </c>
      <c r="I1415" t="s">
        <v>37783</v>
      </c>
      <c r="J1415" t="s">
        <v>37784</v>
      </c>
      <c r="K1415" t="s">
        <v>37785</v>
      </c>
    </row>
    <row r="1416" spans="1:11" x14ac:dyDescent="0.15">
      <c r="A1416">
        <v>18022365</v>
      </c>
      <c r="B1416" t="s">
        <v>37786</v>
      </c>
      <c r="C1416" t="s">
        <v>37787</v>
      </c>
      <c r="D1416" t="s">
        <v>37788</v>
      </c>
      <c r="E1416" t="s">
        <v>37789</v>
      </c>
      <c r="F1416" t="s">
        <v>30555</v>
      </c>
      <c r="G1416">
        <v>2007</v>
      </c>
      <c r="H1416" s="1">
        <v>39407</v>
      </c>
      <c r="K1416" t="s">
        <v>37790</v>
      </c>
    </row>
    <row r="1417" spans="1:11" x14ac:dyDescent="0.15">
      <c r="A1417">
        <v>22402490</v>
      </c>
      <c r="B1417" t="s">
        <v>37791</v>
      </c>
      <c r="C1417" t="s">
        <v>37792</v>
      </c>
      <c r="D1417" t="s">
        <v>37793</v>
      </c>
      <c r="E1417" t="s">
        <v>37794</v>
      </c>
      <c r="F1417" t="s">
        <v>31587</v>
      </c>
      <c r="G1417">
        <v>2012</v>
      </c>
      <c r="H1417" s="1">
        <v>40978</v>
      </c>
      <c r="I1417" t="s">
        <v>37795</v>
      </c>
      <c r="K1417" t="s">
        <v>37796</v>
      </c>
    </row>
    <row r="1418" spans="1:11" x14ac:dyDescent="0.15">
      <c r="A1418">
        <v>31173389</v>
      </c>
      <c r="B1418" t="s">
        <v>23567</v>
      </c>
      <c r="C1418" t="s">
        <v>37797</v>
      </c>
      <c r="D1418" t="s">
        <v>37798</v>
      </c>
      <c r="E1418" t="s">
        <v>37799</v>
      </c>
      <c r="F1418" t="s">
        <v>37800</v>
      </c>
      <c r="G1418">
        <v>2020</v>
      </c>
      <c r="H1418" s="1">
        <v>43624</v>
      </c>
      <c r="K1418" t="s">
        <v>23578</v>
      </c>
    </row>
    <row r="1419" spans="1:11" x14ac:dyDescent="0.15">
      <c r="A1419">
        <v>18824516</v>
      </c>
      <c r="B1419" t="s">
        <v>37801</v>
      </c>
      <c r="C1419" t="s">
        <v>37802</v>
      </c>
      <c r="D1419" t="s">
        <v>37803</v>
      </c>
      <c r="E1419" t="s">
        <v>37804</v>
      </c>
      <c r="F1419" t="s">
        <v>11924</v>
      </c>
      <c r="G1419">
        <v>2008</v>
      </c>
      <c r="H1419" s="1">
        <v>39722</v>
      </c>
      <c r="I1419" t="s">
        <v>37805</v>
      </c>
      <c r="K1419" t="s">
        <v>37806</v>
      </c>
    </row>
    <row r="1420" spans="1:11" x14ac:dyDescent="0.15">
      <c r="A1420">
        <v>31548613</v>
      </c>
      <c r="B1420" t="s">
        <v>37807</v>
      </c>
      <c r="C1420" t="s">
        <v>37808</v>
      </c>
      <c r="D1420" t="s">
        <v>37809</v>
      </c>
      <c r="E1420" t="s">
        <v>37810</v>
      </c>
      <c r="F1420" t="s">
        <v>32752</v>
      </c>
      <c r="G1420">
        <v>2020</v>
      </c>
      <c r="H1420" s="1">
        <v>43733</v>
      </c>
      <c r="K1420" t="s">
        <v>37811</v>
      </c>
    </row>
    <row r="1421" spans="1:11" x14ac:dyDescent="0.15">
      <c r="A1421">
        <v>30724665</v>
      </c>
      <c r="B1421" t="s">
        <v>37812</v>
      </c>
      <c r="C1421" t="s">
        <v>37813</v>
      </c>
      <c r="D1421" t="s">
        <v>37814</v>
      </c>
      <c r="E1421" t="s">
        <v>37815</v>
      </c>
      <c r="F1421" t="s">
        <v>37103</v>
      </c>
      <c r="G1421">
        <v>2019</v>
      </c>
      <c r="H1421" s="1">
        <v>43503</v>
      </c>
      <c r="I1421" t="s">
        <v>37816</v>
      </c>
      <c r="K1421" t="s">
        <v>37817</v>
      </c>
    </row>
    <row r="1422" spans="1:11" x14ac:dyDescent="0.15">
      <c r="A1422">
        <v>16478992</v>
      </c>
      <c r="B1422" t="s">
        <v>37818</v>
      </c>
      <c r="C1422" t="s">
        <v>37819</v>
      </c>
      <c r="D1422" t="s">
        <v>37820</v>
      </c>
      <c r="E1422" t="s">
        <v>37821</v>
      </c>
      <c r="F1422" t="s">
        <v>33347</v>
      </c>
      <c r="G1422">
        <v>2006</v>
      </c>
      <c r="H1422" s="1">
        <v>38764</v>
      </c>
      <c r="I1422" t="s">
        <v>37822</v>
      </c>
      <c r="K1422" t="s">
        <v>37823</v>
      </c>
    </row>
    <row r="1423" spans="1:11" x14ac:dyDescent="0.15">
      <c r="A1423">
        <v>16285928</v>
      </c>
      <c r="B1423" t="s">
        <v>37824</v>
      </c>
      <c r="C1423" t="s">
        <v>37825</v>
      </c>
      <c r="D1423" t="s">
        <v>37826</v>
      </c>
      <c r="E1423" t="s">
        <v>37827</v>
      </c>
      <c r="F1423" t="s">
        <v>32022</v>
      </c>
      <c r="G1423">
        <v>2005</v>
      </c>
      <c r="H1423" s="1">
        <v>38672</v>
      </c>
      <c r="K1423" t="s">
        <v>37828</v>
      </c>
    </row>
    <row r="1424" spans="1:11" x14ac:dyDescent="0.15">
      <c r="A1424">
        <v>26843489</v>
      </c>
      <c r="B1424" t="s">
        <v>37829</v>
      </c>
      <c r="C1424" t="s">
        <v>37830</v>
      </c>
      <c r="D1424" t="s">
        <v>37831</v>
      </c>
      <c r="E1424" t="s">
        <v>37832</v>
      </c>
      <c r="F1424" t="s">
        <v>37833</v>
      </c>
      <c r="G1424">
        <v>2016</v>
      </c>
      <c r="H1424" s="1">
        <v>42405</v>
      </c>
      <c r="K1424" t="s">
        <v>37834</v>
      </c>
    </row>
    <row r="1425" spans="1:11" x14ac:dyDescent="0.15">
      <c r="A1425">
        <v>35658009</v>
      </c>
      <c r="B1425" t="s">
        <v>37835</v>
      </c>
      <c r="C1425" t="s">
        <v>37836</v>
      </c>
      <c r="D1425" t="s">
        <v>37837</v>
      </c>
      <c r="E1425" t="s">
        <v>37838</v>
      </c>
      <c r="F1425" t="s">
        <v>37839</v>
      </c>
      <c r="G1425">
        <v>2022</v>
      </c>
      <c r="H1425" s="1">
        <v>44715</v>
      </c>
      <c r="I1425" t="s">
        <v>37840</v>
      </c>
      <c r="J1425" t="s">
        <v>37841</v>
      </c>
      <c r="K1425" t="s">
        <v>37842</v>
      </c>
    </row>
    <row r="1426" spans="1:11" x14ac:dyDescent="0.15">
      <c r="A1426">
        <v>35657153</v>
      </c>
      <c r="B1426" t="s">
        <v>37843</v>
      </c>
      <c r="C1426" t="s">
        <v>37844</v>
      </c>
      <c r="D1426" t="s">
        <v>37845</v>
      </c>
      <c r="E1426" t="s">
        <v>37846</v>
      </c>
      <c r="F1426" t="s">
        <v>31192</v>
      </c>
      <c r="G1426">
        <v>2022</v>
      </c>
      <c r="H1426" s="1">
        <v>44715</v>
      </c>
      <c r="K1426" t="s">
        <v>37847</v>
      </c>
    </row>
    <row r="1427" spans="1:11" x14ac:dyDescent="0.15">
      <c r="A1427">
        <v>16541108</v>
      </c>
      <c r="B1427" t="s">
        <v>37848</v>
      </c>
      <c r="C1427" t="s">
        <v>37849</v>
      </c>
      <c r="D1427" t="s">
        <v>37850</v>
      </c>
      <c r="E1427" t="s">
        <v>37851</v>
      </c>
      <c r="F1427" t="s">
        <v>35307</v>
      </c>
      <c r="G1427">
        <v>2006</v>
      </c>
      <c r="H1427" s="1">
        <v>38793</v>
      </c>
      <c r="I1427" t="s">
        <v>37852</v>
      </c>
      <c r="K1427" t="s">
        <v>37853</v>
      </c>
    </row>
    <row r="1428" spans="1:11" x14ac:dyDescent="0.15">
      <c r="A1428">
        <v>24937447</v>
      </c>
      <c r="B1428" t="s">
        <v>37854</v>
      </c>
      <c r="C1428" t="s">
        <v>37855</v>
      </c>
      <c r="D1428" t="s">
        <v>37856</v>
      </c>
      <c r="E1428" t="s">
        <v>37857</v>
      </c>
      <c r="F1428" t="s">
        <v>32654</v>
      </c>
      <c r="G1428">
        <v>2014</v>
      </c>
      <c r="H1428" s="1">
        <v>41808</v>
      </c>
      <c r="K1428" t="s">
        <v>37858</v>
      </c>
    </row>
    <row r="1429" spans="1:11" x14ac:dyDescent="0.15">
      <c r="A1429">
        <v>25319414</v>
      </c>
      <c r="B1429" t="s">
        <v>37859</v>
      </c>
      <c r="C1429" t="s">
        <v>37860</v>
      </c>
      <c r="D1429" t="s">
        <v>37861</v>
      </c>
      <c r="E1429" t="s">
        <v>37862</v>
      </c>
      <c r="F1429" t="s">
        <v>35307</v>
      </c>
      <c r="G1429">
        <v>2014</v>
      </c>
      <c r="H1429" s="1">
        <v>41929</v>
      </c>
      <c r="I1429" t="s">
        <v>37863</v>
      </c>
      <c r="K1429" t="s">
        <v>37864</v>
      </c>
    </row>
    <row r="1430" spans="1:11" x14ac:dyDescent="0.15">
      <c r="A1430">
        <v>23143101</v>
      </c>
      <c r="B1430" t="s">
        <v>37865</v>
      </c>
      <c r="C1430" t="s">
        <v>37866</v>
      </c>
      <c r="D1430" t="s">
        <v>37867</v>
      </c>
      <c r="E1430" t="s">
        <v>37868</v>
      </c>
      <c r="F1430" t="s">
        <v>31587</v>
      </c>
      <c r="G1430">
        <v>2013</v>
      </c>
      <c r="H1430" s="1">
        <v>41226</v>
      </c>
      <c r="I1430" t="s">
        <v>37869</v>
      </c>
      <c r="K1430" t="s">
        <v>37870</v>
      </c>
    </row>
    <row r="1431" spans="1:11" x14ac:dyDescent="0.15">
      <c r="A1431">
        <v>17548579</v>
      </c>
      <c r="B1431" t="s">
        <v>37871</v>
      </c>
      <c r="C1431" t="s">
        <v>37872</v>
      </c>
      <c r="D1431" t="s">
        <v>37873</v>
      </c>
      <c r="E1431" t="s">
        <v>37874</v>
      </c>
      <c r="F1431" t="s">
        <v>30600</v>
      </c>
      <c r="G1431">
        <v>2007</v>
      </c>
      <c r="H1431" s="1">
        <v>39239</v>
      </c>
      <c r="I1431" t="s">
        <v>37875</v>
      </c>
      <c r="K1431" t="s">
        <v>37876</v>
      </c>
    </row>
    <row r="1432" spans="1:11" x14ac:dyDescent="0.15">
      <c r="A1432">
        <v>15935759</v>
      </c>
      <c r="B1432" t="s">
        <v>37877</v>
      </c>
      <c r="C1432" t="s">
        <v>37878</v>
      </c>
      <c r="D1432" t="s">
        <v>37879</v>
      </c>
      <c r="E1432" t="s">
        <v>37880</v>
      </c>
      <c r="F1432" t="s">
        <v>30555</v>
      </c>
      <c r="G1432">
        <v>2005</v>
      </c>
      <c r="H1432" s="1">
        <v>38510</v>
      </c>
      <c r="K1432" t="s">
        <v>37881</v>
      </c>
    </row>
    <row r="1433" spans="1:11" x14ac:dyDescent="0.15">
      <c r="A1433">
        <v>20699273</v>
      </c>
      <c r="B1433" t="s">
        <v>37882</v>
      </c>
      <c r="C1433" t="s">
        <v>37883</v>
      </c>
      <c r="D1433" t="s">
        <v>37884</v>
      </c>
      <c r="E1433" t="s">
        <v>37885</v>
      </c>
      <c r="F1433" t="s">
        <v>31587</v>
      </c>
      <c r="G1433">
        <v>2010</v>
      </c>
      <c r="H1433" s="1">
        <v>40402</v>
      </c>
      <c r="I1433" t="s">
        <v>37886</v>
      </c>
      <c r="K1433" t="s">
        <v>37887</v>
      </c>
    </row>
    <row r="1434" spans="1:11" x14ac:dyDescent="0.15">
      <c r="A1434">
        <v>12354777</v>
      </c>
      <c r="B1434" t="s">
        <v>37888</v>
      </c>
      <c r="C1434" t="s">
        <v>37889</v>
      </c>
      <c r="D1434" t="s">
        <v>37890</v>
      </c>
      <c r="E1434" t="s">
        <v>37891</v>
      </c>
      <c r="F1434" t="s">
        <v>31594</v>
      </c>
      <c r="G1434">
        <v>2002</v>
      </c>
      <c r="H1434" s="1">
        <v>37531</v>
      </c>
      <c r="K1434" t="s">
        <v>37892</v>
      </c>
    </row>
    <row r="1435" spans="1:11" x14ac:dyDescent="0.15">
      <c r="A1435">
        <v>18511171</v>
      </c>
      <c r="B1435" t="s">
        <v>37893</v>
      </c>
      <c r="C1435" t="s">
        <v>37894</v>
      </c>
      <c r="D1435" t="s">
        <v>37895</v>
      </c>
      <c r="E1435" t="s">
        <v>37896</v>
      </c>
      <c r="F1435" t="s">
        <v>1626</v>
      </c>
      <c r="G1435">
        <v>2008</v>
      </c>
      <c r="H1435" s="1">
        <v>39599</v>
      </c>
      <c r="K1435" t="s">
        <v>37897</v>
      </c>
    </row>
    <row r="1436" spans="1:11" x14ac:dyDescent="0.15">
      <c r="A1436">
        <v>25795540</v>
      </c>
      <c r="B1436" t="s">
        <v>37898</v>
      </c>
      <c r="C1436" t="s">
        <v>37899</v>
      </c>
      <c r="D1436" t="s">
        <v>37900</v>
      </c>
      <c r="E1436" t="s">
        <v>31386</v>
      </c>
      <c r="F1436" t="s">
        <v>33549</v>
      </c>
      <c r="G1436">
        <v>2015</v>
      </c>
      <c r="H1436" s="1">
        <v>42085</v>
      </c>
      <c r="K1436" t="s">
        <v>37901</v>
      </c>
    </row>
    <row r="1437" spans="1:11" x14ac:dyDescent="0.15">
      <c r="A1437">
        <v>33496853</v>
      </c>
      <c r="B1437" t="s">
        <v>10642</v>
      </c>
      <c r="C1437" t="s">
        <v>37902</v>
      </c>
      <c r="D1437" t="s">
        <v>37903</v>
      </c>
      <c r="E1437" t="s">
        <v>37904</v>
      </c>
      <c r="F1437" t="s">
        <v>32214</v>
      </c>
      <c r="G1437">
        <v>2021</v>
      </c>
      <c r="H1437" s="1">
        <v>44222</v>
      </c>
      <c r="K1437" t="s">
        <v>10649</v>
      </c>
    </row>
    <row r="1438" spans="1:11" x14ac:dyDescent="0.15">
      <c r="A1438">
        <v>9973615</v>
      </c>
      <c r="B1438" t="s">
        <v>37905</v>
      </c>
      <c r="C1438" t="s">
        <v>37906</v>
      </c>
      <c r="D1438" t="s">
        <v>37907</v>
      </c>
      <c r="E1438" t="s">
        <v>37908</v>
      </c>
      <c r="F1438" t="s">
        <v>31587</v>
      </c>
      <c r="G1438">
        <v>1999</v>
      </c>
      <c r="H1438" s="1">
        <v>36203</v>
      </c>
      <c r="I1438" t="s">
        <v>37909</v>
      </c>
      <c r="K1438" t="s">
        <v>37910</v>
      </c>
    </row>
    <row r="1439" spans="1:11" x14ac:dyDescent="0.15">
      <c r="A1439">
        <v>18591258</v>
      </c>
      <c r="B1439" t="s">
        <v>37911</v>
      </c>
      <c r="C1439" t="s">
        <v>37912</v>
      </c>
      <c r="D1439" t="s">
        <v>37913</v>
      </c>
      <c r="E1439" t="s">
        <v>37914</v>
      </c>
      <c r="F1439" t="s">
        <v>33347</v>
      </c>
      <c r="G1439">
        <v>2008</v>
      </c>
      <c r="H1439" s="1">
        <v>39631</v>
      </c>
      <c r="I1439" t="s">
        <v>37915</v>
      </c>
      <c r="K1439" t="s">
        <v>37916</v>
      </c>
    </row>
    <row r="1440" spans="1:11" x14ac:dyDescent="0.15">
      <c r="A1440">
        <v>22673524</v>
      </c>
      <c r="B1440" t="s">
        <v>37917</v>
      </c>
      <c r="C1440" t="s">
        <v>37918</v>
      </c>
      <c r="D1440" t="s">
        <v>37919</v>
      </c>
      <c r="E1440" t="s">
        <v>37920</v>
      </c>
      <c r="F1440" t="s">
        <v>31811</v>
      </c>
      <c r="G1440">
        <v>2012</v>
      </c>
      <c r="H1440" s="1">
        <v>41068</v>
      </c>
      <c r="K1440" t="s">
        <v>37921</v>
      </c>
    </row>
    <row r="1441" spans="1:11" x14ac:dyDescent="0.15">
      <c r="A1441">
        <v>32574035</v>
      </c>
      <c r="B1441" t="s">
        <v>11825</v>
      </c>
      <c r="C1441" t="s">
        <v>37922</v>
      </c>
      <c r="D1441" t="s">
        <v>37923</v>
      </c>
      <c r="E1441" t="s">
        <v>35702</v>
      </c>
      <c r="F1441" t="s">
        <v>30561</v>
      </c>
      <c r="G1441">
        <v>2020</v>
      </c>
      <c r="H1441" s="1">
        <v>44006</v>
      </c>
      <c r="K1441" t="s">
        <v>11836</v>
      </c>
    </row>
    <row r="1442" spans="1:11" x14ac:dyDescent="0.15">
      <c r="A1442">
        <v>33403678</v>
      </c>
      <c r="B1442" t="s">
        <v>37924</v>
      </c>
      <c r="C1442" t="s">
        <v>37925</v>
      </c>
      <c r="D1442" t="s">
        <v>37926</v>
      </c>
      <c r="E1442" t="s">
        <v>37927</v>
      </c>
      <c r="F1442" t="s">
        <v>37928</v>
      </c>
      <c r="G1442">
        <v>2021</v>
      </c>
      <c r="H1442" s="1">
        <v>44202</v>
      </c>
      <c r="K1442" t="s">
        <v>37929</v>
      </c>
    </row>
    <row r="1443" spans="1:11" x14ac:dyDescent="0.15">
      <c r="A1443">
        <v>34533885</v>
      </c>
      <c r="B1443" t="s">
        <v>24553</v>
      </c>
      <c r="C1443" t="s">
        <v>37930</v>
      </c>
      <c r="D1443" t="s">
        <v>37931</v>
      </c>
      <c r="E1443" t="s">
        <v>37932</v>
      </c>
      <c r="F1443" t="s">
        <v>37933</v>
      </c>
      <c r="G1443">
        <v>2021</v>
      </c>
      <c r="H1443" s="1">
        <v>44456</v>
      </c>
      <c r="I1443" t="s">
        <v>37934</v>
      </c>
      <c r="K1443" t="s">
        <v>24561</v>
      </c>
    </row>
    <row r="1444" spans="1:11" x14ac:dyDescent="0.15">
      <c r="A1444">
        <v>18211833</v>
      </c>
      <c r="B1444" t="s">
        <v>37935</v>
      </c>
      <c r="C1444" t="s">
        <v>37936</v>
      </c>
      <c r="D1444" t="s">
        <v>37937</v>
      </c>
      <c r="E1444" t="s">
        <v>36013</v>
      </c>
      <c r="F1444" t="s">
        <v>34553</v>
      </c>
      <c r="G1444">
        <v>2008</v>
      </c>
      <c r="H1444" s="1">
        <v>39471</v>
      </c>
      <c r="K1444" t="s">
        <v>37938</v>
      </c>
    </row>
    <row r="1445" spans="1:11" x14ac:dyDescent="0.15">
      <c r="A1445">
        <v>35323012</v>
      </c>
      <c r="B1445" t="s">
        <v>37939</v>
      </c>
      <c r="C1445" t="s">
        <v>37940</v>
      </c>
      <c r="D1445" t="s">
        <v>37941</v>
      </c>
      <c r="E1445" t="s">
        <v>37942</v>
      </c>
      <c r="F1445" t="s">
        <v>30956</v>
      </c>
      <c r="G1445">
        <v>2022</v>
      </c>
      <c r="H1445" s="1">
        <v>44644</v>
      </c>
      <c r="K1445" t="s">
        <v>37943</v>
      </c>
    </row>
    <row r="1446" spans="1:11" x14ac:dyDescent="0.15">
      <c r="A1446">
        <v>16882719</v>
      </c>
      <c r="B1446" t="s">
        <v>37944</v>
      </c>
      <c r="C1446" t="s">
        <v>37945</v>
      </c>
      <c r="D1446" t="s">
        <v>37946</v>
      </c>
      <c r="E1446" t="s">
        <v>37947</v>
      </c>
      <c r="F1446" t="s">
        <v>30767</v>
      </c>
      <c r="G1446">
        <v>2006</v>
      </c>
      <c r="H1446" s="1">
        <v>38932</v>
      </c>
      <c r="I1446" t="s">
        <v>37948</v>
      </c>
      <c r="K1446" t="s">
        <v>37949</v>
      </c>
    </row>
    <row r="1447" spans="1:11" x14ac:dyDescent="0.15">
      <c r="A1447">
        <v>15572680</v>
      </c>
      <c r="B1447" t="s">
        <v>37950</v>
      </c>
      <c r="C1447" t="s">
        <v>37951</v>
      </c>
      <c r="D1447" t="s">
        <v>37952</v>
      </c>
      <c r="E1447" t="s">
        <v>37953</v>
      </c>
      <c r="F1447" t="s">
        <v>33347</v>
      </c>
      <c r="G1447">
        <v>2004</v>
      </c>
      <c r="H1447" s="1">
        <v>38323</v>
      </c>
      <c r="I1447" t="s">
        <v>37954</v>
      </c>
      <c r="K1447" t="s">
        <v>37955</v>
      </c>
    </row>
    <row r="1448" spans="1:11" x14ac:dyDescent="0.15">
      <c r="A1448">
        <v>24224060</v>
      </c>
      <c r="B1448" t="s">
        <v>37956</v>
      </c>
      <c r="C1448" t="s">
        <v>37957</v>
      </c>
      <c r="D1448" t="s">
        <v>37958</v>
      </c>
      <c r="E1448" t="s">
        <v>37959</v>
      </c>
      <c r="F1448" t="s">
        <v>31639</v>
      </c>
      <c r="G1448">
        <v>2013</v>
      </c>
      <c r="H1448" s="1">
        <v>41592</v>
      </c>
      <c r="I1448" t="s">
        <v>37960</v>
      </c>
      <c r="K1448" t="s">
        <v>37961</v>
      </c>
    </row>
    <row r="1449" spans="1:11" x14ac:dyDescent="0.15">
      <c r="A1449">
        <v>32600030</v>
      </c>
      <c r="B1449" t="s">
        <v>15862</v>
      </c>
      <c r="C1449" t="s">
        <v>37962</v>
      </c>
      <c r="D1449" t="s">
        <v>37963</v>
      </c>
      <c r="E1449" t="s">
        <v>37964</v>
      </c>
      <c r="F1449" t="s">
        <v>30956</v>
      </c>
      <c r="G1449">
        <v>2020</v>
      </c>
      <c r="H1449" s="1">
        <v>44013</v>
      </c>
      <c r="K1449" t="s">
        <v>15871</v>
      </c>
    </row>
    <row r="1450" spans="1:11" x14ac:dyDescent="0.15">
      <c r="A1450">
        <v>26554030</v>
      </c>
      <c r="B1450" t="s">
        <v>37965</v>
      </c>
      <c r="C1450" t="s">
        <v>37966</v>
      </c>
      <c r="D1450" t="s">
        <v>37967</v>
      </c>
      <c r="E1450" t="s">
        <v>34817</v>
      </c>
      <c r="F1450" t="s">
        <v>11924</v>
      </c>
      <c r="G1450">
        <v>2016</v>
      </c>
      <c r="H1450" s="1">
        <v>42319</v>
      </c>
      <c r="I1450" t="s">
        <v>37968</v>
      </c>
      <c r="K1450" t="s">
        <v>37969</v>
      </c>
    </row>
    <row r="1451" spans="1:11" x14ac:dyDescent="0.15">
      <c r="A1451">
        <v>30104731</v>
      </c>
      <c r="B1451" t="s">
        <v>37970</v>
      </c>
      <c r="C1451" t="s">
        <v>37971</v>
      </c>
      <c r="D1451" t="s">
        <v>37972</v>
      </c>
      <c r="E1451" t="s">
        <v>37973</v>
      </c>
      <c r="F1451" t="s">
        <v>37974</v>
      </c>
      <c r="G1451">
        <v>2018</v>
      </c>
      <c r="H1451" s="1">
        <v>43327</v>
      </c>
      <c r="K1451" t="s">
        <v>37975</v>
      </c>
    </row>
    <row r="1452" spans="1:11" x14ac:dyDescent="0.15">
      <c r="A1452">
        <v>24003086</v>
      </c>
      <c r="B1452" t="s">
        <v>37976</v>
      </c>
      <c r="C1452" t="s">
        <v>37977</v>
      </c>
      <c r="D1452" t="s">
        <v>37978</v>
      </c>
      <c r="E1452" t="s">
        <v>33314</v>
      </c>
      <c r="F1452" t="s">
        <v>37312</v>
      </c>
      <c r="G1452">
        <v>2013</v>
      </c>
      <c r="H1452" s="1">
        <v>41522</v>
      </c>
      <c r="I1452" t="s">
        <v>37979</v>
      </c>
      <c r="K1452" t="s">
        <v>37980</v>
      </c>
    </row>
    <row r="1453" spans="1:11" x14ac:dyDescent="0.15">
      <c r="A1453">
        <v>16373491</v>
      </c>
      <c r="B1453" t="s">
        <v>37981</v>
      </c>
      <c r="C1453" t="s">
        <v>37982</v>
      </c>
      <c r="D1453" t="s">
        <v>37983</v>
      </c>
      <c r="E1453" t="s">
        <v>37984</v>
      </c>
      <c r="F1453" t="s">
        <v>11924</v>
      </c>
      <c r="G1453">
        <v>2006</v>
      </c>
      <c r="H1453" s="1">
        <v>38710</v>
      </c>
      <c r="I1453" t="s">
        <v>37985</v>
      </c>
      <c r="K1453" t="s">
        <v>37986</v>
      </c>
    </row>
    <row r="1454" spans="1:11" x14ac:dyDescent="0.15">
      <c r="A1454">
        <v>2838722</v>
      </c>
      <c r="B1454" t="s">
        <v>37987</v>
      </c>
      <c r="C1454" t="s">
        <v>37988</v>
      </c>
      <c r="D1454" t="s">
        <v>37989</v>
      </c>
      <c r="E1454" t="s">
        <v>37990</v>
      </c>
      <c r="F1454" t="s">
        <v>36683</v>
      </c>
      <c r="G1454">
        <v>1987</v>
      </c>
      <c r="H1454" s="1">
        <v>31959</v>
      </c>
      <c r="K1454" t="s">
        <v>37991</v>
      </c>
    </row>
    <row r="1455" spans="1:11" x14ac:dyDescent="0.15">
      <c r="A1455">
        <v>30852462</v>
      </c>
      <c r="B1455" t="s">
        <v>19908</v>
      </c>
      <c r="C1455" t="s">
        <v>37992</v>
      </c>
      <c r="D1455" t="s">
        <v>37993</v>
      </c>
      <c r="E1455" t="s">
        <v>37994</v>
      </c>
      <c r="F1455" t="s">
        <v>32612</v>
      </c>
      <c r="G1455">
        <v>2019</v>
      </c>
      <c r="H1455" s="1">
        <v>43535</v>
      </c>
      <c r="K1455" t="s">
        <v>19917</v>
      </c>
    </row>
    <row r="1456" spans="1:11" x14ac:dyDescent="0.15">
      <c r="A1456">
        <v>22701748</v>
      </c>
      <c r="B1456" t="s">
        <v>37995</v>
      </c>
      <c r="C1456" t="s">
        <v>37996</v>
      </c>
      <c r="D1456" t="s">
        <v>37997</v>
      </c>
      <c r="E1456" t="s">
        <v>37998</v>
      </c>
      <c r="F1456" t="s">
        <v>31639</v>
      </c>
      <c r="G1456">
        <v>2012</v>
      </c>
      <c r="H1456" s="1">
        <v>41076</v>
      </c>
      <c r="I1456" t="s">
        <v>37999</v>
      </c>
      <c r="K1456" t="s">
        <v>38000</v>
      </c>
    </row>
    <row r="1457" spans="1:11" x14ac:dyDescent="0.15">
      <c r="A1457">
        <v>9712834</v>
      </c>
      <c r="B1457" t="s">
        <v>38001</v>
      </c>
      <c r="C1457" t="s">
        <v>38002</v>
      </c>
      <c r="D1457" t="s">
        <v>38003</v>
      </c>
      <c r="E1457" t="s">
        <v>38004</v>
      </c>
      <c r="F1457" t="s">
        <v>31594</v>
      </c>
      <c r="G1457">
        <v>1998</v>
      </c>
      <c r="H1457" s="1">
        <v>36033</v>
      </c>
      <c r="K1457" t="s">
        <v>38005</v>
      </c>
    </row>
    <row r="1458" spans="1:11" x14ac:dyDescent="0.15">
      <c r="A1458">
        <v>1385188</v>
      </c>
      <c r="B1458" t="s">
        <v>38006</v>
      </c>
      <c r="C1458" t="s">
        <v>38007</v>
      </c>
      <c r="D1458" t="s">
        <v>38008</v>
      </c>
      <c r="E1458" t="s">
        <v>38009</v>
      </c>
      <c r="F1458" t="s">
        <v>32127</v>
      </c>
      <c r="G1458">
        <v>1992</v>
      </c>
      <c r="H1458" s="1">
        <v>33909</v>
      </c>
      <c r="K1458" t="s">
        <v>38010</v>
      </c>
    </row>
    <row r="1459" spans="1:11" x14ac:dyDescent="0.15">
      <c r="A1459">
        <v>25957685</v>
      </c>
      <c r="B1459" t="s">
        <v>38011</v>
      </c>
      <c r="C1459" t="s">
        <v>38012</v>
      </c>
      <c r="D1459" t="s">
        <v>38013</v>
      </c>
      <c r="E1459" t="s">
        <v>34784</v>
      </c>
      <c r="F1459" t="s">
        <v>30555</v>
      </c>
      <c r="G1459">
        <v>2015</v>
      </c>
      <c r="H1459" s="1">
        <v>42135</v>
      </c>
      <c r="I1459" t="s">
        <v>38014</v>
      </c>
      <c r="J1459" t="s">
        <v>38015</v>
      </c>
      <c r="K1459" t="s">
        <v>38016</v>
      </c>
    </row>
    <row r="1460" spans="1:11" x14ac:dyDescent="0.15">
      <c r="A1460">
        <v>20497223</v>
      </c>
      <c r="B1460" t="s">
        <v>17078</v>
      </c>
      <c r="C1460" t="s">
        <v>38017</v>
      </c>
      <c r="D1460" t="s">
        <v>38018</v>
      </c>
      <c r="E1460" t="s">
        <v>38019</v>
      </c>
      <c r="F1460" t="s">
        <v>38020</v>
      </c>
      <c r="G1460">
        <v>2010</v>
      </c>
      <c r="H1460" s="1">
        <v>40324</v>
      </c>
      <c r="K1460" t="s">
        <v>17090</v>
      </c>
    </row>
    <row r="1461" spans="1:11" x14ac:dyDescent="0.15">
      <c r="A1461">
        <v>26631744</v>
      </c>
      <c r="B1461" t="s">
        <v>38021</v>
      </c>
      <c r="C1461" t="s">
        <v>38022</v>
      </c>
      <c r="D1461" t="s">
        <v>38023</v>
      </c>
      <c r="E1461" t="s">
        <v>38024</v>
      </c>
      <c r="F1461" t="s">
        <v>30767</v>
      </c>
      <c r="G1461">
        <v>2015</v>
      </c>
      <c r="H1461" s="1">
        <v>42342</v>
      </c>
      <c r="I1461" t="s">
        <v>38025</v>
      </c>
      <c r="K1461" t="s">
        <v>38026</v>
      </c>
    </row>
    <row r="1462" spans="1:11" x14ac:dyDescent="0.15">
      <c r="A1462">
        <v>21255825</v>
      </c>
      <c r="B1462" t="s">
        <v>38027</v>
      </c>
      <c r="C1462" t="s">
        <v>38028</v>
      </c>
      <c r="D1462" t="s">
        <v>38029</v>
      </c>
      <c r="E1462" t="s">
        <v>38030</v>
      </c>
      <c r="F1462" t="s">
        <v>30555</v>
      </c>
      <c r="G1462">
        <v>2011</v>
      </c>
      <c r="H1462" s="1">
        <v>40568</v>
      </c>
      <c r="I1462" t="s">
        <v>38031</v>
      </c>
      <c r="J1462" t="s">
        <v>38032</v>
      </c>
      <c r="K1462" t="s">
        <v>38033</v>
      </c>
    </row>
    <row r="1463" spans="1:11" x14ac:dyDescent="0.15">
      <c r="A1463">
        <v>31412240</v>
      </c>
      <c r="B1463" t="s">
        <v>38034</v>
      </c>
      <c r="C1463" t="s">
        <v>38035</v>
      </c>
      <c r="D1463" t="s">
        <v>38036</v>
      </c>
      <c r="E1463" t="s">
        <v>38037</v>
      </c>
      <c r="F1463" t="s">
        <v>31376</v>
      </c>
      <c r="G1463">
        <v>2019</v>
      </c>
      <c r="H1463" s="1">
        <v>43692</v>
      </c>
      <c r="K1463" t="s">
        <v>38038</v>
      </c>
    </row>
    <row r="1464" spans="1:11" x14ac:dyDescent="0.15">
      <c r="A1464">
        <v>8849358</v>
      </c>
      <c r="B1464" t="s">
        <v>38039</v>
      </c>
      <c r="C1464" t="s">
        <v>38040</v>
      </c>
      <c r="D1464" t="s">
        <v>38041</v>
      </c>
      <c r="E1464" t="s">
        <v>38042</v>
      </c>
      <c r="F1464" t="s">
        <v>33478</v>
      </c>
      <c r="G1464">
        <v>1995</v>
      </c>
      <c r="H1464" s="1">
        <v>35034</v>
      </c>
      <c r="K1464" t="s">
        <v>38043</v>
      </c>
    </row>
    <row r="1465" spans="1:11" x14ac:dyDescent="0.15">
      <c r="A1465">
        <v>15883034</v>
      </c>
      <c r="B1465" t="s">
        <v>38044</v>
      </c>
      <c r="C1465" t="s">
        <v>38045</v>
      </c>
      <c r="D1465" t="s">
        <v>38046</v>
      </c>
      <c r="E1465" t="s">
        <v>38047</v>
      </c>
      <c r="F1465" t="s">
        <v>32654</v>
      </c>
      <c r="G1465">
        <v>2005</v>
      </c>
      <c r="H1465" s="1">
        <v>38483</v>
      </c>
      <c r="K1465" t="s">
        <v>21318</v>
      </c>
    </row>
    <row r="1466" spans="1:11" x14ac:dyDescent="0.15">
      <c r="A1466">
        <v>22444670</v>
      </c>
      <c r="B1466" t="s">
        <v>38048</v>
      </c>
      <c r="C1466" t="s">
        <v>38049</v>
      </c>
      <c r="D1466" t="s">
        <v>38050</v>
      </c>
      <c r="E1466" t="s">
        <v>38051</v>
      </c>
      <c r="F1466" t="s">
        <v>35492</v>
      </c>
      <c r="G1466">
        <v>2012</v>
      </c>
      <c r="H1466" s="1">
        <v>40995</v>
      </c>
      <c r="I1466" t="s">
        <v>38052</v>
      </c>
      <c r="K1466" t="s">
        <v>38053</v>
      </c>
    </row>
    <row r="1467" spans="1:11" x14ac:dyDescent="0.15">
      <c r="A1467">
        <v>26843429</v>
      </c>
      <c r="B1467" t="s">
        <v>38054</v>
      </c>
      <c r="C1467" t="s">
        <v>38055</v>
      </c>
      <c r="D1467" t="s">
        <v>38056</v>
      </c>
      <c r="E1467" t="s">
        <v>38057</v>
      </c>
      <c r="F1467" t="s">
        <v>31587</v>
      </c>
      <c r="G1467">
        <v>2016</v>
      </c>
      <c r="H1467" s="1">
        <v>42405</v>
      </c>
      <c r="I1467" t="s">
        <v>38058</v>
      </c>
      <c r="K1467" t="s">
        <v>38059</v>
      </c>
    </row>
    <row r="1468" spans="1:11" x14ac:dyDescent="0.15">
      <c r="A1468">
        <v>30285805</v>
      </c>
      <c r="B1468" t="s">
        <v>19502</v>
      </c>
      <c r="C1468" t="s">
        <v>38060</v>
      </c>
      <c r="D1468" t="s">
        <v>38061</v>
      </c>
      <c r="E1468" t="s">
        <v>38062</v>
      </c>
      <c r="F1468" t="s">
        <v>38063</v>
      </c>
      <c r="G1468">
        <v>2018</v>
      </c>
      <c r="H1468" s="1">
        <v>43378</v>
      </c>
      <c r="I1468" t="s">
        <v>38064</v>
      </c>
      <c r="K1468" t="s">
        <v>19512</v>
      </c>
    </row>
    <row r="1469" spans="1:11" x14ac:dyDescent="0.15">
      <c r="A1469">
        <v>9891085</v>
      </c>
      <c r="B1469" t="s">
        <v>38065</v>
      </c>
      <c r="C1469" t="s">
        <v>37906</v>
      </c>
      <c r="D1469" t="s">
        <v>38066</v>
      </c>
      <c r="E1469" t="s">
        <v>37908</v>
      </c>
      <c r="F1469" t="s">
        <v>33347</v>
      </c>
      <c r="G1469">
        <v>1999</v>
      </c>
      <c r="H1469" s="1">
        <v>36176</v>
      </c>
      <c r="I1469" t="s">
        <v>38067</v>
      </c>
      <c r="K1469" t="s">
        <v>38068</v>
      </c>
    </row>
    <row r="1470" spans="1:11" x14ac:dyDescent="0.15">
      <c r="A1470">
        <v>23580640</v>
      </c>
      <c r="B1470" t="s">
        <v>38069</v>
      </c>
      <c r="C1470" t="s">
        <v>38070</v>
      </c>
      <c r="D1470" t="s">
        <v>38071</v>
      </c>
      <c r="E1470" t="s">
        <v>37959</v>
      </c>
      <c r="F1470" t="s">
        <v>31594</v>
      </c>
      <c r="G1470">
        <v>2013</v>
      </c>
      <c r="H1470" s="1">
        <v>41377</v>
      </c>
      <c r="I1470" t="s">
        <v>38072</v>
      </c>
      <c r="K1470" t="s">
        <v>38073</v>
      </c>
    </row>
    <row r="1471" spans="1:11" x14ac:dyDescent="0.15">
      <c r="A1471">
        <v>27980209</v>
      </c>
      <c r="B1471" t="s">
        <v>38074</v>
      </c>
      <c r="C1471" t="s">
        <v>38075</v>
      </c>
      <c r="D1471" t="s">
        <v>38076</v>
      </c>
      <c r="E1471" t="s">
        <v>38077</v>
      </c>
      <c r="F1471" t="s">
        <v>35339</v>
      </c>
      <c r="G1471">
        <v>2016</v>
      </c>
      <c r="H1471" s="1">
        <v>42721</v>
      </c>
      <c r="K1471" t="s">
        <v>38078</v>
      </c>
    </row>
    <row r="1472" spans="1:11" x14ac:dyDescent="0.15">
      <c r="A1472">
        <v>29555694</v>
      </c>
      <c r="B1472" t="s">
        <v>15968</v>
      </c>
      <c r="C1472" t="s">
        <v>38079</v>
      </c>
      <c r="D1472" t="s">
        <v>38080</v>
      </c>
      <c r="E1472" t="s">
        <v>38081</v>
      </c>
      <c r="F1472" t="s">
        <v>32185</v>
      </c>
      <c r="G1472">
        <v>2018</v>
      </c>
      <c r="H1472" s="1">
        <v>43180</v>
      </c>
      <c r="I1472" t="s">
        <v>38082</v>
      </c>
      <c r="K1472" t="s">
        <v>15981</v>
      </c>
    </row>
    <row r="1473" spans="1:11" x14ac:dyDescent="0.15">
      <c r="A1473">
        <v>24164173</v>
      </c>
      <c r="B1473" t="s">
        <v>20846</v>
      </c>
      <c r="C1473" t="s">
        <v>38083</v>
      </c>
      <c r="D1473" t="s">
        <v>38084</v>
      </c>
      <c r="E1473" t="s">
        <v>30987</v>
      </c>
      <c r="F1473" t="s">
        <v>38085</v>
      </c>
      <c r="G1473">
        <v>2014</v>
      </c>
      <c r="H1473" s="1">
        <v>41577</v>
      </c>
      <c r="K1473" t="s">
        <v>20856</v>
      </c>
    </row>
    <row r="1474" spans="1:11" x14ac:dyDescent="0.15">
      <c r="A1474">
        <v>23975261</v>
      </c>
      <c r="B1474" t="s">
        <v>38086</v>
      </c>
      <c r="C1474" t="s">
        <v>38087</v>
      </c>
      <c r="D1474" t="s">
        <v>38088</v>
      </c>
      <c r="E1474" t="s">
        <v>38089</v>
      </c>
      <c r="F1474" t="s">
        <v>38090</v>
      </c>
      <c r="G1474">
        <v>2013</v>
      </c>
      <c r="H1474" s="1">
        <v>41513</v>
      </c>
      <c r="K1474" t="s">
        <v>38091</v>
      </c>
    </row>
    <row r="1475" spans="1:11" x14ac:dyDescent="0.15">
      <c r="A1475">
        <v>25678142</v>
      </c>
      <c r="B1475" t="s">
        <v>18636</v>
      </c>
      <c r="C1475" t="s">
        <v>38092</v>
      </c>
      <c r="D1475" t="s">
        <v>38093</v>
      </c>
      <c r="E1475" t="s">
        <v>32327</v>
      </c>
      <c r="F1475" t="s">
        <v>31257</v>
      </c>
      <c r="G1475">
        <v>2015</v>
      </c>
      <c r="H1475" s="1">
        <v>42049</v>
      </c>
      <c r="K1475" t="s">
        <v>18648</v>
      </c>
    </row>
    <row r="1476" spans="1:11" x14ac:dyDescent="0.15">
      <c r="A1476">
        <v>23964096</v>
      </c>
      <c r="B1476" t="s">
        <v>38094</v>
      </c>
      <c r="C1476" t="s">
        <v>38095</v>
      </c>
      <c r="D1476" t="s">
        <v>38096</v>
      </c>
      <c r="E1476" t="s">
        <v>38097</v>
      </c>
      <c r="F1476" t="s">
        <v>31824</v>
      </c>
      <c r="G1476">
        <v>2013</v>
      </c>
      <c r="H1476" s="1">
        <v>41508</v>
      </c>
      <c r="I1476" t="s">
        <v>38098</v>
      </c>
      <c r="K1476" t="s">
        <v>38099</v>
      </c>
    </row>
    <row r="1477" spans="1:11" x14ac:dyDescent="0.15">
      <c r="A1477">
        <v>30257675</v>
      </c>
      <c r="B1477" t="s">
        <v>38100</v>
      </c>
      <c r="C1477" t="s">
        <v>38101</v>
      </c>
      <c r="D1477" t="s">
        <v>38102</v>
      </c>
      <c r="E1477" t="s">
        <v>38103</v>
      </c>
      <c r="F1477" t="s">
        <v>31438</v>
      </c>
      <c r="G1477">
        <v>2018</v>
      </c>
      <c r="H1477" s="1">
        <v>43371</v>
      </c>
      <c r="I1477" t="s">
        <v>38104</v>
      </c>
      <c r="K1477" t="s">
        <v>38105</v>
      </c>
    </row>
    <row r="1478" spans="1:11" x14ac:dyDescent="0.15">
      <c r="A1478">
        <v>26586442</v>
      </c>
      <c r="B1478" t="s">
        <v>38106</v>
      </c>
      <c r="C1478" t="s">
        <v>38107</v>
      </c>
      <c r="D1478" t="s">
        <v>38108</v>
      </c>
      <c r="E1478" t="s">
        <v>38109</v>
      </c>
      <c r="F1478" t="s">
        <v>31376</v>
      </c>
      <c r="G1478">
        <v>2015</v>
      </c>
      <c r="H1478" s="1">
        <v>42329</v>
      </c>
      <c r="I1478" t="s">
        <v>38110</v>
      </c>
      <c r="J1478" t="s">
        <v>38111</v>
      </c>
      <c r="K1478" t="s">
        <v>38112</v>
      </c>
    </row>
    <row r="1479" spans="1:11" x14ac:dyDescent="0.15">
      <c r="A1479">
        <v>26964089</v>
      </c>
      <c r="B1479" t="s">
        <v>38113</v>
      </c>
      <c r="C1479" t="s">
        <v>38114</v>
      </c>
      <c r="D1479" t="s">
        <v>38115</v>
      </c>
      <c r="E1479" t="s">
        <v>38116</v>
      </c>
      <c r="F1479" t="s">
        <v>31639</v>
      </c>
      <c r="G1479">
        <v>2016</v>
      </c>
      <c r="H1479" s="1">
        <v>42440</v>
      </c>
      <c r="I1479" t="s">
        <v>38117</v>
      </c>
      <c r="K1479" t="s">
        <v>23563</v>
      </c>
    </row>
    <row r="1480" spans="1:11" x14ac:dyDescent="0.15">
      <c r="A1480">
        <v>32561742</v>
      </c>
      <c r="B1480" t="s">
        <v>38118</v>
      </c>
      <c r="C1480" t="s">
        <v>38119</v>
      </c>
      <c r="D1480" t="s">
        <v>38120</v>
      </c>
      <c r="E1480" t="s">
        <v>38121</v>
      </c>
      <c r="F1480" t="s">
        <v>30796</v>
      </c>
      <c r="G1480">
        <v>2020</v>
      </c>
      <c r="H1480" s="1">
        <v>44003</v>
      </c>
      <c r="I1480" t="s">
        <v>38122</v>
      </c>
      <c r="K1480" t="s">
        <v>38123</v>
      </c>
    </row>
    <row r="1481" spans="1:11" x14ac:dyDescent="0.15">
      <c r="A1481">
        <v>10726976</v>
      </c>
      <c r="B1481" t="s">
        <v>38124</v>
      </c>
      <c r="C1481" t="s">
        <v>38125</v>
      </c>
      <c r="D1481" t="s">
        <v>38126</v>
      </c>
      <c r="E1481" t="s">
        <v>38127</v>
      </c>
      <c r="F1481" t="s">
        <v>38128</v>
      </c>
      <c r="G1481">
        <v>2000</v>
      </c>
      <c r="H1481" s="1">
        <v>36607</v>
      </c>
    </row>
    <row r="1482" spans="1:11" x14ac:dyDescent="0.15">
      <c r="A1482">
        <v>31404988</v>
      </c>
      <c r="B1482" t="s">
        <v>38129</v>
      </c>
      <c r="C1482" t="s">
        <v>38130</v>
      </c>
      <c r="D1482" t="s">
        <v>38131</v>
      </c>
      <c r="E1482" t="s">
        <v>38132</v>
      </c>
      <c r="F1482" t="s">
        <v>30655</v>
      </c>
      <c r="G1482">
        <v>2019</v>
      </c>
      <c r="H1482" s="1">
        <v>43691</v>
      </c>
      <c r="I1482" t="s">
        <v>38133</v>
      </c>
      <c r="K1482" t="s">
        <v>38134</v>
      </c>
    </row>
    <row r="1483" spans="1:11" x14ac:dyDescent="0.15">
      <c r="A1483">
        <v>12923258</v>
      </c>
      <c r="B1483" t="s">
        <v>38135</v>
      </c>
      <c r="C1483" t="s">
        <v>38136</v>
      </c>
      <c r="D1483" t="s">
        <v>38137</v>
      </c>
      <c r="E1483" t="s">
        <v>38138</v>
      </c>
      <c r="F1483" t="s">
        <v>11924</v>
      </c>
      <c r="G1483">
        <v>2003</v>
      </c>
      <c r="H1483" s="1">
        <v>37852</v>
      </c>
      <c r="I1483" t="s">
        <v>38139</v>
      </c>
      <c r="K1483" t="s">
        <v>38140</v>
      </c>
    </row>
    <row r="1484" spans="1:11" x14ac:dyDescent="0.15">
      <c r="A1484">
        <v>23770821</v>
      </c>
      <c r="B1484" t="s">
        <v>38141</v>
      </c>
      <c r="C1484" t="s">
        <v>38142</v>
      </c>
      <c r="D1484" t="s">
        <v>38143</v>
      </c>
      <c r="E1484" t="s">
        <v>38144</v>
      </c>
      <c r="F1484" t="s">
        <v>38145</v>
      </c>
      <c r="G1484">
        <v>2013</v>
      </c>
      <c r="H1484" s="1">
        <v>41443</v>
      </c>
      <c r="I1484" t="s">
        <v>38146</v>
      </c>
      <c r="J1484" t="s">
        <v>38147</v>
      </c>
      <c r="K1484" t="s">
        <v>38148</v>
      </c>
    </row>
    <row r="1485" spans="1:11" x14ac:dyDescent="0.15">
      <c r="A1485">
        <v>25398005</v>
      </c>
      <c r="B1485" t="s">
        <v>38149</v>
      </c>
      <c r="C1485" t="s">
        <v>38150</v>
      </c>
      <c r="D1485" t="s">
        <v>38151</v>
      </c>
      <c r="E1485" t="s">
        <v>38152</v>
      </c>
      <c r="F1485" t="s">
        <v>31639</v>
      </c>
      <c r="G1485">
        <v>2014</v>
      </c>
      <c r="H1485" s="1">
        <v>41958</v>
      </c>
      <c r="I1485" t="s">
        <v>38153</v>
      </c>
      <c r="K1485" t="s">
        <v>38154</v>
      </c>
    </row>
    <row r="1486" spans="1:11" x14ac:dyDescent="0.15">
      <c r="A1486">
        <v>21555566</v>
      </c>
      <c r="B1486" t="s">
        <v>21146</v>
      </c>
      <c r="C1486" t="s">
        <v>38155</v>
      </c>
      <c r="D1486" t="s">
        <v>38156</v>
      </c>
      <c r="E1486" t="s">
        <v>38157</v>
      </c>
      <c r="F1486" t="s">
        <v>30767</v>
      </c>
      <c r="G1486">
        <v>2011</v>
      </c>
      <c r="H1486" s="1">
        <v>40674</v>
      </c>
      <c r="I1486" t="s">
        <v>38158</v>
      </c>
      <c r="K1486" t="s">
        <v>21155</v>
      </c>
    </row>
    <row r="1487" spans="1:11" x14ac:dyDescent="0.15">
      <c r="A1487">
        <v>17187173</v>
      </c>
      <c r="B1487" t="s">
        <v>38159</v>
      </c>
      <c r="C1487" t="s">
        <v>38160</v>
      </c>
      <c r="D1487" t="s">
        <v>38161</v>
      </c>
      <c r="E1487" t="s">
        <v>38162</v>
      </c>
      <c r="F1487" t="s">
        <v>30876</v>
      </c>
      <c r="G1487">
        <v>2007</v>
      </c>
      <c r="H1487" s="1">
        <v>39077</v>
      </c>
      <c r="K1487" t="s">
        <v>38163</v>
      </c>
    </row>
    <row r="1488" spans="1:11" x14ac:dyDescent="0.15">
      <c r="A1488">
        <v>6094712</v>
      </c>
      <c r="B1488" t="s">
        <v>38164</v>
      </c>
      <c r="C1488" t="s">
        <v>38165</v>
      </c>
      <c r="D1488" t="s">
        <v>38166</v>
      </c>
      <c r="E1488" t="s">
        <v>38167</v>
      </c>
      <c r="F1488" t="s">
        <v>36122</v>
      </c>
      <c r="G1488">
        <v>1984</v>
      </c>
      <c r="H1488" s="1">
        <v>30987</v>
      </c>
      <c r="K1488" t="s">
        <v>38168</v>
      </c>
    </row>
    <row r="1489" spans="1:11" x14ac:dyDescent="0.15">
      <c r="A1489">
        <v>12819015</v>
      </c>
      <c r="B1489" t="s">
        <v>38169</v>
      </c>
      <c r="C1489" t="s">
        <v>38170</v>
      </c>
      <c r="D1489" t="s">
        <v>38171</v>
      </c>
      <c r="E1489" t="s">
        <v>38172</v>
      </c>
      <c r="F1489" t="s">
        <v>32741</v>
      </c>
      <c r="G1489">
        <v>2003</v>
      </c>
      <c r="H1489" s="1">
        <v>37796</v>
      </c>
      <c r="I1489" t="s">
        <v>38173</v>
      </c>
      <c r="K1489" t="s">
        <v>38174</v>
      </c>
    </row>
    <row r="1490" spans="1:11" x14ac:dyDescent="0.15">
      <c r="A1490">
        <v>23509360</v>
      </c>
      <c r="B1490" t="s">
        <v>38175</v>
      </c>
      <c r="C1490" t="s">
        <v>38176</v>
      </c>
      <c r="D1490" t="s">
        <v>38177</v>
      </c>
      <c r="E1490" t="s">
        <v>38178</v>
      </c>
      <c r="F1490" t="s">
        <v>32819</v>
      </c>
      <c r="G1490">
        <v>2013</v>
      </c>
      <c r="H1490" s="1">
        <v>41353</v>
      </c>
      <c r="I1490" t="s">
        <v>38179</v>
      </c>
      <c r="J1490" t="s">
        <v>38180</v>
      </c>
      <c r="K1490" t="s">
        <v>15090</v>
      </c>
    </row>
    <row r="1491" spans="1:11" x14ac:dyDescent="0.15">
      <c r="A1491">
        <v>29247763</v>
      </c>
      <c r="B1491" t="s">
        <v>38181</v>
      </c>
      <c r="C1491" t="s">
        <v>38182</v>
      </c>
      <c r="D1491" t="s">
        <v>38183</v>
      </c>
      <c r="E1491" t="s">
        <v>38184</v>
      </c>
      <c r="F1491" t="s">
        <v>31311</v>
      </c>
      <c r="G1491">
        <v>2018</v>
      </c>
      <c r="H1491" s="1">
        <v>43086</v>
      </c>
      <c r="K1491" t="s">
        <v>38185</v>
      </c>
    </row>
    <row r="1492" spans="1:11" x14ac:dyDescent="0.15">
      <c r="A1492">
        <v>2128868</v>
      </c>
      <c r="B1492" t="s">
        <v>38186</v>
      </c>
      <c r="C1492" t="s">
        <v>38187</v>
      </c>
      <c r="D1492" t="s">
        <v>38188</v>
      </c>
      <c r="E1492" t="s">
        <v>38189</v>
      </c>
      <c r="F1492" t="s">
        <v>38190</v>
      </c>
      <c r="G1492">
        <v>1990</v>
      </c>
      <c r="H1492" s="1">
        <v>33147</v>
      </c>
      <c r="K1492" t="s">
        <v>38191</v>
      </c>
    </row>
    <row r="1493" spans="1:11" x14ac:dyDescent="0.15">
      <c r="A1493">
        <v>18800367</v>
      </c>
      <c r="B1493" t="s">
        <v>38192</v>
      </c>
      <c r="C1493" t="s">
        <v>38193</v>
      </c>
      <c r="D1493" t="s">
        <v>38194</v>
      </c>
      <c r="E1493" t="s">
        <v>38195</v>
      </c>
      <c r="F1493" t="s">
        <v>38196</v>
      </c>
      <c r="G1493">
        <v>2009</v>
      </c>
      <c r="H1493" s="1">
        <v>39710</v>
      </c>
      <c r="K1493" t="s">
        <v>21679</v>
      </c>
    </row>
    <row r="1494" spans="1:11" x14ac:dyDescent="0.15">
      <c r="A1494">
        <v>19623537</v>
      </c>
      <c r="B1494" t="s">
        <v>38197</v>
      </c>
      <c r="C1494" t="s">
        <v>38198</v>
      </c>
      <c r="D1494" t="s">
        <v>38199</v>
      </c>
      <c r="E1494" t="s">
        <v>38200</v>
      </c>
      <c r="F1494" t="s">
        <v>38201</v>
      </c>
      <c r="G1494">
        <v>2009</v>
      </c>
      <c r="H1494" s="1">
        <v>40017</v>
      </c>
      <c r="K1494" t="s">
        <v>38202</v>
      </c>
    </row>
    <row r="1495" spans="1:11" x14ac:dyDescent="0.15">
      <c r="A1495">
        <v>29582582</v>
      </c>
      <c r="B1495" t="s">
        <v>27636</v>
      </c>
      <c r="C1495" t="s">
        <v>38203</v>
      </c>
      <c r="D1495" t="s">
        <v>38204</v>
      </c>
      <c r="E1495" t="s">
        <v>38205</v>
      </c>
      <c r="F1495" t="s">
        <v>38206</v>
      </c>
      <c r="G1495">
        <v>2018</v>
      </c>
      <c r="H1495" s="1">
        <v>43187</v>
      </c>
      <c r="I1495" t="s">
        <v>38207</v>
      </c>
      <c r="K1495" t="s">
        <v>27646</v>
      </c>
    </row>
    <row r="1496" spans="1:11" x14ac:dyDescent="0.15">
      <c r="A1496">
        <v>22123738</v>
      </c>
      <c r="B1496" t="s">
        <v>38208</v>
      </c>
      <c r="C1496" t="s">
        <v>38209</v>
      </c>
      <c r="D1496" t="s">
        <v>38210</v>
      </c>
      <c r="E1496" t="s">
        <v>38211</v>
      </c>
      <c r="F1496" t="s">
        <v>31587</v>
      </c>
      <c r="G1496">
        <v>2012</v>
      </c>
      <c r="H1496" s="1">
        <v>40877</v>
      </c>
      <c r="I1496" t="s">
        <v>38212</v>
      </c>
      <c r="K1496" t="s">
        <v>38213</v>
      </c>
    </row>
    <row r="1497" spans="1:11" x14ac:dyDescent="0.15">
      <c r="A1497">
        <v>34689211</v>
      </c>
      <c r="B1497" t="s">
        <v>38214</v>
      </c>
      <c r="C1497" t="s">
        <v>38215</v>
      </c>
      <c r="D1497" t="s">
        <v>38216</v>
      </c>
      <c r="E1497" t="s">
        <v>38217</v>
      </c>
      <c r="F1497" t="s">
        <v>34601</v>
      </c>
      <c r="G1497">
        <v>2022</v>
      </c>
      <c r="H1497" s="1">
        <v>44493</v>
      </c>
      <c r="I1497" t="s">
        <v>38218</v>
      </c>
      <c r="K1497" t="s">
        <v>38219</v>
      </c>
    </row>
    <row r="1498" spans="1:11" x14ac:dyDescent="0.15">
      <c r="A1498">
        <v>16791265</v>
      </c>
      <c r="B1498" t="s">
        <v>38220</v>
      </c>
      <c r="C1498" t="s">
        <v>38221</v>
      </c>
      <c r="D1498" t="s">
        <v>38222</v>
      </c>
      <c r="E1498" t="s">
        <v>38223</v>
      </c>
      <c r="F1498" t="s">
        <v>31771</v>
      </c>
      <c r="G1498">
        <v>2006</v>
      </c>
      <c r="H1498" s="1">
        <v>38891</v>
      </c>
      <c r="K1498" t="s">
        <v>38224</v>
      </c>
    </row>
    <row r="1499" spans="1:11" x14ac:dyDescent="0.15">
      <c r="A1499">
        <v>30760080</v>
      </c>
      <c r="B1499" t="s">
        <v>38225</v>
      </c>
      <c r="C1499" t="s">
        <v>38226</v>
      </c>
      <c r="D1499" t="s">
        <v>38227</v>
      </c>
      <c r="E1499" t="s">
        <v>38228</v>
      </c>
      <c r="F1499" t="s">
        <v>31659</v>
      </c>
      <c r="G1499">
        <v>2019</v>
      </c>
      <c r="H1499" s="1">
        <v>43511</v>
      </c>
      <c r="I1499" t="s">
        <v>38229</v>
      </c>
      <c r="K1499" t="s">
        <v>38230</v>
      </c>
    </row>
    <row r="1500" spans="1:11" x14ac:dyDescent="0.15">
      <c r="A1500">
        <v>31466720</v>
      </c>
      <c r="B1500" t="s">
        <v>38231</v>
      </c>
      <c r="C1500" t="s">
        <v>38232</v>
      </c>
      <c r="D1500" t="s">
        <v>38233</v>
      </c>
      <c r="E1500" t="s">
        <v>38234</v>
      </c>
      <c r="F1500" t="s">
        <v>32654</v>
      </c>
      <c r="G1500">
        <v>2019</v>
      </c>
      <c r="H1500" s="1">
        <v>43708</v>
      </c>
      <c r="K1500" t="s">
        <v>38235</v>
      </c>
    </row>
    <row r="1501" spans="1:11" x14ac:dyDescent="0.15">
      <c r="A1501">
        <v>22980978</v>
      </c>
      <c r="B1501" t="s">
        <v>38236</v>
      </c>
      <c r="C1501" t="s">
        <v>38237</v>
      </c>
      <c r="D1501" t="s">
        <v>38238</v>
      </c>
      <c r="E1501" t="s">
        <v>38239</v>
      </c>
      <c r="F1501" t="s">
        <v>30555</v>
      </c>
      <c r="G1501">
        <v>2012</v>
      </c>
      <c r="H1501" s="1">
        <v>41170</v>
      </c>
      <c r="I1501" t="s">
        <v>38240</v>
      </c>
      <c r="J1501" t="s">
        <v>38241</v>
      </c>
      <c r="K1501" t="s">
        <v>38242</v>
      </c>
    </row>
    <row r="1502" spans="1:11" x14ac:dyDescent="0.15">
      <c r="A1502">
        <v>24478024</v>
      </c>
      <c r="B1502" t="s">
        <v>38243</v>
      </c>
      <c r="C1502" t="s">
        <v>38244</v>
      </c>
      <c r="D1502" t="s">
        <v>38245</v>
      </c>
      <c r="E1502" t="s">
        <v>38246</v>
      </c>
      <c r="F1502" t="s">
        <v>35872</v>
      </c>
      <c r="G1502">
        <v>2014</v>
      </c>
      <c r="H1502" s="1">
        <v>41670</v>
      </c>
      <c r="K1502" t="s">
        <v>38247</v>
      </c>
    </row>
    <row r="1503" spans="1:11" x14ac:dyDescent="0.15">
      <c r="A1503">
        <v>25064072</v>
      </c>
      <c r="B1503" t="s">
        <v>38248</v>
      </c>
      <c r="C1503" t="s">
        <v>38249</v>
      </c>
      <c r="D1503" t="s">
        <v>38250</v>
      </c>
      <c r="E1503" t="s">
        <v>38251</v>
      </c>
      <c r="F1503" t="s">
        <v>38252</v>
      </c>
      <c r="G1503">
        <v>2014</v>
      </c>
      <c r="H1503" s="1">
        <v>41848</v>
      </c>
      <c r="I1503" t="s">
        <v>38253</v>
      </c>
      <c r="J1503" t="s">
        <v>38254</v>
      </c>
      <c r="K1503" t="s">
        <v>38255</v>
      </c>
    </row>
    <row r="1504" spans="1:11" x14ac:dyDescent="0.15">
      <c r="A1504">
        <v>20226086</v>
      </c>
      <c r="B1504" t="s">
        <v>38256</v>
      </c>
      <c r="C1504" t="s">
        <v>38257</v>
      </c>
      <c r="D1504" t="s">
        <v>38258</v>
      </c>
      <c r="E1504" t="s">
        <v>31339</v>
      </c>
      <c r="F1504" t="s">
        <v>34154</v>
      </c>
      <c r="G1504">
        <v>2010</v>
      </c>
      <c r="H1504" s="1">
        <v>40253</v>
      </c>
      <c r="I1504" t="s">
        <v>38259</v>
      </c>
      <c r="K1504" t="s">
        <v>38260</v>
      </c>
    </row>
    <row r="1505" spans="1:11" x14ac:dyDescent="0.15">
      <c r="A1505">
        <v>10782830</v>
      </c>
      <c r="B1505" t="s">
        <v>38261</v>
      </c>
      <c r="C1505" t="s">
        <v>38262</v>
      </c>
      <c r="D1505" t="s">
        <v>38263</v>
      </c>
      <c r="E1505" t="s">
        <v>38264</v>
      </c>
      <c r="F1505" t="s">
        <v>36358</v>
      </c>
      <c r="G1505">
        <v>2000</v>
      </c>
      <c r="H1505" s="1">
        <v>36643</v>
      </c>
    </row>
    <row r="1506" spans="1:11" x14ac:dyDescent="0.15">
      <c r="A1506">
        <v>31010902</v>
      </c>
      <c r="B1506" t="s">
        <v>38265</v>
      </c>
      <c r="C1506" t="s">
        <v>38266</v>
      </c>
      <c r="D1506" t="s">
        <v>38267</v>
      </c>
      <c r="E1506" t="s">
        <v>38268</v>
      </c>
      <c r="F1506" t="s">
        <v>32185</v>
      </c>
      <c r="G1506">
        <v>2019</v>
      </c>
      <c r="H1506" s="1">
        <v>43579</v>
      </c>
      <c r="I1506" t="s">
        <v>38269</v>
      </c>
      <c r="K1506" t="s">
        <v>38270</v>
      </c>
    </row>
    <row r="1507" spans="1:11" x14ac:dyDescent="0.15">
      <c r="A1507">
        <v>11514438</v>
      </c>
      <c r="B1507" t="s">
        <v>38271</v>
      </c>
      <c r="C1507" t="s">
        <v>38272</v>
      </c>
      <c r="D1507" t="s">
        <v>38273</v>
      </c>
      <c r="E1507" t="s">
        <v>38274</v>
      </c>
      <c r="F1507" t="s">
        <v>37573</v>
      </c>
      <c r="G1507">
        <v>2001</v>
      </c>
      <c r="H1507" s="1">
        <v>37125</v>
      </c>
      <c r="I1507" t="s">
        <v>38275</v>
      </c>
      <c r="K1507" t="s">
        <v>38276</v>
      </c>
    </row>
    <row r="1508" spans="1:11" x14ac:dyDescent="0.15">
      <c r="A1508">
        <v>31324529</v>
      </c>
      <c r="B1508" t="s">
        <v>38277</v>
      </c>
      <c r="C1508" t="s">
        <v>38278</v>
      </c>
      <c r="D1508" t="s">
        <v>38279</v>
      </c>
      <c r="E1508" t="s">
        <v>38280</v>
      </c>
      <c r="F1508" t="s">
        <v>38281</v>
      </c>
      <c r="G1508">
        <v>2019</v>
      </c>
      <c r="H1508" s="1">
        <v>43667</v>
      </c>
      <c r="I1508" t="s">
        <v>38282</v>
      </c>
      <c r="J1508" t="s">
        <v>38283</v>
      </c>
      <c r="K1508" t="s">
        <v>38284</v>
      </c>
    </row>
    <row r="1509" spans="1:11" x14ac:dyDescent="0.15">
      <c r="A1509">
        <v>16484372</v>
      </c>
      <c r="B1509" t="s">
        <v>38285</v>
      </c>
      <c r="C1509" t="s">
        <v>38286</v>
      </c>
      <c r="D1509" t="s">
        <v>38287</v>
      </c>
      <c r="E1509" t="s">
        <v>38288</v>
      </c>
      <c r="F1509" t="s">
        <v>30767</v>
      </c>
      <c r="G1509">
        <v>2006</v>
      </c>
      <c r="H1509" s="1">
        <v>38766</v>
      </c>
      <c r="I1509" t="s">
        <v>38289</v>
      </c>
      <c r="K1509" t="s">
        <v>38290</v>
      </c>
    </row>
    <row r="1510" spans="1:11" x14ac:dyDescent="0.15">
      <c r="A1510">
        <v>33164782</v>
      </c>
      <c r="B1510" t="s">
        <v>38291</v>
      </c>
      <c r="C1510" t="s">
        <v>38292</v>
      </c>
      <c r="D1510" t="s">
        <v>38293</v>
      </c>
      <c r="E1510" t="s">
        <v>38294</v>
      </c>
      <c r="F1510" t="s">
        <v>30881</v>
      </c>
      <c r="G1510">
        <v>2021</v>
      </c>
      <c r="H1510" s="1">
        <v>44144</v>
      </c>
      <c r="I1510" t="s">
        <v>38295</v>
      </c>
      <c r="J1510" t="s">
        <v>38296</v>
      </c>
      <c r="K1510" t="s">
        <v>38297</v>
      </c>
    </row>
    <row r="1511" spans="1:11" x14ac:dyDescent="0.15">
      <c r="A1511">
        <v>34747596</v>
      </c>
      <c r="B1511" t="s">
        <v>38298</v>
      </c>
      <c r="C1511" t="s">
        <v>38299</v>
      </c>
      <c r="D1511" t="s">
        <v>38300</v>
      </c>
      <c r="E1511" t="s">
        <v>38301</v>
      </c>
      <c r="F1511" t="s">
        <v>30956</v>
      </c>
      <c r="G1511">
        <v>2021</v>
      </c>
      <c r="H1511" s="1">
        <v>44508</v>
      </c>
      <c r="K1511" t="s">
        <v>38302</v>
      </c>
    </row>
    <row r="1512" spans="1:11" x14ac:dyDescent="0.15">
      <c r="A1512">
        <v>7650417</v>
      </c>
      <c r="B1512" t="s">
        <v>38303</v>
      </c>
      <c r="C1512" t="s">
        <v>38304</v>
      </c>
      <c r="D1512" t="s">
        <v>38305</v>
      </c>
      <c r="E1512" t="s">
        <v>38306</v>
      </c>
      <c r="F1512" t="s">
        <v>31495</v>
      </c>
      <c r="G1512">
        <v>1995</v>
      </c>
      <c r="H1512" s="1">
        <v>34700</v>
      </c>
      <c r="K1512" t="s">
        <v>38307</v>
      </c>
    </row>
    <row r="1513" spans="1:11" x14ac:dyDescent="0.15">
      <c r="A1513">
        <v>23298549</v>
      </c>
      <c r="B1513" t="s">
        <v>18314</v>
      </c>
      <c r="C1513" t="s">
        <v>38308</v>
      </c>
      <c r="D1513" t="s">
        <v>38309</v>
      </c>
      <c r="E1513" t="s">
        <v>38310</v>
      </c>
      <c r="F1513" t="s">
        <v>32328</v>
      </c>
      <c r="G1513">
        <v>2013</v>
      </c>
      <c r="H1513" s="1">
        <v>41284</v>
      </c>
      <c r="K1513" t="s">
        <v>18321</v>
      </c>
    </row>
    <row r="1514" spans="1:11" x14ac:dyDescent="0.15">
      <c r="A1514">
        <v>25175027</v>
      </c>
      <c r="B1514" t="s">
        <v>38311</v>
      </c>
      <c r="C1514" t="s">
        <v>38312</v>
      </c>
      <c r="D1514" t="s">
        <v>38313</v>
      </c>
      <c r="E1514" t="s">
        <v>37147</v>
      </c>
      <c r="F1514" t="s">
        <v>32022</v>
      </c>
      <c r="G1514">
        <v>2014</v>
      </c>
      <c r="H1514" s="1">
        <v>41884</v>
      </c>
      <c r="K1514" t="s">
        <v>38314</v>
      </c>
    </row>
    <row r="1515" spans="1:11" x14ac:dyDescent="0.15">
      <c r="A1515">
        <v>27179617</v>
      </c>
      <c r="B1515" t="s">
        <v>38315</v>
      </c>
      <c r="C1515" t="s">
        <v>38316</v>
      </c>
      <c r="D1515" t="s">
        <v>38317</v>
      </c>
      <c r="E1515" t="s">
        <v>38318</v>
      </c>
      <c r="F1515" t="s">
        <v>38319</v>
      </c>
      <c r="G1515">
        <v>2016</v>
      </c>
      <c r="H1515" s="1">
        <v>42506</v>
      </c>
      <c r="K1515" t="s">
        <v>38320</v>
      </c>
    </row>
    <row r="1516" spans="1:11" x14ac:dyDescent="0.15">
      <c r="A1516">
        <v>11739766</v>
      </c>
      <c r="B1516" t="s">
        <v>22846</v>
      </c>
      <c r="C1516" t="s">
        <v>38321</v>
      </c>
      <c r="D1516" t="s">
        <v>38322</v>
      </c>
      <c r="E1516" t="s">
        <v>38323</v>
      </c>
      <c r="F1516" t="s">
        <v>33208</v>
      </c>
      <c r="G1516">
        <v>2001</v>
      </c>
      <c r="H1516" s="1">
        <v>37237</v>
      </c>
      <c r="K1516" t="s">
        <v>22854</v>
      </c>
    </row>
    <row r="1517" spans="1:11" x14ac:dyDescent="0.15">
      <c r="A1517">
        <v>12538853</v>
      </c>
      <c r="B1517" t="s">
        <v>38324</v>
      </c>
      <c r="C1517" t="s">
        <v>38325</v>
      </c>
      <c r="D1517" t="s">
        <v>38326</v>
      </c>
      <c r="E1517" t="s">
        <v>38327</v>
      </c>
      <c r="F1517" t="s">
        <v>30767</v>
      </c>
      <c r="G1517">
        <v>2003</v>
      </c>
      <c r="H1517" s="1">
        <v>37644</v>
      </c>
      <c r="I1517" t="s">
        <v>38328</v>
      </c>
      <c r="K1517" t="s">
        <v>38329</v>
      </c>
    </row>
    <row r="1518" spans="1:11" x14ac:dyDescent="0.15">
      <c r="A1518">
        <v>18400782</v>
      </c>
      <c r="B1518" t="s">
        <v>38330</v>
      </c>
      <c r="C1518" t="s">
        <v>38331</v>
      </c>
      <c r="D1518" t="s">
        <v>38332</v>
      </c>
      <c r="E1518" t="s">
        <v>38333</v>
      </c>
      <c r="F1518" t="s">
        <v>31587</v>
      </c>
      <c r="G1518">
        <v>2008</v>
      </c>
      <c r="H1518" s="1">
        <v>39549</v>
      </c>
      <c r="I1518" t="s">
        <v>38334</v>
      </c>
      <c r="K1518" t="s">
        <v>38335</v>
      </c>
    </row>
    <row r="1519" spans="1:11" x14ac:dyDescent="0.15">
      <c r="A1519">
        <v>14999079</v>
      </c>
      <c r="B1519" t="s">
        <v>38336</v>
      </c>
      <c r="C1519" t="s">
        <v>38337</v>
      </c>
      <c r="D1519" t="s">
        <v>38338</v>
      </c>
      <c r="E1519" t="s">
        <v>38339</v>
      </c>
      <c r="F1519" t="s">
        <v>31291</v>
      </c>
      <c r="G1519">
        <v>2004</v>
      </c>
      <c r="H1519" s="1">
        <v>38052</v>
      </c>
      <c r="I1519" t="s">
        <v>38340</v>
      </c>
      <c r="K1519" t="s">
        <v>38341</v>
      </c>
    </row>
    <row r="1520" spans="1:11" x14ac:dyDescent="0.15">
      <c r="A1520">
        <v>10793152</v>
      </c>
      <c r="B1520" t="s">
        <v>22232</v>
      </c>
      <c r="C1520" t="s">
        <v>38342</v>
      </c>
      <c r="D1520" t="s">
        <v>38343</v>
      </c>
      <c r="E1520" t="s">
        <v>38344</v>
      </c>
      <c r="F1520" t="s">
        <v>32298</v>
      </c>
      <c r="G1520">
        <v>2000</v>
      </c>
      <c r="H1520" s="1">
        <v>36650</v>
      </c>
      <c r="I1520" t="s">
        <v>38345</v>
      </c>
      <c r="K1520" t="s">
        <v>22240</v>
      </c>
    </row>
    <row r="1521" spans="1:11" x14ac:dyDescent="0.15">
      <c r="A1521">
        <v>32559291</v>
      </c>
      <c r="B1521" t="s">
        <v>38346</v>
      </c>
      <c r="C1521" t="s">
        <v>38347</v>
      </c>
      <c r="D1521" t="s">
        <v>38348</v>
      </c>
      <c r="E1521" t="s">
        <v>38349</v>
      </c>
      <c r="F1521" t="s">
        <v>34877</v>
      </c>
      <c r="G1521">
        <v>2020</v>
      </c>
      <c r="H1521" s="1">
        <v>44002</v>
      </c>
      <c r="I1521" t="s">
        <v>38350</v>
      </c>
      <c r="K1521" t="s">
        <v>38351</v>
      </c>
    </row>
    <row r="1522" spans="1:11" x14ac:dyDescent="0.15">
      <c r="A1522">
        <v>30728146</v>
      </c>
      <c r="B1522" t="s">
        <v>38352</v>
      </c>
      <c r="C1522" t="s">
        <v>38353</v>
      </c>
      <c r="D1522" t="s">
        <v>38354</v>
      </c>
      <c r="E1522" t="s">
        <v>38355</v>
      </c>
      <c r="F1522" t="s">
        <v>30600</v>
      </c>
      <c r="G1522">
        <v>2019</v>
      </c>
      <c r="H1522" s="1">
        <v>43504</v>
      </c>
      <c r="I1522" t="s">
        <v>38356</v>
      </c>
      <c r="K1522" t="s">
        <v>38357</v>
      </c>
    </row>
    <row r="1523" spans="1:11" x14ac:dyDescent="0.15">
      <c r="A1523">
        <v>33599082</v>
      </c>
      <c r="B1523" t="s">
        <v>38358</v>
      </c>
      <c r="C1523" t="s">
        <v>38359</v>
      </c>
      <c r="D1523" t="s">
        <v>38360</v>
      </c>
      <c r="E1523" t="s">
        <v>38361</v>
      </c>
      <c r="F1523" t="s">
        <v>38362</v>
      </c>
      <c r="G1523">
        <v>2021</v>
      </c>
      <c r="H1523" s="1">
        <v>44245</v>
      </c>
      <c r="K1523" t="s">
        <v>38363</v>
      </c>
    </row>
    <row r="1524" spans="1:11" x14ac:dyDescent="0.15">
      <c r="A1524">
        <v>31405017</v>
      </c>
      <c r="B1524" t="s">
        <v>38364</v>
      </c>
      <c r="C1524" t="s">
        <v>38365</v>
      </c>
      <c r="D1524" t="s">
        <v>38366</v>
      </c>
      <c r="E1524" t="s">
        <v>38367</v>
      </c>
      <c r="F1524" t="s">
        <v>30655</v>
      </c>
      <c r="G1524">
        <v>2019</v>
      </c>
      <c r="H1524" s="1">
        <v>43691</v>
      </c>
      <c r="I1524" t="s">
        <v>38368</v>
      </c>
      <c r="K1524" t="s">
        <v>38369</v>
      </c>
    </row>
    <row r="1525" spans="1:11" x14ac:dyDescent="0.15">
      <c r="A1525">
        <v>3989907</v>
      </c>
      <c r="B1525" t="s">
        <v>38370</v>
      </c>
      <c r="C1525" t="s">
        <v>38371</v>
      </c>
      <c r="D1525" t="s">
        <v>38372</v>
      </c>
      <c r="E1525" t="s">
        <v>38373</v>
      </c>
      <c r="F1525" t="s">
        <v>31970</v>
      </c>
      <c r="G1525">
        <v>1985</v>
      </c>
      <c r="H1525" s="1">
        <v>31168</v>
      </c>
      <c r="I1525" t="s">
        <v>38374</v>
      </c>
      <c r="K1525" t="s">
        <v>38375</v>
      </c>
    </row>
    <row r="1526" spans="1:11" x14ac:dyDescent="0.15">
      <c r="A1526">
        <v>21094463</v>
      </c>
      <c r="B1526" t="s">
        <v>38376</v>
      </c>
      <c r="C1526" t="s">
        <v>38377</v>
      </c>
      <c r="D1526" t="s">
        <v>38378</v>
      </c>
      <c r="E1526" t="s">
        <v>38379</v>
      </c>
      <c r="F1526" t="s">
        <v>33405</v>
      </c>
      <c r="G1526">
        <v>2010</v>
      </c>
      <c r="H1526" s="1">
        <v>40507</v>
      </c>
      <c r="K1526" t="s">
        <v>38380</v>
      </c>
    </row>
    <row r="1527" spans="1:11" x14ac:dyDescent="0.15">
      <c r="A1527">
        <v>30941775</v>
      </c>
      <c r="B1527" t="s">
        <v>38381</v>
      </c>
      <c r="C1527" t="s">
        <v>38382</v>
      </c>
      <c r="D1527" t="s">
        <v>38383</v>
      </c>
      <c r="E1527" t="s">
        <v>38384</v>
      </c>
      <c r="F1527" t="s">
        <v>30847</v>
      </c>
      <c r="G1527">
        <v>2019</v>
      </c>
      <c r="H1527" s="1">
        <v>43559</v>
      </c>
      <c r="K1527" t="s">
        <v>38385</v>
      </c>
    </row>
    <row r="1528" spans="1:11" x14ac:dyDescent="0.15">
      <c r="A1528">
        <v>22046055</v>
      </c>
      <c r="B1528" t="s">
        <v>38386</v>
      </c>
      <c r="C1528" t="s">
        <v>38387</v>
      </c>
      <c r="D1528" t="s">
        <v>38388</v>
      </c>
      <c r="E1528" t="s">
        <v>38389</v>
      </c>
      <c r="F1528" t="s">
        <v>31880</v>
      </c>
      <c r="G1528">
        <v>2012</v>
      </c>
      <c r="H1528" s="1">
        <v>40850</v>
      </c>
      <c r="K1528" t="s">
        <v>38390</v>
      </c>
    </row>
    <row r="1529" spans="1:11" x14ac:dyDescent="0.15">
      <c r="A1529">
        <v>10652961</v>
      </c>
      <c r="B1529" t="s">
        <v>38391</v>
      </c>
      <c r="C1529" t="s">
        <v>38392</v>
      </c>
      <c r="D1529" t="s">
        <v>38393</v>
      </c>
      <c r="E1529" t="s">
        <v>38394</v>
      </c>
      <c r="F1529" t="s">
        <v>38395</v>
      </c>
      <c r="G1529">
        <v>2000</v>
      </c>
      <c r="H1529" s="1">
        <v>36557</v>
      </c>
      <c r="K1529" t="s">
        <v>38396</v>
      </c>
    </row>
    <row r="1530" spans="1:11" x14ac:dyDescent="0.15">
      <c r="A1530">
        <v>9892667</v>
      </c>
      <c r="B1530" t="s">
        <v>38397</v>
      </c>
      <c r="C1530" t="s">
        <v>38398</v>
      </c>
      <c r="D1530" t="s">
        <v>38399</v>
      </c>
      <c r="E1530" t="s">
        <v>38400</v>
      </c>
      <c r="F1530" t="s">
        <v>30767</v>
      </c>
      <c r="G1530">
        <v>1999</v>
      </c>
      <c r="H1530" s="1">
        <v>36180</v>
      </c>
      <c r="I1530" t="s">
        <v>38401</v>
      </c>
      <c r="K1530" t="s">
        <v>38402</v>
      </c>
    </row>
    <row r="1531" spans="1:11" x14ac:dyDescent="0.15">
      <c r="A1531">
        <v>23883322</v>
      </c>
      <c r="B1531" t="s">
        <v>38403</v>
      </c>
      <c r="C1531" t="s">
        <v>38404</v>
      </c>
      <c r="D1531" t="s">
        <v>38405</v>
      </c>
      <c r="E1531" t="s">
        <v>38406</v>
      </c>
      <c r="F1531" t="s">
        <v>35658</v>
      </c>
      <c r="G1531">
        <v>2013</v>
      </c>
      <c r="H1531" s="1">
        <v>41481</v>
      </c>
      <c r="K1531" t="s">
        <v>38407</v>
      </c>
    </row>
    <row r="1532" spans="1:11" x14ac:dyDescent="0.15">
      <c r="A1532">
        <v>21491915</v>
      </c>
      <c r="B1532" t="s">
        <v>38408</v>
      </c>
      <c r="C1532" t="s">
        <v>38409</v>
      </c>
      <c r="D1532" t="s">
        <v>38410</v>
      </c>
      <c r="E1532" t="s">
        <v>38411</v>
      </c>
      <c r="F1532" t="s">
        <v>36029</v>
      </c>
      <c r="G1532">
        <v>2011</v>
      </c>
      <c r="H1532" s="1">
        <v>40649</v>
      </c>
      <c r="K1532" t="s">
        <v>23006</v>
      </c>
    </row>
    <row r="1533" spans="1:11" x14ac:dyDescent="0.15">
      <c r="A1533">
        <v>17046101</v>
      </c>
      <c r="B1533" t="s">
        <v>38412</v>
      </c>
      <c r="C1533" t="s">
        <v>38413</v>
      </c>
      <c r="D1533" t="s">
        <v>38414</v>
      </c>
      <c r="E1533" t="s">
        <v>38415</v>
      </c>
      <c r="F1533" t="s">
        <v>38416</v>
      </c>
      <c r="G1533">
        <v>2007</v>
      </c>
      <c r="H1533" s="1">
        <v>39009</v>
      </c>
      <c r="K1533" t="s">
        <v>38417</v>
      </c>
    </row>
    <row r="1534" spans="1:11" x14ac:dyDescent="0.15">
      <c r="A1534">
        <v>16240989</v>
      </c>
      <c r="B1534" t="s">
        <v>38418</v>
      </c>
      <c r="C1534" t="s">
        <v>38419</v>
      </c>
      <c r="D1534" t="s">
        <v>38420</v>
      </c>
      <c r="E1534" t="s">
        <v>38421</v>
      </c>
      <c r="F1534" t="s">
        <v>38422</v>
      </c>
      <c r="G1534">
        <v>2005</v>
      </c>
      <c r="H1534" s="1">
        <v>38651</v>
      </c>
    </row>
    <row r="1535" spans="1:11" x14ac:dyDescent="0.15">
      <c r="A1535">
        <v>20631136</v>
      </c>
      <c r="B1535" t="s">
        <v>38423</v>
      </c>
      <c r="C1535" t="s">
        <v>38424</v>
      </c>
      <c r="D1535" t="s">
        <v>38425</v>
      </c>
      <c r="E1535" t="s">
        <v>38426</v>
      </c>
      <c r="F1535" t="s">
        <v>31970</v>
      </c>
      <c r="G1535">
        <v>2010</v>
      </c>
      <c r="H1535" s="1">
        <v>40375</v>
      </c>
      <c r="I1535" t="s">
        <v>38427</v>
      </c>
      <c r="K1535" t="s">
        <v>38428</v>
      </c>
    </row>
    <row r="1536" spans="1:11" x14ac:dyDescent="0.15">
      <c r="A1536">
        <v>31007122</v>
      </c>
      <c r="B1536" t="s">
        <v>38429</v>
      </c>
      <c r="C1536" t="s">
        <v>38430</v>
      </c>
      <c r="D1536" t="s">
        <v>38431</v>
      </c>
      <c r="E1536" t="s">
        <v>38432</v>
      </c>
      <c r="F1536" t="s">
        <v>31659</v>
      </c>
      <c r="G1536">
        <v>2019</v>
      </c>
      <c r="H1536" s="1">
        <v>43578</v>
      </c>
      <c r="I1536" t="s">
        <v>38433</v>
      </c>
      <c r="K1536" t="s">
        <v>38434</v>
      </c>
    </row>
    <row r="1537" spans="1:11" x14ac:dyDescent="0.15">
      <c r="A1537">
        <v>21878619</v>
      </c>
      <c r="B1537" t="s">
        <v>38435</v>
      </c>
      <c r="C1537" t="s">
        <v>38436</v>
      </c>
      <c r="D1537" t="s">
        <v>38437</v>
      </c>
      <c r="E1537" t="s">
        <v>38438</v>
      </c>
      <c r="F1537" t="s">
        <v>31594</v>
      </c>
      <c r="G1537">
        <v>2011</v>
      </c>
      <c r="H1537" s="1">
        <v>40787</v>
      </c>
      <c r="I1537" t="s">
        <v>38439</v>
      </c>
      <c r="K1537" t="s">
        <v>38440</v>
      </c>
    </row>
    <row r="1538" spans="1:11" x14ac:dyDescent="0.15">
      <c r="A1538">
        <v>17223371</v>
      </c>
      <c r="B1538" t="s">
        <v>38441</v>
      </c>
      <c r="C1538" t="s">
        <v>38442</v>
      </c>
      <c r="D1538" t="s">
        <v>38443</v>
      </c>
      <c r="E1538" t="s">
        <v>38444</v>
      </c>
      <c r="F1538" t="s">
        <v>38445</v>
      </c>
      <c r="G1538">
        <v>2007</v>
      </c>
      <c r="H1538" s="1">
        <v>39098</v>
      </c>
      <c r="K1538" t="s">
        <v>38446</v>
      </c>
    </row>
    <row r="1539" spans="1:11" x14ac:dyDescent="0.15">
      <c r="A1539">
        <v>26365178</v>
      </c>
      <c r="B1539" t="s">
        <v>22905</v>
      </c>
      <c r="C1539" t="s">
        <v>38447</v>
      </c>
      <c r="D1539" t="s">
        <v>38448</v>
      </c>
      <c r="E1539" t="s">
        <v>38449</v>
      </c>
      <c r="F1539" t="s">
        <v>30595</v>
      </c>
      <c r="G1539">
        <v>2015</v>
      </c>
      <c r="H1539" s="1">
        <v>42262</v>
      </c>
      <c r="I1539" t="s">
        <v>38450</v>
      </c>
      <c r="J1539" t="s">
        <v>38451</v>
      </c>
      <c r="K1539" t="s">
        <v>22914</v>
      </c>
    </row>
    <row r="1540" spans="1:11" x14ac:dyDescent="0.15">
      <c r="A1540">
        <v>35200555</v>
      </c>
      <c r="B1540" t="s">
        <v>38452</v>
      </c>
      <c r="C1540" t="s">
        <v>38453</v>
      </c>
      <c r="D1540" t="s">
        <v>38454</v>
      </c>
      <c r="E1540" t="s">
        <v>38455</v>
      </c>
      <c r="F1540" t="s">
        <v>38456</v>
      </c>
      <c r="G1540">
        <v>2022</v>
      </c>
      <c r="H1540" s="1">
        <v>44616</v>
      </c>
      <c r="I1540" t="s">
        <v>38457</v>
      </c>
      <c r="K1540" t="s">
        <v>38458</v>
      </c>
    </row>
    <row r="1541" spans="1:11" x14ac:dyDescent="0.15">
      <c r="A1541">
        <v>11050079</v>
      </c>
      <c r="B1541" t="s">
        <v>38459</v>
      </c>
      <c r="C1541" t="s">
        <v>38460</v>
      </c>
      <c r="D1541" t="s">
        <v>38461</v>
      </c>
      <c r="E1541" t="s">
        <v>38462</v>
      </c>
      <c r="F1541" t="s">
        <v>31594</v>
      </c>
      <c r="G1541">
        <v>2001</v>
      </c>
      <c r="H1541" s="1">
        <v>36825</v>
      </c>
      <c r="K1541" t="s">
        <v>38463</v>
      </c>
    </row>
    <row r="1542" spans="1:11" x14ac:dyDescent="0.15">
      <c r="A1542">
        <v>24656133</v>
      </c>
      <c r="B1542" t="s">
        <v>38464</v>
      </c>
      <c r="C1542" t="s">
        <v>38465</v>
      </c>
      <c r="D1542" t="s">
        <v>38466</v>
      </c>
      <c r="E1542" t="s">
        <v>38467</v>
      </c>
      <c r="F1542" t="s">
        <v>32022</v>
      </c>
      <c r="G1542">
        <v>2014</v>
      </c>
      <c r="H1542" s="1">
        <v>41723</v>
      </c>
      <c r="I1542" t="s">
        <v>38468</v>
      </c>
      <c r="J1542" t="s">
        <v>38469</v>
      </c>
      <c r="K1542" t="s">
        <v>38470</v>
      </c>
    </row>
    <row r="1543" spans="1:11" x14ac:dyDescent="0.15">
      <c r="A1543">
        <v>15659066</v>
      </c>
      <c r="B1543" t="s">
        <v>22807</v>
      </c>
      <c r="C1543" t="s">
        <v>38471</v>
      </c>
      <c r="D1543" t="s">
        <v>38472</v>
      </c>
      <c r="E1543" t="s">
        <v>38473</v>
      </c>
      <c r="F1543" t="s">
        <v>33076</v>
      </c>
      <c r="G1543">
        <v>2005</v>
      </c>
      <c r="H1543" s="1">
        <v>38374</v>
      </c>
      <c r="K1543" t="s">
        <v>22816</v>
      </c>
    </row>
    <row r="1544" spans="1:11" x14ac:dyDescent="0.15">
      <c r="A1544">
        <v>30155936</v>
      </c>
      <c r="B1544" t="s">
        <v>38474</v>
      </c>
      <c r="C1544" t="s">
        <v>38475</v>
      </c>
      <c r="D1544" t="s">
        <v>38476</v>
      </c>
      <c r="E1544" t="s">
        <v>33542</v>
      </c>
      <c r="F1544" t="s">
        <v>32747</v>
      </c>
      <c r="G1544">
        <v>2018</v>
      </c>
      <c r="H1544" s="1">
        <v>43342</v>
      </c>
      <c r="K1544" t="s">
        <v>38477</v>
      </c>
    </row>
    <row r="1545" spans="1:11" x14ac:dyDescent="0.15">
      <c r="A1545">
        <v>27092489</v>
      </c>
      <c r="B1545" t="s">
        <v>27753</v>
      </c>
      <c r="C1545" t="s">
        <v>38478</v>
      </c>
      <c r="D1545" t="s">
        <v>38479</v>
      </c>
      <c r="E1545" t="s">
        <v>38480</v>
      </c>
      <c r="F1545" t="s">
        <v>32509</v>
      </c>
      <c r="G1545">
        <v>2016</v>
      </c>
      <c r="H1545" s="1">
        <v>42480</v>
      </c>
      <c r="I1545" t="s">
        <v>38481</v>
      </c>
      <c r="K1545" t="s">
        <v>27763</v>
      </c>
    </row>
    <row r="1546" spans="1:11" x14ac:dyDescent="0.15">
      <c r="A1546">
        <v>23390068</v>
      </c>
      <c r="B1546" t="s">
        <v>38482</v>
      </c>
      <c r="C1546" t="s">
        <v>38483</v>
      </c>
      <c r="D1546" t="s">
        <v>38484</v>
      </c>
      <c r="E1546" t="s">
        <v>38485</v>
      </c>
      <c r="F1546" t="s">
        <v>33483</v>
      </c>
      <c r="G1546">
        <v>2013</v>
      </c>
      <c r="H1546" s="1">
        <v>41313</v>
      </c>
      <c r="K1546" t="s">
        <v>38486</v>
      </c>
    </row>
    <row r="1547" spans="1:11" x14ac:dyDescent="0.15">
      <c r="A1547">
        <v>26588824</v>
      </c>
      <c r="B1547" t="s">
        <v>38487</v>
      </c>
      <c r="C1547" t="s">
        <v>38488</v>
      </c>
      <c r="D1547" t="s">
        <v>38489</v>
      </c>
      <c r="E1547" t="s">
        <v>38490</v>
      </c>
      <c r="F1547" t="s">
        <v>37276</v>
      </c>
      <c r="G1547">
        <v>2016</v>
      </c>
      <c r="H1547" s="1">
        <v>42329</v>
      </c>
      <c r="K1547" t="s">
        <v>38491</v>
      </c>
    </row>
    <row r="1548" spans="1:11" x14ac:dyDescent="0.15">
      <c r="A1548">
        <v>35209901</v>
      </c>
      <c r="B1548" t="s">
        <v>18454</v>
      </c>
      <c r="C1548" t="s">
        <v>38492</v>
      </c>
      <c r="D1548" t="s">
        <v>38493</v>
      </c>
      <c r="E1548" t="s">
        <v>38494</v>
      </c>
      <c r="F1548" t="s">
        <v>38495</v>
      </c>
      <c r="G1548">
        <v>2022</v>
      </c>
      <c r="H1548" s="1">
        <v>44617</v>
      </c>
      <c r="I1548" t="s">
        <v>38496</v>
      </c>
      <c r="K1548" t="s">
        <v>18466</v>
      </c>
    </row>
    <row r="1549" spans="1:11" x14ac:dyDescent="0.15">
      <c r="A1549">
        <v>2161218</v>
      </c>
      <c r="B1549" t="s">
        <v>38497</v>
      </c>
      <c r="C1549" t="s">
        <v>38498</v>
      </c>
      <c r="D1549" t="s">
        <v>38499</v>
      </c>
      <c r="E1549" t="s">
        <v>38500</v>
      </c>
      <c r="F1549" t="s">
        <v>32654</v>
      </c>
      <c r="G1549">
        <v>1990</v>
      </c>
      <c r="H1549" s="1">
        <v>33009</v>
      </c>
      <c r="K1549" t="s">
        <v>38501</v>
      </c>
    </row>
    <row r="1550" spans="1:11" x14ac:dyDescent="0.15">
      <c r="A1550">
        <v>11932461</v>
      </c>
      <c r="B1550" t="s">
        <v>13746</v>
      </c>
      <c r="C1550" t="s">
        <v>38502</v>
      </c>
      <c r="D1550" t="s">
        <v>38503</v>
      </c>
      <c r="E1550" t="s">
        <v>38504</v>
      </c>
      <c r="F1550" t="s">
        <v>33208</v>
      </c>
      <c r="G1550">
        <v>2002</v>
      </c>
      <c r="H1550" s="1">
        <v>37351</v>
      </c>
      <c r="K1550" t="s">
        <v>13756</v>
      </c>
    </row>
    <row r="1551" spans="1:11" x14ac:dyDescent="0.15">
      <c r="A1551">
        <v>10073703</v>
      </c>
      <c r="B1551" t="s">
        <v>38505</v>
      </c>
      <c r="C1551" t="s">
        <v>38506</v>
      </c>
      <c r="D1551" t="s">
        <v>38507</v>
      </c>
      <c r="E1551" t="s">
        <v>38508</v>
      </c>
      <c r="F1551" t="s">
        <v>36122</v>
      </c>
      <c r="G1551">
        <v>1999</v>
      </c>
      <c r="H1551" s="1">
        <v>36231</v>
      </c>
      <c r="K1551" t="s">
        <v>38509</v>
      </c>
    </row>
    <row r="1552" spans="1:11" x14ac:dyDescent="0.15">
      <c r="A1552">
        <v>11691584</v>
      </c>
      <c r="B1552" t="s">
        <v>38510</v>
      </c>
      <c r="C1552" t="s">
        <v>38511</v>
      </c>
      <c r="D1552" t="s">
        <v>38512</v>
      </c>
      <c r="E1552" t="s">
        <v>38513</v>
      </c>
      <c r="F1552" t="s">
        <v>35985</v>
      </c>
      <c r="G1552">
        <v>2001</v>
      </c>
      <c r="H1552" s="1">
        <v>37198</v>
      </c>
      <c r="K1552" t="s">
        <v>38514</v>
      </c>
    </row>
    <row r="1553" spans="1:11" x14ac:dyDescent="0.15">
      <c r="A1553">
        <v>31705800</v>
      </c>
      <c r="B1553" t="s">
        <v>25421</v>
      </c>
      <c r="C1553" t="s">
        <v>38515</v>
      </c>
      <c r="D1553" t="s">
        <v>38516</v>
      </c>
      <c r="E1553" t="s">
        <v>38517</v>
      </c>
      <c r="F1553" t="s">
        <v>37800</v>
      </c>
      <c r="G1553">
        <v>2020</v>
      </c>
      <c r="H1553" s="1">
        <v>43779</v>
      </c>
      <c r="I1553" t="s">
        <v>38518</v>
      </c>
      <c r="J1553" t="s">
        <v>38519</v>
      </c>
      <c r="K1553" t="s">
        <v>25427</v>
      </c>
    </row>
    <row r="1554" spans="1:11" x14ac:dyDescent="0.15">
      <c r="A1554">
        <v>7745687</v>
      </c>
      <c r="B1554" t="s">
        <v>38520</v>
      </c>
      <c r="C1554" t="s">
        <v>38521</v>
      </c>
      <c r="D1554" t="s">
        <v>38522</v>
      </c>
      <c r="E1554" t="s">
        <v>38523</v>
      </c>
      <c r="F1554" t="s">
        <v>31970</v>
      </c>
      <c r="G1554">
        <v>1995</v>
      </c>
      <c r="H1554" s="1">
        <v>34851</v>
      </c>
      <c r="I1554" t="s">
        <v>38524</v>
      </c>
      <c r="K1554" t="s">
        <v>38525</v>
      </c>
    </row>
    <row r="1555" spans="1:11" x14ac:dyDescent="0.15">
      <c r="A1555">
        <v>10996790</v>
      </c>
      <c r="B1555" t="s">
        <v>38526</v>
      </c>
      <c r="C1555" t="s">
        <v>38527</v>
      </c>
      <c r="D1555" t="s">
        <v>38528</v>
      </c>
      <c r="E1555" t="s">
        <v>38529</v>
      </c>
      <c r="F1555" t="s">
        <v>30580</v>
      </c>
      <c r="G1555">
        <v>2000</v>
      </c>
      <c r="H1555" s="1">
        <v>36790</v>
      </c>
      <c r="K1555" t="s">
        <v>38530</v>
      </c>
    </row>
    <row r="1556" spans="1:11" x14ac:dyDescent="0.15">
      <c r="A1556">
        <v>33759399</v>
      </c>
      <c r="B1556" t="s">
        <v>20383</v>
      </c>
      <c r="C1556" t="s">
        <v>38531</v>
      </c>
      <c r="D1556" t="s">
        <v>38532</v>
      </c>
      <c r="E1556" t="s">
        <v>33833</v>
      </c>
      <c r="F1556" t="s">
        <v>31346</v>
      </c>
      <c r="G1556">
        <v>2021</v>
      </c>
      <c r="H1556" s="1">
        <v>44279</v>
      </c>
      <c r="I1556" t="s">
        <v>38533</v>
      </c>
      <c r="K1556" t="s">
        <v>20390</v>
      </c>
    </row>
    <row r="1557" spans="1:11" x14ac:dyDescent="0.15">
      <c r="A1557">
        <v>32497683</v>
      </c>
      <c r="B1557" t="s">
        <v>38534</v>
      </c>
      <c r="C1557" t="s">
        <v>38535</v>
      </c>
      <c r="D1557" t="s">
        <v>38536</v>
      </c>
      <c r="E1557" t="s">
        <v>38537</v>
      </c>
      <c r="F1557" t="s">
        <v>33740</v>
      </c>
      <c r="G1557">
        <v>2021</v>
      </c>
      <c r="H1557" s="1">
        <v>43987</v>
      </c>
      <c r="K1557" t="s">
        <v>38538</v>
      </c>
    </row>
    <row r="1558" spans="1:11" x14ac:dyDescent="0.15">
      <c r="A1558">
        <v>26431329</v>
      </c>
      <c r="B1558" t="s">
        <v>19824</v>
      </c>
      <c r="C1558" t="s">
        <v>38539</v>
      </c>
      <c r="D1558" t="s">
        <v>38540</v>
      </c>
      <c r="E1558" t="s">
        <v>38541</v>
      </c>
      <c r="F1558" t="s">
        <v>31360</v>
      </c>
      <c r="G1558">
        <v>2015</v>
      </c>
      <c r="H1558" s="1">
        <v>42280</v>
      </c>
      <c r="I1558" t="s">
        <v>38542</v>
      </c>
      <c r="K1558" t="s">
        <v>19833</v>
      </c>
    </row>
    <row r="1559" spans="1:11" x14ac:dyDescent="0.15">
      <c r="A1559">
        <v>11352238</v>
      </c>
      <c r="B1559" t="s">
        <v>26014</v>
      </c>
      <c r="C1559" t="s">
        <v>38543</v>
      </c>
      <c r="D1559" t="s">
        <v>38544</v>
      </c>
      <c r="E1559" t="s">
        <v>38545</v>
      </c>
      <c r="F1559" t="s">
        <v>33478</v>
      </c>
      <c r="G1559">
        <v>2001</v>
      </c>
      <c r="H1559" s="1">
        <v>37027</v>
      </c>
      <c r="K1559" t="s">
        <v>38546</v>
      </c>
    </row>
    <row r="1560" spans="1:11" x14ac:dyDescent="0.15">
      <c r="A1560">
        <v>21149693</v>
      </c>
      <c r="B1560" t="s">
        <v>38547</v>
      </c>
      <c r="C1560" t="s">
        <v>38548</v>
      </c>
      <c r="D1560" t="s">
        <v>38549</v>
      </c>
      <c r="E1560" t="s">
        <v>38550</v>
      </c>
      <c r="F1560" t="s">
        <v>30767</v>
      </c>
      <c r="G1560">
        <v>2011</v>
      </c>
      <c r="H1560" s="1">
        <v>40527</v>
      </c>
      <c r="I1560" t="s">
        <v>38551</v>
      </c>
      <c r="K1560" t="s">
        <v>38552</v>
      </c>
    </row>
    <row r="1561" spans="1:11" x14ac:dyDescent="0.15">
      <c r="A1561">
        <v>19968858</v>
      </c>
      <c r="B1561" t="s">
        <v>38553</v>
      </c>
      <c r="C1561" t="s">
        <v>38554</v>
      </c>
      <c r="D1561" t="s">
        <v>38555</v>
      </c>
      <c r="E1561" t="s">
        <v>38556</v>
      </c>
      <c r="F1561" t="s">
        <v>31908</v>
      </c>
      <c r="G1561">
        <v>2010</v>
      </c>
      <c r="H1561" s="1">
        <v>40156</v>
      </c>
      <c r="K1561" t="s">
        <v>38557</v>
      </c>
    </row>
    <row r="1562" spans="1:11" x14ac:dyDescent="0.15">
      <c r="A1562">
        <v>35846270</v>
      </c>
      <c r="B1562" t="s">
        <v>38558</v>
      </c>
      <c r="C1562" t="s">
        <v>38559</v>
      </c>
      <c r="D1562" t="s">
        <v>38560</v>
      </c>
      <c r="E1562" t="s">
        <v>38561</v>
      </c>
      <c r="F1562" t="s">
        <v>33862</v>
      </c>
      <c r="G1562">
        <v>2022</v>
      </c>
      <c r="H1562" s="1">
        <v>44760</v>
      </c>
      <c r="I1562" t="s">
        <v>38562</v>
      </c>
      <c r="K1562" t="s">
        <v>38563</v>
      </c>
    </row>
    <row r="1563" spans="1:11" x14ac:dyDescent="0.15">
      <c r="A1563">
        <v>20049854</v>
      </c>
      <c r="B1563" t="s">
        <v>38564</v>
      </c>
      <c r="C1563" t="s">
        <v>38565</v>
      </c>
      <c r="D1563" t="s">
        <v>38566</v>
      </c>
      <c r="E1563" t="s">
        <v>38567</v>
      </c>
      <c r="F1563" t="s">
        <v>30847</v>
      </c>
      <c r="G1563">
        <v>2010</v>
      </c>
      <c r="H1563" s="1">
        <v>40184</v>
      </c>
      <c r="K1563" t="s">
        <v>38568</v>
      </c>
    </row>
    <row r="1564" spans="1:11" x14ac:dyDescent="0.15">
      <c r="A1564">
        <v>27791108</v>
      </c>
      <c r="B1564" t="s">
        <v>16502</v>
      </c>
      <c r="C1564" t="s">
        <v>38569</v>
      </c>
      <c r="D1564" t="s">
        <v>38570</v>
      </c>
      <c r="E1564" t="s">
        <v>38571</v>
      </c>
      <c r="F1564" t="s">
        <v>30767</v>
      </c>
      <c r="G1564">
        <v>2016</v>
      </c>
      <c r="H1564" s="1">
        <v>42677</v>
      </c>
      <c r="I1564" t="s">
        <v>38572</v>
      </c>
      <c r="K1564" t="s">
        <v>16512</v>
      </c>
    </row>
    <row r="1565" spans="1:11" x14ac:dyDescent="0.15">
      <c r="A1565">
        <v>24792832</v>
      </c>
      <c r="B1565" t="s">
        <v>38573</v>
      </c>
      <c r="C1565" t="s">
        <v>38574</v>
      </c>
      <c r="D1565" t="s">
        <v>38575</v>
      </c>
      <c r="E1565" t="s">
        <v>38576</v>
      </c>
      <c r="F1565" t="s">
        <v>36076</v>
      </c>
      <c r="G1565">
        <v>2014</v>
      </c>
      <c r="H1565" s="1">
        <v>41765</v>
      </c>
      <c r="K1565" t="s">
        <v>16951</v>
      </c>
    </row>
    <row r="1566" spans="1:11" x14ac:dyDescent="0.15">
      <c r="A1566">
        <v>22532666</v>
      </c>
      <c r="B1566" t="s">
        <v>38577</v>
      </c>
      <c r="C1566" t="s">
        <v>38578</v>
      </c>
      <c r="D1566" t="s">
        <v>38579</v>
      </c>
      <c r="E1566" t="s">
        <v>38580</v>
      </c>
      <c r="F1566" t="s">
        <v>30767</v>
      </c>
      <c r="G1566">
        <v>2012</v>
      </c>
      <c r="H1566" s="1">
        <v>41025</v>
      </c>
      <c r="I1566" t="s">
        <v>38581</v>
      </c>
      <c r="K1566" t="s">
        <v>38582</v>
      </c>
    </row>
    <row r="1567" spans="1:11" x14ac:dyDescent="0.15">
      <c r="A1567">
        <v>17644597</v>
      </c>
      <c r="B1567" t="s">
        <v>38583</v>
      </c>
      <c r="C1567" t="s">
        <v>38584</v>
      </c>
      <c r="D1567" t="s">
        <v>38585</v>
      </c>
      <c r="E1567" t="s">
        <v>38586</v>
      </c>
      <c r="F1567" t="s">
        <v>32185</v>
      </c>
      <c r="G1567">
        <v>2007</v>
      </c>
      <c r="H1567" s="1">
        <v>39287</v>
      </c>
      <c r="I1567" t="s">
        <v>38587</v>
      </c>
      <c r="K1567" t="s">
        <v>38588</v>
      </c>
    </row>
    <row r="1568" spans="1:11" x14ac:dyDescent="0.15">
      <c r="A1568">
        <v>15755631</v>
      </c>
      <c r="B1568" t="s">
        <v>38589</v>
      </c>
      <c r="C1568" t="s">
        <v>38590</v>
      </c>
      <c r="D1568" t="s">
        <v>38591</v>
      </c>
      <c r="E1568" t="s">
        <v>38592</v>
      </c>
      <c r="F1568" t="s">
        <v>35594</v>
      </c>
      <c r="G1568">
        <v>2005</v>
      </c>
      <c r="H1568" s="1">
        <v>38421</v>
      </c>
      <c r="K1568" t="s">
        <v>38593</v>
      </c>
    </row>
    <row r="1569" spans="1:11" x14ac:dyDescent="0.15">
      <c r="A1569">
        <v>24480987</v>
      </c>
      <c r="B1569" t="s">
        <v>15146</v>
      </c>
      <c r="C1569" t="s">
        <v>38594</v>
      </c>
      <c r="D1569" t="s">
        <v>38595</v>
      </c>
      <c r="E1569" t="s">
        <v>38596</v>
      </c>
      <c r="F1569" t="s">
        <v>31771</v>
      </c>
      <c r="G1569">
        <v>2014</v>
      </c>
      <c r="H1569" s="1">
        <v>41671</v>
      </c>
      <c r="K1569" t="s">
        <v>15152</v>
      </c>
    </row>
    <row r="1570" spans="1:11" x14ac:dyDescent="0.15">
      <c r="A1570">
        <v>16374505</v>
      </c>
      <c r="B1570" t="s">
        <v>38597</v>
      </c>
      <c r="C1570" t="s">
        <v>37936</v>
      </c>
      <c r="D1570" t="s">
        <v>38598</v>
      </c>
      <c r="E1570" t="s">
        <v>36013</v>
      </c>
      <c r="F1570" t="s">
        <v>35353</v>
      </c>
      <c r="G1570">
        <v>2006</v>
      </c>
      <c r="H1570" s="1">
        <v>38710</v>
      </c>
      <c r="I1570" t="s">
        <v>38599</v>
      </c>
      <c r="K1570" t="s">
        <v>38600</v>
      </c>
    </row>
    <row r="1571" spans="1:11" x14ac:dyDescent="0.15">
      <c r="A1571">
        <v>9792445</v>
      </c>
      <c r="B1571" t="s">
        <v>38601</v>
      </c>
      <c r="C1571" t="s">
        <v>38602</v>
      </c>
      <c r="D1571" t="s">
        <v>38603</v>
      </c>
      <c r="E1571" t="s">
        <v>38604</v>
      </c>
      <c r="F1571" t="s">
        <v>32576</v>
      </c>
      <c r="G1571">
        <v>1998</v>
      </c>
      <c r="H1571" s="1">
        <v>36097</v>
      </c>
      <c r="K1571" t="s">
        <v>38605</v>
      </c>
    </row>
    <row r="1572" spans="1:11" x14ac:dyDescent="0.15">
      <c r="A1572">
        <v>28325899</v>
      </c>
      <c r="B1572" t="s">
        <v>38606</v>
      </c>
      <c r="C1572" t="s">
        <v>38607</v>
      </c>
      <c r="D1572" t="s">
        <v>38608</v>
      </c>
      <c r="E1572" t="s">
        <v>38609</v>
      </c>
      <c r="F1572" t="s">
        <v>30834</v>
      </c>
      <c r="G1572">
        <v>2017</v>
      </c>
      <c r="H1572" s="1">
        <v>42817</v>
      </c>
      <c r="I1572" t="s">
        <v>38610</v>
      </c>
      <c r="K1572" t="s">
        <v>38611</v>
      </c>
    </row>
    <row r="1573" spans="1:11" x14ac:dyDescent="0.15">
      <c r="A1573">
        <v>7626023</v>
      </c>
      <c r="B1573" t="s">
        <v>38612</v>
      </c>
      <c r="C1573" t="s">
        <v>38613</v>
      </c>
      <c r="D1573" t="s">
        <v>38614</v>
      </c>
      <c r="E1573" t="s">
        <v>38615</v>
      </c>
      <c r="F1573" t="s">
        <v>31059</v>
      </c>
      <c r="G1573">
        <v>1995</v>
      </c>
      <c r="H1573" s="1">
        <v>34895</v>
      </c>
      <c r="I1573" t="s">
        <v>38616</v>
      </c>
      <c r="K1573" t="s">
        <v>38617</v>
      </c>
    </row>
    <row r="1574" spans="1:11" x14ac:dyDescent="0.15">
      <c r="A1574">
        <v>11118370</v>
      </c>
      <c r="B1574" t="s">
        <v>38618</v>
      </c>
      <c r="C1574" t="s">
        <v>38619</v>
      </c>
      <c r="D1574" t="s">
        <v>38620</v>
      </c>
      <c r="E1574" t="s">
        <v>38621</v>
      </c>
      <c r="F1574" t="s">
        <v>932</v>
      </c>
      <c r="G1574">
        <v>2000</v>
      </c>
      <c r="H1574" s="1">
        <v>36879</v>
      </c>
      <c r="K1574" t="s">
        <v>26870</v>
      </c>
    </row>
    <row r="1575" spans="1:11" x14ac:dyDescent="0.15">
      <c r="A1575">
        <v>11278971</v>
      </c>
      <c r="B1575" t="s">
        <v>38622</v>
      </c>
      <c r="C1575" t="s">
        <v>38623</v>
      </c>
      <c r="D1575" t="s">
        <v>38624</v>
      </c>
      <c r="E1575" t="s">
        <v>37197</v>
      </c>
      <c r="F1575" t="s">
        <v>31594</v>
      </c>
      <c r="G1575">
        <v>2001</v>
      </c>
      <c r="H1575" s="1">
        <v>36980</v>
      </c>
      <c r="K1575" t="s">
        <v>38625</v>
      </c>
    </row>
    <row r="1576" spans="1:11" x14ac:dyDescent="0.15">
      <c r="A1576">
        <v>8886983</v>
      </c>
      <c r="B1576" t="s">
        <v>38626</v>
      </c>
      <c r="C1576" t="s">
        <v>38627</v>
      </c>
      <c r="D1576" t="s">
        <v>38628</v>
      </c>
      <c r="E1576" t="s">
        <v>38629</v>
      </c>
      <c r="F1576" t="s">
        <v>31155</v>
      </c>
      <c r="G1576">
        <v>1996</v>
      </c>
      <c r="H1576" s="1">
        <v>35309</v>
      </c>
      <c r="K1576" t="s">
        <v>38630</v>
      </c>
    </row>
    <row r="1577" spans="1:11" x14ac:dyDescent="0.15">
      <c r="A1577">
        <v>33113359</v>
      </c>
      <c r="B1577" t="s">
        <v>38631</v>
      </c>
      <c r="C1577" t="s">
        <v>38632</v>
      </c>
      <c r="D1577" t="s">
        <v>38633</v>
      </c>
      <c r="E1577" t="s">
        <v>38634</v>
      </c>
      <c r="F1577" t="s">
        <v>31376</v>
      </c>
      <c r="G1577">
        <v>2020</v>
      </c>
      <c r="H1577" s="1">
        <v>44132</v>
      </c>
      <c r="I1577" t="s">
        <v>38635</v>
      </c>
      <c r="K1577" t="s">
        <v>38636</v>
      </c>
    </row>
    <row r="1578" spans="1:11" x14ac:dyDescent="0.15">
      <c r="A1578">
        <v>33945510</v>
      </c>
      <c r="B1578" t="s">
        <v>19866</v>
      </c>
      <c r="C1578" t="s">
        <v>38637</v>
      </c>
      <c r="D1578" t="s">
        <v>38638</v>
      </c>
      <c r="E1578" t="s">
        <v>38639</v>
      </c>
      <c r="F1578" t="s">
        <v>30566</v>
      </c>
      <c r="G1578">
        <v>2021</v>
      </c>
      <c r="H1578" s="1">
        <v>44320</v>
      </c>
      <c r="I1578" t="s">
        <v>38640</v>
      </c>
      <c r="K1578" t="s">
        <v>19879</v>
      </c>
    </row>
    <row r="1579" spans="1:11" x14ac:dyDescent="0.15">
      <c r="A1579">
        <v>9712909</v>
      </c>
      <c r="B1579" t="s">
        <v>38641</v>
      </c>
      <c r="C1579" t="s">
        <v>38642</v>
      </c>
      <c r="D1579" t="s">
        <v>38643</v>
      </c>
      <c r="E1579" t="s">
        <v>38644</v>
      </c>
      <c r="F1579" t="s">
        <v>31594</v>
      </c>
      <c r="G1579">
        <v>1998</v>
      </c>
      <c r="H1579" s="1">
        <v>36033</v>
      </c>
      <c r="K1579" t="s">
        <v>38645</v>
      </c>
    </row>
    <row r="1580" spans="1:11" x14ac:dyDescent="0.15">
      <c r="A1580">
        <v>32941446</v>
      </c>
      <c r="B1580" t="s">
        <v>23461</v>
      </c>
      <c r="C1580" t="s">
        <v>38646</v>
      </c>
      <c r="D1580" t="s">
        <v>38647</v>
      </c>
      <c r="E1580" t="s">
        <v>38648</v>
      </c>
      <c r="F1580" t="s">
        <v>31639</v>
      </c>
      <c r="G1580">
        <v>2020</v>
      </c>
      <c r="H1580" s="1">
        <v>44091</v>
      </c>
      <c r="I1580" t="s">
        <v>38649</v>
      </c>
      <c r="K1580" t="s">
        <v>23471</v>
      </c>
    </row>
    <row r="1581" spans="1:11" x14ac:dyDescent="0.15">
      <c r="A1581">
        <v>16784605</v>
      </c>
      <c r="B1581" t="s">
        <v>38650</v>
      </c>
      <c r="C1581" t="s">
        <v>38651</v>
      </c>
      <c r="D1581" t="s">
        <v>38652</v>
      </c>
      <c r="E1581" t="s">
        <v>38653</v>
      </c>
      <c r="F1581" t="s">
        <v>38654</v>
      </c>
      <c r="G1581">
        <v>2006</v>
      </c>
      <c r="H1581" s="1">
        <v>38889</v>
      </c>
    </row>
    <row r="1582" spans="1:11" x14ac:dyDescent="0.15">
      <c r="A1582">
        <v>30572805</v>
      </c>
      <c r="B1582" t="s">
        <v>19600</v>
      </c>
      <c r="C1582" t="s">
        <v>38655</v>
      </c>
      <c r="D1582" t="s">
        <v>38656</v>
      </c>
      <c r="E1582" t="s">
        <v>38657</v>
      </c>
      <c r="F1582" t="s">
        <v>32691</v>
      </c>
      <c r="G1582">
        <v>2019</v>
      </c>
      <c r="H1582" s="1">
        <v>43456</v>
      </c>
      <c r="K1582" t="s">
        <v>19610</v>
      </c>
    </row>
    <row r="1583" spans="1:11" x14ac:dyDescent="0.15">
      <c r="A1583">
        <v>30242641</v>
      </c>
      <c r="B1583" t="s">
        <v>38658</v>
      </c>
      <c r="C1583" t="s">
        <v>38659</v>
      </c>
      <c r="D1583" t="s">
        <v>38660</v>
      </c>
      <c r="E1583" t="s">
        <v>38661</v>
      </c>
      <c r="F1583" t="s">
        <v>38662</v>
      </c>
      <c r="G1583">
        <v>2019</v>
      </c>
      <c r="H1583" s="1">
        <v>43366</v>
      </c>
      <c r="I1583" t="s">
        <v>38663</v>
      </c>
      <c r="K1583" t="s">
        <v>38664</v>
      </c>
    </row>
    <row r="1584" spans="1:11" x14ac:dyDescent="0.15">
      <c r="A1584">
        <v>17823924</v>
      </c>
      <c r="B1584" t="s">
        <v>38665</v>
      </c>
      <c r="C1584" t="s">
        <v>38666</v>
      </c>
      <c r="D1584" t="s">
        <v>38667</v>
      </c>
      <c r="E1584" t="s">
        <v>38668</v>
      </c>
      <c r="F1584" t="s">
        <v>31192</v>
      </c>
      <c r="G1584">
        <v>2007</v>
      </c>
      <c r="H1584" s="1">
        <v>39333</v>
      </c>
      <c r="K1584" t="s">
        <v>38669</v>
      </c>
    </row>
    <row r="1585" spans="1:11" x14ac:dyDescent="0.15">
      <c r="A1585">
        <v>27180609</v>
      </c>
      <c r="B1585" t="s">
        <v>24125</v>
      </c>
      <c r="C1585" t="s">
        <v>38670</v>
      </c>
      <c r="D1585" t="s">
        <v>38671</v>
      </c>
      <c r="E1585" t="s">
        <v>38672</v>
      </c>
      <c r="F1585" t="s">
        <v>30834</v>
      </c>
      <c r="G1585">
        <v>2016</v>
      </c>
      <c r="H1585" s="1">
        <v>42507</v>
      </c>
      <c r="I1585" t="s">
        <v>38673</v>
      </c>
      <c r="K1585" t="s">
        <v>24134</v>
      </c>
    </row>
    <row r="1586" spans="1:11" x14ac:dyDescent="0.15">
      <c r="A1586">
        <v>21135092</v>
      </c>
      <c r="B1586" t="s">
        <v>38674</v>
      </c>
      <c r="C1586" t="s">
        <v>38675</v>
      </c>
      <c r="D1586" t="s">
        <v>38676</v>
      </c>
      <c r="E1586" t="s">
        <v>38677</v>
      </c>
      <c r="F1586" t="s">
        <v>31594</v>
      </c>
      <c r="G1586">
        <v>2011</v>
      </c>
      <c r="H1586" s="1">
        <v>40520</v>
      </c>
      <c r="I1586" t="s">
        <v>38678</v>
      </c>
      <c r="K1586" t="s">
        <v>38679</v>
      </c>
    </row>
    <row r="1587" spans="1:11" x14ac:dyDescent="0.15">
      <c r="A1587">
        <v>26246178</v>
      </c>
      <c r="B1587" t="s">
        <v>38680</v>
      </c>
      <c r="C1587" t="s">
        <v>38681</v>
      </c>
      <c r="D1587" t="s">
        <v>38682</v>
      </c>
      <c r="E1587" t="s">
        <v>38683</v>
      </c>
      <c r="F1587" t="s">
        <v>36549</v>
      </c>
      <c r="G1587">
        <v>2015</v>
      </c>
      <c r="H1587" s="1">
        <v>42223</v>
      </c>
      <c r="K1587" t="s">
        <v>38684</v>
      </c>
    </row>
    <row r="1588" spans="1:11" x14ac:dyDescent="0.15">
      <c r="A1588">
        <v>22910294</v>
      </c>
      <c r="B1588" t="s">
        <v>38685</v>
      </c>
      <c r="C1588" t="s">
        <v>38686</v>
      </c>
      <c r="D1588" t="s">
        <v>38687</v>
      </c>
      <c r="E1588" t="s">
        <v>38688</v>
      </c>
      <c r="F1588" t="s">
        <v>30786</v>
      </c>
      <c r="G1588">
        <v>2013</v>
      </c>
      <c r="H1588" s="1">
        <v>41144</v>
      </c>
      <c r="I1588" t="s">
        <v>38689</v>
      </c>
      <c r="K1588" t="s">
        <v>13584</v>
      </c>
    </row>
    <row r="1589" spans="1:11" x14ac:dyDescent="0.15">
      <c r="A1589">
        <v>29624165</v>
      </c>
      <c r="B1589" t="s">
        <v>38690</v>
      </c>
      <c r="C1589" t="s">
        <v>38691</v>
      </c>
      <c r="D1589" t="s">
        <v>38692</v>
      </c>
      <c r="E1589" t="s">
        <v>34195</v>
      </c>
      <c r="F1589" t="s">
        <v>36122</v>
      </c>
      <c r="G1589">
        <v>2018</v>
      </c>
      <c r="H1589" s="1">
        <v>43197</v>
      </c>
      <c r="K1589" t="s">
        <v>38693</v>
      </c>
    </row>
    <row r="1590" spans="1:11" x14ac:dyDescent="0.15">
      <c r="A1590">
        <v>33021603</v>
      </c>
      <c r="B1590" t="s">
        <v>21040</v>
      </c>
      <c r="C1590" t="s">
        <v>38694</v>
      </c>
      <c r="D1590" t="s">
        <v>38695</v>
      </c>
      <c r="E1590" t="s">
        <v>38696</v>
      </c>
      <c r="F1590" t="s">
        <v>38697</v>
      </c>
      <c r="G1590">
        <v>2021</v>
      </c>
      <c r="H1590" s="1">
        <v>44110</v>
      </c>
      <c r="K1590" t="s">
        <v>21055</v>
      </c>
    </row>
    <row r="1591" spans="1:11" x14ac:dyDescent="0.15">
      <c r="A1591">
        <v>29896679</v>
      </c>
      <c r="B1591" t="s">
        <v>23364</v>
      </c>
      <c r="C1591" t="s">
        <v>38698</v>
      </c>
      <c r="D1591" t="s">
        <v>38699</v>
      </c>
      <c r="E1591" t="s">
        <v>38700</v>
      </c>
      <c r="F1591" t="s">
        <v>31023</v>
      </c>
      <c r="G1591">
        <v>2018</v>
      </c>
      <c r="H1591" s="1">
        <v>43265</v>
      </c>
      <c r="K1591" t="s">
        <v>23374</v>
      </c>
    </row>
    <row r="1592" spans="1:11" x14ac:dyDescent="0.15">
      <c r="A1592">
        <v>17030625</v>
      </c>
      <c r="B1592" t="s">
        <v>38701</v>
      </c>
      <c r="C1592" t="s">
        <v>38702</v>
      </c>
      <c r="D1592" t="s">
        <v>38703</v>
      </c>
      <c r="E1592" t="s">
        <v>38704</v>
      </c>
      <c r="F1592" t="s">
        <v>33347</v>
      </c>
      <c r="G1592">
        <v>2007</v>
      </c>
      <c r="H1592" s="1">
        <v>39003</v>
      </c>
      <c r="I1592" t="s">
        <v>38705</v>
      </c>
      <c r="K1592" t="s">
        <v>38706</v>
      </c>
    </row>
    <row r="1593" spans="1:11" x14ac:dyDescent="0.15">
      <c r="A1593">
        <v>16583463</v>
      </c>
      <c r="B1593" t="s">
        <v>38707</v>
      </c>
      <c r="C1593" t="s">
        <v>38708</v>
      </c>
      <c r="D1593" t="s">
        <v>38709</v>
      </c>
      <c r="E1593" t="s">
        <v>38710</v>
      </c>
      <c r="F1593" t="s">
        <v>36358</v>
      </c>
      <c r="G1593">
        <v>2006</v>
      </c>
      <c r="H1593" s="1">
        <v>38811</v>
      </c>
    </row>
    <row r="1594" spans="1:11" x14ac:dyDescent="0.15">
      <c r="A1594">
        <v>19400954</v>
      </c>
      <c r="B1594" t="s">
        <v>38711</v>
      </c>
      <c r="C1594" t="s">
        <v>38712</v>
      </c>
      <c r="D1594" t="s">
        <v>38713</v>
      </c>
      <c r="E1594" t="s">
        <v>34614</v>
      </c>
      <c r="F1594" t="s">
        <v>31800</v>
      </c>
      <c r="G1594">
        <v>2009</v>
      </c>
      <c r="H1594" s="1">
        <v>39933</v>
      </c>
      <c r="I1594" t="s">
        <v>38714</v>
      </c>
      <c r="K1594" t="s">
        <v>38715</v>
      </c>
    </row>
    <row r="1595" spans="1:11" x14ac:dyDescent="0.15">
      <c r="A1595">
        <v>19549916</v>
      </c>
      <c r="B1595" t="s">
        <v>38716</v>
      </c>
      <c r="C1595" t="s">
        <v>38717</v>
      </c>
      <c r="D1595" t="s">
        <v>38718</v>
      </c>
      <c r="E1595" t="s">
        <v>38719</v>
      </c>
      <c r="F1595" t="s">
        <v>31167</v>
      </c>
      <c r="G1595">
        <v>2009</v>
      </c>
      <c r="H1595" s="1">
        <v>39989</v>
      </c>
      <c r="I1595" t="s">
        <v>38720</v>
      </c>
      <c r="J1595" t="s">
        <v>38721</v>
      </c>
      <c r="K1595" t="s">
        <v>38722</v>
      </c>
    </row>
    <row r="1596" spans="1:11" x14ac:dyDescent="0.15">
      <c r="A1596">
        <v>7592648</v>
      </c>
      <c r="B1596" t="s">
        <v>38723</v>
      </c>
      <c r="C1596" t="s">
        <v>38724</v>
      </c>
      <c r="D1596" t="s">
        <v>38725</v>
      </c>
      <c r="E1596" t="s">
        <v>38726</v>
      </c>
      <c r="F1596" t="s">
        <v>31594</v>
      </c>
      <c r="G1596">
        <v>1995</v>
      </c>
      <c r="H1596" s="1">
        <v>34985</v>
      </c>
      <c r="K1596" t="s">
        <v>22797</v>
      </c>
    </row>
    <row r="1597" spans="1:11" x14ac:dyDescent="0.15">
      <c r="A1597">
        <v>33693781</v>
      </c>
      <c r="B1597" t="s">
        <v>24350</v>
      </c>
      <c r="C1597" t="s">
        <v>38727</v>
      </c>
      <c r="D1597" t="s">
        <v>38728</v>
      </c>
      <c r="E1597" t="s">
        <v>38729</v>
      </c>
      <c r="F1597" t="s">
        <v>33410</v>
      </c>
      <c r="G1597">
        <v>2021</v>
      </c>
      <c r="H1597" s="1">
        <v>44266</v>
      </c>
      <c r="I1597" t="s">
        <v>38730</v>
      </c>
      <c r="K1597" t="s">
        <v>24359</v>
      </c>
    </row>
    <row r="1598" spans="1:11" x14ac:dyDescent="0.15">
      <c r="A1598">
        <v>32028208</v>
      </c>
      <c r="B1598" t="s">
        <v>25068</v>
      </c>
      <c r="C1598" t="s">
        <v>38731</v>
      </c>
      <c r="D1598" t="s">
        <v>38732</v>
      </c>
      <c r="E1598" t="s">
        <v>36496</v>
      </c>
      <c r="F1598" t="s">
        <v>38733</v>
      </c>
      <c r="G1598">
        <v>2020</v>
      </c>
      <c r="H1598" s="1">
        <v>43868</v>
      </c>
      <c r="K1598" t="s">
        <v>25081</v>
      </c>
    </row>
    <row r="1599" spans="1:11" x14ac:dyDescent="0.15">
      <c r="A1599">
        <v>32806709</v>
      </c>
      <c r="B1599" t="s">
        <v>21849</v>
      </c>
      <c r="C1599" t="s">
        <v>38734</v>
      </c>
      <c r="D1599" t="s">
        <v>38735</v>
      </c>
      <c r="E1599" t="s">
        <v>38736</v>
      </c>
      <c r="F1599" t="s">
        <v>30655</v>
      </c>
      <c r="G1599">
        <v>2020</v>
      </c>
      <c r="H1599" s="1">
        <v>44062</v>
      </c>
      <c r="I1599" t="s">
        <v>38737</v>
      </c>
      <c r="K1599" t="s">
        <v>21859</v>
      </c>
    </row>
    <row r="1600" spans="1:11" x14ac:dyDescent="0.15">
      <c r="A1600">
        <v>3323883</v>
      </c>
      <c r="B1600" t="s">
        <v>38738</v>
      </c>
      <c r="C1600" t="s">
        <v>38739</v>
      </c>
      <c r="D1600" t="s">
        <v>38740</v>
      </c>
      <c r="E1600" t="s">
        <v>38741</v>
      </c>
      <c r="F1600" t="s">
        <v>33347</v>
      </c>
      <c r="G1600">
        <v>1987</v>
      </c>
      <c r="H1600" s="1">
        <v>32082</v>
      </c>
      <c r="I1600" t="s">
        <v>38742</v>
      </c>
      <c r="K1600" t="s">
        <v>38743</v>
      </c>
    </row>
    <row r="1601" spans="1:11" x14ac:dyDescent="0.15">
      <c r="A1601">
        <v>21596787</v>
      </c>
      <c r="B1601" t="s">
        <v>38744</v>
      </c>
      <c r="C1601" t="s">
        <v>38745</v>
      </c>
      <c r="D1601" t="s">
        <v>38746</v>
      </c>
      <c r="E1601" t="s">
        <v>38747</v>
      </c>
      <c r="F1601" t="s">
        <v>31587</v>
      </c>
      <c r="G1601">
        <v>2011</v>
      </c>
      <c r="H1601" s="1">
        <v>40684</v>
      </c>
      <c r="I1601" t="s">
        <v>38748</v>
      </c>
      <c r="K1601" t="s">
        <v>38749</v>
      </c>
    </row>
    <row r="1602" spans="1:11" x14ac:dyDescent="0.15">
      <c r="A1602">
        <v>12417727</v>
      </c>
      <c r="B1602" t="s">
        <v>38750</v>
      </c>
      <c r="C1602" t="s">
        <v>38751</v>
      </c>
      <c r="D1602" t="s">
        <v>38752</v>
      </c>
      <c r="E1602" t="s">
        <v>38753</v>
      </c>
      <c r="F1602" t="s">
        <v>33347</v>
      </c>
      <c r="G1602">
        <v>2002</v>
      </c>
      <c r="H1602" s="1">
        <v>37566</v>
      </c>
      <c r="I1602" t="s">
        <v>38754</v>
      </c>
      <c r="K1602" t="s">
        <v>38755</v>
      </c>
    </row>
    <row r="1603" spans="1:11" x14ac:dyDescent="0.15">
      <c r="A1603">
        <v>19141608</v>
      </c>
      <c r="B1603" t="s">
        <v>38756</v>
      </c>
      <c r="C1603" t="s">
        <v>38757</v>
      </c>
      <c r="D1603" t="s">
        <v>38758</v>
      </c>
      <c r="E1603" t="s">
        <v>38759</v>
      </c>
      <c r="F1603" t="s">
        <v>11924</v>
      </c>
      <c r="G1603">
        <v>2009</v>
      </c>
      <c r="H1603" s="1">
        <v>39828</v>
      </c>
      <c r="I1603" t="s">
        <v>38760</v>
      </c>
      <c r="K1603" t="s">
        <v>38761</v>
      </c>
    </row>
    <row r="1604" spans="1:11" x14ac:dyDescent="0.15">
      <c r="A1604">
        <v>8823304</v>
      </c>
      <c r="B1604" t="s">
        <v>38762</v>
      </c>
      <c r="C1604" t="s">
        <v>38763</v>
      </c>
      <c r="D1604" t="s">
        <v>38764</v>
      </c>
      <c r="E1604" t="s">
        <v>38765</v>
      </c>
      <c r="F1604" t="s">
        <v>30566</v>
      </c>
      <c r="G1604">
        <v>1996</v>
      </c>
      <c r="H1604" s="1">
        <v>35323</v>
      </c>
      <c r="I1604" t="s">
        <v>38766</v>
      </c>
      <c r="K1604" t="s">
        <v>38767</v>
      </c>
    </row>
    <row r="1605" spans="1:11" x14ac:dyDescent="0.15">
      <c r="A1605">
        <v>27071670</v>
      </c>
      <c r="B1605" t="s">
        <v>17161</v>
      </c>
      <c r="C1605" t="s">
        <v>38768</v>
      </c>
      <c r="D1605" t="s">
        <v>38769</v>
      </c>
      <c r="E1605" t="s">
        <v>38770</v>
      </c>
      <c r="F1605" t="s">
        <v>33082</v>
      </c>
      <c r="G1605">
        <v>2016</v>
      </c>
      <c r="H1605" s="1">
        <v>42474</v>
      </c>
      <c r="I1605" t="s">
        <v>38771</v>
      </c>
      <c r="K1605" t="s">
        <v>17174</v>
      </c>
    </row>
    <row r="1606" spans="1:11" x14ac:dyDescent="0.15">
      <c r="A1606">
        <v>11207362</v>
      </c>
      <c r="B1606" t="s">
        <v>38772</v>
      </c>
      <c r="C1606" t="s">
        <v>38773</v>
      </c>
      <c r="D1606" t="s">
        <v>38774</v>
      </c>
      <c r="E1606" t="s">
        <v>38775</v>
      </c>
      <c r="F1606" t="s">
        <v>30555</v>
      </c>
      <c r="G1606">
        <v>2001</v>
      </c>
      <c r="H1606" s="1">
        <v>36946</v>
      </c>
      <c r="K1606" t="s">
        <v>38776</v>
      </c>
    </row>
    <row r="1607" spans="1:11" x14ac:dyDescent="0.15">
      <c r="A1607">
        <v>21762677</v>
      </c>
      <c r="B1607" t="s">
        <v>38777</v>
      </c>
      <c r="C1607" t="s">
        <v>38778</v>
      </c>
      <c r="D1607" t="s">
        <v>38779</v>
      </c>
      <c r="E1607" t="s">
        <v>38780</v>
      </c>
      <c r="F1607" t="s">
        <v>34553</v>
      </c>
      <c r="G1607">
        <v>2011</v>
      </c>
      <c r="H1607" s="1">
        <v>40743</v>
      </c>
      <c r="I1607" t="s">
        <v>38781</v>
      </c>
      <c r="J1607" t="s">
        <v>38782</v>
      </c>
      <c r="K1607" t="s">
        <v>38783</v>
      </c>
    </row>
    <row r="1608" spans="1:11" x14ac:dyDescent="0.15">
      <c r="A1608">
        <v>10810147</v>
      </c>
      <c r="B1608" t="s">
        <v>38784</v>
      </c>
      <c r="C1608" t="s">
        <v>38785</v>
      </c>
      <c r="D1608" t="s">
        <v>38786</v>
      </c>
      <c r="E1608" t="s">
        <v>38787</v>
      </c>
      <c r="F1608" t="s">
        <v>36485</v>
      </c>
      <c r="G1608">
        <v>2000</v>
      </c>
      <c r="H1608" s="1">
        <v>36662</v>
      </c>
      <c r="I1608" t="s">
        <v>38788</v>
      </c>
      <c r="K1608" t="s">
        <v>38789</v>
      </c>
    </row>
    <row r="1609" spans="1:11" x14ac:dyDescent="0.15">
      <c r="A1609">
        <v>33040492</v>
      </c>
      <c r="B1609" t="s">
        <v>8384</v>
      </c>
      <c r="C1609" t="s">
        <v>38790</v>
      </c>
      <c r="D1609" t="s">
        <v>38791</v>
      </c>
      <c r="E1609" t="s">
        <v>38792</v>
      </c>
      <c r="F1609" t="s">
        <v>38793</v>
      </c>
      <c r="G1609">
        <v>2021</v>
      </c>
      <c r="H1609" s="1">
        <v>44115</v>
      </c>
      <c r="I1609" t="s">
        <v>38794</v>
      </c>
      <c r="J1609" t="s">
        <v>38795</v>
      </c>
      <c r="K1609" t="s">
        <v>8397</v>
      </c>
    </row>
    <row r="1610" spans="1:11" x14ac:dyDescent="0.15">
      <c r="A1610">
        <v>20528772</v>
      </c>
      <c r="B1610" t="s">
        <v>38796</v>
      </c>
      <c r="C1610" t="s">
        <v>38797</v>
      </c>
      <c r="D1610" t="s">
        <v>38798</v>
      </c>
      <c r="E1610" t="s">
        <v>38799</v>
      </c>
      <c r="F1610" t="s">
        <v>31059</v>
      </c>
      <c r="G1610">
        <v>2010</v>
      </c>
      <c r="H1610" s="1">
        <v>40339</v>
      </c>
      <c r="K1610" t="s">
        <v>38800</v>
      </c>
    </row>
    <row r="1611" spans="1:11" x14ac:dyDescent="0.15">
      <c r="A1611">
        <v>24859313</v>
      </c>
      <c r="B1611" t="s">
        <v>38801</v>
      </c>
      <c r="C1611" t="s">
        <v>38802</v>
      </c>
      <c r="D1611" t="s">
        <v>38803</v>
      </c>
      <c r="E1611" t="s">
        <v>38804</v>
      </c>
      <c r="F1611" t="s">
        <v>38805</v>
      </c>
      <c r="G1611">
        <v>2014</v>
      </c>
      <c r="H1611" s="1">
        <v>41786</v>
      </c>
      <c r="I1611" t="s">
        <v>38806</v>
      </c>
      <c r="K1611" t="s">
        <v>38807</v>
      </c>
    </row>
    <row r="1612" spans="1:11" x14ac:dyDescent="0.15">
      <c r="A1612">
        <v>14651978</v>
      </c>
      <c r="B1612" t="s">
        <v>38808</v>
      </c>
      <c r="C1612" t="s">
        <v>38809</v>
      </c>
      <c r="D1612" t="s">
        <v>38810</v>
      </c>
      <c r="E1612" t="s">
        <v>31857</v>
      </c>
      <c r="F1612" t="s">
        <v>32654</v>
      </c>
      <c r="G1612">
        <v>2003</v>
      </c>
      <c r="H1612" s="1">
        <v>37959</v>
      </c>
      <c r="K1612" t="s">
        <v>22518</v>
      </c>
    </row>
    <row r="1613" spans="1:11" x14ac:dyDescent="0.15">
      <c r="A1613">
        <v>20684017</v>
      </c>
      <c r="B1613" t="s">
        <v>38811</v>
      </c>
      <c r="C1613" t="s">
        <v>38812</v>
      </c>
      <c r="D1613" t="s">
        <v>38813</v>
      </c>
      <c r="E1613" t="s">
        <v>38814</v>
      </c>
      <c r="F1613" t="s">
        <v>38815</v>
      </c>
      <c r="G1613">
        <v>2011</v>
      </c>
      <c r="H1613" s="1">
        <v>40395</v>
      </c>
      <c r="K1613" t="s">
        <v>25391</v>
      </c>
    </row>
    <row r="1614" spans="1:11" x14ac:dyDescent="0.15">
      <c r="A1614">
        <v>11746262</v>
      </c>
      <c r="B1614" t="s">
        <v>38816</v>
      </c>
      <c r="C1614" t="s">
        <v>38817</v>
      </c>
      <c r="D1614" t="s">
        <v>38818</v>
      </c>
      <c r="E1614" t="s">
        <v>38819</v>
      </c>
      <c r="F1614" t="s">
        <v>31192</v>
      </c>
      <c r="G1614">
        <v>2001</v>
      </c>
      <c r="H1614" s="1">
        <v>37243</v>
      </c>
      <c r="K1614" t="s">
        <v>24955</v>
      </c>
    </row>
    <row r="1615" spans="1:11" x14ac:dyDescent="0.15">
      <c r="A1615">
        <v>25701498</v>
      </c>
      <c r="B1615" t="s">
        <v>38820</v>
      </c>
      <c r="C1615" t="s">
        <v>38821</v>
      </c>
      <c r="D1615" t="s">
        <v>38822</v>
      </c>
      <c r="E1615" t="s">
        <v>38823</v>
      </c>
      <c r="F1615" t="s">
        <v>38824</v>
      </c>
      <c r="G1615">
        <v>2015</v>
      </c>
      <c r="H1615" s="1">
        <v>42057</v>
      </c>
      <c r="K1615" t="s">
        <v>27865</v>
      </c>
    </row>
    <row r="1616" spans="1:11" x14ac:dyDescent="0.15">
      <c r="A1616">
        <v>1953351</v>
      </c>
      <c r="B1616" t="s">
        <v>38825</v>
      </c>
      <c r="C1616" t="s">
        <v>38826</v>
      </c>
      <c r="D1616" t="s">
        <v>38827</v>
      </c>
      <c r="E1616" t="s">
        <v>38828</v>
      </c>
      <c r="F1616" t="s">
        <v>38829</v>
      </c>
      <c r="G1616">
        <v>1991</v>
      </c>
      <c r="H1616" s="1">
        <v>33239</v>
      </c>
      <c r="K1616" t="s">
        <v>24585</v>
      </c>
    </row>
    <row r="1617" spans="1:11" x14ac:dyDescent="0.15">
      <c r="A1617">
        <v>17101774</v>
      </c>
      <c r="B1617" t="s">
        <v>38830</v>
      </c>
      <c r="C1617" t="s">
        <v>38831</v>
      </c>
      <c r="D1617" t="s">
        <v>38832</v>
      </c>
      <c r="E1617" t="s">
        <v>38833</v>
      </c>
      <c r="F1617" t="s">
        <v>33347</v>
      </c>
      <c r="G1617">
        <v>2007</v>
      </c>
      <c r="H1617" s="1">
        <v>39036</v>
      </c>
      <c r="I1617" t="s">
        <v>38834</v>
      </c>
      <c r="K1617" t="s">
        <v>38835</v>
      </c>
    </row>
    <row r="1618" spans="1:11" x14ac:dyDescent="0.15">
      <c r="A1618">
        <v>29916023</v>
      </c>
      <c r="B1618" t="s">
        <v>38836</v>
      </c>
      <c r="C1618" t="s">
        <v>34748</v>
      </c>
      <c r="D1618" t="s">
        <v>38837</v>
      </c>
      <c r="E1618" t="s">
        <v>34750</v>
      </c>
      <c r="F1618" t="s">
        <v>38838</v>
      </c>
      <c r="G1618">
        <v>2018</v>
      </c>
      <c r="H1618" s="1">
        <v>43271</v>
      </c>
      <c r="K1618" t="s">
        <v>38839</v>
      </c>
    </row>
    <row r="1619" spans="1:11" x14ac:dyDescent="0.15">
      <c r="A1619">
        <v>22491717</v>
      </c>
      <c r="B1619" t="s">
        <v>38840</v>
      </c>
      <c r="C1619" t="s">
        <v>38841</v>
      </c>
      <c r="D1619" t="s">
        <v>38842</v>
      </c>
      <c r="E1619" t="s">
        <v>38843</v>
      </c>
      <c r="F1619" t="s">
        <v>37322</v>
      </c>
      <c r="G1619">
        <v>2012</v>
      </c>
      <c r="H1619" s="1">
        <v>41011</v>
      </c>
      <c r="K1619" t="s">
        <v>38844</v>
      </c>
    </row>
    <row r="1620" spans="1:11" x14ac:dyDescent="0.15">
      <c r="A1620">
        <v>25110305</v>
      </c>
      <c r="B1620" t="s">
        <v>38845</v>
      </c>
      <c r="C1620" t="s">
        <v>38846</v>
      </c>
      <c r="D1620" t="s">
        <v>38847</v>
      </c>
      <c r="E1620" t="s">
        <v>38848</v>
      </c>
      <c r="F1620" t="s">
        <v>38849</v>
      </c>
      <c r="G1620">
        <v>2014</v>
      </c>
      <c r="H1620" s="1">
        <v>41863</v>
      </c>
      <c r="K1620" t="s">
        <v>38850</v>
      </c>
    </row>
    <row r="1621" spans="1:11" x14ac:dyDescent="0.15">
      <c r="A1621">
        <v>16054883</v>
      </c>
      <c r="B1621" t="s">
        <v>38851</v>
      </c>
      <c r="C1621" t="s">
        <v>38852</v>
      </c>
      <c r="D1621" t="s">
        <v>38853</v>
      </c>
      <c r="E1621" t="s">
        <v>38854</v>
      </c>
      <c r="F1621" t="s">
        <v>36781</v>
      </c>
      <c r="G1621">
        <v>2005</v>
      </c>
      <c r="H1621" s="1">
        <v>38566</v>
      </c>
      <c r="K1621" t="s">
        <v>38855</v>
      </c>
    </row>
    <row r="1622" spans="1:11" x14ac:dyDescent="0.15">
      <c r="A1622">
        <v>17450151</v>
      </c>
      <c r="B1622" t="s">
        <v>38856</v>
      </c>
      <c r="C1622" t="s">
        <v>38857</v>
      </c>
      <c r="D1622" t="s">
        <v>38858</v>
      </c>
      <c r="E1622" t="s">
        <v>38859</v>
      </c>
      <c r="F1622" t="s">
        <v>38145</v>
      </c>
      <c r="G1622">
        <v>2007</v>
      </c>
      <c r="H1622" s="1">
        <v>39196</v>
      </c>
      <c r="K1622" t="s">
        <v>38860</v>
      </c>
    </row>
    <row r="1623" spans="1:11" x14ac:dyDescent="0.15">
      <c r="A1623">
        <v>11090220</v>
      </c>
      <c r="B1623" t="s">
        <v>38861</v>
      </c>
      <c r="C1623" t="s">
        <v>38862</v>
      </c>
      <c r="D1623" t="s">
        <v>38863</v>
      </c>
      <c r="E1623" t="s">
        <v>38864</v>
      </c>
      <c r="F1623" t="s">
        <v>36485</v>
      </c>
      <c r="G1623">
        <v>2000</v>
      </c>
      <c r="H1623" s="1">
        <v>36853</v>
      </c>
      <c r="I1623" t="s">
        <v>38865</v>
      </c>
      <c r="K1623" t="s">
        <v>38866</v>
      </c>
    </row>
    <row r="1624" spans="1:11" x14ac:dyDescent="0.15">
      <c r="A1624">
        <v>29197005</v>
      </c>
      <c r="B1624" t="s">
        <v>38867</v>
      </c>
      <c r="C1624" t="s">
        <v>38868</v>
      </c>
      <c r="D1624" t="s">
        <v>38869</v>
      </c>
      <c r="E1624" t="s">
        <v>38870</v>
      </c>
      <c r="F1624" t="s">
        <v>31003</v>
      </c>
      <c r="G1624">
        <v>2018</v>
      </c>
      <c r="H1624" s="1">
        <v>43072</v>
      </c>
      <c r="K1624" t="s">
        <v>38871</v>
      </c>
    </row>
    <row r="1625" spans="1:11" x14ac:dyDescent="0.15">
      <c r="A1625">
        <v>28771197</v>
      </c>
      <c r="B1625" t="s">
        <v>38872</v>
      </c>
      <c r="C1625" t="s">
        <v>38873</v>
      </c>
      <c r="D1625" t="s">
        <v>38874</v>
      </c>
      <c r="E1625" t="s">
        <v>38875</v>
      </c>
      <c r="F1625" t="s">
        <v>30720</v>
      </c>
      <c r="G1625">
        <v>2017</v>
      </c>
      <c r="H1625" s="1">
        <v>42951</v>
      </c>
      <c r="I1625" t="s">
        <v>38876</v>
      </c>
      <c r="K1625" t="s">
        <v>27402</v>
      </c>
    </row>
    <row r="1626" spans="1:11" x14ac:dyDescent="0.15">
      <c r="A1626">
        <v>8794864</v>
      </c>
      <c r="B1626" t="s">
        <v>38877</v>
      </c>
      <c r="C1626" t="s">
        <v>38878</v>
      </c>
      <c r="D1626" t="s">
        <v>38879</v>
      </c>
      <c r="E1626" t="s">
        <v>38880</v>
      </c>
      <c r="F1626" t="s">
        <v>30828</v>
      </c>
      <c r="G1626">
        <v>1996</v>
      </c>
      <c r="H1626" s="1">
        <v>35309</v>
      </c>
      <c r="I1626" t="s">
        <v>38881</v>
      </c>
      <c r="K1626" t="s">
        <v>38882</v>
      </c>
    </row>
    <row r="1627" spans="1:11" x14ac:dyDescent="0.15">
      <c r="A1627">
        <v>34089229</v>
      </c>
      <c r="B1627" t="s">
        <v>38883</v>
      </c>
      <c r="C1627" t="s">
        <v>38884</v>
      </c>
      <c r="D1627" t="s">
        <v>38885</v>
      </c>
      <c r="E1627" t="s">
        <v>38886</v>
      </c>
      <c r="F1627" t="s">
        <v>38887</v>
      </c>
      <c r="G1627">
        <v>2021</v>
      </c>
      <c r="H1627" s="1">
        <v>44352</v>
      </c>
      <c r="I1627" t="s">
        <v>38888</v>
      </c>
      <c r="J1627" t="s">
        <v>38889</v>
      </c>
      <c r="K1627" t="s">
        <v>38890</v>
      </c>
    </row>
    <row r="1628" spans="1:11" x14ac:dyDescent="0.15">
      <c r="A1628">
        <v>19996457</v>
      </c>
      <c r="B1628" t="s">
        <v>38891</v>
      </c>
      <c r="C1628" t="s">
        <v>38892</v>
      </c>
      <c r="D1628" t="s">
        <v>38893</v>
      </c>
      <c r="E1628" t="s">
        <v>38894</v>
      </c>
      <c r="F1628" t="s">
        <v>33555</v>
      </c>
      <c r="G1628">
        <v>2009</v>
      </c>
      <c r="H1628" s="1">
        <v>40157</v>
      </c>
      <c r="K1628" t="s">
        <v>38895</v>
      </c>
    </row>
    <row r="1629" spans="1:11" x14ac:dyDescent="0.15">
      <c r="A1629">
        <v>24145019</v>
      </c>
      <c r="B1629" t="s">
        <v>38896</v>
      </c>
      <c r="C1629" t="s">
        <v>38897</v>
      </c>
      <c r="D1629" t="s">
        <v>38898</v>
      </c>
      <c r="E1629" t="s">
        <v>38899</v>
      </c>
      <c r="F1629" t="s">
        <v>33549</v>
      </c>
      <c r="G1629">
        <v>2013</v>
      </c>
      <c r="H1629" s="1">
        <v>41570</v>
      </c>
      <c r="I1629" t="s">
        <v>38900</v>
      </c>
      <c r="J1629" t="s">
        <v>38901</v>
      </c>
      <c r="K1629" t="s">
        <v>38902</v>
      </c>
    </row>
    <row r="1630" spans="1:11" x14ac:dyDescent="0.15">
      <c r="A1630">
        <v>9875267</v>
      </c>
      <c r="B1630" t="s">
        <v>22917</v>
      </c>
      <c r="C1630" t="s">
        <v>38903</v>
      </c>
      <c r="D1630" t="s">
        <v>38904</v>
      </c>
      <c r="E1630" t="s">
        <v>38905</v>
      </c>
      <c r="F1630" t="s">
        <v>38906</v>
      </c>
      <c r="G1630">
        <v>1998</v>
      </c>
      <c r="H1630" s="1">
        <v>36166</v>
      </c>
      <c r="K1630" t="s">
        <v>22930</v>
      </c>
    </row>
    <row r="1631" spans="1:11" x14ac:dyDescent="0.15">
      <c r="A1631">
        <v>28502611</v>
      </c>
      <c r="B1631" t="s">
        <v>38907</v>
      </c>
      <c r="C1631" t="s">
        <v>38908</v>
      </c>
      <c r="D1631" t="s">
        <v>38909</v>
      </c>
      <c r="E1631" t="s">
        <v>38910</v>
      </c>
      <c r="F1631" t="s">
        <v>33740</v>
      </c>
      <c r="G1631">
        <v>2017</v>
      </c>
      <c r="H1631" s="1">
        <v>42871</v>
      </c>
      <c r="I1631" t="s">
        <v>38911</v>
      </c>
      <c r="J1631" t="s">
        <v>38912</v>
      </c>
      <c r="K1631" t="s">
        <v>38913</v>
      </c>
    </row>
    <row r="1632" spans="1:11" x14ac:dyDescent="0.15">
      <c r="A1632">
        <v>24871369</v>
      </c>
      <c r="B1632" t="s">
        <v>38914</v>
      </c>
      <c r="C1632" t="s">
        <v>38915</v>
      </c>
      <c r="D1632" t="s">
        <v>38916</v>
      </c>
      <c r="E1632" t="s">
        <v>38917</v>
      </c>
      <c r="F1632" t="s">
        <v>32509</v>
      </c>
      <c r="G1632">
        <v>2014</v>
      </c>
      <c r="H1632" s="1">
        <v>41789</v>
      </c>
      <c r="I1632" t="s">
        <v>38918</v>
      </c>
      <c r="K1632" t="s">
        <v>38919</v>
      </c>
    </row>
    <row r="1633" spans="1:11" x14ac:dyDescent="0.15">
      <c r="A1633">
        <v>29710410</v>
      </c>
      <c r="B1633" t="s">
        <v>24153</v>
      </c>
      <c r="C1633" t="s">
        <v>38920</v>
      </c>
      <c r="D1633" t="s">
        <v>38921</v>
      </c>
      <c r="E1633" t="s">
        <v>38922</v>
      </c>
      <c r="F1633" t="s">
        <v>31367</v>
      </c>
      <c r="G1633">
        <v>2018</v>
      </c>
      <c r="H1633" s="1">
        <v>43221</v>
      </c>
      <c r="K1633" t="s">
        <v>24163</v>
      </c>
    </row>
    <row r="1634" spans="1:11" x14ac:dyDescent="0.15">
      <c r="A1634">
        <v>17708745</v>
      </c>
      <c r="B1634" t="s">
        <v>38923</v>
      </c>
      <c r="C1634" t="s">
        <v>38924</v>
      </c>
      <c r="D1634" t="s">
        <v>38925</v>
      </c>
      <c r="E1634" t="s">
        <v>38926</v>
      </c>
      <c r="F1634" t="s">
        <v>31059</v>
      </c>
      <c r="G1634">
        <v>2007</v>
      </c>
      <c r="H1634" s="1">
        <v>39316</v>
      </c>
      <c r="I1634" t="s">
        <v>38927</v>
      </c>
      <c r="K1634" t="s">
        <v>38928</v>
      </c>
    </row>
    <row r="1635" spans="1:11" x14ac:dyDescent="0.15">
      <c r="A1635">
        <v>11696331</v>
      </c>
      <c r="B1635" t="s">
        <v>38929</v>
      </c>
      <c r="C1635" t="s">
        <v>38930</v>
      </c>
      <c r="D1635" t="s">
        <v>38931</v>
      </c>
      <c r="E1635" t="s">
        <v>38932</v>
      </c>
      <c r="F1635" t="s">
        <v>30580</v>
      </c>
      <c r="G1635">
        <v>2001</v>
      </c>
      <c r="H1635" s="1">
        <v>37202</v>
      </c>
      <c r="K1635" t="s">
        <v>38933</v>
      </c>
    </row>
    <row r="1636" spans="1:11" x14ac:dyDescent="0.15">
      <c r="A1636">
        <v>18089561</v>
      </c>
      <c r="B1636" t="s">
        <v>38934</v>
      </c>
      <c r="C1636" t="s">
        <v>38935</v>
      </c>
      <c r="D1636" t="s">
        <v>38936</v>
      </c>
      <c r="E1636" t="s">
        <v>38937</v>
      </c>
      <c r="F1636" t="s">
        <v>31594</v>
      </c>
      <c r="G1636">
        <v>2008</v>
      </c>
      <c r="H1636" s="1">
        <v>39436</v>
      </c>
      <c r="K1636" t="s">
        <v>25729</v>
      </c>
    </row>
    <row r="1637" spans="1:11" x14ac:dyDescent="0.15">
      <c r="A1637">
        <v>6841453</v>
      </c>
      <c r="B1637" t="s">
        <v>38938</v>
      </c>
      <c r="C1637" t="s">
        <v>38939</v>
      </c>
      <c r="D1637" t="s">
        <v>38940</v>
      </c>
      <c r="E1637" t="s">
        <v>38941</v>
      </c>
      <c r="F1637" t="s">
        <v>30828</v>
      </c>
      <c r="G1637">
        <v>1983</v>
      </c>
      <c r="H1637" s="1">
        <v>30437</v>
      </c>
      <c r="I1637" t="s">
        <v>38942</v>
      </c>
      <c r="K1637" t="s">
        <v>38943</v>
      </c>
    </row>
    <row r="1638" spans="1:11" x14ac:dyDescent="0.15">
      <c r="A1638">
        <v>33819778</v>
      </c>
      <c r="B1638" t="s">
        <v>38944</v>
      </c>
      <c r="C1638" t="s">
        <v>38945</v>
      </c>
      <c r="D1638" t="s">
        <v>38946</v>
      </c>
      <c r="E1638" t="s">
        <v>38947</v>
      </c>
      <c r="F1638" t="s">
        <v>38948</v>
      </c>
      <c r="G1638">
        <v>2021</v>
      </c>
      <c r="H1638" s="1">
        <v>44291</v>
      </c>
      <c r="K1638" t="s">
        <v>38949</v>
      </c>
    </row>
    <row r="1639" spans="1:11" x14ac:dyDescent="0.15">
      <c r="A1639">
        <v>25925570</v>
      </c>
      <c r="B1639" t="s">
        <v>38950</v>
      </c>
      <c r="C1639" t="s">
        <v>38951</v>
      </c>
      <c r="D1639" t="s">
        <v>38952</v>
      </c>
      <c r="E1639" t="s">
        <v>38953</v>
      </c>
      <c r="F1639" t="s">
        <v>31587</v>
      </c>
      <c r="G1639">
        <v>2015</v>
      </c>
      <c r="H1639" s="1">
        <v>42125</v>
      </c>
      <c r="I1639" t="s">
        <v>38954</v>
      </c>
      <c r="K1639" t="s">
        <v>38955</v>
      </c>
    </row>
    <row r="1640" spans="1:11" x14ac:dyDescent="0.15">
      <c r="A1640">
        <v>23302111</v>
      </c>
      <c r="B1640" t="s">
        <v>38956</v>
      </c>
      <c r="C1640" t="s">
        <v>38957</v>
      </c>
      <c r="D1640" t="s">
        <v>38958</v>
      </c>
      <c r="E1640" t="s">
        <v>38051</v>
      </c>
      <c r="F1640" t="s">
        <v>38959</v>
      </c>
      <c r="G1640">
        <v>2013</v>
      </c>
      <c r="H1640" s="1">
        <v>41285</v>
      </c>
      <c r="I1640" t="s">
        <v>38960</v>
      </c>
      <c r="K1640" t="s">
        <v>38961</v>
      </c>
    </row>
    <row r="1641" spans="1:11" x14ac:dyDescent="0.15">
      <c r="A1641">
        <v>33239369</v>
      </c>
      <c r="B1641" t="s">
        <v>14657</v>
      </c>
      <c r="C1641" t="s">
        <v>38962</v>
      </c>
      <c r="D1641" t="s">
        <v>38963</v>
      </c>
      <c r="E1641" t="s">
        <v>38964</v>
      </c>
      <c r="F1641" t="s">
        <v>38965</v>
      </c>
      <c r="G1641">
        <v>2020</v>
      </c>
      <c r="H1641" s="1">
        <v>44161</v>
      </c>
      <c r="I1641" t="s">
        <v>38966</v>
      </c>
      <c r="K1641" t="s">
        <v>14670</v>
      </c>
    </row>
    <row r="1642" spans="1:11" x14ac:dyDescent="0.15">
      <c r="A1642">
        <v>25089631</v>
      </c>
      <c r="B1642" t="s">
        <v>38967</v>
      </c>
      <c r="C1642" t="s">
        <v>38968</v>
      </c>
      <c r="D1642" t="s">
        <v>38969</v>
      </c>
      <c r="E1642" t="s">
        <v>38970</v>
      </c>
      <c r="F1642" t="s">
        <v>34026</v>
      </c>
      <c r="G1642">
        <v>2014</v>
      </c>
      <c r="H1642" s="1">
        <v>41856</v>
      </c>
      <c r="I1642" t="s">
        <v>38971</v>
      </c>
      <c r="K1642" t="s">
        <v>38972</v>
      </c>
    </row>
    <row r="1643" spans="1:11" x14ac:dyDescent="0.15">
      <c r="A1643">
        <v>35024198</v>
      </c>
      <c r="B1643" t="s">
        <v>24932</v>
      </c>
      <c r="C1643" t="s">
        <v>38973</v>
      </c>
      <c r="D1643" t="s">
        <v>38974</v>
      </c>
      <c r="E1643" t="s">
        <v>38975</v>
      </c>
      <c r="F1643" t="s">
        <v>38976</v>
      </c>
      <c r="G1643">
        <v>2021</v>
      </c>
      <c r="H1643" s="1">
        <v>44574</v>
      </c>
      <c r="I1643" t="s">
        <v>38977</v>
      </c>
      <c r="K1643" t="s">
        <v>24943</v>
      </c>
    </row>
    <row r="1644" spans="1:11" x14ac:dyDescent="0.15">
      <c r="A1644">
        <v>31871254</v>
      </c>
      <c r="B1644" t="s">
        <v>38978</v>
      </c>
      <c r="C1644" t="s">
        <v>38979</v>
      </c>
      <c r="D1644" t="s">
        <v>38980</v>
      </c>
      <c r="E1644" t="s">
        <v>38981</v>
      </c>
      <c r="F1644" t="s">
        <v>32570</v>
      </c>
      <c r="G1644">
        <v>2020</v>
      </c>
      <c r="H1644" s="1">
        <v>43824</v>
      </c>
      <c r="I1644" t="s">
        <v>38982</v>
      </c>
      <c r="K1644" t="s">
        <v>38983</v>
      </c>
    </row>
    <row r="1645" spans="1:11" x14ac:dyDescent="0.15">
      <c r="A1645">
        <v>17124606</v>
      </c>
      <c r="B1645" t="s">
        <v>38984</v>
      </c>
      <c r="C1645" t="s">
        <v>38985</v>
      </c>
      <c r="D1645" t="s">
        <v>38986</v>
      </c>
      <c r="E1645" t="s">
        <v>38987</v>
      </c>
      <c r="F1645" t="s">
        <v>38988</v>
      </c>
      <c r="G1645">
        <v>2007</v>
      </c>
      <c r="H1645" s="1">
        <v>39046</v>
      </c>
      <c r="I1645" t="s">
        <v>38989</v>
      </c>
      <c r="K1645" t="s">
        <v>38990</v>
      </c>
    </row>
    <row r="1646" spans="1:11" x14ac:dyDescent="0.15">
      <c r="A1646">
        <v>9041195</v>
      </c>
      <c r="B1646" t="s">
        <v>38991</v>
      </c>
      <c r="C1646" t="s">
        <v>38992</v>
      </c>
      <c r="D1646" t="s">
        <v>38993</v>
      </c>
      <c r="E1646" t="s">
        <v>38994</v>
      </c>
      <c r="F1646" t="s">
        <v>31167</v>
      </c>
      <c r="G1646">
        <v>1997</v>
      </c>
      <c r="H1646" s="1">
        <v>35490</v>
      </c>
    </row>
    <row r="1647" spans="1:11" x14ac:dyDescent="0.15">
      <c r="A1647">
        <v>26337667</v>
      </c>
      <c r="B1647" t="s">
        <v>38995</v>
      </c>
      <c r="C1647" t="s">
        <v>38996</v>
      </c>
      <c r="D1647" t="s">
        <v>38997</v>
      </c>
      <c r="E1647" t="s">
        <v>38998</v>
      </c>
      <c r="F1647" t="s">
        <v>38999</v>
      </c>
      <c r="G1647">
        <v>2015</v>
      </c>
      <c r="H1647" s="1">
        <v>42252</v>
      </c>
      <c r="K1647" t="s">
        <v>39000</v>
      </c>
    </row>
    <row r="1648" spans="1:11" x14ac:dyDescent="0.15">
      <c r="A1648">
        <v>21616097</v>
      </c>
      <c r="B1648" t="s">
        <v>39001</v>
      </c>
      <c r="C1648" t="s">
        <v>39002</v>
      </c>
      <c r="D1648" t="s">
        <v>39003</v>
      </c>
      <c r="E1648" t="s">
        <v>39004</v>
      </c>
      <c r="F1648" t="s">
        <v>34553</v>
      </c>
      <c r="G1648">
        <v>2011</v>
      </c>
      <c r="H1648" s="1">
        <v>40691</v>
      </c>
      <c r="K1648" t="s">
        <v>39005</v>
      </c>
    </row>
    <row r="1649" spans="1:11" x14ac:dyDescent="0.15">
      <c r="A1649">
        <v>17595520</v>
      </c>
      <c r="B1649" t="s">
        <v>39006</v>
      </c>
      <c r="C1649" t="s">
        <v>39007</v>
      </c>
      <c r="D1649" t="s">
        <v>39008</v>
      </c>
      <c r="E1649" t="s">
        <v>39009</v>
      </c>
      <c r="F1649" t="s">
        <v>39010</v>
      </c>
      <c r="G1649">
        <v>2007</v>
      </c>
      <c r="H1649" s="1">
        <v>39261</v>
      </c>
      <c r="K1649" t="s">
        <v>39011</v>
      </c>
    </row>
    <row r="1650" spans="1:11" x14ac:dyDescent="0.15">
      <c r="A1650">
        <v>23284067</v>
      </c>
      <c r="B1650" t="s">
        <v>39012</v>
      </c>
      <c r="C1650" t="s">
        <v>39013</v>
      </c>
      <c r="D1650" t="s">
        <v>39014</v>
      </c>
      <c r="E1650" t="s">
        <v>39015</v>
      </c>
      <c r="F1650" t="s">
        <v>39016</v>
      </c>
      <c r="G1650">
        <v>2013</v>
      </c>
      <c r="H1650" s="1">
        <v>41278</v>
      </c>
      <c r="I1650" t="s">
        <v>39017</v>
      </c>
      <c r="K1650" t="s">
        <v>39018</v>
      </c>
    </row>
    <row r="1651" spans="1:11" x14ac:dyDescent="0.15">
      <c r="A1651">
        <v>17492310</v>
      </c>
      <c r="B1651" t="s">
        <v>39019</v>
      </c>
      <c r="C1651" t="s">
        <v>39020</v>
      </c>
      <c r="D1651" t="s">
        <v>39021</v>
      </c>
      <c r="E1651" t="s">
        <v>39022</v>
      </c>
      <c r="F1651" t="s">
        <v>39023</v>
      </c>
      <c r="G1651">
        <v>2007</v>
      </c>
      <c r="H1651" s="1">
        <v>39214</v>
      </c>
      <c r="K1651" t="s">
        <v>39024</v>
      </c>
    </row>
    <row r="1652" spans="1:11" x14ac:dyDescent="0.15">
      <c r="A1652">
        <v>33879557</v>
      </c>
      <c r="B1652" t="s">
        <v>29581</v>
      </c>
      <c r="C1652" t="s">
        <v>39025</v>
      </c>
      <c r="D1652" t="s">
        <v>39026</v>
      </c>
      <c r="E1652" t="s">
        <v>39027</v>
      </c>
      <c r="F1652" t="s">
        <v>34988</v>
      </c>
      <c r="G1652">
        <v>2021</v>
      </c>
      <c r="H1652" s="1">
        <v>44307</v>
      </c>
      <c r="I1652" t="s">
        <v>39028</v>
      </c>
      <c r="J1652" t="s">
        <v>39029</v>
      </c>
      <c r="K1652" t="s">
        <v>29589</v>
      </c>
    </row>
    <row r="1653" spans="1:11" x14ac:dyDescent="0.15">
      <c r="A1653">
        <v>7753798</v>
      </c>
      <c r="B1653" t="s">
        <v>39030</v>
      </c>
      <c r="C1653" t="s">
        <v>39031</v>
      </c>
      <c r="D1653" t="s">
        <v>39032</v>
      </c>
      <c r="E1653" t="s">
        <v>39033</v>
      </c>
      <c r="F1653" t="s">
        <v>30767</v>
      </c>
      <c r="G1653">
        <v>1995</v>
      </c>
      <c r="H1653" s="1">
        <v>34828</v>
      </c>
      <c r="I1653" t="s">
        <v>39034</v>
      </c>
      <c r="K1653" t="s">
        <v>39035</v>
      </c>
    </row>
    <row r="1654" spans="1:11" x14ac:dyDescent="0.15">
      <c r="A1654">
        <v>12414805</v>
      </c>
      <c r="B1654" t="s">
        <v>39036</v>
      </c>
      <c r="C1654" t="s">
        <v>39037</v>
      </c>
      <c r="D1654" t="s">
        <v>39038</v>
      </c>
      <c r="E1654" t="s">
        <v>37197</v>
      </c>
      <c r="F1654" t="s">
        <v>31594</v>
      </c>
      <c r="G1654">
        <v>2003</v>
      </c>
      <c r="H1654" s="1">
        <v>37565</v>
      </c>
      <c r="K1654" t="s">
        <v>39039</v>
      </c>
    </row>
    <row r="1655" spans="1:11" x14ac:dyDescent="0.15">
      <c r="A1655">
        <v>20634320</v>
      </c>
      <c r="B1655" t="s">
        <v>39040</v>
      </c>
      <c r="C1655" t="s">
        <v>39041</v>
      </c>
      <c r="D1655" t="s">
        <v>39042</v>
      </c>
      <c r="E1655" t="s">
        <v>39043</v>
      </c>
      <c r="F1655" t="s">
        <v>31824</v>
      </c>
      <c r="G1655">
        <v>2010</v>
      </c>
      <c r="H1655" s="1">
        <v>40376</v>
      </c>
      <c r="I1655" t="s">
        <v>39044</v>
      </c>
      <c r="K1655" t="s">
        <v>39045</v>
      </c>
    </row>
    <row r="1656" spans="1:11" x14ac:dyDescent="0.15">
      <c r="A1656">
        <v>34145038</v>
      </c>
      <c r="B1656" t="s">
        <v>39046</v>
      </c>
      <c r="C1656" t="s">
        <v>39047</v>
      </c>
      <c r="D1656" t="s">
        <v>39048</v>
      </c>
      <c r="E1656" t="s">
        <v>39049</v>
      </c>
      <c r="F1656" t="s">
        <v>31167</v>
      </c>
      <c r="G1656">
        <v>2021</v>
      </c>
      <c r="H1656" s="1">
        <v>44366</v>
      </c>
      <c r="I1656" t="s">
        <v>39050</v>
      </c>
      <c r="J1656" t="s">
        <v>39051</v>
      </c>
      <c r="K1656" t="s">
        <v>39052</v>
      </c>
    </row>
    <row r="1657" spans="1:11" x14ac:dyDescent="0.15">
      <c r="A1657">
        <v>20329788</v>
      </c>
      <c r="B1657" t="s">
        <v>39053</v>
      </c>
      <c r="C1657" t="s">
        <v>39054</v>
      </c>
      <c r="D1657" t="s">
        <v>39055</v>
      </c>
      <c r="E1657" t="s">
        <v>39056</v>
      </c>
      <c r="F1657" t="s">
        <v>36029</v>
      </c>
      <c r="G1657">
        <v>2010</v>
      </c>
      <c r="H1657" s="1">
        <v>40262</v>
      </c>
      <c r="K1657" t="s">
        <v>39057</v>
      </c>
    </row>
    <row r="1658" spans="1:11" x14ac:dyDescent="0.15">
      <c r="A1658">
        <v>16857350</v>
      </c>
      <c r="B1658" t="s">
        <v>39058</v>
      </c>
      <c r="C1658" t="s">
        <v>39059</v>
      </c>
      <c r="D1658" t="s">
        <v>39060</v>
      </c>
      <c r="E1658" t="s">
        <v>39061</v>
      </c>
      <c r="F1658" t="s">
        <v>34553</v>
      </c>
      <c r="G1658">
        <v>2006</v>
      </c>
      <c r="H1658" s="1">
        <v>38920</v>
      </c>
      <c r="K1658" t="s">
        <v>39062</v>
      </c>
    </row>
    <row r="1659" spans="1:11" x14ac:dyDescent="0.15">
      <c r="A1659">
        <v>15121901</v>
      </c>
      <c r="B1659" t="s">
        <v>39063</v>
      </c>
      <c r="C1659" t="s">
        <v>39064</v>
      </c>
      <c r="D1659" t="s">
        <v>39065</v>
      </c>
      <c r="E1659" t="s">
        <v>39066</v>
      </c>
      <c r="F1659" t="s">
        <v>31587</v>
      </c>
      <c r="G1659">
        <v>2004</v>
      </c>
      <c r="H1659" s="1">
        <v>38111</v>
      </c>
      <c r="I1659" t="s">
        <v>39067</v>
      </c>
      <c r="K1659" t="s">
        <v>39068</v>
      </c>
    </row>
    <row r="1660" spans="1:11" x14ac:dyDescent="0.15">
      <c r="A1660">
        <v>22653377</v>
      </c>
      <c r="B1660" t="s">
        <v>39069</v>
      </c>
      <c r="C1660" t="s">
        <v>39070</v>
      </c>
      <c r="D1660" t="s">
        <v>39071</v>
      </c>
      <c r="E1660" t="s">
        <v>39072</v>
      </c>
      <c r="F1660" t="s">
        <v>39073</v>
      </c>
      <c r="G1660">
        <v>2012</v>
      </c>
      <c r="H1660" s="1">
        <v>41062</v>
      </c>
      <c r="K1660" t="s">
        <v>39074</v>
      </c>
    </row>
    <row r="1661" spans="1:11" x14ac:dyDescent="0.15">
      <c r="A1661">
        <v>19019086</v>
      </c>
      <c r="B1661" t="s">
        <v>18876</v>
      </c>
      <c r="C1661" t="s">
        <v>39075</v>
      </c>
      <c r="D1661" t="s">
        <v>39076</v>
      </c>
      <c r="E1661" t="s">
        <v>39077</v>
      </c>
      <c r="F1661" t="s">
        <v>2064</v>
      </c>
      <c r="G1661">
        <v>2009</v>
      </c>
      <c r="H1661" s="1">
        <v>39773</v>
      </c>
      <c r="I1661" t="s">
        <v>39078</v>
      </c>
      <c r="K1661" t="s">
        <v>18887</v>
      </c>
    </row>
    <row r="1662" spans="1:11" x14ac:dyDescent="0.15">
      <c r="A1662">
        <v>25156738</v>
      </c>
      <c r="B1662" t="s">
        <v>39079</v>
      </c>
      <c r="C1662" t="s">
        <v>39080</v>
      </c>
      <c r="D1662" t="s">
        <v>39081</v>
      </c>
      <c r="E1662" t="s">
        <v>39082</v>
      </c>
      <c r="F1662" t="s">
        <v>33746</v>
      </c>
      <c r="G1662">
        <v>2014</v>
      </c>
      <c r="H1662" s="1">
        <v>41878</v>
      </c>
      <c r="I1662" t="s">
        <v>39083</v>
      </c>
      <c r="K1662" t="s">
        <v>39084</v>
      </c>
    </row>
    <row r="1663" spans="1:11" x14ac:dyDescent="0.15">
      <c r="A1663">
        <v>21410798</v>
      </c>
      <c r="B1663" t="s">
        <v>24050</v>
      </c>
      <c r="C1663" t="s">
        <v>39085</v>
      </c>
      <c r="D1663" t="s">
        <v>39086</v>
      </c>
      <c r="E1663" t="s">
        <v>39087</v>
      </c>
      <c r="F1663" t="s">
        <v>39088</v>
      </c>
      <c r="G1663">
        <v>2011</v>
      </c>
      <c r="H1663" s="1">
        <v>40620</v>
      </c>
      <c r="K1663" t="s">
        <v>24062</v>
      </c>
    </row>
    <row r="1664" spans="1:11" x14ac:dyDescent="0.15">
      <c r="A1664">
        <v>15829504</v>
      </c>
      <c r="B1664" t="s">
        <v>24194</v>
      </c>
      <c r="C1664" t="s">
        <v>39089</v>
      </c>
      <c r="D1664" t="s">
        <v>39090</v>
      </c>
      <c r="E1664" t="s">
        <v>39091</v>
      </c>
      <c r="F1664" t="s">
        <v>33359</v>
      </c>
      <c r="G1664">
        <v>2005</v>
      </c>
      <c r="H1664" s="1">
        <v>38457</v>
      </c>
      <c r="K1664" t="s">
        <v>24201</v>
      </c>
    </row>
    <row r="1665" spans="1:11" x14ac:dyDescent="0.15">
      <c r="A1665">
        <v>9756864</v>
      </c>
      <c r="B1665" t="s">
        <v>39092</v>
      </c>
      <c r="C1665" t="s">
        <v>39093</v>
      </c>
      <c r="D1665" t="s">
        <v>39094</v>
      </c>
      <c r="E1665" t="s">
        <v>39095</v>
      </c>
      <c r="F1665" t="s">
        <v>31594</v>
      </c>
      <c r="G1665">
        <v>1998</v>
      </c>
      <c r="H1665" s="1">
        <v>36071</v>
      </c>
      <c r="K1665" t="s">
        <v>39096</v>
      </c>
    </row>
    <row r="1666" spans="1:11" x14ac:dyDescent="0.15">
      <c r="A1666">
        <v>21440017</v>
      </c>
      <c r="B1666" t="s">
        <v>25126</v>
      </c>
      <c r="C1666" t="s">
        <v>39097</v>
      </c>
      <c r="D1666" t="s">
        <v>39098</v>
      </c>
      <c r="E1666" t="s">
        <v>39099</v>
      </c>
      <c r="F1666" t="s">
        <v>32328</v>
      </c>
      <c r="G1666">
        <v>2011</v>
      </c>
      <c r="H1666" s="1">
        <v>40631</v>
      </c>
      <c r="K1666" t="s">
        <v>25132</v>
      </c>
    </row>
    <row r="1667" spans="1:11" x14ac:dyDescent="0.15">
      <c r="A1667">
        <v>15778452</v>
      </c>
      <c r="B1667" t="s">
        <v>39100</v>
      </c>
      <c r="C1667" t="s">
        <v>39101</v>
      </c>
      <c r="D1667" t="s">
        <v>39102</v>
      </c>
      <c r="E1667" t="s">
        <v>39103</v>
      </c>
      <c r="F1667" t="s">
        <v>39104</v>
      </c>
      <c r="G1667">
        <v>2005</v>
      </c>
      <c r="H1667" s="1">
        <v>38433</v>
      </c>
      <c r="K1667" t="s">
        <v>39105</v>
      </c>
    </row>
    <row r="1668" spans="1:11" x14ac:dyDescent="0.15">
      <c r="A1668">
        <v>7945469</v>
      </c>
      <c r="B1668" t="s">
        <v>39106</v>
      </c>
      <c r="C1668" t="s">
        <v>39107</v>
      </c>
      <c r="D1668" t="s">
        <v>39108</v>
      </c>
      <c r="E1668" t="s">
        <v>36221</v>
      </c>
      <c r="F1668" t="s">
        <v>33478</v>
      </c>
      <c r="G1668">
        <v>1994</v>
      </c>
      <c r="H1668" s="1">
        <v>34608</v>
      </c>
      <c r="K1668" t="s">
        <v>39109</v>
      </c>
    </row>
    <row r="1669" spans="1:11" x14ac:dyDescent="0.15">
      <c r="A1669">
        <v>32264958</v>
      </c>
      <c r="B1669" t="s">
        <v>39110</v>
      </c>
      <c r="C1669" t="s">
        <v>39111</v>
      </c>
      <c r="D1669" t="s">
        <v>39112</v>
      </c>
      <c r="E1669" t="s">
        <v>39113</v>
      </c>
      <c r="F1669" t="s">
        <v>31438</v>
      </c>
      <c r="G1669">
        <v>2020</v>
      </c>
      <c r="H1669" s="1">
        <v>43930</v>
      </c>
      <c r="I1669" t="s">
        <v>39114</v>
      </c>
      <c r="K1669" t="s">
        <v>39115</v>
      </c>
    </row>
    <row r="1670" spans="1:11" x14ac:dyDescent="0.15">
      <c r="A1670">
        <v>14645565</v>
      </c>
      <c r="B1670" t="s">
        <v>39116</v>
      </c>
      <c r="C1670" t="s">
        <v>39117</v>
      </c>
      <c r="D1670" t="s">
        <v>39118</v>
      </c>
      <c r="E1670" t="s">
        <v>39119</v>
      </c>
      <c r="F1670" t="s">
        <v>31970</v>
      </c>
      <c r="G1670">
        <v>2003</v>
      </c>
      <c r="H1670" s="1">
        <v>37959</v>
      </c>
      <c r="I1670" t="s">
        <v>39120</v>
      </c>
      <c r="K1670" t="s">
        <v>39121</v>
      </c>
    </row>
    <row r="1671" spans="1:11" x14ac:dyDescent="0.15">
      <c r="A1671">
        <v>32160132</v>
      </c>
      <c r="B1671" t="s">
        <v>39122</v>
      </c>
      <c r="C1671" t="s">
        <v>39123</v>
      </c>
      <c r="D1671" t="s">
        <v>39124</v>
      </c>
      <c r="E1671" t="s">
        <v>39125</v>
      </c>
      <c r="F1671" t="s">
        <v>31512</v>
      </c>
      <c r="G1671">
        <v>2020</v>
      </c>
      <c r="H1671" s="1">
        <v>43902</v>
      </c>
      <c r="I1671" t="s">
        <v>39126</v>
      </c>
      <c r="J1671" t="s">
        <v>39127</v>
      </c>
      <c r="K1671" t="s">
        <v>23510</v>
      </c>
    </row>
    <row r="1672" spans="1:11" x14ac:dyDescent="0.15">
      <c r="A1672">
        <v>21729877</v>
      </c>
      <c r="B1672" t="s">
        <v>39128</v>
      </c>
      <c r="C1672" t="s">
        <v>39129</v>
      </c>
      <c r="D1672" t="s">
        <v>39130</v>
      </c>
      <c r="E1672" t="s">
        <v>39131</v>
      </c>
      <c r="F1672" t="s">
        <v>39132</v>
      </c>
      <c r="G1672">
        <v>2011</v>
      </c>
      <c r="H1672" s="1">
        <v>40731</v>
      </c>
      <c r="I1672" t="s">
        <v>39133</v>
      </c>
      <c r="K1672" t="s">
        <v>39134</v>
      </c>
    </row>
    <row r="1673" spans="1:11" x14ac:dyDescent="0.15">
      <c r="A1673">
        <v>29422501</v>
      </c>
      <c r="B1673" t="s">
        <v>39135</v>
      </c>
      <c r="C1673" t="s">
        <v>39136</v>
      </c>
      <c r="D1673" t="s">
        <v>39137</v>
      </c>
      <c r="E1673" t="s">
        <v>39138</v>
      </c>
      <c r="F1673" t="s">
        <v>30796</v>
      </c>
      <c r="G1673">
        <v>2018</v>
      </c>
      <c r="H1673" s="1">
        <v>43141</v>
      </c>
      <c r="I1673" t="s">
        <v>39139</v>
      </c>
      <c r="K1673" t="s">
        <v>39140</v>
      </c>
    </row>
    <row r="1674" spans="1:11" x14ac:dyDescent="0.15">
      <c r="A1674">
        <v>24277816</v>
      </c>
      <c r="B1674" t="s">
        <v>13945</v>
      </c>
      <c r="C1674" t="s">
        <v>39141</v>
      </c>
      <c r="D1674" t="s">
        <v>39142</v>
      </c>
      <c r="E1674" t="s">
        <v>35277</v>
      </c>
      <c r="F1674" t="s">
        <v>30767</v>
      </c>
      <c r="G1674">
        <v>2013</v>
      </c>
      <c r="H1674" s="1">
        <v>41605</v>
      </c>
      <c r="I1674" t="s">
        <v>39143</v>
      </c>
      <c r="K1674" t="s">
        <v>13954</v>
      </c>
    </row>
    <row r="1675" spans="1:11" x14ac:dyDescent="0.15">
      <c r="A1675">
        <v>35245730</v>
      </c>
      <c r="B1675" t="s">
        <v>21762</v>
      </c>
      <c r="C1675" t="s">
        <v>39144</v>
      </c>
      <c r="D1675" t="s">
        <v>39145</v>
      </c>
      <c r="E1675" t="s">
        <v>39146</v>
      </c>
      <c r="F1675" t="s">
        <v>30812</v>
      </c>
      <c r="G1675">
        <v>2022</v>
      </c>
      <c r="H1675" s="1">
        <v>44624</v>
      </c>
      <c r="K1675" t="s">
        <v>21770</v>
      </c>
    </row>
    <row r="1676" spans="1:11" x14ac:dyDescent="0.15">
      <c r="A1676">
        <v>17158353</v>
      </c>
      <c r="B1676" t="s">
        <v>39147</v>
      </c>
      <c r="C1676" t="s">
        <v>39148</v>
      </c>
      <c r="D1676" t="s">
        <v>39149</v>
      </c>
      <c r="E1676" t="s">
        <v>39150</v>
      </c>
      <c r="F1676" t="s">
        <v>36711</v>
      </c>
      <c r="G1676">
        <v>2007</v>
      </c>
      <c r="H1676" s="1">
        <v>39064</v>
      </c>
      <c r="I1676" t="s">
        <v>39151</v>
      </c>
      <c r="J1676" t="s">
        <v>39152</v>
      </c>
      <c r="K1676" t="s">
        <v>16882</v>
      </c>
    </row>
    <row r="1677" spans="1:11" x14ac:dyDescent="0.15">
      <c r="A1677">
        <v>32934881</v>
      </c>
      <c r="B1677" t="s">
        <v>39153</v>
      </c>
      <c r="C1677" t="s">
        <v>39154</v>
      </c>
      <c r="D1677" t="s">
        <v>39155</v>
      </c>
      <c r="E1677" t="s">
        <v>39156</v>
      </c>
      <c r="F1677" t="s">
        <v>39157</v>
      </c>
      <c r="G1677">
        <v>2020</v>
      </c>
      <c r="H1677" s="1">
        <v>44090</v>
      </c>
      <c r="I1677" t="s">
        <v>39158</v>
      </c>
      <c r="K1677" t="s">
        <v>39159</v>
      </c>
    </row>
    <row r="1678" spans="1:11" x14ac:dyDescent="0.15">
      <c r="A1678">
        <v>27334229</v>
      </c>
      <c r="B1678" t="s">
        <v>39160</v>
      </c>
      <c r="C1678" t="s">
        <v>39161</v>
      </c>
      <c r="D1678" t="s">
        <v>39162</v>
      </c>
      <c r="E1678" t="s">
        <v>39163</v>
      </c>
      <c r="F1678" t="s">
        <v>34676</v>
      </c>
      <c r="G1678">
        <v>2017</v>
      </c>
      <c r="H1678" s="1">
        <v>42545</v>
      </c>
      <c r="K1678" t="s">
        <v>39164</v>
      </c>
    </row>
    <row r="1679" spans="1:11" x14ac:dyDescent="0.15">
      <c r="A1679">
        <v>33963060</v>
      </c>
      <c r="B1679" t="s">
        <v>39165</v>
      </c>
      <c r="C1679" t="s">
        <v>39166</v>
      </c>
      <c r="D1679" t="s">
        <v>39167</v>
      </c>
      <c r="E1679" t="s">
        <v>39168</v>
      </c>
      <c r="F1679" t="s">
        <v>37839</v>
      </c>
      <c r="G1679">
        <v>2021</v>
      </c>
      <c r="H1679" s="1">
        <v>44324</v>
      </c>
      <c r="K1679" t="s">
        <v>39169</v>
      </c>
    </row>
    <row r="1680" spans="1:11" x14ac:dyDescent="0.15">
      <c r="A1680">
        <v>31722198</v>
      </c>
      <c r="B1680" t="s">
        <v>39170</v>
      </c>
      <c r="C1680" t="s">
        <v>39171</v>
      </c>
      <c r="D1680" t="s">
        <v>39172</v>
      </c>
      <c r="E1680" t="s">
        <v>33297</v>
      </c>
      <c r="F1680" t="s">
        <v>31376</v>
      </c>
      <c r="G1680">
        <v>2019</v>
      </c>
      <c r="H1680" s="1">
        <v>43783</v>
      </c>
      <c r="I1680" t="s">
        <v>39173</v>
      </c>
      <c r="K1680" t="s">
        <v>39174</v>
      </c>
    </row>
    <row r="1681" spans="1:11" x14ac:dyDescent="0.15">
      <c r="A1681">
        <v>30230473</v>
      </c>
      <c r="B1681" t="s">
        <v>39175</v>
      </c>
      <c r="C1681" t="s">
        <v>39176</v>
      </c>
      <c r="D1681" t="s">
        <v>39177</v>
      </c>
      <c r="E1681" t="s">
        <v>39178</v>
      </c>
      <c r="F1681" t="s">
        <v>36402</v>
      </c>
      <c r="G1681">
        <v>2018</v>
      </c>
      <c r="H1681" s="1">
        <v>43363</v>
      </c>
      <c r="I1681" t="s">
        <v>39179</v>
      </c>
      <c r="K1681" t="s">
        <v>39180</v>
      </c>
    </row>
    <row r="1682" spans="1:11" x14ac:dyDescent="0.15">
      <c r="A1682">
        <v>23499741</v>
      </c>
      <c r="B1682" t="s">
        <v>39181</v>
      </c>
      <c r="C1682" t="s">
        <v>39182</v>
      </c>
      <c r="D1682" t="s">
        <v>39183</v>
      </c>
      <c r="E1682" t="s">
        <v>39184</v>
      </c>
      <c r="F1682" t="s">
        <v>32127</v>
      </c>
      <c r="G1682">
        <v>2013</v>
      </c>
      <c r="H1682" s="1">
        <v>41352</v>
      </c>
      <c r="I1682" t="s">
        <v>39185</v>
      </c>
      <c r="J1682" t="s">
        <v>39186</v>
      </c>
      <c r="K1682" t="s">
        <v>39187</v>
      </c>
    </row>
    <row r="1683" spans="1:11" x14ac:dyDescent="0.15">
      <c r="A1683">
        <v>19321599</v>
      </c>
      <c r="B1683" t="s">
        <v>39188</v>
      </c>
      <c r="C1683" t="s">
        <v>39189</v>
      </c>
      <c r="D1683" t="s">
        <v>39190</v>
      </c>
      <c r="E1683" t="s">
        <v>39191</v>
      </c>
      <c r="F1683" t="s">
        <v>33359</v>
      </c>
      <c r="G1683">
        <v>2009</v>
      </c>
      <c r="H1683" s="1">
        <v>39899</v>
      </c>
      <c r="I1683" t="s">
        <v>39192</v>
      </c>
      <c r="K1683" t="s">
        <v>39193</v>
      </c>
    </row>
    <row r="1684" spans="1:11" x14ac:dyDescent="0.15">
      <c r="A1684">
        <v>17855514</v>
      </c>
      <c r="B1684" t="s">
        <v>39194</v>
      </c>
      <c r="C1684" t="s">
        <v>39195</v>
      </c>
      <c r="D1684" t="s">
        <v>39196</v>
      </c>
      <c r="E1684" t="s">
        <v>39197</v>
      </c>
      <c r="F1684" t="s">
        <v>31970</v>
      </c>
      <c r="G1684">
        <v>2007</v>
      </c>
      <c r="H1684" s="1">
        <v>39340</v>
      </c>
      <c r="I1684" t="s">
        <v>39198</v>
      </c>
      <c r="K1684" t="s">
        <v>39199</v>
      </c>
    </row>
    <row r="1685" spans="1:11" x14ac:dyDescent="0.15">
      <c r="A1685">
        <v>25900080</v>
      </c>
      <c r="B1685" t="s">
        <v>25823</v>
      </c>
      <c r="C1685" t="s">
        <v>39200</v>
      </c>
      <c r="D1685" t="s">
        <v>39201</v>
      </c>
      <c r="E1685" t="s">
        <v>39202</v>
      </c>
      <c r="F1685" t="s">
        <v>31376</v>
      </c>
      <c r="G1685">
        <v>2015</v>
      </c>
      <c r="H1685" s="1">
        <v>42117</v>
      </c>
      <c r="K1685" t="s">
        <v>25832</v>
      </c>
    </row>
    <row r="1686" spans="1:11" x14ac:dyDescent="0.15">
      <c r="A1686">
        <v>28487205</v>
      </c>
      <c r="B1686" t="s">
        <v>39203</v>
      </c>
      <c r="C1686" t="s">
        <v>39204</v>
      </c>
      <c r="D1686" t="s">
        <v>39205</v>
      </c>
      <c r="E1686" t="s">
        <v>39206</v>
      </c>
      <c r="F1686" t="s">
        <v>33740</v>
      </c>
      <c r="G1686">
        <v>2017</v>
      </c>
      <c r="H1686" s="1">
        <v>42866</v>
      </c>
      <c r="I1686" t="s">
        <v>39207</v>
      </c>
      <c r="J1686" t="s">
        <v>39208</v>
      </c>
      <c r="K1686" t="s">
        <v>39209</v>
      </c>
    </row>
    <row r="1687" spans="1:11" x14ac:dyDescent="0.15">
      <c r="A1687">
        <v>25515738</v>
      </c>
      <c r="B1687" t="s">
        <v>39210</v>
      </c>
      <c r="C1687" t="s">
        <v>39211</v>
      </c>
      <c r="D1687" t="s">
        <v>39212</v>
      </c>
      <c r="E1687" t="s">
        <v>39213</v>
      </c>
      <c r="F1687" t="s">
        <v>32717</v>
      </c>
      <c r="G1687">
        <v>2015</v>
      </c>
      <c r="H1687" s="1">
        <v>41991</v>
      </c>
      <c r="K1687" t="s">
        <v>39214</v>
      </c>
    </row>
    <row r="1688" spans="1:11" x14ac:dyDescent="0.15">
      <c r="A1688">
        <v>12814647</v>
      </c>
      <c r="B1688" t="s">
        <v>39215</v>
      </c>
      <c r="C1688" t="s">
        <v>39216</v>
      </c>
      <c r="D1688" t="s">
        <v>39217</v>
      </c>
      <c r="E1688" t="s">
        <v>39218</v>
      </c>
      <c r="F1688" t="s">
        <v>38805</v>
      </c>
      <c r="G1688">
        <v>2003</v>
      </c>
      <c r="H1688" s="1">
        <v>37792</v>
      </c>
      <c r="K1688" t="s">
        <v>39219</v>
      </c>
    </row>
    <row r="1689" spans="1:11" x14ac:dyDescent="0.15">
      <c r="A1689">
        <v>31664817</v>
      </c>
      <c r="B1689" t="s">
        <v>39220</v>
      </c>
      <c r="C1689" t="s">
        <v>39221</v>
      </c>
      <c r="D1689" t="s">
        <v>39222</v>
      </c>
      <c r="E1689" t="s">
        <v>39223</v>
      </c>
      <c r="F1689" t="s">
        <v>30561</v>
      </c>
      <c r="G1689">
        <v>2019</v>
      </c>
      <c r="H1689" s="1">
        <v>43769</v>
      </c>
      <c r="I1689" t="s">
        <v>39224</v>
      </c>
      <c r="J1689" t="s">
        <v>39225</v>
      </c>
      <c r="K1689" t="s">
        <v>39226</v>
      </c>
    </row>
    <row r="1690" spans="1:11" x14ac:dyDescent="0.15">
      <c r="A1690">
        <v>25869134</v>
      </c>
      <c r="B1690" t="s">
        <v>39227</v>
      </c>
      <c r="C1690" t="s">
        <v>39228</v>
      </c>
      <c r="D1690" t="s">
        <v>39229</v>
      </c>
      <c r="E1690" t="s">
        <v>39230</v>
      </c>
      <c r="F1690" t="s">
        <v>31594</v>
      </c>
      <c r="G1690">
        <v>2015</v>
      </c>
      <c r="H1690" s="1">
        <v>42109</v>
      </c>
      <c r="I1690" t="s">
        <v>39231</v>
      </c>
      <c r="K1690" t="s">
        <v>39232</v>
      </c>
    </row>
    <row r="1691" spans="1:11" x14ac:dyDescent="0.15">
      <c r="A1691">
        <v>31646316</v>
      </c>
      <c r="B1691" t="s">
        <v>39233</v>
      </c>
      <c r="C1691" t="s">
        <v>39234</v>
      </c>
      <c r="D1691" t="s">
        <v>39235</v>
      </c>
      <c r="E1691" t="s">
        <v>39236</v>
      </c>
      <c r="F1691" t="s">
        <v>32035</v>
      </c>
      <c r="G1691">
        <v>2019</v>
      </c>
      <c r="H1691" s="1">
        <v>43763</v>
      </c>
      <c r="K1691" t="s">
        <v>39237</v>
      </c>
    </row>
    <row r="1692" spans="1:11" x14ac:dyDescent="0.15">
      <c r="A1692">
        <v>17234882</v>
      </c>
      <c r="B1692" t="s">
        <v>39238</v>
      </c>
      <c r="C1692" t="s">
        <v>39239</v>
      </c>
      <c r="D1692" t="s">
        <v>39240</v>
      </c>
      <c r="E1692" t="s">
        <v>39241</v>
      </c>
      <c r="F1692" t="s">
        <v>31824</v>
      </c>
      <c r="G1692">
        <v>2007</v>
      </c>
      <c r="H1692" s="1">
        <v>39102</v>
      </c>
      <c r="I1692" t="s">
        <v>39242</v>
      </c>
      <c r="K1692" t="s">
        <v>39243</v>
      </c>
    </row>
    <row r="1693" spans="1:11" x14ac:dyDescent="0.15">
      <c r="A1693">
        <v>34103492</v>
      </c>
      <c r="B1693" t="s">
        <v>39244</v>
      </c>
      <c r="C1693" t="s">
        <v>39245</v>
      </c>
      <c r="D1693" t="s">
        <v>39246</v>
      </c>
      <c r="E1693" t="s">
        <v>39247</v>
      </c>
      <c r="F1693" t="s">
        <v>30796</v>
      </c>
      <c r="G1693">
        <v>2021</v>
      </c>
      <c r="H1693" s="1">
        <v>44356</v>
      </c>
      <c r="I1693" t="s">
        <v>39248</v>
      </c>
      <c r="K1693" t="s">
        <v>39249</v>
      </c>
    </row>
    <row r="1694" spans="1:11" x14ac:dyDescent="0.15">
      <c r="A1694">
        <v>18172165</v>
      </c>
      <c r="B1694" t="s">
        <v>39250</v>
      </c>
      <c r="C1694" t="s">
        <v>39251</v>
      </c>
      <c r="D1694" t="s">
        <v>39252</v>
      </c>
      <c r="E1694" t="s">
        <v>39253</v>
      </c>
      <c r="F1694" t="s">
        <v>31824</v>
      </c>
      <c r="G1694">
        <v>2008</v>
      </c>
      <c r="H1694" s="1">
        <v>39451</v>
      </c>
      <c r="I1694" t="s">
        <v>39254</v>
      </c>
      <c r="K1694" t="s">
        <v>39255</v>
      </c>
    </row>
    <row r="1695" spans="1:11" x14ac:dyDescent="0.15">
      <c r="A1695">
        <v>21663793</v>
      </c>
      <c r="B1695" t="s">
        <v>39256</v>
      </c>
      <c r="C1695" t="s">
        <v>39257</v>
      </c>
      <c r="D1695" t="s">
        <v>39258</v>
      </c>
      <c r="E1695" t="s">
        <v>38580</v>
      </c>
      <c r="F1695" t="s">
        <v>30555</v>
      </c>
      <c r="G1695">
        <v>2011</v>
      </c>
      <c r="H1695" s="1">
        <v>40708</v>
      </c>
      <c r="I1695" t="s">
        <v>39259</v>
      </c>
      <c r="J1695" t="s">
        <v>39260</v>
      </c>
      <c r="K1695" t="s">
        <v>39261</v>
      </c>
    </row>
    <row r="1696" spans="1:11" x14ac:dyDescent="0.15">
      <c r="A1696">
        <v>21131904</v>
      </c>
      <c r="B1696" t="s">
        <v>39262</v>
      </c>
      <c r="C1696" t="s">
        <v>39263</v>
      </c>
      <c r="D1696" t="s">
        <v>39264</v>
      </c>
      <c r="E1696" t="s">
        <v>39265</v>
      </c>
      <c r="F1696" t="s">
        <v>35307</v>
      </c>
      <c r="G1696">
        <v>2011</v>
      </c>
      <c r="H1696" s="1">
        <v>40519</v>
      </c>
      <c r="I1696" t="s">
        <v>39266</v>
      </c>
      <c r="K1696" t="s">
        <v>39267</v>
      </c>
    </row>
    <row r="1697" spans="1:11" x14ac:dyDescent="0.15">
      <c r="A1697">
        <v>31397847</v>
      </c>
      <c r="B1697" t="s">
        <v>24205</v>
      </c>
      <c r="C1697" t="s">
        <v>39268</v>
      </c>
      <c r="D1697" t="s">
        <v>39269</v>
      </c>
      <c r="E1697" t="s">
        <v>39270</v>
      </c>
      <c r="F1697" t="s">
        <v>35648</v>
      </c>
      <c r="G1697">
        <v>2019</v>
      </c>
      <c r="H1697" s="1">
        <v>43687</v>
      </c>
      <c r="K1697" t="s">
        <v>24216</v>
      </c>
    </row>
    <row r="1698" spans="1:11" x14ac:dyDescent="0.15">
      <c r="A1698">
        <v>7476096</v>
      </c>
      <c r="B1698" t="s">
        <v>39271</v>
      </c>
      <c r="C1698" t="s">
        <v>39272</v>
      </c>
      <c r="D1698" t="s">
        <v>39273</v>
      </c>
      <c r="E1698" t="s">
        <v>39274</v>
      </c>
      <c r="F1698" t="s">
        <v>35899</v>
      </c>
      <c r="G1698">
        <v>1995</v>
      </c>
      <c r="H1698" s="1">
        <v>34820</v>
      </c>
      <c r="K1698" t="s">
        <v>39275</v>
      </c>
    </row>
    <row r="1699" spans="1:11" x14ac:dyDescent="0.15">
      <c r="A1699">
        <v>2655710</v>
      </c>
      <c r="B1699" t="s">
        <v>39276</v>
      </c>
      <c r="C1699" t="s">
        <v>39277</v>
      </c>
      <c r="D1699" t="s">
        <v>39278</v>
      </c>
      <c r="E1699" t="s">
        <v>39279</v>
      </c>
      <c r="F1699" t="s">
        <v>34553</v>
      </c>
      <c r="G1699">
        <v>1989</v>
      </c>
      <c r="H1699" s="1">
        <v>32637</v>
      </c>
      <c r="K1699" t="s">
        <v>39280</v>
      </c>
    </row>
    <row r="1700" spans="1:11" x14ac:dyDescent="0.15">
      <c r="A1700">
        <v>1847476</v>
      </c>
      <c r="B1700" t="s">
        <v>39281</v>
      </c>
      <c r="C1700" t="s">
        <v>39282</v>
      </c>
      <c r="D1700" t="s">
        <v>39283</v>
      </c>
      <c r="E1700" t="s">
        <v>39284</v>
      </c>
      <c r="F1700" t="s">
        <v>31970</v>
      </c>
      <c r="G1700">
        <v>1991</v>
      </c>
      <c r="H1700" s="1">
        <v>33298</v>
      </c>
      <c r="I1700" t="s">
        <v>39285</v>
      </c>
      <c r="K1700" t="s">
        <v>39286</v>
      </c>
    </row>
    <row r="1701" spans="1:11" x14ac:dyDescent="0.15">
      <c r="A1701">
        <v>17157255</v>
      </c>
      <c r="B1701" t="s">
        <v>39287</v>
      </c>
      <c r="C1701" t="s">
        <v>39288</v>
      </c>
      <c r="D1701" t="s">
        <v>39289</v>
      </c>
      <c r="E1701" t="s">
        <v>39290</v>
      </c>
      <c r="F1701" t="s">
        <v>32022</v>
      </c>
      <c r="G1701">
        <v>2006</v>
      </c>
      <c r="H1701" s="1">
        <v>39064</v>
      </c>
      <c r="K1701" t="s">
        <v>39291</v>
      </c>
    </row>
    <row r="1702" spans="1:11" x14ac:dyDescent="0.15">
      <c r="A1702">
        <v>23177741</v>
      </c>
      <c r="B1702" t="s">
        <v>39292</v>
      </c>
      <c r="C1702" t="s">
        <v>39293</v>
      </c>
      <c r="D1702" t="s">
        <v>39294</v>
      </c>
      <c r="E1702" t="s">
        <v>39295</v>
      </c>
      <c r="F1702" t="s">
        <v>32022</v>
      </c>
      <c r="G1702">
        <v>2013</v>
      </c>
      <c r="H1702" s="1">
        <v>41240</v>
      </c>
      <c r="I1702" t="s">
        <v>39296</v>
      </c>
      <c r="J1702" t="s">
        <v>39297</v>
      </c>
      <c r="K1702" t="s">
        <v>39298</v>
      </c>
    </row>
    <row r="1703" spans="1:11" x14ac:dyDescent="0.15">
      <c r="A1703">
        <v>25479637</v>
      </c>
      <c r="B1703" t="s">
        <v>39299</v>
      </c>
      <c r="C1703" t="s">
        <v>39300</v>
      </c>
      <c r="D1703" t="s">
        <v>39301</v>
      </c>
      <c r="E1703" t="s">
        <v>39302</v>
      </c>
      <c r="F1703" t="s">
        <v>32022</v>
      </c>
      <c r="G1703">
        <v>2014</v>
      </c>
      <c r="H1703" s="1">
        <v>41980</v>
      </c>
      <c r="K1703" t="s">
        <v>39303</v>
      </c>
    </row>
    <row r="1704" spans="1:11" x14ac:dyDescent="0.15">
      <c r="A1704">
        <v>22428908</v>
      </c>
      <c r="B1704" t="s">
        <v>39304</v>
      </c>
      <c r="C1704" t="s">
        <v>39305</v>
      </c>
      <c r="D1704" t="s">
        <v>39306</v>
      </c>
      <c r="E1704" t="s">
        <v>39307</v>
      </c>
      <c r="F1704" t="s">
        <v>39308</v>
      </c>
      <c r="G1704">
        <v>2012</v>
      </c>
      <c r="H1704" s="1">
        <v>40989</v>
      </c>
      <c r="I1704" t="s">
        <v>39309</v>
      </c>
      <c r="J1704" t="s">
        <v>39310</v>
      </c>
      <c r="K1704" t="s">
        <v>39311</v>
      </c>
    </row>
    <row r="1705" spans="1:11" x14ac:dyDescent="0.15">
      <c r="A1705">
        <v>25591738</v>
      </c>
      <c r="B1705" t="s">
        <v>23879</v>
      </c>
      <c r="C1705" t="s">
        <v>39312</v>
      </c>
      <c r="D1705" t="s">
        <v>39313</v>
      </c>
      <c r="E1705" t="s">
        <v>39314</v>
      </c>
      <c r="F1705" t="s">
        <v>33118</v>
      </c>
      <c r="G1705">
        <v>2015</v>
      </c>
      <c r="H1705" s="1">
        <v>42021</v>
      </c>
      <c r="I1705" t="s">
        <v>39315</v>
      </c>
      <c r="K1705" t="s">
        <v>23887</v>
      </c>
    </row>
    <row r="1706" spans="1:11" x14ac:dyDescent="0.15">
      <c r="A1706">
        <v>26512957</v>
      </c>
      <c r="B1706" t="s">
        <v>39316</v>
      </c>
      <c r="C1706" t="s">
        <v>39317</v>
      </c>
      <c r="D1706" t="s">
        <v>39318</v>
      </c>
      <c r="E1706" t="s">
        <v>39319</v>
      </c>
      <c r="F1706" t="s">
        <v>30733</v>
      </c>
      <c r="G1706">
        <v>2015</v>
      </c>
      <c r="H1706" s="1">
        <v>42307</v>
      </c>
      <c r="I1706" t="s">
        <v>39320</v>
      </c>
      <c r="K1706" t="s">
        <v>39321</v>
      </c>
    </row>
    <row r="1707" spans="1:11" x14ac:dyDescent="0.15">
      <c r="A1707">
        <v>7796801</v>
      </c>
      <c r="B1707" t="s">
        <v>39322</v>
      </c>
      <c r="C1707" t="s">
        <v>39323</v>
      </c>
      <c r="D1707" t="s">
        <v>39324</v>
      </c>
      <c r="E1707" t="s">
        <v>39325</v>
      </c>
      <c r="F1707" t="s">
        <v>35307</v>
      </c>
      <c r="G1707">
        <v>1995</v>
      </c>
      <c r="H1707" s="1">
        <v>34865</v>
      </c>
      <c r="I1707" t="s">
        <v>39326</v>
      </c>
      <c r="K1707" t="s">
        <v>39327</v>
      </c>
    </row>
    <row r="1708" spans="1:11" x14ac:dyDescent="0.15">
      <c r="A1708">
        <v>31988198</v>
      </c>
      <c r="B1708" t="s">
        <v>39328</v>
      </c>
      <c r="C1708" t="s">
        <v>39329</v>
      </c>
      <c r="D1708" t="s">
        <v>39330</v>
      </c>
      <c r="E1708" t="s">
        <v>39331</v>
      </c>
      <c r="F1708" t="s">
        <v>32039</v>
      </c>
      <c r="G1708">
        <v>2020</v>
      </c>
      <c r="H1708" s="1">
        <v>43859</v>
      </c>
      <c r="K1708" t="s">
        <v>39332</v>
      </c>
    </row>
    <row r="1709" spans="1:11" x14ac:dyDescent="0.15">
      <c r="A1709">
        <v>9165051</v>
      </c>
      <c r="B1709" t="s">
        <v>39333</v>
      </c>
      <c r="C1709" t="s">
        <v>39334</v>
      </c>
      <c r="D1709" t="s">
        <v>39335</v>
      </c>
      <c r="E1709" t="s">
        <v>39336</v>
      </c>
      <c r="F1709" t="s">
        <v>30858</v>
      </c>
      <c r="G1709">
        <v>1997</v>
      </c>
      <c r="H1709" s="1">
        <v>35582</v>
      </c>
      <c r="K1709" t="s">
        <v>39337</v>
      </c>
    </row>
    <row r="1710" spans="1:11" x14ac:dyDescent="0.15">
      <c r="A1710">
        <v>34672606</v>
      </c>
      <c r="B1710" t="s">
        <v>39338</v>
      </c>
      <c r="C1710" t="s">
        <v>39339</v>
      </c>
      <c r="D1710" t="s">
        <v>39340</v>
      </c>
      <c r="E1710" t="s">
        <v>39341</v>
      </c>
      <c r="F1710" t="s">
        <v>34224</v>
      </c>
      <c r="G1710">
        <v>2021</v>
      </c>
      <c r="H1710" s="1">
        <v>44490</v>
      </c>
      <c r="K1710" t="s">
        <v>39342</v>
      </c>
    </row>
    <row r="1711" spans="1:11" x14ac:dyDescent="0.15">
      <c r="A1711">
        <v>35590205</v>
      </c>
      <c r="B1711" t="s">
        <v>39343</v>
      </c>
      <c r="C1711" t="s">
        <v>39344</v>
      </c>
      <c r="D1711" t="s">
        <v>39345</v>
      </c>
      <c r="E1711" t="s">
        <v>39346</v>
      </c>
      <c r="F1711" t="s">
        <v>39347</v>
      </c>
      <c r="G1711">
        <v>2021</v>
      </c>
      <c r="H1711" s="1">
        <v>44700</v>
      </c>
      <c r="K1711" t="s">
        <v>39348</v>
      </c>
    </row>
    <row r="1712" spans="1:11" x14ac:dyDescent="0.15">
      <c r="A1712">
        <v>19460752</v>
      </c>
      <c r="B1712" t="s">
        <v>39349</v>
      </c>
      <c r="C1712" t="s">
        <v>39350</v>
      </c>
      <c r="D1712" t="s">
        <v>39351</v>
      </c>
      <c r="E1712" t="s">
        <v>39352</v>
      </c>
      <c r="F1712" t="s">
        <v>31594</v>
      </c>
      <c r="G1712">
        <v>2009</v>
      </c>
      <c r="H1712" s="1">
        <v>39956</v>
      </c>
      <c r="I1712" t="s">
        <v>39353</v>
      </c>
      <c r="K1712" t="s">
        <v>39354</v>
      </c>
    </row>
    <row r="1713" spans="1:11" x14ac:dyDescent="0.15">
      <c r="A1713">
        <v>31138886</v>
      </c>
      <c r="B1713" t="s">
        <v>39355</v>
      </c>
      <c r="C1713" t="s">
        <v>39356</v>
      </c>
      <c r="D1713" t="s">
        <v>39357</v>
      </c>
      <c r="E1713" t="s">
        <v>32292</v>
      </c>
      <c r="F1713" t="s">
        <v>30834</v>
      </c>
      <c r="G1713">
        <v>2019</v>
      </c>
      <c r="H1713" s="1">
        <v>43615</v>
      </c>
      <c r="I1713" t="s">
        <v>39358</v>
      </c>
      <c r="K1713" t="s">
        <v>39359</v>
      </c>
    </row>
    <row r="1714" spans="1:11" x14ac:dyDescent="0.15">
      <c r="A1714">
        <v>16103147</v>
      </c>
      <c r="B1714" t="s">
        <v>23890</v>
      </c>
      <c r="C1714" t="s">
        <v>39360</v>
      </c>
      <c r="D1714" t="s">
        <v>39361</v>
      </c>
      <c r="E1714" t="s">
        <v>39362</v>
      </c>
      <c r="F1714" t="s">
        <v>31970</v>
      </c>
      <c r="G1714">
        <v>2005</v>
      </c>
      <c r="H1714" s="1">
        <v>38581</v>
      </c>
      <c r="I1714" t="s">
        <v>39363</v>
      </c>
      <c r="K1714" t="s">
        <v>23899</v>
      </c>
    </row>
    <row r="1715" spans="1:11" x14ac:dyDescent="0.15">
      <c r="A1715">
        <v>9427251</v>
      </c>
      <c r="B1715" t="s">
        <v>39364</v>
      </c>
      <c r="C1715" t="s">
        <v>39365</v>
      </c>
      <c r="D1715" t="s">
        <v>39366</v>
      </c>
      <c r="E1715" t="s">
        <v>32956</v>
      </c>
      <c r="F1715" t="s">
        <v>39367</v>
      </c>
      <c r="G1715">
        <v>1997</v>
      </c>
      <c r="H1715" s="1">
        <v>35809</v>
      </c>
      <c r="K1715" t="s">
        <v>39368</v>
      </c>
    </row>
    <row r="1716" spans="1:11" x14ac:dyDescent="0.15">
      <c r="A1716">
        <v>16501071</v>
      </c>
      <c r="B1716" t="s">
        <v>39369</v>
      </c>
      <c r="C1716" t="s">
        <v>39370</v>
      </c>
      <c r="D1716" t="s">
        <v>39371</v>
      </c>
      <c r="E1716" t="s">
        <v>39372</v>
      </c>
      <c r="F1716" t="s">
        <v>31970</v>
      </c>
      <c r="G1716">
        <v>2006</v>
      </c>
      <c r="H1716" s="1">
        <v>38776</v>
      </c>
      <c r="I1716" t="s">
        <v>39373</v>
      </c>
      <c r="K1716" t="s">
        <v>24019</v>
      </c>
    </row>
    <row r="1717" spans="1:11" x14ac:dyDescent="0.15">
      <c r="A1717">
        <v>12189211</v>
      </c>
      <c r="B1717" t="s">
        <v>39374</v>
      </c>
      <c r="C1717" t="s">
        <v>39375</v>
      </c>
      <c r="D1717" t="s">
        <v>39376</v>
      </c>
      <c r="E1717" t="s">
        <v>39377</v>
      </c>
      <c r="F1717" t="s">
        <v>30767</v>
      </c>
      <c r="G1717">
        <v>2002</v>
      </c>
      <c r="H1717" s="1">
        <v>37490</v>
      </c>
      <c r="I1717" t="s">
        <v>39378</v>
      </c>
      <c r="K1717" t="s">
        <v>39379</v>
      </c>
    </row>
    <row r="1718" spans="1:11" x14ac:dyDescent="0.15">
      <c r="A1718">
        <v>31799930</v>
      </c>
      <c r="B1718" t="s">
        <v>39380</v>
      </c>
      <c r="C1718" t="s">
        <v>39381</v>
      </c>
      <c r="D1718" t="s">
        <v>39382</v>
      </c>
      <c r="E1718" t="s">
        <v>39383</v>
      </c>
      <c r="F1718" t="s">
        <v>36402</v>
      </c>
      <c r="G1718">
        <v>2019</v>
      </c>
      <c r="H1718" s="1">
        <v>43804</v>
      </c>
      <c r="I1718" t="s">
        <v>39384</v>
      </c>
      <c r="K1718" t="s">
        <v>39385</v>
      </c>
    </row>
    <row r="1719" spans="1:11" x14ac:dyDescent="0.15">
      <c r="A1719">
        <v>17235024</v>
      </c>
      <c r="B1719" t="s">
        <v>39386</v>
      </c>
      <c r="C1719" t="s">
        <v>39387</v>
      </c>
      <c r="D1719" t="s">
        <v>39388</v>
      </c>
      <c r="E1719" t="s">
        <v>39389</v>
      </c>
      <c r="F1719" t="s">
        <v>39390</v>
      </c>
      <c r="G1719">
        <v>2007</v>
      </c>
      <c r="H1719" s="1">
        <v>39102</v>
      </c>
      <c r="K1719" t="s">
        <v>39391</v>
      </c>
    </row>
    <row r="1720" spans="1:11" x14ac:dyDescent="0.15">
      <c r="A1720">
        <v>22874834</v>
      </c>
      <c r="B1720" t="s">
        <v>26271</v>
      </c>
      <c r="C1720" t="s">
        <v>39392</v>
      </c>
      <c r="D1720" t="s">
        <v>39393</v>
      </c>
      <c r="E1720" t="s">
        <v>38172</v>
      </c>
      <c r="F1720" t="s">
        <v>32264</v>
      </c>
      <c r="G1720">
        <v>2012</v>
      </c>
      <c r="H1720" s="1">
        <v>41131</v>
      </c>
      <c r="I1720" t="s">
        <v>39394</v>
      </c>
      <c r="K1720" t="s">
        <v>26281</v>
      </c>
    </row>
    <row r="1721" spans="1:11" x14ac:dyDescent="0.15">
      <c r="A1721">
        <v>9446579</v>
      </c>
      <c r="B1721" t="s">
        <v>39395</v>
      </c>
      <c r="C1721" t="s">
        <v>39396</v>
      </c>
      <c r="D1721" t="s">
        <v>39397</v>
      </c>
      <c r="E1721" t="s">
        <v>39398</v>
      </c>
      <c r="F1721" t="s">
        <v>31594</v>
      </c>
      <c r="G1721">
        <v>1998</v>
      </c>
      <c r="H1721" s="1">
        <v>35854</v>
      </c>
      <c r="K1721" t="s">
        <v>39399</v>
      </c>
    </row>
    <row r="1722" spans="1:11" x14ac:dyDescent="0.15">
      <c r="A1722">
        <v>33997970</v>
      </c>
      <c r="B1722" t="s">
        <v>39400</v>
      </c>
      <c r="C1722" t="s">
        <v>39401</v>
      </c>
      <c r="D1722" t="s">
        <v>39402</v>
      </c>
      <c r="E1722" t="s">
        <v>31670</v>
      </c>
      <c r="F1722" t="s">
        <v>39403</v>
      </c>
      <c r="G1722">
        <v>2021</v>
      </c>
      <c r="H1722" s="1">
        <v>44333</v>
      </c>
      <c r="K1722" t="s">
        <v>39404</v>
      </c>
    </row>
    <row r="1723" spans="1:11" x14ac:dyDescent="0.15">
      <c r="A1723">
        <v>9180905</v>
      </c>
      <c r="B1723" t="s">
        <v>39405</v>
      </c>
      <c r="C1723" t="s">
        <v>39406</v>
      </c>
      <c r="D1723" t="s">
        <v>39407</v>
      </c>
      <c r="E1723" t="s">
        <v>39408</v>
      </c>
      <c r="F1723" t="s">
        <v>30847</v>
      </c>
      <c r="G1723">
        <v>1997</v>
      </c>
      <c r="H1723" s="1">
        <v>35582</v>
      </c>
      <c r="K1723" t="s">
        <v>39409</v>
      </c>
    </row>
    <row r="1724" spans="1:11" x14ac:dyDescent="0.15">
      <c r="A1724">
        <v>31581745</v>
      </c>
      <c r="B1724" t="s">
        <v>39410</v>
      </c>
      <c r="C1724" t="s">
        <v>39411</v>
      </c>
      <c r="D1724" t="s">
        <v>39412</v>
      </c>
      <c r="E1724" t="s">
        <v>39413</v>
      </c>
      <c r="F1724" t="s">
        <v>30655</v>
      </c>
      <c r="G1724">
        <v>2019</v>
      </c>
      <c r="H1724" s="1">
        <v>43743</v>
      </c>
      <c r="I1724" t="s">
        <v>39414</v>
      </c>
      <c r="K1724" t="s">
        <v>39415</v>
      </c>
    </row>
    <row r="1725" spans="1:11" x14ac:dyDescent="0.15">
      <c r="A1725">
        <v>27677261</v>
      </c>
      <c r="B1725" t="s">
        <v>21713</v>
      </c>
      <c r="C1725" t="s">
        <v>39416</v>
      </c>
      <c r="D1725" t="s">
        <v>39417</v>
      </c>
      <c r="E1725" t="s">
        <v>39418</v>
      </c>
      <c r="F1725" t="s">
        <v>31438</v>
      </c>
      <c r="G1725">
        <v>2016</v>
      </c>
      <c r="H1725" s="1">
        <v>42642</v>
      </c>
      <c r="I1725" t="s">
        <v>39419</v>
      </c>
      <c r="K1725" t="s">
        <v>21721</v>
      </c>
    </row>
    <row r="1726" spans="1:11" x14ac:dyDescent="0.15">
      <c r="A1726">
        <v>35538484</v>
      </c>
      <c r="B1726" t="s">
        <v>39420</v>
      </c>
      <c r="C1726" t="s">
        <v>39421</v>
      </c>
      <c r="D1726" t="s">
        <v>39422</v>
      </c>
      <c r="E1726" t="s">
        <v>39423</v>
      </c>
      <c r="F1726" t="s">
        <v>30630</v>
      </c>
      <c r="G1726">
        <v>2022</v>
      </c>
      <c r="H1726" s="1">
        <v>44691</v>
      </c>
      <c r="I1726" t="s">
        <v>39424</v>
      </c>
      <c r="K1726" t="s">
        <v>39425</v>
      </c>
    </row>
    <row r="1727" spans="1:11" x14ac:dyDescent="0.15">
      <c r="A1727">
        <v>26637591</v>
      </c>
      <c r="B1727" t="s">
        <v>39426</v>
      </c>
      <c r="C1727" t="s">
        <v>39427</v>
      </c>
      <c r="D1727" t="s">
        <v>39428</v>
      </c>
      <c r="E1727" t="s">
        <v>39429</v>
      </c>
      <c r="F1727" t="s">
        <v>32165</v>
      </c>
      <c r="G1727">
        <v>2015</v>
      </c>
      <c r="H1727" s="1">
        <v>42344</v>
      </c>
      <c r="I1727" t="s">
        <v>39430</v>
      </c>
      <c r="K1727" t="s">
        <v>39431</v>
      </c>
    </row>
    <row r="1728" spans="1:11" x14ac:dyDescent="0.15">
      <c r="A1728">
        <v>17252188</v>
      </c>
      <c r="B1728" t="s">
        <v>39432</v>
      </c>
      <c r="C1728" t="s">
        <v>39433</v>
      </c>
      <c r="D1728" t="s">
        <v>39434</v>
      </c>
      <c r="E1728" t="s">
        <v>33727</v>
      </c>
      <c r="F1728" t="s">
        <v>36076</v>
      </c>
      <c r="G1728">
        <v>2007</v>
      </c>
      <c r="H1728" s="1">
        <v>39108</v>
      </c>
      <c r="K1728" t="s">
        <v>39435</v>
      </c>
    </row>
    <row r="1729" spans="1:11" x14ac:dyDescent="0.15">
      <c r="A1729">
        <v>1908469</v>
      </c>
      <c r="B1729" t="s">
        <v>39436</v>
      </c>
      <c r="C1729" t="s">
        <v>39437</v>
      </c>
      <c r="D1729" t="s">
        <v>39438</v>
      </c>
      <c r="E1729" t="s">
        <v>39439</v>
      </c>
      <c r="F1729" t="s">
        <v>30828</v>
      </c>
      <c r="G1729">
        <v>1991</v>
      </c>
      <c r="H1729" s="1">
        <v>33482</v>
      </c>
      <c r="I1729" t="s">
        <v>39440</v>
      </c>
      <c r="K1729" t="s">
        <v>39441</v>
      </c>
    </row>
    <row r="1730" spans="1:11" x14ac:dyDescent="0.15">
      <c r="A1730">
        <v>24580550</v>
      </c>
      <c r="B1730" t="s">
        <v>39442</v>
      </c>
      <c r="C1730" t="s">
        <v>39443</v>
      </c>
      <c r="D1730" t="s">
        <v>39444</v>
      </c>
      <c r="E1730" t="s">
        <v>39445</v>
      </c>
      <c r="F1730" t="s">
        <v>34094</v>
      </c>
      <c r="G1730">
        <v>2014</v>
      </c>
      <c r="H1730" s="1">
        <v>41702</v>
      </c>
      <c r="K1730" t="s">
        <v>39446</v>
      </c>
    </row>
    <row r="1731" spans="1:11" x14ac:dyDescent="0.15">
      <c r="A1731">
        <v>24244542</v>
      </c>
      <c r="B1731" t="s">
        <v>39447</v>
      </c>
      <c r="C1731" t="s">
        <v>39448</v>
      </c>
      <c r="D1731" t="s">
        <v>39449</v>
      </c>
      <c r="E1731" t="s">
        <v>39450</v>
      </c>
      <c r="F1731" t="s">
        <v>31639</v>
      </c>
      <c r="G1731">
        <v>2013</v>
      </c>
      <c r="H1731" s="1">
        <v>41597</v>
      </c>
      <c r="I1731" t="s">
        <v>39451</v>
      </c>
      <c r="K1731" t="s">
        <v>39452</v>
      </c>
    </row>
    <row r="1732" spans="1:11" x14ac:dyDescent="0.15">
      <c r="A1732">
        <v>19948888</v>
      </c>
      <c r="B1732" t="s">
        <v>39453</v>
      </c>
      <c r="C1732" t="s">
        <v>39454</v>
      </c>
      <c r="D1732" t="s">
        <v>39455</v>
      </c>
      <c r="E1732" t="s">
        <v>39146</v>
      </c>
      <c r="F1732" t="s">
        <v>37573</v>
      </c>
      <c r="G1732">
        <v>2010</v>
      </c>
      <c r="H1732" s="1">
        <v>40149</v>
      </c>
      <c r="I1732" t="s">
        <v>39456</v>
      </c>
      <c r="K1732" t="s">
        <v>39457</v>
      </c>
    </row>
    <row r="1733" spans="1:11" x14ac:dyDescent="0.15">
      <c r="A1733">
        <v>24763612</v>
      </c>
      <c r="B1733" t="s">
        <v>39458</v>
      </c>
      <c r="C1733" t="s">
        <v>39459</v>
      </c>
      <c r="D1733" t="s">
        <v>39460</v>
      </c>
      <c r="E1733" t="s">
        <v>39461</v>
      </c>
      <c r="F1733" t="s">
        <v>32039</v>
      </c>
      <c r="G1733">
        <v>2014</v>
      </c>
      <c r="H1733" s="1">
        <v>41755</v>
      </c>
      <c r="K1733" t="s">
        <v>39462</v>
      </c>
    </row>
    <row r="1734" spans="1:11" x14ac:dyDescent="0.15">
      <c r="A1734">
        <v>12438306</v>
      </c>
      <c r="B1734" t="s">
        <v>39463</v>
      </c>
      <c r="C1734" t="s">
        <v>39464</v>
      </c>
      <c r="D1734" t="s">
        <v>39465</v>
      </c>
      <c r="E1734" t="s">
        <v>39466</v>
      </c>
      <c r="F1734" t="s">
        <v>31594</v>
      </c>
      <c r="G1734">
        <v>2003</v>
      </c>
      <c r="H1734" s="1">
        <v>37580</v>
      </c>
      <c r="I1734" t="s">
        <v>39467</v>
      </c>
      <c r="J1734" t="s">
        <v>39468</v>
      </c>
      <c r="K1734" t="s">
        <v>39469</v>
      </c>
    </row>
    <row r="1735" spans="1:11" x14ac:dyDescent="0.15">
      <c r="A1735">
        <v>22564898</v>
      </c>
      <c r="B1735" t="s">
        <v>39470</v>
      </c>
      <c r="C1735" t="s">
        <v>39471</v>
      </c>
      <c r="D1735" t="s">
        <v>39472</v>
      </c>
      <c r="E1735" t="s">
        <v>39473</v>
      </c>
      <c r="F1735" t="s">
        <v>31587</v>
      </c>
      <c r="G1735">
        <v>2012</v>
      </c>
      <c r="H1735" s="1">
        <v>41038</v>
      </c>
      <c r="I1735" t="s">
        <v>39474</v>
      </c>
      <c r="K1735" t="s">
        <v>39475</v>
      </c>
    </row>
    <row r="1736" spans="1:11" x14ac:dyDescent="0.15">
      <c r="A1736">
        <v>25020060</v>
      </c>
      <c r="B1736" t="s">
        <v>39476</v>
      </c>
      <c r="C1736" t="s">
        <v>39477</v>
      </c>
      <c r="D1736" t="s">
        <v>39478</v>
      </c>
      <c r="E1736" t="s">
        <v>39479</v>
      </c>
      <c r="F1736" t="s">
        <v>31639</v>
      </c>
      <c r="G1736">
        <v>2014</v>
      </c>
      <c r="H1736" s="1">
        <v>41835</v>
      </c>
      <c r="I1736" t="s">
        <v>39480</v>
      </c>
      <c r="K1736" t="s">
        <v>39481</v>
      </c>
    </row>
    <row r="1737" spans="1:11" x14ac:dyDescent="0.15">
      <c r="A1737">
        <v>27830852</v>
      </c>
      <c r="B1737" t="s">
        <v>39482</v>
      </c>
      <c r="C1737" t="s">
        <v>39483</v>
      </c>
      <c r="D1737" t="s">
        <v>39484</v>
      </c>
      <c r="E1737" t="s">
        <v>39485</v>
      </c>
      <c r="F1737" t="s">
        <v>31678</v>
      </c>
      <c r="G1737">
        <v>2016</v>
      </c>
      <c r="H1737" s="1">
        <v>42685</v>
      </c>
      <c r="K1737" t="s">
        <v>39486</v>
      </c>
    </row>
    <row r="1738" spans="1:11" x14ac:dyDescent="0.15">
      <c r="A1738">
        <v>18412164</v>
      </c>
      <c r="B1738" t="s">
        <v>39487</v>
      </c>
      <c r="C1738" t="s">
        <v>39488</v>
      </c>
      <c r="D1738" t="s">
        <v>39489</v>
      </c>
      <c r="E1738" t="s">
        <v>39490</v>
      </c>
      <c r="F1738" t="s">
        <v>31393</v>
      </c>
      <c r="G1738">
        <v>2008</v>
      </c>
      <c r="H1738" s="1">
        <v>39555</v>
      </c>
      <c r="K1738" t="s">
        <v>39491</v>
      </c>
    </row>
    <row r="1739" spans="1:11" x14ac:dyDescent="0.15">
      <c r="A1739">
        <v>21430775</v>
      </c>
      <c r="B1739" t="s">
        <v>39492</v>
      </c>
      <c r="C1739" t="s">
        <v>39493</v>
      </c>
      <c r="D1739" t="s">
        <v>39494</v>
      </c>
      <c r="E1739" t="s">
        <v>39495</v>
      </c>
      <c r="F1739" t="s">
        <v>34237</v>
      </c>
      <c r="G1739">
        <v>2011</v>
      </c>
      <c r="H1739" s="1">
        <v>40627</v>
      </c>
      <c r="I1739" t="s">
        <v>39496</v>
      </c>
      <c r="J1739" t="s">
        <v>39497</v>
      </c>
      <c r="K1739" t="s">
        <v>39498</v>
      </c>
    </row>
    <row r="1740" spans="1:11" x14ac:dyDescent="0.15">
      <c r="A1740">
        <v>18328526</v>
      </c>
      <c r="B1740" t="s">
        <v>26602</v>
      </c>
      <c r="C1740" t="s">
        <v>39499</v>
      </c>
      <c r="D1740" t="s">
        <v>39500</v>
      </c>
      <c r="E1740" t="s">
        <v>39501</v>
      </c>
      <c r="F1740" t="s">
        <v>932</v>
      </c>
      <c r="G1740">
        <v>2008</v>
      </c>
      <c r="H1740" s="1">
        <v>39518</v>
      </c>
      <c r="K1740" t="s">
        <v>26612</v>
      </c>
    </row>
    <row r="1741" spans="1:11" x14ac:dyDescent="0.15">
      <c r="A1741">
        <v>18377888</v>
      </c>
      <c r="B1741" t="s">
        <v>39502</v>
      </c>
      <c r="C1741" t="s">
        <v>39503</v>
      </c>
      <c r="D1741" t="s">
        <v>39504</v>
      </c>
      <c r="E1741" t="s">
        <v>39505</v>
      </c>
      <c r="F1741" t="s">
        <v>36008</v>
      </c>
      <c r="G1741">
        <v>2008</v>
      </c>
      <c r="H1741" s="1">
        <v>39540</v>
      </c>
      <c r="K1741" t="s">
        <v>39506</v>
      </c>
    </row>
    <row r="1742" spans="1:11" x14ac:dyDescent="0.15">
      <c r="A1742">
        <v>30305710</v>
      </c>
      <c r="B1742" t="s">
        <v>39507</v>
      </c>
      <c r="C1742" t="s">
        <v>39508</v>
      </c>
      <c r="D1742" t="s">
        <v>39509</v>
      </c>
      <c r="E1742" t="s">
        <v>39510</v>
      </c>
      <c r="F1742" t="s">
        <v>33176</v>
      </c>
      <c r="G1742">
        <v>2018</v>
      </c>
      <c r="H1742" s="1">
        <v>43385</v>
      </c>
      <c r="K1742" t="s">
        <v>39511</v>
      </c>
    </row>
    <row r="1743" spans="1:11" x14ac:dyDescent="0.15">
      <c r="A1743">
        <v>11739279</v>
      </c>
      <c r="B1743" t="s">
        <v>39512</v>
      </c>
      <c r="C1743" t="s">
        <v>39513</v>
      </c>
      <c r="D1743" t="s">
        <v>39514</v>
      </c>
      <c r="E1743" t="s">
        <v>39515</v>
      </c>
      <c r="F1743" t="s">
        <v>31512</v>
      </c>
      <c r="G1743">
        <v>2001</v>
      </c>
      <c r="H1743" s="1">
        <v>37237</v>
      </c>
      <c r="K1743" t="s">
        <v>39516</v>
      </c>
    </row>
    <row r="1744" spans="1:11" x14ac:dyDescent="0.15">
      <c r="A1744">
        <v>35605011</v>
      </c>
      <c r="B1744" t="s">
        <v>39517</v>
      </c>
      <c r="C1744" t="s">
        <v>39518</v>
      </c>
      <c r="D1744" t="s">
        <v>39519</v>
      </c>
      <c r="E1744" t="s">
        <v>39520</v>
      </c>
      <c r="F1744" t="s">
        <v>31933</v>
      </c>
      <c r="G1744">
        <v>2022</v>
      </c>
      <c r="H1744" s="1">
        <v>44704</v>
      </c>
      <c r="I1744" t="s">
        <v>39521</v>
      </c>
      <c r="K1744" t="s">
        <v>39522</v>
      </c>
    </row>
    <row r="1745" spans="1:11" x14ac:dyDescent="0.15">
      <c r="A1745">
        <v>15595725</v>
      </c>
      <c r="B1745" t="s">
        <v>39523</v>
      </c>
      <c r="C1745" t="s">
        <v>39524</v>
      </c>
      <c r="D1745" t="s">
        <v>39525</v>
      </c>
      <c r="E1745" t="s">
        <v>39526</v>
      </c>
      <c r="F1745" t="s">
        <v>34224</v>
      </c>
      <c r="G1745">
        <v>2004</v>
      </c>
      <c r="H1745" s="1">
        <v>38336</v>
      </c>
      <c r="K1745" t="s">
        <v>39527</v>
      </c>
    </row>
    <row r="1746" spans="1:11" x14ac:dyDescent="0.15">
      <c r="A1746">
        <v>30247599</v>
      </c>
      <c r="B1746" t="s">
        <v>24630</v>
      </c>
      <c r="C1746" t="s">
        <v>39528</v>
      </c>
      <c r="D1746" t="s">
        <v>39529</v>
      </c>
      <c r="E1746" t="s">
        <v>39530</v>
      </c>
      <c r="F1746" t="s">
        <v>32228</v>
      </c>
      <c r="G1746">
        <v>2018</v>
      </c>
      <c r="H1746" s="1">
        <v>43368</v>
      </c>
      <c r="I1746" t="s">
        <v>39531</v>
      </c>
      <c r="K1746" t="s">
        <v>24640</v>
      </c>
    </row>
    <row r="1747" spans="1:11" x14ac:dyDescent="0.15">
      <c r="A1747">
        <v>16461938</v>
      </c>
      <c r="B1747" t="s">
        <v>39532</v>
      </c>
      <c r="C1747" t="s">
        <v>39533</v>
      </c>
      <c r="D1747" t="s">
        <v>39534</v>
      </c>
      <c r="E1747" t="s">
        <v>37737</v>
      </c>
      <c r="F1747" t="s">
        <v>37130</v>
      </c>
      <c r="G1747">
        <v>2006</v>
      </c>
      <c r="H1747" s="1">
        <v>38756</v>
      </c>
      <c r="K1747" t="s">
        <v>39535</v>
      </c>
    </row>
    <row r="1748" spans="1:11" x14ac:dyDescent="0.15">
      <c r="A1748">
        <v>29251021</v>
      </c>
      <c r="B1748" t="s">
        <v>39536</v>
      </c>
      <c r="C1748" t="s">
        <v>39537</v>
      </c>
      <c r="D1748" t="s">
        <v>39538</v>
      </c>
      <c r="E1748" t="s">
        <v>39539</v>
      </c>
      <c r="F1748" t="s">
        <v>31816</v>
      </c>
      <c r="G1748">
        <v>2018</v>
      </c>
      <c r="H1748" s="1">
        <v>43088</v>
      </c>
      <c r="K1748" t="s">
        <v>39540</v>
      </c>
    </row>
    <row r="1749" spans="1:11" x14ac:dyDescent="0.15">
      <c r="A1749">
        <v>34198263</v>
      </c>
      <c r="B1749" t="s">
        <v>39541</v>
      </c>
      <c r="C1749" t="s">
        <v>39542</v>
      </c>
      <c r="D1749" t="s">
        <v>39543</v>
      </c>
      <c r="E1749" t="s">
        <v>39544</v>
      </c>
      <c r="F1749" t="s">
        <v>31759</v>
      </c>
      <c r="G1749">
        <v>2021</v>
      </c>
      <c r="H1749" s="1">
        <v>44378</v>
      </c>
      <c r="I1749" t="s">
        <v>39545</v>
      </c>
      <c r="K1749" t="s">
        <v>39546</v>
      </c>
    </row>
    <row r="1750" spans="1:11" x14ac:dyDescent="0.15">
      <c r="A1750">
        <v>29747217</v>
      </c>
      <c r="B1750" t="s">
        <v>39547</v>
      </c>
      <c r="C1750" t="s">
        <v>39548</v>
      </c>
      <c r="D1750" t="s">
        <v>39549</v>
      </c>
      <c r="E1750" t="s">
        <v>39550</v>
      </c>
      <c r="F1750" t="s">
        <v>36830</v>
      </c>
      <c r="G1750">
        <v>2018</v>
      </c>
      <c r="H1750" s="1">
        <v>43231</v>
      </c>
      <c r="K1750" t="s">
        <v>39551</v>
      </c>
    </row>
    <row r="1751" spans="1:11" x14ac:dyDescent="0.15">
      <c r="A1751">
        <v>31546246</v>
      </c>
      <c r="B1751" t="s">
        <v>23126</v>
      </c>
      <c r="C1751" t="s">
        <v>39552</v>
      </c>
      <c r="D1751" t="s">
        <v>39553</v>
      </c>
      <c r="E1751" t="s">
        <v>39554</v>
      </c>
      <c r="F1751" t="s">
        <v>34237</v>
      </c>
      <c r="G1751">
        <v>2019</v>
      </c>
      <c r="H1751" s="1">
        <v>43732</v>
      </c>
      <c r="I1751" t="s">
        <v>39555</v>
      </c>
      <c r="J1751" t="s">
        <v>39556</v>
      </c>
      <c r="K1751" t="s">
        <v>23135</v>
      </c>
    </row>
    <row r="1752" spans="1:11" x14ac:dyDescent="0.15">
      <c r="A1752">
        <v>23678170</v>
      </c>
      <c r="B1752" t="s">
        <v>39557</v>
      </c>
      <c r="C1752" t="s">
        <v>39558</v>
      </c>
      <c r="D1752" t="s">
        <v>39559</v>
      </c>
      <c r="E1752" t="s">
        <v>39560</v>
      </c>
      <c r="F1752" t="s">
        <v>31970</v>
      </c>
      <c r="G1752">
        <v>2013</v>
      </c>
      <c r="H1752" s="1">
        <v>41411</v>
      </c>
      <c r="I1752" t="s">
        <v>39561</v>
      </c>
      <c r="K1752" t="s">
        <v>39562</v>
      </c>
    </row>
    <row r="1753" spans="1:11" x14ac:dyDescent="0.15">
      <c r="A1753">
        <v>32209033</v>
      </c>
      <c r="B1753" t="s">
        <v>39563</v>
      </c>
      <c r="C1753" t="s">
        <v>39564</v>
      </c>
      <c r="D1753" t="s">
        <v>39565</v>
      </c>
      <c r="E1753" t="s">
        <v>32848</v>
      </c>
      <c r="F1753" t="s">
        <v>33443</v>
      </c>
      <c r="G1753">
        <v>2020</v>
      </c>
      <c r="H1753" s="1">
        <v>43917</v>
      </c>
      <c r="K1753" t="s">
        <v>39566</v>
      </c>
    </row>
    <row r="1754" spans="1:11" x14ac:dyDescent="0.15">
      <c r="A1754">
        <v>24959992</v>
      </c>
      <c r="B1754" t="s">
        <v>39567</v>
      </c>
      <c r="C1754" t="s">
        <v>39568</v>
      </c>
      <c r="D1754" t="s">
        <v>39569</v>
      </c>
      <c r="E1754" t="s">
        <v>39570</v>
      </c>
      <c r="F1754" t="s">
        <v>39571</v>
      </c>
      <c r="G1754">
        <v>2014</v>
      </c>
      <c r="H1754" s="1">
        <v>41815</v>
      </c>
      <c r="K1754" t="s">
        <v>39572</v>
      </c>
    </row>
    <row r="1755" spans="1:11" x14ac:dyDescent="0.15">
      <c r="A1755">
        <v>31612497</v>
      </c>
      <c r="B1755" t="s">
        <v>39573</v>
      </c>
      <c r="C1755" t="s">
        <v>39574</v>
      </c>
      <c r="D1755" t="s">
        <v>39575</v>
      </c>
      <c r="E1755" t="s">
        <v>39576</v>
      </c>
      <c r="F1755" t="s">
        <v>30847</v>
      </c>
      <c r="G1755">
        <v>2020</v>
      </c>
      <c r="H1755" s="1">
        <v>43754</v>
      </c>
      <c r="K1755" t="s">
        <v>39577</v>
      </c>
    </row>
    <row r="1756" spans="1:11" x14ac:dyDescent="0.15">
      <c r="A1756">
        <v>26743283</v>
      </c>
      <c r="B1756" t="s">
        <v>26542</v>
      </c>
      <c r="C1756" t="s">
        <v>39578</v>
      </c>
      <c r="D1756" t="s">
        <v>39579</v>
      </c>
      <c r="E1756" t="s">
        <v>39580</v>
      </c>
      <c r="F1756" t="s">
        <v>39581</v>
      </c>
      <c r="G1756">
        <v>2015</v>
      </c>
      <c r="H1756" s="1">
        <v>42378</v>
      </c>
    </row>
    <row r="1757" spans="1:11" x14ac:dyDescent="0.15">
      <c r="A1757">
        <v>31533842</v>
      </c>
      <c r="B1757" t="s">
        <v>39582</v>
      </c>
      <c r="C1757" t="s">
        <v>39583</v>
      </c>
      <c r="D1757" t="s">
        <v>39584</v>
      </c>
      <c r="E1757" t="s">
        <v>39585</v>
      </c>
      <c r="F1757" t="s">
        <v>31304</v>
      </c>
      <c r="G1757">
        <v>2019</v>
      </c>
      <c r="H1757" s="1">
        <v>43728</v>
      </c>
      <c r="I1757" t="s">
        <v>39586</v>
      </c>
      <c r="K1757" t="s">
        <v>39587</v>
      </c>
    </row>
    <row r="1758" spans="1:11" x14ac:dyDescent="0.15">
      <c r="A1758">
        <v>17573475</v>
      </c>
      <c r="B1758" t="s">
        <v>26059</v>
      </c>
      <c r="C1758" t="s">
        <v>39588</v>
      </c>
      <c r="D1758" t="s">
        <v>39589</v>
      </c>
      <c r="E1758" t="s">
        <v>39590</v>
      </c>
      <c r="F1758" t="s">
        <v>32185</v>
      </c>
      <c r="G1758">
        <v>2007</v>
      </c>
      <c r="H1758" s="1">
        <v>39252</v>
      </c>
      <c r="I1758" t="s">
        <v>39591</v>
      </c>
      <c r="K1758" t="s">
        <v>26066</v>
      </c>
    </row>
    <row r="1759" spans="1:11" x14ac:dyDescent="0.15">
      <c r="A1759">
        <v>34040060</v>
      </c>
      <c r="B1759" t="s">
        <v>21532</v>
      </c>
      <c r="C1759" t="s">
        <v>39592</v>
      </c>
      <c r="D1759" t="s">
        <v>39593</v>
      </c>
      <c r="E1759" t="s">
        <v>39594</v>
      </c>
      <c r="F1759" t="s">
        <v>30834</v>
      </c>
      <c r="G1759">
        <v>2021</v>
      </c>
      <c r="H1759" s="1">
        <v>44343</v>
      </c>
      <c r="I1759" t="s">
        <v>39595</v>
      </c>
      <c r="K1759" t="s">
        <v>21542</v>
      </c>
    </row>
    <row r="1760" spans="1:11" x14ac:dyDescent="0.15">
      <c r="A1760">
        <v>31889167</v>
      </c>
      <c r="B1760" t="s">
        <v>39596</v>
      </c>
      <c r="C1760" t="s">
        <v>39597</v>
      </c>
      <c r="D1760" t="s">
        <v>39598</v>
      </c>
      <c r="E1760" t="s">
        <v>39599</v>
      </c>
      <c r="F1760" t="s">
        <v>30834</v>
      </c>
      <c r="G1760">
        <v>2019</v>
      </c>
      <c r="H1760" s="1">
        <v>43831</v>
      </c>
      <c r="I1760" t="s">
        <v>39600</v>
      </c>
      <c r="K1760" t="s">
        <v>39601</v>
      </c>
    </row>
    <row r="1761" spans="1:11" x14ac:dyDescent="0.15">
      <c r="A1761">
        <v>25251442</v>
      </c>
      <c r="B1761" t="s">
        <v>39602</v>
      </c>
      <c r="C1761" t="s">
        <v>39603</v>
      </c>
      <c r="D1761" t="s">
        <v>39604</v>
      </c>
      <c r="E1761" t="s">
        <v>39605</v>
      </c>
      <c r="F1761" t="s">
        <v>39606</v>
      </c>
      <c r="G1761">
        <v>2015</v>
      </c>
      <c r="H1761" s="1">
        <v>41907</v>
      </c>
      <c r="I1761" t="s">
        <v>39607</v>
      </c>
      <c r="J1761" t="s">
        <v>39608</v>
      </c>
      <c r="K1761" t="s">
        <v>39609</v>
      </c>
    </row>
    <row r="1762" spans="1:11" x14ac:dyDescent="0.15">
      <c r="A1762">
        <v>31160785</v>
      </c>
      <c r="B1762" t="s">
        <v>39610</v>
      </c>
      <c r="C1762" t="s">
        <v>39611</v>
      </c>
      <c r="D1762" t="s">
        <v>39612</v>
      </c>
      <c r="E1762" t="s">
        <v>39613</v>
      </c>
      <c r="F1762" t="s">
        <v>38145</v>
      </c>
      <c r="G1762">
        <v>2019</v>
      </c>
      <c r="H1762" s="1">
        <v>43621</v>
      </c>
      <c r="I1762" t="s">
        <v>39614</v>
      </c>
      <c r="J1762" t="s">
        <v>39615</v>
      </c>
      <c r="K1762" t="s">
        <v>39616</v>
      </c>
    </row>
    <row r="1763" spans="1:11" x14ac:dyDescent="0.15">
      <c r="A1763">
        <v>9652412</v>
      </c>
      <c r="B1763" t="s">
        <v>25606</v>
      </c>
      <c r="C1763" t="s">
        <v>39617</v>
      </c>
      <c r="D1763" t="s">
        <v>39618</v>
      </c>
      <c r="E1763" t="s">
        <v>39619</v>
      </c>
      <c r="F1763" t="s">
        <v>36775</v>
      </c>
      <c r="G1763">
        <v>1998</v>
      </c>
      <c r="H1763" s="1">
        <v>35980</v>
      </c>
      <c r="K1763" t="s">
        <v>25616</v>
      </c>
    </row>
    <row r="1764" spans="1:11" x14ac:dyDescent="0.15">
      <c r="A1764">
        <v>35447119</v>
      </c>
      <c r="B1764" t="s">
        <v>22397</v>
      </c>
      <c r="C1764" t="s">
        <v>39620</v>
      </c>
      <c r="D1764" t="s">
        <v>39621</v>
      </c>
      <c r="E1764" t="s">
        <v>39622</v>
      </c>
      <c r="F1764" t="s">
        <v>31594</v>
      </c>
      <c r="G1764">
        <v>2022</v>
      </c>
      <c r="H1764" s="1">
        <v>44672</v>
      </c>
      <c r="I1764" t="s">
        <v>39623</v>
      </c>
      <c r="K1764" t="s">
        <v>22405</v>
      </c>
    </row>
    <row r="1765" spans="1:11" x14ac:dyDescent="0.15">
      <c r="A1765">
        <v>29701682</v>
      </c>
      <c r="B1765" t="s">
        <v>39624</v>
      </c>
      <c r="C1765" t="s">
        <v>39625</v>
      </c>
      <c r="D1765" t="s">
        <v>39626</v>
      </c>
      <c r="E1765" t="s">
        <v>39627</v>
      </c>
      <c r="F1765" t="s">
        <v>33169</v>
      </c>
      <c r="G1765">
        <v>2018</v>
      </c>
      <c r="H1765" s="1">
        <v>43218</v>
      </c>
      <c r="I1765" t="s">
        <v>39628</v>
      </c>
      <c r="K1765" t="s">
        <v>39629</v>
      </c>
    </row>
    <row r="1766" spans="1:11" x14ac:dyDescent="0.15">
      <c r="A1766">
        <v>31226398</v>
      </c>
      <c r="B1766" t="s">
        <v>39630</v>
      </c>
      <c r="C1766" t="s">
        <v>39631</v>
      </c>
      <c r="D1766" t="s">
        <v>39632</v>
      </c>
      <c r="E1766" t="s">
        <v>39633</v>
      </c>
      <c r="F1766" t="s">
        <v>31311</v>
      </c>
      <c r="G1766">
        <v>2019</v>
      </c>
      <c r="H1766" s="1">
        <v>43638</v>
      </c>
      <c r="K1766" t="s">
        <v>39634</v>
      </c>
    </row>
    <row r="1767" spans="1:11" x14ac:dyDescent="0.15">
      <c r="A1767">
        <v>31432608</v>
      </c>
      <c r="B1767" t="s">
        <v>39635</v>
      </c>
      <c r="C1767" t="s">
        <v>39636</v>
      </c>
      <c r="D1767" t="s">
        <v>39637</v>
      </c>
      <c r="E1767" t="s">
        <v>39638</v>
      </c>
      <c r="F1767" t="s">
        <v>39639</v>
      </c>
      <c r="G1767">
        <v>2020</v>
      </c>
      <c r="H1767" s="1">
        <v>43699</v>
      </c>
      <c r="I1767" t="s">
        <v>39640</v>
      </c>
      <c r="J1767" t="s">
        <v>39641</v>
      </c>
      <c r="K1767" t="s">
        <v>39642</v>
      </c>
    </row>
    <row r="1768" spans="1:11" x14ac:dyDescent="0.15">
      <c r="A1768">
        <v>25728769</v>
      </c>
      <c r="B1768" t="s">
        <v>39643</v>
      </c>
      <c r="C1768" t="s">
        <v>39644</v>
      </c>
      <c r="D1768" t="s">
        <v>39645</v>
      </c>
      <c r="E1768" t="s">
        <v>39646</v>
      </c>
      <c r="F1768" t="s">
        <v>32022</v>
      </c>
      <c r="G1768">
        <v>2015</v>
      </c>
      <c r="H1768" s="1">
        <v>42066</v>
      </c>
      <c r="I1768" t="s">
        <v>39647</v>
      </c>
      <c r="J1768" t="s">
        <v>39648</v>
      </c>
      <c r="K1768" t="s">
        <v>39649</v>
      </c>
    </row>
    <row r="1769" spans="1:11" x14ac:dyDescent="0.15">
      <c r="A1769">
        <v>29326054</v>
      </c>
      <c r="B1769" t="s">
        <v>39650</v>
      </c>
      <c r="C1769" t="s">
        <v>39651</v>
      </c>
      <c r="D1769" t="s">
        <v>39652</v>
      </c>
      <c r="E1769" t="s">
        <v>39653</v>
      </c>
      <c r="F1769" t="s">
        <v>31311</v>
      </c>
      <c r="G1769">
        <v>2018</v>
      </c>
      <c r="H1769" s="1">
        <v>43113</v>
      </c>
      <c r="K1769" t="s">
        <v>39654</v>
      </c>
    </row>
    <row r="1770" spans="1:11" x14ac:dyDescent="0.15">
      <c r="A1770">
        <v>27075929</v>
      </c>
      <c r="B1770" t="s">
        <v>39655</v>
      </c>
      <c r="C1770" t="s">
        <v>39656</v>
      </c>
      <c r="D1770" t="s">
        <v>39657</v>
      </c>
      <c r="E1770" t="s">
        <v>39658</v>
      </c>
      <c r="F1770" t="s">
        <v>31137</v>
      </c>
      <c r="G1770">
        <v>2016</v>
      </c>
      <c r="H1770" s="1">
        <v>42475</v>
      </c>
      <c r="I1770" t="s">
        <v>39659</v>
      </c>
      <c r="K1770" t="s">
        <v>39660</v>
      </c>
    </row>
    <row r="1771" spans="1:11" x14ac:dyDescent="0.15">
      <c r="A1771">
        <v>23980030</v>
      </c>
      <c r="B1771" t="s">
        <v>39661</v>
      </c>
      <c r="C1771" t="s">
        <v>39662</v>
      </c>
      <c r="D1771" t="s">
        <v>39663</v>
      </c>
      <c r="E1771" t="s">
        <v>39664</v>
      </c>
      <c r="F1771" t="s">
        <v>31587</v>
      </c>
      <c r="G1771">
        <v>2013</v>
      </c>
      <c r="H1771" s="1">
        <v>41514</v>
      </c>
      <c r="I1771" t="s">
        <v>39665</v>
      </c>
      <c r="K1771" t="s">
        <v>39666</v>
      </c>
    </row>
    <row r="1772" spans="1:11" x14ac:dyDescent="0.15">
      <c r="A1772">
        <v>16957732</v>
      </c>
      <c r="B1772" t="s">
        <v>39667</v>
      </c>
      <c r="C1772" t="s">
        <v>39668</v>
      </c>
      <c r="D1772" t="s">
        <v>39669</v>
      </c>
      <c r="E1772" t="s">
        <v>39670</v>
      </c>
      <c r="F1772" t="s">
        <v>34237</v>
      </c>
      <c r="G1772">
        <v>2006</v>
      </c>
      <c r="H1772" s="1">
        <v>38968</v>
      </c>
      <c r="K1772" t="s">
        <v>39671</v>
      </c>
    </row>
    <row r="1773" spans="1:11" x14ac:dyDescent="0.15">
      <c r="A1773">
        <v>34129371</v>
      </c>
      <c r="B1773" t="s">
        <v>39672</v>
      </c>
      <c r="C1773" t="s">
        <v>39673</v>
      </c>
      <c r="D1773" t="s">
        <v>39674</v>
      </c>
      <c r="E1773" t="s">
        <v>39675</v>
      </c>
      <c r="F1773" t="s">
        <v>39676</v>
      </c>
      <c r="G1773">
        <v>2021</v>
      </c>
      <c r="H1773" s="1">
        <v>44362</v>
      </c>
      <c r="K1773" t="s">
        <v>39677</v>
      </c>
    </row>
    <row r="1774" spans="1:11" x14ac:dyDescent="0.15">
      <c r="A1774">
        <v>31287870</v>
      </c>
      <c r="B1774" t="s">
        <v>39678</v>
      </c>
      <c r="C1774" t="s">
        <v>39679</v>
      </c>
      <c r="D1774" t="s">
        <v>39680</v>
      </c>
      <c r="E1774" t="s">
        <v>39681</v>
      </c>
      <c r="F1774" t="s">
        <v>31587</v>
      </c>
      <c r="G1774">
        <v>2019</v>
      </c>
      <c r="H1774" s="1">
        <v>43656</v>
      </c>
      <c r="I1774" t="s">
        <v>39682</v>
      </c>
      <c r="K1774" t="s">
        <v>39683</v>
      </c>
    </row>
    <row r="1775" spans="1:11" x14ac:dyDescent="0.15">
      <c r="A1775">
        <v>35581240</v>
      </c>
      <c r="B1775" t="s">
        <v>39684</v>
      </c>
      <c r="C1775" t="s">
        <v>39685</v>
      </c>
      <c r="D1775" t="s">
        <v>39686</v>
      </c>
      <c r="E1775" t="s">
        <v>39687</v>
      </c>
      <c r="F1775" t="s">
        <v>30834</v>
      </c>
      <c r="G1775">
        <v>2022</v>
      </c>
      <c r="H1775" s="1">
        <v>44698</v>
      </c>
      <c r="I1775" t="s">
        <v>39688</v>
      </c>
      <c r="K1775" t="s">
        <v>39689</v>
      </c>
    </row>
    <row r="1776" spans="1:11" x14ac:dyDescent="0.15">
      <c r="A1776">
        <v>31644944</v>
      </c>
      <c r="B1776" t="s">
        <v>39690</v>
      </c>
      <c r="C1776" t="s">
        <v>39691</v>
      </c>
      <c r="D1776" t="s">
        <v>39692</v>
      </c>
      <c r="E1776" t="s">
        <v>39693</v>
      </c>
      <c r="F1776" t="s">
        <v>33740</v>
      </c>
      <c r="G1776">
        <v>2020</v>
      </c>
      <c r="H1776" s="1">
        <v>43762</v>
      </c>
      <c r="I1776" t="s">
        <v>39694</v>
      </c>
      <c r="J1776" t="s">
        <v>39695</v>
      </c>
      <c r="K1776" t="s">
        <v>39696</v>
      </c>
    </row>
    <row r="1777" spans="1:11" x14ac:dyDescent="0.15">
      <c r="A1777">
        <v>29289567</v>
      </c>
      <c r="B1777" t="s">
        <v>39697</v>
      </c>
      <c r="C1777" t="s">
        <v>39698</v>
      </c>
      <c r="D1777" t="s">
        <v>39699</v>
      </c>
      <c r="E1777" t="s">
        <v>39700</v>
      </c>
      <c r="F1777" t="s">
        <v>31850</v>
      </c>
      <c r="G1777">
        <v>2018</v>
      </c>
      <c r="H1777" s="1">
        <v>43101</v>
      </c>
      <c r="I1777" t="s">
        <v>39701</v>
      </c>
      <c r="J1777" t="s">
        <v>39702</v>
      </c>
      <c r="K1777" t="s">
        <v>39703</v>
      </c>
    </row>
    <row r="1778" spans="1:11" x14ac:dyDescent="0.15">
      <c r="A1778">
        <v>32593407</v>
      </c>
      <c r="B1778" t="s">
        <v>39704</v>
      </c>
      <c r="C1778" t="s">
        <v>39705</v>
      </c>
      <c r="D1778" t="s">
        <v>39706</v>
      </c>
      <c r="E1778" t="s">
        <v>39707</v>
      </c>
      <c r="F1778" t="s">
        <v>39708</v>
      </c>
      <c r="G1778">
        <v>2020</v>
      </c>
      <c r="H1778" s="1">
        <v>44011</v>
      </c>
      <c r="K1778" t="s">
        <v>39709</v>
      </c>
    </row>
    <row r="1779" spans="1:11" x14ac:dyDescent="0.15">
      <c r="A1779">
        <v>9361293</v>
      </c>
      <c r="B1779" t="s">
        <v>39710</v>
      </c>
      <c r="C1779" t="s">
        <v>39711</v>
      </c>
      <c r="D1779" t="s">
        <v>39712</v>
      </c>
      <c r="E1779" t="s">
        <v>39713</v>
      </c>
      <c r="F1779" t="s">
        <v>38824</v>
      </c>
      <c r="G1779">
        <v>1997</v>
      </c>
      <c r="H1779" s="1">
        <v>35431</v>
      </c>
      <c r="K1779" t="s">
        <v>39714</v>
      </c>
    </row>
    <row r="1780" spans="1:11" x14ac:dyDescent="0.15">
      <c r="A1780">
        <v>22306653</v>
      </c>
      <c r="B1780" t="s">
        <v>39715</v>
      </c>
      <c r="C1780" t="s">
        <v>39716</v>
      </c>
      <c r="D1780" t="s">
        <v>39717</v>
      </c>
      <c r="E1780" t="s">
        <v>39718</v>
      </c>
      <c r="F1780" t="s">
        <v>34801</v>
      </c>
      <c r="G1780">
        <v>2012</v>
      </c>
      <c r="H1780" s="1">
        <v>40946</v>
      </c>
      <c r="K1780" t="s">
        <v>39719</v>
      </c>
    </row>
    <row r="1781" spans="1:11" x14ac:dyDescent="0.15">
      <c r="A1781">
        <v>19061643</v>
      </c>
      <c r="B1781" t="s">
        <v>39720</v>
      </c>
      <c r="C1781" t="s">
        <v>39721</v>
      </c>
      <c r="D1781" t="s">
        <v>39722</v>
      </c>
      <c r="E1781" t="s">
        <v>36013</v>
      </c>
      <c r="F1781" t="s">
        <v>32022</v>
      </c>
      <c r="G1781">
        <v>2008</v>
      </c>
      <c r="H1781" s="1">
        <v>39791</v>
      </c>
      <c r="I1781" t="s">
        <v>39723</v>
      </c>
      <c r="J1781" t="s">
        <v>39724</v>
      </c>
      <c r="K1781" t="s">
        <v>39725</v>
      </c>
    </row>
    <row r="1782" spans="1:11" x14ac:dyDescent="0.15">
      <c r="A1782">
        <v>29921325</v>
      </c>
      <c r="B1782" t="s">
        <v>23349</v>
      </c>
      <c r="C1782" t="s">
        <v>39726</v>
      </c>
      <c r="D1782" t="s">
        <v>39727</v>
      </c>
      <c r="E1782" t="s">
        <v>39728</v>
      </c>
      <c r="F1782" t="s">
        <v>30740</v>
      </c>
      <c r="G1782">
        <v>2018</v>
      </c>
      <c r="H1782" s="1">
        <v>43272</v>
      </c>
      <c r="I1782" t="s">
        <v>39729</v>
      </c>
      <c r="K1782" t="s">
        <v>23359</v>
      </c>
    </row>
    <row r="1783" spans="1:11" x14ac:dyDescent="0.15">
      <c r="A1783">
        <v>35040435</v>
      </c>
      <c r="B1783" t="s">
        <v>39730</v>
      </c>
      <c r="C1783" t="s">
        <v>39731</v>
      </c>
      <c r="D1783" t="s">
        <v>39732</v>
      </c>
      <c r="E1783" t="s">
        <v>37838</v>
      </c>
      <c r="F1783" t="s">
        <v>30566</v>
      </c>
      <c r="G1783">
        <v>2022</v>
      </c>
      <c r="H1783" s="1">
        <v>44579</v>
      </c>
      <c r="I1783" t="s">
        <v>39733</v>
      </c>
      <c r="K1783" t="s">
        <v>39734</v>
      </c>
    </row>
    <row r="1784" spans="1:11" x14ac:dyDescent="0.15">
      <c r="A1784">
        <v>26387449</v>
      </c>
      <c r="B1784" t="s">
        <v>39735</v>
      </c>
      <c r="C1784" t="s">
        <v>39736</v>
      </c>
      <c r="D1784" t="s">
        <v>39737</v>
      </c>
      <c r="E1784" t="s">
        <v>39738</v>
      </c>
      <c r="F1784" t="s">
        <v>39739</v>
      </c>
      <c r="G1784">
        <v>2016</v>
      </c>
      <c r="H1784" s="1">
        <v>42269</v>
      </c>
      <c r="K1784" t="s">
        <v>39740</v>
      </c>
    </row>
    <row r="1785" spans="1:11" x14ac:dyDescent="0.15">
      <c r="A1785">
        <v>22723882</v>
      </c>
      <c r="B1785" t="s">
        <v>39741</v>
      </c>
      <c r="C1785" t="s">
        <v>39742</v>
      </c>
      <c r="D1785" t="s">
        <v>39743</v>
      </c>
      <c r="E1785" t="s">
        <v>39744</v>
      </c>
      <c r="F1785" t="s">
        <v>31639</v>
      </c>
      <c r="G1785">
        <v>2012</v>
      </c>
      <c r="H1785" s="1">
        <v>41083</v>
      </c>
      <c r="I1785" t="s">
        <v>39745</v>
      </c>
      <c r="K1785" t="s">
        <v>27360</v>
      </c>
    </row>
    <row r="1786" spans="1:11" x14ac:dyDescent="0.15">
      <c r="A1786">
        <v>34613814</v>
      </c>
      <c r="B1786" t="s">
        <v>24181</v>
      </c>
      <c r="C1786" t="s">
        <v>39746</v>
      </c>
      <c r="D1786" t="s">
        <v>39747</v>
      </c>
      <c r="E1786" t="s">
        <v>30674</v>
      </c>
      <c r="F1786" t="s">
        <v>35516</v>
      </c>
      <c r="G1786">
        <v>2021</v>
      </c>
      <c r="H1786" s="1">
        <v>44475</v>
      </c>
      <c r="K1786" t="s">
        <v>24191</v>
      </c>
    </row>
    <row r="1787" spans="1:11" x14ac:dyDescent="0.15">
      <c r="A1787">
        <v>17998247</v>
      </c>
      <c r="B1787" t="s">
        <v>39748</v>
      </c>
      <c r="C1787" t="s">
        <v>39749</v>
      </c>
      <c r="D1787" t="s">
        <v>39750</v>
      </c>
      <c r="E1787" t="s">
        <v>39751</v>
      </c>
      <c r="F1787" t="s">
        <v>33359</v>
      </c>
      <c r="G1787">
        <v>2008</v>
      </c>
      <c r="H1787" s="1">
        <v>39400</v>
      </c>
      <c r="K1787" t="s">
        <v>39752</v>
      </c>
    </row>
    <row r="1788" spans="1:11" x14ac:dyDescent="0.15">
      <c r="A1788">
        <v>18332123</v>
      </c>
      <c r="B1788" t="s">
        <v>39753</v>
      </c>
      <c r="C1788" t="s">
        <v>39754</v>
      </c>
      <c r="D1788" t="s">
        <v>39755</v>
      </c>
      <c r="E1788" t="s">
        <v>39756</v>
      </c>
      <c r="F1788" t="s">
        <v>33347</v>
      </c>
      <c r="G1788">
        <v>2008</v>
      </c>
      <c r="H1788" s="1">
        <v>39519</v>
      </c>
      <c r="I1788" t="s">
        <v>39757</v>
      </c>
      <c r="K1788" t="s">
        <v>39758</v>
      </c>
    </row>
    <row r="1789" spans="1:11" x14ac:dyDescent="0.15">
      <c r="A1789">
        <v>16126846</v>
      </c>
      <c r="B1789" t="s">
        <v>39759</v>
      </c>
      <c r="C1789" t="s">
        <v>39760</v>
      </c>
      <c r="D1789" t="s">
        <v>39761</v>
      </c>
      <c r="E1789" t="s">
        <v>39762</v>
      </c>
      <c r="F1789" t="s">
        <v>31587</v>
      </c>
      <c r="G1789">
        <v>2005</v>
      </c>
      <c r="H1789" s="1">
        <v>38594</v>
      </c>
      <c r="I1789" t="s">
        <v>39763</v>
      </c>
      <c r="K1789" t="s">
        <v>39764</v>
      </c>
    </row>
    <row r="1790" spans="1:11" x14ac:dyDescent="0.15">
      <c r="A1790">
        <v>22504485</v>
      </c>
      <c r="B1790" t="s">
        <v>24781</v>
      </c>
      <c r="C1790" t="s">
        <v>39765</v>
      </c>
      <c r="D1790" t="s">
        <v>39766</v>
      </c>
      <c r="E1790" t="s">
        <v>39767</v>
      </c>
      <c r="F1790" t="s">
        <v>36111</v>
      </c>
      <c r="G1790">
        <v>2012</v>
      </c>
      <c r="H1790" s="1">
        <v>41016</v>
      </c>
      <c r="I1790" t="s">
        <v>39768</v>
      </c>
      <c r="J1790" t="s">
        <v>39769</v>
      </c>
      <c r="K1790" t="s">
        <v>24793</v>
      </c>
    </row>
    <row r="1791" spans="1:11" x14ac:dyDescent="0.15">
      <c r="A1791">
        <v>31654394</v>
      </c>
      <c r="B1791" t="s">
        <v>39770</v>
      </c>
      <c r="C1791" t="s">
        <v>39771</v>
      </c>
      <c r="D1791" t="s">
        <v>39772</v>
      </c>
      <c r="E1791" t="s">
        <v>39773</v>
      </c>
      <c r="F1791" t="s">
        <v>39774</v>
      </c>
      <c r="G1791">
        <v>2020</v>
      </c>
      <c r="H1791" s="1">
        <v>43765</v>
      </c>
      <c r="K1791" t="s">
        <v>39775</v>
      </c>
    </row>
    <row r="1792" spans="1:11" x14ac:dyDescent="0.15">
      <c r="A1792">
        <v>35892331</v>
      </c>
      <c r="B1792" t="s">
        <v>39776</v>
      </c>
      <c r="C1792" t="s">
        <v>39777</v>
      </c>
      <c r="D1792" t="s">
        <v>39778</v>
      </c>
      <c r="E1792" t="s">
        <v>39779</v>
      </c>
      <c r="F1792" t="s">
        <v>33169</v>
      </c>
      <c r="G1792">
        <v>2022</v>
      </c>
      <c r="H1792" s="1">
        <v>44769</v>
      </c>
      <c r="I1792" t="s">
        <v>39780</v>
      </c>
      <c r="K1792" t="s">
        <v>39781</v>
      </c>
    </row>
    <row r="1793" spans="1:11" x14ac:dyDescent="0.15">
      <c r="A1793">
        <v>34298423</v>
      </c>
      <c r="B1793" t="s">
        <v>24337</v>
      </c>
      <c r="C1793" t="s">
        <v>39782</v>
      </c>
      <c r="D1793" t="s">
        <v>39783</v>
      </c>
      <c r="E1793" t="s">
        <v>39784</v>
      </c>
      <c r="F1793" t="s">
        <v>31287</v>
      </c>
      <c r="G1793">
        <v>2021</v>
      </c>
      <c r="H1793" s="1">
        <v>44400</v>
      </c>
      <c r="K1793" t="s">
        <v>24346</v>
      </c>
    </row>
    <row r="1794" spans="1:11" x14ac:dyDescent="0.15">
      <c r="A1794">
        <v>11837318</v>
      </c>
      <c r="B1794" t="s">
        <v>26134</v>
      </c>
      <c r="C1794" t="s">
        <v>39785</v>
      </c>
      <c r="D1794" t="s">
        <v>39786</v>
      </c>
      <c r="E1794" t="s">
        <v>39787</v>
      </c>
      <c r="F1794" t="s">
        <v>39788</v>
      </c>
      <c r="G1794">
        <v>2002</v>
      </c>
      <c r="H1794" s="1">
        <v>37299</v>
      </c>
      <c r="K1794" t="s">
        <v>26147</v>
      </c>
    </row>
    <row r="1795" spans="1:11" x14ac:dyDescent="0.15">
      <c r="A1795">
        <v>12805285</v>
      </c>
      <c r="B1795" t="s">
        <v>39789</v>
      </c>
      <c r="C1795" t="s">
        <v>39790</v>
      </c>
      <c r="D1795" t="s">
        <v>39791</v>
      </c>
      <c r="E1795" t="s">
        <v>39792</v>
      </c>
      <c r="F1795" t="s">
        <v>31291</v>
      </c>
      <c r="G1795">
        <v>2003</v>
      </c>
      <c r="H1795" s="1">
        <v>37786</v>
      </c>
      <c r="I1795" t="s">
        <v>39793</v>
      </c>
      <c r="K1795" t="s">
        <v>39794</v>
      </c>
    </row>
    <row r="1796" spans="1:11" x14ac:dyDescent="0.15">
      <c r="A1796">
        <v>29976931</v>
      </c>
      <c r="B1796" t="s">
        <v>24097</v>
      </c>
      <c r="C1796" t="s">
        <v>39795</v>
      </c>
      <c r="D1796" t="s">
        <v>39796</v>
      </c>
      <c r="E1796" t="s">
        <v>39797</v>
      </c>
      <c r="F1796" t="s">
        <v>30834</v>
      </c>
      <c r="G1796">
        <v>2018</v>
      </c>
      <c r="H1796" s="1">
        <v>43288</v>
      </c>
      <c r="I1796" t="s">
        <v>39798</v>
      </c>
      <c r="K1796" t="s">
        <v>24107</v>
      </c>
    </row>
    <row r="1797" spans="1:11" x14ac:dyDescent="0.15">
      <c r="A1797">
        <v>33370019</v>
      </c>
      <c r="B1797" t="s">
        <v>23755</v>
      </c>
      <c r="C1797" t="s">
        <v>39799</v>
      </c>
      <c r="D1797" t="s">
        <v>39800</v>
      </c>
      <c r="E1797" t="s">
        <v>39801</v>
      </c>
      <c r="F1797" t="s">
        <v>39606</v>
      </c>
      <c r="G1797">
        <v>2021</v>
      </c>
      <c r="H1797" s="1">
        <v>44193</v>
      </c>
      <c r="I1797" t="s">
        <v>39802</v>
      </c>
      <c r="J1797" t="s">
        <v>39803</v>
      </c>
      <c r="K1797" t="s">
        <v>23768</v>
      </c>
    </row>
    <row r="1798" spans="1:11" x14ac:dyDescent="0.15">
      <c r="A1798">
        <v>25281721</v>
      </c>
      <c r="B1798" t="s">
        <v>39804</v>
      </c>
      <c r="C1798" t="s">
        <v>39805</v>
      </c>
      <c r="D1798" t="s">
        <v>39806</v>
      </c>
      <c r="E1798" t="s">
        <v>39807</v>
      </c>
      <c r="F1798" t="s">
        <v>31167</v>
      </c>
      <c r="G1798">
        <v>2014</v>
      </c>
      <c r="H1798" s="1">
        <v>41917</v>
      </c>
      <c r="K1798" t="s">
        <v>39808</v>
      </c>
    </row>
    <row r="1799" spans="1:11" x14ac:dyDescent="0.15">
      <c r="A1799">
        <v>20807745</v>
      </c>
      <c r="B1799" t="s">
        <v>39809</v>
      </c>
      <c r="C1799" t="s">
        <v>39810</v>
      </c>
      <c r="D1799" t="s">
        <v>39811</v>
      </c>
      <c r="E1799" t="s">
        <v>39812</v>
      </c>
      <c r="F1799" t="s">
        <v>30767</v>
      </c>
      <c r="G1799">
        <v>2010</v>
      </c>
      <c r="H1799" s="1">
        <v>40424</v>
      </c>
      <c r="I1799" t="s">
        <v>39813</v>
      </c>
      <c r="K1799" t="s">
        <v>39814</v>
      </c>
    </row>
    <row r="1800" spans="1:11" x14ac:dyDescent="0.15">
      <c r="A1800">
        <v>22192456</v>
      </c>
      <c r="B1800" t="s">
        <v>26230</v>
      </c>
      <c r="C1800" t="s">
        <v>39815</v>
      </c>
      <c r="D1800" t="s">
        <v>39816</v>
      </c>
      <c r="E1800" t="s">
        <v>39817</v>
      </c>
      <c r="F1800" t="s">
        <v>39818</v>
      </c>
      <c r="G1800">
        <v>2012</v>
      </c>
      <c r="H1800" s="1">
        <v>40901</v>
      </c>
      <c r="I1800" t="s">
        <v>39819</v>
      </c>
      <c r="J1800" t="s">
        <v>39820</v>
      </c>
      <c r="K1800" t="s">
        <v>26242</v>
      </c>
    </row>
    <row r="1801" spans="1:11" x14ac:dyDescent="0.15">
      <c r="A1801">
        <v>31092731</v>
      </c>
      <c r="B1801" t="s">
        <v>22089</v>
      </c>
      <c r="C1801" t="s">
        <v>39821</v>
      </c>
      <c r="D1801" t="s">
        <v>39822</v>
      </c>
      <c r="E1801" t="s">
        <v>39823</v>
      </c>
      <c r="F1801" t="s">
        <v>34706</v>
      </c>
      <c r="G1801">
        <v>2019</v>
      </c>
      <c r="H1801" s="1">
        <v>43602</v>
      </c>
      <c r="I1801" t="s">
        <v>39824</v>
      </c>
      <c r="K1801" t="s">
        <v>22099</v>
      </c>
    </row>
    <row r="1802" spans="1:11" x14ac:dyDescent="0.15">
      <c r="A1802">
        <v>15625191</v>
      </c>
      <c r="B1802" t="s">
        <v>39825</v>
      </c>
      <c r="C1802" t="s">
        <v>39826</v>
      </c>
      <c r="D1802" t="s">
        <v>39827</v>
      </c>
      <c r="E1802" t="s">
        <v>39828</v>
      </c>
      <c r="F1802" t="s">
        <v>31824</v>
      </c>
      <c r="G1802">
        <v>2005</v>
      </c>
      <c r="H1802" s="1">
        <v>38352</v>
      </c>
      <c r="I1802" t="s">
        <v>39829</v>
      </c>
      <c r="K1802" t="s">
        <v>39830</v>
      </c>
    </row>
    <row r="1803" spans="1:11" x14ac:dyDescent="0.15">
      <c r="A1803">
        <v>11923195</v>
      </c>
      <c r="B1803" t="s">
        <v>39831</v>
      </c>
      <c r="C1803" t="s">
        <v>39832</v>
      </c>
      <c r="D1803" t="s">
        <v>39833</v>
      </c>
      <c r="E1803" t="s">
        <v>39834</v>
      </c>
      <c r="F1803" t="s">
        <v>30966</v>
      </c>
      <c r="G1803">
        <v>2002</v>
      </c>
      <c r="H1803" s="1">
        <v>37345</v>
      </c>
      <c r="I1803" t="s">
        <v>39835</v>
      </c>
      <c r="J1803" t="s">
        <v>39836</v>
      </c>
      <c r="K1803" t="s">
        <v>39837</v>
      </c>
    </row>
    <row r="1804" spans="1:11" x14ac:dyDescent="0.15">
      <c r="A1804">
        <v>8915355</v>
      </c>
      <c r="B1804" t="s">
        <v>39838</v>
      </c>
      <c r="C1804" t="s">
        <v>39839</v>
      </c>
      <c r="D1804" t="s">
        <v>39840</v>
      </c>
      <c r="E1804" t="s">
        <v>39841</v>
      </c>
      <c r="F1804" t="s">
        <v>31023</v>
      </c>
      <c r="G1804">
        <v>1996</v>
      </c>
      <c r="H1804" s="1">
        <v>35065</v>
      </c>
      <c r="K1804" t="s">
        <v>39842</v>
      </c>
    </row>
    <row r="1805" spans="1:11" x14ac:dyDescent="0.15">
      <c r="A1805">
        <v>33808542</v>
      </c>
      <c r="B1805" t="s">
        <v>39843</v>
      </c>
      <c r="C1805" t="s">
        <v>39844</v>
      </c>
      <c r="D1805" t="s">
        <v>39845</v>
      </c>
      <c r="E1805" t="s">
        <v>39846</v>
      </c>
      <c r="F1805" t="s">
        <v>30655</v>
      </c>
      <c r="G1805">
        <v>2021</v>
      </c>
      <c r="H1805" s="1">
        <v>44289</v>
      </c>
      <c r="I1805" t="s">
        <v>39847</v>
      </c>
      <c r="K1805" t="s">
        <v>39848</v>
      </c>
    </row>
    <row r="1806" spans="1:11" x14ac:dyDescent="0.15">
      <c r="A1806">
        <v>30118658</v>
      </c>
      <c r="B1806" t="s">
        <v>39849</v>
      </c>
      <c r="C1806" t="s">
        <v>39850</v>
      </c>
      <c r="D1806" t="s">
        <v>39851</v>
      </c>
      <c r="E1806" t="s">
        <v>39852</v>
      </c>
      <c r="F1806" t="s">
        <v>32493</v>
      </c>
      <c r="G1806">
        <v>2018</v>
      </c>
      <c r="H1806" s="1">
        <v>43330</v>
      </c>
      <c r="K1806" t="s">
        <v>39853</v>
      </c>
    </row>
    <row r="1807" spans="1:11" x14ac:dyDescent="0.15">
      <c r="A1807">
        <v>12711090</v>
      </c>
      <c r="B1807" t="s">
        <v>39854</v>
      </c>
      <c r="C1807" t="s">
        <v>39855</v>
      </c>
      <c r="D1807" t="s">
        <v>39856</v>
      </c>
      <c r="E1807" t="s">
        <v>39857</v>
      </c>
      <c r="F1807" t="s">
        <v>39858</v>
      </c>
      <c r="G1807">
        <v>2003</v>
      </c>
      <c r="H1807" s="1">
        <v>37736</v>
      </c>
      <c r="K1807" t="s">
        <v>39859</v>
      </c>
    </row>
    <row r="1808" spans="1:11" x14ac:dyDescent="0.15">
      <c r="A1808">
        <v>12871939</v>
      </c>
      <c r="B1808" t="s">
        <v>39860</v>
      </c>
      <c r="C1808" t="s">
        <v>39861</v>
      </c>
      <c r="D1808" t="s">
        <v>39862</v>
      </c>
      <c r="E1808" t="s">
        <v>39863</v>
      </c>
      <c r="F1808" t="s">
        <v>31594</v>
      </c>
      <c r="G1808">
        <v>2003</v>
      </c>
      <c r="H1808" s="1">
        <v>37825</v>
      </c>
      <c r="I1808" t="s">
        <v>39864</v>
      </c>
      <c r="J1808" t="s">
        <v>39865</v>
      </c>
      <c r="K1808" t="s">
        <v>39866</v>
      </c>
    </row>
    <row r="1809" spans="1:11" x14ac:dyDescent="0.15">
      <c r="A1809">
        <v>22438559</v>
      </c>
      <c r="B1809" t="s">
        <v>39867</v>
      </c>
      <c r="C1809" t="s">
        <v>39868</v>
      </c>
      <c r="D1809" t="s">
        <v>39869</v>
      </c>
      <c r="E1809" t="s">
        <v>39870</v>
      </c>
      <c r="F1809" t="s">
        <v>31970</v>
      </c>
      <c r="G1809">
        <v>2012</v>
      </c>
      <c r="H1809" s="1">
        <v>40991</v>
      </c>
      <c r="I1809" t="s">
        <v>39871</v>
      </c>
      <c r="K1809" t="s">
        <v>39872</v>
      </c>
    </row>
    <row r="1810" spans="1:11" x14ac:dyDescent="0.15">
      <c r="A1810">
        <v>19180118</v>
      </c>
      <c r="B1810" t="s">
        <v>22384</v>
      </c>
      <c r="C1810" t="s">
        <v>39873</v>
      </c>
      <c r="D1810" t="s">
        <v>39874</v>
      </c>
      <c r="E1810" t="s">
        <v>39875</v>
      </c>
      <c r="F1810" t="s">
        <v>33118</v>
      </c>
      <c r="G1810">
        <v>2009</v>
      </c>
      <c r="H1810" s="1">
        <v>39844</v>
      </c>
      <c r="I1810" t="s">
        <v>39876</v>
      </c>
      <c r="J1810" t="s">
        <v>39877</v>
      </c>
      <c r="K1810" t="s">
        <v>22393</v>
      </c>
    </row>
    <row r="1811" spans="1:11" x14ac:dyDescent="0.15">
      <c r="A1811">
        <v>29800303</v>
      </c>
      <c r="B1811" t="s">
        <v>39878</v>
      </c>
      <c r="C1811" t="s">
        <v>39879</v>
      </c>
      <c r="D1811" t="s">
        <v>39880</v>
      </c>
      <c r="E1811" t="s">
        <v>30910</v>
      </c>
      <c r="F1811" t="s">
        <v>39881</v>
      </c>
      <c r="G1811">
        <v>2018</v>
      </c>
      <c r="H1811" s="1">
        <v>43246</v>
      </c>
      <c r="K1811" t="s">
        <v>39882</v>
      </c>
    </row>
    <row r="1812" spans="1:11" x14ac:dyDescent="0.15">
      <c r="A1812">
        <v>33523836</v>
      </c>
      <c r="B1812" t="s">
        <v>28970</v>
      </c>
      <c r="C1812" t="s">
        <v>39883</v>
      </c>
      <c r="D1812" t="s">
        <v>39884</v>
      </c>
      <c r="E1812" t="s">
        <v>39885</v>
      </c>
      <c r="F1812" t="s">
        <v>30758</v>
      </c>
      <c r="G1812">
        <v>2021</v>
      </c>
      <c r="H1812" s="1">
        <v>44228</v>
      </c>
      <c r="I1812" t="s">
        <v>39886</v>
      </c>
      <c r="K1812" t="s">
        <v>28978</v>
      </c>
    </row>
    <row r="1813" spans="1:11" x14ac:dyDescent="0.15">
      <c r="A1813">
        <v>28844885</v>
      </c>
      <c r="B1813" t="s">
        <v>39887</v>
      </c>
      <c r="C1813" t="s">
        <v>39888</v>
      </c>
      <c r="D1813" t="s">
        <v>39889</v>
      </c>
      <c r="E1813" t="s">
        <v>39890</v>
      </c>
      <c r="F1813" t="s">
        <v>32127</v>
      </c>
      <c r="G1813">
        <v>2017</v>
      </c>
      <c r="H1813" s="1">
        <v>42976</v>
      </c>
      <c r="K1813" t="s">
        <v>39891</v>
      </c>
    </row>
    <row r="1814" spans="1:11" x14ac:dyDescent="0.15">
      <c r="A1814">
        <v>8660406</v>
      </c>
      <c r="B1814" t="s">
        <v>27899</v>
      </c>
      <c r="C1814" t="s">
        <v>39892</v>
      </c>
      <c r="D1814" t="s">
        <v>39893</v>
      </c>
      <c r="E1814" t="s">
        <v>39894</v>
      </c>
      <c r="F1814" t="s">
        <v>39895</v>
      </c>
      <c r="G1814">
        <v>1996</v>
      </c>
      <c r="H1814" s="1">
        <v>35247</v>
      </c>
      <c r="K1814" t="s">
        <v>27908</v>
      </c>
    </row>
    <row r="1815" spans="1:11" x14ac:dyDescent="0.15">
      <c r="A1815">
        <v>33377869</v>
      </c>
      <c r="B1815" t="s">
        <v>39896</v>
      </c>
      <c r="C1815" t="s">
        <v>39897</v>
      </c>
      <c r="D1815" t="s">
        <v>39898</v>
      </c>
      <c r="E1815" t="s">
        <v>39899</v>
      </c>
      <c r="F1815" t="s">
        <v>36402</v>
      </c>
      <c r="G1815">
        <v>2020</v>
      </c>
      <c r="H1815" s="1">
        <v>44195</v>
      </c>
      <c r="I1815" t="s">
        <v>39900</v>
      </c>
      <c r="K1815" t="s">
        <v>39901</v>
      </c>
    </row>
    <row r="1816" spans="1:11" x14ac:dyDescent="0.15">
      <c r="A1816">
        <v>31322581</v>
      </c>
      <c r="B1816" t="s">
        <v>39902</v>
      </c>
      <c r="C1816" t="s">
        <v>39903</v>
      </c>
      <c r="D1816" t="s">
        <v>39904</v>
      </c>
      <c r="E1816" t="s">
        <v>39905</v>
      </c>
      <c r="F1816" t="s">
        <v>33331</v>
      </c>
      <c r="G1816">
        <v>2019</v>
      </c>
      <c r="H1816" s="1">
        <v>43666</v>
      </c>
      <c r="I1816" t="s">
        <v>39906</v>
      </c>
      <c r="K1816" t="s">
        <v>39907</v>
      </c>
    </row>
    <row r="1817" spans="1:11" x14ac:dyDescent="0.15">
      <c r="A1817">
        <v>31294478</v>
      </c>
      <c r="B1817" t="s">
        <v>39908</v>
      </c>
      <c r="C1817" t="s">
        <v>39909</v>
      </c>
      <c r="D1817" t="s">
        <v>39910</v>
      </c>
      <c r="E1817" t="s">
        <v>39911</v>
      </c>
      <c r="F1817" t="s">
        <v>35307</v>
      </c>
      <c r="G1817">
        <v>2019</v>
      </c>
      <c r="H1817" s="1">
        <v>43658</v>
      </c>
      <c r="I1817" t="s">
        <v>39912</v>
      </c>
      <c r="K1817" t="s">
        <v>39913</v>
      </c>
    </row>
    <row r="1818" spans="1:11" x14ac:dyDescent="0.15">
      <c r="A1818">
        <v>25988873</v>
      </c>
      <c r="B1818" t="s">
        <v>39914</v>
      </c>
      <c r="C1818" t="s">
        <v>39915</v>
      </c>
      <c r="D1818" t="s">
        <v>39916</v>
      </c>
      <c r="E1818" t="s">
        <v>37366</v>
      </c>
      <c r="F1818" t="s">
        <v>30921</v>
      </c>
      <c r="G1818">
        <v>2015</v>
      </c>
      <c r="H1818" s="1">
        <v>42144</v>
      </c>
      <c r="I1818" t="s">
        <v>39917</v>
      </c>
      <c r="J1818" t="s">
        <v>39918</v>
      </c>
      <c r="K1818" t="s">
        <v>39919</v>
      </c>
    </row>
    <row r="1819" spans="1:11" x14ac:dyDescent="0.15">
      <c r="A1819">
        <v>21677667</v>
      </c>
      <c r="B1819" t="s">
        <v>39920</v>
      </c>
      <c r="C1819" t="s">
        <v>39921</v>
      </c>
      <c r="D1819" t="s">
        <v>39922</v>
      </c>
      <c r="E1819" t="s">
        <v>39923</v>
      </c>
      <c r="F1819" t="s">
        <v>39924</v>
      </c>
      <c r="G1819">
        <v>2011</v>
      </c>
      <c r="H1819" s="1">
        <v>40711</v>
      </c>
      <c r="I1819" t="s">
        <v>39925</v>
      </c>
      <c r="J1819" t="s">
        <v>39926</v>
      </c>
      <c r="K1819" t="s">
        <v>39927</v>
      </c>
    </row>
    <row r="1820" spans="1:11" x14ac:dyDescent="0.15">
      <c r="A1820">
        <v>24572141</v>
      </c>
      <c r="B1820" t="s">
        <v>26874</v>
      </c>
      <c r="C1820" t="s">
        <v>39928</v>
      </c>
      <c r="D1820" t="s">
        <v>39929</v>
      </c>
      <c r="E1820" t="s">
        <v>37321</v>
      </c>
      <c r="F1820" t="s">
        <v>35115</v>
      </c>
      <c r="G1820">
        <v>2015</v>
      </c>
      <c r="H1820" s="1">
        <v>41698</v>
      </c>
      <c r="K1820" t="s">
        <v>26883</v>
      </c>
    </row>
    <row r="1821" spans="1:11" x14ac:dyDescent="0.15">
      <c r="A1821">
        <v>24499465</v>
      </c>
      <c r="B1821" t="s">
        <v>39930</v>
      </c>
      <c r="C1821" t="s">
        <v>39931</v>
      </c>
      <c r="D1821" t="s">
        <v>39932</v>
      </c>
      <c r="E1821" t="s">
        <v>39933</v>
      </c>
      <c r="F1821" t="s">
        <v>33708</v>
      </c>
      <c r="G1821">
        <v>2014</v>
      </c>
      <c r="H1821" s="1">
        <v>41677</v>
      </c>
      <c r="I1821" t="s">
        <v>39934</v>
      </c>
      <c r="J1821" t="s">
        <v>39935</v>
      </c>
      <c r="K1821" t="s">
        <v>27788</v>
      </c>
    </row>
    <row r="1822" spans="1:11" x14ac:dyDescent="0.15">
      <c r="A1822">
        <v>33978996</v>
      </c>
      <c r="B1822" t="s">
        <v>26174</v>
      </c>
      <c r="C1822" t="s">
        <v>39936</v>
      </c>
      <c r="D1822" t="s">
        <v>39937</v>
      </c>
      <c r="E1822" t="s">
        <v>39938</v>
      </c>
      <c r="F1822" t="s">
        <v>30763</v>
      </c>
      <c r="G1822">
        <v>2021</v>
      </c>
      <c r="H1822" s="1">
        <v>44328</v>
      </c>
      <c r="K1822" t="s">
        <v>26184</v>
      </c>
    </row>
    <row r="1823" spans="1:11" x14ac:dyDescent="0.15">
      <c r="A1823">
        <v>33730188</v>
      </c>
      <c r="B1823" t="s">
        <v>39939</v>
      </c>
      <c r="C1823" t="s">
        <v>39940</v>
      </c>
      <c r="D1823" t="s">
        <v>39941</v>
      </c>
      <c r="E1823" t="s">
        <v>39942</v>
      </c>
      <c r="F1823" t="s">
        <v>39943</v>
      </c>
      <c r="G1823">
        <v>2021</v>
      </c>
      <c r="H1823" s="1">
        <v>44272</v>
      </c>
      <c r="I1823" t="s">
        <v>39944</v>
      </c>
      <c r="J1823" t="s">
        <v>39945</v>
      </c>
      <c r="K1823" t="s">
        <v>39946</v>
      </c>
    </row>
    <row r="1824" spans="1:11" x14ac:dyDescent="0.15">
      <c r="A1824">
        <v>32187185</v>
      </c>
      <c r="B1824" t="s">
        <v>39947</v>
      </c>
      <c r="C1824" t="s">
        <v>39948</v>
      </c>
      <c r="D1824" t="s">
        <v>39949</v>
      </c>
      <c r="E1824" t="s">
        <v>39950</v>
      </c>
      <c r="F1824" t="s">
        <v>32470</v>
      </c>
      <c r="G1824">
        <v>2020</v>
      </c>
      <c r="H1824" s="1">
        <v>43909</v>
      </c>
      <c r="I1824" t="s">
        <v>39951</v>
      </c>
      <c r="K1824" t="s">
        <v>39952</v>
      </c>
    </row>
    <row r="1825" spans="1:11" x14ac:dyDescent="0.15">
      <c r="A1825">
        <v>22895726</v>
      </c>
      <c r="B1825" t="s">
        <v>39953</v>
      </c>
      <c r="C1825" t="s">
        <v>39954</v>
      </c>
      <c r="D1825" t="s">
        <v>39955</v>
      </c>
      <c r="E1825" t="s">
        <v>39956</v>
      </c>
      <c r="F1825" t="s">
        <v>31291</v>
      </c>
      <c r="G1825">
        <v>2012</v>
      </c>
      <c r="H1825" s="1">
        <v>41138</v>
      </c>
      <c r="I1825" t="s">
        <v>39957</v>
      </c>
      <c r="J1825" t="s">
        <v>39958</v>
      </c>
      <c r="K1825" t="s">
        <v>39959</v>
      </c>
    </row>
    <row r="1826" spans="1:11" x14ac:dyDescent="0.15">
      <c r="A1826">
        <v>32709045</v>
      </c>
      <c r="B1826" t="s">
        <v>39960</v>
      </c>
      <c r="C1826" t="s">
        <v>39961</v>
      </c>
      <c r="D1826" t="s">
        <v>39962</v>
      </c>
      <c r="E1826" t="s">
        <v>39963</v>
      </c>
      <c r="F1826" t="s">
        <v>30655</v>
      </c>
      <c r="G1826">
        <v>2020</v>
      </c>
      <c r="H1826" s="1">
        <v>44038</v>
      </c>
      <c r="I1826" t="s">
        <v>39964</v>
      </c>
      <c r="K1826" t="s">
        <v>39965</v>
      </c>
    </row>
    <row r="1827" spans="1:11" x14ac:dyDescent="0.15">
      <c r="A1827">
        <v>29269376</v>
      </c>
      <c r="B1827" t="s">
        <v>39966</v>
      </c>
      <c r="C1827" t="s">
        <v>39967</v>
      </c>
      <c r="D1827" t="s">
        <v>39968</v>
      </c>
      <c r="E1827" t="s">
        <v>39969</v>
      </c>
      <c r="F1827" t="s">
        <v>32039</v>
      </c>
      <c r="G1827">
        <v>2018</v>
      </c>
      <c r="H1827" s="1">
        <v>43092</v>
      </c>
      <c r="I1827" t="s">
        <v>39970</v>
      </c>
      <c r="J1827" t="s">
        <v>39971</v>
      </c>
      <c r="K1827" t="s">
        <v>39972</v>
      </c>
    </row>
    <row r="1828" spans="1:11" x14ac:dyDescent="0.15">
      <c r="A1828">
        <v>30538148</v>
      </c>
      <c r="B1828" t="s">
        <v>39973</v>
      </c>
      <c r="C1828" t="s">
        <v>39974</v>
      </c>
      <c r="D1828" t="s">
        <v>39975</v>
      </c>
      <c r="E1828" t="s">
        <v>39976</v>
      </c>
      <c r="F1828" t="s">
        <v>11924</v>
      </c>
      <c r="G1828">
        <v>2019</v>
      </c>
      <c r="H1828" s="1">
        <v>43447</v>
      </c>
      <c r="I1828" t="s">
        <v>39977</v>
      </c>
      <c r="K1828" t="s">
        <v>39978</v>
      </c>
    </row>
    <row r="1829" spans="1:11" x14ac:dyDescent="0.15">
      <c r="A1829">
        <v>34343548</v>
      </c>
      <c r="B1829" t="s">
        <v>39979</v>
      </c>
      <c r="C1829" t="s">
        <v>39980</v>
      </c>
      <c r="D1829" t="s">
        <v>39981</v>
      </c>
      <c r="E1829" t="s">
        <v>39982</v>
      </c>
      <c r="F1829" t="s">
        <v>33341</v>
      </c>
      <c r="G1829">
        <v>2021</v>
      </c>
      <c r="H1829" s="1">
        <v>44411</v>
      </c>
      <c r="K1829" t="s">
        <v>39983</v>
      </c>
    </row>
    <row r="1830" spans="1:11" x14ac:dyDescent="0.15">
      <c r="A1830">
        <v>30737432</v>
      </c>
      <c r="B1830" t="s">
        <v>39984</v>
      </c>
      <c r="C1830" t="s">
        <v>39985</v>
      </c>
      <c r="D1830" t="s">
        <v>39986</v>
      </c>
      <c r="E1830" t="s">
        <v>39987</v>
      </c>
      <c r="F1830" t="s">
        <v>30834</v>
      </c>
      <c r="G1830">
        <v>2019</v>
      </c>
      <c r="H1830" s="1">
        <v>43506</v>
      </c>
      <c r="I1830" t="s">
        <v>39988</v>
      </c>
      <c r="K1830" t="s">
        <v>39989</v>
      </c>
    </row>
    <row r="1831" spans="1:11" x14ac:dyDescent="0.15">
      <c r="A1831">
        <v>28433632</v>
      </c>
      <c r="B1831" t="s">
        <v>39990</v>
      </c>
      <c r="C1831" t="s">
        <v>39991</v>
      </c>
      <c r="D1831" t="s">
        <v>39992</v>
      </c>
      <c r="E1831" t="s">
        <v>39993</v>
      </c>
      <c r="F1831" t="s">
        <v>32654</v>
      </c>
      <c r="G1831">
        <v>2017</v>
      </c>
      <c r="H1831" s="1">
        <v>42849</v>
      </c>
      <c r="I1831" t="s">
        <v>39994</v>
      </c>
      <c r="J1831" t="s">
        <v>39995</v>
      </c>
      <c r="K1831" t="s">
        <v>39996</v>
      </c>
    </row>
    <row r="1832" spans="1:11" x14ac:dyDescent="0.15">
      <c r="A1832">
        <v>35730977</v>
      </c>
      <c r="B1832" t="s">
        <v>39997</v>
      </c>
      <c r="C1832" t="s">
        <v>39998</v>
      </c>
      <c r="D1832" t="s">
        <v>39999</v>
      </c>
      <c r="E1832" t="s">
        <v>40000</v>
      </c>
      <c r="F1832" t="s">
        <v>31970</v>
      </c>
      <c r="G1832">
        <v>2022</v>
      </c>
      <c r="H1832" s="1">
        <v>44734</v>
      </c>
      <c r="I1832" t="s">
        <v>40001</v>
      </c>
      <c r="K1832" t="s">
        <v>40002</v>
      </c>
    </row>
    <row r="1833" spans="1:11" x14ac:dyDescent="0.15">
      <c r="A1833">
        <v>32352741</v>
      </c>
      <c r="B1833" t="s">
        <v>25167</v>
      </c>
      <c r="C1833" t="s">
        <v>40003</v>
      </c>
      <c r="D1833" t="s">
        <v>40004</v>
      </c>
      <c r="E1833" t="s">
        <v>40005</v>
      </c>
      <c r="F1833" t="s">
        <v>30561</v>
      </c>
      <c r="G1833">
        <v>2020</v>
      </c>
      <c r="H1833" s="1">
        <v>43952</v>
      </c>
      <c r="I1833" t="s">
        <v>40006</v>
      </c>
      <c r="J1833" t="s">
        <v>40007</v>
      </c>
      <c r="K1833" t="s">
        <v>25176</v>
      </c>
    </row>
    <row r="1834" spans="1:11" x14ac:dyDescent="0.15">
      <c r="A1834">
        <v>26018205</v>
      </c>
      <c r="B1834" t="s">
        <v>27027</v>
      </c>
      <c r="C1834" t="s">
        <v>40008</v>
      </c>
      <c r="D1834" t="s">
        <v>40009</v>
      </c>
      <c r="E1834" t="s">
        <v>40010</v>
      </c>
      <c r="F1834" t="s">
        <v>31639</v>
      </c>
      <c r="G1834">
        <v>2015</v>
      </c>
      <c r="H1834" s="1">
        <v>42153</v>
      </c>
      <c r="I1834" t="s">
        <v>40011</v>
      </c>
      <c r="K1834" t="s">
        <v>27037</v>
      </c>
    </row>
    <row r="1835" spans="1:11" x14ac:dyDescent="0.15">
      <c r="A1835">
        <v>22484292</v>
      </c>
      <c r="B1835" t="s">
        <v>40012</v>
      </c>
      <c r="C1835" t="s">
        <v>40013</v>
      </c>
      <c r="D1835" t="s">
        <v>40014</v>
      </c>
      <c r="E1835" t="s">
        <v>40015</v>
      </c>
      <c r="F1835" t="s">
        <v>35594</v>
      </c>
      <c r="G1835">
        <v>2012</v>
      </c>
      <c r="H1835" s="1">
        <v>41009</v>
      </c>
      <c r="K1835" t="s">
        <v>28444</v>
      </c>
    </row>
    <row r="1836" spans="1:11" x14ac:dyDescent="0.15">
      <c r="A1836">
        <v>23949796</v>
      </c>
      <c r="B1836" t="s">
        <v>40016</v>
      </c>
      <c r="C1836" t="s">
        <v>40017</v>
      </c>
      <c r="D1836" t="s">
        <v>40018</v>
      </c>
      <c r="E1836" t="s">
        <v>40019</v>
      </c>
      <c r="F1836" t="s">
        <v>40020</v>
      </c>
      <c r="G1836">
        <v>2013</v>
      </c>
      <c r="H1836" s="1">
        <v>41503</v>
      </c>
      <c r="I1836" t="s">
        <v>40021</v>
      </c>
      <c r="K1836" t="s">
        <v>27388</v>
      </c>
    </row>
    <row r="1837" spans="1:11" x14ac:dyDescent="0.15">
      <c r="A1837">
        <v>26229117</v>
      </c>
      <c r="B1837" t="s">
        <v>23674</v>
      </c>
      <c r="C1837" t="s">
        <v>40022</v>
      </c>
      <c r="D1837" t="s">
        <v>40023</v>
      </c>
      <c r="E1837" t="s">
        <v>40024</v>
      </c>
      <c r="F1837" t="s">
        <v>35339</v>
      </c>
      <c r="G1837">
        <v>2015</v>
      </c>
      <c r="H1837" s="1">
        <v>42217</v>
      </c>
      <c r="I1837" t="s">
        <v>40025</v>
      </c>
      <c r="J1837" t="s">
        <v>40026</v>
      </c>
      <c r="K1837" t="s">
        <v>23683</v>
      </c>
    </row>
    <row r="1838" spans="1:11" x14ac:dyDescent="0.15">
      <c r="A1838">
        <v>17030615</v>
      </c>
      <c r="B1838" t="s">
        <v>24081</v>
      </c>
      <c r="C1838" t="s">
        <v>40027</v>
      </c>
      <c r="D1838" t="s">
        <v>40028</v>
      </c>
      <c r="E1838" t="s">
        <v>40029</v>
      </c>
      <c r="F1838" t="s">
        <v>33347</v>
      </c>
      <c r="G1838">
        <v>2006</v>
      </c>
      <c r="H1838" s="1">
        <v>39003</v>
      </c>
      <c r="I1838" t="s">
        <v>40030</v>
      </c>
      <c r="K1838" t="s">
        <v>24093</v>
      </c>
    </row>
    <row r="1839" spans="1:11" x14ac:dyDescent="0.15">
      <c r="A1839">
        <v>34819170</v>
      </c>
      <c r="B1839" t="s">
        <v>40031</v>
      </c>
      <c r="C1839" t="s">
        <v>40032</v>
      </c>
      <c r="D1839" t="s">
        <v>40033</v>
      </c>
      <c r="E1839" t="s">
        <v>32362</v>
      </c>
      <c r="F1839" t="s">
        <v>40034</v>
      </c>
      <c r="G1839">
        <v>2021</v>
      </c>
      <c r="H1839" s="1">
        <v>44525</v>
      </c>
      <c r="I1839" t="s">
        <v>40035</v>
      </c>
      <c r="K1839" t="s">
        <v>40036</v>
      </c>
    </row>
    <row r="1840" spans="1:11" x14ac:dyDescent="0.15">
      <c r="A1840">
        <v>32153563</v>
      </c>
      <c r="B1840" t="s">
        <v>28603</v>
      </c>
      <c r="C1840" t="s">
        <v>40037</v>
      </c>
      <c r="D1840" t="s">
        <v>40038</v>
      </c>
      <c r="E1840" t="s">
        <v>40039</v>
      </c>
      <c r="F1840" t="s">
        <v>30713</v>
      </c>
      <c r="G1840">
        <v>2020</v>
      </c>
      <c r="H1840" s="1">
        <v>43901</v>
      </c>
      <c r="I1840" t="s">
        <v>40040</v>
      </c>
      <c r="K1840" t="s">
        <v>28612</v>
      </c>
    </row>
    <row r="1841" spans="1:11" x14ac:dyDescent="0.15">
      <c r="A1841">
        <v>34048709</v>
      </c>
      <c r="B1841" t="s">
        <v>40041</v>
      </c>
      <c r="C1841" t="s">
        <v>40042</v>
      </c>
      <c r="D1841" t="s">
        <v>40043</v>
      </c>
      <c r="E1841" t="s">
        <v>40044</v>
      </c>
      <c r="F1841" t="s">
        <v>31445</v>
      </c>
      <c r="G1841">
        <v>2021</v>
      </c>
      <c r="H1841" s="1">
        <v>44344</v>
      </c>
      <c r="I1841" t="s">
        <v>40045</v>
      </c>
      <c r="J1841" t="s">
        <v>40046</v>
      </c>
      <c r="K1841" t="s">
        <v>40047</v>
      </c>
    </row>
    <row r="1842" spans="1:11" x14ac:dyDescent="0.15">
      <c r="A1842">
        <v>35710947</v>
      </c>
      <c r="B1842" t="s">
        <v>24324</v>
      </c>
      <c r="C1842" t="s">
        <v>40048</v>
      </c>
      <c r="D1842" t="s">
        <v>40049</v>
      </c>
      <c r="E1842" t="s">
        <v>40050</v>
      </c>
      <c r="F1842" t="s">
        <v>32377</v>
      </c>
      <c r="G1842">
        <v>2022</v>
      </c>
      <c r="H1842" s="1">
        <v>44729</v>
      </c>
      <c r="I1842" t="s">
        <v>40051</v>
      </c>
      <c r="K1842" t="s">
        <v>24333</v>
      </c>
    </row>
    <row r="1843" spans="1:11" x14ac:dyDescent="0.15">
      <c r="A1843">
        <v>29930011</v>
      </c>
      <c r="B1843" t="s">
        <v>28764</v>
      </c>
      <c r="C1843" t="s">
        <v>40052</v>
      </c>
      <c r="D1843" t="s">
        <v>40053</v>
      </c>
      <c r="E1843" t="s">
        <v>40054</v>
      </c>
      <c r="F1843" t="s">
        <v>30600</v>
      </c>
      <c r="G1843">
        <v>2018</v>
      </c>
      <c r="H1843" s="1">
        <v>43274</v>
      </c>
      <c r="I1843" t="s">
        <v>40055</v>
      </c>
      <c r="K1843" t="s">
        <v>28773</v>
      </c>
    </row>
    <row r="1844" spans="1:11" x14ac:dyDescent="0.15">
      <c r="A1844">
        <v>31152038</v>
      </c>
      <c r="B1844" t="s">
        <v>40056</v>
      </c>
      <c r="C1844" t="s">
        <v>40057</v>
      </c>
      <c r="D1844" t="s">
        <v>40058</v>
      </c>
      <c r="E1844" t="s">
        <v>40059</v>
      </c>
      <c r="F1844" t="s">
        <v>40060</v>
      </c>
      <c r="G1844">
        <v>2019</v>
      </c>
      <c r="H1844" s="1">
        <v>43618</v>
      </c>
      <c r="I1844" t="s">
        <v>40061</v>
      </c>
      <c r="K1844" t="s">
        <v>40062</v>
      </c>
    </row>
    <row r="1845" spans="1:11" x14ac:dyDescent="0.15">
      <c r="A1845">
        <v>30674533</v>
      </c>
      <c r="B1845" t="s">
        <v>26490</v>
      </c>
      <c r="C1845" t="s">
        <v>40063</v>
      </c>
      <c r="D1845" t="s">
        <v>40064</v>
      </c>
      <c r="E1845" t="s">
        <v>40065</v>
      </c>
      <c r="F1845" t="s">
        <v>31167</v>
      </c>
      <c r="G1845">
        <v>2019</v>
      </c>
      <c r="H1845" s="1">
        <v>43490</v>
      </c>
      <c r="I1845" t="s">
        <v>40066</v>
      </c>
      <c r="J1845" t="s">
        <v>40067</v>
      </c>
      <c r="K1845" t="s">
        <v>26499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D500B-5BF7-7A43-9549-ABC0E2E5BE78}">
  <dimension ref="A1:O2152"/>
  <sheetViews>
    <sheetView topLeftCell="A5" workbookViewId="0">
      <selection activeCell="I1135" sqref="I1135"/>
    </sheetView>
  </sheetViews>
  <sheetFormatPr baseColWidth="10" defaultRowHeight="13" x14ac:dyDescent="0.15"/>
  <cols>
    <col min="1" max="1" width="8.83203125" customWidth="1"/>
  </cols>
  <sheetData>
    <row r="1" spans="1:15" x14ac:dyDescent="0.15">
      <c r="A1" t="s">
        <v>40068</v>
      </c>
      <c r="B1" t="s">
        <v>40069</v>
      </c>
      <c r="D1">
        <v>27035812</v>
      </c>
      <c r="E1" t="s">
        <v>30544</v>
      </c>
      <c r="F1" t="s">
        <v>30545</v>
      </c>
      <c r="G1" t="s">
        <v>1</v>
      </c>
      <c r="H1" t="s">
        <v>30546</v>
      </c>
      <c r="I1" t="s">
        <v>30547</v>
      </c>
      <c r="J1" t="s">
        <v>30548</v>
      </c>
      <c r="K1" t="s">
        <v>46</v>
      </c>
      <c r="L1" t="s">
        <v>30549</v>
      </c>
      <c r="M1" t="s">
        <v>30550</v>
      </c>
      <c r="N1" t="s">
        <v>30551</v>
      </c>
      <c r="O1" t="s">
        <v>56</v>
      </c>
    </row>
    <row r="2" spans="1:15" x14ac:dyDescent="0.15">
      <c r="A2">
        <v>22992520</v>
      </c>
      <c r="B2">
        <v>30951670</v>
      </c>
      <c r="D2">
        <v>32206116</v>
      </c>
      <c r="E2">
        <v>27035812</v>
      </c>
      <c r="F2" t="s">
        <v>30562</v>
      </c>
      <c r="G2" t="s">
        <v>30563</v>
      </c>
      <c r="H2" t="s">
        <v>30564</v>
      </c>
      <c r="I2" t="s">
        <v>30565</v>
      </c>
      <c r="J2" t="s">
        <v>30566</v>
      </c>
      <c r="K2">
        <v>2016</v>
      </c>
      <c r="L2" s="1">
        <v>42462</v>
      </c>
      <c r="M2" t="s">
        <v>30567</v>
      </c>
      <c r="O2" t="s">
        <v>30568</v>
      </c>
    </row>
    <row r="3" spans="1:15" x14ac:dyDescent="0.15">
      <c r="A3">
        <v>20304794</v>
      </c>
      <c r="B3">
        <v>33369392</v>
      </c>
      <c r="D3">
        <v>29129785</v>
      </c>
      <c r="E3">
        <v>32759948</v>
      </c>
      <c r="F3" t="s">
        <v>30569</v>
      </c>
      <c r="G3" t="s">
        <v>30570</v>
      </c>
      <c r="H3" t="s">
        <v>30571</v>
      </c>
      <c r="I3" t="s">
        <v>30572</v>
      </c>
      <c r="J3" t="s">
        <v>30573</v>
      </c>
      <c r="K3">
        <v>2020</v>
      </c>
      <c r="L3" s="1">
        <v>44051</v>
      </c>
      <c r="M3" t="s">
        <v>30574</v>
      </c>
      <c r="O3" t="s">
        <v>30575</v>
      </c>
    </row>
    <row r="4" spans="1:15" x14ac:dyDescent="0.15">
      <c r="A4">
        <v>29459780</v>
      </c>
      <c r="B4">
        <v>30833413</v>
      </c>
      <c r="D4">
        <v>33548389</v>
      </c>
      <c r="E4">
        <v>29462587</v>
      </c>
      <c r="F4" t="s">
        <v>30576</v>
      </c>
      <c r="G4" t="s">
        <v>30577</v>
      </c>
      <c r="H4" t="s">
        <v>30578</v>
      </c>
      <c r="I4" t="s">
        <v>30579</v>
      </c>
      <c r="J4" t="s">
        <v>30580</v>
      </c>
      <c r="K4">
        <v>2018</v>
      </c>
      <c r="L4" s="1">
        <v>43152</v>
      </c>
      <c r="M4" t="s">
        <v>30581</v>
      </c>
      <c r="N4" t="s">
        <v>30582</v>
      </c>
      <c r="O4" t="s">
        <v>30583</v>
      </c>
    </row>
    <row r="5" spans="1:15" x14ac:dyDescent="0.15">
      <c r="A5">
        <v>16430688</v>
      </c>
      <c r="B5">
        <v>33727157</v>
      </c>
      <c r="D5">
        <v>29175307</v>
      </c>
      <c r="E5">
        <v>32206116</v>
      </c>
      <c r="F5" t="s">
        <v>30584</v>
      </c>
      <c r="G5" t="s">
        <v>30585</v>
      </c>
      <c r="H5" t="s">
        <v>30586</v>
      </c>
      <c r="I5" t="s">
        <v>30587</v>
      </c>
      <c r="J5" t="s">
        <v>30588</v>
      </c>
      <c r="K5">
        <v>2020</v>
      </c>
      <c r="L5" s="1">
        <v>43915</v>
      </c>
      <c r="M5" t="s">
        <v>30589</v>
      </c>
      <c r="O5" t="s">
        <v>30590</v>
      </c>
    </row>
    <row r="6" spans="1:15" x14ac:dyDescent="0.15">
      <c r="A6">
        <v>21651777</v>
      </c>
      <c r="B6">
        <v>33355987</v>
      </c>
      <c r="D6">
        <v>33713214</v>
      </c>
      <c r="E6">
        <v>29129785</v>
      </c>
      <c r="F6" t="s">
        <v>30591</v>
      </c>
      <c r="G6" t="s">
        <v>30592</v>
      </c>
      <c r="H6" t="s">
        <v>30593</v>
      </c>
      <c r="I6" t="s">
        <v>30594</v>
      </c>
      <c r="J6" t="s">
        <v>30595</v>
      </c>
      <c r="K6">
        <v>2018</v>
      </c>
      <c r="L6" s="1">
        <v>43053</v>
      </c>
      <c r="O6" t="s">
        <v>30596</v>
      </c>
    </row>
    <row r="7" spans="1:15" x14ac:dyDescent="0.15">
      <c r="A7">
        <v>26604130</v>
      </c>
      <c r="B7">
        <v>31965891</v>
      </c>
      <c r="D7">
        <v>34185424</v>
      </c>
      <c r="E7">
        <v>33548389</v>
      </c>
      <c r="F7" t="s">
        <v>30601</v>
      </c>
      <c r="G7" t="s">
        <v>30602</v>
      </c>
      <c r="H7" t="s">
        <v>30603</v>
      </c>
      <c r="I7" t="s">
        <v>30604</v>
      </c>
      <c r="J7" t="s">
        <v>30605</v>
      </c>
      <c r="K7">
        <v>2021</v>
      </c>
      <c r="L7" s="1">
        <v>44233</v>
      </c>
      <c r="M7" t="s">
        <v>30606</v>
      </c>
      <c r="N7" t="s">
        <v>30607</v>
      </c>
      <c r="O7" t="s">
        <v>30608</v>
      </c>
    </row>
    <row r="8" spans="1:15" x14ac:dyDescent="0.15">
      <c r="A8">
        <v>1560052</v>
      </c>
      <c r="B8">
        <v>29459780</v>
      </c>
      <c r="D8">
        <v>30876419</v>
      </c>
      <c r="E8">
        <v>29175307</v>
      </c>
      <c r="F8" t="s">
        <v>30609</v>
      </c>
      <c r="G8" t="s">
        <v>30610</v>
      </c>
      <c r="H8" t="s">
        <v>30611</v>
      </c>
      <c r="I8" t="s">
        <v>30612</v>
      </c>
      <c r="J8" t="s">
        <v>30613</v>
      </c>
      <c r="K8">
        <v>2018</v>
      </c>
      <c r="L8" s="1">
        <v>43067</v>
      </c>
      <c r="O8" t="s">
        <v>30614</v>
      </c>
    </row>
    <row r="9" spans="1:15" x14ac:dyDescent="0.15">
      <c r="A9">
        <v>29073103</v>
      </c>
      <c r="B9">
        <v>31799396</v>
      </c>
      <c r="D9">
        <v>28875730</v>
      </c>
      <c r="E9">
        <v>33713214</v>
      </c>
      <c r="F9" t="s">
        <v>30619</v>
      </c>
      <c r="G9" t="s">
        <v>30620</v>
      </c>
      <c r="H9" t="s">
        <v>30621</v>
      </c>
      <c r="I9" t="s">
        <v>30622</v>
      </c>
      <c r="J9" t="s">
        <v>30623</v>
      </c>
      <c r="K9">
        <v>2021</v>
      </c>
      <c r="L9" s="1">
        <v>44268</v>
      </c>
      <c r="M9" t="s">
        <v>30624</v>
      </c>
      <c r="O9" t="s">
        <v>30625</v>
      </c>
    </row>
    <row r="10" spans="1:15" x14ac:dyDescent="0.15">
      <c r="A10">
        <v>27608715</v>
      </c>
      <c r="B10">
        <v>31614072</v>
      </c>
      <c r="D10">
        <v>30213559</v>
      </c>
      <c r="E10">
        <v>31901224</v>
      </c>
      <c r="F10" t="s">
        <v>30626</v>
      </c>
      <c r="G10" t="s">
        <v>30627</v>
      </c>
      <c r="H10" t="s">
        <v>30628</v>
      </c>
      <c r="I10" t="s">
        <v>30629</v>
      </c>
      <c r="J10" t="s">
        <v>30630</v>
      </c>
      <c r="K10">
        <v>2020</v>
      </c>
      <c r="L10" s="1">
        <v>43836</v>
      </c>
      <c r="M10" t="s">
        <v>30631</v>
      </c>
      <c r="O10" t="s">
        <v>30632</v>
      </c>
    </row>
    <row r="11" spans="1:15" x14ac:dyDescent="0.15">
      <c r="A11">
        <v>18829542</v>
      </c>
      <c r="B11">
        <v>29073103</v>
      </c>
      <c r="D11">
        <v>32685026</v>
      </c>
      <c r="E11">
        <v>34185424</v>
      </c>
      <c r="F11" t="s">
        <v>30633</v>
      </c>
      <c r="G11" t="s">
        <v>30634</v>
      </c>
      <c r="H11" t="s">
        <v>30635</v>
      </c>
      <c r="I11" t="s">
        <v>30636</v>
      </c>
      <c r="J11" t="s">
        <v>30637</v>
      </c>
      <c r="K11">
        <v>2021</v>
      </c>
      <c r="L11" s="1">
        <v>44376</v>
      </c>
      <c r="M11" t="s">
        <v>30638</v>
      </c>
      <c r="O11" t="s">
        <v>30639</v>
      </c>
    </row>
    <row r="12" spans="1:15" x14ac:dyDescent="0.15">
      <c r="A12">
        <v>11837318</v>
      </c>
      <c r="B12">
        <v>33815695</v>
      </c>
      <c r="D12">
        <v>30759880</v>
      </c>
      <c r="E12">
        <v>30876419</v>
      </c>
      <c r="F12" t="s">
        <v>30645</v>
      </c>
      <c r="G12" t="s">
        <v>30646</v>
      </c>
      <c r="H12" t="s">
        <v>30647</v>
      </c>
      <c r="I12" t="s">
        <v>30648</v>
      </c>
      <c r="J12" t="s">
        <v>30630</v>
      </c>
      <c r="K12">
        <v>2019</v>
      </c>
      <c r="L12" s="1">
        <v>43541</v>
      </c>
      <c r="M12" t="s">
        <v>30649</v>
      </c>
      <c r="O12" t="s">
        <v>30650</v>
      </c>
    </row>
    <row r="13" spans="1:15" x14ac:dyDescent="0.15">
      <c r="A13">
        <v>20428099</v>
      </c>
      <c r="B13">
        <v>30789261</v>
      </c>
      <c r="D13">
        <v>29795272</v>
      </c>
      <c r="E13">
        <v>30987213</v>
      </c>
      <c r="F13" t="s">
        <v>30651</v>
      </c>
      <c r="G13" t="s">
        <v>30652</v>
      </c>
      <c r="H13" t="s">
        <v>30653</v>
      </c>
      <c r="I13" t="s">
        <v>30654</v>
      </c>
      <c r="J13" t="s">
        <v>30655</v>
      </c>
      <c r="K13">
        <v>2019</v>
      </c>
      <c r="L13" s="1">
        <v>43572</v>
      </c>
      <c r="M13" t="s">
        <v>30656</v>
      </c>
      <c r="O13" t="s">
        <v>30657</v>
      </c>
    </row>
    <row r="14" spans="1:15" x14ac:dyDescent="0.15">
      <c r="A14">
        <v>15655551</v>
      </c>
      <c r="B14">
        <v>34453041</v>
      </c>
      <c r="D14">
        <v>28783104</v>
      </c>
      <c r="E14">
        <v>28875730</v>
      </c>
      <c r="F14" t="s">
        <v>30664</v>
      </c>
      <c r="G14" t="s">
        <v>30665</v>
      </c>
      <c r="H14" t="s">
        <v>30666</v>
      </c>
      <c r="I14" t="s">
        <v>30667</v>
      </c>
      <c r="J14" t="s">
        <v>30668</v>
      </c>
      <c r="K14">
        <v>2017</v>
      </c>
      <c r="L14" s="1">
        <v>42985</v>
      </c>
      <c r="M14" t="s">
        <v>30669</v>
      </c>
      <c r="N14" t="s">
        <v>30670</v>
      </c>
      <c r="O14" t="s">
        <v>30671</v>
      </c>
    </row>
    <row r="15" spans="1:15" x14ac:dyDescent="0.15">
      <c r="A15">
        <v>28834063</v>
      </c>
      <c r="B15">
        <v>28412169</v>
      </c>
      <c r="D15">
        <v>32719324</v>
      </c>
      <c r="E15">
        <v>30213559</v>
      </c>
      <c r="F15" t="s">
        <v>30678</v>
      </c>
      <c r="G15" t="s">
        <v>30679</v>
      </c>
      <c r="H15" t="s">
        <v>30680</v>
      </c>
      <c r="I15" t="s">
        <v>30681</v>
      </c>
      <c r="J15" t="s">
        <v>30682</v>
      </c>
      <c r="K15">
        <v>2018</v>
      </c>
      <c r="L15" s="1">
        <v>43358</v>
      </c>
      <c r="O15" t="s">
        <v>30683</v>
      </c>
    </row>
    <row r="16" spans="1:15" x14ac:dyDescent="0.15">
      <c r="A16">
        <v>9044741</v>
      </c>
      <c r="B16">
        <v>27881406</v>
      </c>
      <c r="D16">
        <v>31391108</v>
      </c>
      <c r="E16">
        <v>32685026</v>
      </c>
      <c r="F16" t="s">
        <v>30684</v>
      </c>
      <c r="G16" t="s">
        <v>30685</v>
      </c>
      <c r="H16" t="s">
        <v>30686</v>
      </c>
      <c r="I16" t="s">
        <v>30687</v>
      </c>
      <c r="J16" t="s">
        <v>30588</v>
      </c>
      <c r="K16">
        <v>2020</v>
      </c>
      <c r="L16" s="1">
        <v>44033</v>
      </c>
      <c r="M16" t="s">
        <v>30688</v>
      </c>
      <c r="O16" t="s">
        <v>30689</v>
      </c>
    </row>
    <row r="17" spans="1:15" x14ac:dyDescent="0.15">
      <c r="A17">
        <v>25822693</v>
      </c>
      <c r="B17">
        <v>28508895</v>
      </c>
      <c r="D17">
        <v>34831121</v>
      </c>
      <c r="E17">
        <v>32767659</v>
      </c>
      <c r="F17" t="s">
        <v>30690</v>
      </c>
      <c r="G17" t="s">
        <v>30691</v>
      </c>
      <c r="H17" t="s">
        <v>30692</v>
      </c>
      <c r="I17" t="s">
        <v>30693</v>
      </c>
      <c r="J17" t="s">
        <v>30694</v>
      </c>
      <c r="K17">
        <v>2021</v>
      </c>
      <c r="L17" s="1">
        <v>44052</v>
      </c>
      <c r="M17" t="s">
        <v>30695</v>
      </c>
      <c r="O17" t="s">
        <v>30696</v>
      </c>
    </row>
    <row r="18" spans="1:15" x14ac:dyDescent="0.15">
      <c r="A18">
        <v>24408433</v>
      </c>
      <c r="B18">
        <v>34545708</v>
      </c>
      <c r="D18">
        <v>34685513</v>
      </c>
      <c r="E18">
        <v>30759880</v>
      </c>
      <c r="F18" t="s">
        <v>30697</v>
      </c>
      <c r="G18" t="s">
        <v>30698</v>
      </c>
      <c r="H18" t="s">
        <v>30699</v>
      </c>
      <c r="I18" t="s">
        <v>30700</v>
      </c>
      <c r="J18" t="s">
        <v>30655</v>
      </c>
      <c r="K18">
        <v>2019</v>
      </c>
      <c r="L18" s="1">
        <v>43511</v>
      </c>
      <c r="M18" t="s">
        <v>30701</v>
      </c>
      <c r="O18" t="s">
        <v>30702</v>
      </c>
    </row>
    <row r="19" spans="1:15" x14ac:dyDescent="0.15">
      <c r="A19">
        <v>22506041</v>
      </c>
      <c r="B19">
        <v>32791387</v>
      </c>
      <c r="D19">
        <v>29934873</v>
      </c>
      <c r="E19">
        <v>29795272</v>
      </c>
      <c r="F19" t="s">
        <v>30703</v>
      </c>
      <c r="G19" t="s">
        <v>30704</v>
      </c>
      <c r="H19" t="s">
        <v>30705</v>
      </c>
      <c r="I19" t="s">
        <v>30706</v>
      </c>
      <c r="J19" t="s">
        <v>30707</v>
      </c>
      <c r="K19">
        <v>2018</v>
      </c>
      <c r="L19" s="1">
        <v>43246</v>
      </c>
      <c r="O19" t="s">
        <v>30708</v>
      </c>
    </row>
    <row r="20" spans="1:15" x14ac:dyDescent="0.15">
      <c r="A20">
        <v>27075392</v>
      </c>
      <c r="B20">
        <v>32079252</v>
      </c>
      <c r="D20">
        <v>33201170</v>
      </c>
      <c r="E20">
        <v>30697211</v>
      </c>
      <c r="F20" t="s">
        <v>30709</v>
      </c>
      <c r="G20" t="s">
        <v>30710</v>
      </c>
      <c r="H20" t="s">
        <v>30711</v>
      </c>
      <c r="I20" t="s">
        <v>30712</v>
      </c>
      <c r="J20" t="s">
        <v>30713</v>
      </c>
      <c r="K20">
        <v>2019</v>
      </c>
      <c r="L20" s="1">
        <v>43496</v>
      </c>
      <c r="M20" t="s">
        <v>30714</v>
      </c>
      <c r="O20" t="s">
        <v>30715</v>
      </c>
    </row>
    <row r="21" spans="1:15" x14ac:dyDescent="0.15">
      <c r="A21">
        <v>28287705</v>
      </c>
      <c r="B21">
        <v>30240661</v>
      </c>
      <c r="D21">
        <v>33783474</v>
      </c>
      <c r="E21">
        <v>28783104</v>
      </c>
      <c r="F21" t="s">
        <v>30716</v>
      </c>
      <c r="G21" t="s">
        <v>30717</v>
      </c>
      <c r="H21" t="s">
        <v>30718</v>
      </c>
      <c r="I21" t="s">
        <v>30719</v>
      </c>
      <c r="J21" t="s">
        <v>30720</v>
      </c>
      <c r="K21">
        <v>2017</v>
      </c>
      <c r="L21" s="1">
        <v>42955</v>
      </c>
      <c r="M21" t="s">
        <v>30721</v>
      </c>
      <c r="O21" t="s">
        <v>30722</v>
      </c>
    </row>
    <row r="22" spans="1:15" x14ac:dyDescent="0.15">
      <c r="A22">
        <v>29532035</v>
      </c>
      <c r="B22">
        <v>28811610</v>
      </c>
      <c r="D22">
        <v>34388259</v>
      </c>
      <c r="E22">
        <v>29802541</v>
      </c>
      <c r="F22" t="s">
        <v>30723</v>
      </c>
      <c r="G22" t="s">
        <v>30724</v>
      </c>
      <c r="H22" t="s">
        <v>30725</v>
      </c>
      <c r="I22" t="s">
        <v>30726</v>
      </c>
      <c r="J22" t="s">
        <v>30727</v>
      </c>
      <c r="K22">
        <v>2019</v>
      </c>
      <c r="L22" s="1">
        <v>43247</v>
      </c>
      <c r="O22" t="s">
        <v>30728</v>
      </c>
    </row>
    <row r="23" spans="1:15" x14ac:dyDescent="0.15">
      <c r="A23">
        <v>19129916</v>
      </c>
      <c r="B23">
        <v>32420990</v>
      </c>
      <c r="D23">
        <v>34180968</v>
      </c>
      <c r="E23">
        <v>32719324</v>
      </c>
      <c r="F23" t="s">
        <v>30729</v>
      </c>
      <c r="G23" t="s">
        <v>30730</v>
      </c>
      <c r="H23" t="s">
        <v>30731</v>
      </c>
      <c r="I23" t="s">
        <v>30732</v>
      </c>
      <c r="J23" t="s">
        <v>30733</v>
      </c>
      <c r="K23">
        <v>2020</v>
      </c>
      <c r="L23" s="1">
        <v>44041</v>
      </c>
      <c r="M23" t="s">
        <v>30734</v>
      </c>
      <c r="O23" t="s">
        <v>30735</v>
      </c>
    </row>
    <row r="24" spans="1:15" x14ac:dyDescent="0.15">
      <c r="A24">
        <v>24798520</v>
      </c>
      <c r="B24">
        <v>23663360</v>
      </c>
      <c r="D24">
        <v>24710597</v>
      </c>
      <c r="E24">
        <v>31391108</v>
      </c>
      <c r="F24" t="s">
        <v>30736</v>
      </c>
      <c r="G24" t="s">
        <v>30737</v>
      </c>
      <c r="H24" t="s">
        <v>30738</v>
      </c>
      <c r="I24" t="s">
        <v>30739</v>
      </c>
      <c r="J24" t="s">
        <v>30740</v>
      </c>
      <c r="K24">
        <v>2019</v>
      </c>
      <c r="L24" s="1">
        <v>43686</v>
      </c>
      <c r="M24" t="s">
        <v>30741</v>
      </c>
      <c r="O24" t="s">
        <v>30742</v>
      </c>
    </row>
    <row r="25" spans="1:15" x14ac:dyDescent="0.15">
      <c r="A25">
        <v>23881452</v>
      </c>
      <c r="B25">
        <v>27652382</v>
      </c>
      <c r="D25">
        <v>33465400</v>
      </c>
      <c r="E25">
        <v>34831121</v>
      </c>
      <c r="F25" t="s">
        <v>30743</v>
      </c>
      <c r="G25" t="s">
        <v>30744</v>
      </c>
      <c r="H25" t="s">
        <v>30745</v>
      </c>
      <c r="I25" t="s">
        <v>30746</v>
      </c>
      <c r="J25" t="s">
        <v>30655</v>
      </c>
      <c r="K25">
        <v>2021</v>
      </c>
      <c r="L25" s="1">
        <v>44527</v>
      </c>
      <c r="M25" t="s">
        <v>30747</v>
      </c>
      <c r="O25" t="s">
        <v>30748</v>
      </c>
    </row>
    <row r="26" spans="1:15" x14ac:dyDescent="0.15">
      <c r="A26">
        <v>24662828</v>
      </c>
      <c r="B26">
        <v>33217521</v>
      </c>
      <c r="D26">
        <v>32178818</v>
      </c>
      <c r="E26">
        <v>34685513</v>
      </c>
      <c r="F26" t="s">
        <v>30749</v>
      </c>
      <c r="G26" t="s">
        <v>30750</v>
      </c>
      <c r="H26" t="s">
        <v>30751</v>
      </c>
      <c r="I26" t="s">
        <v>30752</v>
      </c>
      <c r="J26" t="s">
        <v>30655</v>
      </c>
      <c r="K26">
        <v>2021</v>
      </c>
      <c r="L26" s="1">
        <v>44492</v>
      </c>
      <c r="M26" t="s">
        <v>30753</v>
      </c>
      <c r="O26" t="s">
        <v>30754</v>
      </c>
    </row>
    <row r="27" spans="1:15" x14ac:dyDescent="0.15">
      <c r="A27">
        <v>23012657</v>
      </c>
      <c r="B27">
        <v>33933815</v>
      </c>
      <c r="D27">
        <v>31906023</v>
      </c>
      <c r="E27">
        <v>29934873</v>
      </c>
      <c r="F27" t="s">
        <v>30802</v>
      </c>
      <c r="G27" t="s">
        <v>30803</v>
      </c>
      <c r="H27" t="s">
        <v>30804</v>
      </c>
      <c r="I27" t="s">
        <v>30805</v>
      </c>
      <c r="J27" t="s">
        <v>30806</v>
      </c>
      <c r="K27">
        <v>2018</v>
      </c>
      <c r="L27" s="1">
        <v>43275</v>
      </c>
      <c r="M27" t="s">
        <v>30807</v>
      </c>
      <c r="O27" t="s">
        <v>30808</v>
      </c>
    </row>
    <row r="28" spans="1:15" x14ac:dyDescent="0.15">
      <c r="A28">
        <v>7559528</v>
      </c>
      <c r="B28">
        <v>29045505</v>
      </c>
      <c r="D28">
        <v>30903454</v>
      </c>
      <c r="E28">
        <v>33201170</v>
      </c>
      <c r="F28" t="s">
        <v>30824</v>
      </c>
      <c r="G28" t="s">
        <v>30825</v>
      </c>
      <c r="H28" t="s">
        <v>30826</v>
      </c>
      <c r="I28" t="s">
        <v>30827</v>
      </c>
      <c r="J28" t="s">
        <v>30828</v>
      </c>
      <c r="K28">
        <v>2020</v>
      </c>
      <c r="L28" s="1">
        <v>44152</v>
      </c>
      <c r="M28" t="s">
        <v>30829</v>
      </c>
      <c r="O28" t="s">
        <v>30830</v>
      </c>
    </row>
    <row r="29" spans="1:15" x14ac:dyDescent="0.15">
      <c r="A29">
        <v>21196075</v>
      </c>
      <c r="B29">
        <v>29971917</v>
      </c>
      <c r="D29">
        <v>27655784</v>
      </c>
      <c r="E29">
        <v>33783474</v>
      </c>
      <c r="F29" t="s">
        <v>30836</v>
      </c>
      <c r="G29" t="s">
        <v>30837</v>
      </c>
      <c r="H29" t="s">
        <v>30838</v>
      </c>
      <c r="I29" t="s">
        <v>30839</v>
      </c>
      <c r="J29" t="s">
        <v>30840</v>
      </c>
      <c r="K29">
        <v>2021</v>
      </c>
      <c r="L29" s="1">
        <v>44285</v>
      </c>
      <c r="M29" t="s">
        <v>30841</v>
      </c>
      <c r="O29" t="s">
        <v>30842</v>
      </c>
    </row>
    <row r="30" spans="1:15" x14ac:dyDescent="0.15">
      <c r="A30">
        <v>29662176</v>
      </c>
      <c r="B30">
        <v>32369338</v>
      </c>
      <c r="D30">
        <v>28008089</v>
      </c>
      <c r="E30">
        <v>34388259</v>
      </c>
      <c r="F30" t="s">
        <v>30843</v>
      </c>
      <c r="G30" t="s">
        <v>30844</v>
      </c>
      <c r="H30" t="s">
        <v>30845</v>
      </c>
      <c r="I30" t="s">
        <v>30846</v>
      </c>
      <c r="J30" t="s">
        <v>30847</v>
      </c>
      <c r="K30">
        <v>2022</v>
      </c>
      <c r="L30" s="1">
        <v>44421</v>
      </c>
      <c r="M30" t="s">
        <v>30848</v>
      </c>
      <c r="O30" t="s">
        <v>30849</v>
      </c>
    </row>
    <row r="31" spans="1:15" x14ac:dyDescent="0.15">
      <c r="A31">
        <v>30546088</v>
      </c>
      <c r="B31">
        <v>27436038</v>
      </c>
      <c r="D31">
        <v>27035811</v>
      </c>
      <c r="E31">
        <v>34180968</v>
      </c>
      <c r="F31" t="s">
        <v>30854</v>
      </c>
      <c r="G31" t="s">
        <v>30855</v>
      </c>
      <c r="H31" t="s">
        <v>30856</v>
      </c>
      <c r="I31" t="s">
        <v>30857</v>
      </c>
      <c r="J31" t="s">
        <v>30858</v>
      </c>
      <c r="K31">
        <v>2021</v>
      </c>
      <c r="L31" s="1">
        <v>44375</v>
      </c>
      <c r="M31" t="s">
        <v>30859</v>
      </c>
      <c r="O31" t="s">
        <v>30860</v>
      </c>
    </row>
    <row r="32" spans="1:15" x14ac:dyDescent="0.15">
      <c r="A32">
        <v>23509360</v>
      </c>
      <c r="B32">
        <v>21049390</v>
      </c>
      <c r="D32">
        <v>29222068</v>
      </c>
      <c r="E32">
        <v>24710597</v>
      </c>
      <c r="F32" t="s">
        <v>30861</v>
      </c>
      <c r="G32" t="s">
        <v>30862</v>
      </c>
      <c r="H32" t="s">
        <v>30863</v>
      </c>
      <c r="I32" t="s">
        <v>30864</v>
      </c>
      <c r="J32" t="s">
        <v>30865</v>
      </c>
      <c r="K32">
        <v>2014</v>
      </c>
      <c r="L32" s="1">
        <v>41738</v>
      </c>
      <c r="M32" t="s">
        <v>30866</v>
      </c>
      <c r="O32" t="s">
        <v>30867</v>
      </c>
    </row>
    <row r="33" spans="1:15" x14ac:dyDescent="0.15">
      <c r="A33">
        <v>19251901</v>
      </c>
      <c r="B33">
        <v>30542983</v>
      </c>
      <c r="D33">
        <v>31379812</v>
      </c>
      <c r="E33">
        <v>33465400</v>
      </c>
      <c r="F33" t="s">
        <v>30877</v>
      </c>
      <c r="G33" t="s">
        <v>30878</v>
      </c>
      <c r="H33" t="s">
        <v>30879</v>
      </c>
      <c r="I33" t="s">
        <v>30880</v>
      </c>
      <c r="J33" t="s">
        <v>30881</v>
      </c>
      <c r="K33">
        <v>2021</v>
      </c>
      <c r="L33" s="1">
        <v>44215</v>
      </c>
      <c r="O33" t="s">
        <v>30882</v>
      </c>
    </row>
    <row r="34" spans="1:15" x14ac:dyDescent="0.15">
      <c r="A34">
        <v>9882352</v>
      </c>
      <c r="B34">
        <v>27394168</v>
      </c>
      <c r="D34">
        <v>30849983</v>
      </c>
      <c r="E34">
        <v>32178818</v>
      </c>
      <c r="F34" t="s">
        <v>30883</v>
      </c>
      <c r="G34" t="s">
        <v>30884</v>
      </c>
      <c r="H34" t="s">
        <v>30885</v>
      </c>
      <c r="I34" t="s">
        <v>30886</v>
      </c>
      <c r="J34" t="s">
        <v>30887</v>
      </c>
      <c r="K34">
        <v>2020</v>
      </c>
      <c r="L34" s="1">
        <v>43908</v>
      </c>
      <c r="O34" t="s">
        <v>30888</v>
      </c>
    </row>
    <row r="35" spans="1:15" x14ac:dyDescent="0.15">
      <c r="A35">
        <v>9126269</v>
      </c>
      <c r="B35">
        <v>33594754</v>
      </c>
      <c r="D35">
        <v>28782514</v>
      </c>
      <c r="E35">
        <v>31828924</v>
      </c>
      <c r="F35" t="s">
        <v>30889</v>
      </c>
      <c r="G35" t="s">
        <v>30890</v>
      </c>
      <c r="H35" t="s">
        <v>30891</v>
      </c>
      <c r="I35" t="s">
        <v>30892</v>
      </c>
      <c r="J35" t="s">
        <v>30893</v>
      </c>
      <c r="K35">
        <v>2020</v>
      </c>
      <c r="L35" s="1">
        <v>43812</v>
      </c>
      <c r="M35" t="s">
        <v>30894</v>
      </c>
      <c r="N35" t="s">
        <v>30895</v>
      </c>
      <c r="O35" t="s">
        <v>30896</v>
      </c>
    </row>
    <row r="36" spans="1:15" x14ac:dyDescent="0.15">
      <c r="A36">
        <v>23695661</v>
      </c>
      <c r="B36">
        <v>33420990</v>
      </c>
      <c r="D36">
        <v>26927673</v>
      </c>
      <c r="E36">
        <v>34867996</v>
      </c>
      <c r="F36" t="s">
        <v>30912</v>
      </c>
      <c r="G36" t="s">
        <v>30913</v>
      </c>
      <c r="H36" t="s">
        <v>30914</v>
      </c>
      <c r="I36" t="s">
        <v>30915</v>
      </c>
      <c r="J36" t="s">
        <v>30713</v>
      </c>
      <c r="K36">
        <v>2021</v>
      </c>
      <c r="L36" s="1">
        <v>44536</v>
      </c>
      <c r="M36" t="s">
        <v>30916</v>
      </c>
      <c r="O36" t="s">
        <v>30917</v>
      </c>
    </row>
    <row r="37" spans="1:15" x14ac:dyDescent="0.15">
      <c r="A37">
        <v>9449663</v>
      </c>
      <c r="B37">
        <v>28490541</v>
      </c>
      <c r="D37">
        <v>29155161</v>
      </c>
      <c r="E37">
        <v>28167212</v>
      </c>
      <c r="F37" t="s">
        <v>30922</v>
      </c>
      <c r="G37" t="s">
        <v>30923</v>
      </c>
      <c r="H37" t="s">
        <v>30924</v>
      </c>
      <c r="I37" t="s">
        <v>30925</v>
      </c>
      <c r="J37" t="s">
        <v>30926</v>
      </c>
      <c r="K37">
        <v>2017</v>
      </c>
      <c r="L37" s="1">
        <v>42774</v>
      </c>
      <c r="O37" t="s">
        <v>30927</v>
      </c>
    </row>
    <row r="38" spans="1:15" x14ac:dyDescent="0.15">
      <c r="A38">
        <v>28671449</v>
      </c>
      <c r="B38">
        <v>28936730</v>
      </c>
      <c r="D38">
        <v>31088834</v>
      </c>
      <c r="E38">
        <v>33586060</v>
      </c>
      <c r="F38" t="s">
        <v>30928</v>
      </c>
      <c r="G38" t="s">
        <v>30929</v>
      </c>
      <c r="H38" t="s">
        <v>30930</v>
      </c>
      <c r="I38" t="s">
        <v>30931</v>
      </c>
      <c r="J38" t="s">
        <v>30932</v>
      </c>
      <c r="K38">
        <v>2021</v>
      </c>
      <c r="L38" s="1">
        <v>44242</v>
      </c>
      <c r="M38" t="s">
        <v>30933</v>
      </c>
      <c r="O38" t="s">
        <v>30934</v>
      </c>
    </row>
    <row r="39" spans="1:15" x14ac:dyDescent="0.15">
      <c r="A39">
        <v>14963039</v>
      </c>
      <c r="B39">
        <v>34793917</v>
      </c>
      <c r="D39">
        <v>31937439</v>
      </c>
      <c r="E39">
        <v>34314775</v>
      </c>
      <c r="F39" t="s">
        <v>30935</v>
      </c>
      <c r="G39" t="s">
        <v>30936</v>
      </c>
      <c r="H39" t="s">
        <v>30937</v>
      </c>
      <c r="I39" t="s">
        <v>30938</v>
      </c>
      <c r="J39" t="s">
        <v>30939</v>
      </c>
      <c r="K39">
        <v>2021</v>
      </c>
      <c r="L39" s="1">
        <v>44404</v>
      </c>
      <c r="O39" t="s">
        <v>30940</v>
      </c>
    </row>
    <row r="40" spans="1:15" x14ac:dyDescent="0.15">
      <c r="A40">
        <v>22544365</v>
      </c>
      <c r="B40">
        <v>34217734</v>
      </c>
      <c r="D40">
        <v>32903777</v>
      </c>
      <c r="E40">
        <v>33666501</v>
      </c>
      <c r="F40" t="s">
        <v>30941</v>
      </c>
      <c r="G40" t="s">
        <v>30942</v>
      </c>
      <c r="H40" t="s">
        <v>30943</v>
      </c>
      <c r="I40" t="s">
        <v>30944</v>
      </c>
      <c r="J40" t="s">
        <v>30945</v>
      </c>
      <c r="K40">
        <v>2021</v>
      </c>
      <c r="L40" s="1">
        <v>44260</v>
      </c>
      <c r="M40" t="s">
        <v>30946</v>
      </c>
      <c r="O40" t="s">
        <v>30947</v>
      </c>
    </row>
    <row r="41" spans="1:15" x14ac:dyDescent="0.15">
      <c r="A41">
        <v>30057273</v>
      </c>
      <c r="B41">
        <v>35289089</v>
      </c>
      <c r="D41">
        <v>30003942</v>
      </c>
      <c r="E41">
        <v>25894694</v>
      </c>
      <c r="F41" t="s">
        <v>30948</v>
      </c>
      <c r="G41" t="s">
        <v>30949</v>
      </c>
      <c r="H41" t="s">
        <v>30950</v>
      </c>
      <c r="I41" t="s">
        <v>30951</v>
      </c>
      <c r="J41" t="s">
        <v>30876</v>
      </c>
      <c r="K41">
        <v>2015</v>
      </c>
      <c r="L41" s="1">
        <v>42115</v>
      </c>
      <c r="O41" t="s">
        <v>30952</v>
      </c>
    </row>
    <row r="42" spans="1:15" x14ac:dyDescent="0.15">
      <c r="A42">
        <v>26229115</v>
      </c>
      <c r="B42">
        <v>26376343</v>
      </c>
      <c r="D42">
        <v>32986962</v>
      </c>
      <c r="E42">
        <v>24488559</v>
      </c>
      <c r="F42" t="s">
        <v>30957</v>
      </c>
      <c r="G42" t="s">
        <v>30958</v>
      </c>
      <c r="H42" t="s">
        <v>30959</v>
      </c>
      <c r="I42" t="s">
        <v>30960</v>
      </c>
      <c r="J42" t="s">
        <v>30961</v>
      </c>
      <c r="K42">
        <v>2014</v>
      </c>
      <c r="L42" s="1">
        <v>41674</v>
      </c>
      <c r="O42" t="s">
        <v>30962</v>
      </c>
    </row>
    <row r="43" spans="1:15" x14ac:dyDescent="0.15">
      <c r="A43">
        <v>28412169</v>
      </c>
      <c r="B43">
        <v>34160815</v>
      </c>
      <c r="D43">
        <v>32067543</v>
      </c>
      <c r="E43">
        <v>32861876</v>
      </c>
      <c r="F43" t="s">
        <v>30972</v>
      </c>
      <c r="G43" t="s">
        <v>30973</v>
      </c>
      <c r="H43" t="s">
        <v>30974</v>
      </c>
      <c r="I43" t="s">
        <v>30975</v>
      </c>
      <c r="J43" t="s">
        <v>30976</v>
      </c>
      <c r="K43">
        <v>2020</v>
      </c>
      <c r="L43" s="1">
        <v>44074</v>
      </c>
      <c r="O43" t="s">
        <v>30977</v>
      </c>
    </row>
    <row r="44" spans="1:15" x14ac:dyDescent="0.15">
      <c r="A44">
        <v>10878338</v>
      </c>
      <c r="B44">
        <v>25111183</v>
      </c>
      <c r="D44">
        <v>24969563</v>
      </c>
      <c r="E44">
        <v>31664614</v>
      </c>
      <c r="F44" t="s">
        <v>30989</v>
      </c>
      <c r="G44" t="s">
        <v>30990</v>
      </c>
      <c r="H44" t="s">
        <v>30991</v>
      </c>
      <c r="I44" t="s">
        <v>30992</v>
      </c>
      <c r="J44" t="s">
        <v>30727</v>
      </c>
      <c r="K44">
        <v>2020</v>
      </c>
      <c r="L44" s="1">
        <v>43769</v>
      </c>
      <c r="O44" t="s">
        <v>30993</v>
      </c>
    </row>
    <row r="45" spans="1:15" x14ac:dyDescent="0.15">
      <c r="A45">
        <v>8621763</v>
      </c>
      <c r="B45">
        <v>32968935</v>
      </c>
      <c r="D45">
        <v>24578033</v>
      </c>
      <c r="E45">
        <v>31906023</v>
      </c>
      <c r="F45" t="s">
        <v>30994</v>
      </c>
      <c r="G45" t="s">
        <v>30995</v>
      </c>
      <c r="H45" t="s">
        <v>30996</v>
      </c>
      <c r="I45" t="s">
        <v>30997</v>
      </c>
      <c r="J45" t="s">
        <v>30655</v>
      </c>
      <c r="K45">
        <v>2019</v>
      </c>
      <c r="L45" s="1">
        <v>43838</v>
      </c>
      <c r="M45" t="s">
        <v>30998</v>
      </c>
      <c r="O45" t="s">
        <v>30999</v>
      </c>
    </row>
    <row r="46" spans="1:15" x14ac:dyDescent="0.15">
      <c r="A46">
        <v>28121262</v>
      </c>
      <c r="B46">
        <v>28259747</v>
      </c>
      <c r="D46">
        <v>25292428</v>
      </c>
      <c r="E46">
        <v>32605316</v>
      </c>
      <c r="F46" t="s">
        <v>31004</v>
      </c>
      <c r="G46" t="s">
        <v>31005</v>
      </c>
      <c r="H46" t="s">
        <v>31006</v>
      </c>
      <c r="I46" t="s">
        <v>31007</v>
      </c>
      <c r="J46" t="s">
        <v>30720</v>
      </c>
      <c r="K46">
        <v>2020</v>
      </c>
      <c r="L46" s="1">
        <v>44014</v>
      </c>
      <c r="M46" t="s">
        <v>31008</v>
      </c>
      <c r="O46" t="s">
        <v>31009</v>
      </c>
    </row>
    <row r="47" spans="1:15" x14ac:dyDescent="0.15">
      <c r="A47">
        <v>22909304</v>
      </c>
      <c r="B47">
        <v>34595842</v>
      </c>
      <c r="D47">
        <v>32093516</v>
      </c>
      <c r="E47">
        <v>32781015</v>
      </c>
      <c r="F47" t="s">
        <v>31010</v>
      </c>
      <c r="G47" t="s">
        <v>31011</v>
      </c>
      <c r="H47" t="s">
        <v>31012</v>
      </c>
      <c r="I47" t="s">
        <v>31013</v>
      </c>
      <c r="J47" t="s">
        <v>30682</v>
      </c>
      <c r="K47">
        <v>2020</v>
      </c>
      <c r="L47" s="1">
        <v>44055</v>
      </c>
      <c r="O47" t="s">
        <v>31014</v>
      </c>
    </row>
    <row r="48" spans="1:15" x14ac:dyDescent="0.15">
      <c r="A48">
        <v>17932498</v>
      </c>
      <c r="B48">
        <v>34600275</v>
      </c>
      <c r="D48">
        <v>24032108</v>
      </c>
      <c r="E48">
        <v>29115853</v>
      </c>
      <c r="F48" t="s">
        <v>31024</v>
      </c>
      <c r="G48" t="s">
        <v>31025</v>
      </c>
      <c r="H48" t="s">
        <v>31026</v>
      </c>
      <c r="I48" t="s">
        <v>31027</v>
      </c>
      <c r="J48" t="s">
        <v>31028</v>
      </c>
      <c r="K48">
        <v>2018</v>
      </c>
      <c r="L48" s="1">
        <v>43048</v>
      </c>
      <c r="O48" t="s">
        <v>31029</v>
      </c>
    </row>
    <row r="49" spans="1:15" x14ac:dyDescent="0.15">
      <c r="A49">
        <v>7573686</v>
      </c>
      <c r="B49">
        <v>31748281</v>
      </c>
      <c r="D49">
        <v>33424849</v>
      </c>
      <c r="E49">
        <v>30903454</v>
      </c>
      <c r="F49" t="s">
        <v>31034</v>
      </c>
      <c r="G49" t="s">
        <v>31035</v>
      </c>
      <c r="H49" t="s">
        <v>31036</v>
      </c>
      <c r="I49" t="s">
        <v>31037</v>
      </c>
      <c r="J49" t="s">
        <v>31038</v>
      </c>
      <c r="K49">
        <v>2019</v>
      </c>
      <c r="L49" s="1">
        <v>43548</v>
      </c>
      <c r="M49" t="s">
        <v>31039</v>
      </c>
      <c r="N49" t="s">
        <v>31040</v>
      </c>
      <c r="O49" t="s">
        <v>31041</v>
      </c>
    </row>
    <row r="50" spans="1:15" x14ac:dyDescent="0.15">
      <c r="A50">
        <v>16120427</v>
      </c>
      <c r="B50">
        <v>32980480</v>
      </c>
      <c r="D50">
        <v>34449197</v>
      </c>
      <c r="E50">
        <v>33137926</v>
      </c>
      <c r="F50" t="s">
        <v>31042</v>
      </c>
      <c r="G50" t="s">
        <v>31043</v>
      </c>
      <c r="H50" t="s">
        <v>31044</v>
      </c>
      <c r="I50" t="s">
        <v>31045</v>
      </c>
      <c r="J50" t="s">
        <v>30816</v>
      </c>
      <c r="K50">
        <v>2020</v>
      </c>
      <c r="L50" s="1">
        <v>44138</v>
      </c>
      <c r="M50" t="s">
        <v>31046</v>
      </c>
      <c r="O50" t="s">
        <v>31047</v>
      </c>
    </row>
    <row r="51" spans="1:15" x14ac:dyDescent="0.15">
      <c r="A51">
        <v>26681674</v>
      </c>
      <c r="B51">
        <v>33384328</v>
      </c>
      <c r="D51">
        <v>34734680</v>
      </c>
      <c r="E51">
        <v>27655784</v>
      </c>
      <c r="F51" t="s">
        <v>31048</v>
      </c>
      <c r="G51" t="s">
        <v>31049</v>
      </c>
      <c r="H51" t="s">
        <v>31050</v>
      </c>
      <c r="I51" t="s">
        <v>31051</v>
      </c>
      <c r="J51" t="s">
        <v>31052</v>
      </c>
      <c r="K51">
        <v>2016</v>
      </c>
      <c r="L51" s="1">
        <v>42636</v>
      </c>
      <c r="M51" t="s">
        <v>31053</v>
      </c>
      <c r="O51" t="s">
        <v>31054</v>
      </c>
    </row>
    <row r="52" spans="1:15" x14ac:dyDescent="0.15">
      <c r="A52">
        <v>8631669</v>
      </c>
      <c r="B52">
        <v>33769802</v>
      </c>
      <c r="D52">
        <v>26452221</v>
      </c>
      <c r="E52">
        <v>28008089</v>
      </c>
      <c r="F52" t="s">
        <v>31055</v>
      </c>
      <c r="G52" t="s">
        <v>31056</v>
      </c>
      <c r="H52" t="s">
        <v>31057</v>
      </c>
      <c r="I52" t="s">
        <v>31058</v>
      </c>
      <c r="J52" t="s">
        <v>31059</v>
      </c>
      <c r="K52">
        <v>2017</v>
      </c>
      <c r="L52" s="1">
        <v>42728</v>
      </c>
      <c r="O52" t="s">
        <v>31060</v>
      </c>
    </row>
    <row r="53" spans="1:15" x14ac:dyDescent="0.15">
      <c r="A53">
        <v>27150009</v>
      </c>
      <c r="B53">
        <v>34605844</v>
      </c>
      <c r="D53">
        <v>23505015</v>
      </c>
      <c r="E53">
        <v>29024380</v>
      </c>
      <c r="F53" t="s">
        <v>31061</v>
      </c>
      <c r="G53" t="s">
        <v>31062</v>
      </c>
      <c r="H53" t="s">
        <v>31063</v>
      </c>
      <c r="I53" t="s">
        <v>31064</v>
      </c>
      <c r="J53" t="s">
        <v>30694</v>
      </c>
      <c r="K53">
        <v>2017</v>
      </c>
      <c r="L53" s="1">
        <v>43021</v>
      </c>
      <c r="M53" t="s">
        <v>31065</v>
      </c>
      <c r="O53" t="s">
        <v>31066</v>
      </c>
    </row>
    <row r="54" spans="1:15" x14ac:dyDescent="0.15">
      <c r="A54">
        <v>31957088</v>
      </c>
      <c r="B54">
        <v>35235806</v>
      </c>
      <c r="D54">
        <v>30699987</v>
      </c>
      <c r="E54">
        <v>27035811</v>
      </c>
      <c r="F54" t="s">
        <v>31067</v>
      </c>
      <c r="G54" t="s">
        <v>31068</v>
      </c>
      <c r="H54" t="s">
        <v>31069</v>
      </c>
      <c r="I54" t="s">
        <v>31070</v>
      </c>
      <c r="J54" t="s">
        <v>30566</v>
      </c>
      <c r="K54">
        <v>2016</v>
      </c>
      <c r="L54" s="1">
        <v>42462</v>
      </c>
      <c r="M54" t="s">
        <v>31071</v>
      </c>
      <c r="O54" t="s">
        <v>31072</v>
      </c>
    </row>
    <row r="55" spans="1:15" x14ac:dyDescent="0.15">
      <c r="A55">
        <v>25086355</v>
      </c>
      <c r="B55">
        <v>32930980</v>
      </c>
      <c r="D55">
        <v>26784674</v>
      </c>
      <c r="E55">
        <v>29222068</v>
      </c>
      <c r="F55" t="s">
        <v>31073</v>
      </c>
      <c r="G55" t="s">
        <v>31074</v>
      </c>
      <c r="H55" t="s">
        <v>31075</v>
      </c>
      <c r="I55" t="s">
        <v>31076</v>
      </c>
      <c r="J55" t="s">
        <v>30613</v>
      </c>
      <c r="K55">
        <v>2018</v>
      </c>
      <c r="L55" s="1">
        <v>43079</v>
      </c>
      <c r="O55" t="s">
        <v>31077</v>
      </c>
    </row>
    <row r="56" spans="1:15" x14ac:dyDescent="0.15">
      <c r="A56">
        <v>25988257</v>
      </c>
      <c r="B56">
        <v>31585894</v>
      </c>
      <c r="D56">
        <v>27230949</v>
      </c>
      <c r="E56">
        <v>31891869</v>
      </c>
      <c r="F56" t="s">
        <v>31092</v>
      </c>
      <c r="G56" t="s">
        <v>31093</v>
      </c>
      <c r="H56" t="s">
        <v>31094</v>
      </c>
      <c r="I56" t="s">
        <v>31095</v>
      </c>
      <c r="J56" t="s">
        <v>31096</v>
      </c>
      <c r="K56">
        <v>2020</v>
      </c>
      <c r="L56" s="1">
        <v>43831</v>
      </c>
      <c r="O56" t="s">
        <v>31097</v>
      </c>
    </row>
    <row r="57" spans="1:15" x14ac:dyDescent="0.15">
      <c r="A57">
        <v>29973048</v>
      </c>
      <c r="B57">
        <v>34080172</v>
      </c>
      <c r="D57">
        <v>29122679</v>
      </c>
      <c r="E57">
        <v>31188499</v>
      </c>
      <c r="F57" t="s">
        <v>31101</v>
      </c>
      <c r="G57" t="s">
        <v>31102</v>
      </c>
      <c r="H57" t="s">
        <v>31103</v>
      </c>
      <c r="I57" t="s">
        <v>31104</v>
      </c>
      <c r="J57" t="s">
        <v>31105</v>
      </c>
      <c r="K57">
        <v>2019</v>
      </c>
      <c r="L57" s="1">
        <v>43629</v>
      </c>
      <c r="O57" t="s">
        <v>31106</v>
      </c>
    </row>
    <row r="58" spans="1:15" x14ac:dyDescent="0.15">
      <c r="A58">
        <v>27363026</v>
      </c>
      <c r="B58">
        <v>31502256</v>
      </c>
      <c r="D58">
        <v>26797692</v>
      </c>
      <c r="E58">
        <v>31379812</v>
      </c>
      <c r="F58" t="s">
        <v>31107</v>
      </c>
      <c r="G58" t="s">
        <v>31108</v>
      </c>
      <c r="H58" t="s">
        <v>31109</v>
      </c>
      <c r="I58" t="s">
        <v>31110</v>
      </c>
      <c r="J58" t="s">
        <v>30713</v>
      </c>
      <c r="K58">
        <v>2019</v>
      </c>
      <c r="L58" s="1">
        <v>43683</v>
      </c>
      <c r="M58" t="s">
        <v>31111</v>
      </c>
      <c r="O58" t="s">
        <v>31112</v>
      </c>
    </row>
    <row r="59" spans="1:15" x14ac:dyDescent="0.15">
      <c r="A59">
        <v>26603257</v>
      </c>
      <c r="B59">
        <v>31584165</v>
      </c>
      <c r="D59">
        <v>32917227</v>
      </c>
      <c r="E59">
        <v>30849983</v>
      </c>
      <c r="F59" t="s">
        <v>31113</v>
      </c>
      <c r="G59" t="s">
        <v>31114</v>
      </c>
      <c r="H59" t="s">
        <v>31115</v>
      </c>
      <c r="I59" t="s">
        <v>31116</v>
      </c>
      <c r="J59" t="s">
        <v>30630</v>
      </c>
      <c r="K59">
        <v>2019</v>
      </c>
      <c r="L59" s="1">
        <v>43534</v>
      </c>
      <c r="M59" t="s">
        <v>31117</v>
      </c>
      <c r="O59" t="s">
        <v>31118</v>
      </c>
    </row>
    <row r="60" spans="1:15" x14ac:dyDescent="0.15">
      <c r="A60">
        <v>20823220</v>
      </c>
      <c r="B60">
        <v>31017799</v>
      </c>
      <c r="D60">
        <v>28196593</v>
      </c>
      <c r="E60">
        <v>28782514</v>
      </c>
      <c r="F60" t="s">
        <v>31119</v>
      </c>
      <c r="G60" t="s">
        <v>31120</v>
      </c>
      <c r="H60" t="s">
        <v>31121</v>
      </c>
      <c r="I60" t="s">
        <v>31122</v>
      </c>
      <c r="J60" t="s">
        <v>31123</v>
      </c>
      <c r="K60">
        <v>2017</v>
      </c>
      <c r="L60" s="1">
        <v>42955</v>
      </c>
      <c r="M60" t="s">
        <v>31124</v>
      </c>
      <c r="N60" t="s">
        <v>31125</v>
      </c>
      <c r="O60" t="s">
        <v>31126</v>
      </c>
    </row>
    <row r="61" spans="1:15" x14ac:dyDescent="0.15">
      <c r="A61">
        <v>30789261</v>
      </c>
      <c r="B61">
        <v>31127656</v>
      </c>
      <c r="D61">
        <v>30257246</v>
      </c>
      <c r="E61">
        <v>33324409</v>
      </c>
      <c r="F61" t="s">
        <v>31127</v>
      </c>
      <c r="G61" t="s">
        <v>31128</v>
      </c>
      <c r="H61" t="s">
        <v>31129</v>
      </c>
      <c r="I61" t="s">
        <v>31130</v>
      </c>
      <c r="J61" t="s">
        <v>30713</v>
      </c>
      <c r="K61">
        <v>2020</v>
      </c>
      <c r="L61" s="1">
        <v>44181</v>
      </c>
      <c r="M61" t="s">
        <v>31131</v>
      </c>
      <c r="O61" t="s">
        <v>31132</v>
      </c>
    </row>
    <row r="62" spans="1:15" x14ac:dyDescent="0.15">
      <c r="A62">
        <v>28453784</v>
      </c>
      <c r="B62">
        <v>33741723</v>
      </c>
      <c r="D62">
        <v>28456604</v>
      </c>
      <c r="E62">
        <v>34139872</v>
      </c>
      <c r="F62" t="s">
        <v>31133</v>
      </c>
      <c r="G62" t="s">
        <v>31134</v>
      </c>
      <c r="H62" t="s">
        <v>31135</v>
      </c>
      <c r="I62" t="s">
        <v>31136</v>
      </c>
      <c r="J62" t="s">
        <v>31137</v>
      </c>
      <c r="K62">
        <v>2021</v>
      </c>
      <c r="L62" s="1">
        <v>44365</v>
      </c>
      <c r="M62" t="s">
        <v>31138</v>
      </c>
      <c r="O62" t="s">
        <v>31139</v>
      </c>
    </row>
    <row r="63" spans="1:15" x14ac:dyDescent="0.15">
      <c r="A63">
        <v>27443190</v>
      </c>
      <c r="B63">
        <v>35011677</v>
      </c>
      <c r="D63">
        <v>26133463</v>
      </c>
      <c r="E63">
        <v>33565967</v>
      </c>
      <c r="F63" t="s">
        <v>31140</v>
      </c>
      <c r="G63" t="s">
        <v>31141</v>
      </c>
      <c r="H63" t="s">
        <v>31142</v>
      </c>
      <c r="I63" t="s">
        <v>31143</v>
      </c>
      <c r="J63" t="s">
        <v>30887</v>
      </c>
      <c r="K63">
        <v>2020</v>
      </c>
      <c r="L63" s="1">
        <v>44237</v>
      </c>
      <c r="O63" t="s">
        <v>31144</v>
      </c>
    </row>
    <row r="64" spans="1:15" x14ac:dyDescent="0.15">
      <c r="A64">
        <v>24939845</v>
      </c>
      <c r="B64">
        <v>34528938</v>
      </c>
      <c r="D64">
        <v>23607880</v>
      </c>
      <c r="E64">
        <v>26927673</v>
      </c>
      <c r="F64" t="s">
        <v>31145</v>
      </c>
      <c r="G64" t="s">
        <v>31146</v>
      </c>
      <c r="H64" t="s">
        <v>31147</v>
      </c>
      <c r="I64" t="s">
        <v>31148</v>
      </c>
      <c r="J64" t="s">
        <v>30566</v>
      </c>
      <c r="K64">
        <v>2016</v>
      </c>
      <c r="L64" s="1">
        <v>42431</v>
      </c>
      <c r="M64" t="s">
        <v>31149</v>
      </c>
      <c r="O64" t="s">
        <v>31150</v>
      </c>
    </row>
    <row r="65" spans="1:15" x14ac:dyDescent="0.15">
      <c r="A65">
        <v>28409562</v>
      </c>
      <c r="B65">
        <v>31469961</v>
      </c>
      <c r="D65">
        <v>26637847</v>
      </c>
      <c r="E65">
        <v>31263077</v>
      </c>
      <c r="F65" t="s">
        <v>31151</v>
      </c>
      <c r="G65" t="s">
        <v>31152</v>
      </c>
      <c r="H65" t="s">
        <v>31153</v>
      </c>
      <c r="I65" t="s">
        <v>31154</v>
      </c>
      <c r="J65" t="s">
        <v>31155</v>
      </c>
      <c r="K65">
        <v>2019</v>
      </c>
      <c r="L65" s="1">
        <v>43649</v>
      </c>
      <c r="M65" t="s">
        <v>31156</v>
      </c>
      <c r="O65" t="s">
        <v>31157</v>
      </c>
    </row>
    <row r="66" spans="1:15" x14ac:dyDescent="0.15">
      <c r="A66">
        <v>24831807</v>
      </c>
      <c r="B66">
        <v>26272609</v>
      </c>
      <c r="D66">
        <v>29656370</v>
      </c>
      <c r="E66">
        <v>29155161</v>
      </c>
      <c r="F66" t="s">
        <v>31158</v>
      </c>
      <c r="G66" t="s">
        <v>31159</v>
      </c>
      <c r="H66" t="s">
        <v>31160</v>
      </c>
      <c r="I66" t="s">
        <v>31161</v>
      </c>
      <c r="J66" t="s">
        <v>30613</v>
      </c>
      <c r="K66">
        <v>2018</v>
      </c>
      <c r="L66" s="1">
        <v>43060</v>
      </c>
      <c r="O66" t="s">
        <v>31162</v>
      </c>
    </row>
    <row r="67" spans="1:15" x14ac:dyDescent="0.15">
      <c r="A67">
        <v>24573314</v>
      </c>
      <c r="B67">
        <v>35731982</v>
      </c>
      <c r="D67">
        <v>34423733</v>
      </c>
      <c r="E67">
        <v>31088834</v>
      </c>
      <c r="F67" t="s">
        <v>31163</v>
      </c>
      <c r="G67" t="s">
        <v>31164</v>
      </c>
      <c r="H67" t="s">
        <v>31165</v>
      </c>
      <c r="I67" t="s">
        <v>31166</v>
      </c>
      <c r="J67" t="s">
        <v>31167</v>
      </c>
      <c r="K67">
        <v>2019</v>
      </c>
      <c r="L67" s="1">
        <v>43601</v>
      </c>
      <c r="M67" t="s">
        <v>31168</v>
      </c>
      <c r="N67" t="s">
        <v>31169</v>
      </c>
      <c r="O67" t="s">
        <v>31170</v>
      </c>
    </row>
    <row r="68" spans="1:15" x14ac:dyDescent="0.15">
      <c r="A68">
        <v>10508681</v>
      </c>
      <c r="B68">
        <v>30644724</v>
      </c>
      <c r="D68">
        <v>31512231</v>
      </c>
      <c r="E68">
        <v>31937439</v>
      </c>
      <c r="F68" t="s">
        <v>31171</v>
      </c>
      <c r="G68" t="s">
        <v>31172</v>
      </c>
      <c r="H68" t="s">
        <v>31173</v>
      </c>
      <c r="I68" t="s">
        <v>31174</v>
      </c>
      <c r="J68" t="s">
        <v>31175</v>
      </c>
      <c r="K68">
        <v>2020</v>
      </c>
      <c r="L68" s="1">
        <v>43846</v>
      </c>
      <c r="O68" t="s">
        <v>31176</v>
      </c>
    </row>
    <row r="69" spans="1:15" x14ac:dyDescent="0.15">
      <c r="A69">
        <v>26979400</v>
      </c>
      <c r="B69">
        <v>33354779</v>
      </c>
      <c r="D69">
        <v>28077297</v>
      </c>
      <c r="E69">
        <v>32903777</v>
      </c>
      <c r="F69" t="s">
        <v>31177</v>
      </c>
      <c r="G69" t="s">
        <v>31178</v>
      </c>
      <c r="H69" t="s">
        <v>31179</v>
      </c>
      <c r="I69" t="s">
        <v>31180</v>
      </c>
      <c r="J69" t="s">
        <v>30713</v>
      </c>
      <c r="K69">
        <v>2020</v>
      </c>
      <c r="L69" s="1">
        <v>44083</v>
      </c>
      <c r="M69" t="s">
        <v>31181</v>
      </c>
      <c r="O69" t="s">
        <v>31182</v>
      </c>
    </row>
    <row r="70" spans="1:15" x14ac:dyDescent="0.15">
      <c r="A70">
        <v>25772109</v>
      </c>
      <c r="B70">
        <v>32092088</v>
      </c>
      <c r="D70">
        <v>24436427</v>
      </c>
      <c r="E70">
        <v>30003942</v>
      </c>
      <c r="F70" t="s">
        <v>31183</v>
      </c>
      <c r="G70" t="s">
        <v>31184</v>
      </c>
      <c r="H70" t="s">
        <v>31185</v>
      </c>
      <c r="I70" t="s">
        <v>31186</v>
      </c>
      <c r="J70" t="s">
        <v>30939</v>
      </c>
      <c r="K70">
        <v>2019</v>
      </c>
      <c r="L70" s="1">
        <v>43295</v>
      </c>
      <c r="O70" t="s">
        <v>31187</v>
      </c>
    </row>
    <row r="71" spans="1:15" x14ac:dyDescent="0.15">
      <c r="A71">
        <v>20090836</v>
      </c>
      <c r="B71">
        <v>31597943</v>
      </c>
      <c r="D71">
        <v>31216738</v>
      </c>
      <c r="E71">
        <v>30697216</v>
      </c>
      <c r="F71" t="s">
        <v>31194</v>
      </c>
      <c r="G71" t="s">
        <v>31195</v>
      </c>
      <c r="H71" t="s">
        <v>31196</v>
      </c>
      <c r="I71" t="s">
        <v>31197</v>
      </c>
      <c r="J71" t="s">
        <v>30713</v>
      </c>
      <c r="K71">
        <v>2019</v>
      </c>
      <c r="L71" s="1">
        <v>43496</v>
      </c>
      <c r="M71" t="s">
        <v>31198</v>
      </c>
      <c r="O71" t="s">
        <v>31199</v>
      </c>
    </row>
    <row r="72" spans="1:15" x14ac:dyDescent="0.15">
      <c r="A72">
        <v>29278659</v>
      </c>
      <c r="B72">
        <v>28185192</v>
      </c>
      <c r="D72">
        <v>27939894</v>
      </c>
      <c r="E72">
        <v>32986962</v>
      </c>
      <c r="F72" t="s">
        <v>31200</v>
      </c>
      <c r="G72" t="s">
        <v>31201</v>
      </c>
      <c r="H72" t="s">
        <v>31202</v>
      </c>
      <c r="I72" t="s">
        <v>31203</v>
      </c>
      <c r="J72" t="s">
        <v>30945</v>
      </c>
      <c r="K72">
        <v>2020</v>
      </c>
      <c r="L72" s="1">
        <v>44102</v>
      </c>
      <c r="M72" t="s">
        <v>31204</v>
      </c>
      <c r="O72" t="s">
        <v>31205</v>
      </c>
    </row>
    <row r="73" spans="1:15" x14ac:dyDescent="0.15">
      <c r="A73">
        <v>24572141</v>
      </c>
      <c r="B73">
        <v>32383628</v>
      </c>
      <c r="D73">
        <v>21174588</v>
      </c>
      <c r="E73">
        <v>28833502</v>
      </c>
      <c r="F73" t="s">
        <v>31206</v>
      </c>
      <c r="G73" t="s">
        <v>31207</v>
      </c>
      <c r="H73" t="s">
        <v>31208</v>
      </c>
      <c r="I73" t="s">
        <v>31209</v>
      </c>
      <c r="J73" t="s">
        <v>30988</v>
      </c>
      <c r="K73">
        <v>2018</v>
      </c>
      <c r="L73" s="1">
        <v>42971</v>
      </c>
      <c r="O73" t="s">
        <v>31210</v>
      </c>
    </row>
    <row r="74" spans="1:15" x14ac:dyDescent="0.15">
      <c r="A74">
        <v>27305142</v>
      </c>
      <c r="B74">
        <v>32634162</v>
      </c>
      <c r="D74">
        <v>29023106</v>
      </c>
      <c r="E74">
        <v>27150849</v>
      </c>
      <c r="F74" t="s">
        <v>31211</v>
      </c>
      <c r="G74" t="s">
        <v>31212</v>
      </c>
      <c r="H74" t="s">
        <v>31213</v>
      </c>
      <c r="I74" t="s">
        <v>31214</v>
      </c>
      <c r="J74" t="s">
        <v>31215</v>
      </c>
      <c r="K74">
        <v>2016</v>
      </c>
      <c r="L74" s="1">
        <v>42497</v>
      </c>
      <c r="O74" t="s">
        <v>31216</v>
      </c>
    </row>
    <row r="75" spans="1:15" x14ac:dyDescent="0.15">
      <c r="A75">
        <v>27394168</v>
      </c>
      <c r="B75">
        <v>32334098</v>
      </c>
      <c r="D75">
        <v>26341056</v>
      </c>
      <c r="E75">
        <v>32067543</v>
      </c>
      <c r="F75" t="s">
        <v>31217</v>
      </c>
      <c r="G75" t="s">
        <v>31218</v>
      </c>
      <c r="H75" t="s">
        <v>31219</v>
      </c>
      <c r="I75" t="s">
        <v>31220</v>
      </c>
      <c r="J75" t="s">
        <v>30668</v>
      </c>
      <c r="K75">
        <v>2020</v>
      </c>
      <c r="L75" s="1">
        <v>43880</v>
      </c>
      <c r="M75" t="s">
        <v>31221</v>
      </c>
      <c r="N75" t="s">
        <v>31222</v>
      </c>
      <c r="O75" t="s">
        <v>31223</v>
      </c>
    </row>
    <row r="76" spans="1:15" x14ac:dyDescent="0.15">
      <c r="A76">
        <v>25407601</v>
      </c>
      <c r="B76">
        <v>32551501</v>
      </c>
      <c r="D76">
        <v>28077296</v>
      </c>
      <c r="E76">
        <v>29904278</v>
      </c>
      <c r="F76" t="s">
        <v>31224</v>
      </c>
      <c r="G76" t="s">
        <v>31225</v>
      </c>
      <c r="H76" t="s">
        <v>31226</v>
      </c>
      <c r="I76" t="s">
        <v>31227</v>
      </c>
      <c r="J76" t="s">
        <v>31228</v>
      </c>
      <c r="K76">
        <v>2018</v>
      </c>
      <c r="L76" s="1">
        <v>43267</v>
      </c>
      <c r="M76" t="s">
        <v>31229</v>
      </c>
      <c r="O76" t="s">
        <v>31230</v>
      </c>
    </row>
    <row r="77" spans="1:15" x14ac:dyDescent="0.15">
      <c r="A77">
        <v>24834468</v>
      </c>
      <c r="B77">
        <v>31436946</v>
      </c>
      <c r="D77">
        <v>32219336</v>
      </c>
      <c r="E77">
        <v>30925921</v>
      </c>
      <c r="F77" t="s">
        <v>31235</v>
      </c>
      <c r="G77" t="s">
        <v>31236</v>
      </c>
      <c r="H77" t="s">
        <v>31237</v>
      </c>
      <c r="I77" t="s">
        <v>31238</v>
      </c>
      <c r="J77" t="s">
        <v>30630</v>
      </c>
      <c r="K77">
        <v>2019</v>
      </c>
      <c r="L77" s="1">
        <v>43555</v>
      </c>
      <c r="M77" t="s">
        <v>31239</v>
      </c>
      <c r="O77" t="s">
        <v>31240</v>
      </c>
    </row>
    <row r="78" spans="1:15" x14ac:dyDescent="0.15">
      <c r="A78">
        <v>16055444</v>
      </c>
      <c r="B78">
        <v>31017389</v>
      </c>
      <c r="D78">
        <v>25721810</v>
      </c>
      <c r="E78">
        <v>26582468</v>
      </c>
      <c r="F78" t="s">
        <v>31241</v>
      </c>
      <c r="G78" t="s">
        <v>31242</v>
      </c>
      <c r="H78" t="s">
        <v>31243</v>
      </c>
      <c r="I78" t="s">
        <v>31244</v>
      </c>
      <c r="J78" t="s">
        <v>31245</v>
      </c>
      <c r="K78">
        <v>2015</v>
      </c>
      <c r="L78" s="1">
        <v>42328</v>
      </c>
      <c r="M78" t="s">
        <v>31246</v>
      </c>
      <c r="O78" t="s">
        <v>31247</v>
      </c>
    </row>
    <row r="79" spans="1:15" x14ac:dyDescent="0.15">
      <c r="A79">
        <v>8660406</v>
      </c>
      <c r="B79">
        <v>22506041</v>
      </c>
      <c r="D79">
        <v>22082333</v>
      </c>
      <c r="E79">
        <v>24969563</v>
      </c>
      <c r="F79" t="s">
        <v>31248</v>
      </c>
      <c r="G79" t="s">
        <v>31249</v>
      </c>
      <c r="H79" t="s">
        <v>31250</v>
      </c>
      <c r="I79" t="s">
        <v>30951</v>
      </c>
      <c r="J79" t="s">
        <v>31251</v>
      </c>
      <c r="K79">
        <v>2014</v>
      </c>
      <c r="L79" s="1">
        <v>41818</v>
      </c>
      <c r="O79" t="s">
        <v>31252</v>
      </c>
    </row>
    <row r="80" spans="1:15" x14ac:dyDescent="0.15">
      <c r="A80">
        <v>29241062</v>
      </c>
      <c r="B80">
        <v>33420117</v>
      </c>
      <c r="D80">
        <v>32647095</v>
      </c>
      <c r="E80">
        <v>24578033</v>
      </c>
      <c r="F80" t="s">
        <v>31253</v>
      </c>
      <c r="G80" t="s">
        <v>31254</v>
      </c>
      <c r="H80" t="s">
        <v>31255</v>
      </c>
      <c r="I80" t="s">
        <v>31256</v>
      </c>
      <c r="J80" t="s">
        <v>31257</v>
      </c>
      <c r="K80">
        <v>2014</v>
      </c>
      <c r="L80" s="1">
        <v>41699</v>
      </c>
      <c r="M80" t="s">
        <v>31258</v>
      </c>
      <c r="N80" t="s">
        <v>31259</v>
      </c>
      <c r="O80" t="s">
        <v>31260</v>
      </c>
    </row>
    <row r="81" spans="1:15" x14ac:dyDescent="0.15">
      <c r="A81">
        <v>19146850</v>
      </c>
      <c r="B81">
        <v>30236130</v>
      </c>
      <c r="D81">
        <v>33944671</v>
      </c>
      <c r="E81">
        <v>31740445</v>
      </c>
      <c r="F81" t="s">
        <v>31269</v>
      </c>
      <c r="G81" t="s">
        <v>31270</v>
      </c>
      <c r="H81" t="s">
        <v>31271</v>
      </c>
      <c r="I81" t="s">
        <v>31272</v>
      </c>
      <c r="J81" t="s">
        <v>31273</v>
      </c>
      <c r="K81">
        <v>2020</v>
      </c>
      <c r="L81" s="1">
        <v>43789</v>
      </c>
      <c r="M81" t="s">
        <v>31274</v>
      </c>
      <c r="O81" t="s">
        <v>7781</v>
      </c>
    </row>
    <row r="82" spans="1:15" x14ac:dyDescent="0.15">
      <c r="A82">
        <v>29511190</v>
      </c>
      <c r="B82">
        <v>31198995</v>
      </c>
      <c r="D82">
        <v>32924276</v>
      </c>
      <c r="E82">
        <v>25292428</v>
      </c>
      <c r="F82" t="s">
        <v>31275</v>
      </c>
      <c r="G82" t="s">
        <v>31276</v>
      </c>
      <c r="H82" t="s">
        <v>31277</v>
      </c>
      <c r="I82" t="s">
        <v>31278</v>
      </c>
      <c r="J82" t="s">
        <v>31279</v>
      </c>
      <c r="K82">
        <v>2015</v>
      </c>
      <c r="L82" s="1">
        <v>41921</v>
      </c>
      <c r="M82" t="s">
        <v>31280</v>
      </c>
      <c r="N82" t="s">
        <v>31281</v>
      </c>
      <c r="O82" t="s">
        <v>31282</v>
      </c>
    </row>
    <row r="83" spans="1:15" x14ac:dyDescent="0.15">
      <c r="A83">
        <v>24816817</v>
      </c>
      <c r="B83">
        <v>30139385</v>
      </c>
      <c r="D83">
        <v>34158489</v>
      </c>
      <c r="E83">
        <v>32093516</v>
      </c>
      <c r="F83" t="s">
        <v>31293</v>
      </c>
      <c r="G83" t="s">
        <v>31294</v>
      </c>
      <c r="H83" t="s">
        <v>31295</v>
      </c>
      <c r="I83" t="s">
        <v>31296</v>
      </c>
      <c r="J83" t="s">
        <v>31297</v>
      </c>
      <c r="K83">
        <v>2020</v>
      </c>
      <c r="L83" s="1">
        <v>43887</v>
      </c>
      <c r="M83" t="s">
        <v>31298</v>
      </c>
      <c r="O83" t="s">
        <v>31299</v>
      </c>
    </row>
    <row r="84" spans="1:15" x14ac:dyDescent="0.15">
      <c r="A84">
        <v>32170015</v>
      </c>
      <c r="B84">
        <v>27753025</v>
      </c>
      <c r="D84">
        <v>31752198</v>
      </c>
      <c r="E84">
        <v>27756426</v>
      </c>
      <c r="F84" t="s">
        <v>31300</v>
      </c>
      <c r="G84" t="s">
        <v>31301</v>
      </c>
      <c r="H84" t="s">
        <v>31302</v>
      </c>
      <c r="I84" t="s">
        <v>31303</v>
      </c>
      <c r="J84" t="s">
        <v>31304</v>
      </c>
      <c r="K84">
        <v>2016</v>
      </c>
      <c r="L84" s="1">
        <v>42664</v>
      </c>
      <c r="M84" t="s">
        <v>31305</v>
      </c>
      <c r="O84" t="s">
        <v>31306</v>
      </c>
    </row>
    <row r="85" spans="1:15" x14ac:dyDescent="0.15">
      <c r="A85">
        <v>31660712</v>
      </c>
      <c r="B85">
        <v>32715764</v>
      </c>
      <c r="D85">
        <v>26156517</v>
      </c>
      <c r="E85">
        <v>34139254</v>
      </c>
      <c r="F85" t="s">
        <v>31307</v>
      </c>
      <c r="G85" t="s">
        <v>31308</v>
      </c>
      <c r="H85" t="s">
        <v>31309</v>
      </c>
      <c r="I85" t="s">
        <v>31310</v>
      </c>
      <c r="J85" t="s">
        <v>31311</v>
      </c>
      <c r="K85">
        <v>2021</v>
      </c>
      <c r="L85" s="1">
        <v>44364</v>
      </c>
      <c r="O85" t="s">
        <v>31312</v>
      </c>
    </row>
    <row r="86" spans="1:15" x14ac:dyDescent="0.15">
      <c r="A86">
        <v>18518965</v>
      </c>
      <c r="B86">
        <v>34632781</v>
      </c>
      <c r="D86">
        <v>30637729</v>
      </c>
      <c r="E86">
        <v>24032108</v>
      </c>
      <c r="F86" t="s">
        <v>31313</v>
      </c>
      <c r="G86" t="s">
        <v>31314</v>
      </c>
      <c r="H86" t="s">
        <v>31315</v>
      </c>
      <c r="I86" t="s">
        <v>31316</v>
      </c>
      <c r="J86" t="s">
        <v>31317</v>
      </c>
      <c r="K86">
        <v>2013</v>
      </c>
      <c r="L86" s="1">
        <v>41531</v>
      </c>
      <c r="M86" t="s">
        <v>31318</v>
      </c>
      <c r="O86" t="s">
        <v>31319</v>
      </c>
    </row>
    <row r="87" spans="1:15" x14ac:dyDescent="0.15">
      <c r="A87">
        <v>25819213</v>
      </c>
      <c r="B87">
        <v>33756122</v>
      </c>
      <c r="D87">
        <v>28816640</v>
      </c>
      <c r="E87">
        <v>30663276</v>
      </c>
      <c r="F87" t="s">
        <v>31320</v>
      </c>
      <c r="G87" t="s">
        <v>31321</v>
      </c>
      <c r="H87" t="s">
        <v>31322</v>
      </c>
      <c r="I87" t="s">
        <v>31323</v>
      </c>
      <c r="J87" t="s">
        <v>31324</v>
      </c>
      <c r="K87">
        <v>2019</v>
      </c>
      <c r="L87" s="1">
        <v>43487</v>
      </c>
      <c r="O87" t="s">
        <v>31325</v>
      </c>
    </row>
    <row r="88" spans="1:15" x14ac:dyDescent="0.15">
      <c r="A88">
        <v>24611950</v>
      </c>
      <c r="B88">
        <v>33404216</v>
      </c>
      <c r="D88">
        <v>33513776</v>
      </c>
      <c r="E88">
        <v>33424849</v>
      </c>
      <c r="F88" t="s">
        <v>31326</v>
      </c>
      <c r="G88" t="s">
        <v>31327</v>
      </c>
      <c r="H88" t="s">
        <v>31328</v>
      </c>
      <c r="I88" t="s">
        <v>31329</v>
      </c>
      <c r="J88" t="s">
        <v>30713</v>
      </c>
      <c r="K88">
        <v>2020</v>
      </c>
      <c r="L88" s="1">
        <v>44207</v>
      </c>
      <c r="M88" t="s">
        <v>31330</v>
      </c>
      <c r="O88" t="s">
        <v>31331</v>
      </c>
    </row>
    <row r="89" spans="1:15" x14ac:dyDescent="0.15">
      <c r="A89">
        <v>29149454</v>
      </c>
      <c r="B89">
        <v>33369394</v>
      </c>
      <c r="D89">
        <v>32134270</v>
      </c>
      <c r="E89">
        <v>34449197</v>
      </c>
      <c r="F89" t="s">
        <v>31332</v>
      </c>
      <c r="G89" t="s">
        <v>31333</v>
      </c>
      <c r="H89" t="s">
        <v>31334</v>
      </c>
      <c r="I89" t="s">
        <v>31335</v>
      </c>
      <c r="J89" t="s">
        <v>30956</v>
      </c>
      <c r="K89">
        <v>2021</v>
      </c>
      <c r="L89" s="1">
        <v>44435</v>
      </c>
      <c r="O89" t="s">
        <v>31336</v>
      </c>
    </row>
    <row r="90" spans="1:15" x14ac:dyDescent="0.15">
      <c r="A90">
        <v>31191831</v>
      </c>
      <c r="B90">
        <v>29953723</v>
      </c>
      <c r="D90">
        <v>29376493</v>
      </c>
      <c r="E90">
        <v>34734680</v>
      </c>
      <c r="F90" t="s">
        <v>31342</v>
      </c>
      <c r="G90" t="s">
        <v>31343</v>
      </c>
      <c r="H90" t="s">
        <v>31344</v>
      </c>
      <c r="I90" t="s">
        <v>31345</v>
      </c>
      <c r="J90" t="s">
        <v>31346</v>
      </c>
      <c r="K90">
        <v>2021</v>
      </c>
      <c r="L90" s="1">
        <v>44504</v>
      </c>
      <c r="M90" t="s">
        <v>31347</v>
      </c>
      <c r="O90" t="s">
        <v>31348</v>
      </c>
    </row>
    <row r="91" spans="1:15" x14ac:dyDescent="0.15">
      <c r="A91">
        <v>21553248</v>
      </c>
      <c r="B91">
        <v>28332837</v>
      </c>
      <c r="D91">
        <v>28867585</v>
      </c>
      <c r="E91">
        <v>26452221</v>
      </c>
      <c r="F91" t="s">
        <v>31356</v>
      </c>
      <c r="G91" t="s">
        <v>31357</v>
      </c>
      <c r="H91" t="s">
        <v>31358</v>
      </c>
      <c r="I91" t="s">
        <v>31359</v>
      </c>
      <c r="J91" t="s">
        <v>31360</v>
      </c>
      <c r="K91">
        <v>2015</v>
      </c>
      <c r="L91" s="1">
        <v>42287</v>
      </c>
      <c r="M91" t="s">
        <v>31361</v>
      </c>
      <c r="O91" t="s">
        <v>31362</v>
      </c>
    </row>
    <row r="92" spans="1:15" x14ac:dyDescent="0.15">
      <c r="A92">
        <v>30350935</v>
      </c>
      <c r="B92">
        <v>34114453</v>
      </c>
      <c r="D92">
        <v>28321122</v>
      </c>
      <c r="E92">
        <v>23505015</v>
      </c>
      <c r="F92" t="s">
        <v>31363</v>
      </c>
      <c r="G92" t="s">
        <v>31364</v>
      </c>
      <c r="H92" t="s">
        <v>31365</v>
      </c>
      <c r="I92" t="s">
        <v>31366</v>
      </c>
      <c r="J92" t="s">
        <v>31367</v>
      </c>
      <c r="K92">
        <v>2013</v>
      </c>
      <c r="L92" s="1">
        <v>41352</v>
      </c>
      <c r="O92" t="s">
        <v>31368</v>
      </c>
    </row>
    <row r="93" spans="1:15" x14ac:dyDescent="0.15">
      <c r="A93">
        <v>29986209</v>
      </c>
      <c r="B93">
        <v>32433716</v>
      </c>
      <c r="D93">
        <v>30451032</v>
      </c>
      <c r="E93">
        <v>30699987</v>
      </c>
      <c r="F93" t="s">
        <v>31377</v>
      </c>
      <c r="G93" t="s">
        <v>31378</v>
      </c>
      <c r="H93" t="s">
        <v>31379</v>
      </c>
      <c r="I93" t="s">
        <v>31380</v>
      </c>
      <c r="J93" t="s">
        <v>30655</v>
      </c>
      <c r="K93">
        <v>2019</v>
      </c>
      <c r="L93" s="1">
        <v>43497</v>
      </c>
      <c r="M93" t="s">
        <v>31381</v>
      </c>
      <c r="O93" t="s">
        <v>31382</v>
      </c>
    </row>
    <row r="94" spans="1:15" x14ac:dyDescent="0.15">
      <c r="A94">
        <v>27117741</v>
      </c>
      <c r="B94">
        <v>25051983</v>
      </c>
      <c r="D94">
        <v>22713869</v>
      </c>
      <c r="E94">
        <v>26784674</v>
      </c>
      <c r="F94" t="s">
        <v>31383</v>
      </c>
      <c r="G94" t="s">
        <v>31384</v>
      </c>
      <c r="H94" t="s">
        <v>31385</v>
      </c>
      <c r="I94" t="s">
        <v>31386</v>
      </c>
      <c r="J94" t="s">
        <v>31387</v>
      </c>
      <c r="K94">
        <v>2016</v>
      </c>
      <c r="L94" s="1">
        <v>42389</v>
      </c>
      <c r="O94" t="s">
        <v>31388</v>
      </c>
    </row>
    <row r="95" spans="1:15" x14ac:dyDescent="0.15">
      <c r="A95">
        <v>19270489</v>
      </c>
      <c r="B95">
        <v>25537774</v>
      </c>
      <c r="D95">
        <v>30463593</v>
      </c>
      <c r="E95">
        <v>32976623</v>
      </c>
      <c r="F95" t="s">
        <v>31389</v>
      </c>
      <c r="G95" t="s">
        <v>31390</v>
      </c>
      <c r="H95" t="s">
        <v>31391</v>
      </c>
      <c r="I95" t="s">
        <v>31392</v>
      </c>
      <c r="J95" t="s">
        <v>31393</v>
      </c>
      <c r="K95">
        <v>2020</v>
      </c>
      <c r="L95" s="1">
        <v>44099</v>
      </c>
      <c r="M95" t="s">
        <v>31394</v>
      </c>
      <c r="O95" t="s">
        <v>31395</v>
      </c>
    </row>
    <row r="96" spans="1:15" x14ac:dyDescent="0.15">
      <c r="A96">
        <v>29259699</v>
      </c>
      <c r="B96">
        <v>34464838</v>
      </c>
      <c r="D96">
        <v>28069372</v>
      </c>
      <c r="E96">
        <v>30071288</v>
      </c>
      <c r="F96" t="s">
        <v>31396</v>
      </c>
      <c r="G96" t="s">
        <v>31397</v>
      </c>
      <c r="H96" t="s">
        <v>31398</v>
      </c>
      <c r="I96" t="s">
        <v>30629</v>
      </c>
      <c r="J96" t="s">
        <v>30682</v>
      </c>
      <c r="K96">
        <v>2018</v>
      </c>
      <c r="L96" s="1">
        <v>43315</v>
      </c>
      <c r="O96" t="s">
        <v>31399</v>
      </c>
    </row>
    <row r="97" spans="1:15" x14ac:dyDescent="0.15">
      <c r="A97">
        <v>21044239</v>
      </c>
      <c r="B97">
        <v>30038324</v>
      </c>
      <c r="D97">
        <v>28356006</v>
      </c>
      <c r="E97">
        <v>28676332</v>
      </c>
      <c r="F97" t="s">
        <v>31400</v>
      </c>
      <c r="G97" t="s">
        <v>31401</v>
      </c>
      <c r="H97" t="s">
        <v>31402</v>
      </c>
      <c r="I97" t="s">
        <v>31403</v>
      </c>
      <c r="J97" t="s">
        <v>31404</v>
      </c>
      <c r="K97">
        <v>2018</v>
      </c>
      <c r="L97" s="1">
        <v>42922</v>
      </c>
      <c r="M97" t="s">
        <v>31405</v>
      </c>
      <c r="N97" t="s">
        <v>31406</v>
      </c>
      <c r="O97" t="s">
        <v>31407</v>
      </c>
    </row>
    <row r="98" spans="1:15" x14ac:dyDescent="0.15">
      <c r="A98">
        <v>10793152</v>
      </c>
      <c r="B98">
        <v>31660712</v>
      </c>
      <c r="D98">
        <v>27206554</v>
      </c>
      <c r="E98">
        <v>27230949</v>
      </c>
      <c r="F98" t="s">
        <v>31411</v>
      </c>
      <c r="G98" t="s">
        <v>31412</v>
      </c>
      <c r="H98" t="s">
        <v>31413</v>
      </c>
      <c r="I98" t="s">
        <v>31017</v>
      </c>
      <c r="J98" t="s">
        <v>31414</v>
      </c>
      <c r="K98">
        <v>2016</v>
      </c>
      <c r="L98" s="1">
        <v>42518</v>
      </c>
      <c r="O98" t="s">
        <v>31415</v>
      </c>
    </row>
    <row r="99" spans="1:15" x14ac:dyDescent="0.15">
      <c r="A99">
        <v>24826903</v>
      </c>
      <c r="B99">
        <v>33753167</v>
      </c>
      <c r="D99">
        <v>21318413</v>
      </c>
      <c r="E99">
        <v>28424339</v>
      </c>
      <c r="F99" t="s">
        <v>31416</v>
      </c>
      <c r="G99" t="s">
        <v>31417</v>
      </c>
      <c r="H99" t="s">
        <v>31418</v>
      </c>
      <c r="I99" t="s">
        <v>30565</v>
      </c>
      <c r="J99" t="s">
        <v>31419</v>
      </c>
      <c r="K99">
        <v>2016</v>
      </c>
      <c r="L99" s="1">
        <v>42846</v>
      </c>
      <c r="O99" t="s">
        <v>31420</v>
      </c>
    </row>
    <row r="100" spans="1:15" x14ac:dyDescent="0.15">
      <c r="A100">
        <v>23284671</v>
      </c>
      <c r="B100">
        <v>32188736</v>
      </c>
      <c r="D100">
        <v>23613619</v>
      </c>
      <c r="E100">
        <v>29122679</v>
      </c>
      <c r="F100" t="s">
        <v>31421</v>
      </c>
      <c r="G100" t="s">
        <v>31422</v>
      </c>
      <c r="H100" t="s">
        <v>31423</v>
      </c>
      <c r="I100" t="s">
        <v>31424</v>
      </c>
      <c r="J100" t="s">
        <v>30613</v>
      </c>
      <c r="K100">
        <v>2018</v>
      </c>
      <c r="L100" s="1">
        <v>43050</v>
      </c>
      <c r="M100" t="s">
        <v>31425</v>
      </c>
      <c r="N100" t="s">
        <v>31426</v>
      </c>
      <c r="O100" t="s">
        <v>31427</v>
      </c>
    </row>
    <row r="101" spans="1:15" x14ac:dyDescent="0.15">
      <c r="A101">
        <v>26185458</v>
      </c>
      <c r="B101">
        <v>28121262</v>
      </c>
      <c r="D101">
        <v>34051235</v>
      </c>
      <c r="E101">
        <v>26797692</v>
      </c>
      <c r="F101" t="s">
        <v>31428</v>
      </c>
      <c r="G101" t="s">
        <v>31429</v>
      </c>
      <c r="H101" t="s">
        <v>31430</v>
      </c>
      <c r="I101" t="s">
        <v>31027</v>
      </c>
      <c r="J101" t="s">
        <v>31431</v>
      </c>
      <c r="K101">
        <v>2016</v>
      </c>
      <c r="L101" s="1">
        <v>42392</v>
      </c>
      <c r="M101" t="s">
        <v>31432</v>
      </c>
      <c r="O101" t="s">
        <v>31433</v>
      </c>
    </row>
    <row r="102" spans="1:15" x14ac:dyDescent="0.15">
      <c r="A102">
        <v>21296866</v>
      </c>
      <c r="B102">
        <v>32065171</v>
      </c>
      <c r="D102">
        <v>31319228</v>
      </c>
      <c r="E102">
        <v>32917227</v>
      </c>
      <c r="F102" t="s">
        <v>31434</v>
      </c>
      <c r="G102" t="s">
        <v>31435</v>
      </c>
      <c r="H102" t="s">
        <v>31436</v>
      </c>
      <c r="I102" t="s">
        <v>31437</v>
      </c>
      <c r="J102" t="s">
        <v>31438</v>
      </c>
      <c r="K102">
        <v>2020</v>
      </c>
      <c r="L102" s="1">
        <v>44086</v>
      </c>
      <c r="M102" t="s">
        <v>31439</v>
      </c>
      <c r="O102" t="s">
        <v>31440</v>
      </c>
    </row>
    <row r="103" spans="1:15" x14ac:dyDescent="0.15">
      <c r="A103">
        <v>28490541</v>
      </c>
      <c r="B103">
        <v>33311558</v>
      </c>
      <c r="D103">
        <v>25220623</v>
      </c>
      <c r="E103">
        <v>28196593</v>
      </c>
      <c r="F103" t="s">
        <v>31441</v>
      </c>
      <c r="G103" t="s">
        <v>31442</v>
      </c>
      <c r="H103" t="s">
        <v>31443</v>
      </c>
      <c r="I103" t="s">
        <v>31444</v>
      </c>
      <c r="J103" t="s">
        <v>31445</v>
      </c>
      <c r="K103">
        <v>2017</v>
      </c>
      <c r="L103" s="1">
        <v>42782</v>
      </c>
      <c r="O103" t="s">
        <v>31446</v>
      </c>
    </row>
    <row r="104" spans="1:15" x14ac:dyDescent="0.15">
      <c r="A104">
        <v>9581791</v>
      </c>
      <c r="B104">
        <v>35014524</v>
      </c>
      <c r="D104">
        <v>34031263</v>
      </c>
      <c r="E104">
        <v>30257246</v>
      </c>
      <c r="F104" t="s">
        <v>31447</v>
      </c>
      <c r="G104" t="s">
        <v>31448</v>
      </c>
      <c r="H104" t="s">
        <v>31449</v>
      </c>
      <c r="I104" t="s">
        <v>31450</v>
      </c>
      <c r="J104" t="s">
        <v>31451</v>
      </c>
      <c r="K104">
        <v>2018</v>
      </c>
      <c r="L104" s="1">
        <v>43370</v>
      </c>
      <c r="M104" t="s">
        <v>31452</v>
      </c>
      <c r="O104" t="s">
        <v>31453</v>
      </c>
    </row>
    <row r="105" spans="1:15" x14ac:dyDescent="0.15">
      <c r="A105">
        <v>11689436</v>
      </c>
      <c r="B105">
        <v>29196999</v>
      </c>
      <c r="D105">
        <v>32292514</v>
      </c>
      <c r="E105">
        <v>28456604</v>
      </c>
      <c r="F105" t="s">
        <v>31454</v>
      </c>
      <c r="G105" t="s">
        <v>31455</v>
      </c>
      <c r="H105" t="s">
        <v>31456</v>
      </c>
      <c r="I105" t="s">
        <v>31457</v>
      </c>
      <c r="J105" t="s">
        <v>31458</v>
      </c>
      <c r="K105">
        <v>2017</v>
      </c>
      <c r="L105" s="1">
        <v>42856</v>
      </c>
      <c r="O105" t="s">
        <v>31459</v>
      </c>
    </row>
    <row r="106" spans="1:15" x14ac:dyDescent="0.15">
      <c r="A106">
        <v>9875267</v>
      </c>
      <c r="B106">
        <v>31896748</v>
      </c>
      <c r="D106">
        <v>24863262</v>
      </c>
      <c r="E106">
        <v>26133463</v>
      </c>
      <c r="F106" t="s">
        <v>31460</v>
      </c>
      <c r="G106" t="s">
        <v>31461</v>
      </c>
      <c r="H106" t="s">
        <v>31462</v>
      </c>
      <c r="I106" t="s">
        <v>31463</v>
      </c>
      <c r="J106" t="s">
        <v>31464</v>
      </c>
      <c r="K106">
        <v>2015</v>
      </c>
      <c r="L106" s="1">
        <v>42188</v>
      </c>
      <c r="O106" t="s">
        <v>31465</v>
      </c>
    </row>
    <row r="107" spans="1:15" x14ac:dyDescent="0.15">
      <c r="A107">
        <v>28910982</v>
      </c>
      <c r="B107">
        <v>33656037</v>
      </c>
      <c r="D107">
        <v>32089746</v>
      </c>
      <c r="E107">
        <v>23607880</v>
      </c>
      <c r="F107" t="s">
        <v>31466</v>
      </c>
      <c r="G107" t="s">
        <v>31467</v>
      </c>
      <c r="H107" t="s">
        <v>31468</v>
      </c>
      <c r="I107" t="s">
        <v>31316</v>
      </c>
      <c r="J107" t="s">
        <v>31469</v>
      </c>
      <c r="K107">
        <v>2013</v>
      </c>
      <c r="L107" s="1">
        <v>41388</v>
      </c>
      <c r="M107" t="s">
        <v>31470</v>
      </c>
      <c r="O107" t="s">
        <v>31471</v>
      </c>
    </row>
    <row r="108" spans="1:15" x14ac:dyDescent="0.15">
      <c r="A108">
        <v>9652412</v>
      </c>
      <c r="B108">
        <v>33753455</v>
      </c>
      <c r="D108">
        <v>29580275</v>
      </c>
      <c r="E108">
        <v>26637847</v>
      </c>
      <c r="F108" t="s">
        <v>31476</v>
      </c>
      <c r="G108" t="s">
        <v>31477</v>
      </c>
      <c r="H108" t="s">
        <v>31478</v>
      </c>
      <c r="I108" t="s">
        <v>31479</v>
      </c>
      <c r="J108" t="s">
        <v>31480</v>
      </c>
      <c r="K108">
        <v>2015</v>
      </c>
      <c r="L108" s="1">
        <v>42344</v>
      </c>
    </row>
    <row r="109" spans="1:15" x14ac:dyDescent="0.15">
      <c r="A109">
        <v>18217139</v>
      </c>
      <c r="B109">
        <v>33275138</v>
      </c>
      <c r="D109">
        <v>32006463</v>
      </c>
      <c r="E109">
        <v>29656370</v>
      </c>
      <c r="F109" t="s">
        <v>31481</v>
      </c>
      <c r="G109" t="s">
        <v>31482</v>
      </c>
      <c r="H109" t="s">
        <v>31483</v>
      </c>
      <c r="I109" t="s">
        <v>31484</v>
      </c>
      <c r="J109" t="s">
        <v>31485</v>
      </c>
      <c r="K109">
        <v>2018</v>
      </c>
      <c r="L109" s="1">
        <v>43206</v>
      </c>
      <c r="O109" t="s">
        <v>31486</v>
      </c>
    </row>
    <row r="110" spans="1:15" x14ac:dyDescent="0.15">
      <c r="A110">
        <v>30646958</v>
      </c>
      <c r="B110">
        <v>32594744</v>
      </c>
      <c r="D110">
        <v>26973197</v>
      </c>
      <c r="E110">
        <v>34423733</v>
      </c>
      <c r="F110" t="s">
        <v>31491</v>
      </c>
      <c r="G110" t="s">
        <v>31492</v>
      </c>
      <c r="H110" t="s">
        <v>31493</v>
      </c>
      <c r="I110" t="s">
        <v>31494</v>
      </c>
      <c r="J110" t="s">
        <v>31495</v>
      </c>
      <c r="K110">
        <v>2022</v>
      </c>
      <c r="L110" s="1">
        <v>44431</v>
      </c>
      <c r="M110" t="s">
        <v>31496</v>
      </c>
      <c r="N110" t="s">
        <v>31497</v>
      </c>
      <c r="O110" t="s">
        <v>31498</v>
      </c>
    </row>
    <row r="111" spans="1:15" x14ac:dyDescent="0.15">
      <c r="A111">
        <v>17573475</v>
      </c>
      <c r="B111">
        <v>33190594</v>
      </c>
      <c r="D111">
        <v>29950415</v>
      </c>
      <c r="E111">
        <v>31512231</v>
      </c>
      <c r="F111" t="s">
        <v>31499</v>
      </c>
      <c r="G111" t="s">
        <v>31500</v>
      </c>
      <c r="H111" t="s">
        <v>31501</v>
      </c>
      <c r="I111" t="s">
        <v>31386</v>
      </c>
      <c r="J111" t="s">
        <v>30847</v>
      </c>
      <c r="K111">
        <v>2020</v>
      </c>
      <c r="L111" s="1">
        <v>43721</v>
      </c>
      <c r="O111" t="s">
        <v>31502</v>
      </c>
    </row>
    <row r="112" spans="1:15" x14ac:dyDescent="0.15">
      <c r="A112">
        <v>18456845</v>
      </c>
      <c r="B112">
        <v>30519544</v>
      </c>
      <c r="D112">
        <v>30496349</v>
      </c>
      <c r="E112">
        <v>28077297</v>
      </c>
      <c r="F112" t="s">
        <v>31503</v>
      </c>
      <c r="G112" t="s">
        <v>31504</v>
      </c>
      <c r="H112" t="s">
        <v>31505</v>
      </c>
      <c r="I112" t="s">
        <v>31506</v>
      </c>
      <c r="J112" t="s">
        <v>31458</v>
      </c>
      <c r="K112">
        <v>2017</v>
      </c>
      <c r="L112" s="1">
        <v>42748</v>
      </c>
      <c r="O112" t="s">
        <v>31507</v>
      </c>
    </row>
    <row r="113" spans="1:15" x14ac:dyDescent="0.15">
      <c r="A113">
        <v>9106484</v>
      </c>
      <c r="B113">
        <v>21132466</v>
      </c>
      <c r="D113">
        <v>32020194</v>
      </c>
      <c r="E113">
        <v>24436427</v>
      </c>
      <c r="F113" t="s">
        <v>31508</v>
      </c>
      <c r="G113" t="s">
        <v>31509</v>
      </c>
      <c r="H113" t="s">
        <v>31510</v>
      </c>
      <c r="I113" t="s">
        <v>31511</v>
      </c>
      <c r="J113" t="s">
        <v>31512</v>
      </c>
      <c r="K113">
        <v>2014</v>
      </c>
      <c r="L113" s="1">
        <v>41657</v>
      </c>
      <c r="O113" t="s">
        <v>31513</v>
      </c>
    </row>
    <row r="114" spans="1:15" x14ac:dyDescent="0.15">
      <c r="A114">
        <v>23402739</v>
      </c>
      <c r="B114">
        <v>29986209</v>
      </c>
      <c r="D114">
        <v>27293190</v>
      </c>
      <c r="E114">
        <v>32363801</v>
      </c>
      <c r="F114" t="s">
        <v>31517</v>
      </c>
      <c r="G114" t="s">
        <v>31518</v>
      </c>
      <c r="H114" t="s">
        <v>31519</v>
      </c>
      <c r="I114" t="s">
        <v>31520</v>
      </c>
      <c r="J114" t="s">
        <v>31521</v>
      </c>
      <c r="K114">
        <v>2020</v>
      </c>
      <c r="L114" s="1">
        <v>43956</v>
      </c>
      <c r="O114" t="s">
        <v>31522</v>
      </c>
    </row>
    <row r="115" spans="1:15" x14ac:dyDescent="0.15">
      <c r="A115">
        <v>11932461</v>
      </c>
      <c r="B115">
        <v>31168963</v>
      </c>
      <c r="D115">
        <v>33897698</v>
      </c>
      <c r="E115">
        <v>31216738</v>
      </c>
      <c r="F115" t="s">
        <v>31526</v>
      </c>
      <c r="G115" t="s">
        <v>31527</v>
      </c>
      <c r="H115" t="s">
        <v>31528</v>
      </c>
      <c r="I115" t="s">
        <v>31529</v>
      </c>
      <c r="J115" t="s">
        <v>30655</v>
      </c>
      <c r="K115">
        <v>2019</v>
      </c>
      <c r="L115" s="1">
        <v>43637</v>
      </c>
      <c r="M115" t="s">
        <v>31530</v>
      </c>
      <c r="O115" t="s">
        <v>31531</v>
      </c>
    </row>
    <row r="116" spans="1:15" x14ac:dyDescent="0.15">
      <c r="A116">
        <v>28991298</v>
      </c>
      <c r="B116">
        <v>24141107</v>
      </c>
      <c r="D116">
        <v>33513083</v>
      </c>
      <c r="E116">
        <v>27939894</v>
      </c>
      <c r="F116" t="s">
        <v>31532</v>
      </c>
      <c r="G116" t="s">
        <v>31533</v>
      </c>
      <c r="H116" t="s">
        <v>31534</v>
      </c>
      <c r="I116" t="s">
        <v>31535</v>
      </c>
      <c r="J116" t="s">
        <v>31287</v>
      </c>
      <c r="K116">
        <v>2017</v>
      </c>
      <c r="L116" s="1">
        <v>42717</v>
      </c>
      <c r="O116" t="s">
        <v>31536</v>
      </c>
    </row>
    <row r="117" spans="1:15" x14ac:dyDescent="0.15">
      <c r="A117">
        <v>26272609</v>
      </c>
      <c r="B117">
        <v>31903745</v>
      </c>
      <c r="D117">
        <v>27956165</v>
      </c>
      <c r="E117">
        <v>21174588</v>
      </c>
      <c r="F117" t="s">
        <v>31549</v>
      </c>
      <c r="G117" t="s">
        <v>31550</v>
      </c>
      <c r="H117" t="s">
        <v>31551</v>
      </c>
      <c r="I117" t="s">
        <v>31552</v>
      </c>
      <c r="J117" t="s">
        <v>31553</v>
      </c>
      <c r="K117">
        <v>2011</v>
      </c>
      <c r="L117" s="1">
        <v>40535</v>
      </c>
      <c r="O117" t="s">
        <v>31554</v>
      </c>
    </row>
    <row r="118" spans="1:15" x14ac:dyDescent="0.15">
      <c r="A118">
        <v>31429552</v>
      </c>
      <c r="B118">
        <v>29787607</v>
      </c>
      <c r="D118">
        <v>34365576</v>
      </c>
      <c r="E118">
        <v>29023106</v>
      </c>
      <c r="F118" t="s">
        <v>31563</v>
      </c>
      <c r="G118" t="s">
        <v>31564</v>
      </c>
      <c r="H118" t="s">
        <v>31565</v>
      </c>
      <c r="I118" t="s">
        <v>31566</v>
      </c>
      <c r="J118" t="s">
        <v>31567</v>
      </c>
      <c r="K118">
        <v>2018</v>
      </c>
      <c r="L118" s="1">
        <v>43021</v>
      </c>
      <c r="M118" t="s">
        <v>31568</v>
      </c>
      <c r="N118" t="s">
        <v>31569</v>
      </c>
      <c r="O118" t="s">
        <v>31570</v>
      </c>
    </row>
    <row r="119" spans="1:15" x14ac:dyDescent="0.15">
      <c r="A119">
        <v>16857668</v>
      </c>
      <c r="B119">
        <v>31678172</v>
      </c>
      <c r="D119">
        <v>30234974</v>
      </c>
      <c r="E119">
        <v>26341056</v>
      </c>
      <c r="F119" t="s">
        <v>31573</v>
      </c>
      <c r="G119" t="s">
        <v>31574</v>
      </c>
      <c r="H119" t="s">
        <v>31575</v>
      </c>
      <c r="I119" t="s">
        <v>31576</v>
      </c>
      <c r="J119" t="s">
        <v>31577</v>
      </c>
      <c r="K119">
        <v>2016</v>
      </c>
      <c r="L119" s="1">
        <v>42253</v>
      </c>
      <c r="O119" t="s">
        <v>31578</v>
      </c>
    </row>
    <row r="120" spans="1:15" x14ac:dyDescent="0.15">
      <c r="A120">
        <v>17030615</v>
      </c>
      <c r="B120">
        <v>30793504</v>
      </c>
      <c r="D120">
        <v>33439673</v>
      </c>
      <c r="E120">
        <v>28077296</v>
      </c>
      <c r="F120" t="s">
        <v>31579</v>
      </c>
      <c r="G120" t="s">
        <v>31580</v>
      </c>
      <c r="H120" t="s">
        <v>31581</v>
      </c>
      <c r="I120" t="s">
        <v>31002</v>
      </c>
      <c r="J120" t="s">
        <v>31458</v>
      </c>
      <c r="K120">
        <v>2017</v>
      </c>
      <c r="L120" s="1">
        <v>42748</v>
      </c>
      <c r="O120" t="s">
        <v>31582</v>
      </c>
    </row>
    <row r="121" spans="1:15" x14ac:dyDescent="0.15">
      <c r="A121">
        <v>8806491</v>
      </c>
      <c r="B121">
        <v>26126838</v>
      </c>
      <c r="D121">
        <v>21172122</v>
      </c>
      <c r="E121">
        <v>34059908</v>
      </c>
      <c r="F121" t="s">
        <v>31583</v>
      </c>
      <c r="G121" t="s">
        <v>31584</v>
      </c>
      <c r="H121" t="s">
        <v>31585</v>
      </c>
      <c r="I121" t="s">
        <v>31586</v>
      </c>
      <c r="J121" t="s">
        <v>31587</v>
      </c>
      <c r="K121">
        <v>2021</v>
      </c>
      <c r="L121" s="1">
        <v>44348</v>
      </c>
      <c r="M121" t="s">
        <v>31588</v>
      </c>
      <c r="O121" t="s">
        <v>31589</v>
      </c>
    </row>
    <row r="122" spans="1:15" x14ac:dyDescent="0.15">
      <c r="A122">
        <v>31376716</v>
      </c>
      <c r="B122">
        <v>31684971</v>
      </c>
      <c r="D122">
        <v>35484557</v>
      </c>
      <c r="E122">
        <v>32219336</v>
      </c>
      <c r="F122" t="s">
        <v>31596</v>
      </c>
      <c r="G122" t="s">
        <v>31597</v>
      </c>
      <c r="H122" t="s">
        <v>31598</v>
      </c>
      <c r="I122" t="s">
        <v>31599</v>
      </c>
      <c r="J122" t="s">
        <v>31600</v>
      </c>
      <c r="K122">
        <v>2020</v>
      </c>
      <c r="L122" s="1">
        <v>43919</v>
      </c>
      <c r="O122" t="s">
        <v>31601</v>
      </c>
    </row>
    <row r="123" spans="1:15" x14ac:dyDescent="0.15">
      <c r="A123">
        <v>28751214</v>
      </c>
      <c r="B123">
        <v>28643865</v>
      </c>
      <c r="D123">
        <v>35757760</v>
      </c>
      <c r="E123">
        <v>25721810</v>
      </c>
      <c r="F123" t="s">
        <v>31602</v>
      </c>
      <c r="G123" t="s">
        <v>31603</v>
      </c>
      <c r="H123" t="s">
        <v>31604</v>
      </c>
      <c r="I123" t="s">
        <v>31605</v>
      </c>
      <c r="J123" t="s">
        <v>31458</v>
      </c>
      <c r="K123">
        <v>2015</v>
      </c>
      <c r="L123" s="1">
        <v>42063</v>
      </c>
      <c r="O123" t="s">
        <v>31606</v>
      </c>
    </row>
    <row r="124" spans="1:15" x14ac:dyDescent="0.15">
      <c r="A124">
        <v>8617320</v>
      </c>
      <c r="B124">
        <v>25934618</v>
      </c>
      <c r="D124">
        <v>34160894</v>
      </c>
      <c r="E124">
        <v>22082333</v>
      </c>
      <c r="F124" t="s">
        <v>31607</v>
      </c>
      <c r="G124" t="s">
        <v>31608</v>
      </c>
      <c r="H124" t="s">
        <v>31609</v>
      </c>
      <c r="I124" t="s">
        <v>31610</v>
      </c>
      <c r="J124" t="s">
        <v>31611</v>
      </c>
      <c r="K124">
        <v>2012</v>
      </c>
      <c r="L124" s="1">
        <v>40863</v>
      </c>
      <c r="O124" t="s">
        <v>31612</v>
      </c>
    </row>
    <row r="125" spans="1:15" x14ac:dyDescent="0.15">
      <c r="A125">
        <v>29582582</v>
      </c>
      <c r="B125">
        <v>33297857</v>
      </c>
      <c r="D125">
        <v>30301925</v>
      </c>
      <c r="E125">
        <v>32647095</v>
      </c>
      <c r="F125" t="s">
        <v>31613</v>
      </c>
      <c r="G125" t="s">
        <v>31614</v>
      </c>
      <c r="H125" t="s">
        <v>31615</v>
      </c>
      <c r="I125" t="s">
        <v>31616</v>
      </c>
      <c r="J125" t="s">
        <v>31617</v>
      </c>
      <c r="K125">
        <v>2020</v>
      </c>
      <c r="L125" s="1">
        <v>44023</v>
      </c>
      <c r="O125" t="s">
        <v>31618</v>
      </c>
    </row>
    <row r="126" spans="1:15" x14ac:dyDescent="0.15">
      <c r="A126">
        <v>31497265</v>
      </c>
      <c r="B126">
        <v>34111932</v>
      </c>
      <c r="D126">
        <v>25945690</v>
      </c>
      <c r="E126">
        <v>31325471</v>
      </c>
      <c r="F126" t="s">
        <v>31625</v>
      </c>
      <c r="G126" t="s">
        <v>31626</v>
      </c>
      <c r="H126" t="s">
        <v>31627</v>
      </c>
      <c r="I126" t="s">
        <v>31628</v>
      </c>
      <c r="J126" t="s">
        <v>31033</v>
      </c>
      <c r="K126">
        <v>2019</v>
      </c>
      <c r="L126" s="1">
        <v>43667</v>
      </c>
      <c r="O126" t="s">
        <v>31629</v>
      </c>
    </row>
    <row r="127" spans="1:15" x14ac:dyDescent="0.15">
      <c r="A127">
        <v>24631214</v>
      </c>
      <c r="B127">
        <v>29321591</v>
      </c>
      <c r="D127">
        <v>31167142</v>
      </c>
      <c r="E127">
        <v>33497388</v>
      </c>
      <c r="F127" t="s">
        <v>31635</v>
      </c>
      <c r="G127" t="s">
        <v>31636</v>
      </c>
      <c r="H127" t="s">
        <v>31637</v>
      </c>
      <c r="I127" t="s">
        <v>31638</v>
      </c>
      <c r="J127" t="s">
        <v>31639</v>
      </c>
      <c r="K127">
        <v>2021</v>
      </c>
      <c r="L127" s="1">
        <v>44222</v>
      </c>
      <c r="M127" t="s">
        <v>31640</v>
      </c>
      <c r="O127" t="s">
        <v>31641</v>
      </c>
    </row>
    <row r="128" spans="1:15" x14ac:dyDescent="0.15">
      <c r="A128">
        <v>26405199</v>
      </c>
      <c r="B128">
        <v>35673574</v>
      </c>
      <c r="D128">
        <v>25184951</v>
      </c>
      <c r="E128">
        <v>33944671</v>
      </c>
      <c r="F128" t="s">
        <v>31655</v>
      </c>
      <c r="G128" t="s">
        <v>31656</v>
      </c>
      <c r="H128" t="s">
        <v>31657</v>
      </c>
      <c r="I128" t="s">
        <v>31658</v>
      </c>
      <c r="J128" t="s">
        <v>31659</v>
      </c>
      <c r="K128">
        <v>2021</v>
      </c>
      <c r="L128" s="1">
        <v>44320</v>
      </c>
      <c r="M128" t="s">
        <v>31660</v>
      </c>
      <c r="O128" t="s">
        <v>31661</v>
      </c>
    </row>
    <row r="129" spans="1:15" x14ac:dyDescent="0.15">
      <c r="A129">
        <v>29221571</v>
      </c>
      <c r="B129">
        <v>30670543</v>
      </c>
      <c r="D129">
        <v>23430739</v>
      </c>
      <c r="E129">
        <v>32924276</v>
      </c>
      <c r="F129" t="s">
        <v>31667</v>
      </c>
      <c r="G129" t="s">
        <v>31668</v>
      </c>
      <c r="H129" t="s">
        <v>31669</v>
      </c>
      <c r="I129" t="s">
        <v>31670</v>
      </c>
      <c r="J129" t="s">
        <v>31671</v>
      </c>
      <c r="K129">
        <v>2020</v>
      </c>
      <c r="L129" s="1">
        <v>44088</v>
      </c>
      <c r="M129" t="s">
        <v>31672</v>
      </c>
      <c r="O129" t="s">
        <v>31673</v>
      </c>
    </row>
    <row r="130" spans="1:15" x14ac:dyDescent="0.15">
      <c r="A130">
        <v>31506601</v>
      </c>
      <c r="B130">
        <v>27959588</v>
      </c>
      <c r="D130">
        <v>21376534</v>
      </c>
      <c r="E130">
        <v>28832692</v>
      </c>
      <c r="F130" t="s">
        <v>31674</v>
      </c>
      <c r="G130" t="s">
        <v>31675</v>
      </c>
      <c r="H130" t="s">
        <v>31676</v>
      </c>
      <c r="I130" t="s">
        <v>31677</v>
      </c>
      <c r="J130" t="s">
        <v>31678</v>
      </c>
      <c r="K130">
        <v>2017</v>
      </c>
      <c r="L130" s="1">
        <v>42971</v>
      </c>
      <c r="M130" t="s">
        <v>31679</v>
      </c>
      <c r="N130" t="s">
        <v>31680</v>
      </c>
      <c r="O130" t="s">
        <v>31681</v>
      </c>
    </row>
    <row r="131" spans="1:15" x14ac:dyDescent="0.15">
      <c r="A131">
        <v>30316791</v>
      </c>
      <c r="B131">
        <v>35373518</v>
      </c>
      <c r="D131">
        <v>34984833</v>
      </c>
      <c r="E131">
        <v>24909737</v>
      </c>
      <c r="F131" t="s">
        <v>31682</v>
      </c>
      <c r="G131" t="s">
        <v>31683</v>
      </c>
      <c r="H131" t="s">
        <v>31684</v>
      </c>
      <c r="I131" t="s">
        <v>31027</v>
      </c>
      <c r="J131" t="s">
        <v>31685</v>
      </c>
      <c r="K131">
        <v>2014</v>
      </c>
      <c r="L131" s="1">
        <v>41800</v>
      </c>
      <c r="O131" t="s">
        <v>31686</v>
      </c>
    </row>
    <row r="132" spans="1:15" x14ac:dyDescent="0.15">
      <c r="A132">
        <v>28682421</v>
      </c>
      <c r="B132">
        <v>24576997</v>
      </c>
      <c r="D132">
        <v>23230278</v>
      </c>
      <c r="E132">
        <v>34158489</v>
      </c>
      <c r="F132" t="s">
        <v>31687</v>
      </c>
      <c r="G132" t="s">
        <v>31688</v>
      </c>
      <c r="H132" t="s">
        <v>31689</v>
      </c>
      <c r="I132" t="s">
        <v>31690</v>
      </c>
      <c r="J132" t="s">
        <v>30796</v>
      </c>
      <c r="K132">
        <v>2021</v>
      </c>
      <c r="L132" s="1">
        <v>44370</v>
      </c>
      <c r="M132" t="s">
        <v>31691</v>
      </c>
      <c r="O132" t="s">
        <v>31692</v>
      </c>
    </row>
    <row r="133" spans="1:15" x14ac:dyDescent="0.15">
      <c r="A133">
        <v>16225392</v>
      </c>
      <c r="B133">
        <v>32232575</v>
      </c>
      <c r="D133">
        <v>31331349</v>
      </c>
      <c r="E133">
        <v>31752198</v>
      </c>
      <c r="F133" t="s">
        <v>31693</v>
      </c>
      <c r="G133" t="s">
        <v>31694</v>
      </c>
      <c r="H133" t="s">
        <v>31695</v>
      </c>
      <c r="I133" t="s">
        <v>31696</v>
      </c>
      <c r="J133" t="s">
        <v>30655</v>
      </c>
      <c r="K133">
        <v>2019</v>
      </c>
      <c r="L133" s="1">
        <v>43792</v>
      </c>
      <c r="M133" t="s">
        <v>31697</v>
      </c>
      <c r="O133" t="s">
        <v>31698</v>
      </c>
    </row>
    <row r="134" spans="1:15" x14ac:dyDescent="0.15">
      <c r="A134">
        <v>30975894</v>
      </c>
      <c r="B134">
        <v>19146850</v>
      </c>
      <c r="D134">
        <v>25955720</v>
      </c>
      <c r="E134">
        <v>26156517</v>
      </c>
      <c r="F134" t="s">
        <v>31699</v>
      </c>
      <c r="G134" t="s">
        <v>31700</v>
      </c>
      <c r="H134" t="s">
        <v>31701</v>
      </c>
      <c r="I134" t="s">
        <v>31702</v>
      </c>
      <c r="J134" t="s">
        <v>31703</v>
      </c>
      <c r="K134">
        <v>2015</v>
      </c>
      <c r="L134" s="1">
        <v>42195</v>
      </c>
      <c r="M134" t="s">
        <v>31704</v>
      </c>
      <c r="O134" t="s">
        <v>31705</v>
      </c>
    </row>
    <row r="135" spans="1:15" x14ac:dyDescent="0.15">
      <c r="A135">
        <v>26733944</v>
      </c>
      <c r="B135">
        <v>32603406</v>
      </c>
      <c r="D135">
        <v>21835908</v>
      </c>
      <c r="E135">
        <v>30637729</v>
      </c>
      <c r="F135" t="s">
        <v>31706</v>
      </c>
      <c r="G135" t="s">
        <v>31707</v>
      </c>
      <c r="H135" t="s">
        <v>31708</v>
      </c>
      <c r="I135" t="s">
        <v>31709</v>
      </c>
      <c r="J135" t="s">
        <v>30847</v>
      </c>
      <c r="K135">
        <v>2019</v>
      </c>
      <c r="L135" s="1">
        <v>43480</v>
      </c>
      <c r="O135" t="s">
        <v>31710</v>
      </c>
    </row>
    <row r="136" spans="1:15" x14ac:dyDescent="0.15">
      <c r="A136">
        <v>28483695</v>
      </c>
      <c r="B136">
        <v>32912198</v>
      </c>
      <c r="D136">
        <v>24245560</v>
      </c>
      <c r="E136">
        <v>28816640</v>
      </c>
      <c r="F136" t="s">
        <v>31711</v>
      </c>
      <c r="G136" t="s">
        <v>31712</v>
      </c>
      <c r="H136" t="s">
        <v>31713</v>
      </c>
      <c r="I136" t="s">
        <v>31714</v>
      </c>
      <c r="J136" t="s">
        <v>31659</v>
      </c>
      <c r="K136">
        <v>2017</v>
      </c>
      <c r="L136" s="1">
        <v>42965</v>
      </c>
      <c r="M136" t="s">
        <v>31715</v>
      </c>
      <c r="O136" t="s">
        <v>31716</v>
      </c>
    </row>
    <row r="137" spans="1:15" x14ac:dyDescent="0.15">
      <c r="A137">
        <v>29302204</v>
      </c>
      <c r="B137">
        <v>32530449</v>
      </c>
      <c r="D137">
        <v>35467280</v>
      </c>
      <c r="E137">
        <v>33513776</v>
      </c>
      <c r="F137" t="s">
        <v>31717</v>
      </c>
      <c r="G137" t="s">
        <v>31718</v>
      </c>
      <c r="H137" t="s">
        <v>31719</v>
      </c>
      <c r="I137" t="s">
        <v>31720</v>
      </c>
      <c r="J137" t="s">
        <v>30816</v>
      </c>
      <c r="K137">
        <v>2021</v>
      </c>
      <c r="L137" s="1">
        <v>44226</v>
      </c>
      <c r="M137" t="s">
        <v>31721</v>
      </c>
      <c r="O137" t="s">
        <v>31722</v>
      </c>
    </row>
    <row r="138" spans="1:15" x14ac:dyDescent="0.15">
      <c r="A138">
        <v>14642889</v>
      </c>
      <c r="B138">
        <v>29550075</v>
      </c>
      <c r="D138">
        <v>23532734</v>
      </c>
      <c r="E138">
        <v>32134270</v>
      </c>
      <c r="F138" t="s">
        <v>31723</v>
      </c>
      <c r="G138" t="s">
        <v>31724</v>
      </c>
      <c r="H138" t="s">
        <v>31725</v>
      </c>
      <c r="I138" t="s">
        <v>31726</v>
      </c>
      <c r="J138" t="s">
        <v>30778</v>
      </c>
      <c r="K138">
        <v>2020</v>
      </c>
      <c r="L138" s="1">
        <v>43896</v>
      </c>
      <c r="O138" t="s">
        <v>31727</v>
      </c>
    </row>
    <row r="139" spans="1:15" x14ac:dyDescent="0.15">
      <c r="A139">
        <v>21880748</v>
      </c>
      <c r="B139">
        <v>32441840</v>
      </c>
      <c r="D139">
        <v>30775458</v>
      </c>
      <c r="E139">
        <v>31159859</v>
      </c>
      <c r="F139" t="s">
        <v>31728</v>
      </c>
      <c r="G139" t="s">
        <v>31729</v>
      </c>
      <c r="H139" t="s">
        <v>31730</v>
      </c>
      <c r="I139" t="s">
        <v>31731</v>
      </c>
      <c r="J139" t="s">
        <v>30740</v>
      </c>
      <c r="K139">
        <v>2019</v>
      </c>
      <c r="L139" s="1">
        <v>43621</v>
      </c>
      <c r="M139" t="s">
        <v>31732</v>
      </c>
      <c r="O139" t="s">
        <v>31733</v>
      </c>
    </row>
    <row r="140" spans="1:15" x14ac:dyDescent="0.15">
      <c r="A140">
        <v>28433888</v>
      </c>
      <c r="B140">
        <v>24398677</v>
      </c>
      <c r="D140">
        <v>23064154</v>
      </c>
      <c r="E140">
        <v>29376493</v>
      </c>
      <c r="F140" t="s">
        <v>31734</v>
      </c>
      <c r="G140" t="s">
        <v>31735</v>
      </c>
      <c r="H140" t="s">
        <v>31736</v>
      </c>
      <c r="I140" t="s">
        <v>31737</v>
      </c>
      <c r="J140" t="s">
        <v>31738</v>
      </c>
      <c r="K140">
        <v>2018</v>
      </c>
      <c r="L140" s="1">
        <v>43130</v>
      </c>
      <c r="O140" t="s">
        <v>31739</v>
      </c>
    </row>
    <row r="141" spans="1:15" x14ac:dyDescent="0.15">
      <c r="A141">
        <v>29305855</v>
      </c>
      <c r="B141">
        <v>30871557</v>
      </c>
      <c r="D141">
        <v>25815511</v>
      </c>
      <c r="E141">
        <v>20235276</v>
      </c>
      <c r="F141" t="s">
        <v>31747</v>
      </c>
      <c r="G141" t="s">
        <v>31748</v>
      </c>
      <c r="H141" t="s">
        <v>31749</v>
      </c>
      <c r="I141" t="s">
        <v>31750</v>
      </c>
      <c r="J141" t="s">
        <v>31751</v>
      </c>
      <c r="K141">
        <v>2010</v>
      </c>
      <c r="L141" s="1">
        <v>40255</v>
      </c>
      <c r="M141" t="s">
        <v>31752</v>
      </c>
      <c r="N141" t="s">
        <v>31753</v>
      </c>
      <c r="O141" t="s">
        <v>31754</v>
      </c>
    </row>
    <row r="142" spans="1:15" x14ac:dyDescent="0.15">
      <c r="A142">
        <v>30371719</v>
      </c>
      <c r="B142">
        <v>29512380</v>
      </c>
      <c r="D142">
        <v>32620067</v>
      </c>
      <c r="E142">
        <v>34289450</v>
      </c>
      <c r="F142" t="s">
        <v>31755</v>
      </c>
      <c r="G142" t="s">
        <v>31756</v>
      </c>
      <c r="H142" t="s">
        <v>31757</v>
      </c>
      <c r="I142" t="s">
        <v>31758</v>
      </c>
      <c r="J142" t="s">
        <v>31759</v>
      </c>
      <c r="K142">
        <v>2021</v>
      </c>
      <c r="L142" s="1">
        <v>44398</v>
      </c>
      <c r="M142" t="s">
        <v>31760</v>
      </c>
      <c r="O142" t="s">
        <v>31761</v>
      </c>
    </row>
    <row r="143" spans="1:15" x14ac:dyDescent="0.15">
      <c r="A143">
        <v>28684288</v>
      </c>
      <c r="B143">
        <v>24831807</v>
      </c>
      <c r="D143">
        <v>31043377</v>
      </c>
      <c r="E143">
        <v>28867585</v>
      </c>
      <c r="F143" t="s">
        <v>31762</v>
      </c>
      <c r="G143" t="s">
        <v>31763</v>
      </c>
      <c r="H143" t="s">
        <v>31764</v>
      </c>
      <c r="I143" t="s">
        <v>31765</v>
      </c>
      <c r="J143" t="s">
        <v>30901</v>
      </c>
      <c r="K143">
        <v>2017</v>
      </c>
      <c r="L143" s="1">
        <v>42983</v>
      </c>
      <c r="O143" t="s">
        <v>31766</v>
      </c>
    </row>
    <row r="144" spans="1:15" x14ac:dyDescent="0.15">
      <c r="A144">
        <v>32158519</v>
      </c>
      <c r="B144">
        <v>29139297</v>
      </c>
      <c r="D144">
        <v>24424840</v>
      </c>
      <c r="E144">
        <v>28321122</v>
      </c>
      <c r="F144" t="s">
        <v>31767</v>
      </c>
      <c r="G144" t="s">
        <v>31768</v>
      </c>
      <c r="H144" t="s">
        <v>31769</v>
      </c>
      <c r="I144" t="s">
        <v>31770</v>
      </c>
      <c r="J144" t="s">
        <v>31771</v>
      </c>
      <c r="K144">
        <v>2017</v>
      </c>
      <c r="L144" s="1">
        <v>42816</v>
      </c>
      <c r="O144" t="s">
        <v>31772</v>
      </c>
    </row>
    <row r="145" spans="1:15" x14ac:dyDescent="0.15">
      <c r="A145">
        <v>29483213</v>
      </c>
      <c r="B145">
        <v>33169756</v>
      </c>
      <c r="D145">
        <v>31734770</v>
      </c>
      <c r="E145">
        <v>26238497</v>
      </c>
      <c r="F145" t="s">
        <v>31786</v>
      </c>
      <c r="G145" t="s">
        <v>31787</v>
      </c>
      <c r="H145" t="s">
        <v>31788</v>
      </c>
      <c r="I145" t="s">
        <v>31789</v>
      </c>
      <c r="J145" t="s">
        <v>31790</v>
      </c>
      <c r="K145">
        <v>2015</v>
      </c>
      <c r="L145" s="1">
        <v>42221</v>
      </c>
      <c r="O145" t="s">
        <v>31791</v>
      </c>
    </row>
    <row r="146" spans="1:15" x14ac:dyDescent="0.15">
      <c r="A146">
        <v>24437924</v>
      </c>
      <c r="B146">
        <v>30265222</v>
      </c>
      <c r="D146">
        <v>31950173</v>
      </c>
      <c r="E146">
        <v>26350732</v>
      </c>
      <c r="F146" t="s">
        <v>31802</v>
      </c>
      <c r="G146" t="s">
        <v>31803</v>
      </c>
      <c r="H146" t="s">
        <v>31804</v>
      </c>
      <c r="I146" t="s">
        <v>31805</v>
      </c>
      <c r="J146" t="s">
        <v>31806</v>
      </c>
      <c r="K146">
        <v>2015</v>
      </c>
      <c r="L146" s="1">
        <v>42257</v>
      </c>
      <c r="O146" t="s">
        <v>31807</v>
      </c>
    </row>
    <row r="147" spans="1:15" x14ac:dyDescent="0.15">
      <c r="A147">
        <v>23750848</v>
      </c>
      <c r="B147">
        <v>26763354</v>
      </c>
      <c r="D147">
        <v>18802920</v>
      </c>
      <c r="E147">
        <v>30451032</v>
      </c>
      <c r="F147" t="s">
        <v>31812</v>
      </c>
      <c r="G147" t="s">
        <v>31813</v>
      </c>
      <c r="H147" t="s">
        <v>31814</v>
      </c>
      <c r="I147" t="s">
        <v>31815</v>
      </c>
      <c r="J147" t="s">
        <v>31816</v>
      </c>
      <c r="K147">
        <v>2019</v>
      </c>
      <c r="L147" s="1">
        <v>43424</v>
      </c>
      <c r="M147" t="s">
        <v>31817</v>
      </c>
      <c r="N147" t="s">
        <v>31818</v>
      </c>
      <c r="O147" t="s">
        <v>31819</v>
      </c>
    </row>
    <row r="148" spans="1:15" x14ac:dyDescent="0.15">
      <c r="A148">
        <v>32148013</v>
      </c>
      <c r="B148">
        <v>25772109</v>
      </c>
      <c r="D148">
        <v>22612287</v>
      </c>
      <c r="E148">
        <v>22713869</v>
      </c>
      <c r="F148" t="s">
        <v>31820</v>
      </c>
      <c r="G148" t="s">
        <v>31821</v>
      </c>
      <c r="H148" t="s">
        <v>31822</v>
      </c>
      <c r="I148" t="s">
        <v>31823</v>
      </c>
      <c r="J148" t="s">
        <v>31824</v>
      </c>
      <c r="K148">
        <v>2012</v>
      </c>
      <c r="L148" s="1">
        <v>41081</v>
      </c>
      <c r="M148" t="s">
        <v>31825</v>
      </c>
      <c r="O148" t="s">
        <v>31826</v>
      </c>
    </row>
    <row r="149" spans="1:15" x14ac:dyDescent="0.15">
      <c r="A149">
        <v>31048354</v>
      </c>
      <c r="B149">
        <v>29593276</v>
      </c>
      <c r="D149">
        <v>24873886</v>
      </c>
      <c r="E149">
        <v>30463593</v>
      </c>
      <c r="F149" t="s">
        <v>31837</v>
      </c>
      <c r="G149" t="s">
        <v>31838</v>
      </c>
      <c r="H149" t="s">
        <v>31839</v>
      </c>
      <c r="I149" t="s">
        <v>31840</v>
      </c>
      <c r="J149" t="s">
        <v>30740</v>
      </c>
      <c r="K149">
        <v>2018</v>
      </c>
      <c r="L149" s="1">
        <v>43427</v>
      </c>
      <c r="M149" t="s">
        <v>31841</v>
      </c>
      <c r="O149" t="s">
        <v>31842</v>
      </c>
    </row>
    <row r="150" spans="1:15" x14ac:dyDescent="0.15">
      <c r="A150">
        <v>23615201</v>
      </c>
      <c r="B150">
        <v>33844518</v>
      </c>
      <c r="D150">
        <v>23315742</v>
      </c>
      <c r="E150">
        <v>28069372</v>
      </c>
      <c r="F150" t="s">
        <v>31846</v>
      </c>
      <c r="G150" t="s">
        <v>31847</v>
      </c>
      <c r="H150" t="s">
        <v>31848</v>
      </c>
      <c r="I150" t="s">
        <v>31849</v>
      </c>
      <c r="J150" t="s">
        <v>31850</v>
      </c>
      <c r="K150">
        <v>2017</v>
      </c>
      <c r="L150" s="1">
        <v>42746</v>
      </c>
      <c r="M150" t="s">
        <v>31851</v>
      </c>
      <c r="N150" t="s">
        <v>31852</v>
      </c>
      <c r="O150" t="s">
        <v>31853</v>
      </c>
    </row>
    <row r="151" spans="1:15" x14ac:dyDescent="0.15">
      <c r="A151">
        <v>30291794</v>
      </c>
      <c r="B151">
        <v>31302031</v>
      </c>
      <c r="D151">
        <v>25339697</v>
      </c>
      <c r="E151">
        <v>28356006</v>
      </c>
      <c r="F151" t="s">
        <v>31854</v>
      </c>
      <c r="G151" t="s">
        <v>31855</v>
      </c>
      <c r="H151" t="s">
        <v>31856</v>
      </c>
      <c r="I151" t="s">
        <v>31857</v>
      </c>
      <c r="J151" t="s">
        <v>31858</v>
      </c>
      <c r="K151">
        <v>2017</v>
      </c>
      <c r="L151" s="1">
        <v>42825</v>
      </c>
      <c r="O151" t="s">
        <v>31859</v>
      </c>
    </row>
    <row r="152" spans="1:15" x14ac:dyDescent="0.15">
      <c r="A152">
        <v>32198406</v>
      </c>
      <c r="B152">
        <v>20428099</v>
      </c>
      <c r="D152">
        <v>34791687</v>
      </c>
      <c r="E152">
        <v>29146100</v>
      </c>
      <c r="F152" t="s">
        <v>31860</v>
      </c>
      <c r="G152" t="s">
        <v>31861</v>
      </c>
      <c r="H152" t="s">
        <v>31862</v>
      </c>
      <c r="I152" t="s">
        <v>31863</v>
      </c>
      <c r="J152" t="s">
        <v>30613</v>
      </c>
      <c r="K152">
        <v>2018</v>
      </c>
      <c r="L152" s="1">
        <v>43057</v>
      </c>
      <c r="O152" t="s">
        <v>31864</v>
      </c>
    </row>
    <row r="153" spans="1:15" x14ac:dyDescent="0.15">
      <c r="A153">
        <v>29986606</v>
      </c>
      <c r="B153">
        <v>34619318</v>
      </c>
      <c r="D153">
        <v>22505472</v>
      </c>
      <c r="E153">
        <v>27206554</v>
      </c>
      <c r="F153" t="s">
        <v>31865</v>
      </c>
      <c r="G153" t="s">
        <v>31866</v>
      </c>
      <c r="H153" t="s">
        <v>31867</v>
      </c>
      <c r="I153" t="s">
        <v>31868</v>
      </c>
      <c r="J153" t="s">
        <v>30668</v>
      </c>
      <c r="K153">
        <v>2016</v>
      </c>
      <c r="L153" s="1">
        <v>42512</v>
      </c>
      <c r="O153" t="s">
        <v>31869</v>
      </c>
    </row>
    <row r="154" spans="1:15" x14ac:dyDescent="0.15">
      <c r="A154">
        <v>30953539</v>
      </c>
      <c r="B154">
        <v>31162940</v>
      </c>
      <c r="D154">
        <v>21282980</v>
      </c>
      <c r="E154">
        <v>21318413</v>
      </c>
      <c r="F154" t="s">
        <v>31870</v>
      </c>
      <c r="G154" t="s">
        <v>31871</v>
      </c>
      <c r="H154" t="s">
        <v>31872</v>
      </c>
      <c r="I154" t="s">
        <v>31873</v>
      </c>
      <c r="J154" t="s">
        <v>31874</v>
      </c>
      <c r="K154">
        <v>2011</v>
      </c>
      <c r="L154" s="1">
        <v>40589</v>
      </c>
      <c r="O154" t="s">
        <v>31875</v>
      </c>
    </row>
    <row r="155" spans="1:15" x14ac:dyDescent="0.15">
      <c r="A155">
        <v>28060758</v>
      </c>
      <c r="B155">
        <v>35590035</v>
      </c>
      <c r="D155">
        <v>27557622</v>
      </c>
      <c r="E155">
        <v>23613619</v>
      </c>
      <c r="F155" t="s">
        <v>31876</v>
      </c>
      <c r="G155" t="s">
        <v>31877</v>
      </c>
      <c r="H155" t="s">
        <v>31878</v>
      </c>
      <c r="I155" t="s">
        <v>31879</v>
      </c>
      <c r="J155" t="s">
        <v>31880</v>
      </c>
      <c r="K155">
        <v>2013</v>
      </c>
      <c r="L155" s="1">
        <v>41389</v>
      </c>
      <c r="O155" t="s">
        <v>31881</v>
      </c>
    </row>
    <row r="156" spans="1:15" x14ac:dyDescent="0.15">
      <c r="A156">
        <v>30468828</v>
      </c>
      <c r="B156">
        <v>34772443</v>
      </c>
      <c r="D156">
        <v>21289488</v>
      </c>
      <c r="E156">
        <v>34051235</v>
      </c>
      <c r="F156" t="s">
        <v>31892</v>
      </c>
      <c r="G156" t="s">
        <v>31893</v>
      </c>
      <c r="H156" t="s">
        <v>31894</v>
      </c>
      <c r="I156" t="s">
        <v>31895</v>
      </c>
      <c r="J156" t="s">
        <v>31594</v>
      </c>
      <c r="K156">
        <v>2021</v>
      </c>
      <c r="L156" s="1">
        <v>44345</v>
      </c>
      <c r="M156" t="s">
        <v>31896</v>
      </c>
      <c r="O156" t="s">
        <v>31897</v>
      </c>
    </row>
    <row r="157" spans="1:15" x14ac:dyDescent="0.15">
      <c r="A157">
        <v>29016925</v>
      </c>
      <c r="B157">
        <v>28287705</v>
      </c>
      <c r="D157">
        <v>31551298</v>
      </c>
      <c r="E157">
        <v>31319228</v>
      </c>
      <c r="F157" t="s">
        <v>31898</v>
      </c>
      <c r="G157" t="s">
        <v>31899</v>
      </c>
      <c r="H157" t="s">
        <v>31900</v>
      </c>
      <c r="I157" t="s">
        <v>31901</v>
      </c>
      <c r="J157" t="s">
        <v>31902</v>
      </c>
      <c r="K157">
        <v>2019</v>
      </c>
      <c r="L157" s="1">
        <v>43665</v>
      </c>
      <c r="M157" t="s">
        <v>31903</v>
      </c>
      <c r="O157" t="s">
        <v>31904</v>
      </c>
    </row>
    <row r="158" spans="1:15" x14ac:dyDescent="0.15">
      <c r="A158">
        <v>24564699</v>
      </c>
      <c r="B158">
        <v>29715009</v>
      </c>
      <c r="D158">
        <v>23284625</v>
      </c>
      <c r="E158">
        <v>25220623</v>
      </c>
      <c r="F158" t="s">
        <v>31914</v>
      </c>
      <c r="G158" t="s">
        <v>31915</v>
      </c>
      <c r="H158" t="s">
        <v>31916</v>
      </c>
      <c r="I158" t="s">
        <v>31917</v>
      </c>
      <c r="J158" t="s">
        <v>31431</v>
      </c>
      <c r="K158">
        <v>2014</v>
      </c>
      <c r="L158" s="1">
        <v>41898</v>
      </c>
      <c r="M158" t="s">
        <v>31918</v>
      </c>
      <c r="N158" t="s">
        <v>31919</v>
      </c>
      <c r="O158" t="s">
        <v>31920</v>
      </c>
    </row>
    <row r="159" spans="1:15" x14ac:dyDescent="0.15">
      <c r="A159">
        <v>20976172</v>
      </c>
      <c r="B159">
        <v>35290034</v>
      </c>
      <c r="D159">
        <v>22786771</v>
      </c>
      <c r="E159">
        <v>34031263</v>
      </c>
      <c r="F159" t="s">
        <v>31924</v>
      </c>
      <c r="G159" t="s">
        <v>31925</v>
      </c>
      <c r="H159" t="s">
        <v>31926</v>
      </c>
      <c r="I159" t="s">
        <v>31927</v>
      </c>
      <c r="J159" t="s">
        <v>31759</v>
      </c>
      <c r="K159">
        <v>2021</v>
      </c>
      <c r="L159" s="1">
        <v>44341</v>
      </c>
      <c r="M159" t="s">
        <v>31928</v>
      </c>
      <c r="O159" t="s">
        <v>31929</v>
      </c>
    </row>
    <row r="160" spans="1:15" x14ac:dyDescent="0.15">
      <c r="A160">
        <v>10618640</v>
      </c>
      <c r="B160">
        <v>33867829</v>
      </c>
      <c r="D160">
        <v>20829609</v>
      </c>
      <c r="E160">
        <v>32292514</v>
      </c>
      <c r="F160" t="s">
        <v>31957</v>
      </c>
      <c r="G160" t="s">
        <v>31958</v>
      </c>
      <c r="H160" t="s">
        <v>31959</v>
      </c>
      <c r="I160" t="s">
        <v>31960</v>
      </c>
      <c r="J160" t="s">
        <v>30588</v>
      </c>
      <c r="K160">
        <v>2020</v>
      </c>
      <c r="L160" s="1">
        <v>43937</v>
      </c>
      <c r="M160" t="s">
        <v>31961</v>
      </c>
      <c r="O160" t="s">
        <v>31962</v>
      </c>
    </row>
    <row r="161" spans="1:15" x14ac:dyDescent="0.15">
      <c r="A161">
        <v>27437771</v>
      </c>
      <c r="B161">
        <v>30501880</v>
      </c>
      <c r="D161">
        <v>23358822</v>
      </c>
      <c r="E161">
        <v>24863262</v>
      </c>
      <c r="F161" t="s">
        <v>31972</v>
      </c>
      <c r="G161" t="s">
        <v>31973</v>
      </c>
      <c r="H161" t="s">
        <v>31974</v>
      </c>
      <c r="I161" t="s">
        <v>31857</v>
      </c>
      <c r="J161" t="s">
        <v>31685</v>
      </c>
      <c r="K161">
        <v>2014</v>
      </c>
      <c r="L161" s="1">
        <v>41787</v>
      </c>
      <c r="O161" t="s">
        <v>31975</v>
      </c>
    </row>
    <row r="162" spans="1:15" x14ac:dyDescent="0.15">
      <c r="A162">
        <v>31820935</v>
      </c>
      <c r="B162">
        <v>31478613</v>
      </c>
      <c r="D162">
        <v>24218614</v>
      </c>
      <c r="E162">
        <v>32089746</v>
      </c>
      <c r="F162" t="s">
        <v>31976</v>
      </c>
      <c r="G162" t="s">
        <v>31977</v>
      </c>
      <c r="H162" t="s">
        <v>31978</v>
      </c>
      <c r="I162" t="s">
        <v>31979</v>
      </c>
      <c r="J162" t="s">
        <v>30588</v>
      </c>
      <c r="K162">
        <v>2020</v>
      </c>
      <c r="L162" s="1">
        <v>43886</v>
      </c>
      <c r="M162" t="s">
        <v>31980</v>
      </c>
      <c r="O162" t="s">
        <v>31981</v>
      </c>
    </row>
    <row r="163" spans="1:15" x14ac:dyDescent="0.15">
      <c r="A163">
        <v>31200334</v>
      </c>
      <c r="B163">
        <v>28401635</v>
      </c>
      <c r="D163">
        <v>35688157</v>
      </c>
      <c r="E163">
        <v>33351957</v>
      </c>
      <c r="F163" t="s">
        <v>31982</v>
      </c>
      <c r="G163" t="s">
        <v>31983</v>
      </c>
      <c r="H163" t="s">
        <v>31984</v>
      </c>
      <c r="I163" t="s">
        <v>31985</v>
      </c>
      <c r="J163" t="s">
        <v>31986</v>
      </c>
      <c r="K163">
        <v>2021</v>
      </c>
      <c r="L163" s="1">
        <v>44187</v>
      </c>
      <c r="O163" t="s">
        <v>31987</v>
      </c>
    </row>
    <row r="164" spans="1:15" x14ac:dyDescent="0.15">
      <c r="A164" t="s">
        <v>74</v>
      </c>
      <c r="B164">
        <v>31681284</v>
      </c>
      <c r="D164">
        <v>23238453</v>
      </c>
      <c r="E164">
        <v>29580275</v>
      </c>
      <c r="F164" t="s">
        <v>31993</v>
      </c>
      <c r="G164" t="s">
        <v>31994</v>
      </c>
      <c r="H164" t="s">
        <v>31995</v>
      </c>
      <c r="I164" t="s">
        <v>31996</v>
      </c>
      <c r="J164" t="s">
        <v>31997</v>
      </c>
      <c r="K164">
        <v>2018</v>
      </c>
      <c r="L164" s="1">
        <v>43187</v>
      </c>
      <c r="M164" t="s">
        <v>31998</v>
      </c>
      <c r="O164" t="s">
        <v>31999</v>
      </c>
    </row>
    <row r="165" spans="1:15" x14ac:dyDescent="0.15">
      <c r="A165">
        <v>19390692</v>
      </c>
      <c r="B165">
        <v>35649159</v>
      </c>
      <c r="D165">
        <v>28410618</v>
      </c>
      <c r="E165">
        <v>32006463</v>
      </c>
      <c r="F165" t="s">
        <v>32018</v>
      </c>
      <c r="G165" t="s">
        <v>32019</v>
      </c>
      <c r="H165" t="s">
        <v>32020</v>
      </c>
      <c r="I165" t="s">
        <v>32021</v>
      </c>
      <c r="J165" t="s">
        <v>32022</v>
      </c>
      <c r="K165">
        <v>2020</v>
      </c>
      <c r="L165" s="1">
        <v>43863</v>
      </c>
      <c r="M165" t="s">
        <v>32023</v>
      </c>
      <c r="N165" t="s">
        <v>32024</v>
      </c>
      <c r="O165" t="s">
        <v>32025</v>
      </c>
    </row>
    <row r="166" spans="1:15" x14ac:dyDescent="0.15">
      <c r="A166">
        <v>28148795</v>
      </c>
      <c r="B166">
        <v>26488306</v>
      </c>
      <c r="D166">
        <v>33101266</v>
      </c>
      <c r="E166">
        <v>24250247</v>
      </c>
      <c r="F166" t="s">
        <v>32026</v>
      </c>
      <c r="G166" t="s">
        <v>32027</v>
      </c>
      <c r="H166" t="s">
        <v>32028</v>
      </c>
      <c r="I166" t="s">
        <v>32029</v>
      </c>
      <c r="J166" t="s">
        <v>31228</v>
      </c>
      <c r="K166">
        <v>2013</v>
      </c>
      <c r="L166" s="1">
        <v>41598</v>
      </c>
      <c r="M166" t="s">
        <v>32030</v>
      </c>
      <c r="O166" t="s">
        <v>32031</v>
      </c>
    </row>
    <row r="167" spans="1:15" x14ac:dyDescent="0.15">
      <c r="A167">
        <v>22539202</v>
      </c>
      <c r="B167">
        <v>35302760</v>
      </c>
      <c r="D167">
        <v>29567396</v>
      </c>
      <c r="E167">
        <v>26973197</v>
      </c>
      <c r="F167" t="s">
        <v>32049</v>
      </c>
      <c r="G167" t="s">
        <v>32050</v>
      </c>
      <c r="H167" t="s">
        <v>32051</v>
      </c>
      <c r="I167" t="s">
        <v>32052</v>
      </c>
      <c r="J167" t="s">
        <v>31806</v>
      </c>
      <c r="K167">
        <v>2016</v>
      </c>
      <c r="L167" s="1">
        <v>42444</v>
      </c>
      <c r="O167" t="s">
        <v>32053</v>
      </c>
    </row>
    <row r="168" spans="1:15" x14ac:dyDescent="0.15">
      <c r="A168">
        <v>29158318</v>
      </c>
      <c r="B168">
        <v>27013199</v>
      </c>
      <c r="D168">
        <v>34288927</v>
      </c>
      <c r="E168">
        <v>29950415</v>
      </c>
      <c r="F168" t="s">
        <v>32082</v>
      </c>
      <c r="G168" t="s">
        <v>32083</v>
      </c>
      <c r="H168" t="s">
        <v>32084</v>
      </c>
      <c r="I168" t="s">
        <v>32085</v>
      </c>
      <c r="J168" t="s">
        <v>31970</v>
      </c>
      <c r="K168">
        <v>2018</v>
      </c>
      <c r="L168" s="1">
        <v>43280</v>
      </c>
      <c r="M168" t="s">
        <v>32086</v>
      </c>
      <c r="O168" t="s">
        <v>32087</v>
      </c>
    </row>
    <row r="169" spans="1:15" x14ac:dyDescent="0.15">
      <c r="A169">
        <v>29500342</v>
      </c>
      <c r="B169">
        <v>19129916</v>
      </c>
      <c r="D169">
        <v>30499000</v>
      </c>
      <c r="E169">
        <v>30496349</v>
      </c>
      <c r="F169" t="s">
        <v>32088</v>
      </c>
      <c r="G169" t="s">
        <v>32089</v>
      </c>
      <c r="H169" t="s">
        <v>32090</v>
      </c>
      <c r="I169" t="s">
        <v>32091</v>
      </c>
      <c r="J169" t="s">
        <v>32092</v>
      </c>
      <c r="K169">
        <v>2019</v>
      </c>
      <c r="L169" s="1">
        <v>43434</v>
      </c>
      <c r="M169" t="s">
        <v>32093</v>
      </c>
      <c r="O169" t="s">
        <v>32094</v>
      </c>
    </row>
    <row r="170" spans="1:15" x14ac:dyDescent="0.15">
      <c r="A170">
        <v>27791108</v>
      </c>
      <c r="B170">
        <v>27036745</v>
      </c>
      <c r="D170">
        <v>27882925</v>
      </c>
      <c r="E170">
        <v>32020194</v>
      </c>
      <c r="F170" t="s">
        <v>32095</v>
      </c>
      <c r="G170" t="s">
        <v>32096</v>
      </c>
      <c r="H170" t="s">
        <v>32097</v>
      </c>
      <c r="I170" t="s">
        <v>32098</v>
      </c>
      <c r="J170" t="s">
        <v>31587</v>
      </c>
      <c r="K170">
        <v>2020</v>
      </c>
      <c r="L170" s="1">
        <v>43867</v>
      </c>
      <c r="M170" t="s">
        <v>32099</v>
      </c>
      <c r="O170" t="s">
        <v>32100</v>
      </c>
    </row>
    <row r="171" spans="1:15" x14ac:dyDescent="0.15">
      <c r="A171">
        <v>30177542</v>
      </c>
      <c r="B171">
        <v>35787656</v>
      </c>
      <c r="D171">
        <v>32444558</v>
      </c>
      <c r="E171">
        <v>35467282</v>
      </c>
      <c r="F171" t="s">
        <v>32101</v>
      </c>
      <c r="G171" t="s">
        <v>32102</v>
      </c>
      <c r="H171" t="s">
        <v>32103</v>
      </c>
      <c r="I171" t="s">
        <v>32104</v>
      </c>
      <c r="J171" t="s">
        <v>31003</v>
      </c>
      <c r="K171">
        <v>2022</v>
      </c>
      <c r="L171" s="1">
        <v>44676</v>
      </c>
      <c r="O171" t="s">
        <v>32105</v>
      </c>
    </row>
    <row r="172" spans="1:15" x14ac:dyDescent="0.15">
      <c r="A172">
        <v>25701498</v>
      </c>
      <c r="B172">
        <v>31469974</v>
      </c>
      <c r="D172">
        <v>28844893</v>
      </c>
      <c r="E172">
        <v>27293190</v>
      </c>
      <c r="F172" t="s">
        <v>32106</v>
      </c>
      <c r="G172" t="s">
        <v>32107</v>
      </c>
      <c r="H172" t="s">
        <v>32108</v>
      </c>
      <c r="I172" t="s">
        <v>32109</v>
      </c>
      <c r="J172" t="s">
        <v>30555</v>
      </c>
      <c r="K172">
        <v>2016</v>
      </c>
      <c r="L172" s="1">
        <v>42535</v>
      </c>
      <c r="M172" t="s">
        <v>32110</v>
      </c>
      <c r="N172" t="s">
        <v>32111</v>
      </c>
      <c r="O172" t="s">
        <v>32112</v>
      </c>
    </row>
    <row r="173" spans="1:15" x14ac:dyDescent="0.15">
      <c r="A173">
        <v>24034793</v>
      </c>
      <c r="B173">
        <v>25959588</v>
      </c>
      <c r="D173">
        <v>31553171</v>
      </c>
      <c r="E173">
        <v>31882820</v>
      </c>
      <c r="F173" t="s">
        <v>32115</v>
      </c>
      <c r="G173" t="s">
        <v>32116</v>
      </c>
      <c r="H173" t="s">
        <v>32117</v>
      </c>
      <c r="I173" t="s">
        <v>32118</v>
      </c>
      <c r="J173" t="s">
        <v>30834</v>
      </c>
      <c r="K173">
        <v>2019</v>
      </c>
      <c r="L173" s="1">
        <v>43828</v>
      </c>
      <c r="M173" t="s">
        <v>32119</v>
      </c>
      <c r="O173" t="s">
        <v>32120</v>
      </c>
    </row>
    <row r="174" spans="1:15" x14ac:dyDescent="0.15">
      <c r="A174">
        <v>31486634</v>
      </c>
      <c r="B174">
        <v>29073095</v>
      </c>
      <c r="D174">
        <v>33454965</v>
      </c>
      <c r="E174">
        <v>33897698</v>
      </c>
      <c r="F174" t="s">
        <v>32130</v>
      </c>
      <c r="G174" t="s">
        <v>32131</v>
      </c>
      <c r="H174" t="s">
        <v>32132</v>
      </c>
      <c r="I174" t="s">
        <v>32133</v>
      </c>
      <c r="J174" t="s">
        <v>30713</v>
      </c>
      <c r="K174">
        <v>2021</v>
      </c>
      <c r="L174" s="1">
        <v>44312</v>
      </c>
      <c r="M174" t="s">
        <v>32134</v>
      </c>
      <c r="O174" t="s">
        <v>32135</v>
      </c>
    </row>
    <row r="175" spans="1:15" x14ac:dyDescent="0.15">
      <c r="A175">
        <v>21132466</v>
      </c>
      <c r="B175">
        <v>26598621</v>
      </c>
      <c r="D175">
        <v>21248205</v>
      </c>
      <c r="E175">
        <v>33513083</v>
      </c>
      <c r="F175" t="s">
        <v>32151</v>
      </c>
      <c r="G175" t="s">
        <v>32152</v>
      </c>
      <c r="H175" t="s">
        <v>32153</v>
      </c>
      <c r="I175" t="s">
        <v>32154</v>
      </c>
      <c r="J175" t="s">
        <v>30945</v>
      </c>
      <c r="K175">
        <v>2021</v>
      </c>
      <c r="L175" s="1">
        <v>44225</v>
      </c>
      <c r="M175" t="s">
        <v>32155</v>
      </c>
      <c r="O175" t="s">
        <v>32156</v>
      </c>
    </row>
    <row r="176" spans="1:15" x14ac:dyDescent="0.15">
      <c r="A176">
        <v>23022668</v>
      </c>
      <c r="B176">
        <v>35104460</v>
      </c>
      <c r="D176">
        <v>22238051</v>
      </c>
      <c r="E176">
        <v>31086179</v>
      </c>
      <c r="F176" t="s">
        <v>32187</v>
      </c>
      <c r="G176" t="s">
        <v>32188</v>
      </c>
      <c r="H176" t="s">
        <v>32189</v>
      </c>
      <c r="I176" t="s">
        <v>32190</v>
      </c>
      <c r="J176" t="s">
        <v>30796</v>
      </c>
      <c r="K176">
        <v>2019</v>
      </c>
      <c r="L176" s="1">
        <v>43601</v>
      </c>
      <c r="M176" t="s">
        <v>32191</v>
      </c>
      <c r="O176" t="s">
        <v>32192</v>
      </c>
    </row>
    <row r="177" spans="1:15" x14ac:dyDescent="0.15">
      <c r="A177">
        <v>29343810</v>
      </c>
      <c r="B177">
        <v>35217095</v>
      </c>
      <c r="D177">
        <v>32101730</v>
      </c>
      <c r="E177">
        <v>34506226</v>
      </c>
      <c r="F177" t="s">
        <v>32200</v>
      </c>
      <c r="G177" t="s">
        <v>32201</v>
      </c>
      <c r="H177" t="s">
        <v>32202</v>
      </c>
      <c r="I177" t="s">
        <v>32203</v>
      </c>
      <c r="J177" t="s">
        <v>30945</v>
      </c>
      <c r="K177">
        <v>2021</v>
      </c>
      <c r="L177" s="1">
        <v>44449</v>
      </c>
      <c r="O177" t="s">
        <v>32204</v>
      </c>
    </row>
    <row r="178" spans="1:15" x14ac:dyDescent="0.15">
      <c r="A178">
        <v>19180118</v>
      </c>
      <c r="B178">
        <v>25301203</v>
      </c>
      <c r="D178">
        <v>28669749</v>
      </c>
      <c r="E178">
        <v>32725655</v>
      </c>
      <c r="F178" t="s">
        <v>32215</v>
      </c>
      <c r="G178" t="s">
        <v>32216</v>
      </c>
      <c r="H178" t="s">
        <v>32217</v>
      </c>
      <c r="I178" t="s">
        <v>32218</v>
      </c>
      <c r="J178" t="s">
        <v>32219</v>
      </c>
      <c r="K178">
        <v>2021</v>
      </c>
      <c r="L178" s="1">
        <v>44042</v>
      </c>
      <c r="O178" t="s">
        <v>32220</v>
      </c>
    </row>
    <row r="179" spans="1:15" x14ac:dyDescent="0.15">
      <c r="A179">
        <v>18328526</v>
      </c>
      <c r="B179">
        <v>31441580</v>
      </c>
      <c r="D179">
        <v>22438260</v>
      </c>
      <c r="E179">
        <v>27956165</v>
      </c>
      <c r="F179" t="s">
        <v>32230</v>
      </c>
      <c r="G179" t="s">
        <v>32231</v>
      </c>
      <c r="H179" t="s">
        <v>32232</v>
      </c>
      <c r="I179" t="s">
        <v>32233</v>
      </c>
      <c r="J179" t="s">
        <v>31458</v>
      </c>
      <c r="K179">
        <v>2017</v>
      </c>
      <c r="L179" s="1">
        <v>42718</v>
      </c>
      <c r="M179" t="s">
        <v>32234</v>
      </c>
      <c r="N179" t="s">
        <v>32235</v>
      </c>
      <c r="O179" t="s">
        <v>32236</v>
      </c>
    </row>
    <row r="180" spans="1:15" x14ac:dyDescent="0.15">
      <c r="A180">
        <v>27047249</v>
      </c>
      <c r="B180">
        <v>35301052</v>
      </c>
      <c r="D180">
        <v>22770246</v>
      </c>
      <c r="E180">
        <v>35731951</v>
      </c>
      <c r="F180" t="s">
        <v>32237</v>
      </c>
      <c r="G180" t="s">
        <v>32238</v>
      </c>
      <c r="H180" t="s">
        <v>32239</v>
      </c>
      <c r="I180" t="s">
        <v>32240</v>
      </c>
      <c r="J180" t="s">
        <v>32241</v>
      </c>
      <c r="K180">
        <v>2022</v>
      </c>
      <c r="L180" s="1">
        <v>44734</v>
      </c>
      <c r="O180" t="s">
        <v>32242</v>
      </c>
    </row>
    <row r="181" spans="1:15" x14ac:dyDescent="0.15">
      <c r="A181">
        <v>30526536</v>
      </c>
      <c r="B181">
        <v>27723556</v>
      </c>
      <c r="D181">
        <v>24259003</v>
      </c>
      <c r="E181">
        <v>26285688</v>
      </c>
      <c r="F181" t="s">
        <v>32247</v>
      </c>
      <c r="G181" t="s">
        <v>32248</v>
      </c>
      <c r="H181" t="s">
        <v>32249</v>
      </c>
      <c r="I181" t="s">
        <v>32250</v>
      </c>
      <c r="J181" t="s">
        <v>30834</v>
      </c>
      <c r="K181">
        <v>2015</v>
      </c>
      <c r="L181" s="1">
        <v>42236</v>
      </c>
      <c r="M181" t="s">
        <v>32251</v>
      </c>
      <c r="O181" t="s">
        <v>32252</v>
      </c>
    </row>
    <row r="182" spans="1:15" x14ac:dyDescent="0.15">
      <c r="A182">
        <v>30509943</v>
      </c>
      <c r="B182">
        <v>31318684</v>
      </c>
      <c r="D182">
        <v>31456107</v>
      </c>
      <c r="E182">
        <v>34365576</v>
      </c>
      <c r="F182" t="s">
        <v>32265</v>
      </c>
      <c r="G182" t="s">
        <v>32266</v>
      </c>
      <c r="H182" t="s">
        <v>32267</v>
      </c>
      <c r="I182" t="s">
        <v>32268</v>
      </c>
      <c r="J182" t="s">
        <v>32269</v>
      </c>
      <c r="K182">
        <v>2022</v>
      </c>
      <c r="L182" s="1">
        <v>44416</v>
      </c>
      <c r="M182" t="s">
        <v>32270</v>
      </c>
      <c r="O182" t="s">
        <v>32271</v>
      </c>
    </row>
    <row r="183" spans="1:15" x14ac:dyDescent="0.15">
      <c r="A183">
        <v>27500388</v>
      </c>
      <c r="B183">
        <v>32148013</v>
      </c>
      <c r="D183">
        <v>33538116</v>
      </c>
      <c r="E183">
        <v>24785274</v>
      </c>
      <c r="F183" t="s">
        <v>32284</v>
      </c>
      <c r="G183" t="s">
        <v>32285</v>
      </c>
      <c r="H183" t="s">
        <v>32286</v>
      </c>
      <c r="I183" t="s">
        <v>32287</v>
      </c>
      <c r="J183" t="s">
        <v>32288</v>
      </c>
      <c r="K183">
        <v>2014</v>
      </c>
      <c r="L183" s="1">
        <v>41762</v>
      </c>
    </row>
    <row r="184" spans="1:15" x14ac:dyDescent="0.15">
      <c r="A184">
        <v>27286649</v>
      </c>
      <c r="B184">
        <v>20480522</v>
      </c>
      <c r="D184">
        <v>28383029</v>
      </c>
      <c r="E184">
        <v>30234974</v>
      </c>
      <c r="F184" t="s">
        <v>32289</v>
      </c>
      <c r="G184" t="s">
        <v>32290</v>
      </c>
      <c r="H184" t="s">
        <v>32291</v>
      </c>
      <c r="I184" t="s">
        <v>32292</v>
      </c>
      <c r="J184" t="s">
        <v>30956</v>
      </c>
      <c r="K184">
        <v>2018</v>
      </c>
      <c r="L184" s="1">
        <v>43364</v>
      </c>
      <c r="O184" t="s">
        <v>32293</v>
      </c>
    </row>
    <row r="185" spans="1:15" x14ac:dyDescent="0.15">
      <c r="A185">
        <v>7918455</v>
      </c>
      <c r="B185">
        <v>29291399</v>
      </c>
      <c r="D185">
        <v>35320943</v>
      </c>
      <c r="E185">
        <v>33439673</v>
      </c>
      <c r="F185" t="s">
        <v>32294</v>
      </c>
      <c r="G185" t="s">
        <v>32295</v>
      </c>
      <c r="H185" t="s">
        <v>32296</v>
      </c>
      <c r="I185" t="s">
        <v>32297</v>
      </c>
      <c r="J185" t="s">
        <v>32298</v>
      </c>
      <c r="K185">
        <v>2021</v>
      </c>
      <c r="L185" s="1">
        <v>44209</v>
      </c>
      <c r="M185" t="s">
        <v>32299</v>
      </c>
      <c r="O185" t="s">
        <v>32300</v>
      </c>
    </row>
    <row r="186" spans="1:15" x14ac:dyDescent="0.15">
      <c r="A186">
        <v>30305607</v>
      </c>
      <c r="B186">
        <v>28433888</v>
      </c>
      <c r="D186">
        <v>33047121</v>
      </c>
      <c r="E186">
        <v>21172122</v>
      </c>
      <c r="F186" t="s">
        <v>32301</v>
      </c>
      <c r="G186" t="s">
        <v>32302</v>
      </c>
      <c r="H186" t="s">
        <v>32303</v>
      </c>
      <c r="I186" t="s">
        <v>32304</v>
      </c>
      <c r="J186" t="s">
        <v>32305</v>
      </c>
      <c r="K186">
        <v>2011</v>
      </c>
      <c r="L186" s="1">
        <v>40534</v>
      </c>
      <c r="O186" t="s">
        <v>32306</v>
      </c>
    </row>
    <row r="187" spans="1:15" x14ac:dyDescent="0.15">
      <c r="A187" t="s">
        <v>74</v>
      </c>
      <c r="B187">
        <v>25650727</v>
      </c>
      <c r="D187">
        <v>30537027</v>
      </c>
      <c r="E187">
        <v>31495861</v>
      </c>
      <c r="F187" t="s">
        <v>32307</v>
      </c>
      <c r="G187" t="s">
        <v>32308</v>
      </c>
      <c r="H187" t="s">
        <v>32309</v>
      </c>
      <c r="I187" t="s">
        <v>32310</v>
      </c>
      <c r="J187" t="s">
        <v>31678</v>
      </c>
      <c r="K187">
        <v>2019</v>
      </c>
      <c r="L187" s="1">
        <v>43718</v>
      </c>
      <c r="O187" t="s">
        <v>32311</v>
      </c>
    </row>
    <row r="188" spans="1:15" x14ac:dyDescent="0.15">
      <c r="A188">
        <v>32753598</v>
      </c>
      <c r="B188">
        <v>28858636</v>
      </c>
      <c r="D188">
        <v>33633746</v>
      </c>
      <c r="E188">
        <v>35484557</v>
      </c>
      <c r="F188" t="s">
        <v>32333</v>
      </c>
      <c r="G188" t="s">
        <v>32334</v>
      </c>
      <c r="H188" t="s">
        <v>32335</v>
      </c>
      <c r="I188" t="s">
        <v>32336</v>
      </c>
      <c r="J188" t="s">
        <v>31304</v>
      </c>
      <c r="K188">
        <v>2022</v>
      </c>
      <c r="L188" s="1">
        <v>44679</v>
      </c>
      <c r="M188" t="s">
        <v>32337</v>
      </c>
      <c r="O188" t="s">
        <v>32338</v>
      </c>
    </row>
    <row r="189" spans="1:15" x14ac:dyDescent="0.15">
      <c r="A189">
        <v>27166683</v>
      </c>
      <c r="B189">
        <v>28828675</v>
      </c>
      <c r="D189">
        <v>31511614</v>
      </c>
      <c r="E189">
        <v>35757760</v>
      </c>
      <c r="F189" t="s">
        <v>32359</v>
      </c>
      <c r="G189" t="s">
        <v>32360</v>
      </c>
      <c r="H189" t="s">
        <v>32361</v>
      </c>
      <c r="I189" t="s">
        <v>32362</v>
      </c>
      <c r="J189" t="s">
        <v>30713</v>
      </c>
      <c r="K189">
        <v>2022</v>
      </c>
      <c r="L189" s="1">
        <v>44739</v>
      </c>
      <c r="M189" t="s">
        <v>32363</v>
      </c>
      <c r="O189" t="s">
        <v>32364</v>
      </c>
    </row>
    <row r="190" spans="1:15" x14ac:dyDescent="0.15">
      <c r="A190">
        <v>29590649</v>
      </c>
      <c r="B190">
        <v>35233930</v>
      </c>
      <c r="D190">
        <v>34987478</v>
      </c>
      <c r="E190">
        <v>34160894</v>
      </c>
      <c r="F190" t="s">
        <v>32369</v>
      </c>
      <c r="G190" t="s">
        <v>32370</v>
      </c>
      <c r="H190" t="s">
        <v>32371</v>
      </c>
      <c r="I190" t="s">
        <v>31180</v>
      </c>
      <c r="J190" t="s">
        <v>31671</v>
      </c>
      <c r="K190">
        <v>2021</v>
      </c>
      <c r="L190" s="1">
        <v>44370</v>
      </c>
      <c r="M190" t="s">
        <v>32372</v>
      </c>
      <c r="O190" t="s">
        <v>32373</v>
      </c>
    </row>
    <row r="191" spans="1:15" x14ac:dyDescent="0.15">
      <c r="A191">
        <v>24576997</v>
      </c>
      <c r="B191">
        <v>22539202</v>
      </c>
      <c r="D191">
        <v>30476045</v>
      </c>
      <c r="E191">
        <v>30301925</v>
      </c>
      <c r="F191" t="s">
        <v>32383</v>
      </c>
      <c r="G191" t="s">
        <v>32384</v>
      </c>
      <c r="H191" t="s">
        <v>32385</v>
      </c>
      <c r="I191" t="s">
        <v>32386</v>
      </c>
      <c r="J191" t="s">
        <v>30834</v>
      </c>
      <c r="K191">
        <v>2018</v>
      </c>
      <c r="L191" s="1">
        <v>43384</v>
      </c>
      <c r="M191" t="s">
        <v>32387</v>
      </c>
      <c r="O191" t="s">
        <v>32388</v>
      </c>
    </row>
    <row r="192" spans="1:15" x14ac:dyDescent="0.15">
      <c r="A192">
        <v>31320822</v>
      </c>
      <c r="B192">
        <v>29534966</v>
      </c>
      <c r="D192">
        <v>30467990</v>
      </c>
      <c r="E192">
        <v>22025668</v>
      </c>
      <c r="F192" t="s">
        <v>32406</v>
      </c>
      <c r="G192" t="s">
        <v>32407</v>
      </c>
      <c r="H192" t="s">
        <v>32408</v>
      </c>
      <c r="I192" t="s">
        <v>32409</v>
      </c>
      <c r="J192" t="s">
        <v>32410</v>
      </c>
      <c r="K192">
        <v>2011</v>
      </c>
      <c r="L192" s="1">
        <v>40842</v>
      </c>
      <c r="M192" t="s">
        <v>32411</v>
      </c>
      <c r="O192" t="s">
        <v>32412</v>
      </c>
    </row>
    <row r="193" spans="1:15" x14ac:dyDescent="0.15">
      <c r="A193">
        <v>30010165</v>
      </c>
      <c r="B193">
        <v>24816817</v>
      </c>
      <c r="D193">
        <v>33713701</v>
      </c>
      <c r="E193">
        <v>30734479</v>
      </c>
      <c r="F193" t="s">
        <v>32413</v>
      </c>
      <c r="G193" t="s">
        <v>32414</v>
      </c>
      <c r="H193" t="s">
        <v>32415</v>
      </c>
      <c r="I193" t="s">
        <v>32416</v>
      </c>
      <c r="J193" t="s">
        <v>30763</v>
      </c>
      <c r="K193">
        <v>2019</v>
      </c>
      <c r="L193" s="1">
        <v>43505</v>
      </c>
      <c r="O193" t="s">
        <v>32417</v>
      </c>
    </row>
    <row r="194" spans="1:15" x14ac:dyDescent="0.15">
      <c r="A194">
        <v>29484678</v>
      </c>
      <c r="B194">
        <v>25713383</v>
      </c>
      <c r="D194">
        <v>30928427</v>
      </c>
      <c r="E194">
        <v>25945690</v>
      </c>
      <c r="F194" t="s">
        <v>32429</v>
      </c>
      <c r="G194" t="s">
        <v>32430</v>
      </c>
      <c r="H194" t="s">
        <v>32431</v>
      </c>
      <c r="I194" t="s">
        <v>32432</v>
      </c>
      <c r="J194" t="s">
        <v>32433</v>
      </c>
      <c r="K194">
        <v>2015</v>
      </c>
      <c r="L194" s="1">
        <v>42131</v>
      </c>
      <c r="M194" t="s">
        <v>32434</v>
      </c>
      <c r="O194" t="s">
        <v>32435</v>
      </c>
    </row>
    <row r="195" spans="1:15" x14ac:dyDescent="0.15">
      <c r="A195">
        <v>29858571</v>
      </c>
      <c r="B195">
        <v>35398304</v>
      </c>
      <c r="D195">
        <v>23873874</v>
      </c>
      <c r="E195">
        <v>29686075</v>
      </c>
      <c r="F195" t="s">
        <v>32436</v>
      </c>
      <c r="G195" t="s">
        <v>32437</v>
      </c>
      <c r="H195" t="s">
        <v>32438</v>
      </c>
      <c r="I195" t="s">
        <v>32439</v>
      </c>
      <c r="J195" t="s">
        <v>30767</v>
      </c>
      <c r="K195">
        <v>2018</v>
      </c>
      <c r="L195" s="1">
        <v>43215</v>
      </c>
      <c r="M195" t="s">
        <v>32440</v>
      </c>
      <c r="O195" t="s">
        <v>32441</v>
      </c>
    </row>
    <row r="196" spans="1:15" x14ac:dyDescent="0.15">
      <c r="A196">
        <v>31614072</v>
      </c>
      <c r="B196">
        <v>32386350</v>
      </c>
      <c r="D196">
        <v>33860784</v>
      </c>
      <c r="E196">
        <v>31167142</v>
      </c>
      <c r="F196" t="s">
        <v>32442</v>
      </c>
      <c r="G196" t="s">
        <v>32443</v>
      </c>
      <c r="H196" t="s">
        <v>32444</v>
      </c>
      <c r="I196" t="s">
        <v>32445</v>
      </c>
      <c r="J196" t="s">
        <v>31376</v>
      </c>
      <c r="K196">
        <v>2019</v>
      </c>
      <c r="L196" s="1">
        <v>43622</v>
      </c>
      <c r="M196" t="s">
        <v>32446</v>
      </c>
      <c r="N196" t="s">
        <v>32447</v>
      </c>
      <c r="O196" t="s">
        <v>32448</v>
      </c>
    </row>
    <row r="197" spans="1:15" x14ac:dyDescent="0.15">
      <c r="A197">
        <v>26918437</v>
      </c>
      <c r="B197">
        <v>24146982</v>
      </c>
      <c r="D197">
        <v>32442760</v>
      </c>
      <c r="E197">
        <v>21618878</v>
      </c>
      <c r="F197" t="s">
        <v>32449</v>
      </c>
      <c r="G197" t="s">
        <v>32450</v>
      </c>
      <c r="H197" t="s">
        <v>32451</v>
      </c>
      <c r="I197" t="s">
        <v>32452</v>
      </c>
      <c r="J197" t="s">
        <v>31023</v>
      </c>
      <c r="K197">
        <v>2010</v>
      </c>
      <c r="L197" s="1">
        <v>40694</v>
      </c>
    </row>
    <row r="198" spans="1:15" x14ac:dyDescent="0.15">
      <c r="A198">
        <v>27824343</v>
      </c>
      <c r="B198">
        <v>34847299</v>
      </c>
      <c r="D198">
        <v>32004570</v>
      </c>
      <c r="E198">
        <v>23555312</v>
      </c>
      <c r="F198" t="s">
        <v>32466</v>
      </c>
      <c r="G198" t="s">
        <v>32467</v>
      </c>
      <c r="H198" t="s">
        <v>32468</v>
      </c>
      <c r="I198" t="s">
        <v>32469</v>
      </c>
      <c r="J198" t="s">
        <v>32470</v>
      </c>
      <c r="K198">
        <v>2013</v>
      </c>
      <c r="L198" s="1">
        <v>41369</v>
      </c>
      <c r="M198" t="s">
        <v>32471</v>
      </c>
      <c r="O198" t="s">
        <v>32472</v>
      </c>
    </row>
    <row r="199" spans="1:15" x14ac:dyDescent="0.15">
      <c r="A199">
        <v>27259562</v>
      </c>
      <c r="B199">
        <v>35715382</v>
      </c>
      <c r="D199">
        <v>32089744</v>
      </c>
      <c r="E199">
        <v>33025277</v>
      </c>
      <c r="F199" t="s">
        <v>32485</v>
      </c>
      <c r="G199" t="s">
        <v>32486</v>
      </c>
      <c r="H199" t="s">
        <v>32487</v>
      </c>
      <c r="I199" t="s">
        <v>32488</v>
      </c>
      <c r="J199" t="s">
        <v>32214</v>
      </c>
      <c r="K199">
        <v>2020</v>
      </c>
      <c r="L199" s="1">
        <v>44111</v>
      </c>
      <c r="O199" t="s">
        <v>32489</v>
      </c>
    </row>
    <row r="200" spans="1:15" x14ac:dyDescent="0.15">
      <c r="A200">
        <v>27417393</v>
      </c>
      <c r="B200">
        <v>34897815</v>
      </c>
      <c r="D200">
        <v>35830762</v>
      </c>
      <c r="E200">
        <v>32518284</v>
      </c>
      <c r="F200" t="s">
        <v>32494</v>
      </c>
      <c r="G200" t="s">
        <v>32495</v>
      </c>
      <c r="H200" t="s">
        <v>32496</v>
      </c>
      <c r="I200" t="s">
        <v>32497</v>
      </c>
      <c r="J200" t="s">
        <v>30834</v>
      </c>
      <c r="K200">
        <v>2020</v>
      </c>
      <c r="L200" s="1">
        <v>43993</v>
      </c>
      <c r="M200" t="s">
        <v>32498</v>
      </c>
      <c r="O200" t="s">
        <v>32499</v>
      </c>
    </row>
    <row r="201" spans="1:15" x14ac:dyDescent="0.15">
      <c r="A201">
        <v>26503143</v>
      </c>
      <c r="B201">
        <v>24662828</v>
      </c>
      <c r="D201">
        <v>29086374</v>
      </c>
      <c r="E201">
        <v>25184951</v>
      </c>
      <c r="F201" t="s">
        <v>32505</v>
      </c>
      <c r="G201" t="s">
        <v>32506</v>
      </c>
      <c r="H201" t="s">
        <v>32507</v>
      </c>
      <c r="I201" t="s">
        <v>32508</v>
      </c>
      <c r="J201" t="s">
        <v>32509</v>
      </c>
      <c r="K201">
        <v>2014</v>
      </c>
      <c r="L201" s="1">
        <v>41886</v>
      </c>
      <c r="M201" t="s">
        <v>32510</v>
      </c>
      <c r="O201" t="s">
        <v>32511</v>
      </c>
    </row>
    <row r="202" spans="1:15" x14ac:dyDescent="0.15">
      <c r="A202">
        <v>20702627</v>
      </c>
      <c r="B202">
        <v>29973048</v>
      </c>
      <c r="D202">
        <v>22683267</v>
      </c>
      <c r="E202">
        <v>23774836</v>
      </c>
      <c r="F202" t="s">
        <v>32516</v>
      </c>
      <c r="G202" t="s">
        <v>32517</v>
      </c>
      <c r="H202" t="s">
        <v>32518</v>
      </c>
      <c r="I202" t="s">
        <v>32519</v>
      </c>
      <c r="J202" t="s">
        <v>32509</v>
      </c>
      <c r="K202">
        <v>2013</v>
      </c>
      <c r="L202" s="1">
        <v>41444</v>
      </c>
      <c r="M202" t="s">
        <v>32520</v>
      </c>
      <c r="O202" t="s">
        <v>32521</v>
      </c>
    </row>
    <row r="203" spans="1:15" x14ac:dyDescent="0.15">
      <c r="A203">
        <v>24499465</v>
      </c>
      <c r="B203">
        <v>24834468</v>
      </c>
      <c r="D203">
        <v>26246139</v>
      </c>
      <c r="E203">
        <v>23430739</v>
      </c>
      <c r="F203" t="s">
        <v>32522</v>
      </c>
      <c r="G203" t="s">
        <v>32523</v>
      </c>
      <c r="H203" t="s">
        <v>32524</v>
      </c>
      <c r="I203" t="s">
        <v>32525</v>
      </c>
      <c r="J203" t="s">
        <v>31594</v>
      </c>
      <c r="K203">
        <v>2013</v>
      </c>
      <c r="L203" s="1">
        <v>41328</v>
      </c>
      <c r="M203" t="s">
        <v>32526</v>
      </c>
      <c r="O203" t="s">
        <v>32527</v>
      </c>
    </row>
    <row r="204" spans="1:15" x14ac:dyDescent="0.15">
      <c r="A204">
        <v>30149804</v>
      </c>
      <c r="B204">
        <v>24939845</v>
      </c>
      <c r="D204">
        <v>34847357</v>
      </c>
      <c r="E204">
        <v>21376534</v>
      </c>
      <c r="F204" t="s">
        <v>32532</v>
      </c>
      <c r="G204" t="s">
        <v>32533</v>
      </c>
      <c r="H204" t="s">
        <v>32534</v>
      </c>
      <c r="I204" t="s">
        <v>32535</v>
      </c>
      <c r="J204" t="s">
        <v>32536</v>
      </c>
      <c r="K204">
        <v>2011</v>
      </c>
      <c r="L204" s="1">
        <v>40610</v>
      </c>
      <c r="O204" t="s">
        <v>32537</v>
      </c>
    </row>
    <row r="205" spans="1:15" x14ac:dyDescent="0.15">
      <c r="A205">
        <v>24480987</v>
      </c>
      <c r="B205">
        <v>34662248</v>
      </c>
      <c r="D205">
        <v>24726328</v>
      </c>
      <c r="E205">
        <v>34984833</v>
      </c>
      <c r="F205" t="s">
        <v>32554</v>
      </c>
      <c r="G205" t="s">
        <v>32555</v>
      </c>
      <c r="H205" t="s">
        <v>32556</v>
      </c>
      <c r="I205" t="s">
        <v>32557</v>
      </c>
      <c r="J205" t="s">
        <v>32558</v>
      </c>
      <c r="K205">
        <v>2022</v>
      </c>
      <c r="L205" s="1">
        <v>44566</v>
      </c>
      <c r="O205" t="s">
        <v>32559</v>
      </c>
    </row>
    <row r="206" spans="1:15" x14ac:dyDescent="0.15">
      <c r="A206">
        <v>24948658</v>
      </c>
      <c r="B206">
        <v>19692638</v>
      </c>
      <c r="D206">
        <v>33184263</v>
      </c>
      <c r="E206">
        <v>23230278</v>
      </c>
      <c r="F206" t="s">
        <v>32566</v>
      </c>
      <c r="G206" t="s">
        <v>32567</v>
      </c>
      <c r="H206" t="s">
        <v>32568</v>
      </c>
      <c r="I206" t="s">
        <v>32569</v>
      </c>
      <c r="J206" t="s">
        <v>32570</v>
      </c>
      <c r="K206">
        <v>2013</v>
      </c>
      <c r="L206" s="1">
        <v>41255</v>
      </c>
      <c r="M206" t="s">
        <v>32571</v>
      </c>
      <c r="O206" t="s">
        <v>32572</v>
      </c>
    </row>
    <row r="207" spans="1:15" x14ac:dyDescent="0.15">
      <c r="A207">
        <v>31771176</v>
      </c>
      <c r="B207">
        <v>31820935</v>
      </c>
      <c r="D207">
        <v>29216783</v>
      </c>
      <c r="E207">
        <v>31331349</v>
      </c>
      <c r="F207" t="s">
        <v>32580</v>
      </c>
      <c r="G207" t="s">
        <v>32581</v>
      </c>
      <c r="H207" t="s">
        <v>32582</v>
      </c>
      <c r="I207" t="s">
        <v>32583</v>
      </c>
      <c r="J207" t="s">
        <v>31304</v>
      </c>
      <c r="K207">
        <v>2019</v>
      </c>
      <c r="L207" s="1">
        <v>43670</v>
      </c>
      <c r="M207" t="s">
        <v>32584</v>
      </c>
      <c r="O207" t="s">
        <v>32585</v>
      </c>
    </row>
    <row r="208" spans="1:15" x14ac:dyDescent="0.15">
      <c r="A208">
        <v>23073155</v>
      </c>
      <c r="B208">
        <v>24948658</v>
      </c>
      <c r="D208">
        <v>32471033</v>
      </c>
      <c r="E208">
        <v>25955720</v>
      </c>
      <c r="F208" t="s">
        <v>32592</v>
      </c>
      <c r="G208" t="s">
        <v>32593</v>
      </c>
      <c r="H208" t="s">
        <v>32594</v>
      </c>
      <c r="I208" t="s">
        <v>32595</v>
      </c>
      <c r="J208" t="s">
        <v>31639</v>
      </c>
      <c r="K208">
        <v>2015</v>
      </c>
      <c r="L208" s="1">
        <v>42133</v>
      </c>
      <c r="M208" t="s">
        <v>32596</v>
      </c>
      <c r="O208" t="s">
        <v>32597</v>
      </c>
    </row>
    <row r="209" spans="1:15" x14ac:dyDescent="0.15">
      <c r="A209">
        <v>29588600</v>
      </c>
      <c r="B209">
        <v>23590857</v>
      </c>
      <c r="D209">
        <v>34400637</v>
      </c>
      <c r="E209">
        <v>21835908</v>
      </c>
      <c r="F209" t="s">
        <v>32617</v>
      </c>
      <c r="G209" t="s">
        <v>32618</v>
      </c>
      <c r="H209" t="s">
        <v>32619</v>
      </c>
      <c r="I209" t="s">
        <v>32620</v>
      </c>
      <c r="J209" t="s">
        <v>31512</v>
      </c>
      <c r="K209">
        <v>2011</v>
      </c>
      <c r="L209" s="1">
        <v>40768</v>
      </c>
      <c r="M209" t="s">
        <v>32621</v>
      </c>
      <c r="N209" t="s">
        <v>32622</v>
      </c>
      <c r="O209" t="s">
        <v>32623</v>
      </c>
    </row>
    <row r="210" spans="1:15" x14ac:dyDescent="0.15">
      <c r="A210">
        <v>23913240</v>
      </c>
      <c r="B210">
        <v>35624495</v>
      </c>
      <c r="D210">
        <v>24720881</v>
      </c>
      <c r="E210">
        <v>24245560</v>
      </c>
      <c r="F210" t="s">
        <v>32624</v>
      </c>
      <c r="G210" t="s">
        <v>32625</v>
      </c>
      <c r="H210" t="s">
        <v>32626</v>
      </c>
      <c r="I210" t="s">
        <v>32627</v>
      </c>
      <c r="J210" t="s">
        <v>31438</v>
      </c>
      <c r="K210">
        <v>2013</v>
      </c>
      <c r="L210" s="1">
        <v>41598</v>
      </c>
      <c r="M210" t="s">
        <v>32628</v>
      </c>
      <c r="O210" t="s">
        <v>32629</v>
      </c>
    </row>
    <row r="211" spans="1:15" x14ac:dyDescent="0.15">
      <c r="A211">
        <v>30997751</v>
      </c>
      <c r="B211">
        <v>18987139</v>
      </c>
      <c r="D211">
        <v>25837156</v>
      </c>
      <c r="E211">
        <v>35467280</v>
      </c>
      <c r="F211" t="s">
        <v>32630</v>
      </c>
      <c r="G211" t="s">
        <v>32631</v>
      </c>
      <c r="H211" t="s">
        <v>32632</v>
      </c>
      <c r="I211" t="s">
        <v>32013</v>
      </c>
      <c r="J211" t="s">
        <v>31003</v>
      </c>
      <c r="K211">
        <v>2022</v>
      </c>
      <c r="L211" s="1">
        <v>44676</v>
      </c>
      <c r="O211" t="s">
        <v>32633</v>
      </c>
    </row>
    <row r="212" spans="1:15" x14ac:dyDescent="0.15">
      <c r="A212">
        <v>31546246</v>
      </c>
      <c r="B212">
        <v>29192155</v>
      </c>
      <c r="D212">
        <v>34467244</v>
      </c>
      <c r="E212">
        <v>23532734</v>
      </c>
      <c r="F212" t="s">
        <v>32634</v>
      </c>
      <c r="G212" t="s">
        <v>32635</v>
      </c>
      <c r="H212" t="s">
        <v>32636</v>
      </c>
      <c r="I212" t="s">
        <v>32637</v>
      </c>
      <c r="J212" t="s">
        <v>30600</v>
      </c>
      <c r="K212">
        <v>2013</v>
      </c>
      <c r="L212" s="1">
        <v>41361</v>
      </c>
      <c r="O212" t="s">
        <v>32638</v>
      </c>
    </row>
    <row r="213" spans="1:15" x14ac:dyDescent="0.15">
      <c r="A213">
        <v>11746262</v>
      </c>
      <c r="B213">
        <v>35199894</v>
      </c>
      <c r="D213">
        <v>32082312</v>
      </c>
      <c r="E213">
        <v>30775458</v>
      </c>
      <c r="F213" t="s">
        <v>23253</v>
      </c>
      <c r="G213" t="s">
        <v>32639</v>
      </c>
      <c r="H213" t="s">
        <v>32640</v>
      </c>
      <c r="I213" t="s">
        <v>32641</v>
      </c>
      <c r="J213" t="s">
        <v>32377</v>
      </c>
      <c r="K213">
        <v>2019</v>
      </c>
      <c r="L213" s="1">
        <v>43515</v>
      </c>
      <c r="M213" t="s">
        <v>32642</v>
      </c>
      <c r="O213" t="s">
        <v>23261</v>
      </c>
    </row>
    <row r="214" spans="1:15" x14ac:dyDescent="0.15">
      <c r="A214">
        <v>24618884</v>
      </c>
      <c r="B214">
        <v>25477253</v>
      </c>
      <c r="D214">
        <v>27396686</v>
      </c>
      <c r="E214">
        <v>23064154</v>
      </c>
      <c r="F214" t="s">
        <v>32663</v>
      </c>
      <c r="G214" t="s">
        <v>32664</v>
      </c>
      <c r="H214" t="s">
        <v>32665</v>
      </c>
      <c r="I214" t="s">
        <v>32666</v>
      </c>
      <c r="J214" t="s">
        <v>31659</v>
      </c>
      <c r="K214">
        <v>2013</v>
      </c>
      <c r="L214" s="1">
        <v>41198</v>
      </c>
      <c r="M214" t="s">
        <v>32667</v>
      </c>
      <c r="O214" t="s">
        <v>32668</v>
      </c>
    </row>
    <row r="215" spans="1:15" x14ac:dyDescent="0.15">
      <c r="A215">
        <v>28469765</v>
      </c>
      <c r="B215">
        <v>35179366</v>
      </c>
      <c r="D215">
        <v>22998189</v>
      </c>
      <c r="E215">
        <v>34365510</v>
      </c>
      <c r="F215" t="s">
        <v>32669</v>
      </c>
      <c r="G215" t="s">
        <v>32670</v>
      </c>
      <c r="H215" t="s">
        <v>32671</v>
      </c>
      <c r="I215" t="s">
        <v>32672</v>
      </c>
      <c r="J215" t="s">
        <v>31587</v>
      </c>
      <c r="K215">
        <v>2021</v>
      </c>
      <c r="L215" s="1">
        <v>44416</v>
      </c>
      <c r="M215" t="s">
        <v>32673</v>
      </c>
      <c r="O215" t="s">
        <v>32674</v>
      </c>
    </row>
    <row r="216" spans="1:15" x14ac:dyDescent="0.15">
      <c r="A216">
        <v>31594629</v>
      </c>
      <c r="B216">
        <v>24798520</v>
      </c>
      <c r="D216">
        <v>27169926</v>
      </c>
      <c r="E216">
        <v>31262819</v>
      </c>
      <c r="F216" t="s">
        <v>32675</v>
      </c>
      <c r="G216" t="s">
        <v>32676</v>
      </c>
      <c r="H216" t="s">
        <v>32677</v>
      </c>
      <c r="I216" t="s">
        <v>32678</v>
      </c>
      <c r="J216" t="s">
        <v>30767</v>
      </c>
      <c r="K216">
        <v>2019</v>
      </c>
      <c r="L216" s="1">
        <v>43649</v>
      </c>
      <c r="M216" t="s">
        <v>32679</v>
      </c>
      <c r="O216" t="s">
        <v>32680</v>
      </c>
    </row>
    <row r="217" spans="1:15" x14ac:dyDescent="0.15">
      <c r="A217">
        <v>32079286</v>
      </c>
      <c r="B217">
        <v>35081499</v>
      </c>
      <c r="D217">
        <v>33919158</v>
      </c>
      <c r="E217">
        <v>25815511</v>
      </c>
      <c r="F217" t="s">
        <v>32681</v>
      </c>
      <c r="G217" t="s">
        <v>32682</v>
      </c>
      <c r="H217" t="s">
        <v>32683</v>
      </c>
      <c r="I217" t="s">
        <v>32684</v>
      </c>
      <c r="J217" t="s">
        <v>31639</v>
      </c>
      <c r="K217">
        <v>2015</v>
      </c>
      <c r="L217" s="1">
        <v>42091</v>
      </c>
      <c r="M217" t="s">
        <v>32685</v>
      </c>
      <c r="O217" t="s">
        <v>32686</v>
      </c>
    </row>
    <row r="218" spans="1:15" x14ac:dyDescent="0.15">
      <c r="A218">
        <v>10373306</v>
      </c>
      <c r="B218">
        <v>30417099</v>
      </c>
      <c r="D218">
        <v>29219656</v>
      </c>
      <c r="E218">
        <v>32620067</v>
      </c>
      <c r="F218" t="s">
        <v>32687</v>
      </c>
      <c r="G218" t="s">
        <v>32688</v>
      </c>
      <c r="H218" t="s">
        <v>32689</v>
      </c>
      <c r="I218" t="s">
        <v>32690</v>
      </c>
      <c r="J218" t="s">
        <v>32691</v>
      </c>
      <c r="K218">
        <v>2020</v>
      </c>
      <c r="L218" s="1">
        <v>44017</v>
      </c>
      <c r="O218" t="s">
        <v>32692</v>
      </c>
    </row>
    <row r="219" spans="1:15" x14ac:dyDescent="0.15">
      <c r="A219">
        <v>31511515</v>
      </c>
      <c r="B219">
        <v>23620794</v>
      </c>
      <c r="D219">
        <v>32267490</v>
      </c>
      <c r="E219">
        <v>31043377</v>
      </c>
      <c r="F219" t="s">
        <v>32693</v>
      </c>
      <c r="G219" t="s">
        <v>32694</v>
      </c>
      <c r="H219" t="s">
        <v>32695</v>
      </c>
      <c r="I219" t="s">
        <v>32275</v>
      </c>
      <c r="J219" t="s">
        <v>31167</v>
      </c>
      <c r="K219">
        <v>2019</v>
      </c>
      <c r="L219" s="1">
        <v>43588</v>
      </c>
      <c r="O219" t="s">
        <v>32696</v>
      </c>
    </row>
    <row r="220" spans="1:15" x14ac:dyDescent="0.15">
      <c r="A220">
        <v>15659066</v>
      </c>
      <c r="B220">
        <v>35029990</v>
      </c>
      <c r="D220">
        <v>33812182</v>
      </c>
      <c r="E220">
        <v>24424840</v>
      </c>
      <c r="F220" t="s">
        <v>32697</v>
      </c>
      <c r="G220" t="s">
        <v>32698</v>
      </c>
      <c r="H220" t="s">
        <v>32699</v>
      </c>
      <c r="I220" t="s">
        <v>32700</v>
      </c>
      <c r="J220" t="s">
        <v>32701</v>
      </c>
      <c r="K220">
        <v>2014</v>
      </c>
      <c r="L220" s="1">
        <v>41655</v>
      </c>
      <c r="M220" t="s">
        <v>32702</v>
      </c>
      <c r="O220" t="s">
        <v>32703</v>
      </c>
    </row>
    <row r="221" spans="1:15" x14ac:dyDescent="0.15">
      <c r="A221">
        <v>29976662</v>
      </c>
      <c r="B221">
        <v>24474753</v>
      </c>
      <c r="D221">
        <v>33670924</v>
      </c>
      <c r="E221">
        <v>30971101</v>
      </c>
      <c r="F221" t="s">
        <v>32708</v>
      </c>
      <c r="G221" t="s">
        <v>32709</v>
      </c>
      <c r="H221" t="s">
        <v>32710</v>
      </c>
      <c r="I221" t="s">
        <v>32711</v>
      </c>
      <c r="J221" t="s">
        <v>32712</v>
      </c>
      <c r="K221">
        <v>2019</v>
      </c>
      <c r="L221" s="1">
        <v>43567</v>
      </c>
      <c r="O221" t="s">
        <v>32713</v>
      </c>
    </row>
    <row r="222" spans="1:15" x14ac:dyDescent="0.15">
      <c r="A222">
        <v>28659878</v>
      </c>
      <c r="B222">
        <v>29069893</v>
      </c>
      <c r="D222">
        <v>32101745</v>
      </c>
      <c r="E222">
        <v>35273384</v>
      </c>
      <c r="F222" t="s">
        <v>32727</v>
      </c>
      <c r="G222" t="s">
        <v>32728</v>
      </c>
      <c r="H222" t="s">
        <v>32729</v>
      </c>
      <c r="I222" t="s">
        <v>32730</v>
      </c>
      <c r="J222" t="s">
        <v>31952</v>
      </c>
      <c r="K222">
        <v>2022</v>
      </c>
      <c r="L222" s="1">
        <v>44631</v>
      </c>
      <c r="M222" t="s">
        <v>32731</v>
      </c>
      <c r="O222" t="s">
        <v>32732</v>
      </c>
    </row>
    <row r="223" spans="1:15" x14ac:dyDescent="0.15">
      <c r="A223">
        <v>31911034</v>
      </c>
      <c r="B223">
        <v>35044159</v>
      </c>
      <c r="D223">
        <v>23526637</v>
      </c>
      <c r="E223">
        <v>18974299</v>
      </c>
      <c r="F223" t="s">
        <v>32738</v>
      </c>
      <c r="G223" t="s">
        <v>32739</v>
      </c>
      <c r="H223" t="s">
        <v>32740</v>
      </c>
      <c r="I223" t="s">
        <v>31750</v>
      </c>
      <c r="J223" t="s">
        <v>32741</v>
      </c>
      <c r="K223">
        <v>2008</v>
      </c>
      <c r="L223" s="1">
        <v>39753</v>
      </c>
      <c r="M223" t="s">
        <v>32742</v>
      </c>
      <c r="O223" t="s">
        <v>32743</v>
      </c>
    </row>
    <row r="224" spans="1:15" x14ac:dyDescent="0.15">
      <c r="A224">
        <v>19706700</v>
      </c>
      <c r="B224">
        <v>35758600</v>
      </c>
      <c r="D224">
        <v>34263556</v>
      </c>
      <c r="E224">
        <v>31734770</v>
      </c>
      <c r="F224" t="s">
        <v>32767</v>
      </c>
      <c r="G224" t="s">
        <v>32768</v>
      </c>
      <c r="H224" t="s">
        <v>32769</v>
      </c>
      <c r="I224" t="s">
        <v>32770</v>
      </c>
      <c r="J224" t="s">
        <v>32214</v>
      </c>
      <c r="K224">
        <v>2019</v>
      </c>
      <c r="L224" s="1">
        <v>43787</v>
      </c>
      <c r="O224" t="s">
        <v>32771</v>
      </c>
    </row>
    <row r="225" spans="1:15" x14ac:dyDescent="0.15">
      <c r="A225">
        <v>31756034</v>
      </c>
      <c r="B225">
        <v>35778435</v>
      </c>
      <c r="D225">
        <v>32993049</v>
      </c>
      <c r="E225">
        <v>29357442</v>
      </c>
      <c r="F225" t="s">
        <v>32772</v>
      </c>
      <c r="G225" t="s">
        <v>32773</v>
      </c>
      <c r="H225" t="s">
        <v>32774</v>
      </c>
      <c r="I225" t="s">
        <v>32775</v>
      </c>
      <c r="J225" t="s">
        <v>31835</v>
      </c>
      <c r="K225">
        <v>2018</v>
      </c>
      <c r="L225" s="1">
        <v>43124</v>
      </c>
      <c r="O225" t="s">
        <v>32776</v>
      </c>
    </row>
    <row r="226" spans="1:15" x14ac:dyDescent="0.15">
      <c r="A226">
        <v>24458310</v>
      </c>
      <c r="B226">
        <v>34426211</v>
      </c>
      <c r="D226">
        <v>25119026</v>
      </c>
      <c r="E226">
        <v>23839527</v>
      </c>
      <c r="F226" t="s">
        <v>32777</v>
      </c>
      <c r="G226" t="s">
        <v>32778</v>
      </c>
      <c r="H226" t="s">
        <v>32779</v>
      </c>
      <c r="I226" t="s">
        <v>32600</v>
      </c>
      <c r="J226" t="s">
        <v>32780</v>
      </c>
      <c r="K226">
        <v>2014</v>
      </c>
      <c r="L226" s="1">
        <v>41466</v>
      </c>
      <c r="M226" t="s">
        <v>32781</v>
      </c>
      <c r="N226" t="s">
        <v>32782</v>
      </c>
      <c r="O226" t="s">
        <v>32783</v>
      </c>
    </row>
    <row r="227" spans="1:15" x14ac:dyDescent="0.15">
      <c r="A227" t="s">
        <v>74</v>
      </c>
      <c r="B227">
        <v>35042294</v>
      </c>
      <c r="D227">
        <v>33002329</v>
      </c>
      <c r="E227">
        <v>31950173</v>
      </c>
      <c r="F227" t="s">
        <v>32784</v>
      </c>
      <c r="G227" t="s">
        <v>32785</v>
      </c>
      <c r="H227" t="s">
        <v>32786</v>
      </c>
      <c r="I227" t="s">
        <v>32787</v>
      </c>
      <c r="J227" t="s">
        <v>31587</v>
      </c>
      <c r="K227">
        <v>2020</v>
      </c>
      <c r="L227" s="1">
        <v>43848</v>
      </c>
      <c r="M227" t="s">
        <v>32788</v>
      </c>
      <c r="O227" t="s">
        <v>32789</v>
      </c>
    </row>
    <row r="228" spans="1:15" x14ac:dyDescent="0.15">
      <c r="A228">
        <v>31288510</v>
      </c>
      <c r="B228">
        <v>18852879</v>
      </c>
      <c r="D228">
        <v>33526923</v>
      </c>
      <c r="E228">
        <v>25680078</v>
      </c>
      <c r="F228" t="s">
        <v>32790</v>
      </c>
      <c r="G228" t="s">
        <v>32791</v>
      </c>
      <c r="H228" t="s">
        <v>32792</v>
      </c>
      <c r="I228" t="s">
        <v>32793</v>
      </c>
      <c r="J228" t="s">
        <v>32470</v>
      </c>
      <c r="K228">
        <v>2015</v>
      </c>
      <c r="L228" s="1">
        <v>42049</v>
      </c>
      <c r="M228" t="s">
        <v>32794</v>
      </c>
      <c r="O228" t="s">
        <v>32795</v>
      </c>
    </row>
    <row r="229" spans="1:15" x14ac:dyDescent="0.15">
      <c r="A229">
        <v>31349735</v>
      </c>
      <c r="B229">
        <v>24563408</v>
      </c>
      <c r="D229">
        <v>34363756</v>
      </c>
      <c r="E229">
        <v>18802920</v>
      </c>
      <c r="F229" t="s">
        <v>32796</v>
      </c>
      <c r="G229" t="s">
        <v>32797</v>
      </c>
      <c r="H229" t="s">
        <v>32798</v>
      </c>
      <c r="I229" t="s">
        <v>32799</v>
      </c>
      <c r="J229" t="s">
        <v>30988</v>
      </c>
      <c r="K229">
        <v>2008</v>
      </c>
      <c r="L229" s="1">
        <v>39711</v>
      </c>
      <c r="O229" t="s">
        <v>32800</v>
      </c>
    </row>
    <row r="230" spans="1:15" x14ac:dyDescent="0.15">
      <c r="A230">
        <v>28791708</v>
      </c>
      <c r="B230">
        <v>25086355</v>
      </c>
      <c r="D230">
        <v>31504796</v>
      </c>
      <c r="E230">
        <v>22612287</v>
      </c>
      <c r="F230" t="s">
        <v>32805</v>
      </c>
      <c r="G230" t="s">
        <v>32806</v>
      </c>
      <c r="H230" t="s">
        <v>32807</v>
      </c>
      <c r="I230" t="s">
        <v>32195</v>
      </c>
      <c r="J230" t="s">
        <v>31654</v>
      </c>
      <c r="K230">
        <v>2012</v>
      </c>
      <c r="L230" s="1">
        <v>41052</v>
      </c>
      <c r="O230" t="s">
        <v>32808</v>
      </c>
    </row>
    <row r="231" spans="1:15" x14ac:dyDescent="0.15">
      <c r="A231">
        <v>26126838</v>
      </c>
      <c r="B231">
        <v>27443190</v>
      </c>
      <c r="D231">
        <v>24941021</v>
      </c>
      <c r="E231">
        <v>22074924</v>
      </c>
      <c r="F231" t="s">
        <v>32809</v>
      </c>
      <c r="G231" t="s">
        <v>32810</v>
      </c>
      <c r="H231" t="s">
        <v>32811</v>
      </c>
      <c r="I231" t="s">
        <v>32812</v>
      </c>
      <c r="J231" t="s">
        <v>31594</v>
      </c>
      <c r="K231">
        <v>2012</v>
      </c>
      <c r="L231" s="1">
        <v>40862</v>
      </c>
      <c r="M231" t="s">
        <v>32813</v>
      </c>
      <c r="O231" t="s">
        <v>32814</v>
      </c>
    </row>
    <row r="232" spans="1:15" x14ac:dyDescent="0.15">
      <c r="A232">
        <v>33369392</v>
      </c>
      <c r="B232">
        <v>24992257</v>
      </c>
      <c r="D232">
        <v>21791617</v>
      </c>
      <c r="E232">
        <v>24379393</v>
      </c>
      <c r="F232" t="s">
        <v>32825</v>
      </c>
      <c r="G232" t="s">
        <v>32826</v>
      </c>
      <c r="H232" t="s">
        <v>32827</v>
      </c>
      <c r="I232" t="s">
        <v>32828</v>
      </c>
      <c r="J232" t="s">
        <v>30767</v>
      </c>
      <c r="K232">
        <v>2014</v>
      </c>
      <c r="L232" s="1">
        <v>41640</v>
      </c>
      <c r="M232" t="s">
        <v>32829</v>
      </c>
      <c r="O232" t="s">
        <v>32830</v>
      </c>
    </row>
    <row r="233" spans="1:15" x14ac:dyDescent="0.15">
      <c r="A233">
        <v>33455159</v>
      </c>
      <c r="B233">
        <v>22740476</v>
      </c>
      <c r="D233">
        <v>30400025</v>
      </c>
      <c r="E233">
        <v>22348503</v>
      </c>
      <c r="F233" t="s">
        <v>32831</v>
      </c>
      <c r="G233" t="s">
        <v>32832</v>
      </c>
      <c r="H233" t="s">
        <v>32833</v>
      </c>
      <c r="I233" t="s">
        <v>32834</v>
      </c>
      <c r="J233" t="s">
        <v>2064</v>
      </c>
      <c r="K233">
        <v>2012</v>
      </c>
      <c r="L233" s="1">
        <v>40961</v>
      </c>
      <c r="M233" t="s">
        <v>32835</v>
      </c>
      <c r="O233" t="s">
        <v>32836</v>
      </c>
    </row>
    <row r="234" spans="1:15" x14ac:dyDescent="0.15">
      <c r="A234">
        <v>30088371</v>
      </c>
      <c r="B234">
        <v>35094679</v>
      </c>
      <c r="D234">
        <v>23696541</v>
      </c>
      <c r="E234">
        <v>24873886</v>
      </c>
      <c r="F234" t="s">
        <v>32851</v>
      </c>
      <c r="G234" t="s">
        <v>32852</v>
      </c>
      <c r="H234" t="s">
        <v>32853</v>
      </c>
      <c r="I234" t="s">
        <v>32535</v>
      </c>
      <c r="J234" t="s">
        <v>32854</v>
      </c>
      <c r="K234">
        <v>2014</v>
      </c>
      <c r="L234" s="1">
        <v>41790</v>
      </c>
      <c r="M234" t="s">
        <v>32855</v>
      </c>
      <c r="N234" t="s">
        <v>32856</v>
      </c>
      <c r="O234" t="s">
        <v>32857</v>
      </c>
    </row>
    <row r="235" spans="1:15" x14ac:dyDescent="0.15">
      <c r="A235">
        <v>32119540</v>
      </c>
      <c r="B235">
        <v>34962643</v>
      </c>
      <c r="D235">
        <v>31891778</v>
      </c>
      <c r="E235">
        <v>25856674</v>
      </c>
      <c r="F235" t="s">
        <v>32863</v>
      </c>
      <c r="G235" t="s">
        <v>32864</v>
      </c>
      <c r="H235" t="s">
        <v>32865</v>
      </c>
      <c r="I235" t="s">
        <v>32866</v>
      </c>
      <c r="J235" t="s">
        <v>32509</v>
      </c>
      <c r="K235">
        <v>2015</v>
      </c>
      <c r="L235" s="1">
        <v>42104</v>
      </c>
      <c r="M235" t="s">
        <v>32867</v>
      </c>
      <c r="O235" t="s">
        <v>32868</v>
      </c>
    </row>
    <row r="236" spans="1:15" x14ac:dyDescent="0.15">
      <c r="A236">
        <v>26380258</v>
      </c>
      <c r="B236">
        <v>18617898</v>
      </c>
      <c r="D236">
        <v>32350000</v>
      </c>
      <c r="E236">
        <v>23315742</v>
      </c>
      <c r="F236" t="s">
        <v>32869</v>
      </c>
      <c r="G236" t="s">
        <v>32870</v>
      </c>
      <c r="H236" t="s">
        <v>32871</v>
      </c>
      <c r="I236" t="s">
        <v>32872</v>
      </c>
      <c r="J236" t="s">
        <v>32165</v>
      </c>
      <c r="K236">
        <v>2013</v>
      </c>
      <c r="L236" s="1">
        <v>41289</v>
      </c>
      <c r="M236" t="s">
        <v>32873</v>
      </c>
      <c r="O236" t="s">
        <v>32874</v>
      </c>
    </row>
    <row r="237" spans="1:15" x14ac:dyDescent="0.15">
      <c r="A237">
        <v>1569964</v>
      </c>
      <c r="B237">
        <v>33500249</v>
      </c>
      <c r="D237">
        <v>31228184</v>
      </c>
      <c r="E237">
        <v>25339697</v>
      </c>
      <c r="F237" t="s">
        <v>32879</v>
      </c>
      <c r="G237" t="s">
        <v>32880</v>
      </c>
      <c r="H237" t="s">
        <v>32881</v>
      </c>
      <c r="I237" t="s">
        <v>32882</v>
      </c>
      <c r="J237" t="s">
        <v>31835</v>
      </c>
      <c r="K237">
        <v>2014</v>
      </c>
      <c r="L237" s="1">
        <v>41936</v>
      </c>
      <c r="O237" t="s">
        <v>32883</v>
      </c>
    </row>
    <row r="238" spans="1:15" x14ac:dyDescent="0.15">
      <c r="A238">
        <v>33523836</v>
      </c>
      <c r="B238">
        <v>27994032</v>
      </c>
      <c r="D238">
        <v>26889830</v>
      </c>
      <c r="E238">
        <v>34791687</v>
      </c>
      <c r="F238" t="s">
        <v>32888</v>
      </c>
      <c r="G238" t="s">
        <v>32889</v>
      </c>
      <c r="H238" t="s">
        <v>32890</v>
      </c>
      <c r="I238" t="s">
        <v>32770</v>
      </c>
      <c r="J238" t="s">
        <v>32424</v>
      </c>
      <c r="K238">
        <v>2022</v>
      </c>
      <c r="L238" s="1">
        <v>44518</v>
      </c>
      <c r="O238" t="s">
        <v>32891</v>
      </c>
    </row>
    <row r="239" spans="1:15" x14ac:dyDescent="0.15">
      <c r="A239">
        <v>29374476</v>
      </c>
      <c r="B239">
        <v>30973972</v>
      </c>
      <c r="D239">
        <v>32343702</v>
      </c>
      <c r="E239">
        <v>22505472</v>
      </c>
      <c r="F239" t="s">
        <v>32892</v>
      </c>
      <c r="G239" t="s">
        <v>32893</v>
      </c>
      <c r="H239" t="s">
        <v>32894</v>
      </c>
      <c r="I239" t="s">
        <v>32895</v>
      </c>
      <c r="J239" t="s">
        <v>32264</v>
      </c>
      <c r="K239">
        <v>2012</v>
      </c>
      <c r="L239" s="1">
        <v>41016</v>
      </c>
      <c r="O239" t="s">
        <v>32896</v>
      </c>
    </row>
    <row r="240" spans="1:15" x14ac:dyDescent="0.15">
      <c r="A240">
        <v>30644724</v>
      </c>
      <c r="B240">
        <v>29374476</v>
      </c>
      <c r="D240">
        <v>21515746</v>
      </c>
      <c r="E240">
        <v>21282980</v>
      </c>
      <c r="F240" t="s">
        <v>32901</v>
      </c>
      <c r="G240" t="s">
        <v>32902</v>
      </c>
      <c r="H240" t="s">
        <v>32903</v>
      </c>
      <c r="I240" t="s">
        <v>32904</v>
      </c>
      <c r="J240" t="s">
        <v>31659</v>
      </c>
      <c r="K240">
        <v>2011</v>
      </c>
      <c r="L240" s="1">
        <v>40576</v>
      </c>
      <c r="M240" t="s">
        <v>32905</v>
      </c>
      <c r="O240" t="s">
        <v>32906</v>
      </c>
    </row>
    <row r="241" spans="1:15" x14ac:dyDescent="0.15">
      <c r="A241">
        <v>26667458</v>
      </c>
      <c r="B241">
        <v>34936368</v>
      </c>
      <c r="D241">
        <v>32621842</v>
      </c>
      <c r="E241">
        <v>27557622</v>
      </c>
      <c r="F241" t="s">
        <v>32921</v>
      </c>
      <c r="G241" t="s">
        <v>32922</v>
      </c>
      <c r="H241" t="s">
        <v>32923</v>
      </c>
      <c r="I241" t="s">
        <v>32924</v>
      </c>
      <c r="J241" t="s">
        <v>31155</v>
      </c>
      <c r="K241">
        <v>2016</v>
      </c>
      <c r="L241" s="1">
        <v>42608</v>
      </c>
      <c r="M241" t="s">
        <v>32925</v>
      </c>
      <c r="O241" t="s">
        <v>32926</v>
      </c>
    </row>
    <row r="242" spans="1:15" x14ac:dyDescent="0.15">
      <c r="A242">
        <v>29868251</v>
      </c>
      <c r="B242">
        <v>29907693</v>
      </c>
      <c r="D242">
        <v>30567989</v>
      </c>
      <c r="E242">
        <v>31285775</v>
      </c>
      <c r="F242" t="s">
        <v>32927</v>
      </c>
      <c r="G242" t="s">
        <v>32928</v>
      </c>
      <c r="H242" t="s">
        <v>32929</v>
      </c>
      <c r="I242" t="s">
        <v>31624</v>
      </c>
      <c r="J242" t="s">
        <v>30588</v>
      </c>
      <c r="K242">
        <v>2019</v>
      </c>
      <c r="L242" s="1">
        <v>43656</v>
      </c>
      <c r="M242" t="s">
        <v>32930</v>
      </c>
      <c r="O242" t="s">
        <v>32931</v>
      </c>
    </row>
    <row r="243" spans="1:15" x14ac:dyDescent="0.15">
      <c r="A243">
        <v>31437653</v>
      </c>
      <c r="B243">
        <v>28743887</v>
      </c>
      <c r="D243">
        <v>31666668</v>
      </c>
      <c r="E243">
        <v>23922679</v>
      </c>
      <c r="F243" t="s">
        <v>32939</v>
      </c>
      <c r="G243" t="s">
        <v>32940</v>
      </c>
      <c r="H243" t="s">
        <v>32941</v>
      </c>
      <c r="I243" t="s">
        <v>32942</v>
      </c>
      <c r="J243" t="s">
        <v>31639</v>
      </c>
      <c r="K243">
        <v>2013</v>
      </c>
      <c r="L243" s="1">
        <v>41494</v>
      </c>
      <c r="M243" t="s">
        <v>32943</v>
      </c>
      <c r="O243" t="s">
        <v>32944</v>
      </c>
    </row>
    <row r="244" spans="1:15" x14ac:dyDescent="0.15">
      <c r="A244" t="s">
        <v>74</v>
      </c>
      <c r="B244">
        <v>31271518</v>
      </c>
      <c r="D244">
        <v>24875543</v>
      </c>
      <c r="E244">
        <v>26047659</v>
      </c>
      <c r="F244" t="s">
        <v>32945</v>
      </c>
      <c r="G244" t="s">
        <v>32946</v>
      </c>
      <c r="H244" t="s">
        <v>32947</v>
      </c>
      <c r="I244" t="s">
        <v>32948</v>
      </c>
      <c r="J244" t="s">
        <v>30876</v>
      </c>
      <c r="K244">
        <v>2015</v>
      </c>
      <c r="L244" s="1">
        <v>42162</v>
      </c>
      <c r="O244" t="s">
        <v>32949</v>
      </c>
    </row>
    <row r="245" spans="1:15" x14ac:dyDescent="0.15">
      <c r="A245">
        <v>29501540</v>
      </c>
      <c r="B245">
        <v>25368198</v>
      </c>
      <c r="D245">
        <v>32051530</v>
      </c>
      <c r="E245">
        <v>21289488</v>
      </c>
      <c r="F245" t="s">
        <v>32962</v>
      </c>
      <c r="G245" t="s">
        <v>32963</v>
      </c>
      <c r="H245" t="s">
        <v>32964</v>
      </c>
      <c r="I245" t="s">
        <v>32965</v>
      </c>
      <c r="J245" t="s">
        <v>31659</v>
      </c>
      <c r="K245">
        <v>2011</v>
      </c>
      <c r="L245" s="1">
        <v>40578</v>
      </c>
      <c r="M245" t="s">
        <v>32966</v>
      </c>
      <c r="O245" t="s">
        <v>32967</v>
      </c>
    </row>
    <row r="246" spans="1:15" x14ac:dyDescent="0.15">
      <c r="A246">
        <v>30451371</v>
      </c>
      <c r="B246">
        <v>35595717</v>
      </c>
      <c r="D246">
        <v>31369817</v>
      </c>
      <c r="E246">
        <v>31551298</v>
      </c>
      <c r="F246" t="s">
        <v>32968</v>
      </c>
      <c r="G246" t="s">
        <v>32969</v>
      </c>
      <c r="H246" t="s">
        <v>32970</v>
      </c>
      <c r="I246" t="s">
        <v>32971</v>
      </c>
      <c r="J246" t="s">
        <v>11924</v>
      </c>
      <c r="K246">
        <v>2019</v>
      </c>
      <c r="L246" s="1">
        <v>43734</v>
      </c>
      <c r="M246" t="s">
        <v>32972</v>
      </c>
      <c r="O246" t="s">
        <v>32973</v>
      </c>
    </row>
    <row r="247" spans="1:15" x14ac:dyDescent="0.15">
      <c r="A247">
        <v>30338706</v>
      </c>
      <c r="B247">
        <v>33304477</v>
      </c>
      <c r="D247">
        <v>32958884</v>
      </c>
      <c r="E247">
        <v>35688134</v>
      </c>
      <c r="F247" t="s">
        <v>32976</v>
      </c>
      <c r="G247" t="s">
        <v>32977</v>
      </c>
      <c r="H247" t="s">
        <v>32978</v>
      </c>
      <c r="I247" t="s">
        <v>32979</v>
      </c>
      <c r="J247" t="s">
        <v>30555</v>
      </c>
      <c r="K247">
        <v>2022</v>
      </c>
      <c r="L247" s="1">
        <v>44722</v>
      </c>
      <c r="M247" t="s">
        <v>32980</v>
      </c>
      <c r="N247" t="s">
        <v>32981</v>
      </c>
      <c r="O247" t="s">
        <v>32982</v>
      </c>
    </row>
    <row r="248" spans="1:15" x14ac:dyDescent="0.15">
      <c r="A248">
        <v>29661576</v>
      </c>
      <c r="B248">
        <v>26768848</v>
      </c>
      <c r="D248">
        <v>28592251</v>
      </c>
      <c r="E248">
        <v>31150422</v>
      </c>
      <c r="F248" t="s">
        <v>32987</v>
      </c>
      <c r="G248" t="s">
        <v>32988</v>
      </c>
      <c r="H248" t="s">
        <v>32989</v>
      </c>
      <c r="I248" t="s">
        <v>32990</v>
      </c>
      <c r="J248" t="s">
        <v>31639</v>
      </c>
      <c r="K248">
        <v>2019</v>
      </c>
      <c r="L248" s="1">
        <v>43617</v>
      </c>
      <c r="M248" t="s">
        <v>32991</v>
      </c>
      <c r="O248" t="s">
        <v>32992</v>
      </c>
    </row>
    <row r="249" spans="1:15" x14ac:dyDescent="0.15">
      <c r="A249">
        <v>29769179</v>
      </c>
      <c r="B249">
        <v>34813275</v>
      </c>
      <c r="D249">
        <v>25897780</v>
      </c>
      <c r="E249">
        <v>23284625</v>
      </c>
      <c r="F249" t="s">
        <v>33010</v>
      </c>
      <c r="G249" t="s">
        <v>33011</v>
      </c>
      <c r="H249" t="s">
        <v>33012</v>
      </c>
      <c r="I249" t="s">
        <v>33013</v>
      </c>
      <c r="J249" t="s">
        <v>31639</v>
      </c>
      <c r="K249">
        <v>2012</v>
      </c>
      <c r="L249" s="1">
        <v>41278</v>
      </c>
      <c r="M249" t="s">
        <v>33014</v>
      </c>
      <c r="O249" t="s">
        <v>33015</v>
      </c>
    </row>
    <row r="250" spans="1:15" x14ac:dyDescent="0.15">
      <c r="A250">
        <v>32101180</v>
      </c>
      <c r="B250">
        <v>34545097</v>
      </c>
      <c r="D250">
        <v>34309628</v>
      </c>
      <c r="E250">
        <v>27863241</v>
      </c>
      <c r="F250" t="s">
        <v>33016</v>
      </c>
      <c r="G250" t="s">
        <v>33017</v>
      </c>
      <c r="H250" t="s">
        <v>33018</v>
      </c>
      <c r="I250" t="s">
        <v>33019</v>
      </c>
      <c r="J250" t="s">
        <v>30555</v>
      </c>
      <c r="K250">
        <v>2016</v>
      </c>
      <c r="L250" s="1">
        <v>42693</v>
      </c>
      <c r="O250" t="s">
        <v>33020</v>
      </c>
    </row>
    <row r="251" spans="1:15" x14ac:dyDescent="0.15">
      <c r="A251">
        <v>29881375</v>
      </c>
      <c r="B251">
        <v>27166683</v>
      </c>
      <c r="D251">
        <v>34532864</v>
      </c>
      <c r="E251">
        <v>22786771</v>
      </c>
      <c r="F251" t="s">
        <v>33021</v>
      </c>
      <c r="G251" t="s">
        <v>33022</v>
      </c>
      <c r="H251" t="s">
        <v>33023</v>
      </c>
      <c r="I251" t="s">
        <v>33024</v>
      </c>
      <c r="J251" t="s">
        <v>32819</v>
      </c>
      <c r="K251">
        <v>2012</v>
      </c>
      <c r="L251" s="1">
        <v>41103</v>
      </c>
      <c r="O251" t="s">
        <v>33025</v>
      </c>
    </row>
    <row r="252" spans="1:15" x14ac:dyDescent="0.15">
      <c r="A252">
        <v>32810272</v>
      </c>
      <c r="B252">
        <v>28765539</v>
      </c>
      <c r="D252">
        <v>33038325</v>
      </c>
      <c r="E252">
        <v>22235295</v>
      </c>
      <c r="F252" t="s">
        <v>33026</v>
      </c>
      <c r="G252" t="s">
        <v>33027</v>
      </c>
      <c r="H252" t="s">
        <v>33028</v>
      </c>
      <c r="I252" t="s">
        <v>33029</v>
      </c>
      <c r="J252" t="s">
        <v>31639</v>
      </c>
      <c r="K252">
        <v>2012</v>
      </c>
      <c r="L252" s="1">
        <v>40920</v>
      </c>
      <c r="M252" t="s">
        <v>33030</v>
      </c>
      <c r="O252" t="s">
        <v>33031</v>
      </c>
    </row>
    <row r="253" spans="1:15" x14ac:dyDescent="0.15">
      <c r="A253">
        <v>25051983</v>
      </c>
      <c r="B253">
        <v>35312297</v>
      </c>
      <c r="D253">
        <v>28246015</v>
      </c>
      <c r="E253">
        <v>24773308</v>
      </c>
      <c r="F253" t="s">
        <v>33032</v>
      </c>
      <c r="G253" t="s">
        <v>33033</v>
      </c>
      <c r="H253" t="s">
        <v>33034</v>
      </c>
      <c r="I253" t="s">
        <v>33035</v>
      </c>
      <c r="J253" t="s">
        <v>33036</v>
      </c>
      <c r="K253">
        <v>2014</v>
      </c>
      <c r="L253" s="1">
        <v>41759</v>
      </c>
      <c r="M253" t="s">
        <v>33037</v>
      </c>
      <c r="O253" t="s">
        <v>33038</v>
      </c>
    </row>
    <row r="254" spans="1:15" x14ac:dyDescent="0.15">
      <c r="A254">
        <v>32791387</v>
      </c>
      <c r="B254">
        <v>30551256</v>
      </c>
      <c r="D254">
        <v>21078874</v>
      </c>
      <c r="E254">
        <v>26289026</v>
      </c>
      <c r="F254" t="s">
        <v>33056</v>
      </c>
      <c r="G254" t="s">
        <v>33057</v>
      </c>
      <c r="H254" t="s">
        <v>33058</v>
      </c>
      <c r="I254" t="s">
        <v>33059</v>
      </c>
      <c r="J254" t="s">
        <v>33060</v>
      </c>
      <c r="K254">
        <v>2015</v>
      </c>
      <c r="L254" s="1">
        <v>42237</v>
      </c>
      <c r="O254" t="s">
        <v>33061</v>
      </c>
    </row>
    <row r="255" spans="1:15" x14ac:dyDescent="0.15">
      <c r="A255">
        <v>30034830</v>
      </c>
      <c r="B255">
        <v>20304794</v>
      </c>
      <c r="D255">
        <v>34295338</v>
      </c>
      <c r="E255">
        <v>21866298</v>
      </c>
      <c r="F255" t="s">
        <v>33066</v>
      </c>
      <c r="G255" t="s">
        <v>33067</v>
      </c>
      <c r="H255" t="s">
        <v>33068</v>
      </c>
      <c r="I255" t="s">
        <v>33069</v>
      </c>
      <c r="J255" t="s">
        <v>33070</v>
      </c>
      <c r="K255">
        <v>2011</v>
      </c>
      <c r="L255" s="1">
        <v>40781</v>
      </c>
      <c r="O255" t="s">
        <v>33071</v>
      </c>
    </row>
    <row r="256" spans="1:15" x14ac:dyDescent="0.15">
      <c r="A256">
        <v>20484514</v>
      </c>
      <c r="B256">
        <v>29881375</v>
      </c>
      <c r="D256">
        <v>26892862</v>
      </c>
      <c r="E256">
        <v>23072732</v>
      </c>
      <c r="F256" t="s">
        <v>33072</v>
      </c>
      <c r="G256" t="s">
        <v>33073</v>
      </c>
      <c r="H256" t="s">
        <v>33074</v>
      </c>
      <c r="I256" t="s">
        <v>33075</v>
      </c>
      <c r="J256" t="s">
        <v>33076</v>
      </c>
      <c r="K256">
        <v>2013</v>
      </c>
      <c r="L256" s="1">
        <v>41200</v>
      </c>
      <c r="O256" t="s">
        <v>33077</v>
      </c>
    </row>
    <row r="257" spans="1:15" x14ac:dyDescent="0.15">
      <c r="A257">
        <v>29971917</v>
      </c>
      <c r="B257">
        <v>33430027</v>
      </c>
      <c r="D257">
        <v>23132787</v>
      </c>
      <c r="E257">
        <v>19832990</v>
      </c>
      <c r="F257" t="s">
        <v>33078</v>
      </c>
      <c r="G257" t="s">
        <v>33079</v>
      </c>
      <c r="H257" t="s">
        <v>33080</v>
      </c>
      <c r="I257" t="s">
        <v>33081</v>
      </c>
      <c r="J257" t="s">
        <v>33082</v>
      </c>
      <c r="K257">
        <v>2009</v>
      </c>
      <c r="L257" s="1">
        <v>40103</v>
      </c>
      <c r="M257" t="s">
        <v>33083</v>
      </c>
      <c r="O257" t="s">
        <v>33084</v>
      </c>
    </row>
    <row r="258" spans="1:15" x14ac:dyDescent="0.15">
      <c r="A258">
        <v>29562785</v>
      </c>
      <c r="B258">
        <v>30187611</v>
      </c>
      <c r="D258">
        <v>35203322</v>
      </c>
      <c r="E258">
        <v>20829609</v>
      </c>
      <c r="F258" t="s">
        <v>33085</v>
      </c>
      <c r="G258" t="s">
        <v>33086</v>
      </c>
      <c r="H258" t="s">
        <v>33087</v>
      </c>
      <c r="I258" t="s">
        <v>33088</v>
      </c>
      <c r="J258" t="s">
        <v>31451</v>
      </c>
      <c r="K258">
        <v>2010</v>
      </c>
      <c r="L258" s="1">
        <v>40432</v>
      </c>
      <c r="M258" t="s">
        <v>33089</v>
      </c>
      <c r="O258" t="s">
        <v>33090</v>
      </c>
    </row>
    <row r="259" spans="1:15" x14ac:dyDescent="0.15">
      <c r="A259">
        <v>32671095</v>
      </c>
      <c r="B259">
        <v>33508126</v>
      </c>
      <c r="D259">
        <v>33270495</v>
      </c>
      <c r="E259">
        <v>27076633</v>
      </c>
      <c r="F259" t="s">
        <v>33091</v>
      </c>
      <c r="G259" t="s">
        <v>33092</v>
      </c>
      <c r="H259" t="s">
        <v>33093</v>
      </c>
      <c r="I259" t="s">
        <v>33094</v>
      </c>
      <c r="J259" t="s">
        <v>31594</v>
      </c>
      <c r="K259">
        <v>2016</v>
      </c>
      <c r="L259" s="1">
        <v>42475</v>
      </c>
      <c r="M259" t="s">
        <v>33095</v>
      </c>
      <c r="O259" t="s">
        <v>33096</v>
      </c>
    </row>
    <row r="260" spans="1:15" x14ac:dyDescent="0.15">
      <c r="A260">
        <v>33456577</v>
      </c>
      <c r="B260">
        <v>29215015</v>
      </c>
      <c r="D260">
        <v>34421932</v>
      </c>
      <c r="E260">
        <v>22624035</v>
      </c>
      <c r="F260" t="s">
        <v>33097</v>
      </c>
      <c r="G260" t="s">
        <v>33098</v>
      </c>
      <c r="H260" t="s">
        <v>33099</v>
      </c>
      <c r="I260" t="s">
        <v>33100</v>
      </c>
      <c r="J260" t="s">
        <v>31639</v>
      </c>
      <c r="K260">
        <v>2012</v>
      </c>
      <c r="L260" s="1">
        <v>41054</v>
      </c>
      <c r="M260" t="s">
        <v>33101</v>
      </c>
      <c r="O260" t="s">
        <v>33102</v>
      </c>
    </row>
    <row r="261" spans="1:15" x14ac:dyDescent="0.15">
      <c r="A261">
        <v>28740555</v>
      </c>
      <c r="B261">
        <v>29170447</v>
      </c>
      <c r="D261">
        <v>29556344</v>
      </c>
      <c r="E261">
        <v>23358822</v>
      </c>
      <c r="F261" t="s">
        <v>33103</v>
      </c>
      <c r="G261" t="s">
        <v>33104</v>
      </c>
      <c r="H261" t="s">
        <v>33105</v>
      </c>
      <c r="I261" t="s">
        <v>33106</v>
      </c>
      <c r="J261" t="s">
        <v>31587</v>
      </c>
      <c r="K261">
        <v>2013</v>
      </c>
      <c r="L261" s="1">
        <v>41304</v>
      </c>
      <c r="M261" t="s">
        <v>33107</v>
      </c>
      <c r="O261" t="s">
        <v>33108</v>
      </c>
    </row>
    <row r="262" spans="1:15" x14ac:dyDescent="0.15">
      <c r="A262">
        <v>27894084</v>
      </c>
      <c r="B262">
        <v>33126845</v>
      </c>
      <c r="D262">
        <v>29760280</v>
      </c>
      <c r="E262">
        <v>24218614</v>
      </c>
      <c r="F262" t="s">
        <v>33109</v>
      </c>
      <c r="G262" t="s">
        <v>33110</v>
      </c>
      <c r="H262" t="s">
        <v>33111</v>
      </c>
      <c r="I262" t="s">
        <v>33112</v>
      </c>
      <c r="J262" t="s">
        <v>30767</v>
      </c>
      <c r="K262">
        <v>2013</v>
      </c>
      <c r="L262" s="1">
        <v>41591</v>
      </c>
      <c r="M262" t="s">
        <v>33113</v>
      </c>
      <c r="O262" t="s">
        <v>33114</v>
      </c>
    </row>
    <row r="263" spans="1:15" x14ac:dyDescent="0.15">
      <c r="A263">
        <v>28854931</v>
      </c>
      <c r="B263">
        <v>32929376</v>
      </c>
      <c r="D263">
        <v>29051321</v>
      </c>
      <c r="E263">
        <v>35688157</v>
      </c>
      <c r="F263" t="s">
        <v>33119</v>
      </c>
      <c r="G263" t="s">
        <v>33120</v>
      </c>
      <c r="H263" t="s">
        <v>33121</v>
      </c>
      <c r="I263" t="s">
        <v>33122</v>
      </c>
      <c r="J263" t="s">
        <v>32022</v>
      </c>
      <c r="K263">
        <v>2022</v>
      </c>
      <c r="L263" s="1">
        <v>44722</v>
      </c>
      <c r="M263" t="s">
        <v>33123</v>
      </c>
      <c r="O263" t="s">
        <v>33124</v>
      </c>
    </row>
    <row r="264" spans="1:15" x14ac:dyDescent="0.15">
      <c r="A264">
        <v>31478613</v>
      </c>
      <c r="B264">
        <v>29185455</v>
      </c>
      <c r="D264">
        <v>25434003</v>
      </c>
      <c r="E264">
        <v>23182441</v>
      </c>
      <c r="F264" t="s">
        <v>33125</v>
      </c>
      <c r="G264" t="s">
        <v>33126</v>
      </c>
      <c r="H264" t="s">
        <v>33127</v>
      </c>
      <c r="I264" t="s">
        <v>33128</v>
      </c>
      <c r="J264" t="s">
        <v>33129</v>
      </c>
      <c r="K264">
        <v>2013</v>
      </c>
      <c r="L264" s="1">
        <v>41241</v>
      </c>
      <c r="O264" t="s">
        <v>33130</v>
      </c>
    </row>
    <row r="265" spans="1:15" x14ac:dyDescent="0.15">
      <c r="A265">
        <v>29759067</v>
      </c>
      <c r="B265">
        <v>29016925</v>
      </c>
      <c r="D265">
        <v>23137708</v>
      </c>
      <c r="E265">
        <v>23238453</v>
      </c>
      <c r="F265" t="s">
        <v>33131</v>
      </c>
      <c r="G265" t="s">
        <v>33132</v>
      </c>
      <c r="H265" t="s">
        <v>33133</v>
      </c>
      <c r="I265" t="s">
        <v>33134</v>
      </c>
      <c r="J265" t="s">
        <v>33135</v>
      </c>
      <c r="K265">
        <v>2013</v>
      </c>
      <c r="L265" s="1">
        <v>41258</v>
      </c>
      <c r="O265" t="s">
        <v>33136</v>
      </c>
    </row>
    <row r="266" spans="1:15" x14ac:dyDescent="0.15">
      <c r="A266">
        <v>26968172</v>
      </c>
      <c r="B266">
        <v>32634139</v>
      </c>
      <c r="D266">
        <v>30030445</v>
      </c>
      <c r="E266">
        <v>19024647</v>
      </c>
      <c r="F266" t="s">
        <v>33137</v>
      </c>
      <c r="G266" t="s">
        <v>33138</v>
      </c>
      <c r="H266" t="s">
        <v>33139</v>
      </c>
      <c r="I266" t="s">
        <v>33140</v>
      </c>
      <c r="J266" t="s">
        <v>31654</v>
      </c>
      <c r="K266">
        <v>2008</v>
      </c>
      <c r="L266" s="1">
        <v>39778</v>
      </c>
      <c r="M266" t="s">
        <v>33141</v>
      </c>
      <c r="N266" t="s">
        <v>33142</v>
      </c>
      <c r="O266" t="s">
        <v>33143</v>
      </c>
    </row>
    <row r="267" spans="1:15" x14ac:dyDescent="0.15">
      <c r="A267">
        <v>31017389</v>
      </c>
      <c r="B267">
        <v>32776418</v>
      </c>
      <c r="D267">
        <v>28701473</v>
      </c>
      <c r="E267">
        <v>31926290</v>
      </c>
      <c r="F267" t="s">
        <v>33147</v>
      </c>
      <c r="G267" t="s">
        <v>33148</v>
      </c>
      <c r="H267" t="s">
        <v>33149</v>
      </c>
      <c r="I267" t="s">
        <v>33150</v>
      </c>
      <c r="J267" t="s">
        <v>33151</v>
      </c>
      <c r="K267">
        <v>2020</v>
      </c>
      <c r="L267" s="1">
        <v>43842</v>
      </c>
      <c r="O267" t="s">
        <v>33152</v>
      </c>
    </row>
    <row r="268" spans="1:15" x14ac:dyDescent="0.15">
      <c r="A268">
        <v>32929347</v>
      </c>
      <c r="B268">
        <v>34623384</v>
      </c>
      <c r="D268">
        <v>29601337</v>
      </c>
      <c r="E268">
        <v>30760538</v>
      </c>
      <c r="F268" t="s">
        <v>28039</v>
      </c>
      <c r="G268" t="s">
        <v>33153</v>
      </c>
      <c r="H268" t="s">
        <v>33154</v>
      </c>
      <c r="I268" t="s">
        <v>33155</v>
      </c>
      <c r="J268" t="s">
        <v>32570</v>
      </c>
      <c r="K268">
        <v>2019</v>
      </c>
      <c r="L268" s="1">
        <v>43511</v>
      </c>
      <c r="M268" t="s">
        <v>33156</v>
      </c>
      <c r="O268" t="s">
        <v>28048</v>
      </c>
    </row>
    <row r="269" spans="1:15" x14ac:dyDescent="0.15">
      <c r="A269">
        <v>31807735</v>
      </c>
      <c r="B269">
        <v>34047336</v>
      </c>
      <c r="D269">
        <v>34823431</v>
      </c>
      <c r="E269">
        <v>33670563</v>
      </c>
      <c r="F269" t="s">
        <v>33165</v>
      </c>
      <c r="G269" t="s">
        <v>33166</v>
      </c>
      <c r="H269" t="s">
        <v>33167</v>
      </c>
      <c r="I269" t="s">
        <v>33168</v>
      </c>
      <c r="J269" t="s">
        <v>33169</v>
      </c>
      <c r="K269">
        <v>2021</v>
      </c>
      <c r="L269" s="1">
        <v>44261</v>
      </c>
      <c r="M269" t="s">
        <v>33170</v>
      </c>
      <c r="O269" t="s">
        <v>33171</v>
      </c>
    </row>
    <row r="270" spans="1:15" x14ac:dyDescent="0.15">
      <c r="A270">
        <v>28811546</v>
      </c>
      <c r="B270">
        <v>31548226</v>
      </c>
      <c r="D270">
        <v>15111327</v>
      </c>
      <c r="E270">
        <v>32457507</v>
      </c>
      <c r="F270" t="s">
        <v>33172</v>
      </c>
      <c r="G270" t="s">
        <v>33173</v>
      </c>
      <c r="H270" t="s">
        <v>33174</v>
      </c>
      <c r="I270" t="s">
        <v>33175</v>
      </c>
      <c r="J270" t="s">
        <v>33176</v>
      </c>
      <c r="K270">
        <v>2020</v>
      </c>
      <c r="L270" s="1">
        <v>43979</v>
      </c>
      <c r="M270" t="s">
        <v>33177</v>
      </c>
      <c r="O270" t="s">
        <v>33178</v>
      </c>
    </row>
    <row r="271" spans="1:15" x14ac:dyDescent="0.15">
      <c r="A271">
        <v>29182668</v>
      </c>
      <c r="B271">
        <v>31843276</v>
      </c>
      <c r="D271">
        <v>29668342</v>
      </c>
      <c r="E271">
        <v>28410618</v>
      </c>
      <c r="F271" t="s">
        <v>33187</v>
      </c>
      <c r="G271" t="s">
        <v>33188</v>
      </c>
      <c r="H271" t="s">
        <v>33189</v>
      </c>
      <c r="I271" t="s">
        <v>33190</v>
      </c>
      <c r="J271" t="s">
        <v>30630</v>
      </c>
      <c r="K271">
        <v>2017</v>
      </c>
      <c r="L271" s="1">
        <v>42841</v>
      </c>
      <c r="M271" t="s">
        <v>33191</v>
      </c>
      <c r="O271" t="s">
        <v>33192</v>
      </c>
    </row>
    <row r="272" spans="1:15" x14ac:dyDescent="0.15">
      <c r="A272">
        <v>28696280</v>
      </c>
      <c r="B272">
        <v>23012657</v>
      </c>
      <c r="D272">
        <v>34006093</v>
      </c>
      <c r="E272">
        <v>33101266</v>
      </c>
      <c r="F272" t="s">
        <v>33193</v>
      </c>
      <c r="G272" t="s">
        <v>33194</v>
      </c>
      <c r="H272" t="s">
        <v>33195</v>
      </c>
      <c r="I272" t="s">
        <v>33196</v>
      </c>
      <c r="J272" t="s">
        <v>30713</v>
      </c>
      <c r="K272">
        <v>2020</v>
      </c>
      <c r="L272" s="1">
        <v>44130</v>
      </c>
      <c r="M272" t="s">
        <v>33197</v>
      </c>
      <c r="O272" t="s">
        <v>33198</v>
      </c>
    </row>
    <row r="273" spans="1:15" x14ac:dyDescent="0.15">
      <c r="A273">
        <v>29712935</v>
      </c>
      <c r="B273">
        <v>33711340</v>
      </c>
      <c r="D273">
        <v>32648491</v>
      </c>
      <c r="E273">
        <v>22174383</v>
      </c>
      <c r="F273" t="s">
        <v>33204</v>
      </c>
      <c r="G273" t="s">
        <v>33205</v>
      </c>
      <c r="H273" t="s">
        <v>33206</v>
      </c>
      <c r="I273" t="s">
        <v>33207</v>
      </c>
      <c r="J273" t="s">
        <v>33208</v>
      </c>
      <c r="K273">
        <v>2012</v>
      </c>
      <c r="L273" s="1">
        <v>40894</v>
      </c>
      <c r="M273" t="s">
        <v>33209</v>
      </c>
      <c r="O273" t="s">
        <v>33210</v>
      </c>
    </row>
    <row r="274" spans="1:15" x14ac:dyDescent="0.15">
      <c r="A274">
        <v>8868466</v>
      </c>
      <c r="B274">
        <v>33918465</v>
      </c>
      <c r="D274">
        <v>24152966</v>
      </c>
      <c r="E274">
        <v>26409934</v>
      </c>
      <c r="F274" t="s">
        <v>33211</v>
      </c>
      <c r="G274" t="s">
        <v>33212</v>
      </c>
      <c r="H274" t="s">
        <v>33213</v>
      </c>
      <c r="I274" t="s">
        <v>33214</v>
      </c>
      <c r="J274" t="s">
        <v>33215</v>
      </c>
      <c r="K274">
        <v>2016</v>
      </c>
      <c r="L274" s="1">
        <v>42275</v>
      </c>
      <c r="O274" t="s">
        <v>33216</v>
      </c>
    </row>
    <row r="275" spans="1:15" x14ac:dyDescent="0.15">
      <c r="A275">
        <v>30805606</v>
      </c>
      <c r="B275">
        <v>31911034</v>
      </c>
      <c r="D275">
        <v>29328915</v>
      </c>
      <c r="E275">
        <v>33232189</v>
      </c>
      <c r="F275" t="s">
        <v>33217</v>
      </c>
      <c r="G275" t="s">
        <v>33218</v>
      </c>
      <c r="H275" t="s">
        <v>33219</v>
      </c>
      <c r="I275" t="s">
        <v>33220</v>
      </c>
      <c r="J275" t="s">
        <v>30668</v>
      </c>
      <c r="K275">
        <v>2020</v>
      </c>
      <c r="L275" s="1">
        <v>44159</v>
      </c>
      <c r="O275" t="s">
        <v>33221</v>
      </c>
    </row>
    <row r="276" spans="1:15" x14ac:dyDescent="0.15">
      <c r="A276">
        <v>31475741</v>
      </c>
      <c r="B276">
        <v>32880856</v>
      </c>
      <c r="D276">
        <v>33539341</v>
      </c>
      <c r="E276">
        <v>25760330</v>
      </c>
      <c r="F276" t="s">
        <v>33229</v>
      </c>
      <c r="G276" t="s">
        <v>33230</v>
      </c>
      <c r="H276" t="s">
        <v>33231</v>
      </c>
      <c r="I276" t="s">
        <v>33232</v>
      </c>
      <c r="J276" t="s">
        <v>31933</v>
      </c>
      <c r="K276">
        <v>2015</v>
      </c>
      <c r="L276" s="1">
        <v>42075</v>
      </c>
      <c r="M276" t="s">
        <v>33233</v>
      </c>
      <c r="O276" t="s">
        <v>33234</v>
      </c>
    </row>
    <row r="277" spans="1:15" x14ac:dyDescent="0.15">
      <c r="A277">
        <v>30973950</v>
      </c>
      <c r="B277">
        <v>31893376</v>
      </c>
      <c r="D277">
        <v>33321257</v>
      </c>
      <c r="E277">
        <v>29567396</v>
      </c>
      <c r="F277" t="s">
        <v>33235</v>
      </c>
      <c r="G277" t="s">
        <v>33236</v>
      </c>
      <c r="H277" t="s">
        <v>33237</v>
      </c>
      <c r="I277" t="s">
        <v>33238</v>
      </c>
      <c r="J277" t="s">
        <v>31311</v>
      </c>
      <c r="K277">
        <v>2018</v>
      </c>
      <c r="L277" s="1">
        <v>43183</v>
      </c>
      <c r="O277" t="s">
        <v>33239</v>
      </c>
    </row>
    <row r="278" spans="1:15" x14ac:dyDescent="0.15">
      <c r="A278">
        <v>21713674</v>
      </c>
      <c r="B278">
        <v>26412464</v>
      </c>
      <c r="D278">
        <v>27863260</v>
      </c>
      <c r="E278">
        <v>23576546</v>
      </c>
      <c r="F278" t="s">
        <v>33244</v>
      </c>
      <c r="G278" t="s">
        <v>33245</v>
      </c>
      <c r="H278" t="s">
        <v>33246</v>
      </c>
      <c r="I278" t="s">
        <v>33247</v>
      </c>
      <c r="J278" t="s">
        <v>32298</v>
      </c>
      <c r="K278">
        <v>2013</v>
      </c>
      <c r="L278" s="1">
        <v>41376</v>
      </c>
      <c r="M278" t="s">
        <v>33248</v>
      </c>
      <c r="O278" t="s">
        <v>33249</v>
      </c>
    </row>
    <row r="279" spans="1:15" x14ac:dyDescent="0.15">
      <c r="A279">
        <v>31426278</v>
      </c>
      <c r="B279">
        <v>31451692</v>
      </c>
      <c r="D279">
        <v>32706245</v>
      </c>
      <c r="E279">
        <v>31704541</v>
      </c>
      <c r="F279" t="s">
        <v>33254</v>
      </c>
      <c r="G279" t="s">
        <v>33255</v>
      </c>
      <c r="H279" t="s">
        <v>33256</v>
      </c>
      <c r="I279" t="s">
        <v>33257</v>
      </c>
      <c r="J279" t="s">
        <v>33258</v>
      </c>
      <c r="K279">
        <v>2019</v>
      </c>
      <c r="L279" s="1">
        <v>43779</v>
      </c>
      <c r="O279" t="s">
        <v>33259</v>
      </c>
    </row>
    <row r="280" spans="1:15" x14ac:dyDescent="0.15">
      <c r="A280">
        <v>32883873</v>
      </c>
      <c r="B280">
        <v>26681674</v>
      </c>
      <c r="D280">
        <v>26214286</v>
      </c>
      <c r="E280">
        <v>31143191</v>
      </c>
      <c r="F280" t="s">
        <v>33264</v>
      </c>
      <c r="G280" t="s">
        <v>33265</v>
      </c>
      <c r="H280" t="s">
        <v>33266</v>
      </c>
      <c r="I280" t="s">
        <v>33267</v>
      </c>
      <c r="J280" t="s">
        <v>30713</v>
      </c>
      <c r="K280">
        <v>2019</v>
      </c>
      <c r="L280" s="1">
        <v>43616</v>
      </c>
      <c r="M280" t="s">
        <v>33268</v>
      </c>
      <c r="O280" t="s">
        <v>33269</v>
      </c>
    </row>
    <row r="281" spans="1:15" x14ac:dyDescent="0.15">
      <c r="A281">
        <v>22740476</v>
      </c>
      <c r="B281">
        <v>28975808</v>
      </c>
      <c r="D281">
        <v>2004649</v>
      </c>
      <c r="E281">
        <v>31768989</v>
      </c>
      <c r="F281" t="s">
        <v>33275</v>
      </c>
      <c r="G281" t="s">
        <v>33276</v>
      </c>
      <c r="H281" t="s">
        <v>33277</v>
      </c>
      <c r="I281" t="s">
        <v>33278</v>
      </c>
      <c r="J281" t="s">
        <v>31003</v>
      </c>
      <c r="K281">
        <v>2020</v>
      </c>
      <c r="L281" s="1">
        <v>43796</v>
      </c>
      <c r="M281" t="s">
        <v>33279</v>
      </c>
      <c r="N281" t="s">
        <v>33280</v>
      </c>
      <c r="O281" t="s">
        <v>33281</v>
      </c>
    </row>
    <row r="282" spans="1:15" x14ac:dyDescent="0.15">
      <c r="A282">
        <v>26614026</v>
      </c>
      <c r="B282">
        <v>24611950</v>
      </c>
      <c r="D282">
        <v>29282861</v>
      </c>
      <c r="E282">
        <v>19029311</v>
      </c>
      <c r="F282" t="s">
        <v>33282</v>
      </c>
      <c r="G282" t="s">
        <v>33283</v>
      </c>
      <c r="H282" t="s">
        <v>33284</v>
      </c>
      <c r="I282" t="s">
        <v>33285</v>
      </c>
      <c r="J282" t="s">
        <v>11924</v>
      </c>
      <c r="K282">
        <v>2009</v>
      </c>
      <c r="L282" s="1">
        <v>39778</v>
      </c>
      <c r="M282" t="s">
        <v>33286</v>
      </c>
      <c r="O282" t="s">
        <v>33287</v>
      </c>
    </row>
    <row r="283" spans="1:15" x14ac:dyDescent="0.15">
      <c r="A283">
        <v>29130146</v>
      </c>
      <c r="B283">
        <v>32246814</v>
      </c>
      <c r="D283">
        <v>34346466</v>
      </c>
      <c r="E283">
        <v>35349793</v>
      </c>
      <c r="F283" t="s">
        <v>33294</v>
      </c>
      <c r="G283" t="s">
        <v>33295</v>
      </c>
      <c r="H283" t="s">
        <v>33296</v>
      </c>
      <c r="I283" t="s">
        <v>33297</v>
      </c>
      <c r="J283" t="s">
        <v>32022</v>
      </c>
      <c r="K283">
        <v>2022</v>
      </c>
      <c r="L283" s="1">
        <v>44649</v>
      </c>
      <c r="O283" t="s">
        <v>33298</v>
      </c>
    </row>
    <row r="284" spans="1:15" x14ac:dyDescent="0.15">
      <c r="A284">
        <v>32600436</v>
      </c>
      <c r="B284">
        <v>30206166</v>
      </c>
      <c r="D284">
        <v>28087167</v>
      </c>
      <c r="E284">
        <v>34288927</v>
      </c>
      <c r="F284" t="s">
        <v>33299</v>
      </c>
      <c r="G284" t="s">
        <v>33300</v>
      </c>
      <c r="H284" t="s">
        <v>33301</v>
      </c>
      <c r="I284" t="s">
        <v>33302</v>
      </c>
      <c r="J284" t="s">
        <v>31639</v>
      </c>
      <c r="K284">
        <v>2021</v>
      </c>
      <c r="L284" s="1">
        <v>44398</v>
      </c>
      <c r="M284" t="s">
        <v>33303</v>
      </c>
      <c r="O284" t="s">
        <v>33304</v>
      </c>
    </row>
    <row r="285" spans="1:15" x14ac:dyDescent="0.15">
      <c r="A285">
        <v>31239778</v>
      </c>
      <c r="B285">
        <v>26462606</v>
      </c>
      <c r="D285">
        <v>33422353</v>
      </c>
      <c r="E285">
        <v>30499000</v>
      </c>
      <c r="F285" t="s">
        <v>33311</v>
      </c>
      <c r="G285" t="s">
        <v>33312</v>
      </c>
      <c r="H285" t="s">
        <v>33313</v>
      </c>
      <c r="I285" t="s">
        <v>33314</v>
      </c>
      <c r="J285" t="s">
        <v>30727</v>
      </c>
      <c r="K285">
        <v>2019</v>
      </c>
      <c r="L285" s="1">
        <v>43435</v>
      </c>
      <c r="O285" t="s">
        <v>33315</v>
      </c>
    </row>
    <row r="286" spans="1:15" x14ac:dyDescent="0.15">
      <c r="A286">
        <v>30536653</v>
      </c>
      <c r="B286">
        <v>29084979</v>
      </c>
      <c r="D286">
        <v>34008692</v>
      </c>
      <c r="E286">
        <v>27882925</v>
      </c>
      <c r="F286" t="s">
        <v>33316</v>
      </c>
      <c r="G286" t="s">
        <v>33317</v>
      </c>
      <c r="H286" t="s">
        <v>33318</v>
      </c>
      <c r="I286" t="s">
        <v>33319</v>
      </c>
      <c r="J286" t="s">
        <v>30796</v>
      </c>
      <c r="K286">
        <v>2016</v>
      </c>
      <c r="L286" s="1">
        <v>42699</v>
      </c>
      <c r="M286" t="s">
        <v>33320</v>
      </c>
      <c r="O286" t="s">
        <v>33321</v>
      </c>
    </row>
    <row r="287" spans="1:15" x14ac:dyDescent="0.15">
      <c r="A287">
        <v>30279572</v>
      </c>
      <c r="B287">
        <v>31068945</v>
      </c>
      <c r="D287">
        <v>22593716</v>
      </c>
      <c r="E287">
        <v>32444558</v>
      </c>
      <c r="F287" t="s">
        <v>33327</v>
      </c>
      <c r="G287" t="s">
        <v>33328</v>
      </c>
      <c r="H287" t="s">
        <v>33329</v>
      </c>
      <c r="I287" t="s">
        <v>33330</v>
      </c>
      <c r="J287" t="s">
        <v>33331</v>
      </c>
      <c r="K287">
        <v>2020</v>
      </c>
      <c r="L287" s="1">
        <v>43975</v>
      </c>
      <c r="O287" t="s">
        <v>33332</v>
      </c>
    </row>
    <row r="288" spans="1:15" x14ac:dyDescent="0.15">
      <c r="A288">
        <v>27611973</v>
      </c>
      <c r="B288">
        <v>32228703</v>
      </c>
      <c r="D288">
        <v>27998963</v>
      </c>
      <c r="E288">
        <v>28844893</v>
      </c>
      <c r="F288" t="s">
        <v>33337</v>
      </c>
      <c r="G288" t="s">
        <v>33338</v>
      </c>
      <c r="H288" t="s">
        <v>33339</v>
      </c>
      <c r="I288" t="s">
        <v>33340</v>
      </c>
      <c r="J288" t="s">
        <v>33341</v>
      </c>
      <c r="K288">
        <v>2017</v>
      </c>
      <c r="L288" s="1">
        <v>42976</v>
      </c>
      <c r="O288" t="s">
        <v>33342</v>
      </c>
    </row>
    <row r="289" spans="1:15" x14ac:dyDescent="0.15">
      <c r="A289">
        <v>27681879</v>
      </c>
      <c r="B289">
        <v>30358122</v>
      </c>
      <c r="D289">
        <v>23227894</v>
      </c>
      <c r="E289">
        <v>20028739</v>
      </c>
      <c r="F289" t="s">
        <v>33343</v>
      </c>
      <c r="G289" t="s">
        <v>33344</v>
      </c>
      <c r="H289" t="s">
        <v>33345</v>
      </c>
      <c r="I289" t="s">
        <v>33346</v>
      </c>
      <c r="J289" t="s">
        <v>33347</v>
      </c>
      <c r="K289">
        <v>2010</v>
      </c>
      <c r="L289" s="1">
        <v>40171</v>
      </c>
      <c r="M289" t="s">
        <v>33348</v>
      </c>
      <c r="O289" t="s">
        <v>33349</v>
      </c>
    </row>
    <row r="290" spans="1:15" x14ac:dyDescent="0.15">
      <c r="A290">
        <v>8021295</v>
      </c>
      <c r="B290">
        <v>34282051</v>
      </c>
      <c r="D290">
        <v>32169503</v>
      </c>
      <c r="E290">
        <v>31553171</v>
      </c>
      <c r="F290" t="s">
        <v>33350</v>
      </c>
      <c r="G290" t="s">
        <v>33351</v>
      </c>
      <c r="H290" t="s">
        <v>33352</v>
      </c>
      <c r="I290" t="s">
        <v>33353</v>
      </c>
      <c r="J290" t="s">
        <v>30956</v>
      </c>
      <c r="K290">
        <v>2019</v>
      </c>
      <c r="L290" s="1">
        <v>43734</v>
      </c>
      <c r="O290" t="s">
        <v>33354</v>
      </c>
    </row>
    <row r="291" spans="1:15" x14ac:dyDescent="0.15">
      <c r="A291">
        <v>25391690</v>
      </c>
      <c r="B291">
        <v>32267172</v>
      </c>
      <c r="D291">
        <v>15906406</v>
      </c>
      <c r="E291">
        <v>24067531</v>
      </c>
      <c r="F291" t="s">
        <v>33355</v>
      </c>
      <c r="G291" t="s">
        <v>33356</v>
      </c>
      <c r="H291" t="s">
        <v>33357</v>
      </c>
      <c r="I291" t="s">
        <v>33358</v>
      </c>
      <c r="J291" t="s">
        <v>33359</v>
      </c>
      <c r="K291">
        <v>2014</v>
      </c>
      <c r="L291" s="1">
        <v>41544</v>
      </c>
      <c r="O291" t="s">
        <v>33360</v>
      </c>
    </row>
    <row r="292" spans="1:15" x14ac:dyDescent="0.15">
      <c r="A292">
        <v>22626782</v>
      </c>
      <c r="B292">
        <v>31922357</v>
      </c>
      <c r="D292">
        <v>26604698</v>
      </c>
      <c r="E292">
        <v>22315426</v>
      </c>
      <c r="F292" t="s">
        <v>33361</v>
      </c>
      <c r="G292" t="s">
        <v>33362</v>
      </c>
      <c r="H292" t="s">
        <v>33363</v>
      </c>
      <c r="I292" t="s">
        <v>33364</v>
      </c>
      <c r="J292" t="s">
        <v>30767</v>
      </c>
      <c r="K292">
        <v>2012</v>
      </c>
      <c r="L292" s="1">
        <v>40948</v>
      </c>
      <c r="M292" t="s">
        <v>33365</v>
      </c>
      <c r="O292" t="s">
        <v>33366</v>
      </c>
    </row>
    <row r="293" spans="1:15" x14ac:dyDescent="0.15">
      <c r="A293">
        <v>34407610</v>
      </c>
      <c r="B293">
        <v>31281309</v>
      </c>
      <c r="D293">
        <v>1383382</v>
      </c>
      <c r="E293">
        <v>33454965</v>
      </c>
      <c r="F293" t="s">
        <v>33367</v>
      </c>
      <c r="G293" t="s">
        <v>33368</v>
      </c>
      <c r="H293" t="s">
        <v>33369</v>
      </c>
      <c r="I293" t="s">
        <v>33370</v>
      </c>
      <c r="J293" t="s">
        <v>32264</v>
      </c>
      <c r="K293">
        <v>2021</v>
      </c>
      <c r="L293" s="1">
        <v>44213</v>
      </c>
      <c r="O293" t="s">
        <v>33371</v>
      </c>
    </row>
    <row r="294" spans="1:15" x14ac:dyDescent="0.15">
      <c r="A294">
        <v>10907991</v>
      </c>
      <c r="B294">
        <v>33274611</v>
      </c>
      <c r="D294">
        <v>3753981</v>
      </c>
      <c r="E294">
        <v>27075967</v>
      </c>
      <c r="F294" t="s">
        <v>33376</v>
      </c>
      <c r="G294" t="s">
        <v>33377</v>
      </c>
      <c r="H294" t="s">
        <v>33378</v>
      </c>
      <c r="I294" t="s">
        <v>33379</v>
      </c>
      <c r="J294" t="s">
        <v>33380</v>
      </c>
      <c r="K294">
        <v>2016</v>
      </c>
      <c r="L294" s="1">
        <v>42475</v>
      </c>
      <c r="O294" t="s">
        <v>33381</v>
      </c>
    </row>
    <row r="295" spans="1:15" x14ac:dyDescent="0.15">
      <c r="A295">
        <v>8525613</v>
      </c>
      <c r="B295">
        <v>28041903</v>
      </c>
      <c r="D295">
        <v>30257227</v>
      </c>
      <c r="E295">
        <v>31015625</v>
      </c>
      <c r="F295" t="s">
        <v>33391</v>
      </c>
      <c r="G295" t="s">
        <v>33392</v>
      </c>
      <c r="H295" t="s">
        <v>33393</v>
      </c>
      <c r="I295" t="s">
        <v>33394</v>
      </c>
      <c r="J295" t="s">
        <v>33395</v>
      </c>
      <c r="K295">
        <v>2018</v>
      </c>
      <c r="L295" s="1">
        <v>43580</v>
      </c>
      <c r="O295" t="s">
        <v>33396</v>
      </c>
    </row>
    <row r="296" spans="1:15" x14ac:dyDescent="0.15">
      <c r="A296">
        <v>25206960</v>
      </c>
      <c r="B296">
        <v>32162067</v>
      </c>
      <c r="D296">
        <v>20506116</v>
      </c>
      <c r="E296">
        <v>32187520</v>
      </c>
      <c r="F296" t="s">
        <v>33401</v>
      </c>
      <c r="G296" t="s">
        <v>33402</v>
      </c>
      <c r="H296" t="s">
        <v>33403</v>
      </c>
      <c r="I296" t="s">
        <v>33404</v>
      </c>
      <c r="J296" t="s">
        <v>33405</v>
      </c>
      <c r="K296">
        <v>2020</v>
      </c>
      <c r="L296" s="1">
        <v>43909</v>
      </c>
      <c r="O296" t="s">
        <v>33406</v>
      </c>
    </row>
    <row r="297" spans="1:15" x14ac:dyDescent="0.15">
      <c r="A297">
        <v>29997623</v>
      </c>
      <c r="B297">
        <v>30102952</v>
      </c>
      <c r="D297">
        <v>20980822</v>
      </c>
      <c r="E297">
        <v>21248205</v>
      </c>
      <c r="F297" t="s">
        <v>33412</v>
      </c>
      <c r="G297" t="s">
        <v>33027</v>
      </c>
      <c r="H297" t="s">
        <v>33413</v>
      </c>
      <c r="I297" t="s">
        <v>33029</v>
      </c>
      <c r="J297" t="s">
        <v>32298</v>
      </c>
      <c r="K297">
        <v>2011</v>
      </c>
      <c r="L297" s="1">
        <v>40564</v>
      </c>
      <c r="M297" t="s">
        <v>33414</v>
      </c>
      <c r="O297" t="s">
        <v>33415</v>
      </c>
    </row>
    <row r="298" spans="1:15" x14ac:dyDescent="0.15">
      <c r="A298">
        <v>31969186</v>
      </c>
      <c r="B298">
        <v>33455159</v>
      </c>
      <c r="D298">
        <v>18007593</v>
      </c>
      <c r="E298">
        <v>34728780</v>
      </c>
      <c r="F298" t="s">
        <v>33427</v>
      </c>
      <c r="G298" t="s">
        <v>33428</v>
      </c>
      <c r="H298" t="s">
        <v>33429</v>
      </c>
      <c r="I298" t="s">
        <v>33430</v>
      </c>
      <c r="J298" t="s">
        <v>30834</v>
      </c>
      <c r="K298">
        <v>2021</v>
      </c>
      <c r="L298" s="1">
        <v>44503</v>
      </c>
      <c r="M298" t="s">
        <v>33431</v>
      </c>
      <c r="O298" t="s">
        <v>33432</v>
      </c>
    </row>
    <row r="299" spans="1:15" x14ac:dyDescent="0.15">
      <c r="A299">
        <v>20458331</v>
      </c>
      <c r="B299">
        <v>25988257</v>
      </c>
      <c r="D299">
        <v>17704127</v>
      </c>
      <c r="E299">
        <v>32824702</v>
      </c>
      <c r="F299" t="s">
        <v>33433</v>
      </c>
      <c r="G299" t="s">
        <v>33434</v>
      </c>
      <c r="H299" t="s">
        <v>33435</v>
      </c>
      <c r="I299" t="s">
        <v>33436</v>
      </c>
      <c r="J299" t="s">
        <v>30655</v>
      </c>
      <c r="K299">
        <v>2020</v>
      </c>
      <c r="L299" s="1">
        <v>44066</v>
      </c>
      <c r="M299" t="s">
        <v>33437</v>
      </c>
      <c r="O299" t="s">
        <v>33438</v>
      </c>
    </row>
    <row r="300" spans="1:15" x14ac:dyDescent="0.15">
      <c r="A300">
        <v>26530043</v>
      </c>
      <c r="B300">
        <v>32877016</v>
      </c>
      <c r="D300">
        <v>23980617</v>
      </c>
      <c r="E300">
        <v>33222670</v>
      </c>
      <c r="F300" t="s">
        <v>33439</v>
      </c>
      <c r="G300" t="s">
        <v>33440</v>
      </c>
      <c r="H300" t="s">
        <v>33441</v>
      </c>
      <c r="I300" t="s">
        <v>33442</v>
      </c>
      <c r="J300" t="s">
        <v>33443</v>
      </c>
      <c r="K300">
        <v>2021</v>
      </c>
      <c r="L300" s="1">
        <v>44158</v>
      </c>
      <c r="O300" t="s">
        <v>33444</v>
      </c>
    </row>
    <row r="301" spans="1:15" x14ac:dyDescent="0.15">
      <c r="A301">
        <v>31318684</v>
      </c>
      <c r="B301">
        <v>26150337</v>
      </c>
      <c r="D301">
        <v>29513618</v>
      </c>
      <c r="E301">
        <v>32861822</v>
      </c>
      <c r="F301" t="s">
        <v>33453</v>
      </c>
      <c r="G301" t="s">
        <v>33454</v>
      </c>
      <c r="H301" t="s">
        <v>33455</v>
      </c>
      <c r="I301" t="s">
        <v>33456</v>
      </c>
      <c r="J301" t="s">
        <v>33457</v>
      </c>
      <c r="K301">
        <v>2020</v>
      </c>
      <c r="L301" s="1">
        <v>44074</v>
      </c>
      <c r="O301" t="s">
        <v>33458</v>
      </c>
    </row>
    <row r="302" spans="1:15" x14ac:dyDescent="0.15">
      <c r="A302">
        <v>31849082</v>
      </c>
      <c r="B302">
        <v>30008386</v>
      </c>
      <c r="D302">
        <v>3335047</v>
      </c>
      <c r="E302">
        <v>32476238</v>
      </c>
      <c r="F302" t="s">
        <v>33459</v>
      </c>
      <c r="G302" t="s">
        <v>33460</v>
      </c>
      <c r="H302" t="s">
        <v>33461</v>
      </c>
      <c r="I302" t="s">
        <v>33462</v>
      </c>
      <c r="J302" t="s">
        <v>32160</v>
      </c>
      <c r="K302">
        <v>2020</v>
      </c>
      <c r="L302" s="1">
        <v>43984</v>
      </c>
      <c r="O302" t="s">
        <v>33463</v>
      </c>
    </row>
    <row r="303" spans="1:15" x14ac:dyDescent="0.15">
      <c r="A303">
        <v>27688098</v>
      </c>
      <c r="B303">
        <v>33317598</v>
      </c>
      <c r="D303">
        <v>1730636</v>
      </c>
      <c r="E303">
        <v>29243807</v>
      </c>
      <c r="F303" t="s">
        <v>33464</v>
      </c>
      <c r="G303" t="s">
        <v>33465</v>
      </c>
      <c r="H303" t="s">
        <v>33466</v>
      </c>
      <c r="I303" t="s">
        <v>33467</v>
      </c>
      <c r="J303" t="s">
        <v>30847</v>
      </c>
      <c r="K303">
        <v>2018</v>
      </c>
      <c r="L303" s="1">
        <v>43085</v>
      </c>
      <c r="O303" t="s">
        <v>33468</v>
      </c>
    </row>
    <row r="304" spans="1:15" x14ac:dyDescent="0.15">
      <c r="A304">
        <v>26302379</v>
      </c>
      <c r="B304">
        <v>34667108</v>
      </c>
      <c r="D304">
        <v>9430674</v>
      </c>
      <c r="E304">
        <v>31711714</v>
      </c>
      <c r="F304" t="s">
        <v>33469</v>
      </c>
      <c r="G304" t="s">
        <v>33470</v>
      </c>
      <c r="H304" t="s">
        <v>33471</v>
      </c>
      <c r="I304" t="s">
        <v>33472</v>
      </c>
      <c r="J304" t="s">
        <v>30613</v>
      </c>
      <c r="K304">
        <v>2020</v>
      </c>
      <c r="L304" s="1">
        <v>43782</v>
      </c>
      <c r="O304" t="s">
        <v>33473</v>
      </c>
    </row>
    <row r="305" spans="1:15" x14ac:dyDescent="0.15">
      <c r="A305">
        <v>17318626</v>
      </c>
      <c r="B305">
        <v>26604130</v>
      </c>
      <c r="D305">
        <v>17640085</v>
      </c>
      <c r="E305">
        <v>22238051</v>
      </c>
      <c r="F305" t="s">
        <v>33474</v>
      </c>
      <c r="G305" t="s">
        <v>33475</v>
      </c>
      <c r="H305" t="s">
        <v>33476</v>
      </c>
      <c r="I305" t="s">
        <v>33477</v>
      </c>
      <c r="J305" t="s">
        <v>33478</v>
      </c>
      <c r="K305">
        <v>2012</v>
      </c>
      <c r="L305" s="1">
        <v>40921</v>
      </c>
      <c r="O305" t="s">
        <v>33479</v>
      </c>
    </row>
    <row r="306" spans="1:15" x14ac:dyDescent="0.15">
      <c r="A306">
        <v>32299821</v>
      </c>
      <c r="B306">
        <v>31288510</v>
      </c>
      <c r="D306">
        <v>18426909</v>
      </c>
      <c r="E306">
        <v>30412280</v>
      </c>
      <c r="F306" t="s">
        <v>33480</v>
      </c>
      <c r="G306" t="s">
        <v>33481</v>
      </c>
      <c r="H306" t="s">
        <v>33482</v>
      </c>
      <c r="I306" t="s">
        <v>30674</v>
      </c>
      <c r="J306" t="s">
        <v>33483</v>
      </c>
      <c r="K306">
        <v>2019</v>
      </c>
      <c r="L306" s="1">
        <v>43414</v>
      </c>
      <c r="O306" t="s">
        <v>33484</v>
      </c>
    </row>
    <row r="307" spans="1:15" x14ac:dyDescent="0.15">
      <c r="A307">
        <v>14699071</v>
      </c>
      <c r="B307">
        <v>31596073</v>
      </c>
      <c r="D307">
        <v>7077301</v>
      </c>
      <c r="E307">
        <v>24211404</v>
      </c>
      <c r="F307" t="s">
        <v>33489</v>
      </c>
      <c r="G307" t="s">
        <v>33490</v>
      </c>
      <c r="H307" t="s">
        <v>33491</v>
      </c>
      <c r="I307" t="s">
        <v>33492</v>
      </c>
      <c r="J307" t="s">
        <v>33493</v>
      </c>
      <c r="K307">
        <v>2014</v>
      </c>
      <c r="L307" s="1">
        <v>41590</v>
      </c>
      <c r="O307" t="s">
        <v>33494</v>
      </c>
    </row>
    <row r="308" spans="1:15" x14ac:dyDescent="0.15">
      <c r="A308">
        <v>26311871</v>
      </c>
      <c r="B308">
        <v>33361424</v>
      </c>
      <c r="D308">
        <v>30835829</v>
      </c>
      <c r="E308">
        <v>32101730</v>
      </c>
      <c r="F308" t="s">
        <v>33495</v>
      </c>
      <c r="G308" t="s">
        <v>33496</v>
      </c>
      <c r="H308" t="s">
        <v>33497</v>
      </c>
      <c r="I308" t="s">
        <v>31845</v>
      </c>
      <c r="J308" t="s">
        <v>31376</v>
      </c>
      <c r="K308">
        <v>2020</v>
      </c>
      <c r="L308" s="1">
        <v>43888</v>
      </c>
      <c r="O308" t="s">
        <v>33498</v>
      </c>
    </row>
    <row r="309" spans="1:15" x14ac:dyDescent="0.15">
      <c r="A309">
        <v>31585042</v>
      </c>
      <c r="B309">
        <v>30915846</v>
      </c>
      <c r="D309">
        <v>15220333</v>
      </c>
      <c r="E309">
        <v>26751387</v>
      </c>
      <c r="F309" t="s">
        <v>33499</v>
      </c>
      <c r="G309" t="s">
        <v>33500</v>
      </c>
      <c r="H309" t="s">
        <v>33501</v>
      </c>
      <c r="I309" t="s">
        <v>33502</v>
      </c>
      <c r="J309" t="s">
        <v>31639</v>
      </c>
      <c r="K309">
        <v>2016</v>
      </c>
      <c r="L309" s="1">
        <v>42381</v>
      </c>
      <c r="M309" t="s">
        <v>33503</v>
      </c>
      <c r="O309" t="s">
        <v>33504</v>
      </c>
    </row>
    <row r="310" spans="1:15" x14ac:dyDescent="0.15">
      <c r="A310">
        <v>31198995</v>
      </c>
      <c r="B310">
        <v>32062572</v>
      </c>
      <c r="D310">
        <v>23806215</v>
      </c>
      <c r="E310">
        <v>20964628</v>
      </c>
      <c r="F310" t="s">
        <v>33521</v>
      </c>
      <c r="G310" t="s">
        <v>33522</v>
      </c>
      <c r="H310" t="s">
        <v>33523</v>
      </c>
      <c r="I310" t="s">
        <v>33524</v>
      </c>
      <c r="J310" t="s">
        <v>32912</v>
      </c>
      <c r="K310">
        <v>2011</v>
      </c>
      <c r="L310" s="1">
        <v>40474</v>
      </c>
      <c r="O310" t="s">
        <v>33525</v>
      </c>
    </row>
    <row r="311" spans="1:15" x14ac:dyDescent="0.15">
      <c r="A311">
        <v>27652382</v>
      </c>
      <c r="B311">
        <v>32726764</v>
      </c>
      <c r="D311">
        <v>6206833</v>
      </c>
      <c r="E311">
        <v>28669749</v>
      </c>
      <c r="F311" t="s">
        <v>33535</v>
      </c>
      <c r="G311" t="s">
        <v>33536</v>
      </c>
      <c r="H311" t="s">
        <v>33537</v>
      </c>
      <c r="I311" t="s">
        <v>31316</v>
      </c>
      <c r="J311" t="s">
        <v>33151</v>
      </c>
      <c r="K311">
        <v>2017</v>
      </c>
      <c r="L311" s="1">
        <v>42920</v>
      </c>
      <c r="O311" t="s">
        <v>33538</v>
      </c>
    </row>
    <row r="312" spans="1:15" x14ac:dyDescent="0.15">
      <c r="A312">
        <v>31892034</v>
      </c>
      <c r="B312">
        <v>35287054</v>
      </c>
      <c r="D312">
        <v>20659009</v>
      </c>
      <c r="E312">
        <v>31784837</v>
      </c>
      <c r="F312" t="s">
        <v>33539</v>
      </c>
      <c r="G312" t="s">
        <v>33540</v>
      </c>
      <c r="H312" t="s">
        <v>33541</v>
      </c>
      <c r="I312" t="s">
        <v>33542</v>
      </c>
      <c r="J312" t="s">
        <v>33543</v>
      </c>
      <c r="K312">
        <v>2019</v>
      </c>
      <c r="L312" s="1">
        <v>43800</v>
      </c>
      <c r="O312" t="s">
        <v>33544</v>
      </c>
    </row>
    <row r="313" spans="1:15" x14ac:dyDescent="0.15">
      <c r="A313">
        <v>31674611</v>
      </c>
      <c r="B313">
        <v>29976662</v>
      </c>
      <c r="D313">
        <v>11929972</v>
      </c>
      <c r="E313">
        <v>31300343</v>
      </c>
      <c r="F313" t="s">
        <v>33545</v>
      </c>
      <c r="G313" t="s">
        <v>33546</v>
      </c>
      <c r="H313" t="s">
        <v>33547</v>
      </c>
      <c r="I313" t="s">
        <v>33548</v>
      </c>
      <c r="J313" t="s">
        <v>33549</v>
      </c>
      <c r="K313">
        <v>2019</v>
      </c>
      <c r="L313" s="1">
        <v>43660</v>
      </c>
      <c r="O313" t="s">
        <v>33550</v>
      </c>
    </row>
    <row r="314" spans="1:15" x14ac:dyDescent="0.15">
      <c r="A314">
        <v>28592925</v>
      </c>
      <c r="B314">
        <v>30291794</v>
      </c>
      <c r="D314">
        <v>33593396</v>
      </c>
      <c r="E314">
        <v>22438260</v>
      </c>
      <c r="F314" t="s">
        <v>33560</v>
      </c>
      <c r="G314" t="s">
        <v>33561</v>
      </c>
      <c r="H314" t="s">
        <v>33562</v>
      </c>
      <c r="I314" t="s">
        <v>33563</v>
      </c>
      <c r="J314" t="s">
        <v>33564</v>
      </c>
      <c r="K314">
        <v>2012</v>
      </c>
      <c r="L314" s="1">
        <v>40991</v>
      </c>
      <c r="O314" t="s">
        <v>33565</v>
      </c>
    </row>
    <row r="315" spans="1:15" x14ac:dyDescent="0.15">
      <c r="A315">
        <v>28709644</v>
      </c>
      <c r="B315">
        <v>29986606</v>
      </c>
      <c r="D315">
        <v>7790057</v>
      </c>
      <c r="E315">
        <v>22770246</v>
      </c>
      <c r="F315" t="s">
        <v>33566</v>
      </c>
      <c r="G315" t="s">
        <v>33567</v>
      </c>
      <c r="H315" t="s">
        <v>33568</v>
      </c>
      <c r="I315" t="s">
        <v>33569</v>
      </c>
      <c r="J315" t="s">
        <v>33570</v>
      </c>
      <c r="K315">
        <v>2012</v>
      </c>
      <c r="L315" s="1">
        <v>41100</v>
      </c>
      <c r="M315" t="s">
        <v>33571</v>
      </c>
      <c r="N315" t="s">
        <v>33572</v>
      </c>
      <c r="O315" t="s">
        <v>33573</v>
      </c>
    </row>
    <row r="316" spans="1:15" x14ac:dyDescent="0.15">
      <c r="A316">
        <v>32736263</v>
      </c>
      <c r="B316">
        <v>30279572</v>
      </c>
      <c r="D316">
        <v>3574460</v>
      </c>
      <c r="E316">
        <v>35013578</v>
      </c>
      <c r="F316" t="s">
        <v>33578</v>
      </c>
      <c r="G316" t="s">
        <v>33579</v>
      </c>
      <c r="H316" t="s">
        <v>33580</v>
      </c>
      <c r="I316" t="s">
        <v>33581</v>
      </c>
      <c r="J316" t="s">
        <v>31952</v>
      </c>
      <c r="K316">
        <v>2022</v>
      </c>
      <c r="L316" s="1">
        <v>44572</v>
      </c>
      <c r="M316" t="s">
        <v>33582</v>
      </c>
      <c r="O316" t="s">
        <v>33583</v>
      </c>
    </row>
    <row r="317" spans="1:15" x14ac:dyDescent="0.15">
      <c r="A317">
        <v>30033809</v>
      </c>
      <c r="B317">
        <v>35068480</v>
      </c>
      <c r="D317">
        <v>19458082</v>
      </c>
      <c r="E317">
        <v>24259003</v>
      </c>
      <c r="F317" t="s">
        <v>33584</v>
      </c>
      <c r="G317" t="s">
        <v>33585</v>
      </c>
      <c r="H317" t="s">
        <v>33586</v>
      </c>
      <c r="I317" t="s">
        <v>33587</v>
      </c>
      <c r="J317" t="s">
        <v>31003</v>
      </c>
      <c r="K317">
        <v>2014</v>
      </c>
      <c r="L317" s="1">
        <v>41600</v>
      </c>
      <c r="O317" t="s">
        <v>33588</v>
      </c>
    </row>
    <row r="318" spans="1:15" x14ac:dyDescent="0.15">
      <c r="A318">
        <v>21440017</v>
      </c>
      <c r="B318">
        <v>33106559</v>
      </c>
      <c r="D318">
        <v>21430174</v>
      </c>
      <c r="E318">
        <v>33892051</v>
      </c>
      <c r="F318" t="s">
        <v>33589</v>
      </c>
      <c r="G318" t="s">
        <v>33590</v>
      </c>
      <c r="H318" t="s">
        <v>33591</v>
      </c>
      <c r="I318" t="s">
        <v>33314</v>
      </c>
      <c r="J318" t="s">
        <v>33151</v>
      </c>
      <c r="K318">
        <v>2021</v>
      </c>
      <c r="L318" s="1">
        <v>44309</v>
      </c>
      <c r="O318" t="s">
        <v>33592</v>
      </c>
    </row>
    <row r="319" spans="1:15" x14ac:dyDescent="0.15">
      <c r="A319">
        <v>21705625</v>
      </c>
      <c r="B319">
        <v>31355328</v>
      </c>
      <c r="D319">
        <v>25867090</v>
      </c>
      <c r="E319">
        <v>32231001</v>
      </c>
      <c r="F319" t="s">
        <v>33602</v>
      </c>
      <c r="G319" t="s">
        <v>33603</v>
      </c>
      <c r="H319" t="s">
        <v>33604</v>
      </c>
      <c r="I319" t="s">
        <v>33605</v>
      </c>
      <c r="J319" t="s">
        <v>30655</v>
      </c>
      <c r="K319">
        <v>2020</v>
      </c>
      <c r="L319" s="1">
        <v>43923</v>
      </c>
      <c r="M319" t="s">
        <v>33606</v>
      </c>
      <c r="O319" t="s">
        <v>33607</v>
      </c>
    </row>
    <row r="320" spans="1:15" x14ac:dyDescent="0.15">
      <c r="A320">
        <v>1985097</v>
      </c>
      <c r="B320">
        <v>34960750</v>
      </c>
      <c r="D320">
        <v>21102562</v>
      </c>
      <c r="E320">
        <v>22325213</v>
      </c>
      <c r="F320" t="s">
        <v>33625</v>
      </c>
      <c r="G320" t="s">
        <v>33626</v>
      </c>
      <c r="H320" t="s">
        <v>33627</v>
      </c>
      <c r="I320" t="s">
        <v>33628</v>
      </c>
      <c r="J320" t="s">
        <v>32288</v>
      </c>
      <c r="K320">
        <v>2011</v>
      </c>
      <c r="L320" s="1">
        <v>40953</v>
      </c>
    </row>
    <row r="321" spans="1:15" x14ac:dyDescent="0.15">
      <c r="A321">
        <v>27435060</v>
      </c>
      <c r="B321">
        <v>32978452</v>
      </c>
      <c r="D321">
        <v>7961777</v>
      </c>
      <c r="E321">
        <v>31456107</v>
      </c>
      <c r="F321" t="s">
        <v>33633</v>
      </c>
      <c r="G321" t="s">
        <v>33634</v>
      </c>
      <c r="H321" t="s">
        <v>33635</v>
      </c>
      <c r="I321" t="s">
        <v>33636</v>
      </c>
      <c r="J321" t="s">
        <v>31485</v>
      </c>
      <c r="K321">
        <v>2020</v>
      </c>
      <c r="L321" s="1">
        <v>43706</v>
      </c>
      <c r="M321" t="s">
        <v>33637</v>
      </c>
      <c r="N321" t="s">
        <v>33638</v>
      </c>
      <c r="O321" t="s">
        <v>33639</v>
      </c>
    </row>
    <row r="322" spans="1:15" x14ac:dyDescent="0.15">
      <c r="A322">
        <v>32730709</v>
      </c>
      <c r="B322">
        <v>29434260</v>
      </c>
      <c r="D322">
        <v>23720022</v>
      </c>
      <c r="E322">
        <v>25210768</v>
      </c>
      <c r="F322" t="s">
        <v>33640</v>
      </c>
      <c r="G322" t="s">
        <v>33641</v>
      </c>
      <c r="H322" t="s">
        <v>33642</v>
      </c>
      <c r="I322" t="s">
        <v>33643</v>
      </c>
      <c r="J322" t="s">
        <v>31639</v>
      </c>
      <c r="K322">
        <v>2014</v>
      </c>
      <c r="L322" s="1">
        <v>41894</v>
      </c>
      <c r="M322" t="s">
        <v>33644</v>
      </c>
      <c r="O322" t="s">
        <v>33645</v>
      </c>
    </row>
    <row r="323" spans="1:15" x14ac:dyDescent="0.15">
      <c r="A323">
        <v>31794192</v>
      </c>
      <c r="B323">
        <v>30907225</v>
      </c>
      <c r="D323">
        <v>35275615</v>
      </c>
      <c r="E323">
        <v>24933019</v>
      </c>
      <c r="F323" t="s">
        <v>33649</v>
      </c>
      <c r="G323" t="s">
        <v>33650</v>
      </c>
      <c r="H323" t="s">
        <v>33651</v>
      </c>
      <c r="I323" t="s">
        <v>33652</v>
      </c>
      <c r="J323" t="s">
        <v>31639</v>
      </c>
      <c r="K323">
        <v>2014</v>
      </c>
      <c r="L323" s="1">
        <v>41807</v>
      </c>
      <c r="M323" t="s">
        <v>33653</v>
      </c>
      <c r="O323" t="s">
        <v>33654</v>
      </c>
    </row>
    <row r="324" spans="1:15" x14ac:dyDescent="0.15">
      <c r="A324">
        <v>30973972</v>
      </c>
      <c r="B324">
        <v>34747333</v>
      </c>
      <c r="D324">
        <v>34159897</v>
      </c>
      <c r="E324">
        <v>22336707</v>
      </c>
      <c r="F324" t="s">
        <v>33665</v>
      </c>
      <c r="G324" t="s">
        <v>33666</v>
      </c>
      <c r="H324" t="s">
        <v>33667</v>
      </c>
      <c r="I324" t="s">
        <v>33668</v>
      </c>
      <c r="J324" t="s">
        <v>31659</v>
      </c>
      <c r="K324">
        <v>2012</v>
      </c>
      <c r="L324" s="1">
        <v>40956</v>
      </c>
      <c r="M324" t="s">
        <v>33669</v>
      </c>
      <c r="O324" t="s">
        <v>33670</v>
      </c>
    </row>
    <row r="325" spans="1:15" x14ac:dyDescent="0.15">
      <c r="A325">
        <v>31746410</v>
      </c>
      <c r="B325">
        <v>30804548</v>
      </c>
      <c r="D325">
        <v>11142370</v>
      </c>
      <c r="E325">
        <v>33538116</v>
      </c>
      <c r="F325" t="s">
        <v>33671</v>
      </c>
      <c r="G325" t="s">
        <v>33672</v>
      </c>
      <c r="H325" t="s">
        <v>33673</v>
      </c>
      <c r="I325" t="s">
        <v>33674</v>
      </c>
      <c r="J325" t="s">
        <v>33675</v>
      </c>
      <c r="K325">
        <v>2021</v>
      </c>
      <c r="L325" s="1">
        <v>44231</v>
      </c>
      <c r="M325" t="s">
        <v>33676</v>
      </c>
      <c r="O325" t="s">
        <v>33677</v>
      </c>
    </row>
    <row r="326" spans="1:15" x14ac:dyDescent="0.15">
      <c r="A326">
        <v>19589376</v>
      </c>
      <c r="B326">
        <v>29047044</v>
      </c>
      <c r="D326">
        <v>9873029</v>
      </c>
      <c r="E326">
        <v>28383029</v>
      </c>
      <c r="F326" t="s">
        <v>33686</v>
      </c>
      <c r="G326" t="s">
        <v>33687</v>
      </c>
      <c r="H326" t="s">
        <v>33688</v>
      </c>
      <c r="I326" t="s">
        <v>33689</v>
      </c>
      <c r="J326" t="s">
        <v>30834</v>
      </c>
      <c r="K326">
        <v>2017</v>
      </c>
      <c r="L326" s="1">
        <v>42832</v>
      </c>
      <c r="M326" t="s">
        <v>33690</v>
      </c>
      <c r="O326" t="s">
        <v>33691</v>
      </c>
    </row>
    <row r="327" spans="1:15" x14ac:dyDescent="0.15">
      <c r="A327">
        <v>30411781</v>
      </c>
      <c r="B327">
        <v>31506601</v>
      </c>
      <c r="D327">
        <v>27129225</v>
      </c>
      <c r="E327">
        <v>35320943</v>
      </c>
      <c r="F327" t="s">
        <v>33692</v>
      </c>
      <c r="G327" t="s">
        <v>33693</v>
      </c>
      <c r="H327" t="s">
        <v>33694</v>
      </c>
      <c r="I327" t="s">
        <v>33695</v>
      </c>
      <c r="J327" t="s">
        <v>30713</v>
      </c>
      <c r="K327">
        <v>2022</v>
      </c>
      <c r="L327" s="1">
        <v>44644</v>
      </c>
      <c r="M327" t="s">
        <v>33696</v>
      </c>
      <c r="O327" t="s">
        <v>33697</v>
      </c>
    </row>
    <row r="328" spans="1:15" x14ac:dyDescent="0.15">
      <c r="A328">
        <v>29593276</v>
      </c>
      <c r="B328">
        <v>33048442</v>
      </c>
      <c r="D328">
        <v>16572466</v>
      </c>
      <c r="E328">
        <v>33047121</v>
      </c>
      <c r="F328" t="s">
        <v>33698</v>
      </c>
      <c r="G328" t="s">
        <v>33699</v>
      </c>
      <c r="H328" t="s">
        <v>33700</v>
      </c>
      <c r="I328" t="s">
        <v>33701</v>
      </c>
      <c r="J328" t="s">
        <v>33702</v>
      </c>
      <c r="K328">
        <v>2020</v>
      </c>
      <c r="L328" s="1">
        <v>44117</v>
      </c>
      <c r="O328" t="s">
        <v>33703</v>
      </c>
    </row>
    <row r="329" spans="1:15" x14ac:dyDescent="0.15">
      <c r="A329">
        <v>28986361</v>
      </c>
      <c r="B329">
        <v>26921248</v>
      </c>
      <c r="D329">
        <v>12686559</v>
      </c>
      <c r="E329">
        <v>30537027</v>
      </c>
      <c r="F329" t="s">
        <v>33704</v>
      </c>
      <c r="G329" t="s">
        <v>33705</v>
      </c>
      <c r="H329" t="s">
        <v>33706</v>
      </c>
      <c r="I329" t="s">
        <v>33707</v>
      </c>
      <c r="J329" t="s">
        <v>33708</v>
      </c>
      <c r="K329">
        <v>2019</v>
      </c>
      <c r="L329" s="1">
        <v>43446</v>
      </c>
      <c r="O329" t="s">
        <v>33709</v>
      </c>
    </row>
    <row r="330" spans="1:15" x14ac:dyDescent="0.15">
      <c r="A330">
        <v>7614483</v>
      </c>
      <c r="B330">
        <v>33456577</v>
      </c>
      <c r="D330">
        <v>35337361</v>
      </c>
      <c r="E330">
        <v>35057806</v>
      </c>
      <c r="F330" t="s">
        <v>33724</v>
      </c>
      <c r="G330" t="s">
        <v>33725</v>
      </c>
      <c r="H330" t="s">
        <v>33726</v>
      </c>
      <c r="I330" t="s">
        <v>33727</v>
      </c>
      <c r="J330" t="s">
        <v>30630</v>
      </c>
      <c r="K330">
        <v>2022</v>
      </c>
      <c r="L330" s="1">
        <v>44582</v>
      </c>
      <c r="M330" t="s">
        <v>33728</v>
      </c>
      <c r="O330" t="s">
        <v>33729</v>
      </c>
    </row>
    <row r="331" spans="1:15" x14ac:dyDescent="0.15">
      <c r="A331">
        <v>29434051</v>
      </c>
      <c r="B331">
        <v>24788895</v>
      </c>
      <c r="D331">
        <v>22100842</v>
      </c>
      <c r="E331">
        <v>28878382</v>
      </c>
      <c r="F331" t="s">
        <v>33730</v>
      </c>
      <c r="G331" t="s">
        <v>33731</v>
      </c>
      <c r="H331" t="s">
        <v>33732</v>
      </c>
      <c r="I331" t="s">
        <v>33733</v>
      </c>
      <c r="J331" t="s">
        <v>30834</v>
      </c>
      <c r="K331">
        <v>2017</v>
      </c>
      <c r="L331" s="1">
        <v>42986</v>
      </c>
      <c r="M331" t="s">
        <v>33734</v>
      </c>
      <c r="O331" t="s">
        <v>33735</v>
      </c>
    </row>
    <row r="332" spans="1:15" x14ac:dyDescent="0.15">
      <c r="A332">
        <v>21506015</v>
      </c>
      <c r="B332">
        <v>34906563</v>
      </c>
      <c r="D332">
        <v>15828860</v>
      </c>
      <c r="E332">
        <v>28774835</v>
      </c>
      <c r="F332" t="s">
        <v>33736</v>
      </c>
      <c r="G332" t="s">
        <v>33737</v>
      </c>
      <c r="H332" t="s">
        <v>33738</v>
      </c>
      <c r="I332" t="s">
        <v>33739</v>
      </c>
      <c r="J332" t="s">
        <v>33740</v>
      </c>
      <c r="K332">
        <v>2018</v>
      </c>
      <c r="L332" s="1">
        <v>42952</v>
      </c>
      <c r="O332" t="s">
        <v>33741</v>
      </c>
    </row>
    <row r="333" spans="1:15" x14ac:dyDescent="0.15">
      <c r="A333">
        <v>29932869</v>
      </c>
      <c r="B333">
        <v>31035752</v>
      </c>
      <c r="D333">
        <v>23530048</v>
      </c>
      <c r="E333">
        <v>22232189</v>
      </c>
      <c r="F333" t="s">
        <v>33742</v>
      </c>
      <c r="G333" t="s">
        <v>33743</v>
      </c>
      <c r="H333" t="s">
        <v>33744</v>
      </c>
      <c r="I333" t="s">
        <v>33745</v>
      </c>
      <c r="J333" t="s">
        <v>33746</v>
      </c>
      <c r="K333">
        <v>2012</v>
      </c>
      <c r="L333" s="1">
        <v>40919</v>
      </c>
      <c r="M333" t="s">
        <v>33747</v>
      </c>
      <c r="O333" t="s">
        <v>33748</v>
      </c>
    </row>
    <row r="334" spans="1:15" x14ac:dyDescent="0.15">
      <c r="A334">
        <v>27514468</v>
      </c>
      <c r="B334">
        <v>35091566</v>
      </c>
      <c r="D334">
        <v>28160602</v>
      </c>
      <c r="E334">
        <v>21670248</v>
      </c>
      <c r="F334" t="s">
        <v>33749</v>
      </c>
      <c r="G334" t="s">
        <v>33750</v>
      </c>
      <c r="H334" t="s">
        <v>33751</v>
      </c>
      <c r="I334" t="s">
        <v>33752</v>
      </c>
      <c r="J334" t="s">
        <v>30767</v>
      </c>
      <c r="K334">
        <v>2011</v>
      </c>
      <c r="L334" s="1">
        <v>40709</v>
      </c>
      <c r="M334" t="s">
        <v>33753</v>
      </c>
      <c r="O334" t="s">
        <v>33754</v>
      </c>
    </row>
    <row r="335" spans="1:15" x14ac:dyDescent="0.15">
      <c r="A335">
        <v>28821711</v>
      </c>
      <c r="B335">
        <v>33785738</v>
      </c>
      <c r="D335">
        <v>16055222</v>
      </c>
      <c r="E335">
        <v>27075363</v>
      </c>
      <c r="F335" t="s">
        <v>33758</v>
      </c>
      <c r="G335" t="s">
        <v>33759</v>
      </c>
      <c r="H335" t="s">
        <v>33760</v>
      </c>
      <c r="I335" t="s">
        <v>33761</v>
      </c>
      <c r="J335" t="s">
        <v>30740</v>
      </c>
      <c r="K335">
        <v>2016</v>
      </c>
      <c r="L335" s="1">
        <v>42475</v>
      </c>
      <c r="M335" t="s">
        <v>33762</v>
      </c>
      <c r="O335" t="s">
        <v>33763</v>
      </c>
    </row>
    <row r="336" spans="1:15" x14ac:dyDescent="0.15">
      <c r="A336">
        <v>30128086</v>
      </c>
      <c r="B336">
        <v>34887868</v>
      </c>
      <c r="D336">
        <v>9090058</v>
      </c>
      <c r="E336">
        <v>33633746</v>
      </c>
      <c r="F336" t="s">
        <v>33782</v>
      </c>
      <c r="G336" t="s">
        <v>33783</v>
      </c>
      <c r="H336" t="s">
        <v>33784</v>
      </c>
      <c r="I336" t="s">
        <v>33785</v>
      </c>
      <c r="J336" t="s">
        <v>30713</v>
      </c>
      <c r="K336">
        <v>2021</v>
      </c>
      <c r="L336" s="1">
        <v>44253</v>
      </c>
      <c r="M336" t="s">
        <v>33786</v>
      </c>
      <c r="O336" t="s">
        <v>33787</v>
      </c>
    </row>
    <row r="337" spans="1:15" x14ac:dyDescent="0.15">
      <c r="A337">
        <v>31949877</v>
      </c>
      <c r="B337">
        <v>33643547</v>
      </c>
      <c r="D337">
        <v>30227944</v>
      </c>
      <c r="E337">
        <v>32312151</v>
      </c>
      <c r="F337" t="s">
        <v>33795</v>
      </c>
      <c r="G337" t="s">
        <v>33796</v>
      </c>
      <c r="H337" t="s">
        <v>33797</v>
      </c>
      <c r="I337" t="s">
        <v>33798</v>
      </c>
      <c r="J337" t="s">
        <v>33799</v>
      </c>
      <c r="K337">
        <v>2020</v>
      </c>
      <c r="L337" s="1">
        <v>43943</v>
      </c>
      <c r="M337" t="s">
        <v>33800</v>
      </c>
      <c r="O337" t="s">
        <v>33801</v>
      </c>
    </row>
    <row r="338" spans="1:15" x14ac:dyDescent="0.15">
      <c r="A338">
        <v>7919334</v>
      </c>
      <c r="B338">
        <v>26172304</v>
      </c>
      <c r="D338">
        <v>18280237</v>
      </c>
      <c r="E338">
        <v>27097729</v>
      </c>
      <c r="F338" t="s">
        <v>33802</v>
      </c>
      <c r="G338" t="s">
        <v>33803</v>
      </c>
      <c r="H338" t="s">
        <v>33804</v>
      </c>
      <c r="I338" t="s">
        <v>33805</v>
      </c>
      <c r="J338" t="s">
        <v>31671</v>
      </c>
      <c r="K338">
        <v>2016</v>
      </c>
      <c r="L338" s="1">
        <v>42482</v>
      </c>
      <c r="M338" t="s">
        <v>33806</v>
      </c>
      <c r="O338" t="s">
        <v>33807</v>
      </c>
    </row>
    <row r="339" spans="1:15" x14ac:dyDescent="0.15">
      <c r="A339">
        <v>21410798</v>
      </c>
      <c r="B339">
        <v>31586864</v>
      </c>
      <c r="D339">
        <v>10721728</v>
      </c>
      <c r="E339">
        <v>34599143</v>
      </c>
      <c r="F339" t="s">
        <v>33810</v>
      </c>
      <c r="G339" t="s">
        <v>33811</v>
      </c>
      <c r="H339" t="s">
        <v>33812</v>
      </c>
      <c r="I339" t="s">
        <v>33813</v>
      </c>
      <c r="J339" t="s">
        <v>30733</v>
      </c>
      <c r="K339">
        <v>2021</v>
      </c>
      <c r="L339" s="1">
        <v>44471</v>
      </c>
      <c r="M339" t="s">
        <v>33814</v>
      </c>
      <c r="O339" t="s">
        <v>33815</v>
      </c>
    </row>
    <row r="340" spans="1:15" x14ac:dyDescent="0.15">
      <c r="A340">
        <v>29491838</v>
      </c>
      <c r="B340">
        <v>34214634</v>
      </c>
      <c r="D340">
        <v>17599775</v>
      </c>
      <c r="E340">
        <v>27351774</v>
      </c>
      <c r="F340" t="s">
        <v>33816</v>
      </c>
      <c r="G340" t="s">
        <v>33817</v>
      </c>
      <c r="H340" t="s">
        <v>33818</v>
      </c>
      <c r="I340" t="s">
        <v>31303</v>
      </c>
      <c r="J340" t="s">
        <v>31659</v>
      </c>
      <c r="K340">
        <v>2016</v>
      </c>
      <c r="L340" s="1">
        <v>42550</v>
      </c>
      <c r="M340" t="s">
        <v>33819</v>
      </c>
      <c r="O340" t="s">
        <v>33820</v>
      </c>
    </row>
    <row r="341" spans="1:15" x14ac:dyDescent="0.15">
      <c r="A341">
        <v>29880824</v>
      </c>
      <c r="B341">
        <v>33345401</v>
      </c>
      <c r="D341">
        <v>12069902</v>
      </c>
      <c r="E341">
        <v>33666247</v>
      </c>
      <c r="F341" t="s">
        <v>33821</v>
      </c>
      <c r="G341" t="s">
        <v>33822</v>
      </c>
      <c r="H341" t="s">
        <v>33823</v>
      </c>
      <c r="I341" t="s">
        <v>33824</v>
      </c>
      <c r="J341" t="s">
        <v>33825</v>
      </c>
      <c r="K341">
        <v>2021</v>
      </c>
      <c r="L341" s="1">
        <v>44260</v>
      </c>
      <c r="O341" t="s">
        <v>33826</v>
      </c>
    </row>
    <row r="342" spans="1:15" x14ac:dyDescent="0.15">
      <c r="A342">
        <v>20846121</v>
      </c>
      <c r="B342">
        <v>33622348</v>
      </c>
      <c r="D342">
        <v>26389589</v>
      </c>
      <c r="E342">
        <v>31511614</v>
      </c>
      <c r="F342" t="s">
        <v>33834</v>
      </c>
      <c r="G342" t="s">
        <v>33835</v>
      </c>
      <c r="H342" t="s">
        <v>33836</v>
      </c>
      <c r="I342" t="s">
        <v>33837</v>
      </c>
      <c r="J342" t="s">
        <v>30834</v>
      </c>
      <c r="K342">
        <v>2019</v>
      </c>
      <c r="L342" s="1">
        <v>43721</v>
      </c>
      <c r="M342" t="s">
        <v>33838</v>
      </c>
      <c r="O342" t="s">
        <v>33839</v>
      </c>
    </row>
    <row r="343" spans="1:15" x14ac:dyDescent="0.15">
      <c r="A343">
        <v>33274611</v>
      </c>
      <c r="B343">
        <v>28088446</v>
      </c>
      <c r="D343">
        <v>16553833</v>
      </c>
      <c r="E343">
        <v>31935901</v>
      </c>
      <c r="F343" t="s">
        <v>33842</v>
      </c>
      <c r="G343" t="s">
        <v>33843</v>
      </c>
      <c r="H343" t="s">
        <v>33844</v>
      </c>
      <c r="I343" t="s">
        <v>33845</v>
      </c>
      <c r="J343" t="s">
        <v>30655</v>
      </c>
      <c r="K343">
        <v>2020</v>
      </c>
      <c r="L343" s="1">
        <v>43846</v>
      </c>
      <c r="M343" t="s">
        <v>33846</v>
      </c>
      <c r="O343" t="s">
        <v>33847</v>
      </c>
    </row>
    <row r="344" spans="1:15" x14ac:dyDescent="0.15">
      <c r="A344">
        <v>30871557</v>
      </c>
      <c r="B344">
        <v>31371728</v>
      </c>
      <c r="D344">
        <v>10978325</v>
      </c>
      <c r="E344">
        <v>34987478</v>
      </c>
      <c r="F344" t="s">
        <v>33858</v>
      </c>
      <c r="G344" t="s">
        <v>33859</v>
      </c>
      <c r="H344" t="s">
        <v>33860</v>
      </c>
      <c r="I344" t="s">
        <v>33861</v>
      </c>
      <c r="J344" t="s">
        <v>33862</v>
      </c>
      <c r="K344">
        <v>2021</v>
      </c>
      <c r="L344" s="1">
        <v>44567</v>
      </c>
      <c r="M344" t="s">
        <v>33863</v>
      </c>
      <c r="O344" t="s">
        <v>33864</v>
      </c>
    </row>
    <row r="345" spans="1:15" x14ac:dyDescent="0.15">
      <c r="A345">
        <v>28750687</v>
      </c>
      <c r="B345">
        <v>28098260</v>
      </c>
      <c r="D345">
        <v>30718911</v>
      </c>
      <c r="E345">
        <v>25066235</v>
      </c>
      <c r="F345" t="s">
        <v>33870</v>
      </c>
      <c r="G345" t="s">
        <v>33871</v>
      </c>
      <c r="H345" t="s">
        <v>33872</v>
      </c>
      <c r="I345" t="s">
        <v>33873</v>
      </c>
      <c r="J345" t="s">
        <v>32022</v>
      </c>
      <c r="K345">
        <v>2014</v>
      </c>
      <c r="L345" s="1">
        <v>41849</v>
      </c>
      <c r="M345" t="s">
        <v>33874</v>
      </c>
      <c r="O345" t="s">
        <v>33875</v>
      </c>
    </row>
    <row r="346" spans="1:15" x14ac:dyDescent="0.15">
      <c r="A346">
        <v>17127485</v>
      </c>
      <c r="B346">
        <v>32444772</v>
      </c>
      <c r="D346">
        <v>11550206</v>
      </c>
      <c r="E346">
        <v>26574648</v>
      </c>
      <c r="F346" t="s">
        <v>33876</v>
      </c>
      <c r="G346" t="s">
        <v>33877</v>
      </c>
      <c r="H346" t="s">
        <v>33878</v>
      </c>
      <c r="I346" t="s">
        <v>33879</v>
      </c>
      <c r="J346" t="s">
        <v>31659</v>
      </c>
      <c r="K346">
        <v>2016</v>
      </c>
      <c r="L346" s="1">
        <v>42326</v>
      </c>
      <c r="M346" t="s">
        <v>33880</v>
      </c>
      <c r="O346" t="s">
        <v>33881</v>
      </c>
    </row>
    <row r="347" spans="1:15" x14ac:dyDescent="0.15">
      <c r="A347">
        <v>32858892</v>
      </c>
      <c r="B347">
        <v>34445894</v>
      </c>
      <c r="D347">
        <v>35436521</v>
      </c>
      <c r="E347">
        <v>30476045</v>
      </c>
      <c r="F347" t="s">
        <v>33887</v>
      </c>
      <c r="G347" t="s">
        <v>33888</v>
      </c>
      <c r="H347" t="s">
        <v>33889</v>
      </c>
      <c r="I347" t="s">
        <v>33890</v>
      </c>
      <c r="J347" t="s">
        <v>33891</v>
      </c>
      <c r="K347">
        <v>2019</v>
      </c>
      <c r="L347" s="1">
        <v>43431</v>
      </c>
      <c r="M347" t="s">
        <v>33892</v>
      </c>
      <c r="O347" t="s">
        <v>33893</v>
      </c>
    </row>
    <row r="348" spans="1:15" x14ac:dyDescent="0.15">
      <c r="A348">
        <v>31896748</v>
      </c>
      <c r="B348">
        <v>31232418</v>
      </c>
      <c r="D348">
        <v>11988182</v>
      </c>
      <c r="E348">
        <v>24105744</v>
      </c>
      <c r="F348" t="s">
        <v>33894</v>
      </c>
      <c r="G348" t="s">
        <v>33895</v>
      </c>
      <c r="H348" t="s">
        <v>33896</v>
      </c>
      <c r="I348" t="s">
        <v>33897</v>
      </c>
      <c r="J348" t="s">
        <v>31824</v>
      </c>
      <c r="K348">
        <v>2013</v>
      </c>
      <c r="L348" s="1">
        <v>41557</v>
      </c>
      <c r="M348" t="s">
        <v>33898</v>
      </c>
      <c r="O348" t="s">
        <v>33899</v>
      </c>
    </row>
    <row r="349" spans="1:15" x14ac:dyDescent="0.15">
      <c r="A349">
        <v>33717653</v>
      </c>
      <c r="B349">
        <v>31660081</v>
      </c>
      <c r="D349">
        <v>1944266</v>
      </c>
      <c r="E349">
        <v>27825390</v>
      </c>
      <c r="F349" t="s">
        <v>33900</v>
      </c>
      <c r="G349" t="s">
        <v>33901</v>
      </c>
      <c r="H349" t="s">
        <v>33902</v>
      </c>
      <c r="I349" t="s">
        <v>33903</v>
      </c>
      <c r="J349" t="s">
        <v>33904</v>
      </c>
      <c r="K349">
        <v>2016</v>
      </c>
      <c r="L349" s="1">
        <v>42684</v>
      </c>
      <c r="M349" t="s">
        <v>33905</v>
      </c>
      <c r="O349" t="s">
        <v>33906</v>
      </c>
    </row>
    <row r="350" spans="1:15" x14ac:dyDescent="0.15">
      <c r="A350">
        <v>27387368</v>
      </c>
      <c r="B350">
        <v>33268351</v>
      </c>
      <c r="D350">
        <v>34331845</v>
      </c>
      <c r="E350">
        <v>32934287</v>
      </c>
      <c r="F350" t="s">
        <v>33911</v>
      </c>
      <c r="G350" t="s">
        <v>33912</v>
      </c>
      <c r="H350" t="s">
        <v>33913</v>
      </c>
      <c r="I350" t="s">
        <v>33914</v>
      </c>
      <c r="J350" t="s">
        <v>30834</v>
      </c>
      <c r="K350">
        <v>2020</v>
      </c>
      <c r="L350" s="1">
        <v>44090</v>
      </c>
      <c r="M350" t="s">
        <v>33915</v>
      </c>
      <c r="O350" t="s">
        <v>33916</v>
      </c>
    </row>
    <row r="351" spans="1:15" x14ac:dyDescent="0.15">
      <c r="A351">
        <v>32902258</v>
      </c>
      <c r="B351">
        <v>32975947</v>
      </c>
      <c r="D351">
        <v>2157058</v>
      </c>
      <c r="E351">
        <v>22369922</v>
      </c>
      <c r="F351" t="s">
        <v>33917</v>
      </c>
      <c r="G351" t="s">
        <v>33918</v>
      </c>
      <c r="H351" t="s">
        <v>33919</v>
      </c>
      <c r="I351" t="s">
        <v>33920</v>
      </c>
      <c r="J351" t="s">
        <v>33740</v>
      </c>
      <c r="K351">
        <v>2012</v>
      </c>
      <c r="L351" s="1">
        <v>40968</v>
      </c>
      <c r="O351" t="s">
        <v>33921</v>
      </c>
    </row>
    <row r="352" spans="1:15" x14ac:dyDescent="0.15">
      <c r="A352">
        <v>28151481</v>
      </c>
      <c r="B352">
        <v>29109780</v>
      </c>
      <c r="D352">
        <v>2689174</v>
      </c>
      <c r="E352">
        <v>32231660</v>
      </c>
      <c r="F352" t="s">
        <v>33934</v>
      </c>
      <c r="G352" t="s">
        <v>33935</v>
      </c>
      <c r="H352" t="s">
        <v>33936</v>
      </c>
      <c r="I352" t="s">
        <v>33937</v>
      </c>
      <c r="J352" t="s">
        <v>30713</v>
      </c>
      <c r="K352">
        <v>2020</v>
      </c>
      <c r="L352" s="1">
        <v>43923</v>
      </c>
      <c r="M352" t="s">
        <v>33938</v>
      </c>
      <c r="O352" t="s">
        <v>33939</v>
      </c>
    </row>
    <row r="353" spans="1:15" x14ac:dyDescent="0.15">
      <c r="A353">
        <v>33404216</v>
      </c>
      <c r="B353">
        <v>31794834</v>
      </c>
      <c r="D353">
        <v>27345571</v>
      </c>
      <c r="E353">
        <v>30467990</v>
      </c>
      <c r="F353" t="s">
        <v>33944</v>
      </c>
      <c r="G353" t="s">
        <v>33945</v>
      </c>
      <c r="H353" t="s">
        <v>33946</v>
      </c>
      <c r="I353" t="s">
        <v>33947</v>
      </c>
      <c r="J353" t="s">
        <v>31367</v>
      </c>
      <c r="K353">
        <v>2019</v>
      </c>
      <c r="L353" s="1">
        <v>43428</v>
      </c>
      <c r="O353" t="s">
        <v>33948</v>
      </c>
    </row>
    <row r="354" spans="1:15" x14ac:dyDescent="0.15">
      <c r="A354">
        <v>31611906</v>
      </c>
      <c r="B354">
        <v>33216751</v>
      </c>
      <c r="D354">
        <v>12383240</v>
      </c>
      <c r="E354">
        <v>33713701</v>
      </c>
      <c r="F354" t="s">
        <v>33949</v>
      </c>
      <c r="G354" t="s">
        <v>33950</v>
      </c>
      <c r="H354" t="s">
        <v>33951</v>
      </c>
      <c r="I354" t="s">
        <v>33952</v>
      </c>
      <c r="J354" t="s">
        <v>31594</v>
      </c>
      <c r="K354">
        <v>2021</v>
      </c>
      <c r="L354" s="1">
        <v>44268</v>
      </c>
      <c r="M354" t="s">
        <v>33953</v>
      </c>
      <c r="O354" t="s">
        <v>33954</v>
      </c>
    </row>
    <row r="355" spans="1:15" x14ac:dyDescent="0.15">
      <c r="A355">
        <v>21461976</v>
      </c>
      <c r="B355">
        <v>33974805</v>
      </c>
      <c r="D355">
        <v>7890419</v>
      </c>
      <c r="E355">
        <v>22143786</v>
      </c>
      <c r="F355" t="s">
        <v>33960</v>
      </c>
      <c r="G355" t="s">
        <v>33961</v>
      </c>
      <c r="H355" t="s">
        <v>33962</v>
      </c>
      <c r="I355" t="s">
        <v>33963</v>
      </c>
      <c r="J355" t="s">
        <v>30767</v>
      </c>
      <c r="K355">
        <v>2011</v>
      </c>
      <c r="L355" s="1">
        <v>40884</v>
      </c>
      <c r="M355" t="s">
        <v>33964</v>
      </c>
      <c r="O355" t="s">
        <v>33965</v>
      </c>
    </row>
    <row r="356" spans="1:15" x14ac:dyDescent="0.15">
      <c r="A356">
        <v>20818482</v>
      </c>
      <c r="B356">
        <v>32663850</v>
      </c>
      <c r="D356">
        <v>31104002</v>
      </c>
      <c r="E356">
        <v>21289297</v>
      </c>
      <c r="F356" t="s">
        <v>33980</v>
      </c>
      <c r="G356" t="s">
        <v>33981</v>
      </c>
      <c r="H356" t="s">
        <v>33982</v>
      </c>
      <c r="I356" t="s">
        <v>33983</v>
      </c>
      <c r="J356" t="s">
        <v>33984</v>
      </c>
      <c r="K356">
        <v>2011</v>
      </c>
      <c r="L356" s="1">
        <v>40578</v>
      </c>
      <c r="O356" t="s">
        <v>33985</v>
      </c>
    </row>
    <row r="357" spans="1:15" x14ac:dyDescent="0.15">
      <c r="A357">
        <v>29729732</v>
      </c>
      <c r="B357">
        <v>26355701</v>
      </c>
      <c r="D357">
        <v>8599240</v>
      </c>
      <c r="E357">
        <v>34275103</v>
      </c>
      <c r="F357" t="s">
        <v>33993</v>
      </c>
      <c r="G357" t="s">
        <v>33994</v>
      </c>
      <c r="H357" t="s">
        <v>33995</v>
      </c>
      <c r="I357" t="s">
        <v>33996</v>
      </c>
      <c r="J357" t="s">
        <v>33997</v>
      </c>
      <c r="K357">
        <v>2021</v>
      </c>
      <c r="L357" s="1">
        <v>44395</v>
      </c>
      <c r="M357" t="s">
        <v>33998</v>
      </c>
      <c r="O357" t="s">
        <v>33999</v>
      </c>
    </row>
    <row r="358" spans="1:15" x14ac:dyDescent="0.15">
      <c r="A358">
        <v>14504997</v>
      </c>
      <c r="B358">
        <v>30789912</v>
      </c>
      <c r="D358">
        <v>19818712</v>
      </c>
      <c r="E358">
        <v>30928427</v>
      </c>
      <c r="F358" t="s">
        <v>34008</v>
      </c>
      <c r="G358" t="s">
        <v>34009</v>
      </c>
      <c r="H358" t="s">
        <v>34010</v>
      </c>
      <c r="I358" t="s">
        <v>34011</v>
      </c>
      <c r="J358" t="s">
        <v>32328</v>
      </c>
      <c r="K358">
        <v>2019</v>
      </c>
      <c r="L358" s="1">
        <v>43556</v>
      </c>
      <c r="O358" t="s">
        <v>34012</v>
      </c>
    </row>
    <row r="359" spans="1:15" x14ac:dyDescent="0.15">
      <c r="A359">
        <v>28275693</v>
      </c>
      <c r="B359">
        <v>31371743</v>
      </c>
      <c r="D359">
        <v>9668172</v>
      </c>
      <c r="E359">
        <v>23873874</v>
      </c>
      <c r="F359" t="s">
        <v>34017</v>
      </c>
      <c r="G359" t="s">
        <v>34018</v>
      </c>
      <c r="H359" t="s">
        <v>34019</v>
      </c>
      <c r="I359" t="s">
        <v>34020</v>
      </c>
      <c r="J359" t="s">
        <v>34021</v>
      </c>
      <c r="K359">
        <v>2014</v>
      </c>
      <c r="L359" s="1">
        <v>41478</v>
      </c>
      <c r="O359" t="s">
        <v>34022</v>
      </c>
    </row>
    <row r="360" spans="1:15" x14ac:dyDescent="0.15">
      <c r="A360">
        <v>29185455</v>
      </c>
      <c r="B360">
        <v>28828673</v>
      </c>
      <c r="D360">
        <v>7559527</v>
      </c>
      <c r="E360">
        <v>33860784</v>
      </c>
      <c r="F360" t="s">
        <v>34046</v>
      </c>
      <c r="G360" t="s">
        <v>34047</v>
      </c>
      <c r="H360" t="s">
        <v>34048</v>
      </c>
      <c r="I360" t="s">
        <v>34049</v>
      </c>
      <c r="J360" t="s">
        <v>34050</v>
      </c>
      <c r="K360">
        <v>2021</v>
      </c>
      <c r="L360" s="1">
        <v>44302</v>
      </c>
      <c r="M360" t="s">
        <v>34051</v>
      </c>
      <c r="O360" t="s">
        <v>34052</v>
      </c>
    </row>
    <row r="361" spans="1:15" x14ac:dyDescent="0.15">
      <c r="A361">
        <v>27394172</v>
      </c>
      <c r="B361">
        <v>29484596</v>
      </c>
      <c r="D361">
        <v>21478823</v>
      </c>
      <c r="E361">
        <v>32442760</v>
      </c>
      <c r="F361" t="s">
        <v>12327</v>
      </c>
      <c r="G361" t="s">
        <v>34057</v>
      </c>
      <c r="H361" t="s">
        <v>34058</v>
      </c>
      <c r="I361" t="s">
        <v>34059</v>
      </c>
      <c r="J361" t="s">
        <v>34060</v>
      </c>
      <c r="K361">
        <v>2020</v>
      </c>
      <c r="L361" s="1">
        <v>43974</v>
      </c>
      <c r="O361" t="s">
        <v>34061</v>
      </c>
    </row>
    <row r="362" spans="1:15" x14ac:dyDescent="0.15">
      <c r="A362">
        <v>31451563</v>
      </c>
      <c r="B362">
        <v>34811396</v>
      </c>
      <c r="D362">
        <v>29601331</v>
      </c>
      <c r="E362">
        <v>30146796</v>
      </c>
      <c r="F362" t="s">
        <v>34062</v>
      </c>
      <c r="G362" t="s">
        <v>34063</v>
      </c>
      <c r="H362" t="s">
        <v>34064</v>
      </c>
      <c r="I362" t="s">
        <v>34065</v>
      </c>
      <c r="J362" t="s">
        <v>30847</v>
      </c>
      <c r="K362">
        <v>2019</v>
      </c>
      <c r="L362" s="1">
        <v>43340</v>
      </c>
      <c r="O362" t="s">
        <v>34066</v>
      </c>
    </row>
    <row r="363" spans="1:15" x14ac:dyDescent="0.15">
      <c r="A363">
        <v>32644821</v>
      </c>
      <c r="B363">
        <v>29985392</v>
      </c>
      <c r="D363">
        <v>9188566</v>
      </c>
      <c r="E363">
        <v>24123326</v>
      </c>
      <c r="F363" t="s">
        <v>34067</v>
      </c>
      <c r="G363" t="s">
        <v>34068</v>
      </c>
      <c r="H363" t="s">
        <v>34069</v>
      </c>
      <c r="I363" t="s">
        <v>34070</v>
      </c>
      <c r="J363" t="s">
        <v>30893</v>
      </c>
      <c r="K363">
        <v>2014</v>
      </c>
      <c r="L363" s="1">
        <v>41562</v>
      </c>
      <c r="M363" t="s">
        <v>34071</v>
      </c>
      <c r="N363" t="s">
        <v>34072</v>
      </c>
      <c r="O363" t="s">
        <v>34073</v>
      </c>
    </row>
    <row r="364" spans="1:15" x14ac:dyDescent="0.15">
      <c r="A364">
        <v>30907225</v>
      </c>
      <c r="B364">
        <v>33661579</v>
      </c>
      <c r="D364">
        <v>32225029</v>
      </c>
      <c r="E364">
        <v>31533487</v>
      </c>
      <c r="F364" t="s">
        <v>34091</v>
      </c>
      <c r="G364" t="s">
        <v>34092</v>
      </c>
      <c r="H364" t="s">
        <v>34093</v>
      </c>
      <c r="I364" t="s">
        <v>33790</v>
      </c>
      <c r="J364" t="s">
        <v>34094</v>
      </c>
      <c r="K364">
        <v>2019</v>
      </c>
      <c r="L364" s="1">
        <v>43728</v>
      </c>
      <c r="M364" t="s">
        <v>34095</v>
      </c>
      <c r="N364" t="s">
        <v>34096</v>
      </c>
      <c r="O364" t="s">
        <v>34097</v>
      </c>
    </row>
    <row r="365" spans="1:15" x14ac:dyDescent="0.15">
      <c r="A365">
        <v>32455948</v>
      </c>
      <c r="B365">
        <v>33210708</v>
      </c>
      <c r="D365">
        <v>35545786</v>
      </c>
      <c r="E365">
        <v>18725234</v>
      </c>
      <c r="F365" t="s">
        <v>34098</v>
      </c>
      <c r="G365" t="s">
        <v>34099</v>
      </c>
      <c r="H365" t="s">
        <v>34100</v>
      </c>
      <c r="I365" t="s">
        <v>34101</v>
      </c>
      <c r="J365" t="s">
        <v>34102</v>
      </c>
      <c r="K365">
        <v>2008</v>
      </c>
      <c r="L365" s="1">
        <v>39690</v>
      </c>
      <c r="O365" t="s">
        <v>34103</v>
      </c>
    </row>
    <row r="366" spans="1:15" x14ac:dyDescent="0.15">
      <c r="A366">
        <v>30216846</v>
      </c>
      <c r="B366">
        <v>33687214</v>
      </c>
      <c r="D366">
        <v>19593443</v>
      </c>
      <c r="E366">
        <v>32004570</v>
      </c>
      <c r="F366" t="s">
        <v>34104</v>
      </c>
      <c r="G366" t="s">
        <v>34105</v>
      </c>
      <c r="H366" t="s">
        <v>34106</v>
      </c>
      <c r="I366" t="s">
        <v>34107</v>
      </c>
      <c r="J366" t="s">
        <v>30682</v>
      </c>
      <c r="K366">
        <v>2020</v>
      </c>
      <c r="L366" s="1">
        <v>43862</v>
      </c>
      <c r="O366" t="s">
        <v>34108</v>
      </c>
    </row>
    <row r="367" spans="1:15" x14ac:dyDescent="0.15">
      <c r="A367">
        <v>33268351</v>
      </c>
      <c r="B367">
        <v>33917426</v>
      </c>
      <c r="D367">
        <v>12198172</v>
      </c>
      <c r="E367">
        <v>35131372</v>
      </c>
      <c r="F367" t="s">
        <v>34120</v>
      </c>
      <c r="G367" t="s">
        <v>34121</v>
      </c>
      <c r="H367" t="s">
        <v>34122</v>
      </c>
      <c r="I367" t="s">
        <v>32672</v>
      </c>
      <c r="J367" t="s">
        <v>30926</v>
      </c>
      <c r="K367">
        <v>2022</v>
      </c>
      <c r="L367" s="1">
        <v>44600</v>
      </c>
      <c r="O367" t="s">
        <v>34123</v>
      </c>
    </row>
    <row r="368" spans="1:15" x14ac:dyDescent="0.15">
      <c r="A368">
        <v>32154493</v>
      </c>
      <c r="B368">
        <v>29500342</v>
      </c>
      <c r="D368">
        <v>19357164</v>
      </c>
      <c r="E368">
        <v>24998979</v>
      </c>
      <c r="F368" t="s">
        <v>34127</v>
      </c>
      <c r="G368" t="s">
        <v>34128</v>
      </c>
      <c r="H368" t="s">
        <v>34129</v>
      </c>
      <c r="I368" t="s">
        <v>34130</v>
      </c>
      <c r="J368" t="s">
        <v>33493</v>
      </c>
      <c r="K368">
        <v>2014</v>
      </c>
      <c r="L368" s="1">
        <v>41828</v>
      </c>
      <c r="O368" t="s">
        <v>34131</v>
      </c>
    </row>
    <row r="369" spans="1:15" x14ac:dyDescent="0.15">
      <c r="A369">
        <v>27770817</v>
      </c>
      <c r="B369">
        <v>31475741</v>
      </c>
      <c r="D369">
        <v>10772249</v>
      </c>
      <c r="E369">
        <v>27324559</v>
      </c>
      <c r="F369" t="s">
        <v>34156</v>
      </c>
      <c r="G369" t="s">
        <v>34157</v>
      </c>
      <c r="H369" t="s">
        <v>34158</v>
      </c>
      <c r="I369" t="s">
        <v>34159</v>
      </c>
      <c r="J369" t="s">
        <v>31490</v>
      </c>
      <c r="K369">
        <v>2016</v>
      </c>
      <c r="L369" s="1">
        <v>42543</v>
      </c>
      <c r="O369" t="s">
        <v>34160</v>
      </c>
    </row>
    <row r="370" spans="1:15" x14ac:dyDescent="0.15">
      <c r="A370">
        <v>25811468</v>
      </c>
      <c r="B370">
        <v>31340551</v>
      </c>
      <c r="D370">
        <v>35167425</v>
      </c>
      <c r="E370">
        <v>32089744</v>
      </c>
      <c r="F370" t="s">
        <v>34161</v>
      </c>
      <c r="G370" t="s">
        <v>34162</v>
      </c>
      <c r="H370" t="s">
        <v>34163</v>
      </c>
      <c r="I370" t="s">
        <v>34164</v>
      </c>
      <c r="J370" t="s">
        <v>30588</v>
      </c>
      <c r="K370">
        <v>2020</v>
      </c>
      <c r="L370" s="1">
        <v>43886</v>
      </c>
      <c r="M370" t="s">
        <v>34165</v>
      </c>
      <c r="O370" t="s">
        <v>34166</v>
      </c>
    </row>
    <row r="371" spans="1:15" x14ac:dyDescent="0.15">
      <c r="A371">
        <v>10600485</v>
      </c>
      <c r="B371">
        <v>32780361</v>
      </c>
      <c r="D371">
        <v>29648974</v>
      </c>
      <c r="E371">
        <v>25433011</v>
      </c>
      <c r="F371" t="s">
        <v>34167</v>
      </c>
      <c r="G371" t="s">
        <v>34168</v>
      </c>
      <c r="H371" t="s">
        <v>34169</v>
      </c>
      <c r="I371" t="s">
        <v>34170</v>
      </c>
      <c r="J371" t="s">
        <v>34171</v>
      </c>
      <c r="K371">
        <v>2015</v>
      </c>
      <c r="L371" s="1">
        <v>41973</v>
      </c>
      <c r="M371" t="s">
        <v>34172</v>
      </c>
      <c r="O371" t="s">
        <v>34173</v>
      </c>
    </row>
    <row r="372" spans="1:15" x14ac:dyDescent="0.15">
      <c r="A372">
        <v>30674533</v>
      </c>
      <c r="B372">
        <v>30111566</v>
      </c>
      <c r="D372">
        <v>31136569</v>
      </c>
      <c r="E372">
        <v>35830762</v>
      </c>
      <c r="F372" t="s">
        <v>34186</v>
      </c>
      <c r="G372" t="s">
        <v>34187</v>
      </c>
      <c r="H372" t="s">
        <v>34188</v>
      </c>
      <c r="I372" t="s">
        <v>34189</v>
      </c>
      <c r="J372" t="s">
        <v>34190</v>
      </c>
      <c r="K372">
        <v>2022</v>
      </c>
      <c r="L372" s="1">
        <v>44755</v>
      </c>
      <c r="O372" t="s">
        <v>34191</v>
      </c>
    </row>
    <row r="373" spans="1:15" x14ac:dyDescent="0.15">
      <c r="A373">
        <v>25795433</v>
      </c>
      <c r="B373">
        <v>26954233</v>
      </c>
      <c r="D373">
        <v>15998788</v>
      </c>
      <c r="E373">
        <v>22999859</v>
      </c>
      <c r="F373" t="s">
        <v>34192</v>
      </c>
      <c r="G373" t="s">
        <v>34193</v>
      </c>
      <c r="H373" t="s">
        <v>34194</v>
      </c>
      <c r="I373" t="s">
        <v>34195</v>
      </c>
      <c r="J373" t="s">
        <v>34196</v>
      </c>
      <c r="K373">
        <v>2012</v>
      </c>
      <c r="L373" s="1">
        <v>41177</v>
      </c>
      <c r="M373" t="s">
        <v>34197</v>
      </c>
      <c r="N373" t="s">
        <v>34198</v>
      </c>
      <c r="O373" t="s">
        <v>34199</v>
      </c>
    </row>
    <row r="374" spans="1:15" x14ac:dyDescent="0.15">
      <c r="A374" t="s">
        <v>74</v>
      </c>
      <c r="B374">
        <v>30488570</v>
      </c>
      <c r="D374">
        <v>31315997</v>
      </c>
      <c r="E374">
        <v>29086374</v>
      </c>
      <c r="F374" t="s">
        <v>34226</v>
      </c>
      <c r="G374" t="s">
        <v>34227</v>
      </c>
      <c r="H374" t="s">
        <v>34228</v>
      </c>
      <c r="I374" t="s">
        <v>33232</v>
      </c>
      <c r="J374" t="s">
        <v>31003</v>
      </c>
      <c r="K374">
        <v>2018</v>
      </c>
      <c r="L374" s="1">
        <v>43040</v>
      </c>
      <c r="O374" t="s">
        <v>34229</v>
      </c>
    </row>
    <row r="375" spans="1:15" x14ac:dyDescent="0.15">
      <c r="A375">
        <v>33106559</v>
      </c>
      <c r="B375">
        <v>31756034</v>
      </c>
      <c r="D375">
        <v>24923561</v>
      </c>
      <c r="E375">
        <v>26479035</v>
      </c>
      <c r="F375" t="s">
        <v>34234</v>
      </c>
      <c r="G375" t="s">
        <v>34235</v>
      </c>
      <c r="H375" t="s">
        <v>34236</v>
      </c>
      <c r="I375" t="s">
        <v>31547</v>
      </c>
      <c r="J375" t="s">
        <v>34237</v>
      </c>
      <c r="K375">
        <v>2015</v>
      </c>
      <c r="L375" s="1">
        <v>42297</v>
      </c>
      <c r="M375" t="s">
        <v>34238</v>
      </c>
      <c r="N375" t="s">
        <v>34239</v>
      </c>
      <c r="O375" t="s">
        <v>34240</v>
      </c>
    </row>
    <row r="376" spans="1:15" x14ac:dyDescent="0.15">
      <c r="A376">
        <v>33500249</v>
      </c>
      <c r="B376">
        <v>33610731</v>
      </c>
      <c r="D376">
        <v>9916777</v>
      </c>
      <c r="E376">
        <v>22683267</v>
      </c>
      <c r="F376" t="s">
        <v>34249</v>
      </c>
      <c r="G376" t="s">
        <v>34250</v>
      </c>
      <c r="H376" t="s">
        <v>34251</v>
      </c>
      <c r="I376" t="s">
        <v>34252</v>
      </c>
      <c r="J376" t="s">
        <v>32022</v>
      </c>
      <c r="K376">
        <v>2012</v>
      </c>
      <c r="L376" s="1">
        <v>41072</v>
      </c>
      <c r="M376" t="s">
        <v>34253</v>
      </c>
      <c r="N376" t="s">
        <v>34254</v>
      </c>
      <c r="O376" t="s">
        <v>34255</v>
      </c>
    </row>
    <row r="377" spans="1:15" x14ac:dyDescent="0.15">
      <c r="A377">
        <v>23958892</v>
      </c>
      <c r="B377">
        <v>25820722</v>
      </c>
      <c r="D377">
        <v>14976217</v>
      </c>
      <c r="E377">
        <v>26246139</v>
      </c>
      <c r="F377" t="s">
        <v>34265</v>
      </c>
      <c r="G377" t="s">
        <v>34266</v>
      </c>
      <c r="H377" t="s">
        <v>34267</v>
      </c>
      <c r="I377" t="s">
        <v>34268</v>
      </c>
      <c r="J377" t="s">
        <v>32819</v>
      </c>
      <c r="K377">
        <v>2015</v>
      </c>
      <c r="L377" s="1">
        <v>42223</v>
      </c>
      <c r="M377" t="s">
        <v>34269</v>
      </c>
      <c r="N377" t="s">
        <v>34270</v>
      </c>
      <c r="O377" t="s">
        <v>34271</v>
      </c>
    </row>
    <row r="378" spans="1:15" x14ac:dyDescent="0.15">
      <c r="A378">
        <v>32018116</v>
      </c>
      <c r="B378">
        <v>28811546</v>
      </c>
      <c r="D378">
        <v>9050235</v>
      </c>
      <c r="E378">
        <v>24391924</v>
      </c>
      <c r="F378" t="s">
        <v>34282</v>
      </c>
      <c r="G378" t="s">
        <v>34283</v>
      </c>
      <c r="H378" t="s">
        <v>34284</v>
      </c>
      <c r="I378" t="s">
        <v>34285</v>
      </c>
      <c r="J378" t="s">
        <v>31639</v>
      </c>
      <c r="K378">
        <v>2013</v>
      </c>
      <c r="L378" s="1">
        <v>41646</v>
      </c>
      <c r="M378" t="s">
        <v>34286</v>
      </c>
      <c r="O378" t="s">
        <v>34287</v>
      </c>
    </row>
    <row r="379" spans="1:15" x14ac:dyDescent="0.15">
      <c r="A379">
        <v>28677360</v>
      </c>
      <c r="B379">
        <v>34294160</v>
      </c>
      <c r="D379">
        <v>30317145</v>
      </c>
      <c r="E379">
        <v>34847357</v>
      </c>
      <c r="F379" t="s">
        <v>34298</v>
      </c>
      <c r="G379" t="s">
        <v>34299</v>
      </c>
      <c r="H379" t="s">
        <v>34300</v>
      </c>
      <c r="I379" t="s">
        <v>34301</v>
      </c>
      <c r="J379" t="s">
        <v>32022</v>
      </c>
      <c r="K379">
        <v>2022</v>
      </c>
      <c r="L379" s="1">
        <v>44530</v>
      </c>
      <c r="O379" t="s">
        <v>34302</v>
      </c>
    </row>
    <row r="380" spans="1:15" x14ac:dyDescent="0.15">
      <c r="A380">
        <v>33096430</v>
      </c>
      <c r="B380">
        <v>31547130</v>
      </c>
      <c r="D380">
        <v>35921289</v>
      </c>
      <c r="E380">
        <v>34083751</v>
      </c>
      <c r="F380" t="s">
        <v>34303</v>
      </c>
      <c r="G380" t="s">
        <v>34304</v>
      </c>
      <c r="H380" t="s">
        <v>34305</v>
      </c>
      <c r="I380" t="s">
        <v>34306</v>
      </c>
      <c r="J380" t="s">
        <v>34307</v>
      </c>
      <c r="K380">
        <v>2021</v>
      </c>
      <c r="L380" s="1">
        <v>44351</v>
      </c>
      <c r="M380" t="s">
        <v>34308</v>
      </c>
      <c r="O380" t="s">
        <v>34309</v>
      </c>
    </row>
    <row r="381" spans="1:15" x14ac:dyDescent="0.15">
      <c r="A381">
        <v>28177658</v>
      </c>
      <c r="B381">
        <v>34487126</v>
      </c>
      <c r="D381">
        <v>10549638</v>
      </c>
      <c r="E381">
        <v>28957874</v>
      </c>
      <c r="F381" t="s">
        <v>34310</v>
      </c>
      <c r="G381" t="s">
        <v>34311</v>
      </c>
      <c r="H381" t="s">
        <v>34312</v>
      </c>
      <c r="I381" t="s">
        <v>34313</v>
      </c>
      <c r="J381" t="s">
        <v>34314</v>
      </c>
      <c r="K381">
        <v>2018</v>
      </c>
      <c r="L381" s="1">
        <v>43007</v>
      </c>
      <c r="O381" t="s">
        <v>34315</v>
      </c>
    </row>
    <row r="382" spans="1:15" x14ac:dyDescent="0.15">
      <c r="A382">
        <v>27994032</v>
      </c>
      <c r="B382">
        <v>34042225</v>
      </c>
      <c r="D382">
        <v>23483985</v>
      </c>
      <c r="E382">
        <v>32860954</v>
      </c>
      <c r="F382" t="s">
        <v>34316</v>
      </c>
      <c r="G382" t="s">
        <v>34317</v>
      </c>
      <c r="H382" t="s">
        <v>34318</v>
      </c>
      <c r="I382" t="s">
        <v>34319</v>
      </c>
      <c r="J382" t="s">
        <v>34320</v>
      </c>
      <c r="K382">
        <v>2020</v>
      </c>
      <c r="L382" s="1">
        <v>44073</v>
      </c>
      <c r="M382" t="s">
        <v>34321</v>
      </c>
      <c r="O382" t="s">
        <v>34322</v>
      </c>
    </row>
    <row r="383" spans="1:15" x14ac:dyDescent="0.15">
      <c r="A383">
        <v>20497223</v>
      </c>
      <c r="B383">
        <v>33152356</v>
      </c>
      <c r="D383">
        <v>30030656</v>
      </c>
      <c r="E383">
        <v>30401711</v>
      </c>
      <c r="F383" t="s">
        <v>34327</v>
      </c>
      <c r="G383" t="s">
        <v>34328</v>
      </c>
      <c r="H383" t="s">
        <v>34329</v>
      </c>
      <c r="I383" t="s">
        <v>34330</v>
      </c>
      <c r="J383" t="s">
        <v>31167</v>
      </c>
      <c r="K383">
        <v>2019</v>
      </c>
      <c r="L383" s="1">
        <v>43412</v>
      </c>
      <c r="O383" t="s">
        <v>34331</v>
      </c>
    </row>
    <row r="384" spans="1:15" x14ac:dyDescent="0.15">
      <c r="A384">
        <v>30285805</v>
      </c>
      <c r="B384">
        <v>29282521</v>
      </c>
      <c r="D384">
        <v>21949810</v>
      </c>
      <c r="E384">
        <v>24726328</v>
      </c>
      <c r="F384" t="s">
        <v>34332</v>
      </c>
      <c r="G384" t="s">
        <v>34333</v>
      </c>
      <c r="H384" t="s">
        <v>34334</v>
      </c>
      <c r="I384" t="s">
        <v>30674</v>
      </c>
      <c r="J384" t="s">
        <v>32022</v>
      </c>
      <c r="K384">
        <v>2014</v>
      </c>
      <c r="L384" s="1">
        <v>41744</v>
      </c>
      <c r="M384" t="s">
        <v>34335</v>
      </c>
      <c r="N384" t="s">
        <v>34336</v>
      </c>
      <c r="O384" t="s">
        <v>34337</v>
      </c>
    </row>
    <row r="385" spans="1:15" x14ac:dyDescent="0.15">
      <c r="A385">
        <v>27959588</v>
      </c>
      <c r="B385">
        <v>34158841</v>
      </c>
      <c r="D385">
        <v>19638309</v>
      </c>
      <c r="E385">
        <v>32161398</v>
      </c>
      <c r="F385" t="s">
        <v>34338</v>
      </c>
      <c r="G385" t="s">
        <v>34339</v>
      </c>
      <c r="H385" t="s">
        <v>34340</v>
      </c>
      <c r="I385" t="s">
        <v>34341</v>
      </c>
      <c r="J385" t="s">
        <v>34342</v>
      </c>
      <c r="K385">
        <v>2020</v>
      </c>
      <c r="L385" s="1">
        <v>43903</v>
      </c>
      <c r="O385" t="s">
        <v>34343</v>
      </c>
    </row>
    <row r="386" spans="1:15" x14ac:dyDescent="0.15">
      <c r="A386">
        <v>28098260</v>
      </c>
      <c r="B386">
        <v>29727453</v>
      </c>
      <c r="D386">
        <v>32641991</v>
      </c>
      <c r="E386">
        <v>33065194</v>
      </c>
      <c r="F386" t="s">
        <v>34344</v>
      </c>
      <c r="G386" t="s">
        <v>34345</v>
      </c>
      <c r="H386" t="s">
        <v>34346</v>
      </c>
      <c r="I386" t="s">
        <v>32104</v>
      </c>
      <c r="J386" t="s">
        <v>33151</v>
      </c>
      <c r="K386">
        <v>2020</v>
      </c>
      <c r="L386" s="1">
        <v>44120</v>
      </c>
      <c r="O386" t="s">
        <v>34347</v>
      </c>
    </row>
    <row r="387" spans="1:15" x14ac:dyDescent="0.15">
      <c r="A387">
        <v>24304309</v>
      </c>
      <c r="B387">
        <v>34262675</v>
      </c>
      <c r="D387">
        <v>30538124</v>
      </c>
      <c r="E387">
        <v>33184263</v>
      </c>
      <c r="F387" t="s">
        <v>34348</v>
      </c>
      <c r="G387" t="s">
        <v>34349</v>
      </c>
      <c r="H387" t="s">
        <v>34350</v>
      </c>
      <c r="I387" t="s">
        <v>34351</v>
      </c>
      <c r="J387" t="s">
        <v>30733</v>
      </c>
      <c r="K387">
        <v>2020</v>
      </c>
      <c r="L387" s="1">
        <v>44148</v>
      </c>
      <c r="M387" t="s">
        <v>34352</v>
      </c>
      <c r="O387" t="s">
        <v>34353</v>
      </c>
    </row>
    <row r="388" spans="1:15" x14ac:dyDescent="0.15">
      <c r="A388">
        <v>9180905</v>
      </c>
      <c r="B388">
        <v>34647460</v>
      </c>
      <c r="D388">
        <v>23324612</v>
      </c>
      <c r="E388">
        <v>30369925</v>
      </c>
      <c r="F388" t="s">
        <v>34354</v>
      </c>
      <c r="G388" t="s">
        <v>34355</v>
      </c>
      <c r="H388" t="s">
        <v>34356</v>
      </c>
      <c r="I388" t="s">
        <v>34357</v>
      </c>
      <c r="J388" t="s">
        <v>30713</v>
      </c>
      <c r="K388">
        <v>2018</v>
      </c>
      <c r="L388" s="1">
        <v>43403</v>
      </c>
      <c r="M388" t="s">
        <v>34358</v>
      </c>
      <c r="O388" t="s">
        <v>34359</v>
      </c>
    </row>
    <row r="389" spans="1:15" x14ac:dyDescent="0.15">
      <c r="A389">
        <v>31856390</v>
      </c>
      <c r="B389">
        <v>33580122</v>
      </c>
      <c r="D389">
        <v>22530032</v>
      </c>
      <c r="E389">
        <v>35167807</v>
      </c>
      <c r="F389" t="s">
        <v>34364</v>
      </c>
      <c r="G389" t="s">
        <v>34365</v>
      </c>
      <c r="H389" t="s">
        <v>34366</v>
      </c>
      <c r="I389" t="s">
        <v>34367</v>
      </c>
      <c r="J389" t="s">
        <v>34368</v>
      </c>
      <c r="K389">
        <v>2022</v>
      </c>
      <c r="L389" s="1">
        <v>44607</v>
      </c>
      <c r="O389" t="s">
        <v>34369</v>
      </c>
    </row>
    <row r="390" spans="1:15" x14ac:dyDescent="0.15">
      <c r="A390" t="s">
        <v>74</v>
      </c>
      <c r="B390">
        <v>26510393</v>
      </c>
      <c r="D390">
        <v>25632158</v>
      </c>
      <c r="E390">
        <v>29216783</v>
      </c>
      <c r="F390" t="s">
        <v>34370</v>
      </c>
      <c r="G390" t="s">
        <v>34371</v>
      </c>
      <c r="H390" t="s">
        <v>34372</v>
      </c>
      <c r="I390" t="s">
        <v>32544</v>
      </c>
      <c r="J390" t="s">
        <v>34373</v>
      </c>
      <c r="K390">
        <v>2018</v>
      </c>
      <c r="L390" s="1">
        <v>43078</v>
      </c>
      <c r="O390" t="s">
        <v>34374</v>
      </c>
    </row>
    <row r="391" spans="1:15" x14ac:dyDescent="0.15">
      <c r="A391">
        <v>18694587</v>
      </c>
      <c r="B391">
        <v>32747701</v>
      </c>
      <c r="D391">
        <v>25832550</v>
      </c>
      <c r="E391">
        <v>25837312</v>
      </c>
      <c r="F391" t="s">
        <v>34375</v>
      </c>
      <c r="G391" t="s">
        <v>34376</v>
      </c>
      <c r="H391" t="s">
        <v>34377</v>
      </c>
      <c r="I391" t="s">
        <v>34378</v>
      </c>
      <c r="J391" t="s">
        <v>34244</v>
      </c>
      <c r="K391">
        <v>2015</v>
      </c>
      <c r="L391" s="1">
        <v>42098</v>
      </c>
      <c r="M391" t="s">
        <v>34379</v>
      </c>
      <c r="N391" t="s">
        <v>34380</v>
      </c>
      <c r="O391" t="s">
        <v>34381</v>
      </c>
    </row>
    <row r="392" spans="1:15" x14ac:dyDescent="0.15">
      <c r="A392">
        <v>31068945</v>
      </c>
      <c r="B392">
        <v>30338706</v>
      </c>
      <c r="D392">
        <v>17078816</v>
      </c>
      <c r="E392">
        <v>32471033</v>
      </c>
      <c r="F392" t="s">
        <v>34382</v>
      </c>
      <c r="G392" t="s">
        <v>34383</v>
      </c>
      <c r="H392" t="s">
        <v>34384</v>
      </c>
      <c r="I392" t="s">
        <v>34385</v>
      </c>
      <c r="J392" t="s">
        <v>30720</v>
      </c>
      <c r="K392">
        <v>2020</v>
      </c>
      <c r="L392" s="1">
        <v>43982</v>
      </c>
      <c r="M392" t="s">
        <v>34386</v>
      </c>
      <c r="O392" t="s">
        <v>34387</v>
      </c>
    </row>
    <row r="393" spans="1:15" x14ac:dyDescent="0.15">
      <c r="A393">
        <v>29165341</v>
      </c>
      <c r="B393">
        <v>34454177</v>
      </c>
      <c r="D393">
        <v>25326320</v>
      </c>
      <c r="E393">
        <v>33497844</v>
      </c>
      <c r="F393" t="s">
        <v>34388</v>
      </c>
      <c r="G393" t="s">
        <v>34389</v>
      </c>
      <c r="H393" t="s">
        <v>34390</v>
      </c>
      <c r="I393" t="s">
        <v>34391</v>
      </c>
      <c r="J393" t="s">
        <v>34392</v>
      </c>
      <c r="K393">
        <v>2021</v>
      </c>
      <c r="L393" s="1">
        <v>44222</v>
      </c>
      <c r="O393" t="s">
        <v>34393</v>
      </c>
    </row>
    <row r="394" spans="1:15" x14ac:dyDescent="0.15">
      <c r="A394">
        <v>31608233</v>
      </c>
      <c r="B394">
        <v>32450612</v>
      </c>
      <c r="D394">
        <v>16431988</v>
      </c>
      <c r="E394">
        <v>34020253</v>
      </c>
      <c r="F394" t="s">
        <v>34397</v>
      </c>
      <c r="G394" t="s">
        <v>34398</v>
      </c>
      <c r="H394" t="s">
        <v>34399</v>
      </c>
      <c r="I394" t="s">
        <v>34400</v>
      </c>
      <c r="J394" t="s">
        <v>32536</v>
      </c>
      <c r="K394">
        <v>2021</v>
      </c>
      <c r="L394" s="1">
        <v>44337</v>
      </c>
      <c r="O394" t="s">
        <v>34401</v>
      </c>
    </row>
    <row r="395" spans="1:15" x14ac:dyDescent="0.15">
      <c r="A395">
        <v>27919931</v>
      </c>
      <c r="B395">
        <v>33095582</v>
      </c>
      <c r="D395">
        <v>21672581</v>
      </c>
      <c r="E395">
        <v>19955569</v>
      </c>
      <c r="F395" t="s">
        <v>34405</v>
      </c>
      <c r="G395" t="s">
        <v>34406</v>
      </c>
      <c r="H395" t="s">
        <v>34407</v>
      </c>
      <c r="I395" t="s">
        <v>34408</v>
      </c>
      <c r="J395" t="s">
        <v>31594</v>
      </c>
      <c r="K395">
        <v>2010</v>
      </c>
      <c r="L395" s="1">
        <v>40151</v>
      </c>
      <c r="M395" t="s">
        <v>34409</v>
      </c>
      <c r="O395" t="s">
        <v>34410</v>
      </c>
    </row>
    <row r="396" spans="1:15" x14ac:dyDescent="0.15">
      <c r="A396">
        <v>29282521</v>
      </c>
      <c r="B396">
        <v>32730709</v>
      </c>
      <c r="D396">
        <v>22504169</v>
      </c>
      <c r="E396">
        <v>25890246</v>
      </c>
      <c r="F396" t="s">
        <v>34415</v>
      </c>
      <c r="G396" t="s">
        <v>34416</v>
      </c>
      <c r="H396" t="s">
        <v>34417</v>
      </c>
      <c r="I396" t="s">
        <v>30706</v>
      </c>
      <c r="J396" t="s">
        <v>34244</v>
      </c>
      <c r="K396">
        <v>2015</v>
      </c>
      <c r="L396" s="1">
        <v>42113</v>
      </c>
      <c r="O396" t="s">
        <v>34418</v>
      </c>
    </row>
    <row r="397" spans="1:15" x14ac:dyDescent="0.15">
      <c r="A397">
        <v>24277816</v>
      </c>
      <c r="B397">
        <v>27117590</v>
      </c>
      <c r="D397">
        <v>17546597</v>
      </c>
      <c r="E397">
        <v>34505766</v>
      </c>
      <c r="F397" t="s">
        <v>34419</v>
      </c>
      <c r="G397" t="s">
        <v>34420</v>
      </c>
      <c r="H397" t="s">
        <v>34421</v>
      </c>
      <c r="I397" t="s">
        <v>34422</v>
      </c>
      <c r="J397" t="s">
        <v>30561</v>
      </c>
      <c r="K397">
        <v>2021</v>
      </c>
      <c r="L397" s="1">
        <v>44449</v>
      </c>
      <c r="M397" t="s">
        <v>34423</v>
      </c>
      <c r="O397" t="s">
        <v>34424</v>
      </c>
    </row>
    <row r="398" spans="1:15" x14ac:dyDescent="0.15">
      <c r="A398">
        <v>9121712</v>
      </c>
      <c r="B398">
        <v>32134252</v>
      </c>
      <c r="D398">
        <v>11447124</v>
      </c>
      <c r="E398">
        <v>34400637</v>
      </c>
      <c r="F398" t="s">
        <v>34437</v>
      </c>
      <c r="G398" t="s">
        <v>34438</v>
      </c>
      <c r="H398" t="s">
        <v>34439</v>
      </c>
      <c r="I398" t="s">
        <v>33873</v>
      </c>
      <c r="J398" t="s">
        <v>30796</v>
      </c>
      <c r="K398">
        <v>2021</v>
      </c>
      <c r="L398" s="1">
        <v>44425</v>
      </c>
      <c r="M398" t="s">
        <v>34440</v>
      </c>
      <c r="O398" t="s">
        <v>34441</v>
      </c>
    </row>
    <row r="399" spans="1:15" x14ac:dyDescent="0.15">
      <c r="A399">
        <v>32229189</v>
      </c>
      <c r="B399">
        <v>34619562</v>
      </c>
      <c r="D399">
        <v>25189701</v>
      </c>
      <c r="E399">
        <v>24720881</v>
      </c>
      <c r="F399" t="s">
        <v>34454</v>
      </c>
      <c r="G399" t="s">
        <v>34455</v>
      </c>
      <c r="H399" t="s">
        <v>34456</v>
      </c>
      <c r="I399" t="s">
        <v>34457</v>
      </c>
      <c r="J399" t="s">
        <v>30812</v>
      </c>
      <c r="K399">
        <v>2014</v>
      </c>
      <c r="L399" s="1">
        <v>41741</v>
      </c>
      <c r="M399" t="s">
        <v>34458</v>
      </c>
      <c r="N399" t="s">
        <v>34459</v>
      </c>
      <c r="O399" t="s">
        <v>34460</v>
      </c>
    </row>
    <row r="400" spans="1:15" x14ac:dyDescent="0.15">
      <c r="A400">
        <v>30805914</v>
      </c>
      <c r="B400">
        <v>33850235</v>
      </c>
      <c r="D400">
        <v>26364722</v>
      </c>
      <c r="E400">
        <v>25837156</v>
      </c>
      <c r="F400" t="s">
        <v>34461</v>
      </c>
      <c r="G400" t="s">
        <v>34462</v>
      </c>
      <c r="H400" t="s">
        <v>34463</v>
      </c>
      <c r="I400" t="s">
        <v>34464</v>
      </c>
      <c r="J400" t="s">
        <v>33740</v>
      </c>
      <c r="K400">
        <v>2015</v>
      </c>
      <c r="L400" s="1">
        <v>42098</v>
      </c>
      <c r="O400" t="s">
        <v>34465</v>
      </c>
    </row>
    <row r="401" spans="1:15" x14ac:dyDescent="0.15">
      <c r="A401">
        <v>27769523</v>
      </c>
      <c r="B401">
        <v>32544093</v>
      </c>
      <c r="D401">
        <v>33690911</v>
      </c>
      <c r="E401">
        <v>34467244</v>
      </c>
      <c r="F401" t="s">
        <v>34466</v>
      </c>
      <c r="G401" t="s">
        <v>34467</v>
      </c>
      <c r="H401" t="s">
        <v>34468</v>
      </c>
      <c r="I401" t="s">
        <v>34469</v>
      </c>
      <c r="J401" t="s">
        <v>34470</v>
      </c>
      <c r="K401">
        <v>2021</v>
      </c>
      <c r="L401" s="1">
        <v>44440</v>
      </c>
      <c r="M401" t="s">
        <v>34471</v>
      </c>
      <c r="O401" t="s">
        <v>34472</v>
      </c>
    </row>
    <row r="402" spans="1:15" x14ac:dyDescent="0.15">
      <c r="A402">
        <v>19835589</v>
      </c>
      <c r="B402">
        <v>30703330</v>
      </c>
      <c r="D402">
        <v>29020613</v>
      </c>
      <c r="E402">
        <v>32082312</v>
      </c>
      <c r="F402" t="s">
        <v>34477</v>
      </c>
      <c r="G402" t="s">
        <v>34478</v>
      </c>
      <c r="H402" t="s">
        <v>34479</v>
      </c>
      <c r="I402" t="s">
        <v>34480</v>
      </c>
      <c r="J402" t="s">
        <v>30713</v>
      </c>
      <c r="K402">
        <v>2020</v>
      </c>
      <c r="L402" s="1">
        <v>43883</v>
      </c>
      <c r="M402" t="s">
        <v>34481</v>
      </c>
      <c r="O402" t="s">
        <v>34482</v>
      </c>
    </row>
    <row r="403" spans="1:15" x14ac:dyDescent="0.15">
      <c r="A403">
        <v>28210910</v>
      </c>
      <c r="B403">
        <v>30546088</v>
      </c>
      <c r="D403">
        <v>11404326</v>
      </c>
      <c r="E403">
        <v>32574550</v>
      </c>
      <c r="F403" t="s">
        <v>34486</v>
      </c>
      <c r="G403" t="s">
        <v>34487</v>
      </c>
      <c r="H403" t="s">
        <v>34488</v>
      </c>
      <c r="I403" t="s">
        <v>34489</v>
      </c>
      <c r="J403" t="s">
        <v>34490</v>
      </c>
      <c r="K403">
        <v>2020</v>
      </c>
      <c r="L403" s="1">
        <v>44006</v>
      </c>
      <c r="M403" t="s">
        <v>34491</v>
      </c>
      <c r="O403" t="s">
        <v>34492</v>
      </c>
    </row>
    <row r="404" spans="1:15" x14ac:dyDescent="0.15">
      <c r="A404">
        <v>32466233</v>
      </c>
      <c r="B404">
        <v>29562785</v>
      </c>
      <c r="D404">
        <v>14624005</v>
      </c>
      <c r="E404">
        <v>31837917</v>
      </c>
      <c r="F404" t="s">
        <v>34493</v>
      </c>
      <c r="G404" t="s">
        <v>34494</v>
      </c>
      <c r="H404" t="s">
        <v>34495</v>
      </c>
      <c r="I404" t="s">
        <v>34496</v>
      </c>
      <c r="J404" t="s">
        <v>31175</v>
      </c>
      <c r="K404">
        <v>2020</v>
      </c>
      <c r="L404" s="1">
        <v>43815</v>
      </c>
      <c r="O404" t="s">
        <v>34497</v>
      </c>
    </row>
    <row r="405" spans="1:15" x14ac:dyDescent="0.15">
      <c r="A405">
        <v>32278412</v>
      </c>
      <c r="B405">
        <v>32664737</v>
      </c>
      <c r="D405">
        <v>26073986</v>
      </c>
      <c r="E405">
        <v>21533172</v>
      </c>
      <c r="F405" t="s">
        <v>34498</v>
      </c>
      <c r="G405" t="s">
        <v>34499</v>
      </c>
      <c r="H405" t="s">
        <v>34500</v>
      </c>
      <c r="I405" t="s">
        <v>34501</v>
      </c>
      <c r="J405" t="s">
        <v>31639</v>
      </c>
      <c r="K405">
        <v>2011</v>
      </c>
      <c r="L405" s="1">
        <v>40666</v>
      </c>
      <c r="M405" t="s">
        <v>34502</v>
      </c>
      <c r="O405" t="s">
        <v>34503</v>
      </c>
    </row>
    <row r="406" spans="1:15" x14ac:dyDescent="0.15">
      <c r="A406">
        <v>28507029</v>
      </c>
      <c r="B406">
        <v>30604797</v>
      </c>
      <c r="D406">
        <v>18631361</v>
      </c>
      <c r="E406">
        <v>32628360</v>
      </c>
      <c r="F406" t="s">
        <v>34504</v>
      </c>
      <c r="G406" t="s">
        <v>34505</v>
      </c>
      <c r="H406" t="s">
        <v>34506</v>
      </c>
      <c r="I406" t="s">
        <v>34507</v>
      </c>
      <c r="J406" t="s">
        <v>34508</v>
      </c>
      <c r="K406">
        <v>2020</v>
      </c>
      <c r="L406" s="1">
        <v>44019</v>
      </c>
      <c r="M406" t="s">
        <v>34509</v>
      </c>
      <c r="O406" t="s">
        <v>34510</v>
      </c>
    </row>
    <row r="407" spans="1:15" x14ac:dyDescent="0.15">
      <c r="A407">
        <v>28376875</v>
      </c>
      <c r="B407">
        <v>25391690</v>
      </c>
      <c r="D407">
        <v>17179095</v>
      </c>
      <c r="E407">
        <v>21778410</v>
      </c>
      <c r="F407" t="s">
        <v>34511</v>
      </c>
      <c r="G407" t="s">
        <v>34512</v>
      </c>
      <c r="H407" t="s">
        <v>34513</v>
      </c>
      <c r="I407" t="s">
        <v>34514</v>
      </c>
      <c r="J407" t="s">
        <v>32570</v>
      </c>
      <c r="K407">
        <v>2011</v>
      </c>
      <c r="L407" s="1">
        <v>40747</v>
      </c>
      <c r="M407" t="s">
        <v>34515</v>
      </c>
      <c r="O407" t="s">
        <v>34516</v>
      </c>
    </row>
    <row r="408" spans="1:15" x14ac:dyDescent="0.15">
      <c r="A408">
        <v>30789912</v>
      </c>
      <c r="B408">
        <v>26968172</v>
      </c>
      <c r="D408">
        <v>30602476</v>
      </c>
      <c r="E408">
        <v>27396686</v>
      </c>
      <c r="F408" t="s">
        <v>34517</v>
      </c>
      <c r="G408" t="s">
        <v>34518</v>
      </c>
      <c r="H408" t="s">
        <v>34519</v>
      </c>
      <c r="I408" t="s">
        <v>34520</v>
      </c>
      <c r="J408" t="s">
        <v>34521</v>
      </c>
      <c r="K408">
        <v>2016</v>
      </c>
      <c r="L408" s="1">
        <v>42563</v>
      </c>
      <c r="O408" t="s">
        <v>34522</v>
      </c>
    </row>
    <row r="409" spans="1:15" x14ac:dyDescent="0.15">
      <c r="A409">
        <v>24605048</v>
      </c>
      <c r="B409">
        <v>32212674</v>
      </c>
      <c r="D409">
        <v>20660080</v>
      </c>
      <c r="E409">
        <v>22998189</v>
      </c>
      <c r="F409" t="s">
        <v>34523</v>
      </c>
      <c r="G409" t="s">
        <v>34524</v>
      </c>
      <c r="H409" t="s">
        <v>34525</v>
      </c>
      <c r="I409" t="s">
        <v>34526</v>
      </c>
      <c r="J409" t="s">
        <v>34527</v>
      </c>
      <c r="K409">
        <v>2013</v>
      </c>
      <c r="L409" s="1">
        <v>41177</v>
      </c>
      <c r="M409" t="s">
        <v>34528</v>
      </c>
      <c r="N409" t="s">
        <v>34529</v>
      </c>
      <c r="O409" t="s">
        <v>34530</v>
      </c>
    </row>
    <row r="410" spans="1:15" x14ac:dyDescent="0.15">
      <c r="A410">
        <v>33076131</v>
      </c>
      <c r="B410">
        <v>34750393</v>
      </c>
      <c r="D410">
        <v>29921699</v>
      </c>
      <c r="E410">
        <v>27169926</v>
      </c>
      <c r="F410" t="s">
        <v>34549</v>
      </c>
      <c r="G410" t="s">
        <v>34550</v>
      </c>
      <c r="H410" t="s">
        <v>34551</v>
      </c>
      <c r="I410" t="s">
        <v>34552</v>
      </c>
      <c r="J410" t="s">
        <v>34553</v>
      </c>
      <c r="K410">
        <v>2016</v>
      </c>
      <c r="L410" s="1">
        <v>42503</v>
      </c>
      <c r="O410" t="s">
        <v>34554</v>
      </c>
    </row>
    <row r="411" spans="1:15" x14ac:dyDescent="0.15">
      <c r="A411">
        <v>29849879</v>
      </c>
      <c r="B411">
        <v>29858571</v>
      </c>
      <c r="D411">
        <v>24989451</v>
      </c>
      <c r="E411">
        <v>33919158</v>
      </c>
      <c r="F411" t="s">
        <v>34555</v>
      </c>
      <c r="G411" t="s">
        <v>34556</v>
      </c>
      <c r="H411" t="s">
        <v>34557</v>
      </c>
      <c r="I411" t="s">
        <v>34558</v>
      </c>
      <c r="J411" t="s">
        <v>30655</v>
      </c>
      <c r="K411">
        <v>2021</v>
      </c>
      <c r="L411" s="1">
        <v>44316</v>
      </c>
      <c r="M411" t="s">
        <v>34559</v>
      </c>
      <c r="O411" t="s">
        <v>34560</v>
      </c>
    </row>
    <row r="412" spans="1:15" x14ac:dyDescent="0.15">
      <c r="A412">
        <v>26305810</v>
      </c>
      <c r="B412">
        <v>34247486</v>
      </c>
      <c r="D412">
        <v>18951092</v>
      </c>
      <c r="E412">
        <v>29219656</v>
      </c>
      <c r="F412" t="s">
        <v>34580</v>
      </c>
      <c r="G412" t="s">
        <v>34581</v>
      </c>
      <c r="H412" t="s">
        <v>34582</v>
      </c>
      <c r="I412" t="s">
        <v>34583</v>
      </c>
      <c r="J412" t="s">
        <v>31991</v>
      </c>
      <c r="K412">
        <v>2018</v>
      </c>
      <c r="L412" s="1">
        <v>43078</v>
      </c>
      <c r="M412" t="s">
        <v>34584</v>
      </c>
      <c r="O412" t="s">
        <v>34585</v>
      </c>
    </row>
    <row r="413" spans="1:15" x14ac:dyDescent="0.15">
      <c r="A413">
        <v>30734607</v>
      </c>
      <c r="B413">
        <v>31387924</v>
      </c>
      <c r="D413">
        <v>15489286</v>
      </c>
      <c r="E413">
        <v>32267490</v>
      </c>
      <c r="F413" t="s">
        <v>34586</v>
      </c>
      <c r="G413" t="s">
        <v>34587</v>
      </c>
      <c r="H413" t="s">
        <v>34588</v>
      </c>
      <c r="I413" t="s">
        <v>34589</v>
      </c>
      <c r="J413" t="s">
        <v>34050</v>
      </c>
      <c r="K413">
        <v>2020</v>
      </c>
      <c r="L413" s="1">
        <v>43930</v>
      </c>
      <c r="M413" t="s">
        <v>34590</v>
      </c>
      <c r="O413" t="s">
        <v>34591</v>
      </c>
    </row>
    <row r="414" spans="1:15" x14ac:dyDescent="0.15">
      <c r="A414">
        <v>24815811</v>
      </c>
      <c r="B414">
        <v>35438977</v>
      </c>
      <c r="D414">
        <v>12947419</v>
      </c>
      <c r="E414">
        <v>33812182</v>
      </c>
      <c r="F414" t="s">
        <v>34592</v>
      </c>
      <c r="G414" t="s">
        <v>34593</v>
      </c>
      <c r="H414" t="s">
        <v>34594</v>
      </c>
      <c r="I414" t="s">
        <v>34595</v>
      </c>
      <c r="J414" t="s">
        <v>34596</v>
      </c>
      <c r="K414">
        <v>2021</v>
      </c>
      <c r="L414" s="1">
        <v>44289</v>
      </c>
      <c r="O414" t="s">
        <v>34597</v>
      </c>
    </row>
    <row r="415" spans="1:15" x14ac:dyDescent="0.15">
      <c r="A415">
        <v>29710410</v>
      </c>
      <c r="B415">
        <v>33973465</v>
      </c>
      <c r="D415">
        <v>20442321</v>
      </c>
      <c r="E415">
        <v>33734019</v>
      </c>
      <c r="F415" t="s">
        <v>34605</v>
      </c>
      <c r="G415" t="s">
        <v>34606</v>
      </c>
      <c r="H415" t="s">
        <v>34607</v>
      </c>
      <c r="I415" t="s">
        <v>34608</v>
      </c>
      <c r="J415" t="s">
        <v>34026</v>
      </c>
      <c r="K415">
        <v>2022</v>
      </c>
      <c r="L415" s="1">
        <v>44273</v>
      </c>
      <c r="M415" t="s">
        <v>34609</v>
      </c>
      <c r="O415" t="s">
        <v>34610</v>
      </c>
    </row>
    <row r="416" spans="1:15" x14ac:dyDescent="0.15">
      <c r="A416">
        <v>31138576</v>
      </c>
      <c r="B416">
        <v>32962683</v>
      </c>
      <c r="D416">
        <v>24106327</v>
      </c>
      <c r="E416">
        <v>33670924</v>
      </c>
      <c r="F416" t="s">
        <v>34611</v>
      </c>
      <c r="G416" t="s">
        <v>34612</v>
      </c>
      <c r="H416" t="s">
        <v>34613</v>
      </c>
      <c r="I416" t="s">
        <v>34614</v>
      </c>
      <c r="J416" t="s">
        <v>30655</v>
      </c>
      <c r="K416">
        <v>2021</v>
      </c>
      <c r="L416" s="1">
        <v>44261</v>
      </c>
      <c r="M416" t="s">
        <v>34615</v>
      </c>
      <c r="O416" t="s">
        <v>34616</v>
      </c>
    </row>
    <row r="417" spans="1:15" x14ac:dyDescent="0.15">
      <c r="A417">
        <v>29306575</v>
      </c>
      <c r="B417">
        <v>26859882</v>
      </c>
      <c r="D417">
        <v>30521613</v>
      </c>
      <c r="E417">
        <v>31577907</v>
      </c>
      <c r="F417" t="s">
        <v>34621</v>
      </c>
      <c r="G417" t="s">
        <v>34622</v>
      </c>
      <c r="H417" t="s">
        <v>34623</v>
      </c>
      <c r="I417" t="s">
        <v>34624</v>
      </c>
      <c r="J417" t="s">
        <v>30668</v>
      </c>
      <c r="K417">
        <v>2020</v>
      </c>
      <c r="L417" s="1">
        <v>43741</v>
      </c>
      <c r="O417" t="s">
        <v>34625</v>
      </c>
    </row>
    <row r="418" spans="1:15" x14ac:dyDescent="0.15">
      <c r="A418">
        <v>24777121</v>
      </c>
      <c r="B418">
        <v>34215331</v>
      </c>
      <c r="D418">
        <v>26222026</v>
      </c>
      <c r="E418">
        <v>27191915</v>
      </c>
      <c r="F418" t="s">
        <v>34634</v>
      </c>
      <c r="G418" t="s">
        <v>34635</v>
      </c>
      <c r="H418" t="s">
        <v>34636</v>
      </c>
      <c r="I418" t="s">
        <v>34637</v>
      </c>
      <c r="J418" t="s">
        <v>34638</v>
      </c>
      <c r="K418">
        <v>2016</v>
      </c>
      <c r="L418" s="1">
        <v>42509</v>
      </c>
      <c r="O418" t="s">
        <v>34639</v>
      </c>
    </row>
    <row r="419" spans="1:15" x14ac:dyDescent="0.15">
      <c r="A419">
        <v>33355987</v>
      </c>
      <c r="B419">
        <v>33597619</v>
      </c>
      <c r="D419">
        <v>22402490</v>
      </c>
      <c r="E419">
        <v>31311428</v>
      </c>
      <c r="F419" t="s">
        <v>34648</v>
      </c>
      <c r="G419" t="s">
        <v>34649</v>
      </c>
      <c r="H419" t="s">
        <v>34650</v>
      </c>
      <c r="I419" t="s">
        <v>34651</v>
      </c>
      <c r="J419" t="s">
        <v>32691</v>
      </c>
      <c r="K419">
        <v>2019</v>
      </c>
      <c r="L419" s="1">
        <v>43664</v>
      </c>
      <c r="O419" t="s">
        <v>34652</v>
      </c>
    </row>
    <row r="420" spans="1:15" x14ac:dyDescent="0.15">
      <c r="A420">
        <v>19679100</v>
      </c>
      <c r="B420">
        <v>33720339</v>
      </c>
      <c r="D420">
        <v>31548613</v>
      </c>
      <c r="E420">
        <v>32101745</v>
      </c>
      <c r="F420" t="s">
        <v>34657</v>
      </c>
      <c r="G420" t="s">
        <v>34658</v>
      </c>
      <c r="H420" t="s">
        <v>34659</v>
      </c>
      <c r="I420" t="s">
        <v>34660</v>
      </c>
      <c r="J420" t="s">
        <v>31376</v>
      </c>
      <c r="K420">
        <v>2020</v>
      </c>
      <c r="L420" s="1">
        <v>43888</v>
      </c>
      <c r="O420" t="s">
        <v>34661</v>
      </c>
    </row>
    <row r="421" spans="1:15" x14ac:dyDescent="0.15">
      <c r="A421">
        <v>31232418</v>
      </c>
      <c r="B421">
        <v>33903726</v>
      </c>
      <c r="D421">
        <v>16285928</v>
      </c>
      <c r="E421">
        <v>33938882</v>
      </c>
      <c r="F421" t="s">
        <v>34668</v>
      </c>
      <c r="G421" t="s">
        <v>34669</v>
      </c>
      <c r="H421" t="s">
        <v>34670</v>
      </c>
      <c r="I421" t="s">
        <v>34671</v>
      </c>
      <c r="J421" t="s">
        <v>30853</v>
      </c>
      <c r="K421">
        <v>2021</v>
      </c>
      <c r="L421" s="1">
        <v>44319</v>
      </c>
      <c r="O421" t="s">
        <v>34672</v>
      </c>
    </row>
    <row r="422" spans="1:15" x14ac:dyDescent="0.15">
      <c r="A422">
        <v>32544093</v>
      </c>
      <c r="B422">
        <v>33169793</v>
      </c>
      <c r="D422">
        <v>24937447</v>
      </c>
      <c r="E422">
        <v>23526637</v>
      </c>
      <c r="F422" t="s">
        <v>34690</v>
      </c>
      <c r="G422" t="s">
        <v>34691</v>
      </c>
      <c r="H422" t="s">
        <v>34692</v>
      </c>
      <c r="I422" t="s">
        <v>33232</v>
      </c>
      <c r="J422" t="s">
        <v>33483</v>
      </c>
      <c r="K422">
        <v>2013</v>
      </c>
      <c r="L422" s="1">
        <v>41359</v>
      </c>
      <c r="O422" t="s">
        <v>34693</v>
      </c>
    </row>
    <row r="423" spans="1:15" x14ac:dyDescent="0.15">
      <c r="A423">
        <v>28576417</v>
      </c>
      <c r="B423">
        <v>32737132</v>
      </c>
      <c r="D423">
        <v>20699273</v>
      </c>
      <c r="E423">
        <v>32819967</v>
      </c>
      <c r="F423" t="s">
        <v>34708</v>
      </c>
      <c r="G423" t="s">
        <v>34709</v>
      </c>
      <c r="H423" t="s">
        <v>34710</v>
      </c>
      <c r="I423" t="s">
        <v>34711</v>
      </c>
      <c r="J423" t="s">
        <v>34712</v>
      </c>
      <c r="K423">
        <v>2020</v>
      </c>
      <c r="L423" s="1">
        <v>44065</v>
      </c>
      <c r="M423" t="s">
        <v>34713</v>
      </c>
      <c r="N423" t="s">
        <v>34714</v>
      </c>
      <c r="O423" t="s">
        <v>34715</v>
      </c>
    </row>
    <row r="424" spans="1:15" x14ac:dyDescent="0.15">
      <c r="A424">
        <v>29921325</v>
      </c>
      <c r="B424">
        <v>26846451</v>
      </c>
      <c r="D424">
        <v>12354777</v>
      </c>
      <c r="E424">
        <v>30412034</v>
      </c>
      <c r="F424" t="s">
        <v>34716</v>
      </c>
      <c r="G424" t="s">
        <v>34717</v>
      </c>
      <c r="H424" t="s">
        <v>34718</v>
      </c>
      <c r="I424" t="s">
        <v>34719</v>
      </c>
      <c r="J424" t="s">
        <v>32691</v>
      </c>
      <c r="K424">
        <v>2019</v>
      </c>
      <c r="L424" s="1">
        <v>43414</v>
      </c>
      <c r="O424" t="s">
        <v>34720</v>
      </c>
    </row>
    <row r="425" spans="1:15" x14ac:dyDescent="0.15">
      <c r="A425">
        <v>28811647</v>
      </c>
      <c r="B425">
        <v>34127763</v>
      </c>
      <c r="D425">
        <v>25795540</v>
      </c>
      <c r="E425">
        <v>19950695</v>
      </c>
      <c r="F425" t="s">
        <v>34725</v>
      </c>
      <c r="G425" t="s">
        <v>34726</v>
      </c>
      <c r="H425" t="s">
        <v>34727</v>
      </c>
      <c r="I425" t="s">
        <v>34728</v>
      </c>
      <c r="J425" t="s">
        <v>32288</v>
      </c>
      <c r="K425">
        <v>2009</v>
      </c>
      <c r="L425" s="1">
        <v>40150</v>
      </c>
    </row>
    <row r="426" spans="1:15" x14ac:dyDescent="0.15">
      <c r="A426">
        <v>24988338</v>
      </c>
      <c r="B426">
        <v>33882455</v>
      </c>
      <c r="D426">
        <v>9973615</v>
      </c>
      <c r="E426">
        <v>35253032</v>
      </c>
      <c r="F426" t="s">
        <v>34729</v>
      </c>
      <c r="G426" t="s">
        <v>34730</v>
      </c>
      <c r="H426" t="s">
        <v>34731</v>
      </c>
      <c r="I426" t="s">
        <v>34732</v>
      </c>
      <c r="J426" t="s">
        <v>31678</v>
      </c>
      <c r="K426">
        <v>2022</v>
      </c>
      <c r="L426" s="1">
        <v>44627</v>
      </c>
      <c r="O426" t="s">
        <v>34733</v>
      </c>
    </row>
    <row r="427" spans="1:15" x14ac:dyDescent="0.15">
      <c r="A427">
        <v>30944028</v>
      </c>
      <c r="B427">
        <v>30042153</v>
      </c>
      <c r="D427">
        <v>22673524</v>
      </c>
      <c r="E427">
        <v>29355922</v>
      </c>
      <c r="F427" t="s">
        <v>34737</v>
      </c>
      <c r="G427" t="s">
        <v>34738</v>
      </c>
      <c r="H427" t="s">
        <v>34739</v>
      </c>
      <c r="I427" t="s">
        <v>34740</v>
      </c>
      <c r="J427" t="s">
        <v>31811</v>
      </c>
      <c r="K427">
        <v>2018</v>
      </c>
      <c r="L427" s="1">
        <v>43123</v>
      </c>
      <c r="O427" t="s">
        <v>34741</v>
      </c>
    </row>
    <row r="428" spans="1:15" x14ac:dyDescent="0.15">
      <c r="A428">
        <v>31234947</v>
      </c>
      <c r="B428">
        <v>31771176</v>
      </c>
      <c r="D428">
        <v>18211833</v>
      </c>
      <c r="E428">
        <v>34263556</v>
      </c>
      <c r="F428" t="s">
        <v>34747</v>
      </c>
      <c r="G428" t="s">
        <v>34748</v>
      </c>
      <c r="H428" t="s">
        <v>34749</v>
      </c>
      <c r="I428" t="s">
        <v>34750</v>
      </c>
      <c r="J428" t="s">
        <v>34751</v>
      </c>
      <c r="K428">
        <v>2021</v>
      </c>
      <c r="L428" s="1">
        <v>44392</v>
      </c>
      <c r="M428" t="s">
        <v>34752</v>
      </c>
      <c r="O428" t="s">
        <v>34753</v>
      </c>
    </row>
    <row r="429" spans="1:15" x14ac:dyDescent="0.15">
      <c r="A429">
        <v>29362731</v>
      </c>
      <c r="B429">
        <v>32556367</v>
      </c>
      <c r="D429">
        <v>15572680</v>
      </c>
      <c r="E429">
        <v>32993049</v>
      </c>
      <c r="F429" t="s">
        <v>34761</v>
      </c>
      <c r="G429" t="s">
        <v>34762</v>
      </c>
      <c r="H429" t="s">
        <v>34763</v>
      </c>
      <c r="I429" t="s">
        <v>34764</v>
      </c>
      <c r="J429" t="s">
        <v>30720</v>
      </c>
      <c r="K429">
        <v>2020</v>
      </c>
      <c r="L429" s="1">
        <v>44104</v>
      </c>
      <c r="M429" t="s">
        <v>34765</v>
      </c>
      <c r="O429" t="s">
        <v>34766</v>
      </c>
    </row>
    <row r="430" spans="1:15" x14ac:dyDescent="0.15">
      <c r="A430">
        <v>30513870</v>
      </c>
      <c r="B430">
        <v>27793845</v>
      </c>
      <c r="D430">
        <v>24003086</v>
      </c>
      <c r="E430">
        <v>25119026</v>
      </c>
      <c r="F430" t="s">
        <v>34781</v>
      </c>
      <c r="G430" t="s">
        <v>34782</v>
      </c>
      <c r="H430" t="s">
        <v>34783</v>
      </c>
      <c r="I430" t="s">
        <v>34784</v>
      </c>
      <c r="J430" t="s">
        <v>34237</v>
      </c>
      <c r="K430">
        <v>2014</v>
      </c>
      <c r="L430" s="1">
        <v>41866</v>
      </c>
      <c r="M430" t="s">
        <v>34785</v>
      </c>
      <c r="N430" t="s">
        <v>34786</v>
      </c>
      <c r="O430" t="s">
        <v>34787</v>
      </c>
    </row>
    <row r="431" spans="1:15" x14ac:dyDescent="0.15">
      <c r="A431">
        <v>20833130</v>
      </c>
      <c r="B431">
        <v>29382201</v>
      </c>
      <c r="D431">
        <v>2838722</v>
      </c>
      <c r="E431">
        <v>33002329</v>
      </c>
      <c r="F431" t="s">
        <v>34792</v>
      </c>
      <c r="G431" t="s">
        <v>34793</v>
      </c>
      <c r="H431" t="s">
        <v>34794</v>
      </c>
      <c r="I431" t="s">
        <v>34795</v>
      </c>
      <c r="J431" t="s">
        <v>31671</v>
      </c>
      <c r="K431">
        <v>2020</v>
      </c>
      <c r="L431" s="1">
        <v>44105</v>
      </c>
      <c r="M431" t="s">
        <v>34796</v>
      </c>
      <c r="O431" t="s">
        <v>34797</v>
      </c>
    </row>
    <row r="432" spans="1:15" x14ac:dyDescent="0.15">
      <c r="A432">
        <v>28751279</v>
      </c>
      <c r="B432">
        <v>32943183</v>
      </c>
      <c r="D432">
        <v>22701748</v>
      </c>
      <c r="E432">
        <v>33526923</v>
      </c>
      <c r="F432" t="s">
        <v>34798</v>
      </c>
      <c r="G432" t="s">
        <v>34799</v>
      </c>
      <c r="H432" t="s">
        <v>34800</v>
      </c>
      <c r="I432" t="s">
        <v>31849</v>
      </c>
      <c r="J432" t="s">
        <v>34801</v>
      </c>
      <c r="K432">
        <v>2021</v>
      </c>
      <c r="L432" s="1">
        <v>44229</v>
      </c>
      <c r="M432" t="s">
        <v>34802</v>
      </c>
      <c r="N432" t="s">
        <v>34803</v>
      </c>
      <c r="O432" t="s">
        <v>34804</v>
      </c>
    </row>
    <row r="433" spans="1:15" x14ac:dyDescent="0.15">
      <c r="A433">
        <v>24146982</v>
      </c>
      <c r="B433">
        <v>33380271</v>
      </c>
      <c r="D433">
        <v>21255825</v>
      </c>
      <c r="E433">
        <v>34363756</v>
      </c>
      <c r="F433" t="s">
        <v>34819</v>
      </c>
      <c r="G433" t="s">
        <v>34820</v>
      </c>
      <c r="H433" t="s">
        <v>34821</v>
      </c>
      <c r="I433" t="s">
        <v>34822</v>
      </c>
      <c r="J433" t="s">
        <v>30555</v>
      </c>
      <c r="K433">
        <v>2021</v>
      </c>
      <c r="L433" s="1">
        <v>44415</v>
      </c>
      <c r="M433" t="s">
        <v>34823</v>
      </c>
      <c r="N433" t="s">
        <v>34824</v>
      </c>
      <c r="O433" t="s">
        <v>34825</v>
      </c>
    </row>
    <row r="434" spans="1:15" x14ac:dyDescent="0.15">
      <c r="A434">
        <v>31731505</v>
      </c>
      <c r="B434">
        <v>31373041</v>
      </c>
      <c r="D434">
        <v>9891085</v>
      </c>
      <c r="E434">
        <v>19593367</v>
      </c>
      <c r="F434" t="s">
        <v>34840</v>
      </c>
      <c r="G434" t="s">
        <v>34841</v>
      </c>
      <c r="H434" t="s">
        <v>34842</v>
      </c>
      <c r="I434" t="s">
        <v>34843</v>
      </c>
      <c r="J434" t="s">
        <v>32470</v>
      </c>
      <c r="K434">
        <v>2009</v>
      </c>
      <c r="L434" s="1">
        <v>40008</v>
      </c>
      <c r="M434" t="s">
        <v>34844</v>
      </c>
      <c r="O434" t="s">
        <v>34845</v>
      </c>
    </row>
    <row r="435" spans="1:15" x14ac:dyDescent="0.15">
      <c r="A435">
        <v>32929376</v>
      </c>
      <c r="B435">
        <v>33601339</v>
      </c>
      <c r="D435">
        <v>23580640</v>
      </c>
      <c r="E435">
        <v>31504796</v>
      </c>
      <c r="F435" t="s">
        <v>34846</v>
      </c>
      <c r="G435" t="s">
        <v>34847</v>
      </c>
      <c r="H435" t="s">
        <v>34848</v>
      </c>
      <c r="I435" t="s">
        <v>34849</v>
      </c>
      <c r="J435" t="s">
        <v>33410</v>
      </c>
      <c r="K435">
        <v>2019</v>
      </c>
      <c r="L435" s="1">
        <v>43719</v>
      </c>
      <c r="M435" t="s">
        <v>34850</v>
      </c>
      <c r="O435" t="s">
        <v>34851</v>
      </c>
    </row>
    <row r="436" spans="1:15" x14ac:dyDescent="0.15">
      <c r="A436">
        <v>11739766</v>
      </c>
      <c r="B436">
        <v>34681030</v>
      </c>
      <c r="D436">
        <v>27980209</v>
      </c>
      <c r="E436">
        <v>24941021</v>
      </c>
      <c r="F436" t="s">
        <v>34852</v>
      </c>
      <c r="G436" t="s">
        <v>34853</v>
      </c>
      <c r="H436" t="s">
        <v>34854</v>
      </c>
      <c r="I436" t="s">
        <v>34855</v>
      </c>
      <c r="J436" t="s">
        <v>30821</v>
      </c>
      <c r="K436">
        <v>2014</v>
      </c>
      <c r="L436" s="1">
        <v>41809</v>
      </c>
      <c r="M436" t="s">
        <v>34856</v>
      </c>
      <c r="O436" t="s">
        <v>34857</v>
      </c>
    </row>
    <row r="437" spans="1:15" x14ac:dyDescent="0.15">
      <c r="A437">
        <v>33656037</v>
      </c>
      <c r="B437">
        <v>34572021</v>
      </c>
      <c r="D437">
        <v>23964096</v>
      </c>
      <c r="E437">
        <v>32777999</v>
      </c>
      <c r="F437" t="s">
        <v>34862</v>
      </c>
      <c r="G437" t="s">
        <v>34863</v>
      </c>
      <c r="H437" t="s">
        <v>34864</v>
      </c>
      <c r="I437" t="s">
        <v>34865</v>
      </c>
      <c r="J437" t="s">
        <v>34026</v>
      </c>
      <c r="K437">
        <v>2021</v>
      </c>
      <c r="L437" s="1">
        <v>44055</v>
      </c>
      <c r="M437" t="s">
        <v>34866</v>
      </c>
      <c r="O437" t="s">
        <v>34867</v>
      </c>
    </row>
    <row r="438" spans="1:15" x14ac:dyDescent="0.15">
      <c r="A438">
        <v>31115533</v>
      </c>
      <c r="B438">
        <v>29330365</v>
      </c>
      <c r="D438">
        <v>30257675</v>
      </c>
      <c r="E438">
        <v>28963481</v>
      </c>
      <c r="F438" t="s">
        <v>34868</v>
      </c>
      <c r="G438" t="s">
        <v>34869</v>
      </c>
      <c r="H438" t="s">
        <v>34870</v>
      </c>
      <c r="I438" t="s">
        <v>34871</v>
      </c>
      <c r="J438" t="s">
        <v>30796</v>
      </c>
      <c r="K438">
        <v>2017</v>
      </c>
      <c r="L438" s="1">
        <v>43009</v>
      </c>
      <c r="M438" t="s">
        <v>34872</v>
      </c>
      <c r="O438" t="s">
        <v>34873</v>
      </c>
    </row>
    <row r="439" spans="1:15" x14ac:dyDescent="0.15">
      <c r="A439">
        <v>33693781</v>
      </c>
      <c r="B439">
        <v>35741061</v>
      </c>
      <c r="D439">
        <v>32561742</v>
      </c>
      <c r="E439">
        <v>21791617</v>
      </c>
      <c r="F439" t="s">
        <v>34879</v>
      </c>
      <c r="G439" t="s">
        <v>34880</v>
      </c>
      <c r="H439" t="s">
        <v>34881</v>
      </c>
      <c r="I439" t="s">
        <v>34882</v>
      </c>
      <c r="J439" t="s">
        <v>33347</v>
      </c>
      <c r="K439">
        <v>2011</v>
      </c>
      <c r="L439" s="1">
        <v>40752</v>
      </c>
      <c r="M439" t="s">
        <v>34883</v>
      </c>
      <c r="O439" t="s">
        <v>34884</v>
      </c>
    </row>
    <row r="440" spans="1:15" x14ac:dyDescent="0.15">
      <c r="A440">
        <v>24846056</v>
      </c>
      <c r="B440">
        <v>26530043</v>
      </c>
      <c r="D440">
        <v>10726976</v>
      </c>
      <c r="E440">
        <v>30400025</v>
      </c>
      <c r="F440" t="s">
        <v>34885</v>
      </c>
      <c r="G440" t="s">
        <v>34886</v>
      </c>
      <c r="H440" t="s">
        <v>34887</v>
      </c>
      <c r="I440" t="s">
        <v>31742</v>
      </c>
      <c r="J440" t="s">
        <v>34888</v>
      </c>
      <c r="K440">
        <v>2018</v>
      </c>
      <c r="L440" s="1">
        <v>43412</v>
      </c>
      <c r="O440" t="s">
        <v>34889</v>
      </c>
    </row>
    <row r="441" spans="1:15" x14ac:dyDescent="0.15">
      <c r="A441">
        <v>34143614</v>
      </c>
      <c r="B441">
        <v>31451563</v>
      </c>
      <c r="D441">
        <v>23770821</v>
      </c>
      <c r="E441">
        <v>31281536</v>
      </c>
      <c r="F441" t="s">
        <v>34899</v>
      </c>
      <c r="G441" t="s">
        <v>34900</v>
      </c>
      <c r="H441" t="s">
        <v>34901</v>
      </c>
      <c r="I441" t="s">
        <v>34902</v>
      </c>
      <c r="J441" t="s">
        <v>30588</v>
      </c>
      <c r="K441">
        <v>2019</v>
      </c>
      <c r="L441" s="1">
        <v>43655</v>
      </c>
      <c r="M441" t="s">
        <v>34903</v>
      </c>
      <c r="O441" t="s">
        <v>34904</v>
      </c>
    </row>
    <row r="442" spans="1:15" x14ac:dyDescent="0.15">
      <c r="A442">
        <v>22484292</v>
      </c>
      <c r="B442">
        <v>32929219</v>
      </c>
      <c r="D442">
        <v>17187173</v>
      </c>
      <c r="E442">
        <v>25200057</v>
      </c>
      <c r="F442" t="s">
        <v>34909</v>
      </c>
      <c r="G442" t="s">
        <v>34910</v>
      </c>
      <c r="H442" t="s">
        <v>34911</v>
      </c>
      <c r="I442" t="s">
        <v>34912</v>
      </c>
      <c r="J442" t="s">
        <v>34913</v>
      </c>
      <c r="K442">
        <v>2014</v>
      </c>
      <c r="L442" s="1">
        <v>41892</v>
      </c>
      <c r="M442" t="s">
        <v>34914</v>
      </c>
      <c r="N442" t="s">
        <v>34915</v>
      </c>
      <c r="O442" t="s">
        <v>34916</v>
      </c>
    </row>
    <row r="443" spans="1:15" x14ac:dyDescent="0.15">
      <c r="A443">
        <v>25266310</v>
      </c>
      <c r="B443">
        <v>30177542</v>
      </c>
      <c r="D443">
        <v>6094712</v>
      </c>
      <c r="E443">
        <v>30195377</v>
      </c>
      <c r="F443" t="s">
        <v>34917</v>
      </c>
      <c r="G443" t="s">
        <v>34918</v>
      </c>
      <c r="H443" t="s">
        <v>34919</v>
      </c>
      <c r="I443" t="s">
        <v>34920</v>
      </c>
      <c r="J443" t="s">
        <v>34921</v>
      </c>
      <c r="K443">
        <v>2018</v>
      </c>
      <c r="L443" s="1">
        <v>43353</v>
      </c>
      <c r="O443" t="s">
        <v>34922</v>
      </c>
    </row>
    <row r="444" spans="1:15" x14ac:dyDescent="0.15">
      <c r="A444">
        <v>32326435</v>
      </c>
      <c r="B444">
        <v>29288729</v>
      </c>
      <c r="D444">
        <v>12819015</v>
      </c>
      <c r="E444">
        <v>23696541</v>
      </c>
      <c r="F444" t="s">
        <v>34923</v>
      </c>
      <c r="G444" t="s">
        <v>34924</v>
      </c>
      <c r="H444" t="s">
        <v>34925</v>
      </c>
      <c r="I444" t="s">
        <v>34926</v>
      </c>
      <c r="J444" t="s">
        <v>34927</v>
      </c>
      <c r="K444">
        <v>2013</v>
      </c>
      <c r="L444" s="1">
        <v>41417</v>
      </c>
      <c r="O444" t="s">
        <v>34928</v>
      </c>
    </row>
    <row r="445" spans="1:15" x14ac:dyDescent="0.15">
      <c r="A445">
        <v>31017799</v>
      </c>
      <c r="B445">
        <v>30451371</v>
      </c>
      <c r="D445">
        <v>29247763</v>
      </c>
      <c r="E445">
        <v>32484293</v>
      </c>
      <c r="F445" t="s">
        <v>34929</v>
      </c>
      <c r="G445" t="s">
        <v>34930</v>
      </c>
      <c r="H445" t="s">
        <v>34931</v>
      </c>
      <c r="I445" t="s">
        <v>34932</v>
      </c>
      <c r="J445" t="s">
        <v>33775</v>
      </c>
      <c r="K445">
        <v>2020</v>
      </c>
      <c r="L445" s="1">
        <v>43985</v>
      </c>
      <c r="M445" t="s">
        <v>34933</v>
      </c>
      <c r="N445" t="s">
        <v>34934</v>
      </c>
      <c r="O445" t="s">
        <v>34935</v>
      </c>
    </row>
    <row r="446" spans="1:15" x14ac:dyDescent="0.15">
      <c r="A446">
        <v>30322541</v>
      </c>
      <c r="B446">
        <v>32269293</v>
      </c>
      <c r="D446">
        <v>2128868</v>
      </c>
      <c r="E446">
        <v>31891778</v>
      </c>
      <c r="F446" t="s">
        <v>34936</v>
      </c>
      <c r="G446" t="s">
        <v>34937</v>
      </c>
      <c r="H446" t="s">
        <v>34938</v>
      </c>
      <c r="I446" t="s">
        <v>34939</v>
      </c>
      <c r="J446" t="s">
        <v>33740</v>
      </c>
      <c r="K446">
        <v>2020</v>
      </c>
      <c r="L446" s="1">
        <v>43831</v>
      </c>
      <c r="O446" t="s">
        <v>34940</v>
      </c>
    </row>
    <row r="447" spans="1:15" x14ac:dyDescent="0.15">
      <c r="A447">
        <v>31794834</v>
      </c>
      <c r="B447">
        <v>33160816</v>
      </c>
      <c r="D447">
        <v>22123738</v>
      </c>
      <c r="E447">
        <v>32350000</v>
      </c>
      <c r="F447" t="s">
        <v>34945</v>
      </c>
      <c r="G447" t="s">
        <v>34946</v>
      </c>
      <c r="H447" t="s">
        <v>34947</v>
      </c>
      <c r="I447" t="s">
        <v>34948</v>
      </c>
      <c r="J447" t="s">
        <v>32900</v>
      </c>
      <c r="K447">
        <v>2020</v>
      </c>
      <c r="L447" s="1">
        <v>43952</v>
      </c>
      <c r="O447" t="s">
        <v>34949</v>
      </c>
    </row>
    <row r="448" spans="1:15" x14ac:dyDescent="0.15">
      <c r="A448">
        <v>30374893</v>
      </c>
      <c r="B448">
        <v>34715991</v>
      </c>
      <c r="D448">
        <v>30760080</v>
      </c>
      <c r="E448">
        <v>33995674</v>
      </c>
      <c r="F448" t="s">
        <v>34960</v>
      </c>
      <c r="G448" t="s">
        <v>34961</v>
      </c>
      <c r="H448" t="s">
        <v>34962</v>
      </c>
      <c r="I448" t="s">
        <v>34963</v>
      </c>
      <c r="J448" t="s">
        <v>30588</v>
      </c>
      <c r="K448">
        <v>2021</v>
      </c>
      <c r="L448" s="1">
        <v>44333</v>
      </c>
      <c r="M448" t="s">
        <v>34964</v>
      </c>
      <c r="O448" t="s">
        <v>34965</v>
      </c>
    </row>
    <row r="449" spans="1:15" x14ac:dyDescent="0.15">
      <c r="A449">
        <v>27071670</v>
      </c>
      <c r="B449">
        <v>35159325</v>
      </c>
      <c r="D449">
        <v>31466720</v>
      </c>
      <c r="E449">
        <v>31228184</v>
      </c>
      <c r="F449" t="s">
        <v>34966</v>
      </c>
      <c r="G449" t="s">
        <v>34967</v>
      </c>
      <c r="H449" t="s">
        <v>34968</v>
      </c>
      <c r="I449" t="s">
        <v>34969</v>
      </c>
      <c r="J449" t="s">
        <v>30605</v>
      </c>
      <c r="K449">
        <v>2019</v>
      </c>
      <c r="L449" s="1">
        <v>43639</v>
      </c>
      <c r="O449" t="s">
        <v>34970</v>
      </c>
    </row>
    <row r="450" spans="1:15" x14ac:dyDescent="0.15">
      <c r="A450">
        <v>33436835</v>
      </c>
      <c r="B450">
        <v>34739016</v>
      </c>
      <c r="D450">
        <v>20226086</v>
      </c>
      <c r="E450">
        <v>35545008</v>
      </c>
      <c r="F450" t="s">
        <v>34984</v>
      </c>
      <c r="G450" t="s">
        <v>34985</v>
      </c>
      <c r="H450" t="s">
        <v>34986</v>
      </c>
      <c r="I450" t="s">
        <v>34987</v>
      </c>
      <c r="J450" t="s">
        <v>34988</v>
      </c>
      <c r="K450">
        <v>2022</v>
      </c>
      <c r="L450" s="1">
        <v>44692</v>
      </c>
      <c r="O450" t="s">
        <v>34989</v>
      </c>
    </row>
    <row r="451" spans="1:15" x14ac:dyDescent="0.15">
      <c r="A451">
        <v>28154880</v>
      </c>
      <c r="B451">
        <v>28750687</v>
      </c>
      <c r="D451">
        <v>11514438</v>
      </c>
      <c r="E451">
        <v>26889830</v>
      </c>
      <c r="F451" t="s">
        <v>34996</v>
      </c>
      <c r="G451" t="s">
        <v>34997</v>
      </c>
      <c r="H451" t="s">
        <v>34998</v>
      </c>
      <c r="I451" t="s">
        <v>34999</v>
      </c>
      <c r="J451" t="s">
        <v>32470</v>
      </c>
      <c r="K451">
        <v>2016</v>
      </c>
      <c r="L451" s="1">
        <v>42419</v>
      </c>
      <c r="M451" t="s">
        <v>35000</v>
      </c>
      <c r="O451" t="s">
        <v>35001</v>
      </c>
    </row>
    <row r="452" spans="1:15" x14ac:dyDescent="0.15">
      <c r="A452">
        <v>15889135</v>
      </c>
      <c r="B452">
        <v>31279903</v>
      </c>
      <c r="D452">
        <v>31324529</v>
      </c>
      <c r="E452">
        <v>32343702</v>
      </c>
      <c r="F452" t="s">
        <v>35002</v>
      </c>
      <c r="G452" t="s">
        <v>35003</v>
      </c>
      <c r="H452" t="s">
        <v>35004</v>
      </c>
      <c r="I452" t="s">
        <v>35005</v>
      </c>
      <c r="J452" t="s">
        <v>32470</v>
      </c>
      <c r="K452">
        <v>2020</v>
      </c>
      <c r="L452" s="1">
        <v>43950</v>
      </c>
      <c r="M452" t="s">
        <v>35006</v>
      </c>
      <c r="O452" t="s">
        <v>35007</v>
      </c>
    </row>
    <row r="453" spans="1:15" x14ac:dyDescent="0.15">
      <c r="A453">
        <v>32525012</v>
      </c>
      <c r="B453">
        <v>32744099</v>
      </c>
      <c r="D453">
        <v>34747596</v>
      </c>
      <c r="E453">
        <v>32483153</v>
      </c>
      <c r="F453" t="s">
        <v>35015</v>
      </c>
      <c r="G453" t="s">
        <v>35016</v>
      </c>
      <c r="H453" t="s">
        <v>35017</v>
      </c>
      <c r="I453" t="s">
        <v>35018</v>
      </c>
      <c r="J453" t="s">
        <v>30834</v>
      </c>
      <c r="K453">
        <v>2020</v>
      </c>
      <c r="L453" s="1">
        <v>43985</v>
      </c>
      <c r="M453" t="s">
        <v>35019</v>
      </c>
      <c r="O453" t="s">
        <v>35020</v>
      </c>
    </row>
    <row r="454" spans="1:15" x14ac:dyDescent="0.15">
      <c r="A454">
        <v>27677261</v>
      </c>
      <c r="B454">
        <v>34344968</v>
      </c>
      <c r="D454">
        <v>25175027</v>
      </c>
      <c r="E454">
        <v>21515746</v>
      </c>
      <c r="F454" t="s">
        <v>35024</v>
      </c>
      <c r="G454" t="s">
        <v>35025</v>
      </c>
      <c r="H454" t="s">
        <v>35026</v>
      </c>
      <c r="I454" t="s">
        <v>35027</v>
      </c>
      <c r="J454" t="s">
        <v>32264</v>
      </c>
      <c r="K454">
        <v>2011</v>
      </c>
      <c r="L454" s="1">
        <v>40659</v>
      </c>
      <c r="O454" t="s">
        <v>35028</v>
      </c>
    </row>
    <row r="455" spans="1:15" x14ac:dyDescent="0.15">
      <c r="A455">
        <v>25650727</v>
      </c>
      <c r="B455">
        <v>27941871</v>
      </c>
      <c r="D455">
        <v>12538853</v>
      </c>
      <c r="E455">
        <v>30346568</v>
      </c>
      <c r="F455" t="s">
        <v>35034</v>
      </c>
      <c r="G455" t="s">
        <v>35035</v>
      </c>
      <c r="H455" t="s">
        <v>35036</v>
      </c>
      <c r="I455" t="s">
        <v>35037</v>
      </c>
      <c r="J455" t="s">
        <v>32228</v>
      </c>
      <c r="K455">
        <v>2019</v>
      </c>
      <c r="L455" s="1">
        <v>43396</v>
      </c>
      <c r="M455" t="s">
        <v>35038</v>
      </c>
      <c r="O455" t="s">
        <v>35039</v>
      </c>
    </row>
    <row r="456" spans="1:15" x14ac:dyDescent="0.15">
      <c r="A456">
        <v>29156055</v>
      </c>
      <c r="B456">
        <v>30092207</v>
      </c>
      <c r="D456">
        <v>18400782</v>
      </c>
      <c r="E456">
        <v>26802051</v>
      </c>
      <c r="F456" t="s">
        <v>35040</v>
      </c>
      <c r="G456" t="s">
        <v>35041</v>
      </c>
      <c r="H456" t="s">
        <v>35042</v>
      </c>
      <c r="I456" t="s">
        <v>35043</v>
      </c>
      <c r="J456" t="s">
        <v>35044</v>
      </c>
      <c r="K456">
        <v>2016</v>
      </c>
      <c r="L456" s="1">
        <v>42393</v>
      </c>
      <c r="M456" t="s">
        <v>35045</v>
      </c>
      <c r="O456" t="s">
        <v>35046</v>
      </c>
    </row>
    <row r="457" spans="1:15" x14ac:dyDescent="0.15">
      <c r="A457">
        <v>33261145</v>
      </c>
      <c r="B457">
        <v>30622304</v>
      </c>
      <c r="D457">
        <v>14999079</v>
      </c>
      <c r="E457">
        <v>32277372</v>
      </c>
      <c r="F457" t="s">
        <v>35047</v>
      </c>
      <c r="G457" t="s">
        <v>35048</v>
      </c>
      <c r="H457" t="s">
        <v>35049</v>
      </c>
      <c r="I457" t="s">
        <v>35050</v>
      </c>
      <c r="J457" t="s">
        <v>35051</v>
      </c>
      <c r="K457">
        <v>2021</v>
      </c>
      <c r="L457" s="1">
        <v>43933</v>
      </c>
      <c r="O457" t="s">
        <v>35052</v>
      </c>
    </row>
    <row r="458" spans="1:15" x14ac:dyDescent="0.15">
      <c r="A458">
        <v>10025508</v>
      </c>
      <c r="B458">
        <v>32075753</v>
      </c>
      <c r="D458">
        <v>32559291</v>
      </c>
      <c r="E458">
        <v>34685720</v>
      </c>
      <c r="F458" t="s">
        <v>35053</v>
      </c>
      <c r="G458" t="s">
        <v>35054</v>
      </c>
      <c r="H458" t="s">
        <v>35055</v>
      </c>
      <c r="I458" t="s">
        <v>35056</v>
      </c>
      <c r="J458" t="s">
        <v>30655</v>
      </c>
      <c r="K458">
        <v>2021</v>
      </c>
      <c r="L458" s="1">
        <v>44492</v>
      </c>
      <c r="M458" t="s">
        <v>35057</v>
      </c>
      <c r="O458" t="s">
        <v>35058</v>
      </c>
    </row>
    <row r="459" spans="1:15" x14ac:dyDescent="0.15">
      <c r="A459">
        <v>32267172</v>
      </c>
      <c r="B459">
        <v>33897894</v>
      </c>
      <c r="D459">
        <v>30728146</v>
      </c>
      <c r="E459">
        <v>32621842</v>
      </c>
      <c r="F459" t="s">
        <v>35059</v>
      </c>
      <c r="G459" t="s">
        <v>35060</v>
      </c>
      <c r="H459" t="s">
        <v>35061</v>
      </c>
      <c r="I459" t="s">
        <v>35062</v>
      </c>
      <c r="J459" t="s">
        <v>32328</v>
      </c>
      <c r="K459">
        <v>2020</v>
      </c>
      <c r="L459" s="1">
        <v>44017</v>
      </c>
      <c r="O459" t="s">
        <v>35063</v>
      </c>
    </row>
    <row r="460" spans="1:15" x14ac:dyDescent="0.15">
      <c r="A460">
        <v>31506436</v>
      </c>
      <c r="B460">
        <v>31794192</v>
      </c>
      <c r="D460">
        <v>22046055</v>
      </c>
      <c r="E460">
        <v>30567989</v>
      </c>
      <c r="F460" t="s">
        <v>35085</v>
      </c>
      <c r="G460" t="s">
        <v>35086</v>
      </c>
      <c r="H460" t="s">
        <v>35087</v>
      </c>
      <c r="I460" t="s">
        <v>35088</v>
      </c>
      <c r="J460" t="s">
        <v>31970</v>
      </c>
      <c r="K460">
        <v>2019</v>
      </c>
      <c r="L460" s="1">
        <v>43455</v>
      </c>
      <c r="M460" t="s">
        <v>35089</v>
      </c>
      <c r="O460" t="s">
        <v>35090</v>
      </c>
    </row>
    <row r="461" spans="1:15" x14ac:dyDescent="0.15">
      <c r="A461">
        <v>27928907</v>
      </c>
      <c r="B461">
        <v>21541969</v>
      </c>
      <c r="D461">
        <v>10652961</v>
      </c>
      <c r="E461">
        <v>34910364</v>
      </c>
      <c r="F461" t="s">
        <v>35091</v>
      </c>
      <c r="G461" t="s">
        <v>35092</v>
      </c>
      <c r="H461" t="s">
        <v>35093</v>
      </c>
      <c r="I461" t="s">
        <v>35094</v>
      </c>
      <c r="J461" t="s">
        <v>31671</v>
      </c>
      <c r="K461">
        <v>2022</v>
      </c>
      <c r="L461" s="1">
        <v>44545</v>
      </c>
      <c r="M461" t="s">
        <v>35095</v>
      </c>
      <c r="O461" t="s">
        <v>35096</v>
      </c>
    </row>
    <row r="462" spans="1:15" x14ac:dyDescent="0.15">
      <c r="A462">
        <v>31827573</v>
      </c>
      <c r="B462">
        <v>31506436</v>
      </c>
      <c r="D462">
        <v>23883322</v>
      </c>
      <c r="E462">
        <v>31074077</v>
      </c>
      <c r="F462" t="s">
        <v>35101</v>
      </c>
      <c r="G462" t="s">
        <v>35102</v>
      </c>
      <c r="H462" t="s">
        <v>35103</v>
      </c>
      <c r="I462" t="s">
        <v>35104</v>
      </c>
      <c r="J462" t="s">
        <v>35105</v>
      </c>
      <c r="K462">
        <v>2019</v>
      </c>
      <c r="L462" s="1">
        <v>43596</v>
      </c>
      <c r="M462" t="s">
        <v>35106</v>
      </c>
      <c r="O462" t="s">
        <v>35107</v>
      </c>
    </row>
    <row r="463" spans="1:15" x14ac:dyDescent="0.15">
      <c r="A463">
        <v>28832110</v>
      </c>
      <c r="B463">
        <v>30339193</v>
      </c>
      <c r="D463">
        <v>20631136</v>
      </c>
      <c r="E463">
        <v>31666668</v>
      </c>
      <c r="F463" t="s">
        <v>35116</v>
      </c>
      <c r="G463" t="s">
        <v>35117</v>
      </c>
      <c r="H463" t="s">
        <v>35118</v>
      </c>
      <c r="I463" t="s">
        <v>35119</v>
      </c>
      <c r="J463" t="s">
        <v>31952</v>
      </c>
      <c r="K463">
        <v>2020</v>
      </c>
      <c r="L463" s="1">
        <v>43770</v>
      </c>
      <c r="M463" t="s">
        <v>35120</v>
      </c>
      <c r="O463" t="s">
        <v>35121</v>
      </c>
    </row>
    <row r="464" spans="1:15" x14ac:dyDescent="0.15">
      <c r="A464">
        <v>19435412</v>
      </c>
      <c r="B464">
        <v>30514916</v>
      </c>
      <c r="D464">
        <v>31007122</v>
      </c>
      <c r="E464">
        <v>24875543</v>
      </c>
      <c r="F464" t="s">
        <v>35122</v>
      </c>
      <c r="G464" t="s">
        <v>35123</v>
      </c>
      <c r="H464" t="s">
        <v>35124</v>
      </c>
      <c r="I464" t="s">
        <v>35125</v>
      </c>
      <c r="J464" t="s">
        <v>32352</v>
      </c>
      <c r="K464">
        <v>2014</v>
      </c>
      <c r="L464" s="1">
        <v>41790</v>
      </c>
      <c r="O464" t="s">
        <v>35126</v>
      </c>
    </row>
    <row r="465" spans="1:15" x14ac:dyDescent="0.15">
      <c r="A465">
        <v>32711027</v>
      </c>
      <c r="B465">
        <v>29511190</v>
      </c>
      <c r="D465">
        <v>21878619</v>
      </c>
      <c r="E465">
        <v>35605028</v>
      </c>
      <c r="F465" t="s">
        <v>35127</v>
      </c>
      <c r="G465" t="s">
        <v>35128</v>
      </c>
      <c r="H465" t="s">
        <v>35129</v>
      </c>
      <c r="I465" t="s">
        <v>35130</v>
      </c>
      <c r="J465" t="s">
        <v>30637</v>
      </c>
      <c r="K465">
        <v>2022</v>
      </c>
      <c r="L465" s="1">
        <v>44704</v>
      </c>
      <c r="M465" t="s">
        <v>35131</v>
      </c>
      <c r="O465" t="s">
        <v>35132</v>
      </c>
    </row>
    <row r="466" spans="1:15" x14ac:dyDescent="0.15">
      <c r="A466">
        <v>30265222</v>
      </c>
      <c r="B466">
        <v>34593932</v>
      </c>
      <c r="D466">
        <v>11050079</v>
      </c>
      <c r="E466">
        <v>31223277</v>
      </c>
      <c r="F466" t="s">
        <v>35139</v>
      </c>
      <c r="G466" t="s">
        <v>35140</v>
      </c>
      <c r="H466" t="s">
        <v>35141</v>
      </c>
      <c r="I466" t="s">
        <v>31547</v>
      </c>
      <c r="J466" t="s">
        <v>31228</v>
      </c>
      <c r="K466">
        <v>2019</v>
      </c>
      <c r="L466" s="1">
        <v>43638</v>
      </c>
      <c r="M466" t="s">
        <v>35142</v>
      </c>
      <c r="O466" t="s">
        <v>35143</v>
      </c>
    </row>
    <row r="467" spans="1:15" x14ac:dyDescent="0.15">
      <c r="A467">
        <v>33593426</v>
      </c>
      <c r="B467">
        <v>32810272</v>
      </c>
      <c r="D467">
        <v>24656133</v>
      </c>
      <c r="E467">
        <v>25805497</v>
      </c>
      <c r="F467" t="s">
        <v>35144</v>
      </c>
      <c r="G467" t="s">
        <v>35145</v>
      </c>
      <c r="H467" t="s">
        <v>35146</v>
      </c>
      <c r="I467" t="s">
        <v>35147</v>
      </c>
      <c r="J467" t="s">
        <v>31594</v>
      </c>
      <c r="K467">
        <v>2015</v>
      </c>
      <c r="L467" s="1">
        <v>42089</v>
      </c>
      <c r="M467" t="s">
        <v>35148</v>
      </c>
      <c r="O467" t="s">
        <v>35149</v>
      </c>
    </row>
    <row r="468" spans="1:15" x14ac:dyDescent="0.15">
      <c r="A468">
        <v>31387924</v>
      </c>
      <c r="B468">
        <v>31941602</v>
      </c>
      <c r="D468">
        <v>30155936</v>
      </c>
      <c r="E468">
        <v>32051530</v>
      </c>
      <c r="F468" t="s">
        <v>35150</v>
      </c>
      <c r="G468" t="s">
        <v>35151</v>
      </c>
      <c r="H468" t="s">
        <v>35152</v>
      </c>
      <c r="I468" t="s">
        <v>35153</v>
      </c>
      <c r="J468" t="s">
        <v>31771</v>
      </c>
      <c r="K468">
        <v>2020</v>
      </c>
      <c r="L468" s="1">
        <v>43875</v>
      </c>
      <c r="O468" t="s">
        <v>35154</v>
      </c>
    </row>
    <row r="469" spans="1:15" x14ac:dyDescent="0.15">
      <c r="A469">
        <v>26910077</v>
      </c>
      <c r="B469">
        <v>31267709</v>
      </c>
      <c r="D469">
        <v>23390068</v>
      </c>
      <c r="E469">
        <v>31369817</v>
      </c>
      <c r="F469" t="s">
        <v>35155</v>
      </c>
      <c r="G469" t="s">
        <v>35156</v>
      </c>
      <c r="H469" t="s">
        <v>35157</v>
      </c>
      <c r="I469" t="s">
        <v>35158</v>
      </c>
      <c r="J469" t="s">
        <v>33740</v>
      </c>
      <c r="K469">
        <v>2020</v>
      </c>
      <c r="L469" s="1">
        <v>43679</v>
      </c>
      <c r="O469" t="s">
        <v>35159</v>
      </c>
    </row>
    <row r="470" spans="1:15" x14ac:dyDescent="0.15">
      <c r="A470">
        <v>32628683</v>
      </c>
      <c r="B470">
        <v>32198406</v>
      </c>
      <c r="D470">
        <v>2161218</v>
      </c>
      <c r="E470">
        <v>34135428</v>
      </c>
      <c r="F470" t="s">
        <v>35163</v>
      </c>
      <c r="G470" t="s">
        <v>35164</v>
      </c>
      <c r="H470" t="s">
        <v>35165</v>
      </c>
      <c r="I470" t="s">
        <v>35166</v>
      </c>
      <c r="J470" t="s">
        <v>30834</v>
      </c>
      <c r="K470">
        <v>2021</v>
      </c>
      <c r="L470" s="1">
        <v>44364</v>
      </c>
      <c r="M470" t="s">
        <v>35167</v>
      </c>
      <c r="O470" t="s">
        <v>35168</v>
      </c>
    </row>
    <row r="471" spans="1:15" x14ac:dyDescent="0.15">
      <c r="A471">
        <v>29721020</v>
      </c>
      <c r="B471">
        <v>33942501</v>
      </c>
      <c r="D471">
        <v>19968858</v>
      </c>
      <c r="E471">
        <v>32958884</v>
      </c>
      <c r="F471" t="s">
        <v>35190</v>
      </c>
      <c r="G471" t="s">
        <v>35191</v>
      </c>
      <c r="H471" t="s">
        <v>35192</v>
      </c>
      <c r="I471" t="s">
        <v>32886</v>
      </c>
      <c r="J471" t="s">
        <v>30834</v>
      </c>
      <c r="K471">
        <v>2020</v>
      </c>
      <c r="L471" s="1">
        <v>44096</v>
      </c>
      <c r="M471" t="s">
        <v>35193</v>
      </c>
      <c r="O471" t="s">
        <v>35194</v>
      </c>
    </row>
    <row r="472" spans="1:15" x14ac:dyDescent="0.15">
      <c r="A472">
        <v>33076118</v>
      </c>
      <c r="B472">
        <v>34937167</v>
      </c>
      <c r="D472">
        <v>17644597</v>
      </c>
      <c r="E472">
        <v>32447063</v>
      </c>
      <c r="F472" t="s">
        <v>35209</v>
      </c>
      <c r="G472" t="s">
        <v>35210</v>
      </c>
      <c r="H472" t="s">
        <v>35211</v>
      </c>
      <c r="I472" t="s">
        <v>35212</v>
      </c>
      <c r="J472" t="s">
        <v>35213</v>
      </c>
      <c r="K472">
        <v>2020</v>
      </c>
      <c r="L472" s="1">
        <v>43976</v>
      </c>
      <c r="O472" t="s">
        <v>35214</v>
      </c>
    </row>
    <row r="473" spans="1:15" x14ac:dyDescent="0.15">
      <c r="A473">
        <v>32912198</v>
      </c>
      <c r="B473">
        <v>35699856</v>
      </c>
      <c r="D473">
        <v>16374505</v>
      </c>
      <c r="E473">
        <v>28592251</v>
      </c>
      <c r="F473" t="s">
        <v>35218</v>
      </c>
      <c r="G473" t="s">
        <v>35219</v>
      </c>
      <c r="H473" t="s">
        <v>35220</v>
      </c>
      <c r="I473" t="s">
        <v>35221</v>
      </c>
      <c r="J473" t="s">
        <v>31304</v>
      </c>
      <c r="K473">
        <v>2017</v>
      </c>
      <c r="L473" s="1">
        <v>42895</v>
      </c>
      <c r="M473" t="s">
        <v>35222</v>
      </c>
      <c r="O473" t="s">
        <v>35223</v>
      </c>
    </row>
    <row r="474" spans="1:15" x14ac:dyDescent="0.15">
      <c r="A474">
        <v>31355328</v>
      </c>
      <c r="B474">
        <v>30305607</v>
      </c>
      <c r="D474">
        <v>7626023</v>
      </c>
      <c r="E474">
        <v>33154575</v>
      </c>
      <c r="F474" t="s">
        <v>35233</v>
      </c>
      <c r="G474" t="s">
        <v>35234</v>
      </c>
      <c r="H474" t="s">
        <v>35235</v>
      </c>
      <c r="I474" t="s">
        <v>35236</v>
      </c>
      <c r="J474" t="s">
        <v>35237</v>
      </c>
      <c r="K474">
        <v>2021</v>
      </c>
      <c r="L474" s="1">
        <v>44141</v>
      </c>
      <c r="O474" t="s">
        <v>35238</v>
      </c>
    </row>
    <row r="475" spans="1:15" x14ac:dyDescent="0.15">
      <c r="A475">
        <v>31536072</v>
      </c>
      <c r="B475">
        <v>33494385</v>
      </c>
      <c r="D475">
        <v>9712909</v>
      </c>
      <c r="E475">
        <v>31331976</v>
      </c>
      <c r="F475" t="s">
        <v>35251</v>
      </c>
      <c r="G475" t="s">
        <v>35252</v>
      </c>
      <c r="H475" t="s">
        <v>35253</v>
      </c>
      <c r="I475" t="s">
        <v>35254</v>
      </c>
      <c r="J475" t="s">
        <v>32185</v>
      </c>
      <c r="K475">
        <v>2019</v>
      </c>
      <c r="L475" s="1">
        <v>43670</v>
      </c>
      <c r="M475" t="s">
        <v>35255</v>
      </c>
      <c r="O475" t="s">
        <v>35256</v>
      </c>
    </row>
    <row r="476" spans="1:15" x14ac:dyDescent="0.15">
      <c r="A476">
        <v>31217848</v>
      </c>
      <c r="B476">
        <v>29558959</v>
      </c>
      <c r="D476">
        <v>16784605</v>
      </c>
      <c r="E476">
        <v>33858390</v>
      </c>
      <c r="F476" t="s">
        <v>35257</v>
      </c>
      <c r="G476" t="s">
        <v>35258</v>
      </c>
      <c r="H476" t="s">
        <v>35259</v>
      </c>
      <c r="I476" t="s">
        <v>35260</v>
      </c>
      <c r="J476" t="s">
        <v>35261</v>
      </c>
      <c r="K476">
        <v>2021</v>
      </c>
      <c r="L476" s="1">
        <v>44302</v>
      </c>
      <c r="M476" t="s">
        <v>35262</v>
      </c>
      <c r="O476" t="s">
        <v>35263</v>
      </c>
    </row>
    <row r="477" spans="1:15" x14ac:dyDescent="0.15">
      <c r="A477">
        <v>31548226</v>
      </c>
      <c r="B477">
        <v>32446697</v>
      </c>
      <c r="D477">
        <v>29624165</v>
      </c>
      <c r="E477">
        <v>29891956</v>
      </c>
      <c r="F477" t="s">
        <v>35279</v>
      </c>
      <c r="G477" t="s">
        <v>35280</v>
      </c>
      <c r="H477" t="s">
        <v>35281</v>
      </c>
      <c r="I477" t="s">
        <v>35282</v>
      </c>
      <c r="J477" t="s">
        <v>30834</v>
      </c>
      <c r="K477">
        <v>2018</v>
      </c>
      <c r="L477" s="1">
        <v>43264</v>
      </c>
      <c r="M477" t="s">
        <v>35283</v>
      </c>
      <c r="O477" t="s">
        <v>35284</v>
      </c>
    </row>
    <row r="478" spans="1:15" x14ac:dyDescent="0.15">
      <c r="A478">
        <v>33249316</v>
      </c>
      <c r="B478">
        <v>30216846</v>
      </c>
      <c r="D478">
        <v>17030625</v>
      </c>
      <c r="E478">
        <v>33728821</v>
      </c>
      <c r="F478" t="s">
        <v>35285</v>
      </c>
      <c r="G478" t="s">
        <v>35286</v>
      </c>
      <c r="H478" t="s">
        <v>35287</v>
      </c>
      <c r="I478" t="s">
        <v>35288</v>
      </c>
      <c r="J478" t="s">
        <v>30643</v>
      </c>
      <c r="K478">
        <v>2021</v>
      </c>
      <c r="L478" s="1">
        <v>44272</v>
      </c>
      <c r="M478" t="s">
        <v>35289</v>
      </c>
      <c r="O478" t="s">
        <v>35290</v>
      </c>
    </row>
    <row r="479" spans="1:15" x14ac:dyDescent="0.15">
      <c r="A479">
        <v>31277602</v>
      </c>
      <c r="B479">
        <v>29162835</v>
      </c>
      <c r="D479">
        <v>16583463</v>
      </c>
      <c r="E479">
        <v>25897780</v>
      </c>
      <c r="F479" t="s">
        <v>35291</v>
      </c>
      <c r="G479" t="s">
        <v>35292</v>
      </c>
      <c r="H479" t="s">
        <v>35293</v>
      </c>
      <c r="I479" t="s">
        <v>35294</v>
      </c>
      <c r="J479" t="s">
        <v>31639</v>
      </c>
      <c r="K479">
        <v>2015</v>
      </c>
      <c r="L479" s="1">
        <v>42116</v>
      </c>
      <c r="M479" t="s">
        <v>35295</v>
      </c>
      <c r="O479" t="s">
        <v>35296</v>
      </c>
    </row>
    <row r="480" spans="1:15" x14ac:dyDescent="0.15">
      <c r="A480">
        <v>33152356</v>
      </c>
      <c r="B480">
        <v>23580760</v>
      </c>
      <c r="D480">
        <v>19400954</v>
      </c>
      <c r="E480">
        <v>34309628</v>
      </c>
      <c r="F480" t="s">
        <v>35297</v>
      </c>
      <c r="G480" t="s">
        <v>35298</v>
      </c>
      <c r="H480" t="s">
        <v>35299</v>
      </c>
      <c r="I480" t="s">
        <v>35300</v>
      </c>
      <c r="J480" t="s">
        <v>30828</v>
      </c>
      <c r="K480">
        <v>2021</v>
      </c>
      <c r="L480" s="1">
        <v>44403</v>
      </c>
      <c r="M480" t="s">
        <v>35301</v>
      </c>
      <c r="O480" t="s">
        <v>35302</v>
      </c>
    </row>
    <row r="481" spans="1:15" x14ac:dyDescent="0.15">
      <c r="A481">
        <v>29288729</v>
      </c>
      <c r="B481">
        <v>28507029</v>
      </c>
      <c r="D481">
        <v>19549916</v>
      </c>
      <c r="E481">
        <v>34532864</v>
      </c>
      <c r="F481" t="s">
        <v>35303</v>
      </c>
      <c r="G481" t="s">
        <v>35304</v>
      </c>
      <c r="H481" t="s">
        <v>35305</v>
      </c>
      <c r="I481" t="s">
        <v>35306</v>
      </c>
      <c r="J481" t="s">
        <v>35307</v>
      </c>
      <c r="K481">
        <v>2021</v>
      </c>
      <c r="L481" s="1">
        <v>44456</v>
      </c>
      <c r="M481" t="s">
        <v>35308</v>
      </c>
      <c r="O481" t="s">
        <v>35309</v>
      </c>
    </row>
    <row r="482" spans="1:15" x14ac:dyDescent="0.15">
      <c r="A482">
        <v>33831424</v>
      </c>
      <c r="B482">
        <v>35215922</v>
      </c>
      <c r="D482">
        <v>21596787</v>
      </c>
      <c r="E482">
        <v>33038325</v>
      </c>
      <c r="F482" t="s">
        <v>35313</v>
      </c>
      <c r="G482" t="s">
        <v>35314</v>
      </c>
      <c r="H482" t="s">
        <v>35315</v>
      </c>
      <c r="I482" t="s">
        <v>35316</v>
      </c>
      <c r="J482" t="s">
        <v>30786</v>
      </c>
      <c r="K482">
        <v>2021</v>
      </c>
      <c r="L482" s="1">
        <v>44114</v>
      </c>
      <c r="M482" t="s">
        <v>35317</v>
      </c>
      <c r="O482" t="s">
        <v>35318</v>
      </c>
    </row>
    <row r="483" spans="1:15" x14ac:dyDescent="0.15">
      <c r="A483">
        <v>29179481</v>
      </c>
      <c r="B483">
        <v>34098025</v>
      </c>
      <c r="D483">
        <v>11207362</v>
      </c>
      <c r="E483">
        <v>28246015</v>
      </c>
      <c r="F483" t="s">
        <v>35330</v>
      </c>
      <c r="G483" t="s">
        <v>35331</v>
      </c>
      <c r="H483" t="s">
        <v>35332</v>
      </c>
      <c r="I483" t="s">
        <v>35333</v>
      </c>
      <c r="J483" t="s">
        <v>30821</v>
      </c>
      <c r="K483">
        <v>2017</v>
      </c>
      <c r="L483" s="1">
        <v>42796</v>
      </c>
      <c r="O483" t="s">
        <v>35334</v>
      </c>
    </row>
    <row r="484" spans="1:15" x14ac:dyDescent="0.15">
      <c r="A484">
        <v>32744099</v>
      </c>
      <c r="B484">
        <v>34460871</v>
      </c>
      <c r="D484">
        <v>21762677</v>
      </c>
      <c r="E484">
        <v>34413232</v>
      </c>
      <c r="F484" t="s">
        <v>35335</v>
      </c>
      <c r="G484" t="s">
        <v>35336</v>
      </c>
      <c r="H484" t="s">
        <v>35337</v>
      </c>
      <c r="I484" t="s">
        <v>35338</v>
      </c>
      <c r="J484" t="s">
        <v>35339</v>
      </c>
      <c r="K484">
        <v>2021</v>
      </c>
      <c r="L484" s="1">
        <v>44428</v>
      </c>
      <c r="M484" t="s">
        <v>35340</v>
      </c>
      <c r="N484" t="s">
        <v>35341</v>
      </c>
      <c r="O484" t="s">
        <v>35342</v>
      </c>
    </row>
    <row r="485" spans="1:15" x14ac:dyDescent="0.15">
      <c r="A485">
        <v>32781137</v>
      </c>
      <c r="B485">
        <v>29483213</v>
      </c>
      <c r="D485">
        <v>10810147</v>
      </c>
      <c r="E485">
        <v>33912378</v>
      </c>
      <c r="F485" t="s">
        <v>35343</v>
      </c>
      <c r="G485" t="s">
        <v>35344</v>
      </c>
      <c r="H485" t="s">
        <v>35345</v>
      </c>
      <c r="I485" t="s">
        <v>35346</v>
      </c>
      <c r="J485" t="s">
        <v>35347</v>
      </c>
      <c r="K485">
        <v>2021</v>
      </c>
      <c r="L485" s="1">
        <v>44315</v>
      </c>
      <c r="M485" t="s">
        <v>35348</v>
      </c>
      <c r="O485" t="s">
        <v>35349</v>
      </c>
    </row>
    <row r="486" spans="1:15" x14ac:dyDescent="0.15">
      <c r="A486">
        <v>32892927</v>
      </c>
      <c r="B486">
        <v>21638509</v>
      </c>
      <c r="D486">
        <v>16054883</v>
      </c>
      <c r="E486">
        <v>24932692</v>
      </c>
      <c r="F486" t="s">
        <v>35375</v>
      </c>
      <c r="G486" t="s">
        <v>35376</v>
      </c>
      <c r="H486" t="s">
        <v>35377</v>
      </c>
      <c r="I486" t="s">
        <v>35378</v>
      </c>
      <c r="J486" t="s">
        <v>31639</v>
      </c>
      <c r="K486">
        <v>2014</v>
      </c>
      <c r="L486" s="1">
        <v>41807</v>
      </c>
      <c r="M486" t="s">
        <v>35379</v>
      </c>
      <c r="O486" t="s">
        <v>35380</v>
      </c>
    </row>
    <row r="487" spans="1:15" x14ac:dyDescent="0.15">
      <c r="A487">
        <v>31605237</v>
      </c>
      <c r="B487">
        <v>30411781</v>
      </c>
      <c r="D487">
        <v>17450151</v>
      </c>
      <c r="E487">
        <v>34907783</v>
      </c>
      <c r="F487" t="s">
        <v>35381</v>
      </c>
      <c r="G487" t="s">
        <v>35382</v>
      </c>
      <c r="H487" t="s">
        <v>35383</v>
      </c>
      <c r="I487" t="s">
        <v>35384</v>
      </c>
      <c r="J487" t="s">
        <v>35385</v>
      </c>
      <c r="K487">
        <v>2022</v>
      </c>
      <c r="L487" s="1">
        <v>44545</v>
      </c>
      <c r="O487" t="s">
        <v>35386</v>
      </c>
    </row>
    <row r="488" spans="1:15" x14ac:dyDescent="0.15">
      <c r="A488">
        <v>34111932</v>
      </c>
      <c r="B488">
        <v>24408433</v>
      </c>
      <c r="D488">
        <v>11090220</v>
      </c>
      <c r="E488">
        <v>21078874</v>
      </c>
      <c r="F488" t="s">
        <v>35387</v>
      </c>
      <c r="G488" t="s">
        <v>35388</v>
      </c>
      <c r="H488" t="s">
        <v>35389</v>
      </c>
      <c r="I488" t="s">
        <v>35390</v>
      </c>
      <c r="J488" t="s">
        <v>33347</v>
      </c>
      <c r="K488">
        <v>2011</v>
      </c>
      <c r="L488" s="1">
        <v>40499</v>
      </c>
      <c r="M488" t="s">
        <v>35391</v>
      </c>
      <c r="O488" t="s">
        <v>35392</v>
      </c>
    </row>
    <row r="489" spans="1:15" x14ac:dyDescent="0.15">
      <c r="A489">
        <v>33844518</v>
      </c>
      <c r="B489">
        <v>32299821</v>
      </c>
      <c r="D489">
        <v>29197005</v>
      </c>
      <c r="E489">
        <v>31123713</v>
      </c>
      <c r="F489" t="s">
        <v>8941</v>
      </c>
      <c r="G489" t="s">
        <v>35393</v>
      </c>
      <c r="H489" t="s">
        <v>35394</v>
      </c>
      <c r="I489" t="s">
        <v>35395</v>
      </c>
      <c r="J489" t="s">
        <v>32377</v>
      </c>
      <c r="K489">
        <v>2019</v>
      </c>
      <c r="L489" s="1">
        <v>43610</v>
      </c>
      <c r="M489" t="s">
        <v>35396</v>
      </c>
      <c r="O489" t="s">
        <v>8951</v>
      </c>
    </row>
    <row r="490" spans="1:15" x14ac:dyDescent="0.15">
      <c r="A490">
        <v>33275138</v>
      </c>
      <c r="B490">
        <v>34953858</v>
      </c>
      <c r="D490">
        <v>34089229</v>
      </c>
      <c r="E490">
        <v>34295338</v>
      </c>
      <c r="F490" t="s">
        <v>35401</v>
      </c>
      <c r="G490" t="s">
        <v>35402</v>
      </c>
      <c r="H490" t="s">
        <v>35403</v>
      </c>
      <c r="I490" t="s">
        <v>35404</v>
      </c>
      <c r="J490" t="s">
        <v>30713</v>
      </c>
      <c r="K490">
        <v>2021</v>
      </c>
      <c r="L490" s="1">
        <v>44400</v>
      </c>
      <c r="M490" t="s">
        <v>35405</v>
      </c>
      <c r="O490" t="s">
        <v>35406</v>
      </c>
    </row>
    <row r="491" spans="1:15" x14ac:dyDescent="0.15">
      <c r="A491">
        <v>30572805</v>
      </c>
      <c r="B491">
        <v>32315358</v>
      </c>
      <c r="D491">
        <v>24145019</v>
      </c>
      <c r="E491">
        <v>26892862</v>
      </c>
      <c r="F491" t="s">
        <v>35411</v>
      </c>
      <c r="G491" t="s">
        <v>35412</v>
      </c>
      <c r="H491" t="s">
        <v>35413</v>
      </c>
      <c r="I491" t="s">
        <v>35414</v>
      </c>
      <c r="J491" t="s">
        <v>30668</v>
      </c>
      <c r="K491">
        <v>2016</v>
      </c>
      <c r="L491" s="1">
        <v>42420</v>
      </c>
      <c r="M491" t="s">
        <v>35415</v>
      </c>
      <c r="N491" t="s">
        <v>35416</v>
      </c>
      <c r="O491" t="s">
        <v>35417</v>
      </c>
    </row>
    <row r="492" spans="1:15" x14ac:dyDescent="0.15">
      <c r="A492">
        <v>29660021</v>
      </c>
      <c r="B492">
        <v>29415817</v>
      </c>
      <c r="D492">
        <v>17708745</v>
      </c>
      <c r="E492">
        <v>23132787</v>
      </c>
      <c r="F492" t="s">
        <v>35427</v>
      </c>
      <c r="G492" t="s">
        <v>35428</v>
      </c>
      <c r="H492" t="s">
        <v>35429</v>
      </c>
      <c r="I492" t="s">
        <v>35430</v>
      </c>
      <c r="J492" t="s">
        <v>35431</v>
      </c>
      <c r="K492">
        <v>2013</v>
      </c>
      <c r="L492" s="1">
        <v>41221</v>
      </c>
      <c r="M492" t="s">
        <v>35432</v>
      </c>
      <c r="O492" t="s">
        <v>35433</v>
      </c>
    </row>
    <row r="493" spans="1:15" x14ac:dyDescent="0.15">
      <c r="A493">
        <v>30023671</v>
      </c>
      <c r="B493">
        <v>34295456</v>
      </c>
      <c r="D493">
        <v>11696331</v>
      </c>
      <c r="E493">
        <v>35203322</v>
      </c>
      <c r="F493" t="s">
        <v>35434</v>
      </c>
      <c r="G493" t="s">
        <v>35435</v>
      </c>
      <c r="H493" t="s">
        <v>35436</v>
      </c>
      <c r="I493" t="s">
        <v>35437</v>
      </c>
      <c r="J493" t="s">
        <v>30655</v>
      </c>
      <c r="K493">
        <v>2022</v>
      </c>
      <c r="L493" s="1">
        <v>44617</v>
      </c>
      <c r="M493" t="s">
        <v>35438</v>
      </c>
      <c r="O493" t="s">
        <v>35439</v>
      </c>
    </row>
    <row r="494" spans="1:15" x14ac:dyDescent="0.15">
      <c r="A494">
        <v>30975909</v>
      </c>
      <c r="B494">
        <v>29532035</v>
      </c>
      <c r="D494">
        <v>6841453</v>
      </c>
      <c r="E494">
        <v>33270495</v>
      </c>
      <c r="F494" t="s">
        <v>35440</v>
      </c>
      <c r="G494" t="s">
        <v>35441</v>
      </c>
      <c r="H494" t="s">
        <v>35442</v>
      </c>
      <c r="I494" t="s">
        <v>31805</v>
      </c>
      <c r="J494" t="s">
        <v>30668</v>
      </c>
      <c r="K494">
        <v>2021</v>
      </c>
      <c r="L494" s="1">
        <v>44168</v>
      </c>
      <c r="O494" t="s">
        <v>35443</v>
      </c>
    </row>
    <row r="495" spans="1:15" x14ac:dyDescent="0.15">
      <c r="A495">
        <v>10906758</v>
      </c>
      <c r="B495">
        <v>29907766</v>
      </c>
      <c r="D495">
        <v>33819778</v>
      </c>
      <c r="E495">
        <v>34421932</v>
      </c>
      <c r="F495" t="s">
        <v>35444</v>
      </c>
      <c r="G495" t="s">
        <v>35445</v>
      </c>
      <c r="H495" t="s">
        <v>35446</v>
      </c>
      <c r="I495" t="s">
        <v>32064</v>
      </c>
      <c r="J495" t="s">
        <v>30713</v>
      </c>
      <c r="K495">
        <v>2021</v>
      </c>
      <c r="L495" s="1">
        <v>44431</v>
      </c>
      <c r="M495" t="s">
        <v>35447</v>
      </c>
      <c r="O495" t="s">
        <v>35448</v>
      </c>
    </row>
    <row r="496" spans="1:15" x14ac:dyDescent="0.15">
      <c r="A496">
        <v>29434260</v>
      </c>
      <c r="B496">
        <v>29906447</v>
      </c>
      <c r="D496">
        <v>25925570</v>
      </c>
      <c r="E496">
        <v>29556344</v>
      </c>
      <c r="F496" t="s">
        <v>35449</v>
      </c>
      <c r="G496" t="s">
        <v>35450</v>
      </c>
      <c r="H496" t="s">
        <v>35451</v>
      </c>
      <c r="I496" t="s">
        <v>35212</v>
      </c>
      <c r="J496" t="s">
        <v>30588</v>
      </c>
      <c r="K496">
        <v>2018</v>
      </c>
      <c r="L496" s="1">
        <v>43180</v>
      </c>
      <c r="M496" t="s">
        <v>35452</v>
      </c>
      <c r="O496" t="s">
        <v>35453</v>
      </c>
    </row>
    <row r="497" spans="1:15" x14ac:dyDescent="0.15">
      <c r="A497">
        <v>24686062</v>
      </c>
      <c r="B497">
        <v>34426493</v>
      </c>
      <c r="D497">
        <v>25089631</v>
      </c>
      <c r="E497">
        <v>29760280</v>
      </c>
      <c r="F497" t="s">
        <v>35458</v>
      </c>
      <c r="G497" t="s">
        <v>35459</v>
      </c>
      <c r="H497" t="s">
        <v>35460</v>
      </c>
      <c r="I497" t="s">
        <v>35461</v>
      </c>
      <c r="J497" t="s">
        <v>33347</v>
      </c>
      <c r="K497">
        <v>2018</v>
      </c>
      <c r="L497" s="1">
        <v>43236</v>
      </c>
      <c r="M497" t="s">
        <v>35462</v>
      </c>
      <c r="O497" t="s">
        <v>35463</v>
      </c>
    </row>
    <row r="498" spans="1:15" x14ac:dyDescent="0.15">
      <c r="A498">
        <v>31919754</v>
      </c>
      <c r="B498">
        <v>35759303</v>
      </c>
      <c r="D498">
        <v>31871254</v>
      </c>
      <c r="E498">
        <v>30480287</v>
      </c>
      <c r="F498" t="s">
        <v>35464</v>
      </c>
      <c r="G498" t="s">
        <v>35465</v>
      </c>
      <c r="H498" t="s">
        <v>35466</v>
      </c>
      <c r="I498" t="s">
        <v>35467</v>
      </c>
      <c r="J498" t="s">
        <v>31678</v>
      </c>
      <c r="K498">
        <v>2018</v>
      </c>
      <c r="L498" s="1">
        <v>43432</v>
      </c>
      <c r="O498" t="s">
        <v>35468</v>
      </c>
    </row>
    <row r="499" spans="1:15" x14ac:dyDescent="0.15">
      <c r="A499">
        <v>16002628</v>
      </c>
      <c r="B499">
        <v>33771977</v>
      </c>
      <c r="D499">
        <v>21616097</v>
      </c>
      <c r="E499">
        <v>29051321</v>
      </c>
      <c r="F499" t="s">
        <v>35481</v>
      </c>
      <c r="G499" t="s">
        <v>35482</v>
      </c>
      <c r="H499" t="s">
        <v>35483</v>
      </c>
      <c r="I499" t="s">
        <v>35484</v>
      </c>
      <c r="J499" t="s">
        <v>32039</v>
      </c>
      <c r="K499">
        <v>2018</v>
      </c>
      <c r="L499" s="1">
        <v>43029</v>
      </c>
      <c r="M499" t="s">
        <v>35485</v>
      </c>
      <c r="N499" t="s">
        <v>35486</v>
      </c>
      <c r="O499" t="s">
        <v>35487</v>
      </c>
    </row>
    <row r="500" spans="1:15" x14ac:dyDescent="0.15">
      <c r="A500">
        <v>25820722</v>
      </c>
      <c r="B500">
        <v>27753024</v>
      </c>
      <c r="D500">
        <v>17595520</v>
      </c>
      <c r="E500">
        <v>25434003</v>
      </c>
      <c r="F500" t="s">
        <v>35488</v>
      </c>
      <c r="G500" t="s">
        <v>35489</v>
      </c>
      <c r="H500" t="s">
        <v>35490</v>
      </c>
      <c r="I500" t="s">
        <v>35491</v>
      </c>
      <c r="J500" t="s">
        <v>35492</v>
      </c>
      <c r="K500">
        <v>2014</v>
      </c>
      <c r="L500" s="1">
        <v>41974</v>
      </c>
      <c r="M500" t="s">
        <v>35493</v>
      </c>
      <c r="O500" t="s">
        <v>35494</v>
      </c>
    </row>
    <row r="501" spans="1:15" x14ac:dyDescent="0.15">
      <c r="A501">
        <v>27793845</v>
      </c>
      <c r="B501">
        <v>30997751</v>
      </c>
      <c r="D501">
        <v>23284067</v>
      </c>
      <c r="E501">
        <v>23137708</v>
      </c>
      <c r="F501" t="s">
        <v>35495</v>
      </c>
      <c r="G501" t="s">
        <v>35496</v>
      </c>
      <c r="H501" t="s">
        <v>35497</v>
      </c>
      <c r="I501" t="s">
        <v>35498</v>
      </c>
      <c r="J501" t="s">
        <v>35499</v>
      </c>
      <c r="K501">
        <v>2013</v>
      </c>
      <c r="L501" s="1">
        <v>41223</v>
      </c>
      <c r="O501" t="s">
        <v>35500</v>
      </c>
    </row>
    <row r="502" spans="1:15" x14ac:dyDescent="0.15">
      <c r="A502">
        <v>33182277</v>
      </c>
      <c r="B502">
        <v>18625304</v>
      </c>
      <c r="D502">
        <v>17492310</v>
      </c>
      <c r="E502">
        <v>30030445</v>
      </c>
      <c r="F502" t="s">
        <v>35501</v>
      </c>
      <c r="G502" t="s">
        <v>35502</v>
      </c>
      <c r="H502" t="s">
        <v>35503</v>
      </c>
      <c r="I502" t="s">
        <v>31702</v>
      </c>
      <c r="J502" t="s">
        <v>30796</v>
      </c>
      <c r="K502">
        <v>2018</v>
      </c>
      <c r="L502" s="1">
        <v>43303</v>
      </c>
      <c r="M502" t="s">
        <v>35504</v>
      </c>
      <c r="O502" t="s">
        <v>35505</v>
      </c>
    </row>
    <row r="503" spans="1:15" x14ac:dyDescent="0.15">
      <c r="A503">
        <v>32383628</v>
      </c>
      <c r="B503">
        <v>21285958</v>
      </c>
      <c r="D503">
        <v>7753798</v>
      </c>
      <c r="E503">
        <v>34663679</v>
      </c>
      <c r="F503" t="s">
        <v>35506</v>
      </c>
      <c r="G503" t="s">
        <v>35507</v>
      </c>
      <c r="H503" t="s">
        <v>35508</v>
      </c>
      <c r="I503" t="s">
        <v>35509</v>
      </c>
      <c r="J503" t="s">
        <v>33722</v>
      </c>
      <c r="K503">
        <v>2021</v>
      </c>
      <c r="L503" s="1">
        <v>44488</v>
      </c>
      <c r="M503" t="s">
        <v>35510</v>
      </c>
      <c r="O503" t="s">
        <v>35511</v>
      </c>
    </row>
    <row r="504" spans="1:15" x14ac:dyDescent="0.15">
      <c r="A504">
        <v>32166219</v>
      </c>
      <c r="B504">
        <v>25133686</v>
      </c>
      <c r="D504">
        <v>12414805</v>
      </c>
      <c r="E504">
        <v>28701473</v>
      </c>
      <c r="F504" t="s">
        <v>35512</v>
      </c>
      <c r="G504" t="s">
        <v>35513</v>
      </c>
      <c r="H504" t="s">
        <v>35514</v>
      </c>
      <c r="I504" t="s">
        <v>35515</v>
      </c>
      <c r="J504" t="s">
        <v>35516</v>
      </c>
      <c r="K504">
        <v>2017</v>
      </c>
      <c r="L504" s="1">
        <v>42930</v>
      </c>
      <c r="M504" t="s">
        <v>35517</v>
      </c>
      <c r="N504" t="s">
        <v>35518</v>
      </c>
      <c r="O504" t="s">
        <v>35519</v>
      </c>
    </row>
    <row r="505" spans="1:15" x14ac:dyDescent="0.15">
      <c r="A505">
        <v>32633309</v>
      </c>
      <c r="B505">
        <v>28470712</v>
      </c>
      <c r="D505">
        <v>16857350</v>
      </c>
      <c r="E505">
        <v>29601337</v>
      </c>
      <c r="F505" t="s">
        <v>35534</v>
      </c>
      <c r="G505" t="s">
        <v>35535</v>
      </c>
      <c r="H505" t="s">
        <v>35536</v>
      </c>
      <c r="I505" t="s">
        <v>35537</v>
      </c>
      <c r="J505" t="s">
        <v>35538</v>
      </c>
      <c r="K505">
        <v>2018</v>
      </c>
      <c r="L505" s="1">
        <v>43190</v>
      </c>
      <c r="M505" t="s">
        <v>35539</v>
      </c>
      <c r="N505" t="s">
        <v>35540</v>
      </c>
      <c r="O505" t="s">
        <v>35541</v>
      </c>
    </row>
    <row r="506" spans="1:15" x14ac:dyDescent="0.15">
      <c r="A506">
        <v>29787607</v>
      </c>
      <c r="B506">
        <v>20484514</v>
      </c>
      <c r="D506">
        <v>15121901</v>
      </c>
      <c r="E506">
        <v>32203399</v>
      </c>
      <c r="F506" t="s">
        <v>35542</v>
      </c>
      <c r="G506" t="s">
        <v>35543</v>
      </c>
      <c r="H506" t="s">
        <v>35544</v>
      </c>
      <c r="I506" t="s">
        <v>35545</v>
      </c>
      <c r="J506" t="s">
        <v>35546</v>
      </c>
      <c r="K506">
        <v>2020</v>
      </c>
      <c r="L506" s="1">
        <v>43914</v>
      </c>
      <c r="M506" t="s">
        <v>35547</v>
      </c>
      <c r="N506" t="s">
        <v>35548</v>
      </c>
      <c r="O506" t="s">
        <v>35549</v>
      </c>
    </row>
    <row r="507" spans="1:15" x14ac:dyDescent="0.15">
      <c r="A507">
        <v>32476275</v>
      </c>
      <c r="B507">
        <v>35159179</v>
      </c>
      <c r="D507">
        <v>22653377</v>
      </c>
      <c r="E507">
        <v>29844574</v>
      </c>
      <c r="F507" t="s">
        <v>35550</v>
      </c>
      <c r="G507" t="s">
        <v>35551</v>
      </c>
      <c r="H507" t="s">
        <v>35552</v>
      </c>
      <c r="I507" t="s">
        <v>35553</v>
      </c>
      <c r="J507" t="s">
        <v>32752</v>
      </c>
      <c r="K507">
        <v>2018</v>
      </c>
      <c r="L507" s="1">
        <v>43251</v>
      </c>
      <c r="O507" t="s">
        <v>35554</v>
      </c>
    </row>
    <row r="508" spans="1:15" x14ac:dyDescent="0.15">
      <c r="A508">
        <v>31469974</v>
      </c>
      <c r="B508">
        <v>23755885</v>
      </c>
      <c r="D508">
        <v>9756864</v>
      </c>
      <c r="E508">
        <v>34823431</v>
      </c>
      <c r="F508" t="s">
        <v>35558</v>
      </c>
      <c r="G508" t="s">
        <v>35559</v>
      </c>
      <c r="H508" t="s">
        <v>35560</v>
      </c>
      <c r="I508" t="s">
        <v>35561</v>
      </c>
      <c r="J508" t="s">
        <v>35562</v>
      </c>
      <c r="K508">
        <v>2021</v>
      </c>
      <c r="L508" s="1">
        <v>44526</v>
      </c>
      <c r="O508" t="s">
        <v>35563</v>
      </c>
    </row>
    <row r="509" spans="1:15" x14ac:dyDescent="0.15">
      <c r="A509">
        <v>24235331</v>
      </c>
      <c r="B509">
        <v>30484685</v>
      </c>
      <c r="D509">
        <v>14645565</v>
      </c>
      <c r="E509">
        <v>15111327</v>
      </c>
      <c r="F509" t="s">
        <v>35577</v>
      </c>
      <c r="G509" t="s">
        <v>35578</v>
      </c>
      <c r="H509" t="s">
        <v>35579</v>
      </c>
      <c r="I509" t="s">
        <v>35580</v>
      </c>
      <c r="J509" t="s">
        <v>32741</v>
      </c>
      <c r="K509">
        <v>2004</v>
      </c>
      <c r="L509" s="1">
        <v>38105</v>
      </c>
      <c r="M509" t="s">
        <v>35581</v>
      </c>
      <c r="O509" t="s">
        <v>35582</v>
      </c>
    </row>
    <row r="510" spans="1:15" x14ac:dyDescent="0.15">
      <c r="A510">
        <v>15534863</v>
      </c>
      <c r="B510">
        <v>33960622</v>
      </c>
      <c r="D510">
        <v>33963060</v>
      </c>
      <c r="E510">
        <v>32766689</v>
      </c>
      <c r="F510" t="s">
        <v>35599</v>
      </c>
      <c r="G510" t="s">
        <v>35600</v>
      </c>
      <c r="H510" t="s">
        <v>35601</v>
      </c>
      <c r="I510" t="s">
        <v>35602</v>
      </c>
      <c r="J510" t="s">
        <v>35603</v>
      </c>
      <c r="K510">
        <v>2020</v>
      </c>
      <c r="L510" s="1">
        <v>44052</v>
      </c>
      <c r="M510" t="s">
        <v>35604</v>
      </c>
      <c r="O510" t="s">
        <v>35605</v>
      </c>
    </row>
    <row r="511" spans="1:15" x14ac:dyDescent="0.15">
      <c r="A511">
        <v>29312161</v>
      </c>
      <c r="B511">
        <v>29867148</v>
      </c>
      <c r="D511">
        <v>31722198</v>
      </c>
      <c r="E511">
        <v>26328805</v>
      </c>
      <c r="F511" t="s">
        <v>35606</v>
      </c>
      <c r="G511" t="s">
        <v>35607</v>
      </c>
      <c r="H511" t="s">
        <v>35608</v>
      </c>
      <c r="I511" t="s">
        <v>35609</v>
      </c>
      <c r="J511" t="s">
        <v>35610</v>
      </c>
      <c r="K511">
        <v>2016</v>
      </c>
      <c r="L511" s="1">
        <v>42250</v>
      </c>
      <c r="M511" t="s">
        <v>35611</v>
      </c>
      <c r="O511" t="s">
        <v>35612</v>
      </c>
    </row>
    <row r="512" spans="1:15" x14ac:dyDescent="0.15">
      <c r="A512">
        <v>34450196</v>
      </c>
      <c r="B512">
        <v>24605048</v>
      </c>
      <c r="D512">
        <v>23499741</v>
      </c>
      <c r="E512">
        <v>29668342</v>
      </c>
      <c r="F512" t="s">
        <v>35617</v>
      </c>
      <c r="G512" t="s">
        <v>35618</v>
      </c>
      <c r="H512" t="s">
        <v>35619</v>
      </c>
      <c r="I512" t="s">
        <v>35620</v>
      </c>
      <c r="J512" t="s">
        <v>34638</v>
      </c>
      <c r="K512">
        <v>2018</v>
      </c>
      <c r="L512" s="1">
        <v>43209</v>
      </c>
      <c r="O512" t="s">
        <v>35621</v>
      </c>
    </row>
    <row r="513" spans="1:15" x14ac:dyDescent="0.15">
      <c r="A513">
        <v>32363012</v>
      </c>
      <c r="B513">
        <v>34837760</v>
      </c>
      <c r="D513">
        <v>28487205</v>
      </c>
      <c r="E513">
        <v>34006093</v>
      </c>
      <c r="F513" t="s">
        <v>35631</v>
      </c>
      <c r="G513" t="s">
        <v>35632</v>
      </c>
      <c r="H513" t="s">
        <v>35633</v>
      </c>
      <c r="I513" t="s">
        <v>35634</v>
      </c>
      <c r="J513" t="s">
        <v>35635</v>
      </c>
      <c r="K513">
        <v>2021</v>
      </c>
      <c r="L513" s="1">
        <v>44335</v>
      </c>
      <c r="O513" t="s">
        <v>35636</v>
      </c>
    </row>
    <row r="514" spans="1:15" x14ac:dyDescent="0.15">
      <c r="A514">
        <v>32794300</v>
      </c>
      <c r="B514">
        <v>35193353</v>
      </c>
      <c r="D514">
        <v>31664817</v>
      </c>
      <c r="E514">
        <v>30085064</v>
      </c>
      <c r="F514" t="s">
        <v>35644</v>
      </c>
      <c r="G514" t="s">
        <v>35645</v>
      </c>
      <c r="H514" t="s">
        <v>35646</v>
      </c>
      <c r="I514" t="s">
        <v>35647</v>
      </c>
      <c r="J514" t="s">
        <v>35648</v>
      </c>
      <c r="K514">
        <v>2018</v>
      </c>
      <c r="L514" s="1">
        <v>43320</v>
      </c>
      <c r="O514" t="s">
        <v>35649</v>
      </c>
    </row>
    <row r="515" spans="1:15" x14ac:dyDescent="0.15">
      <c r="A515">
        <v>30167966</v>
      </c>
      <c r="B515">
        <v>26556992</v>
      </c>
      <c r="D515">
        <v>31646316</v>
      </c>
      <c r="E515">
        <v>32648491</v>
      </c>
      <c r="F515" t="s">
        <v>35654</v>
      </c>
      <c r="G515" t="s">
        <v>35655</v>
      </c>
      <c r="H515" t="s">
        <v>35656</v>
      </c>
      <c r="I515" t="s">
        <v>35657</v>
      </c>
      <c r="J515" t="s">
        <v>35658</v>
      </c>
      <c r="K515">
        <v>2020</v>
      </c>
      <c r="L515" s="1">
        <v>44023</v>
      </c>
      <c r="M515" t="s">
        <v>35659</v>
      </c>
      <c r="N515" t="s">
        <v>35660</v>
      </c>
      <c r="O515" t="s">
        <v>35661</v>
      </c>
    </row>
    <row r="516" spans="1:15" x14ac:dyDescent="0.15">
      <c r="A516">
        <v>30880979</v>
      </c>
      <c r="B516">
        <v>18829542</v>
      </c>
      <c r="D516">
        <v>17234882</v>
      </c>
      <c r="E516">
        <v>24152966</v>
      </c>
      <c r="F516" t="s">
        <v>35662</v>
      </c>
      <c r="G516" t="s">
        <v>35663</v>
      </c>
      <c r="H516" t="s">
        <v>35664</v>
      </c>
      <c r="I516" t="s">
        <v>35665</v>
      </c>
      <c r="J516" t="s">
        <v>32352</v>
      </c>
      <c r="K516">
        <v>2014</v>
      </c>
      <c r="L516" s="1">
        <v>41572</v>
      </c>
      <c r="M516" t="s">
        <v>35666</v>
      </c>
      <c r="N516" t="s">
        <v>35667</v>
      </c>
      <c r="O516" t="s">
        <v>35668</v>
      </c>
    </row>
    <row r="517" spans="1:15" x14ac:dyDescent="0.15">
      <c r="A517">
        <v>28284851</v>
      </c>
      <c r="B517">
        <v>23022668</v>
      </c>
      <c r="D517">
        <v>18172165</v>
      </c>
      <c r="E517">
        <v>29328915</v>
      </c>
      <c r="F517" t="s">
        <v>35672</v>
      </c>
      <c r="G517" t="s">
        <v>35673</v>
      </c>
      <c r="H517" t="s">
        <v>35674</v>
      </c>
      <c r="I517" t="s">
        <v>35675</v>
      </c>
      <c r="J517" t="s">
        <v>30555</v>
      </c>
      <c r="K517">
        <v>2018</v>
      </c>
      <c r="L517" s="1">
        <v>43113</v>
      </c>
      <c r="M517" t="s">
        <v>35676</v>
      </c>
      <c r="N517" t="s">
        <v>35677</v>
      </c>
      <c r="O517" t="s">
        <v>35678</v>
      </c>
    </row>
    <row r="518" spans="1:15" x14ac:dyDescent="0.15">
      <c r="A518">
        <v>32556367</v>
      </c>
      <c r="B518">
        <v>32105824</v>
      </c>
      <c r="D518">
        <v>21663793</v>
      </c>
      <c r="E518">
        <v>32105369</v>
      </c>
      <c r="F518" t="s">
        <v>35679</v>
      </c>
      <c r="G518" t="s">
        <v>35680</v>
      </c>
      <c r="H518" t="s">
        <v>35681</v>
      </c>
      <c r="I518" t="s">
        <v>32190</v>
      </c>
      <c r="J518" t="s">
        <v>31105</v>
      </c>
      <c r="K518">
        <v>2020</v>
      </c>
      <c r="L518" s="1">
        <v>43889</v>
      </c>
      <c r="O518" t="s">
        <v>35682</v>
      </c>
    </row>
    <row r="519" spans="1:15" x14ac:dyDescent="0.15">
      <c r="A519">
        <v>25798073</v>
      </c>
      <c r="B519">
        <v>30536653</v>
      </c>
      <c r="D519">
        <v>21131904</v>
      </c>
      <c r="E519">
        <v>30928015</v>
      </c>
      <c r="F519" t="s">
        <v>35683</v>
      </c>
      <c r="G519" t="s">
        <v>35684</v>
      </c>
      <c r="H519" t="s">
        <v>35685</v>
      </c>
      <c r="I519" t="s">
        <v>35686</v>
      </c>
      <c r="J519" t="s">
        <v>35687</v>
      </c>
      <c r="K519">
        <v>2019</v>
      </c>
      <c r="L519" s="1">
        <v>43556</v>
      </c>
      <c r="O519" t="s">
        <v>35688</v>
      </c>
    </row>
    <row r="520" spans="1:15" x14ac:dyDescent="0.15">
      <c r="A520">
        <v>28401635</v>
      </c>
      <c r="B520">
        <v>9245765</v>
      </c>
      <c r="D520">
        <v>7476096</v>
      </c>
      <c r="E520">
        <v>33539341</v>
      </c>
      <c r="F520" t="s">
        <v>35689</v>
      </c>
      <c r="G520" t="s">
        <v>35690</v>
      </c>
      <c r="H520" t="s">
        <v>35691</v>
      </c>
      <c r="I520" t="s">
        <v>35692</v>
      </c>
      <c r="J520" t="s">
        <v>32470</v>
      </c>
      <c r="K520">
        <v>2021</v>
      </c>
      <c r="L520" s="1">
        <v>44231</v>
      </c>
      <c r="M520" t="s">
        <v>35693</v>
      </c>
      <c r="O520" t="s">
        <v>35694</v>
      </c>
    </row>
    <row r="521" spans="1:15" x14ac:dyDescent="0.15">
      <c r="A521">
        <v>26355701</v>
      </c>
      <c r="B521">
        <v>34454680</v>
      </c>
      <c r="D521">
        <v>1847476</v>
      </c>
      <c r="E521">
        <v>33321257</v>
      </c>
      <c r="F521" t="s">
        <v>35699</v>
      </c>
      <c r="G521" t="s">
        <v>35700</v>
      </c>
      <c r="H521" t="s">
        <v>35701</v>
      </c>
      <c r="I521" t="s">
        <v>35702</v>
      </c>
      <c r="J521" t="s">
        <v>32493</v>
      </c>
      <c r="K521">
        <v>2021</v>
      </c>
      <c r="L521" s="1">
        <v>44180</v>
      </c>
      <c r="O521" t="s">
        <v>35703</v>
      </c>
    </row>
    <row r="522" spans="1:15" x14ac:dyDescent="0.15">
      <c r="A522">
        <v>31173389</v>
      </c>
      <c r="B522">
        <v>30578260</v>
      </c>
      <c r="D522">
        <v>17157255</v>
      </c>
      <c r="E522">
        <v>26846164</v>
      </c>
      <c r="F522" t="s">
        <v>35704</v>
      </c>
      <c r="G522" t="s">
        <v>35705</v>
      </c>
      <c r="H522" t="s">
        <v>35706</v>
      </c>
      <c r="I522" t="s">
        <v>35707</v>
      </c>
      <c r="J522" t="s">
        <v>32558</v>
      </c>
      <c r="K522">
        <v>2016</v>
      </c>
      <c r="L522" s="1">
        <v>42406</v>
      </c>
      <c r="M522" t="s">
        <v>35708</v>
      </c>
      <c r="N522" t="s">
        <v>35709</v>
      </c>
      <c r="O522" t="s">
        <v>35710</v>
      </c>
    </row>
    <row r="523" spans="1:15" x14ac:dyDescent="0.15">
      <c r="A523">
        <v>26170381</v>
      </c>
      <c r="B523">
        <v>16920200</v>
      </c>
      <c r="D523">
        <v>23177741</v>
      </c>
      <c r="E523">
        <v>27863260</v>
      </c>
      <c r="F523" t="s">
        <v>35711</v>
      </c>
      <c r="G523" t="s">
        <v>35712</v>
      </c>
      <c r="H523" t="s">
        <v>35713</v>
      </c>
      <c r="I523" t="s">
        <v>35714</v>
      </c>
      <c r="J523" t="s">
        <v>33533</v>
      </c>
      <c r="K523">
        <v>2017</v>
      </c>
      <c r="L523" s="1">
        <v>42693</v>
      </c>
      <c r="O523" t="s">
        <v>35715</v>
      </c>
    </row>
    <row r="524" spans="1:15" x14ac:dyDescent="0.15">
      <c r="A524">
        <v>31635338</v>
      </c>
      <c r="B524">
        <v>16553852</v>
      </c>
      <c r="D524">
        <v>26512957</v>
      </c>
      <c r="E524">
        <v>24503127</v>
      </c>
      <c r="F524" t="s">
        <v>35723</v>
      </c>
      <c r="G524" t="s">
        <v>35724</v>
      </c>
      <c r="H524" t="s">
        <v>35725</v>
      </c>
      <c r="I524" t="s">
        <v>35726</v>
      </c>
      <c r="J524" t="s">
        <v>30821</v>
      </c>
      <c r="K524">
        <v>2014</v>
      </c>
      <c r="L524" s="1">
        <v>41678</v>
      </c>
      <c r="O524" t="s">
        <v>35727</v>
      </c>
    </row>
    <row r="525" spans="1:15" x14ac:dyDescent="0.15">
      <c r="A525">
        <v>29599122</v>
      </c>
      <c r="B525">
        <v>15256559</v>
      </c>
      <c r="D525">
        <v>31988198</v>
      </c>
      <c r="E525">
        <v>32706245</v>
      </c>
      <c r="F525" t="s">
        <v>35732</v>
      </c>
      <c r="G525" t="s">
        <v>35733</v>
      </c>
      <c r="H525" t="s">
        <v>35734</v>
      </c>
      <c r="I525" t="s">
        <v>35735</v>
      </c>
      <c r="J525" t="s">
        <v>30956</v>
      </c>
      <c r="K525">
        <v>2020</v>
      </c>
      <c r="L525" s="1">
        <v>44037</v>
      </c>
      <c r="O525" t="s">
        <v>35736</v>
      </c>
    </row>
    <row r="526" spans="1:15" x14ac:dyDescent="0.15">
      <c r="A526">
        <v>32079252</v>
      </c>
      <c r="B526">
        <v>35581740</v>
      </c>
      <c r="D526">
        <v>35590205</v>
      </c>
      <c r="E526">
        <v>33155647</v>
      </c>
      <c r="F526" t="s">
        <v>35745</v>
      </c>
      <c r="G526" t="s">
        <v>35746</v>
      </c>
      <c r="H526" t="s">
        <v>35747</v>
      </c>
      <c r="I526" t="s">
        <v>35748</v>
      </c>
      <c r="J526" t="s">
        <v>34050</v>
      </c>
      <c r="K526">
        <v>2020</v>
      </c>
      <c r="L526" s="1">
        <v>44141</v>
      </c>
      <c r="O526" t="s">
        <v>35749</v>
      </c>
    </row>
    <row r="527" spans="1:15" x14ac:dyDescent="0.15">
      <c r="A527">
        <v>31395428</v>
      </c>
      <c r="B527">
        <v>24748612</v>
      </c>
      <c r="D527">
        <v>19460752</v>
      </c>
      <c r="E527">
        <v>26214286</v>
      </c>
      <c r="F527" t="s">
        <v>35750</v>
      </c>
      <c r="G527" t="s">
        <v>35751</v>
      </c>
      <c r="H527" t="s">
        <v>35752</v>
      </c>
      <c r="I527" t="s">
        <v>35753</v>
      </c>
      <c r="J527" t="s">
        <v>35754</v>
      </c>
      <c r="K527">
        <v>2015</v>
      </c>
      <c r="L527" s="1">
        <v>42213</v>
      </c>
      <c r="O527" t="s">
        <v>35755</v>
      </c>
    </row>
    <row r="528" spans="1:15" x14ac:dyDescent="0.15">
      <c r="A528">
        <v>31586864</v>
      </c>
      <c r="B528">
        <v>16841193</v>
      </c>
      <c r="D528">
        <v>31138886</v>
      </c>
      <c r="E528">
        <v>22995828</v>
      </c>
      <c r="F528" t="s">
        <v>35756</v>
      </c>
      <c r="G528" t="s">
        <v>35757</v>
      </c>
      <c r="H528" t="s">
        <v>35758</v>
      </c>
      <c r="I528" t="s">
        <v>35759</v>
      </c>
      <c r="J528" t="s">
        <v>31659</v>
      </c>
      <c r="K528">
        <v>2013</v>
      </c>
      <c r="L528" s="1">
        <v>41174</v>
      </c>
      <c r="M528" t="s">
        <v>35760</v>
      </c>
      <c r="O528" t="s">
        <v>35761</v>
      </c>
    </row>
    <row r="529" spans="1:15" x14ac:dyDescent="0.15">
      <c r="A529">
        <v>33753455</v>
      </c>
      <c r="B529">
        <v>30509943</v>
      </c>
      <c r="D529">
        <v>12189211</v>
      </c>
      <c r="E529">
        <v>2004649</v>
      </c>
      <c r="F529" t="s">
        <v>35766</v>
      </c>
      <c r="G529" t="s">
        <v>35767</v>
      </c>
      <c r="H529" t="s">
        <v>35768</v>
      </c>
      <c r="I529" t="s">
        <v>35769</v>
      </c>
      <c r="J529" t="s">
        <v>32127</v>
      </c>
      <c r="K529">
        <v>1991</v>
      </c>
      <c r="L529" s="1">
        <v>33329</v>
      </c>
      <c r="O529" t="s">
        <v>35770</v>
      </c>
    </row>
    <row r="530" spans="1:15" x14ac:dyDescent="0.15">
      <c r="A530">
        <v>25881291</v>
      </c>
      <c r="B530">
        <v>34649994</v>
      </c>
      <c r="D530">
        <v>31799930</v>
      </c>
      <c r="E530">
        <v>29282861</v>
      </c>
      <c r="F530" t="s">
        <v>35771</v>
      </c>
      <c r="G530" t="s">
        <v>35772</v>
      </c>
      <c r="H530" t="s">
        <v>35773</v>
      </c>
      <c r="I530" t="s">
        <v>35774</v>
      </c>
      <c r="J530" t="s">
        <v>30763</v>
      </c>
      <c r="K530">
        <v>2018</v>
      </c>
      <c r="L530" s="1">
        <v>43098</v>
      </c>
      <c r="O530" t="s">
        <v>35775</v>
      </c>
    </row>
    <row r="531" spans="1:15" x14ac:dyDescent="0.15">
      <c r="A531">
        <v>30697539</v>
      </c>
      <c r="B531">
        <v>24034793</v>
      </c>
      <c r="D531">
        <v>17235024</v>
      </c>
      <c r="E531">
        <v>34680868</v>
      </c>
      <c r="F531" t="s">
        <v>35776</v>
      </c>
      <c r="G531" t="s">
        <v>35777</v>
      </c>
      <c r="H531" t="s">
        <v>35778</v>
      </c>
      <c r="I531" t="s">
        <v>35779</v>
      </c>
      <c r="J531" t="s">
        <v>30816</v>
      </c>
      <c r="K531">
        <v>2021</v>
      </c>
      <c r="L531" s="1">
        <v>44492</v>
      </c>
      <c r="M531" t="s">
        <v>35780</v>
      </c>
      <c r="O531" t="s">
        <v>35781</v>
      </c>
    </row>
    <row r="532" spans="1:15" x14ac:dyDescent="0.15">
      <c r="A532">
        <v>20837151</v>
      </c>
      <c r="B532">
        <v>31720646</v>
      </c>
      <c r="D532">
        <v>9446579</v>
      </c>
      <c r="E532">
        <v>32865792</v>
      </c>
      <c r="F532" t="s">
        <v>35782</v>
      </c>
      <c r="G532" t="s">
        <v>35783</v>
      </c>
      <c r="H532" t="s">
        <v>35784</v>
      </c>
      <c r="I532" t="s">
        <v>35785</v>
      </c>
      <c r="J532" t="s">
        <v>31003</v>
      </c>
      <c r="K532">
        <v>2020</v>
      </c>
      <c r="L532" s="1">
        <v>44075</v>
      </c>
      <c r="O532" t="s">
        <v>35786</v>
      </c>
    </row>
    <row r="533" spans="1:15" x14ac:dyDescent="0.15">
      <c r="A533">
        <v>31720082</v>
      </c>
      <c r="B533">
        <v>17286953</v>
      </c>
      <c r="D533">
        <v>26637591</v>
      </c>
      <c r="E533">
        <v>34346466</v>
      </c>
      <c r="F533" t="s">
        <v>35798</v>
      </c>
      <c r="G533" t="s">
        <v>35799</v>
      </c>
      <c r="H533" t="s">
        <v>35800</v>
      </c>
      <c r="I533" t="s">
        <v>35801</v>
      </c>
      <c r="J533" t="s">
        <v>31678</v>
      </c>
      <c r="K533">
        <v>2021</v>
      </c>
      <c r="L533" s="1">
        <v>44412</v>
      </c>
      <c r="O533" t="s">
        <v>35802</v>
      </c>
    </row>
    <row r="534" spans="1:15" x14ac:dyDescent="0.15">
      <c r="A534">
        <v>24825433</v>
      </c>
      <c r="B534">
        <v>27075392</v>
      </c>
      <c r="D534">
        <v>24244542</v>
      </c>
      <c r="E534">
        <v>28087167</v>
      </c>
      <c r="F534" t="s">
        <v>35817</v>
      </c>
      <c r="G534" t="s">
        <v>35818</v>
      </c>
      <c r="H534" t="s">
        <v>35819</v>
      </c>
      <c r="I534" t="s">
        <v>35820</v>
      </c>
      <c r="J534" t="s">
        <v>35821</v>
      </c>
      <c r="K534">
        <v>2017</v>
      </c>
      <c r="L534" s="1">
        <v>42750</v>
      </c>
      <c r="M534" t="s">
        <v>35822</v>
      </c>
      <c r="N534" t="s">
        <v>35823</v>
      </c>
      <c r="O534" t="s">
        <v>35824</v>
      </c>
    </row>
    <row r="535" spans="1:15" x14ac:dyDescent="0.15">
      <c r="A535">
        <v>9199770</v>
      </c>
      <c r="B535">
        <v>31957088</v>
      </c>
      <c r="D535">
        <v>24763612</v>
      </c>
      <c r="E535">
        <v>33798333</v>
      </c>
      <c r="F535" t="s">
        <v>35827</v>
      </c>
      <c r="G535" t="s">
        <v>35828</v>
      </c>
      <c r="H535" t="s">
        <v>35829</v>
      </c>
      <c r="I535" t="s">
        <v>35830</v>
      </c>
      <c r="J535" t="s">
        <v>30956</v>
      </c>
      <c r="K535">
        <v>2021</v>
      </c>
      <c r="L535" s="1">
        <v>44288</v>
      </c>
      <c r="O535" t="s">
        <v>35831</v>
      </c>
    </row>
    <row r="536" spans="1:15" x14ac:dyDescent="0.15">
      <c r="A536">
        <v>30926566</v>
      </c>
      <c r="B536">
        <v>14963039</v>
      </c>
      <c r="D536">
        <v>12438306</v>
      </c>
      <c r="E536">
        <v>33422353</v>
      </c>
      <c r="F536" t="s">
        <v>35832</v>
      </c>
      <c r="G536" t="s">
        <v>35833</v>
      </c>
      <c r="H536" t="s">
        <v>35834</v>
      </c>
      <c r="I536" t="s">
        <v>35835</v>
      </c>
      <c r="J536" t="s">
        <v>35836</v>
      </c>
      <c r="K536">
        <v>2021</v>
      </c>
      <c r="L536" s="1">
        <v>44206</v>
      </c>
      <c r="M536" t="s">
        <v>35837</v>
      </c>
      <c r="N536" t="s">
        <v>35838</v>
      </c>
      <c r="O536" t="s">
        <v>35839</v>
      </c>
    </row>
    <row r="537" spans="1:15" x14ac:dyDescent="0.15">
      <c r="A537">
        <v>31184791</v>
      </c>
      <c r="B537">
        <v>34605236</v>
      </c>
      <c r="D537">
        <v>22564898</v>
      </c>
      <c r="E537">
        <v>34008692</v>
      </c>
      <c r="F537" t="s">
        <v>35840</v>
      </c>
      <c r="G537" t="s">
        <v>35841</v>
      </c>
      <c r="H537" t="s">
        <v>35842</v>
      </c>
      <c r="I537" t="s">
        <v>33353</v>
      </c>
      <c r="J537" t="s">
        <v>32035</v>
      </c>
      <c r="K537">
        <v>2021</v>
      </c>
      <c r="L537" s="1">
        <v>44335</v>
      </c>
      <c r="O537" t="s">
        <v>35843</v>
      </c>
    </row>
    <row r="538" spans="1:15" x14ac:dyDescent="0.15">
      <c r="A538">
        <v>27110565</v>
      </c>
      <c r="B538">
        <v>24631214</v>
      </c>
      <c r="D538">
        <v>25020060</v>
      </c>
      <c r="E538">
        <v>17174896</v>
      </c>
      <c r="F538" t="s">
        <v>35844</v>
      </c>
      <c r="G538" t="s">
        <v>35845</v>
      </c>
      <c r="H538" t="s">
        <v>35846</v>
      </c>
      <c r="I538" t="s">
        <v>35847</v>
      </c>
      <c r="J538" t="s">
        <v>30555</v>
      </c>
      <c r="K538">
        <v>2006</v>
      </c>
      <c r="L538" s="1">
        <v>39070</v>
      </c>
      <c r="O538" t="s">
        <v>35848</v>
      </c>
    </row>
    <row r="539" spans="1:15" x14ac:dyDescent="0.15">
      <c r="A539">
        <v>31701453</v>
      </c>
      <c r="B539">
        <v>31307864</v>
      </c>
      <c r="D539">
        <v>21430775</v>
      </c>
      <c r="E539">
        <v>34773243</v>
      </c>
      <c r="F539" t="s">
        <v>35858</v>
      </c>
      <c r="G539" t="s">
        <v>35859</v>
      </c>
      <c r="H539" t="s">
        <v>35860</v>
      </c>
      <c r="I539" t="s">
        <v>35861</v>
      </c>
      <c r="J539" t="s">
        <v>31490</v>
      </c>
      <c r="K539">
        <v>2022</v>
      </c>
      <c r="L539" s="1">
        <v>44513</v>
      </c>
      <c r="O539" t="s">
        <v>35862</v>
      </c>
    </row>
    <row r="540" spans="1:15" x14ac:dyDescent="0.15">
      <c r="A540">
        <v>32323096</v>
      </c>
      <c r="B540">
        <v>10907991</v>
      </c>
      <c r="D540">
        <v>18377888</v>
      </c>
      <c r="E540">
        <v>22593716</v>
      </c>
      <c r="F540" t="s">
        <v>35863</v>
      </c>
      <c r="G540" t="s">
        <v>35864</v>
      </c>
      <c r="H540" t="s">
        <v>35865</v>
      </c>
      <c r="I540" t="s">
        <v>35866</v>
      </c>
      <c r="J540" t="s">
        <v>35811</v>
      </c>
      <c r="K540">
        <v>2012</v>
      </c>
      <c r="L540" s="1">
        <v>41047</v>
      </c>
      <c r="M540" t="s">
        <v>35867</v>
      </c>
      <c r="O540" t="s">
        <v>18564</v>
      </c>
    </row>
    <row r="541" spans="1:15" x14ac:dyDescent="0.15">
      <c r="A541">
        <v>33649776</v>
      </c>
      <c r="B541">
        <v>26480919</v>
      </c>
      <c r="D541">
        <v>30305710</v>
      </c>
      <c r="E541">
        <v>30382599</v>
      </c>
      <c r="F541" t="s">
        <v>35868</v>
      </c>
      <c r="G541" t="s">
        <v>35869</v>
      </c>
      <c r="H541" t="s">
        <v>35870</v>
      </c>
      <c r="I541" t="s">
        <v>35871</v>
      </c>
      <c r="J541" t="s">
        <v>35872</v>
      </c>
      <c r="K541">
        <v>2019</v>
      </c>
      <c r="L541" s="1">
        <v>43406</v>
      </c>
      <c r="O541" t="s">
        <v>35873</v>
      </c>
    </row>
    <row r="542" spans="1:15" x14ac:dyDescent="0.15">
      <c r="A542">
        <v>32269293</v>
      </c>
      <c r="B542">
        <v>20833130</v>
      </c>
      <c r="D542">
        <v>11739279</v>
      </c>
      <c r="E542">
        <v>27998963</v>
      </c>
      <c r="F542" t="s">
        <v>35874</v>
      </c>
      <c r="G542" t="s">
        <v>35875</v>
      </c>
      <c r="H542" t="s">
        <v>35876</v>
      </c>
      <c r="I542" t="s">
        <v>35877</v>
      </c>
      <c r="J542" t="s">
        <v>30605</v>
      </c>
      <c r="K542">
        <v>2017</v>
      </c>
      <c r="L542" s="1">
        <v>42726</v>
      </c>
      <c r="M542" t="s">
        <v>35878</v>
      </c>
      <c r="O542" t="s">
        <v>35879</v>
      </c>
    </row>
    <row r="543" spans="1:15" x14ac:dyDescent="0.15">
      <c r="A543">
        <v>33711340</v>
      </c>
      <c r="B543">
        <v>1846881</v>
      </c>
      <c r="D543">
        <v>35605011</v>
      </c>
      <c r="E543">
        <v>23227894</v>
      </c>
      <c r="F543" t="s">
        <v>35880</v>
      </c>
      <c r="G543" t="s">
        <v>35881</v>
      </c>
      <c r="H543" t="s">
        <v>35882</v>
      </c>
      <c r="I543" t="s">
        <v>35883</v>
      </c>
      <c r="J543" t="s">
        <v>31521</v>
      </c>
      <c r="K543">
        <v>2013</v>
      </c>
      <c r="L543" s="1">
        <v>41255</v>
      </c>
      <c r="O543" t="s">
        <v>35884</v>
      </c>
    </row>
    <row r="544" spans="1:15" x14ac:dyDescent="0.15">
      <c r="A544">
        <v>32765789</v>
      </c>
      <c r="B544">
        <v>35112881</v>
      </c>
      <c r="D544">
        <v>15595725</v>
      </c>
      <c r="E544">
        <v>32169503</v>
      </c>
      <c r="F544" t="s">
        <v>35885</v>
      </c>
      <c r="G544" t="s">
        <v>35886</v>
      </c>
      <c r="H544" t="s">
        <v>35887</v>
      </c>
      <c r="I544" t="s">
        <v>35888</v>
      </c>
      <c r="J544" t="s">
        <v>35889</v>
      </c>
      <c r="K544">
        <v>2020</v>
      </c>
      <c r="L544" s="1">
        <v>43905</v>
      </c>
      <c r="O544" t="s">
        <v>35890</v>
      </c>
    </row>
    <row r="545" spans="1:15" x14ac:dyDescent="0.15">
      <c r="A545">
        <v>29727453</v>
      </c>
      <c r="B545">
        <v>32170015</v>
      </c>
      <c r="D545">
        <v>16461938</v>
      </c>
      <c r="E545">
        <v>15906406</v>
      </c>
      <c r="F545" t="s">
        <v>35891</v>
      </c>
      <c r="G545" t="s">
        <v>35892</v>
      </c>
      <c r="H545" t="s">
        <v>35893</v>
      </c>
      <c r="I545" t="s">
        <v>35894</v>
      </c>
      <c r="J545" t="s">
        <v>33564</v>
      </c>
      <c r="K545">
        <v>2005</v>
      </c>
      <c r="L545" s="1">
        <v>38493</v>
      </c>
      <c r="O545" t="s">
        <v>35895</v>
      </c>
    </row>
    <row r="546" spans="1:15" x14ac:dyDescent="0.15">
      <c r="A546">
        <v>32309839</v>
      </c>
      <c r="B546">
        <v>30359531</v>
      </c>
      <c r="D546">
        <v>34198263</v>
      </c>
      <c r="E546">
        <v>26604698</v>
      </c>
      <c r="F546" t="s">
        <v>35901</v>
      </c>
      <c r="G546" t="s">
        <v>35902</v>
      </c>
      <c r="H546" t="s">
        <v>35903</v>
      </c>
      <c r="I546" t="s">
        <v>35904</v>
      </c>
      <c r="J546" t="s">
        <v>35905</v>
      </c>
      <c r="K546">
        <v>2015</v>
      </c>
      <c r="L546" s="1">
        <v>42334</v>
      </c>
      <c r="M546" t="s">
        <v>35906</v>
      </c>
      <c r="O546" t="s">
        <v>35907</v>
      </c>
    </row>
    <row r="547" spans="1:15" x14ac:dyDescent="0.15">
      <c r="A547">
        <v>31728677</v>
      </c>
      <c r="B547">
        <v>19390692</v>
      </c>
      <c r="D547">
        <v>29747217</v>
      </c>
      <c r="E547">
        <v>1383382</v>
      </c>
      <c r="F547" t="s">
        <v>35908</v>
      </c>
      <c r="G547" t="s">
        <v>35909</v>
      </c>
      <c r="H547" t="s">
        <v>35910</v>
      </c>
      <c r="I547" t="s">
        <v>35911</v>
      </c>
      <c r="J547" t="s">
        <v>30840</v>
      </c>
      <c r="K547">
        <v>1992</v>
      </c>
      <c r="L547" s="1">
        <v>33878</v>
      </c>
      <c r="M547" t="s">
        <v>35912</v>
      </c>
      <c r="O547" t="s">
        <v>35913</v>
      </c>
    </row>
    <row r="548" spans="1:15" x14ac:dyDescent="0.15">
      <c r="A548">
        <v>35025388</v>
      </c>
      <c r="B548">
        <v>1719228</v>
      </c>
      <c r="D548">
        <v>32209033</v>
      </c>
      <c r="E548">
        <v>15837433</v>
      </c>
      <c r="F548" t="s">
        <v>35917</v>
      </c>
      <c r="G548" t="s">
        <v>35918</v>
      </c>
      <c r="H548" t="s">
        <v>35919</v>
      </c>
      <c r="I548" t="s">
        <v>31670</v>
      </c>
      <c r="J548" t="s">
        <v>31577</v>
      </c>
      <c r="K548">
        <v>2005</v>
      </c>
      <c r="L548" s="1">
        <v>38462</v>
      </c>
      <c r="O548" t="s">
        <v>35920</v>
      </c>
    </row>
    <row r="549" spans="1:15" x14ac:dyDescent="0.15">
      <c r="A549">
        <v>26959653</v>
      </c>
      <c r="B549">
        <v>21098229</v>
      </c>
      <c r="D549">
        <v>24959992</v>
      </c>
      <c r="E549">
        <v>3753981</v>
      </c>
      <c r="F549" t="s">
        <v>35921</v>
      </c>
      <c r="G549" t="s">
        <v>35922</v>
      </c>
      <c r="H549" t="s">
        <v>35923</v>
      </c>
      <c r="I549" t="s">
        <v>35924</v>
      </c>
      <c r="J549" t="s">
        <v>30828</v>
      </c>
      <c r="K549">
        <v>1986</v>
      </c>
      <c r="L549" s="1">
        <v>31472</v>
      </c>
      <c r="M549" t="s">
        <v>35925</v>
      </c>
      <c r="O549" t="s">
        <v>35926</v>
      </c>
    </row>
    <row r="550" spans="1:15" x14ac:dyDescent="0.15">
      <c r="A550">
        <v>21541969</v>
      </c>
      <c r="B550">
        <v>9106484</v>
      </c>
      <c r="D550">
        <v>31612497</v>
      </c>
      <c r="E550">
        <v>26350316</v>
      </c>
      <c r="F550" t="s">
        <v>35927</v>
      </c>
      <c r="G550" t="s">
        <v>35928</v>
      </c>
      <c r="H550" t="s">
        <v>35929</v>
      </c>
      <c r="I550" t="s">
        <v>35930</v>
      </c>
      <c r="J550" t="s">
        <v>35365</v>
      </c>
      <c r="K550">
        <v>2015</v>
      </c>
      <c r="L550" s="1">
        <v>42257</v>
      </c>
      <c r="M550" t="s">
        <v>35931</v>
      </c>
      <c r="N550" t="s">
        <v>35932</v>
      </c>
      <c r="O550" t="s">
        <v>35933</v>
      </c>
    </row>
    <row r="551" spans="1:15" x14ac:dyDescent="0.15">
      <c r="A551">
        <v>31720646</v>
      </c>
      <c r="B551">
        <v>25082876</v>
      </c>
      <c r="D551">
        <v>31889167</v>
      </c>
      <c r="E551">
        <v>24022222</v>
      </c>
      <c r="F551" t="s">
        <v>35937</v>
      </c>
      <c r="G551" t="s">
        <v>35938</v>
      </c>
      <c r="H551" t="s">
        <v>35939</v>
      </c>
      <c r="I551" t="s">
        <v>35940</v>
      </c>
      <c r="J551" t="s">
        <v>35941</v>
      </c>
      <c r="K551">
        <v>2013</v>
      </c>
      <c r="L551" s="1">
        <v>41529</v>
      </c>
      <c r="O551" t="s">
        <v>35942</v>
      </c>
    </row>
    <row r="552" spans="1:15" x14ac:dyDescent="0.15">
      <c r="A552">
        <v>8780242</v>
      </c>
      <c r="B552">
        <v>1649554</v>
      </c>
      <c r="D552">
        <v>29701682</v>
      </c>
      <c r="E552">
        <v>30257227</v>
      </c>
      <c r="F552" t="s">
        <v>35952</v>
      </c>
      <c r="G552" t="s">
        <v>35953</v>
      </c>
      <c r="H552" t="s">
        <v>35954</v>
      </c>
      <c r="I552" t="s">
        <v>35955</v>
      </c>
      <c r="J552" t="s">
        <v>35956</v>
      </c>
      <c r="K552">
        <v>2018</v>
      </c>
      <c r="L552" s="1">
        <v>43370</v>
      </c>
      <c r="O552" t="s">
        <v>35957</v>
      </c>
    </row>
    <row r="553" spans="1:15" x14ac:dyDescent="0.15">
      <c r="A553">
        <v>32164992</v>
      </c>
      <c r="B553">
        <v>35673560</v>
      </c>
      <c r="D553">
        <v>31226398</v>
      </c>
      <c r="E553">
        <v>1697030</v>
      </c>
      <c r="F553" t="s">
        <v>35958</v>
      </c>
      <c r="G553" t="s">
        <v>35959</v>
      </c>
      <c r="H553" t="s">
        <v>35960</v>
      </c>
      <c r="I553" t="s">
        <v>35961</v>
      </c>
      <c r="J553" t="s">
        <v>33347</v>
      </c>
      <c r="K553">
        <v>1990</v>
      </c>
      <c r="L553" s="1">
        <v>33117</v>
      </c>
      <c r="M553" t="s">
        <v>35962</v>
      </c>
      <c r="O553" t="s">
        <v>35963</v>
      </c>
    </row>
    <row r="554" spans="1:15" x14ac:dyDescent="0.15">
      <c r="A554">
        <v>32877016</v>
      </c>
      <c r="B554">
        <v>10532697</v>
      </c>
      <c r="D554">
        <v>31432608</v>
      </c>
      <c r="E554">
        <v>20506116</v>
      </c>
      <c r="F554" t="s">
        <v>35964</v>
      </c>
      <c r="G554" t="s">
        <v>35965</v>
      </c>
      <c r="H554" t="s">
        <v>35966</v>
      </c>
      <c r="I554" t="s">
        <v>35967</v>
      </c>
      <c r="J554" t="s">
        <v>30847</v>
      </c>
      <c r="K554">
        <v>2010</v>
      </c>
      <c r="L554" s="1">
        <v>40326</v>
      </c>
      <c r="O554" t="s">
        <v>35968</v>
      </c>
    </row>
    <row r="555" spans="1:15" x14ac:dyDescent="0.15">
      <c r="A555">
        <v>31684971</v>
      </c>
      <c r="B555">
        <v>34234173</v>
      </c>
      <c r="D555">
        <v>25728769</v>
      </c>
      <c r="E555">
        <v>6981641</v>
      </c>
      <c r="F555" t="s">
        <v>35969</v>
      </c>
      <c r="G555" t="s">
        <v>35970</v>
      </c>
      <c r="H555" t="s">
        <v>35971</v>
      </c>
      <c r="I555" t="s">
        <v>35972</v>
      </c>
      <c r="J555" t="s">
        <v>32185</v>
      </c>
      <c r="K555">
        <v>1982</v>
      </c>
      <c r="L555" s="1">
        <v>30225</v>
      </c>
      <c r="M555" t="s">
        <v>35973</v>
      </c>
      <c r="O555" t="s">
        <v>35974</v>
      </c>
    </row>
    <row r="556" spans="1:15" x14ac:dyDescent="0.15">
      <c r="A556">
        <v>33494540</v>
      </c>
      <c r="B556">
        <v>21623458</v>
      </c>
      <c r="D556">
        <v>29326054</v>
      </c>
      <c r="E556">
        <v>20980822</v>
      </c>
      <c r="F556" t="s">
        <v>35975</v>
      </c>
      <c r="G556" t="s">
        <v>35976</v>
      </c>
      <c r="H556" t="s">
        <v>35977</v>
      </c>
      <c r="I556" t="s">
        <v>35978</v>
      </c>
      <c r="J556" t="s">
        <v>35979</v>
      </c>
      <c r="K556">
        <v>2010</v>
      </c>
      <c r="L556" s="1">
        <v>40480</v>
      </c>
      <c r="O556" t="s">
        <v>35980</v>
      </c>
    </row>
    <row r="557" spans="1:15" x14ac:dyDescent="0.15">
      <c r="A557">
        <v>32573237</v>
      </c>
      <c r="B557">
        <v>32602227</v>
      </c>
      <c r="D557">
        <v>27075929</v>
      </c>
      <c r="E557">
        <v>24887393</v>
      </c>
      <c r="F557" t="s">
        <v>35981</v>
      </c>
      <c r="G557" t="s">
        <v>35982</v>
      </c>
      <c r="H557" t="s">
        <v>35983</v>
      </c>
      <c r="I557" t="s">
        <v>35984</v>
      </c>
      <c r="J557" t="s">
        <v>35985</v>
      </c>
      <c r="K557">
        <v>2014</v>
      </c>
      <c r="L557" s="1">
        <v>41793</v>
      </c>
      <c r="M557" t="s">
        <v>35986</v>
      </c>
      <c r="N557" t="s">
        <v>35987</v>
      </c>
      <c r="O557" t="s">
        <v>35988</v>
      </c>
    </row>
    <row r="558" spans="1:15" x14ac:dyDescent="0.15">
      <c r="A558">
        <v>31808871</v>
      </c>
      <c r="B558">
        <v>9581791</v>
      </c>
      <c r="D558">
        <v>16957732</v>
      </c>
      <c r="E558">
        <v>28225755</v>
      </c>
      <c r="F558" t="s">
        <v>35993</v>
      </c>
      <c r="G558" t="s">
        <v>35994</v>
      </c>
      <c r="H558" t="s">
        <v>35995</v>
      </c>
      <c r="I558" t="s">
        <v>35996</v>
      </c>
      <c r="J558" t="s">
        <v>34237</v>
      </c>
      <c r="K558">
        <v>2017</v>
      </c>
      <c r="L558" s="1">
        <v>42789</v>
      </c>
      <c r="O558" t="s">
        <v>35997</v>
      </c>
    </row>
    <row r="559" spans="1:15" x14ac:dyDescent="0.15">
      <c r="A559">
        <v>26743283</v>
      </c>
      <c r="B559">
        <v>21553248</v>
      </c>
      <c r="D559">
        <v>31287870</v>
      </c>
      <c r="E559">
        <v>15136153</v>
      </c>
      <c r="F559" t="s">
        <v>36004</v>
      </c>
      <c r="G559" t="s">
        <v>36005</v>
      </c>
      <c r="H559" t="s">
        <v>36006</v>
      </c>
      <c r="I559" t="s">
        <v>36007</v>
      </c>
      <c r="J559" t="s">
        <v>36008</v>
      </c>
      <c r="K559">
        <v>2004</v>
      </c>
      <c r="L559" s="1">
        <v>38119</v>
      </c>
      <c r="O559" t="s">
        <v>36009</v>
      </c>
    </row>
    <row r="560" spans="1:15" x14ac:dyDescent="0.15">
      <c r="A560">
        <v>18074206</v>
      </c>
      <c r="B560">
        <v>1569964</v>
      </c>
      <c r="D560">
        <v>35581240</v>
      </c>
      <c r="E560">
        <v>18007593</v>
      </c>
      <c r="F560" t="s">
        <v>36010</v>
      </c>
      <c r="G560" t="s">
        <v>36011</v>
      </c>
      <c r="H560" t="s">
        <v>36012</v>
      </c>
      <c r="I560" t="s">
        <v>36013</v>
      </c>
      <c r="J560" t="s">
        <v>35307</v>
      </c>
      <c r="K560">
        <v>2007</v>
      </c>
      <c r="L560" s="1">
        <v>39403</v>
      </c>
      <c r="M560" t="s">
        <v>36014</v>
      </c>
      <c r="O560" t="s">
        <v>36015</v>
      </c>
    </row>
    <row r="561" spans="1:15" x14ac:dyDescent="0.15">
      <c r="A561">
        <v>33580122</v>
      </c>
      <c r="B561">
        <v>25408252</v>
      </c>
      <c r="D561">
        <v>29289567</v>
      </c>
      <c r="E561">
        <v>17704127</v>
      </c>
      <c r="F561" t="s">
        <v>36019</v>
      </c>
      <c r="G561" t="s">
        <v>36020</v>
      </c>
      <c r="H561" t="s">
        <v>36021</v>
      </c>
      <c r="I561" t="s">
        <v>36022</v>
      </c>
      <c r="J561" t="s">
        <v>31587</v>
      </c>
      <c r="K561">
        <v>2007</v>
      </c>
      <c r="L561" s="1">
        <v>39315</v>
      </c>
      <c r="M561" t="s">
        <v>36023</v>
      </c>
      <c r="O561" t="s">
        <v>36024</v>
      </c>
    </row>
    <row r="562" spans="1:15" x14ac:dyDescent="0.15">
      <c r="A562">
        <v>33007464</v>
      </c>
      <c r="B562">
        <v>29343810</v>
      </c>
      <c r="D562">
        <v>32593407</v>
      </c>
      <c r="E562">
        <v>23980617</v>
      </c>
      <c r="F562" t="s">
        <v>36025</v>
      </c>
      <c r="G562" t="s">
        <v>36026</v>
      </c>
      <c r="H562" t="s">
        <v>36027</v>
      </c>
      <c r="I562" t="s">
        <v>36028</v>
      </c>
      <c r="J562" t="s">
        <v>36029</v>
      </c>
      <c r="K562">
        <v>2013</v>
      </c>
      <c r="L562" s="1">
        <v>41515</v>
      </c>
      <c r="M562" t="s">
        <v>36030</v>
      </c>
      <c r="N562" t="s">
        <v>36031</v>
      </c>
      <c r="O562" t="s">
        <v>36032</v>
      </c>
    </row>
    <row r="563" spans="1:15" x14ac:dyDescent="0.15">
      <c r="A563">
        <v>31371728</v>
      </c>
      <c r="B563">
        <v>9368286</v>
      </c>
      <c r="D563">
        <v>9361293</v>
      </c>
      <c r="E563">
        <v>29520561</v>
      </c>
      <c r="F563" t="s">
        <v>36033</v>
      </c>
      <c r="G563" t="s">
        <v>36034</v>
      </c>
      <c r="H563" t="s">
        <v>36035</v>
      </c>
      <c r="I563" t="s">
        <v>36036</v>
      </c>
      <c r="J563" t="s">
        <v>36037</v>
      </c>
      <c r="K563">
        <v>2018</v>
      </c>
      <c r="L563" s="1">
        <v>43169</v>
      </c>
      <c r="O563" t="s">
        <v>36038</v>
      </c>
    </row>
    <row r="564" spans="1:15" x14ac:dyDescent="0.15">
      <c r="A564">
        <v>33114410</v>
      </c>
      <c r="B564">
        <v>23284671</v>
      </c>
      <c r="D564">
        <v>19061643</v>
      </c>
      <c r="E564">
        <v>23303825</v>
      </c>
      <c r="F564" t="s">
        <v>36042</v>
      </c>
      <c r="G564" t="s">
        <v>36043</v>
      </c>
      <c r="H564" t="s">
        <v>36044</v>
      </c>
      <c r="I564" t="s">
        <v>36045</v>
      </c>
      <c r="J564" t="s">
        <v>30600</v>
      </c>
      <c r="K564">
        <v>2013</v>
      </c>
      <c r="L564" s="1">
        <v>41285</v>
      </c>
      <c r="M564" t="s">
        <v>36046</v>
      </c>
      <c r="O564" t="s">
        <v>36047</v>
      </c>
    </row>
    <row r="565" spans="1:15" x14ac:dyDescent="0.15">
      <c r="A565">
        <v>30597256</v>
      </c>
      <c r="B565">
        <v>15709166</v>
      </c>
      <c r="D565">
        <v>26387449</v>
      </c>
      <c r="E565">
        <v>29513618</v>
      </c>
      <c r="F565" t="s">
        <v>36052</v>
      </c>
      <c r="G565" t="s">
        <v>36053</v>
      </c>
      <c r="H565" t="s">
        <v>36054</v>
      </c>
      <c r="I565" t="s">
        <v>36055</v>
      </c>
      <c r="J565" t="s">
        <v>36056</v>
      </c>
      <c r="K565">
        <v>2018</v>
      </c>
      <c r="L565" s="1">
        <v>43167</v>
      </c>
      <c r="M565" t="s">
        <v>36057</v>
      </c>
      <c r="O565" t="s">
        <v>36058</v>
      </c>
    </row>
    <row r="566" spans="1:15" x14ac:dyDescent="0.15">
      <c r="A566">
        <v>35424452</v>
      </c>
      <c r="B566">
        <v>31732191</v>
      </c>
      <c r="D566">
        <v>22723882</v>
      </c>
      <c r="E566">
        <v>3335047</v>
      </c>
      <c r="F566" t="s">
        <v>36059</v>
      </c>
      <c r="G566" t="s">
        <v>36060</v>
      </c>
      <c r="H566" t="s">
        <v>36061</v>
      </c>
      <c r="I566" t="s">
        <v>36062</v>
      </c>
      <c r="J566" t="s">
        <v>33702</v>
      </c>
      <c r="K566">
        <v>1988</v>
      </c>
      <c r="L566" s="1">
        <v>32143</v>
      </c>
      <c r="O566" t="s">
        <v>36063</v>
      </c>
    </row>
    <row r="567" spans="1:15" x14ac:dyDescent="0.15">
      <c r="A567">
        <v>29222696</v>
      </c>
      <c r="B567">
        <v>14642889</v>
      </c>
      <c r="D567">
        <v>18332123</v>
      </c>
      <c r="E567">
        <v>1730636</v>
      </c>
      <c r="F567" t="s">
        <v>36068</v>
      </c>
      <c r="G567" t="s">
        <v>36069</v>
      </c>
      <c r="H567" t="s">
        <v>36070</v>
      </c>
      <c r="I567" t="s">
        <v>36071</v>
      </c>
      <c r="J567" t="s">
        <v>31594</v>
      </c>
      <c r="K567">
        <v>1992</v>
      </c>
      <c r="L567" s="1">
        <v>33618</v>
      </c>
    </row>
    <row r="568" spans="1:15" x14ac:dyDescent="0.15">
      <c r="A568" t="s">
        <v>74</v>
      </c>
      <c r="B568">
        <v>28408343</v>
      </c>
      <c r="D568">
        <v>31654394</v>
      </c>
      <c r="E568">
        <v>9430674</v>
      </c>
      <c r="F568" t="s">
        <v>36077</v>
      </c>
      <c r="G568" t="s">
        <v>36078</v>
      </c>
      <c r="H568" t="s">
        <v>36079</v>
      </c>
      <c r="I568" t="s">
        <v>36080</v>
      </c>
      <c r="J568" t="s">
        <v>31594</v>
      </c>
      <c r="K568">
        <v>1998</v>
      </c>
      <c r="L568" s="1">
        <v>35822</v>
      </c>
      <c r="O568" t="s">
        <v>36081</v>
      </c>
    </row>
    <row r="569" spans="1:15" x14ac:dyDescent="0.15">
      <c r="A569">
        <v>30542983</v>
      </c>
      <c r="B569">
        <v>8282779</v>
      </c>
      <c r="D569">
        <v>35892331</v>
      </c>
      <c r="E569">
        <v>17640085</v>
      </c>
      <c r="F569" t="s">
        <v>36082</v>
      </c>
      <c r="G569" t="s">
        <v>36083</v>
      </c>
      <c r="H569" t="s">
        <v>36084</v>
      </c>
      <c r="I569" t="s">
        <v>36085</v>
      </c>
      <c r="J569" t="s">
        <v>36086</v>
      </c>
      <c r="K569">
        <v>2007</v>
      </c>
      <c r="L569" s="1">
        <v>39284</v>
      </c>
      <c r="O569" t="s">
        <v>36087</v>
      </c>
    </row>
    <row r="570" spans="1:15" x14ac:dyDescent="0.15">
      <c r="A570">
        <v>33776967</v>
      </c>
      <c r="B570">
        <v>26959653</v>
      </c>
      <c r="D570">
        <v>25281721</v>
      </c>
      <c r="E570">
        <v>18426909</v>
      </c>
      <c r="F570" t="s">
        <v>36094</v>
      </c>
      <c r="G570" t="s">
        <v>36095</v>
      </c>
      <c r="H570" t="s">
        <v>36096</v>
      </c>
      <c r="I570" t="s">
        <v>36097</v>
      </c>
      <c r="J570" t="s">
        <v>33347</v>
      </c>
      <c r="K570">
        <v>2008</v>
      </c>
      <c r="L570" s="1">
        <v>39561</v>
      </c>
      <c r="M570" t="s">
        <v>36098</v>
      </c>
      <c r="O570" t="s">
        <v>36099</v>
      </c>
    </row>
    <row r="571" spans="1:15" x14ac:dyDescent="0.15">
      <c r="A571">
        <v>29491222</v>
      </c>
      <c r="B571">
        <v>28368488</v>
      </c>
      <c r="D571">
        <v>11923195</v>
      </c>
      <c r="E571">
        <v>29309057</v>
      </c>
      <c r="F571" t="s">
        <v>36107</v>
      </c>
      <c r="G571" t="s">
        <v>36108</v>
      </c>
      <c r="H571" t="s">
        <v>36109</v>
      </c>
      <c r="I571" t="s">
        <v>36110</v>
      </c>
      <c r="J571" t="s">
        <v>36111</v>
      </c>
      <c r="K571">
        <v>2018</v>
      </c>
      <c r="L571" s="1">
        <v>43109</v>
      </c>
      <c r="O571" t="s">
        <v>36112</v>
      </c>
    </row>
    <row r="572" spans="1:15" x14ac:dyDescent="0.15">
      <c r="A572">
        <v>27434143</v>
      </c>
      <c r="B572">
        <v>21893226</v>
      </c>
      <c r="D572">
        <v>33808542</v>
      </c>
      <c r="E572">
        <v>7077301</v>
      </c>
      <c r="F572" t="s">
        <v>36118</v>
      </c>
      <c r="G572" t="s">
        <v>36119</v>
      </c>
      <c r="H572" t="s">
        <v>36120</v>
      </c>
      <c r="I572" t="s">
        <v>36121</v>
      </c>
      <c r="J572" t="s">
        <v>36122</v>
      </c>
      <c r="K572">
        <v>1982</v>
      </c>
      <c r="L572" s="1">
        <v>30042</v>
      </c>
      <c r="O572" t="s">
        <v>36123</v>
      </c>
    </row>
    <row r="573" spans="1:15" x14ac:dyDescent="0.15">
      <c r="A573">
        <v>33496853</v>
      </c>
      <c r="B573">
        <v>19483673</v>
      </c>
      <c r="D573">
        <v>30118658</v>
      </c>
      <c r="E573">
        <v>30835829</v>
      </c>
      <c r="F573" t="s">
        <v>36124</v>
      </c>
      <c r="G573" t="s">
        <v>36125</v>
      </c>
      <c r="H573" t="s">
        <v>36126</v>
      </c>
      <c r="I573" t="s">
        <v>36127</v>
      </c>
      <c r="J573" t="s">
        <v>30847</v>
      </c>
      <c r="K573">
        <v>2019</v>
      </c>
      <c r="L573" s="1">
        <v>43530</v>
      </c>
      <c r="O573" t="s">
        <v>36128</v>
      </c>
    </row>
    <row r="574" spans="1:15" x14ac:dyDescent="0.15">
      <c r="A574">
        <v>34453041</v>
      </c>
      <c r="B574">
        <v>23869968</v>
      </c>
      <c r="D574">
        <v>12711090</v>
      </c>
      <c r="E574">
        <v>15220333</v>
      </c>
      <c r="F574" t="s">
        <v>36129</v>
      </c>
      <c r="G574" t="s">
        <v>36130</v>
      </c>
      <c r="H574" t="s">
        <v>36131</v>
      </c>
      <c r="I574" t="s">
        <v>36132</v>
      </c>
      <c r="J574" t="s">
        <v>31594</v>
      </c>
      <c r="K574">
        <v>2004</v>
      </c>
      <c r="L574" s="1">
        <v>38167</v>
      </c>
      <c r="O574" t="s">
        <v>36133</v>
      </c>
    </row>
    <row r="575" spans="1:15" x14ac:dyDescent="0.15">
      <c r="A575">
        <v>32453543</v>
      </c>
      <c r="B575">
        <v>29317705</v>
      </c>
      <c r="D575">
        <v>12871939</v>
      </c>
      <c r="E575">
        <v>34229573</v>
      </c>
      <c r="F575" t="s">
        <v>36134</v>
      </c>
      <c r="G575" t="s">
        <v>36135</v>
      </c>
      <c r="H575" t="s">
        <v>36136</v>
      </c>
      <c r="I575" t="s">
        <v>36137</v>
      </c>
      <c r="J575" t="s">
        <v>31659</v>
      </c>
      <c r="K575">
        <v>2021</v>
      </c>
      <c r="L575" s="1">
        <v>44384</v>
      </c>
      <c r="M575" t="s">
        <v>36138</v>
      </c>
      <c r="O575" t="s">
        <v>36139</v>
      </c>
    </row>
    <row r="576" spans="1:15" x14ac:dyDescent="0.15">
      <c r="A576">
        <v>31689238</v>
      </c>
      <c r="B576">
        <v>32753598</v>
      </c>
      <c r="D576">
        <v>22438559</v>
      </c>
      <c r="E576">
        <v>31863816</v>
      </c>
      <c r="F576" t="s">
        <v>36140</v>
      </c>
      <c r="G576" t="s">
        <v>36141</v>
      </c>
      <c r="H576" t="s">
        <v>36142</v>
      </c>
      <c r="I576" t="s">
        <v>36143</v>
      </c>
      <c r="J576" t="s">
        <v>30881</v>
      </c>
      <c r="K576">
        <v>2020</v>
      </c>
      <c r="L576" s="1">
        <v>43821</v>
      </c>
      <c r="M576" t="s">
        <v>36144</v>
      </c>
      <c r="N576" t="s">
        <v>36145</v>
      </c>
      <c r="O576" t="s">
        <v>36146</v>
      </c>
    </row>
    <row r="577" spans="1:15" x14ac:dyDescent="0.15">
      <c r="A577">
        <v>34001236</v>
      </c>
      <c r="B577">
        <v>15655551</v>
      </c>
      <c r="D577">
        <v>28844885</v>
      </c>
      <c r="E577">
        <v>18024180</v>
      </c>
      <c r="F577" t="s">
        <v>36151</v>
      </c>
      <c r="G577" t="s">
        <v>36152</v>
      </c>
      <c r="H577" t="s">
        <v>36153</v>
      </c>
      <c r="I577" t="s">
        <v>36154</v>
      </c>
      <c r="J577" t="s">
        <v>36155</v>
      </c>
      <c r="K577">
        <v>2008</v>
      </c>
      <c r="L577" s="1">
        <v>39407</v>
      </c>
      <c r="O577" t="s">
        <v>36156</v>
      </c>
    </row>
    <row r="578" spans="1:15" x14ac:dyDescent="0.15">
      <c r="A578">
        <v>30092207</v>
      </c>
      <c r="B578">
        <v>29750752</v>
      </c>
      <c r="D578">
        <v>31294478</v>
      </c>
      <c r="E578">
        <v>12788944</v>
      </c>
      <c r="F578" t="s">
        <v>36164</v>
      </c>
      <c r="G578" t="s">
        <v>36165</v>
      </c>
      <c r="H578" t="s">
        <v>36166</v>
      </c>
      <c r="I578" t="s">
        <v>36167</v>
      </c>
      <c r="J578" t="s">
        <v>31594</v>
      </c>
      <c r="K578">
        <v>2003</v>
      </c>
      <c r="L578" s="1">
        <v>37778</v>
      </c>
      <c r="O578" t="s">
        <v>36168</v>
      </c>
    </row>
    <row r="579" spans="1:15" x14ac:dyDescent="0.15">
      <c r="A579" t="s">
        <v>74</v>
      </c>
      <c r="B579">
        <v>25472905</v>
      </c>
      <c r="D579">
        <v>32187185</v>
      </c>
      <c r="E579">
        <v>23806215</v>
      </c>
      <c r="F579" t="s">
        <v>36180</v>
      </c>
      <c r="G579" t="s">
        <v>36181</v>
      </c>
      <c r="H579" t="s">
        <v>36182</v>
      </c>
      <c r="I579" t="s">
        <v>33353</v>
      </c>
      <c r="J579" t="s">
        <v>35899</v>
      </c>
      <c r="K579">
        <v>2013</v>
      </c>
      <c r="L579" s="1">
        <v>41454</v>
      </c>
      <c r="O579" t="s">
        <v>36183</v>
      </c>
    </row>
    <row r="580" spans="1:15" x14ac:dyDescent="0.15">
      <c r="A580">
        <v>31502256</v>
      </c>
      <c r="B580">
        <v>14764679</v>
      </c>
      <c r="D580">
        <v>22895726</v>
      </c>
      <c r="E580">
        <v>23020974</v>
      </c>
      <c r="F580" t="s">
        <v>36184</v>
      </c>
      <c r="G580" t="s">
        <v>36185</v>
      </c>
      <c r="H580" t="s">
        <v>36186</v>
      </c>
      <c r="I580" t="s">
        <v>36187</v>
      </c>
      <c r="J580" t="s">
        <v>36188</v>
      </c>
      <c r="K580">
        <v>2012</v>
      </c>
      <c r="L580" s="1">
        <v>41184</v>
      </c>
      <c r="O580" t="s">
        <v>36189</v>
      </c>
    </row>
    <row r="581" spans="1:15" x14ac:dyDescent="0.15">
      <c r="A581">
        <v>32580578</v>
      </c>
      <c r="B581">
        <v>19679100</v>
      </c>
      <c r="D581">
        <v>32709045</v>
      </c>
      <c r="E581">
        <v>31996469</v>
      </c>
      <c r="F581" t="s">
        <v>36190</v>
      </c>
      <c r="G581" t="s">
        <v>36191</v>
      </c>
      <c r="H581" t="s">
        <v>36192</v>
      </c>
      <c r="I581" t="s">
        <v>36193</v>
      </c>
      <c r="J581" t="s">
        <v>33984</v>
      </c>
      <c r="K581">
        <v>2020</v>
      </c>
      <c r="L581" s="1">
        <v>43861</v>
      </c>
      <c r="O581" t="s">
        <v>36194</v>
      </c>
    </row>
    <row r="582" spans="1:15" x14ac:dyDescent="0.15">
      <c r="A582">
        <v>33361424</v>
      </c>
      <c r="B582">
        <v>35142442</v>
      </c>
      <c r="D582">
        <v>29269376</v>
      </c>
      <c r="E582">
        <v>6206833</v>
      </c>
      <c r="F582" t="s">
        <v>36195</v>
      </c>
      <c r="G582" t="s">
        <v>36196</v>
      </c>
      <c r="H582" t="s">
        <v>36197</v>
      </c>
      <c r="I582" t="s">
        <v>36198</v>
      </c>
      <c r="J582" t="s">
        <v>36199</v>
      </c>
      <c r="K582">
        <v>1984</v>
      </c>
      <c r="L582" s="1">
        <v>30682</v>
      </c>
      <c r="O582" t="s">
        <v>36200</v>
      </c>
    </row>
    <row r="583" spans="1:15" x14ac:dyDescent="0.15">
      <c r="A583">
        <v>33915956</v>
      </c>
      <c r="B583">
        <v>33128169</v>
      </c>
      <c r="D583">
        <v>34343548</v>
      </c>
      <c r="E583">
        <v>20659009</v>
      </c>
      <c r="F583" t="s">
        <v>36207</v>
      </c>
      <c r="G583" t="s">
        <v>36208</v>
      </c>
      <c r="H583" t="s">
        <v>36209</v>
      </c>
      <c r="I583" t="s">
        <v>36210</v>
      </c>
      <c r="J583" t="s">
        <v>34050</v>
      </c>
      <c r="K583">
        <v>2010</v>
      </c>
      <c r="L583" s="1">
        <v>40387</v>
      </c>
      <c r="O583" t="s">
        <v>36211</v>
      </c>
    </row>
    <row r="584" spans="1:15" x14ac:dyDescent="0.15">
      <c r="A584">
        <v>33933815</v>
      </c>
      <c r="B584">
        <v>8621763</v>
      </c>
      <c r="D584">
        <v>30737432</v>
      </c>
      <c r="E584">
        <v>11929972</v>
      </c>
      <c r="F584" t="s">
        <v>36212</v>
      </c>
      <c r="G584" t="s">
        <v>36213</v>
      </c>
      <c r="H584" t="s">
        <v>36214</v>
      </c>
      <c r="I584" t="s">
        <v>36215</v>
      </c>
      <c r="J584" t="s">
        <v>30767</v>
      </c>
      <c r="K584">
        <v>2002</v>
      </c>
      <c r="L584" s="1">
        <v>37350</v>
      </c>
      <c r="M584" t="s">
        <v>36216</v>
      </c>
      <c r="O584" t="s">
        <v>36217</v>
      </c>
    </row>
    <row r="585" spans="1:15" x14ac:dyDescent="0.15">
      <c r="A585">
        <v>31452241</v>
      </c>
      <c r="B585">
        <v>34698812</v>
      </c>
      <c r="D585">
        <v>28433632</v>
      </c>
      <c r="E585">
        <v>1644924</v>
      </c>
      <c r="F585" t="s">
        <v>36218</v>
      </c>
      <c r="G585" t="s">
        <v>36219</v>
      </c>
      <c r="H585" t="s">
        <v>36220</v>
      </c>
      <c r="I585" t="s">
        <v>36221</v>
      </c>
      <c r="J585" t="s">
        <v>30566</v>
      </c>
      <c r="K585">
        <v>1992</v>
      </c>
      <c r="L585" s="1">
        <v>33817</v>
      </c>
      <c r="M585" t="s">
        <v>36222</v>
      </c>
      <c r="O585" t="s">
        <v>36223</v>
      </c>
    </row>
    <row r="586" spans="1:15" x14ac:dyDescent="0.15">
      <c r="A586">
        <v>33915936</v>
      </c>
      <c r="B586">
        <v>30646958</v>
      </c>
      <c r="D586">
        <v>35730977</v>
      </c>
      <c r="E586">
        <v>34060032</v>
      </c>
      <c r="F586" t="s">
        <v>36224</v>
      </c>
      <c r="G586" t="s">
        <v>36225</v>
      </c>
      <c r="H586" t="s">
        <v>36226</v>
      </c>
      <c r="I586" t="s">
        <v>36227</v>
      </c>
      <c r="J586" t="s">
        <v>31003</v>
      </c>
      <c r="K586">
        <v>2021</v>
      </c>
      <c r="L586" s="1">
        <v>44348</v>
      </c>
      <c r="O586" t="s">
        <v>36228</v>
      </c>
    </row>
    <row r="587" spans="1:15" x14ac:dyDescent="0.15">
      <c r="A587">
        <v>33753167</v>
      </c>
      <c r="B587">
        <v>21880748</v>
      </c>
      <c r="D587">
        <v>34819170</v>
      </c>
      <c r="E587">
        <v>33593396</v>
      </c>
      <c r="F587" t="s">
        <v>36229</v>
      </c>
      <c r="G587" t="s">
        <v>36230</v>
      </c>
      <c r="H587" t="s">
        <v>36231</v>
      </c>
      <c r="I587" t="s">
        <v>36232</v>
      </c>
      <c r="J587" t="s">
        <v>30630</v>
      </c>
      <c r="K587">
        <v>2021</v>
      </c>
      <c r="L587" s="1">
        <v>44244</v>
      </c>
      <c r="M587" t="s">
        <v>36233</v>
      </c>
      <c r="O587" t="s">
        <v>36234</v>
      </c>
    </row>
    <row r="588" spans="1:15" x14ac:dyDescent="0.15">
      <c r="A588">
        <v>33761899</v>
      </c>
      <c r="B588">
        <v>31896533</v>
      </c>
      <c r="E588">
        <v>7790057</v>
      </c>
      <c r="F588" t="s">
        <v>36249</v>
      </c>
      <c r="G588" t="s">
        <v>36250</v>
      </c>
      <c r="H588" t="s">
        <v>36251</v>
      </c>
      <c r="I588" t="s">
        <v>36252</v>
      </c>
      <c r="J588" t="s">
        <v>33746</v>
      </c>
      <c r="K588">
        <v>1995</v>
      </c>
      <c r="L588" s="1">
        <v>34881</v>
      </c>
      <c r="M588" t="s">
        <v>36253</v>
      </c>
      <c r="O588" t="s">
        <v>36254</v>
      </c>
    </row>
    <row r="589" spans="1:15" x14ac:dyDescent="0.15">
      <c r="A589">
        <v>32726907</v>
      </c>
      <c r="B589">
        <v>31808871</v>
      </c>
      <c r="E589">
        <v>34229724</v>
      </c>
      <c r="F589" t="s">
        <v>36255</v>
      </c>
      <c r="G589" t="s">
        <v>36256</v>
      </c>
      <c r="H589" t="s">
        <v>36257</v>
      </c>
      <c r="I589" t="s">
        <v>36258</v>
      </c>
      <c r="J589" t="s">
        <v>33082</v>
      </c>
      <c r="K589">
        <v>2021</v>
      </c>
      <c r="L589" s="1">
        <v>44384</v>
      </c>
      <c r="M589" t="s">
        <v>36259</v>
      </c>
      <c r="O589" t="s">
        <v>36260</v>
      </c>
    </row>
    <row r="590" spans="1:15" x14ac:dyDescent="0.15">
      <c r="A590">
        <v>34426493</v>
      </c>
      <c r="B590">
        <v>28740555</v>
      </c>
      <c r="E590">
        <v>3574460</v>
      </c>
      <c r="F590" t="s">
        <v>36266</v>
      </c>
      <c r="G590" t="s">
        <v>36267</v>
      </c>
      <c r="H590" t="s">
        <v>36268</v>
      </c>
      <c r="I590" t="s">
        <v>36269</v>
      </c>
      <c r="J590" t="s">
        <v>34237</v>
      </c>
      <c r="K590">
        <v>1987</v>
      </c>
      <c r="L590" s="1">
        <v>31873</v>
      </c>
      <c r="O590" t="s">
        <v>36270</v>
      </c>
    </row>
    <row r="591" spans="1:15" x14ac:dyDescent="0.15">
      <c r="A591">
        <v>30564220</v>
      </c>
      <c r="B591">
        <v>27976581</v>
      </c>
      <c r="E591">
        <v>19458082</v>
      </c>
      <c r="F591" t="s">
        <v>36271</v>
      </c>
      <c r="G591" t="s">
        <v>36272</v>
      </c>
      <c r="H591" t="s">
        <v>36273</v>
      </c>
      <c r="I591" t="s">
        <v>36274</v>
      </c>
      <c r="J591" t="s">
        <v>31594</v>
      </c>
      <c r="K591">
        <v>2009</v>
      </c>
      <c r="L591" s="1">
        <v>39955</v>
      </c>
      <c r="M591" t="s">
        <v>36275</v>
      </c>
      <c r="O591" t="s">
        <v>36276</v>
      </c>
    </row>
    <row r="592" spans="1:15" x14ac:dyDescent="0.15">
      <c r="A592">
        <v>29534966</v>
      </c>
      <c r="B592">
        <v>1991793</v>
      </c>
      <c r="E592">
        <v>21430174</v>
      </c>
      <c r="F592" t="s">
        <v>36277</v>
      </c>
      <c r="G592" t="s">
        <v>36278</v>
      </c>
      <c r="H592" t="s">
        <v>36279</v>
      </c>
      <c r="I592" t="s">
        <v>36280</v>
      </c>
      <c r="J592" t="s">
        <v>31291</v>
      </c>
      <c r="K592">
        <v>2011</v>
      </c>
      <c r="L592" s="1">
        <v>40627</v>
      </c>
      <c r="M592" t="s">
        <v>36281</v>
      </c>
      <c r="N592" t="s">
        <v>36282</v>
      </c>
      <c r="O592" t="s">
        <v>36283</v>
      </c>
    </row>
    <row r="593" spans="1:15" x14ac:dyDescent="0.15">
      <c r="A593">
        <v>34797720</v>
      </c>
      <c r="B593">
        <v>22992520</v>
      </c>
      <c r="E593">
        <v>19521526</v>
      </c>
      <c r="F593" t="s">
        <v>36288</v>
      </c>
      <c r="G593" t="s">
        <v>36289</v>
      </c>
      <c r="H593" t="s">
        <v>36290</v>
      </c>
      <c r="I593" t="s">
        <v>36291</v>
      </c>
      <c r="J593" t="s">
        <v>31639</v>
      </c>
      <c r="K593">
        <v>2009</v>
      </c>
      <c r="L593" s="1">
        <v>39977</v>
      </c>
      <c r="M593" t="s">
        <v>36292</v>
      </c>
      <c r="O593" t="s">
        <v>36293</v>
      </c>
    </row>
    <row r="594" spans="1:15" x14ac:dyDescent="0.15">
      <c r="A594">
        <v>33658079</v>
      </c>
      <c r="B594">
        <v>32119540</v>
      </c>
      <c r="E594">
        <v>31152821</v>
      </c>
      <c r="F594" t="s">
        <v>36294</v>
      </c>
      <c r="G594" t="s">
        <v>36295</v>
      </c>
      <c r="H594" t="s">
        <v>36296</v>
      </c>
      <c r="I594" t="s">
        <v>36297</v>
      </c>
      <c r="J594" t="s">
        <v>33151</v>
      </c>
      <c r="K594">
        <v>2019</v>
      </c>
      <c r="L594" s="1">
        <v>43618</v>
      </c>
      <c r="M594" t="s">
        <v>36298</v>
      </c>
      <c r="N594" t="s">
        <v>36299</v>
      </c>
      <c r="O594" t="s">
        <v>36300</v>
      </c>
    </row>
    <row r="595" spans="1:15" x14ac:dyDescent="0.15">
      <c r="A595">
        <v>29658555</v>
      </c>
      <c r="B595">
        <v>9326278</v>
      </c>
      <c r="E595">
        <v>25867090</v>
      </c>
      <c r="F595" t="s">
        <v>36301</v>
      </c>
      <c r="G595" t="s">
        <v>36302</v>
      </c>
      <c r="H595" t="s">
        <v>36303</v>
      </c>
      <c r="I595" t="s">
        <v>36304</v>
      </c>
      <c r="J595" t="s">
        <v>30853</v>
      </c>
      <c r="K595">
        <v>2015</v>
      </c>
      <c r="L595" s="1">
        <v>42108</v>
      </c>
      <c r="M595" t="s">
        <v>36305</v>
      </c>
      <c r="O595" t="s">
        <v>36306</v>
      </c>
    </row>
    <row r="596" spans="1:15" x14ac:dyDescent="0.15">
      <c r="A596">
        <v>34545097</v>
      </c>
      <c r="B596">
        <v>33086079</v>
      </c>
      <c r="E596">
        <v>20566852</v>
      </c>
      <c r="F596" t="s">
        <v>36311</v>
      </c>
      <c r="G596" t="s">
        <v>36312</v>
      </c>
      <c r="H596" t="s">
        <v>36313</v>
      </c>
      <c r="I596" t="s">
        <v>36314</v>
      </c>
      <c r="J596" t="s">
        <v>30767</v>
      </c>
      <c r="K596">
        <v>2010</v>
      </c>
      <c r="L596" s="1">
        <v>40352</v>
      </c>
      <c r="M596" t="s">
        <v>36315</v>
      </c>
      <c r="O596" t="s">
        <v>36316</v>
      </c>
    </row>
    <row r="597" spans="1:15" x14ac:dyDescent="0.15">
      <c r="A597">
        <v>33979310</v>
      </c>
      <c r="B597">
        <v>31182116</v>
      </c>
      <c r="E597">
        <v>9562621</v>
      </c>
      <c r="F597" t="s">
        <v>36325</v>
      </c>
      <c r="G597" t="s">
        <v>36326</v>
      </c>
      <c r="H597" t="s">
        <v>36327</v>
      </c>
      <c r="I597" t="s">
        <v>36328</v>
      </c>
      <c r="J597" t="s">
        <v>36329</v>
      </c>
      <c r="K597">
        <v>1998</v>
      </c>
      <c r="L597" s="1">
        <v>35965</v>
      </c>
      <c r="O597" t="s">
        <v>36330</v>
      </c>
    </row>
    <row r="598" spans="1:15" x14ac:dyDescent="0.15">
      <c r="A598">
        <v>33727076</v>
      </c>
      <c r="B598">
        <v>19592610</v>
      </c>
      <c r="E598">
        <v>18771282</v>
      </c>
      <c r="F598" t="s">
        <v>36336</v>
      </c>
      <c r="G598" t="s">
        <v>36337</v>
      </c>
      <c r="H598" t="s">
        <v>36338</v>
      </c>
      <c r="I598" t="s">
        <v>36339</v>
      </c>
      <c r="J598" t="s">
        <v>36029</v>
      </c>
      <c r="K598">
        <v>2008</v>
      </c>
      <c r="L598" s="1">
        <v>39697</v>
      </c>
      <c r="M598" t="s">
        <v>36340</v>
      </c>
      <c r="N598" t="s">
        <v>36341</v>
      </c>
      <c r="O598" t="s">
        <v>36342</v>
      </c>
    </row>
    <row r="599" spans="1:15" x14ac:dyDescent="0.15">
      <c r="A599">
        <v>7678433</v>
      </c>
      <c r="B599">
        <v>26405199</v>
      </c>
      <c r="E599">
        <v>35487268</v>
      </c>
      <c r="F599" t="s">
        <v>36343</v>
      </c>
      <c r="G599" t="s">
        <v>36344</v>
      </c>
      <c r="H599" t="s">
        <v>36345</v>
      </c>
      <c r="I599" t="s">
        <v>36346</v>
      </c>
      <c r="J599" t="s">
        <v>36150</v>
      </c>
      <c r="K599">
        <v>2022</v>
      </c>
      <c r="L599" s="1">
        <v>44680</v>
      </c>
      <c r="O599" t="s">
        <v>36347</v>
      </c>
    </row>
    <row r="600" spans="1:15" x14ac:dyDescent="0.15">
      <c r="A600">
        <v>31712992</v>
      </c>
      <c r="B600">
        <v>25319134</v>
      </c>
      <c r="E600">
        <v>21102562</v>
      </c>
      <c r="F600" t="s">
        <v>36348</v>
      </c>
      <c r="G600" t="s">
        <v>36349</v>
      </c>
      <c r="H600" t="s">
        <v>36350</v>
      </c>
      <c r="I600" t="s">
        <v>36351</v>
      </c>
      <c r="J600" t="s">
        <v>30786</v>
      </c>
      <c r="K600">
        <v>2011</v>
      </c>
      <c r="L600" s="1">
        <v>40507</v>
      </c>
      <c r="M600" t="s">
        <v>36352</v>
      </c>
      <c r="O600" t="s">
        <v>36353</v>
      </c>
    </row>
    <row r="601" spans="1:15" x14ac:dyDescent="0.15">
      <c r="A601">
        <v>31547130</v>
      </c>
      <c r="B601">
        <v>33249316</v>
      </c>
      <c r="E601">
        <v>15517629</v>
      </c>
      <c r="F601" t="s">
        <v>36354</v>
      </c>
      <c r="G601" t="s">
        <v>36355</v>
      </c>
      <c r="H601" t="s">
        <v>36356</v>
      </c>
      <c r="I601" t="s">
        <v>36357</v>
      </c>
      <c r="J601" t="s">
        <v>36358</v>
      </c>
      <c r="K601">
        <v>2004</v>
      </c>
      <c r="L601" s="1">
        <v>38293</v>
      </c>
    </row>
    <row r="602" spans="1:15" x14ac:dyDescent="0.15">
      <c r="A602">
        <v>34218910</v>
      </c>
      <c r="B602">
        <v>26229115</v>
      </c>
      <c r="E602">
        <v>7961777</v>
      </c>
      <c r="F602" t="s">
        <v>36363</v>
      </c>
      <c r="G602" t="s">
        <v>36364</v>
      </c>
      <c r="H602" t="s">
        <v>36365</v>
      </c>
      <c r="I602" t="s">
        <v>36366</v>
      </c>
      <c r="J602" t="s">
        <v>31594</v>
      </c>
      <c r="K602">
        <v>1994</v>
      </c>
      <c r="L602" s="1">
        <v>34649</v>
      </c>
    </row>
    <row r="603" spans="1:15" x14ac:dyDescent="0.15">
      <c r="A603">
        <v>34344968</v>
      </c>
      <c r="B603">
        <v>28148795</v>
      </c>
      <c r="E603">
        <v>23720022</v>
      </c>
      <c r="F603" t="s">
        <v>36367</v>
      </c>
      <c r="G603" t="s">
        <v>36368</v>
      </c>
      <c r="H603" t="s">
        <v>36369</v>
      </c>
      <c r="I603" t="s">
        <v>36370</v>
      </c>
      <c r="J603" t="s">
        <v>31540</v>
      </c>
      <c r="K603">
        <v>2013</v>
      </c>
      <c r="L603" s="1">
        <v>41425</v>
      </c>
      <c r="M603" t="s">
        <v>36371</v>
      </c>
      <c r="O603" t="s">
        <v>36372</v>
      </c>
    </row>
    <row r="604" spans="1:15" x14ac:dyDescent="0.15">
      <c r="A604">
        <v>31852535</v>
      </c>
      <c r="B604">
        <v>33900057</v>
      </c>
      <c r="E604">
        <v>8654502</v>
      </c>
      <c r="F604" t="s">
        <v>36373</v>
      </c>
      <c r="G604" t="s">
        <v>36374</v>
      </c>
      <c r="H604" t="s">
        <v>36375</v>
      </c>
      <c r="I604" t="s">
        <v>36376</v>
      </c>
      <c r="J604" t="s">
        <v>36377</v>
      </c>
      <c r="K604">
        <v>1995</v>
      </c>
      <c r="L604" s="1">
        <v>35004</v>
      </c>
      <c r="O604" t="s">
        <v>36378</v>
      </c>
    </row>
    <row r="605" spans="1:15" x14ac:dyDescent="0.15">
      <c r="A605">
        <v>34161059</v>
      </c>
      <c r="B605">
        <v>11747611</v>
      </c>
      <c r="E605">
        <v>35275615</v>
      </c>
      <c r="F605" t="s">
        <v>36384</v>
      </c>
      <c r="G605" t="s">
        <v>36385</v>
      </c>
      <c r="H605" t="s">
        <v>36386</v>
      </c>
      <c r="I605" t="s">
        <v>31702</v>
      </c>
      <c r="J605" t="s">
        <v>30956</v>
      </c>
      <c r="K605">
        <v>2022</v>
      </c>
      <c r="L605" s="1">
        <v>44631</v>
      </c>
      <c r="O605" t="s">
        <v>36387</v>
      </c>
    </row>
    <row r="606" spans="1:15" x14ac:dyDescent="0.15">
      <c r="A606">
        <v>34212056</v>
      </c>
      <c r="B606">
        <v>26831114</v>
      </c>
      <c r="E606">
        <v>25934359</v>
      </c>
      <c r="F606" t="s">
        <v>36388</v>
      </c>
      <c r="G606" t="s">
        <v>36389</v>
      </c>
      <c r="H606" t="s">
        <v>36390</v>
      </c>
      <c r="I606" t="s">
        <v>36391</v>
      </c>
      <c r="J606" t="s">
        <v>36392</v>
      </c>
      <c r="K606">
        <v>2015</v>
      </c>
      <c r="L606" s="1">
        <v>42127</v>
      </c>
      <c r="O606" t="s">
        <v>36393</v>
      </c>
    </row>
    <row r="607" spans="1:15" x14ac:dyDescent="0.15">
      <c r="A607">
        <v>33945510</v>
      </c>
      <c r="B607">
        <v>29435929</v>
      </c>
      <c r="E607">
        <v>8912005</v>
      </c>
      <c r="F607" t="s">
        <v>36394</v>
      </c>
      <c r="G607" t="s">
        <v>36395</v>
      </c>
      <c r="H607" t="s">
        <v>36396</v>
      </c>
      <c r="I607" t="s">
        <v>36397</v>
      </c>
      <c r="J607" t="s">
        <v>33380</v>
      </c>
      <c r="K607">
        <v>1996</v>
      </c>
      <c r="L607" s="1">
        <v>35339</v>
      </c>
      <c r="O607" t="s">
        <v>36398</v>
      </c>
    </row>
    <row r="608" spans="1:15" x14ac:dyDescent="0.15">
      <c r="A608">
        <v>9368286</v>
      </c>
      <c r="B608">
        <v>26104461</v>
      </c>
      <c r="E608">
        <v>34159897</v>
      </c>
      <c r="F608" t="s">
        <v>36399</v>
      </c>
      <c r="G608" t="s">
        <v>36400</v>
      </c>
      <c r="H608" t="s">
        <v>36401</v>
      </c>
      <c r="I608" t="s">
        <v>35847</v>
      </c>
      <c r="J608" t="s">
        <v>36402</v>
      </c>
      <c r="K608">
        <v>2021</v>
      </c>
      <c r="L608" s="1">
        <v>44370</v>
      </c>
      <c r="M608" t="s">
        <v>36403</v>
      </c>
      <c r="O608" t="s">
        <v>36404</v>
      </c>
    </row>
    <row r="609" spans="1:15" x14ac:dyDescent="0.15">
      <c r="A609">
        <v>33599630</v>
      </c>
      <c r="B609">
        <v>25040043</v>
      </c>
      <c r="E609">
        <v>11142370</v>
      </c>
      <c r="F609" t="s">
        <v>36405</v>
      </c>
      <c r="G609" t="s">
        <v>36406</v>
      </c>
      <c r="H609" t="s">
        <v>36407</v>
      </c>
      <c r="I609" t="s">
        <v>36408</v>
      </c>
      <c r="J609" t="s">
        <v>11924</v>
      </c>
      <c r="K609">
        <v>2000</v>
      </c>
      <c r="L609" s="1">
        <v>36897</v>
      </c>
      <c r="M609" t="s">
        <v>36409</v>
      </c>
      <c r="O609" t="s">
        <v>36410</v>
      </c>
    </row>
    <row r="610" spans="1:15" x14ac:dyDescent="0.15">
      <c r="A610">
        <v>34517648</v>
      </c>
      <c r="B610">
        <v>31173389</v>
      </c>
      <c r="E610">
        <v>19684203</v>
      </c>
      <c r="F610" t="s">
        <v>36411</v>
      </c>
      <c r="G610" t="s">
        <v>36412</v>
      </c>
      <c r="H610" t="s">
        <v>36413</v>
      </c>
      <c r="I610" t="s">
        <v>36414</v>
      </c>
      <c r="J610" t="s">
        <v>30791</v>
      </c>
      <c r="K610">
        <v>2009</v>
      </c>
      <c r="L610" s="1">
        <v>40043</v>
      </c>
      <c r="M610" t="s">
        <v>36415</v>
      </c>
      <c r="O610" t="s">
        <v>36416</v>
      </c>
    </row>
    <row r="611" spans="1:15" x14ac:dyDescent="0.15">
      <c r="A611">
        <v>33430027</v>
      </c>
      <c r="B611">
        <v>33496853</v>
      </c>
      <c r="E611">
        <v>30581439</v>
      </c>
      <c r="F611" t="s">
        <v>36417</v>
      </c>
      <c r="G611" t="s">
        <v>36418</v>
      </c>
      <c r="H611" t="s">
        <v>36419</v>
      </c>
      <c r="I611" t="s">
        <v>36420</v>
      </c>
      <c r="J611" t="s">
        <v>30713</v>
      </c>
      <c r="K611">
        <v>2018</v>
      </c>
      <c r="L611" s="1">
        <v>43459</v>
      </c>
      <c r="M611" t="s">
        <v>36421</v>
      </c>
      <c r="O611" t="s">
        <v>36422</v>
      </c>
    </row>
    <row r="612" spans="1:15" x14ac:dyDescent="0.15">
      <c r="A612">
        <v>33472105</v>
      </c>
      <c r="B612">
        <v>32574035</v>
      </c>
      <c r="E612">
        <v>9873029</v>
      </c>
      <c r="F612" t="s">
        <v>36423</v>
      </c>
      <c r="G612" t="s">
        <v>36424</v>
      </c>
      <c r="H612" t="s">
        <v>36425</v>
      </c>
      <c r="I612" t="s">
        <v>36426</v>
      </c>
      <c r="J612" t="s">
        <v>31594</v>
      </c>
      <c r="K612">
        <v>1999</v>
      </c>
      <c r="L612" s="1">
        <v>36165</v>
      </c>
      <c r="O612" t="s">
        <v>36427</v>
      </c>
    </row>
    <row r="613" spans="1:15" x14ac:dyDescent="0.15">
      <c r="A613">
        <v>33671772</v>
      </c>
      <c r="B613">
        <v>34533885</v>
      </c>
      <c r="E613">
        <v>27129225</v>
      </c>
      <c r="F613" t="s">
        <v>36433</v>
      </c>
      <c r="G613" t="s">
        <v>36434</v>
      </c>
      <c r="H613" t="s">
        <v>36435</v>
      </c>
      <c r="I613" t="s">
        <v>36436</v>
      </c>
      <c r="J613" t="s">
        <v>31594</v>
      </c>
      <c r="K613">
        <v>2016</v>
      </c>
      <c r="L613" s="1">
        <v>42490</v>
      </c>
      <c r="M613" t="s">
        <v>36437</v>
      </c>
      <c r="O613" t="s">
        <v>36438</v>
      </c>
    </row>
    <row r="614" spans="1:15" x14ac:dyDescent="0.15">
      <c r="A614">
        <v>34769002</v>
      </c>
      <c r="B614">
        <v>32600030</v>
      </c>
      <c r="E614">
        <v>16572466</v>
      </c>
      <c r="F614" t="s">
        <v>36444</v>
      </c>
      <c r="G614" t="s">
        <v>36445</v>
      </c>
      <c r="H614" t="s">
        <v>36446</v>
      </c>
      <c r="I614" t="s">
        <v>36447</v>
      </c>
      <c r="J614" t="s">
        <v>34150</v>
      </c>
      <c r="K614">
        <v>2006</v>
      </c>
      <c r="L614" s="1">
        <v>38807</v>
      </c>
      <c r="O614" t="s">
        <v>36448</v>
      </c>
    </row>
    <row r="615" spans="1:15" x14ac:dyDescent="0.15">
      <c r="A615">
        <v>33882455</v>
      </c>
      <c r="B615">
        <v>30852462</v>
      </c>
      <c r="E615">
        <v>12686559</v>
      </c>
      <c r="F615" t="s">
        <v>36449</v>
      </c>
      <c r="G615" t="s">
        <v>36450</v>
      </c>
      <c r="H615" t="s">
        <v>36451</v>
      </c>
      <c r="I615" t="s">
        <v>36452</v>
      </c>
      <c r="J615" t="s">
        <v>31594</v>
      </c>
      <c r="K615">
        <v>2003</v>
      </c>
      <c r="L615" s="1">
        <v>37722</v>
      </c>
      <c r="O615" t="s">
        <v>36453</v>
      </c>
    </row>
    <row r="616" spans="1:15" x14ac:dyDescent="0.15">
      <c r="A616">
        <v>33669497</v>
      </c>
      <c r="B616">
        <v>20497223</v>
      </c>
      <c r="E616">
        <v>9530176</v>
      </c>
      <c r="F616" t="s">
        <v>36454</v>
      </c>
      <c r="G616" t="s">
        <v>36455</v>
      </c>
      <c r="H616" t="s">
        <v>36456</v>
      </c>
      <c r="I616" t="s">
        <v>36457</v>
      </c>
      <c r="J616" t="s">
        <v>36458</v>
      </c>
      <c r="K616">
        <v>1998</v>
      </c>
      <c r="L616" s="1">
        <v>35893</v>
      </c>
      <c r="O616" t="s">
        <v>36459</v>
      </c>
    </row>
    <row r="617" spans="1:15" x14ac:dyDescent="0.15">
      <c r="A617">
        <v>28372464</v>
      </c>
      <c r="B617">
        <v>15883034</v>
      </c>
      <c r="E617">
        <v>7773008</v>
      </c>
      <c r="F617" t="s">
        <v>36469</v>
      </c>
      <c r="G617" t="s">
        <v>36470</v>
      </c>
      <c r="H617" t="s">
        <v>36471</v>
      </c>
      <c r="I617" t="s">
        <v>36472</v>
      </c>
      <c r="J617" t="s">
        <v>36473</v>
      </c>
      <c r="K617">
        <v>1995</v>
      </c>
      <c r="L617" s="1">
        <v>34731</v>
      </c>
      <c r="O617" t="s">
        <v>36474</v>
      </c>
    </row>
    <row r="618" spans="1:15" x14ac:dyDescent="0.15">
      <c r="A618" t="s">
        <v>74</v>
      </c>
      <c r="B618">
        <v>30285805</v>
      </c>
      <c r="E618">
        <v>30301808</v>
      </c>
      <c r="F618" t="s">
        <v>36475</v>
      </c>
      <c r="G618" t="s">
        <v>36476</v>
      </c>
      <c r="H618" t="s">
        <v>36477</v>
      </c>
      <c r="I618" t="s">
        <v>36478</v>
      </c>
      <c r="J618" t="s">
        <v>30767</v>
      </c>
      <c r="K618">
        <v>2018</v>
      </c>
      <c r="L618" s="1">
        <v>43384</v>
      </c>
      <c r="M618" t="s">
        <v>36479</v>
      </c>
      <c r="O618" t="s">
        <v>36480</v>
      </c>
    </row>
    <row r="619" spans="1:15" x14ac:dyDescent="0.15">
      <c r="A619">
        <v>33426510</v>
      </c>
      <c r="B619">
        <v>29555694</v>
      </c>
      <c r="E619">
        <v>12566592</v>
      </c>
      <c r="F619" t="s">
        <v>36481</v>
      </c>
      <c r="G619" t="s">
        <v>36482</v>
      </c>
      <c r="H619" t="s">
        <v>36483</v>
      </c>
      <c r="I619" t="s">
        <v>36484</v>
      </c>
      <c r="J619" t="s">
        <v>36485</v>
      </c>
      <c r="K619">
        <v>2003</v>
      </c>
      <c r="L619" s="1">
        <v>37657</v>
      </c>
      <c r="M619" t="s">
        <v>36486</v>
      </c>
      <c r="O619" t="s">
        <v>36487</v>
      </c>
    </row>
    <row r="620" spans="1:15" x14ac:dyDescent="0.15">
      <c r="A620">
        <v>33867829</v>
      </c>
      <c r="B620">
        <v>24164173</v>
      </c>
      <c r="E620">
        <v>35337361</v>
      </c>
      <c r="F620" t="s">
        <v>36488</v>
      </c>
      <c r="G620" t="s">
        <v>36489</v>
      </c>
      <c r="H620" t="s">
        <v>36490</v>
      </c>
      <c r="I620" t="s">
        <v>36491</v>
      </c>
      <c r="J620" t="s">
        <v>30630</v>
      </c>
      <c r="K620">
        <v>2022</v>
      </c>
      <c r="L620" s="1">
        <v>44646</v>
      </c>
      <c r="M620" t="s">
        <v>36492</v>
      </c>
      <c r="O620" t="s">
        <v>36493</v>
      </c>
    </row>
    <row r="621" spans="1:15" x14ac:dyDescent="0.15">
      <c r="A621">
        <v>33117738</v>
      </c>
      <c r="B621">
        <v>25678142</v>
      </c>
      <c r="E621">
        <v>22100842</v>
      </c>
      <c r="F621" t="s">
        <v>36498</v>
      </c>
      <c r="G621" t="s">
        <v>36499</v>
      </c>
      <c r="H621" t="s">
        <v>36500</v>
      </c>
      <c r="I621" t="s">
        <v>36501</v>
      </c>
      <c r="J621" t="s">
        <v>36502</v>
      </c>
      <c r="K621">
        <v>2011</v>
      </c>
      <c r="L621" s="1">
        <v>40869</v>
      </c>
    </row>
    <row r="622" spans="1:15" x14ac:dyDescent="0.15">
      <c r="A622">
        <v>34656690</v>
      </c>
      <c r="B622">
        <v>26964089</v>
      </c>
      <c r="E622">
        <v>15828860</v>
      </c>
      <c r="F622" t="s">
        <v>36503</v>
      </c>
      <c r="G622" t="s">
        <v>36504</v>
      </c>
      <c r="H622" t="s">
        <v>36505</v>
      </c>
      <c r="I622" t="s">
        <v>36506</v>
      </c>
      <c r="J622" t="s">
        <v>36507</v>
      </c>
      <c r="K622">
        <v>2005</v>
      </c>
      <c r="L622" s="1">
        <v>38457</v>
      </c>
      <c r="M622" t="s">
        <v>36508</v>
      </c>
      <c r="O622" t="s">
        <v>36509</v>
      </c>
    </row>
    <row r="623" spans="1:15" x14ac:dyDescent="0.15">
      <c r="A623">
        <v>26412464</v>
      </c>
      <c r="B623">
        <v>21555566</v>
      </c>
      <c r="E623">
        <v>23530048</v>
      </c>
      <c r="F623" t="s">
        <v>36510</v>
      </c>
      <c r="G623" t="s">
        <v>36511</v>
      </c>
      <c r="H623" t="s">
        <v>36512</v>
      </c>
      <c r="I623" t="s">
        <v>36513</v>
      </c>
      <c r="J623" t="s">
        <v>31594</v>
      </c>
      <c r="K623">
        <v>2013</v>
      </c>
      <c r="L623" s="1">
        <v>41360</v>
      </c>
      <c r="M623" t="s">
        <v>36514</v>
      </c>
      <c r="O623" t="s">
        <v>36515</v>
      </c>
    </row>
    <row r="624" spans="1:15" x14ac:dyDescent="0.15">
      <c r="A624">
        <v>34517262</v>
      </c>
      <c r="B624">
        <v>23509360</v>
      </c>
      <c r="E624">
        <v>28160602</v>
      </c>
      <c r="F624" t="s">
        <v>36516</v>
      </c>
      <c r="G624" t="s">
        <v>36517</v>
      </c>
      <c r="H624" t="s">
        <v>36518</v>
      </c>
      <c r="I624" t="s">
        <v>36519</v>
      </c>
      <c r="J624" t="s">
        <v>31587</v>
      </c>
      <c r="K624">
        <v>2017</v>
      </c>
      <c r="L624" s="1">
        <v>42771</v>
      </c>
      <c r="M624" t="s">
        <v>36520</v>
      </c>
      <c r="O624" t="s">
        <v>36521</v>
      </c>
    </row>
    <row r="625" spans="1:15" x14ac:dyDescent="0.15">
      <c r="A625">
        <v>29040005</v>
      </c>
      <c r="B625">
        <v>18800367</v>
      </c>
      <c r="E625">
        <v>10931929</v>
      </c>
      <c r="F625" t="s">
        <v>36527</v>
      </c>
      <c r="G625" t="s">
        <v>36528</v>
      </c>
      <c r="H625" t="s">
        <v>36529</v>
      </c>
      <c r="I625" t="s">
        <v>36530</v>
      </c>
      <c r="J625" t="s">
        <v>31587</v>
      </c>
      <c r="K625">
        <v>2000</v>
      </c>
      <c r="L625" s="1">
        <v>36748</v>
      </c>
      <c r="M625" t="s">
        <v>36531</v>
      </c>
      <c r="O625" t="s">
        <v>36532</v>
      </c>
    </row>
    <row r="626" spans="1:15" x14ac:dyDescent="0.15">
      <c r="A626" t="s">
        <v>74</v>
      </c>
      <c r="B626">
        <v>29582582</v>
      </c>
      <c r="E626">
        <v>16055222</v>
      </c>
      <c r="F626" t="s">
        <v>36533</v>
      </c>
      <c r="G626" t="s">
        <v>36534</v>
      </c>
      <c r="H626" t="s">
        <v>36535</v>
      </c>
      <c r="I626" t="s">
        <v>36536</v>
      </c>
      <c r="J626" t="s">
        <v>36537</v>
      </c>
      <c r="K626">
        <v>2005</v>
      </c>
      <c r="L626" s="1">
        <v>38566</v>
      </c>
      <c r="O626" t="s">
        <v>36538</v>
      </c>
    </row>
    <row r="627" spans="1:15" x14ac:dyDescent="0.15">
      <c r="A627">
        <v>34407412</v>
      </c>
      <c r="B627">
        <v>23298549</v>
      </c>
      <c r="E627">
        <v>16832048</v>
      </c>
      <c r="F627" t="s">
        <v>36539</v>
      </c>
      <c r="G627" t="s">
        <v>36540</v>
      </c>
      <c r="H627" t="s">
        <v>36541</v>
      </c>
      <c r="I627" t="s">
        <v>36542</v>
      </c>
      <c r="J627" t="s">
        <v>30767</v>
      </c>
      <c r="K627">
        <v>2006</v>
      </c>
      <c r="L627" s="1">
        <v>38911</v>
      </c>
      <c r="M627" t="s">
        <v>36543</v>
      </c>
      <c r="O627" t="s">
        <v>36544</v>
      </c>
    </row>
    <row r="628" spans="1:15" x14ac:dyDescent="0.15">
      <c r="A628">
        <v>31678172</v>
      </c>
      <c r="B628">
        <v>11739766</v>
      </c>
      <c r="E628">
        <v>1418007</v>
      </c>
      <c r="F628" t="s">
        <v>36552</v>
      </c>
      <c r="G628" t="s">
        <v>36553</v>
      </c>
      <c r="H628" t="s">
        <v>36554</v>
      </c>
      <c r="I628" t="s">
        <v>36555</v>
      </c>
      <c r="J628" t="s">
        <v>33478</v>
      </c>
      <c r="K628">
        <v>1992</v>
      </c>
      <c r="L628" s="1">
        <v>33888</v>
      </c>
      <c r="O628" t="s">
        <v>36556</v>
      </c>
    </row>
    <row r="629" spans="1:15" x14ac:dyDescent="0.15">
      <c r="A629">
        <v>33379152</v>
      </c>
      <c r="B629">
        <v>10793152</v>
      </c>
      <c r="E629">
        <v>31053471</v>
      </c>
      <c r="F629" t="s">
        <v>36557</v>
      </c>
      <c r="G629" t="s">
        <v>36558</v>
      </c>
      <c r="H629" t="s">
        <v>36559</v>
      </c>
      <c r="I629" t="s">
        <v>36560</v>
      </c>
      <c r="J629" t="s">
        <v>32022</v>
      </c>
      <c r="K629">
        <v>2019</v>
      </c>
      <c r="L629" s="1">
        <v>43590</v>
      </c>
      <c r="M629" t="s">
        <v>36561</v>
      </c>
      <c r="N629" t="s">
        <v>36562</v>
      </c>
      <c r="O629" t="s">
        <v>36563</v>
      </c>
    </row>
    <row r="630" spans="1:15" x14ac:dyDescent="0.15">
      <c r="A630">
        <v>34750602</v>
      </c>
      <c r="B630">
        <v>21491915</v>
      </c>
      <c r="E630">
        <v>17074811</v>
      </c>
      <c r="F630" t="s">
        <v>36564</v>
      </c>
      <c r="G630" t="s">
        <v>36565</v>
      </c>
      <c r="H630" t="s">
        <v>36566</v>
      </c>
      <c r="I630" t="s">
        <v>36567</v>
      </c>
      <c r="J630" t="s">
        <v>33347</v>
      </c>
      <c r="K630">
        <v>2007</v>
      </c>
      <c r="L630" s="1">
        <v>39022</v>
      </c>
      <c r="M630" t="s">
        <v>36568</v>
      </c>
      <c r="O630" t="s">
        <v>36569</v>
      </c>
    </row>
    <row r="631" spans="1:15" x14ac:dyDescent="0.15">
      <c r="A631">
        <v>32188736</v>
      </c>
      <c r="B631">
        <v>26365178</v>
      </c>
      <c r="E631">
        <v>9090058</v>
      </c>
      <c r="F631" t="s">
        <v>36570</v>
      </c>
      <c r="G631" t="s">
        <v>36571</v>
      </c>
      <c r="H631" t="s">
        <v>36572</v>
      </c>
      <c r="I631" t="s">
        <v>36573</v>
      </c>
      <c r="J631" t="s">
        <v>36086</v>
      </c>
      <c r="K631">
        <v>1997</v>
      </c>
      <c r="L631" s="1">
        <v>35504</v>
      </c>
      <c r="O631" t="s">
        <v>36574</v>
      </c>
    </row>
    <row r="632" spans="1:15" x14ac:dyDescent="0.15">
      <c r="A632">
        <v>31975386</v>
      </c>
      <c r="B632">
        <v>15659066</v>
      </c>
      <c r="E632">
        <v>26098692</v>
      </c>
      <c r="F632" t="s">
        <v>36575</v>
      </c>
      <c r="G632" t="s">
        <v>36576</v>
      </c>
      <c r="H632" t="s">
        <v>36577</v>
      </c>
      <c r="I632" t="s">
        <v>36578</v>
      </c>
      <c r="J632" t="s">
        <v>31639</v>
      </c>
      <c r="K632">
        <v>2015</v>
      </c>
      <c r="L632" s="1">
        <v>42178</v>
      </c>
      <c r="M632" t="s">
        <v>36579</v>
      </c>
      <c r="O632" t="s">
        <v>36580</v>
      </c>
    </row>
    <row r="633" spans="1:15" x14ac:dyDescent="0.15">
      <c r="A633">
        <v>29621120</v>
      </c>
      <c r="B633">
        <v>27092489</v>
      </c>
      <c r="E633">
        <v>10522226</v>
      </c>
      <c r="F633" t="s">
        <v>36581</v>
      </c>
      <c r="G633" t="s">
        <v>36582</v>
      </c>
      <c r="H633" t="s">
        <v>36583</v>
      </c>
      <c r="I633" t="s">
        <v>36584</v>
      </c>
      <c r="J633" t="s">
        <v>36585</v>
      </c>
      <c r="K633">
        <v>1999</v>
      </c>
      <c r="L633" s="1">
        <v>36449</v>
      </c>
      <c r="O633" t="s">
        <v>36586</v>
      </c>
    </row>
    <row r="634" spans="1:15" x14ac:dyDescent="0.15">
      <c r="A634">
        <v>33878123</v>
      </c>
      <c r="B634">
        <v>35209901</v>
      </c>
      <c r="E634">
        <v>30227944</v>
      </c>
      <c r="F634" t="s">
        <v>36587</v>
      </c>
      <c r="G634" t="s">
        <v>36588</v>
      </c>
      <c r="H634" t="s">
        <v>36589</v>
      </c>
      <c r="I634" t="s">
        <v>35231</v>
      </c>
      <c r="J634" t="s">
        <v>36590</v>
      </c>
      <c r="K634">
        <v>2018</v>
      </c>
      <c r="L634" s="1">
        <v>43363</v>
      </c>
      <c r="O634" t="s">
        <v>36591</v>
      </c>
    </row>
    <row r="635" spans="1:15" x14ac:dyDescent="0.15">
      <c r="A635">
        <v>32943930</v>
      </c>
      <c r="B635">
        <v>11932461</v>
      </c>
      <c r="E635">
        <v>18280237</v>
      </c>
      <c r="F635" t="s">
        <v>36592</v>
      </c>
      <c r="G635" t="s">
        <v>36593</v>
      </c>
      <c r="H635" t="s">
        <v>36594</v>
      </c>
      <c r="I635" t="s">
        <v>36595</v>
      </c>
      <c r="J635" t="s">
        <v>32022</v>
      </c>
      <c r="K635">
        <v>2008</v>
      </c>
      <c r="L635" s="1">
        <v>39497</v>
      </c>
      <c r="O635" t="s">
        <v>36596</v>
      </c>
    </row>
    <row r="636" spans="1:15" x14ac:dyDescent="0.15">
      <c r="A636" t="s">
        <v>74</v>
      </c>
      <c r="B636">
        <v>31705800</v>
      </c>
      <c r="E636">
        <v>15185339</v>
      </c>
      <c r="F636" t="s">
        <v>36597</v>
      </c>
      <c r="G636" t="s">
        <v>36598</v>
      </c>
      <c r="H636" t="s">
        <v>36599</v>
      </c>
      <c r="I636" t="s">
        <v>36600</v>
      </c>
      <c r="J636" t="s">
        <v>33483</v>
      </c>
      <c r="K636">
        <v>2004</v>
      </c>
      <c r="L636" s="1">
        <v>38147</v>
      </c>
      <c r="O636" t="s">
        <v>36601</v>
      </c>
    </row>
    <row r="637" spans="1:15" x14ac:dyDescent="0.15">
      <c r="A637" t="s">
        <v>74</v>
      </c>
      <c r="B637">
        <v>7745687</v>
      </c>
      <c r="E637">
        <v>10721728</v>
      </c>
      <c r="F637" t="s">
        <v>36606</v>
      </c>
      <c r="G637" t="s">
        <v>36607</v>
      </c>
      <c r="H637" t="s">
        <v>36608</v>
      </c>
      <c r="I637" t="s">
        <v>36609</v>
      </c>
      <c r="J637" t="s">
        <v>31577</v>
      </c>
      <c r="K637">
        <v>2000</v>
      </c>
      <c r="L637" s="1">
        <v>36603</v>
      </c>
      <c r="O637" t="s">
        <v>36610</v>
      </c>
    </row>
    <row r="638" spans="1:15" x14ac:dyDescent="0.15">
      <c r="A638">
        <v>33434393</v>
      </c>
      <c r="B638">
        <v>33759399</v>
      </c>
      <c r="E638">
        <v>17599775</v>
      </c>
      <c r="F638" t="s">
        <v>36611</v>
      </c>
      <c r="G638" t="s">
        <v>36612</v>
      </c>
      <c r="H638" t="s">
        <v>36613</v>
      </c>
      <c r="I638" t="s">
        <v>36614</v>
      </c>
      <c r="J638" t="s">
        <v>33478</v>
      </c>
      <c r="K638">
        <v>2007</v>
      </c>
      <c r="L638" s="1">
        <v>39263</v>
      </c>
      <c r="O638" t="s">
        <v>36615</v>
      </c>
    </row>
    <row r="639" spans="1:15" x14ac:dyDescent="0.15">
      <c r="A639" t="s">
        <v>74</v>
      </c>
      <c r="B639">
        <v>26431329</v>
      </c>
      <c r="E639">
        <v>12069902</v>
      </c>
      <c r="F639" t="s">
        <v>36616</v>
      </c>
      <c r="G639" t="s">
        <v>36617</v>
      </c>
      <c r="H639" t="s">
        <v>36618</v>
      </c>
      <c r="I639" t="s">
        <v>36619</v>
      </c>
      <c r="J639" t="s">
        <v>36620</v>
      </c>
      <c r="K639">
        <v>2002</v>
      </c>
      <c r="L639" s="1">
        <v>37426</v>
      </c>
      <c r="O639" t="s">
        <v>36621</v>
      </c>
    </row>
    <row r="640" spans="1:15" x14ac:dyDescent="0.15">
      <c r="A640" t="s">
        <v>74</v>
      </c>
      <c r="B640">
        <v>11352238</v>
      </c>
      <c r="E640">
        <v>8652409</v>
      </c>
      <c r="F640" t="s">
        <v>36622</v>
      </c>
      <c r="G640" t="s">
        <v>36623</v>
      </c>
      <c r="H640" t="s">
        <v>36624</v>
      </c>
      <c r="I640" t="s">
        <v>36625</v>
      </c>
      <c r="J640" t="s">
        <v>36626</v>
      </c>
      <c r="K640">
        <v>1996</v>
      </c>
      <c r="L640" s="1">
        <v>35096</v>
      </c>
      <c r="O640" t="s">
        <v>36627</v>
      </c>
    </row>
    <row r="641" spans="1:15" x14ac:dyDescent="0.15">
      <c r="A641">
        <v>31373041</v>
      </c>
      <c r="B641">
        <v>27791108</v>
      </c>
      <c r="E641">
        <v>26942678</v>
      </c>
      <c r="F641" t="s">
        <v>36628</v>
      </c>
      <c r="G641" t="s">
        <v>36629</v>
      </c>
      <c r="H641" t="s">
        <v>36630</v>
      </c>
      <c r="I641" t="s">
        <v>36631</v>
      </c>
      <c r="J641" t="s">
        <v>32022</v>
      </c>
      <c r="K641">
        <v>2016</v>
      </c>
      <c r="L641" s="1">
        <v>42434</v>
      </c>
      <c r="M641" t="s">
        <v>36632</v>
      </c>
      <c r="N641" t="s">
        <v>36633</v>
      </c>
      <c r="O641" t="s">
        <v>36634</v>
      </c>
    </row>
    <row r="642" spans="1:15" x14ac:dyDescent="0.15">
      <c r="A642">
        <v>35056304</v>
      </c>
      <c r="B642">
        <v>24792832</v>
      </c>
      <c r="E642">
        <v>26389589</v>
      </c>
      <c r="F642" t="s">
        <v>36635</v>
      </c>
      <c r="G642" t="s">
        <v>36636</v>
      </c>
      <c r="H642" t="s">
        <v>36637</v>
      </c>
      <c r="I642" t="s">
        <v>36638</v>
      </c>
      <c r="J642" t="s">
        <v>32470</v>
      </c>
      <c r="K642">
        <v>2015</v>
      </c>
      <c r="L642" s="1">
        <v>42269</v>
      </c>
      <c r="M642" t="s">
        <v>36639</v>
      </c>
      <c r="O642" t="s">
        <v>36640</v>
      </c>
    </row>
    <row r="643" spans="1:15" x14ac:dyDescent="0.15">
      <c r="A643">
        <v>33263017</v>
      </c>
      <c r="B643">
        <v>24480987</v>
      </c>
      <c r="E643">
        <v>15590739</v>
      </c>
      <c r="F643" t="s">
        <v>36641</v>
      </c>
      <c r="G643" t="s">
        <v>36642</v>
      </c>
      <c r="H643" t="s">
        <v>36643</v>
      </c>
      <c r="I643" t="s">
        <v>36644</v>
      </c>
      <c r="J643" t="s">
        <v>30966</v>
      </c>
      <c r="K643">
        <v>2005</v>
      </c>
      <c r="L643" s="1">
        <v>38335</v>
      </c>
      <c r="O643" t="s">
        <v>36645</v>
      </c>
    </row>
    <row r="644" spans="1:15" x14ac:dyDescent="0.15">
      <c r="A644">
        <v>32968935</v>
      </c>
      <c r="B644">
        <v>11118370</v>
      </c>
      <c r="E644">
        <v>16553833</v>
      </c>
      <c r="F644" t="s">
        <v>36653</v>
      </c>
      <c r="G644" t="s">
        <v>36654</v>
      </c>
      <c r="H644" t="s">
        <v>36655</v>
      </c>
      <c r="I644" t="s">
        <v>36656</v>
      </c>
      <c r="J644" t="s">
        <v>35648</v>
      </c>
      <c r="K644">
        <v>2006</v>
      </c>
      <c r="L644" s="1">
        <v>38800</v>
      </c>
      <c r="O644" t="s">
        <v>36657</v>
      </c>
    </row>
    <row r="645" spans="1:15" x14ac:dyDescent="0.15">
      <c r="A645">
        <v>33921215</v>
      </c>
      <c r="B645">
        <v>33945510</v>
      </c>
      <c r="E645">
        <v>8896453</v>
      </c>
      <c r="F645" t="s">
        <v>36658</v>
      </c>
      <c r="G645" t="s">
        <v>36659</v>
      </c>
      <c r="H645" t="s">
        <v>36660</v>
      </c>
      <c r="I645" t="s">
        <v>36661</v>
      </c>
      <c r="J645" t="s">
        <v>35307</v>
      </c>
      <c r="K645">
        <v>1996</v>
      </c>
      <c r="L645" s="1">
        <v>35353</v>
      </c>
      <c r="M645" t="s">
        <v>36662</v>
      </c>
    </row>
    <row r="646" spans="1:15" x14ac:dyDescent="0.15">
      <c r="A646">
        <v>33217521</v>
      </c>
      <c r="B646">
        <v>32941446</v>
      </c>
      <c r="E646">
        <v>16260630</v>
      </c>
      <c r="F646" t="s">
        <v>36663</v>
      </c>
      <c r="G646" t="s">
        <v>36664</v>
      </c>
      <c r="H646" t="s">
        <v>36665</v>
      </c>
      <c r="I646" t="s">
        <v>36666</v>
      </c>
      <c r="J646" t="s">
        <v>33347</v>
      </c>
      <c r="K646">
        <v>2005</v>
      </c>
      <c r="L646" s="1">
        <v>38658</v>
      </c>
      <c r="M646" t="s">
        <v>36667</v>
      </c>
      <c r="O646" t="s">
        <v>36668</v>
      </c>
    </row>
    <row r="647" spans="1:15" x14ac:dyDescent="0.15">
      <c r="A647" t="s">
        <v>74</v>
      </c>
      <c r="B647">
        <v>30572805</v>
      </c>
      <c r="E647">
        <v>21955587</v>
      </c>
      <c r="F647" t="s">
        <v>36669</v>
      </c>
      <c r="G647" t="s">
        <v>36670</v>
      </c>
      <c r="H647" t="s">
        <v>36671</v>
      </c>
      <c r="I647" t="s">
        <v>36672</v>
      </c>
      <c r="J647" t="s">
        <v>31659</v>
      </c>
      <c r="K647">
        <v>2011</v>
      </c>
      <c r="L647" s="1">
        <v>40816</v>
      </c>
      <c r="O647" t="s">
        <v>36673</v>
      </c>
    </row>
    <row r="648" spans="1:15" x14ac:dyDescent="0.15">
      <c r="A648">
        <v>35011677</v>
      </c>
      <c r="B648">
        <v>27180609</v>
      </c>
      <c r="E648">
        <v>10978325</v>
      </c>
      <c r="F648" t="s">
        <v>36674</v>
      </c>
      <c r="G648" t="s">
        <v>36675</v>
      </c>
      <c r="H648" t="s">
        <v>36676</v>
      </c>
      <c r="I648" t="s">
        <v>36677</v>
      </c>
      <c r="J648" t="s">
        <v>31594</v>
      </c>
      <c r="K648">
        <v>2000</v>
      </c>
      <c r="L648" s="1">
        <v>36778</v>
      </c>
      <c r="O648" t="s">
        <v>36678</v>
      </c>
    </row>
    <row r="649" spans="1:15" x14ac:dyDescent="0.15">
      <c r="A649">
        <v>33278692</v>
      </c>
      <c r="B649">
        <v>22910294</v>
      </c>
      <c r="E649">
        <v>19570101</v>
      </c>
      <c r="F649" t="s">
        <v>36679</v>
      </c>
      <c r="G649" t="s">
        <v>36680</v>
      </c>
      <c r="H649" t="s">
        <v>36681</v>
      </c>
      <c r="I649" t="s">
        <v>36682</v>
      </c>
      <c r="J649" t="s">
        <v>36683</v>
      </c>
      <c r="K649">
        <v>2009</v>
      </c>
      <c r="L649" s="1">
        <v>39997</v>
      </c>
      <c r="O649" t="s">
        <v>36684</v>
      </c>
    </row>
    <row r="650" spans="1:15" x14ac:dyDescent="0.15">
      <c r="A650">
        <v>33789676</v>
      </c>
      <c r="B650">
        <v>33021603</v>
      </c>
      <c r="E650">
        <v>30718911</v>
      </c>
      <c r="F650" t="s">
        <v>36685</v>
      </c>
      <c r="G650" t="s">
        <v>36686</v>
      </c>
      <c r="H650" t="s">
        <v>36687</v>
      </c>
      <c r="I650" t="s">
        <v>36688</v>
      </c>
      <c r="J650" t="s">
        <v>30834</v>
      </c>
      <c r="K650">
        <v>2019</v>
      </c>
      <c r="L650" s="1">
        <v>43502</v>
      </c>
      <c r="M650" t="s">
        <v>36689</v>
      </c>
      <c r="O650" t="s">
        <v>36690</v>
      </c>
    </row>
    <row r="651" spans="1:15" x14ac:dyDescent="0.15">
      <c r="A651">
        <v>31681284</v>
      </c>
      <c r="B651">
        <v>29896679</v>
      </c>
      <c r="E651">
        <v>11550206</v>
      </c>
      <c r="F651" t="s">
        <v>36691</v>
      </c>
      <c r="G651" t="s">
        <v>36692</v>
      </c>
      <c r="H651" t="s">
        <v>36693</v>
      </c>
      <c r="I651" t="s">
        <v>36694</v>
      </c>
      <c r="J651" t="s">
        <v>31192</v>
      </c>
      <c r="K651">
        <v>2001</v>
      </c>
      <c r="L651" s="1">
        <v>37145</v>
      </c>
      <c r="O651" t="s">
        <v>36695</v>
      </c>
    </row>
    <row r="652" spans="1:15" x14ac:dyDescent="0.15">
      <c r="A652">
        <v>34837760</v>
      </c>
      <c r="B652">
        <v>7592648</v>
      </c>
      <c r="E652">
        <v>11113118</v>
      </c>
      <c r="F652" t="s">
        <v>36696</v>
      </c>
      <c r="G652" t="s">
        <v>36697</v>
      </c>
      <c r="H652" t="s">
        <v>36698</v>
      </c>
      <c r="I652" t="s">
        <v>36699</v>
      </c>
      <c r="J652" t="s">
        <v>31594</v>
      </c>
      <c r="K652">
        <v>2001</v>
      </c>
      <c r="L652" s="1">
        <v>36873</v>
      </c>
      <c r="O652" t="s">
        <v>36700</v>
      </c>
    </row>
    <row r="653" spans="1:15" x14ac:dyDescent="0.15">
      <c r="A653">
        <v>31292829</v>
      </c>
      <c r="B653">
        <v>33693781</v>
      </c>
      <c r="E653">
        <v>31315434</v>
      </c>
      <c r="F653" t="s">
        <v>36707</v>
      </c>
      <c r="G653" t="s">
        <v>36708</v>
      </c>
      <c r="H653" t="s">
        <v>36709</v>
      </c>
      <c r="I653" t="s">
        <v>36710</v>
      </c>
      <c r="J653" t="s">
        <v>36711</v>
      </c>
      <c r="K653">
        <v>2019</v>
      </c>
      <c r="L653" s="1">
        <v>43665</v>
      </c>
      <c r="M653" t="s">
        <v>36712</v>
      </c>
      <c r="N653" t="s">
        <v>36713</v>
      </c>
      <c r="O653" t="s">
        <v>36714</v>
      </c>
    </row>
    <row r="654" spans="1:15" x14ac:dyDescent="0.15">
      <c r="A654">
        <v>9245765</v>
      </c>
      <c r="B654">
        <v>32028208</v>
      </c>
      <c r="E654">
        <v>35436521</v>
      </c>
      <c r="F654" t="s">
        <v>36715</v>
      </c>
      <c r="G654" t="s">
        <v>36716</v>
      </c>
      <c r="H654" t="s">
        <v>36717</v>
      </c>
      <c r="I654" t="s">
        <v>34902</v>
      </c>
      <c r="J654" t="s">
        <v>33151</v>
      </c>
      <c r="K654">
        <v>2022</v>
      </c>
      <c r="L654" s="1">
        <v>44669</v>
      </c>
      <c r="O654" t="s">
        <v>36718</v>
      </c>
    </row>
    <row r="655" spans="1:15" x14ac:dyDescent="0.15">
      <c r="A655">
        <v>33558596</v>
      </c>
      <c r="B655">
        <v>32806709</v>
      </c>
      <c r="E655">
        <v>11988182</v>
      </c>
      <c r="F655" t="s">
        <v>36719</v>
      </c>
      <c r="G655" t="s">
        <v>36720</v>
      </c>
      <c r="H655" t="s">
        <v>36721</v>
      </c>
      <c r="I655" t="s">
        <v>36722</v>
      </c>
      <c r="J655" t="s">
        <v>34553</v>
      </c>
      <c r="K655">
        <v>2002</v>
      </c>
      <c r="L655" s="1">
        <v>37380</v>
      </c>
      <c r="O655" t="s">
        <v>36723</v>
      </c>
    </row>
    <row r="656" spans="1:15" x14ac:dyDescent="0.15">
      <c r="A656">
        <v>34952586</v>
      </c>
      <c r="B656">
        <v>27071670</v>
      </c>
      <c r="E656">
        <v>1944266</v>
      </c>
      <c r="F656" t="s">
        <v>36724</v>
      </c>
      <c r="G656" t="s">
        <v>36725</v>
      </c>
      <c r="H656" t="s">
        <v>36726</v>
      </c>
      <c r="I656" t="s">
        <v>36727</v>
      </c>
      <c r="J656" t="s">
        <v>33347</v>
      </c>
      <c r="K656">
        <v>1991</v>
      </c>
      <c r="L656" s="1">
        <v>33573</v>
      </c>
      <c r="M656" t="s">
        <v>36728</v>
      </c>
      <c r="O656" t="s">
        <v>36729</v>
      </c>
    </row>
    <row r="657" spans="1:15" x14ac:dyDescent="0.15">
      <c r="A657" t="s">
        <v>74</v>
      </c>
      <c r="B657">
        <v>33040492</v>
      </c>
      <c r="E657">
        <v>25485651</v>
      </c>
      <c r="F657" t="s">
        <v>36730</v>
      </c>
      <c r="G657" t="s">
        <v>36731</v>
      </c>
      <c r="H657" t="s">
        <v>36732</v>
      </c>
      <c r="I657" t="s">
        <v>36733</v>
      </c>
      <c r="J657" t="s">
        <v>36734</v>
      </c>
      <c r="K657">
        <v>2015</v>
      </c>
      <c r="L657" s="1">
        <v>41982</v>
      </c>
      <c r="O657" t="s">
        <v>36735</v>
      </c>
    </row>
    <row r="658" spans="1:15" x14ac:dyDescent="0.15">
      <c r="A658">
        <v>28609638</v>
      </c>
      <c r="B658">
        <v>14651978</v>
      </c>
      <c r="E658">
        <v>34331845</v>
      </c>
      <c r="F658" t="s">
        <v>36736</v>
      </c>
      <c r="G658" t="s">
        <v>36737</v>
      </c>
      <c r="H658" t="s">
        <v>36738</v>
      </c>
      <c r="I658" t="s">
        <v>34180</v>
      </c>
      <c r="J658" t="s">
        <v>36739</v>
      </c>
      <c r="K658">
        <v>2021</v>
      </c>
      <c r="L658" s="1">
        <v>44408</v>
      </c>
      <c r="M658" t="s">
        <v>36740</v>
      </c>
      <c r="O658" t="s">
        <v>36741</v>
      </c>
    </row>
    <row r="659" spans="1:15" x14ac:dyDescent="0.15">
      <c r="A659">
        <v>32108034</v>
      </c>
      <c r="B659">
        <v>20684017</v>
      </c>
      <c r="E659">
        <v>2157058</v>
      </c>
      <c r="F659" t="s">
        <v>36742</v>
      </c>
      <c r="G659" t="s">
        <v>36743</v>
      </c>
      <c r="H659" t="s">
        <v>36744</v>
      </c>
      <c r="I659" t="s">
        <v>36745</v>
      </c>
      <c r="J659" t="s">
        <v>31970</v>
      </c>
      <c r="K659">
        <v>1990</v>
      </c>
      <c r="L659" s="1">
        <v>32964</v>
      </c>
      <c r="M659" t="s">
        <v>36746</v>
      </c>
      <c r="O659" t="s">
        <v>36747</v>
      </c>
    </row>
    <row r="660" spans="1:15" x14ac:dyDescent="0.15">
      <c r="A660">
        <v>33759399</v>
      </c>
      <c r="B660">
        <v>11746262</v>
      </c>
      <c r="E660">
        <v>3007532</v>
      </c>
      <c r="F660" t="s">
        <v>36748</v>
      </c>
      <c r="G660" t="s">
        <v>36749</v>
      </c>
      <c r="H660" t="s">
        <v>36750</v>
      </c>
      <c r="I660" t="s">
        <v>36751</v>
      </c>
      <c r="J660" t="s">
        <v>30828</v>
      </c>
      <c r="K660">
        <v>1986</v>
      </c>
      <c r="L660" s="1">
        <v>31503</v>
      </c>
      <c r="M660" t="s">
        <v>36752</v>
      </c>
      <c r="O660" t="s">
        <v>36753</v>
      </c>
    </row>
    <row r="661" spans="1:15" x14ac:dyDescent="0.15">
      <c r="A661">
        <v>34465899</v>
      </c>
      <c r="B661">
        <v>25701498</v>
      </c>
      <c r="E661">
        <v>16407280</v>
      </c>
      <c r="F661" t="s">
        <v>36754</v>
      </c>
      <c r="G661" t="s">
        <v>36755</v>
      </c>
      <c r="H661" t="s">
        <v>36756</v>
      </c>
      <c r="I661" t="s">
        <v>36757</v>
      </c>
      <c r="J661" t="s">
        <v>31594</v>
      </c>
      <c r="K661">
        <v>2006</v>
      </c>
      <c r="L661" s="1">
        <v>38730</v>
      </c>
      <c r="O661" t="s">
        <v>36758</v>
      </c>
    </row>
    <row r="662" spans="1:15" x14ac:dyDescent="0.15">
      <c r="A662">
        <v>35545033</v>
      </c>
      <c r="B662">
        <v>1953351</v>
      </c>
      <c r="E662">
        <v>26170411</v>
      </c>
      <c r="F662" t="s">
        <v>36759</v>
      </c>
      <c r="G662" t="s">
        <v>36760</v>
      </c>
      <c r="H662" t="s">
        <v>36761</v>
      </c>
      <c r="I662" t="s">
        <v>36762</v>
      </c>
      <c r="J662" t="s">
        <v>32185</v>
      </c>
      <c r="K662">
        <v>2015</v>
      </c>
      <c r="L662" s="1">
        <v>42200</v>
      </c>
      <c r="M662" t="s">
        <v>36763</v>
      </c>
      <c r="O662" t="s">
        <v>36764</v>
      </c>
    </row>
    <row r="663" spans="1:15" x14ac:dyDescent="0.15">
      <c r="A663" t="s">
        <v>74</v>
      </c>
      <c r="B663">
        <v>28771197</v>
      </c>
      <c r="E663">
        <v>2154094</v>
      </c>
      <c r="F663" t="s">
        <v>36765</v>
      </c>
      <c r="G663" t="s">
        <v>36766</v>
      </c>
      <c r="H663" t="s">
        <v>36767</v>
      </c>
      <c r="I663" t="s">
        <v>36768</v>
      </c>
      <c r="J663" t="s">
        <v>36769</v>
      </c>
      <c r="K663">
        <v>1990</v>
      </c>
      <c r="L663" s="1">
        <v>32905</v>
      </c>
      <c r="O663" t="s">
        <v>36770</v>
      </c>
    </row>
    <row r="664" spans="1:15" x14ac:dyDescent="0.15">
      <c r="A664">
        <v>35117617</v>
      </c>
      <c r="B664">
        <v>9875267</v>
      </c>
      <c r="E664">
        <v>2689174</v>
      </c>
      <c r="F664" t="s">
        <v>36771</v>
      </c>
      <c r="G664" t="s">
        <v>36772</v>
      </c>
      <c r="H664" t="s">
        <v>36773</v>
      </c>
      <c r="I664" t="s">
        <v>36774</v>
      </c>
      <c r="J664" t="s">
        <v>36775</v>
      </c>
      <c r="K664">
        <v>1989</v>
      </c>
      <c r="L664" s="1">
        <v>32850</v>
      </c>
      <c r="O664" t="s">
        <v>36776</v>
      </c>
    </row>
    <row r="665" spans="1:15" x14ac:dyDescent="0.15">
      <c r="A665">
        <v>33337853</v>
      </c>
      <c r="B665">
        <v>29710410</v>
      </c>
      <c r="E665">
        <v>17448744</v>
      </c>
      <c r="F665" t="s">
        <v>36777</v>
      </c>
      <c r="G665" t="s">
        <v>36778</v>
      </c>
      <c r="H665" t="s">
        <v>36779</v>
      </c>
      <c r="I665" t="s">
        <v>36780</v>
      </c>
      <c r="J665" t="s">
        <v>36781</v>
      </c>
      <c r="K665">
        <v>2007</v>
      </c>
      <c r="L665" s="1">
        <v>39196</v>
      </c>
      <c r="O665" t="s">
        <v>36782</v>
      </c>
    </row>
    <row r="666" spans="1:15" x14ac:dyDescent="0.15">
      <c r="A666">
        <v>32345370</v>
      </c>
      <c r="B666">
        <v>18089561</v>
      </c>
      <c r="E666">
        <v>27345571</v>
      </c>
      <c r="F666" t="s">
        <v>36788</v>
      </c>
      <c r="G666" t="s">
        <v>36789</v>
      </c>
      <c r="H666" t="s">
        <v>36790</v>
      </c>
      <c r="I666" t="s">
        <v>36791</v>
      </c>
      <c r="J666" t="s">
        <v>34553</v>
      </c>
      <c r="K666">
        <v>2016</v>
      </c>
      <c r="L666" s="1">
        <v>42549</v>
      </c>
      <c r="M666" t="s">
        <v>36792</v>
      </c>
      <c r="N666" t="s">
        <v>36793</v>
      </c>
      <c r="O666" t="s">
        <v>36794</v>
      </c>
    </row>
    <row r="667" spans="1:15" x14ac:dyDescent="0.15">
      <c r="A667">
        <v>34889468</v>
      </c>
      <c r="B667">
        <v>33239369</v>
      </c>
      <c r="E667">
        <v>12383240</v>
      </c>
      <c r="F667" t="s">
        <v>36795</v>
      </c>
      <c r="G667" t="s">
        <v>36796</v>
      </c>
      <c r="H667" t="s">
        <v>36797</v>
      </c>
      <c r="I667" t="s">
        <v>36798</v>
      </c>
      <c r="J667" t="s">
        <v>36799</v>
      </c>
      <c r="K667">
        <v>2002</v>
      </c>
      <c r="L667" s="1">
        <v>37547</v>
      </c>
      <c r="O667" t="s">
        <v>36800</v>
      </c>
    </row>
    <row r="668" spans="1:15" x14ac:dyDescent="0.15">
      <c r="A668">
        <v>33016114</v>
      </c>
      <c r="B668">
        <v>35024198</v>
      </c>
      <c r="E668">
        <v>31631581</v>
      </c>
      <c r="F668" t="s">
        <v>36801</v>
      </c>
      <c r="G668" t="s">
        <v>36802</v>
      </c>
      <c r="H668" t="s">
        <v>36803</v>
      </c>
      <c r="I668" t="s">
        <v>36804</v>
      </c>
      <c r="J668" t="s">
        <v>36805</v>
      </c>
      <c r="K668">
        <v>2020</v>
      </c>
      <c r="L668" s="1">
        <v>43760</v>
      </c>
      <c r="O668" t="s">
        <v>36806</v>
      </c>
    </row>
    <row r="669" spans="1:15" x14ac:dyDescent="0.15">
      <c r="A669">
        <v>33594754</v>
      </c>
      <c r="B669">
        <v>33879557</v>
      </c>
      <c r="E669">
        <v>7890419</v>
      </c>
      <c r="F669" t="s">
        <v>36815</v>
      </c>
      <c r="G669" t="s">
        <v>36816</v>
      </c>
      <c r="H669" t="s">
        <v>36817</v>
      </c>
      <c r="I669" t="s">
        <v>36818</v>
      </c>
      <c r="J669" t="s">
        <v>33746</v>
      </c>
      <c r="K669">
        <v>1995</v>
      </c>
      <c r="L669" s="1">
        <v>34790</v>
      </c>
      <c r="M669" t="s">
        <v>36819</v>
      </c>
      <c r="O669" t="s">
        <v>36820</v>
      </c>
    </row>
    <row r="670" spans="1:15" x14ac:dyDescent="0.15">
      <c r="A670">
        <v>34984953</v>
      </c>
      <c r="B670">
        <v>19019086</v>
      </c>
      <c r="E670">
        <v>15905077</v>
      </c>
      <c r="F670" t="s">
        <v>36821</v>
      </c>
      <c r="G670" t="s">
        <v>36822</v>
      </c>
      <c r="H670" t="s">
        <v>36823</v>
      </c>
      <c r="I670" t="s">
        <v>36824</v>
      </c>
      <c r="J670" t="s">
        <v>36626</v>
      </c>
      <c r="K670">
        <v>2005</v>
      </c>
      <c r="L670" s="1">
        <v>38493</v>
      </c>
      <c r="O670" t="s">
        <v>36825</v>
      </c>
    </row>
    <row r="671" spans="1:15" x14ac:dyDescent="0.15">
      <c r="A671">
        <v>35159179</v>
      </c>
      <c r="B671">
        <v>21410798</v>
      </c>
      <c r="E671">
        <v>11331402</v>
      </c>
      <c r="F671" t="s">
        <v>36826</v>
      </c>
      <c r="G671" t="s">
        <v>36827</v>
      </c>
      <c r="H671" t="s">
        <v>36828</v>
      </c>
      <c r="I671" t="s">
        <v>36829</v>
      </c>
      <c r="J671" t="s">
        <v>36830</v>
      </c>
      <c r="K671">
        <v>2001</v>
      </c>
      <c r="L671" s="1">
        <v>37013</v>
      </c>
      <c r="O671" t="s">
        <v>36831</v>
      </c>
    </row>
    <row r="672" spans="1:15" x14ac:dyDescent="0.15">
      <c r="A672">
        <v>33380271</v>
      </c>
      <c r="B672">
        <v>15829504</v>
      </c>
      <c r="E672">
        <v>11879181</v>
      </c>
      <c r="F672" t="s">
        <v>36832</v>
      </c>
      <c r="G672" t="s">
        <v>36833</v>
      </c>
      <c r="H672" t="s">
        <v>36834</v>
      </c>
      <c r="I672" t="s">
        <v>36835</v>
      </c>
      <c r="J672" t="s">
        <v>31059</v>
      </c>
      <c r="K672">
        <v>2002</v>
      </c>
      <c r="L672" s="1">
        <v>37322</v>
      </c>
      <c r="M672" t="s">
        <v>36836</v>
      </c>
      <c r="O672" t="s">
        <v>36837</v>
      </c>
    </row>
    <row r="673" spans="1:15" x14ac:dyDescent="0.15">
      <c r="A673">
        <v>32705286</v>
      </c>
      <c r="B673">
        <v>21440017</v>
      </c>
      <c r="E673">
        <v>31104002</v>
      </c>
      <c r="F673" t="s">
        <v>36838</v>
      </c>
      <c r="G673" t="s">
        <v>36839</v>
      </c>
      <c r="H673" t="s">
        <v>36840</v>
      </c>
      <c r="I673" t="s">
        <v>36841</v>
      </c>
      <c r="J673" t="s">
        <v>36842</v>
      </c>
      <c r="K673">
        <v>2019</v>
      </c>
      <c r="L673" s="1">
        <v>43605</v>
      </c>
      <c r="M673" t="s">
        <v>36843</v>
      </c>
      <c r="O673" t="s">
        <v>36844</v>
      </c>
    </row>
    <row r="674" spans="1:15" x14ac:dyDescent="0.15">
      <c r="A674">
        <v>32864556</v>
      </c>
      <c r="B674">
        <v>32160132</v>
      </c>
      <c r="E674">
        <v>35204785</v>
      </c>
      <c r="F674" t="s">
        <v>36853</v>
      </c>
      <c r="G674" t="s">
        <v>36854</v>
      </c>
      <c r="H674" t="s">
        <v>36855</v>
      </c>
      <c r="I674" t="s">
        <v>36856</v>
      </c>
      <c r="J674" t="s">
        <v>33169</v>
      </c>
      <c r="K674">
        <v>2022</v>
      </c>
      <c r="L674" s="1">
        <v>44617</v>
      </c>
      <c r="M674" t="s">
        <v>36857</v>
      </c>
      <c r="O674" t="s">
        <v>36858</v>
      </c>
    </row>
    <row r="675" spans="1:15" x14ac:dyDescent="0.15">
      <c r="A675">
        <v>34200790</v>
      </c>
      <c r="B675">
        <v>24277816</v>
      </c>
      <c r="E675">
        <v>34896392</v>
      </c>
      <c r="F675" t="s">
        <v>36859</v>
      </c>
      <c r="G675" t="s">
        <v>36860</v>
      </c>
      <c r="H675" t="s">
        <v>36861</v>
      </c>
      <c r="I675" t="s">
        <v>36862</v>
      </c>
      <c r="J675" t="s">
        <v>31594</v>
      </c>
      <c r="K675">
        <v>2022</v>
      </c>
      <c r="L675" s="1">
        <v>44543</v>
      </c>
      <c r="M675" t="s">
        <v>36863</v>
      </c>
      <c r="O675" t="s">
        <v>36864</v>
      </c>
    </row>
    <row r="676" spans="1:15" x14ac:dyDescent="0.15">
      <c r="A676">
        <v>33297857</v>
      </c>
      <c r="B676">
        <v>35245730</v>
      </c>
      <c r="E676">
        <v>8599240</v>
      </c>
      <c r="F676" t="s">
        <v>36868</v>
      </c>
      <c r="G676" t="s">
        <v>36869</v>
      </c>
      <c r="H676" t="s">
        <v>36870</v>
      </c>
      <c r="I676" t="s">
        <v>36605</v>
      </c>
      <c r="J676" t="s">
        <v>932</v>
      </c>
      <c r="K676">
        <v>1996</v>
      </c>
      <c r="L676" s="1">
        <v>35125</v>
      </c>
      <c r="O676" t="s">
        <v>36871</v>
      </c>
    </row>
    <row r="677" spans="1:15" x14ac:dyDescent="0.15">
      <c r="A677">
        <v>29435929</v>
      </c>
      <c r="B677">
        <v>17158353</v>
      </c>
      <c r="E677">
        <v>33952325</v>
      </c>
      <c r="F677" t="s">
        <v>36872</v>
      </c>
      <c r="G677" t="s">
        <v>36873</v>
      </c>
      <c r="H677" t="s">
        <v>36874</v>
      </c>
      <c r="I677" t="s">
        <v>36875</v>
      </c>
      <c r="J677" t="s">
        <v>36876</v>
      </c>
      <c r="K677">
        <v>2021</v>
      </c>
      <c r="L677" s="1">
        <v>44322</v>
      </c>
      <c r="M677" t="s">
        <v>36877</v>
      </c>
      <c r="O677" t="s">
        <v>36878</v>
      </c>
    </row>
    <row r="678" spans="1:15" x14ac:dyDescent="0.15">
      <c r="A678">
        <v>32319557</v>
      </c>
      <c r="B678">
        <v>25900080</v>
      </c>
      <c r="E678">
        <v>11854410</v>
      </c>
      <c r="F678" t="s">
        <v>36879</v>
      </c>
      <c r="G678" t="s">
        <v>36880</v>
      </c>
      <c r="H678" t="s">
        <v>36881</v>
      </c>
      <c r="I678" t="s">
        <v>36882</v>
      </c>
      <c r="J678" t="s">
        <v>32298</v>
      </c>
      <c r="K678">
        <v>2002</v>
      </c>
      <c r="L678" s="1">
        <v>37308</v>
      </c>
      <c r="M678" t="s">
        <v>36883</v>
      </c>
      <c r="O678" t="s">
        <v>36884</v>
      </c>
    </row>
    <row r="679" spans="1:15" x14ac:dyDescent="0.15">
      <c r="A679">
        <v>33637947</v>
      </c>
      <c r="B679">
        <v>31397847</v>
      </c>
      <c r="E679">
        <v>19818712</v>
      </c>
      <c r="F679" t="s">
        <v>36889</v>
      </c>
      <c r="G679" t="s">
        <v>36890</v>
      </c>
      <c r="H679" t="s">
        <v>36891</v>
      </c>
      <c r="I679" t="s">
        <v>36892</v>
      </c>
      <c r="J679" t="s">
        <v>32022</v>
      </c>
      <c r="K679">
        <v>2009</v>
      </c>
      <c r="L679" s="1">
        <v>40099</v>
      </c>
      <c r="M679" t="s">
        <v>36893</v>
      </c>
      <c r="O679" t="s">
        <v>36894</v>
      </c>
    </row>
    <row r="680" spans="1:15" x14ac:dyDescent="0.15">
      <c r="A680">
        <v>28484642</v>
      </c>
      <c r="B680">
        <v>25591738</v>
      </c>
      <c r="E680">
        <v>18025105</v>
      </c>
      <c r="F680" t="s">
        <v>36895</v>
      </c>
      <c r="G680" t="s">
        <v>36896</v>
      </c>
      <c r="H680" t="s">
        <v>36897</v>
      </c>
      <c r="I680" t="s">
        <v>36898</v>
      </c>
      <c r="J680" t="s">
        <v>33347</v>
      </c>
      <c r="K680">
        <v>2008</v>
      </c>
      <c r="L680" s="1">
        <v>39407</v>
      </c>
      <c r="M680" t="s">
        <v>36899</v>
      </c>
      <c r="O680" t="s">
        <v>36900</v>
      </c>
    </row>
    <row r="681" spans="1:15" x14ac:dyDescent="0.15">
      <c r="A681">
        <v>33031312</v>
      </c>
      <c r="B681">
        <v>16103147</v>
      </c>
      <c r="E681">
        <v>9668172</v>
      </c>
      <c r="F681" t="s">
        <v>36901</v>
      </c>
      <c r="G681" t="s">
        <v>36902</v>
      </c>
      <c r="H681" t="s">
        <v>36903</v>
      </c>
      <c r="I681" t="s">
        <v>36904</v>
      </c>
      <c r="J681" t="s">
        <v>33359</v>
      </c>
      <c r="K681">
        <v>1998</v>
      </c>
      <c r="L681" s="1">
        <v>35997</v>
      </c>
      <c r="O681" t="s">
        <v>36905</v>
      </c>
    </row>
    <row r="682" spans="1:15" x14ac:dyDescent="0.15">
      <c r="A682">
        <v>30758240</v>
      </c>
      <c r="B682">
        <v>16501071</v>
      </c>
      <c r="E682">
        <v>9653649</v>
      </c>
      <c r="F682" t="s">
        <v>36906</v>
      </c>
      <c r="G682" t="s">
        <v>36907</v>
      </c>
      <c r="H682" t="s">
        <v>36908</v>
      </c>
      <c r="I682" t="s">
        <v>36909</v>
      </c>
      <c r="J682" t="s">
        <v>36910</v>
      </c>
      <c r="K682">
        <v>1998</v>
      </c>
      <c r="L682" s="1">
        <v>35984</v>
      </c>
      <c r="O682" t="s">
        <v>36911</v>
      </c>
    </row>
    <row r="683" spans="1:15" x14ac:dyDescent="0.15">
      <c r="A683">
        <v>34426211</v>
      </c>
      <c r="B683">
        <v>22874834</v>
      </c>
      <c r="E683">
        <v>34710587</v>
      </c>
      <c r="F683" t="s">
        <v>36912</v>
      </c>
      <c r="G683" t="s">
        <v>36913</v>
      </c>
      <c r="H683" t="s">
        <v>36914</v>
      </c>
      <c r="I683" t="s">
        <v>36915</v>
      </c>
      <c r="J683" t="s">
        <v>30618</v>
      </c>
      <c r="K683">
        <v>2022</v>
      </c>
      <c r="L683" s="1">
        <v>44497</v>
      </c>
      <c r="O683" t="s">
        <v>36916</v>
      </c>
    </row>
    <row r="684" spans="1:15" x14ac:dyDescent="0.15">
      <c r="A684" t="s">
        <v>74</v>
      </c>
      <c r="B684">
        <v>9180905</v>
      </c>
      <c r="E684">
        <v>21715023</v>
      </c>
      <c r="F684" t="s">
        <v>36917</v>
      </c>
      <c r="G684" t="s">
        <v>36918</v>
      </c>
      <c r="H684" t="s">
        <v>36919</v>
      </c>
      <c r="I684" t="s">
        <v>36920</v>
      </c>
      <c r="J684" t="s">
        <v>36921</v>
      </c>
      <c r="K684">
        <v>2011</v>
      </c>
      <c r="L684" s="1">
        <v>40725</v>
      </c>
      <c r="O684" t="s">
        <v>36922</v>
      </c>
    </row>
    <row r="685" spans="1:15" x14ac:dyDescent="0.15">
      <c r="A685">
        <v>35052770</v>
      </c>
      <c r="B685">
        <v>27677261</v>
      </c>
      <c r="E685">
        <v>6150137</v>
      </c>
      <c r="F685" t="s">
        <v>36923</v>
      </c>
      <c r="G685" t="s">
        <v>36924</v>
      </c>
      <c r="H685" t="s">
        <v>36925</v>
      </c>
      <c r="I685" t="s">
        <v>36926</v>
      </c>
      <c r="J685" t="s">
        <v>36927</v>
      </c>
      <c r="K685">
        <v>1984</v>
      </c>
      <c r="L685" s="1">
        <v>31017</v>
      </c>
    </row>
    <row r="686" spans="1:15" x14ac:dyDescent="0.15">
      <c r="A686">
        <v>34886453</v>
      </c>
      <c r="B686">
        <v>18328526</v>
      </c>
      <c r="E686">
        <v>12509439</v>
      </c>
      <c r="F686" t="s">
        <v>36928</v>
      </c>
      <c r="G686" t="s">
        <v>36929</v>
      </c>
      <c r="H686" t="s">
        <v>36930</v>
      </c>
      <c r="I686" t="s">
        <v>36931</v>
      </c>
      <c r="J686" t="s">
        <v>31594</v>
      </c>
      <c r="K686">
        <v>2003</v>
      </c>
      <c r="L686" s="1">
        <v>37623</v>
      </c>
      <c r="O686" t="s">
        <v>36932</v>
      </c>
    </row>
    <row r="687" spans="1:15" x14ac:dyDescent="0.15">
      <c r="A687">
        <v>34613814</v>
      </c>
      <c r="B687">
        <v>30247599</v>
      </c>
      <c r="E687">
        <v>7559527</v>
      </c>
      <c r="F687" t="s">
        <v>36933</v>
      </c>
      <c r="G687" t="s">
        <v>36934</v>
      </c>
      <c r="H687" t="s">
        <v>36935</v>
      </c>
      <c r="I687" t="s">
        <v>36936</v>
      </c>
      <c r="J687" t="s">
        <v>31594</v>
      </c>
      <c r="K687">
        <v>1995</v>
      </c>
      <c r="L687" s="1">
        <v>34978</v>
      </c>
      <c r="O687" t="s">
        <v>36937</v>
      </c>
    </row>
    <row r="688" spans="1:15" x14ac:dyDescent="0.15">
      <c r="A688">
        <v>34720597</v>
      </c>
      <c r="B688">
        <v>31546246</v>
      </c>
      <c r="E688">
        <v>9148967</v>
      </c>
      <c r="F688" t="s">
        <v>36938</v>
      </c>
      <c r="G688" t="s">
        <v>36939</v>
      </c>
      <c r="H688" t="s">
        <v>36940</v>
      </c>
      <c r="I688" t="s">
        <v>36941</v>
      </c>
      <c r="J688" t="s">
        <v>31594</v>
      </c>
      <c r="K688">
        <v>1997</v>
      </c>
      <c r="L688" s="1">
        <v>35566</v>
      </c>
      <c r="O688" t="s">
        <v>36942</v>
      </c>
    </row>
    <row r="689" spans="1:15" x14ac:dyDescent="0.15">
      <c r="A689">
        <v>34611223</v>
      </c>
      <c r="B689">
        <v>26743283</v>
      </c>
      <c r="E689">
        <v>21478823</v>
      </c>
      <c r="F689" t="s">
        <v>36946</v>
      </c>
      <c r="G689" t="s">
        <v>36947</v>
      </c>
      <c r="H689" t="s">
        <v>36948</v>
      </c>
      <c r="I689" t="s">
        <v>36949</v>
      </c>
      <c r="J689" t="s">
        <v>35307</v>
      </c>
      <c r="K689">
        <v>2011</v>
      </c>
      <c r="L689" s="1">
        <v>40645</v>
      </c>
      <c r="M689" t="s">
        <v>36950</v>
      </c>
      <c r="O689" t="s">
        <v>36951</v>
      </c>
    </row>
    <row r="690" spans="1:15" x14ac:dyDescent="0.15">
      <c r="A690">
        <v>35103937</v>
      </c>
      <c r="B690">
        <v>17573475</v>
      </c>
      <c r="E690">
        <v>29601331</v>
      </c>
      <c r="F690" t="s">
        <v>36952</v>
      </c>
      <c r="G690" t="s">
        <v>36953</v>
      </c>
      <c r="H690" t="s">
        <v>36954</v>
      </c>
      <c r="I690" t="s">
        <v>36955</v>
      </c>
      <c r="J690" t="s">
        <v>35538</v>
      </c>
      <c r="K690">
        <v>2018</v>
      </c>
      <c r="L690" s="1">
        <v>43190</v>
      </c>
      <c r="M690" t="s">
        <v>36956</v>
      </c>
      <c r="N690" t="s">
        <v>36957</v>
      </c>
      <c r="O690" t="s">
        <v>36958</v>
      </c>
    </row>
    <row r="691" spans="1:15" x14ac:dyDescent="0.15">
      <c r="A691" t="s">
        <v>74</v>
      </c>
      <c r="B691">
        <v>34040060</v>
      </c>
      <c r="E691">
        <v>9188566</v>
      </c>
      <c r="F691" t="s">
        <v>36964</v>
      </c>
      <c r="G691" t="s">
        <v>36965</v>
      </c>
      <c r="H691" t="s">
        <v>36966</v>
      </c>
      <c r="I691" t="s">
        <v>36967</v>
      </c>
      <c r="J691" t="s">
        <v>31970</v>
      </c>
      <c r="K691">
        <v>1997</v>
      </c>
      <c r="L691" s="1">
        <v>35612</v>
      </c>
      <c r="M691" t="s">
        <v>36968</v>
      </c>
      <c r="O691" t="s">
        <v>36969</v>
      </c>
    </row>
    <row r="692" spans="1:15" x14ac:dyDescent="0.15">
      <c r="A692">
        <v>29884303</v>
      </c>
      <c r="B692">
        <v>9652412</v>
      </c>
      <c r="E692">
        <v>8662812</v>
      </c>
      <c r="F692" t="s">
        <v>36970</v>
      </c>
      <c r="G692" t="s">
        <v>36971</v>
      </c>
      <c r="H692" t="s">
        <v>36972</v>
      </c>
      <c r="I692" t="s">
        <v>36973</v>
      </c>
      <c r="J692" t="s">
        <v>31594</v>
      </c>
      <c r="K692">
        <v>1996</v>
      </c>
      <c r="L692" s="1">
        <v>35223</v>
      </c>
      <c r="O692" t="s">
        <v>36974</v>
      </c>
    </row>
    <row r="693" spans="1:15" x14ac:dyDescent="0.15">
      <c r="A693">
        <v>33989049</v>
      </c>
      <c r="B693">
        <v>35447119</v>
      </c>
      <c r="E693">
        <v>21855801</v>
      </c>
      <c r="F693" t="s">
        <v>36975</v>
      </c>
      <c r="G693" t="s">
        <v>36976</v>
      </c>
      <c r="H693" t="s">
        <v>36977</v>
      </c>
      <c r="I693" t="s">
        <v>36978</v>
      </c>
      <c r="J693" t="s">
        <v>32022</v>
      </c>
      <c r="K693">
        <v>2011</v>
      </c>
      <c r="L693" s="1">
        <v>40778</v>
      </c>
      <c r="O693" t="s">
        <v>36979</v>
      </c>
    </row>
    <row r="694" spans="1:15" x14ac:dyDescent="0.15">
      <c r="A694">
        <v>34900671</v>
      </c>
      <c r="B694">
        <v>29921325</v>
      </c>
      <c r="E694">
        <v>33446491</v>
      </c>
      <c r="F694" t="s">
        <v>36980</v>
      </c>
      <c r="G694" t="s">
        <v>36981</v>
      </c>
      <c r="H694" t="s">
        <v>36982</v>
      </c>
      <c r="I694" t="s">
        <v>36983</v>
      </c>
      <c r="J694" t="s">
        <v>33722</v>
      </c>
      <c r="K694">
        <v>2021</v>
      </c>
      <c r="L694" s="1">
        <v>44211</v>
      </c>
      <c r="M694" t="s">
        <v>36984</v>
      </c>
      <c r="O694" t="s">
        <v>36985</v>
      </c>
    </row>
    <row r="695" spans="1:15" x14ac:dyDescent="0.15">
      <c r="A695" t="s">
        <v>74</v>
      </c>
      <c r="B695">
        <v>34613814</v>
      </c>
      <c r="E695">
        <v>17601531</v>
      </c>
      <c r="F695" t="s">
        <v>36986</v>
      </c>
      <c r="G695" t="s">
        <v>36987</v>
      </c>
      <c r="H695" t="s">
        <v>36988</v>
      </c>
      <c r="I695" t="s">
        <v>36989</v>
      </c>
      <c r="J695" t="s">
        <v>36008</v>
      </c>
      <c r="K695">
        <v>2007</v>
      </c>
      <c r="L695" s="1">
        <v>39266</v>
      </c>
      <c r="O695" t="s">
        <v>36990</v>
      </c>
    </row>
    <row r="696" spans="1:15" x14ac:dyDescent="0.15">
      <c r="A696">
        <v>35027662</v>
      </c>
      <c r="B696">
        <v>22504485</v>
      </c>
      <c r="E696">
        <v>32225029</v>
      </c>
      <c r="F696" t="s">
        <v>36991</v>
      </c>
      <c r="G696" t="s">
        <v>36992</v>
      </c>
      <c r="H696" t="s">
        <v>36993</v>
      </c>
      <c r="I696" t="s">
        <v>36994</v>
      </c>
      <c r="J696" t="s">
        <v>30655</v>
      </c>
      <c r="K696">
        <v>2020</v>
      </c>
      <c r="L696" s="1">
        <v>43922</v>
      </c>
      <c r="M696" t="s">
        <v>36995</v>
      </c>
      <c r="O696" t="s">
        <v>36996</v>
      </c>
    </row>
    <row r="697" spans="1:15" x14ac:dyDescent="0.15">
      <c r="A697">
        <v>35343600</v>
      </c>
      <c r="B697">
        <v>34298423</v>
      </c>
      <c r="E697">
        <v>35545786</v>
      </c>
      <c r="F697" t="s">
        <v>36997</v>
      </c>
      <c r="G697" t="s">
        <v>36998</v>
      </c>
      <c r="H697" t="s">
        <v>36999</v>
      </c>
      <c r="I697" t="s">
        <v>37000</v>
      </c>
      <c r="J697" t="s">
        <v>30630</v>
      </c>
      <c r="K697">
        <v>2022</v>
      </c>
      <c r="L697" s="1">
        <v>44692</v>
      </c>
      <c r="M697" t="s">
        <v>37001</v>
      </c>
      <c r="O697" t="s">
        <v>37002</v>
      </c>
    </row>
    <row r="698" spans="1:15" x14ac:dyDescent="0.15">
      <c r="A698">
        <v>33569647</v>
      </c>
      <c r="B698">
        <v>11837318</v>
      </c>
      <c r="E698">
        <v>19593443</v>
      </c>
      <c r="F698" t="s">
        <v>37003</v>
      </c>
      <c r="G698" t="s">
        <v>37004</v>
      </c>
      <c r="H698" t="s">
        <v>37005</v>
      </c>
      <c r="I698" t="s">
        <v>37006</v>
      </c>
      <c r="J698" t="s">
        <v>31639</v>
      </c>
      <c r="K698">
        <v>2009</v>
      </c>
      <c r="L698" s="1">
        <v>40008</v>
      </c>
      <c r="M698" t="s">
        <v>37007</v>
      </c>
      <c r="O698" t="s">
        <v>37008</v>
      </c>
    </row>
    <row r="699" spans="1:15" x14ac:dyDescent="0.15">
      <c r="A699">
        <v>35723343</v>
      </c>
      <c r="B699">
        <v>29976931</v>
      </c>
      <c r="E699">
        <v>8034739</v>
      </c>
      <c r="F699" t="s">
        <v>37012</v>
      </c>
      <c r="G699" t="s">
        <v>37013</v>
      </c>
      <c r="H699" t="s">
        <v>37014</v>
      </c>
      <c r="I699" t="s">
        <v>37015</v>
      </c>
      <c r="J699" t="s">
        <v>30828</v>
      </c>
      <c r="K699">
        <v>1994</v>
      </c>
      <c r="L699" s="1">
        <v>34516</v>
      </c>
      <c r="M699" t="s">
        <v>37016</v>
      </c>
      <c r="O699" t="s">
        <v>37017</v>
      </c>
    </row>
    <row r="700" spans="1:15" x14ac:dyDescent="0.15">
      <c r="A700">
        <v>35472162</v>
      </c>
      <c r="B700">
        <v>33370019</v>
      </c>
      <c r="E700">
        <v>35190695</v>
      </c>
      <c r="F700" t="s">
        <v>37024</v>
      </c>
      <c r="G700" t="s">
        <v>37025</v>
      </c>
      <c r="H700" t="s">
        <v>37026</v>
      </c>
      <c r="I700" t="s">
        <v>37027</v>
      </c>
      <c r="J700" t="s">
        <v>31952</v>
      </c>
      <c r="K700">
        <v>2022</v>
      </c>
      <c r="L700" s="1">
        <v>44614</v>
      </c>
      <c r="M700" t="s">
        <v>37028</v>
      </c>
      <c r="O700" t="s">
        <v>37029</v>
      </c>
    </row>
    <row r="701" spans="1:15" x14ac:dyDescent="0.15">
      <c r="A701">
        <v>35409352</v>
      </c>
      <c r="B701">
        <v>22192456</v>
      </c>
      <c r="E701">
        <v>17296737</v>
      </c>
      <c r="F701" t="s">
        <v>37030</v>
      </c>
      <c r="G701" t="s">
        <v>37031</v>
      </c>
      <c r="H701" t="s">
        <v>37032</v>
      </c>
      <c r="I701" t="s">
        <v>37033</v>
      </c>
      <c r="J701" t="s">
        <v>33347</v>
      </c>
      <c r="K701">
        <v>2007</v>
      </c>
      <c r="L701" s="1">
        <v>39127</v>
      </c>
      <c r="M701" t="s">
        <v>37034</v>
      </c>
      <c r="O701" t="s">
        <v>37035</v>
      </c>
    </row>
    <row r="702" spans="1:15" x14ac:dyDescent="0.15">
      <c r="A702" t="s">
        <v>74</v>
      </c>
      <c r="B702">
        <v>31092731</v>
      </c>
      <c r="E702">
        <v>12198172</v>
      </c>
      <c r="F702" t="s">
        <v>37036</v>
      </c>
      <c r="G702" t="s">
        <v>37037</v>
      </c>
      <c r="H702" t="s">
        <v>37038</v>
      </c>
      <c r="I702" t="s">
        <v>32198</v>
      </c>
      <c r="J702" t="s">
        <v>35307</v>
      </c>
      <c r="K702">
        <v>2002</v>
      </c>
      <c r="L702" s="1">
        <v>37497</v>
      </c>
      <c r="M702" t="s">
        <v>37039</v>
      </c>
      <c r="O702" t="s">
        <v>37040</v>
      </c>
    </row>
    <row r="703" spans="1:15" x14ac:dyDescent="0.15">
      <c r="A703">
        <v>34203028</v>
      </c>
      <c r="B703">
        <v>19180118</v>
      </c>
      <c r="E703">
        <v>162859</v>
      </c>
      <c r="F703" t="s">
        <v>37045</v>
      </c>
      <c r="G703" t="s">
        <v>37046</v>
      </c>
      <c r="H703" t="s">
        <v>37047</v>
      </c>
      <c r="I703" t="s">
        <v>37048</v>
      </c>
      <c r="J703" t="s">
        <v>31167</v>
      </c>
      <c r="K703">
        <v>1975</v>
      </c>
      <c r="L703" s="1">
        <v>27395</v>
      </c>
    </row>
    <row r="704" spans="1:15" x14ac:dyDescent="0.15">
      <c r="A704" t="s">
        <v>74</v>
      </c>
      <c r="B704">
        <v>33523836</v>
      </c>
      <c r="E704">
        <v>19357164</v>
      </c>
      <c r="F704" t="s">
        <v>37049</v>
      </c>
      <c r="G704" t="s">
        <v>37050</v>
      </c>
      <c r="H704" t="s">
        <v>37051</v>
      </c>
      <c r="I704" t="s">
        <v>37052</v>
      </c>
      <c r="J704" t="s">
        <v>31970</v>
      </c>
      <c r="K704">
        <v>2009</v>
      </c>
      <c r="L704" s="1">
        <v>39913</v>
      </c>
      <c r="M704" t="s">
        <v>37053</v>
      </c>
      <c r="O704" t="s">
        <v>37054</v>
      </c>
    </row>
    <row r="705" spans="1:15" x14ac:dyDescent="0.15">
      <c r="A705">
        <v>35033266</v>
      </c>
      <c r="B705">
        <v>8660406</v>
      </c>
      <c r="E705">
        <v>23283972</v>
      </c>
      <c r="F705" t="s">
        <v>37055</v>
      </c>
      <c r="G705" t="s">
        <v>37056</v>
      </c>
      <c r="H705" t="s">
        <v>37057</v>
      </c>
      <c r="I705" t="s">
        <v>37058</v>
      </c>
      <c r="J705" t="s">
        <v>31594</v>
      </c>
      <c r="K705">
        <v>2013</v>
      </c>
      <c r="L705" s="1">
        <v>41278</v>
      </c>
      <c r="M705" t="s">
        <v>37059</v>
      </c>
      <c r="O705" t="s">
        <v>37060</v>
      </c>
    </row>
    <row r="706" spans="1:15" x14ac:dyDescent="0.15">
      <c r="A706">
        <v>34835434</v>
      </c>
      <c r="B706">
        <v>24572141</v>
      </c>
      <c r="E706">
        <v>22766015</v>
      </c>
      <c r="F706" t="s">
        <v>37061</v>
      </c>
      <c r="G706" t="s">
        <v>37062</v>
      </c>
      <c r="H706" t="s">
        <v>37063</v>
      </c>
      <c r="I706" t="s">
        <v>37064</v>
      </c>
      <c r="J706" t="s">
        <v>37065</v>
      </c>
      <c r="K706">
        <v>2012</v>
      </c>
      <c r="L706" s="1">
        <v>41097</v>
      </c>
      <c r="O706" t="s">
        <v>37066</v>
      </c>
    </row>
    <row r="707" spans="1:15" x14ac:dyDescent="0.15">
      <c r="A707">
        <v>35216284</v>
      </c>
      <c r="B707">
        <v>24499465</v>
      </c>
      <c r="E707">
        <v>32289533</v>
      </c>
      <c r="F707" t="s">
        <v>37067</v>
      </c>
      <c r="G707" t="s">
        <v>37068</v>
      </c>
      <c r="H707" t="s">
        <v>37069</v>
      </c>
      <c r="I707" t="s">
        <v>37070</v>
      </c>
      <c r="J707" t="s">
        <v>37071</v>
      </c>
      <c r="K707">
        <v>2020</v>
      </c>
      <c r="L707" s="1">
        <v>43936</v>
      </c>
      <c r="M707" t="s">
        <v>37072</v>
      </c>
      <c r="N707" t="s">
        <v>37073</v>
      </c>
      <c r="O707" t="s">
        <v>37074</v>
      </c>
    </row>
    <row r="708" spans="1:15" x14ac:dyDescent="0.15">
      <c r="A708">
        <v>34284459</v>
      </c>
      <c r="B708">
        <v>33978996</v>
      </c>
      <c r="E708">
        <v>12034747</v>
      </c>
      <c r="F708" t="s">
        <v>37078</v>
      </c>
      <c r="G708" t="s">
        <v>37079</v>
      </c>
      <c r="H708" t="s">
        <v>37080</v>
      </c>
      <c r="I708" t="s">
        <v>37081</v>
      </c>
      <c r="J708" t="s">
        <v>31594</v>
      </c>
      <c r="K708">
        <v>2002</v>
      </c>
      <c r="L708" s="1">
        <v>37406</v>
      </c>
      <c r="O708" t="s">
        <v>37082</v>
      </c>
    </row>
    <row r="709" spans="1:15" x14ac:dyDescent="0.15">
      <c r="A709">
        <v>34575975</v>
      </c>
      <c r="B709">
        <v>32352741</v>
      </c>
      <c r="E709">
        <v>24758196</v>
      </c>
      <c r="F709" t="s">
        <v>37083</v>
      </c>
      <c r="G709" t="s">
        <v>37084</v>
      </c>
      <c r="H709" t="s">
        <v>37085</v>
      </c>
      <c r="I709" t="s">
        <v>37086</v>
      </c>
      <c r="J709" t="s">
        <v>31633</v>
      </c>
      <c r="K709">
        <v>2015</v>
      </c>
      <c r="L709" s="1">
        <v>41754</v>
      </c>
      <c r="M709" t="s">
        <v>37087</v>
      </c>
      <c r="O709" t="s">
        <v>37088</v>
      </c>
    </row>
    <row r="710" spans="1:15" x14ac:dyDescent="0.15">
      <c r="A710">
        <v>33601339</v>
      </c>
      <c r="B710">
        <v>26018205</v>
      </c>
      <c r="E710">
        <v>7717462</v>
      </c>
      <c r="F710" t="s">
        <v>37089</v>
      </c>
      <c r="G710" t="s">
        <v>37090</v>
      </c>
      <c r="H710" t="s">
        <v>37091</v>
      </c>
      <c r="I710" t="s">
        <v>37092</v>
      </c>
      <c r="J710" t="s">
        <v>32741</v>
      </c>
      <c r="K710">
        <v>1995</v>
      </c>
      <c r="L710" s="1">
        <v>34790</v>
      </c>
      <c r="M710" t="s">
        <v>37093</v>
      </c>
    </row>
    <row r="711" spans="1:15" x14ac:dyDescent="0.15">
      <c r="A711" t="s">
        <v>74</v>
      </c>
      <c r="B711">
        <v>22484292</v>
      </c>
      <c r="E711">
        <v>10772249</v>
      </c>
      <c r="F711" t="s">
        <v>37094</v>
      </c>
      <c r="G711" t="s">
        <v>37095</v>
      </c>
      <c r="H711" t="s">
        <v>37096</v>
      </c>
      <c r="I711" t="s">
        <v>37097</v>
      </c>
      <c r="J711" t="s">
        <v>37098</v>
      </c>
      <c r="K711">
        <v>2000</v>
      </c>
      <c r="L711" s="1">
        <v>36636</v>
      </c>
      <c r="O711" t="s">
        <v>37099</v>
      </c>
    </row>
    <row r="712" spans="1:15" x14ac:dyDescent="0.15">
      <c r="A712">
        <v>31356937</v>
      </c>
      <c r="B712">
        <v>23949796</v>
      </c>
      <c r="E712">
        <v>35167425</v>
      </c>
      <c r="F712" t="s">
        <v>37100</v>
      </c>
      <c r="G712" t="s">
        <v>37101</v>
      </c>
      <c r="H712" t="s">
        <v>37102</v>
      </c>
      <c r="I712" t="s">
        <v>35639</v>
      </c>
      <c r="J712" t="s">
        <v>37103</v>
      </c>
      <c r="K712">
        <v>2022</v>
      </c>
      <c r="L712" s="1">
        <v>44607</v>
      </c>
      <c r="M712" t="s">
        <v>37104</v>
      </c>
      <c r="O712" t="s">
        <v>37105</v>
      </c>
    </row>
    <row r="713" spans="1:15" x14ac:dyDescent="0.15">
      <c r="A713" t="s">
        <v>74</v>
      </c>
      <c r="B713">
        <v>26229117</v>
      </c>
      <c r="E713">
        <v>29648974</v>
      </c>
      <c r="F713" t="s">
        <v>37106</v>
      </c>
      <c r="G713" t="s">
        <v>37107</v>
      </c>
      <c r="H713" t="s">
        <v>37108</v>
      </c>
      <c r="I713" t="s">
        <v>37109</v>
      </c>
      <c r="J713" t="s">
        <v>33799</v>
      </c>
      <c r="K713">
        <v>2018</v>
      </c>
      <c r="L713" s="1">
        <v>43203</v>
      </c>
      <c r="M713" t="s">
        <v>37110</v>
      </c>
      <c r="O713" t="s">
        <v>37111</v>
      </c>
    </row>
    <row r="714" spans="1:15" x14ac:dyDescent="0.15">
      <c r="A714">
        <v>33599639</v>
      </c>
      <c r="B714">
        <v>17030615</v>
      </c>
      <c r="E714">
        <v>12376568</v>
      </c>
      <c r="F714" t="s">
        <v>37116</v>
      </c>
      <c r="G714" t="s">
        <v>37117</v>
      </c>
      <c r="H714" t="s">
        <v>37118</v>
      </c>
      <c r="I714" t="s">
        <v>37119</v>
      </c>
      <c r="J714" t="s">
        <v>31155</v>
      </c>
      <c r="K714">
        <v>2002</v>
      </c>
      <c r="L714" s="1">
        <v>37541</v>
      </c>
      <c r="O714" t="s">
        <v>37120</v>
      </c>
    </row>
    <row r="715" spans="1:15" x14ac:dyDescent="0.15">
      <c r="A715" t="s">
        <v>74</v>
      </c>
      <c r="B715">
        <v>32153563</v>
      </c>
      <c r="E715">
        <v>15190121</v>
      </c>
      <c r="F715" t="s">
        <v>37121</v>
      </c>
      <c r="G715" t="s">
        <v>37122</v>
      </c>
      <c r="H715" t="s">
        <v>37123</v>
      </c>
      <c r="I715" t="s">
        <v>37124</v>
      </c>
      <c r="J715" t="s">
        <v>31155</v>
      </c>
      <c r="K715">
        <v>2004</v>
      </c>
      <c r="L715" s="1">
        <v>38149</v>
      </c>
      <c r="O715" t="s">
        <v>37125</v>
      </c>
    </row>
    <row r="716" spans="1:15" x14ac:dyDescent="0.15">
      <c r="A716">
        <v>35207703</v>
      </c>
      <c r="B716">
        <v>35710947</v>
      </c>
      <c r="E716">
        <v>16087731</v>
      </c>
      <c r="F716" t="s">
        <v>37126</v>
      </c>
      <c r="G716" t="s">
        <v>37127</v>
      </c>
      <c r="H716" t="s">
        <v>37128</v>
      </c>
      <c r="I716" t="s">
        <v>37129</v>
      </c>
      <c r="J716" t="s">
        <v>37130</v>
      </c>
      <c r="K716">
        <v>2005</v>
      </c>
      <c r="L716" s="1">
        <v>38574</v>
      </c>
      <c r="O716" t="s">
        <v>37131</v>
      </c>
    </row>
    <row r="717" spans="1:15" x14ac:dyDescent="0.15">
      <c r="A717">
        <v>30269790</v>
      </c>
      <c r="B717">
        <v>29930011</v>
      </c>
      <c r="E717">
        <v>31136569</v>
      </c>
      <c r="F717" t="s">
        <v>37132</v>
      </c>
      <c r="G717" t="s">
        <v>37133</v>
      </c>
      <c r="H717" t="s">
        <v>37134</v>
      </c>
      <c r="I717" t="s">
        <v>37135</v>
      </c>
      <c r="J717" t="s">
        <v>32470</v>
      </c>
      <c r="K717">
        <v>2019</v>
      </c>
      <c r="L717" s="1">
        <v>43614</v>
      </c>
      <c r="M717" t="s">
        <v>37136</v>
      </c>
      <c r="O717" t="s">
        <v>37137</v>
      </c>
    </row>
    <row r="718" spans="1:15" x14ac:dyDescent="0.15">
      <c r="A718" t="s">
        <v>74</v>
      </c>
      <c r="B718">
        <v>30674533</v>
      </c>
      <c r="E718">
        <v>15998788</v>
      </c>
      <c r="F718" t="s">
        <v>37138</v>
      </c>
      <c r="G718" t="s">
        <v>37139</v>
      </c>
      <c r="H718" t="s">
        <v>37140</v>
      </c>
      <c r="I718" t="s">
        <v>37141</v>
      </c>
      <c r="J718" t="s">
        <v>30840</v>
      </c>
      <c r="K718">
        <v>2005</v>
      </c>
      <c r="L718" s="1">
        <v>38540</v>
      </c>
      <c r="M718" t="s">
        <v>37142</v>
      </c>
      <c r="O718" t="s">
        <v>37143</v>
      </c>
    </row>
    <row r="719" spans="1:15" x14ac:dyDescent="0.15">
      <c r="A719">
        <v>21295087</v>
      </c>
      <c r="B719">
        <v>27035812</v>
      </c>
      <c r="E719">
        <v>27905398</v>
      </c>
      <c r="F719" t="s">
        <v>37144</v>
      </c>
      <c r="G719" t="s">
        <v>37145</v>
      </c>
      <c r="H719" t="s">
        <v>37146</v>
      </c>
      <c r="I719" t="s">
        <v>37147</v>
      </c>
      <c r="J719" t="s">
        <v>30796</v>
      </c>
      <c r="K719">
        <v>2016</v>
      </c>
      <c r="L719" s="1">
        <v>42706</v>
      </c>
      <c r="M719" t="s">
        <v>37148</v>
      </c>
      <c r="O719" t="s">
        <v>37149</v>
      </c>
    </row>
    <row r="720" spans="1:15" x14ac:dyDescent="0.15">
      <c r="A720">
        <v>30951670</v>
      </c>
      <c r="B720">
        <v>32759948</v>
      </c>
      <c r="E720">
        <v>10625067</v>
      </c>
      <c r="F720" t="s">
        <v>37150</v>
      </c>
      <c r="G720" t="s">
        <v>37151</v>
      </c>
      <c r="H720" t="s">
        <v>37152</v>
      </c>
      <c r="I720" t="s">
        <v>37153</v>
      </c>
      <c r="J720" t="s">
        <v>37154</v>
      </c>
      <c r="K720">
        <v>1999</v>
      </c>
      <c r="L720" s="1">
        <v>36532</v>
      </c>
      <c r="O720" t="s">
        <v>37155</v>
      </c>
    </row>
    <row r="721" spans="1:15" x14ac:dyDescent="0.15">
      <c r="A721">
        <v>22504485</v>
      </c>
      <c r="B721">
        <v>29462587</v>
      </c>
      <c r="E721">
        <v>10497219</v>
      </c>
      <c r="F721" t="s">
        <v>37156</v>
      </c>
      <c r="G721" t="s">
        <v>37157</v>
      </c>
      <c r="H721" t="s">
        <v>37158</v>
      </c>
      <c r="I721" t="s">
        <v>35714</v>
      </c>
      <c r="J721" t="s">
        <v>31594</v>
      </c>
      <c r="K721">
        <v>1999</v>
      </c>
      <c r="L721" s="1">
        <v>36428</v>
      </c>
      <c r="O721" t="s">
        <v>37159</v>
      </c>
    </row>
    <row r="722" spans="1:15" x14ac:dyDescent="0.15">
      <c r="A722">
        <v>17960135</v>
      </c>
      <c r="B722">
        <v>32206116</v>
      </c>
      <c r="E722">
        <v>31962066</v>
      </c>
      <c r="F722" t="s">
        <v>37168</v>
      </c>
      <c r="G722" t="s">
        <v>37169</v>
      </c>
      <c r="H722" t="s">
        <v>37170</v>
      </c>
      <c r="I722" t="s">
        <v>37171</v>
      </c>
      <c r="J722" t="s">
        <v>32328</v>
      </c>
      <c r="K722">
        <v>2020</v>
      </c>
      <c r="L722" s="1">
        <v>43852</v>
      </c>
      <c r="O722" t="s">
        <v>37172</v>
      </c>
    </row>
    <row r="723" spans="1:15" x14ac:dyDescent="0.15">
      <c r="A723">
        <v>21285958</v>
      </c>
      <c r="B723">
        <v>29129785</v>
      </c>
      <c r="E723">
        <v>12359762</v>
      </c>
      <c r="F723" t="s">
        <v>37173</v>
      </c>
      <c r="G723" t="s">
        <v>37174</v>
      </c>
      <c r="H723" t="s">
        <v>37175</v>
      </c>
      <c r="I723" t="s">
        <v>37176</v>
      </c>
      <c r="J723" t="s">
        <v>31167</v>
      </c>
      <c r="K723">
        <v>2002</v>
      </c>
      <c r="L723" s="1">
        <v>37532</v>
      </c>
      <c r="M723" t="s">
        <v>37177</v>
      </c>
      <c r="N723" t="s">
        <v>37178</v>
      </c>
    </row>
    <row r="724" spans="1:15" x14ac:dyDescent="0.15">
      <c r="A724">
        <v>23663360</v>
      </c>
      <c r="B724">
        <v>33548389</v>
      </c>
      <c r="E724">
        <v>16129049</v>
      </c>
      <c r="F724" t="s">
        <v>37179</v>
      </c>
      <c r="G724" t="s">
        <v>37180</v>
      </c>
      <c r="H724" t="s">
        <v>37181</v>
      </c>
      <c r="I724" t="s">
        <v>37182</v>
      </c>
      <c r="J724" t="s">
        <v>37183</v>
      </c>
      <c r="K724">
        <v>2005</v>
      </c>
      <c r="L724" s="1">
        <v>38596</v>
      </c>
    </row>
    <row r="725" spans="1:15" x14ac:dyDescent="0.15">
      <c r="A725">
        <v>21098229</v>
      </c>
      <c r="B725">
        <v>29175307</v>
      </c>
      <c r="E725">
        <v>31315997</v>
      </c>
      <c r="F725" t="s">
        <v>37184</v>
      </c>
      <c r="G725" t="s">
        <v>37185</v>
      </c>
      <c r="H725" t="s">
        <v>37186</v>
      </c>
      <c r="I725" t="s">
        <v>37187</v>
      </c>
      <c r="J725" t="s">
        <v>31970</v>
      </c>
      <c r="K725">
        <v>2019</v>
      </c>
      <c r="L725" s="1">
        <v>43665</v>
      </c>
      <c r="M725" t="s">
        <v>37188</v>
      </c>
      <c r="O725" t="s">
        <v>37189</v>
      </c>
    </row>
    <row r="726" spans="1:15" x14ac:dyDescent="0.15">
      <c r="A726">
        <v>24398677</v>
      </c>
      <c r="B726">
        <v>33713214</v>
      </c>
      <c r="E726">
        <v>11551935</v>
      </c>
      <c r="F726" t="s">
        <v>37194</v>
      </c>
      <c r="G726" t="s">
        <v>37195</v>
      </c>
      <c r="H726" t="s">
        <v>37196</v>
      </c>
      <c r="I726" t="s">
        <v>37197</v>
      </c>
      <c r="J726" t="s">
        <v>31594</v>
      </c>
      <c r="K726">
        <v>2001</v>
      </c>
      <c r="L726" s="1">
        <v>37146</v>
      </c>
      <c r="O726" t="s">
        <v>37198</v>
      </c>
    </row>
    <row r="727" spans="1:15" x14ac:dyDescent="0.15">
      <c r="A727">
        <v>16651434</v>
      </c>
      <c r="B727">
        <v>31901224</v>
      </c>
      <c r="E727">
        <v>24923561</v>
      </c>
      <c r="F727" t="s">
        <v>37199</v>
      </c>
      <c r="G727" t="s">
        <v>37200</v>
      </c>
      <c r="H727" t="s">
        <v>37201</v>
      </c>
      <c r="I727" t="s">
        <v>31339</v>
      </c>
      <c r="J727" t="s">
        <v>30796</v>
      </c>
      <c r="K727">
        <v>2014</v>
      </c>
      <c r="L727" s="1">
        <v>41804</v>
      </c>
      <c r="M727" t="s">
        <v>37202</v>
      </c>
      <c r="N727" t="s">
        <v>37203</v>
      </c>
      <c r="O727" t="s">
        <v>37204</v>
      </c>
    </row>
    <row r="728" spans="1:15" x14ac:dyDescent="0.15">
      <c r="A728">
        <v>26442449</v>
      </c>
      <c r="B728">
        <v>34185424</v>
      </c>
      <c r="E728">
        <v>35303879</v>
      </c>
      <c r="F728" t="s">
        <v>37205</v>
      </c>
      <c r="G728" t="s">
        <v>37206</v>
      </c>
      <c r="H728" t="s">
        <v>37207</v>
      </c>
      <c r="I728" t="s">
        <v>37208</v>
      </c>
      <c r="J728" t="s">
        <v>30630</v>
      </c>
      <c r="K728">
        <v>2022</v>
      </c>
      <c r="L728" s="1">
        <v>44639</v>
      </c>
      <c r="M728" t="s">
        <v>37209</v>
      </c>
      <c r="O728" t="s">
        <v>37210</v>
      </c>
    </row>
    <row r="729" spans="1:15" x14ac:dyDescent="0.15">
      <c r="A729">
        <v>17452642</v>
      </c>
      <c r="B729">
        <v>30876419</v>
      </c>
      <c r="E729">
        <v>34256353</v>
      </c>
      <c r="F729" t="s">
        <v>37211</v>
      </c>
      <c r="G729" t="s">
        <v>37212</v>
      </c>
      <c r="H729" t="s">
        <v>37213</v>
      </c>
      <c r="I729" t="s">
        <v>37214</v>
      </c>
      <c r="J729" t="s">
        <v>34888</v>
      </c>
      <c r="K729">
        <v>2021</v>
      </c>
      <c r="L729" s="1">
        <v>44390</v>
      </c>
      <c r="O729" t="s">
        <v>37215</v>
      </c>
    </row>
    <row r="730" spans="1:15" x14ac:dyDescent="0.15">
      <c r="A730">
        <v>7608073</v>
      </c>
      <c r="B730">
        <v>30987213</v>
      </c>
      <c r="E730">
        <v>9916777</v>
      </c>
      <c r="F730" t="s">
        <v>37216</v>
      </c>
      <c r="G730" t="s">
        <v>37217</v>
      </c>
      <c r="H730" t="s">
        <v>37218</v>
      </c>
      <c r="I730" t="s">
        <v>37219</v>
      </c>
      <c r="J730" t="s">
        <v>36781</v>
      </c>
      <c r="K730">
        <v>1999</v>
      </c>
      <c r="L730" s="1">
        <v>36183</v>
      </c>
      <c r="O730" t="s">
        <v>37220</v>
      </c>
    </row>
    <row r="731" spans="1:15" x14ac:dyDescent="0.15">
      <c r="A731">
        <v>19680595</v>
      </c>
      <c r="B731">
        <v>28875730</v>
      </c>
      <c r="E731">
        <v>28711596</v>
      </c>
      <c r="F731" t="s">
        <v>37221</v>
      </c>
      <c r="G731" t="s">
        <v>37222</v>
      </c>
      <c r="H731" t="s">
        <v>37223</v>
      </c>
      <c r="I731" t="s">
        <v>37224</v>
      </c>
      <c r="J731" t="s">
        <v>35889</v>
      </c>
      <c r="K731">
        <v>2017</v>
      </c>
      <c r="L731" s="1">
        <v>42933</v>
      </c>
      <c r="M731" t="s">
        <v>37225</v>
      </c>
      <c r="O731" t="s">
        <v>37226</v>
      </c>
    </row>
    <row r="732" spans="1:15" x14ac:dyDescent="0.15">
      <c r="A732">
        <v>9751096</v>
      </c>
      <c r="B732">
        <v>30213559</v>
      </c>
      <c r="E732">
        <v>15031288</v>
      </c>
      <c r="F732" t="s">
        <v>37227</v>
      </c>
      <c r="G732" t="s">
        <v>37228</v>
      </c>
      <c r="H732" t="s">
        <v>37229</v>
      </c>
      <c r="I732" t="s">
        <v>37230</v>
      </c>
      <c r="J732" t="s">
        <v>31594</v>
      </c>
      <c r="K732">
        <v>2004</v>
      </c>
      <c r="L732" s="1">
        <v>38066</v>
      </c>
      <c r="O732" t="s">
        <v>37231</v>
      </c>
    </row>
    <row r="733" spans="1:15" x14ac:dyDescent="0.15">
      <c r="A733">
        <v>24722878</v>
      </c>
      <c r="B733">
        <v>32685026</v>
      </c>
      <c r="E733">
        <v>14976217</v>
      </c>
      <c r="F733" t="s">
        <v>37232</v>
      </c>
      <c r="G733" t="s">
        <v>37233</v>
      </c>
      <c r="H733" t="s">
        <v>37234</v>
      </c>
      <c r="I733" t="s">
        <v>37235</v>
      </c>
      <c r="J733" t="s">
        <v>31594</v>
      </c>
      <c r="K733">
        <v>2004</v>
      </c>
      <c r="L733" s="1">
        <v>38038</v>
      </c>
      <c r="O733" t="s">
        <v>37236</v>
      </c>
    </row>
    <row r="734" spans="1:15" x14ac:dyDescent="0.15">
      <c r="A734">
        <v>28508895</v>
      </c>
      <c r="B734">
        <v>32767659</v>
      </c>
      <c r="E734">
        <v>19940036</v>
      </c>
      <c r="F734" t="s">
        <v>37237</v>
      </c>
      <c r="G734" t="s">
        <v>37238</v>
      </c>
      <c r="H734" t="s">
        <v>37239</v>
      </c>
      <c r="I734" t="s">
        <v>37240</v>
      </c>
      <c r="J734" t="s">
        <v>31835</v>
      </c>
      <c r="K734">
        <v>2010</v>
      </c>
      <c r="L734" s="1">
        <v>40144</v>
      </c>
      <c r="M734" t="s">
        <v>37241</v>
      </c>
      <c r="O734" t="s">
        <v>37242</v>
      </c>
    </row>
    <row r="735" spans="1:15" x14ac:dyDescent="0.15">
      <c r="A735">
        <v>25959588</v>
      </c>
      <c r="B735">
        <v>30759880</v>
      </c>
      <c r="E735">
        <v>23151475</v>
      </c>
      <c r="F735" t="s">
        <v>37243</v>
      </c>
      <c r="G735" t="s">
        <v>37244</v>
      </c>
      <c r="H735" t="s">
        <v>37245</v>
      </c>
      <c r="I735" t="s">
        <v>37246</v>
      </c>
      <c r="J735" t="s">
        <v>34237</v>
      </c>
      <c r="K735">
        <v>2013</v>
      </c>
      <c r="L735" s="1">
        <v>41229</v>
      </c>
      <c r="M735" t="s">
        <v>37247</v>
      </c>
      <c r="N735" t="s">
        <v>37248</v>
      </c>
      <c r="O735" t="s">
        <v>37249</v>
      </c>
    </row>
    <row r="736" spans="1:15" x14ac:dyDescent="0.15">
      <c r="A736">
        <v>15709166</v>
      </c>
      <c r="B736">
        <v>29795272</v>
      </c>
      <c r="E736">
        <v>9050235</v>
      </c>
      <c r="F736" t="s">
        <v>37250</v>
      </c>
      <c r="G736" t="s">
        <v>37251</v>
      </c>
      <c r="H736" t="s">
        <v>37252</v>
      </c>
      <c r="I736" t="s">
        <v>37253</v>
      </c>
      <c r="J736" t="s">
        <v>37254</v>
      </c>
      <c r="K736">
        <v>1997</v>
      </c>
      <c r="L736" s="1">
        <v>35431</v>
      </c>
      <c r="O736" t="s">
        <v>37255</v>
      </c>
    </row>
    <row r="737" spans="1:15" x14ac:dyDescent="0.15">
      <c r="A737">
        <v>17497921</v>
      </c>
      <c r="B737">
        <v>30697211</v>
      </c>
      <c r="E737">
        <v>12885772</v>
      </c>
      <c r="F737" t="s">
        <v>37256</v>
      </c>
      <c r="G737" t="s">
        <v>37257</v>
      </c>
      <c r="H737" t="s">
        <v>37258</v>
      </c>
      <c r="I737" t="s">
        <v>37259</v>
      </c>
      <c r="J737" t="s">
        <v>31594</v>
      </c>
      <c r="K737">
        <v>2003</v>
      </c>
      <c r="L737" s="1">
        <v>37832</v>
      </c>
      <c r="O737" t="s">
        <v>37260</v>
      </c>
    </row>
    <row r="738" spans="1:15" x14ac:dyDescent="0.15">
      <c r="A738">
        <v>19692638</v>
      </c>
      <c r="B738">
        <v>28783104</v>
      </c>
      <c r="E738">
        <v>29601336</v>
      </c>
      <c r="F738" t="s">
        <v>37266</v>
      </c>
      <c r="G738" t="s">
        <v>37267</v>
      </c>
      <c r="H738" t="s">
        <v>37268</v>
      </c>
      <c r="I738" t="s">
        <v>34258</v>
      </c>
      <c r="J738" t="s">
        <v>35538</v>
      </c>
      <c r="K738">
        <v>2018</v>
      </c>
      <c r="L738" s="1">
        <v>43190</v>
      </c>
      <c r="M738" t="s">
        <v>37269</v>
      </c>
      <c r="N738" t="s">
        <v>37270</v>
      </c>
      <c r="O738" t="s">
        <v>37271</v>
      </c>
    </row>
    <row r="739" spans="1:15" x14ac:dyDescent="0.15">
      <c r="A739">
        <v>8795633</v>
      </c>
      <c r="B739">
        <v>29802541</v>
      </c>
      <c r="E739">
        <v>25738184</v>
      </c>
      <c r="F739" t="s">
        <v>37272</v>
      </c>
      <c r="G739" t="s">
        <v>37273</v>
      </c>
      <c r="H739" t="s">
        <v>37274</v>
      </c>
      <c r="I739" t="s">
        <v>37275</v>
      </c>
      <c r="J739" t="s">
        <v>37276</v>
      </c>
      <c r="K739">
        <v>2015</v>
      </c>
      <c r="L739" s="1">
        <v>42068</v>
      </c>
      <c r="O739" t="s">
        <v>37277</v>
      </c>
    </row>
    <row r="740" spans="1:15" x14ac:dyDescent="0.15">
      <c r="A740">
        <v>23949796</v>
      </c>
      <c r="B740">
        <v>32719324</v>
      </c>
      <c r="E740">
        <v>30317145</v>
      </c>
      <c r="F740" t="s">
        <v>37286</v>
      </c>
      <c r="G740" t="s">
        <v>37287</v>
      </c>
      <c r="H740" t="s">
        <v>37288</v>
      </c>
      <c r="I740" t="s">
        <v>37289</v>
      </c>
      <c r="J740" t="s">
        <v>31096</v>
      </c>
      <c r="K740">
        <v>2019</v>
      </c>
      <c r="L740" s="1">
        <v>43388</v>
      </c>
      <c r="O740" t="s">
        <v>37290</v>
      </c>
    </row>
    <row r="741" spans="1:15" x14ac:dyDescent="0.15">
      <c r="A741">
        <v>24838567</v>
      </c>
      <c r="B741">
        <v>31391108</v>
      </c>
      <c r="E741">
        <v>35921289</v>
      </c>
      <c r="F741" t="s">
        <v>37303</v>
      </c>
      <c r="G741" t="s">
        <v>37304</v>
      </c>
      <c r="H741" t="s">
        <v>37305</v>
      </c>
      <c r="I741" t="s">
        <v>32544</v>
      </c>
      <c r="J741" t="s">
        <v>31991</v>
      </c>
      <c r="K741">
        <v>2022</v>
      </c>
      <c r="L741" s="1">
        <v>44776</v>
      </c>
      <c r="M741" t="s">
        <v>37306</v>
      </c>
      <c r="O741" t="s">
        <v>37307</v>
      </c>
    </row>
    <row r="742" spans="1:15" x14ac:dyDescent="0.15">
      <c r="A742">
        <v>22773185</v>
      </c>
      <c r="B742">
        <v>34831121</v>
      </c>
      <c r="E742">
        <v>10549638</v>
      </c>
      <c r="F742" t="s">
        <v>37308</v>
      </c>
      <c r="G742" t="s">
        <v>37309</v>
      </c>
      <c r="H742" t="s">
        <v>37310</v>
      </c>
      <c r="I742" t="s">
        <v>37311</v>
      </c>
      <c r="J742" t="s">
        <v>37312</v>
      </c>
      <c r="K742">
        <v>1999</v>
      </c>
      <c r="L742" s="1">
        <v>36469</v>
      </c>
    </row>
    <row r="743" spans="1:15" x14ac:dyDescent="0.15">
      <c r="A743">
        <v>25082876</v>
      </c>
      <c r="B743">
        <v>34685513</v>
      </c>
      <c r="E743">
        <v>23483985</v>
      </c>
      <c r="F743" t="s">
        <v>37313</v>
      </c>
      <c r="G743" t="s">
        <v>37314</v>
      </c>
      <c r="H743" t="s">
        <v>37315</v>
      </c>
      <c r="I743" t="s">
        <v>37316</v>
      </c>
      <c r="J743" t="s">
        <v>31639</v>
      </c>
      <c r="K743">
        <v>2013</v>
      </c>
      <c r="L743" s="1">
        <v>41347</v>
      </c>
      <c r="M743" t="s">
        <v>37317</v>
      </c>
      <c r="O743" t="s">
        <v>37318</v>
      </c>
    </row>
    <row r="744" spans="1:15" x14ac:dyDescent="0.15">
      <c r="A744">
        <v>25713383</v>
      </c>
      <c r="B744">
        <v>29934873</v>
      </c>
      <c r="E744">
        <v>26369507</v>
      </c>
      <c r="F744" t="s">
        <v>37323</v>
      </c>
      <c r="G744" t="s">
        <v>37324</v>
      </c>
      <c r="H744" t="s">
        <v>37325</v>
      </c>
      <c r="I744" t="s">
        <v>37326</v>
      </c>
      <c r="J744" t="s">
        <v>35546</v>
      </c>
      <c r="K744">
        <v>2015</v>
      </c>
      <c r="L744" s="1">
        <v>42263</v>
      </c>
      <c r="O744" t="s">
        <v>37327</v>
      </c>
    </row>
    <row r="745" spans="1:15" x14ac:dyDescent="0.15">
      <c r="A745">
        <v>25669322</v>
      </c>
      <c r="B745">
        <v>33201170</v>
      </c>
      <c r="E745">
        <v>30030656</v>
      </c>
      <c r="F745" t="s">
        <v>37328</v>
      </c>
      <c r="G745" t="s">
        <v>37329</v>
      </c>
      <c r="H745" t="s">
        <v>37330</v>
      </c>
      <c r="I745" t="s">
        <v>34642</v>
      </c>
      <c r="J745" t="s">
        <v>37331</v>
      </c>
      <c r="K745">
        <v>2018</v>
      </c>
      <c r="L745" s="1">
        <v>43303</v>
      </c>
      <c r="O745" t="s">
        <v>37332</v>
      </c>
    </row>
    <row r="746" spans="1:15" x14ac:dyDescent="0.15">
      <c r="A746">
        <v>8569746</v>
      </c>
      <c r="B746">
        <v>33783474</v>
      </c>
      <c r="E746">
        <v>21949810</v>
      </c>
      <c r="F746" t="s">
        <v>37333</v>
      </c>
      <c r="G746" t="s">
        <v>37334</v>
      </c>
      <c r="H746" t="s">
        <v>37335</v>
      </c>
      <c r="I746" t="s">
        <v>37336</v>
      </c>
      <c r="J746" t="s">
        <v>31639</v>
      </c>
      <c r="K746">
        <v>2011</v>
      </c>
      <c r="L746" s="1">
        <v>40814</v>
      </c>
      <c r="M746" t="s">
        <v>37337</v>
      </c>
      <c r="O746" t="s">
        <v>37338</v>
      </c>
    </row>
    <row r="747" spans="1:15" x14ac:dyDescent="0.15">
      <c r="A747">
        <v>28104621</v>
      </c>
      <c r="B747">
        <v>34388259</v>
      </c>
      <c r="E747">
        <v>19638309</v>
      </c>
      <c r="F747" t="s">
        <v>37349</v>
      </c>
      <c r="G747" t="s">
        <v>37350</v>
      </c>
      <c r="H747" t="s">
        <v>37351</v>
      </c>
      <c r="I747" t="s">
        <v>37352</v>
      </c>
      <c r="J747" t="s">
        <v>35985</v>
      </c>
      <c r="K747">
        <v>2009</v>
      </c>
      <c r="L747" s="1">
        <v>40024</v>
      </c>
      <c r="O747" t="s">
        <v>37353</v>
      </c>
    </row>
    <row r="748" spans="1:15" x14ac:dyDescent="0.15">
      <c r="A748">
        <v>27659060</v>
      </c>
      <c r="B748">
        <v>34180968</v>
      </c>
      <c r="E748">
        <v>32641991</v>
      </c>
      <c r="F748" t="s">
        <v>37354</v>
      </c>
      <c r="G748" t="s">
        <v>37355</v>
      </c>
      <c r="H748" t="s">
        <v>37356</v>
      </c>
      <c r="I748" t="s">
        <v>37357</v>
      </c>
      <c r="J748" t="s">
        <v>30588</v>
      </c>
      <c r="K748">
        <v>2020</v>
      </c>
      <c r="L748" s="1">
        <v>44022</v>
      </c>
      <c r="M748" t="s">
        <v>37358</v>
      </c>
      <c r="O748" t="s">
        <v>37359</v>
      </c>
    </row>
    <row r="749" spans="1:15" x14ac:dyDescent="0.15">
      <c r="A749">
        <v>18617898</v>
      </c>
      <c r="B749">
        <v>24710597</v>
      </c>
      <c r="E749">
        <v>30538124</v>
      </c>
      <c r="F749" t="s">
        <v>37370</v>
      </c>
      <c r="G749" t="s">
        <v>37371</v>
      </c>
      <c r="H749" t="s">
        <v>37372</v>
      </c>
      <c r="I749" t="s">
        <v>37373</v>
      </c>
      <c r="J749" t="s">
        <v>37374</v>
      </c>
      <c r="K749">
        <v>2019</v>
      </c>
      <c r="L749" s="1">
        <v>43447</v>
      </c>
      <c r="O749" t="s">
        <v>37375</v>
      </c>
    </row>
    <row r="750" spans="1:15" x14ac:dyDescent="0.15">
      <c r="A750">
        <v>15256559</v>
      </c>
      <c r="B750">
        <v>33465400</v>
      </c>
      <c r="E750">
        <v>23324612</v>
      </c>
      <c r="F750" t="s">
        <v>37376</v>
      </c>
      <c r="G750" t="s">
        <v>37377</v>
      </c>
      <c r="H750" t="s">
        <v>37378</v>
      </c>
      <c r="I750" t="s">
        <v>37379</v>
      </c>
      <c r="J750" t="s">
        <v>31659</v>
      </c>
      <c r="K750">
        <v>2013</v>
      </c>
      <c r="L750" s="1">
        <v>41292</v>
      </c>
      <c r="M750" t="s">
        <v>37380</v>
      </c>
      <c r="O750" t="s">
        <v>37381</v>
      </c>
    </row>
    <row r="751" spans="1:15" x14ac:dyDescent="0.15">
      <c r="A751">
        <v>22910294</v>
      </c>
      <c r="B751">
        <v>32178818</v>
      </c>
      <c r="E751">
        <v>30809289</v>
      </c>
      <c r="F751" t="s">
        <v>37382</v>
      </c>
      <c r="G751" t="s">
        <v>37383</v>
      </c>
      <c r="H751" t="s">
        <v>37384</v>
      </c>
      <c r="I751" t="s">
        <v>32824</v>
      </c>
      <c r="J751" t="s">
        <v>30588</v>
      </c>
      <c r="K751">
        <v>2019</v>
      </c>
      <c r="L751" s="1">
        <v>43524</v>
      </c>
      <c r="M751" t="s">
        <v>37385</v>
      </c>
      <c r="O751" t="s">
        <v>37386</v>
      </c>
    </row>
    <row r="752" spans="1:15" x14ac:dyDescent="0.15">
      <c r="A752">
        <v>29907766</v>
      </c>
      <c r="B752">
        <v>31828924</v>
      </c>
      <c r="E752">
        <v>22530032</v>
      </c>
      <c r="F752" t="s">
        <v>37391</v>
      </c>
      <c r="G752" t="s">
        <v>37392</v>
      </c>
      <c r="H752" t="s">
        <v>37393</v>
      </c>
      <c r="I752" t="s">
        <v>37394</v>
      </c>
      <c r="J752" t="s">
        <v>31639</v>
      </c>
      <c r="K752">
        <v>2012</v>
      </c>
      <c r="L752" s="1">
        <v>41024</v>
      </c>
      <c r="M752" t="s">
        <v>37395</v>
      </c>
      <c r="O752" t="s">
        <v>37396</v>
      </c>
    </row>
    <row r="753" spans="1:15" x14ac:dyDescent="0.15">
      <c r="A753">
        <v>21049390</v>
      </c>
      <c r="B753">
        <v>34867996</v>
      </c>
      <c r="E753">
        <v>25632158</v>
      </c>
      <c r="F753" t="s">
        <v>37397</v>
      </c>
      <c r="G753" t="s">
        <v>37398</v>
      </c>
      <c r="H753" t="s">
        <v>37399</v>
      </c>
      <c r="I753" t="s">
        <v>37400</v>
      </c>
      <c r="J753" t="s">
        <v>31155</v>
      </c>
      <c r="K753">
        <v>2015</v>
      </c>
      <c r="L753" s="1">
        <v>42034</v>
      </c>
      <c r="O753" t="s">
        <v>37401</v>
      </c>
    </row>
    <row r="754" spans="1:15" x14ac:dyDescent="0.15">
      <c r="A754">
        <v>18281500</v>
      </c>
      <c r="B754">
        <v>28167212</v>
      </c>
      <c r="E754">
        <v>25832550</v>
      </c>
      <c r="F754" t="s">
        <v>37402</v>
      </c>
      <c r="G754" t="s">
        <v>37403</v>
      </c>
      <c r="H754" t="s">
        <v>37404</v>
      </c>
      <c r="I754" t="s">
        <v>37405</v>
      </c>
      <c r="J754" t="s">
        <v>37406</v>
      </c>
      <c r="K754">
        <v>2015</v>
      </c>
      <c r="L754" s="1">
        <v>42097</v>
      </c>
      <c r="O754" t="s">
        <v>37407</v>
      </c>
    </row>
    <row r="755" spans="1:15" x14ac:dyDescent="0.15">
      <c r="A755">
        <v>14657332</v>
      </c>
      <c r="B755">
        <v>33586060</v>
      </c>
      <c r="E755">
        <v>17078816</v>
      </c>
      <c r="F755" t="s">
        <v>37408</v>
      </c>
      <c r="G755" t="s">
        <v>37409</v>
      </c>
      <c r="H755" t="s">
        <v>37410</v>
      </c>
      <c r="I755" t="s">
        <v>37411</v>
      </c>
      <c r="J755" t="s">
        <v>36683</v>
      </c>
      <c r="K755">
        <v>2006</v>
      </c>
      <c r="L755" s="1">
        <v>39024</v>
      </c>
      <c r="O755" t="s">
        <v>37412</v>
      </c>
    </row>
    <row r="756" spans="1:15" x14ac:dyDescent="0.15">
      <c r="A756">
        <v>26317354</v>
      </c>
      <c r="B756">
        <v>34314775</v>
      </c>
      <c r="E756">
        <v>25326320</v>
      </c>
      <c r="F756" t="s">
        <v>37415</v>
      </c>
      <c r="G756" t="s">
        <v>37377</v>
      </c>
      <c r="H756" t="s">
        <v>37416</v>
      </c>
      <c r="I756" t="s">
        <v>37379</v>
      </c>
      <c r="J756" t="s">
        <v>31587</v>
      </c>
      <c r="K756">
        <v>2014</v>
      </c>
      <c r="L756" s="1">
        <v>41931</v>
      </c>
      <c r="M756" t="s">
        <v>37417</v>
      </c>
      <c r="O756" t="s">
        <v>37418</v>
      </c>
    </row>
    <row r="757" spans="1:15" x14ac:dyDescent="0.15">
      <c r="A757">
        <v>14764679</v>
      </c>
      <c r="B757">
        <v>33666501</v>
      </c>
      <c r="E757">
        <v>19620282</v>
      </c>
      <c r="F757" t="s">
        <v>37424</v>
      </c>
      <c r="G757" t="s">
        <v>37425</v>
      </c>
      <c r="H757" t="s">
        <v>37426</v>
      </c>
      <c r="I757" t="s">
        <v>37427</v>
      </c>
      <c r="J757" t="s">
        <v>33347</v>
      </c>
      <c r="K757">
        <v>2009</v>
      </c>
      <c r="L757" s="1">
        <v>40016</v>
      </c>
      <c r="M757" t="s">
        <v>37428</v>
      </c>
      <c r="O757" t="s">
        <v>37429</v>
      </c>
    </row>
    <row r="758" spans="1:15" x14ac:dyDescent="0.15">
      <c r="A758">
        <v>7745687</v>
      </c>
      <c r="B758">
        <v>25894694</v>
      </c>
      <c r="E758">
        <v>16431988</v>
      </c>
      <c r="F758" t="s">
        <v>37430</v>
      </c>
      <c r="G758" t="s">
        <v>37431</v>
      </c>
      <c r="H758" t="s">
        <v>37432</v>
      </c>
      <c r="I758" t="s">
        <v>37433</v>
      </c>
      <c r="J758" t="s">
        <v>11924</v>
      </c>
      <c r="K758">
        <v>2006</v>
      </c>
      <c r="L758" s="1">
        <v>38742</v>
      </c>
      <c r="M758" t="s">
        <v>37434</v>
      </c>
      <c r="O758" t="s">
        <v>37435</v>
      </c>
    </row>
    <row r="759" spans="1:15" x14ac:dyDescent="0.15">
      <c r="A759">
        <v>26376343</v>
      </c>
      <c r="B759">
        <v>24488559</v>
      </c>
      <c r="E759">
        <v>31585396</v>
      </c>
      <c r="F759" t="s">
        <v>37442</v>
      </c>
      <c r="G759" t="s">
        <v>37443</v>
      </c>
      <c r="H759" t="s">
        <v>37444</v>
      </c>
      <c r="I759" t="s">
        <v>37445</v>
      </c>
      <c r="J759" t="s">
        <v>33258</v>
      </c>
      <c r="K759">
        <v>2019</v>
      </c>
      <c r="L759" s="1">
        <v>43743</v>
      </c>
      <c r="O759" t="s">
        <v>37446</v>
      </c>
    </row>
    <row r="760" spans="1:15" x14ac:dyDescent="0.15">
      <c r="A760">
        <v>28216464</v>
      </c>
      <c r="B760">
        <v>32861876</v>
      </c>
      <c r="E760">
        <v>21672581</v>
      </c>
      <c r="F760" t="s">
        <v>37447</v>
      </c>
      <c r="G760" t="s">
        <v>37448</v>
      </c>
      <c r="H760" t="s">
        <v>37449</v>
      </c>
      <c r="I760" t="s">
        <v>37450</v>
      </c>
      <c r="J760" t="s">
        <v>37451</v>
      </c>
      <c r="K760">
        <v>2011</v>
      </c>
      <c r="L760" s="1">
        <v>40710</v>
      </c>
      <c r="O760" t="s">
        <v>37452</v>
      </c>
    </row>
    <row r="761" spans="1:15" x14ac:dyDescent="0.15">
      <c r="A761">
        <v>20399774</v>
      </c>
      <c r="B761">
        <v>31664614</v>
      </c>
      <c r="E761">
        <v>32867502</v>
      </c>
      <c r="F761" t="s">
        <v>37461</v>
      </c>
      <c r="G761" t="s">
        <v>37462</v>
      </c>
      <c r="H761" t="s">
        <v>37463</v>
      </c>
      <c r="I761" t="s">
        <v>37464</v>
      </c>
      <c r="J761" t="s">
        <v>30956</v>
      </c>
      <c r="K761">
        <v>2020</v>
      </c>
      <c r="L761" s="1">
        <v>44076</v>
      </c>
      <c r="O761" t="s">
        <v>37465</v>
      </c>
    </row>
    <row r="762" spans="1:15" x14ac:dyDescent="0.15">
      <c r="A762">
        <v>26598621</v>
      </c>
      <c r="B762">
        <v>31906023</v>
      </c>
      <c r="E762">
        <v>22504169</v>
      </c>
      <c r="F762" t="s">
        <v>37466</v>
      </c>
      <c r="G762" t="s">
        <v>37467</v>
      </c>
      <c r="H762" t="s">
        <v>37468</v>
      </c>
      <c r="I762" t="s">
        <v>37469</v>
      </c>
      <c r="J762" t="s">
        <v>32332</v>
      </c>
      <c r="K762">
        <v>2012</v>
      </c>
      <c r="L762" s="1">
        <v>41016</v>
      </c>
      <c r="O762" t="s">
        <v>37470</v>
      </c>
    </row>
    <row r="763" spans="1:15" x14ac:dyDescent="0.15">
      <c r="A763">
        <v>30240661</v>
      </c>
      <c r="B763">
        <v>32605316</v>
      </c>
      <c r="E763">
        <v>17546597</v>
      </c>
      <c r="F763" t="s">
        <v>37471</v>
      </c>
      <c r="G763" t="s">
        <v>37472</v>
      </c>
      <c r="H763" t="s">
        <v>37473</v>
      </c>
      <c r="I763" t="s">
        <v>37474</v>
      </c>
      <c r="J763" t="s">
        <v>33483</v>
      </c>
      <c r="K763">
        <v>2007</v>
      </c>
      <c r="L763" s="1">
        <v>39238</v>
      </c>
      <c r="O763" t="s">
        <v>37475</v>
      </c>
    </row>
    <row r="764" spans="1:15" x14ac:dyDescent="0.15">
      <c r="A764">
        <v>18852879</v>
      </c>
      <c r="B764">
        <v>32781015</v>
      </c>
      <c r="E764">
        <v>32574708</v>
      </c>
      <c r="F764" t="s">
        <v>37476</v>
      </c>
      <c r="G764" t="s">
        <v>37477</v>
      </c>
      <c r="H764" t="s">
        <v>37478</v>
      </c>
      <c r="I764" t="s">
        <v>37479</v>
      </c>
      <c r="J764" t="s">
        <v>30976</v>
      </c>
      <c r="K764">
        <v>2020</v>
      </c>
      <c r="L764" s="1">
        <v>44006</v>
      </c>
      <c r="M764" t="s">
        <v>37480</v>
      </c>
      <c r="O764" t="s">
        <v>37481</v>
      </c>
    </row>
    <row r="765" spans="1:15" x14ac:dyDescent="0.15">
      <c r="A765">
        <v>28167415</v>
      </c>
      <c r="B765">
        <v>29115853</v>
      </c>
      <c r="E765">
        <v>15935758</v>
      </c>
      <c r="F765" t="s">
        <v>37482</v>
      </c>
      <c r="G765" t="s">
        <v>37483</v>
      </c>
      <c r="H765" t="s">
        <v>37484</v>
      </c>
      <c r="I765" t="s">
        <v>37485</v>
      </c>
      <c r="J765" t="s">
        <v>30555</v>
      </c>
      <c r="K765">
        <v>2005</v>
      </c>
      <c r="L765" s="1">
        <v>38510</v>
      </c>
      <c r="O765" t="s">
        <v>37486</v>
      </c>
    </row>
    <row r="766" spans="1:15" x14ac:dyDescent="0.15">
      <c r="A766">
        <v>27679482</v>
      </c>
      <c r="B766">
        <v>30903454</v>
      </c>
      <c r="E766">
        <v>23853601</v>
      </c>
      <c r="F766" t="s">
        <v>37487</v>
      </c>
      <c r="G766" t="s">
        <v>37488</v>
      </c>
      <c r="H766" t="s">
        <v>37489</v>
      </c>
      <c r="I766" t="s">
        <v>37490</v>
      </c>
      <c r="J766" t="s">
        <v>31933</v>
      </c>
      <c r="K766">
        <v>2013</v>
      </c>
      <c r="L766" s="1">
        <v>41471</v>
      </c>
      <c r="M766" t="s">
        <v>37491</v>
      </c>
      <c r="O766" t="s">
        <v>37492</v>
      </c>
    </row>
    <row r="767" spans="1:15" x14ac:dyDescent="0.15">
      <c r="A767">
        <v>25111183</v>
      </c>
      <c r="B767">
        <v>33137926</v>
      </c>
      <c r="E767">
        <v>11447124</v>
      </c>
      <c r="F767" t="s">
        <v>37502</v>
      </c>
      <c r="G767" t="s">
        <v>37503</v>
      </c>
      <c r="H767" t="s">
        <v>37504</v>
      </c>
      <c r="I767" t="s">
        <v>37505</v>
      </c>
      <c r="J767" t="s">
        <v>35307</v>
      </c>
      <c r="K767">
        <v>2001</v>
      </c>
      <c r="L767" s="1">
        <v>37084</v>
      </c>
      <c r="M767" t="s">
        <v>37506</v>
      </c>
      <c r="O767" t="s">
        <v>37507</v>
      </c>
    </row>
    <row r="768" spans="1:15" x14ac:dyDescent="0.15">
      <c r="A768">
        <v>24748612</v>
      </c>
      <c r="B768">
        <v>27655784</v>
      </c>
      <c r="E768">
        <v>17410208</v>
      </c>
      <c r="F768" t="s">
        <v>37508</v>
      </c>
      <c r="G768" t="s">
        <v>37509</v>
      </c>
      <c r="H768" t="s">
        <v>37510</v>
      </c>
      <c r="I768" t="s">
        <v>37511</v>
      </c>
      <c r="J768" t="s">
        <v>35307</v>
      </c>
      <c r="K768">
        <v>2007</v>
      </c>
      <c r="L768" s="1">
        <v>39178</v>
      </c>
      <c r="M768" t="s">
        <v>37512</v>
      </c>
      <c r="O768" t="s">
        <v>37513</v>
      </c>
    </row>
    <row r="769" spans="1:15" x14ac:dyDescent="0.15">
      <c r="A769">
        <v>11024135</v>
      </c>
      <c r="B769">
        <v>28008089</v>
      </c>
      <c r="E769">
        <v>19369424</v>
      </c>
      <c r="F769" t="s">
        <v>37514</v>
      </c>
      <c r="G769" t="s">
        <v>37515</v>
      </c>
      <c r="H769" t="s">
        <v>37516</v>
      </c>
      <c r="I769" t="s">
        <v>37517</v>
      </c>
      <c r="J769" t="s">
        <v>11924</v>
      </c>
      <c r="K769">
        <v>2009</v>
      </c>
      <c r="L769" s="1">
        <v>39920</v>
      </c>
      <c r="M769" t="s">
        <v>37518</v>
      </c>
      <c r="O769" t="s">
        <v>37519</v>
      </c>
    </row>
    <row r="770" spans="1:15" x14ac:dyDescent="0.15">
      <c r="A770">
        <v>30108686</v>
      </c>
      <c r="B770">
        <v>29024380</v>
      </c>
      <c r="E770">
        <v>32929726</v>
      </c>
      <c r="F770" t="s">
        <v>37524</v>
      </c>
      <c r="G770" t="s">
        <v>37525</v>
      </c>
      <c r="H770" t="s">
        <v>37526</v>
      </c>
      <c r="I770" t="s">
        <v>37527</v>
      </c>
      <c r="J770" t="s">
        <v>37528</v>
      </c>
      <c r="K770">
        <v>2021</v>
      </c>
      <c r="L770" s="1">
        <v>44089</v>
      </c>
      <c r="O770" t="s">
        <v>37529</v>
      </c>
    </row>
    <row r="771" spans="1:15" x14ac:dyDescent="0.15">
      <c r="A771">
        <v>29073095</v>
      </c>
      <c r="B771">
        <v>27035811</v>
      </c>
      <c r="E771">
        <v>25189701</v>
      </c>
      <c r="F771" t="s">
        <v>37530</v>
      </c>
      <c r="G771" t="s">
        <v>37531</v>
      </c>
      <c r="H771" t="s">
        <v>37532</v>
      </c>
      <c r="I771" t="s">
        <v>37533</v>
      </c>
      <c r="J771" t="s">
        <v>31824</v>
      </c>
      <c r="K771">
        <v>2014</v>
      </c>
      <c r="L771" s="1">
        <v>41888</v>
      </c>
      <c r="M771" t="s">
        <v>37534</v>
      </c>
      <c r="O771" t="s">
        <v>37535</v>
      </c>
    </row>
    <row r="772" spans="1:15" x14ac:dyDescent="0.15">
      <c r="A772">
        <v>27723556</v>
      </c>
      <c r="B772">
        <v>29222068</v>
      </c>
      <c r="E772">
        <v>26364722</v>
      </c>
      <c r="F772" t="s">
        <v>37540</v>
      </c>
      <c r="G772" t="s">
        <v>37541</v>
      </c>
      <c r="H772" t="s">
        <v>37542</v>
      </c>
      <c r="I772" t="s">
        <v>37543</v>
      </c>
      <c r="J772" t="s">
        <v>31811</v>
      </c>
      <c r="K772">
        <v>2015</v>
      </c>
      <c r="L772" s="1">
        <v>42262</v>
      </c>
      <c r="O772" t="s">
        <v>37544</v>
      </c>
    </row>
    <row r="773" spans="1:15" x14ac:dyDescent="0.15">
      <c r="A773">
        <v>30042153</v>
      </c>
      <c r="B773">
        <v>31891869</v>
      </c>
      <c r="E773">
        <v>33690911</v>
      </c>
      <c r="F773" t="s">
        <v>37545</v>
      </c>
      <c r="G773" t="s">
        <v>37546</v>
      </c>
      <c r="H773" t="s">
        <v>37547</v>
      </c>
      <c r="I773" t="s">
        <v>37548</v>
      </c>
      <c r="J773" t="s">
        <v>36585</v>
      </c>
      <c r="K773">
        <v>2021</v>
      </c>
      <c r="L773" s="1">
        <v>44265</v>
      </c>
      <c r="O773" t="s">
        <v>37549</v>
      </c>
    </row>
    <row r="774" spans="1:15" x14ac:dyDescent="0.15">
      <c r="A774">
        <v>21555566</v>
      </c>
      <c r="B774">
        <v>31188499</v>
      </c>
      <c r="E774">
        <v>33119769</v>
      </c>
      <c r="F774" t="s">
        <v>37550</v>
      </c>
      <c r="G774" t="s">
        <v>37551</v>
      </c>
      <c r="H774" t="s">
        <v>37552</v>
      </c>
      <c r="I774" t="s">
        <v>37553</v>
      </c>
      <c r="J774" t="s">
        <v>31587</v>
      </c>
      <c r="K774">
        <v>2020</v>
      </c>
      <c r="L774" s="1">
        <v>44133</v>
      </c>
      <c r="M774" t="s">
        <v>37554</v>
      </c>
      <c r="O774" t="s">
        <v>37555</v>
      </c>
    </row>
    <row r="775" spans="1:15" x14ac:dyDescent="0.15">
      <c r="A775">
        <v>26142461</v>
      </c>
      <c r="B775">
        <v>31379812</v>
      </c>
      <c r="E775">
        <v>29020613</v>
      </c>
      <c r="F775" t="s">
        <v>37556</v>
      </c>
      <c r="G775" t="s">
        <v>37557</v>
      </c>
      <c r="H775" t="s">
        <v>37558</v>
      </c>
      <c r="I775" t="s">
        <v>37559</v>
      </c>
      <c r="J775" t="s">
        <v>37560</v>
      </c>
      <c r="K775">
        <v>2017</v>
      </c>
      <c r="L775" s="1">
        <v>43020</v>
      </c>
      <c r="M775" t="s">
        <v>37561</v>
      </c>
      <c r="O775" t="s">
        <v>37562</v>
      </c>
    </row>
    <row r="776" spans="1:15" x14ac:dyDescent="0.15">
      <c r="A776">
        <v>29069893</v>
      </c>
      <c r="B776">
        <v>30849983</v>
      </c>
      <c r="E776">
        <v>17403903</v>
      </c>
      <c r="F776" t="s">
        <v>37563</v>
      </c>
      <c r="G776" t="s">
        <v>37564</v>
      </c>
      <c r="H776" t="s">
        <v>37565</v>
      </c>
      <c r="I776" t="s">
        <v>37566</v>
      </c>
      <c r="J776" t="s">
        <v>33347</v>
      </c>
      <c r="K776">
        <v>2007</v>
      </c>
      <c r="L776" s="1">
        <v>39176</v>
      </c>
      <c r="M776" t="s">
        <v>37567</v>
      </c>
      <c r="O776" t="s">
        <v>37568</v>
      </c>
    </row>
    <row r="777" spans="1:15" x14ac:dyDescent="0.15">
      <c r="A777">
        <v>29558959</v>
      </c>
      <c r="B777">
        <v>28782514</v>
      </c>
      <c r="E777">
        <v>11404326</v>
      </c>
      <c r="F777" t="s">
        <v>37569</v>
      </c>
      <c r="G777" t="s">
        <v>37570</v>
      </c>
      <c r="H777" t="s">
        <v>37571</v>
      </c>
      <c r="I777" t="s">
        <v>37572</v>
      </c>
      <c r="J777" t="s">
        <v>37573</v>
      </c>
      <c r="K777">
        <v>2001</v>
      </c>
      <c r="L777" s="1">
        <v>37061</v>
      </c>
      <c r="M777" t="s">
        <v>37574</v>
      </c>
      <c r="O777" t="s">
        <v>37575</v>
      </c>
    </row>
    <row r="778" spans="1:15" x14ac:dyDescent="0.15">
      <c r="A778">
        <v>27881406</v>
      </c>
      <c r="B778">
        <v>33324409</v>
      </c>
      <c r="E778">
        <v>14624005</v>
      </c>
      <c r="F778" t="s">
        <v>37576</v>
      </c>
      <c r="G778" t="s">
        <v>37577</v>
      </c>
      <c r="H778" t="s">
        <v>37578</v>
      </c>
      <c r="I778" t="s">
        <v>37579</v>
      </c>
      <c r="J778" t="s">
        <v>11924</v>
      </c>
      <c r="K778">
        <v>2003</v>
      </c>
      <c r="L778" s="1">
        <v>37944</v>
      </c>
      <c r="M778" t="s">
        <v>37580</v>
      </c>
      <c r="O778" t="s">
        <v>37581</v>
      </c>
    </row>
    <row r="779" spans="1:15" x14ac:dyDescent="0.15">
      <c r="A779">
        <v>23580760</v>
      </c>
      <c r="B779">
        <v>34139872</v>
      </c>
      <c r="E779">
        <v>26073986</v>
      </c>
      <c r="F779" t="s">
        <v>37582</v>
      </c>
      <c r="G779" t="s">
        <v>37583</v>
      </c>
      <c r="H779" t="s">
        <v>37584</v>
      </c>
      <c r="I779" t="s">
        <v>34784</v>
      </c>
      <c r="J779" t="s">
        <v>37585</v>
      </c>
      <c r="K779">
        <v>2015</v>
      </c>
      <c r="L779" s="1">
        <v>42171</v>
      </c>
      <c r="M779" t="s">
        <v>37586</v>
      </c>
      <c r="N779" t="s">
        <v>37587</v>
      </c>
      <c r="O779" t="s">
        <v>37588</v>
      </c>
    </row>
    <row r="780" spans="1:15" x14ac:dyDescent="0.15">
      <c r="A780">
        <v>29330365</v>
      </c>
      <c r="B780">
        <v>33565967</v>
      </c>
      <c r="E780">
        <v>18631361</v>
      </c>
      <c r="F780" t="s">
        <v>37589</v>
      </c>
      <c r="G780" t="s">
        <v>37590</v>
      </c>
      <c r="H780" t="s">
        <v>37591</v>
      </c>
      <c r="I780" t="s">
        <v>37592</v>
      </c>
      <c r="J780" t="s">
        <v>31908</v>
      </c>
      <c r="K780">
        <v>2008</v>
      </c>
      <c r="L780" s="1">
        <v>39647</v>
      </c>
      <c r="O780" t="s">
        <v>37593</v>
      </c>
    </row>
    <row r="781" spans="1:15" x14ac:dyDescent="0.15">
      <c r="A781">
        <v>26365178</v>
      </c>
      <c r="B781">
        <v>26927673</v>
      </c>
      <c r="E781">
        <v>17179095</v>
      </c>
      <c r="F781" t="s">
        <v>37599</v>
      </c>
      <c r="G781" t="s">
        <v>37600</v>
      </c>
      <c r="H781" t="s">
        <v>37601</v>
      </c>
      <c r="I781" t="s">
        <v>37602</v>
      </c>
      <c r="J781" t="s">
        <v>37573</v>
      </c>
      <c r="K781">
        <v>2007</v>
      </c>
      <c r="L781" s="1">
        <v>39072</v>
      </c>
      <c r="M781" t="s">
        <v>37603</v>
      </c>
      <c r="O781" t="s">
        <v>37604</v>
      </c>
    </row>
    <row r="782" spans="1:15" x14ac:dyDescent="0.15">
      <c r="A782">
        <v>26500145</v>
      </c>
      <c r="B782">
        <v>31263077</v>
      </c>
      <c r="E782">
        <v>30602476</v>
      </c>
      <c r="F782" t="s">
        <v>37605</v>
      </c>
      <c r="G782" t="s">
        <v>37606</v>
      </c>
      <c r="H782" t="s">
        <v>37607</v>
      </c>
      <c r="I782" t="s">
        <v>37608</v>
      </c>
      <c r="J782" t="s">
        <v>37374</v>
      </c>
      <c r="K782">
        <v>2019</v>
      </c>
      <c r="L782" s="1">
        <v>43469</v>
      </c>
      <c r="O782" t="s">
        <v>37609</v>
      </c>
    </row>
    <row r="783" spans="1:15" x14ac:dyDescent="0.15">
      <c r="A783">
        <v>29570265</v>
      </c>
      <c r="B783">
        <v>29155161</v>
      </c>
      <c r="E783">
        <v>20660080</v>
      </c>
      <c r="F783" t="s">
        <v>37610</v>
      </c>
      <c r="G783" t="s">
        <v>37611</v>
      </c>
      <c r="H783" t="s">
        <v>37612</v>
      </c>
      <c r="I783" t="s">
        <v>37613</v>
      </c>
      <c r="J783" t="s">
        <v>11924</v>
      </c>
      <c r="K783">
        <v>2010</v>
      </c>
      <c r="L783" s="1">
        <v>40387</v>
      </c>
      <c r="M783" t="s">
        <v>37614</v>
      </c>
      <c r="O783" t="s">
        <v>37615</v>
      </c>
    </row>
    <row r="784" spans="1:15" x14ac:dyDescent="0.15">
      <c r="A784">
        <v>29907693</v>
      </c>
      <c r="B784">
        <v>31088834</v>
      </c>
      <c r="E784">
        <v>24487619</v>
      </c>
      <c r="F784" t="s">
        <v>37616</v>
      </c>
      <c r="G784" t="s">
        <v>37617</v>
      </c>
      <c r="H784" t="s">
        <v>37618</v>
      </c>
      <c r="I784" t="s">
        <v>37619</v>
      </c>
      <c r="J784" t="s">
        <v>34237</v>
      </c>
      <c r="K784">
        <v>2014</v>
      </c>
      <c r="L784" s="1">
        <v>41674</v>
      </c>
      <c r="M784" t="s">
        <v>37620</v>
      </c>
      <c r="N784" t="s">
        <v>37621</v>
      </c>
      <c r="O784" t="s">
        <v>37622</v>
      </c>
    </row>
    <row r="785" spans="1:15" x14ac:dyDescent="0.15">
      <c r="A785">
        <v>26229117</v>
      </c>
      <c r="B785">
        <v>31937439</v>
      </c>
      <c r="E785">
        <v>7697722</v>
      </c>
      <c r="F785" t="s">
        <v>37623</v>
      </c>
      <c r="G785" t="s">
        <v>37624</v>
      </c>
      <c r="H785" t="s">
        <v>37625</v>
      </c>
      <c r="I785" t="s">
        <v>37626</v>
      </c>
      <c r="J785" t="s">
        <v>30555</v>
      </c>
      <c r="K785">
        <v>1995</v>
      </c>
      <c r="L785" s="1">
        <v>34782</v>
      </c>
      <c r="O785" t="s">
        <v>37627</v>
      </c>
    </row>
    <row r="786" spans="1:15" x14ac:dyDescent="0.15">
      <c r="A786">
        <v>27156061</v>
      </c>
      <c r="B786">
        <v>32903777</v>
      </c>
      <c r="E786">
        <v>28392234</v>
      </c>
      <c r="F786" t="s">
        <v>37632</v>
      </c>
      <c r="G786" t="s">
        <v>37633</v>
      </c>
      <c r="H786" t="s">
        <v>37634</v>
      </c>
      <c r="I786" t="s">
        <v>37635</v>
      </c>
      <c r="J786" t="s">
        <v>35198</v>
      </c>
      <c r="K786">
        <v>2017</v>
      </c>
      <c r="L786" s="1">
        <v>42836</v>
      </c>
      <c r="M786" t="s">
        <v>37636</v>
      </c>
      <c r="N786" t="s">
        <v>37637</v>
      </c>
      <c r="O786" t="s">
        <v>37638</v>
      </c>
    </row>
    <row r="787" spans="1:15" x14ac:dyDescent="0.15">
      <c r="A787">
        <v>24023384</v>
      </c>
      <c r="B787">
        <v>30003942</v>
      </c>
      <c r="E787">
        <v>33362721</v>
      </c>
      <c r="F787" t="s">
        <v>37645</v>
      </c>
      <c r="G787" t="s">
        <v>37646</v>
      </c>
      <c r="H787" t="s">
        <v>37647</v>
      </c>
      <c r="I787" t="s">
        <v>37648</v>
      </c>
      <c r="J787" t="s">
        <v>33862</v>
      </c>
      <c r="K787">
        <v>2020</v>
      </c>
      <c r="L787" s="1">
        <v>44193</v>
      </c>
      <c r="M787" t="s">
        <v>37649</v>
      </c>
      <c r="O787" t="s">
        <v>37650</v>
      </c>
    </row>
    <row r="788" spans="1:15" x14ac:dyDescent="0.15">
      <c r="A788">
        <v>22032623</v>
      </c>
      <c r="B788">
        <v>30697216</v>
      </c>
      <c r="E788">
        <v>29921699</v>
      </c>
      <c r="F788" t="s">
        <v>37651</v>
      </c>
      <c r="G788" t="s">
        <v>37652</v>
      </c>
      <c r="H788" t="s">
        <v>37653</v>
      </c>
      <c r="I788" t="s">
        <v>37654</v>
      </c>
      <c r="J788" t="s">
        <v>31167</v>
      </c>
      <c r="K788">
        <v>2018</v>
      </c>
      <c r="L788" s="1">
        <v>43272</v>
      </c>
      <c r="O788" t="s">
        <v>37655</v>
      </c>
    </row>
    <row r="789" spans="1:15" x14ac:dyDescent="0.15">
      <c r="A789">
        <v>26178901</v>
      </c>
      <c r="B789">
        <v>32986962</v>
      </c>
      <c r="E789">
        <v>24989451</v>
      </c>
      <c r="F789" t="s">
        <v>37656</v>
      </c>
      <c r="G789" t="s">
        <v>37657</v>
      </c>
      <c r="H789" t="s">
        <v>37658</v>
      </c>
      <c r="I789" t="s">
        <v>37659</v>
      </c>
      <c r="J789" t="s">
        <v>30796</v>
      </c>
      <c r="K789">
        <v>2014</v>
      </c>
      <c r="L789" s="1">
        <v>41824</v>
      </c>
      <c r="M789" t="s">
        <v>37660</v>
      </c>
      <c r="O789" t="s">
        <v>37661</v>
      </c>
    </row>
    <row r="790" spans="1:15" x14ac:dyDescent="0.15">
      <c r="A790">
        <v>21996135</v>
      </c>
      <c r="B790">
        <v>28833502</v>
      </c>
      <c r="E790">
        <v>15145828</v>
      </c>
      <c r="F790" t="s">
        <v>37662</v>
      </c>
      <c r="G790" t="s">
        <v>37663</v>
      </c>
      <c r="H790" t="s">
        <v>37664</v>
      </c>
      <c r="I790" t="s">
        <v>37433</v>
      </c>
      <c r="J790" t="s">
        <v>31824</v>
      </c>
      <c r="K790">
        <v>2004</v>
      </c>
      <c r="L790" s="1">
        <v>38125</v>
      </c>
      <c r="M790" t="s">
        <v>37665</v>
      </c>
      <c r="O790" t="s">
        <v>37666</v>
      </c>
    </row>
    <row r="791" spans="1:15" x14ac:dyDescent="0.15">
      <c r="A791">
        <v>1719228</v>
      </c>
      <c r="B791">
        <v>27150849</v>
      </c>
      <c r="E791">
        <v>24047896</v>
      </c>
      <c r="F791" t="s">
        <v>37667</v>
      </c>
      <c r="G791" t="s">
        <v>37668</v>
      </c>
      <c r="H791" t="s">
        <v>37669</v>
      </c>
      <c r="I791" t="s">
        <v>37670</v>
      </c>
      <c r="J791" t="s">
        <v>31594</v>
      </c>
      <c r="K791">
        <v>2013</v>
      </c>
      <c r="L791" s="1">
        <v>41537</v>
      </c>
      <c r="M791" t="s">
        <v>37671</v>
      </c>
      <c r="O791" t="s">
        <v>37672</v>
      </c>
    </row>
    <row r="792" spans="1:15" x14ac:dyDescent="0.15">
      <c r="A792">
        <v>28850588</v>
      </c>
      <c r="B792">
        <v>32067543</v>
      </c>
      <c r="E792">
        <v>31480283</v>
      </c>
      <c r="F792" t="s">
        <v>37673</v>
      </c>
      <c r="G792" t="s">
        <v>37674</v>
      </c>
      <c r="H792" t="s">
        <v>37675</v>
      </c>
      <c r="I792" t="s">
        <v>37676</v>
      </c>
      <c r="J792" t="s">
        <v>30655</v>
      </c>
      <c r="K792">
        <v>2019</v>
      </c>
      <c r="L792" s="1">
        <v>43713</v>
      </c>
      <c r="M792" t="s">
        <v>37677</v>
      </c>
      <c r="O792" t="s">
        <v>37678</v>
      </c>
    </row>
    <row r="793" spans="1:15" x14ac:dyDescent="0.15">
      <c r="A793">
        <v>24586853</v>
      </c>
      <c r="B793">
        <v>29904278</v>
      </c>
      <c r="E793">
        <v>24244451</v>
      </c>
      <c r="F793" t="s">
        <v>37679</v>
      </c>
      <c r="G793" t="s">
        <v>37680</v>
      </c>
      <c r="H793" t="s">
        <v>37681</v>
      </c>
      <c r="I793" t="s">
        <v>37682</v>
      </c>
      <c r="J793" t="s">
        <v>31639</v>
      </c>
      <c r="K793">
        <v>2013</v>
      </c>
      <c r="L793" s="1">
        <v>41597</v>
      </c>
      <c r="M793" t="s">
        <v>37683</v>
      </c>
      <c r="O793" t="s">
        <v>37684</v>
      </c>
    </row>
    <row r="794" spans="1:15" x14ac:dyDescent="0.15">
      <c r="A794">
        <v>28332837</v>
      </c>
      <c r="B794">
        <v>30925921</v>
      </c>
      <c r="E794">
        <v>31729316</v>
      </c>
      <c r="F794" t="s">
        <v>37685</v>
      </c>
      <c r="G794" t="s">
        <v>37686</v>
      </c>
      <c r="H794" t="s">
        <v>37687</v>
      </c>
      <c r="I794" t="s">
        <v>37688</v>
      </c>
      <c r="J794" t="s">
        <v>36402</v>
      </c>
      <c r="K794">
        <v>2019</v>
      </c>
      <c r="L794" s="1">
        <v>43785</v>
      </c>
      <c r="M794" t="s">
        <v>37689</v>
      </c>
      <c r="O794" t="s">
        <v>37690</v>
      </c>
    </row>
    <row r="795" spans="1:15" x14ac:dyDescent="0.15">
      <c r="A795">
        <v>15226270</v>
      </c>
      <c r="B795">
        <v>26582468</v>
      </c>
      <c r="E795">
        <v>18951092</v>
      </c>
      <c r="F795" t="s">
        <v>37691</v>
      </c>
      <c r="G795" t="s">
        <v>37692</v>
      </c>
      <c r="H795" t="s">
        <v>37693</v>
      </c>
      <c r="I795" t="s">
        <v>37694</v>
      </c>
      <c r="J795" t="s">
        <v>32022</v>
      </c>
      <c r="K795">
        <v>2008</v>
      </c>
      <c r="L795" s="1">
        <v>39749</v>
      </c>
      <c r="M795" t="s">
        <v>37695</v>
      </c>
      <c r="O795" t="s">
        <v>37696</v>
      </c>
    </row>
    <row r="796" spans="1:15" x14ac:dyDescent="0.15">
      <c r="A796">
        <v>24009880</v>
      </c>
      <c r="B796">
        <v>24969563</v>
      </c>
      <c r="E796">
        <v>15489286</v>
      </c>
      <c r="F796" t="s">
        <v>37705</v>
      </c>
      <c r="G796" t="s">
        <v>37706</v>
      </c>
      <c r="H796" t="s">
        <v>37707</v>
      </c>
      <c r="I796" t="s">
        <v>37708</v>
      </c>
      <c r="J796" t="s">
        <v>31824</v>
      </c>
      <c r="K796">
        <v>2004</v>
      </c>
      <c r="L796" s="1">
        <v>38279</v>
      </c>
      <c r="M796" t="s">
        <v>37709</v>
      </c>
      <c r="O796" t="s">
        <v>37710</v>
      </c>
    </row>
    <row r="797" spans="1:15" x14ac:dyDescent="0.15">
      <c r="A797">
        <v>28069806</v>
      </c>
      <c r="B797">
        <v>24578033</v>
      </c>
      <c r="E797">
        <v>12947419</v>
      </c>
      <c r="F797" t="s">
        <v>37711</v>
      </c>
      <c r="G797" t="s">
        <v>37712</v>
      </c>
      <c r="H797" t="s">
        <v>37713</v>
      </c>
      <c r="I797" t="s">
        <v>32965</v>
      </c>
      <c r="J797" t="s">
        <v>35353</v>
      </c>
      <c r="K797">
        <v>2003</v>
      </c>
      <c r="L797" s="1">
        <v>37863</v>
      </c>
      <c r="M797" t="s">
        <v>37714</v>
      </c>
      <c r="O797" t="s">
        <v>37715</v>
      </c>
    </row>
    <row r="798" spans="1:15" x14ac:dyDescent="0.15">
      <c r="A798">
        <v>29985392</v>
      </c>
      <c r="B798">
        <v>31740445</v>
      </c>
      <c r="E798">
        <v>24097436</v>
      </c>
      <c r="F798" t="s">
        <v>37716</v>
      </c>
      <c r="G798" t="s">
        <v>37717</v>
      </c>
      <c r="H798" t="s">
        <v>37718</v>
      </c>
      <c r="I798" t="s">
        <v>37719</v>
      </c>
      <c r="J798" t="s">
        <v>31587</v>
      </c>
      <c r="K798">
        <v>2014</v>
      </c>
      <c r="L798" s="1">
        <v>41555</v>
      </c>
      <c r="M798" t="s">
        <v>37720</v>
      </c>
      <c r="O798" t="s">
        <v>37721</v>
      </c>
    </row>
    <row r="799" spans="1:15" x14ac:dyDescent="0.15">
      <c r="A799">
        <v>29512380</v>
      </c>
      <c r="B799">
        <v>25292428</v>
      </c>
      <c r="E799">
        <v>3174632</v>
      </c>
      <c r="F799" t="s">
        <v>37725</v>
      </c>
      <c r="G799" t="s">
        <v>37726</v>
      </c>
      <c r="H799" t="s">
        <v>37727</v>
      </c>
      <c r="I799" t="s">
        <v>37728</v>
      </c>
      <c r="J799" t="s">
        <v>30767</v>
      </c>
      <c r="K799">
        <v>1988</v>
      </c>
      <c r="L799" s="1">
        <v>32417</v>
      </c>
      <c r="M799" t="s">
        <v>37729</v>
      </c>
      <c r="O799" t="s">
        <v>37730</v>
      </c>
    </row>
    <row r="800" spans="1:15" x14ac:dyDescent="0.15">
      <c r="A800">
        <v>16107606</v>
      </c>
      <c r="B800">
        <v>32093516</v>
      </c>
      <c r="E800">
        <v>20442321</v>
      </c>
      <c r="F800" t="s">
        <v>37734</v>
      </c>
      <c r="G800" t="s">
        <v>37735</v>
      </c>
      <c r="H800" t="s">
        <v>37736</v>
      </c>
      <c r="I800" t="s">
        <v>37737</v>
      </c>
      <c r="J800" t="s">
        <v>35204</v>
      </c>
      <c r="K800">
        <v>2010</v>
      </c>
      <c r="L800" s="1">
        <v>40304</v>
      </c>
      <c r="M800" t="s">
        <v>37738</v>
      </c>
      <c r="O800" t="s">
        <v>37739</v>
      </c>
    </row>
    <row r="801" spans="1:15" x14ac:dyDescent="0.15">
      <c r="A801">
        <v>29084979</v>
      </c>
      <c r="B801">
        <v>27756426</v>
      </c>
      <c r="E801">
        <v>24106327</v>
      </c>
      <c r="F801" t="s">
        <v>37740</v>
      </c>
      <c r="G801" t="s">
        <v>37741</v>
      </c>
      <c r="H801" t="s">
        <v>37742</v>
      </c>
      <c r="I801" t="s">
        <v>33297</v>
      </c>
      <c r="J801" t="s">
        <v>11924</v>
      </c>
      <c r="K801">
        <v>2013</v>
      </c>
      <c r="L801" s="1">
        <v>41557</v>
      </c>
      <c r="M801" t="s">
        <v>37743</v>
      </c>
      <c r="O801" t="s">
        <v>37744</v>
      </c>
    </row>
    <row r="802" spans="1:15" x14ac:dyDescent="0.15">
      <c r="A802">
        <v>25908243</v>
      </c>
      <c r="B802">
        <v>34139254</v>
      </c>
      <c r="E802">
        <v>23008348</v>
      </c>
      <c r="F802" t="s">
        <v>37745</v>
      </c>
      <c r="G802" t="s">
        <v>37746</v>
      </c>
      <c r="H802" t="s">
        <v>37747</v>
      </c>
      <c r="I802" t="s">
        <v>37748</v>
      </c>
      <c r="J802" t="s">
        <v>32780</v>
      </c>
      <c r="K802">
        <v>2013</v>
      </c>
      <c r="L802" s="1">
        <v>41178</v>
      </c>
      <c r="O802" t="s">
        <v>37749</v>
      </c>
    </row>
    <row r="803" spans="1:15" x14ac:dyDescent="0.15">
      <c r="A803">
        <v>23720728</v>
      </c>
      <c r="B803">
        <v>24032108</v>
      </c>
      <c r="E803">
        <v>30521613</v>
      </c>
      <c r="F803" t="s">
        <v>37756</v>
      </c>
      <c r="G803" t="s">
        <v>37757</v>
      </c>
      <c r="H803" t="s">
        <v>37758</v>
      </c>
      <c r="I803" t="s">
        <v>37759</v>
      </c>
      <c r="J803" t="s">
        <v>31639</v>
      </c>
      <c r="K803">
        <v>2018</v>
      </c>
      <c r="L803" s="1">
        <v>43441</v>
      </c>
      <c r="M803" t="s">
        <v>37760</v>
      </c>
      <c r="O803" t="s">
        <v>37761</v>
      </c>
    </row>
    <row r="804" spans="1:15" x14ac:dyDescent="0.15">
      <c r="A804">
        <v>28765539</v>
      </c>
      <c r="B804">
        <v>30663276</v>
      </c>
      <c r="E804">
        <v>26273910</v>
      </c>
      <c r="F804" t="s">
        <v>37762</v>
      </c>
      <c r="G804" t="s">
        <v>37763</v>
      </c>
      <c r="H804" t="s">
        <v>37764</v>
      </c>
      <c r="I804" t="s">
        <v>37765</v>
      </c>
      <c r="J804" t="s">
        <v>31659</v>
      </c>
      <c r="K804">
        <v>2015</v>
      </c>
      <c r="L804" s="1">
        <v>42231</v>
      </c>
      <c r="M804" t="s">
        <v>37766</v>
      </c>
      <c r="O804" t="s">
        <v>37767</v>
      </c>
    </row>
    <row r="805" spans="1:15" x14ac:dyDescent="0.15">
      <c r="A805">
        <v>28966872</v>
      </c>
      <c r="B805">
        <v>33424849</v>
      </c>
      <c r="E805">
        <v>25836330</v>
      </c>
      <c r="F805" t="s">
        <v>37768</v>
      </c>
      <c r="G805" t="s">
        <v>37769</v>
      </c>
      <c r="H805" t="s">
        <v>37770</v>
      </c>
      <c r="I805" t="s">
        <v>37771</v>
      </c>
      <c r="J805" t="s">
        <v>31933</v>
      </c>
      <c r="K805">
        <v>2015</v>
      </c>
      <c r="L805" s="1">
        <v>42098</v>
      </c>
      <c r="M805" t="s">
        <v>37772</v>
      </c>
      <c r="O805" t="s">
        <v>37773</v>
      </c>
    </row>
    <row r="806" spans="1:15" x14ac:dyDescent="0.15">
      <c r="A806">
        <v>25900080</v>
      </c>
      <c r="B806">
        <v>34449197</v>
      </c>
      <c r="E806">
        <v>26222026</v>
      </c>
      <c r="F806" t="s">
        <v>37774</v>
      </c>
      <c r="G806" t="s">
        <v>37775</v>
      </c>
      <c r="H806" t="s">
        <v>37776</v>
      </c>
      <c r="I806" t="s">
        <v>37777</v>
      </c>
      <c r="J806" t="s">
        <v>34237</v>
      </c>
      <c r="K806">
        <v>2015</v>
      </c>
      <c r="L806" s="1">
        <v>42215</v>
      </c>
      <c r="O806" t="s">
        <v>37778</v>
      </c>
    </row>
    <row r="807" spans="1:15" x14ac:dyDescent="0.15">
      <c r="A807">
        <v>26201019</v>
      </c>
      <c r="B807">
        <v>34734680</v>
      </c>
      <c r="E807">
        <v>34450044</v>
      </c>
      <c r="F807" t="s">
        <v>37779</v>
      </c>
      <c r="G807" t="s">
        <v>37780</v>
      </c>
      <c r="H807" t="s">
        <v>37781</v>
      </c>
      <c r="I807" t="s">
        <v>37782</v>
      </c>
      <c r="J807" t="s">
        <v>32022</v>
      </c>
      <c r="K807">
        <v>2021</v>
      </c>
      <c r="L807" s="1">
        <v>44435</v>
      </c>
      <c r="M807" t="s">
        <v>37783</v>
      </c>
      <c r="N807" t="s">
        <v>37784</v>
      </c>
      <c r="O807" t="s">
        <v>37785</v>
      </c>
    </row>
    <row r="808" spans="1:15" x14ac:dyDescent="0.15">
      <c r="A808">
        <v>27041495</v>
      </c>
      <c r="B808">
        <v>26452221</v>
      </c>
      <c r="E808">
        <v>18022365</v>
      </c>
      <c r="F808" t="s">
        <v>37786</v>
      </c>
      <c r="G808" t="s">
        <v>37787</v>
      </c>
      <c r="H808" t="s">
        <v>37788</v>
      </c>
      <c r="I808" t="s">
        <v>37789</v>
      </c>
      <c r="J808" t="s">
        <v>30555</v>
      </c>
      <c r="K808">
        <v>2007</v>
      </c>
      <c r="L808" s="1">
        <v>39407</v>
      </c>
      <c r="O808" t="s">
        <v>37790</v>
      </c>
    </row>
    <row r="809" spans="1:15" x14ac:dyDescent="0.15">
      <c r="A809">
        <v>28743887</v>
      </c>
      <c r="B809">
        <v>23505015</v>
      </c>
      <c r="E809">
        <v>22402490</v>
      </c>
      <c r="F809" t="s">
        <v>37791</v>
      </c>
      <c r="G809" t="s">
        <v>37792</v>
      </c>
      <c r="H809" t="s">
        <v>37793</v>
      </c>
      <c r="I809" t="s">
        <v>37794</v>
      </c>
      <c r="J809" t="s">
        <v>31587</v>
      </c>
      <c r="K809">
        <v>2012</v>
      </c>
      <c r="L809" s="1">
        <v>40978</v>
      </c>
      <c r="M809" t="s">
        <v>37795</v>
      </c>
      <c r="O809" t="s">
        <v>37796</v>
      </c>
    </row>
    <row r="810" spans="1:15" x14ac:dyDescent="0.15">
      <c r="A810">
        <v>11352238</v>
      </c>
      <c r="B810">
        <v>30699987</v>
      </c>
      <c r="E810">
        <v>18824516</v>
      </c>
      <c r="F810" t="s">
        <v>37801</v>
      </c>
      <c r="G810" t="s">
        <v>37802</v>
      </c>
      <c r="H810" t="s">
        <v>37803</v>
      </c>
      <c r="I810" t="s">
        <v>37804</v>
      </c>
      <c r="J810" t="s">
        <v>11924</v>
      </c>
      <c r="K810">
        <v>2008</v>
      </c>
      <c r="L810" s="1">
        <v>39722</v>
      </c>
      <c r="M810" t="s">
        <v>37805</v>
      </c>
      <c r="O810" t="s">
        <v>37806</v>
      </c>
    </row>
    <row r="811" spans="1:15" x14ac:dyDescent="0.15">
      <c r="A811">
        <v>25690152</v>
      </c>
      <c r="B811">
        <v>26784674</v>
      </c>
      <c r="E811">
        <v>31548613</v>
      </c>
      <c r="F811" t="s">
        <v>37807</v>
      </c>
      <c r="G811" t="s">
        <v>37808</v>
      </c>
      <c r="H811" t="s">
        <v>37809</v>
      </c>
      <c r="I811" t="s">
        <v>37810</v>
      </c>
      <c r="J811" t="s">
        <v>32752</v>
      </c>
      <c r="K811">
        <v>2020</v>
      </c>
      <c r="L811" s="1">
        <v>43733</v>
      </c>
      <c r="O811" t="s">
        <v>37811</v>
      </c>
    </row>
    <row r="812" spans="1:15" x14ac:dyDescent="0.15">
      <c r="A812">
        <v>1991793</v>
      </c>
      <c r="B812">
        <v>32976623</v>
      </c>
      <c r="E812">
        <v>30724665</v>
      </c>
      <c r="F812" t="s">
        <v>37812</v>
      </c>
      <c r="G812" t="s">
        <v>37813</v>
      </c>
      <c r="H812" t="s">
        <v>37814</v>
      </c>
      <c r="I812" t="s">
        <v>37815</v>
      </c>
      <c r="J812" t="s">
        <v>37103</v>
      </c>
      <c r="K812">
        <v>2019</v>
      </c>
      <c r="L812" s="1">
        <v>43503</v>
      </c>
      <c r="M812" t="s">
        <v>37816</v>
      </c>
      <c r="O812" t="s">
        <v>37817</v>
      </c>
    </row>
    <row r="813" spans="1:15" x14ac:dyDescent="0.15">
      <c r="A813">
        <v>27436038</v>
      </c>
      <c r="B813">
        <v>30071288</v>
      </c>
      <c r="E813">
        <v>16478992</v>
      </c>
      <c r="F813" t="s">
        <v>37818</v>
      </c>
      <c r="G813" t="s">
        <v>37819</v>
      </c>
      <c r="H813" t="s">
        <v>37820</v>
      </c>
      <c r="I813" t="s">
        <v>37821</v>
      </c>
      <c r="J813" t="s">
        <v>33347</v>
      </c>
      <c r="K813">
        <v>2006</v>
      </c>
      <c r="L813" s="1">
        <v>38764</v>
      </c>
      <c r="M813" t="s">
        <v>37822</v>
      </c>
      <c r="O813" t="s">
        <v>37823</v>
      </c>
    </row>
    <row r="814" spans="1:15" x14ac:dyDescent="0.15">
      <c r="A814">
        <v>24979780</v>
      </c>
      <c r="B814">
        <v>28676332</v>
      </c>
      <c r="E814">
        <v>16285928</v>
      </c>
      <c r="F814" t="s">
        <v>37824</v>
      </c>
      <c r="G814" t="s">
        <v>37825</v>
      </c>
      <c r="H814" t="s">
        <v>37826</v>
      </c>
      <c r="I814" t="s">
        <v>37827</v>
      </c>
      <c r="J814" t="s">
        <v>32022</v>
      </c>
      <c r="K814">
        <v>2005</v>
      </c>
      <c r="L814" s="1">
        <v>38672</v>
      </c>
      <c r="O814" t="s">
        <v>37828</v>
      </c>
    </row>
    <row r="815" spans="1:15" x14ac:dyDescent="0.15">
      <c r="A815">
        <v>7592648</v>
      </c>
      <c r="B815">
        <v>27230949</v>
      </c>
      <c r="E815">
        <v>26843489</v>
      </c>
      <c r="F815" t="s">
        <v>37829</v>
      </c>
      <c r="G815" t="s">
        <v>37830</v>
      </c>
      <c r="H815" t="s">
        <v>37831</v>
      </c>
      <c r="I815" t="s">
        <v>37832</v>
      </c>
      <c r="J815" t="s">
        <v>37833</v>
      </c>
      <c r="K815">
        <v>2016</v>
      </c>
      <c r="L815" s="1">
        <v>42405</v>
      </c>
      <c r="O815" t="s">
        <v>37834</v>
      </c>
    </row>
    <row r="816" spans="1:15" x14ac:dyDescent="0.15">
      <c r="A816">
        <v>12043869</v>
      </c>
      <c r="B816">
        <v>28424339</v>
      </c>
      <c r="E816">
        <v>35658009</v>
      </c>
      <c r="F816" t="s">
        <v>37835</v>
      </c>
      <c r="G816" t="s">
        <v>37836</v>
      </c>
      <c r="H816" t="s">
        <v>37837</v>
      </c>
      <c r="I816" t="s">
        <v>37838</v>
      </c>
      <c r="J816" t="s">
        <v>37839</v>
      </c>
      <c r="K816">
        <v>2022</v>
      </c>
      <c r="L816" s="1">
        <v>44715</v>
      </c>
      <c r="M816" t="s">
        <v>37840</v>
      </c>
      <c r="N816" t="s">
        <v>37841</v>
      </c>
      <c r="O816" t="s">
        <v>37842</v>
      </c>
    </row>
    <row r="817" spans="1:15" x14ac:dyDescent="0.15">
      <c r="A817">
        <v>27902458</v>
      </c>
      <c r="B817">
        <v>29122679</v>
      </c>
      <c r="E817">
        <v>35657153</v>
      </c>
      <c r="F817" t="s">
        <v>37843</v>
      </c>
      <c r="G817" t="s">
        <v>37844</v>
      </c>
      <c r="H817" t="s">
        <v>37845</v>
      </c>
      <c r="I817" t="s">
        <v>37846</v>
      </c>
      <c r="J817" t="s">
        <v>31192</v>
      </c>
      <c r="K817">
        <v>2022</v>
      </c>
      <c r="L817" s="1">
        <v>44715</v>
      </c>
      <c r="O817" t="s">
        <v>37847</v>
      </c>
    </row>
    <row r="818" spans="1:15" x14ac:dyDescent="0.15">
      <c r="A818">
        <v>25368198</v>
      </c>
      <c r="B818">
        <v>26797692</v>
      </c>
      <c r="E818">
        <v>16541108</v>
      </c>
      <c r="F818" t="s">
        <v>37848</v>
      </c>
      <c r="G818" t="s">
        <v>37849</v>
      </c>
      <c r="H818" t="s">
        <v>37850</v>
      </c>
      <c r="I818" t="s">
        <v>37851</v>
      </c>
      <c r="J818" t="s">
        <v>35307</v>
      </c>
      <c r="K818">
        <v>2006</v>
      </c>
      <c r="L818" s="1">
        <v>38793</v>
      </c>
      <c r="M818" t="s">
        <v>37852</v>
      </c>
      <c r="O818" t="s">
        <v>37853</v>
      </c>
    </row>
    <row r="819" spans="1:15" x14ac:dyDescent="0.15">
      <c r="A819">
        <v>29763932</v>
      </c>
      <c r="B819">
        <v>32917227</v>
      </c>
      <c r="E819">
        <v>24937447</v>
      </c>
      <c r="F819" t="s">
        <v>37854</v>
      </c>
      <c r="G819" t="s">
        <v>37855</v>
      </c>
      <c r="H819" t="s">
        <v>37856</v>
      </c>
      <c r="I819" t="s">
        <v>37857</v>
      </c>
      <c r="J819" t="s">
        <v>32654</v>
      </c>
      <c r="K819">
        <v>2014</v>
      </c>
      <c r="L819" s="1">
        <v>41808</v>
      </c>
      <c r="O819" t="s">
        <v>37858</v>
      </c>
    </row>
    <row r="820" spans="1:15" x14ac:dyDescent="0.15">
      <c r="A820">
        <v>18987139</v>
      </c>
      <c r="B820">
        <v>28196593</v>
      </c>
      <c r="E820">
        <v>25319414</v>
      </c>
      <c r="F820" t="s">
        <v>37859</v>
      </c>
      <c r="G820" t="s">
        <v>37860</v>
      </c>
      <c r="H820" t="s">
        <v>37861</v>
      </c>
      <c r="I820" t="s">
        <v>37862</v>
      </c>
      <c r="J820" t="s">
        <v>35307</v>
      </c>
      <c r="K820">
        <v>2014</v>
      </c>
      <c r="L820" s="1">
        <v>41929</v>
      </c>
      <c r="M820" t="s">
        <v>37863</v>
      </c>
      <c r="O820" t="s">
        <v>37864</v>
      </c>
    </row>
    <row r="821" spans="1:15" x14ac:dyDescent="0.15">
      <c r="A821">
        <v>1846881</v>
      </c>
      <c r="B821">
        <v>30257246</v>
      </c>
      <c r="E821">
        <v>23143101</v>
      </c>
      <c r="F821" t="s">
        <v>37865</v>
      </c>
      <c r="G821" t="s">
        <v>37866</v>
      </c>
      <c r="H821" t="s">
        <v>37867</v>
      </c>
      <c r="I821" t="s">
        <v>37868</v>
      </c>
      <c r="J821" t="s">
        <v>31587</v>
      </c>
      <c r="K821">
        <v>2013</v>
      </c>
      <c r="L821" s="1">
        <v>41226</v>
      </c>
      <c r="M821" t="s">
        <v>37869</v>
      </c>
      <c r="O821" t="s">
        <v>37870</v>
      </c>
    </row>
    <row r="822" spans="1:15" x14ac:dyDescent="0.15">
      <c r="A822">
        <v>29047044</v>
      </c>
      <c r="B822">
        <v>28456604</v>
      </c>
      <c r="E822">
        <v>17548579</v>
      </c>
      <c r="F822" t="s">
        <v>37871</v>
      </c>
      <c r="G822" t="s">
        <v>37872</v>
      </c>
      <c r="H822" t="s">
        <v>37873</v>
      </c>
      <c r="I822" t="s">
        <v>37874</v>
      </c>
      <c r="J822" t="s">
        <v>30600</v>
      </c>
      <c r="K822">
        <v>2007</v>
      </c>
      <c r="L822" s="1">
        <v>39239</v>
      </c>
      <c r="M822" t="s">
        <v>37875</v>
      </c>
      <c r="O822" t="s">
        <v>37876</v>
      </c>
    </row>
    <row r="823" spans="1:15" x14ac:dyDescent="0.15">
      <c r="A823">
        <v>29216356</v>
      </c>
      <c r="B823">
        <v>26133463</v>
      </c>
      <c r="E823">
        <v>15935759</v>
      </c>
      <c r="F823" t="s">
        <v>37877</v>
      </c>
      <c r="G823" t="s">
        <v>37878</v>
      </c>
      <c r="H823" t="s">
        <v>37879</v>
      </c>
      <c r="I823" t="s">
        <v>37880</v>
      </c>
      <c r="J823" t="s">
        <v>30555</v>
      </c>
      <c r="K823">
        <v>2005</v>
      </c>
      <c r="L823" s="1">
        <v>38510</v>
      </c>
      <c r="O823" t="s">
        <v>37881</v>
      </c>
    </row>
    <row r="824" spans="1:15" x14ac:dyDescent="0.15">
      <c r="A824">
        <v>24009887</v>
      </c>
      <c r="B824">
        <v>23607880</v>
      </c>
      <c r="E824">
        <v>20699273</v>
      </c>
      <c r="F824" t="s">
        <v>37882</v>
      </c>
      <c r="G824" t="s">
        <v>37883</v>
      </c>
      <c r="H824" t="s">
        <v>37884</v>
      </c>
      <c r="I824" t="s">
        <v>37885</v>
      </c>
      <c r="J824" t="s">
        <v>31587</v>
      </c>
      <c r="K824">
        <v>2010</v>
      </c>
      <c r="L824" s="1">
        <v>40402</v>
      </c>
      <c r="M824" t="s">
        <v>37886</v>
      </c>
      <c r="O824" t="s">
        <v>37887</v>
      </c>
    </row>
    <row r="825" spans="1:15" x14ac:dyDescent="0.15">
      <c r="A825">
        <v>14742549</v>
      </c>
      <c r="B825">
        <v>26637847</v>
      </c>
      <c r="E825">
        <v>12354777</v>
      </c>
      <c r="F825" t="s">
        <v>37888</v>
      </c>
      <c r="G825" t="s">
        <v>37889</v>
      </c>
      <c r="H825" t="s">
        <v>37890</v>
      </c>
      <c r="I825" t="s">
        <v>37891</v>
      </c>
      <c r="J825" t="s">
        <v>31594</v>
      </c>
      <c r="K825">
        <v>2002</v>
      </c>
      <c r="L825" s="1">
        <v>37531</v>
      </c>
      <c r="O825" t="s">
        <v>37892</v>
      </c>
    </row>
    <row r="826" spans="1:15" x14ac:dyDescent="0.15">
      <c r="A826">
        <v>23388709</v>
      </c>
      <c r="B826">
        <v>29656370</v>
      </c>
      <c r="E826">
        <v>18511171</v>
      </c>
      <c r="F826" t="s">
        <v>37893</v>
      </c>
      <c r="G826" t="s">
        <v>37894</v>
      </c>
      <c r="H826" t="s">
        <v>37895</v>
      </c>
      <c r="I826" t="s">
        <v>37896</v>
      </c>
      <c r="J826" t="s">
        <v>1626</v>
      </c>
      <c r="K826">
        <v>2008</v>
      </c>
      <c r="L826" s="1">
        <v>39599</v>
      </c>
      <c r="O826" t="s">
        <v>37897</v>
      </c>
    </row>
    <row r="827" spans="1:15" x14ac:dyDescent="0.15">
      <c r="A827">
        <v>29109780</v>
      </c>
      <c r="B827">
        <v>34423733</v>
      </c>
      <c r="E827">
        <v>25795540</v>
      </c>
      <c r="F827" t="s">
        <v>37898</v>
      </c>
      <c r="G827" t="s">
        <v>37899</v>
      </c>
      <c r="H827" t="s">
        <v>37900</v>
      </c>
      <c r="I827" t="s">
        <v>31386</v>
      </c>
      <c r="J827" t="s">
        <v>33549</v>
      </c>
      <c r="K827">
        <v>2015</v>
      </c>
      <c r="L827" s="1">
        <v>42085</v>
      </c>
      <c r="O827" t="s">
        <v>37901</v>
      </c>
    </row>
    <row r="828" spans="1:15" x14ac:dyDescent="0.15">
      <c r="A828">
        <v>29139297</v>
      </c>
      <c r="B828">
        <v>31512231</v>
      </c>
      <c r="E828">
        <v>9973615</v>
      </c>
      <c r="F828" t="s">
        <v>37905</v>
      </c>
      <c r="G828" t="s">
        <v>37906</v>
      </c>
      <c r="H828" t="s">
        <v>37907</v>
      </c>
      <c r="I828" t="s">
        <v>37908</v>
      </c>
      <c r="J828" t="s">
        <v>31587</v>
      </c>
      <c r="K828">
        <v>1999</v>
      </c>
      <c r="L828" s="1">
        <v>36203</v>
      </c>
      <c r="M828" t="s">
        <v>37909</v>
      </c>
      <c r="O828" t="s">
        <v>37910</v>
      </c>
    </row>
    <row r="829" spans="1:15" x14ac:dyDescent="0.15">
      <c r="A829">
        <v>29045505</v>
      </c>
      <c r="B829">
        <v>28077297</v>
      </c>
      <c r="E829">
        <v>18591258</v>
      </c>
      <c r="F829" t="s">
        <v>37911</v>
      </c>
      <c r="G829" t="s">
        <v>37912</v>
      </c>
      <c r="H829" t="s">
        <v>37913</v>
      </c>
      <c r="I829" t="s">
        <v>37914</v>
      </c>
      <c r="J829" t="s">
        <v>33347</v>
      </c>
      <c r="K829">
        <v>2008</v>
      </c>
      <c r="L829" s="1">
        <v>39631</v>
      </c>
      <c r="M829" t="s">
        <v>37915</v>
      </c>
      <c r="O829" t="s">
        <v>37916</v>
      </c>
    </row>
    <row r="830" spans="1:15" x14ac:dyDescent="0.15">
      <c r="A830">
        <v>29415469</v>
      </c>
      <c r="B830">
        <v>24436427</v>
      </c>
      <c r="E830">
        <v>22673524</v>
      </c>
      <c r="F830" t="s">
        <v>37917</v>
      </c>
      <c r="G830" t="s">
        <v>37918</v>
      </c>
      <c r="H830" t="s">
        <v>37919</v>
      </c>
      <c r="I830" t="s">
        <v>37920</v>
      </c>
      <c r="J830" t="s">
        <v>31811</v>
      </c>
      <c r="K830">
        <v>2012</v>
      </c>
      <c r="L830" s="1">
        <v>41068</v>
      </c>
      <c r="O830" t="s">
        <v>37921</v>
      </c>
    </row>
    <row r="831" spans="1:15" x14ac:dyDescent="0.15">
      <c r="A831">
        <v>9009336</v>
      </c>
      <c r="B831">
        <v>32363801</v>
      </c>
      <c r="E831">
        <v>33403678</v>
      </c>
      <c r="F831" t="s">
        <v>37924</v>
      </c>
      <c r="G831" t="s">
        <v>37925</v>
      </c>
      <c r="H831" t="s">
        <v>37926</v>
      </c>
      <c r="I831" t="s">
        <v>37927</v>
      </c>
      <c r="J831" t="s">
        <v>37928</v>
      </c>
      <c r="K831">
        <v>2021</v>
      </c>
      <c r="L831" s="1">
        <v>44202</v>
      </c>
      <c r="O831" t="s">
        <v>37929</v>
      </c>
    </row>
    <row r="832" spans="1:15" x14ac:dyDescent="0.15">
      <c r="A832">
        <v>23874201</v>
      </c>
      <c r="B832">
        <v>31216738</v>
      </c>
      <c r="E832">
        <v>18211833</v>
      </c>
      <c r="F832" t="s">
        <v>37935</v>
      </c>
      <c r="G832" t="s">
        <v>37936</v>
      </c>
      <c r="H832" t="s">
        <v>37937</v>
      </c>
      <c r="I832" t="s">
        <v>36013</v>
      </c>
      <c r="J832" t="s">
        <v>34553</v>
      </c>
      <c r="K832">
        <v>2008</v>
      </c>
      <c r="L832" s="1">
        <v>39471</v>
      </c>
      <c r="O832" t="s">
        <v>37938</v>
      </c>
    </row>
    <row r="833" spans="1:15" x14ac:dyDescent="0.15">
      <c r="A833">
        <v>29121557</v>
      </c>
      <c r="B833">
        <v>27939894</v>
      </c>
      <c r="E833">
        <v>35323012</v>
      </c>
      <c r="F833" t="s">
        <v>37939</v>
      </c>
      <c r="G833" t="s">
        <v>37940</v>
      </c>
      <c r="H833" t="s">
        <v>37941</v>
      </c>
      <c r="I833" t="s">
        <v>37942</v>
      </c>
      <c r="J833" t="s">
        <v>30956</v>
      </c>
      <c r="K833">
        <v>2022</v>
      </c>
      <c r="L833" s="1">
        <v>44644</v>
      </c>
      <c r="O833" t="s">
        <v>37943</v>
      </c>
    </row>
    <row r="834" spans="1:15" x14ac:dyDescent="0.15">
      <c r="A834">
        <v>20370819</v>
      </c>
      <c r="B834">
        <v>21174588</v>
      </c>
      <c r="E834">
        <v>16882719</v>
      </c>
      <c r="F834" t="s">
        <v>37944</v>
      </c>
      <c r="G834" t="s">
        <v>37945</v>
      </c>
      <c r="H834" t="s">
        <v>37946</v>
      </c>
      <c r="I834" t="s">
        <v>37947</v>
      </c>
      <c r="J834" t="s">
        <v>30767</v>
      </c>
      <c r="K834">
        <v>2006</v>
      </c>
      <c r="L834" s="1">
        <v>38932</v>
      </c>
      <c r="M834" t="s">
        <v>37948</v>
      </c>
      <c r="O834" t="s">
        <v>37949</v>
      </c>
    </row>
    <row r="835" spans="1:15" x14ac:dyDescent="0.15">
      <c r="A835">
        <v>23041543</v>
      </c>
      <c r="B835">
        <v>29023106</v>
      </c>
      <c r="E835">
        <v>15572680</v>
      </c>
      <c r="F835" t="s">
        <v>37950</v>
      </c>
      <c r="G835" t="s">
        <v>37951</v>
      </c>
      <c r="H835" t="s">
        <v>37952</v>
      </c>
      <c r="I835" t="s">
        <v>37953</v>
      </c>
      <c r="J835" t="s">
        <v>33347</v>
      </c>
      <c r="K835">
        <v>2004</v>
      </c>
      <c r="L835" s="1">
        <v>38323</v>
      </c>
      <c r="M835" t="s">
        <v>37954</v>
      </c>
      <c r="O835" t="s">
        <v>37955</v>
      </c>
    </row>
    <row r="836" spans="1:15" x14ac:dyDescent="0.15">
      <c r="A836">
        <v>28650960</v>
      </c>
      <c r="B836">
        <v>26341056</v>
      </c>
      <c r="E836">
        <v>24224060</v>
      </c>
      <c r="F836" t="s">
        <v>37956</v>
      </c>
      <c r="G836" t="s">
        <v>37957</v>
      </c>
      <c r="H836" t="s">
        <v>37958</v>
      </c>
      <c r="I836" t="s">
        <v>37959</v>
      </c>
      <c r="J836" t="s">
        <v>31639</v>
      </c>
      <c r="K836">
        <v>2013</v>
      </c>
      <c r="L836" s="1">
        <v>41592</v>
      </c>
      <c r="M836" t="s">
        <v>37960</v>
      </c>
      <c r="O836" t="s">
        <v>37961</v>
      </c>
    </row>
    <row r="837" spans="1:15" x14ac:dyDescent="0.15">
      <c r="A837">
        <v>7794889</v>
      </c>
      <c r="B837">
        <v>28077296</v>
      </c>
      <c r="E837">
        <v>26554030</v>
      </c>
      <c r="F837" t="s">
        <v>37965</v>
      </c>
      <c r="G837" t="s">
        <v>37966</v>
      </c>
      <c r="H837" t="s">
        <v>37967</v>
      </c>
      <c r="I837" t="s">
        <v>34817</v>
      </c>
      <c r="J837" t="s">
        <v>11924</v>
      </c>
      <c r="K837">
        <v>2016</v>
      </c>
      <c r="L837" s="1">
        <v>42319</v>
      </c>
      <c r="M837" t="s">
        <v>37968</v>
      </c>
      <c r="O837" t="s">
        <v>37969</v>
      </c>
    </row>
    <row r="838" spans="1:15" x14ac:dyDescent="0.15">
      <c r="A838">
        <v>26488306</v>
      </c>
      <c r="B838">
        <v>34059908</v>
      </c>
      <c r="E838">
        <v>30104731</v>
      </c>
      <c r="F838" t="s">
        <v>37970</v>
      </c>
      <c r="G838" t="s">
        <v>37971</v>
      </c>
      <c r="H838" t="s">
        <v>37972</v>
      </c>
      <c r="I838" t="s">
        <v>37973</v>
      </c>
      <c r="J838" t="s">
        <v>37974</v>
      </c>
      <c r="K838">
        <v>2018</v>
      </c>
      <c r="L838" s="1">
        <v>43327</v>
      </c>
      <c r="O838" t="s">
        <v>37975</v>
      </c>
    </row>
    <row r="839" spans="1:15" x14ac:dyDescent="0.15">
      <c r="A839">
        <v>28643865</v>
      </c>
      <c r="B839">
        <v>32219336</v>
      </c>
      <c r="E839">
        <v>24003086</v>
      </c>
      <c r="F839" t="s">
        <v>37976</v>
      </c>
      <c r="G839" t="s">
        <v>37977</v>
      </c>
      <c r="H839" t="s">
        <v>37978</v>
      </c>
      <c r="I839" t="s">
        <v>33314</v>
      </c>
      <c r="J839" t="s">
        <v>37312</v>
      </c>
      <c r="K839">
        <v>2013</v>
      </c>
      <c r="L839" s="1">
        <v>41522</v>
      </c>
      <c r="M839" t="s">
        <v>37979</v>
      </c>
      <c r="O839" t="s">
        <v>37980</v>
      </c>
    </row>
    <row r="840" spans="1:15" x14ac:dyDescent="0.15">
      <c r="A840">
        <v>27006994</v>
      </c>
      <c r="B840">
        <v>25721810</v>
      </c>
      <c r="E840">
        <v>16373491</v>
      </c>
      <c r="F840" t="s">
        <v>37981</v>
      </c>
      <c r="G840" t="s">
        <v>37982</v>
      </c>
      <c r="H840" t="s">
        <v>37983</v>
      </c>
      <c r="I840" t="s">
        <v>37984</v>
      </c>
      <c r="J840" t="s">
        <v>11924</v>
      </c>
      <c r="K840">
        <v>2006</v>
      </c>
      <c r="L840" s="1">
        <v>38710</v>
      </c>
      <c r="M840" t="s">
        <v>37985</v>
      </c>
      <c r="O840" t="s">
        <v>37986</v>
      </c>
    </row>
    <row r="841" spans="1:15" x14ac:dyDescent="0.15">
      <c r="A841">
        <v>24406730</v>
      </c>
      <c r="B841">
        <v>22082333</v>
      </c>
      <c r="E841">
        <v>2838722</v>
      </c>
      <c r="F841" t="s">
        <v>37987</v>
      </c>
      <c r="G841" t="s">
        <v>37988</v>
      </c>
      <c r="H841" t="s">
        <v>37989</v>
      </c>
      <c r="I841" t="s">
        <v>37990</v>
      </c>
      <c r="J841" t="s">
        <v>36683</v>
      </c>
      <c r="K841">
        <v>1987</v>
      </c>
      <c r="L841" s="1">
        <v>31959</v>
      </c>
      <c r="O841" t="s">
        <v>37991</v>
      </c>
    </row>
    <row r="842" spans="1:15" x14ac:dyDescent="0.15">
      <c r="A842">
        <v>27941871</v>
      </c>
      <c r="B842">
        <v>32647095</v>
      </c>
      <c r="E842">
        <v>22701748</v>
      </c>
      <c r="F842" t="s">
        <v>37995</v>
      </c>
      <c r="G842" t="s">
        <v>37996</v>
      </c>
      <c r="H842" t="s">
        <v>37997</v>
      </c>
      <c r="I842" t="s">
        <v>37998</v>
      </c>
      <c r="J842" t="s">
        <v>31639</v>
      </c>
      <c r="K842">
        <v>2012</v>
      </c>
      <c r="L842" s="1">
        <v>41076</v>
      </c>
      <c r="M842" t="s">
        <v>37999</v>
      </c>
      <c r="O842" t="s">
        <v>38000</v>
      </c>
    </row>
    <row r="843" spans="1:15" x14ac:dyDescent="0.15">
      <c r="A843">
        <v>16275924</v>
      </c>
      <c r="B843">
        <v>31325471</v>
      </c>
      <c r="E843">
        <v>9712834</v>
      </c>
      <c r="F843" t="s">
        <v>38001</v>
      </c>
      <c r="G843" t="s">
        <v>38002</v>
      </c>
      <c r="H843" t="s">
        <v>38003</v>
      </c>
      <c r="I843" t="s">
        <v>38004</v>
      </c>
      <c r="J843" t="s">
        <v>31594</v>
      </c>
      <c r="K843">
        <v>1998</v>
      </c>
      <c r="L843" s="1">
        <v>36033</v>
      </c>
      <c r="O843" t="s">
        <v>38005</v>
      </c>
    </row>
    <row r="844" spans="1:15" x14ac:dyDescent="0.15">
      <c r="A844">
        <v>29930011</v>
      </c>
      <c r="B844">
        <v>33497388</v>
      </c>
      <c r="E844">
        <v>1385188</v>
      </c>
      <c r="F844" t="s">
        <v>38006</v>
      </c>
      <c r="G844" t="s">
        <v>38007</v>
      </c>
      <c r="H844" t="s">
        <v>38008</v>
      </c>
      <c r="I844" t="s">
        <v>38009</v>
      </c>
      <c r="J844" t="s">
        <v>32127</v>
      </c>
      <c r="K844">
        <v>1992</v>
      </c>
      <c r="L844" s="1">
        <v>33909</v>
      </c>
      <c r="O844" t="s">
        <v>38010</v>
      </c>
    </row>
    <row r="845" spans="1:15" x14ac:dyDescent="0.15">
      <c r="A845">
        <v>31219742</v>
      </c>
      <c r="B845">
        <v>33944671</v>
      </c>
      <c r="E845">
        <v>25957685</v>
      </c>
      <c r="F845" t="s">
        <v>38011</v>
      </c>
      <c r="G845" t="s">
        <v>38012</v>
      </c>
      <c r="H845" t="s">
        <v>38013</v>
      </c>
      <c r="I845" t="s">
        <v>34784</v>
      </c>
      <c r="J845" t="s">
        <v>30555</v>
      </c>
      <c r="K845">
        <v>2015</v>
      </c>
      <c r="L845" s="1">
        <v>42135</v>
      </c>
      <c r="M845" t="s">
        <v>38014</v>
      </c>
      <c r="N845" t="s">
        <v>38015</v>
      </c>
      <c r="O845" t="s">
        <v>38016</v>
      </c>
    </row>
    <row r="846" spans="1:15" x14ac:dyDescent="0.15">
      <c r="A846">
        <v>25611733</v>
      </c>
      <c r="B846">
        <v>32924276</v>
      </c>
      <c r="E846">
        <v>26631744</v>
      </c>
      <c r="F846" t="s">
        <v>38021</v>
      </c>
      <c r="G846" t="s">
        <v>38022</v>
      </c>
      <c r="H846" t="s">
        <v>38023</v>
      </c>
      <c r="I846" t="s">
        <v>38024</v>
      </c>
      <c r="J846" t="s">
        <v>30767</v>
      </c>
      <c r="K846">
        <v>2015</v>
      </c>
      <c r="L846" s="1">
        <v>42342</v>
      </c>
      <c r="M846" t="s">
        <v>38025</v>
      </c>
      <c r="O846" t="s">
        <v>38026</v>
      </c>
    </row>
    <row r="847" spans="1:15" x14ac:dyDescent="0.15">
      <c r="A847">
        <v>31799396</v>
      </c>
      <c r="B847">
        <v>28832692</v>
      </c>
      <c r="E847">
        <v>21255825</v>
      </c>
      <c r="F847" t="s">
        <v>38027</v>
      </c>
      <c r="G847" t="s">
        <v>38028</v>
      </c>
      <c r="H847" t="s">
        <v>38029</v>
      </c>
      <c r="I847" t="s">
        <v>38030</v>
      </c>
      <c r="J847" t="s">
        <v>30555</v>
      </c>
      <c r="K847">
        <v>2011</v>
      </c>
      <c r="L847" s="1">
        <v>40568</v>
      </c>
      <c r="M847" t="s">
        <v>38031</v>
      </c>
      <c r="N847" t="s">
        <v>38032</v>
      </c>
      <c r="O847" t="s">
        <v>38033</v>
      </c>
    </row>
    <row r="848" spans="1:15" x14ac:dyDescent="0.15">
      <c r="A848">
        <v>23620794</v>
      </c>
      <c r="B848">
        <v>24909737</v>
      </c>
      <c r="E848">
        <v>31412240</v>
      </c>
      <c r="F848" t="s">
        <v>38034</v>
      </c>
      <c r="G848" t="s">
        <v>38035</v>
      </c>
      <c r="H848" t="s">
        <v>38036</v>
      </c>
      <c r="I848" t="s">
        <v>38037</v>
      </c>
      <c r="J848" t="s">
        <v>31376</v>
      </c>
      <c r="K848">
        <v>2019</v>
      </c>
      <c r="L848" s="1">
        <v>43692</v>
      </c>
      <c r="O848" t="s">
        <v>38038</v>
      </c>
    </row>
    <row r="849" spans="1:15" x14ac:dyDescent="0.15">
      <c r="A849">
        <v>19483673</v>
      </c>
      <c r="B849">
        <v>34158489</v>
      </c>
      <c r="E849">
        <v>8849358</v>
      </c>
      <c r="F849" t="s">
        <v>38039</v>
      </c>
      <c r="G849" t="s">
        <v>38040</v>
      </c>
      <c r="H849" t="s">
        <v>38041</v>
      </c>
      <c r="I849" t="s">
        <v>38042</v>
      </c>
      <c r="J849" t="s">
        <v>33478</v>
      </c>
      <c r="K849">
        <v>1995</v>
      </c>
      <c r="L849" s="1">
        <v>35034</v>
      </c>
      <c r="O849" t="s">
        <v>38043</v>
      </c>
    </row>
    <row r="850" spans="1:15" x14ac:dyDescent="0.15">
      <c r="A850">
        <v>24992257</v>
      </c>
      <c r="B850">
        <v>31752198</v>
      </c>
      <c r="E850">
        <v>22444670</v>
      </c>
      <c r="F850" t="s">
        <v>38048</v>
      </c>
      <c r="G850" t="s">
        <v>38049</v>
      </c>
      <c r="H850" t="s">
        <v>38050</v>
      </c>
      <c r="I850" t="s">
        <v>38051</v>
      </c>
      <c r="J850" t="s">
        <v>35492</v>
      </c>
      <c r="K850">
        <v>2012</v>
      </c>
      <c r="L850" s="1">
        <v>40995</v>
      </c>
      <c r="M850" t="s">
        <v>38052</v>
      </c>
      <c r="O850" t="s">
        <v>38053</v>
      </c>
    </row>
    <row r="851" spans="1:15" x14ac:dyDescent="0.15">
      <c r="A851">
        <v>25040043</v>
      </c>
      <c r="B851">
        <v>26156517</v>
      </c>
      <c r="E851">
        <v>26843429</v>
      </c>
      <c r="F851" t="s">
        <v>38054</v>
      </c>
      <c r="G851" t="s">
        <v>38055</v>
      </c>
      <c r="H851" t="s">
        <v>38056</v>
      </c>
      <c r="I851" t="s">
        <v>38057</v>
      </c>
      <c r="J851" t="s">
        <v>31587</v>
      </c>
      <c r="K851">
        <v>2016</v>
      </c>
      <c r="L851" s="1">
        <v>42405</v>
      </c>
      <c r="M851" t="s">
        <v>38058</v>
      </c>
      <c r="O851" t="s">
        <v>38059</v>
      </c>
    </row>
    <row r="852" spans="1:15" x14ac:dyDescent="0.15">
      <c r="A852" t="s">
        <v>74</v>
      </c>
      <c r="B852">
        <v>30637729</v>
      </c>
      <c r="E852">
        <v>9891085</v>
      </c>
      <c r="F852" t="s">
        <v>38065</v>
      </c>
      <c r="G852" t="s">
        <v>37906</v>
      </c>
      <c r="H852" t="s">
        <v>38066</v>
      </c>
      <c r="I852" t="s">
        <v>37908</v>
      </c>
      <c r="J852" t="s">
        <v>33347</v>
      </c>
      <c r="K852">
        <v>1999</v>
      </c>
      <c r="L852" s="1">
        <v>36176</v>
      </c>
      <c r="M852" t="s">
        <v>38067</v>
      </c>
      <c r="O852" t="s">
        <v>38068</v>
      </c>
    </row>
    <row r="853" spans="1:15" x14ac:dyDescent="0.15">
      <c r="A853">
        <v>30992025</v>
      </c>
      <c r="B853">
        <v>28816640</v>
      </c>
      <c r="E853">
        <v>23580640</v>
      </c>
      <c r="F853" t="s">
        <v>38069</v>
      </c>
      <c r="G853" t="s">
        <v>38070</v>
      </c>
      <c r="H853" t="s">
        <v>38071</v>
      </c>
      <c r="I853" t="s">
        <v>37959</v>
      </c>
      <c r="J853" t="s">
        <v>31594</v>
      </c>
      <c r="K853">
        <v>2013</v>
      </c>
      <c r="L853" s="1">
        <v>41377</v>
      </c>
      <c r="M853" t="s">
        <v>38072</v>
      </c>
      <c r="O853" t="s">
        <v>38073</v>
      </c>
    </row>
    <row r="854" spans="1:15" x14ac:dyDescent="0.15">
      <c r="A854">
        <v>26768848</v>
      </c>
      <c r="B854">
        <v>33513776</v>
      </c>
      <c r="E854">
        <v>27980209</v>
      </c>
      <c r="F854" t="s">
        <v>38074</v>
      </c>
      <c r="G854" t="s">
        <v>38075</v>
      </c>
      <c r="H854" t="s">
        <v>38076</v>
      </c>
      <c r="I854" t="s">
        <v>38077</v>
      </c>
      <c r="J854" t="s">
        <v>35339</v>
      </c>
      <c r="K854">
        <v>2016</v>
      </c>
      <c r="L854" s="1">
        <v>42721</v>
      </c>
      <c r="O854" t="s">
        <v>38078</v>
      </c>
    </row>
    <row r="855" spans="1:15" x14ac:dyDescent="0.15">
      <c r="A855">
        <v>26431329</v>
      </c>
      <c r="B855">
        <v>32134270</v>
      </c>
      <c r="E855">
        <v>23975261</v>
      </c>
      <c r="F855" t="s">
        <v>38086</v>
      </c>
      <c r="G855" t="s">
        <v>38087</v>
      </c>
      <c r="H855" t="s">
        <v>38088</v>
      </c>
      <c r="I855" t="s">
        <v>38089</v>
      </c>
      <c r="J855" t="s">
        <v>38090</v>
      </c>
      <c r="K855">
        <v>2013</v>
      </c>
      <c r="L855" s="1">
        <v>41513</v>
      </c>
      <c r="O855" t="s">
        <v>38091</v>
      </c>
    </row>
    <row r="856" spans="1:15" x14ac:dyDescent="0.15">
      <c r="A856" t="s">
        <v>74</v>
      </c>
      <c r="B856">
        <v>31159859</v>
      </c>
      <c r="E856">
        <v>23964096</v>
      </c>
      <c r="F856" t="s">
        <v>38094</v>
      </c>
      <c r="G856" t="s">
        <v>38095</v>
      </c>
      <c r="H856" t="s">
        <v>38096</v>
      </c>
      <c r="I856" t="s">
        <v>38097</v>
      </c>
      <c r="J856" t="s">
        <v>31824</v>
      </c>
      <c r="K856">
        <v>2013</v>
      </c>
      <c r="L856" s="1">
        <v>41508</v>
      </c>
      <c r="M856" t="s">
        <v>38098</v>
      </c>
      <c r="O856" t="s">
        <v>38099</v>
      </c>
    </row>
    <row r="857" spans="1:15" x14ac:dyDescent="0.15">
      <c r="A857">
        <v>8282779</v>
      </c>
      <c r="B857">
        <v>29376493</v>
      </c>
      <c r="E857">
        <v>30257675</v>
      </c>
      <c r="F857" t="s">
        <v>38100</v>
      </c>
      <c r="G857" t="s">
        <v>38101</v>
      </c>
      <c r="H857" t="s">
        <v>38102</v>
      </c>
      <c r="I857" t="s">
        <v>38103</v>
      </c>
      <c r="J857" t="s">
        <v>31438</v>
      </c>
      <c r="K857">
        <v>2018</v>
      </c>
      <c r="L857" s="1">
        <v>43371</v>
      </c>
      <c r="M857" t="s">
        <v>38104</v>
      </c>
      <c r="O857" t="s">
        <v>38105</v>
      </c>
    </row>
    <row r="858" spans="1:15" x14ac:dyDescent="0.15">
      <c r="A858">
        <v>17158353</v>
      </c>
      <c r="B858">
        <v>20235276</v>
      </c>
      <c r="E858">
        <v>26586442</v>
      </c>
      <c r="F858" t="s">
        <v>38106</v>
      </c>
      <c r="G858" t="s">
        <v>38107</v>
      </c>
      <c r="H858" t="s">
        <v>38108</v>
      </c>
      <c r="I858" t="s">
        <v>38109</v>
      </c>
      <c r="J858" t="s">
        <v>31376</v>
      </c>
      <c r="K858">
        <v>2015</v>
      </c>
      <c r="L858" s="1">
        <v>42329</v>
      </c>
      <c r="M858" t="s">
        <v>38110</v>
      </c>
      <c r="N858" t="s">
        <v>38111</v>
      </c>
      <c r="O858" t="s">
        <v>38112</v>
      </c>
    </row>
    <row r="859" spans="1:15" x14ac:dyDescent="0.15">
      <c r="A859">
        <v>26172304</v>
      </c>
      <c r="B859">
        <v>34289450</v>
      </c>
      <c r="E859">
        <v>32561742</v>
      </c>
      <c r="F859" t="s">
        <v>38118</v>
      </c>
      <c r="G859" t="s">
        <v>38119</v>
      </c>
      <c r="H859" t="s">
        <v>38120</v>
      </c>
      <c r="I859" t="s">
        <v>38121</v>
      </c>
      <c r="J859" t="s">
        <v>30796</v>
      </c>
      <c r="K859">
        <v>2020</v>
      </c>
      <c r="L859" s="1">
        <v>44003</v>
      </c>
      <c r="M859" t="s">
        <v>38122</v>
      </c>
      <c r="O859" t="s">
        <v>38123</v>
      </c>
    </row>
    <row r="860" spans="1:15" x14ac:dyDescent="0.15">
      <c r="A860">
        <v>31451692</v>
      </c>
      <c r="B860">
        <v>28867585</v>
      </c>
      <c r="E860">
        <v>10726976</v>
      </c>
      <c r="F860" t="s">
        <v>38124</v>
      </c>
      <c r="G860" t="s">
        <v>38125</v>
      </c>
      <c r="H860" t="s">
        <v>38126</v>
      </c>
      <c r="I860" t="s">
        <v>38127</v>
      </c>
      <c r="J860" t="s">
        <v>38128</v>
      </c>
      <c r="K860">
        <v>2000</v>
      </c>
      <c r="L860" s="1">
        <v>36607</v>
      </c>
    </row>
    <row r="861" spans="1:15" x14ac:dyDescent="0.15">
      <c r="A861">
        <v>30102952</v>
      </c>
      <c r="B861">
        <v>28321122</v>
      </c>
      <c r="E861">
        <v>31404988</v>
      </c>
      <c r="F861" t="s">
        <v>38129</v>
      </c>
      <c r="G861" t="s">
        <v>38130</v>
      </c>
      <c r="H861" t="s">
        <v>38131</v>
      </c>
      <c r="I861" t="s">
        <v>38132</v>
      </c>
      <c r="J861" t="s">
        <v>30655</v>
      </c>
      <c r="K861">
        <v>2019</v>
      </c>
      <c r="L861" s="1">
        <v>43691</v>
      </c>
      <c r="M861" t="s">
        <v>38133</v>
      </c>
      <c r="O861" t="s">
        <v>38134</v>
      </c>
    </row>
    <row r="862" spans="1:15" x14ac:dyDescent="0.15">
      <c r="A862">
        <v>27630638</v>
      </c>
      <c r="B862">
        <v>26238497</v>
      </c>
      <c r="E862">
        <v>12923258</v>
      </c>
      <c r="F862" t="s">
        <v>38135</v>
      </c>
      <c r="G862" t="s">
        <v>38136</v>
      </c>
      <c r="H862" t="s">
        <v>38137</v>
      </c>
      <c r="I862" t="s">
        <v>38138</v>
      </c>
      <c r="J862" t="s">
        <v>11924</v>
      </c>
      <c r="K862">
        <v>2003</v>
      </c>
      <c r="L862" s="1">
        <v>37852</v>
      </c>
      <c r="M862" t="s">
        <v>38139</v>
      </c>
      <c r="O862" t="s">
        <v>38140</v>
      </c>
    </row>
    <row r="863" spans="1:15" x14ac:dyDescent="0.15">
      <c r="A863">
        <v>18625304</v>
      </c>
      <c r="B863">
        <v>26350732</v>
      </c>
      <c r="E863">
        <v>23770821</v>
      </c>
      <c r="F863" t="s">
        <v>38141</v>
      </c>
      <c r="G863" t="s">
        <v>38142</v>
      </c>
      <c r="H863" t="s">
        <v>38143</v>
      </c>
      <c r="I863" t="s">
        <v>38144</v>
      </c>
      <c r="J863" t="s">
        <v>38145</v>
      </c>
      <c r="K863">
        <v>2013</v>
      </c>
      <c r="L863" s="1">
        <v>41443</v>
      </c>
      <c r="M863" t="s">
        <v>38146</v>
      </c>
      <c r="N863" t="s">
        <v>38147</v>
      </c>
      <c r="O863" t="s">
        <v>38148</v>
      </c>
    </row>
    <row r="864" spans="1:15" x14ac:dyDescent="0.15">
      <c r="A864">
        <v>29215015</v>
      </c>
      <c r="B864">
        <v>30451032</v>
      </c>
      <c r="E864">
        <v>25398005</v>
      </c>
      <c r="F864" t="s">
        <v>38149</v>
      </c>
      <c r="G864" t="s">
        <v>38150</v>
      </c>
      <c r="H864" t="s">
        <v>38151</v>
      </c>
      <c r="I864" t="s">
        <v>38152</v>
      </c>
      <c r="J864" t="s">
        <v>31639</v>
      </c>
      <c r="K864">
        <v>2014</v>
      </c>
      <c r="L864" s="1">
        <v>41958</v>
      </c>
      <c r="M864" t="s">
        <v>38153</v>
      </c>
      <c r="O864" t="s">
        <v>38154</v>
      </c>
    </row>
    <row r="865" spans="1:15" x14ac:dyDescent="0.15">
      <c r="A865">
        <v>30225507</v>
      </c>
      <c r="B865">
        <v>22713869</v>
      </c>
      <c r="E865">
        <v>17187173</v>
      </c>
      <c r="F865" t="s">
        <v>38159</v>
      </c>
      <c r="G865" t="s">
        <v>38160</v>
      </c>
      <c r="H865" t="s">
        <v>38161</v>
      </c>
      <c r="I865" t="s">
        <v>38162</v>
      </c>
      <c r="J865" t="s">
        <v>30876</v>
      </c>
      <c r="K865">
        <v>2007</v>
      </c>
      <c r="L865" s="1">
        <v>39077</v>
      </c>
      <c r="O865" t="s">
        <v>38163</v>
      </c>
    </row>
    <row r="866" spans="1:15" x14ac:dyDescent="0.15">
      <c r="A866">
        <v>26510393</v>
      </c>
      <c r="B866">
        <v>30463593</v>
      </c>
      <c r="E866">
        <v>6094712</v>
      </c>
      <c r="F866" t="s">
        <v>38164</v>
      </c>
      <c r="G866" t="s">
        <v>38165</v>
      </c>
      <c r="H866" t="s">
        <v>38166</v>
      </c>
      <c r="I866" t="s">
        <v>38167</v>
      </c>
      <c r="J866" t="s">
        <v>36122</v>
      </c>
      <c r="K866">
        <v>1984</v>
      </c>
      <c r="L866" s="1">
        <v>30987</v>
      </c>
      <c r="O866" t="s">
        <v>38168</v>
      </c>
    </row>
    <row r="867" spans="1:15" x14ac:dyDescent="0.15">
      <c r="A867">
        <v>31894795</v>
      </c>
      <c r="B867">
        <v>28069372</v>
      </c>
      <c r="E867">
        <v>12819015</v>
      </c>
      <c r="F867" t="s">
        <v>38169</v>
      </c>
      <c r="G867" t="s">
        <v>38170</v>
      </c>
      <c r="H867" t="s">
        <v>38171</v>
      </c>
      <c r="I867" t="s">
        <v>38172</v>
      </c>
      <c r="J867" t="s">
        <v>32741</v>
      </c>
      <c r="K867">
        <v>2003</v>
      </c>
      <c r="L867" s="1">
        <v>37796</v>
      </c>
      <c r="M867" t="s">
        <v>38173</v>
      </c>
      <c r="O867" t="s">
        <v>38174</v>
      </c>
    </row>
    <row r="868" spans="1:15" x14ac:dyDescent="0.15">
      <c r="A868">
        <v>10521426</v>
      </c>
      <c r="B868">
        <v>28356006</v>
      </c>
      <c r="E868">
        <v>29247763</v>
      </c>
      <c r="F868" t="s">
        <v>38181</v>
      </c>
      <c r="G868" t="s">
        <v>38182</v>
      </c>
      <c r="H868" t="s">
        <v>38183</v>
      </c>
      <c r="I868" t="s">
        <v>38184</v>
      </c>
      <c r="J868" t="s">
        <v>31311</v>
      </c>
      <c r="K868">
        <v>2018</v>
      </c>
      <c r="L868" s="1">
        <v>43086</v>
      </c>
      <c r="O868" t="s">
        <v>38185</v>
      </c>
    </row>
    <row r="869" spans="1:15" x14ac:dyDescent="0.15">
      <c r="A869">
        <v>24474753</v>
      </c>
      <c r="B869">
        <v>29146100</v>
      </c>
      <c r="E869">
        <v>2128868</v>
      </c>
      <c r="F869" t="s">
        <v>38186</v>
      </c>
      <c r="G869" t="s">
        <v>38187</v>
      </c>
      <c r="H869" t="s">
        <v>38188</v>
      </c>
      <c r="I869" t="s">
        <v>38189</v>
      </c>
      <c r="J869" t="s">
        <v>38190</v>
      </c>
      <c r="K869">
        <v>1990</v>
      </c>
      <c r="L869" s="1">
        <v>33147</v>
      </c>
      <c r="O869" t="s">
        <v>38191</v>
      </c>
    </row>
    <row r="870" spans="1:15" x14ac:dyDescent="0.15">
      <c r="A870">
        <v>31004923</v>
      </c>
      <c r="B870">
        <v>27206554</v>
      </c>
      <c r="E870">
        <v>19623537</v>
      </c>
      <c r="F870" t="s">
        <v>38197</v>
      </c>
      <c r="G870" t="s">
        <v>38198</v>
      </c>
      <c r="H870" t="s">
        <v>38199</v>
      </c>
      <c r="I870" t="s">
        <v>38200</v>
      </c>
      <c r="J870" t="s">
        <v>38201</v>
      </c>
      <c r="K870">
        <v>2009</v>
      </c>
      <c r="L870" s="1">
        <v>40017</v>
      </c>
      <c r="O870" t="s">
        <v>38202</v>
      </c>
    </row>
    <row r="871" spans="1:15" x14ac:dyDescent="0.15">
      <c r="A871">
        <v>28319051</v>
      </c>
      <c r="B871">
        <v>21318413</v>
      </c>
      <c r="E871">
        <v>22123738</v>
      </c>
      <c r="F871" t="s">
        <v>38208</v>
      </c>
      <c r="G871" t="s">
        <v>38209</v>
      </c>
      <c r="H871" t="s">
        <v>38210</v>
      </c>
      <c r="I871" t="s">
        <v>38211</v>
      </c>
      <c r="J871" t="s">
        <v>31587</v>
      </c>
      <c r="K871">
        <v>2012</v>
      </c>
      <c r="L871" s="1">
        <v>40877</v>
      </c>
      <c r="M871" t="s">
        <v>38212</v>
      </c>
      <c r="O871" t="s">
        <v>38213</v>
      </c>
    </row>
    <row r="872" spans="1:15" x14ac:dyDescent="0.15">
      <c r="A872">
        <v>21875967</v>
      </c>
      <c r="B872">
        <v>23613619</v>
      </c>
      <c r="E872">
        <v>34689211</v>
      </c>
      <c r="F872" t="s">
        <v>38214</v>
      </c>
      <c r="G872" t="s">
        <v>38215</v>
      </c>
      <c r="H872" t="s">
        <v>38216</v>
      </c>
      <c r="I872" t="s">
        <v>38217</v>
      </c>
      <c r="J872" t="s">
        <v>34601</v>
      </c>
      <c r="K872">
        <v>2022</v>
      </c>
      <c r="L872" s="1">
        <v>44493</v>
      </c>
      <c r="M872" t="s">
        <v>38218</v>
      </c>
      <c r="O872" t="s">
        <v>38219</v>
      </c>
    </row>
    <row r="873" spans="1:15" x14ac:dyDescent="0.15">
      <c r="A873">
        <v>22761365</v>
      </c>
      <c r="B873">
        <v>34051235</v>
      </c>
      <c r="E873">
        <v>16791265</v>
      </c>
      <c r="F873" t="s">
        <v>38220</v>
      </c>
      <c r="G873" t="s">
        <v>38221</v>
      </c>
      <c r="H873" t="s">
        <v>38222</v>
      </c>
      <c r="I873" t="s">
        <v>38223</v>
      </c>
      <c r="J873" t="s">
        <v>31771</v>
      </c>
      <c r="K873">
        <v>2006</v>
      </c>
      <c r="L873" s="1">
        <v>38891</v>
      </c>
      <c r="O873" t="s">
        <v>38224</v>
      </c>
    </row>
    <row r="874" spans="1:15" x14ac:dyDescent="0.15">
      <c r="A874">
        <v>18373740</v>
      </c>
      <c r="B874">
        <v>31319228</v>
      </c>
      <c r="E874">
        <v>30760080</v>
      </c>
      <c r="F874" t="s">
        <v>38225</v>
      </c>
      <c r="G874" t="s">
        <v>38226</v>
      </c>
      <c r="H874" t="s">
        <v>38227</v>
      </c>
      <c r="I874" t="s">
        <v>38228</v>
      </c>
      <c r="J874" t="s">
        <v>31659</v>
      </c>
      <c r="K874">
        <v>2019</v>
      </c>
      <c r="L874" s="1">
        <v>43511</v>
      </c>
      <c r="M874" t="s">
        <v>38229</v>
      </c>
      <c r="O874" t="s">
        <v>38230</v>
      </c>
    </row>
    <row r="875" spans="1:15" x14ac:dyDescent="0.15">
      <c r="A875">
        <v>29234015</v>
      </c>
      <c r="B875">
        <v>25220623</v>
      </c>
      <c r="E875">
        <v>31466720</v>
      </c>
      <c r="F875" t="s">
        <v>38231</v>
      </c>
      <c r="G875" t="s">
        <v>38232</v>
      </c>
      <c r="H875" t="s">
        <v>38233</v>
      </c>
      <c r="I875" t="s">
        <v>38234</v>
      </c>
      <c r="J875" t="s">
        <v>32654</v>
      </c>
      <c r="K875">
        <v>2019</v>
      </c>
      <c r="L875" s="1">
        <v>43708</v>
      </c>
      <c r="O875" t="s">
        <v>38235</v>
      </c>
    </row>
    <row r="876" spans="1:15" x14ac:dyDescent="0.15">
      <c r="A876">
        <v>24563408</v>
      </c>
      <c r="B876">
        <v>34031263</v>
      </c>
      <c r="E876">
        <v>22980978</v>
      </c>
      <c r="F876" t="s">
        <v>38236</v>
      </c>
      <c r="G876" t="s">
        <v>38237</v>
      </c>
      <c r="H876" t="s">
        <v>38238</v>
      </c>
      <c r="I876" t="s">
        <v>38239</v>
      </c>
      <c r="J876" t="s">
        <v>30555</v>
      </c>
      <c r="K876">
        <v>2012</v>
      </c>
      <c r="L876" s="1">
        <v>41170</v>
      </c>
      <c r="M876" t="s">
        <v>38240</v>
      </c>
      <c r="N876" t="s">
        <v>38241</v>
      </c>
      <c r="O876" t="s">
        <v>38242</v>
      </c>
    </row>
    <row r="877" spans="1:15" x14ac:dyDescent="0.15">
      <c r="A877">
        <v>22645662</v>
      </c>
      <c r="B877">
        <v>32292514</v>
      </c>
      <c r="E877">
        <v>24478024</v>
      </c>
      <c r="F877" t="s">
        <v>38243</v>
      </c>
      <c r="G877" t="s">
        <v>38244</v>
      </c>
      <c r="H877" t="s">
        <v>38245</v>
      </c>
      <c r="I877" t="s">
        <v>38246</v>
      </c>
      <c r="J877" t="s">
        <v>35872</v>
      </c>
      <c r="K877">
        <v>2014</v>
      </c>
      <c r="L877" s="1">
        <v>41670</v>
      </c>
      <c r="O877" t="s">
        <v>38247</v>
      </c>
    </row>
    <row r="878" spans="1:15" x14ac:dyDescent="0.15">
      <c r="A878">
        <v>8381430</v>
      </c>
      <c r="B878">
        <v>24863262</v>
      </c>
      <c r="E878">
        <v>25064072</v>
      </c>
      <c r="F878" t="s">
        <v>38248</v>
      </c>
      <c r="G878" t="s">
        <v>38249</v>
      </c>
      <c r="H878" t="s">
        <v>38250</v>
      </c>
      <c r="I878" t="s">
        <v>38251</v>
      </c>
      <c r="J878" t="s">
        <v>38252</v>
      </c>
      <c r="K878">
        <v>2014</v>
      </c>
      <c r="L878" s="1">
        <v>41848</v>
      </c>
      <c r="M878" t="s">
        <v>38253</v>
      </c>
      <c r="N878" t="s">
        <v>38254</v>
      </c>
      <c r="O878" t="s">
        <v>38255</v>
      </c>
    </row>
    <row r="879" spans="1:15" x14ac:dyDescent="0.15">
      <c r="A879">
        <v>27117590</v>
      </c>
      <c r="B879">
        <v>32089746</v>
      </c>
      <c r="E879">
        <v>20226086</v>
      </c>
      <c r="F879" t="s">
        <v>38256</v>
      </c>
      <c r="G879" t="s">
        <v>38257</v>
      </c>
      <c r="H879" t="s">
        <v>38258</v>
      </c>
      <c r="I879" t="s">
        <v>31339</v>
      </c>
      <c r="J879" t="s">
        <v>34154</v>
      </c>
      <c r="K879">
        <v>2010</v>
      </c>
      <c r="L879" s="1">
        <v>40253</v>
      </c>
      <c r="M879" t="s">
        <v>38259</v>
      </c>
      <c r="O879" t="s">
        <v>38260</v>
      </c>
    </row>
    <row r="880" spans="1:15" x14ac:dyDescent="0.15">
      <c r="A880">
        <v>29674035</v>
      </c>
      <c r="B880">
        <v>33351957</v>
      </c>
      <c r="E880">
        <v>10782830</v>
      </c>
      <c r="F880" t="s">
        <v>38261</v>
      </c>
      <c r="G880" t="s">
        <v>38262</v>
      </c>
      <c r="H880" t="s">
        <v>38263</v>
      </c>
      <c r="I880" t="s">
        <v>38264</v>
      </c>
      <c r="J880" t="s">
        <v>36358</v>
      </c>
      <c r="K880">
        <v>2000</v>
      </c>
      <c r="L880" s="1">
        <v>36643</v>
      </c>
    </row>
    <row r="881" spans="1:15" x14ac:dyDescent="0.15">
      <c r="A881">
        <v>23678184</v>
      </c>
      <c r="B881">
        <v>29580275</v>
      </c>
      <c r="E881">
        <v>31010902</v>
      </c>
      <c r="F881" t="s">
        <v>38265</v>
      </c>
      <c r="G881" t="s">
        <v>38266</v>
      </c>
      <c r="H881" t="s">
        <v>38267</v>
      </c>
      <c r="I881" t="s">
        <v>38268</v>
      </c>
      <c r="J881" t="s">
        <v>32185</v>
      </c>
      <c r="K881">
        <v>2019</v>
      </c>
      <c r="L881" s="1">
        <v>43579</v>
      </c>
      <c r="M881" t="s">
        <v>38269</v>
      </c>
      <c r="O881" t="s">
        <v>38270</v>
      </c>
    </row>
    <row r="882" spans="1:15" x14ac:dyDescent="0.15">
      <c r="A882">
        <v>12525168</v>
      </c>
      <c r="B882">
        <v>32006463</v>
      </c>
      <c r="E882">
        <v>11514438</v>
      </c>
      <c r="F882" t="s">
        <v>38271</v>
      </c>
      <c r="G882" t="s">
        <v>38272</v>
      </c>
      <c r="H882" t="s">
        <v>38273</v>
      </c>
      <c r="I882" t="s">
        <v>38274</v>
      </c>
      <c r="J882" t="s">
        <v>37573</v>
      </c>
      <c r="K882">
        <v>2001</v>
      </c>
      <c r="L882" s="1">
        <v>37125</v>
      </c>
      <c r="M882" t="s">
        <v>38275</v>
      </c>
      <c r="O882" t="s">
        <v>38276</v>
      </c>
    </row>
    <row r="883" spans="1:15" x14ac:dyDescent="0.15">
      <c r="A883">
        <v>27333275</v>
      </c>
      <c r="B883">
        <v>24250247</v>
      </c>
      <c r="E883">
        <v>31324529</v>
      </c>
      <c r="F883" t="s">
        <v>38277</v>
      </c>
      <c r="G883" t="s">
        <v>38278</v>
      </c>
      <c r="H883" t="s">
        <v>38279</v>
      </c>
      <c r="I883" t="s">
        <v>38280</v>
      </c>
      <c r="J883" t="s">
        <v>38281</v>
      </c>
      <c r="K883">
        <v>2019</v>
      </c>
      <c r="L883" s="1">
        <v>43667</v>
      </c>
      <c r="M883" t="s">
        <v>38282</v>
      </c>
      <c r="N883" t="s">
        <v>38283</v>
      </c>
      <c r="O883" t="s">
        <v>38284</v>
      </c>
    </row>
    <row r="884" spans="1:15" x14ac:dyDescent="0.15">
      <c r="A884">
        <v>12493722</v>
      </c>
      <c r="B884">
        <v>26973197</v>
      </c>
      <c r="E884">
        <v>16484372</v>
      </c>
      <c r="F884" t="s">
        <v>38285</v>
      </c>
      <c r="G884" t="s">
        <v>38286</v>
      </c>
      <c r="H884" t="s">
        <v>38287</v>
      </c>
      <c r="I884" t="s">
        <v>38288</v>
      </c>
      <c r="J884" t="s">
        <v>30767</v>
      </c>
      <c r="K884">
        <v>2006</v>
      </c>
      <c r="L884" s="1">
        <v>38766</v>
      </c>
      <c r="M884" t="s">
        <v>38289</v>
      </c>
      <c r="O884" t="s">
        <v>38290</v>
      </c>
    </row>
    <row r="885" spans="1:15" x14ac:dyDescent="0.15">
      <c r="A885">
        <v>26662481</v>
      </c>
      <c r="B885">
        <v>29950415</v>
      </c>
      <c r="E885">
        <v>33164782</v>
      </c>
      <c r="F885" t="s">
        <v>38291</v>
      </c>
      <c r="G885" t="s">
        <v>38292</v>
      </c>
      <c r="H885" t="s">
        <v>38293</v>
      </c>
      <c r="I885" t="s">
        <v>38294</v>
      </c>
      <c r="J885" t="s">
        <v>30881</v>
      </c>
      <c r="K885">
        <v>2021</v>
      </c>
      <c r="L885" s="1">
        <v>44144</v>
      </c>
      <c r="M885" t="s">
        <v>38295</v>
      </c>
      <c r="N885" t="s">
        <v>38296</v>
      </c>
      <c r="O885" t="s">
        <v>38297</v>
      </c>
    </row>
    <row r="886" spans="1:15" x14ac:dyDescent="0.15">
      <c r="A886">
        <v>30640176</v>
      </c>
      <c r="B886">
        <v>30496349</v>
      </c>
      <c r="E886">
        <v>34747596</v>
      </c>
      <c r="F886" t="s">
        <v>38298</v>
      </c>
      <c r="G886" t="s">
        <v>38299</v>
      </c>
      <c r="H886" t="s">
        <v>38300</v>
      </c>
      <c r="I886" t="s">
        <v>38301</v>
      </c>
      <c r="J886" t="s">
        <v>30956</v>
      </c>
      <c r="K886">
        <v>2021</v>
      </c>
      <c r="L886" s="1">
        <v>44508</v>
      </c>
      <c r="O886" t="s">
        <v>38302</v>
      </c>
    </row>
    <row r="887" spans="1:15" x14ac:dyDescent="0.15">
      <c r="A887">
        <v>27662833</v>
      </c>
      <c r="B887">
        <v>32020194</v>
      </c>
      <c r="E887">
        <v>7650417</v>
      </c>
      <c r="F887" t="s">
        <v>38303</v>
      </c>
      <c r="G887" t="s">
        <v>38304</v>
      </c>
      <c r="H887" t="s">
        <v>38305</v>
      </c>
      <c r="I887" t="s">
        <v>38306</v>
      </c>
      <c r="J887" t="s">
        <v>31495</v>
      </c>
      <c r="K887">
        <v>1995</v>
      </c>
      <c r="L887" s="1">
        <v>34700</v>
      </c>
      <c r="O887" t="s">
        <v>38307</v>
      </c>
    </row>
    <row r="888" spans="1:15" x14ac:dyDescent="0.15">
      <c r="A888">
        <v>31469961</v>
      </c>
      <c r="B888">
        <v>35467282</v>
      </c>
      <c r="E888">
        <v>25175027</v>
      </c>
      <c r="F888" t="s">
        <v>38311</v>
      </c>
      <c r="G888" t="s">
        <v>38312</v>
      </c>
      <c r="H888" t="s">
        <v>38313</v>
      </c>
      <c r="I888" t="s">
        <v>37147</v>
      </c>
      <c r="J888" t="s">
        <v>32022</v>
      </c>
      <c r="K888">
        <v>2014</v>
      </c>
      <c r="L888" s="1">
        <v>41884</v>
      </c>
      <c r="O888" t="s">
        <v>38314</v>
      </c>
    </row>
    <row r="889" spans="1:15" x14ac:dyDescent="0.15">
      <c r="A889">
        <v>29162835</v>
      </c>
      <c r="B889">
        <v>27293190</v>
      </c>
      <c r="E889">
        <v>27179617</v>
      </c>
      <c r="F889" t="s">
        <v>38315</v>
      </c>
      <c r="G889" t="s">
        <v>38316</v>
      </c>
      <c r="H889" t="s">
        <v>38317</v>
      </c>
      <c r="I889" t="s">
        <v>38318</v>
      </c>
      <c r="J889" t="s">
        <v>38319</v>
      </c>
      <c r="K889">
        <v>2016</v>
      </c>
      <c r="L889" s="1">
        <v>42506</v>
      </c>
      <c r="O889" t="s">
        <v>38320</v>
      </c>
    </row>
    <row r="890" spans="1:15" x14ac:dyDescent="0.15">
      <c r="A890">
        <v>26760763</v>
      </c>
      <c r="B890">
        <v>31882820</v>
      </c>
      <c r="E890">
        <v>12538853</v>
      </c>
      <c r="F890" t="s">
        <v>38324</v>
      </c>
      <c r="G890" t="s">
        <v>38325</v>
      </c>
      <c r="H890" t="s">
        <v>38326</v>
      </c>
      <c r="I890" t="s">
        <v>38327</v>
      </c>
      <c r="J890" t="s">
        <v>30767</v>
      </c>
      <c r="K890">
        <v>2003</v>
      </c>
      <c r="L890" s="1">
        <v>37644</v>
      </c>
      <c r="M890" t="s">
        <v>38328</v>
      </c>
      <c r="O890" t="s">
        <v>38329</v>
      </c>
    </row>
    <row r="891" spans="1:15" x14ac:dyDescent="0.15">
      <c r="A891">
        <v>10532697</v>
      </c>
      <c r="B891">
        <v>33897698</v>
      </c>
      <c r="E891">
        <v>18400782</v>
      </c>
      <c r="F891" t="s">
        <v>38330</v>
      </c>
      <c r="G891" t="s">
        <v>38331</v>
      </c>
      <c r="H891" t="s">
        <v>38332</v>
      </c>
      <c r="I891" t="s">
        <v>38333</v>
      </c>
      <c r="J891" t="s">
        <v>31587</v>
      </c>
      <c r="K891">
        <v>2008</v>
      </c>
      <c r="L891" s="1">
        <v>39549</v>
      </c>
      <c r="M891" t="s">
        <v>38334</v>
      </c>
      <c r="O891" t="s">
        <v>38335</v>
      </c>
    </row>
    <row r="892" spans="1:15" x14ac:dyDescent="0.15">
      <c r="A892">
        <v>32132711</v>
      </c>
      <c r="B892">
        <v>33513083</v>
      </c>
      <c r="E892">
        <v>14999079</v>
      </c>
      <c r="F892" t="s">
        <v>38336</v>
      </c>
      <c r="G892" t="s">
        <v>38337</v>
      </c>
      <c r="H892" t="s">
        <v>38338</v>
      </c>
      <c r="I892" t="s">
        <v>38339</v>
      </c>
      <c r="J892" t="s">
        <v>31291</v>
      </c>
      <c r="K892">
        <v>2004</v>
      </c>
      <c r="L892" s="1">
        <v>38052</v>
      </c>
      <c r="M892" t="s">
        <v>38340</v>
      </c>
      <c r="O892" t="s">
        <v>38341</v>
      </c>
    </row>
    <row r="893" spans="1:15" x14ac:dyDescent="0.15">
      <c r="A893">
        <v>28811610</v>
      </c>
      <c r="B893">
        <v>31086179</v>
      </c>
      <c r="E893">
        <v>32559291</v>
      </c>
      <c r="F893" t="s">
        <v>38346</v>
      </c>
      <c r="G893" t="s">
        <v>38347</v>
      </c>
      <c r="H893" t="s">
        <v>38348</v>
      </c>
      <c r="I893" t="s">
        <v>38349</v>
      </c>
      <c r="J893" t="s">
        <v>34877</v>
      </c>
      <c r="K893">
        <v>2020</v>
      </c>
      <c r="L893" s="1">
        <v>44002</v>
      </c>
      <c r="M893" t="s">
        <v>38350</v>
      </c>
      <c r="O893" t="s">
        <v>38351</v>
      </c>
    </row>
    <row r="894" spans="1:15" x14ac:dyDescent="0.15">
      <c r="A894">
        <v>25477253</v>
      </c>
      <c r="B894">
        <v>34506226</v>
      </c>
      <c r="E894">
        <v>30728146</v>
      </c>
      <c r="F894" t="s">
        <v>38352</v>
      </c>
      <c r="G894" t="s">
        <v>38353</v>
      </c>
      <c r="H894" t="s">
        <v>38354</v>
      </c>
      <c r="I894" t="s">
        <v>38355</v>
      </c>
      <c r="J894" t="s">
        <v>30600</v>
      </c>
      <c r="K894">
        <v>2019</v>
      </c>
      <c r="L894" s="1">
        <v>43504</v>
      </c>
      <c r="M894" t="s">
        <v>38356</v>
      </c>
      <c r="O894" t="s">
        <v>38357</v>
      </c>
    </row>
    <row r="895" spans="1:15" x14ac:dyDescent="0.15">
      <c r="A895">
        <v>8801138</v>
      </c>
      <c r="B895">
        <v>32725655</v>
      </c>
      <c r="E895">
        <v>33599082</v>
      </c>
      <c r="F895" t="s">
        <v>38358</v>
      </c>
      <c r="G895" t="s">
        <v>38359</v>
      </c>
      <c r="H895" t="s">
        <v>38360</v>
      </c>
      <c r="I895" t="s">
        <v>38361</v>
      </c>
      <c r="J895" t="s">
        <v>38362</v>
      </c>
      <c r="K895">
        <v>2021</v>
      </c>
      <c r="L895" s="1">
        <v>44245</v>
      </c>
      <c r="O895" t="s">
        <v>38363</v>
      </c>
    </row>
    <row r="896" spans="1:15" x14ac:dyDescent="0.15">
      <c r="A896">
        <v>27385095</v>
      </c>
      <c r="B896">
        <v>27956165</v>
      </c>
      <c r="E896">
        <v>31405017</v>
      </c>
      <c r="F896" t="s">
        <v>38364</v>
      </c>
      <c r="G896" t="s">
        <v>38365</v>
      </c>
      <c r="H896" t="s">
        <v>38366</v>
      </c>
      <c r="I896" t="s">
        <v>38367</v>
      </c>
      <c r="J896" t="s">
        <v>30655</v>
      </c>
      <c r="K896">
        <v>2019</v>
      </c>
      <c r="L896" s="1">
        <v>43691</v>
      </c>
      <c r="M896" t="s">
        <v>38368</v>
      </c>
      <c r="O896" t="s">
        <v>38369</v>
      </c>
    </row>
    <row r="897" spans="1:15" x14ac:dyDescent="0.15">
      <c r="A897">
        <v>27919066</v>
      </c>
      <c r="B897">
        <v>35731951</v>
      </c>
      <c r="E897">
        <v>3989907</v>
      </c>
      <c r="F897" t="s">
        <v>38370</v>
      </c>
      <c r="G897" t="s">
        <v>38371</v>
      </c>
      <c r="H897" t="s">
        <v>38372</v>
      </c>
      <c r="I897" t="s">
        <v>38373</v>
      </c>
      <c r="J897" t="s">
        <v>31970</v>
      </c>
      <c r="K897">
        <v>1985</v>
      </c>
      <c r="L897" s="1">
        <v>31168</v>
      </c>
      <c r="M897" t="s">
        <v>38374</v>
      </c>
      <c r="O897" t="s">
        <v>38375</v>
      </c>
    </row>
    <row r="898" spans="1:15" x14ac:dyDescent="0.15">
      <c r="A898">
        <v>25537774</v>
      </c>
      <c r="B898">
        <v>26285688</v>
      </c>
      <c r="E898">
        <v>21094463</v>
      </c>
      <c r="F898" t="s">
        <v>38376</v>
      </c>
      <c r="G898" t="s">
        <v>38377</v>
      </c>
      <c r="H898" t="s">
        <v>38378</v>
      </c>
      <c r="I898" t="s">
        <v>38379</v>
      </c>
      <c r="J898" t="s">
        <v>33405</v>
      </c>
      <c r="K898">
        <v>2010</v>
      </c>
      <c r="L898" s="1">
        <v>40507</v>
      </c>
      <c r="O898" t="s">
        <v>38380</v>
      </c>
    </row>
    <row r="899" spans="1:15" x14ac:dyDescent="0.15">
      <c r="A899">
        <v>23057712</v>
      </c>
      <c r="B899">
        <v>34365576</v>
      </c>
      <c r="E899">
        <v>30941775</v>
      </c>
      <c r="F899" t="s">
        <v>38381</v>
      </c>
      <c r="G899" t="s">
        <v>38382</v>
      </c>
      <c r="H899" t="s">
        <v>38383</v>
      </c>
      <c r="I899" t="s">
        <v>38384</v>
      </c>
      <c r="J899" t="s">
        <v>30847</v>
      </c>
      <c r="K899">
        <v>2019</v>
      </c>
      <c r="L899" s="1">
        <v>43559</v>
      </c>
      <c r="O899" t="s">
        <v>38385</v>
      </c>
    </row>
    <row r="900" spans="1:15" x14ac:dyDescent="0.15">
      <c r="A900">
        <v>30833413</v>
      </c>
      <c r="B900">
        <v>24785274</v>
      </c>
      <c r="E900">
        <v>22046055</v>
      </c>
      <c r="F900" t="s">
        <v>38386</v>
      </c>
      <c r="G900" t="s">
        <v>38387</v>
      </c>
      <c r="H900" t="s">
        <v>38388</v>
      </c>
      <c r="I900" t="s">
        <v>38389</v>
      </c>
      <c r="J900" t="s">
        <v>31880</v>
      </c>
      <c r="K900">
        <v>2012</v>
      </c>
      <c r="L900" s="1">
        <v>40850</v>
      </c>
      <c r="O900" t="s">
        <v>38390</v>
      </c>
    </row>
    <row r="901" spans="1:15" x14ac:dyDescent="0.15">
      <c r="A901">
        <v>30925190</v>
      </c>
      <c r="B901">
        <v>30234974</v>
      </c>
      <c r="E901">
        <v>10652961</v>
      </c>
      <c r="F901" t="s">
        <v>38391</v>
      </c>
      <c r="G901" t="s">
        <v>38392</v>
      </c>
      <c r="H901" t="s">
        <v>38393</v>
      </c>
      <c r="I901" t="s">
        <v>38394</v>
      </c>
      <c r="J901" t="s">
        <v>38395</v>
      </c>
      <c r="K901">
        <v>2000</v>
      </c>
      <c r="L901" s="1">
        <v>36557</v>
      </c>
      <c r="O901" t="s">
        <v>38396</v>
      </c>
    </row>
    <row r="902" spans="1:15" x14ac:dyDescent="0.15">
      <c r="A902">
        <v>21491915</v>
      </c>
      <c r="B902">
        <v>33439673</v>
      </c>
      <c r="E902">
        <v>9892667</v>
      </c>
      <c r="F902" t="s">
        <v>38397</v>
      </c>
      <c r="G902" t="s">
        <v>38398</v>
      </c>
      <c r="H902" t="s">
        <v>38399</v>
      </c>
      <c r="I902" t="s">
        <v>38400</v>
      </c>
      <c r="J902" t="s">
        <v>30767</v>
      </c>
      <c r="K902">
        <v>1999</v>
      </c>
      <c r="L902" s="1">
        <v>36180</v>
      </c>
      <c r="M902" t="s">
        <v>38401</v>
      </c>
      <c r="O902" t="s">
        <v>38402</v>
      </c>
    </row>
    <row r="903" spans="1:15" x14ac:dyDescent="0.15">
      <c r="A903">
        <v>25256589</v>
      </c>
      <c r="B903">
        <v>21172122</v>
      </c>
      <c r="E903">
        <v>23883322</v>
      </c>
      <c r="F903" t="s">
        <v>38403</v>
      </c>
      <c r="G903" t="s">
        <v>38404</v>
      </c>
      <c r="H903" t="s">
        <v>38405</v>
      </c>
      <c r="I903" t="s">
        <v>38406</v>
      </c>
      <c r="J903" t="s">
        <v>35658</v>
      </c>
      <c r="K903">
        <v>2013</v>
      </c>
      <c r="L903" s="1">
        <v>41481</v>
      </c>
      <c r="O903" t="s">
        <v>38407</v>
      </c>
    </row>
    <row r="904" spans="1:15" x14ac:dyDescent="0.15">
      <c r="A904">
        <v>24862597</v>
      </c>
      <c r="B904">
        <v>31495861</v>
      </c>
      <c r="E904">
        <v>17046101</v>
      </c>
      <c r="F904" t="s">
        <v>38412</v>
      </c>
      <c r="G904" t="s">
        <v>38413</v>
      </c>
      <c r="H904" t="s">
        <v>38414</v>
      </c>
      <c r="I904" t="s">
        <v>38415</v>
      </c>
      <c r="J904" t="s">
        <v>38416</v>
      </c>
      <c r="K904">
        <v>2007</v>
      </c>
      <c r="L904" s="1">
        <v>39009</v>
      </c>
      <c r="O904" t="s">
        <v>38417</v>
      </c>
    </row>
    <row r="905" spans="1:15" x14ac:dyDescent="0.15">
      <c r="A905">
        <v>29906447</v>
      </c>
      <c r="B905">
        <v>35484557</v>
      </c>
      <c r="E905">
        <v>16240989</v>
      </c>
      <c r="F905" t="s">
        <v>38418</v>
      </c>
      <c r="G905" t="s">
        <v>38419</v>
      </c>
      <c r="H905" t="s">
        <v>38420</v>
      </c>
      <c r="I905" t="s">
        <v>38421</v>
      </c>
      <c r="J905" t="s">
        <v>38422</v>
      </c>
      <c r="K905">
        <v>2005</v>
      </c>
      <c r="L905" s="1">
        <v>38651</v>
      </c>
    </row>
    <row r="906" spans="1:15" x14ac:dyDescent="0.15">
      <c r="A906">
        <v>30890754</v>
      </c>
      <c r="B906">
        <v>35757760</v>
      </c>
      <c r="E906">
        <v>20631136</v>
      </c>
      <c r="F906" t="s">
        <v>38423</v>
      </c>
      <c r="G906" t="s">
        <v>38424</v>
      </c>
      <c r="H906" t="s">
        <v>38425</v>
      </c>
      <c r="I906" t="s">
        <v>38426</v>
      </c>
      <c r="J906" t="s">
        <v>31970</v>
      </c>
      <c r="K906">
        <v>2010</v>
      </c>
      <c r="L906" s="1">
        <v>40375</v>
      </c>
      <c r="M906" t="s">
        <v>38427</v>
      </c>
      <c r="O906" t="s">
        <v>38428</v>
      </c>
    </row>
    <row r="907" spans="1:15" x14ac:dyDescent="0.15">
      <c r="A907">
        <v>28185192</v>
      </c>
      <c r="B907">
        <v>34160894</v>
      </c>
      <c r="E907">
        <v>31007122</v>
      </c>
      <c r="F907" t="s">
        <v>38429</v>
      </c>
      <c r="G907" t="s">
        <v>38430</v>
      </c>
      <c r="H907" t="s">
        <v>38431</v>
      </c>
      <c r="I907" t="s">
        <v>38432</v>
      </c>
      <c r="J907" t="s">
        <v>31659</v>
      </c>
      <c r="K907">
        <v>2019</v>
      </c>
      <c r="L907" s="1">
        <v>43578</v>
      </c>
      <c r="M907" t="s">
        <v>38433</v>
      </c>
      <c r="O907" t="s">
        <v>38434</v>
      </c>
    </row>
    <row r="908" spans="1:15" x14ac:dyDescent="0.15">
      <c r="A908">
        <v>30643155</v>
      </c>
      <c r="B908">
        <v>30301925</v>
      </c>
      <c r="E908">
        <v>21878619</v>
      </c>
      <c r="F908" t="s">
        <v>38435</v>
      </c>
      <c r="G908" t="s">
        <v>38436</v>
      </c>
      <c r="H908" t="s">
        <v>38437</v>
      </c>
      <c r="I908" t="s">
        <v>38438</v>
      </c>
      <c r="J908" t="s">
        <v>31594</v>
      </c>
      <c r="K908">
        <v>2011</v>
      </c>
      <c r="L908" s="1">
        <v>40787</v>
      </c>
      <c r="M908" t="s">
        <v>38439</v>
      </c>
      <c r="O908" t="s">
        <v>38440</v>
      </c>
    </row>
    <row r="909" spans="1:15" x14ac:dyDescent="0.15">
      <c r="A909">
        <v>31279903</v>
      </c>
      <c r="B909">
        <v>22025668</v>
      </c>
      <c r="E909">
        <v>17223371</v>
      </c>
      <c r="F909" t="s">
        <v>38441</v>
      </c>
      <c r="G909" t="s">
        <v>38442</v>
      </c>
      <c r="H909" t="s">
        <v>38443</v>
      </c>
      <c r="I909" t="s">
        <v>38444</v>
      </c>
      <c r="J909" t="s">
        <v>38445</v>
      </c>
      <c r="K909">
        <v>2007</v>
      </c>
      <c r="L909" s="1">
        <v>39098</v>
      </c>
      <c r="O909" t="s">
        <v>38446</v>
      </c>
    </row>
    <row r="910" spans="1:15" x14ac:dyDescent="0.15">
      <c r="A910">
        <v>27684368</v>
      </c>
      <c r="B910">
        <v>30734479</v>
      </c>
      <c r="E910">
        <v>35200555</v>
      </c>
      <c r="F910" t="s">
        <v>38452</v>
      </c>
      <c r="G910" t="s">
        <v>38453</v>
      </c>
      <c r="H910" t="s">
        <v>38454</v>
      </c>
      <c r="I910" t="s">
        <v>38455</v>
      </c>
      <c r="J910" t="s">
        <v>38456</v>
      </c>
      <c r="K910">
        <v>2022</v>
      </c>
      <c r="L910" s="1">
        <v>44616</v>
      </c>
      <c r="M910" t="s">
        <v>38457</v>
      </c>
      <c r="O910" t="s">
        <v>38458</v>
      </c>
    </row>
    <row r="911" spans="1:15" x14ac:dyDescent="0.15">
      <c r="A911">
        <v>28858636</v>
      </c>
      <c r="B911">
        <v>25945690</v>
      </c>
      <c r="E911">
        <v>11050079</v>
      </c>
      <c r="F911" t="s">
        <v>38459</v>
      </c>
      <c r="G911" t="s">
        <v>38460</v>
      </c>
      <c r="H911" t="s">
        <v>38461</v>
      </c>
      <c r="I911" t="s">
        <v>38462</v>
      </c>
      <c r="J911" t="s">
        <v>31594</v>
      </c>
      <c r="K911">
        <v>2001</v>
      </c>
      <c r="L911" s="1">
        <v>36825</v>
      </c>
      <c r="O911" t="s">
        <v>38463</v>
      </c>
    </row>
    <row r="912" spans="1:15" x14ac:dyDescent="0.15">
      <c r="A912">
        <v>32895384</v>
      </c>
      <c r="B912">
        <v>29686075</v>
      </c>
      <c r="E912">
        <v>24656133</v>
      </c>
      <c r="F912" t="s">
        <v>38464</v>
      </c>
      <c r="G912" t="s">
        <v>38465</v>
      </c>
      <c r="H912" t="s">
        <v>38466</v>
      </c>
      <c r="I912" t="s">
        <v>38467</v>
      </c>
      <c r="J912" t="s">
        <v>32022</v>
      </c>
      <c r="K912">
        <v>2014</v>
      </c>
      <c r="L912" s="1">
        <v>41723</v>
      </c>
      <c r="M912" t="s">
        <v>38468</v>
      </c>
      <c r="N912" t="s">
        <v>38469</v>
      </c>
      <c r="O912" t="s">
        <v>38470</v>
      </c>
    </row>
    <row r="913" spans="1:15" x14ac:dyDescent="0.15">
      <c r="A913">
        <v>27629697</v>
      </c>
      <c r="B913">
        <v>31167142</v>
      </c>
      <c r="E913">
        <v>30155936</v>
      </c>
      <c r="F913" t="s">
        <v>38474</v>
      </c>
      <c r="G913" t="s">
        <v>38475</v>
      </c>
      <c r="H913" t="s">
        <v>38476</v>
      </c>
      <c r="I913" t="s">
        <v>33542</v>
      </c>
      <c r="J913" t="s">
        <v>32747</v>
      </c>
      <c r="K913">
        <v>2018</v>
      </c>
      <c r="L913" s="1">
        <v>43342</v>
      </c>
      <c r="O913" t="s">
        <v>38477</v>
      </c>
    </row>
    <row r="914" spans="1:15" x14ac:dyDescent="0.15">
      <c r="A914">
        <v>30038324</v>
      </c>
      <c r="B914">
        <v>21618878</v>
      </c>
      <c r="E914">
        <v>23390068</v>
      </c>
      <c r="F914" t="s">
        <v>38482</v>
      </c>
      <c r="G914" t="s">
        <v>38483</v>
      </c>
      <c r="H914" t="s">
        <v>38484</v>
      </c>
      <c r="I914" t="s">
        <v>38485</v>
      </c>
      <c r="J914" t="s">
        <v>33483</v>
      </c>
      <c r="K914">
        <v>2013</v>
      </c>
      <c r="L914" s="1">
        <v>41313</v>
      </c>
      <c r="O914" t="s">
        <v>38486</v>
      </c>
    </row>
    <row r="915" spans="1:15" x14ac:dyDescent="0.15">
      <c r="A915">
        <v>32075753</v>
      </c>
      <c r="B915">
        <v>23555312</v>
      </c>
      <c r="E915">
        <v>26588824</v>
      </c>
      <c r="F915" t="s">
        <v>38487</v>
      </c>
      <c r="G915" t="s">
        <v>38488</v>
      </c>
      <c r="H915" t="s">
        <v>38489</v>
      </c>
      <c r="I915" t="s">
        <v>38490</v>
      </c>
      <c r="J915" t="s">
        <v>37276</v>
      </c>
      <c r="K915">
        <v>2016</v>
      </c>
      <c r="L915" s="1">
        <v>42329</v>
      </c>
      <c r="O915" t="s">
        <v>38491</v>
      </c>
    </row>
    <row r="916" spans="1:15" x14ac:dyDescent="0.15">
      <c r="A916">
        <v>29089562</v>
      </c>
      <c r="B916">
        <v>33025277</v>
      </c>
      <c r="E916">
        <v>2161218</v>
      </c>
      <c r="F916" t="s">
        <v>38497</v>
      </c>
      <c r="G916" t="s">
        <v>38498</v>
      </c>
      <c r="H916" t="s">
        <v>38499</v>
      </c>
      <c r="I916" t="s">
        <v>38500</v>
      </c>
      <c r="J916" t="s">
        <v>32654</v>
      </c>
      <c r="K916">
        <v>1990</v>
      </c>
      <c r="L916" s="1">
        <v>33009</v>
      </c>
      <c r="O916" t="s">
        <v>38501</v>
      </c>
    </row>
    <row r="917" spans="1:15" x14ac:dyDescent="0.15">
      <c r="A917">
        <v>28328650</v>
      </c>
      <c r="B917">
        <v>32518284</v>
      </c>
      <c r="E917">
        <v>10073703</v>
      </c>
      <c r="F917" t="s">
        <v>38505</v>
      </c>
      <c r="G917" t="s">
        <v>38506</v>
      </c>
      <c r="H917" t="s">
        <v>38507</v>
      </c>
      <c r="I917" t="s">
        <v>38508</v>
      </c>
      <c r="J917" t="s">
        <v>36122</v>
      </c>
      <c r="K917">
        <v>1999</v>
      </c>
      <c r="L917" s="1">
        <v>36231</v>
      </c>
      <c r="O917" t="s">
        <v>38509</v>
      </c>
    </row>
    <row r="918" spans="1:15" x14ac:dyDescent="0.15">
      <c r="A918">
        <v>19143024</v>
      </c>
      <c r="B918">
        <v>25184951</v>
      </c>
      <c r="E918">
        <v>11691584</v>
      </c>
      <c r="F918" t="s">
        <v>38510</v>
      </c>
      <c r="G918" t="s">
        <v>38511</v>
      </c>
      <c r="H918" t="s">
        <v>38512</v>
      </c>
      <c r="I918" t="s">
        <v>38513</v>
      </c>
      <c r="J918" t="s">
        <v>35985</v>
      </c>
      <c r="K918">
        <v>2001</v>
      </c>
      <c r="L918" s="1">
        <v>37198</v>
      </c>
      <c r="O918" t="s">
        <v>38514</v>
      </c>
    </row>
    <row r="919" spans="1:15" x14ac:dyDescent="0.15">
      <c r="A919">
        <v>25591738</v>
      </c>
      <c r="B919">
        <v>23774836</v>
      </c>
      <c r="E919">
        <v>10996790</v>
      </c>
      <c r="F919" t="s">
        <v>38526</v>
      </c>
      <c r="G919" t="s">
        <v>38527</v>
      </c>
      <c r="H919" t="s">
        <v>38528</v>
      </c>
      <c r="I919" t="s">
        <v>38529</v>
      </c>
      <c r="J919" t="s">
        <v>30580</v>
      </c>
      <c r="K919">
        <v>2000</v>
      </c>
      <c r="L919" s="1">
        <v>36790</v>
      </c>
      <c r="O919" t="s">
        <v>38530</v>
      </c>
    </row>
    <row r="920" spans="1:15" x14ac:dyDescent="0.15">
      <c r="A920">
        <v>30915846</v>
      </c>
      <c r="B920">
        <v>23430739</v>
      </c>
      <c r="E920">
        <v>32497683</v>
      </c>
      <c r="F920" t="s">
        <v>38534</v>
      </c>
      <c r="G920" t="s">
        <v>38535</v>
      </c>
      <c r="H920" t="s">
        <v>38536</v>
      </c>
      <c r="I920" t="s">
        <v>38537</v>
      </c>
      <c r="J920" t="s">
        <v>33740</v>
      </c>
      <c r="K920">
        <v>2021</v>
      </c>
      <c r="L920" s="1">
        <v>43987</v>
      </c>
      <c r="O920" t="s">
        <v>38538</v>
      </c>
    </row>
    <row r="921" spans="1:15" x14ac:dyDescent="0.15">
      <c r="A921">
        <v>25133686</v>
      </c>
      <c r="B921">
        <v>21376534</v>
      </c>
      <c r="E921">
        <v>21149693</v>
      </c>
      <c r="F921" t="s">
        <v>38547</v>
      </c>
      <c r="G921" t="s">
        <v>38548</v>
      </c>
      <c r="H921" t="s">
        <v>38549</v>
      </c>
      <c r="I921" t="s">
        <v>38550</v>
      </c>
      <c r="J921" t="s">
        <v>30767</v>
      </c>
      <c r="K921">
        <v>2011</v>
      </c>
      <c r="L921" s="1">
        <v>40527</v>
      </c>
      <c r="M921" t="s">
        <v>38551</v>
      </c>
      <c r="O921" t="s">
        <v>38552</v>
      </c>
    </row>
    <row r="922" spans="1:15" x14ac:dyDescent="0.15">
      <c r="A922">
        <v>8093357</v>
      </c>
      <c r="B922">
        <v>34984833</v>
      </c>
      <c r="E922">
        <v>19968858</v>
      </c>
      <c r="F922" t="s">
        <v>38553</v>
      </c>
      <c r="G922" t="s">
        <v>38554</v>
      </c>
      <c r="H922" t="s">
        <v>38555</v>
      </c>
      <c r="I922" t="s">
        <v>38556</v>
      </c>
      <c r="J922" t="s">
        <v>31908</v>
      </c>
      <c r="K922">
        <v>2010</v>
      </c>
      <c r="L922" s="1">
        <v>40156</v>
      </c>
      <c r="O922" t="s">
        <v>38557</v>
      </c>
    </row>
    <row r="923" spans="1:15" x14ac:dyDescent="0.15">
      <c r="A923">
        <v>26578789</v>
      </c>
      <c r="B923">
        <v>23230278</v>
      </c>
      <c r="E923">
        <v>35846270</v>
      </c>
      <c r="F923" t="s">
        <v>38558</v>
      </c>
      <c r="G923" t="s">
        <v>38559</v>
      </c>
      <c r="H923" t="s">
        <v>38560</v>
      </c>
      <c r="I923" t="s">
        <v>38561</v>
      </c>
      <c r="J923" t="s">
        <v>33862</v>
      </c>
      <c r="K923">
        <v>2022</v>
      </c>
      <c r="L923" s="1">
        <v>44760</v>
      </c>
      <c r="M923" t="s">
        <v>38562</v>
      </c>
      <c r="O923" t="s">
        <v>38563</v>
      </c>
    </row>
    <row r="924" spans="1:15" x14ac:dyDescent="0.15">
      <c r="A924">
        <v>28574818</v>
      </c>
      <c r="B924">
        <v>31331349</v>
      </c>
      <c r="E924">
        <v>20049854</v>
      </c>
      <c r="F924" t="s">
        <v>38564</v>
      </c>
      <c r="G924" t="s">
        <v>38565</v>
      </c>
      <c r="H924" t="s">
        <v>38566</v>
      </c>
      <c r="I924" t="s">
        <v>38567</v>
      </c>
      <c r="J924" t="s">
        <v>30847</v>
      </c>
      <c r="K924">
        <v>2010</v>
      </c>
      <c r="L924" s="1">
        <v>40184</v>
      </c>
      <c r="O924" t="s">
        <v>38568</v>
      </c>
    </row>
    <row r="925" spans="1:15" x14ac:dyDescent="0.15">
      <c r="A925">
        <v>31843276</v>
      </c>
      <c r="B925">
        <v>25955720</v>
      </c>
      <c r="E925">
        <v>22532666</v>
      </c>
      <c r="F925" t="s">
        <v>38577</v>
      </c>
      <c r="G925" t="s">
        <v>38578</v>
      </c>
      <c r="H925" t="s">
        <v>38579</v>
      </c>
      <c r="I925" t="s">
        <v>38580</v>
      </c>
      <c r="J925" t="s">
        <v>30767</v>
      </c>
      <c r="K925">
        <v>2012</v>
      </c>
      <c r="L925" s="1">
        <v>41025</v>
      </c>
      <c r="M925" t="s">
        <v>38581</v>
      </c>
      <c r="O925" t="s">
        <v>38582</v>
      </c>
    </row>
    <row r="926" spans="1:15" x14ac:dyDescent="0.15">
      <c r="A926">
        <v>28717426</v>
      </c>
      <c r="B926">
        <v>21835908</v>
      </c>
      <c r="E926">
        <v>17644597</v>
      </c>
      <c r="F926" t="s">
        <v>38583</v>
      </c>
      <c r="G926" t="s">
        <v>38584</v>
      </c>
      <c r="H926" t="s">
        <v>38585</v>
      </c>
      <c r="I926" t="s">
        <v>38586</v>
      </c>
      <c r="J926" t="s">
        <v>32185</v>
      </c>
      <c r="K926">
        <v>2007</v>
      </c>
      <c r="L926" s="1">
        <v>39287</v>
      </c>
      <c r="M926" t="s">
        <v>38587</v>
      </c>
      <c r="O926" t="s">
        <v>38588</v>
      </c>
    </row>
    <row r="927" spans="1:15" x14ac:dyDescent="0.15">
      <c r="A927">
        <v>32212674</v>
      </c>
      <c r="B927">
        <v>24245560</v>
      </c>
      <c r="E927">
        <v>15755631</v>
      </c>
      <c r="F927" t="s">
        <v>38589</v>
      </c>
      <c r="G927" t="s">
        <v>38590</v>
      </c>
      <c r="H927" t="s">
        <v>38591</v>
      </c>
      <c r="I927" t="s">
        <v>38592</v>
      </c>
      <c r="J927" t="s">
        <v>35594</v>
      </c>
      <c r="K927">
        <v>2005</v>
      </c>
      <c r="L927" s="1">
        <v>38421</v>
      </c>
      <c r="O927" t="s">
        <v>38593</v>
      </c>
    </row>
    <row r="928" spans="1:15" x14ac:dyDescent="0.15">
      <c r="A928">
        <v>28861041</v>
      </c>
      <c r="B928">
        <v>35467280</v>
      </c>
      <c r="E928">
        <v>16374505</v>
      </c>
      <c r="F928" t="s">
        <v>38597</v>
      </c>
      <c r="G928" t="s">
        <v>37936</v>
      </c>
      <c r="H928" t="s">
        <v>38598</v>
      </c>
      <c r="I928" t="s">
        <v>36013</v>
      </c>
      <c r="J928" t="s">
        <v>35353</v>
      </c>
      <c r="K928">
        <v>2006</v>
      </c>
      <c r="L928" s="1">
        <v>38710</v>
      </c>
      <c r="M928" t="s">
        <v>38599</v>
      </c>
      <c r="O928" t="s">
        <v>38600</v>
      </c>
    </row>
    <row r="929" spans="1:15" x14ac:dyDescent="0.15">
      <c r="A929">
        <v>29321591</v>
      </c>
      <c r="B929">
        <v>23532734</v>
      </c>
      <c r="E929">
        <v>9792445</v>
      </c>
      <c r="F929" t="s">
        <v>38601</v>
      </c>
      <c r="G929" t="s">
        <v>38602</v>
      </c>
      <c r="H929" t="s">
        <v>38603</v>
      </c>
      <c r="I929" t="s">
        <v>38604</v>
      </c>
      <c r="J929" t="s">
        <v>32576</v>
      </c>
      <c r="K929">
        <v>1998</v>
      </c>
      <c r="L929" s="1">
        <v>36097</v>
      </c>
      <c r="O929" t="s">
        <v>38605</v>
      </c>
    </row>
    <row r="930" spans="1:15" x14ac:dyDescent="0.15">
      <c r="A930">
        <v>28259747</v>
      </c>
      <c r="B930">
        <v>30775458</v>
      </c>
      <c r="E930">
        <v>28325899</v>
      </c>
      <c r="F930" t="s">
        <v>38606</v>
      </c>
      <c r="G930" t="s">
        <v>38607</v>
      </c>
      <c r="H930" t="s">
        <v>38608</v>
      </c>
      <c r="I930" t="s">
        <v>38609</v>
      </c>
      <c r="J930" t="s">
        <v>30834</v>
      </c>
      <c r="K930">
        <v>2017</v>
      </c>
      <c r="L930" s="1">
        <v>42817</v>
      </c>
      <c r="M930" t="s">
        <v>38610</v>
      </c>
      <c r="O930" t="s">
        <v>38611</v>
      </c>
    </row>
    <row r="931" spans="1:15" x14ac:dyDescent="0.15">
      <c r="A931">
        <v>28617821</v>
      </c>
      <c r="B931">
        <v>23064154</v>
      </c>
      <c r="E931">
        <v>7626023</v>
      </c>
      <c r="F931" t="s">
        <v>38612</v>
      </c>
      <c r="G931" t="s">
        <v>38613</v>
      </c>
      <c r="H931" t="s">
        <v>38614</v>
      </c>
      <c r="I931" t="s">
        <v>38615</v>
      </c>
      <c r="J931" t="s">
        <v>31059</v>
      </c>
      <c r="K931">
        <v>1995</v>
      </c>
      <c r="L931" s="1">
        <v>34895</v>
      </c>
      <c r="M931" t="s">
        <v>38616</v>
      </c>
      <c r="O931" t="s">
        <v>38617</v>
      </c>
    </row>
    <row r="932" spans="1:15" x14ac:dyDescent="0.15">
      <c r="A932" t="s">
        <v>74</v>
      </c>
      <c r="B932">
        <v>34365510</v>
      </c>
      <c r="E932">
        <v>11278971</v>
      </c>
      <c r="F932" t="s">
        <v>38622</v>
      </c>
      <c r="G932" t="s">
        <v>38623</v>
      </c>
      <c r="H932" t="s">
        <v>38624</v>
      </c>
      <c r="I932" t="s">
        <v>37197</v>
      </c>
      <c r="J932" t="s">
        <v>31594</v>
      </c>
      <c r="K932">
        <v>2001</v>
      </c>
      <c r="L932" s="1">
        <v>36980</v>
      </c>
      <c r="O932" t="s">
        <v>38625</v>
      </c>
    </row>
    <row r="933" spans="1:15" x14ac:dyDescent="0.15">
      <c r="A933">
        <v>30809374</v>
      </c>
      <c r="B933">
        <v>31262819</v>
      </c>
      <c r="E933">
        <v>8886983</v>
      </c>
      <c r="F933" t="s">
        <v>38626</v>
      </c>
      <c r="G933" t="s">
        <v>38627</v>
      </c>
      <c r="H933" t="s">
        <v>38628</v>
      </c>
      <c r="I933" t="s">
        <v>38629</v>
      </c>
      <c r="J933" t="s">
        <v>31155</v>
      </c>
      <c r="K933">
        <v>1996</v>
      </c>
      <c r="L933" s="1">
        <v>35309</v>
      </c>
      <c r="O933" t="s">
        <v>38630</v>
      </c>
    </row>
    <row r="934" spans="1:15" x14ac:dyDescent="0.15">
      <c r="A934">
        <v>31903745</v>
      </c>
      <c r="B934">
        <v>25815511</v>
      </c>
      <c r="E934">
        <v>33113359</v>
      </c>
      <c r="F934" t="s">
        <v>38631</v>
      </c>
      <c r="G934" t="s">
        <v>38632</v>
      </c>
      <c r="H934" t="s">
        <v>38633</v>
      </c>
      <c r="I934" t="s">
        <v>38634</v>
      </c>
      <c r="J934" t="s">
        <v>31376</v>
      </c>
      <c r="K934">
        <v>2020</v>
      </c>
      <c r="L934" s="1">
        <v>44132</v>
      </c>
      <c r="M934" t="s">
        <v>38635</v>
      </c>
      <c r="O934" t="s">
        <v>38636</v>
      </c>
    </row>
    <row r="935" spans="1:15" x14ac:dyDescent="0.15">
      <c r="A935">
        <v>16442705</v>
      </c>
      <c r="B935">
        <v>32620067</v>
      </c>
      <c r="E935">
        <v>9712909</v>
      </c>
      <c r="F935" t="s">
        <v>38641</v>
      </c>
      <c r="G935" t="s">
        <v>38642</v>
      </c>
      <c r="H935" t="s">
        <v>38643</v>
      </c>
      <c r="I935" t="s">
        <v>38644</v>
      </c>
      <c r="J935" t="s">
        <v>31594</v>
      </c>
      <c r="K935">
        <v>1998</v>
      </c>
      <c r="L935" s="1">
        <v>36033</v>
      </c>
      <c r="O935" t="s">
        <v>38645</v>
      </c>
    </row>
    <row r="936" spans="1:15" x14ac:dyDescent="0.15">
      <c r="A936">
        <v>8596655</v>
      </c>
      <c r="B936">
        <v>31043377</v>
      </c>
      <c r="E936">
        <v>16784605</v>
      </c>
      <c r="F936" t="s">
        <v>38650</v>
      </c>
      <c r="G936" t="s">
        <v>38651</v>
      </c>
      <c r="H936" t="s">
        <v>38652</v>
      </c>
      <c r="I936" t="s">
        <v>38653</v>
      </c>
      <c r="J936" t="s">
        <v>38654</v>
      </c>
      <c r="K936">
        <v>2006</v>
      </c>
      <c r="L936" s="1">
        <v>38889</v>
      </c>
    </row>
    <row r="937" spans="1:15" x14ac:dyDescent="0.15">
      <c r="A937">
        <v>31705800</v>
      </c>
      <c r="B937">
        <v>24424840</v>
      </c>
      <c r="E937">
        <v>30242641</v>
      </c>
      <c r="F937" t="s">
        <v>38658</v>
      </c>
      <c r="G937" t="s">
        <v>38659</v>
      </c>
      <c r="H937" t="s">
        <v>38660</v>
      </c>
      <c r="I937" t="s">
        <v>38661</v>
      </c>
      <c r="J937" t="s">
        <v>38662</v>
      </c>
      <c r="K937">
        <v>2019</v>
      </c>
      <c r="L937" s="1">
        <v>43366</v>
      </c>
      <c r="M937" t="s">
        <v>38663</v>
      </c>
      <c r="O937" t="s">
        <v>38664</v>
      </c>
    </row>
    <row r="938" spans="1:15" x14ac:dyDescent="0.15">
      <c r="A938">
        <v>26012895</v>
      </c>
      <c r="B938">
        <v>30971101</v>
      </c>
      <c r="E938">
        <v>17823924</v>
      </c>
      <c r="F938" t="s">
        <v>38665</v>
      </c>
      <c r="G938" t="s">
        <v>38666</v>
      </c>
      <c r="H938" t="s">
        <v>38667</v>
      </c>
      <c r="I938" t="s">
        <v>38668</v>
      </c>
      <c r="J938" t="s">
        <v>31192</v>
      </c>
      <c r="K938">
        <v>2007</v>
      </c>
      <c r="L938" s="1">
        <v>39333</v>
      </c>
      <c r="O938" t="s">
        <v>38669</v>
      </c>
    </row>
    <row r="939" spans="1:15" x14ac:dyDescent="0.15">
      <c r="A939">
        <v>25945781</v>
      </c>
      <c r="B939">
        <v>35273384</v>
      </c>
      <c r="E939">
        <v>21135092</v>
      </c>
      <c r="F939" t="s">
        <v>38674</v>
      </c>
      <c r="G939" t="s">
        <v>38675</v>
      </c>
      <c r="H939" t="s">
        <v>38676</v>
      </c>
      <c r="I939" t="s">
        <v>38677</v>
      </c>
      <c r="J939" t="s">
        <v>31594</v>
      </c>
      <c r="K939">
        <v>2011</v>
      </c>
      <c r="L939" s="1">
        <v>40520</v>
      </c>
      <c r="M939" t="s">
        <v>38678</v>
      </c>
      <c r="O939" t="s">
        <v>38679</v>
      </c>
    </row>
    <row r="940" spans="1:15" x14ac:dyDescent="0.15">
      <c r="A940">
        <v>30804548</v>
      </c>
      <c r="B940">
        <v>18974299</v>
      </c>
      <c r="E940">
        <v>26246178</v>
      </c>
      <c r="F940" t="s">
        <v>38680</v>
      </c>
      <c r="G940" t="s">
        <v>38681</v>
      </c>
      <c r="H940" t="s">
        <v>38682</v>
      </c>
      <c r="I940" t="s">
        <v>38683</v>
      </c>
      <c r="J940" t="s">
        <v>36549</v>
      </c>
      <c r="K940">
        <v>2015</v>
      </c>
      <c r="L940" s="1">
        <v>42223</v>
      </c>
      <c r="O940" t="s">
        <v>38684</v>
      </c>
    </row>
    <row r="941" spans="1:15" x14ac:dyDescent="0.15">
      <c r="A941">
        <v>31866504</v>
      </c>
      <c r="B941">
        <v>31734770</v>
      </c>
      <c r="E941">
        <v>29624165</v>
      </c>
      <c r="F941" t="s">
        <v>38690</v>
      </c>
      <c r="G941" t="s">
        <v>38691</v>
      </c>
      <c r="H941" t="s">
        <v>38692</v>
      </c>
      <c r="I941" t="s">
        <v>34195</v>
      </c>
      <c r="J941" t="s">
        <v>36122</v>
      </c>
      <c r="K941">
        <v>2018</v>
      </c>
      <c r="L941" s="1">
        <v>43197</v>
      </c>
      <c r="O941" t="s">
        <v>38693</v>
      </c>
    </row>
    <row r="942" spans="1:15" x14ac:dyDescent="0.15">
      <c r="A942">
        <v>29382201</v>
      </c>
      <c r="B942">
        <v>29357442</v>
      </c>
      <c r="E942">
        <v>17030625</v>
      </c>
      <c r="F942" t="s">
        <v>38701</v>
      </c>
      <c r="G942" t="s">
        <v>38702</v>
      </c>
      <c r="H942" t="s">
        <v>38703</v>
      </c>
      <c r="I942" t="s">
        <v>38704</v>
      </c>
      <c r="J942" t="s">
        <v>33347</v>
      </c>
      <c r="K942">
        <v>2007</v>
      </c>
      <c r="L942" s="1">
        <v>39003</v>
      </c>
      <c r="M942" t="s">
        <v>38705</v>
      </c>
      <c r="O942" t="s">
        <v>38706</v>
      </c>
    </row>
    <row r="943" spans="1:15" x14ac:dyDescent="0.15">
      <c r="A943">
        <v>29145073</v>
      </c>
      <c r="B943">
        <v>23839527</v>
      </c>
      <c r="E943">
        <v>16583463</v>
      </c>
      <c r="F943" t="s">
        <v>38707</v>
      </c>
      <c r="G943" t="s">
        <v>38708</v>
      </c>
      <c r="H943" t="s">
        <v>38709</v>
      </c>
      <c r="I943" t="s">
        <v>38710</v>
      </c>
      <c r="J943" t="s">
        <v>36358</v>
      </c>
      <c r="K943">
        <v>2006</v>
      </c>
      <c r="L943" s="1">
        <v>38811</v>
      </c>
    </row>
    <row r="944" spans="1:15" x14ac:dyDescent="0.15">
      <c r="A944">
        <v>32574035</v>
      </c>
      <c r="B944">
        <v>31950173</v>
      </c>
      <c r="E944">
        <v>19400954</v>
      </c>
      <c r="F944" t="s">
        <v>38711</v>
      </c>
      <c r="G944" t="s">
        <v>38712</v>
      </c>
      <c r="H944" t="s">
        <v>38713</v>
      </c>
      <c r="I944" t="s">
        <v>34614</v>
      </c>
      <c r="J944" t="s">
        <v>31800</v>
      </c>
      <c r="K944">
        <v>2009</v>
      </c>
      <c r="L944" s="1">
        <v>39933</v>
      </c>
      <c r="M944" t="s">
        <v>38714</v>
      </c>
      <c r="O944" t="s">
        <v>38715</v>
      </c>
    </row>
    <row r="945" spans="1:15" x14ac:dyDescent="0.15">
      <c r="A945">
        <v>31717747</v>
      </c>
      <c r="B945">
        <v>25680078</v>
      </c>
      <c r="E945">
        <v>19549916</v>
      </c>
      <c r="F945" t="s">
        <v>38716</v>
      </c>
      <c r="G945" t="s">
        <v>38717</v>
      </c>
      <c r="H945" t="s">
        <v>38718</v>
      </c>
      <c r="I945" t="s">
        <v>38719</v>
      </c>
      <c r="J945" t="s">
        <v>31167</v>
      </c>
      <c r="K945">
        <v>2009</v>
      </c>
      <c r="L945" s="1">
        <v>39989</v>
      </c>
      <c r="M945" t="s">
        <v>38720</v>
      </c>
      <c r="N945" t="s">
        <v>38721</v>
      </c>
      <c r="O945" t="s">
        <v>38722</v>
      </c>
    </row>
    <row r="946" spans="1:15" x14ac:dyDescent="0.15">
      <c r="A946">
        <v>29274250</v>
      </c>
      <c r="B946">
        <v>18802920</v>
      </c>
      <c r="E946">
        <v>3323883</v>
      </c>
      <c r="F946" t="s">
        <v>38738</v>
      </c>
      <c r="G946" t="s">
        <v>38739</v>
      </c>
      <c r="H946" t="s">
        <v>38740</v>
      </c>
      <c r="I946" t="s">
        <v>38741</v>
      </c>
      <c r="J946" t="s">
        <v>33347</v>
      </c>
      <c r="K946">
        <v>1987</v>
      </c>
      <c r="L946" s="1">
        <v>32082</v>
      </c>
      <c r="M946" t="s">
        <v>38742</v>
      </c>
      <c r="O946" t="s">
        <v>38743</v>
      </c>
    </row>
    <row r="947" spans="1:15" x14ac:dyDescent="0.15">
      <c r="A947">
        <v>15883034</v>
      </c>
      <c r="B947">
        <v>22612287</v>
      </c>
      <c r="E947">
        <v>21596787</v>
      </c>
      <c r="F947" t="s">
        <v>38744</v>
      </c>
      <c r="G947" t="s">
        <v>38745</v>
      </c>
      <c r="H947" t="s">
        <v>38746</v>
      </c>
      <c r="I947" t="s">
        <v>38747</v>
      </c>
      <c r="J947" t="s">
        <v>31587</v>
      </c>
      <c r="K947">
        <v>2011</v>
      </c>
      <c r="L947" s="1">
        <v>40684</v>
      </c>
      <c r="M947" t="s">
        <v>38748</v>
      </c>
      <c r="O947" t="s">
        <v>38749</v>
      </c>
    </row>
    <row r="948" spans="1:15" x14ac:dyDescent="0.15">
      <c r="A948">
        <v>30736860</v>
      </c>
      <c r="B948">
        <v>22074924</v>
      </c>
      <c r="E948">
        <v>12417727</v>
      </c>
      <c r="F948" t="s">
        <v>38750</v>
      </c>
      <c r="G948" t="s">
        <v>38751</v>
      </c>
      <c r="H948" t="s">
        <v>38752</v>
      </c>
      <c r="I948" t="s">
        <v>38753</v>
      </c>
      <c r="J948" t="s">
        <v>33347</v>
      </c>
      <c r="K948">
        <v>2002</v>
      </c>
      <c r="L948" s="1">
        <v>37566</v>
      </c>
      <c r="M948" t="s">
        <v>38754</v>
      </c>
      <c r="O948" t="s">
        <v>38755</v>
      </c>
    </row>
    <row r="949" spans="1:15" x14ac:dyDescent="0.15">
      <c r="A949">
        <v>23869968</v>
      </c>
      <c r="B949">
        <v>24379393</v>
      </c>
      <c r="E949">
        <v>19141608</v>
      </c>
      <c r="F949" t="s">
        <v>38756</v>
      </c>
      <c r="G949" t="s">
        <v>38757</v>
      </c>
      <c r="H949" t="s">
        <v>38758</v>
      </c>
      <c r="I949" t="s">
        <v>38759</v>
      </c>
      <c r="J949" t="s">
        <v>11924</v>
      </c>
      <c r="K949">
        <v>2009</v>
      </c>
      <c r="L949" s="1">
        <v>39828</v>
      </c>
      <c r="M949" t="s">
        <v>38760</v>
      </c>
      <c r="O949" t="s">
        <v>38761</v>
      </c>
    </row>
    <row r="950" spans="1:15" x14ac:dyDescent="0.15">
      <c r="A950">
        <v>28724791</v>
      </c>
      <c r="B950">
        <v>22348503</v>
      </c>
      <c r="E950">
        <v>8823304</v>
      </c>
      <c r="F950" t="s">
        <v>38762</v>
      </c>
      <c r="G950" t="s">
        <v>38763</v>
      </c>
      <c r="H950" t="s">
        <v>38764</v>
      </c>
      <c r="I950" t="s">
        <v>38765</v>
      </c>
      <c r="J950" t="s">
        <v>30566</v>
      </c>
      <c r="K950">
        <v>1996</v>
      </c>
      <c r="L950" s="1">
        <v>35323</v>
      </c>
      <c r="M950" t="s">
        <v>38766</v>
      </c>
      <c r="O950" t="s">
        <v>38767</v>
      </c>
    </row>
    <row r="951" spans="1:15" x14ac:dyDescent="0.15">
      <c r="A951">
        <v>27013199</v>
      </c>
      <c r="B951">
        <v>24873886</v>
      </c>
      <c r="E951">
        <v>11207362</v>
      </c>
      <c r="F951" t="s">
        <v>38772</v>
      </c>
      <c r="G951" t="s">
        <v>38773</v>
      </c>
      <c r="H951" t="s">
        <v>38774</v>
      </c>
      <c r="I951" t="s">
        <v>38775</v>
      </c>
      <c r="J951" t="s">
        <v>30555</v>
      </c>
      <c r="K951">
        <v>2001</v>
      </c>
      <c r="L951" s="1">
        <v>36946</v>
      </c>
      <c r="O951" t="s">
        <v>38776</v>
      </c>
    </row>
    <row r="952" spans="1:15" x14ac:dyDescent="0.15">
      <c r="A952">
        <v>28041903</v>
      </c>
      <c r="B952">
        <v>25856674</v>
      </c>
      <c r="E952">
        <v>21762677</v>
      </c>
      <c r="F952" t="s">
        <v>38777</v>
      </c>
      <c r="G952" t="s">
        <v>38778</v>
      </c>
      <c r="H952" t="s">
        <v>38779</v>
      </c>
      <c r="I952" t="s">
        <v>38780</v>
      </c>
      <c r="J952" t="s">
        <v>34553</v>
      </c>
      <c r="K952">
        <v>2011</v>
      </c>
      <c r="L952" s="1">
        <v>40743</v>
      </c>
      <c r="M952" t="s">
        <v>38781</v>
      </c>
      <c r="N952" t="s">
        <v>38782</v>
      </c>
      <c r="O952" t="s">
        <v>38783</v>
      </c>
    </row>
    <row r="953" spans="1:15" x14ac:dyDescent="0.15">
      <c r="A953">
        <v>29371474</v>
      </c>
      <c r="B953">
        <v>23315742</v>
      </c>
      <c r="E953">
        <v>10810147</v>
      </c>
      <c r="F953" t="s">
        <v>38784</v>
      </c>
      <c r="G953" t="s">
        <v>38785</v>
      </c>
      <c r="H953" t="s">
        <v>38786</v>
      </c>
      <c r="I953" t="s">
        <v>38787</v>
      </c>
      <c r="J953" t="s">
        <v>36485</v>
      </c>
      <c r="K953">
        <v>2000</v>
      </c>
      <c r="L953" s="1">
        <v>36662</v>
      </c>
      <c r="M953" t="s">
        <v>38788</v>
      </c>
      <c r="O953" t="s">
        <v>38789</v>
      </c>
    </row>
    <row r="954" spans="1:15" x14ac:dyDescent="0.15">
      <c r="A954">
        <v>17236849</v>
      </c>
      <c r="B954">
        <v>25339697</v>
      </c>
      <c r="E954">
        <v>20528772</v>
      </c>
      <c r="F954" t="s">
        <v>38796</v>
      </c>
      <c r="G954" t="s">
        <v>38797</v>
      </c>
      <c r="H954" t="s">
        <v>38798</v>
      </c>
      <c r="I954" t="s">
        <v>38799</v>
      </c>
      <c r="J954" t="s">
        <v>31059</v>
      </c>
      <c r="K954">
        <v>2010</v>
      </c>
      <c r="L954" s="1">
        <v>40339</v>
      </c>
      <c r="O954" t="s">
        <v>38800</v>
      </c>
    </row>
    <row r="955" spans="1:15" x14ac:dyDescent="0.15">
      <c r="A955">
        <v>20522248</v>
      </c>
      <c r="B955">
        <v>34791687</v>
      </c>
      <c r="E955">
        <v>24859313</v>
      </c>
      <c r="F955" t="s">
        <v>38801</v>
      </c>
      <c r="G955" t="s">
        <v>38802</v>
      </c>
      <c r="H955" t="s">
        <v>38803</v>
      </c>
      <c r="I955" t="s">
        <v>38804</v>
      </c>
      <c r="J955" t="s">
        <v>38805</v>
      </c>
      <c r="K955">
        <v>2014</v>
      </c>
      <c r="L955" s="1">
        <v>41786</v>
      </c>
      <c r="M955" t="s">
        <v>38806</v>
      </c>
      <c r="O955" t="s">
        <v>38807</v>
      </c>
    </row>
    <row r="956" spans="1:15" x14ac:dyDescent="0.15">
      <c r="A956">
        <v>22118870</v>
      </c>
      <c r="B956">
        <v>22505472</v>
      </c>
      <c r="E956">
        <v>17101774</v>
      </c>
      <c r="F956" t="s">
        <v>38830</v>
      </c>
      <c r="G956" t="s">
        <v>38831</v>
      </c>
      <c r="H956" t="s">
        <v>38832</v>
      </c>
      <c r="I956" t="s">
        <v>38833</v>
      </c>
      <c r="J956" t="s">
        <v>33347</v>
      </c>
      <c r="K956">
        <v>2007</v>
      </c>
      <c r="L956" s="1">
        <v>39036</v>
      </c>
      <c r="M956" t="s">
        <v>38834</v>
      </c>
      <c r="O956" t="s">
        <v>38835</v>
      </c>
    </row>
    <row r="957" spans="1:15" x14ac:dyDescent="0.15">
      <c r="A957">
        <v>31318195</v>
      </c>
      <c r="B957">
        <v>21282980</v>
      </c>
      <c r="E957">
        <v>29916023</v>
      </c>
      <c r="F957" t="s">
        <v>38836</v>
      </c>
      <c r="G957" t="s">
        <v>34748</v>
      </c>
      <c r="H957" t="s">
        <v>38837</v>
      </c>
      <c r="I957" t="s">
        <v>34750</v>
      </c>
      <c r="J957" t="s">
        <v>38838</v>
      </c>
      <c r="K957">
        <v>2018</v>
      </c>
      <c r="L957" s="1">
        <v>43271</v>
      </c>
      <c r="O957" t="s">
        <v>38839</v>
      </c>
    </row>
    <row r="958" spans="1:15" x14ac:dyDescent="0.15">
      <c r="A958">
        <v>30085333</v>
      </c>
      <c r="B958">
        <v>27557622</v>
      </c>
      <c r="E958">
        <v>22491717</v>
      </c>
      <c r="F958" t="s">
        <v>38840</v>
      </c>
      <c r="G958" t="s">
        <v>38841</v>
      </c>
      <c r="H958" t="s">
        <v>38842</v>
      </c>
      <c r="I958" t="s">
        <v>38843</v>
      </c>
      <c r="J958" t="s">
        <v>37322</v>
      </c>
      <c r="K958">
        <v>2012</v>
      </c>
      <c r="L958" s="1">
        <v>41011</v>
      </c>
      <c r="O958" t="s">
        <v>38844</v>
      </c>
    </row>
    <row r="959" spans="1:15" x14ac:dyDescent="0.15">
      <c r="A959">
        <v>19638500</v>
      </c>
      <c r="B959">
        <v>31285775</v>
      </c>
      <c r="E959">
        <v>25110305</v>
      </c>
      <c r="F959" t="s">
        <v>38845</v>
      </c>
      <c r="G959" t="s">
        <v>38846</v>
      </c>
      <c r="H959" t="s">
        <v>38847</v>
      </c>
      <c r="I959" t="s">
        <v>38848</v>
      </c>
      <c r="J959" t="s">
        <v>38849</v>
      </c>
      <c r="K959">
        <v>2014</v>
      </c>
      <c r="L959" s="1">
        <v>41863</v>
      </c>
      <c r="O959" t="s">
        <v>38850</v>
      </c>
    </row>
    <row r="960" spans="1:15" x14ac:dyDescent="0.15">
      <c r="A960">
        <v>16103147</v>
      </c>
      <c r="B960">
        <v>23922679</v>
      </c>
      <c r="E960">
        <v>16054883</v>
      </c>
      <c r="F960" t="s">
        <v>38851</v>
      </c>
      <c r="G960" t="s">
        <v>38852</v>
      </c>
      <c r="H960" t="s">
        <v>38853</v>
      </c>
      <c r="I960" t="s">
        <v>38854</v>
      </c>
      <c r="J960" t="s">
        <v>36781</v>
      </c>
      <c r="K960">
        <v>2005</v>
      </c>
      <c r="L960" s="1">
        <v>38566</v>
      </c>
      <c r="O960" t="s">
        <v>38855</v>
      </c>
    </row>
    <row r="961" spans="1:15" x14ac:dyDescent="0.15">
      <c r="A961">
        <v>26831114</v>
      </c>
      <c r="B961">
        <v>26047659</v>
      </c>
      <c r="E961">
        <v>17450151</v>
      </c>
      <c r="F961" t="s">
        <v>38856</v>
      </c>
      <c r="G961" t="s">
        <v>38857</v>
      </c>
      <c r="H961" t="s">
        <v>38858</v>
      </c>
      <c r="I961" t="s">
        <v>38859</v>
      </c>
      <c r="J961" t="s">
        <v>38145</v>
      </c>
      <c r="K961">
        <v>2007</v>
      </c>
      <c r="L961" s="1">
        <v>39196</v>
      </c>
      <c r="O961" t="s">
        <v>38860</v>
      </c>
    </row>
    <row r="962" spans="1:15" x14ac:dyDescent="0.15">
      <c r="A962">
        <v>24714637</v>
      </c>
      <c r="B962">
        <v>21289488</v>
      </c>
      <c r="E962">
        <v>11090220</v>
      </c>
      <c r="F962" t="s">
        <v>38861</v>
      </c>
      <c r="G962" t="s">
        <v>38862</v>
      </c>
      <c r="H962" t="s">
        <v>38863</v>
      </c>
      <c r="I962" t="s">
        <v>38864</v>
      </c>
      <c r="J962" t="s">
        <v>36485</v>
      </c>
      <c r="K962">
        <v>2000</v>
      </c>
      <c r="L962" s="1">
        <v>36853</v>
      </c>
      <c r="M962" t="s">
        <v>38865</v>
      </c>
      <c r="O962" t="s">
        <v>38866</v>
      </c>
    </row>
    <row r="963" spans="1:15" x14ac:dyDescent="0.15">
      <c r="A963">
        <v>24569769</v>
      </c>
      <c r="B963">
        <v>31551298</v>
      </c>
      <c r="E963">
        <v>29197005</v>
      </c>
      <c r="F963" t="s">
        <v>38867</v>
      </c>
      <c r="G963" t="s">
        <v>38868</v>
      </c>
      <c r="H963" t="s">
        <v>38869</v>
      </c>
      <c r="I963" t="s">
        <v>38870</v>
      </c>
      <c r="J963" t="s">
        <v>31003</v>
      </c>
      <c r="K963">
        <v>2018</v>
      </c>
      <c r="L963" s="1">
        <v>43072</v>
      </c>
      <c r="O963" t="s">
        <v>38871</v>
      </c>
    </row>
    <row r="964" spans="1:15" x14ac:dyDescent="0.15">
      <c r="A964">
        <v>30595972</v>
      </c>
      <c r="B964">
        <v>35688134</v>
      </c>
      <c r="E964">
        <v>8794864</v>
      </c>
      <c r="F964" t="s">
        <v>38877</v>
      </c>
      <c r="G964" t="s">
        <v>38878</v>
      </c>
      <c r="H964" t="s">
        <v>38879</v>
      </c>
      <c r="I964" t="s">
        <v>38880</v>
      </c>
      <c r="J964" t="s">
        <v>30828</v>
      </c>
      <c r="K964">
        <v>1996</v>
      </c>
      <c r="L964" s="1">
        <v>35309</v>
      </c>
      <c r="M964" t="s">
        <v>38881</v>
      </c>
      <c r="O964" t="s">
        <v>38882</v>
      </c>
    </row>
    <row r="965" spans="1:15" x14ac:dyDescent="0.15">
      <c r="A965">
        <v>30008386</v>
      </c>
      <c r="B965">
        <v>31150422</v>
      </c>
      <c r="E965">
        <v>34089229</v>
      </c>
      <c r="F965" t="s">
        <v>38883</v>
      </c>
      <c r="G965" t="s">
        <v>38884</v>
      </c>
      <c r="H965" t="s">
        <v>38885</v>
      </c>
      <c r="I965" t="s">
        <v>38886</v>
      </c>
      <c r="J965" t="s">
        <v>38887</v>
      </c>
      <c r="K965">
        <v>2021</v>
      </c>
      <c r="L965" s="1">
        <v>44352</v>
      </c>
      <c r="M965" t="s">
        <v>38888</v>
      </c>
      <c r="N965" t="s">
        <v>38889</v>
      </c>
      <c r="O965" t="s">
        <v>38890</v>
      </c>
    </row>
    <row r="966" spans="1:15" x14ac:dyDescent="0.15">
      <c r="A966">
        <v>27381477</v>
      </c>
      <c r="B966">
        <v>23284625</v>
      </c>
      <c r="E966">
        <v>19996457</v>
      </c>
      <c r="F966" t="s">
        <v>38891</v>
      </c>
      <c r="G966" t="s">
        <v>38892</v>
      </c>
      <c r="H966" t="s">
        <v>38893</v>
      </c>
      <c r="I966" t="s">
        <v>38894</v>
      </c>
      <c r="J966" t="s">
        <v>33555</v>
      </c>
      <c r="K966">
        <v>2009</v>
      </c>
      <c r="L966" s="1">
        <v>40157</v>
      </c>
      <c r="O966" t="s">
        <v>38895</v>
      </c>
    </row>
    <row r="967" spans="1:15" x14ac:dyDescent="0.15">
      <c r="A967">
        <v>14651978</v>
      </c>
      <c r="B967">
        <v>27863241</v>
      </c>
      <c r="E967">
        <v>24145019</v>
      </c>
      <c r="F967" t="s">
        <v>38896</v>
      </c>
      <c r="G967" t="s">
        <v>38897</v>
      </c>
      <c r="H967" t="s">
        <v>38898</v>
      </c>
      <c r="I967" t="s">
        <v>38899</v>
      </c>
      <c r="J967" t="s">
        <v>33549</v>
      </c>
      <c r="K967">
        <v>2013</v>
      </c>
      <c r="L967" s="1">
        <v>41570</v>
      </c>
      <c r="M967" t="s">
        <v>38900</v>
      </c>
      <c r="N967" t="s">
        <v>38901</v>
      </c>
      <c r="O967" t="s">
        <v>38902</v>
      </c>
    </row>
    <row r="968" spans="1:15" x14ac:dyDescent="0.15">
      <c r="A968">
        <v>32342086</v>
      </c>
      <c r="B968">
        <v>22786771</v>
      </c>
      <c r="E968">
        <v>28502611</v>
      </c>
      <c r="F968" t="s">
        <v>38907</v>
      </c>
      <c r="G968" t="s">
        <v>38908</v>
      </c>
      <c r="H968" t="s">
        <v>38909</v>
      </c>
      <c r="I968" t="s">
        <v>38910</v>
      </c>
      <c r="J968" t="s">
        <v>33740</v>
      </c>
      <c r="K968">
        <v>2017</v>
      </c>
      <c r="L968" s="1">
        <v>42871</v>
      </c>
      <c r="M968" t="s">
        <v>38911</v>
      </c>
      <c r="N968" t="s">
        <v>38912</v>
      </c>
      <c r="O968" t="s">
        <v>38913</v>
      </c>
    </row>
    <row r="969" spans="1:15" x14ac:dyDescent="0.15">
      <c r="A969">
        <v>28408343</v>
      </c>
      <c r="B969">
        <v>22235295</v>
      </c>
      <c r="E969">
        <v>24871369</v>
      </c>
      <c r="F969" t="s">
        <v>38914</v>
      </c>
      <c r="G969" t="s">
        <v>38915</v>
      </c>
      <c r="H969" t="s">
        <v>38916</v>
      </c>
      <c r="I969" t="s">
        <v>38917</v>
      </c>
      <c r="J969" t="s">
        <v>32509</v>
      </c>
      <c r="K969">
        <v>2014</v>
      </c>
      <c r="L969" s="1">
        <v>41789</v>
      </c>
      <c r="M969" t="s">
        <v>38918</v>
      </c>
      <c r="O969" t="s">
        <v>38919</v>
      </c>
    </row>
    <row r="970" spans="1:15" x14ac:dyDescent="0.15">
      <c r="A970">
        <v>1387665</v>
      </c>
      <c r="B970">
        <v>24773308</v>
      </c>
      <c r="E970">
        <v>17708745</v>
      </c>
      <c r="F970" t="s">
        <v>38923</v>
      </c>
      <c r="G970" t="s">
        <v>38924</v>
      </c>
      <c r="H970" t="s">
        <v>38925</v>
      </c>
      <c r="I970" t="s">
        <v>38926</v>
      </c>
      <c r="J970" t="s">
        <v>31059</v>
      </c>
      <c r="K970">
        <v>2007</v>
      </c>
      <c r="L970" s="1">
        <v>39316</v>
      </c>
      <c r="M970" t="s">
        <v>38927</v>
      </c>
      <c r="O970" t="s">
        <v>38928</v>
      </c>
    </row>
    <row r="971" spans="1:15" x14ac:dyDescent="0.15">
      <c r="A971">
        <v>30698587</v>
      </c>
      <c r="B971">
        <v>26289026</v>
      </c>
      <c r="E971">
        <v>11696331</v>
      </c>
      <c r="F971" t="s">
        <v>38929</v>
      </c>
      <c r="G971" t="s">
        <v>38930</v>
      </c>
      <c r="H971" t="s">
        <v>38931</v>
      </c>
      <c r="I971" t="s">
        <v>38932</v>
      </c>
      <c r="J971" t="s">
        <v>30580</v>
      </c>
      <c r="K971">
        <v>2001</v>
      </c>
      <c r="L971" s="1">
        <v>37202</v>
      </c>
      <c r="O971" t="s">
        <v>38933</v>
      </c>
    </row>
    <row r="972" spans="1:15" x14ac:dyDescent="0.15">
      <c r="A972">
        <v>25077560</v>
      </c>
      <c r="B972">
        <v>21866298</v>
      </c>
      <c r="E972">
        <v>6841453</v>
      </c>
      <c r="F972" t="s">
        <v>38938</v>
      </c>
      <c r="G972" t="s">
        <v>38939</v>
      </c>
      <c r="H972" t="s">
        <v>38940</v>
      </c>
      <c r="I972" t="s">
        <v>38941</v>
      </c>
      <c r="J972" t="s">
        <v>30828</v>
      </c>
      <c r="K972">
        <v>1983</v>
      </c>
      <c r="L972" s="1">
        <v>30437</v>
      </c>
      <c r="M972" t="s">
        <v>38942</v>
      </c>
      <c r="O972" t="s">
        <v>38943</v>
      </c>
    </row>
    <row r="973" spans="1:15" x14ac:dyDescent="0.15">
      <c r="A973">
        <v>27180609</v>
      </c>
      <c r="B973">
        <v>23072732</v>
      </c>
      <c r="E973">
        <v>33819778</v>
      </c>
      <c r="F973" t="s">
        <v>38944</v>
      </c>
      <c r="G973" t="s">
        <v>38945</v>
      </c>
      <c r="H973" t="s">
        <v>38946</v>
      </c>
      <c r="I973" t="s">
        <v>38947</v>
      </c>
      <c r="J973" t="s">
        <v>38948</v>
      </c>
      <c r="K973">
        <v>2021</v>
      </c>
      <c r="L973" s="1">
        <v>44291</v>
      </c>
      <c r="O973" t="s">
        <v>38949</v>
      </c>
    </row>
    <row r="974" spans="1:15" x14ac:dyDescent="0.15">
      <c r="A974">
        <v>19532123</v>
      </c>
      <c r="B974">
        <v>19832990</v>
      </c>
      <c r="E974">
        <v>25925570</v>
      </c>
      <c r="F974" t="s">
        <v>38950</v>
      </c>
      <c r="G974" t="s">
        <v>38951</v>
      </c>
      <c r="H974" t="s">
        <v>38952</v>
      </c>
      <c r="I974" t="s">
        <v>38953</v>
      </c>
      <c r="J974" t="s">
        <v>31587</v>
      </c>
      <c r="K974">
        <v>2015</v>
      </c>
      <c r="L974" s="1">
        <v>42125</v>
      </c>
      <c r="M974" t="s">
        <v>38954</v>
      </c>
      <c r="O974" t="s">
        <v>38955</v>
      </c>
    </row>
    <row r="975" spans="1:15" x14ac:dyDescent="0.15">
      <c r="A975">
        <v>31091653</v>
      </c>
      <c r="B975">
        <v>20829609</v>
      </c>
      <c r="E975">
        <v>23302111</v>
      </c>
      <c r="F975" t="s">
        <v>38956</v>
      </c>
      <c r="G975" t="s">
        <v>38957</v>
      </c>
      <c r="H975" t="s">
        <v>38958</v>
      </c>
      <c r="I975" t="s">
        <v>38051</v>
      </c>
      <c r="J975" t="s">
        <v>38959</v>
      </c>
      <c r="K975">
        <v>2013</v>
      </c>
      <c r="L975" s="1">
        <v>41285</v>
      </c>
      <c r="M975" t="s">
        <v>38960</v>
      </c>
      <c r="O975" t="s">
        <v>38961</v>
      </c>
    </row>
    <row r="976" spans="1:15" x14ac:dyDescent="0.15">
      <c r="A976">
        <v>30339193</v>
      </c>
      <c r="B976">
        <v>27076633</v>
      </c>
      <c r="E976">
        <v>25089631</v>
      </c>
      <c r="F976" t="s">
        <v>38967</v>
      </c>
      <c r="G976" t="s">
        <v>38968</v>
      </c>
      <c r="H976" t="s">
        <v>38969</v>
      </c>
      <c r="I976" t="s">
        <v>38970</v>
      </c>
      <c r="J976" t="s">
        <v>34026</v>
      </c>
      <c r="K976">
        <v>2014</v>
      </c>
      <c r="L976" s="1">
        <v>41856</v>
      </c>
      <c r="M976" t="s">
        <v>38971</v>
      </c>
      <c r="O976" t="s">
        <v>38972</v>
      </c>
    </row>
    <row r="977" spans="1:15" x14ac:dyDescent="0.15">
      <c r="A977">
        <v>31235776</v>
      </c>
      <c r="B977">
        <v>22624035</v>
      </c>
      <c r="E977">
        <v>31871254</v>
      </c>
      <c r="F977" t="s">
        <v>38978</v>
      </c>
      <c r="G977" t="s">
        <v>38979</v>
      </c>
      <c r="H977" t="s">
        <v>38980</v>
      </c>
      <c r="I977" t="s">
        <v>38981</v>
      </c>
      <c r="J977" t="s">
        <v>32570</v>
      </c>
      <c r="K977">
        <v>2020</v>
      </c>
      <c r="L977" s="1">
        <v>43824</v>
      </c>
      <c r="M977" t="s">
        <v>38982</v>
      </c>
      <c r="O977" t="s">
        <v>38983</v>
      </c>
    </row>
    <row r="978" spans="1:15" x14ac:dyDescent="0.15">
      <c r="A978">
        <v>31281309</v>
      </c>
      <c r="B978">
        <v>23358822</v>
      </c>
      <c r="E978">
        <v>17124606</v>
      </c>
      <c r="F978" t="s">
        <v>38984</v>
      </c>
      <c r="G978" t="s">
        <v>38985</v>
      </c>
      <c r="H978" t="s">
        <v>38986</v>
      </c>
      <c r="I978" t="s">
        <v>38987</v>
      </c>
      <c r="J978" t="s">
        <v>38988</v>
      </c>
      <c r="K978">
        <v>2007</v>
      </c>
      <c r="L978" s="1">
        <v>39046</v>
      </c>
      <c r="M978" t="s">
        <v>38989</v>
      </c>
      <c r="O978" t="s">
        <v>38990</v>
      </c>
    </row>
    <row r="979" spans="1:15" x14ac:dyDescent="0.15">
      <c r="A979">
        <v>23356325</v>
      </c>
      <c r="B979">
        <v>24218614</v>
      </c>
      <c r="E979">
        <v>9041195</v>
      </c>
      <c r="F979" t="s">
        <v>38991</v>
      </c>
      <c r="G979" t="s">
        <v>38992</v>
      </c>
      <c r="H979" t="s">
        <v>38993</v>
      </c>
      <c r="I979" t="s">
        <v>38994</v>
      </c>
      <c r="J979" t="s">
        <v>31167</v>
      </c>
      <c r="K979">
        <v>1997</v>
      </c>
      <c r="L979" s="1">
        <v>35490</v>
      </c>
    </row>
    <row r="980" spans="1:15" x14ac:dyDescent="0.15">
      <c r="A980">
        <v>21638509</v>
      </c>
      <c r="B980">
        <v>35688157</v>
      </c>
      <c r="E980">
        <v>26337667</v>
      </c>
      <c r="F980" t="s">
        <v>38995</v>
      </c>
      <c r="G980" t="s">
        <v>38996</v>
      </c>
      <c r="H980" t="s">
        <v>38997</v>
      </c>
      <c r="I980" t="s">
        <v>38998</v>
      </c>
      <c r="J980" t="s">
        <v>38999</v>
      </c>
      <c r="K980">
        <v>2015</v>
      </c>
      <c r="L980" s="1">
        <v>42252</v>
      </c>
      <c r="O980" t="s">
        <v>39000</v>
      </c>
    </row>
    <row r="981" spans="1:15" x14ac:dyDescent="0.15">
      <c r="A981">
        <v>29555694</v>
      </c>
      <c r="B981">
        <v>23182441</v>
      </c>
      <c r="E981">
        <v>21616097</v>
      </c>
      <c r="F981" t="s">
        <v>39001</v>
      </c>
      <c r="G981" t="s">
        <v>39002</v>
      </c>
      <c r="H981" t="s">
        <v>39003</v>
      </c>
      <c r="I981" t="s">
        <v>39004</v>
      </c>
      <c r="J981" t="s">
        <v>34553</v>
      </c>
      <c r="K981">
        <v>2011</v>
      </c>
      <c r="L981" s="1">
        <v>40691</v>
      </c>
      <c r="O981" t="s">
        <v>39005</v>
      </c>
    </row>
    <row r="982" spans="1:15" x14ac:dyDescent="0.15">
      <c r="A982">
        <v>32228703</v>
      </c>
      <c r="B982">
        <v>23238453</v>
      </c>
      <c r="E982">
        <v>17595520</v>
      </c>
      <c r="F982" t="s">
        <v>39006</v>
      </c>
      <c r="G982" t="s">
        <v>39007</v>
      </c>
      <c r="H982" t="s">
        <v>39008</v>
      </c>
      <c r="I982" t="s">
        <v>39009</v>
      </c>
      <c r="J982" t="s">
        <v>39010</v>
      </c>
      <c r="K982">
        <v>2007</v>
      </c>
      <c r="L982" s="1">
        <v>39261</v>
      </c>
      <c r="O982" t="s">
        <v>39011</v>
      </c>
    </row>
    <row r="983" spans="1:15" x14ac:dyDescent="0.15">
      <c r="A983">
        <v>31057302</v>
      </c>
      <c r="B983">
        <v>19024647</v>
      </c>
      <c r="E983">
        <v>23284067</v>
      </c>
      <c r="F983" t="s">
        <v>39012</v>
      </c>
      <c r="G983" t="s">
        <v>39013</v>
      </c>
      <c r="H983" t="s">
        <v>39014</v>
      </c>
      <c r="I983" t="s">
        <v>39015</v>
      </c>
      <c r="J983" t="s">
        <v>39016</v>
      </c>
      <c r="K983">
        <v>2013</v>
      </c>
      <c r="L983" s="1">
        <v>41278</v>
      </c>
      <c r="M983" t="s">
        <v>39017</v>
      </c>
      <c r="O983" t="s">
        <v>39018</v>
      </c>
    </row>
    <row r="984" spans="1:15" x14ac:dyDescent="0.15">
      <c r="A984">
        <v>29478751</v>
      </c>
      <c r="B984">
        <v>31926290</v>
      </c>
      <c r="E984">
        <v>17492310</v>
      </c>
      <c r="F984" t="s">
        <v>39019</v>
      </c>
      <c r="G984" t="s">
        <v>39020</v>
      </c>
      <c r="H984" t="s">
        <v>39021</v>
      </c>
      <c r="I984" t="s">
        <v>39022</v>
      </c>
      <c r="J984" t="s">
        <v>39023</v>
      </c>
      <c r="K984">
        <v>2007</v>
      </c>
      <c r="L984" s="1">
        <v>39214</v>
      </c>
      <c r="O984" t="s">
        <v>39024</v>
      </c>
    </row>
    <row r="985" spans="1:15" x14ac:dyDescent="0.15">
      <c r="A985">
        <v>30858545</v>
      </c>
      <c r="B985">
        <v>30760538</v>
      </c>
      <c r="E985">
        <v>7753798</v>
      </c>
      <c r="F985" t="s">
        <v>39030</v>
      </c>
      <c r="G985" t="s">
        <v>39031</v>
      </c>
      <c r="H985" t="s">
        <v>39032</v>
      </c>
      <c r="I985" t="s">
        <v>39033</v>
      </c>
      <c r="J985" t="s">
        <v>30767</v>
      </c>
      <c r="K985">
        <v>1995</v>
      </c>
      <c r="L985" s="1">
        <v>34828</v>
      </c>
      <c r="M985" t="s">
        <v>39034</v>
      </c>
      <c r="O985" t="s">
        <v>39035</v>
      </c>
    </row>
    <row r="986" spans="1:15" x14ac:dyDescent="0.15">
      <c r="A986">
        <v>31436946</v>
      </c>
      <c r="B986">
        <v>33670563</v>
      </c>
      <c r="E986">
        <v>12414805</v>
      </c>
      <c r="F986" t="s">
        <v>39036</v>
      </c>
      <c r="G986" t="s">
        <v>39037</v>
      </c>
      <c r="H986" t="s">
        <v>39038</v>
      </c>
      <c r="I986" t="s">
        <v>37197</v>
      </c>
      <c r="J986" t="s">
        <v>31594</v>
      </c>
      <c r="K986">
        <v>2003</v>
      </c>
      <c r="L986" s="1">
        <v>37565</v>
      </c>
      <c r="O986" t="s">
        <v>39039</v>
      </c>
    </row>
    <row r="987" spans="1:15" x14ac:dyDescent="0.15">
      <c r="A987">
        <v>25301203</v>
      </c>
      <c r="B987">
        <v>32457507</v>
      </c>
      <c r="E987">
        <v>20634320</v>
      </c>
      <c r="F987" t="s">
        <v>39040</v>
      </c>
      <c r="G987" t="s">
        <v>39041</v>
      </c>
      <c r="H987" t="s">
        <v>39042</v>
      </c>
      <c r="I987" t="s">
        <v>39043</v>
      </c>
      <c r="J987" t="s">
        <v>31824</v>
      </c>
      <c r="K987">
        <v>2010</v>
      </c>
      <c r="L987" s="1">
        <v>40376</v>
      </c>
      <c r="M987" t="s">
        <v>39044</v>
      </c>
      <c r="O987" t="s">
        <v>39045</v>
      </c>
    </row>
    <row r="988" spans="1:15" x14ac:dyDescent="0.15">
      <c r="A988">
        <v>33785738</v>
      </c>
      <c r="B988">
        <v>28410618</v>
      </c>
      <c r="E988">
        <v>34145038</v>
      </c>
      <c r="F988" t="s">
        <v>39046</v>
      </c>
      <c r="G988" t="s">
        <v>39047</v>
      </c>
      <c r="H988" t="s">
        <v>39048</v>
      </c>
      <c r="I988" t="s">
        <v>39049</v>
      </c>
      <c r="J988" t="s">
        <v>31167</v>
      </c>
      <c r="K988">
        <v>2021</v>
      </c>
      <c r="L988" s="1">
        <v>44366</v>
      </c>
      <c r="M988" t="s">
        <v>39050</v>
      </c>
      <c r="N988" t="s">
        <v>39051</v>
      </c>
      <c r="O988" t="s">
        <v>39052</v>
      </c>
    </row>
    <row r="989" spans="1:15" x14ac:dyDescent="0.15">
      <c r="A989">
        <v>30604797</v>
      </c>
      <c r="B989">
        <v>33101266</v>
      </c>
      <c r="E989">
        <v>20329788</v>
      </c>
      <c r="F989" t="s">
        <v>39053</v>
      </c>
      <c r="G989" t="s">
        <v>39054</v>
      </c>
      <c r="H989" t="s">
        <v>39055</v>
      </c>
      <c r="I989" t="s">
        <v>39056</v>
      </c>
      <c r="J989" t="s">
        <v>36029</v>
      </c>
      <c r="K989">
        <v>2010</v>
      </c>
      <c r="L989" s="1">
        <v>40262</v>
      </c>
      <c r="O989" t="s">
        <v>39057</v>
      </c>
    </row>
    <row r="990" spans="1:15" x14ac:dyDescent="0.15">
      <c r="A990">
        <v>23300576</v>
      </c>
      <c r="B990">
        <v>22174383</v>
      </c>
      <c r="E990">
        <v>16857350</v>
      </c>
      <c r="F990" t="s">
        <v>39058</v>
      </c>
      <c r="G990" t="s">
        <v>39059</v>
      </c>
      <c r="H990" t="s">
        <v>39060</v>
      </c>
      <c r="I990" t="s">
        <v>39061</v>
      </c>
      <c r="J990" t="s">
        <v>34553</v>
      </c>
      <c r="K990">
        <v>2006</v>
      </c>
      <c r="L990" s="1">
        <v>38920</v>
      </c>
      <c r="O990" t="s">
        <v>39062</v>
      </c>
    </row>
    <row r="991" spans="1:15" x14ac:dyDescent="0.15">
      <c r="A991">
        <v>30578260</v>
      </c>
      <c r="B991">
        <v>26409934</v>
      </c>
      <c r="E991">
        <v>15121901</v>
      </c>
      <c r="F991" t="s">
        <v>39063</v>
      </c>
      <c r="G991" t="s">
        <v>39064</v>
      </c>
      <c r="H991" t="s">
        <v>39065</v>
      </c>
      <c r="I991" t="s">
        <v>39066</v>
      </c>
      <c r="J991" t="s">
        <v>31587</v>
      </c>
      <c r="K991">
        <v>2004</v>
      </c>
      <c r="L991" s="1">
        <v>38111</v>
      </c>
      <c r="M991" t="s">
        <v>39067</v>
      </c>
      <c r="O991" t="s">
        <v>39068</v>
      </c>
    </row>
    <row r="992" spans="1:15" x14ac:dyDescent="0.15">
      <c r="A992">
        <v>23590857</v>
      </c>
      <c r="B992">
        <v>33232189</v>
      </c>
      <c r="E992">
        <v>22653377</v>
      </c>
      <c r="F992" t="s">
        <v>39069</v>
      </c>
      <c r="G992" t="s">
        <v>39070</v>
      </c>
      <c r="H992" t="s">
        <v>39071</v>
      </c>
      <c r="I992" t="s">
        <v>39072</v>
      </c>
      <c r="J992" t="s">
        <v>39073</v>
      </c>
      <c r="K992">
        <v>2012</v>
      </c>
      <c r="L992" s="1">
        <v>41062</v>
      </c>
      <c r="O992" t="s">
        <v>39074</v>
      </c>
    </row>
    <row r="993" spans="1:15" x14ac:dyDescent="0.15">
      <c r="A993">
        <v>27441821</v>
      </c>
      <c r="B993">
        <v>25760330</v>
      </c>
      <c r="E993">
        <v>25156738</v>
      </c>
      <c r="F993" t="s">
        <v>39079</v>
      </c>
      <c r="G993" t="s">
        <v>39080</v>
      </c>
      <c r="H993" t="s">
        <v>39081</v>
      </c>
      <c r="I993" t="s">
        <v>39082</v>
      </c>
      <c r="J993" t="s">
        <v>33746</v>
      </c>
      <c r="K993">
        <v>2014</v>
      </c>
      <c r="L993" s="1">
        <v>41878</v>
      </c>
      <c r="M993" t="s">
        <v>39083</v>
      </c>
      <c r="O993" t="s">
        <v>39084</v>
      </c>
    </row>
    <row r="994" spans="1:15" x14ac:dyDescent="0.15">
      <c r="A994">
        <v>15829504</v>
      </c>
      <c r="B994">
        <v>29567396</v>
      </c>
      <c r="E994">
        <v>9756864</v>
      </c>
      <c r="F994" t="s">
        <v>39092</v>
      </c>
      <c r="G994" t="s">
        <v>39093</v>
      </c>
      <c r="H994" t="s">
        <v>39094</v>
      </c>
      <c r="I994" t="s">
        <v>39095</v>
      </c>
      <c r="J994" t="s">
        <v>31594</v>
      </c>
      <c r="K994">
        <v>1998</v>
      </c>
      <c r="L994" s="1">
        <v>36071</v>
      </c>
      <c r="O994" t="s">
        <v>39096</v>
      </c>
    </row>
    <row r="995" spans="1:15" x14ac:dyDescent="0.15">
      <c r="A995">
        <v>28117819</v>
      </c>
      <c r="B995">
        <v>23576546</v>
      </c>
      <c r="E995">
        <v>15778452</v>
      </c>
      <c r="F995" t="s">
        <v>39100</v>
      </c>
      <c r="G995" t="s">
        <v>39101</v>
      </c>
      <c r="H995" t="s">
        <v>39102</v>
      </c>
      <c r="I995" t="s">
        <v>39103</v>
      </c>
      <c r="J995" t="s">
        <v>39104</v>
      </c>
      <c r="K995">
        <v>2005</v>
      </c>
      <c r="L995" s="1">
        <v>38433</v>
      </c>
      <c r="O995" t="s">
        <v>39105</v>
      </c>
    </row>
    <row r="996" spans="1:15" x14ac:dyDescent="0.15">
      <c r="A996">
        <v>30206166</v>
      </c>
      <c r="B996">
        <v>31704541</v>
      </c>
      <c r="E996">
        <v>7945469</v>
      </c>
      <c r="F996" t="s">
        <v>39106</v>
      </c>
      <c r="G996" t="s">
        <v>39107</v>
      </c>
      <c r="H996" t="s">
        <v>39108</v>
      </c>
      <c r="I996" t="s">
        <v>36221</v>
      </c>
      <c r="J996" t="s">
        <v>33478</v>
      </c>
      <c r="K996">
        <v>1994</v>
      </c>
      <c r="L996" s="1">
        <v>34608</v>
      </c>
      <c r="O996" t="s">
        <v>39109</v>
      </c>
    </row>
    <row r="997" spans="1:15" x14ac:dyDescent="0.15">
      <c r="A997">
        <v>29715009</v>
      </c>
      <c r="B997">
        <v>31143191</v>
      </c>
      <c r="E997">
        <v>32264958</v>
      </c>
      <c r="F997" t="s">
        <v>39110</v>
      </c>
      <c r="G997" t="s">
        <v>39111</v>
      </c>
      <c r="H997" t="s">
        <v>39112</v>
      </c>
      <c r="I997" t="s">
        <v>39113</v>
      </c>
      <c r="J997" t="s">
        <v>31438</v>
      </c>
      <c r="K997">
        <v>2020</v>
      </c>
      <c r="L997" s="1">
        <v>43930</v>
      </c>
      <c r="M997" t="s">
        <v>39114</v>
      </c>
      <c r="O997" t="s">
        <v>39115</v>
      </c>
    </row>
    <row r="998" spans="1:15" x14ac:dyDescent="0.15">
      <c r="A998">
        <v>28946780</v>
      </c>
      <c r="B998">
        <v>31768989</v>
      </c>
      <c r="E998">
        <v>14645565</v>
      </c>
      <c r="F998" t="s">
        <v>39116</v>
      </c>
      <c r="G998" t="s">
        <v>39117</v>
      </c>
      <c r="H998" t="s">
        <v>39118</v>
      </c>
      <c r="I998" t="s">
        <v>39119</v>
      </c>
      <c r="J998" t="s">
        <v>31970</v>
      </c>
      <c r="K998">
        <v>2003</v>
      </c>
      <c r="L998" s="1">
        <v>37959</v>
      </c>
      <c r="M998" t="s">
        <v>39120</v>
      </c>
      <c r="O998" t="s">
        <v>39121</v>
      </c>
    </row>
    <row r="999" spans="1:15" x14ac:dyDescent="0.15">
      <c r="A999">
        <v>30139385</v>
      </c>
      <c r="B999">
        <v>19029311</v>
      </c>
      <c r="E999">
        <v>21729877</v>
      </c>
      <c r="F999" t="s">
        <v>39128</v>
      </c>
      <c r="G999" t="s">
        <v>39129</v>
      </c>
      <c r="H999" t="s">
        <v>39130</v>
      </c>
      <c r="I999" t="s">
        <v>39131</v>
      </c>
      <c r="J999" t="s">
        <v>39132</v>
      </c>
      <c r="K999">
        <v>2011</v>
      </c>
      <c r="L999" s="1">
        <v>40731</v>
      </c>
      <c r="M999" t="s">
        <v>39133</v>
      </c>
      <c r="O999" t="s">
        <v>39134</v>
      </c>
    </row>
    <row r="1000" spans="1:15" x14ac:dyDescent="0.15">
      <c r="A1000">
        <v>24108542</v>
      </c>
      <c r="B1000">
        <v>35349793</v>
      </c>
      <c r="E1000">
        <v>29422501</v>
      </c>
      <c r="F1000" t="s">
        <v>39135</v>
      </c>
      <c r="G1000" t="s">
        <v>39136</v>
      </c>
      <c r="H1000" t="s">
        <v>39137</v>
      </c>
      <c r="I1000" t="s">
        <v>39138</v>
      </c>
      <c r="J1000" t="s">
        <v>30796</v>
      </c>
      <c r="K1000">
        <v>2018</v>
      </c>
      <c r="L1000" s="1">
        <v>43141</v>
      </c>
      <c r="M1000" t="s">
        <v>39139</v>
      </c>
      <c r="O1000" t="s">
        <v>39140</v>
      </c>
    </row>
    <row r="1001" spans="1:15" x14ac:dyDescent="0.15">
      <c r="A1001">
        <v>9326278</v>
      </c>
      <c r="B1001">
        <v>34288927</v>
      </c>
      <c r="E1001">
        <v>32934881</v>
      </c>
      <c r="F1001" t="s">
        <v>39153</v>
      </c>
      <c r="G1001" t="s">
        <v>39154</v>
      </c>
      <c r="H1001" t="s">
        <v>39155</v>
      </c>
      <c r="I1001" t="s">
        <v>39156</v>
      </c>
      <c r="J1001" t="s">
        <v>39157</v>
      </c>
      <c r="K1001">
        <v>2020</v>
      </c>
      <c r="L1001" s="1">
        <v>44090</v>
      </c>
      <c r="M1001" t="s">
        <v>39158</v>
      </c>
      <c r="O1001" t="s">
        <v>39159</v>
      </c>
    </row>
    <row r="1002" spans="1:15" x14ac:dyDescent="0.15">
      <c r="A1002">
        <v>28979244</v>
      </c>
      <c r="B1002">
        <v>30499000</v>
      </c>
      <c r="E1002">
        <v>27334229</v>
      </c>
      <c r="F1002" t="s">
        <v>39160</v>
      </c>
      <c r="G1002" t="s">
        <v>39161</v>
      </c>
      <c r="H1002" t="s">
        <v>39162</v>
      </c>
      <c r="I1002" t="s">
        <v>39163</v>
      </c>
      <c r="J1002" t="s">
        <v>34676</v>
      </c>
      <c r="K1002">
        <v>2017</v>
      </c>
      <c r="L1002" s="1">
        <v>42545</v>
      </c>
      <c r="O1002" t="s">
        <v>39164</v>
      </c>
    </row>
    <row r="1003" spans="1:15" x14ac:dyDescent="0.15">
      <c r="A1003">
        <v>28396668</v>
      </c>
      <c r="B1003">
        <v>27882925</v>
      </c>
      <c r="E1003">
        <v>33963060</v>
      </c>
      <c r="F1003" t="s">
        <v>39165</v>
      </c>
      <c r="G1003" t="s">
        <v>39166</v>
      </c>
      <c r="H1003" t="s">
        <v>39167</v>
      </c>
      <c r="I1003" t="s">
        <v>39168</v>
      </c>
      <c r="J1003" t="s">
        <v>37839</v>
      </c>
      <c r="K1003">
        <v>2021</v>
      </c>
      <c r="L1003" s="1">
        <v>44324</v>
      </c>
      <c r="O1003" t="s">
        <v>39169</v>
      </c>
    </row>
    <row r="1004" spans="1:15" x14ac:dyDescent="0.15">
      <c r="A1004">
        <v>30011179</v>
      </c>
      <c r="B1004">
        <v>32444558</v>
      </c>
      <c r="E1004">
        <v>31722198</v>
      </c>
      <c r="F1004" t="s">
        <v>39170</v>
      </c>
      <c r="G1004" t="s">
        <v>39171</v>
      </c>
      <c r="H1004" t="s">
        <v>39172</v>
      </c>
      <c r="I1004" t="s">
        <v>33297</v>
      </c>
      <c r="J1004" t="s">
        <v>31376</v>
      </c>
      <c r="K1004">
        <v>2019</v>
      </c>
      <c r="L1004" s="1">
        <v>43783</v>
      </c>
      <c r="M1004" t="s">
        <v>39173</v>
      </c>
      <c r="O1004" t="s">
        <v>39174</v>
      </c>
    </row>
    <row r="1005" spans="1:15" x14ac:dyDescent="0.15">
      <c r="A1005">
        <v>28920705</v>
      </c>
      <c r="B1005">
        <v>28844893</v>
      </c>
      <c r="E1005">
        <v>30230473</v>
      </c>
      <c r="F1005" t="s">
        <v>39175</v>
      </c>
      <c r="G1005" t="s">
        <v>39176</v>
      </c>
      <c r="H1005" t="s">
        <v>39177</v>
      </c>
      <c r="I1005" t="s">
        <v>39178</v>
      </c>
      <c r="J1005" t="s">
        <v>36402</v>
      </c>
      <c r="K1005">
        <v>2018</v>
      </c>
      <c r="L1005" s="1">
        <v>43363</v>
      </c>
      <c r="M1005" t="s">
        <v>39179</v>
      </c>
      <c r="O1005" t="s">
        <v>39180</v>
      </c>
    </row>
    <row r="1006" spans="1:15" x14ac:dyDescent="0.15">
      <c r="A1006">
        <v>34418352</v>
      </c>
      <c r="B1006">
        <v>20028739</v>
      </c>
      <c r="E1006">
        <v>23499741</v>
      </c>
      <c r="F1006" t="s">
        <v>39181</v>
      </c>
      <c r="G1006" t="s">
        <v>39182</v>
      </c>
      <c r="H1006" t="s">
        <v>39183</v>
      </c>
      <c r="I1006" t="s">
        <v>39184</v>
      </c>
      <c r="J1006" t="s">
        <v>32127</v>
      </c>
      <c r="K1006">
        <v>2013</v>
      </c>
      <c r="L1006" s="1">
        <v>41352</v>
      </c>
      <c r="M1006" t="s">
        <v>39185</v>
      </c>
      <c r="N1006" t="s">
        <v>39186</v>
      </c>
      <c r="O1006" t="s">
        <v>39187</v>
      </c>
    </row>
    <row r="1007" spans="1:15" x14ac:dyDescent="0.15">
      <c r="A1007">
        <v>33369394</v>
      </c>
      <c r="B1007">
        <v>31553171</v>
      </c>
      <c r="E1007">
        <v>19321599</v>
      </c>
      <c r="F1007" t="s">
        <v>39188</v>
      </c>
      <c r="G1007" t="s">
        <v>39189</v>
      </c>
      <c r="H1007" t="s">
        <v>39190</v>
      </c>
      <c r="I1007" t="s">
        <v>39191</v>
      </c>
      <c r="J1007" t="s">
        <v>33359</v>
      </c>
      <c r="K1007">
        <v>2009</v>
      </c>
      <c r="L1007" s="1">
        <v>39899</v>
      </c>
      <c r="M1007" t="s">
        <v>39192</v>
      </c>
      <c r="O1007" t="s">
        <v>39193</v>
      </c>
    </row>
    <row r="1008" spans="1:15" x14ac:dyDescent="0.15">
      <c r="A1008">
        <v>31086892</v>
      </c>
      <c r="B1008">
        <v>24067531</v>
      </c>
      <c r="E1008">
        <v>17855514</v>
      </c>
      <c r="F1008" t="s">
        <v>39194</v>
      </c>
      <c r="G1008" t="s">
        <v>39195</v>
      </c>
      <c r="H1008" t="s">
        <v>39196</v>
      </c>
      <c r="I1008" t="s">
        <v>39197</v>
      </c>
      <c r="J1008" t="s">
        <v>31970</v>
      </c>
      <c r="K1008">
        <v>2007</v>
      </c>
      <c r="L1008" s="1">
        <v>39340</v>
      </c>
      <c r="M1008" t="s">
        <v>39198</v>
      </c>
      <c r="O1008" t="s">
        <v>39199</v>
      </c>
    </row>
    <row r="1009" spans="1:15" x14ac:dyDescent="0.15">
      <c r="A1009">
        <v>28722786</v>
      </c>
      <c r="B1009">
        <v>22315426</v>
      </c>
      <c r="E1009">
        <v>28487205</v>
      </c>
      <c r="F1009" t="s">
        <v>39203</v>
      </c>
      <c r="G1009" t="s">
        <v>39204</v>
      </c>
      <c r="H1009" t="s">
        <v>39205</v>
      </c>
      <c r="I1009" t="s">
        <v>39206</v>
      </c>
      <c r="J1009" t="s">
        <v>33740</v>
      </c>
      <c r="K1009">
        <v>2017</v>
      </c>
      <c r="L1009" s="1">
        <v>42866</v>
      </c>
      <c r="M1009" t="s">
        <v>39207</v>
      </c>
      <c r="N1009" t="s">
        <v>39208</v>
      </c>
      <c r="O1009" t="s">
        <v>39209</v>
      </c>
    </row>
    <row r="1010" spans="1:15" x14ac:dyDescent="0.15">
      <c r="A1010">
        <v>31053596</v>
      </c>
      <c r="B1010">
        <v>33454965</v>
      </c>
      <c r="E1010">
        <v>25515738</v>
      </c>
      <c r="F1010" t="s">
        <v>39210</v>
      </c>
      <c r="G1010" t="s">
        <v>39211</v>
      </c>
      <c r="H1010" t="s">
        <v>39212</v>
      </c>
      <c r="I1010" t="s">
        <v>39213</v>
      </c>
      <c r="J1010" t="s">
        <v>32717</v>
      </c>
      <c r="K1010">
        <v>2015</v>
      </c>
      <c r="L1010" s="1">
        <v>41991</v>
      </c>
      <c r="O1010" t="s">
        <v>39214</v>
      </c>
    </row>
    <row r="1011" spans="1:15" x14ac:dyDescent="0.15">
      <c r="A1011">
        <v>21893226</v>
      </c>
      <c r="B1011">
        <v>27075967</v>
      </c>
      <c r="E1011">
        <v>12814647</v>
      </c>
      <c r="F1011" t="s">
        <v>39215</v>
      </c>
      <c r="G1011" t="s">
        <v>39216</v>
      </c>
      <c r="H1011" t="s">
        <v>39217</v>
      </c>
      <c r="I1011" t="s">
        <v>39218</v>
      </c>
      <c r="J1011" t="s">
        <v>38805</v>
      </c>
      <c r="K1011">
        <v>2003</v>
      </c>
      <c r="L1011" s="1">
        <v>37792</v>
      </c>
      <c r="O1011" t="s">
        <v>39219</v>
      </c>
    </row>
    <row r="1012" spans="1:15" x14ac:dyDescent="0.15">
      <c r="A1012">
        <v>31336224</v>
      </c>
      <c r="B1012">
        <v>31015625</v>
      </c>
      <c r="E1012">
        <v>31664817</v>
      </c>
      <c r="F1012" t="s">
        <v>39220</v>
      </c>
      <c r="G1012" t="s">
        <v>39221</v>
      </c>
      <c r="H1012" t="s">
        <v>39222</v>
      </c>
      <c r="I1012" t="s">
        <v>39223</v>
      </c>
      <c r="J1012" t="s">
        <v>30561</v>
      </c>
      <c r="K1012">
        <v>2019</v>
      </c>
      <c r="L1012" s="1">
        <v>43769</v>
      </c>
      <c r="M1012" t="s">
        <v>39224</v>
      </c>
      <c r="N1012" t="s">
        <v>39225</v>
      </c>
      <c r="O1012" t="s">
        <v>39226</v>
      </c>
    </row>
    <row r="1013" spans="1:15" x14ac:dyDescent="0.15">
      <c r="A1013">
        <v>31271518</v>
      </c>
      <c r="B1013">
        <v>32187520</v>
      </c>
      <c r="E1013">
        <v>25869134</v>
      </c>
      <c r="F1013" t="s">
        <v>39227</v>
      </c>
      <c r="G1013" t="s">
        <v>39228</v>
      </c>
      <c r="H1013" t="s">
        <v>39229</v>
      </c>
      <c r="I1013" t="s">
        <v>39230</v>
      </c>
      <c r="J1013" t="s">
        <v>31594</v>
      </c>
      <c r="K1013">
        <v>2015</v>
      </c>
      <c r="L1013" s="1">
        <v>42109</v>
      </c>
      <c r="M1013" t="s">
        <v>39231</v>
      </c>
      <c r="O1013" t="s">
        <v>39232</v>
      </c>
    </row>
    <row r="1014" spans="1:15" x14ac:dyDescent="0.15">
      <c r="A1014">
        <v>28936730</v>
      </c>
      <c r="B1014">
        <v>21248205</v>
      </c>
      <c r="E1014">
        <v>31646316</v>
      </c>
      <c r="F1014" t="s">
        <v>39233</v>
      </c>
      <c r="G1014" t="s">
        <v>39234</v>
      </c>
      <c r="H1014" t="s">
        <v>39235</v>
      </c>
      <c r="I1014" t="s">
        <v>39236</v>
      </c>
      <c r="J1014" t="s">
        <v>32035</v>
      </c>
      <c r="K1014">
        <v>2019</v>
      </c>
      <c r="L1014" s="1">
        <v>43763</v>
      </c>
      <c r="O1014" t="s">
        <v>39237</v>
      </c>
    </row>
    <row r="1015" spans="1:15" x14ac:dyDescent="0.15">
      <c r="A1015">
        <v>30620023</v>
      </c>
      <c r="B1015">
        <v>34728780</v>
      </c>
      <c r="E1015">
        <v>17234882</v>
      </c>
      <c r="F1015" t="s">
        <v>39238</v>
      </c>
      <c r="G1015" t="s">
        <v>39239</v>
      </c>
      <c r="H1015" t="s">
        <v>39240</v>
      </c>
      <c r="I1015" t="s">
        <v>39241</v>
      </c>
      <c r="J1015" t="s">
        <v>31824</v>
      </c>
      <c r="K1015">
        <v>2007</v>
      </c>
      <c r="L1015" s="1">
        <v>39102</v>
      </c>
      <c r="M1015" t="s">
        <v>39242</v>
      </c>
      <c r="O1015" t="s">
        <v>39243</v>
      </c>
    </row>
    <row r="1016" spans="1:15" x14ac:dyDescent="0.15">
      <c r="A1016">
        <v>28694699</v>
      </c>
      <c r="B1016">
        <v>32824702</v>
      </c>
      <c r="E1016">
        <v>34103492</v>
      </c>
      <c r="F1016" t="s">
        <v>39244</v>
      </c>
      <c r="G1016" t="s">
        <v>39245</v>
      </c>
      <c r="H1016" t="s">
        <v>39246</v>
      </c>
      <c r="I1016" t="s">
        <v>39247</v>
      </c>
      <c r="J1016" t="s">
        <v>30796</v>
      </c>
      <c r="K1016">
        <v>2021</v>
      </c>
      <c r="L1016" s="1">
        <v>44356</v>
      </c>
      <c r="M1016" t="s">
        <v>39248</v>
      </c>
      <c r="O1016" t="s">
        <v>39249</v>
      </c>
    </row>
    <row r="1017" spans="1:15" x14ac:dyDescent="0.15">
      <c r="A1017">
        <v>31162940</v>
      </c>
      <c r="B1017">
        <v>33222670</v>
      </c>
      <c r="E1017">
        <v>18172165</v>
      </c>
      <c r="F1017" t="s">
        <v>39250</v>
      </c>
      <c r="G1017" t="s">
        <v>39251</v>
      </c>
      <c r="H1017" t="s">
        <v>39252</v>
      </c>
      <c r="I1017" t="s">
        <v>39253</v>
      </c>
      <c r="J1017" t="s">
        <v>31824</v>
      </c>
      <c r="K1017">
        <v>2008</v>
      </c>
      <c r="L1017" s="1">
        <v>39451</v>
      </c>
      <c r="M1017" t="s">
        <v>39254</v>
      </c>
      <c r="O1017" t="s">
        <v>39255</v>
      </c>
    </row>
    <row r="1018" spans="1:15" x14ac:dyDescent="0.15">
      <c r="A1018">
        <v>30488570</v>
      </c>
      <c r="B1018">
        <v>32861822</v>
      </c>
      <c r="E1018">
        <v>21663793</v>
      </c>
      <c r="F1018" t="s">
        <v>39256</v>
      </c>
      <c r="G1018" t="s">
        <v>39257</v>
      </c>
      <c r="H1018" t="s">
        <v>39258</v>
      </c>
      <c r="I1018" t="s">
        <v>38580</v>
      </c>
      <c r="J1018" t="s">
        <v>30555</v>
      </c>
      <c r="K1018">
        <v>2011</v>
      </c>
      <c r="L1018" s="1">
        <v>40708</v>
      </c>
      <c r="M1018" t="s">
        <v>39259</v>
      </c>
      <c r="N1018" t="s">
        <v>39260</v>
      </c>
      <c r="O1018" t="s">
        <v>39261</v>
      </c>
    </row>
    <row r="1019" spans="1:15" x14ac:dyDescent="0.15">
      <c r="A1019">
        <v>31964978</v>
      </c>
      <c r="B1019">
        <v>32476238</v>
      </c>
      <c r="E1019">
        <v>21131904</v>
      </c>
      <c r="F1019" t="s">
        <v>39262</v>
      </c>
      <c r="G1019" t="s">
        <v>39263</v>
      </c>
      <c r="H1019" t="s">
        <v>39264</v>
      </c>
      <c r="I1019" t="s">
        <v>39265</v>
      </c>
      <c r="J1019" t="s">
        <v>35307</v>
      </c>
      <c r="K1019">
        <v>2011</v>
      </c>
      <c r="L1019" s="1">
        <v>40519</v>
      </c>
      <c r="M1019" t="s">
        <v>39266</v>
      </c>
      <c r="O1019" t="s">
        <v>39267</v>
      </c>
    </row>
    <row r="1020" spans="1:15" x14ac:dyDescent="0.15">
      <c r="A1020">
        <v>28470712</v>
      </c>
      <c r="B1020">
        <v>29243807</v>
      </c>
      <c r="E1020">
        <v>7476096</v>
      </c>
      <c r="F1020" t="s">
        <v>39271</v>
      </c>
      <c r="G1020" t="s">
        <v>39272</v>
      </c>
      <c r="H1020" t="s">
        <v>39273</v>
      </c>
      <c r="I1020" t="s">
        <v>39274</v>
      </c>
      <c r="J1020" t="s">
        <v>35899</v>
      </c>
      <c r="K1020">
        <v>1995</v>
      </c>
      <c r="L1020" s="1">
        <v>34820</v>
      </c>
      <c r="O1020" t="s">
        <v>39275</v>
      </c>
    </row>
    <row r="1021" spans="1:15" x14ac:dyDescent="0.15">
      <c r="A1021">
        <v>24048452</v>
      </c>
      <c r="B1021">
        <v>31711714</v>
      </c>
      <c r="E1021">
        <v>2655710</v>
      </c>
      <c r="F1021" t="s">
        <v>39276</v>
      </c>
      <c r="G1021" t="s">
        <v>39277</v>
      </c>
      <c r="H1021" t="s">
        <v>39278</v>
      </c>
      <c r="I1021" t="s">
        <v>39279</v>
      </c>
      <c r="J1021" t="s">
        <v>34553</v>
      </c>
      <c r="K1021">
        <v>1989</v>
      </c>
      <c r="L1021" s="1">
        <v>32637</v>
      </c>
      <c r="O1021" t="s">
        <v>39280</v>
      </c>
    </row>
    <row r="1022" spans="1:15" x14ac:dyDescent="0.15">
      <c r="A1022">
        <v>27984059</v>
      </c>
      <c r="B1022">
        <v>22238051</v>
      </c>
      <c r="E1022">
        <v>1847476</v>
      </c>
      <c r="F1022" t="s">
        <v>39281</v>
      </c>
      <c r="G1022" t="s">
        <v>39282</v>
      </c>
      <c r="H1022" t="s">
        <v>39283</v>
      </c>
      <c r="I1022" t="s">
        <v>39284</v>
      </c>
      <c r="J1022" t="s">
        <v>31970</v>
      </c>
      <c r="K1022">
        <v>1991</v>
      </c>
      <c r="L1022" s="1">
        <v>33298</v>
      </c>
      <c r="M1022" t="s">
        <v>39285</v>
      </c>
      <c r="O1022" t="s">
        <v>39286</v>
      </c>
    </row>
    <row r="1023" spans="1:15" x14ac:dyDescent="0.15">
      <c r="A1023">
        <v>29750752</v>
      </c>
      <c r="B1023">
        <v>30412280</v>
      </c>
      <c r="E1023">
        <v>17157255</v>
      </c>
      <c r="F1023" t="s">
        <v>39287</v>
      </c>
      <c r="G1023" t="s">
        <v>39288</v>
      </c>
      <c r="H1023" t="s">
        <v>39289</v>
      </c>
      <c r="I1023" t="s">
        <v>39290</v>
      </c>
      <c r="J1023" t="s">
        <v>32022</v>
      </c>
      <c r="K1023">
        <v>2006</v>
      </c>
      <c r="L1023" s="1">
        <v>39064</v>
      </c>
      <c r="O1023" t="s">
        <v>39291</v>
      </c>
    </row>
    <row r="1024" spans="1:15" x14ac:dyDescent="0.15">
      <c r="A1024">
        <v>21370216</v>
      </c>
      <c r="B1024">
        <v>24211404</v>
      </c>
      <c r="E1024">
        <v>23177741</v>
      </c>
      <c r="F1024" t="s">
        <v>39292</v>
      </c>
      <c r="G1024" t="s">
        <v>39293</v>
      </c>
      <c r="H1024" t="s">
        <v>39294</v>
      </c>
      <c r="I1024" t="s">
        <v>39295</v>
      </c>
      <c r="J1024" t="s">
        <v>32022</v>
      </c>
      <c r="K1024">
        <v>2013</v>
      </c>
      <c r="L1024" s="1">
        <v>41240</v>
      </c>
      <c r="M1024" t="s">
        <v>39296</v>
      </c>
      <c r="N1024" t="s">
        <v>39297</v>
      </c>
      <c r="O1024" t="s">
        <v>39298</v>
      </c>
    </row>
    <row r="1025" spans="1:15" x14ac:dyDescent="0.15">
      <c r="A1025">
        <v>27321911</v>
      </c>
      <c r="B1025">
        <v>32101730</v>
      </c>
      <c r="E1025">
        <v>25479637</v>
      </c>
      <c r="F1025" t="s">
        <v>39299</v>
      </c>
      <c r="G1025" t="s">
        <v>39300</v>
      </c>
      <c r="H1025" t="s">
        <v>39301</v>
      </c>
      <c r="I1025" t="s">
        <v>39302</v>
      </c>
      <c r="J1025" t="s">
        <v>32022</v>
      </c>
      <c r="K1025">
        <v>2014</v>
      </c>
      <c r="L1025" s="1">
        <v>41980</v>
      </c>
      <c r="O1025" t="s">
        <v>39303</v>
      </c>
    </row>
    <row r="1026" spans="1:15" x14ac:dyDescent="0.15">
      <c r="A1026">
        <v>29409544</v>
      </c>
      <c r="B1026">
        <v>26751387</v>
      </c>
      <c r="E1026">
        <v>22428908</v>
      </c>
      <c r="F1026" t="s">
        <v>39304</v>
      </c>
      <c r="G1026" t="s">
        <v>39305</v>
      </c>
      <c r="H1026" t="s">
        <v>39306</v>
      </c>
      <c r="I1026" t="s">
        <v>39307</v>
      </c>
      <c r="J1026" t="s">
        <v>39308</v>
      </c>
      <c r="K1026">
        <v>2012</v>
      </c>
      <c r="L1026" s="1">
        <v>40989</v>
      </c>
      <c r="M1026" t="s">
        <v>39309</v>
      </c>
      <c r="N1026" t="s">
        <v>39310</v>
      </c>
      <c r="O1026" t="s">
        <v>39311</v>
      </c>
    </row>
    <row r="1027" spans="1:15" x14ac:dyDescent="0.15">
      <c r="A1027">
        <v>31076589</v>
      </c>
      <c r="B1027">
        <v>20964628</v>
      </c>
      <c r="E1027">
        <v>26512957</v>
      </c>
      <c r="F1027" t="s">
        <v>39316</v>
      </c>
      <c r="G1027" t="s">
        <v>39317</v>
      </c>
      <c r="H1027" t="s">
        <v>39318</v>
      </c>
      <c r="I1027" t="s">
        <v>39319</v>
      </c>
      <c r="J1027" t="s">
        <v>30733</v>
      </c>
      <c r="K1027">
        <v>2015</v>
      </c>
      <c r="L1027" s="1">
        <v>42307</v>
      </c>
      <c r="M1027" t="s">
        <v>39320</v>
      </c>
      <c r="O1027" t="s">
        <v>39321</v>
      </c>
    </row>
    <row r="1028" spans="1:15" x14ac:dyDescent="0.15">
      <c r="A1028">
        <v>11040442</v>
      </c>
      <c r="B1028">
        <v>28669749</v>
      </c>
      <c r="E1028">
        <v>7796801</v>
      </c>
      <c r="F1028" t="s">
        <v>39322</v>
      </c>
      <c r="G1028" t="s">
        <v>39323</v>
      </c>
      <c r="H1028" t="s">
        <v>39324</v>
      </c>
      <c r="I1028" t="s">
        <v>39325</v>
      </c>
      <c r="J1028" t="s">
        <v>35307</v>
      </c>
      <c r="K1028">
        <v>1995</v>
      </c>
      <c r="L1028" s="1">
        <v>34865</v>
      </c>
      <c r="M1028" t="s">
        <v>39326</v>
      </c>
      <c r="O1028" t="s">
        <v>39327</v>
      </c>
    </row>
    <row r="1029" spans="1:15" x14ac:dyDescent="0.15">
      <c r="A1029">
        <v>26846451</v>
      </c>
      <c r="B1029">
        <v>31784837</v>
      </c>
      <c r="E1029">
        <v>31988198</v>
      </c>
      <c r="F1029" t="s">
        <v>39328</v>
      </c>
      <c r="G1029" t="s">
        <v>39329</v>
      </c>
      <c r="H1029" t="s">
        <v>39330</v>
      </c>
      <c r="I1029" t="s">
        <v>39331</v>
      </c>
      <c r="J1029" t="s">
        <v>32039</v>
      </c>
      <c r="K1029">
        <v>2020</v>
      </c>
      <c r="L1029" s="1">
        <v>43859</v>
      </c>
      <c r="O1029" t="s">
        <v>39332</v>
      </c>
    </row>
    <row r="1030" spans="1:15" x14ac:dyDescent="0.15">
      <c r="A1030">
        <v>27956246</v>
      </c>
      <c r="B1030">
        <v>31300343</v>
      </c>
      <c r="E1030">
        <v>9165051</v>
      </c>
      <c r="F1030" t="s">
        <v>39333</v>
      </c>
      <c r="G1030" t="s">
        <v>39334</v>
      </c>
      <c r="H1030" t="s">
        <v>39335</v>
      </c>
      <c r="I1030" t="s">
        <v>39336</v>
      </c>
      <c r="J1030" t="s">
        <v>30858</v>
      </c>
      <c r="K1030">
        <v>1997</v>
      </c>
      <c r="L1030" s="1">
        <v>35582</v>
      </c>
      <c r="O1030" t="s">
        <v>39337</v>
      </c>
    </row>
    <row r="1031" spans="1:15" x14ac:dyDescent="0.15">
      <c r="A1031">
        <v>30554222</v>
      </c>
      <c r="B1031">
        <v>22438260</v>
      </c>
      <c r="E1031">
        <v>34672606</v>
      </c>
      <c r="F1031" t="s">
        <v>39338</v>
      </c>
      <c r="G1031" t="s">
        <v>39339</v>
      </c>
      <c r="H1031" t="s">
        <v>39340</v>
      </c>
      <c r="I1031" t="s">
        <v>39341</v>
      </c>
      <c r="J1031" t="s">
        <v>34224</v>
      </c>
      <c r="K1031">
        <v>2021</v>
      </c>
      <c r="L1031" s="1">
        <v>44490</v>
      </c>
      <c r="O1031" t="s">
        <v>39342</v>
      </c>
    </row>
    <row r="1032" spans="1:15" x14ac:dyDescent="0.15">
      <c r="A1032">
        <v>7782559</v>
      </c>
      <c r="B1032">
        <v>22770246</v>
      </c>
      <c r="E1032">
        <v>35590205</v>
      </c>
      <c r="F1032" t="s">
        <v>39343</v>
      </c>
      <c r="G1032" t="s">
        <v>39344</v>
      </c>
      <c r="H1032" t="s">
        <v>39345</v>
      </c>
      <c r="I1032" t="s">
        <v>39346</v>
      </c>
      <c r="J1032" t="s">
        <v>39347</v>
      </c>
      <c r="K1032">
        <v>2021</v>
      </c>
      <c r="L1032" s="1">
        <v>44700</v>
      </c>
      <c r="O1032" t="s">
        <v>39348</v>
      </c>
    </row>
    <row r="1033" spans="1:15" x14ac:dyDescent="0.15">
      <c r="A1033">
        <v>20390294</v>
      </c>
      <c r="B1033">
        <v>35013578</v>
      </c>
      <c r="E1033">
        <v>19460752</v>
      </c>
      <c r="F1033" t="s">
        <v>39349</v>
      </c>
      <c r="G1033" t="s">
        <v>39350</v>
      </c>
      <c r="H1033" t="s">
        <v>39351</v>
      </c>
      <c r="I1033" t="s">
        <v>39352</v>
      </c>
      <c r="J1033" t="s">
        <v>31594</v>
      </c>
      <c r="K1033">
        <v>2009</v>
      </c>
      <c r="L1033" s="1">
        <v>39956</v>
      </c>
      <c r="M1033" t="s">
        <v>39353</v>
      </c>
      <c r="O1033" t="s">
        <v>39354</v>
      </c>
    </row>
    <row r="1034" spans="1:15" x14ac:dyDescent="0.15">
      <c r="A1034">
        <v>29072078</v>
      </c>
      <c r="B1034">
        <v>24259003</v>
      </c>
      <c r="E1034">
        <v>31138886</v>
      </c>
      <c r="F1034" t="s">
        <v>39355</v>
      </c>
      <c r="G1034" t="s">
        <v>39356</v>
      </c>
      <c r="H1034" t="s">
        <v>39357</v>
      </c>
      <c r="I1034" t="s">
        <v>32292</v>
      </c>
      <c r="J1034" t="s">
        <v>30834</v>
      </c>
      <c r="K1034">
        <v>2019</v>
      </c>
      <c r="L1034" s="1">
        <v>43615</v>
      </c>
      <c r="M1034" t="s">
        <v>39358</v>
      </c>
      <c r="O1034" t="s">
        <v>39359</v>
      </c>
    </row>
    <row r="1035" spans="1:15" x14ac:dyDescent="0.15">
      <c r="A1035">
        <v>31728272</v>
      </c>
      <c r="B1035">
        <v>33892051</v>
      </c>
      <c r="E1035">
        <v>9427251</v>
      </c>
      <c r="F1035" t="s">
        <v>39364</v>
      </c>
      <c r="G1035" t="s">
        <v>39365</v>
      </c>
      <c r="H1035" t="s">
        <v>39366</v>
      </c>
      <c r="I1035" t="s">
        <v>32956</v>
      </c>
      <c r="J1035" t="s">
        <v>39367</v>
      </c>
      <c r="K1035">
        <v>1997</v>
      </c>
      <c r="L1035" s="1">
        <v>35809</v>
      </c>
      <c r="O1035" t="s">
        <v>39368</v>
      </c>
    </row>
    <row r="1036" spans="1:15" x14ac:dyDescent="0.15">
      <c r="A1036">
        <v>30719241</v>
      </c>
      <c r="B1036">
        <v>32231001</v>
      </c>
      <c r="E1036">
        <v>12189211</v>
      </c>
      <c r="F1036" t="s">
        <v>39374</v>
      </c>
      <c r="G1036" t="s">
        <v>39375</v>
      </c>
      <c r="H1036" t="s">
        <v>39376</v>
      </c>
      <c r="I1036" t="s">
        <v>39377</v>
      </c>
      <c r="J1036" t="s">
        <v>30767</v>
      </c>
      <c r="K1036">
        <v>2002</v>
      </c>
      <c r="L1036" s="1">
        <v>37490</v>
      </c>
      <c r="M1036" t="s">
        <v>39378</v>
      </c>
      <c r="O1036" t="s">
        <v>39379</v>
      </c>
    </row>
    <row r="1037" spans="1:15" x14ac:dyDescent="0.15">
      <c r="A1037">
        <v>30530517</v>
      </c>
      <c r="B1037">
        <v>22325213</v>
      </c>
      <c r="E1037">
        <v>31799930</v>
      </c>
      <c r="F1037" t="s">
        <v>39380</v>
      </c>
      <c r="G1037" t="s">
        <v>39381</v>
      </c>
      <c r="H1037" t="s">
        <v>39382</v>
      </c>
      <c r="I1037" t="s">
        <v>39383</v>
      </c>
      <c r="J1037" t="s">
        <v>36402</v>
      </c>
      <c r="K1037">
        <v>2019</v>
      </c>
      <c r="L1037" s="1">
        <v>43804</v>
      </c>
      <c r="M1037" t="s">
        <v>39384</v>
      </c>
      <c r="O1037" t="s">
        <v>39385</v>
      </c>
    </row>
    <row r="1038" spans="1:15" x14ac:dyDescent="0.15">
      <c r="A1038">
        <v>28541659</v>
      </c>
      <c r="B1038">
        <v>31456107</v>
      </c>
      <c r="E1038">
        <v>17235024</v>
      </c>
      <c r="F1038" t="s">
        <v>39386</v>
      </c>
      <c r="G1038" t="s">
        <v>39387</v>
      </c>
      <c r="H1038" t="s">
        <v>39388</v>
      </c>
      <c r="I1038" t="s">
        <v>39389</v>
      </c>
      <c r="J1038" t="s">
        <v>39390</v>
      </c>
      <c r="K1038">
        <v>2007</v>
      </c>
      <c r="L1038" s="1">
        <v>39102</v>
      </c>
      <c r="O1038" t="s">
        <v>39391</v>
      </c>
    </row>
    <row r="1039" spans="1:15" x14ac:dyDescent="0.15">
      <c r="A1039">
        <v>7929173</v>
      </c>
      <c r="B1039">
        <v>25210768</v>
      </c>
      <c r="E1039">
        <v>9446579</v>
      </c>
      <c r="F1039" t="s">
        <v>39395</v>
      </c>
      <c r="G1039" t="s">
        <v>39396</v>
      </c>
      <c r="H1039" t="s">
        <v>39397</v>
      </c>
      <c r="I1039" t="s">
        <v>39398</v>
      </c>
      <c r="J1039" t="s">
        <v>31594</v>
      </c>
      <c r="K1039">
        <v>1998</v>
      </c>
      <c r="L1039" s="1">
        <v>35854</v>
      </c>
      <c r="O1039" t="s">
        <v>39399</v>
      </c>
    </row>
    <row r="1040" spans="1:15" x14ac:dyDescent="0.15">
      <c r="A1040">
        <v>32134252</v>
      </c>
      <c r="B1040">
        <v>24933019</v>
      </c>
      <c r="E1040">
        <v>33997970</v>
      </c>
      <c r="F1040" t="s">
        <v>39400</v>
      </c>
      <c r="G1040" t="s">
        <v>39401</v>
      </c>
      <c r="H1040" t="s">
        <v>39402</v>
      </c>
      <c r="I1040" t="s">
        <v>31670</v>
      </c>
      <c r="J1040" t="s">
        <v>39403</v>
      </c>
      <c r="K1040">
        <v>2021</v>
      </c>
      <c r="L1040" s="1">
        <v>44333</v>
      </c>
      <c r="O1040" t="s">
        <v>39404</v>
      </c>
    </row>
    <row r="1041" spans="1:15" x14ac:dyDescent="0.15">
      <c r="A1041">
        <v>33169756</v>
      </c>
      <c r="B1041">
        <v>22336707</v>
      </c>
      <c r="E1041">
        <v>31581745</v>
      </c>
      <c r="F1041" t="s">
        <v>39410</v>
      </c>
      <c r="G1041" t="s">
        <v>39411</v>
      </c>
      <c r="H1041" t="s">
        <v>39412</v>
      </c>
      <c r="I1041" t="s">
        <v>39413</v>
      </c>
      <c r="J1041" t="s">
        <v>30655</v>
      </c>
      <c r="K1041">
        <v>2019</v>
      </c>
      <c r="L1041" s="1">
        <v>43743</v>
      </c>
      <c r="M1041" t="s">
        <v>39414</v>
      </c>
      <c r="O1041" t="s">
        <v>39415</v>
      </c>
    </row>
    <row r="1042" spans="1:15" x14ac:dyDescent="0.15">
      <c r="A1042">
        <v>26556992</v>
      </c>
      <c r="B1042">
        <v>33538116</v>
      </c>
      <c r="E1042">
        <v>35538484</v>
      </c>
      <c r="F1042" t="s">
        <v>39420</v>
      </c>
      <c r="G1042" t="s">
        <v>39421</v>
      </c>
      <c r="H1042" t="s">
        <v>39422</v>
      </c>
      <c r="I1042" t="s">
        <v>39423</v>
      </c>
      <c r="J1042" t="s">
        <v>30630</v>
      </c>
      <c r="K1042">
        <v>2022</v>
      </c>
      <c r="L1042" s="1">
        <v>44691</v>
      </c>
      <c r="M1042" t="s">
        <v>39424</v>
      </c>
      <c r="O1042" t="s">
        <v>39425</v>
      </c>
    </row>
    <row r="1043" spans="1:15" x14ac:dyDescent="0.15">
      <c r="A1043">
        <v>30763382</v>
      </c>
      <c r="B1043">
        <v>28383029</v>
      </c>
      <c r="E1043">
        <v>26637591</v>
      </c>
      <c r="F1043" t="s">
        <v>39426</v>
      </c>
      <c r="G1043" t="s">
        <v>39427</v>
      </c>
      <c r="H1043" t="s">
        <v>39428</v>
      </c>
      <c r="I1043" t="s">
        <v>39429</v>
      </c>
      <c r="J1043" t="s">
        <v>32165</v>
      </c>
      <c r="K1043">
        <v>2015</v>
      </c>
      <c r="L1043" s="1">
        <v>42344</v>
      </c>
      <c r="M1043" t="s">
        <v>39430</v>
      </c>
      <c r="O1043" t="s">
        <v>39431</v>
      </c>
    </row>
    <row r="1044" spans="1:15" x14ac:dyDescent="0.15">
      <c r="A1044">
        <v>29317705</v>
      </c>
      <c r="B1044">
        <v>35320943</v>
      </c>
      <c r="E1044">
        <v>17252188</v>
      </c>
      <c r="F1044" t="s">
        <v>39432</v>
      </c>
      <c r="G1044" t="s">
        <v>39433</v>
      </c>
      <c r="H1044" t="s">
        <v>39434</v>
      </c>
      <c r="I1044" t="s">
        <v>33727</v>
      </c>
      <c r="J1044" t="s">
        <v>36076</v>
      </c>
      <c r="K1044">
        <v>2007</v>
      </c>
      <c r="L1044" s="1">
        <v>39108</v>
      </c>
      <c r="O1044" t="s">
        <v>39435</v>
      </c>
    </row>
    <row r="1045" spans="1:15" x14ac:dyDescent="0.15">
      <c r="A1045">
        <v>12784251</v>
      </c>
      <c r="B1045">
        <v>33047121</v>
      </c>
      <c r="E1045">
        <v>1908469</v>
      </c>
      <c r="F1045" t="s">
        <v>39436</v>
      </c>
      <c r="G1045" t="s">
        <v>39437</v>
      </c>
      <c r="H1045" t="s">
        <v>39438</v>
      </c>
      <c r="I1045" t="s">
        <v>39439</v>
      </c>
      <c r="J1045" t="s">
        <v>30828</v>
      </c>
      <c r="K1045">
        <v>1991</v>
      </c>
      <c r="L1045" s="1">
        <v>33482</v>
      </c>
      <c r="M1045" t="s">
        <v>39440</v>
      </c>
      <c r="O1045" t="s">
        <v>39441</v>
      </c>
    </row>
    <row r="1046" spans="1:15" x14ac:dyDescent="0.15">
      <c r="A1046">
        <v>28368488</v>
      </c>
      <c r="B1046">
        <v>30537027</v>
      </c>
      <c r="E1046">
        <v>24580550</v>
      </c>
      <c r="F1046" t="s">
        <v>39442</v>
      </c>
      <c r="G1046" t="s">
        <v>39443</v>
      </c>
      <c r="H1046" t="s">
        <v>39444</v>
      </c>
      <c r="I1046" t="s">
        <v>39445</v>
      </c>
      <c r="J1046" t="s">
        <v>34094</v>
      </c>
      <c r="K1046">
        <v>2014</v>
      </c>
      <c r="L1046" s="1">
        <v>41702</v>
      </c>
      <c r="O1046" t="s">
        <v>39446</v>
      </c>
    </row>
    <row r="1047" spans="1:15" x14ac:dyDescent="0.15">
      <c r="A1047">
        <v>9556132</v>
      </c>
      <c r="B1047">
        <v>35057806</v>
      </c>
      <c r="E1047">
        <v>24244542</v>
      </c>
      <c r="F1047" t="s">
        <v>39447</v>
      </c>
      <c r="G1047" t="s">
        <v>39448</v>
      </c>
      <c r="H1047" t="s">
        <v>39449</v>
      </c>
      <c r="I1047" t="s">
        <v>39450</v>
      </c>
      <c r="J1047" t="s">
        <v>31639</v>
      </c>
      <c r="K1047">
        <v>2013</v>
      </c>
      <c r="L1047" s="1">
        <v>41597</v>
      </c>
      <c r="M1047" t="s">
        <v>39451</v>
      </c>
      <c r="O1047" t="s">
        <v>39452</v>
      </c>
    </row>
    <row r="1048" spans="1:15" x14ac:dyDescent="0.15">
      <c r="A1048">
        <v>28076321</v>
      </c>
      <c r="B1048">
        <v>28878382</v>
      </c>
      <c r="E1048">
        <v>19948888</v>
      </c>
      <c r="F1048" t="s">
        <v>39453</v>
      </c>
      <c r="G1048" t="s">
        <v>39454</v>
      </c>
      <c r="H1048" t="s">
        <v>39455</v>
      </c>
      <c r="I1048" t="s">
        <v>39146</v>
      </c>
      <c r="J1048" t="s">
        <v>37573</v>
      </c>
      <c r="K1048">
        <v>2010</v>
      </c>
      <c r="L1048" s="1">
        <v>40149</v>
      </c>
      <c r="M1048" t="s">
        <v>39456</v>
      </c>
      <c r="O1048" t="s">
        <v>39457</v>
      </c>
    </row>
    <row r="1049" spans="1:15" x14ac:dyDescent="0.15">
      <c r="A1049">
        <v>31845577</v>
      </c>
      <c r="B1049">
        <v>28774835</v>
      </c>
      <c r="E1049">
        <v>24763612</v>
      </c>
      <c r="F1049" t="s">
        <v>39458</v>
      </c>
      <c r="G1049" t="s">
        <v>39459</v>
      </c>
      <c r="H1049" t="s">
        <v>39460</v>
      </c>
      <c r="I1049" t="s">
        <v>39461</v>
      </c>
      <c r="J1049" t="s">
        <v>32039</v>
      </c>
      <c r="K1049">
        <v>2014</v>
      </c>
      <c r="L1049" s="1">
        <v>41755</v>
      </c>
      <c r="O1049" t="s">
        <v>39462</v>
      </c>
    </row>
    <row r="1050" spans="1:15" x14ac:dyDescent="0.15">
      <c r="A1050">
        <v>25862975</v>
      </c>
      <c r="B1050">
        <v>22232189</v>
      </c>
      <c r="E1050">
        <v>12438306</v>
      </c>
      <c r="F1050" t="s">
        <v>39463</v>
      </c>
      <c r="G1050" t="s">
        <v>39464</v>
      </c>
      <c r="H1050" t="s">
        <v>39465</v>
      </c>
      <c r="I1050" t="s">
        <v>39466</v>
      </c>
      <c r="J1050" t="s">
        <v>31594</v>
      </c>
      <c r="K1050">
        <v>2003</v>
      </c>
      <c r="L1050" s="1">
        <v>37580</v>
      </c>
      <c r="M1050" t="s">
        <v>39467</v>
      </c>
      <c r="N1050" t="s">
        <v>39468</v>
      </c>
      <c r="O1050" t="s">
        <v>39469</v>
      </c>
    </row>
    <row r="1051" spans="1:15" x14ac:dyDescent="0.15">
      <c r="A1051">
        <v>32738648</v>
      </c>
      <c r="B1051">
        <v>21670248</v>
      </c>
      <c r="E1051">
        <v>22564898</v>
      </c>
      <c r="F1051" t="s">
        <v>39470</v>
      </c>
      <c r="G1051" t="s">
        <v>39471</v>
      </c>
      <c r="H1051" t="s">
        <v>39472</v>
      </c>
      <c r="I1051" t="s">
        <v>39473</v>
      </c>
      <c r="J1051" t="s">
        <v>31587</v>
      </c>
      <c r="K1051">
        <v>2012</v>
      </c>
      <c r="L1051" s="1">
        <v>41038</v>
      </c>
      <c r="M1051" t="s">
        <v>39474</v>
      </c>
      <c r="O1051" t="s">
        <v>39475</v>
      </c>
    </row>
    <row r="1052" spans="1:15" x14ac:dyDescent="0.15">
      <c r="A1052">
        <v>31002856</v>
      </c>
      <c r="B1052">
        <v>27075363</v>
      </c>
      <c r="E1052">
        <v>25020060</v>
      </c>
      <c r="F1052" t="s">
        <v>39476</v>
      </c>
      <c r="G1052" t="s">
        <v>39477</v>
      </c>
      <c r="H1052" t="s">
        <v>39478</v>
      </c>
      <c r="I1052" t="s">
        <v>39479</v>
      </c>
      <c r="J1052" t="s">
        <v>31639</v>
      </c>
      <c r="K1052">
        <v>2014</v>
      </c>
      <c r="L1052" s="1">
        <v>41835</v>
      </c>
      <c r="M1052" t="s">
        <v>39480</v>
      </c>
      <c r="O1052" t="s">
        <v>39481</v>
      </c>
    </row>
    <row r="1053" spans="1:15" x14ac:dyDescent="0.15">
      <c r="A1053">
        <v>29953723</v>
      </c>
      <c r="B1053">
        <v>33633746</v>
      </c>
      <c r="E1053">
        <v>27830852</v>
      </c>
      <c r="F1053" t="s">
        <v>39482</v>
      </c>
      <c r="G1053" t="s">
        <v>39483</v>
      </c>
      <c r="H1053" t="s">
        <v>39484</v>
      </c>
      <c r="I1053" t="s">
        <v>39485</v>
      </c>
      <c r="J1053" t="s">
        <v>31678</v>
      </c>
      <c r="K1053">
        <v>2016</v>
      </c>
      <c r="L1053" s="1">
        <v>42685</v>
      </c>
      <c r="O1053" t="s">
        <v>39486</v>
      </c>
    </row>
    <row r="1054" spans="1:15" x14ac:dyDescent="0.15">
      <c r="A1054">
        <v>29875772</v>
      </c>
      <c r="B1054">
        <v>32312151</v>
      </c>
      <c r="E1054">
        <v>18412164</v>
      </c>
      <c r="F1054" t="s">
        <v>39487</v>
      </c>
      <c r="G1054" t="s">
        <v>39488</v>
      </c>
      <c r="H1054" t="s">
        <v>39489</v>
      </c>
      <c r="I1054" t="s">
        <v>39490</v>
      </c>
      <c r="J1054" t="s">
        <v>31393</v>
      </c>
      <c r="K1054">
        <v>2008</v>
      </c>
      <c r="L1054" s="1">
        <v>39555</v>
      </c>
      <c r="O1054" t="s">
        <v>39491</v>
      </c>
    </row>
    <row r="1055" spans="1:15" x14ac:dyDescent="0.15">
      <c r="A1055">
        <v>28106372</v>
      </c>
      <c r="B1055">
        <v>27097729</v>
      </c>
      <c r="E1055">
        <v>21430775</v>
      </c>
      <c r="F1055" t="s">
        <v>39492</v>
      </c>
      <c r="G1055" t="s">
        <v>39493</v>
      </c>
      <c r="H1055" t="s">
        <v>39494</v>
      </c>
      <c r="I1055" t="s">
        <v>39495</v>
      </c>
      <c r="J1055" t="s">
        <v>34237</v>
      </c>
      <c r="K1055">
        <v>2011</v>
      </c>
      <c r="L1055" s="1">
        <v>40627</v>
      </c>
      <c r="M1055" t="s">
        <v>39496</v>
      </c>
      <c r="N1055" t="s">
        <v>39497</v>
      </c>
      <c r="O1055" t="s">
        <v>39498</v>
      </c>
    </row>
    <row r="1056" spans="1:15" x14ac:dyDescent="0.15">
      <c r="A1056">
        <v>23194089</v>
      </c>
      <c r="B1056">
        <v>34599143</v>
      </c>
      <c r="E1056">
        <v>18377888</v>
      </c>
      <c r="F1056" t="s">
        <v>39502</v>
      </c>
      <c r="G1056" t="s">
        <v>39503</v>
      </c>
      <c r="H1056" t="s">
        <v>39504</v>
      </c>
      <c r="I1056" t="s">
        <v>39505</v>
      </c>
      <c r="J1056" t="s">
        <v>36008</v>
      </c>
      <c r="K1056">
        <v>2008</v>
      </c>
      <c r="L1056" s="1">
        <v>39540</v>
      </c>
      <c r="O1056" t="s">
        <v>39506</v>
      </c>
    </row>
    <row r="1057" spans="1:15" x14ac:dyDescent="0.15">
      <c r="A1057">
        <v>24788895</v>
      </c>
      <c r="B1057">
        <v>27351774</v>
      </c>
      <c r="E1057">
        <v>30305710</v>
      </c>
      <c r="F1057" t="s">
        <v>39507</v>
      </c>
      <c r="G1057" t="s">
        <v>39508</v>
      </c>
      <c r="H1057" t="s">
        <v>39509</v>
      </c>
      <c r="I1057" t="s">
        <v>39510</v>
      </c>
      <c r="J1057" t="s">
        <v>33176</v>
      </c>
      <c r="K1057">
        <v>2018</v>
      </c>
      <c r="L1057" s="1">
        <v>43385</v>
      </c>
      <c r="O1057" t="s">
        <v>39511</v>
      </c>
    </row>
    <row r="1058" spans="1:15" x14ac:dyDescent="0.15">
      <c r="A1058">
        <v>32776418</v>
      </c>
      <c r="B1058">
        <v>33666247</v>
      </c>
      <c r="E1058">
        <v>11739279</v>
      </c>
      <c r="F1058" t="s">
        <v>39512</v>
      </c>
      <c r="G1058" t="s">
        <v>39513</v>
      </c>
      <c r="H1058" t="s">
        <v>39514</v>
      </c>
      <c r="I1058" t="s">
        <v>39515</v>
      </c>
      <c r="J1058" t="s">
        <v>31512</v>
      </c>
      <c r="K1058">
        <v>2001</v>
      </c>
      <c r="L1058" s="1">
        <v>37237</v>
      </c>
      <c r="O1058" t="s">
        <v>39516</v>
      </c>
    </row>
    <row r="1059" spans="1:15" x14ac:dyDescent="0.15">
      <c r="A1059">
        <v>28218293</v>
      </c>
      <c r="B1059">
        <v>31511614</v>
      </c>
      <c r="E1059">
        <v>35605011</v>
      </c>
      <c r="F1059" t="s">
        <v>39517</v>
      </c>
      <c r="G1059" t="s">
        <v>39518</v>
      </c>
      <c r="H1059" t="s">
        <v>39519</v>
      </c>
      <c r="I1059" t="s">
        <v>39520</v>
      </c>
      <c r="J1059" t="s">
        <v>31933</v>
      </c>
      <c r="K1059">
        <v>2022</v>
      </c>
      <c r="L1059" s="1">
        <v>44704</v>
      </c>
      <c r="M1059" t="s">
        <v>39521</v>
      </c>
      <c r="O1059" t="s">
        <v>39522</v>
      </c>
    </row>
    <row r="1060" spans="1:15" x14ac:dyDescent="0.15">
      <c r="A1060">
        <v>17142389</v>
      </c>
      <c r="B1060">
        <v>31935901</v>
      </c>
      <c r="E1060">
        <v>15595725</v>
      </c>
      <c r="F1060" t="s">
        <v>39523</v>
      </c>
      <c r="G1060" t="s">
        <v>39524</v>
      </c>
      <c r="H1060" t="s">
        <v>39525</v>
      </c>
      <c r="I1060" t="s">
        <v>39526</v>
      </c>
      <c r="J1060" t="s">
        <v>34224</v>
      </c>
      <c r="K1060">
        <v>2004</v>
      </c>
      <c r="L1060" s="1">
        <v>38336</v>
      </c>
      <c r="O1060" t="s">
        <v>39527</v>
      </c>
    </row>
    <row r="1061" spans="1:15" x14ac:dyDescent="0.15">
      <c r="A1061">
        <v>1400624</v>
      </c>
      <c r="B1061">
        <v>34987478</v>
      </c>
      <c r="E1061">
        <v>16461938</v>
      </c>
      <c r="F1061" t="s">
        <v>39532</v>
      </c>
      <c r="G1061" t="s">
        <v>39533</v>
      </c>
      <c r="H1061" t="s">
        <v>39534</v>
      </c>
      <c r="I1061" t="s">
        <v>37737</v>
      </c>
      <c r="J1061" t="s">
        <v>37130</v>
      </c>
      <c r="K1061">
        <v>2006</v>
      </c>
      <c r="L1061" s="1">
        <v>38756</v>
      </c>
      <c r="O1061" t="s">
        <v>39535</v>
      </c>
    </row>
    <row r="1062" spans="1:15" x14ac:dyDescent="0.15">
      <c r="A1062">
        <v>31660081</v>
      </c>
      <c r="B1062">
        <v>25066235</v>
      </c>
      <c r="E1062">
        <v>29251021</v>
      </c>
      <c r="F1062" t="s">
        <v>39536</v>
      </c>
      <c r="G1062" t="s">
        <v>39537</v>
      </c>
      <c r="H1062" t="s">
        <v>39538</v>
      </c>
      <c r="I1062" t="s">
        <v>39539</v>
      </c>
      <c r="J1062" t="s">
        <v>31816</v>
      </c>
      <c r="K1062">
        <v>2018</v>
      </c>
      <c r="L1062" s="1">
        <v>43088</v>
      </c>
      <c r="O1062" t="s">
        <v>39540</v>
      </c>
    </row>
    <row r="1063" spans="1:15" x14ac:dyDescent="0.15">
      <c r="A1063">
        <v>30111566</v>
      </c>
      <c r="B1063">
        <v>26574648</v>
      </c>
      <c r="E1063">
        <v>34198263</v>
      </c>
      <c r="F1063" t="s">
        <v>39541</v>
      </c>
      <c r="G1063" t="s">
        <v>39542</v>
      </c>
      <c r="H1063" t="s">
        <v>39543</v>
      </c>
      <c r="I1063" t="s">
        <v>39544</v>
      </c>
      <c r="J1063" t="s">
        <v>31759</v>
      </c>
      <c r="K1063">
        <v>2021</v>
      </c>
      <c r="L1063" s="1">
        <v>44378</v>
      </c>
      <c r="M1063" t="s">
        <v>39545</v>
      </c>
      <c r="O1063" t="s">
        <v>39546</v>
      </c>
    </row>
    <row r="1064" spans="1:15" x14ac:dyDescent="0.15">
      <c r="A1064">
        <v>32442343</v>
      </c>
      <c r="B1064">
        <v>30476045</v>
      </c>
      <c r="E1064">
        <v>29747217</v>
      </c>
      <c r="F1064" t="s">
        <v>39547</v>
      </c>
      <c r="G1064" t="s">
        <v>39548</v>
      </c>
      <c r="H1064" t="s">
        <v>39549</v>
      </c>
      <c r="I1064" t="s">
        <v>39550</v>
      </c>
      <c r="J1064" t="s">
        <v>36830</v>
      </c>
      <c r="K1064">
        <v>2018</v>
      </c>
      <c r="L1064" s="1">
        <v>43231</v>
      </c>
      <c r="O1064" t="s">
        <v>39551</v>
      </c>
    </row>
    <row r="1065" spans="1:15" x14ac:dyDescent="0.15">
      <c r="A1065">
        <v>27815082</v>
      </c>
      <c r="B1065">
        <v>24105744</v>
      </c>
      <c r="E1065">
        <v>23678170</v>
      </c>
      <c r="F1065" t="s">
        <v>39557</v>
      </c>
      <c r="G1065" t="s">
        <v>39558</v>
      </c>
      <c r="H1065" t="s">
        <v>39559</v>
      </c>
      <c r="I1065" t="s">
        <v>39560</v>
      </c>
      <c r="J1065" t="s">
        <v>31970</v>
      </c>
      <c r="K1065">
        <v>2013</v>
      </c>
      <c r="L1065" s="1">
        <v>41411</v>
      </c>
      <c r="M1065" t="s">
        <v>39561</v>
      </c>
      <c r="O1065" t="s">
        <v>39562</v>
      </c>
    </row>
    <row r="1066" spans="1:15" x14ac:dyDescent="0.15">
      <c r="A1066">
        <v>24849351</v>
      </c>
      <c r="B1066">
        <v>27825390</v>
      </c>
      <c r="E1066">
        <v>32209033</v>
      </c>
      <c r="F1066" t="s">
        <v>39563</v>
      </c>
      <c r="G1066" t="s">
        <v>39564</v>
      </c>
      <c r="H1066" t="s">
        <v>39565</v>
      </c>
      <c r="I1066" t="s">
        <v>32848</v>
      </c>
      <c r="J1066" t="s">
        <v>33443</v>
      </c>
      <c r="K1066">
        <v>2020</v>
      </c>
      <c r="L1066" s="1">
        <v>43917</v>
      </c>
      <c r="O1066" t="s">
        <v>39566</v>
      </c>
    </row>
    <row r="1067" spans="1:15" x14ac:dyDescent="0.15">
      <c r="A1067">
        <v>25257395</v>
      </c>
      <c r="B1067">
        <v>32934287</v>
      </c>
      <c r="E1067">
        <v>24959992</v>
      </c>
      <c r="F1067" t="s">
        <v>39567</v>
      </c>
      <c r="G1067" t="s">
        <v>39568</v>
      </c>
      <c r="H1067" t="s">
        <v>39569</v>
      </c>
      <c r="I1067" t="s">
        <v>39570</v>
      </c>
      <c r="J1067" t="s">
        <v>39571</v>
      </c>
      <c r="K1067">
        <v>2014</v>
      </c>
      <c r="L1067" s="1">
        <v>41815</v>
      </c>
      <c r="O1067" t="s">
        <v>39572</v>
      </c>
    </row>
    <row r="1068" spans="1:15" x14ac:dyDescent="0.15">
      <c r="A1068">
        <v>34112774</v>
      </c>
      <c r="B1068">
        <v>22369922</v>
      </c>
      <c r="E1068">
        <v>31612497</v>
      </c>
      <c r="F1068" t="s">
        <v>39573</v>
      </c>
      <c r="G1068" t="s">
        <v>39574</v>
      </c>
      <c r="H1068" t="s">
        <v>39575</v>
      </c>
      <c r="I1068" t="s">
        <v>39576</v>
      </c>
      <c r="J1068" t="s">
        <v>30847</v>
      </c>
      <c r="K1068">
        <v>2020</v>
      </c>
      <c r="L1068" s="1">
        <v>43754</v>
      </c>
      <c r="O1068" t="s">
        <v>39577</v>
      </c>
    </row>
    <row r="1069" spans="1:15" x14ac:dyDescent="0.15">
      <c r="A1069">
        <v>32315358</v>
      </c>
      <c r="B1069">
        <v>32231660</v>
      </c>
      <c r="E1069">
        <v>31533842</v>
      </c>
      <c r="F1069" t="s">
        <v>39582</v>
      </c>
      <c r="G1069" t="s">
        <v>39583</v>
      </c>
      <c r="H1069" t="s">
        <v>39584</v>
      </c>
      <c r="I1069" t="s">
        <v>39585</v>
      </c>
      <c r="J1069" t="s">
        <v>31304</v>
      </c>
      <c r="K1069">
        <v>2019</v>
      </c>
      <c r="L1069" s="1">
        <v>43728</v>
      </c>
      <c r="M1069" t="s">
        <v>39586</v>
      </c>
      <c r="O1069" t="s">
        <v>39587</v>
      </c>
    </row>
    <row r="1070" spans="1:15" x14ac:dyDescent="0.15">
      <c r="A1070">
        <v>30474100</v>
      </c>
      <c r="B1070">
        <v>30467990</v>
      </c>
      <c r="E1070">
        <v>31889167</v>
      </c>
      <c r="F1070" t="s">
        <v>39596</v>
      </c>
      <c r="G1070" t="s">
        <v>39597</v>
      </c>
      <c r="H1070" t="s">
        <v>39598</v>
      </c>
      <c r="I1070" t="s">
        <v>39599</v>
      </c>
      <c r="J1070" t="s">
        <v>30834</v>
      </c>
      <c r="K1070">
        <v>2019</v>
      </c>
      <c r="L1070" s="1">
        <v>43831</v>
      </c>
      <c r="M1070" t="s">
        <v>39600</v>
      </c>
      <c r="O1070" t="s">
        <v>39601</v>
      </c>
    </row>
    <row r="1071" spans="1:15" x14ac:dyDescent="0.15">
      <c r="A1071">
        <v>28521461</v>
      </c>
      <c r="B1071">
        <v>33713701</v>
      </c>
      <c r="E1071">
        <v>25251442</v>
      </c>
      <c r="F1071" t="s">
        <v>39602</v>
      </c>
      <c r="G1071" t="s">
        <v>39603</v>
      </c>
      <c r="H1071" t="s">
        <v>39604</v>
      </c>
      <c r="I1071" t="s">
        <v>39605</v>
      </c>
      <c r="J1071" t="s">
        <v>39606</v>
      </c>
      <c r="K1071">
        <v>2015</v>
      </c>
      <c r="L1071" s="1">
        <v>41907</v>
      </c>
      <c r="M1071" t="s">
        <v>39607</v>
      </c>
      <c r="N1071" t="s">
        <v>39608</v>
      </c>
      <c r="O1071" t="s">
        <v>39609</v>
      </c>
    </row>
    <row r="1072" spans="1:15" x14ac:dyDescent="0.15">
      <c r="A1072">
        <v>19592610</v>
      </c>
      <c r="B1072">
        <v>22143786</v>
      </c>
      <c r="E1072">
        <v>31160785</v>
      </c>
      <c r="F1072" t="s">
        <v>39610</v>
      </c>
      <c r="G1072" t="s">
        <v>39611</v>
      </c>
      <c r="H1072" t="s">
        <v>39612</v>
      </c>
      <c r="I1072" t="s">
        <v>39613</v>
      </c>
      <c r="J1072" t="s">
        <v>38145</v>
      </c>
      <c r="K1072">
        <v>2019</v>
      </c>
      <c r="L1072" s="1">
        <v>43621</v>
      </c>
      <c r="M1072" t="s">
        <v>39614</v>
      </c>
      <c r="N1072" t="s">
        <v>39615</v>
      </c>
      <c r="O1072" t="s">
        <v>39616</v>
      </c>
    </row>
    <row r="1073" spans="1:15" x14ac:dyDescent="0.15">
      <c r="A1073">
        <v>32255115</v>
      </c>
      <c r="B1073">
        <v>21289297</v>
      </c>
      <c r="E1073">
        <v>29701682</v>
      </c>
      <c r="F1073" t="s">
        <v>39624</v>
      </c>
      <c r="G1073" t="s">
        <v>39625</v>
      </c>
      <c r="H1073" t="s">
        <v>39626</v>
      </c>
      <c r="I1073" t="s">
        <v>39627</v>
      </c>
      <c r="J1073" t="s">
        <v>33169</v>
      </c>
      <c r="K1073">
        <v>2018</v>
      </c>
      <c r="L1073" s="1">
        <v>43218</v>
      </c>
      <c r="M1073" t="s">
        <v>39628</v>
      </c>
      <c r="O1073" t="s">
        <v>39629</v>
      </c>
    </row>
    <row r="1074" spans="1:15" x14ac:dyDescent="0.15">
      <c r="A1074">
        <v>27092489</v>
      </c>
      <c r="B1074">
        <v>34275103</v>
      </c>
      <c r="E1074">
        <v>31226398</v>
      </c>
      <c r="F1074" t="s">
        <v>39630</v>
      </c>
      <c r="G1074" t="s">
        <v>39631</v>
      </c>
      <c r="H1074" t="s">
        <v>39632</v>
      </c>
      <c r="I1074" t="s">
        <v>39633</v>
      </c>
      <c r="J1074" t="s">
        <v>31311</v>
      </c>
      <c r="K1074">
        <v>2019</v>
      </c>
      <c r="L1074" s="1">
        <v>43638</v>
      </c>
      <c r="O1074" t="s">
        <v>39634</v>
      </c>
    </row>
    <row r="1075" spans="1:15" x14ac:dyDescent="0.15">
      <c r="A1075">
        <v>29533121</v>
      </c>
      <c r="B1075">
        <v>30928427</v>
      </c>
      <c r="E1075">
        <v>31432608</v>
      </c>
      <c r="F1075" t="s">
        <v>39635</v>
      </c>
      <c r="G1075" t="s">
        <v>39636</v>
      </c>
      <c r="H1075" t="s">
        <v>39637</v>
      </c>
      <c r="I1075" t="s">
        <v>39638</v>
      </c>
      <c r="J1075" t="s">
        <v>39639</v>
      </c>
      <c r="K1075">
        <v>2020</v>
      </c>
      <c r="L1075" s="1">
        <v>43699</v>
      </c>
      <c r="M1075" t="s">
        <v>39640</v>
      </c>
      <c r="N1075" t="s">
        <v>39641</v>
      </c>
      <c r="O1075" t="s">
        <v>39642</v>
      </c>
    </row>
    <row r="1076" spans="1:15" x14ac:dyDescent="0.15">
      <c r="A1076">
        <v>29093639</v>
      </c>
      <c r="B1076">
        <v>23873874</v>
      </c>
      <c r="E1076">
        <v>25728769</v>
      </c>
      <c r="F1076" t="s">
        <v>39643</v>
      </c>
      <c r="G1076" t="s">
        <v>39644</v>
      </c>
      <c r="H1076" t="s">
        <v>39645</v>
      </c>
      <c r="I1076" t="s">
        <v>39646</v>
      </c>
      <c r="J1076" t="s">
        <v>32022</v>
      </c>
      <c r="K1076">
        <v>2015</v>
      </c>
      <c r="L1076" s="1">
        <v>42066</v>
      </c>
      <c r="M1076" t="s">
        <v>39647</v>
      </c>
      <c r="N1076" t="s">
        <v>39648</v>
      </c>
      <c r="O1076" t="s">
        <v>39649</v>
      </c>
    </row>
    <row r="1077" spans="1:15" x14ac:dyDescent="0.15">
      <c r="A1077">
        <v>30254196</v>
      </c>
      <c r="B1077">
        <v>33860784</v>
      </c>
      <c r="E1077">
        <v>29326054</v>
      </c>
      <c r="F1077" t="s">
        <v>39650</v>
      </c>
      <c r="G1077" t="s">
        <v>39651</v>
      </c>
      <c r="H1077" t="s">
        <v>39652</v>
      </c>
      <c r="I1077" t="s">
        <v>39653</v>
      </c>
      <c r="J1077" t="s">
        <v>31311</v>
      </c>
      <c r="K1077">
        <v>2018</v>
      </c>
      <c r="L1077" s="1">
        <v>43113</v>
      </c>
      <c r="O1077" t="s">
        <v>39654</v>
      </c>
    </row>
    <row r="1078" spans="1:15" x14ac:dyDescent="0.15">
      <c r="A1078">
        <v>16501071</v>
      </c>
      <c r="B1078">
        <v>32442760</v>
      </c>
      <c r="E1078">
        <v>27075929</v>
      </c>
      <c r="F1078" t="s">
        <v>39655</v>
      </c>
      <c r="G1078" t="s">
        <v>39656</v>
      </c>
      <c r="H1078" t="s">
        <v>39657</v>
      </c>
      <c r="I1078" t="s">
        <v>39658</v>
      </c>
      <c r="J1078" t="s">
        <v>31137</v>
      </c>
      <c r="K1078">
        <v>2016</v>
      </c>
      <c r="L1078" s="1">
        <v>42475</v>
      </c>
      <c r="M1078" t="s">
        <v>39659</v>
      </c>
      <c r="O1078" t="s">
        <v>39660</v>
      </c>
    </row>
    <row r="1079" spans="1:15" x14ac:dyDescent="0.15">
      <c r="A1079">
        <v>29976931</v>
      </c>
      <c r="B1079">
        <v>30146796</v>
      </c>
      <c r="E1079">
        <v>23980030</v>
      </c>
      <c r="F1079" t="s">
        <v>39661</v>
      </c>
      <c r="G1079" t="s">
        <v>39662</v>
      </c>
      <c r="H1079" t="s">
        <v>39663</v>
      </c>
      <c r="I1079" t="s">
        <v>39664</v>
      </c>
      <c r="J1079" t="s">
        <v>31587</v>
      </c>
      <c r="K1079">
        <v>2013</v>
      </c>
      <c r="L1079" s="1">
        <v>41514</v>
      </c>
      <c r="M1079" t="s">
        <v>39665</v>
      </c>
      <c r="O1079" t="s">
        <v>39666</v>
      </c>
    </row>
    <row r="1080" spans="1:15" x14ac:dyDescent="0.15">
      <c r="A1080">
        <v>21193002</v>
      </c>
      <c r="B1080">
        <v>24123326</v>
      </c>
      <c r="E1080">
        <v>16957732</v>
      </c>
      <c r="F1080" t="s">
        <v>39667</v>
      </c>
      <c r="G1080" t="s">
        <v>39668</v>
      </c>
      <c r="H1080" t="s">
        <v>39669</v>
      </c>
      <c r="I1080" t="s">
        <v>39670</v>
      </c>
      <c r="J1080" t="s">
        <v>34237</v>
      </c>
      <c r="K1080">
        <v>2006</v>
      </c>
      <c r="L1080" s="1">
        <v>38968</v>
      </c>
      <c r="O1080" t="s">
        <v>39671</v>
      </c>
    </row>
    <row r="1081" spans="1:15" x14ac:dyDescent="0.15">
      <c r="A1081">
        <v>32795917</v>
      </c>
      <c r="B1081">
        <v>31533487</v>
      </c>
      <c r="E1081">
        <v>34129371</v>
      </c>
      <c r="F1081" t="s">
        <v>39672</v>
      </c>
      <c r="G1081" t="s">
        <v>39673</v>
      </c>
      <c r="H1081" t="s">
        <v>39674</v>
      </c>
      <c r="I1081" t="s">
        <v>39675</v>
      </c>
      <c r="J1081" t="s">
        <v>39676</v>
      </c>
      <c r="K1081">
        <v>2021</v>
      </c>
      <c r="L1081" s="1">
        <v>44362</v>
      </c>
      <c r="O1081" t="s">
        <v>39677</v>
      </c>
    </row>
    <row r="1082" spans="1:15" x14ac:dyDescent="0.15">
      <c r="A1082">
        <v>27506416</v>
      </c>
      <c r="B1082">
        <v>18725234</v>
      </c>
      <c r="E1082">
        <v>31287870</v>
      </c>
      <c r="F1082" t="s">
        <v>39678</v>
      </c>
      <c r="G1082" t="s">
        <v>39679</v>
      </c>
      <c r="H1082" t="s">
        <v>39680</v>
      </c>
      <c r="I1082" t="s">
        <v>39681</v>
      </c>
      <c r="J1082" t="s">
        <v>31587</v>
      </c>
      <c r="K1082">
        <v>2019</v>
      </c>
      <c r="L1082" s="1">
        <v>43656</v>
      </c>
      <c r="M1082" t="s">
        <v>39682</v>
      </c>
      <c r="O1082" t="s">
        <v>39683</v>
      </c>
    </row>
    <row r="1083" spans="1:15" x14ac:dyDescent="0.15">
      <c r="A1083">
        <v>32289816</v>
      </c>
      <c r="B1083">
        <v>32004570</v>
      </c>
      <c r="E1083">
        <v>35581240</v>
      </c>
      <c r="F1083" t="s">
        <v>39684</v>
      </c>
      <c r="G1083" t="s">
        <v>39685</v>
      </c>
      <c r="H1083" t="s">
        <v>39686</v>
      </c>
      <c r="I1083" t="s">
        <v>39687</v>
      </c>
      <c r="J1083" t="s">
        <v>30834</v>
      </c>
      <c r="K1083">
        <v>2022</v>
      </c>
      <c r="L1083" s="1">
        <v>44698</v>
      </c>
      <c r="M1083" t="s">
        <v>39688</v>
      </c>
      <c r="O1083" t="s">
        <v>39689</v>
      </c>
    </row>
    <row r="1084" spans="1:15" x14ac:dyDescent="0.15">
      <c r="A1084">
        <v>32915531</v>
      </c>
      <c r="B1084">
        <v>35131372</v>
      </c>
      <c r="E1084">
        <v>31644944</v>
      </c>
      <c r="F1084" t="s">
        <v>39690</v>
      </c>
      <c r="G1084" t="s">
        <v>39691</v>
      </c>
      <c r="H1084" t="s">
        <v>39692</v>
      </c>
      <c r="I1084" t="s">
        <v>39693</v>
      </c>
      <c r="J1084" t="s">
        <v>33740</v>
      </c>
      <c r="K1084">
        <v>2020</v>
      </c>
      <c r="L1084" s="1">
        <v>43762</v>
      </c>
      <c r="M1084" t="s">
        <v>39694</v>
      </c>
      <c r="N1084" t="s">
        <v>39695</v>
      </c>
      <c r="O1084" t="s">
        <v>39696</v>
      </c>
    </row>
    <row r="1085" spans="1:15" x14ac:dyDescent="0.15">
      <c r="A1085">
        <v>24141107</v>
      </c>
      <c r="B1085">
        <v>24998979</v>
      </c>
      <c r="E1085">
        <v>29289567</v>
      </c>
      <c r="F1085" t="s">
        <v>39697</v>
      </c>
      <c r="G1085" t="s">
        <v>39698</v>
      </c>
      <c r="H1085" t="s">
        <v>39699</v>
      </c>
      <c r="I1085" t="s">
        <v>39700</v>
      </c>
      <c r="J1085" t="s">
        <v>31850</v>
      </c>
      <c r="K1085">
        <v>2018</v>
      </c>
      <c r="L1085" s="1">
        <v>43101</v>
      </c>
      <c r="M1085" t="s">
        <v>39701</v>
      </c>
      <c r="N1085" t="s">
        <v>39702</v>
      </c>
      <c r="O1085" t="s">
        <v>39703</v>
      </c>
    </row>
    <row r="1086" spans="1:15" x14ac:dyDescent="0.15">
      <c r="A1086">
        <v>30846503</v>
      </c>
      <c r="B1086">
        <v>27324559</v>
      </c>
      <c r="E1086">
        <v>32593407</v>
      </c>
      <c r="F1086" t="s">
        <v>39704</v>
      </c>
      <c r="G1086" t="s">
        <v>39705</v>
      </c>
      <c r="H1086" t="s">
        <v>39706</v>
      </c>
      <c r="I1086" t="s">
        <v>39707</v>
      </c>
      <c r="J1086" t="s">
        <v>39708</v>
      </c>
      <c r="K1086">
        <v>2020</v>
      </c>
      <c r="L1086" s="1">
        <v>44011</v>
      </c>
      <c r="O1086" t="s">
        <v>39709</v>
      </c>
    </row>
    <row r="1087" spans="1:15" x14ac:dyDescent="0.15">
      <c r="A1087">
        <v>33668490</v>
      </c>
      <c r="B1087">
        <v>32089744</v>
      </c>
      <c r="E1087">
        <v>9361293</v>
      </c>
      <c r="F1087" t="s">
        <v>39710</v>
      </c>
      <c r="G1087" t="s">
        <v>39711</v>
      </c>
      <c r="H1087" t="s">
        <v>39712</v>
      </c>
      <c r="I1087" t="s">
        <v>39713</v>
      </c>
      <c r="J1087" t="s">
        <v>38824</v>
      </c>
      <c r="K1087">
        <v>1997</v>
      </c>
      <c r="L1087" s="1">
        <v>35431</v>
      </c>
      <c r="O1087" t="s">
        <v>39714</v>
      </c>
    </row>
    <row r="1088" spans="1:15" x14ac:dyDescent="0.15">
      <c r="A1088">
        <v>31620104</v>
      </c>
      <c r="B1088">
        <v>25433011</v>
      </c>
      <c r="E1088">
        <v>22306653</v>
      </c>
      <c r="F1088" t="s">
        <v>39715</v>
      </c>
      <c r="G1088" t="s">
        <v>39716</v>
      </c>
      <c r="H1088" t="s">
        <v>39717</v>
      </c>
      <c r="I1088" t="s">
        <v>39718</v>
      </c>
      <c r="J1088" t="s">
        <v>34801</v>
      </c>
      <c r="K1088">
        <v>2012</v>
      </c>
      <c r="L1088" s="1">
        <v>40946</v>
      </c>
      <c r="O1088" t="s">
        <v>39719</v>
      </c>
    </row>
    <row r="1089" spans="1:15" x14ac:dyDescent="0.15">
      <c r="A1089">
        <v>32664737</v>
      </c>
      <c r="B1089">
        <v>35830762</v>
      </c>
      <c r="E1089">
        <v>19061643</v>
      </c>
      <c r="F1089" t="s">
        <v>39720</v>
      </c>
      <c r="G1089" t="s">
        <v>39721</v>
      </c>
      <c r="H1089" t="s">
        <v>39722</v>
      </c>
      <c r="I1089" t="s">
        <v>36013</v>
      </c>
      <c r="J1089" t="s">
        <v>32022</v>
      </c>
      <c r="K1089">
        <v>2008</v>
      </c>
      <c r="L1089" s="1">
        <v>39791</v>
      </c>
      <c r="M1089" t="s">
        <v>39723</v>
      </c>
      <c r="N1089" t="s">
        <v>39724</v>
      </c>
      <c r="O1089" t="s">
        <v>39725</v>
      </c>
    </row>
    <row r="1090" spans="1:15" x14ac:dyDescent="0.15">
      <c r="A1090">
        <v>30596665</v>
      </c>
      <c r="B1090">
        <v>22999859</v>
      </c>
      <c r="E1090">
        <v>35040435</v>
      </c>
      <c r="F1090" t="s">
        <v>39730</v>
      </c>
      <c r="G1090" t="s">
        <v>39731</v>
      </c>
      <c r="H1090" t="s">
        <v>39732</v>
      </c>
      <c r="I1090" t="s">
        <v>37838</v>
      </c>
      <c r="J1090" t="s">
        <v>30566</v>
      </c>
      <c r="K1090">
        <v>2022</v>
      </c>
      <c r="L1090" s="1">
        <v>44579</v>
      </c>
      <c r="M1090" t="s">
        <v>39733</v>
      </c>
      <c r="O1090" t="s">
        <v>39734</v>
      </c>
    </row>
    <row r="1091" spans="1:15" x14ac:dyDescent="0.15">
      <c r="A1091">
        <v>16841193</v>
      </c>
      <c r="B1091">
        <v>29086374</v>
      </c>
      <c r="E1091">
        <v>26387449</v>
      </c>
      <c r="F1091" t="s">
        <v>39735</v>
      </c>
      <c r="G1091" t="s">
        <v>39736</v>
      </c>
      <c r="H1091" t="s">
        <v>39737</v>
      </c>
      <c r="I1091" t="s">
        <v>39738</v>
      </c>
      <c r="J1091" t="s">
        <v>39739</v>
      </c>
      <c r="K1091">
        <v>2016</v>
      </c>
      <c r="L1091" s="1">
        <v>42269</v>
      </c>
      <c r="O1091" t="s">
        <v>39740</v>
      </c>
    </row>
    <row r="1092" spans="1:15" x14ac:dyDescent="0.15">
      <c r="A1092">
        <v>28492516</v>
      </c>
      <c r="B1092">
        <v>26479035</v>
      </c>
      <c r="E1092">
        <v>22723882</v>
      </c>
      <c r="F1092" t="s">
        <v>39741</v>
      </c>
      <c r="G1092" t="s">
        <v>39742</v>
      </c>
      <c r="H1092" t="s">
        <v>39743</v>
      </c>
      <c r="I1092" t="s">
        <v>39744</v>
      </c>
      <c r="J1092" t="s">
        <v>31639</v>
      </c>
      <c r="K1092">
        <v>2012</v>
      </c>
      <c r="L1092" s="1">
        <v>41083</v>
      </c>
      <c r="M1092" t="s">
        <v>39745</v>
      </c>
      <c r="O1092" t="s">
        <v>27360</v>
      </c>
    </row>
    <row r="1093" spans="1:15" x14ac:dyDescent="0.15">
      <c r="A1093">
        <v>32866725</v>
      </c>
      <c r="B1093">
        <v>22683267</v>
      </c>
      <c r="E1093">
        <v>17998247</v>
      </c>
      <c r="F1093" t="s">
        <v>39748</v>
      </c>
      <c r="G1093" t="s">
        <v>39749</v>
      </c>
      <c r="H1093" t="s">
        <v>39750</v>
      </c>
      <c r="I1093" t="s">
        <v>39751</v>
      </c>
      <c r="J1093" t="s">
        <v>33359</v>
      </c>
      <c r="K1093">
        <v>2008</v>
      </c>
      <c r="L1093" s="1">
        <v>39400</v>
      </c>
      <c r="O1093" t="s">
        <v>39752</v>
      </c>
    </row>
    <row r="1094" spans="1:15" x14ac:dyDescent="0.15">
      <c r="A1094">
        <v>18089561</v>
      </c>
      <c r="B1094">
        <v>26246139</v>
      </c>
      <c r="E1094">
        <v>18332123</v>
      </c>
      <c r="F1094" t="s">
        <v>39753</v>
      </c>
      <c r="G1094" t="s">
        <v>39754</v>
      </c>
      <c r="H1094" t="s">
        <v>39755</v>
      </c>
      <c r="I1094" t="s">
        <v>39756</v>
      </c>
      <c r="J1094" t="s">
        <v>33347</v>
      </c>
      <c r="K1094">
        <v>2008</v>
      </c>
      <c r="L1094" s="1">
        <v>39519</v>
      </c>
      <c r="M1094" t="s">
        <v>39757</v>
      </c>
      <c r="O1094" t="s">
        <v>39758</v>
      </c>
    </row>
    <row r="1095" spans="1:15" x14ac:dyDescent="0.15">
      <c r="A1095">
        <v>17898544</v>
      </c>
      <c r="B1095">
        <v>24391924</v>
      </c>
      <c r="E1095">
        <v>16126846</v>
      </c>
      <c r="F1095" t="s">
        <v>39759</v>
      </c>
      <c r="G1095" t="s">
        <v>39760</v>
      </c>
      <c r="H1095" t="s">
        <v>39761</v>
      </c>
      <c r="I1095" t="s">
        <v>39762</v>
      </c>
      <c r="J1095" t="s">
        <v>31587</v>
      </c>
      <c r="K1095">
        <v>2005</v>
      </c>
      <c r="L1095" s="1">
        <v>38594</v>
      </c>
      <c r="M1095" t="s">
        <v>39763</v>
      </c>
      <c r="O1095" t="s">
        <v>39764</v>
      </c>
    </row>
    <row r="1096" spans="1:15" x14ac:dyDescent="0.15">
      <c r="A1096">
        <v>32334098</v>
      </c>
      <c r="B1096">
        <v>34847357</v>
      </c>
      <c r="E1096">
        <v>31654394</v>
      </c>
      <c r="F1096" t="s">
        <v>39770</v>
      </c>
      <c r="G1096" t="s">
        <v>39771</v>
      </c>
      <c r="H1096" t="s">
        <v>39772</v>
      </c>
      <c r="I1096" t="s">
        <v>39773</v>
      </c>
      <c r="J1096" t="s">
        <v>39774</v>
      </c>
      <c r="K1096">
        <v>2020</v>
      </c>
      <c r="L1096" s="1">
        <v>43765</v>
      </c>
      <c r="O1096" t="s">
        <v>39775</v>
      </c>
    </row>
    <row r="1097" spans="1:15" x14ac:dyDescent="0.15">
      <c r="A1097">
        <v>12635668</v>
      </c>
      <c r="B1097">
        <v>34083751</v>
      </c>
      <c r="E1097">
        <v>35892331</v>
      </c>
      <c r="F1097" t="s">
        <v>39776</v>
      </c>
      <c r="G1097" t="s">
        <v>39777</v>
      </c>
      <c r="H1097" t="s">
        <v>39778</v>
      </c>
      <c r="I1097" t="s">
        <v>39779</v>
      </c>
      <c r="J1097" t="s">
        <v>33169</v>
      </c>
      <c r="K1097">
        <v>2022</v>
      </c>
      <c r="L1097" s="1">
        <v>44769</v>
      </c>
      <c r="M1097" t="s">
        <v>39780</v>
      </c>
      <c r="O1097" t="s">
        <v>39781</v>
      </c>
    </row>
    <row r="1098" spans="1:15" x14ac:dyDescent="0.15">
      <c r="A1098">
        <v>27579604</v>
      </c>
      <c r="B1098">
        <v>28957874</v>
      </c>
      <c r="E1098">
        <v>12805285</v>
      </c>
      <c r="F1098" t="s">
        <v>39789</v>
      </c>
      <c r="G1098" t="s">
        <v>39790</v>
      </c>
      <c r="H1098" t="s">
        <v>39791</v>
      </c>
      <c r="I1098" t="s">
        <v>39792</v>
      </c>
      <c r="J1098" t="s">
        <v>31291</v>
      </c>
      <c r="K1098">
        <v>2003</v>
      </c>
      <c r="L1098" s="1">
        <v>37786</v>
      </c>
      <c r="M1098" t="s">
        <v>39793</v>
      </c>
      <c r="O1098" t="s">
        <v>39794</v>
      </c>
    </row>
    <row r="1099" spans="1:15" x14ac:dyDescent="0.15">
      <c r="A1099">
        <v>29550075</v>
      </c>
      <c r="B1099">
        <v>32860954</v>
      </c>
      <c r="E1099">
        <v>25281721</v>
      </c>
      <c r="F1099" t="s">
        <v>39804</v>
      </c>
      <c r="G1099" t="s">
        <v>39805</v>
      </c>
      <c r="H1099" t="s">
        <v>39806</v>
      </c>
      <c r="I1099" t="s">
        <v>39807</v>
      </c>
      <c r="J1099" t="s">
        <v>31167</v>
      </c>
      <c r="K1099">
        <v>2014</v>
      </c>
      <c r="L1099" s="1">
        <v>41917</v>
      </c>
      <c r="O1099" t="s">
        <v>39808</v>
      </c>
    </row>
    <row r="1100" spans="1:15" x14ac:dyDescent="0.15">
      <c r="A1100">
        <v>16672282</v>
      </c>
      <c r="B1100">
        <v>30401711</v>
      </c>
      <c r="E1100">
        <v>20807745</v>
      </c>
      <c r="F1100" t="s">
        <v>39809</v>
      </c>
      <c r="G1100" t="s">
        <v>39810</v>
      </c>
      <c r="H1100" t="s">
        <v>39811</v>
      </c>
      <c r="I1100" t="s">
        <v>39812</v>
      </c>
      <c r="J1100" t="s">
        <v>30767</v>
      </c>
      <c r="K1100">
        <v>2010</v>
      </c>
      <c r="L1100" s="1">
        <v>40424</v>
      </c>
      <c r="M1100" t="s">
        <v>39813</v>
      </c>
      <c r="O1100" t="s">
        <v>39814</v>
      </c>
    </row>
    <row r="1101" spans="1:15" x14ac:dyDescent="0.15">
      <c r="A1101">
        <v>29170447</v>
      </c>
      <c r="B1101">
        <v>24726328</v>
      </c>
      <c r="E1101">
        <v>15625191</v>
      </c>
      <c r="F1101" t="s">
        <v>39825</v>
      </c>
      <c r="G1101" t="s">
        <v>39826</v>
      </c>
      <c r="H1101" t="s">
        <v>39827</v>
      </c>
      <c r="I1101" t="s">
        <v>39828</v>
      </c>
      <c r="J1101" t="s">
        <v>31824</v>
      </c>
      <c r="K1101">
        <v>2005</v>
      </c>
      <c r="L1101" s="1">
        <v>38352</v>
      </c>
      <c r="M1101" t="s">
        <v>39829</v>
      </c>
      <c r="O1101" t="s">
        <v>39830</v>
      </c>
    </row>
    <row r="1102" spans="1:15" x14ac:dyDescent="0.15">
      <c r="A1102">
        <v>24535842</v>
      </c>
      <c r="B1102">
        <v>32161398</v>
      </c>
      <c r="E1102">
        <v>11923195</v>
      </c>
      <c r="F1102" t="s">
        <v>39831</v>
      </c>
      <c r="G1102" t="s">
        <v>39832</v>
      </c>
      <c r="H1102" t="s">
        <v>39833</v>
      </c>
      <c r="I1102" t="s">
        <v>39834</v>
      </c>
      <c r="J1102" t="s">
        <v>30966</v>
      </c>
      <c r="K1102">
        <v>2002</v>
      </c>
      <c r="L1102" s="1">
        <v>37345</v>
      </c>
      <c r="M1102" t="s">
        <v>39835</v>
      </c>
      <c r="N1102" t="s">
        <v>39836</v>
      </c>
      <c r="O1102" t="s">
        <v>39837</v>
      </c>
    </row>
    <row r="1103" spans="1:15" x14ac:dyDescent="0.15">
      <c r="A1103">
        <v>32594744</v>
      </c>
      <c r="B1103">
        <v>33065194</v>
      </c>
      <c r="E1103">
        <v>8915355</v>
      </c>
      <c r="F1103" t="s">
        <v>39838</v>
      </c>
      <c r="G1103" t="s">
        <v>39839</v>
      </c>
      <c r="H1103" t="s">
        <v>39840</v>
      </c>
      <c r="I1103" t="s">
        <v>39841</v>
      </c>
      <c r="J1103" t="s">
        <v>31023</v>
      </c>
      <c r="K1103">
        <v>1996</v>
      </c>
      <c r="L1103" s="1">
        <v>35065</v>
      </c>
      <c r="O1103" t="s">
        <v>39842</v>
      </c>
    </row>
    <row r="1104" spans="1:15" x14ac:dyDescent="0.15">
      <c r="A1104">
        <v>31768526</v>
      </c>
      <c r="B1104">
        <v>33184263</v>
      </c>
      <c r="E1104">
        <v>33808542</v>
      </c>
      <c r="F1104" t="s">
        <v>39843</v>
      </c>
      <c r="G1104" t="s">
        <v>39844</v>
      </c>
      <c r="H1104" t="s">
        <v>39845</v>
      </c>
      <c r="I1104" t="s">
        <v>39846</v>
      </c>
      <c r="J1104" t="s">
        <v>30655</v>
      </c>
      <c r="K1104">
        <v>2021</v>
      </c>
      <c r="L1104" s="1">
        <v>44289</v>
      </c>
      <c r="M1104" t="s">
        <v>39847</v>
      </c>
      <c r="O1104" t="s">
        <v>39848</v>
      </c>
    </row>
    <row r="1105" spans="1:15" x14ac:dyDescent="0.15">
      <c r="A1105" t="s">
        <v>74</v>
      </c>
      <c r="B1105">
        <v>30369925</v>
      </c>
      <c r="E1105">
        <v>30118658</v>
      </c>
      <c r="F1105" t="s">
        <v>39849</v>
      </c>
      <c r="G1105" t="s">
        <v>39850</v>
      </c>
      <c r="H1105" t="s">
        <v>39851</v>
      </c>
      <c r="I1105" t="s">
        <v>39852</v>
      </c>
      <c r="J1105" t="s">
        <v>32493</v>
      </c>
      <c r="K1105">
        <v>2018</v>
      </c>
      <c r="L1105" s="1">
        <v>43330</v>
      </c>
      <c r="O1105" t="s">
        <v>39853</v>
      </c>
    </row>
    <row r="1106" spans="1:15" x14ac:dyDescent="0.15">
      <c r="A1106">
        <v>32352741</v>
      </c>
      <c r="B1106">
        <v>35167807</v>
      </c>
      <c r="E1106">
        <v>12711090</v>
      </c>
      <c r="F1106" t="s">
        <v>39854</v>
      </c>
      <c r="G1106" t="s">
        <v>39855</v>
      </c>
      <c r="H1106" t="s">
        <v>39856</v>
      </c>
      <c r="I1106" t="s">
        <v>39857</v>
      </c>
      <c r="J1106" t="s">
        <v>39858</v>
      </c>
      <c r="K1106">
        <v>2003</v>
      </c>
      <c r="L1106" s="1">
        <v>37736</v>
      </c>
      <c r="O1106" t="s">
        <v>39859</v>
      </c>
    </row>
    <row r="1107" spans="1:15" x14ac:dyDescent="0.15">
      <c r="A1107">
        <v>11118370</v>
      </c>
      <c r="B1107">
        <v>29216783</v>
      </c>
      <c r="E1107">
        <v>12871939</v>
      </c>
      <c r="F1107" t="s">
        <v>39860</v>
      </c>
      <c r="G1107" t="s">
        <v>39861</v>
      </c>
      <c r="H1107" t="s">
        <v>39862</v>
      </c>
      <c r="I1107" t="s">
        <v>39863</v>
      </c>
      <c r="J1107" t="s">
        <v>31594</v>
      </c>
      <c r="K1107">
        <v>2003</v>
      </c>
      <c r="L1107" s="1">
        <v>37825</v>
      </c>
      <c r="M1107" t="s">
        <v>39864</v>
      </c>
      <c r="N1107" t="s">
        <v>39865</v>
      </c>
      <c r="O1107" t="s">
        <v>39866</v>
      </c>
    </row>
    <row r="1108" spans="1:15" x14ac:dyDescent="0.15">
      <c r="A1108">
        <v>29302403</v>
      </c>
      <c r="B1108">
        <v>25837312</v>
      </c>
      <c r="E1108">
        <v>22438559</v>
      </c>
      <c r="F1108" t="s">
        <v>39867</v>
      </c>
      <c r="G1108" t="s">
        <v>39868</v>
      </c>
      <c r="H1108" t="s">
        <v>39869</v>
      </c>
      <c r="I1108" t="s">
        <v>39870</v>
      </c>
      <c r="J1108" t="s">
        <v>31970</v>
      </c>
      <c r="K1108">
        <v>2012</v>
      </c>
      <c r="L1108" s="1">
        <v>40991</v>
      </c>
      <c r="M1108" t="s">
        <v>39871</v>
      </c>
      <c r="O1108" t="s">
        <v>39872</v>
      </c>
    </row>
    <row r="1109" spans="1:15" x14ac:dyDescent="0.15">
      <c r="A1109">
        <v>23881522</v>
      </c>
      <c r="B1109">
        <v>32471033</v>
      </c>
      <c r="E1109">
        <v>29800303</v>
      </c>
      <c r="F1109" t="s">
        <v>39878</v>
      </c>
      <c r="G1109" t="s">
        <v>39879</v>
      </c>
      <c r="H1109" t="s">
        <v>39880</v>
      </c>
      <c r="I1109" t="s">
        <v>30910</v>
      </c>
      <c r="J1109" t="s">
        <v>39881</v>
      </c>
      <c r="K1109">
        <v>2018</v>
      </c>
      <c r="L1109" s="1">
        <v>43246</v>
      </c>
      <c r="O1109" t="s">
        <v>39882</v>
      </c>
    </row>
    <row r="1110" spans="1:15" x14ac:dyDescent="0.15">
      <c r="A1110">
        <v>32363015</v>
      </c>
      <c r="B1110">
        <v>33497844</v>
      </c>
      <c r="E1110">
        <v>28844885</v>
      </c>
      <c r="F1110" t="s">
        <v>39887</v>
      </c>
      <c r="G1110" t="s">
        <v>39888</v>
      </c>
      <c r="H1110" t="s">
        <v>39889</v>
      </c>
      <c r="I1110" t="s">
        <v>39890</v>
      </c>
      <c r="J1110" t="s">
        <v>32127</v>
      </c>
      <c r="K1110">
        <v>2017</v>
      </c>
      <c r="L1110" s="1">
        <v>42976</v>
      </c>
      <c r="O1110" t="s">
        <v>39891</v>
      </c>
    </row>
    <row r="1111" spans="1:15" x14ac:dyDescent="0.15">
      <c r="A1111">
        <v>31340551</v>
      </c>
      <c r="B1111">
        <v>34020253</v>
      </c>
      <c r="E1111">
        <v>33377869</v>
      </c>
      <c r="F1111" t="s">
        <v>39896</v>
      </c>
      <c r="G1111" t="s">
        <v>39897</v>
      </c>
      <c r="H1111" t="s">
        <v>39898</v>
      </c>
      <c r="I1111" t="s">
        <v>39899</v>
      </c>
      <c r="J1111" t="s">
        <v>36402</v>
      </c>
      <c r="K1111">
        <v>2020</v>
      </c>
      <c r="L1111" s="1">
        <v>44195</v>
      </c>
      <c r="M1111" t="s">
        <v>39900</v>
      </c>
      <c r="O1111" t="s">
        <v>39901</v>
      </c>
    </row>
    <row r="1112" spans="1:15" x14ac:dyDescent="0.15">
      <c r="A1112">
        <v>28807240</v>
      </c>
      <c r="B1112">
        <v>19955569</v>
      </c>
      <c r="E1112">
        <v>31322581</v>
      </c>
      <c r="F1112" t="s">
        <v>39902</v>
      </c>
      <c r="G1112" t="s">
        <v>39903</v>
      </c>
      <c r="H1112" t="s">
        <v>39904</v>
      </c>
      <c r="I1112" t="s">
        <v>39905</v>
      </c>
      <c r="J1112" t="s">
        <v>33331</v>
      </c>
      <c r="K1112">
        <v>2019</v>
      </c>
      <c r="L1112" s="1">
        <v>43666</v>
      </c>
      <c r="M1112" t="s">
        <v>39906</v>
      </c>
      <c r="O1112" t="s">
        <v>39907</v>
      </c>
    </row>
    <row r="1113" spans="1:15" x14ac:dyDescent="0.15">
      <c r="A1113">
        <v>18806345</v>
      </c>
      <c r="B1113">
        <v>25890246</v>
      </c>
      <c r="E1113">
        <v>31294478</v>
      </c>
      <c r="F1113" t="s">
        <v>39908</v>
      </c>
      <c r="G1113" t="s">
        <v>39909</v>
      </c>
      <c r="H1113" t="s">
        <v>39910</v>
      </c>
      <c r="I1113" t="s">
        <v>39911</v>
      </c>
      <c r="J1113" t="s">
        <v>35307</v>
      </c>
      <c r="K1113">
        <v>2019</v>
      </c>
      <c r="L1113" s="1">
        <v>43658</v>
      </c>
      <c r="M1113" t="s">
        <v>39912</v>
      </c>
      <c r="O1113" t="s">
        <v>39913</v>
      </c>
    </row>
    <row r="1114" spans="1:15" x14ac:dyDescent="0.15">
      <c r="A1114">
        <v>34218177</v>
      </c>
      <c r="B1114">
        <v>34505766</v>
      </c>
      <c r="E1114">
        <v>25988873</v>
      </c>
      <c r="F1114" t="s">
        <v>39914</v>
      </c>
      <c r="G1114" t="s">
        <v>39915</v>
      </c>
      <c r="H1114" t="s">
        <v>39916</v>
      </c>
      <c r="I1114" t="s">
        <v>37366</v>
      </c>
      <c r="J1114" t="s">
        <v>30921</v>
      </c>
      <c r="K1114">
        <v>2015</v>
      </c>
      <c r="L1114" s="1">
        <v>42144</v>
      </c>
      <c r="M1114" t="s">
        <v>39917</v>
      </c>
      <c r="N1114" t="s">
        <v>39918</v>
      </c>
      <c r="O1114" t="s">
        <v>39919</v>
      </c>
    </row>
    <row r="1115" spans="1:15" x14ac:dyDescent="0.15">
      <c r="A1115">
        <v>16495665</v>
      </c>
      <c r="B1115">
        <v>34400637</v>
      </c>
      <c r="E1115">
        <v>21677667</v>
      </c>
      <c r="F1115" t="s">
        <v>39920</v>
      </c>
      <c r="G1115" t="s">
        <v>39921</v>
      </c>
      <c r="H1115" t="s">
        <v>39922</v>
      </c>
      <c r="I1115" t="s">
        <v>39923</v>
      </c>
      <c r="J1115" t="s">
        <v>39924</v>
      </c>
      <c r="K1115">
        <v>2011</v>
      </c>
      <c r="L1115" s="1">
        <v>40711</v>
      </c>
      <c r="M1115" t="s">
        <v>39925</v>
      </c>
      <c r="N1115" t="s">
        <v>39926</v>
      </c>
      <c r="O1115" t="s">
        <v>39927</v>
      </c>
    </row>
    <row r="1116" spans="1:15" x14ac:dyDescent="0.15">
      <c r="A1116">
        <v>28814964</v>
      </c>
      <c r="B1116">
        <v>24720881</v>
      </c>
      <c r="E1116">
        <v>33730188</v>
      </c>
      <c r="F1116" t="s">
        <v>39939</v>
      </c>
      <c r="G1116" t="s">
        <v>39940</v>
      </c>
      <c r="H1116" t="s">
        <v>39941</v>
      </c>
      <c r="I1116" t="s">
        <v>39942</v>
      </c>
      <c r="J1116" t="s">
        <v>39943</v>
      </c>
      <c r="K1116">
        <v>2021</v>
      </c>
      <c r="L1116" s="1">
        <v>44272</v>
      </c>
      <c r="M1116" t="s">
        <v>39944</v>
      </c>
      <c r="N1116" t="s">
        <v>39945</v>
      </c>
      <c r="O1116" t="s">
        <v>39946</v>
      </c>
    </row>
    <row r="1117" spans="1:15" x14ac:dyDescent="0.15">
      <c r="A1117" t="s">
        <v>74</v>
      </c>
      <c r="B1117">
        <v>25837156</v>
      </c>
      <c r="E1117">
        <v>32187185</v>
      </c>
      <c r="F1117" t="s">
        <v>39947</v>
      </c>
      <c r="G1117" t="s">
        <v>39948</v>
      </c>
      <c r="H1117" t="s">
        <v>39949</v>
      </c>
      <c r="I1117" t="s">
        <v>39950</v>
      </c>
      <c r="J1117" t="s">
        <v>32470</v>
      </c>
      <c r="K1117">
        <v>2020</v>
      </c>
      <c r="L1117" s="1">
        <v>43909</v>
      </c>
      <c r="M1117" t="s">
        <v>39951</v>
      </c>
      <c r="O1117" t="s">
        <v>39952</v>
      </c>
    </row>
    <row r="1118" spans="1:15" x14ac:dyDescent="0.15">
      <c r="A1118">
        <v>9076578</v>
      </c>
      <c r="B1118">
        <v>34467244</v>
      </c>
      <c r="E1118">
        <v>22895726</v>
      </c>
      <c r="F1118" t="s">
        <v>39953</v>
      </c>
      <c r="G1118" t="s">
        <v>39954</v>
      </c>
      <c r="H1118" t="s">
        <v>39955</v>
      </c>
      <c r="I1118" t="s">
        <v>39956</v>
      </c>
      <c r="J1118" t="s">
        <v>31291</v>
      </c>
      <c r="K1118">
        <v>2012</v>
      </c>
      <c r="L1118" s="1">
        <v>41138</v>
      </c>
      <c r="M1118" t="s">
        <v>39957</v>
      </c>
      <c r="N1118" t="s">
        <v>39958</v>
      </c>
      <c r="O1118" t="s">
        <v>39959</v>
      </c>
    </row>
    <row r="1119" spans="1:15" x14ac:dyDescent="0.15">
      <c r="A1119">
        <v>29907291</v>
      </c>
      <c r="B1119">
        <v>32082312</v>
      </c>
      <c r="E1119">
        <v>32709045</v>
      </c>
      <c r="F1119" t="s">
        <v>39960</v>
      </c>
      <c r="G1119" t="s">
        <v>39961</v>
      </c>
      <c r="H1119" t="s">
        <v>39962</v>
      </c>
      <c r="I1119" t="s">
        <v>39963</v>
      </c>
      <c r="J1119" t="s">
        <v>30655</v>
      </c>
      <c r="K1119">
        <v>2020</v>
      </c>
      <c r="L1119" s="1">
        <v>44038</v>
      </c>
      <c r="M1119" t="s">
        <v>39964</v>
      </c>
      <c r="O1119" t="s">
        <v>39965</v>
      </c>
    </row>
    <row r="1120" spans="1:15" x14ac:dyDescent="0.15">
      <c r="A1120">
        <v>31267709</v>
      </c>
      <c r="B1120">
        <v>32574550</v>
      </c>
      <c r="E1120">
        <v>29269376</v>
      </c>
      <c r="F1120" t="s">
        <v>39966</v>
      </c>
      <c r="G1120" t="s">
        <v>39967</v>
      </c>
      <c r="H1120" t="s">
        <v>39968</v>
      </c>
      <c r="I1120" t="s">
        <v>39969</v>
      </c>
      <c r="J1120" t="s">
        <v>32039</v>
      </c>
      <c r="K1120">
        <v>2018</v>
      </c>
      <c r="L1120" s="1">
        <v>43092</v>
      </c>
      <c r="M1120" t="s">
        <v>39970</v>
      </c>
      <c r="N1120" t="s">
        <v>39971</v>
      </c>
      <c r="O1120" t="s">
        <v>39972</v>
      </c>
    </row>
    <row r="1121" spans="1:15" x14ac:dyDescent="0.15">
      <c r="A1121">
        <v>33436002</v>
      </c>
      <c r="B1121">
        <v>31837917</v>
      </c>
      <c r="E1121">
        <v>30538148</v>
      </c>
      <c r="F1121" t="s">
        <v>39973</v>
      </c>
      <c r="G1121" t="s">
        <v>39974</v>
      </c>
      <c r="H1121" t="s">
        <v>39975</v>
      </c>
      <c r="I1121" t="s">
        <v>39976</v>
      </c>
      <c r="J1121" t="s">
        <v>11924</v>
      </c>
      <c r="K1121">
        <v>2019</v>
      </c>
      <c r="L1121" s="1">
        <v>43447</v>
      </c>
      <c r="M1121" t="s">
        <v>39977</v>
      </c>
      <c r="O1121" t="s">
        <v>39978</v>
      </c>
    </row>
    <row r="1122" spans="1:15" x14ac:dyDescent="0.15">
      <c r="A1122">
        <v>31200749</v>
      </c>
      <c r="B1122">
        <v>21533172</v>
      </c>
      <c r="E1122">
        <v>34343548</v>
      </c>
      <c r="F1122" t="s">
        <v>39979</v>
      </c>
      <c r="G1122" t="s">
        <v>39980</v>
      </c>
      <c r="H1122" t="s">
        <v>39981</v>
      </c>
      <c r="I1122" t="s">
        <v>39982</v>
      </c>
      <c r="J1122" t="s">
        <v>33341</v>
      </c>
      <c r="K1122">
        <v>2021</v>
      </c>
      <c r="L1122" s="1">
        <v>44411</v>
      </c>
      <c r="O1122" t="s">
        <v>39983</v>
      </c>
    </row>
    <row r="1123" spans="1:15" x14ac:dyDescent="0.15">
      <c r="A1123">
        <v>32978468</v>
      </c>
      <c r="B1123">
        <v>32628360</v>
      </c>
      <c r="E1123">
        <v>30737432</v>
      </c>
      <c r="F1123" t="s">
        <v>39984</v>
      </c>
      <c r="G1123" t="s">
        <v>39985</v>
      </c>
      <c r="H1123" t="s">
        <v>39986</v>
      </c>
      <c r="I1123" t="s">
        <v>39987</v>
      </c>
      <c r="J1123" t="s">
        <v>30834</v>
      </c>
      <c r="K1123">
        <v>2019</v>
      </c>
      <c r="L1123" s="1">
        <v>43506</v>
      </c>
      <c r="M1123" t="s">
        <v>39988</v>
      </c>
      <c r="O1123" t="s">
        <v>39989</v>
      </c>
    </row>
    <row r="1124" spans="1:15" x14ac:dyDescent="0.15">
      <c r="A1124">
        <v>32010582</v>
      </c>
      <c r="B1124">
        <v>21778410</v>
      </c>
      <c r="E1124">
        <v>28433632</v>
      </c>
      <c r="F1124" t="s">
        <v>39990</v>
      </c>
      <c r="G1124" t="s">
        <v>39991</v>
      </c>
      <c r="H1124" t="s">
        <v>39992</v>
      </c>
      <c r="I1124" t="s">
        <v>39993</v>
      </c>
      <c r="J1124" t="s">
        <v>32654</v>
      </c>
      <c r="K1124">
        <v>2017</v>
      </c>
      <c r="L1124" s="1">
        <v>42849</v>
      </c>
      <c r="M1124" t="s">
        <v>39994</v>
      </c>
      <c r="N1124" t="s">
        <v>39995</v>
      </c>
      <c r="O1124" t="s">
        <v>39996</v>
      </c>
    </row>
    <row r="1125" spans="1:15" x14ac:dyDescent="0.15">
      <c r="A1125">
        <v>33076176</v>
      </c>
      <c r="B1125">
        <v>27396686</v>
      </c>
      <c r="E1125">
        <v>35730977</v>
      </c>
      <c r="F1125" t="s">
        <v>39997</v>
      </c>
      <c r="G1125" t="s">
        <v>39998</v>
      </c>
      <c r="H1125" t="s">
        <v>39999</v>
      </c>
      <c r="I1125" t="s">
        <v>40000</v>
      </c>
      <c r="J1125" t="s">
        <v>31970</v>
      </c>
      <c r="K1125">
        <v>2022</v>
      </c>
      <c r="L1125" s="1">
        <v>44734</v>
      </c>
      <c r="M1125" t="s">
        <v>40001</v>
      </c>
      <c r="O1125" t="s">
        <v>40002</v>
      </c>
    </row>
    <row r="1126" spans="1:15" x14ac:dyDescent="0.15">
      <c r="A1126">
        <v>25783200</v>
      </c>
      <c r="B1126">
        <v>22998189</v>
      </c>
      <c r="E1126">
        <v>34819170</v>
      </c>
      <c r="F1126" t="s">
        <v>40031</v>
      </c>
      <c r="G1126" t="s">
        <v>40032</v>
      </c>
      <c r="H1126" t="s">
        <v>40033</v>
      </c>
      <c r="I1126" t="s">
        <v>32362</v>
      </c>
      <c r="J1126" t="s">
        <v>40034</v>
      </c>
      <c r="K1126">
        <v>2021</v>
      </c>
      <c r="L1126" s="1">
        <v>44525</v>
      </c>
      <c r="M1126" t="s">
        <v>40035</v>
      </c>
      <c r="O1126" t="s">
        <v>40036</v>
      </c>
    </row>
    <row r="1127" spans="1:15" x14ac:dyDescent="0.15">
      <c r="A1127">
        <v>30551256</v>
      </c>
      <c r="B1127">
        <v>27169926</v>
      </c>
      <c r="E1127">
        <v>34048709</v>
      </c>
      <c r="F1127" t="s">
        <v>40041</v>
      </c>
      <c r="G1127" t="s">
        <v>40042</v>
      </c>
      <c r="H1127" t="s">
        <v>40043</v>
      </c>
      <c r="I1127" t="s">
        <v>40044</v>
      </c>
      <c r="J1127" t="s">
        <v>31445</v>
      </c>
      <c r="K1127">
        <v>2021</v>
      </c>
      <c r="L1127" s="1">
        <v>44344</v>
      </c>
      <c r="M1127" t="s">
        <v>40045</v>
      </c>
      <c r="N1127" t="s">
        <v>40046</v>
      </c>
      <c r="O1127" t="s">
        <v>40047</v>
      </c>
    </row>
    <row r="1128" spans="1:15" x14ac:dyDescent="0.15">
      <c r="A1128">
        <v>32446697</v>
      </c>
      <c r="B1128">
        <v>33919158</v>
      </c>
      <c r="E1128">
        <v>31152038</v>
      </c>
      <c r="F1128" t="s">
        <v>40056</v>
      </c>
      <c r="G1128" t="s">
        <v>40057</v>
      </c>
      <c r="H1128" t="s">
        <v>40058</v>
      </c>
      <c r="I1128" t="s">
        <v>40059</v>
      </c>
      <c r="J1128" t="s">
        <v>40060</v>
      </c>
      <c r="K1128">
        <v>2019</v>
      </c>
      <c r="L1128" s="1">
        <v>43618</v>
      </c>
      <c r="M1128" t="s">
        <v>40061</v>
      </c>
      <c r="O1128" t="s">
        <v>40062</v>
      </c>
    </row>
    <row r="1129" spans="1:15" x14ac:dyDescent="0.15">
      <c r="A1129">
        <v>31103269</v>
      </c>
      <c r="B1129">
        <v>29219656</v>
      </c>
      <c r="D1129">
        <v>32759948</v>
      </c>
      <c r="E1129">
        <v>30951670</v>
      </c>
      <c r="F1129" t="s">
        <v>5218</v>
      </c>
      <c r="G1129" t="s">
        <v>30552</v>
      </c>
      <c r="H1129" t="s">
        <v>30553</v>
      </c>
      <c r="I1129" t="s">
        <v>30554</v>
      </c>
      <c r="J1129" t="s">
        <v>30555</v>
      </c>
      <c r="K1129">
        <v>2019</v>
      </c>
      <c r="L1129" s="1">
        <v>43561</v>
      </c>
      <c r="M1129" t="s">
        <v>30556</v>
      </c>
      <c r="N1129" t="s">
        <v>30557</v>
      </c>
      <c r="O1129" t="s">
        <v>5230</v>
      </c>
    </row>
    <row r="1130" spans="1:15" x14ac:dyDescent="0.15">
      <c r="A1130">
        <v>23029142</v>
      </c>
      <c r="B1130">
        <v>32267490</v>
      </c>
      <c r="D1130">
        <v>29462587</v>
      </c>
      <c r="E1130">
        <v>33369392</v>
      </c>
      <c r="F1130" t="s">
        <v>4437</v>
      </c>
      <c r="G1130" t="s">
        <v>30558</v>
      </c>
      <c r="H1130" t="s">
        <v>30559</v>
      </c>
      <c r="I1130" t="s">
        <v>30560</v>
      </c>
      <c r="J1130" t="s">
        <v>30561</v>
      </c>
      <c r="K1130">
        <v>2021</v>
      </c>
      <c r="L1130" s="1">
        <v>44193</v>
      </c>
      <c r="O1130" t="s">
        <v>4447</v>
      </c>
    </row>
    <row r="1131" spans="1:15" x14ac:dyDescent="0.15">
      <c r="A1131">
        <v>33384328</v>
      </c>
      <c r="B1131">
        <v>33812182</v>
      </c>
      <c r="D1131">
        <v>31901224</v>
      </c>
      <c r="E1131">
        <v>30833413</v>
      </c>
      <c r="F1131" t="s">
        <v>17026</v>
      </c>
      <c r="G1131" t="s">
        <v>30597</v>
      </c>
      <c r="H1131" t="s">
        <v>30598</v>
      </c>
      <c r="I1131" t="s">
        <v>30599</v>
      </c>
      <c r="J1131" t="s">
        <v>30600</v>
      </c>
      <c r="K1131">
        <v>2019</v>
      </c>
      <c r="L1131" s="1">
        <v>43530</v>
      </c>
      <c r="O1131" t="s">
        <v>17038</v>
      </c>
    </row>
    <row r="1132" spans="1:15" x14ac:dyDescent="0.15">
      <c r="A1132">
        <v>30622304</v>
      </c>
      <c r="B1132">
        <v>33734019</v>
      </c>
      <c r="D1132">
        <v>30987213</v>
      </c>
      <c r="E1132">
        <v>33727157</v>
      </c>
      <c r="F1132" t="s">
        <v>3424</v>
      </c>
      <c r="G1132" t="s">
        <v>30615</v>
      </c>
      <c r="H1132" t="s">
        <v>30616</v>
      </c>
      <c r="I1132" t="s">
        <v>30617</v>
      </c>
      <c r="J1132" t="s">
        <v>30618</v>
      </c>
      <c r="K1132">
        <v>2021</v>
      </c>
      <c r="L1132" s="1">
        <v>44272</v>
      </c>
      <c r="O1132" t="s">
        <v>3437</v>
      </c>
    </row>
    <row r="1133" spans="1:15" x14ac:dyDescent="0.15">
      <c r="A1133">
        <v>30237437</v>
      </c>
      <c r="B1133">
        <v>33670924</v>
      </c>
      <c r="D1133">
        <v>32767659</v>
      </c>
      <c r="E1133">
        <v>33355987</v>
      </c>
      <c r="F1133" t="s">
        <v>289</v>
      </c>
      <c r="G1133" t="s">
        <v>30640</v>
      </c>
      <c r="H1133" t="s">
        <v>30641</v>
      </c>
      <c r="I1133" t="s">
        <v>30642</v>
      </c>
      <c r="J1133" t="s">
        <v>30643</v>
      </c>
      <c r="K1133">
        <v>2021</v>
      </c>
      <c r="L1133" s="1">
        <v>44193</v>
      </c>
      <c r="M1133" t="s">
        <v>30644</v>
      </c>
      <c r="O1133" t="s">
        <v>303</v>
      </c>
    </row>
    <row r="1134" spans="1:15" x14ac:dyDescent="0.15">
      <c r="A1134">
        <v>32369338</v>
      </c>
      <c r="B1134">
        <v>31577907</v>
      </c>
      <c r="D1134">
        <v>30697211</v>
      </c>
      <c r="E1134">
        <v>31965891</v>
      </c>
      <c r="F1134" t="s">
        <v>18098</v>
      </c>
      <c r="G1134" t="s">
        <v>30658</v>
      </c>
      <c r="H1134" t="s">
        <v>30659</v>
      </c>
      <c r="I1134" t="s">
        <v>30660</v>
      </c>
      <c r="J1134" t="s">
        <v>30661</v>
      </c>
      <c r="K1134">
        <v>2020</v>
      </c>
      <c r="L1134" s="1">
        <v>43853</v>
      </c>
      <c r="M1134" t="s">
        <v>30662</v>
      </c>
      <c r="N1134" t="s">
        <v>30663</v>
      </c>
      <c r="O1134" t="s">
        <v>18110</v>
      </c>
    </row>
    <row r="1135" spans="1:15" x14ac:dyDescent="0.15">
      <c r="A1135">
        <v>26018205</v>
      </c>
      <c r="B1135">
        <v>27191915</v>
      </c>
      <c r="D1135">
        <v>29802541</v>
      </c>
      <c r="E1135">
        <v>29459780</v>
      </c>
      <c r="F1135" t="s">
        <v>8482</v>
      </c>
      <c r="G1135" t="s">
        <v>30672</v>
      </c>
      <c r="H1135" t="s">
        <v>30673</v>
      </c>
      <c r="I1135" t="s">
        <v>30674</v>
      </c>
      <c r="J1135" t="s">
        <v>30675</v>
      </c>
      <c r="K1135">
        <v>2018</v>
      </c>
      <c r="L1135" s="1">
        <v>43152</v>
      </c>
      <c r="M1135" t="s">
        <v>30676</v>
      </c>
      <c r="N1135" t="s">
        <v>30677</v>
      </c>
      <c r="O1135" t="s">
        <v>8494</v>
      </c>
    </row>
    <row r="1136" spans="1:15" x14ac:dyDescent="0.15">
      <c r="A1136" t="s">
        <v>74</v>
      </c>
      <c r="B1136">
        <v>31311428</v>
      </c>
      <c r="D1136">
        <v>31828924</v>
      </c>
      <c r="E1136">
        <v>31799396</v>
      </c>
      <c r="F1136" t="s">
        <v>10988</v>
      </c>
      <c r="G1136" t="s">
        <v>30755</v>
      </c>
      <c r="H1136" t="s">
        <v>30756</v>
      </c>
      <c r="I1136" t="s">
        <v>30757</v>
      </c>
      <c r="J1136" t="s">
        <v>30758</v>
      </c>
      <c r="K1136">
        <v>2019</v>
      </c>
      <c r="L1136" s="1">
        <v>43804</v>
      </c>
      <c r="M1136" t="s">
        <v>30759</v>
      </c>
      <c r="O1136" t="s">
        <v>10996</v>
      </c>
    </row>
    <row r="1137" spans="1:15" x14ac:dyDescent="0.15">
      <c r="A1137">
        <v>27036745</v>
      </c>
      <c r="B1137">
        <v>32101745</v>
      </c>
      <c r="D1137">
        <v>34867996</v>
      </c>
      <c r="E1137">
        <v>31614072</v>
      </c>
      <c r="F1137" t="s">
        <v>235</v>
      </c>
      <c r="G1137" t="s">
        <v>30760</v>
      </c>
      <c r="H1137" t="s">
        <v>30761</v>
      </c>
      <c r="I1137" t="s">
        <v>30762</v>
      </c>
      <c r="J1137" t="s">
        <v>30763</v>
      </c>
      <c r="K1137">
        <v>2019</v>
      </c>
      <c r="L1137" s="1">
        <v>43754</v>
      </c>
      <c r="O1137" t="s">
        <v>248</v>
      </c>
    </row>
    <row r="1138" spans="1:15" x14ac:dyDescent="0.15">
      <c r="A1138">
        <v>21623458</v>
      </c>
      <c r="B1138">
        <v>33938882</v>
      </c>
      <c r="D1138">
        <v>28167212</v>
      </c>
      <c r="E1138">
        <v>29073103</v>
      </c>
      <c r="F1138" t="s">
        <v>6971</v>
      </c>
      <c r="G1138" t="s">
        <v>30764</v>
      </c>
      <c r="H1138" t="s">
        <v>30765</v>
      </c>
      <c r="I1138" t="s">
        <v>30766</v>
      </c>
      <c r="J1138" t="s">
        <v>30767</v>
      </c>
      <c r="K1138">
        <v>2017</v>
      </c>
      <c r="L1138" s="1">
        <v>43035</v>
      </c>
      <c r="M1138" t="s">
        <v>30768</v>
      </c>
      <c r="O1138" t="s">
        <v>6983</v>
      </c>
    </row>
    <row r="1139" spans="1:15" x14ac:dyDescent="0.15">
      <c r="A1139">
        <v>31965891</v>
      </c>
      <c r="B1139">
        <v>23526637</v>
      </c>
      <c r="D1139">
        <v>33586060</v>
      </c>
      <c r="E1139">
        <v>33815695</v>
      </c>
      <c r="F1139" t="s">
        <v>4784</v>
      </c>
      <c r="G1139" t="s">
        <v>30769</v>
      </c>
      <c r="H1139" t="s">
        <v>30770</v>
      </c>
      <c r="I1139" t="s">
        <v>30771</v>
      </c>
      <c r="J1139" t="s">
        <v>30772</v>
      </c>
      <c r="K1139">
        <v>2021</v>
      </c>
      <c r="L1139" s="1">
        <v>44291</v>
      </c>
      <c r="M1139" t="s">
        <v>30773</v>
      </c>
      <c r="O1139" t="s">
        <v>4795</v>
      </c>
    </row>
    <row r="1140" spans="1:15" x14ac:dyDescent="0.15">
      <c r="A1140">
        <v>31896533</v>
      </c>
      <c r="B1140">
        <v>32819967</v>
      </c>
      <c r="D1140">
        <v>34314775</v>
      </c>
      <c r="E1140">
        <v>30789261</v>
      </c>
      <c r="F1140" t="s">
        <v>30774</v>
      </c>
      <c r="G1140" t="s">
        <v>30775</v>
      </c>
      <c r="H1140" t="s">
        <v>30776</v>
      </c>
      <c r="I1140" t="s">
        <v>30777</v>
      </c>
      <c r="J1140" t="s">
        <v>30778</v>
      </c>
      <c r="K1140">
        <v>2019</v>
      </c>
      <c r="L1140" s="1">
        <v>43518</v>
      </c>
      <c r="O1140" t="s">
        <v>1046</v>
      </c>
    </row>
    <row r="1141" spans="1:15" x14ac:dyDescent="0.15">
      <c r="A1141">
        <v>17108190</v>
      </c>
      <c r="B1141">
        <v>30412034</v>
      </c>
      <c r="D1141">
        <v>33666501</v>
      </c>
      <c r="E1141">
        <v>34453041</v>
      </c>
      <c r="F1141" t="s">
        <v>11810</v>
      </c>
      <c r="G1141" t="s">
        <v>30779</v>
      </c>
      <c r="H1141" t="s">
        <v>30780</v>
      </c>
      <c r="I1141" t="s">
        <v>30781</v>
      </c>
      <c r="J1141" t="s">
        <v>30733</v>
      </c>
      <c r="K1141">
        <v>2021</v>
      </c>
      <c r="L1141" s="1">
        <v>44436</v>
      </c>
      <c r="M1141" t="s">
        <v>30782</v>
      </c>
      <c r="O1141" t="s">
        <v>11821</v>
      </c>
    </row>
    <row r="1142" spans="1:15" x14ac:dyDescent="0.15">
      <c r="A1142">
        <v>30247599</v>
      </c>
      <c r="B1142">
        <v>19950695</v>
      </c>
      <c r="D1142">
        <v>25894694</v>
      </c>
      <c r="E1142">
        <v>28412169</v>
      </c>
      <c r="F1142" t="s">
        <v>11687</v>
      </c>
      <c r="G1142" t="s">
        <v>30783</v>
      </c>
      <c r="H1142" t="s">
        <v>30784</v>
      </c>
      <c r="I1142" t="s">
        <v>30785</v>
      </c>
      <c r="J1142" t="s">
        <v>30786</v>
      </c>
      <c r="K1142">
        <v>2017</v>
      </c>
      <c r="L1142" s="1">
        <v>42842</v>
      </c>
      <c r="M1142" t="s">
        <v>30787</v>
      </c>
      <c r="O1142" t="s">
        <v>11697</v>
      </c>
    </row>
    <row r="1143" spans="1:15" x14ac:dyDescent="0.15">
      <c r="A1143">
        <v>34332222</v>
      </c>
      <c r="B1143">
        <v>35253032</v>
      </c>
      <c r="D1143">
        <v>24488559</v>
      </c>
      <c r="E1143">
        <v>27881406</v>
      </c>
      <c r="F1143" t="s">
        <v>13040</v>
      </c>
      <c r="G1143" t="s">
        <v>30788</v>
      </c>
      <c r="H1143" t="s">
        <v>30789</v>
      </c>
      <c r="I1143" t="s">
        <v>30790</v>
      </c>
      <c r="J1143" t="s">
        <v>30791</v>
      </c>
      <c r="K1143">
        <v>2017</v>
      </c>
      <c r="L1143" s="1">
        <v>42699</v>
      </c>
      <c r="M1143" t="s">
        <v>30792</v>
      </c>
      <c r="O1143" t="s">
        <v>13055</v>
      </c>
    </row>
    <row r="1144" spans="1:15" x14ac:dyDescent="0.15">
      <c r="A1144">
        <v>28891967</v>
      </c>
      <c r="B1144">
        <v>29355922</v>
      </c>
      <c r="D1144">
        <v>32861876</v>
      </c>
      <c r="E1144">
        <v>28508895</v>
      </c>
      <c r="F1144" t="s">
        <v>6209</v>
      </c>
      <c r="G1144" t="s">
        <v>30793</v>
      </c>
      <c r="H1144" t="s">
        <v>30794</v>
      </c>
      <c r="I1144" t="s">
        <v>30795</v>
      </c>
      <c r="J1144" t="s">
        <v>30796</v>
      </c>
      <c r="K1144">
        <v>2017</v>
      </c>
      <c r="L1144" s="1">
        <v>42872</v>
      </c>
      <c r="M1144" t="s">
        <v>30797</v>
      </c>
      <c r="O1144" t="s">
        <v>6219</v>
      </c>
    </row>
    <row r="1145" spans="1:15" x14ac:dyDescent="0.15">
      <c r="A1145">
        <v>32183388</v>
      </c>
      <c r="B1145">
        <v>34263556</v>
      </c>
      <c r="D1145">
        <v>31664614</v>
      </c>
      <c r="E1145">
        <v>34545708</v>
      </c>
      <c r="F1145" t="s">
        <v>16476</v>
      </c>
      <c r="G1145" t="s">
        <v>30798</v>
      </c>
      <c r="H1145" t="s">
        <v>30799</v>
      </c>
      <c r="I1145" t="s">
        <v>30800</v>
      </c>
      <c r="J1145" t="s">
        <v>30772</v>
      </c>
      <c r="K1145">
        <v>2021</v>
      </c>
      <c r="L1145" s="1">
        <v>44460</v>
      </c>
      <c r="M1145" t="s">
        <v>30801</v>
      </c>
      <c r="O1145" t="s">
        <v>16484</v>
      </c>
    </row>
    <row r="1146" spans="1:15" x14ac:dyDescent="0.15">
      <c r="A1146">
        <v>31153869</v>
      </c>
      <c r="B1146">
        <v>32993049</v>
      </c>
      <c r="D1146">
        <v>32605316</v>
      </c>
      <c r="E1146">
        <v>32791387</v>
      </c>
      <c r="F1146" t="s">
        <v>12894</v>
      </c>
      <c r="G1146" t="s">
        <v>30809</v>
      </c>
      <c r="H1146" t="s">
        <v>30810</v>
      </c>
      <c r="I1146" t="s">
        <v>30811</v>
      </c>
      <c r="J1146" t="s">
        <v>30812</v>
      </c>
      <c r="K1146">
        <v>2020</v>
      </c>
      <c r="L1146" s="1">
        <v>44057</v>
      </c>
      <c r="O1146" t="s">
        <v>12903</v>
      </c>
    </row>
    <row r="1147" spans="1:15" x14ac:dyDescent="0.15">
      <c r="A1147">
        <v>32715764</v>
      </c>
      <c r="B1147">
        <v>25119026</v>
      </c>
      <c r="D1147">
        <v>32781015</v>
      </c>
      <c r="E1147">
        <v>32079252</v>
      </c>
      <c r="F1147" t="s">
        <v>271</v>
      </c>
      <c r="G1147" t="s">
        <v>30813</v>
      </c>
      <c r="H1147" t="s">
        <v>30814</v>
      </c>
      <c r="I1147" t="s">
        <v>30815</v>
      </c>
      <c r="J1147" t="s">
        <v>30816</v>
      </c>
      <c r="K1147">
        <v>2020</v>
      </c>
      <c r="L1147" s="1">
        <v>43883</v>
      </c>
      <c r="M1147" t="s">
        <v>30817</v>
      </c>
      <c r="O1147" t="s">
        <v>284</v>
      </c>
    </row>
    <row r="1148" spans="1:15" x14ac:dyDescent="0.15">
      <c r="A1148">
        <v>29793362</v>
      </c>
      <c r="B1148">
        <v>33002329</v>
      </c>
      <c r="D1148">
        <v>29115853</v>
      </c>
      <c r="E1148">
        <v>30240661</v>
      </c>
      <c r="F1148" t="s">
        <v>17744</v>
      </c>
      <c r="G1148" t="s">
        <v>30818</v>
      </c>
      <c r="H1148" t="s">
        <v>30819</v>
      </c>
      <c r="I1148" t="s">
        <v>30820</v>
      </c>
      <c r="J1148" t="s">
        <v>30821</v>
      </c>
      <c r="K1148">
        <v>2019</v>
      </c>
      <c r="L1148" s="1">
        <v>43365</v>
      </c>
      <c r="M1148" t="s">
        <v>30822</v>
      </c>
      <c r="N1148" t="s">
        <v>30823</v>
      </c>
      <c r="O1148" t="s">
        <v>17753</v>
      </c>
    </row>
    <row r="1149" spans="1:15" x14ac:dyDescent="0.15">
      <c r="A1149">
        <v>33485367</v>
      </c>
      <c r="B1149">
        <v>33526923</v>
      </c>
      <c r="D1149">
        <v>33137926</v>
      </c>
      <c r="E1149">
        <v>28811610</v>
      </c>
      <c r="F1149" t="s">
        <v>139</v>
      </c>
      <c r="G1149" t="s">
        <v>30831</v>
      </c>
      <c r="H1149" t="s">
        <v>30832</v>
      </c>
      <c r="I1149" t="s">
        <v>30833</v>
      </c>
      <c r="J1149" t="s">
        <v>30834</v>
      </c>
      <c r="K1149">
        <v>2017</v>
      </c>
      <c r="L1149" s="1">
        <v>42964</v>
      </c>
      <c r="M1149" t="s">
        <v>30835</v>
      </c>
      <c r="O1149" t="s">
        <v>151</v>
      </c>
    </row>
    <row r="1150" spans="1:15" x14ac:dyDescent="0.15">
      <c r="A1150">
        <v>31482867</v>
      </c>
      <c r="B1150">
        <v>34363756</v>
      </c>
      <c r="D1150">
        <v>29024380</v>
      </c>
      <c r="E1150">
        <v>32420990</v>
      </c>
      <c r="F1150" t="s">
        <v>417</v>
      </c>
      <c r="G1150" t="s">
        <v>30850</v>
      </c>
      <c r="H1150" t="s">
        <v>30851</v>
      </c>
      <c r="I1150" t="s">
        <v>30852</v>
      </c>
      <c r="J1150" t="s">
        <v>30853</v>
      </c>
      <c r="K1150">
        <v>2020</v>
      </c>
      <c r="L1150" s="1">
        <v>43970</v>
      </c>
      <c r="O1150" t="s">
        <v>430</v>
      </c>
    </row>
    <row r="1151" spans="1:15" x14ac:dyDescent="0.15">
      <c r="A1151">
        <v>23750009</v>
      </c>
      <c r="B1151">
        <v>19593367</v>
      </c>
      <c r="D1151">
        <v>31891869</v>
      </c>
      <c r="E1151">
        <v>23663360</v>
      </c>
      <c r="F1151" t="s">
        <v>19714</v>
      </c>
      <c r="G1151" t="s">
        <v>30868</v>
      </c>
      <c r="H1151" t="s">
        <v>30869</v>
      </c>
      <c r="I1151" t="s">
        <v>30870</v>
      </c>
      <c r="J1151" t="s">
        <v>30871</v>
      </c>
      <c r="K1151">
        <v>2013</v>
      </c>
      <c r="L1151" s="1">
        <v>41408</v>
      </c>
      <c r="M1151" t="s">
        <v>30872</v>
      </c>
      <c r="O1151" t="s">
        <v>19724</v>
      </c>
    </row>
    <row r="1152" spans="1:15" x14ac:dyDescent="0.15">
      <c r="A1152">
        <v>30465714</v>
      </c>
      <c r="B1152">
        <v>31504796</v>
      </c>
      <c r="D1152">
        <v>31188499</v>
      </c>
      <c r="E1152">
        <v>27652382</v>
      </c>
      <c r="F1152" t="s">
        <v>6547</v>
      </c>
      <c r="G1152" t="s">
        <v>30873</v>
      </c>
      <c r="H1152" t="s">
        <v>30874</v>
      </c>
      <c r="I1152" t="s">
        <v>30875</v>
      </c>
      <c r="J1152" t="s">
        <v>30876</v>
      </c>
      <c r="K1152">
        <v>2016</v>
      </c>
      <c r="L1152" s="1">
        <v>42635</v>
      </c>
      <c r="O1152" t="s">
        <v>6555</v>
      </c>
    </row>
    <row r="1153" spans="1:15" x14ac:dyDescent="0.15">
      <c r="A1153" t="s">
        <v>74</v>
      </c>
      <c r="B1153">
        <v>24941021</v>
      </c>
      <c r="D1153">
        <v>33324409</v>
      </c>
      <c r="E1153">
        <v>33217521</v>
      </c>
      <c r="F1153" t="s">
        <v>30897</v>
      </c>
      <c r="G1153" t="s">
        <v>30898</v>
      </c>
      <c r="H1153" t="s">
        <v>30899</v>
      </c>
      <c r="I1153" t="s">
        <v>30900</v>
      </c>
      <c r="J1153" t="s">
        <v>30901</v>
      </c>
      <c r="K1153">
        <v>2021</v>
      </c>
      <c r="L1153" s="1">
        <v>44155</v>
      </c>
      <c r="M1153" t="s">
        <v>30902</v>
      </c>
      <c r="N1153" t="s">
        <v>30903</v>
      </c>
      <c r="O1153" t="s">
        <v>8019</v>
      </c>
    </row>
    <row r="1154" spans="1:15" x14ac:dyDescent="0.15">
      <c r="A1154">
        <v>31566613</v>
      </c>
      <c r="B1154">
        <v>32777999</v>
      </c>
      <c r="D1154">
        <v>34139872</v>
      </c>
      <c r="E1154">
        <v>33933815</v>
      </c>
      <c r="F1154" t="s">
        <v>3332</v>
      </c>
      <c r="G1154" t="s">
        <v>30904</v>
      </c>
      <c r="H1154" t="s">
        <v>30905</v>
      </c>
      <c r="I1154" t="s">
        <v>30906</v>
      </c>
      <c r="J1154" t="s">
        <v>30907</v>
      </c>
      <c r="K1154">
        <v>2021</v>
      </c>
      <c r="L1154" s="1">
        <v>44318</v>
      </c>
      <c r="O1154" t="s">
        <v>3344</v>
      </c>
    </row>
    <row r="1155" spans="1:15" x14ac:dyDescent="0.15">
      <c r="A1155">
        <v>33330627</v>
      </c>
      <c r="B1155">
        <v>28963481</v>
      </c>
      <c r="D1155">
        <v>33565967</v>
      </c>
      <c r="E1155">
        <v>29045505</v>
      </c>
      <c r="F1155" t="s">
        <v>15985</v>
      </c>
      <c r="G1155" t="s">
        <v>30908</v>
      </c>
      <c r="H1155" t="s">
        <v>30909</v>
      </c>
      <c r="I1155" t="s">
        <v>30910</v>
      </c>
      <c r="J1155" t="s">
        <v>30605</v>
      </c>
      <c r="K1155">
        <v>2018</v>
      </c>
      <c r="L1155" s="1">
        <v>43027</v>
      </c>
      <c r="M1155" t="s">
        <v>30911</v>
      </c>
      <c r="O1155" t="s">
        <v>15992</v>
      </c>
    </row>
    <row r="1156" spans="1:15" x14ac:dyDescent="0.15">
      <c r="A1156">
        <v>32361246</v>
      </c>
      <c r="B1156">
        <v>21791617</v>
      </c>
      <c r="D1156">
        <v>31263077</v>
      </c>
      <c r="E1156">
        <v>29971917</v>
      </c>
      <c r="F1156" t="s">
        <v>2006</v>
      </c>
      <c r="G1156" t="s">
        <v>30918</v>
      </c>
      <c r="H1156" t="s">
        <v>30919</v>
      </c>
      <c r="I1156" t="s">
        <v>30920</v>
      </c>
      <c r="J1156" t="s">
        <v>30921</v>
      </c>
      <c r="K1156">
        <v>2018</v>
      </c>
      <c r="L1156" s="1">
        <v>43286</v>
      </c>
      <c r="O1156" t="s">
        <v>2016</v>
      </c>
    </row>
    <row r="1157" spans="1:15" x14ac:dyDescent="0.15">
      <c r="A1157">
        <v>30865381</v>
      </c>
      <c r="B1157">
        <v>30400025</v>
      </c>
      <c r="D1157">
        <v>30697216</v>
      </c>
      <c r="E1157">
        <v>32369338</v>
      </c>
      <c r="F1157" t="s">
        <v>25785</v>
      </c>
      <c r="G1157" t="s">
        <v>30953</v>
      </c>
      <c r="H1157" t="s">
        <v>30954</v>
      </c>
      <c r="I1157" t="s">
        <v>30955</v>
      </c>
      <c r="J1157" t="s">
        <v>30956</v>
      </c>
      <c r="K1157">
        <v>2020</v>
      </c>
      <c r="L1157" s="1">
        <v>43957</v>
      </c>
      <c r="O1157" t="s">
        <v>25794</v>
      </c>
    </row>
    <row r="1158" spans="1:15" x14ac:dyDescent="0.15">
      <c r="A1158">
        <v>25678142</v>
      </c>
      <c r="B1158">
        <v>31281536</v>
      </c>
      <c r="D1158">
        <v>28833502</v>
      </c>
      <c r="E1158">
        <v>27436038</v>
      </c>
      <c r="F1158" t="s">
        <v>2068</v>
      </c>
      <c r="G1158" t="s">
        <v>30963</v>
      </c>
      <c r="H1158" t="s">
        <v>30964</v>
      </c>
      <c r="I1158" t="s">
        <v>30965</v>
      </c>
      <c r="J1158" t="s">
        <v>30966</v>
      </c>
      <c r="K1158">
        <v>2016</v>
      </c>
      <c r="L1158" s="1">
        <v>42572</v>
      </c>
      <c r="O1158" t="s">
        <v>2082</v>
      </c>
    </row>
    <row r="1159" spans="1:15" x14ac:dyDescent="0.15">
      <c r="A1159">
        <v>20538610</v>
      </c>
      <c r="B1159">
        <v>25200057</v>
      </c>
      <c r="D1159">
        <v>27150849</v>
      </c>
      <c r="E1159">
        <v>21049390</v>
      </c>
      <c r="F1159" t="s">
        <v>30967</v>
      </c>
      <c r="G1159" t="s">
        <v>30968</v>
      </c>
      <c r="H1159" t="s">
        <v>30969</v>
      </c>
      <c r="I1159" t="s">
        <v>30970</v>
      </c>
      <c r="J1159" t="s">
        <v>30971</v>
      </c>
      <c r="K1159">
        <v>2010</v>
      </c>
      <c r="L1159" s="1">
        <v>40487</v>
      </c>
      <c r="O1159" t="s">
        <v>10487</v>
      </c>
    </row>
    <row r="1160" spans="1:15" x14ac:dyDescent="0.15">
      <c r="A1160">
        <v>25696887</v>
      </c>
      <c r="B1160">
        <v>30195377</v>
      </c>
      <c r="D1160">
        <v>29904278</v>
      </c>
      <c r="E1160">
        <v>30542983</v>
      </c>
      <c r="F1160" t="s">
        <v>157</v>
      </c>
      <c r="G1160" t="s">
        <v>30978</v>
      </c>
      <c r="H1160" t="s">
        <v>30979</v>
      </c>
      <c r="I1160" t="s">
        <v>30980</v>
      </c>
      <c r="J1160" t="s">
        <v>30727</v>
      </c>
      <c r="K1160">
        <v>2019</v>
      </c>
      <c r="L1160" s="1">
        <v>43448</v>
      </c>
      <c r="O1160" t="s">
        <v>171</v>
      </c>
    </row>
    <row r="1161" spans="1:15" x14ac:dyDescent="0.15">
      <c r="A1161" t="s">
        <v>74</v>
      </c>
      <c r="B1161">
        <v>23696541</v>
      </c>
      <c r="D1161">
        <v>30925921</v>
      </c>
      <c r="E1161">
        <v>27394168</v>
      </c>
      <c r="F1161" t="s">
        <v>519</v>
      </c>
      <c r="G1161" t="s">
        <v>30981</v>
      </c>
      <c r="H1161" t="s">
        <v>30982</v>
      </c>
      <c r="I1161" t="s">
        <v>30983</v>
      </c>
      <c r="J1161" t="s">
        <v>30984</v>
      </c>
      <c r="K1161">
        <v>2016</v>
      </c>
      <c r="L1161" s="1">
        <v>42562</v>
      </c>
      <c r="O1161" t="s">
        <v>532</v>
      </c>
    </row>
    <row r="1162" spans="1:15" x14ac:dyDescent="0.15">
      <c r="A1162">
        <v>8048509</v>
      </c>
      <c r="B1162">
        <v>32484293</v>
      </c>
      <c r="D1162">
        <v>26582468</v>
      </c>
      <c r="E1162">
        <v>33594754</v>
      </c>
      <c r="F1162" t="s">
        <v>2504</v>
      </c>
      <c r="G1162" t="s">
        <v>30985</v>
      </c>
      <c r="H1162" t="s">
        <v>30986</v>
      </c>
      <c r="I1162" t="s">
        <v>30987</v>
      </c>
      <c r="J1162" t="s">
        <v>30988</v>
      </c>
      <c r="K1162">
        <v>2021</v>
      </c>
      <c r="L1162" s="1">
        <v>44244</v>
      </c>
      <c r="O1162" t="s">
        <v>2515</v>
      </c>
    </row>
    <row r="1163" spans="1:15" x14ac:dyDescent="0.15">
      <c r="A1163">
        <v>33597264</v>
      </c>
      <c r="B1163">
        <v>31891778</v>
      </c>
      <c r="D1163">
        <v>31740445</v>
      </c>
      <c r="E1163">
        <v>33420990</v>
      </c>
      <c r="F1163" t="s">
        <v>710</v>
      </c>
      <c r="G1163" t="s">
        <v>31000</v>
      </c>
      <c r="H1163" t="s">
        <v>31001</v>
      </c>
      <c r="I1163" t="s">
        <v>31002</v>
      </c>
      <c r="J1163" t="s">
        <v>31003</v>
      </c>
      <c r="K1163">
        <v>2021</v>
      </c>
      <c r="L1163" s="1">
        <v>44205</v>
      </c>
      <c r="O1163" t="s">
        <v>734</v>
      </c>
    </row>
    <row r="1164" spans="1:15" x14ac:dyDescent="0.15">
      <c r="A1164">
        <v>19712552</v>
      </c>
      <c r="B1164">
        <v>32350000</v>
      </c>
      <c r="D1164">
        <v>27756426</v>
      </c>
      <c r="E1164">
        <v>28490541</v>
      </c>
      <c r="F1164" t="s">
        <v>3195</v>
      </c>
      <c r="G1164" t="s">
        <v>31015</v>
      </c>
      <c r="H1164" t="s">
        <v>31016</v>
      </c>
      <c r="I1164" t="s">
        <v>31017</v>
      </c>
      <c r="J1164" t="s">
        <v>31018</v>
      </c>
      <c r="K1164">
        <v>2018</v>
      </c>
      <c r="L1164" s="1">
        <v>42867</v>
      </c>
      <c r="M1164" t="s">
        <v>31019</v>
      </c>
      <c r="O1164" t="s">
        <v>3206</v>
      </c>
    </row>
    <row r="1165" spans="1:15" x14ac:dyDescent="0.15">
      <c r="A1165">
        <v>31138543</v>
      </c>
      <c r="B1165">
        <v>33995674</v>
      </c>
      <c r="D1165">
        <v>34139254</v>
      </c>
      <c r="E1165">
        <v>28936730</v>
      </c>
      <c r="F1165" t="s">
        <v>15568</v>
      </c>
      <c r="G1165" t="s">
        <v>31020</v>
      </c>
      <c r="H1165" t="s">
        <v>31021</v>
      </c>
      <c r="I1165" t="s">
        <v>31022</v>
      </c>
      <c r="J1165" t="s">
        <v>31023</v>
      </c>
      <c r="K1165">
        <v>2017</v>
      </c>
      <c r="L1165" s="1">
        <v>43001</v>
      </c>
      <c r="O1165" t="s">
        <v>15578</v>
      </c>
    </row>
    <row r="1166" spans="1:15" x14ac:dyDescent="0.15">
      <c r="A1166">
        <v>30796693</v>
      </c>
      <c r="B1166">
        <v>31228184</v>
      </c>
      <c r="D1166">
        <v>30663276</v>
      </c>
      <c r="E1166">
        <v>34793917</v>
      </c>
      <c r="F1166" t="s">
        <v>12089</v>
      </c>
      <c r="G1166" t="s">
        <v>31030</v>
      </c>
      <c r="H1166" t="s">
        <v>31031</v>
      </c>
      <c r="I1166" t="s">
        <v>31032</v>
      </c>
      <c r="J1166" t="s">
        <v>31033</v>
      </c>
      <c r="K1166">
        <v>2022</v>
      </c>
      <c r="L1166" s="1">
        <v>44518</v>
      </c>
      <c r="O1166" t="s">
        <v>12097</v>
      </c>
    </row>
    <row r="1167" spans="1:15" x14ac:dyDescent="0.15">
      <c r="A1167">
        <v>33815695</v>
      </c>
      <c r="B1167">
        <v>35545008</v>
      </c>
      <c r="D1167">
        <v>32976623</v>
      </c>
      <c r="E1167">
        <v>34217734</v>
      </c>
      <c r="F1167" t="s">
        <v>3999</v>
      </c>
      <c r="G1167" t="s">
        <v>31078</v>
      </c>
      <c r="H1167" t="s">
        <v>31079</v>
      </c>
      <c r="I1167" t="s">
        <v>31080</v>
      </c>
      <c r="J1167" t="s">
        <v>31081</v>
      </c>
      <c r="K1167">
        <v>2021</v>
      </c>
      <c r="L1167" s="1">
        <v>44381</v>
      </c>
      <c r="O1167" t="s">
        <v>4009</v>
      </c>
    </row>
    <row r="1168" spans="1:15" x14ac:dyDescent="0.15">
      <c r="A1168">
        <v>25934618</v>
      </c>
      <c r="B1168">
        <v>26889830</v>
      </c>
      <c r="D1168">
        <v>30071288</v>
      </c>
      <c r="E1168">
        <v>35289089</v>
      </c>
      <c r="F1168" t="s">
        <v>555</v>
      </c>
      <c r="G1168" t="s">
        <v>31082</v>
      </c>
      <c r="H1168" t="s">
        <v>31083</v>
      </c>
      <c r="I1168" t="s">
        <v>31084</v>
      </c>
      <c r="J1168" t="s">
        <v>30772</v>
      </c>
      <c r="K1168">
        <v>2022</v>
      </c>
      <c r="L1168" s="1">
        <v>44635</v>
      </c>
      <c r="M1168" t="s">
        <v>31085</v>
      </c>
      <c r="O1168" t="s">
        <v>567</v>
      </c>
    </row>
    <row r="1169" spans="1:15" x14ac:dyDescent="0.15">
      <c r="A1169">
        <v>32508761</v>
      </c>
      <c r="B1169">
        <v>32343702</v>
      </c>
      <c r="D1169">
        <v>28676332</v>
      </c>
      <c r="E1169">
        <v>26376343</v>
      </c>
      <c r="F1169" t="s">
        <v>177</v>
      </c>
      <c r="G1169" t="s">
        <v>31086</v>
      </c>
      <c r="H1169" t="s">
        <v>31087</v>
      </c>
      <c r="I1169" t="s">
        <v>31088</v>
      </c>
      <c r="J1169" t="s">
        <v>31089</v>
      </c>
      <c r="K1169">
        <v>2015</v>
      </c>
      <c r="L1169" s="1">
        <v>42264</v>
      </c>
      <c r="M1169" t="s">
        <v>31090</v>
      </c>
      <c r="N1169" t="s">
        <v>31091</v>
      </c>
      <c r="O1169" t="s">
        <v>190</v>
      </c>
    </row>
    <row r="1170" spans="1:15" x14ac:dyDescent="0.15">
      <c r="A1170">
        <v>26643154</v>
      </c>
      <c r="B1170">
        <v>32483153</v>
      </c>
      <c r="D1170">
        <v>28424339</v>
      </c>
      <c r="E1170">
        <v>34160815</v>
      </c>
      <c r="F1170" t="s">
        <v>2356</v>
      </c>
      <c r="G1170" t="s">
        <v>31098</v>
      </c>
      <c r="H1170" t="s">
        <v>31099</v>
      </c>
      <c r="I1170" t="s">
        <v>31100</v>
      </c>
      <c r="J1170" t="s">
        <v>31003</v>
      </c>
      <c r="K1170">
        <v>2021</v>
      </c>
      <c r="L1170" s="1">
        <v>44370</v>
      </c>
      <c r="O1170" t="s">
        <v>2367</v>
      </c>
    </row>
    <row r="1171" spans="1:15" x14ac:dyDescent="0.15">
      <c r="A1171">
        <v>27770039</v>
      </c>
      <c r="B1171">
        <v>21515746</v>
      </c>
      <c r="D1171">
        <v>32363801</v>
      </c>
      <c r="E1171">
        <v>25111183</v>
      </c>
      <c r="F1171" t="s">
        <v>31188</v>
      </c>
      <c r="G1171" t="s">
        <v>31189</v>
      </c>
      <c r="H1171" t="s">
        <v>31190</v>
      </c>
      <c r="I1171" t="s">
        <v>31191</v>
      </c>
      <c r="J1171" t="s">
        <v>31192</v>
      </c>
      <c r="K1171">
        <v>2014</v>
      </c>
      <c r="L1171" s="1">
        <v>41863</v>
      </c>
      <c r="M1171" t="s">
        <v>31193</v>
      </c>
      <c r="O1171" t="s">
        <v>514</v>
      </c>
    </row>
    <row r="1172" spans="1:15" x14ac:dyDescent="0.15">
      <c r="A1172">
        <v>27690329</v>
      </c>
      <c r="B1172">
        <v>30346568</v>
      </c>
      <c r="D1172">
        <v>34059908</v>
      </c>
      <c r="E1172">
        <v>32968935</v>
      </c>
      <c r="F1172" t="s">
        <v>6254</v>
      </c>
      <c r="G1172" t="s">
        <v>31231</v>
      </c>
      <c r="H1172" t="s">
        <v>31232</v>
      </c>
      <c r="I1172" t="s">
        <v>31233</v>
      </c>
      <c r="J1172" t="s">
        <v>31234</v>
      </c>
      <c r="K1172">
        <v>2021</v>
      </c>
      <c r="L1172" s="1">
        <v>44098</v>
      </c>
      <c r="O1172" t="s">
        <v>6267</v>
      </c>
    </row>
    <row r="1173" spans="1:15" x14ac:dyDescent="0.15">
      <c r="A1173">
        <v>24792832</v>
      </c>
      <c r="B1173">
        <v>26802051</v>
      </c>
      <c r="D1173">
        <v>31325471</v>
      </c>
      <c r="E1173">
        <v>28259747</v>
      </c>
      <c r="F1173" t="s">
        <v>19061</v>
      </c>
      <c r="G1173" t="s">
        <v>31261</v>
      </c>
      <c r="H1173" t="s">
        <v>31262</v>
      </c>
      <c r="I1173" t="s">
        <v>31263</v>
      </c>
      <c r="J1173" t="s">
        <v>31264</v>
      </c>
      <c r="K1173">
        <v>2017</v>
      </c>
      <c r="L1173" s="1">
        <v>42800</v>
      </c>
      <c r="O1173" t="s">
        <v>19073</v>
      </c>
    </row>
    <row r="1174" spans="1:15" x14ac:dyDescent="0.15">
      <c r="A1174">
        <v>30140006</v>
      </c>
      <c r="B1174">
        <v>32277372</v>
      </c>
      <c r="D1174">
        <v>33497388</v>
      </c>
      <c r="E1174">
        <v>34595842</v>
      </c>
      <c r="F1174" t="s">
        <v>754</v>
      </c>
      <c r="G1174" t="s">
        <v>31265</v>
      </c>
      <c r="H1174" t="s">
        <v>31266</v>
      </c>
      <c r="I1174" t="s">
        <v>31267</v>
      </c>
      <c r="J1174" t="s">
        <v>30772</v>
      </c>
      <c r="K1174">
        <v>2021</v>
      </c>
      <c r="L1174" s="1">
        <v>44470</v>
      </c>
      <c r="M1174" t="s">
        <v>31268</v>
      </c>
      <c r="O1174" t="s">
        <v>764</v>
      </c>
    </row>
    <row r="1175" spans="1:15" x14ac:dyDescent="0.15">
      <c r="A1175" t="s">
        <v>74</v>
      </c>
      <c r="B1175">
        <v>34685720</v>
      </c>
      <c r="D1175">
        <v>28832692</v>
      </c>
      <c r="E1175">
        <v>34600275</v>
      </c>
      <c r="F1175" t="s">
        <v>31283</v>
      </c>
      <c r="G1175" t="s">
        <v>31284</v>
      </c>
      <c r="H1175" t="s">
        <v>31285</v>
      </c>
      <c r="I1175" t="s">
        <v>31286</v>
      </c>
      <c r="J1175" t="s">
        <v>31287</v>
      </c>
      <c r="K1175">
        <v>2021</v>
      </c>
      <c r="L1175" s="1">
        <v>44471</v>
      </c>
      <c r="O1175" t="s">
        <v>10033</v>
      </c>
    </row>
    <row r="1176" spans="1:15" x14ac:dyDescent="0.15">
      <c r="A1176">
        <v>1649554</v>
      </c>
      <c r="B1176">
        <v>32621842</v>
      </c>
      <c r="D1176">
        <v>24909737</v>
      </c>
      <c r="E1176">
        <v>31748281</v>
      </c>
      <c r="F1176" t="s">
        <v>637</v>
      </c>
      <c r="G1176" t="s">
        <v>31288</v>
      </c>
      <c r="H1176" t="s">
        <v>31289</v>
      </c>
      <c r="I1176" t="s">
        <v>31290</v>
      </c>
      <c r="J1176" t="s">
        <v>31291</v>
      </c>
      <c r="K1176">
        <v>2019</v>
      </c>
      <c r="L1176" s="1">
        <v>43791</v>
      </c>
      <c r="M1176" t="s">
        <v>31292</v>
      </c>
      <c r="O1176" t="s">
        <v>651</v>
      </c>
    </row>
    <row r="1177" spans="1:15" x14ac:dyDescent="0.15">
      <c r="A1177" t="s">
        <v>74</v>
      </c>
      <c r="B1177">
        <v>30567989</v>
      </c>
      <c r="D1177">
        <v>31159859</v>
      </c>
      <c r="E1177">
        <v>32980480</v>
      </c>
      <c r="F1177" t="s">
        <v>6697</v>
      </c>
      <c r="G1177" t="s">
        <v>31337</v>
      </c>
      <c r="H1177" t="s">
        <v>31338</v>
      </c>
      <c r="I1177" t="s">
        <v>31339</v>
      </c>
      <c r="J1177" t="s">
        <v>30976</v>
      </c>
      <c r="K1177">
        <v>2020</v>
      </c>
      <c r="L1177" s="1">
        <v>44101</v>
      </c>
      <c r="M1177" t="s">
        <v>31340</v>
      </c>
      <c r="N1177" t="s">
        <v>31341</v>
      </c>
      <c r="O1177" t="s">
        <v>6709</v>
      </c>
    </row>
    <row r="1178" spans="1:15" x14ac:dyDescent="0.15">
      <c r="A1178">
        <v>19885550</v>
      </c>
      <c r="B1178">
        <v>34910364</v>
      </c>
      <c r="D1178">
        <v>20235276</v>
      </c>
      <c r="E1178">
        <v>33384328</v>
      </c>
      <c r="F1178" t="s">
        <v>19255</v>
      </c>
      <c r="G1178" t="s">
        <v>31349</v>
      </c>
      <c r="H1178" t="s">
        <v>31350</v>
      </c>
      <c r="I1178" t="s">
        <v>31351</v>
      </c>
      <c r="J1178" t="s">
        <v>30767</v>
      </c>
      <c r="K1178">
        <v>2021</v>
      </c>
      <c r="L1178" s="1">
        <v>44197</v>
      </c>
      <c r="M1178" t="s">
        <v>31352</v>
      </c>
      <c r="O1178" t="s">
        <v>19266</v>
      </c>
    </row>
    <row r="1179" spans="1:15" x14ac:dyDescent="0.15">
      <c r="A1179">
        <v>22688190</v>
      </c>
      <c r="B1179">
        <v>31074077</v>
      </c>
      <c r="D1179">
        <v>34289450</v>
      </c>
      <c r="E1179">
        <v>33769802</v>
      </c>
      <c r="F1179" t="s">
        <v>4485</v>
      </c>
      <c r="G1179" t="s">
        <v>31353</v>
      </c>
      <c r="H1179" t="s">
        <v>31354</v>
      </c>
      <c r="I1179" t="s">
        <v>31355</v>
      </c>
      <c r="J1179" t="s">
        <v>30956</v>
      </c>
      <c r="K1179">
        <v>2021</v>
      </c>
      <c r="L1179" s="1">
        <v>44281</v>
      </c>
      <c r="O1179" t="s">
        <v>4496</v>
      </c>
    </row>
    <row r="1180" spans="1:15" x14ac:dyDescent="0.15">
      <c r="A1180">
        <v>31608222</v>
      </c>
      <c r="B1180">
        <v>31666668</v>
      </c>
      <c r="D1180">
        <v>26238497</v>
      </c>
      <c r="E1180">
        <v>34605844</v>
      </c>
      <c r="F1180" t="s">
        <v>7977</v>
      </c>
      <c r="G1180" t="s">
        <v>31369</v>
      </c>
      <c r="H1180" t="s">
        <v>31370</v>
      </c>
      <c r="I1180" t="s">
        <v>31371</v>
      </c>
      <c r="J1180" t="s">
        <v>31372</v>
      </c>
      <c r="K1180">
        <v>2021</v>
      </c>
      <c r="L1180" s="1">
        <v>44473</v>
      </c>
      <c r="O1180" t="s">
        <v>7988</v>
      </c>
    </row>
    <row r="1181" spans="1:15" x14ac:dyDescent="0.15">
      <c r="A1181">
        <v>32054086</v>
      </c>
      <c r="B1181">
        <v>24875543</v>
      </c>
      <c r="D1181">
        <v>26350732</v>
      </c>
      <c r="E1181">
        <v>35235806</v>
      </c>
      <c r="F1181" t="s">
        <v>1561</v>
      </c>
      <c r="G1181" t="s">
        <v>31373</v>
      </c>
      <c r="H1181" t="s">
        <v>31374</v>
      </c>
      <c r="I1181" t="s">
        <v>31375</v>
      </c>
      <c r="J1181" t="s">
        <v>31376</v>
      </c>
      <c r="K1181">
        <v>2022</v>
      </c>
      <c r="L1181" s="1">
        <v>44622</v>
      </c>
      <c r="O1181" t="s">
        <v>1571</v>
      </c>
    </row>
    <row r="1182" spans="1:15" x14ac:dyDescent="0.15">
      <c r="A1182">
        <v>31932899</v>
      </c>
      <c r="B1182">
        <v>35605028</v>
      </c>
      <c r="D1182">
        <v>29146100</v>
      </c>
      <c r="E1182">
        <v>32930980</v>
      </c>
      <c r="F1182" t="s">
        <v>6177</v>
      </c>
      <c r="G1182" t="s">
        <v>31408</v>
      </c>
      <c r="H1182" t="s">
        <v>31409</v>
      </c>
      <c r="I1182" t="s">
        <v>31410</v>
      </c>
      <c r="J1182" t="s">
        <v>31003</v>
      </c>
      <c r="K1182">
        <v>2021</v>
      </c>
      <c r="L1182" s="1">
        <v>44089</v>
      </c>
      <c r="O1182" t="s">
        <v>6187</v>
      </c>
    </row>
    <row r="1183" spans="1:15" x14ac:dyDescent="0.15">
      <c r="A1183">
        <v>31597943</v>
      </c>
      <c r="B1183">
        <v>31223277</v>
      </c>
      <c r="D1183">
        <v>33351957</v>
      </c>
      <c r="E1183">
        <v>31585894</v>
      </c>
      <c r="F1183" t="s">
        <v>3120</v>
      </c>
      <c r="G1183" t="s">
        <v>31472</v>
      </c>
      <c r="H1183" t="s">
        <v>31473</v>
      </c>
      <c r="I1183" t="s">
        <v>31474</v>
      </c>
      <c r="J1183" t="s">
        <v>31475</v>
      </c>
      <c r="K1183">
        <v>2020</v>
      </c>
      <c r="L1183" s="1">
        <v>43744</v>
      </c>
      <c r="O1183" t="s">
        <v>3131</v>
      </c>
    </row>
    <row r="1184" spans="1:15" x14ac:dyDescent="0.15">
      <c r="A1184">
        <v>33720339</v>
      </c>
      <c r="B1184">
        <v>25805497</v>
      </c>
      <c r="D1184">
        <v>24250247</v>
      </c>
      <c r="E1184">
        <v>34080172</v>
      </c>
      <c r="F1184" t="s">
        <v>13366</v>
      </c>
      <c r="G1184" t="s">
        <v>31487</v>
      </c>
      <c r="H1184" t="s">
        <v>31488</v>
      </c>
      <c r="I1184" t="s">
        <v>31489</v>
      </c>
      <c r="J1184" t="s">
        <v>31490</v>
      </c>
      <c r="K1184">
        <v>2021</v>
      </c>
      <c r="L1184" s="1">
        <v>44350</v>
      </c>
      <c r="O1184" t="s">
        <v>13377</v>
      </c>
    </row>
    <row r="1185" spans="1:15" x14ac:dyDescent="0.15">
      <c r="A1185">
        <v>31176404</v>
      </c>
      <c r="B1185">
        <v>32051530</v>
      </c>
      <c r="D1185">
        <v>35467282</v>
      </c>
      <c r="E1185">
        <v>31502256</v>
      </c>
      <c r="F1185" t="s">
        <v>1345</v>
      </c>
      <c r="G1185" t="s">
        <v>31514</v>
      </c>
      <c r="H1185" t="s">
        <v>31515</v>
      </c>
      <c r="I1185" t="s">
        <v>31516</v>
      </c>
      <c r="J1185" t="s">
        <v>30847</v>
      </c>
      <c r="K1185">
        <v>2020</v>
      </c>
      <c r="L1185" s="1">
        <v>43719</v>
      </c>
      <c r="O1185" t="s">
        <v>1357</v>
      </c>
    </row>
    <row r="1186" spans="1:15" x14ac:dyDescent="0.15">
      <c r="A1186">
        <v>27362801</v>
      </c>
      <c r="B1186">
        <v>31369817</v>
      </c>
      <c r="D1186">
        <v>31882820</v>
      </c>
      <c r="E1186">
        <v>31584165</v>
      </c>
      <c r="F1186" t="s">
        <v>3162</v>
      </c>
      <c r="G1186" t="s">
        <v>31523</v>
      </c>
      <c r="H1186" t="s">
        <v>31524</v>
      </c>
      <c r="I1186" t="s">
        <v>31525</v>
      </c>
      <c r="J1186" t="s">
        <v>31003</v>
      </c>
      <c r="K1186">
        <v>2020</v>
      </c>
      <c r="L1186" s="1">
        <v>43743</v>
      </c>
      <c r="O1186" t="s">
        <v>3172</v>
      </c>
    </row>
    <row r="1187" spans="1:15" x14ac:dyDescent="0.15">
      <c r="A1187">
        <v>34367468</v>
      </c>
      <c r="B1187">
        <v>34135428</v>
      </c>
      <c r="D1187">
        <v>31086179</v>
      </c>
      <c r="E1187">
        <v>31017799</v>
      </c>
      <c r="F1187" t="s">
        <v>9088</v>
      </c>
      <c r="G1187" t="s">
        <v>31537</v>
      </c>
      <c r="H1187" t="s">
        <v>31538</v>
      </c>
      <c r="I1187" t="s">
        <v>31539</v>
      </c>
      <c r="J1187" t="s">
        <v>31540</v>
      </c>
      <c r="K1187">
        <v>2019</v>
      </c>
      <c r="L1187" s="1">
        <v>43580</v>
      </c>
      <c r="M1187" t="s">
        <v>31541</v>
      </c>
      <c r="O1187" t="s">
        <v>9103</v>
      </c>
    </row>
    <row r="1188" spans="1:15" x14ac:dyDescent="0.15">
      <c r="A1188">
        <v>31760116</v>
      </c>
      <c r="B1188">
        <v>32958884</v>
      </c>
      <c r="D1188">
        <v>34506226</v>
      </c>
      <c r="E1188">
        <v>31127656</v>
      </c>
      <c r="F1188" t="s">
        <v>12315</v>
      </c>
      <c r="G1188" t="s">
        <v>31542</v>
      </c>
      <c r="H1188" t="s">
        <v>31543</v>
      </c>
      <c r="I1188" t="s">
        <v>31544</v>
      </c>
      <c r="J1188" t="s">
        <v>30988</v>
      </c>
      <c r="K1188">
        <v>2019</v>
      </c>
      <c r="L1188" s="1">
        <v>43611</v>
      </c>
      <c r="O1188" t="s">
        <v>12323</v>
      </c>
    </row>
    <row r="1189" spans="1:15" x14ac:dyDescent="0.15">
      <c r="A1189">
        <v>31092731</v>
      </c>
      <c r="B1189">
        <v>32447063</v>
      </c>
      <c r="D1189">
        <v>32725655</v>
      </c>
      <c r="E1189">
        <v>33741723</v>
      </c>
      <c r="F1189" t="s">
        <v>9039</v>
      </c>
      <c r="G1189" t="s">
        <v>31545</v>
      </c>
      <c r="H1189" t="s">
        <v>31546</v>
      </c>
      <c r="I1189" t="s">
        <v>31547</v>
      </c>
      <c r="J1189" t="s">
        <v>31291</v>
      </c>
      <c r="K1189">
        <v>2021</v>
      </c>
      <c r="L1189" s="1">
        <v>44275</v>
      </c>
      <c r="M1189" t="s">
        <v>31548</v>
      </c>
      <c r="O1189" t="s">
        <v>9048</v>
      </c>
    </row>
    <row r="1190" spans="1:15" x14ac:dyDescent="0.15">
      <c r="A1190">
        <v>32310826</v>
      </c>
      <c r="B1190">
        <v>28592251</v>
      </c>
      <c r="D1190">
        <v>35731951</v>
      </c>
      <c r="E1190">
        <v>35011677</v>
      </c>
      <c r="F1190" t="s">
        <v>9638</v>
      </c>
      <c r="G1190" t="s">
        <v>31555</v>
      </c>
      <c r="H1190" t="s">
        <v>31556</v>
      </c>
      <c r="I1190" t="s">
        <v>31557</v>
      </c>
      <c r="J1190" t="s">
        <v>30655</v>
      </c>
      <c r="K1190">
        <v>2021</v>
      </c>
      <c r="L1190" s="1">
        <v>44572</v>
      </c>
      <c r="M1190" t="s">
        <v>31558</v>
      </c>
      <c r="O1190" t="s">
        <v>9646</v>
      </c>
    </row>
    <row r="1191" spans="1:15" x14ac:dyDescent="0.15">
      <c r="A1191">
        <v>32929219</v>
      </c>
      <c r="B1191">
        <v>33154575</v>
      </c>
      <c r="D1191">
        <v>26285688</v>
      </c>
      <c r="E1191">
        <v>34528938</v>
      </c>
      <c r="F1191" t="s">
        <v>21061</v>
      </c>
      <c r="G1191" t="s">
        <v>31559</v>
      </c>
      <c r="H1191" t="s">
        <v>31560</v>
      </c>
      <c r="I1191" t="s">
        <v>31561</v>
      </c>
      <c r="J1191" t="s">
        <v>31562</v>
      </c>
      <c r="K1191">
        <v>2021</v>
      </c>
      <c r="L1191" s="1">
        <v>44455</v>
      </c>
      <c r="O1191" t="s">
        <v>21069</v>
      </c>
    </row>
    <row r="1192" spans="1:15" x14ac:dyDescent="0.15">
      <c r="A1192">
        <v>26112692</v>
      </c>
      <c r="B1192">
        <v>31331976</v>
      </c>
      <c r="D1192">
        <v>24785274</v>
      </c>
      <c r="E1192">
        <v>31469961</v>
      </c>
      <c r="F1192" t="s">
        <v>2326</v>
      </c>
      <c r="G1192" t="s">
        <v>31571</v>
      </c>
      <c r="H1192" t="s">
        <v>31572</v>
      </c>
      <c r="I1192" t="s">
        <v>31002</v>
      </c>
      <c r="J1192" t="s">
        <v>30561</v>
      </c>
      <c r="K1192">
        <v>2019</v>
      </c>
      <c r="L1192" s="1">
        <v>43708</v>
      </c>
      <c r="O1192" t="s">
        <v>2334</v>
      </c>
    </row>
    <row r="1193" spans="1:15" x14ac:dyDescent="0.15">
      <c r="A1193">
        <v>32854257</v>
      </c>
      <c r="B1193">
        <v>33858390</v>
      </c>
      <c r="D1193">
        <v>31495861</v>
      </c>
      <c r="E1193">
        <v>26272609</v>
      </c>
      <c r="F1193" t="s">
        <v>31590</v>
      </c>
      <c r="G1193" t="s">
        <v>31591</v>
      </c>
      <c r="H1193" t="s">
        <v>31592</v>
      </c>
      <c r="I1193" t="s">
        <v>31593</v>
      </c>
      <c r="J1193" t="s">
        <v>31594</v>
      </c>
      <c r="K1193">
        <v>2015</v>
      </c>
      <c r="L1193" s="1">
        <v>42231</v>
      </c>
      <c r="M1193" t="s">
        <v>31595</v>
      </c>
      <c r="O1193" t="s">
        <v>10216</v>
      </c>
    </row>
    <row r="1194" spans="1:15" x14ac:dyDescent="0.15">
      <c r="A1194">
        <v>31748281</v>
      </c>
      <c r="B1194">
        <v>29891956</v>
      </c>
      <c r="D1194">
        <v>22025668</v>
      </c>
      <c r="E1194">
        <v>35731982</v>
      </c>
      <c r="F1194" t="s">
        <v>5053</v>
      </c>
      <c r="G1194" t="s">
        <v>31619</v>
      </c>
      <c r="H1194" t="s">
        <v>31620</v>
      </c>
      <c r="I1194" t="s">
        <v>31621</v>
      </c>
      <c r="J1194" t="s">
        <v>30956</v>
      </c>
      <c r="K1194">
        <v>2022</v>
      </c>
      <c r="L1194" s="1">
        <v>44734</v>
      </c>
      <c r="O1194" t="s">
        <v>5060</v>
      </c>
    </row>
    <row r="1195" spans="1:15" x14ac:dyDescent="0.15">
      <c r="A1195">
        <v>28660234</v>
      </c>
      <c r="B1195">
        <v>33728821</v>
      </c>
      <c r="D1195">
        <v>30734479</v>
      </c>
      <c r="E1195">
        <v>30644724</v>
      </c>
      <c r="F1195" t="s">
        <v>5702</v>
      </c>
      <c r="G1195" t="s">
        <v>31622</v>
      </c>
      <c r="H1195" t="s">
        <v>31623</v>
      </c>
      <c r="I1195" t="s">
        <v>31624</v>
      </c>
      <c r="J1195" t="s">
        <v>30956</v>
      </c>
      <c r="K1195">
        <v>2019</v>
      </c>
      <c r="L1195" s="1">
        <v>43481</v>
      </c>
      <c r="O1195" t="s">
        <v>5712</v>
      </c>
    </row>
    <row r="1196" spans="1:15" x14ac:dyDescent="0.15">
      <c r="A1196">
        <v>31922357</v>
      </c>
      <c r="B1196">
        <v>25897780</v>
      </c>
      <c r="D1196">
        <v>29686075</v>
      </c>
      <c r="E1196">
        <v>33354779</v>
      </c>
      <c r="F1196" t="s">
        <v>9266</v>
      </c>
      <c r="G1196" t="s">
        <v>31630</v>
      </c>
      <c r="H1196" t="s">
        <v>31631</v>
      </c>
      <c r="I1196" t="s">
        <v>31632</v>
      </c>
      <c r="J1196" t="s">
        <v>31633</v>
      </c>
      <c r="K1196">
        <v>2021</v>
      </c>
      <c r="L1196" s="1">
        <v>44188</v>
      </c>
      <c r="M1196" t="s">
        <v>31634</v>
      </c>
      <c r="O1196" t="s">
        <v>9277</v>
      </c>
    </row>
    <row r="1197" spans="1:15" x14ac:dyDescent="0.15">
      <c r="A1197">
        <v>28152519</v>
      </c>
      <c r="B1197">
        <v>34309628</v>
      </c>
      <c r="D1197">
        <v>21618878</v>
      </c>
      <c r="E1197">
        <v>32092088</v>
      </c>
      <c r="F1197" t="s">
        <v>16433</v>
      </c>
      <c r="G1197" t="s">
        <v>31043</v>
      </c>
      <c r="H1197" t="s">
        <v>31642</v>
      </c>
      <c r="I1197" t="s">
        <v>31045</v>
      </c>
      <c r="J1197" t="s">
        <v>31639</v>
      </c>
      <c r="K1197">
        <v>2020</v>
      </c>
      <c r="L1197" s="1">
        <v>43886</v>
      </c>
      <c r="M1197" t="s">
        <v>31643</v>
      </c>
      <c r="O1197" t="s">
        <v>16441</v>
      </c>
    </row>
    <row r="1198" spans="1:15" x14ac:dyDescent="0.15">
      <c r="A1198">
        <v>33317598</v>
      </c>
      <c r="B1198">
        <v>34532864</v>
      </c>
      <c r="D1198">
        <v>23555312</v>
      </c>
      <c r="E1198">
        <v>31597943</v>
      </c>
      <c r="F1198" t="s">
        <v>9200</v>
      </c>
      <c r="G1198" t="s">
        <v>31644</v>
      </c>
      <c r="H1198" t="s">
        <v>31645</v>
      </c>
      <c r="I1198" t="s">
        <v>31646</v>
      </c>
      <c r="J1198" t="s">
        <v>30834</v>
      </c>
      <c r="K1198">
        <v>2019</v>
      </c>
      <c r="L1198" s="1">
        <v>43749</v>
      </c>
      <c r="M1198" t="s">
        <v>31647</v>
      </c>
      <c r="O1198" t="s">
        <v>9209</v>
      </c>
    </row>
    <row r="1199" spans="1:15" x14ac:dyDescent="0.15">
      <c r="A1199">
        <v>30384500</v>
      </c>
      <c r="B1199">
        <v>33038325</v>
      </c>
      <c r="D1199">
        <v>33025277</v>
      </c>
      <c r="E1199">
        <v>28185192</v>
      </c>
      <c r="F1199" t="s">
        <v>77</v>
      </c>
      <c r="G1199" t="s">
        <v>31648</v>
      </c>
      <c r="H1199" t="s">
        <v>31649</v>
      </c>
      <c r="I1199" t="s">
        <v>31650</v>
      </c>
      <c r="J1199" t="s">
        <v>31003</v>
      </c>
      <c r="K1199">
        <v>2017</v>
      </c>
      <c r="L1199" s="1">
        <v>42777</v>
      </c>
      <c r="O1199" t="s">
        <v>91</v>
      </c>
    </row>
    <row r="1200" spans="1:15" x14ac:dyDescent="0.15">
      <c r="A1200">
        <v>31035752</v>
      </c>
      <c r="B1200">
        <v>28246015</v>
      </c>
      <c r="D1200">
        <v>32518284</v>
      </c>
      <c r="E1200">
        <v>32383628</v>
      </c>
      <c r="F1200" t="s">
        <v>12441</v>
      </c>
      <c r="G1200" t="s">
        <v>31651</v>
      </c>
      <c r="H1200" t="s">
        <v>31652</v>
      </c>
      <c r="I1200" t="s">
        <v>31653</v>
      </c>
      <c r="J1200" t="s">
        <v>31654</v>
      </c>
      <c r="K1200">
        <v>2020</v>
      </c>
      <c r="L1200" s="1">
        <v>43960</v>
      </c>
      <c r="O1200" t="s">
        <v>12453</v>
      </c>
    </row>
    <row r="1201" spans="1:15" x14ac:dyDescent="0.15">
      <c r="A1201">
        <v>29196999</v>
      </c>
      <c r="B1201">
        <v>34413232</v>
      </c>
      <c r="D1201">
        <v>23774836</v>
      </c>
      <c r="E1201">
        <v>32634162</v>
      </c>
      <c r="F1201" t="s">
        <v>10732</v>
      </c>
      <c r="G1201" t="s">
        <v>31662</v>
      </c>
      <c r="H1201" t="s">
        <v>31663</v>
      </c>
      <c r="I1201" t="s">
        <v>31664</v>
      </c>
      <c r="J1201" t="s">
        <v>31639</v>
      </c>
      <c r="K1201">
        <v>2020</v>
      </c>
      <c r="L1201" s="1">
        <v>44020</v>
      </c>
      <c r="M1201" t="s">
        <v>31665</v>
      </c>
      <c r="O1201" t="s">
        <v>31666</v>
      </c>
    </row>
    <row r="1202" spans="1:15" x14ac:dyDescent="0.15">
      <c r="A1202">
        <v>31060922</v>
      </c>
      <c r="B1202">
        <v>33912378</v>
      </c>
      <c r="D1202">
        <v>34365510</v>
      </c>
      <c r="E1202">
        <v>32334098</v>
      </c>
      <c r="F1202" t="s">
        <v>7557</v>
      </c>
      <c r="G1202" t="s">
        <v>31740</v>
      </c>
      <c r="H1202" t="s">
        <v>31741</v>
      </c>
      <c r="I1202" t="s">
        <v>31742</v>
      </c>
      <c r="J1202" t="s">
        <v>31743</v>
      </c>
      <c r="K1202">
        <v>2020</v>
      </c>
      <c r="L1202" s="1">
        <v>43947</v>
      </c>
      <c r="O1202" t="s">
        <v>7567</v>
      </c>
    </row>
    <row r="1203" spans="1:15" x14ac:dyDescent="0.15">
      <c r="A1203">
        <v>31745234</v>
      </c>
      <c r="B1203">
        <v>24932692</v>
      </c>
      <c r="D1203">
        <v>31262819</v>
      </c>
      <c r="E1203">
        <v>32551501</v>
      </c>
      <c r="F1203" t="s">
        <v>17795</v>
      </c>
      <c r="G1203" t="s">
        <v>31744</v>
      </c>
      <c r="H1203" t="s">
        <v>31745</v>
      </c>
      <c r="I1203" t="s">
        <v>31746</v>
      </c>
      <c r="J1203" t="s">
        <v>30956</v>
      </c>
      <c r="K1203">
        <v>2020</v>
      </c>
      <c r="L1203" s="1">
        <v>44002</v>
      </c>
      <c r="O1203" t="s">
        <v>17803</v>
      </c>
    </row>
    <row r="1204" spans="1:15" x14ac:dyDescent="0.15">
      <c r="A1204">
        <v>33610731</v>
      </c>
      <c r="B1204">
        <v>34907783</v>
      </c>
      <c r="D1204">
        <v>30971101</v>
      </c>
      <c r="E1204">
        <v>31436946</v>
      </c>
      <c r="F1204" t="s">
        <v>2965</v>
      </c>
      <c r="G1204" t="s">
        <v>31773</v>
      </c>
      <c r="H1204" t="s">
        <v>31774</v>
      </c>
      <c r="I1204" t="s">
        <v>31775</v>
      </c>
      <c r="J1204" t="s">
        <v>30561</v>
      </c>
      <c r="K1204">
        <v>2019</v>
      </c>
      <c r="L1204" s="1">
        <v>43700</v>
      </c>
      <c r="M1204" t="s">
        <v>31776</v>
      </c>
      <c r="N1204" t="s">
        <v>31777</v>
      </c>
      <c r="O1204" t="s">
        <v>2975</v>
      </c>
    </row>
    <row r="1205" spans="1:15" x14ac:dyDescent="0.15">
      <c r="A1205">
        <v>20480522</v>
      </c>
      <c r="B1205">
        <v>21078874</v>
      </c>
      <c r="D1205">
        <v>35273384</v>
      </c>
      <c r="E1205">
        <v>31017389</v>
      </c>
      <c r="F1205" t="s">
        <v>8359</v>
      </c>
      <c r="G1205" t="s">
        <v>31778</v>
      </c>
      <c r="H1205" t="s">
        <v>31779</v>
      </c>
      <c r="I1205" t="s">
        <v>31780</v>
      </c>
      <c r="J1205" t="s">
        <v>31781</v>
      </c>
      <c r="K1205">
        <v>2019</v>
      </c>
      <c r="L1205" s="1">
        <v>43580</v>
      </c>
      <c r="O1205" t="s">
        <v>8368</v>
      </c>
    </row>
    <row r="1206" spans="1:15" x14ac:dyDescent="0.15">
      <c r="A1206">
        <v>30484685</v>
      </c>
      <c r="B1206">
        <v>31123713</v>
      </c>
      <c r="D1206">
        <v>18974299</v>
      </c>
      <c r="E1206">
        <v>22506041</v>
      </c>
      <c r="F1206" t="s">
        <v>31782</v>
      </c>
      <c r="G1206" t="s">
        <v>31783</v>
      </c>
      <c r="H1206" t="s">
        <v>31784</v>
      </c>
      <c r="I1206" t="s">
        <v>31511</v>
      </c>
      <c r="J1206" t="s">
        <v>31639</v>
      </c>
      <c r="K1206">
        <v>2012</v>
      </c>
      <c r="L1206" s="1">
        <v>41016</v>
      </c>
      <c r="M1206" t="s">
        <v>31785</v>
      </c>
      <c r="O1206" t="s">
        <v>1085</v>
      </c>
    </row>
    <row r="1207" spans="1:15" x14ac:dyDescent="0.15">
      <c r="A1207">
        <v>31182116</v>
      </c>
      <c r="B1207">
        <v>34295338</v>
      </c>
      <c r="D1207">
        <v>29357442</v>
      </c>
      <c r="E1207">
        <v>33420117</v>
      </c>
      <c r="F1207" t="s">
        <v>31792</v>
      </c>
      <c r="G1207" t="s">
        <v>31793</v>
      </c>
      <c r="H1207" t="s">
        <v>31794</v>
      </c>
      <c r="I1207" t="s">
        <v>31795</v>
      </c>
      <c r="J1207" t="s">
        <v>30834</v>
      </c>
      <c r="K1207">
        <v>2021</v>
      </c>
      <c r="L1207" s="1">
        <v>44205</v>
      </c>
      <c r="M1207" t="s">
        <v>31796</v>
      </c>
      <c r="O1207" t="s">
        <v>7645</v>
      </c>
    </row>
    <row r="1208" spans="1:15" x14ac:dyDescent="0.15">
      <c r="A1208">
        <v>29255455</v>
      </c>
      <c r="B1208">
        <v>26892862</v>
      </c>
      <c r="D1208">
        <v>23839527</v>
      </c>
      <c r="E1208">
        <v>30236130</v>
      </c>
      <c r="F1208" t="s">
        <v>918</v>
      </c>
      <c r="G1208" t="s">
        <v>31797</v>
      </c>
      <c r="H1208" t="s">
        <v>31798</v>
      </c>
      <c r="I1208" t="s">
        <v>31799</v>
      </c>
      <c r="J1208" t="s">
        <v>31800</v>
      </c>
      <c r="K1208">
        <v>2018</v>
      </c>
      <c r="L1208" s="1">
        <v>43365</v>
      </c>
      <c r="M1208" t="s">
        <v>31801</v>
      </c>
      <c r="O1208" t="s">
        <v>931</v>
      </c>
    </row>
    <row r="1209" spans="1:15" x14ac:dyDescent="0.15">
      <c r="A1209">
        <v>32433716</v>
      </c>
      <c r="B1209">
        <v>23132787</v>
      </c>
      <c r="D1209">
        <v>25680078</v>
      </c>
      <c r="E1209">
        <v>31198995</v>
      </c>
      <c r="F1209" t="s">
        <v>4259</v>
      </c>
      <c r="G1209" t="s">
        <v>31808</v>
      </c>
      <c r="H1209" t="s">
        <v>31809</v>
      </c>
      <c r="I1209" t="s">
        <v>31810</v>
      </c>
      <c r="J1209" t="s">
        <v>31811</v>
      </c>
      <c r="K1209">
        <v>2019</v>
      </c>
      <c r="L1209" s="1">
        <v>43631</v>
      </c>
      <c r="O1209" t="s">
        <v>4274</v>
      </c>
    </row>
    <row r="1210" spans="1:15" x14ac:dyDescent="0.15">
      <c r="A1210">
        <v>30023580</v>
      </c>
      <c r="B1210">
        <v>35203322</v>
      </c>
      <c r="D1210">
        <v>22074924</v>
      </c>
      <c r="E1210">
        <v>30139385</v>
      </c>
      <c r="F1210" t="s">
        <v>12673</v>
      </c>
      <c r="G1210" t="s">
        <v>31827</v>
      </c>
      <c r="H1210" t="s">
        <v>31828</v>
      </c>
      <c r="I1210" t="s">
        <v>30987</v>
      </c>
      <c r="J1210" t="s">
        <v>30630</v>
      </c>
      <c r="K1210">
        <v>2018</v>
      </c>
      <c r="L1210" s="1">
        <v>43337</v>
      </c>
      <c r="M1210" t="s">
        <v>31829</v>
      </c>
      <c r="O1210" t="s">
        <v>12683</v>
      </c>
    </row>
    <row r="1211" spans="1:15" x14ac:dyDescent="0.15">
      <c r="A1211">
        <v>30417099</v>
      </c>
      <c r="B1211">
        <v>33270495</v>
      </c>
      <c r="D1211">
        <v>24379393</v>
      </c>
      <c r="E1211">
        <v>27753025</v>
      </c>
      <c r="F1211" t="s">
        <v>4758</v>
      </c>
      <c r="G1211" t="s">
        <v>31830</v>
      </c>
      <c r="H1211" t="s">
        <v>31831</v>
      </c>
      <c r="I1211" t="s">
        <v>30875</v>
      </c>
      <c r="J1211" t="s">
        <v>31023</v>
      </c>
      <c r="K1211">
        <v>2016</v>
      </c>
      <c r="L1211" s="1">
        <v>42662</v>
      </c>
      <c r="O1211" t="s">
        <v>4766</v>
      </c>
    </row>
    <row r="1212" spans="1:15" x14ac:dyDescent="0.15">
      <c r="A1212">
        <v>29415817</v>
      </c>
      <c r="B1212">
        <v>34421932</v>
      </c>
      <c r="D1212">
        <v>22348503</v>
      </c>
      <c r="E1212">
        <v>32715764</v>
      </c>
      <c r="F1212" t="s">
        <v>12964</v>
      </c>
      <c r="G1212" t="s">
        <v>31832</v>
      </c>
      <c r="H1212" t="s">
        <v>31833</v>
      </c>
      <c r="I1212" t="s">
        <v>31834</v>
      </c>
      <c r="J1212" t="s">
        <v>31835</v>
      </c>
      <c r="K1212">
        <v>2020</v>
      </c>
      <c r="L1212" s="1">
        <v>44040</v>
      </c>
      <c r="M1212" t="s">
        <v>31836</v>
      </c>
      <c r="O1212" t="s">
        <v>12978</v>
      </c>
    </row>
    <row r="1213" spans="1:15" x14ac:dyDescent="0.15">
      <c r="A1213">
        <v>29734033</v>
      </c>
      <c r="B1213">
        <v>29556344</v>
      </c>
      <c r="D1213">
        <v>25856674</v>
      </c>
      <c r="E1213">
        <v>34632781</v>
      </c>
      <c r="F1213" t="s">
        <v>14543</v>
      </c>
      <c r="G1213" t="s">
        <v>31843</v>
      </c>
      <c r="H1213" t="s">
        <v>31844</v>
      </c>
      <c r="I1213" t="s">
        <v>31845</v>
      </c>
      <c r="J1213" t="s">
        <v>31781</v>
      </c>
      <c r="K1213">
        <v>2021</v>
      </c>
      <c r="L1213" s="1">
        <v>44480</v>
      </c>
      <c r="O1213" t="s">
        <v>14552</v>
      </c>
    </row>
    <row r="1214" spans="1:15" x14ac:dyDescent="0.15">
      <c r="A1214">
        <v>23228393</v>
      </c>
      <c r="B1214">
        <v>29760280</v>
      </c>
      <c r="D1214">
        <v>31285775</v>
      </c>
      <c r="E1214">
        <v>33756122</v>
      </c>
      <c r="F1214" t="s">
        <v>6466</v>
      </c>
      <c r="G1214" t="s">
        <v>31882</v>
      </c>
      <c r="H1214" t="s">
        <v>31883</v>
      </c>
      <c r="I1214" t="s">
        <v>31884</v>
      </c>
      <c r="J1214" t="s">
        <v>31885</v>
      </c>
      <c r="K1214">
        <v>2021</v>
      </c>
      <c r="L1214" s="1">
        <v>44278</v>
      </c>
      <c r="O1214" t="s">
        <v>6479</v>
      </c>
    </row>
    <row r="1215" spans="1:15" x14ac:dyDescent="0.15">
      <c r="A1215">
        <v>9645228</v>
      </c>
      <c r="B1215">
        <v>30480287</v>
      </c>
      <c r="D1215">
        <v>23922679</v>
      </c>
      <c r="E1215">
        <v>33404216</v>
      </c>
      <c r="F1215" t="s">
        <v>22064</v>
      </c>
      <c r="G1215" t="s">
        <v>31886</v>
      </c>
      <c r="H1215" t="s">
        <v>31887</v>
      </c>
      <c r="I1215" t="s">
        <v>31888</v>
      </c>
      <c r="J1215" t="s">
        <v>30956</v>
      </c>
      <c r="K1215">
        <v>2021</v>
      </c>
      <c r="L1215" s="1">
        <v>44202</v>
      </c>
      <c r="O1215" t="s">
        <v>22070</v>
      </c>
    </row>
    <row r="1216" spans="1:15" x14ac:dyDescent="0.15">
      <c r="A1216">
        <v>33687214</v>
      </c>
      <c r="B1216">
        <v>29051321</v>
      </c>
      <c r="D1216">
        <v>26047659</v>
      </c>
      <c r="E1216">
        <v>33369394</v>
      </c>
      <c r="F1216" t="s">
        <v>15286</v>
      </c>
      <c r="G1216" t="s">
        <v>31889</v>
      </c>
      <c r="H1216" t="s">
        <v>31890</v>
      </c>
      <c r="I1216" t="s">
        <v>31891</v>
      </c>
      <c r="J1216" t="s">
        <v>30956</v>
      </c>
      <c r="K1216">
        <v>2021</v>
      </c>
      <c r="L1216" s="1">
        <v>44193</v>
      </c>
      <c r="O1216" t="s">
        <v>15292</v>
      </c>
    </row>
    <row r="1217" spans="1:15" x14ac:dyDescent="0.15">
      <c r="A1217">
        <v>29511462</v>
      </c>
      <c r="B1217">
        <v>25434003</v>
      </c>
      <c r="D1217">
        <v>35688134</v>
      </c>
      <c r="E1217">
        <v>29953723</v>
      </c>
      <c r="F1217" t="s">
        <v>217</v>
      </c>
      <c r="G1217" t="s">
        <v>31905</v>
      </c>
      <c r="H1217" t="s">
        <v>31906</v>
      </c>
      <c r="I1217" t="s">
        <v>31907</v>
      </c>
      <c r="J1217" t="s">
        <v>31908</v>
      </c>
      <c r="K1217">
        <v>2018</v>
      </c>
      <c r="L1217" s="1">
        <v>43280</v>
      </c>
      <c r="O1217" t="s">
        <v>231</v>
      </c>
    </row>
    <row r="1218" spans="1:15" x14ac:dyDescent="0.15">
      <c r="A1218">
        <v>33727157</v>
      </c>
      <c r="B1218">
        <v>23137708</v>
      </c>
      <c r="D1218">
        <v>31150422</v>
      </c>
      <c r="E1218">
        <v>28332837</v>
      </c>
      <c r="F1218" t="s">
        <v>3835</v>
      </c>
      <c r="G1218" t="s">
        <v>31909</v>
      </c>
      <c r="H1218" t="s">
        <v>31910</v>
      </c>
      <c r="I1218" t="s">
        <v>31911</v>
      </c>
      <c r="J1218" t="s">
        <v>30778</v>
      </c>
      <c r="K1218">
        <v>2017</v>
      </c>
      <c r="L1218" s="1">
        <v>42818</v>
      </c>
      <c r="M1218" t="s">
        <v>31912</v>
      </c>
      <c r="N1218" t="s">
        <v>31913</v>
      </c>
      <c r="O1218" t="s">
        <v>3845</v>
      </c>
    </row>
    <row r="1219" spans="1:15" x14ac:dyDescent="0.15">
      <c r="A1219">
        <v>33304477</v>
      </c>
      <c r="B1219">
        <v>30030445</v>
      </c>
      <c r="D1219">
        <v>27863241</v>
      </c>
      <c r="E1219">
        <v>34114453</v>
      </c>
      <c r="F1219" t="s">
        <v>13396</v>
      </c>
      <c r="G1219" t="s">
        <v>31921</v>
      </c>
      <c r="H1219" t="s">
        <v>31922</v>
      </c>
      <c r="I1219" t="s">
        <v>31923</v>
      </c>
      <c r="J1219" t="s">
        <v>30956</v>
      </c>
      <c r="K1219">
        <v>2021</v>
      </c>
      <c r="L1219" s="1">
        <v>44358</v>
      </c>
      <c r="O1219" t="s">
        <v>13404</v>
      </c>
    </row>
    <row r="1220" spans="1:15" x14ac:dyDescent="0.15">
      <c r="A1220">
        <v>33508126</v>
      </c>
      <c r="B1220">
        <v>34663679</v>
      </c>
      <c r="D1220">
        <v>22235295</v>
      </c>
      <c r="E1220">
        <v>32433716</v>
      </c>
      <c r="F1220" t="s">
        <v>21225</v>
      </c>
      <c r="G1220" t="s">
        <v>31930</v>
      </c>
      <c r="H1220" t="s">
        <v>31931</v>
      </c>
      <c r="I1220" t="s">
        <v>31932</v>
      </c>
      <c r="J1220" t="s">
        <v>31933</v>
      </c>
      <c r="K1220">
        <v>2020</v>
      </c>
      <c r="L1220" s="1">
        <v>43972</v>
      </c>
      <c r="M1220" t="s">
        <v>31934</v>
      </c>
      <c r="O1220" t="s">
        <v>21233</v>
      </c>
    </row>
    <row r="1221" spans="1:15" x14ac:dyDescent="0.15">
      <c r="A1221">
        <v>31731390</v>
      </c>
      <c r="B1221">
        <v>28701473</v>
      </c>
      <c r="D1221">
        <v>24773308</v>
      </c>
      <c r="E1221">
        <v>25051983</v>
      </c>
      <c r="F1221" t="s">
        <v>31935</v>
      </c>
      <c r="G1221" t="s">
        <v>31936</v>
      </c>
      <c r="H1221" t="s">
        <v>31937</v>
      </c>
      <c r="I1221" t="s">
        <v>31938</v>
      </c>
      <c r="J1221" t="s">
        <v>31939</v>
      </c>
      <c r="K1221">
        <v>2014</v>
      </c>
      <c r="L1221" s="1">
        <v>41844</v>
      </c>
      <c r="M1221" t="s">
        <v>31940</v>
      </c>
      <c r="N1221" t="s">
        <v>31941</v>
      </c>
      <c r="O1221" t="s">
        <v>7112</v>
      </c>
    </row>
    <row r="1222" spans="1:15" x14ac:dyDescent="0.15">
      <c r="A1222">
        <v>31018947</v>
      </c>
      <c r="B1222">
        <v>29601337</v>
      </c>
      <c r="D1222">
        <v>26289026</v>
      </c>
      <c r="E1222">
        <v>25537774</v>
      </c>
      <c r="F1222" t="s">
        <v>31942</v>
      </c>
      <c r="G1222" t="s">
        <v>31943</v>
      </c>
      <c r="H1222" t="s">
        <v>31944</v>
      </c>
      <c r="I1222" t="s">
        <v>30931</v>
      </c>
      <c r="J1222" t="s">
        <v>31945</v>
      </c>
      <c r="K1222">
        <v>2015</v>
      </c>
      <c r="L1222" s="1">
        <v>41998</v>
      </c>
      <c r="O1222" t="s">
        <v>5427</v>
      </c>
    </row>
    <row r="1223" spans="1:15" x14ac:dyDescent="0.15">
      <c r="A1223">
        <v>28232819</v>
      </c>
      <c r="B1223">
        <v>32203399</v>
      </c>
      <c r="D1223">
        <v>21866298</v>
      </c>
      <c r="E1223">
        <v>34464838</v>
      </c>
      <c r="F1223" t="s">
        <v>24891</v>
      </c>
      <c r="G1223" t="s">
        <v>31946</v>
      </c>
      <c r="H1223" t="s">
        <v>31947</v>
      </c>
      <c r="I1223" t="s">
        <v>31948</v>
      </c>
      <c r="J1223" t="s">
        <v>30907</v>
      </c>
      <c r="K1223">
        <v>2021</v>
      </c>
      <c r="L1223" s="1">
        <v>44439</v>
      </c>
      <c r="O1223" t="s">
        <v>24900</v>
      </c>
    </row>
    <row r="1224" spans="1:15" x14ac:dyDescent="0.15">
      <c r="A1224">
        <v>29033944</v>
      </c>
      <c r="B1224">
        <v>29844574</v>
      </c>
      <c r="D1224">
        <v>23072732</v>
      </c>
      <c r="E1224">
        <v>30038324</v>
      </c>
      <c r="F1224" t="s">
        <v>14988</v>
      </c>
      <c r="G1224" t="s">
        <v>31949</v>
      </c>
      <c r="H1224" t="s">
        <v>31950</v>
      </c>
      <c r="I1224" t="s">
        <v>31951</v>
      </c>
      <c r="J1224" t="s">
        <v>31952</v>
      </c>
      <c r="K1224">
        <v>2018</v>
      </c>
      <c r="L1224" s="1">
        <v>43306</v>
      </c>
      <c r="M1224" t="s">
        <v>31953</v>
      </c>
      <c r="O1224" t="s">
        <v>14997</v>
      </c>
    </row>
    <row r="1225" spans="1:15" x14ac:dyDescent="0.15">
      <c r="A1225">
        <v>32985646</v>
      </c>
      <c r="B1225">
        <v>34823431</v>
      </c>
      <c r="D1225">
        <v>19832990</v>
      </c>
      <c r="E1225">
        <v>31660712</v>
      </c>
      <c r="F1225" t="s">
        <v>5467</v>
      </c>
      <c r="G1225" t="s">
        <v>31954</v>
      </c>
      <c r="H1225" t="s">
        <v>31955</v>
      </c>
      <c r="I1225" t="s">
        <v>31956</v>
      </c>
      <c r="J1225" t="s">
        <v>30956</v>
      </c>
      <c r="K1225">
        <v>2019</v>
      </c>
      <c r="L1225" s="1">
        <v>43768</v>
      </c>
      <c r="O1225" t="s">
        <v>5475</v>
      </c>
    </row>
    <row r="1226" spans="1:15" x14ac:dyDescent="0.15">
      <c r="A1226">
        <v>33500577</v>
      </c>
      <c r="B1226">
        <v>15111327</v>
      </c>
      <c r="D1226">
        <v>27076633</v>
      </c>
      <c r="E1226">
        <v>33753167</v>
      </c>
      <c r="F1226" t="s">
        <v>9745</v>
      </c>
      <c r="G1226" t="s">
        <v>31963</v>
      </c>
      <c r="H1226" t="s">
        <v>31964</v>
      </c>
      <c r="I1226" t="s">
        <v>31965</v>
      </c>
      <c r="J1226" t="s">
        <v>31594</v>
      </c>
      <c r="K1226">
        <v>2021</v>
      </c>
      <c r="L1226" s="1">
        <v>44278</v>
      </c>
      <c r="M1226" t="s">
        <v>31966</v>
      </c>
      <c r="O1226" t="s">
        <v>9755</v>
      </c>
    </row>
    <row r="1227" spans="1:15" x14ac:dyDescent="0.15">
      <c r="A1227">
        <v>32943183</v>
      </c>
      <c r="B1227">
        <v>32766689</v>
      </c>
      <c r="D1227">
        <v>22624035</v>
      </c>
      <c r="E1227">
        <v>32188736</v>
      </c>
      <c r="F1227" t="s">
        <v>23487</v>
      </c>
      <c r="G1227" t="s">
        <v>31967</v>
      </c>
      <c r="H1227" t="s">
        <v>31968</v>
      </c>
      <c r="I1227" t="s">
        <v>31969</v>
      </c>
      <c r="J1227" t="s">
        <v>31970</v>
      </c>
      <c r="K1227">
        <v>2020</v>
      </c>
      <c r="L1227" s="1">
        <v>43910</v>
      </c>
      <c r="M1227" t="s">
        <v>31971</v>
      </c>
      <c r="O1227" t="s">
        <v>23497</v>
      </c>
    </row>
    <row r="1228" spans="1:15" x14ac:dyDescent="0.15">
      <c r="A1228">
        <v>29896679</v>
      </c>
      <c r="B1228">
        <v>26328805</v>
      </c>
      <c r="D1228">
        <v>23182441</v>
      </c>
      <c r="E1228">
        <v>28121262</v>
      </c>
      <c r="F1228" t="s">
        <v>8529</v>
      </c>
      <c r="G1228" t="s">
        <v>31988</v>
      </c>
      <c r="H1228" t="s">
        <v>31989</v>
      </c>
      <c r="I1228" t="s">
        <v>31990</v>
      </c>
      <c r="J1228" t="s">
        <v>31991</v>
      </c>
      <c r="K1228">
        <v>2017</v>
      </c>
      <c r="L1228" s="1">
        <v>42761</v>
      </c>
      <c r="M1228" t="s">
        <v>31992</v>
      </c>
      <c r="O1228" t="s">
        <v>8542</v>
      </c>
    </row>
    <row r="1229" spans="1:15" x14ac:dyDescent="0.15">
      <c r="A1229" t="s">
        <v>74</v>
      </c>
      <c r="B1229">
        <v>29668342</v>
      </c>
      <c r="D1229">
        <v>19024647</v>
      </c>
      <c r="E1229">
        <v>32065171</v>
      </c>
      <c r="F1229" t="s">
        <v>3075</v>
      </c>
      <c r="G1229" t="s">
        <v>32000</v>
      </c>
      <c r="H1229" t="s">
        <v>32001</v>
      </c>
      <c r="I1229" t="s">
        <v>32002</v>
      </c>
      <c r="J1229" t="s">
        <v>30853</v>
      </c>
      <c r="K1229">
        <v>2020</v>
      </c>
      <c r="L1229" s="1">
        <v>43879</v>
      </c>
      <c r="O1229" t="s">
        <v>3086</v>
      </c>
    </row>
    <row r="1230" spans="1:15" x14ac:dyDescent="0.15">
      <c r="A1230">
        <v>28236306</v>
      </c>
      <c r="B1230">
        <v>34006093</v>
      </c>
      <c r="D1230">
        <v>31926290</v>
      </c>
      <c r="E1230">
        <v>33311558</v>
      </c>
      <c r="F1230" t="s">
        <v>14755</v>
      </c>
      <c r="G1230" t="s">
        <v>32003</v>
      </c>
      <c r="H1230" t="s">
        <v>32004</v>
      </c>
      <c r="I1230" t="s">
        <v>32005</v>
      </c>
      <c r="J1230" t="s">
        <v>30834</v>
      </c>
      <c r="K1230">
        <v>2020</v>
      </c>
      <c r="L1230" s="1">
        <v>44179</v>
      </c>
      <c r="M1230" t="s">
        <v>32006</v>
      </c>
      <c r="O1230" t="s">
        <v>14763</v>
      </c>
    </row>
    <row r="1231" spans="1:15" x14ac:dyDescent="0.15">
      <c r="A1231">
        <v>32153563</v>
      </c>
      <c r="B1231">
        <v>30085064</v>
      </c>
      <c r="D1231">
        <v>30760538</v>
      </c>
      <c r="E1231">
        <v>35014524</v>
      </c>
      <c r="F1231" t="s">
        <v>17701</v>
      </c>
      <c r="G1231" t="s">
        <v>32007</v>
      </c>
      <c r="H1231" t="s">
        <v>32008</v>
      </c>
      <c r="I1231" t="s">
        <v>32009</v>
      </c>
      <c r="J1231" t="s">
        <v>32010</v>
      </c>
      <c r="K1231">
        <v>2021</v>
      </c>
      <c r="L1231" s="1">
        <v>44572</v>
      </c>
      <c r="O1231" t="s">
        <v>17711</v>
      </c>
    </row>
    <row r="1232" spans="1:15" x14ac:dyDescent="0.15">
      <c r="A1232">
        <v>31629738</v>
      </c>
      <c r="B1232">
        <v>32648491</v>
      </c>
      <c r="D1232">
        <v>33670563</v>
      </c>
      <c r="E1232">
        <v>29196999</v>
      </c>
      <c r="F1232" t="s">
        <v>8254</v>
      </c>
      <c r="G1232" t="s">
        <v>32011</v>
      </c>
      <c r="H1232" t="s">
        <v>32012</v>
      </c>
      <c r="I1232" t="s">
        <v>32013</v>
      </c>
      <c r="J1232" t="s">
        <v>31003</v>
      </c>
      <c r="K1232">
        <v>2018</v>
      </c>
      <c r="L1232" s="1">
        <v>43072</v>
      </c>
      <c r="O1232" t="s">
        <v>8265</v>
      </c>
    </row>
    <row r="1233" spans="1:15" x14ac:dyDescent="0.15">
      <c r="A1233">
        <v>32813249</v>
      </c>
      <c r="B1233">
        <v>24152966</v>
      </c>
      <c r="D1233">
        <v>32457507</v>
      </c>
      <c r="E1233">
        <v>31896748</v>
      </c>
      <c r="F1233" t="s">
        <v>17094</v>
      </c>
      <c r="G1233" t="s">
        <v>32014</v>
      </c>
      <c r="H1233" t="s">
        <v>32015</v>
      </c>
      <c r="I1233" t="s">
        <v>32016</v>
      </c>
      <c r="J1233" t="s">
        <v>30796</v>
      </c>
      <c r="K1233">
        <v>2020</v>
      </c>
      <c r="L1233" s="1">
        <v>43834</v>
      </c>
      <c r="M1233" t="s">
        <v>32017</v>
      </c>
      <c r="O1233" t="s">
        <v>17104</v>
      </c>
    </row>
    <row r="1234" spans="1:15" x14ac:dyDescent="0.15">
      <c r="A1234">
        <v>32722322</v>
      </c>
      <c r="B1234">
        <v>29328915</v>
      </c>
      <c r="D1234">
        <v>22174383</v>
      </c>
      <c r="E1234">
        <v>33656037</v>
      </c>
      <c r="F1234" t="s">
        <v>23061</v>
      </c>
      <c r="G1234" t="s">
        <v>32032</v>
      </c>
      <c r="H1234" t="s">
        <v>32033</v>
      </c>
      <c r="I1234" t="s">
        <v>32034</v>
      </c>
      <c r="J1234" t="s">
        <v>32035</v>
      </c>
      <c r="K1234">
        <v>2021</v>
      </c>
      <c r="L1234" s="1">
        <v>44258</v>
      </c>
      <c r="O1234" t="s">
        <v>23069</v>
      </c>
    </row>
    <row r="1235" spans="1:15" x14ac:dyDescent="0.15">
      <c r="A1235">
        <v>28901383</v>
      </c>
      <c r="B1235">
        <v>32105369</v>
      </c>
      <c r="D1235">
        <v>26409934</v>
      </c>
      <c r="E1235">
        <v>33753455</v>
      </c>
      <c r="F1235" t="s">
        <v>12260</v>
      </c>
      <c r="G1235" t="s">
        <v>32036</v>
      </c>
      <c r="H1235" t="s">
        <v>32037</v>
      </c>
      <c r="I1235" t="s">
        <v>32038</v>
      </c>
      <c r="J1235" t="s">
        <v>32039</v>
      </c>
      <c r="K1235">
        <v>2021</v>
      </c>
      <c r="L1235" s="1">
        <v>44278</v>
      </c>
      <c r="M1235" t="s">
        <v>32040</v>
      </c>
      <c r="N1235" t="s">
        <v>32041</v>
      </c>
      <c r="O1235" t="s">
        <v>12270</v>
      </c>
    </row>
    <row r="1236" spans="1:15" x14ac:dyDescent="0.15">
      <c r="A1236">
        <v>32357878</v>
      </c>
      <c r="B1236">
        <v>30928015</v>
      </c>
      <c r="D1236">
        <v>33232189</v>
      </c>
      <c r="E1236">
        <v>33275138</v>
      </c>
      <c r="F1236" t="s">
        <v>19474</v>
      </c>
      <c r="G1236" t="s">
        <v>32042</v>
      </c>
      <c r="H1236" t="s">
        <v>32043</v>
      </c>
      <c r="I1236" t="s">
        <v>32044</v>
      </c>
      <c r="J1236" t="s">
        <v>30840</v>
      </c>
      <c r="K1236">
        <v>2021</v>
      </c>
      <c r="L1236" s="1">
        <v>44169</v>
      </c>
      <c r="M1236" t="s">
        <v>32045</v>
      </c>
      <c r="O1236" t="s">
        <v>19484</v>
      </c>
    </row>
    <row r="1237" spans="1:15" x14ac:dyDescent="0.15">
      <c r="A1237">
        <v>30658414</v>
      </c>
      <c r="B1237">
        <v>33539341</v>
      </c>
      <c r="D1237">
        <v>25760330</v>
      </c>
      <c r="E1237">
        <v>32594744</v>
      </c>
      <c r="F1237" t="s">
        <v>17521</v>
      </c>
      <c r="G1237" t="s">
        <v>32046</v>
      </c>
      <c r="H1237" t="s">
        <v>32047</v>
      </c>
      <c r="I1237" t="s">
        <v>32048</v>
      </c>
      <c r="J1237" t="s">
        <v>31781</v>
      </c>
      <c r="K1237">
        <v>2020</v>
      </c>
      <c r="L1237" s="1">
        <v>44012</v>
      </c>
      <c r="O1237" t="s">
        <v>17530</v>
      </c>
    </row>
    <row r="1238" spans="1:15" x14ac:dyDescent="0.15">
      <c r="A1238">
        <v>32232575</v>
      </c>
      <c r="B1238">
        <v>33321257</v>
      </c>
      <c r="D1238">
        <v>23576546</v>
      </c>
      <c r="E1238">
        <v>33190594</v>
      </c>
      <c r="F1238" t="s">
        <v>18680</v>
      </c>
      <c r="G1238" t="s">
        <v>32054</v>
      </c>
      <c r="H1238" t="s">
        <v>32055</v>
      </c>
      <c r="I1238" t="s">
        <v>32056</v>
      </c>
      <c r="J1238" t="s">
        <v>31991</v>
      </c>
      <c r="K1238">
        <v>2020</v>
      </c>
      <c r="L1238" s="1">
        <v>44151</v>
      </c>
      <c r="M1238" t="s">
        <v>32057</v>
      </c>
      <c r="O1238" t="s">
        <v>18688</v>
      </c>
    </row>
    <row r="1239" spans="1:15" x14ac:dyDescent="0.15">
      <c r="A1239">
        <v>31596073</v>
      </c>
      <c r="B1239">
        <v>26846164</v>
      </c>
      <c r="D1239">
        <v>31704541</v>
      </c>
      <c r="E1239">
        <v>30519544</v>
      </c>
      <c r="F1239" t="s">
        <v>3243</v>
      </c>
      <c r="G1239" t="s">
        <v>32058</v>
      </c>
      <c r="H1239" t="s">
        <v>32059</v>
      </c>
      <c r="I1239" t="s">
        <v>32060</v>
      </c>
      <c r="J1239" t="s">
        <v>31317</v>
      </c>
      <c r="K1239">
        <v>2018</v>
      </c>
      <c r="L1239" s="1">
        <v>43441</v>
      </c>
      <c r="M1239" t="s">
        <v>32061</v>
      </c>
      <c r="O1239" t="s">
        <v>3256</v>
      </c>
    </row>
    <row r="1240" spans="1:15" x14ac:dyDescent="0.15">
      <c r="A1240">
        <v>32747701</v>
      </c>
      <c r="B1240">
        <v>27863260</v>
      </c>
      <c r="D1240">
        <v>31143191</v>
      </c>
      <c r="E1240">
        <v>21132466</v>
      </c>
      <c r="F1240" t="s">
        <v>6026</v>
      </c>
      <c r="G1240" t="s">
        <v>32062</v>
      </c>
      <c r="H1240" t="s">
        <v>32063</v>
      </c>
      <c r="I1240" t="s">
        <v>32064</v>
      </c>
      <c r="J1240" t="s">
        <v>32065</v>
      </c>
      <c r="K1240">
        <v>2011</v>
      </c>
      <c r="L1240" s="1">
        <v>40519</v>
      </c>
      <c r="M1240" t="s">
        <v>32066</v>
      </c>
      <c r="N1240" t="s">
        <v>32067</v>
      </c>
      <c r="O1240" t="s">
        <v>6040</v>
      </c>
    </row>
    <row r="1241" spans="1:15" x14ac:dyDescent="0.15">
      <c r="A1241" t="s">
        <v>74</v>
      </c>
      <c r="B1241">
        <v>24503127</v>
      </c>
      <c r="D1241">
        <v>31768989</v>
      </c>
      <c r="E1241">
        <v>29986209</v>
      </c>
      <c r="F1241" t="s">
        <v>12624</v>
      </c>
      <c r="G1241" t="s">
        <v>32068</v>
      </c>
      <c r="H1241" t="s">
        <v>32069</v>
      </c>
      <c r="I1241" t="s">
        <v>31037</v>
      </c>
      <c r="J1241" t="s">
        <v>32070</v>
      </c>
      <c r="K1241">
        <v>2018</v>
      </c>
      <c r="L1241" s="1">
        <v>43291</v>
      </c>
      <c r="M1241" t="s">
        <v>32071</v>
      </c>
      <c r="O1241" t="s">
        <v>12635</v>
      </c>
    </row>
    <row r="1242" spans="1:15" x14ac:dyDescent="0.15">
      <c r="A1242" t="s">
        <v>74</v>
      </c>
      <c r="B1242">
        <v>32706245</v>
      </c>
      <c r="D1242">
        <v>19029311</v>
      </c>
      <c r="E1242">
        <v>31168963</v>
      </c>
      <c r="F1242" t="s">
        <v>434</v>
      </c>
      <c r="G1242" t="s">
        <v>32072</v>
      </c>
      <c r="H1242" t="s">
        <v>32073</v>
      </c>
      <c r="I1242" t="s">
        <v>32074</v>
      </c>
      <c r="J1242" t="s">
        <v>32075</v>
      </c>
      <c r="K1242">
        <v>2020</v>
      </c>
      <c r="L1242" s="1">
        <v>43623</v>
      </c>
      <c r="M1242" t="s">
        <v>32076</v>
      </c>
      <c r="N1242" t="s">
        <v>32077</v>
      </c>
      <c r="O1242" t="s">
        <v>448</v>
      </c>
    </row>
    <row r="1243" spans="1:15" x14ac:dyDescent="0.15">
      <c r="A1243">
        <v>32239931</v>
      </c>
      <c r="B1243">
        <v>33155647</v>
      </c>
      <c r="D1243">
        <v>35349793</v>
      </c>
      <c r="E1243">
        <v>24141107</v>
      </c>
      <c r="F1243" t="s">
        <v>32078</v>
      </c>
      <c r="G1243" t="s">
        <v>32079</v>
      </c>
      <c r="H1243" t="s">
        <v>32080</v>
      </c>
      <c r="I1243" t="s">
        <v>32081</v>
      </c>
      <c r="J1243" t="s">
        <v>31264</v>
      </c>
      <c r="K1243">
        <v>2013</v>
      </c>
      <c r="L1243" s="1">
        <v>41569</v>
      </c>
      <c r="O1243" t="s">
        <v>19967</v>
      </c>
    </row>
    <row r="1244" spans="1:15" x14ac:dyDescent="0.15">
      <c r="A1244">
        <v>19019086</v>
      </c>
      <c r="B1244">
        <v>26214286</v>
      </c>
      <c r="D1244">
        <v>20028739</v>
      </c>
      <c r="E1244">
        <v>31903745</v>
      </c>
      <c r="F1244" t="s">
        <v>17148</v>
      </c>
      <c r="G1244" t="s">
        <v>32113</v>
      </c>
      <c r="H1244" t="s">
        <v>32114</v>
      </c>
      <c r="I1244" t="s">
        <v>31857</v>
      </c>
      <c r="J1244" t="s">
        <v>30956</v>
      </c>
      <c r="K1244">
        <v>2020</v>
      </c>
      <c r="L1244" s="1">
        <v>43837</v>
      </c>
      <c r="O1244" t="s">
        <v>17157</v>
      </c>
    </row>
    <row r="1245" spans="1:15" x14ac:dyDescent="0.15">
      <c r="A1245">
        <v>17286953</v>
      </c>
      <c r="B1245">
        <v>22995828</v>
      </c>
      <c r="D1245">
        <v>24067531</v>
      </c>
      <c r="E1245">
        <v>29787607</v>
      </c>
      <c r="F1245" t="s">
        <v>16445</v>
      </c>
      <c r="G1245" t="s">
        <v>32121</v>
      </c>
      <c r="H1245" t="s">
        <v>32122</v>
      </c>
      <c r="I1245" t="s">
        <v>31045</v>
      </c>
      <c r="J1245" t="s">
        <v>31639</v>
      </c>
      <c r="K1245">
        <v>2018</v>
      </c>
      <c r="L1245" s="1">
        <v>43243</v>
      </c>
      <c r="M1245" t="s">
        <v>32123</v>
      </c>
      <c r="O1245" t="s">
        <v>16452</v>
      </c>
    </row>
    <row r="1246" spans="1:15" x14ac:dyDescent="0.15">
      <c r="A1246">
        <v>32380415</v>
      </c>
      <c r="B1246">
        <v>2004649</v>
      </c>
      <c r="D1246">
        <v>22315426</v>
      </c>
      <c r="E1246">
        <v>31678172</v>
      </c>
      <c r="F1246" t="s">
        <v>12155</v>
      </c>
      <c r="G1246" t="s">
        <v>32124</v>
      </c>
      <c r="H1246" t="s">
        <v>32125</v>
      </c>
      <c r="I1246" t="s">
        <v>32126</v>
      </c>
      <c r="J1246" t="s">
        <v>32127</v>
      </c>
      <c r="K1246">
        <v>2020</v>
      </c>
      <c r="L1246" s="1">
        <v>43773</v>
      </c>
      <c r="M1246" t="s">
        <v>32128</v>
      </c>
      <c r="N1246" t="s">
        <v>32129</v>
      </c>
      <c r="O1246" t="s">
        <v>12166</v>
      </c>
    </row>
    <row r="1247" spans="1:15" x14ac:dyDescent="0.15">
      <c r="A1247">
        <v>32722209</v>
      </c>
      <c r="B1247">
        <v>29282861</v>
      </c>
      <c r="D1247">
        <v>27075967</v>
      </c>
      <c r="E1247">
        <v>30793504</v>
      </c>
      <c r="F1247" t="s">
        <v>4060</v>
      </c>
      <c r="G1247" t="s">
        <v>32136</v>
      </c>
      <c r="H1247" t="s">
        <v>32137</v>
      </c>
      <c r="I1247" t="s">
        <v>32138</v>
      </c>
      <c r="J1247" t="s">
        <v>32139</v>
      </c>
      <c r="K1247">
        <v>2019</v>
      </c>
      <c r="L1247" s="1">
        <v>43519</v>
      </c>
      <c r="M1247" t="s">
        <v>32140</v>
      </c>
      <c r="O1247" t="s">
        <v>4072</v>
      </c>
    </row>
    <row r="1248" spans="1:15" x14ac:dyDescent="0.15">
      <c r="A1248">
        <v>26462606</v>
      </c>
      <c r="B1248">
        <v>34680868</v>
      </c>
      <c r="D1248">
        <v>31015625</v>
      </c>
      <c r="E1248">
        <v>26126838</v>
      </c>
      <c r="F1248" t="s">
        <v>32141</v>
      </c>
      <c r="G1248" t="s">
        <v>32142</v>
      </c>
      <c r="H1248" t="s">
        <v>32143</v>
      </c>
      <c r="I1248" t="s">
        <v>32144</v>
      </c>
      <c r="J1248" t="s">
        <v>32145</v>
      </c>
      <c r="K1248">
        <v>2015</v>
      </c>
      <c r="L1248" s="1">
        <v>42187</v>
      </c>
      <c r="O1248" t="s">
        <v>212</v>
      </c>
    </row>
    <row r="1249" spans="1:15" x14ac:dyDescent="0.15">
      <c r="A1249" t="s">
        <v>74</v>
      </c>
      <c r="B1249">
        <v>32865792</v>
      </c>
      <c r="D1249">
        <v>32187520</v>
      </c>
      <c r="E1249">
        <v>31684971</v>
      </c>
      <c r="F1249" t="s">
        <v>3228</v>
      </c>
      <c r="G1249" t="s">
        <v>32146</v>
      </c>
      <c r="H1249" t="s">
        <v>32147</v>
      </c>
      <c r="I1249" t="s">
        <v>32148</v>
      </c>
      <c r="J1249" t="s">
        <v>32149</v>
      </c>
      <c r="K1249">
        <v>2019</v>
      </c>
      <c r="L1249" s="1">
        <v>43775</v>
      </c>
      <c r="M1249" t="s">
        <v>32150</v>
      </c>
      <c r="O1249" t="s">
        <v>3239</v>
      </c>
    </row>
    <row r="1250" spans="1:15" x14ac:dyDescent="0.15">
      <c r="A1250">
        <v>25824636</v>
      </c>
      <c r="B1250">
        <v>34346466</v>
      </c>
      <c r="D1250">
        <v>34728780</v>
      </c>
      <c r="E1250">
        <v>28643865</v>
      </c>
      <c r="F1250" t="s">
        <v>19163</v>
      </c>
      <c r="G1250" t="s">
        <v>32157</v>
      </c>
      <c r="H1250" t="s">
        <v>32158</v>
      </c>
      <c r="I1250" t="s">
        <v>32159</v>
      </c>
      <c r="J1250" t="s">
        <v>32160</v>
      </c>
      <c r="K1250">
        <v>2017</v>
      </c>
      <c r="L1250" s="1">
        <v>42910</v>
      </c>
      <c r="O1250" t="s">
        <v>19175</v>
      </c>
    </row>
    <row r="1251" spans="1:15" x14ac:dyDescent="0.15">
      <c r="A1251" t="s">
        <v>74</v>
      </c>
      <c r="B1251">
        <v>28087167</v>
      </c>
      <c r="D1251">
        <v>32824702</v>
      </c>
      <c r="E1251">
        <v>25934618</v>
      </c>
      <c r="F1251" t="s">
        <v>32161</v>
      </c>
      <c r="G1251" t="s">
        <v>32162</v>
      </c>
      <c r="H1251" t="s">
        <v>32163</v>
      </c>
      <c r="I1251" t="s">
        <v>32164</v>
      </c>
      <c r="J1251" t="s">
        <v>32165</v>
      </c>
      <c r="K1251">
        <v>2015</v>
      </c>
      <c r="L1251" s="1">
        <v>42127</v>
      </c>
      <c r="M1251" t="s">
        <v>32166</v>
      </c>
      <c r="O1251" t="s">
        <v>8728</v>
      </c>
    </row>
    <row r="1252" spans="1:15" x14ac:dyDescent="0.15">
      <c r="A1252">
        <v>32033114</v>
      </c>
      <c r="B1252">
        <v>33798333</v>
      </c>
      <c r="D1252">
        <v>33222670</v>
      </c>
      <c r="E1252">
        <v>33297857</v>
      </c>
      <c r="F1252" t="s">
        <v>8416</v>
      </c>
      <c r="G1252" t="s">
        <v>32167</v>
      </c>
      <c r="H1252" t="s">
        <v>32168</v>
      </c>
      <c r="I1252" t="s">
        <v>32169</v>
      </c>
      <c r="J1252" t="s">
        <v>32170</v>
      </c>
      <c r="K1252">
        <v>2022</v>
      </c>
      <c r="L1252" s="1">
        <v>44175</v>
      </c>
      <c r="M1252" t="s">
        <v>32171</v>
      </c>
      <c r="O1252" t="s">
        <v>32172</v>
      </c>
    </row>
    <row r="1253" spans="1:15" x14ac:dyDescent="0.15">
      <c r="A1253">
        <v>30530119</v>
      </c>
      <c r="B1253">
        <v>33422353</v>
      </c>
      <c r="D1253">
        <v>32861822</v>
      </c>
      <c r="E1253">
        <v>34111932</v>
      </c>
      <c r="F1253" t="s">
        <v>18597</v>
      </c>
      <c r="G1253" t="s">
        <v>32173</v>
      </c>
      <c r="H1253" t="s">
        <v>32174</v>
      </c>
      <c r="I1253" t="s">
        <v>31339</v>
      </c>
      <c r="J1253" t="s">
        <v>30956</v>
      </c>
      <c r="K1253">
        <v>2021</v>
      </c>
      <c r="L1253" s="1">
        <v>44358</v>
      </c>
      <c r="O1253" t="s">
        <v>18606</v>
      </c>
    </row>
    <row r="1254" spans="1:15" x14ac:dyDescent="0.15">
      <c r="A1254">
        <v>30670543</v>
      </c>
      <c r="B1254">
        <v>34008692</v>
      </c>
      <c r="D1254">
        <v>32476238</v>
      </c>
      <c r="E1254">
        <v>29321591</v>
      </c>
      <c r="F1254" t="s">
        <v>17122</v>
      </c>
      <c r="G1254" t="s">
        <v>32175</v>
      </c>
      <c r="H1254" t="s">
        <v>32176</v>
      </c>
      <c r="I1254" t="s">
        <v>32177</v>
      </c>
      <c r="J1254" t="s">
        <v>30834</v>
      </c>
      <c r="K1254">
        <v>2018</v>
      </c>
      <c r="L1254" s="1">
        <v>43112</v>
      </c>
      <c r="M1254" t="s">
        <v>32178</v>
      </c>
      <c r="O1254" t="s">
        <v>17131</v>
      </c>
    </row>
    <row r="1255" spans="1:15" x14ac:dyDescent="0.15">
      <c r="A1255">
        <v>31549028</v>
      </c>
      <c r="B1255">
        <v>17174896</v>
      </c>
      <c r="D1255">
        <v>29243807</v>
      </c>
      <c r="E1255">
        <v>35673574</v>
      </c>
      <c r="F1255" t="s">
        <v>1142</v>
      </c>
      <c r="G1255" t="s">
        <v>32179</v>
      </c>
      <c r="H1255" t="s">
        <v>32180</v>
      </c>
      <c r="I1255" t="s">
        <v>31758</v>
      </c>
      <c r="J1255" t="s">
        <v>30588</v>
      </c>
      <c r="K1255">
        <v>2022</v>
      </c>
      <c r="L1255" s="1">
        <v>44720</v>
      </c>
      <c r="M1255" t="s">
        <v>32181</v>
      </c>
      <c r="O1255" t="s">
        <v>1154</v>
      </c>
    </row>
    <row r="1256" spans="1:15" x14ac:dyDescent="0.15">
      <c r="A1256">
        <v>29209124</v>
      </c>
      <c r="B1256">
        <v>34773243</v>
      </c>
      <c r="D1256">
        <v>31711714</v>
      </c>
      <c r="E1256">
        <v>30670543</v>
      </c>
      <c r="F1256" t="s">
        <v>6272</v>
      </c>
      <c r="G1256" t="s">
        <v>32182</v>
      </c>
      <c r="H1256" t="s">
        <v>32183</v>
      </c>
      <c r="I1256" t="s">
        <v>32184</v>
      </c>
      <c r="J1256" t="s">
        <v>32185</v>
      </c>
      <c r="K1256">
        <v>2019</v>
      </c>
      <c r="L1256" s="1">
        <v>43489</v>
      </c>
      <c r="M1256" t="s">
        <v>32186</v>
      </c>
      <c r="O1256" t="s">
        <v>6284</v>
      </c>
    </row>
    <row r="1257" spans="1:15" x14ac:dyDescent="0.15">
      <c r="A1257">
        <v>30982221</v>
      </c>
      <c r="B1257">
        <v>22593716</v>
      </c>
      <c r="D1257">
        <v>30412280</v>
      </c>
      <c r="E1257">
        <v>27959588</v>
      </c>
      <c r="F1257" t="s">
        <v>20575</v>
      </c>
      <c r="G1257" t="s">
        <v>32193</v>
      </c>
      <c r="H1257" t="s">
        <v>32194</v>
      </c>
      <c r="I1257" t="s">
        <v>32195</v>
      </c>
      <c r="J1257" t="s">
        <v>31654</v>
      </c>
      <c r="K1257">
        <v>2017</v>
      </c>
      <c r="L1257" s="1">
        <v>42718</v>
      </c>
      <c r="O1257" t="s">
        <v>20581</v>
      </c>
    </row>
    <row r="1258" spans="1:15" x14ac:dyDescent="0.15">
      <c r="A1258">
        <v>22984881</v>
      </c>
      <c r="B1258">
        <v>30382599</v>
      </c>
      <c r="D1258">
        <v>24211404</v>
      </c>
      <c r="E1258">
        <v>35373518</v>
      </c>
      <c r="F1258" t="s">
        <v>122</v>
      </c>
      <c r="G1258" t="s">
        <v>32196</v>
      </c>
      <c r="H1258" t="s">
        <v>32197</v>
      </c>
      <c r="I1258" t="s">
        <v>32198</v>
      </c>
      <c r="J1258" t="s">
        <v>30772</v>
      </c>
      <c r="K1258">
        <v>2022</v>
      </c>
      <c r="L1258" s="1">
        <v>44655</v>
      </c>
      <c r="M1258" t="s">
        <v>32199</v>
      </c>
      <c r="O1258" t="s">
        <v>134</v>
      </c>
    </row>
    <row r="1259" spans="1:15" x14ac:dyDescent="0.15">
      <c r="A1259">
        <v>29975106</v>
      </c>
      <c r="B1259">
        <v>27998963</v>
      </c>
      <c r="D1259">
        <v>26751387</v>
      </c>
      <c r="E1259">
        <v>24576997</v>
      </c>
      <c r="F1259" t="s">
        <v>691</v>
      </c>
      <c r="G1259" t="s">
        <v>32205</v>
      </c>
      <c r="H1259" t="s">
        <v>32206</v>
      </c>
      <c r="I1259" t="s">
        <v>32207</v>
      </c>
      <c r="J1259" t="s">
        <v>32208</v>
      </c>
      <c r="K1259">
        <v>2014</v>
      </c>
      <c r="L1259" s="1">
        <v>41699</v>
      </c>
      <c r="M1259" t="s">
        <v>32209</v>
      </c>
      <c r="N1259" t="s">
        <v>32210</v>
      </c>
      <c r="O1259" t="s">
        <v>704</v>
      </c>
    </row>
    <row r="1260" spans="1:15" x14ac:dyDescent="0.15">
      <c r="A1260">
        <v>32986505</v>
      </c>
      <c r="B1260">
        <v>23227894</v>
      </c>
      <c r="D1260">
        <v>20964628</v>
      </c>
      <c r="E1260">
        <v>32232575</v>
      </c>
      <c r="F1260" t="s">
        <v>8925</v>
      </c>
      <c r="G1260" t="s">
        <v>32211</v>
      </c>
      <c r="H1260" t="s">
        <v>32212</v>
      </c>
      <c r="I1260" t="s">
        <v>32213</v>
      </c>
      <c r="J1260" t="s">
        <v>32214</v>
      </c>
      <c r="K1260">
        <v>2020</v>
      </c>
      <c r="L1260" s="1">
        <v>43923</v>
      </c>
      <c r="O1260" t="s">
        <v>8937</v>
      </c>
    </row>
    <row r="1261" spans="1:15" x14ac:dyDescent="0.15">
      <c r="A1261">
        <v>31582907</v>
      </c>
      <c r="B1261">
        <v>32169503</v>
      </c>
      <c r="D1261">
        <v>31784837</v>
      </c>
      <c r="E1261">
        <v>19146850</v>
      </c>
      <c r="F1261" t="s">
        <v>18781</v>
      </c>
      <c r="G1261" t="s">
        <v>32221</v>
      </c>
      <c r="H1261" t="s">
        <v>32222</v>
      </c>
      <c r="I1261" t="s">
        <v>32223</v>
      </c>
      <c r="J1261" t="s">
        <v>32127</v>
      </c>
      <c r="K1261">
        <v>2009</v>
      </c>
      <c r="L1261" s="1">
        <v>39830</v>
      </c>
      <c r="O1261" t="s">
        <v>18787</v>
      </c>
    </row>
    <row r="1262" spans="1:15" x14ac:dyDescent="0.15">
      <c r="A1262">
        <v>32175535</v>
      </c>
      <c r="B1262">
        <v>15906406</v>
      </c>
      <c r="D1262">
        <v>31300343</v>
      </c>
      <c r="E1262">
        <v>32603406</v>
      </c>
      <c r="F1262" t="s">
        <v>32224</v>
      </c>
      <c r="G1262" t="s">
        <v>32225</v>
      </c>
      <c r="H1262" t="s">
        <v>32226</v>
      </c>
      <c r="I1262" t="s">
        <v>32227</v>
      </c>
      <c r="J1262" t="s">
        <v>32228</v>
      </c>
      <c r="K1262">
        <v>2022</v>
      </c>
      <c r="L1262" s="1">
        <v>44013</v>
      </c>
      <c r="M1262" t="s">
        <v>32229</v>
      </c>
      <c r="O1262" t="s">
        <v>1409</v>
      </c>
    </row>
    <row r="1263" spans="1:15" x14ac:dyDescent="0.15">
      <c r="A1263">
        <v>31063814</v>
      </c>
      <c r="B1263">
        <v>26604698</v>
      </c>
      <c r="D1263">
        <v>35013578</v>
      </c>
      <c r="E1263">
        <v>32912198</v>
      </c>
      <c r="F1263" t="s">
        <v>12075</v>
      </c>
      <c r="G1263" t="s">
        <v>32243</v>
      </c>
      <c r="H1263" t="s">
        <v>32244</v>
      </c>
      <c r="I1263" t="s">
        <v>32245</v>
      </c>
      <c r="J1263" t="s">
        <v>32149</v>
      </c>
      <c r="K1263">
        <v>2020</v>
      </c>
      <c r="L1263" s="1">
        <v>44085</v>
      </c>
      <c r="M1263" t="s">
        <v>32246</v>
      </c>
      <c r="O1263" t="s">
        <v>12085</v>
      </c>
    </row>
    <row r="1264" spans="1:15" x14ac:dyDescent="0.15">
      <c r="A1264">
        <v>29762232</v>
      </c>
      <c r="B1264">
        <v>1383382</v>
      </c>
      <c r="D1264">
        <v>33892051</v>
      </c>
      <c r="E1264">
        <v>32530449</v>
      </c>
      <c r="F1264" t="s">
        <v>9848</v>
      </c>
      <c r="G1264" t="s">
        <v>32253</v>
      </c>
      <c r="H1264" t="s">
        <v>32254</v>
      </c>
      <c r="I1264" t="s">
        <v>32255</v>
      </c>
      <c r="J1264" t="s">
        <v>32256</v>
      </c>
      <c r="K1264">
        <v>2020</v>
      </c>
      <c r="L1264" s="1">
        <v>43995</v>
      </c>
      <c r="O1264" t="s">
        <v>9860</v>
      </c>
    </row>
    <row r="1265" spans="1:15" x14ac:dyDescent="0.15">
      <c r="A1265">
        <v>32932883</v>
      </c>
      <c r="B1265">
        <v>15837433</v>
      </c>
      <c r="D1265">
        <v>32231001</v>
      </c>
      <c r="E1265">
        <v>29550075</v>
      </c>
      <c r="F1265" t="s">
        <v>11026</v>
      </c>
      <c r="G1265" t="s">
        <v>32257</v>
      </c>
      <c r="H1265" t="s">
        <v>32258</v>
      </c>
      <c r="I1265" t="s">
        <v>32259</v>
      </c>
      <c r="J1265" t="s">
        <v>30786</v>
      </c>
      <c r="K1265">
        <v>2018</v>
      </c>
      <c r="L1265" s="1">
        <v>43178</v>
      </c>
      <c r="M1265" t="s">
        <v>32260</v>
      </c>
      <c r="O1265" t="s">
        <v>11035</v>
      </c>
    </row>
    <row r="1266" spans="1:15" x14ac:dyDescent="0.15">
      <c r="A1266">
        <v>33257182</v>
      </c>
      <c r="B1266">
        <v>3753981</v>
      </c>
      <c r="D1266">
        <v>22325213</v>
      </c>
      <c r="E1266">
        <v>32441840</v>
      </c>
      <c r="F1266" t="s">
        <v>1052</v>
      </c>
      <c r="G1266" t="s">
        <v>32261</v>
      </c>
      <c r="H1266" t="s">
        <v>32262</v>
      </c>
      <c r="I1266" t="s">
        <v>32263</v>
      </c>
      <c r="J1266" t="s">
        <v>32264</v>
      </c>
      <c r="K1266">
        <v>2020</v>
      </c>
      <c r="L1266" s="1">
        <v>43974</v>
      </c>
      <c r="O1266" t="s">
        <v>1065</v>
      </c>
    </row>
    <row r="1267" spans="1:15" x14ac:dyDescent="0.15">
      <c r="A1267">
        <v>32551501</v>
      </c>
      <c r="B1267">
        <v>26350316</v>
      </c>
      <c r="D1267">
        <v>25210768</v>
      </c>
      <c r="E1267">
        <v>24398677</v>
      </c>
      <c r="F1267" t="s">
        <v>32272</v>
      </c>
      <c r="G1267" t="s">
        <v>32273</v>
      </c>
      <c r="H1267" t="s">
        <v>32274</v>
      </c>
      <c r="I1267" t="s">
        <v>32275</v>
      </c>
      <c r="J1267" t="s">
        <v>31594</v>
      </c>
      <c r="K1267">
        <v>2014</v>
      </c>
      <c r="L1267" s="1">
        <v>41648</v>
      </c>
      <c r="M1267" t="s">
        <v>32276</v>
      </c>
      <c r="O1267" t="s">
        <v>3713</v>
      </c>
    </row>
    <row r="1268" spans="1:15" x14ac:dyDescent="0.15">
      <c r="A1268">
        <v>25319134</v>
      </c>
      <c r="B1268">
        <v>24022222</v>
      </c>
      <c r="D1268">
        <v>24933019</v>
      </c>
      <c r="E1268">
        <v>30871557</v>
      </c>
      <c r="F1268" t="s">
        <v>3984</v>
      </c>
      <c r="G1268" t="s">
        <v>32277</v>
      </c>
      <c r="H1268" t="s">
        <v>32278</v>
      </c>
      <c r="I1268" t="s">
        <v>32279</v>
      </c>
      <c r="J1268" t="s">
        <v>31304</v>
      </c>
      <c r="K1268">
        <v>2019</v>
      </c>
      <c r="L1268" s="1">
        <v>43540</v>
      </c>
      <c r="M1268" t="s">
        <v>32280</v>
      </c>
      <c r="O1268" t="s">
        <v>3995</v>
      </c>
    </row>
    <row r="1269" spans="1:15" x14ac:dyDescent="0.15">
      <c r="A1269">
        <v>30852462</v>
      </c>
      <c r="B1269">
        <v>30257227</v>
      </c>
      <c r="D1269">
        <v>22336707</v>
      </c>
      <c r="E1269">
        <v>29512380</v>
      </c>
      <c r="F1269" t="s">
        <v>12529</v>
      </c>
      <c r="G1269" t="s">
        <v>32281</v>
      </c>
      <c r="H1269" t="s">
        <v>32282</v>
      </c>
      <c r="I1269" t="s">
        <v>32283</v>
      </c>
      <c r="J1269" t="s">
        <v>30956</v>
      </c>
      <c r="K1269">
        <v>2018</v>
      </c>
      <c r="L1269" s="1">
        <v>43167</v>
      </c>
      <c r="O1269" t="s">
        <v>12538</v>
      </c>
    </row>
    <row r="1270" spans="1:15" x14ac:dyDescent="0.15">
      <c r="A1270">
        <v>29889592</v>
      </c>
      <c r="B1270">
        <v>1697030</v>
      </c>
      <c r="D1270">
        <v>35057806</v>
      </c>
      <c r="E1270">
        <v>24831807</v>
      </c>
      <c r="F1270" t="s">
        <v>32312</v>
      </c>
      <c r="G1270" t="s">
        <v>32313</v>
      </c>
      <c r="H1270" t="s">
        <v>32314</v>
      </c>
      <c r="I1270" t="s">
        <v>32315</v>
      </c>
      <c r="J1270" t="s">
        <v>31639</v>
      </c>
      <c r="K1270">
        <v>2014</v>
      </c>
      <c r="L1270" s="1">
        <v>41776</v>
      </c>
      <c r="M1270" t="s">
        <v>32316</v>
      </c>
      <c r="O1270" t="s">
        <v>12810</v>
      </c>
    </row>
    <row r="1271" spans="1:15" x14ac:dyDescent="0.15">
      <c r="A1271">
        <v>26104461</v>
      </c>
      <c r="B1271">
        <v>20506116</v>
      </c>
      <c r="D1271">
        <v>28878382</v>
      </c>
      <c r="E1271">
        <v>29139297</v>
      </c>
      <c r="F1271" t="s">
        <v>12170</v>
      </c>
      <c r="G1271" t="s">
        <v>32317</v>
      </c>
      <c r="H1271" t="s">
        <v>32318</v>
      </c>
      <c r="I1271" t="s">
        <v>32319</v>
      </c>
      <c r="J1271" t="s">
        <v>30956</v>
      </c>
      <c r="K1271">
        <v>2017</v>
      </c>
      <c r="L1271" s="1">
        <v>43055</v>
      </c>
      <c r="O1271" t="s">
        <v>12178</v>
      </c>
    </row>
    <row r="1272" spans="1:15" x14ac:dyDescent="0.15">
      <c r="A1272">
        <v>32836016</v>
      </c>
      <c r="B1272">
        <v>6981641</v>
      </c>
      <c r="D1272">
        <v>28774835</v>
      </c>
      <c r="E1272">
        <v>33169756</v>
      </c>
      <c r="F1272" t="s">
        <v>12500</v>
      </c>
      <c r="G1272" t="s">
        <v>32320</v>
      </c>
      <c r="H1272" t="s">
        <v>32321</v>
      </c>
      <c r="I1272" t="s">
        <v>31670</v>
      </c>
      <c r="J1272" t="s">
        <v>31678</v>
      </c>
      <c r="K1272">
        <v>2020</v>
      </c>
      <c r="L1272" s="1">
        <v>44145</v>
      </c>
      <c r="O1272" t="s">
        <v>12510</v>
      </c>
    </row>
    <row r="1273" spans="1:15" x14ac:dyDescent="0.15">
      <c r="A1273">
        <v>34172725</v>
      </c>
      <c r="B1273">
        <v>20980822</v>
      </c>
      <c r="D1273">
        <v>22232189</v>
      </c>
      <c r="E1273">
        <v>30265222</v>
      </c>
      <c r="F1273" t="s">
        <v>6223</v>
      </c>
      <c r="G1273" t="s">
        <v>32322</v>
      </c>
      <c r="H1273" t="s">
        <v>32323</v>
      </c>
      <c r="I1273" t="s">
        <v>32324</v>
      </c>
      <c r="J1273" t="s">
        <v>31387</v>
      </c>
      <c r="K1273">
        <v>2018</v>
      </c>
      <c r="L1273" s="1">
        <v>43372</v>
      </c>
      <c r="O1273" t="s">
        <v>6236</v>
      </c>
    </row>
    <row r="1274" spans="1:15" x14ac:dyDescent="0.15">
      <c r="A1274">
        <v>26480919</v>
      </c>
      <c r="B1274">
        <v>24887393</v>
      </c>
      <c r="D1274">
        <v>21670248</v>
      </c>
      <c r="E1274">
        <v>26763354</v>
      </c>
      <c r="F1274" t="s">
        <v>17729</v>
      </c>
      <c r="G1274" t="s">
        <v>32325</v>
      </c>
      <c r="H1274" t="s">
        <v>32326</v>
      </c>
      <c r="I1274" t="s">
        <v>32327</v>
      </c>
      <c r="J1274" t="s">
        <v>32328</v>
      </c>
      <c r="K1274">
        <v>2016</v>
      </c>
      <c r="L1274" s="1">
        <v>42384</v>
      </c>
      <c r="O1274" t="s">
        <v>17740</v>
      </c>
    </row>
    <row r="1275" spans="1:15" x14ac:dyDescent="0.15">
      <c r="A1275">
        <v>27315018</v>
      </c>
      <c r="B1275">
        <v>28225755</v>
      </c>
      <c r="D1275">
        <v>27075363</v>
      </c>
      <c r="E1275">
        <v>25772109</v>
      </c>
      <c r="F1275" t="s">
        <v>7359</v>
      </c>
      <c r="G1275" t="s">
        <v>32329</v>
      </c>
      <c r="H1275" t="s">
        <v>32330</v>
      </c>
      <c r="I1275" t="s">
        <v>32331</v>
      </c>
      <c r="J1275" t="s">
        <v>32332</v>
      </c>
      <c r="K1275">
        <v>2015</v>
      </c>
      <c r="L1275" s="1">
        <v>42080</v>
      </c>
      <c r="O1275" t="s">
        <v>7370</v>
      </c>
    </row>
    <row r="1276" spans="1:15" x14ac:dyDescent="0.15">
      <c r="A1276">
        <v>26644180</v>
      </c>
      <c r="B1276">
        <v>15136153</v>
      </c>
      <c r="D1276">
        <v>32312151</v>
      </c>
      <c r="E1276">
        <v>29593276</v>
      </c>
      <c r="F1276" t="s">
        <v>23928</v>
      </c>
      <c r="G1276" t="s">
        <v>32339</v>
      </c>
      <c r="H1276" t="s">
        <v>32340</v>
      </c>
      <c r="I1276" t="s">
        <v>32341</v>
      </c>
      <c r="J1276" t="s">
        <v>30796</v>
      </c>
      <c r="K1276">
        <v>2018</v>
      </c>
      <c r="L1276" s="1">
        <v>43189</v>
      </c>
      <c r="M1276" t="s">
        <v>32342</v>
      </c>
      <c r="O1276" t="s">
        <v>23938</v>
      </c>
    </row>
    <row r="1277" spans="1:15" x14ac:dyDescent="0.15">
      <c r="A1277">
        <v>25404700</v>
      </c>
      <c r="B1277">
        <v>18007593</v>
      </c>
      <c r="D1277">
        <v>27097729</v>
      </c>
      <c r="E1277">
        <v>33844518</v>
      </c>
      <c r="F1277" t="s">
        <v>19322</v>
      </c>
      <c r="G1277" t="s">
        <v>32343</v>
      </c>
      <c r="H1277" t="s">
        <v>32344</v>
      </c>
      <c r="I1277" t="s">
        <v>32345</v>
      </c>
      <c r="J1277" t="s">
        <v>30956</v>
      </c>
      <c r="K1277">
        <v>2021</v>
      </c>
      <c r="L1277" s="1">
        <v>44298</v>
      </c>
      <c r="O1277" t="s">
        <v>19331</v>
      </c>
    </row>
    <row r="1278" spans="1:15" x14ac:dyDescent="0.15">
      <c r="A1278">
        <v>33005912</v>
      </c>
      <c r="B1278">
        <v>17704127</v>
      </c>
      <c r="D1278">
        <v>34599143</v>
      </c>
      <c r="E1278">
        <v>31302031</v>
      </c>
      <c r="F1278" t="s">
        <v>22258</v>
      </c>
      <c r="G1278" t="s">
        <v>32346</v>
      </c>
      <c r="H1278" t="s">
        <v>32347</v>
      </c>
      <c r="I1278" t="s">
        <v>32348</v>
      </c>
      <c r="J1278" t="s">
        <v>32127</v>
      </c>
      <c r="K1278">
        <v>2019</v>
      </c>
      <c r="L1278" s="1">
        <v>43661</v>
      </c>
      <c r="O1278" t="s">
        <v>22266</v>
      </c>
    </row>
    <row r="1279" spans="1:15" x14ac:dyDescent="0.15">
      <c r="A1279">
        <v>31732191</v>
      </c>
      <c r="B1279">
        <v>23980617</v>
      </c>
      <c r="D1279">
        <v>27351774</v>
      </c>
      <c r="E1279">
        <v>20428099</v>
      </c>
      <c r="F1279" t="s">
        <v>2197</v>
      </c>
      <c r="G1279" t="s">
        <v>32349</v>
      </c>
      <c r="H1279" t="s">
        <v>32350</v>
      </c>
      <c r="I1279" t="s">
        <v>32351</v>
      </c>
      <c r="J1279" t="s">
        <v>32352</v>
      </c>
      <c r="K1279">
        <v>2010</v>
      </c>
      <c r="L1279" s="1">
        <v>40298</v>
      </c>
      <c r="M1279" t="s">
        <v>32353</v>
      </c>
      <c r="N1279" t="s">
        <v>32354</v>
      </c>
      <c r="O1279" t="s">
        <v>2210</v>
      </c>
    </row>
    <row r="1280" spans="1:15" x14ac:dyDescent="0.15">
      <c r="A1280">
        <v>31529964</v>
      </c>
      <c r="B1280">
        <v>29520561</v>
      </c>
      <c r="D1280">
        <v>33666247</v>
      </c>
      <c r="E1280">
        <v>34619318</v>
      </c>
      <c r="F1280" t="s">
        <v>11642</v>
      </c>
      <c r="G1280" t="s">
        <v>32355</v>
      </c>
      <c r="H1280" t="s">
        <v>32356</v>
      </c>
      <c r="I1280" t="s">
        <v>32357</v>
      </c>
      <c r="J1280" t="s">
        <v>32358</v>
      </c>
      <c r="K1280">
        <v>2021</v>
      </c>
      <c r="L1280" s="1">
        <v>44476</v>
      </c>
      <c r="O1280" t="s">
        <v>11654</v>
      </c>
    </row>
    <row r="1281" spans="1:15" x14ac:dyDescent="0.15">
      <c r="A1281">
        <v>32915353</v>
      </c>
      <c r="B1281">
        <v>23303825</v>
      </c>
      <c r="D1281">
        <v>31935901</v>
      </c>
      <c r="E1281">
        <v>31162940</v>
      </c>
      <c r="F1281" t="s">
        <v>32365</v>
      </c>
      <c r="G1281" t="s">
        <v>32366</v>
      </c>
      <c r="H1281" t="s">
        <v>32367</v>
      </c>
      <c r="I1281" t="s">
        <v>32368</v>
      </c>
      <c r="J1281" t="s">
        <v>32264</v>
      </c>
      <c r="K1281">
        <v>2019</v>
      </c>
      <c r="L1281" s="1">
        <v>43621</v>
      </c>
      <c r="O1281" t="s">
        <v>9196</v>
      </c>
    </row>
    <row r="1282" spans="1:15" x14ac:dyDescent="0.15">
      <c r="A1282">
        <v>31168963</v>
      </c>
      <c r="B1282">
        <v>29513618</v>
      </c>
      <c r="D1282">
        <v>25066235</v>
      </c>
      <c r="E1282">
        <v>35590035</v>
      </c>
      <c r="F1282" t="s">
        <v>7961</v>
      </c>
      <c r="G1282" t="s">
        <v>32374</v>
      </c>
      <c r="H1282" t="s">
        <v>32375</v>
      </c>
      <c r="I1282" t="s">
        <v>32376</v>
      </c>
      <c r="J1282" t="s">
        <v>32377</v>
      </c>
      <c r="K1282">
        <v>2022</v>
      </c>
      <c r="L1282" s="1">
        <v>44700</v>
      </c>
      <c r="M1282" t="s">
        <v>32378</v>
      </c>
      <c r="O1282" t="s">
        <v>7971</v>
      </c>
    </row>
    <row r="1283" spans="1:15" x14ac:dyDescent="0.15">
      <c r="A1283">
        <v>25903528</v>
      </c>
      <c r="B1283">
        <v>3335047</v>
      </c>
      <c r="D1283">
        <v>26574648</v>
      </c>
      <c r="E1283">
        <v>34772443</v>
      </c>
      <c r="F1283" t="s">
        <v>11164</v>
      </c>
      <c r="G1283" t="s">
        <v>32379</v>
      </c>
      <c r="H1283" t="s">
        <v>32380</v>
      </c>
      <c r="I1283" t="s">
        <v>32381</v>
      </c>
      <c r="J1283" t="s">
        <v>30740</v>
      </c>
      <c r="K1283">
        <v>2021</v>
      </c>
      <c r="L1283" s="1">
        <v>44513</v>
      </c>
      <c r="M1283" t="s">
        <v>32382</v>
      </c>
      <c r="O1283" t="s">
        <v>11174</v>
      </c>
    </row>
    <row r="1284" spans="1:15" x14ac:dyDescent="0.15">
      <c r="A1284">
        <v>33670900</v>
      </c>
      <c r="B1284">
        <v>1730636</v>
      </c>
      <c r="D1284">
        <v>24105744</v>
      </c>
      <c r="E1284">
        <v>28287705</v>
      </c>
      <c r="F1284" t="s">
        <v>1711</v>
      </c>
      <c r="G1284" t="s">
        <v>32389</v>
      </c>
      <c r="H1284" t="s">
        <v>32390</v>
      </c>
      <c r="I1284" t="s">
        <v>32391</v>
      </c>
      <c r="J1284" t="s">
        <v>30561</v>
      </c>
      <c r="K1284">
        <v>2017</v>
      </c>
      <c r="L1284" s="1">
        <v>42808</v>
      </c>
      <c r="M1284" t="s">
        <v>32392</v>
      </c>
      <c r="N1284" t="s">
        <v>32393</v>
      </c>
      <c r="O1284" t="s">
        <v>1724</v>
      </c>
    </row>
    <row r="1285" spans="1:15" x14ac:dyDescent="0.15">
      <c r="A1285">
        <v>32341768</v>
      </c>
      <c r="B1285">
        <v>9430674</v>
      </c>
      <c r="D1285">
        <v>27825390</v>
      </c>
      <c r="E1285">
        <v>29715009</v>
      </c>
      <c r="F1285" t="s">
        <v>8083</v>
      </c>
      <c r="G1285" t="s">
        <v>32394</v>
      </c>
      <c r="H1285" t="s">
        <v>32395</v>
      </c>
      <c r="I1285" t="s">
        <v>32396</v>
      </c>
      <c r="J1285" t="s">
        <v>30956</v>
      </c>
      <c r="K1285">
        <v>2018</v>
      </c>
      <c r="L1285" s="1">
        <v>43222</v>
      </c>
      <c r="O1285" t="s">
        <v>8093</v>
      </c>
    </row>
    <row r="1286" spans="1:15" x14ac:dyDescent="0.15">
      <c r="A1286">
        <v>31712780</v>
      </c>
      <c r="B1286">
        <v>17640085</v>
      </c>
      <c r="D1286">
        <v>32934287</v>
      </c>
      <c r="E1286">
        <v>35290034</v>
      </c>
      <c r="F1286" t="s">
        <v>11534</v>
      </c>
      <c r="G1286" t="s">
        <v>32397</v>
      </c>
      <c r="H1286" t="s">
        <v>32398</v>
      </c>
      <c r="I1286" t="s">
        <v>32399</v>
      </c>
      <c r="J1286" t="s">
        <v>30956</v>
      </c>
      <c r="K1286">
        <v>2022</v>
      </c>
      <c r="L1286" s="1">
        <v>44635</v>
      </c>
      <c r="O1286" t="s">
        <v>11543</v>
      </c>
    </row>
    <row r="1287" spans="1:15" x14ac:dyDescent="0.15">
      <c r="A1287">
        <v>30464758</v>
      </c>
      <c r="B1287">
        <v>18426909</v>
      </c>
      <c r="D1287">
        <v>22369922</v>
      </c>
      <c r="E1287">
        <v>33867829</v>
      </c>
      <c r="F1287" t="s">
        <v>32400</v>
      </c>
      <c r="G1287" t="s">
        <v>32401</v>
      </c>
      <c r="H1287" t="s">
        <v>32402</v>
      </c>
      <c r="I1287" t="s">
        <v>31339</v>
      </c>
      <c r="J1287" t="s">
        <v>31228</v>
      </c>
      <c r="K1287">
        <v>2021</v>
      </c>
      <c r="L1287" s="1">
        <v>44305</v>
      </c>
      <c r="M1287" t="s">
        <v>32403</v>
      </c>
      <c r="O1287" t="s">
        <v>23993</v>
      </c>
    </row>
    <row r="1288" spans="1:15" x14ac:dyDescent="0.15">
      <c r="A1288" t="s">
        <v>74</v>
      </c>
      <c r="B1288">
        <v>29309057</v>
      </c>
      <c r="D1288">
        <v>32231660</v>
      </c>
      <c r="E1288">
        <v>30501880</v>
      </c>
      <c r="F1288" t="s">
        <v>13353</v>
      </c>
      <c r="G1288" t="s">
        <v>32404</v>
      </c>
      <c r="H1288" t="s">
        <v>32405</v>
      </c>
      <c r="I1288" t="s">
        <v>32198</v>
      </c>
      <c r="J1288" t="s">
        <v>31287</v>
      </c>
      <c r="K1288">
        <v>2018</v>
      </c>
      <c r="L1288" s="1">
        <v>43438</v>
      </c>
      <c r="O1288" t="s">
        <v>13362</v>
      </c>
    </row>
    <row r="1289" spans="1:15" x14ac:dyDescent="0.15">
      <c r="A1289">
        <v>32813850</v>
      </c>
      <c r="B1289">
        <v>7077301</v>
      </c>
      <c r="D1289">
        <v>22143786</v>
      </c>
      <c r="E1289">
        <v>31478613</v>
      </c>
      <c r="F1289" t="s">
        <v>11300</v>
      </c>
      <c r="G1289" t="s">
        <v>32418</v>
      </c>
      <c r="H1289" t="s">
        <v>32419</v>
      </c>
      <c r="I1289" t="s">
        <v>32420</v>
      </c>
      <c r="J1289" t="s">
        <v>30763</v>
      </c>
      <c r="K1289">
        <v>2019</v>
      </c>
      <c r="L1289" s="1">
        <v>43712</v>
      </c>
      <c r="O1289" t="s">
        <v>11308</v>
      </c>
    </row>
    <row r="1290" spans="1:15" x14ac:dyDescent="0.15">
      <c r="A1290">
        <v>34282051</v>
      </c>
      <c r="B1290">
        <v>30835829</v>
      </c>
      <c r="D1290">
        <v>21289297</v>
      </c>
      <c r="E1290">
        <v>28401635</v>
      </c>
      <c r="F1290" t="s">
        <v>19191</v>
      </c>
      <c r="G1290" t="s">
        <v>32421</v>
      </c>
      <c r="H1290" t="s">
        <v>32422</v>
      </c>
      <c r="I1290" t="s">
        <v>32423</v>
      </c>
      <c r="J1290" t="s">
        <v>32424</v>
      </c>
      <c r="K1290">
        <v>2017</v>
      </c>
      <c r="L1290" s="1">
        <v>42838</v>
      </c>
      <c r="O1290" t="s">
        <v>19198</v>
      </c>
    </row>
    <row r="1291" spans="1:15" x14ac:dyDescent="0.15">
      <c r="A1291">
        <v>1542051</v>
      </c>
      <c r="B1291">
        <v>15220333</v>
      </c>
      <c r="D1291">
        <v>34275103</v>
      </c>
      <c r="E1291">
        <v>31681284</v>
      </c>
      <c r="F1291" t="s">
        <v>32425</v>
      </c>
      <c r="G1291" t="s">
        <v>32426</v>
      </c>
      <c r="H1291" t="s">
        <v>32427</v>
      </c>
      <c r="I1291" t="s">
        <v>31632</v>
      </c>
      <c r="J1291" t="s">
        <v>30713</v>
      </c>
      <c r="K1291">
        <v>2019</v>
      </c>
      <c r="L1291" s="1">
        <v>43774</v>
      </c>
      <c r="M1291" t="s">
        <v>32428</v>
      </c>
      <c r="O1291" t="s">
        <v>13009</v>
      </c>
    </row>
    <row r="1292" spans="1:15" x14ac:dyDescent="0.15">
      <c r="A1292" t="s">
        <v>74</v>
      </c>
      <c r="B1292">
        <v>34229573</v>
      </c>
      <c r="D1292">
        <v>30146796</v>
      </c>
      <c r="E1292">
        <v>35649159</v>
      </c>
      <c r="F1292" t="s">
        <v>8826</v>
      </c>
      <c r="G1292" t="s">
        <v>32453</v>
      </c>
      <c r="H1292" t="s">
        <v>32454</v>
      </c>
      <c r="I1292" t="s">
        <v>32455</v>
      </c>
      <c r="J1292" t="s">
        <v>30956</v>
      </c>
      <c r="K1292">
        <v>2022</v>
      </c>
      <c r="L1292" s="1">
        <v>44713</v>
      </c>
      <c r="O1292" t="s">
        <v>8834</v>
      </c>
    </row>
    <row r="1293" spans="1:15" x14ac:dyDescent="0.15">
      <c r="A1293">
        <v>29559501</v>
      </c>
      <c r="B1293">
        <v>31863816</v>
      </c>
      <c r="D1293">
        <v>24123326</v>
      </c>
      <c r="E1293">
        <v>26488306</v>
      </c>
      <c r="F1293" t="s">
        <v>22284</v>
      </c>
      <c r="G1293" t="s">
        <v>32456</v>
      </c>
      <c r="H1293" t="s">
        <v>32457</v>
      </c>
      <c r="I1293" t="s">
        <v>32458</v>
      </c>
      <c r="J1293" t="s">
        <v>31659</v>
      </c>
      <c r="K1293">
        <v>2015</v>
      </c>
      <c r="L1293" s="1">
        <v>42299</v>
      </c>
      <c r="M1293" t="s">
        <v>32459</v>
      </c>
      <c r="O1293" t="s">
        <v>22296</v>
      </c>
    </row>
    <row r="1294" spans="1:15" x14ac:dyDescent="0.15">
      <c r="A1294">
        <v>27566577</v>
      </c>
      <c r="B1294">
        <v>18024180</v>
      </c>
      <c r="D1294">
        <v>31533487</v>
      </c>
      <c r="E1294">
        <v>35302760</v>
      </c>
      <c r="F1294" t="s">
        <v>9726</v>
      </c>
      <c r="G1294" t="s">
        <v>32460</v>
      </c>
      <c r="H1294" t="s">
        <v>32461</v>
      </c>
      <c r="I1294" t="s">
        <v>31775</v>
      </c>
      <c r="J1294" t="s">
        <v>32462</v>
      </c>
      <c r="K1294">
        <v>2022</v>
      </c>
      <c r="L1294" s="1">
        <v>44638</v>
      </c>
      <c r="O1294" t="s">
        <v>9739</v>
      </c>
    </row>
    <row r="1295" spans="1:15" x14ac:dyDescent="0.15">
      <c r="A1295">
        <v>32641054</v>
      </c>
      <c r="B1295">
        <v>12788944</v>
      </c>
      <c r="D1295">
        <v>18725234</v>
      </c>
      <c r="E1295">
        <v>27013199</v>
      </c>
      <c r="F1295" t="s">
        <v>12704</v>
      </c>
      <c r="G1295" t="s">
        <v>32463</v>
      </c>
      <c r="H1295" t="s">
        <v>32464</v>
      </c>
      <c r="I1295" t="s">
        <v>32465</v>
      </c>
      <c r="J1295" t="s">
        <v>31167</v>
      </c>
      <c r="K1295">
        <v>2016</v>
      </c>
      <c r="L1295" s="1">
        <v>42455</v>
      </c>
      <c r="O1295" t="s">
        <v>12713</v>
      </c>
    </row>
    <row r="1296" spans="1:15" x14ac:dyDescent="0.15">
      <c r="A1296">
        <v>28364326</v>
      </c>
      <c r="B1296">
        <v>23806215</v>
      </c>
      <c r="D1296">
        <v>35131372</v>
      </c>
      <c r="E1296">
        <v>19129916</v>
      </c>
      <c r="F1296" t="s">
        <v>32473</v>
      </c>
      <c r="G1296" t="s">
        <v>32474</v>
      </c>
      <c r="H1296" t="s">
        <v>32475</v>
      </c>
      <c r="I1296" t="s">
        <v>32476</v>
      </c>
      <c r="J1296" t="s">
        <v>31639</v>
      </c>
      <c r="K1296">
        <v>2009</v>
      </c>
      <c r="L1296" s="1">
        <v>39822</v>
      </c>
      <c r="M1296" t="s">
        <v>32477</v>
      </c>
      <c r="O1296" t="s">
        <v>16417</v>
      </c>
    </row>
    <row r="1297" spans="1:15" x14ac:dyDescent="0.15">
      <c r="A1297">
        <v>30236130</v>
      </c>
      <c r="B1297">
        <v>23020974</v>
      </c>
      <c r="D1297">
        <v>24998979</v>
      </c>
      <c r="E1297">
        <v>27036745</v>
      </c>
      <c r="F1297" t="s">
        <v>32478</v>
      </c>
      <c r="G1297" t="s">
        <v>31523</v>
      </c>
      <c r="H1297" t="s">
        <v>32479</v>
      </c>
      <c r="I1297" t="s">
        <v>31525</v>
      </c>
      <c r="J1297" t="s">
        <v>32480</v>
      </c>
      <c r="K1297">
        <v>2015</v>
      </c>
      <c r="L1297" s="1">
        <v>42463</v>
      </c>
      <c r="O1297" t="s">
        <v>1463</v>
      </c>
    </row>
    <row r="1298" spans="1:15" x14ac:dyDescent="0.15">
      <c r="A1298">
        <v>33167250</v>
      </c>
      <c r="B1298">
        <v>31996469</v>
      </c>
      <c r="D1298">
        <v>27324559</v>
      </c>
      <c r="E1298">
        <v>35787656</v>
      </c>
      <c r="F1298" t="s">
        <v>11065</v>
      </c>
      <c r="G1298" t="s">
        <v>32481</v>
      </c>
      <c r="H1298" t="s">
        <v>32482</v>
      </c>
      <c r="I1298" t="s">
        <v>32483</v>
      </c>
      <c r="J1298" t="s">
        <v>32377</v>
      </c>
      <c r="K1298">
        <v>2022</v>
      </c>
      <c r="L1298" s="1">
        <v>44747</v>
      </c>
      <c r="M1298" t="s">
        <v>32484</v>
      </c>
      <c r="O1298" t="s">
        <v>11074</v>
      </c>
    </row>
    <row r="1299" spans="1:15" x14ac:dyDescent="0.15">
      <c r="A1299" t="s">
        <v>74</v>
      </c>
      <c r="B1299">
        <v>6206833</v>
      </c>
      <c r="D1299">
        <v>25433011</v>
      </c>
      <c r="E1299">
        <v>31469974</v>
      </c>
      <c r="F1299" t="s">
        <v>23862</v>
      </c>
      <c r="G1299" t="s">
        <v>32490</v>
      </c>
      <c r="H1299" t="s">
        <v>32491</v>
      </c>
      <c r="I1299" t="s">
        <v>32492</v>
      </c>
      <c r="J1299" t="s">
        <v>32493</v>
      </c>
      <c r="K1299">
        <v>2020</v>
      </c>
      <c r="L1299" s="1">
        <v>43708</v>
      </c>
      <c r="O1299" t="s">
        <v>23873</v>
      </c>
    </row>
    <row r="1300" spans="1:15" x14ac:dyDescent="0.15">
      <c r="A1300">
        <v>30911363</v>
      </c>
      <c r="B1300">
        <v>20659009</v>
      </c>
      <c r="D1300">
        <v>22999859</v>
      </c>
      <c r="E1300">
        <v>25959588</v>
      </c>
      <c r="F1300" t="s">
        <v>21917</v>
      </c>
      <c r="G1300" t="s">
        <v>32500</v>
      </c>
      <c r="H1300" t="s">
        <v>32501</v>
      </c>
      <c r="I1300" t="s">
        <v>32502</v>
      </c>
      <c r="J1300" t="s">
        <v>30796</v>
      </c>
      <c r="K1300">
        <v>2015</v>
      </c>
      <c r="L1300" s="1">
        <v>42136</v>
      </c>
      <c r="M1300" t="s">
        <v>32503</v>
      </c>
      <c r="N1300" t="s">
        <v>32504</v>
      </c>
      <c r="O1300" t="s">
        <v>21925</v>
      </c>
    </row>
    <row r="1301" spans="1:15" x14ac:dyDescent="0.15">
      <c r="A1301">
        <v>31683842</v>
      </c>
      <c r="B1301">
        <v>11929972</v>
      </c>
      <c r="D1301">
        <v>26479035</v>
      </c>
      <c r="E1301">
        <v>29073095</v>
      </c>
      <c r="F1301" t="s">
        <v>4857</v>
      </c>
      <c r="G1301" t="s">
        <v>32512</v>
      </c>
      <c r="H1301" t="s">
        <v>32513</v>
      </c>
      <c r="I1301" t="s">
        <v>32514</v>
      </c>
      <c r="J1301" t="s">
        <v>30767</v>
      </c>
      <c r="K1301">
        <v>2017</v>
      </c>
      <c r="L1301" s="1">
        <v>43035</v>
      </c>
      <c r="M1301" t="s">
        <v>32515</v>
      </c>
      <c r="O1301" t="s">
        <v>4869</v>
      </c>
    </row>
    <row r="1302" spans="1:15" x14ac:dyDescent="0.15">
      <c r="A1302">
        <v>30415264</v>
      </c>
      <c r="B1302">
        <v>1644924</v>
      </c>
      <c r="D1302">
        <v>24391924</v>
      </c>
      <c r="E1302">
        <v>26598621</v>
      </c>
      <c r="F1302" t="s">
        <v>20412</v>
      </c>
      <c r="G1302" t="s">
        <v>32528</v>
      </c>
      <c r="H1302" t="s">
        <v>32529</v>
      </c>
      <c r="I1302" t="s">
        <v>32530</v>
      </c>
      <c r="J1302" t="s">
        <v>30828</v>
      </c>
      <c r="K1302">
        <v>2015</v>
      </c>
      <c r="L1302" s="1">
        <v>42333</v>
      </c>
      <c r="M1302" t="s">
        <v>32531</v>
      </c>
      <c r="O1302" t="s">
        <v>20421</v>
      </c>
    </row>
    <row r="1303" spans="1:15" x14ac:dyDescent="0.15">
      <c r="A1303">
        <v>27753025</v>
      </c>
      <c r="B1303">
        <v>34060032</v>
      </c>
      <c r="D1303">
        <v>34083751</v>
      </c>
      <c r="E1303">
        <v>35104460</v>
      </c>
      <c r="F1303" t="s">
        <v>9864</v>
      </c>
      <c r="G1303" t="s">
        <v>32538</v>
      </c>
      <c r="H1303" t="s">
        <v>32539</v>
      </c>
      <c r="I1303" t="s">
        <v>32540</v>
      </c>
      <c r="J1303" t="s">
        <v>32541</v>
      </c>
      <c r="K1303">
        <v>2022</v>
      </c>
      <c r="L1303" s="1">
        <v>44593</v>
      </c>
      <c r="O1303" t="s">
        <v>9877</v>
      </c>
    </row>
    <row r="1304" spans="1:15" x14ac:dyDescent="0.15">
      <c r="A1304">
        <v>33521050</v>
      </c>
      <c r="B1304">
        <v>33593396</v>
      </c>
      <c r="D1304">
        <v>28957874</v>
      </c>
      <c r="E1304">
        <v>35217095</v>
      </c>
      <c r="F1304" t="s">
        <v>13206</v>
      </c>
      <c r="G1304" t="s">
        <v>32542</v>
      </c>
      <c r="H1304" t="s">
        <v>32543</v>
      </c>
      <c r="I1304" t="s">
        <v>32544</v>
      </c>
      <c r="J1304" t="s">
        <v>32545</v>
      </c>
      <c r="K1304">
        <v>2022</v>
      </c>
      <c r="L1304" s="1">
        <v>44618</v>
      </c>
      <c r="O1304" t="s">
        <v>13216</v>
      </c>
    </row>
    <row r="1305" spans="1:15" x14ac:dyDescent="0.15">
      <c r="A1305">
        <v>34623384</v>
      </c>
      <c r="B1305">
        <v>7790057</v>
      </c>
      <c r="D1305">
        <v>32860954</v>
      </c>
      <c r="E1305">
        <v>25301203</v>
      </c>
      <c r="F1305" t="s">
        <v>5641</v>
      </c>
      <c r="G1305" t="s">
        <v>32546</v>
      </c>
      <c r="H1305" t="s">
        <v>32547</v>
      </c>
      <c r="I1305" t="s">
        <v>32548</v>
      </c>
      <c r="J1305" t="s">
        <v>32549</v>
      </c>
      <c r="K1305">
        <v>2014</v>
      </c>
      <c r="L1305" s="1">
        <v>41923</v>
      </c>
      <c r="O1305" t="s">
        <v>5652</v>
      </c>
    </row>
    <row r="1306" spans="1:15" x14ac:dyDescent="0.15">
      <c r="A1306" t="s">
        <v>74</v>
      </c>
      <c r="B1306">
        <v>34229724</v>
      </c>
      <c r="D1306">
        <v>30401711</v>
      </c>
      <c r="E1306">
        <v>31441580</v>
      </c>
      <c r="F1306" t="s">
        <v>12952</v>
      </c>
      <c r="G1306" t="s">
        <v>32550</v>
      </c>
      <c r="H1306" t="s">
        <v>32551</v>
      </c>
      <c r="I1306" t="s">
        <v>32552</v>
      </c>
      <c r="J1306" t="s">
        <v>31346</v>
      </c>
      <c r="K1306">
        <v>2019</v>
      </c>
      <c r="L1306" s="1">
        <v>43701</v>
      </c>
      <c r="M1306" t="s">
        <v>32553</v>
      </c>
      <c r="O1306" t="s">
        <v>12960</v>
      </c>
    </row>
    <row r="1307" spans="1:15" x14ac:dyDescent="0.15">
      <c r="A1307">
        <v>34369142</v>
      </c>
      <c r="B1307">
        <v>3574460</v>
      </c>
      <c r="D1307">
        <v>32161398</v>
      </c>
      <c r="E1307">
        <v>35301052</v>
      </c>
      <c r="F1307" t="s">
        <v>1699</v>
      </c>
      <c r="G1307" t="s">
        <v>32560</v>
      </c>
      <c r="H1307" t="s">
        <v>32561</v>
      </c>
      <c r="I1307" t="s">
        <v>32562</v>
      </c>
      <c r="J1307" t="s">
        <v>31033</v>
      </c>
      <c r="K1307">
        <v>2022</v>
      </c>
      <c r="L1307" s="1">
        <v>44638</v>
      </c>
      <c r="O1307" t="s">
        <v>1707</v>
      </c>
    </row>
    <row r="1308" spans="1:15" x14ac:dyDescent="0.15">
      <c r="A1308">
        <v>30703330</v>
      </c>
      <c r="B1308">
        <v>19458082</v>
      </c>
      <c r="D1308">
        <v>33065194</v>
      </c>
      <c r="E1308">
        <v>27723556</v>
      </c>
      <c r="F1308" t="s">
        <v>4901</v>
      </c>
      <c r="G1308" t="s">
        <v>32563</v>
      </c>
      <c r="H1308" t="s">
        <v>32564</v>
      </c>
      <c r="I1308" t="s">
        <v>32565</v>
      </c>
      <c r="J1308" t="s">
        <v>30812</v>
      </c>
      <c r="K1308">
        <v>2016</v>
      </c>
      <c r="L1308" s="1">
        <v>42654</v>
      </c>
      <c r="O1308" t="s">
        <v>4908</v>
      </c>
    </row>
    <row r="1309" spans="1:15" x14ac:dyDescent="0.15">
      <c r="A1309">
        <v>25472905</v>
      </c>
      <c r="B1309">
        <v>21430174</v>
      </c>
      <c r="D1309">
        <v>30369925</v>
      </c>
      <c r="E1309">
        <v>31318684</v>
      </c>
      <c r="F1309" t="s">
        <v>22605</v>
      </c>
      <c r="G1309" t="s">
        <v>32573</v>
      </c>
      <c r="H1309" t="s">
        <v>32574</v>
      </c>
      <c r="I1309" t="s">
        <v>32575</v>
      </c>
      <c r="J1309" t="s">
        <v>32576</v>
      </c>
      <c r="K1309">
        <v>2020</v>
      </c>
      <c r="L1309" s="1">
        <v>43665</v>
      </c>
      <c r="O1309" t="s">
        <v>22616</v>
      </c>
    </row>
    <row r="1310" spans="1:15" x14ac:dyDescent="0.15">
      <c r="A1310">
        <v>26859882</v>
      </c>
      <c r="B1310">
        <v>19521526</v>
      </c>
      <c r="D1310">
        <v>35167807</v>
      </c>
      <c r="E1310">
        <v>32148013</v>
      </c>
      <c r="F1310" t="s">
        <v>20439</v>
      </c>
      <c r="G1310" t="s">
        <v>32577</v>
      </c>
      <c r="H1310" t="s">
        <v>32578</v>
      </c>
      <c r="I1310" t="s">
        <v>32579</v>
      </c>
      <c r="J1310" t="s">
        <v>30956</v>
      </c>
      <c r="K1310">
        <v>2020</v>
      </c>
      <c r="L1310" s="1">
        <v>43900</v>
      </c>
      <c r="O1310" t="s">
        <v>20444</v>
      </c>
    </row>
    <row r="1311" spans="1:15" x14ac:dyDescent="0.15">
      <c r="A1311">
        <v>34793917</v>
      </c>
      <c r="B1311">
        <v>31152821</v>
      </c>
      <c r="D1311">
        <v>25837312</v>
      </c>
      <c r="E1311">
        <v>20480522</v>
      </c>
      <c r="F1311" t="s">
        <v>32586</v>
      </c>
      <c r="G1311" t="s">
        <v>32587</v>
      </c>
      <c r="H1311" t="s">
        <v>32588</v>
      </c>
      <c r="I1311" t="s">
        <v>32589</v>
      </c>
      <c r="J1311" t="s">
        <v>32590</v>
      </c>
      <c r="K1311">
        <v>2010</v>
      </c>
      <c r="L1311" s="1">
        <v>40317</v>
      </c>
      <c r="M1311" t="s">
        <v>32591</v>
      </c>
      <c r="O1311" t="s">
        <v>14210</v>
      </c>
    </row>
    <row r="1312" spans="1:15" x14ac:dyDescent="0.15">
      <c r="A1312">
        <v>33494385</v>
      </c>
      <c r="B1312">
        <v>25867090</v>
      </c>
      <c r="D1312">
        <v>33497844</v>
      </c>
      <c r="E1312">
        <v>29291399</v>
      </c>
      <c r="F1312" t="s">
        <v>23022</v>
      </c>
      <c r="G1312" t="s">
        <v>32598</v>
      </c>
      <c r="H1312" t="s">
        <v>32599</v>
      </c>
      <c r="I1312" t="s">
        <v>32600</v>
      </c>
      <c r="J1312" t="s">
        <v>32127</v>
      </c>
      <c r="K1312">
        <v>2018</v>
      </c>
      <c r="L1312" s="1">
        <v>43102</v>
      </c>
      <c r="O1312" t="s">
        <v>23029</v>
      </c>
    </row>
    <row r="1313" spans="1:15" x14ac:dyDescent="0.15">
      <c r="A1313">
        <v>16887517</v>
      </c>
      <c r="B1313">
        <v>20566852</v>
      </c>
      <c r="D1313">
        <v>34020253</v>
      </c>
      <c r="E1313">
        <v>28433888</v>
      </c>
      <c r="F1313" t="s">
        <v>32601</v>
      </c>
      <c r="G1313" t="s">
        <v>32602</v>
      </c>
      <c r="H1313" t="s">
        <v>32603</v>
      </c>
      <c r="I1313" t="s">
        <v>32604</v>
      </c>
      <c r="J1313" t="s">
        <v>30907</v>
      </c>
      <c r="K1313">
        <v>2017</v>
      </c>
      <c r="L1313" s="1">
        <v>42849</v>
      </c>
      <c r="O1313" t="s">
        <v>5123</v>
      </c>
    </row>
    <row r="1314" spans="1:15" x14ac:dyDescent="0.15">
      <c r="A1314">
        <v>33239369</v>
      </c>
      <c r="B1314">
        <v>9562621</v>
      </c>
      <c r="D1314">
        <v>19955569</v>
      </c>
      <c r="E1314">
        <v>25650727</v>
      </c>
      <c r="F1314" t="s">
        <v>21750</v>
      </c>
      <c r="G1314" t="s">
        <v>32605</v>
      </c>
      <c r="H1314" t="s">
        <v>32606</v>
      </c>
      <c r="I1314" t="s">
        <v>32607</v>
      </c>
      <c r="J1314" t="s">
        <v>30853</v>
      </c>
      <c r="K1314">
        <v>2015</v>
      </c>
      <c r="L1314" s="1">
        <v>42040</v>
      </c>
      <c r="M1314" t="s">
        <v>32608</v>
      </c>
      <c r="O1314" t="s">
        <v>22217</v>
      </c>
    </row>
    <row r="1315" spans="1:15" x14ac:dyDescent="0.15">
      <c r="A1315">
        <v>32293248</v>
      </c>
      <c r="B1315">
        <v>18771282</v>
      </c>
      <c r="D1315">
        <v>25890246</v>
      </c>
      <c r="E1315">
        <v>28858636</v>
      </c>
      <c r="F1315" t="s">
        <v>10401</v>
      </c>
      <c r="G1315" t="s">
        <v>32609</v>
      </c>
      <c r="H1315" t="s">
        <v>32610</v>
      </c>
      <c r="I1315" t="s">
        <v>32611</v>
      </c>
      <c r="J1315" t="s">
        <v>32612</v>
      </c>
      <c r="K1315">
        <v>2017</v>
      </c>
      <c r="L1315" s="1">
        <v>42979</v>
      </c>
      <c r="M1315" t="s">
        <v>32613</v>
      </c>
      <c r="N1315" t="s">
        <v>32614</v>
      </c>
      <c r="O1315" t="s">
        <v>10413</v>
      </c>
    </row>
    <row r="1316" spans="1:15" x14ac:dyDescent="0.15">
      <c r="A1316">
        <v>33376973</v>
      </c>
      <c r="B1316">
        <v>35487268</v>
      </c>
      <c r="D1316">
        <v>34505766</v>
      </c>
      <c r="E1316">
        <v>28828675</v>
      </c>
      <c r="F1316" t="s">
        <v>484</v>
      </c>
      <c r="G1316" t="s">
        <v>32615</v>
      </c>
      <c r="H1316" t="s">
        <v>32616</v>
      </c>
      <c r="I1316" t="s">
        <v>32279</v>
      </c>
      <c r="J1316" t="s">
        <v>31003</v>
      </c>
      <c r="K1316">
        <v>2017</v>
      </c>
      <c r="L1316" s="1">
        <v>42970</v>
      </c>
      <c r="O1316" t="s">
        <v>495</v>
      </c>
    </row>
    <row r="1317" spans="1:15" x14ac:dyDescent="0.15">
      <c r="A1317">
        <v>32105824</v>
      </c>
      <c r="B1317">
        <v>21102562</v>
      </c>
      <c r="D1317">
        <v>32574550</v>
      </c>
      <c r="E1317">
        <v>35233930</v>
      </c>
      <c r="F1317" t="s">
        <v>2803</v>
      </c>
      <c r="G1317" t="s">
        <v>32643</v>
      </c>
      <c r="H1317" t="s">
        <v>32644</v>
      </c>
      <c r="I1317" t="s">
        <v>32645</v>
      </c>
      <c r="J1317" t="s">
        <v>30772</v>
      </c>
      <c r="K1317">
        <v>2022</v>
      </c>
      <c r="L1317" s="1">
        <v>44622</v>
      </c>
      <c r="M1317" t="s">
        <v>32646</v>
      </c>
      <c r="O1317" t="s">
        <v>2813</v>
      </c>
    </row>
    <row r="1318" spans="1:15" x14ac:dyDescent="0.15">
      <c r="A1318">
        <v>29655637</v>
      </c>
      <c r="B1318">
        <v>15517629</v>
      </c>
      <c r="D1318">
        <v>31837917</v>
      </c>
      <c r="E1318">
        <v>22539202</v>
      </c>
      <c r="F1318" t="s">
        <v>32647</v>
      </c>
      <c r="G1318" t="s">
        <v>32648</v>
      </c>
      <c r="H1318" t="s">
        <v>32649</v>
      </c>
      <c r="I1318" t="s">
        <v>32650</v>
      </c>
      <c r="J1318" t="s">
        <v>31192</v>
      </c>
      <c r="K1318">
        <v>2012</v>
      </c>
      <c r="L1318" s="1">
        <v>41027</v>
      </c>
      <c r="O1318" t="s">
        <v>2700</v>
      </c>
    </row>
    <row r="1319" spans="1:15" x14ac:dyDescent="0.15">
      <c r="A1319" t="s">
        <v>74</v>
      </c>
      <c r="B1319">
        <v>7961777</v>
      </c>
      <c r="D1319">
        <v>21533172</v>
      </c>
      <c r="E1319">
        <v>29534966</v>
      </c>
      <c r="F1319" t="s">
        <v>16401</v>
      </c>
      <c r="G1319" t="s">
        <v>32651</v>
      </c>
      <c r="H1319" t="s">
        <v>32652</v>
      </c>
      <c r="I1319" t="s">
        <v>32653</v>
      </c>
      <c r="J1319" t="s">
        <v>32654</v>
      </c>
      <c r="K1319">
        <v>2018</v>
      </c>
      <c r="L1319" s="1">
        <v>43174</v>
      </c>
      <c r="O1319" t="s">
        <v>16409</v>
      </c>
    </row>
    <row r="1320" spans="1:15" x14ac:dyDescent="0.15">
      <c r="A1320">
        <v>33021603</v>
      </c>
      <c r="B1320">
        <v>23720022</v>
      </c>
      <c r="D1320">
        <v>32628360</v>
      </c>
      <c r="E1320">
        <v>24816817</v>
      </c>
      <c r="F1320" t="s">
        <v>32655</v>
      </c>
      <c r="G1320" t="s">
        <v>32656</v>
      </c>
      <c r="H1320" t="s">
        <v>32657</v>
      </c>
      <c r="I1320" t="s">
        <v>32351</v>
      </c>
      <c r="J1320" t="s">
        <v>31639</v>
      </c>
      <c r="K1320">
        <v>2014</v>
      </c>
      <c r="L1320" s="1">
        <v>41772</v>
      </c>
      <c r="M1320" t="s">
        <v>32658</v>
      </c>
      <c r="O1320" t="s">
        <v>17144</v>
      </c>
    </row>
    <row r="1321" spans="1:15" x14ac:dyDescent="0.15">
      <c r="A1321">
        <v>18800367</v>
      </c>
      <c r="B1321">
        <v>8654502</v>
      </c>
      <c r="D1321">
        <v>21778410</v>
      </c>
      <c r="E1321">
        <v>25713383</v>
      </c>
      <c r="F1321" t="s">
        <v>657</v>
      </c>
      <c r="G1321" t="s">
        <v>32659</v>
      </c>
      <c r="H1321" t="s">
        <v>32660</v>
      </c>
      <c r="I1321" t="s">
        <v>32661</v>
      </c>
      <c r="J1321" t="s">
        <v>30767</v>
      </c>
      <c r="K1321">
        <v>2015</v>
      </c>
      <c r="L1321" s="1">
        <v>42061</v>
      </c>
      <c r="M1321" t="s">
        <v>32662</v>
      </c>
      <c r="O1321" t="s">
        <v>672</v>
      </c>
    </row>
    <row r="1322" spans="1:15" x14ac:dyDescent="0.15">
      <c r="A1322">
        <v>30022183</v>
      </c>
      <c r="B1322">
        <v>35275615</v>
      </c>
      <c r="D1322">
        <v>33734019</v>
      </c>
      <c r="E1322">
        <v>35398304</v>
      </c>
      <c r="F1322" t="s">
        <v>18671</v>
      </c>
      <c r="G1322" t="s">
        <v>32704</v>
      </c>
      <c r="H1322" t="s">
        <v>32705</v>
      </c>
      <c r="I1322" t="s">
        <v>31339</v>
      </c>
      <c r="J1322" t="s">
        <v>30976</v>
      </c>
      <c r="K1322">
        <v>2022</v>
      </c>
      <c r="L1322" s="1">
        <v>44661</v>
      </c>
      <c r="M1322" t="s">
        <v>32706</v>
      </c>
      <c r="N1322" t="s">
        <v>32707</v>
      </c>
      <c r="O1322" t="s">
        <v>18676</v>
      </c>
    </row>
    <row r="1323" spans="1:15" x14ac:dyDescent="0.15">
      <c r="A1323">
        <v>27535473</v>
      </c>
      <c r="B1323">
        <v>25934359</v>
      </c>
      <c r="D1323">
        <v>31577907</v>
      </c>
      <c r="E1323">
        <v>32386350</v>
      </c>
      <c r="F1323" t="s">
        <v>17468</v>
      </c>
      <c r="G1323" t="s">
        <v>32714</v>
      </c>
      <c r="H1323" t="s">
        <v>32715</v>
      </c>
      <c r="I1323" t="s">
        <v>32716</v>
      </c>
      <c r="J1323" t="s">
        <v>32717</v>
      </c>
      <c r="K1323">
        <v>2020</v>
      </c>
      <c r="L1323" s="1">
        <v>43961</v>
      </c>
      <c r="O1323" t="s">
        <v>17480</v>
      </c>
    </row>
    <row r="1324" spans="1:15" x14ac:dyDescent="0.15">
      <c r="A1324">
        <v>33463158</v>
      </c>
      <c r="B1324">
        <v>8912005</v>
      </c>
      <c r="D1324">
        <v>27191915</v>
      </c>
      <c r="E1324">
        <v>24146982</v>
      </c>
      <c r="F1324" t="s">
        <v>32718</v>
      </c>
      <c r="G1324" t="s">
        <v>32719</v>
      </c>
      <c r="H1324" t="s">
        <v>32720</v>
      </c>
      <c r="I1324" t="s">
        <v>32721</v>
      </c>
      <c r="J1324" t="s">
        <v>31639</v>
      </c>
      <c r="K1324">
        <v>2013</v>
      </c>
      <c r="L1324" s="1">
        <v>41570</v>
      </c>
      <c r="M1324" t="s">
        <v>32722</v>
      </c>
      <c r="O1324" t="s">
        <v>11022</v>
      </c>
    </row>
    <row r="1325" spans="1:15" x14ac:dyDescent="0.15">
      <c r="A1325">
        <v>32028208</v>
      </c>
      <c r="B1325">
        <v>34159897</v>
      </c>
      <c r="D1325">
        <v>31311428</v>
      </c>
      <c r="E1325">
        <v>34847299</v>
      </c>
      <c r="F1325" t="s">
        <v>2704</v>
      </c>
      <c r="G1325" t="s">
        <v>32723</v>
      </c>
      <c r="H1325" t="s">
        <v>32724</v>
      </c>
      <c r="I1325" t="s">
        <v>32725</v>
      </c>
      <c r="J1325" t="s">
        <v>32726</v>
      </c>
      <c r="K1325">
        <v>2022</v>
      </c>
      <c r="L1325" s="1">
        <v>44530</v>
      </c>
      <c r="O1325" t="s">
        <v>2717</v>
      </c>
    </row>
    <row r="1326" spans="1:15" x14ac:dyDescent="0.15">
      <c r="A1326">
        <v>26284422</v>
      </c>
      <c r="B1326">
        <v>11142370</v>
      </c>
      <c r="D1326">
        <v>33938882</v>
      </c>
      <c r="E1326">
        <v>35715382</v>
      </c>
      <c r="F1326" t="s">
        <v>13825</v>
      </c>
      <c r="G1326" t="s">
        <v>32733</v>
      </c>
      <c r="H1326" t="s">
        <v>32734</v>
      </c>
      <c r="I1326" t="s">
        <v>32735</v>
      </c>
      <c r="J1326" t="s">
        <v>32736</v>
      </c>
      <c r="K1326">
        <v>2022</v>
      </c>
      <c r="L1326" s="1">
        <v>44729</v>
      </c>
      <c r="M1326" t="s">
        <v>32737</v>
      </c>
      <c r="O1326" t="s">
        <v>13835</v>
      </c>
    </row>
    <row r="1327" spans="1:15" x14ac:dyDescent="0.15">
      <c r="A1327">
        <v>20684017</v>
      </c>
      <c r="B1327">
        <v>19684203</v>
      </c>
      <c r="D1327">
        <v>32819967</v>
      </c>
      <c r="E1327">
        <v>34897815</v>
      </c>
      <c r="F1327" t="s">
        <v>10799</v>
      </c>
      <c r="G1327" t="s">
        <v>32744</v>
      </c>
      <c r="H1327" t="s">
        <v>32745</v>
      </c>
      <c r="I1327" t="s">
        <v>32746</v>
      </c>
      <c r="J1327" t="s">
        <v>32747</v>
      </c>
      <c r="K1327">
        <v>2022</v>
      </c>
      <c r="L1327" s="1">
        <v>44543</v>
      </c>
      <c r="O1327" t="s">
        <v>10811</v>
      </c>
    </row>
    <row r="1328" spans="1:15" x14ac:dyDescent="0.15">
      <c r="A1328">
        <v>17045761</v>
      </c>
      <c r="B1328">
        <v>30581439</v>
      </c>
      <c r="D1328">
        <v>30412034</v>
      </c>
      <c r="E1328">
        <v>24662828</v>
      </c>
      <c r="F1328" t="s">
        <v>32748</v>
      </c>
      <c r="G1328" t="s">
        <v>32749</v>
      </c>
      <c r="H1328" t="s">
        <v>32750</v>
      </c>
      <c r="I1328" t="s">
        <v>32751</v>
      </c>
      <c r="J1328" t="s">
        <v>32752</v>
      </c>
      <c r="K1328">
        <v>2014</v>
      </c>
      <c r="L1328" s="1">
        <v>41724</v>
      </c>
      <c r="M1328" t="s">
        <v>32753</v>
      </c>
      <c r="N1328" t="s">
        <v>32754</v>
      </c>
      <c r="O1328" t="s">
        <v>14239</v>
      </c>
    </row>
    <row r="1329" spans="1:15" x14ac:dyDescent="0.15">
      <c r="A1329">
        <v>30359531</v>
      </c>
      <c r="B1329">
        <v>9873029</v>
      </c>
      <c r="D1329">
        <v>19950695</v>
      </c>
      <c r="E1329">
        <v>29973048</v>
      </c>
      <c r="F1329" t="s">
        <v>21349</v>
      </c>
      <c r="G1329" t="s">
        <v>32755</v>
      </c>
      <c r="H1329" t="s">
        <v>32756</v>
      </c>
      <c r="I1329" t="s">
        <v>32757</v>
      </c>
      <c r="J1329" t="s">
        <v>30956</v>
      </c>
      <c r="K1329">
        <v>2018</v>
      </c>
      <c r="L1329" s="1">
        <v>43287</v>
      </c>
      <c r="O1329" t="s">
        <v>21357</v>
      </c>
    </row>
    <row r="1330" spans="1:15" x14ac:dyDescent="0.15">
      <c r="A1330">
        <v>33815662</v>
      </c>
      <c r="B1330">
        <v>27129225</v>
      </c>
      <c r="D1330">
        <v>35253032</v>
      </c>
      <c r="E1330">
        <v>24834468</v>
      </c>
      <c r="F1330" t="s">
        <v>19642</v>
      </c>
      <c r="G1330" t="s">
        <v>32758</v>
      </c>
      <c r="H1330" t="s">
        <v>32759</v>
      </c>
      <c r="I1330" t="s">
        <v>32760</v>
      </c>
      <c r="J1330" t="s">
        <v>32761</v>
      </c>
      <c r="K1330">
        <v>2014</v>
      </c>
      <c r="L1330" s="1">
        <v>41776</v>
      </c>
      <c r="O1330" t="s">
        <v>19655</v>
      </c>
    </row>
    <row r="1331" spans="1:15" x14ac:dyDescent="0.15">
      <c r="A1331">
        <v>32825548</v>
      </c>
      <c r="B1331">
        <v>16572466</v>
      </c>
      <c r="D1331">
        <v>29355922</v>
      </c>
      <c r="E1331">
        <v>24939845</v>
      </c>
      <c r="F1331" t="s">
        <v>32762</v>
      </c>
      <c r="G1331" t="s">
        <v>32763</v>
      </c>
      <c r="H1331" t="s">
        <v>32764</v>
      </c>
      <c r="I1331" t="s">
        <v>32765</v>
      </c>
      <c r="J1331" t="s">
        <v>31594</v>
      </c>
      <c r="K1331">
        <v>2014</v>
      </c>
      <c r="L1331" s="1">
        <v>41809</v>
      </c>
      <c r="M1331" t="s">
        <v>32766</v>
      </c>
      <c r="O1331" t="s">
        <v>10512</v>
      </c>
    </row>
    <row r="1332" spans="1:15" x14ac:dyDescent="0.15">
      <c r="A1332">
        <v>33014799</v>
      </c>
      <c r="B1332">
        <v>12686559</v>
      </c>
      <c r="D1332">
        <v>19593367</v>
      </c>
      <c r="E1332">
        <v>34662248</v>
      </c>
      <c r="F1332" t="s">
        <v>4279</v>
      </c>
      <c r="G1332" t="s">
        <v>32801</v>
      </c>
      <c r="H1332" t="s">
        <v>32802</v>
      </c>
      <c r="I1332" t="s">
        <v>32803</v>
      </c>
      <c r="J1332" t="s">
        <v>32804</v>
      </c>
      <c r="K1332">
        <v>2022</v>
      </c>
      <c r="L1332" s="1">
        <v>44487</v>
      </c>
      <c r="O1332" t="s">
        <v>4289</v>
      </c>
    </row>
    <row r="1333" spans="1:15" x14ac:dyDescent="0.15">
      <c r="A1333">
        <v>15069541</v>
      </c>
      <c r="B1333">
        <v>9530176</v>
      </c>
      <c r="D1333">
        <v>32777999</v>
      </c>
      <c r="E1333">
        <v>19692638</v>
      </c>
      <c r="F1333" t="s">
        <v>32815</v>
      </c>
      <c r="G1333" t="s">
        <v>32816</v>
      </c>
      <c r="H1333" t="s">
        <v>32817</v>
      </c>
      <c r="I1333" t="s">
        <v>32818</v>
      </c>
      <c r="J1333" t="s">
        <v>32819</v>
      </c>
      <c r="K1333">
        <v>2009</v>
      </c>
      <c r="L1333" s="1">
        <v>40046</v>
      </c>
      <c r="M1333" t="s">
        <v>32820</v>
      </c>
      <c r="N1333" t="s">
        <v>32821</v>
      </c>
      <c r="O1333" t="s">
        <v>14930</v>
      </c>
    </row>
    <row r="1334" spans="1:15" x14ac:dyDescent="0.15">
      <c r="A1334">
        <v>28828643</v>
      </c>
      <c r="B1334">
        <v>7773008</v>
      </c>
      <c r="D1334">
        <v>28963481</v>
      </c>
      <c r="E1334">
        <v>31820935</v>
      </c>
      <c r="F1334" t="s">
        <v>10631</v>
      </c>
      <c r="G1334" t="s">
        <v>32822</v>
      </c>
      <c r="H1334" t="s">
        <v>32823</v>
      </c>
      <c r="I1334" t="s">
        <v>32824</v>
      </c>
      <c r="J1334" t="s">
        <v>31781</v>
      </c>
      <c r="K1334">
        <v>2019</v>
      </c>
      <c r="L1334" s="1">
        <v>43810</v>
      </c>
      <c r="O1334" t="s">
        <v>10638</v>
      </c>
    </row>
    <row r="1335" spans="1:15" x14ac:dyDescent="0.15">
      <c r="A1335">
        <v>26703266</v>
      </c>
      <c r="B1335">
        <v>30301808</v>
      </c>
      <c r="D1335">
        <v>31281536</v>
      </c>
      <c r="E1335">
        <v>24948658</v>
      </c>
      <c r="F1335" t="s">
        <v>29431</v>
      </c>
      <c r="G1335" t="s">
        <v>32837</v>
      </c>
      <c r="H1335" t="s">
        <v>32838</v>
      </c>
      <c r="I1335" t="s">
        <v>32839</v>
      </c>
      <c r="J1335" t="s">
        <v>30600</v>
      </c>
      <c r="K1335">
        <v>2014</v>
      </c>
      <c r="L1335" s="1">
        <v>41811</v>
      </c>
      <c r="M1335" t="s">
        <v>32840</v>
      </c>
      <c r="O1335" t="s">
        <v>29437</v>
      </c>
    </row>
    <row r="1336" spans="1:15" x14ac:dyDescent="0.15">
      <c r="A1336">
        <v>32162067</v>
      </c>
      <c r="B1336">
        <v>12566592</v>
      </c>
      <c r="D1336">
        <v>25200057</v>
      </c>
      <c r="E1336">
        <v>23590857</v>
      </c>
      <c r="F1336" t="s">
        <v>32841</v>
      </c>
      <c r="G1336" t="s">
        <v>32842</v>
      </c>
      <c r="H1336" t="s">
        <v>32843</v>
      </c>
      <c r="I1336" t="s">
        <v>32844</v>
      </c>
      <c r="J1336" t="s">
        <v>31800</v>
      </c>
      <c r="K1336">
        <v>2013</v>
      </c>
      <c r="L1336" s="1">
        <v>41382</v>
      </c>
      <c r="M1336" t="s">
        <v>32845</v>
      </c>
      <c r="O1336" t="s">
        <v>17817</v>
      </c>
    </row>
    <row r="1337" spans="1:15" x14ac:dyDescent="0.15">
      <c r="A1337">
        <v>32737132</v>
      </c>
      <c r="B1337">
        <v>35337361</v>
      </c>
      <c r="D1337">
        <v>30195377</v>
      </c>
      <c r="E1337">
        <v>35624495</v>
      </c>
      <c r="F1337" t="s">
        <v>25985</v>
      </c>
      <c r="G1337" t="s">
        <v>32846</v>
      </c>
      <c r="H1337" t="s">
        <v>32847</v>
      </c>
      <c r="I1337" t="s">
        <v>32848</v>
      </c>
      <c r="J1337" t="s">
        <v>32849</v>
      </c>
      <c r="K1337">
        <v>2022</v>
      </c>
      <c r="L1337" s="1">
        <v>44708</v>
      </c>
      <c r="M1337" t="s">
        <v>32850</v>
      </c>
      <c r="O1337" t="s">
        <v>25998</v>
      </c>
    </row>
    <row r="1338" spans="1:15" x14ac:dyDescent="0.15">
      <c r="A1338">
        <v>33304899</v>
      </c>
      <c r="B1338">
        <v>22100842</v>
      </c>
      <c r="D1338">
        <v>32484293</v>
      </c>
      <c r="E1338">
        <v>18987139</v>
      </c>
      <c r="F1338" t="s">
        <v>32858</v>
      </c>
      <c r="G1338" t="s">
        <v>32859</v>
      </c>
      <c r="H1338" t="s">
        <v>32860</v>
      </c>
      <c r="I1338" t="s">
        <v>32861</v>
      </c>
      <c r="J1338" t="s">
        <v>31970</v>
      </c>
      <c r="K1338">
        <v>2009</v>
      </c>
      <c r="L1338" s="1">
        <v>39759</v>
      </c>
      <c r="M1338" t="s">
        <v>32862</v>
      </c>
      <c r="O1338" t="s">
        <v>14336</v>
      </c>
    </row>
    <row r="1339" spans="1:15" x14ac:dyDescent="0.15">
      <c r="A1339">
        <v>34122779</v>
      </c>
      <c r="B1339">
        <v>15828860</v>
      </c>
      <c r="D1339">
        <v>33995674</v>
      </c>
      <c r="E1339">
        <v>29192155</v>
      </c>
      <c r="F1339" t="s">
        <v>26832</v>
      </c>
      <c r="G1339" t="s">
        <v>32875</v>
      </c>
      <c r="H1339" t="s">
        <v>32876</v>
      </c>
      <c r="I1339" t="s">
        <v>32877</v>
      </c>
      <c r="J1339" t="s">
        <v>30834</v>
      </c>
      <c r="K1339">
        <v>2017</v>
      </c>
      <c r="L1339" s="1">
        <v>43071</v>
      </c>
      <c r="M1339" t="s">
        <v>32878</v>
      </c>
      <c r="O1339" t="s">
        <v>26839</v>
      </c>
    </row>
    <row r="1340" spans="1:15" x14ac:dyDescent="0.15">
      <c r="A1340">
        <v>30187611</v>
      </c>
      <c r="B1340">
        <v>23530048</v>
      </c>
      <c r="D1340">
        <v>35545008</v>
      </c>
      <c r="E1340">
        <v>35199894</v>
      </c>
      <c r="F1340" t="s">
        <v>7723</v>
      </c>
      <c r="G1340" t="s">
        <v>32884</v>
      </c>
      <c r="H1340" t="s">
        <v>32885</v>
      </c>
      <c r="I1340" t="s">
        <v>32886</v>
      </c>
      <c r="J1340" t="s">
        <v>32887</v>
      </c>
      <c r="K1340">
        <v>2022</v>
      </c>
      <c r="L1340" s="1">
        <v>44616</v>
      </c>
      <c r="O1340" t="s">
        <v>7732</v>
      </c>
    </row>
    <row r="1341" spans="1:15" x14ac:dyDescent="0.15">
      <c r="A1341">
        <v>31133815</v>
      </c>
      <c r="B1341">
        <v>28160602</v>
      </c>
      <c r="D1341">
        <v>32483153</v>
      </c>
      <c r="E1341">
        <v>25477253</v>
      </c>
      <c r="F1341" t="s">
        <v>32897</v>
      </c>
      <c r="G1341" t="s">
        <v>32898</v>
      </c>
      <c r="H1341" t="s">
        <v>32899</v>
      </c>
      <c r="I1341" t="s">
        <v>30674</v>
      </c>
      <c r="J1341" t="s">
        <v>32900</v>
      </c>
      <c r="K1341">
        <v>2015</v>
      </c>
      <c r="L1341" s="1">
        <v>41979</v>
      </c>
      <c r="O1341" t="s">
        <v>28798</v>
      </c>
    </row>
    <row r="1342" spans="1:15" x14ac:dyDescent="0.15">
      <c r="A1342">
        <v>34008619</v>
      </c>
      <c r="B1342">
        <v>10931929</v>
      </c>
      <c r="D1342">
        <v>30346568</v>
      </c>
      <c r="E1342">
        <v>35179366</v>
      </c>
      <c r="F1342" t="s">
        <v>13536</v>
      </c>
      <c r="G1342" t="s">
        <v>32907</v>
      </c>
      <c r="H1342" t="s">
        <v>32908</v>
      </c>
      <c r="I1342" t="s">
        <v>32562</v>
      </c>
      <c r="J1342" t="s">
        <v>30956</v>
      </c>
      <c r="K1342">
        <v>2022</v>
      </c>
      <c r="L1342" s="1">
        <v>44610</v>
      </c>
      <c r="O1342" t="s">
        <v>13545</v>
      </c>
    </row>
    <row r="1343" spans="1:15" x14ac:dyDescent="0.15">
      <c r="A1343">
        <v>29484596</v>
      </c>
      <c r="B1343">
        <v>16055222</v>
      </c>
      <c r="D1343">
        <v>26802051</v>
      </c>
      <c r="E1343">
        <v>24798520</v>
      </c>
      <c r="F1343" t="s">
        <v>8655</v>
      </c>
      <c r="G1343" t="s">
        <v>32909</v>
      </c>
      <c r="H1343" t="s">
        <v>32910</v>
      </c>
      <c r="I1343" t="s">
        <v>32911</v>
      </c>
      <c r="J1343" t="s">
        <v>32912</v>
      </c>
      <c r="K1343">
        <v>2014</v>
      </c>
      <c r="L1343" s="1">
        <v>41766</v>
      </c>
      <c r="O1343" t="s">
        <v>8668</v>
      </c>
    </row>
    <row r="1344" spans="1:15" x14ac:dyDescent="0.15">
      <c r="A1344">
        <v>28975808</v>
      </c>
      <c r="B1344">
        <v>16832048</v>
      </c>
      <c r="D1344">
        <v>32277372</v>
      </c>
      <c r="E1344">
        <v>35081499</v>
      </c>
      <c r="F1344" t="s">
        <v>32913</v>
      </c>
      <c r="G1344" t="s">
        <v>32914</v>
      </c>
      <c r="H1344" t="s">
        <v>32915</v>
      </c>
      <c r="I1344" t="s">
        <v>32916</v>
      </c>
      <c r="J1344" t="s">
        <v>32654</v>
      </c>
      <c r="K1344">
        <v>2022</v>
      </c>
      <c r="L1344" s="1">
        <v>44587</v>
      </c>
      <c r="O1344" t="s">
        <v>15322</v>
      </c>
    </row>
    <row r="1345" spans="1:15" x14ac:dyDescent="0.15">
      <c r="A1345">
        <v>30916594</v>
      </c>
      <c r="B1345">
        <v>1418007</v>
      </c>
      <c r="D1345">
        <v>34685720</v>
      </c>
      <c r="E1345">
        <v>30417099</v>
      </c>
      <c r="F1345" t="s">
        <v>23799</v>
      </c>
      <c r="G1345" t="s">
        <v>32917</v>
      </c>
      <c r="H1345" t="s">
        <v>32918</v>
      </c>
      <c r="I1345" t="s">
        <v>32919</v>
      </c>
      <c r="J1345" t="s">
        <v>30758</v>
      </c>
      <c r="K1345">
        <v>2018</v>
      </c>
      <c r="L1345" s="1">
        <v>43417</v>
      </c>
      <c r="M1345" t="s">
        <v>32920</v>
      </c>
      <c r="O1345" t="s">
        <v>23809</v>
      </c>
    </row>
    <row r="1346" spans="1:15" x14ac:dyDescent="0.15">
      <c r="A1346">
        <v>33498689</v>
      </c>
      <c r="B1346">
        <v>31053471</v>
      </c>
      <c r="D1346">
        <v>34910364</v>
      </c>
      <c r="E1346">
        <v>23620794</v>
      </c>
      <c r="F1346" t="s">
        <v>32932</v>
      </c>
      <c r="G1346" t="s">
        <v>32933</v>
      </c>
      <c r="H1346" t="s">
        <v>32934</v>
      </c>
      <c r="I1346" t="s">
        <v>32935</v>
      </c>
      <c r="J1346" t="s">
        <v>31639</v>
      </c>
      <c r="K1346">
        <v>2013</v>
      </c>
      <c r="L1346" s="1">
        <v>41391</v>
      </c>
      <c r="M1346" t="s">
        <v>32936</v>
      </c>
      <c r="O1346" t="s">
        <v>17886</v>
      </c>
    </row>
    <row r="1347" spans="1:15" x14ac:dyDescent="0.15">
      <c r="A1347">
        <v>31307864</v>
      </c>
      <c r="B1347">
        <v>17074811</v>
      </c>
      <c r="D1347">
        <v>31074077</v>
      </c>
      <c r="E1347">
        <v>35029990</v>
      </c>
      <c r="F1347" t="s">
        <v>18178</v>
      </c>
      <c r="G1347" t="s">
        <v>32937</v>
      </c>
      <c r="H1347" t="s">
        <v>32938</v>
      </c>
      <c r="I1347" t="s">
        <v>31080</v>
      </c>
      <c r="J1347" t="s">
        <v>30956</v>
      </c>
      <c r="K1347">
        <v>2022</v>
      </c>
      <c r="L1347" s="1">
        <v>44575</v>
      </c>
      <c r="O1347" t="s">
        <v>18184</v>
      </c>
    </row>
    <row r="1348" spans="1:15" x14ac:dyDescent="0.15">
      <c r="A1348">
        <v>33622348</v>
      </c>
      <c r="B1348">
        <v>9090058</v>
      </c>
      <c r="D1348">
        <v>35605028</v>
      </c>
      <c r="E1348">
        <v>24474753</v>
      </c>
      <c r="F1348" t="s">
        <v>23785</v>
      </c>
      <c r="G1348" t="s">
        <v>32950</v>
      </c>
      <c r="H1348" t="s">
        <v>32951</v>
      </c>
      <c r="I1348" t="s">
        <v>32952</v>
      </c>
      <c r="J1348" t="s">
        <v>30767</v>
      </c>
      <c r="K1348">
        <v>2014</v>
      </c>
      <c r="L1348" s="1">
        <v>41669</v>
      </c>
      <c r="M1348" t="s">
        <v>32953</v>
      </c>
      <c r="O1348" t="s">
        <v>23795</v>
      </c>
    </row>
    <row r="1349" spans="1:15" x14ac:dyDescent="0.15">
      <c r="A1349">
        <v>30514916</v>
      </c>
      <c r="B1349">
        <v>26098692</v>
      </c>
      <c r="D1349">
        <v>31223277</v>
      </c>
      <c r="E1349">
        <v>29069893</v>
      </c>
      <c r="F1349" t="s">
        <v>15170</v>
      </c>
      <c r="G1349" t="s">
        <v>32954</v>
      </c>
      <c r="H1349" t="s">
        <v>32955</v>
      </c>
      <c r="I1349" t="s">
        <v>32956</v>
      </c>
      <c r="J1349" t="s">
        <v>30956</v>
      </c>
      <c r="K1349">
        <v>2017</v>
      </c>
      <c r="L1349" s="1">
        <v>43035</v>
      </c>
      <c r="M1349" t="s">
        <v>32957</v>
      </c>
      <c r="N1349" t="s">
        <v>32958</v>
      </c>
      <c r="O1349" t="s">
        <v>15178</v>
      </c>
    </row>
    <row r="1350" spans="1:15" x14ac:dyDescent="0.15">
      <c r="A1350">
        <v>32663850</v>
      </c>
      <c r="B1350">
        <v>10522226</v>
      </c>
      <c r="D1350">
        <v>25805497</v>
      </c>
      <c r="E1350">
        <v>35044159</v>
      </c>
      <c r="F1350" t="s">
        <v>17275</v>
      </c>
      <c r="G1350" t="s">
        <v>32959</v>
      </c>
      <c r="H1350" t="s">
        <v>32960</v>
      </c>
      <c r="I1350" t="s">
        <v>32961</v>
      </c>
      <c r="J1350" t="s">
        <v>30956</v>
      </c>
      <c r="K1350">
        <v>2022</v>
      </c>
      <c r="L1350" s="1">
        <v>44580</v>
      </c>
      <c r="O1350" t="s">
        <v>17284</v>
      </c>
    </row>
    <row r="1351" spans="1:15" x14ac:dyDescent="0.15">
      <c r="A1351">
        <v>30178258</v>
      </c>
      <c r="B1351">
        <v>30227944</v>
      </c>
      <c r="D1351">
        <v>34135428</v>
      </c>
      <c r="E1351">
        <v>35758600</v>
      </c>
      <c r="F1351" t="s">
        <v>27093</v>
      </c>
      <c r="G1351" t="s">
        <v>32974</v>
      </c>
      <c r="H1351" t="s">
        <v>32975</v>
      </c>
      <c r="I1351" t="s">
        <v>32824</v>
      </c>
      <c r="J1351" t="s">
        <v>30956</v>
      </c>
      <c r="K1351">
        <v>2022</v>
      </c>
      <c r="L1351" s="1">
        <v>44739</v>
      </c>
      <c r="O1351" t="s">
        <v>27101</v>
      </c>
    </row>
    <row r="1352" spans="1:15" x14ac:dyDescent="0.15">
      <c r="A1352">
        <v>32600030</v>
      </c>
      <c r="B1352">
        <v>18280237</v>
      </c>
      <c r="D1352">
        <v>32447063</v>
      </c>
      <c r="E1352">
        <v>35778435</v>
      </c>
      <c r="F1352" t="s">
        <v>15647</v>
      </c>
      <c r="G1352" t="s">
        <v>32983</v>
      </c>
      <c r="H1352" t="s">
        <v>32984</v>
      </c>
      <c r="I1352" t="s">
        <v>32985</v>
      </c>
      <c r="J1352" t="s">
        <v>32377</v>
      </c>
      <c r="K1352">
        <v>2022</v>
      </c>
      <c r="L1352" s="1">
        <v>44743</v>
      </c>
      <c r="M1352" t="s">
        <v>32986</v>
      </c>
      <c r="O1352" t="s">
        <v>15654</v>
      </c>
    </row>
    <row r="1353" spans="1:15" x14ac:dyDescent="0.15">
      <c r="A1353">
        <v>29526650</v>
      </c>
      <c r="B1353">
        <v>15185339</v>
      </c>
      <c r="D1353">
        <v>33154575</v>
      </c>
      <c r="E1353">
        <v>34426211</v>
      </c>
      <c r="F1353" t="s">
        <v>19881</v>
      </c>
      <c r="G1353" t="s">
        <v>32993</v>
      </c>
      <c r="H1353" t="s">
        <v>32994</v>
      </c>
      <c r="I1353" t="s">
        <v>32995</v>
      </c>
      <c r="J1353" t="s">
        <v>32996</v>
      </c>
      <c r="K1353">
        <v>2022</v>
      </c>
      <c r="L1353" s="1">
        <v>44432</v>
      </c>
      <c r="O1353" t="s">
        <v>19892</v>
      </c>
    </row>
    <row r="1354" spans="1:15" x14ac:dyDescent="0.15">
      <c r="A1354">
        <v>32982917</v>
      </c>
      <c r="B1354">
        <v>10721728</v>
      </c>
      <c r="D1354">
        <v>31331976</v>
      </c>
      <c r="E1354">
        <v>35042294</v>
      </c>
      <c r="F1354" t="s">
        <v>10008</v>
      </c>
      <c r="G1354" t="s">
        <v>32997</v>
      </c>
      <c r="H1354" t="s">
        <v>32998</v>
      </c>
      <c r="I1354" t="s">
        <v>32999</v>
      </c>
      <c r="J1354" t="s">
        <v>30956</v>
      </c>
      <c r="K1354">
        <v>2022</v>
      </c>
      <c r="L1354" s="1">
        <v>44580</v>
      </c>
      <c r="O1354" t="s">
        <v>10017</v>
      </c>
    </row>
    <row r="1355" spans="1:15" x14ac:dyDescent="0.15">
      <c r="A1355">
        <v>28009978</v>
      </c>
      <c r="B1355">
        <v>17599775</v>
      </c>
      <c r="D1355">
        <v>33858390</v>
      </c>
      <c r="E1355">
        <v>18852879</v>
      </c>
      <c r="F1355" t="s">
        <v>33000</v>
      </c>
      <c r="G1355" t="s">
        <v>33001</v>
      </c>
      <c r="H1355" t="s">
        <v>33002</v>
      </c>
      <c r="I1355" t="s">
        <v>33003</v>
      </c>
      <c r="J1355" t="s">
        <v>31639</v>
      </c>
      <c r="K1355">
        <v>2008</v>
      </c>
      <c r="L1355" s="1">
        <v>39736</v>
      </c>
      <c r="M1355" t="s">
        <v>33004</v>
      </c>
      <c r="O1355" t="s">
        <v>16557</v>
      </c>
    </row>
    <row r="1356" spans="1:15" x14ac:dyDescent="0.15">
      <c r="A1356">
        <v>29291399</v>
      </c>
      <c r="B1356">
        <v>12069902</v>
      </c>
      <c r="D1356">
        <v>29891956</v>
      </c>
      <c r="E1356">
        <v>24563408</v>
      </c>
      <c r="F1356" t="s">
        <v>24712</v>
      </c>
      <c r="G1356" t="s">
        <v>33005</v>
      </c>
      <c r="H1356" t="s">
        <v>33006</v>
      </c>
      <c r="I1356" t="s">
        <v>33007</v>
      </c>
      <c r="J1356" t="s">
        <v>30600</v>
      </c>
      <c r="K1356">
        <v>2014</v>
      </c>
      <c r="L1356" s="1">
        <v>41695</v>
      </c>
      <c r="O1356" t="s">
        <v>24721</v>
      </c>
    </row>
    <row r="1357" spans="1:15" x14ac:dyDescent="0.15">
      <c r="A1357">
        <v>32941446</v>
      </c>
      <c r="B1357">
        <v>8652409</v>
      </c>
      <c r="D1357">
        <v>33728821</v>
      </c>
      <c r="E1357">
        <v>25086355</v>
      </c>
      <c r="F1357" t="s">
        <v>6044</v>
      </c>
      <c r="G1357" t="s">
        <v>33008</v>
      </c>
      <c r="H1357" t="s">
        <v>33009</v>
      </c>
      <c r="I1357" t="s">
        <v>31873</v>
      </c>
      <c r="J1357" t="s">
        <v>32654</v>
      </c>
      <c r="K1357">
        <v>2014</v>
      </c>
      <c r="L1357" s="1">
        <v>41854</v>
      </c>
      <c r="O1357" t="s">
        <v>6053</v>
      </c>
    </row>
    <row r="1358" spans="1:15" x14ac:dyDescent="0.15">
      <c r="A1358">
        <v>26347561</v>
      </c>
      <c r="B1358">
        <v>26942678</v>
      </c>
      <c r="D1358">
        <v>34413232</v>
      </c>
      <c r="E1358">
        <v>27443190</v>
      </c>
      <c r="F1358" t="s">
        <v>23407</v>
      </c>
      <c r="G1358" t="s">
        <v>33039</v>
      </c>
      <c r="H1358" t="s">
        <v>33040</v>
      </c>
      <c r="I1358" t="s">
        <v>33041</v>
      </c>
      <c r="J1358" t="s">
        <v>30834</v>
      </c>
      <c r="K1358">
        <v>2016</v>
      </c>
      <c r="L1358" s="1">
        <v>42574</v>
      </c>
      <c r="M1358" t="s">
        <v>33042</v>
      </c>
      <c r="O1358" t="s">
        <v>23415</v>
      </c>
    </row>
    <row r="1359" spans="1:15" x14ac:dyDescent="0.15">
      <c r="A1359">
        <v>29110768</v>
      </c>
      <c r="B1359">
        <v>26389589</v>
      </c>
      <c r="D1359">
        <v>33912378</v>
      </c>
      <c r="E1359">
        <v>24992257</v>
      </c>
      <c r="F1359" t="s">
        <v>33043</v>
      </c>
      <c r="G1359" t="s">
        <v>33044</v>
      </c>
      <c r="H1359" t="s">
        <v>33045</v>
      </c>
      <c r="I1359" t="s">
        <v>33046</v>
      </c>
      <c r="J1359" t="s">
        <v>31639</v>
      </c>
      <c r="K1359">
        <v>2014</v>
      </c>
      <c r="L1359" s="1">
        <v>41824</v>
      </c>
      <c r="M1359" t="s">
        <v>33047</v>
      </c>
      <c r="O1359" t="s">
        <v>15925</v>
      </c>
    </row>
    <row r="1360" spans="1:15" x14ac:dyDescent="0.15">
      <c r="A1360">
        <v>22874834</v>
      </c>
      <c r="B1360">
        <v>15590739</v>
      </c>
      <c r="D1360">
        <v>24932692</v>
      </c>
      <c r="E1360">
        <v>22740476</v>
      </c>
      <c r="F1360" t="s">
        <v>26503</v>
      </c>
      <c r="G1360" t="s">
        <v>33048</v>
      </c>
      <c r="H1360" t="s">
        <v>33049</v>
      </c>
      <c r="I1360" t="s">
        <v>33050</v>
      </c>
      <c r="J1360" t="s">
        <v>32424</v>
      </c>
      <c r="K1360">
        <v>2012</v>
      </c>
      <c r="L1360" s="1">
        <v>41089</v>
      </c>
      <c r="O1360" t="s">
        <v>26512</v>
      </c>
    </row>
    <row r="1361" spans="1:15" x14ac:dyDescent="0.15">
      <c r="A1361">
        <v>30706075</v>
      </c>
      <c r="B1361">
        <v>16553833</v>
      </c>
      <c r="D1361">
        <v>34907783</v>
      </c>
      <c r="E1361">
        <v>35094679</v>
      </c>
      <c r="F1361" t="s">
        <v>19541</v>
      </c>
      <c r="G1361" t="s">
        <v>33051</v>
      </c>
      <c r="H1361" t="s">
        <v>33052</v>
      </c>
      <c r="I1361" t="s">
        <v>33053</v>
      </c>
      <c r="J1361" t="s">
        <v>33054</v>
      </c>
      <c r="K1361">
        <v>2022</v>
      </c>
      <c r="L1361" s="1">
        <v>44592</v>
      </c>
      <c r="M1361" t="s">
        <v>33055</v>
      </c>
      <c r="O1361" t="s">
        <v>19552</v>
      </c>
    </row>
    <row r="1362" spans="1:15" x14ac:dyDescent="0.15">
      <c r="A1362">
        <v>25371090</v>
      </c>
      <c r="B1362">
        <v>8896453</v>
      </c>
      <c r="D1362">
        <v>31123713</v>
      </c>
      <c r="E1362">
        <v>34962643</v>
      </c>
      <c r="F1362" t="s">
        <v>21620</v>
      </c>
      <c r="G1362" t="s">
        <v>33062</v>
      </c>
      <c r="H1362" t="s">
        <v>33063</v>
      </c>
      <c r="I1362" t="s">
        <v>33064</v>
      </c>
      <c r="J1362" t="s">
        <v>33065</v>
      </c>
      <c r="K1362">
        <v>2022</v>
      </c>
      <c r="L1362" s="1">
        <v>44558</v>
      </c>
      <c r="O1362" t="s">
        <v>21632</v>
      </c>
    </row>
    <row r="1363" spans="1:15" x14ac:dyDescent="0.15">
      <c r="A1363">
        <v>30636419</v>
      </c>
      <c r="B1363">
        <v>16260630</v>
      </c>
      <c r="D1363">
        <v>30480287</v>
      </c>
      <c r="E1363">
        <v>18617898</v>
      </c>
      <c r="F1363" t="s">
        <v>19740</v>
      </c>
      <c r="G1363" t="s">
        <v>33115</v>
      </c>
      <c r="H1363" t="s">
        <v>33116</v>
      </c>
      <c r="I1363" t="s">
        <v>33117</v>
      </c>
      <c r="J1363" t="s">
        <v>33118</v>
      </c>
      <c r="K1363">
        <v>2008</v>
      </c>
      <c r="L1363" s="1">
        <v>39641</v>
      </c>
      <c r="O1363" t="s">
        <v>19750</v>
      </c>
    </row>
    <row r="1364" spans="1:15" x14ac:dyDescent="0.15">
      <c r="A1364">
        <v>33389284</v>
      </c>
      <c r="B1364">
        <v>21955587</v>
      </c>
      <c r="D1364">
        <v>34663679</v>
      </c>
      <c r="E1364">
        <v>33500249</v>
      </c>
      <c r="F1364" t="s">
        <v>9341</v>
      </c>
      <c r="G1364" t="s">
        <v>33144</v>
      </c>
      <c r="H1364" t="s">
        <v>33145</v>
      </c>
      <c r="I1364" t="s">
        <v>33146</v>
      </c>
      <c r="J1364" t="s">
        <v>31167</v>
      </c>
      <c r="K1364">
        <v>2021</v>
      </c>
      <c r="L1364" s="1">
        <v>44223</v>
      </c>
      <c r="O1364" t="s">
        <v>9348</v>
      </c>
    </row>
    <row r="1365" spans="1:15" x14ac:dyDescent="0.15">
      <c r="A1365">
        <v>34355908</v>
      </c>
      <c r="B1365">
        <v>10978325</v>
      </c>
      <c r="D1365">
        <v>32203399</v>
      </c>
      <c r="E1365">
        <v>27994032</v>
      </c>
      <c r="F1365" t="s">
        <v>16048</v>
      </c>
      <c r="G1365" t="s">
        <v>33157</v>
      </c>
      <c r="H1365" t="s">
        <v>33158</v>
      </c>
      <c r="I1365" t="s">
        <v>33159</v>
      </c>
      <c r="J1365" t="s">
        <v>31587</v>
      </c>
      <c r="K1365">
        <v>2017</v>
      </c>
      <c r="L1365" s="1">
        <v>42725</v>
      </c>
      <c r="M1365" t="s">
        <v>33160</v>
      </c>
      <c r="O1365" t="s">
        <v>16058</v>
      </c>
    </row>
    <row r="1366" spans="1:15" x14ac:dyDescent="0.15">
      <c r="A1366">
        <v>32341769</v>
      </c>
      <c r="B1366">
        <v>19570101</v>
      </c>
      <c r="D1366">
        <v>29844574</v>
      </c>
      <c r="E1366">
        <v>30973972</v>
      </c>
      <c r="F1366" t="s">
        <v>11794</v>
      </c>
      <c r="G1366" t="s">
        <v>33161</v>
      </c>
      <c r="H1366" t="s">
        <v>33162</v>
      </c>
      <c r="I1366" t="s">
        <v>33163</v>
      </c>
      <c r="J1366" t="s">
        <v>33164</v>
      </c>
      <c r="K1366">
        <v>2019</v>
      </c>
      <c r="L1366" s="1">
        <v>43567</v>
      </c>
      <c r="O1366" t="s">
        <v>11806</v>
      </c>
    </row>
    <row r="1367" spans="1:15" x14ac:dyDescent="0.15">
      <c r="A1367">
        <v>31362387</v>
      </c>
      <c r="B1367">
        <v>30718911</v>
      </c>
      <c r="D1367">
        <v>32766689</v>
      </c>
      <c r="E1367">
        <v>29374476</v>
      </c>
      <c r="F1367" t="s">
        <v>1158</v>
      </c>
      <c r="G1367" t="s">
        <v>33179</v>
      </c>
      <c r="H1367" t="s">
        <v>33180</v>
      </c>
      <c r="I1367" t="s">
        <v>33181</v>
      </c>
      <c r="J1367" t="s">
        <v>30630</v>
      </c>
      <c r="K1367">
        <v>2018</v>
      </c>
      <c r="L1367" s="1">
        <v>43129</v>
      </c>
      <c r="M1367" t="s">
        <v>33182</v>
      </c>
      <c r="O1367" t="s">
        <v>1170</v>
      </c>
    </row>
    <row r="1368" spans="1:15" x14ac:dyDescent="0.15">
      <c r="A1368">
        <v>32782600</v>
      </c>
      <c r="B1368">
        <v>11550206</v>
      </c>
      <c r="D1368">
        <v>26328805</v>
      </c>
      <c r="E1368">
        <v>34936368</v>
      </c>
      <c r="F1368" t="s">
        <v>13163</v>
      </c>
      <c r="G1368" t="s">
        <v>33183</v>
      </c>
      <c r="H1368" t="s">
        <v>33184</v>
      </c>
      <c r="I1368" t="s">
        <v>33185</v>
      </c>
      <c r="J1368" t="s">
        <v>33186</v>
      </c>
      <c r="K1368">
        <v>2022</v>
      </c>
      <c r="L1368" s="1">
        <v>44552</v>
      </c>
      <c r="O1368" t="s">
        <v>13173</v>
      </c>
    </row>
    <row r="1369" spans="1:15" x14ac:dyDescent="0.15">
      <c r="A1369">
        <v>31585894</v>
      </c>
      <c r="B1369">
        <v>11113118</v>
      </c>
      <c r="D1369">
        <v>30085064</v>
      </c>
      <c r="E1369">
        <v>29907693</v>
      </c>
      <c r="F1369" t="s">
        <v>16140</v>
      </c>
      <c r="G1369" t="s">
        <v>33199</v>
      </c>
      <c r="H1369" t="s">
        <v>33200</v>
      </c>
      <c r="I1369" t="s">
        <v>33201</v>
      </c>
      <c r="J1369" t="s">
        <v>32900</v>
      </c>
      <c r="K1369">
        <v>2018</v>
      </c>
      <c r="L1369" s="1">
        <v>43268</v>
      </c>
      <c r="M1369" t="s">
        <v>33202</v>
      </c>
      <c r="N1369" t="s">
        <v>33203</v>
      </c>
      <c r="O1369" t="s">
        <v>16152</v>
      </c>
    </row>
    <row r="1370" spans="1:15" x14ac:dyDescent="0.15">
      <c r="A1370" t="s">
        <v>74</v>
      </c>
      <c r="B1370">
        <v>31315434</v>
      </c>
      <c r="D1370">
        <v>32105369</v>
      </c>
      <c r="E1370">
        <v>28743887</v>
      </c>
      <c r="F1370" t="s">
        <v>6095</v>
      </c>
      <c r="G1370" t="s">
        <v>33222</v>
      </c>
      <c r="H1370" t="s">
        <v>33223</v>
      </c>
      <c r="I1370" t="s">
        <v>33224</v>
      </c>
      <c r="J1370" t="s">
        <v>30834</v>
      </c>
      <c r="K1370">
        <v>2017</v>
      </c>
      <c r="L1370" s="1">
        <v>42943</v>
      </c>
      <c r="M1370" t="s">
        <v>33225</v>
      </c>
      <c r="O1370" t="s">
        <v>6105</v>
      </c>
    </row>
    <row r="1371" spans="1:15" x14ac:dyDescent="0.15">
      <c r="A1371">
        <v>26150337</v>
      </c>
      <c r="B1371">
        <v>35436521</v>
      </c>
      <c r="D1371">
        <v>30928015</v>
      </c>
      <c r="E1371">
        <v>31271518</v>
      </c>
      <c r="F1371" t="s">
        <v>9584</v>
      </c>
      <c r="G1371" t="s">
        <v>33226</v>
      </c>
      <c r="H1371" t="s">
        <v>33227</v>
      </c>
      <c r="I1371" t="s">
        <v>33228</v>
      </c>
      <c r="J1371" t="s">
        <v>30763</v>
      </c>
      <c r="K1371">
        <v>2019</v>
      </c>
      <c r="L1371" s="1">
        <v>43651</v>
      </c>
      <c r="O1371" t="s">
        <v>9593</v>
      </c>
    </row>
    <row r="1372" spans="1:15" x14ac:dyDescent="0.15">
      <c r="A1372">
        <v>29851284</v>
      </c>
      <c r="B1372">
        <v>11988182</v>
      </c>
      <c r="D1372">
        <v>26846164</v>
      </c>
      <c r="E1372">
        <v>25368198</v>
      </c>
      <c r="F1372" t="s">
        <v>14131</v>
      </c>
      <c r="G1372" t="s">
        <v>33240</v>
      </c>
      <c r="H1372" t="s">
        <v>33241</v>
      </c>
      <c r="I1372" t="s">
        <v>33242</v>
      </c>
      <c r="J1372" t="s">
        <v>30767</v>
      </c>
      <c r="K1372">
        <v>2014</v>
      </c>
      <c r="L1372" s="1">
        <v>41948</v>
      </c>
      <c r="M1372" t="s">
        <v>33243</v>
      </c>
      <c r="O1372" t="s">
        <v>14141</v>
      </c>
    </row>
    <row r="1373" spans="1:15" x14ac:dyDescent="0.15">
      <c r="A1373">
        <v>31921310</v>
      </c>
      <c r="B1373">
        <v>1944266</v>
      </c>
      <c r="D1373">
        <v>24503127</v>
      </c>
      <c r="E1373">
        <v>35595717</v>
      </c>
      <c r="F1373" t="s">
        <v>4090</v>
      </c>
      <c r="G1373" t="s">
        <v>33250</v>
      </c>
      <c r="H1373" t="s">
        <v>33251</v>
      </c>
      <c r="I1373" t="s">
        <v>33252</v>
      </c>
      <c r="J1373" t="s">
        <v>30772</v>
      </c>
      <c r="K1373">
        <v>2022</v>
      </c>
      <c r="L1373" s="1">
        <v>44701</v>
      </c>
      <c r="M1373" t="s">
        <v>33253</v>
      </c>
      <c r="O1373" t="s">
        <v>4099</v>
      </c>
    </row>
    <row r="1374" spans="1:15" x14ac:dyDescent="0.15">
      <c r="A1374">
        <v>31454892</v>
      </c>
      <c r="B1374">
        <v>25485651</v>
      </c>
      <c r="D1374">
        <v>33155647</v>
      </c>
      <c r="E1374">
        <v>33304477</v>
      </c>
      <c r="F1374" t="s">
        <v>3494</v>
      </c>
      <c r="G1374" t="s">
        <v>33260</v>
      </c>
      <c r="H1374" t="s">
        <v>33261</v>
      </c>
      <c r="I1374" t="s">
        <v>33262</v>
      </c>
      <c r="J1374" t="s">
        <v>30772</v>
      </c>
      <c r="K1374">
        <v>2020</v>
      </c>
      <c r="L1374" s="1">
        <v>44176</v>
      </c>
      <c r="M1374" t="s">
        <v>33263</v>
      </c>
      <c r="O1374" t="s">
        <v>3503</v>
      </c>
    </row>
    <row r="1375" spans="1:15" x14ac:dyDescent="0.15">
      <c r="A1375">
        <v>33994784</v>
      </c>
      <c r="B1375">
        <v>34331845</v>
      </c>
      <c r="D1375">
        <v>22995828</v>
      </c>
      <c r="E1375">
        <v>26768848</v>
      </c>
      <c r="F1375" t="s">
        <v>33270</v>
      </c>
      <c r="G1375" t="s">
        <v>33271</v>
      </c>
      <c r="H1375" t="s">
        <v>33272</v>
      </c>
      <c r="I1375" t="s">
        <v>33273</v>
      </c>
      <c r="J1375" t="s">
        <v>30767</v>
      </c>
      <c r="K1375">
        <v>2016</v>
      </c>
      <c r="L1375" s="1">
        <v>42385</v>
      </c>
      <c r="M1375" t="s">
        <v>33274</v>
      </c>
      <c r="O1375" t="s">
        <v>17697</v>
      </c>
    </row>
    <row r="1376" spans="1:15" x14ac:dyDescent="0.15">
      <c r="A1376">
        <v>32980480</v>
      </c>
      <c r="B1376">
        <v>2157058</v>
      </c>
      <c r="D1376">
        <v>34680868</v>
      </c>
      <c r="E1376">
        <v>34813275</v>
      </c>
      <c r="F1376" t="s">
        <v>13303</v>
      </c>
      <c r="G1376" t="s">
        <v>33288</v>
      </c>
      <c r="H1376" t="s">
        <v>33289</v>
      </c>
      <c r="I1376" t="s">
        <v>33290</v>
      </c>
      <c r="J1376" t="s">
        <v>30561</v>
      </c>
      <c r="K1376">
        <v>2021</v>
      </c>
      <c r="L1376" s="1">
        <v>44523</v>
      </c>
      <c r="O1376" t="s">
        <v>13313</v>
      </c>
    </row>
    <row r="1377" spans="1:15" x14ac:dyDescent="0.15">
      <c r="A1377">
        <v>33007940</v>
      </c>
      <c r="B1377">
        <v>3007532</v>
      </c>
      <c r="D1377">
        <v>32865792</v>
      </c>
      <c r="E1377">
        <v>34545097</v>
      </c>
      <c r="F1377" t="s">
        <v>20474</v>
      </c>
      <c r="G1377" t="s">
        <v>33291</v>
      </c>
      <c r="H1377" t="s">
        <v>33292</v>
      </c>
      <c r="I1377" t="s">
        <v>31720</v>
      </c>
      <c r="J1377" t="s">
        <v>30796</v>
      </c>
      <c r="K1377">
        <v>2021</v>
      </c>
      <c r="L1377" s="1">
        <v>44460</v>
      </c>
      <c r="M1377" t="s">
        <v>33293</v>
      </c>
      <c r="O1377" t="s">
        <v>20483</v>
      </c>
    </row>
    <row r="1378" spans="1:15" x14ac:dyDescent="0.15">
      <c r="A1378">
        <v>32062572</v>
      </c>
      <c r="B1378">
        <v>16407280</v>
      </c>
      <c r="D1378">
        <v>33798333</v>
      </c>
      <c r="E1378">
        <v>27166683</v>
      </c>
      <c r="F1378" t="s">
        <v>26188</v>
      </c>
      <c r="G1378" t="s">
        <v>33305</v>
      </c>
      <c r="H1378" t="s">
        <v>33306</v>
      </c>
      <c r="I1378" t="s">
        <v>33307</v>
      </c>
      <c r="J1378" t="s">
        <v>33308</v>
      </c>
      <c r="K1378">
        <v>2016</v>
      </c>
      <c r="L1378" s="1">
        <v>42502</v>
      </c>
      <c r="M1378" t="s">
        <v>33309</v>
      </c>
      <c r="N1378" t="s">
        <v>33310</v>
      </c>
      <c r="O1378" t="s">
        <v>26199</v>
      </c>
    </row>
    <row r="1379" spans="1:15" x14ac:dyDescent="0.15">
      <c r="A1379">
        <v>28088446</v>
      </c>
      <c r="B1379">
        <v>26170411</v>
      </c>
      <c r="D1379">
        <v>17174896</v>
      </c>
      <c r="E1379">
        <v>28765539</v>
      </c>
      <c r="F1379" t="s">
        <v>8515</v>
      </c>
      <c r="G1379" t="s">
        <v>33322</v>
      </c>
      <c r="H1379" t="s">
        <v>33323</v>
      </c>
      <c r="I1379" t="s">
        <v>30771</v>
      </c>
      <c r="J1379" t="s">
        <v>30834</v>
      </c>
      <c r="K1379">
        <v>2017</v>
      </c>
      <c r="L1379" s="1">
        <v>42950</v>
      </c>
      <c r="M1379" t="s">
        <v>33324</v>
      </c>
      <c r="O1379" t="s">
        <v>8525</v>
      </c>
    </row>
    <row r="1380" spans="1:15" x14ac:dyDescent="0.15">
      <c r="A1380">
        <v>32603586</v>
      </c>
      <c r="B1380">
        <v>2154094</v>
      </c>
      <c r="D1380">
        <v>34773243</v>
      </c>
      <c r="E1380">
        <v>35312297</v>
      </c>
      <c r="F1380" t="s">
        <v>4076</v>
      </c>
      <c r="G1380" t="s">
        <v>33325</v>
      </c>
      <c r="H1380" t="s">
        <v>33326</v>
      </c>
      <c r="I1380" t="s">
        <v>32824</v>
      </c>
      <c r="J1380" t="s">
        <v>31781</v>
      </c>
      <c r="K1380">
        <v>2022</v>
      </c>
      <c r="L1380" s="1">
        <v>44641</v>
      </c>
      <c r="O1380" t="s">
        <v>4086</v>
      </c>
    </row>
    <row r="1381" spans="1:15" x14ac:dyDescent="0.15">
      <c r="A1381">
        <v>34445438</v>
      </c>
      <c r="B1381">
        <v>2689174</v>
      </c>
      <c r="D1381">
        <v>30382599</v>
      </c>
      <c r="E1381">
        <v>30551256</v>
      </c>
      <c r="F1381" t="s">
        <v>12687</v>
      </c>
      <c r="G1381" t="s">
        <v>33333</v>
      </c>
      <c r="H1381" t="s">
        <v>33334</v>
      </c>
      <c r="I1381" t="s">
        <v>33335</v>
      </c>
      <c r="J1381" t="s">
        <v>31751</v>
      </c>
      <c r="K1381">
        <v>2018</v>
      </c>
      <c r="L1381" s="1">
        <v>43449</v>
      </c>
      <c r="M1381" t="s">
        <v>33336</v>
      </c>
      <c r="O1381" t="s">
        <v>12700</v>
      </c>
    </row>
    <row r="1382" spans="1:15" x14ac:dyDescent="0.15">
      <c r="A1382">
        <v>32444772</v>
      </c>
      <c r="B1382">
        <v>17448744</v>
      </c>
      <c r="D1382">
        <v>15837433</v>
      </c>
      <c r="E1382">
        <v>20304794</v>
      </c>
      <c r="F1382" t="s">
        <v>8748</v>
      </c>
      <c r="G1382" t="s">
        <v>33372</v>
      </c>
      <c r="H1382" t="s">
        <v>33373</v>
      </c>
      <c r="I1382" t="s">
        <v>33374</v>
      </c>
      <c r="J1382" t="s">
        <v>30767</v>
      </c>
      <c r="K1382">
        <v>2010</v>
      </c>
      <c r="L1382" s="1">
        <v>40260</v>
      </c>
      <c r="M1382" t="s">
        <v>33375</v>
      </c>
      <c r="O1382" t="s">
        <v>8758</v>
      </c>
    </row>
    <row r="1383" spans="1:15" x14ac:dyDescent="0.15">
      <c r="A1383">
        <v>33117407</v>
      </c>
      <c r="B1383">
        <v>27345571</v>
      </c>
      <c r="D1383">
        <v>26350316</v>
      </c>
      <c r="E1383">
        <v>29881375</v>
      </c>
      <c r="F1383" t="s">
        <v>33382</v>
      </c>
      <c r="G1383" t="s">
        <v>33383</v>
      </c>
      <c r="H1383" t="s">
        <v>33384</v>
      </c>
      <c r="I1383" t="s">
        <v>33385</v>
      </c>
      <c r="J1383" t="s">
        <v>30713</v>
      </c>
      <c r="K1383">
        <v>2018</v>
      </c>
      <c r="L1383" s="1">
        <v>43260</v>
      </c>
      <c r="M1383" t="s">
        <v>33386</v>
      </c>
      <c r="O1383" t="s">
        <v>2063</v>
      </c>
    </row>
    <row r="1384" spans="1:15" x14ac:dyDescent="0.15">
      <c r="A1384">
        <v>33903726</v>
      </c>
      <c r="B1384">
        <v>12383240</v>
      </c>
      <c r="D1384">
        <v>24022222</v>
      </c>
      <c r="E1384">
        <v>33430027</v>
      </c>
      <c r="F1384" t="s">
        <v>4377</v>
      </c>
      <c r="G1384" t="s">
        <v>33387</v>
      </c>
      <c r="H1384" t="s">
        <v>33388</v>
      </c>
      <c r="I1384" t="s">
        <v>33389</v>
      </c>
      <c r="J1384" t="s">
        <v>30655</v>
      </c>
      <c r="K1384">
        <v>2021</v>
      </c>
      <c r="L1384" s="1">
        <v>44208</v>
      </c>
      <c r="M1384" t="s">
        <v>33390</v>
      </c>
      <c r="O1384" t="s">
        <v>4386</v>
      </c>
    </row>
    <row r="1385" spans="1:15" x14ac:dyDescent="0.15">
      <c r="A1385">
        <v>31466323</v>
      </c>
      <c r="B1385">
        <v>31631581</v>
      </c>
      <c r="D1385">
        <v>1697030</v>
      </c>
      <c r="E1385">
        <v>30187611</v>
      </c>
      <c r="F1385" t="s">
        <v>6987</v>
      </c>
      <c r="G1385" t="s">
        <v>33397</v>
      </c>
      <c r="H1385" t="s">
        <v>33398</v>
      </c>
      <c r="I1385" t="s">
        <v>33399</v>
      </c>
      <c r="J1385" t="s">
        <v>33400</v>
      </c>
      <c r="K1385">
        <v>2019</v>
      </c>
      <c r="L1385" s="1">
        <v>43350</v>
      </c>
      <c r="O1385" t="s">
        <v>6998</v>
      </c>
    </row>
    <row r="1386" spans="1:15" x14ac:dyDescent="0.15">
      <c r="A1386">
        <v>30501880</v>
      </c>
      <c r="B1386">
        <v>7890419</v>
      </c>
      <c r="D1386">
        <v>6981641</v>
      </c>
      <c r="E1386">
        <v>33508126</v>
      </c>
      <c r="F1386" t="s">
        <v>5153</v>
      </c>
      <c r="G1386" t="s">
        <v>33407</v>
      </c>
      <c r="H1386" t="s">
        <v>33408</v>
      </c>
      <c r="I1386" t="s">
        <v>33409</v>
      </c>
      <c r="J1386" t="s">
        <v>33410</v>
      </c>
      <c r="K1386">
        <v>2021</v>
      </c>
      <c r="L1386" s="1">
        <v>44224</v>
      </c>
      <c r="M1386" t="s">
        <v>33411</v>
      </c>
      <c r="O1386" t="s">
        <v>5166</v>
      </c>
    </row>
    <row r="1387" spans="1:15" x14ac:dyDescent="0.15">
      <c r="A1387">
        <v>23755885</v>
      </c>
      <c r="B1387">
        <v>15905077</v>
      </c>
      <c r="D1387">
        <v>24887393</v>
      </c>
      <c r="E1387">
        <v>29215015</v>
      </c>
      <c r="F1387" t="s">
        <v>7331</v>
      </c>
      <c r="G1387" t="s">
        <v>33416</v>
      </c>
      <c r="H1387" t="s">
        <v>33417</v>
      </c>
      <c r="I1387" t="s">
        <v>33418</v>
      </c>
      <c r="J1387" t="s">
        <v>30796</v>
      </c>
      <c r="K1387">
        <v>2017</v>
      </c>
      <c r="L1387" s="1">
        <v>43077</v>
      </c>
      <c r="M1387" t="s">
        <v>33419</v>
      </c>
      <c r="O1387" t="s">
        <v>7341</v>
      </c>
    </row>
    <row r="1388" spans="1:15" x14ac:dyDescent="0.15">
      <c r="A1388">
        <v>33311558</v>
      </c>
      <c r="B1388">
        <v>11331402</v>
      </c>
      <c r="D1388">
        <v>28225755</v>
      </c>
      <c r="E1388">
        <v>29170447</v>
      </c>
      <c r="F1388" t="s">
        <v>15805</v>
      </c>
      <c r="G1388" t="s">
        <v>33420</v>
      </c>
      <c r="H1388" t="s">
        <v>33421</v>
      </c>
      <c r="I1388" t="s">
        <v>32995</v>
      </c>
      <c r="J1388" t="s">
        <v>30834</v>
      </c>
      <c r="K1388">
        <v>2017</v>
      </c>
      <c r="L1388" s="1">
        <v>43064</v>
      </c>
      <c r="M1388" t="s">
        <v>33422</v>
      </c>
      <c r="O1388" t="s">
        <v>15815</v>
      </c>
    </row>
    <row r="1389" spans="1:15" x14ac:dyDescent="0.15">
      <c r="A1389" t="s">
        <v>74</v>
      </c>
      <c r="B1389">
        <v>11879181</v>
      </c>
      <c r="D1389">
        <v>15136153</v>
      </c>
      <c r="E1389">
        <v>33126845</v>
      </c>
      <c r="F1389" t="s">
        <v>1431</v>
      </c>
      <c r="G1389" t="s">
        <v>33423</v>
      </c>
      <c r="H1389" t="s">
        <v>33424</v>
      </c>
      <c r="I1389" t="s">
        <v>33425</v>
      </c>
      <c r="J1389" t="s">
        <v>32170</v>
      </c>
      <c r="K1389">
        <v>2021</v>
      </c>
      <c r="L1389" s="1">
        <v>44135</v>
      </c>
      <c r="O1389" t="s">
        <v>33426</v>
      </c>
    </row>
    <row r="1390" spans="1:15" x14ac:dyDescent="0.15">
      <c r="A1390">
        <v>30847303</v>
      </c>
      <c r="B1390">
        <v>31104002</v>
      </c>
      <c r="D1390">
        <v>29520561</v>
      </c>
      <c r="E1390">
        <v>32929376</v>
      </c>
      <c r="F1390" t="s">
        <v>15396</v>
      </c>
      <c r="G1390" t="s">
        <v>33445</v>
      </c>
      <c r="H1390" t="s">
        <v>33446</v>
      </c>
      <c r="I1390" t="s">
        <v>33447</v>
      </c>
      <c r="J1390" t="s">
        <v>30588</v>
      </c>
      <c r="K1390">
        <v>2020</v>
      </c>
      <c r="L1390" s="1">
        <v>44089</v>
      </c>
      <c r="M1390" t="s">
        <v>33448</v>
      </c>
      <c r="O1390" t="s">
        <v>15406</v>
      </c>
    </row>
    <row r="1391" spans="1:15" x14ac:dyDescent="0.15">
      <c r="A1391">
        <v>34351331</v>
      </c>
      <c r="B1391">
        <v>35204785</v>
      </c>
      <c r="D1391">
        <v>23303825</v>
      </c>
      <c r="E1391">
        <v>29185455</v>
      </c>
      <c r="F1391" t="s">
        <v>6334</v>
      </c>
      <c r="G1391" t="s">
        <v>33449</v>
      </c>
      <c r="H1391" t="s">
        <v>33450</v>
      </c>
      <c r="I1391" t="s">
        <v>33451</v>
      </c>
      <c r="J1391" t="s">
        <v>30834</v>
      </c>
      <c r="K1391">
        <v>2017</v>
      </c>
      <c r="L1391" s="1">
        <v>43069</v>
      </c>
      <c r="M1391" t="s">
        <v>33452</v>
      </c>
      <c r="O1391" t="s">
        <v>6344</v>
      </c>
    </row>
    <row r="1392" spans="1:15" x14ac:dyDescent="0.15">
      <c r="A1392">
        <v>34667108</v>
      </c>
      <c r="B1392">
        <v>34896392</v>
      </c>
      <c r="D1392">
        <v>29309057</v>
      </c>
      <c r="E1392">
        <v>29016925</v>
      </c>
      <c r="F1392" t="s">
        <v>10051</v>
      </c>
      <c r="G1392" t="s">
        <v>33485</v>
      </c>
      <c r="H1392" t="s">
        <v>33486</v>
      </c>
      <c r="I1392" t="s">
        <v>33487</v>
      </c>
      <c r="J1392" t="s">
        <v>33410</v>
      </c>
      <c r="K1392">
        <v>2018</v>
      </c>
      <c r="L1392" s="1">
        <v>43019</v>
      </c>
      <c r="M1392" t="s">
        <v>33488</v>
      </c>
      <c r="O1392" t="s">
        <v>10060</v>
      </c>
    </row>
    <row r="1393" spans="1:15" x14ac:dyDescent="0.15">
      <c r="A1393">
        <v>32602227</v>
      </c>
      <c r="B1393">
        <v>8599240</v>
      </c>
      <c r="D1393">
        <v>34229573</v>
      </c>
      <c r="E1393">
        <v>32634139</v>
      </c>
      <c r="F1393" t="s">
        <v>18417</v>
      </c>
      <c r="G1393" t="s">
        <v>33505</v>
      </c>
      <c r="H1393" t="s">
        <v>33506</v>
      </c>
      <c r="I1393" t="s">
        <v>33507</v>
      </c>
      <c r="J1393" t="s">
        <v>31639</v>
      </c>
      <c r="K1393">
        <v>2020</v>
      </c>
      <c r="L1393" s="1">
        <v>44020</v>
      </c>
      <c r="M1393" t="s">
        <v>33508</v>
      </c>
      <c r="O1393" t="s">
        <v>33509</v>
      </c>
    </row>
    <row r="1394" spans="1:15" x14ac:dyDescent="0.15">
      <c r="A1394">
        <v>31942243</v>
      </c>
      <c r="B1394">
        <v>33952325</v>
      </c>
      <c r="D1394">
        <v>31863816</v>
      </c>
      <c r="E1394">
        <v>32776418</v>
      </c>
      <c r="F1394" t="s">
        <v>16464</v>
      </c>
      <c r="G1394" t="s">
        <v>33510</v>
      </c>
      <c r="H1394" t="s">
        <v>33511</v>
      </c>
      <c r="I1394" t="s">
        <v>33512</v>
      </c>
      <c r="J1394" t="s">
        <v>31671</v>
      </c>
      <c r="K1394">
        <v>2020</v>
      </c>
      <c r="L1394" s="1">
        <v>44054</v>
      </c>
      <c r="M1394" t="s">
        <v>33513</v>
      </c>
      <c r="O1394" t="s">
        <v>16472</v>
      </c>
    </row>
    <row r="1395" spans="1:15" x14ac:dyDescent="0.15">
      <c r="A1395">
        <v>32386350</v>
      </c>
      <c r="B1395">
        <v>11854410</v>
      </c>
      <c r="D1395">
        <v>18024180</v>
      </c>
      <c r="E1395">
        <v>34623384</v>
      </c>
      <c r="F1395" t="s">
        <v>8167</v>
      </c>
      <c r="G1395" t="s">
        <v>33514</v>
      </c>
      <c r="H1395" t="s">
        <v>33515</v>
      </c>
      <c r="I1395" t="s">
        <v>33516</v>
      </c>
      <c r="J1395" t="s">
        <v>30828</v>
      </c>
      <c r="K1395">
        <v>2021</v>
      </c>
      <c r="L1395" s="1">
        <v>44477</v>
      </c>
      <c r="M1395" t="s">
        <v>33517</v>
      </c>
      <c r="O1395" t="s">
        <v>8181</v>
      </c>
    </row>
    <row r="1396" spans="1:15" x14ac:dyDescent="0.15">
      <c r="A1396">
        <v>33190594</v>
      </c>
      <c r="B1396">
        <v>19818712</v>
      </c>
      <c r="D1396">
        <v>12788944</v>
      </c>
      <c r="E1396">
        <v>34047336</v>
      </c>
      <c r="F1396" t="s">
        <v>26817</v>
      </c>
      <c r="G1396" t="s">
        <v>33518</v>
      </c>
      <c r="H1396" t="s">
        <v>33519</v>
      </c>
      <c r="I1396" t="s">
        <v>33520</v>
      </c>
      <c r="J1396" t="s">
        <v>31059</v>
      </c>
      <c r="K1396">
        <v>2021</v>
      </c>
      <c r="L1396" s="1">
        <v>44344</v>
      </c>
      <c r="O1396" t="s">
        <v>26828</v>
      </c>
    </row>
    <row r="1397" spans="1:15" x14ac:dyDescent="0.15">
      <c r="A1397" t="s">
        <v>74</v>
      </c>
      <c r="B1397">
        <v>18025105</v>
      </c>
      <c r="D1397">
        <v>23020974</v>
      </c>
      <c r="E1397">
        <v>31548226</v>
      </c>
      <c r="F1397" t="s">
        <v>20194</v>
      </c>
      <c r="G1397" t="s">
        <v>33526</v>
      </c>
      <c r="H1397" t="s">
        <v>33527</v>
      </c>
      <c r="I1397" t="s">
        <v>33528</v>
      </c>
      <c r="J1397" t="s">
        <v>31018</v>
      </c>
      <c r="K1397">
        <v>2020</v>
      </c>
      <c r="L1397" s="1">
        <v>43733</v>
      </c>
      <c r="M1397" t="s">
        <v>33529</v>
      </c>
      <c r="O1397" t="s">
        <v>20203</v>
      </c>
    </row>
    <row r="1398" spans="1:15" x14ac:dyDescent="0.15">
      <c r="A1398">
        <v>26486140</v>
      </c>
      <c r="B1398">
        <v>9668172</v>
      </c>
      <c r="D1398">
        <v>31996469</v>
      </c>
      <c r="E1398">
        <v>31843276</v>
      </c>
      <c r="F1398" t="s">
        <v>33530</v>
      </c>
      <c r="G1398" t="s">
        <v>33531</v>
      </c>
      <c r="H1398" t="s">
        <v>33532</v>
      </c>
      <c r="I1398" t="s">
        <v>31303</v>
      </c>
      <c r="J1398" t="s">
        <v>33533</v>
      </c>
      <c r="K1398">
        <v>2020</v>
      </c>
      <c r="L1398" s="1">
        <v>43817</v>
      </c>
      <c r="M1398" t="s">
        <v>33534</v>
      </c>
      <c r="O1398" t="s">
        <v>20693</v>
      </c>
    </row>
    <row r="1399" spans="1:15" x14ac:dyDescent="0.15">
      <c r="A1399">
        <v>24164173</v>
      </c>
      <c r="B1399">
        <v>9653649</v>
      </c>
      <c r="D1399">
        <v>1644924</v>
      </c>
      <c r="E1399">
        <v>23012657</v>
      </c>
      <c r="F1399" t="s">
        <v>33551</v>
      </c>
      <c r="G1399" t="s">
        <v>33552</v>
      </c>
      <c r="H1399" t="s">
        <v>33553</v>
      </c>
      <c r="I1399" t="s">
        <v>33554</v>
      </c>
      <c r="J1399" t="s">
        <v>33555</v>
      </c>
      <c r="K1399">
        <v>2012</v>
      </c>
      <c r="L1399" s="1">
        <v>41179</v>
      </c>
      <c r="O1399" t="s">
        <v>11756</v>
      </c>
    </row>
    <row r="1400" spans="1:15" x14ac:dyDescent="0.15">
      <c r="A1400">
        <v>27976581</v>
      </c>
      <c r="B1400">
        <v>34710587</v>
      </c>
      <c r="D1400">
        <v>34060032</v>
      </c>
      <c r="E1400">
        <v>33711340</v>
      </c>
      <c r="F1400" t="s">
        <v>9964</v>
      </c>
      <c r="G1400" t="s">
        <v>33556</v>
      </c>
      <c r="H1400" t="s">
        <v>33557</v>
      </c>
      <c r="I1400" t="s">
        <v>33558</v>
      </c>
      <c r="J1400" t="s">
        <v>31594</v>
      </c>
      <c r="K1400">
        <v>2021</v>
      </c>
      <c r="L1400" s="1">
        <v>44267</v>
      </c>
      <c r="M1400" t="s">
        <v>33559</v>
      </c>
      <c r="O1400" t="s">
        <v>9972</v>
      </c>
    </row>
    <row r="1401" spans="1:15" x14ac:dyDescent="0.15">
      <c r="A1401">
        <v>34464838</v>
      </c>
      <c r="B1401">
        <v>21715023</v>
      </c>
      <c r="D1401">
        <v>34229724</v>
      </c>
      <c r="E1401">
        <v>33918465</v>
      </c>
      <c r="F1401" t="s">
        <v>471</v>
      </c>
      <c r="G1401" t="s">
        <v>33574</v>
      </c>
      <c r="H1401" t="s">
        <v>33575</v>
      </c>
      <c r="I1401" t="s">
        <v>33576</v>
      </c>
      <c r="J1401" t="s">
        <v>30816</v>
      </c>
      <c r="K1401">
        <v>2021</v>
      </c>
      <c r="L1401" s="1">
        <v>44316</v>
      </c>
      <c r="M1401" t="s">
        <v>33577</v>
      </c>
      <c r="O1401" t="s">
        <v>479</v>
      </c>
    </row>
    <row r="1402" spans="1:15" x14ac:dyDescent="0.15">
      <c r="A1402">
        <v>28446531</v>
      </c>
      <c r="B1402">
        <v>6150137</v>
      </c>
      <c r="D1402">
        <v>19521526</v>
      </c>
      <c r="E1402">
        <v>31911034</v>
      </c>
      <c r="F1402" t="s">
        <v>8853</v>
      </c>
      <c r="G1402" t="s">
        <v>33593</v>
      </c>
      <c r="H1402" t="s">
        <v>33594</v>
      </c>
      <c r="I1402" t="s">
        <v>33595</v>
      </c>
      <c r="J1402" t="s">
        <v>30786</v>
      </c>
      <c r="K1402">
        <v>2020</v>
      </c>
      <c r="L1402" s="1">
        <v>43839</v>
      </c>
      <c r="M1402" t="s">
        <v>33596</v>
      </c>
      <c r="O1402" t="s">
        <v>8864</v>
      </c>
    </row>
    <row r="1403" spans="1:15" x14ac:dyDescent="0.15">
      <c r="A1403">
        <v>29649119</v>
      </c>
      <c r="B1403">
        <v>12509439</v>
      </c>
      <c r="D1403">
        <v>31152821</v>
      </c>
      <c r="E1403">
        <v>32880856</v>
      </c>
      <c r="F1403" t="s">
        <v>3103</v>
      </c>
      <c r="G1403" t="s">
        <v>33597</v>
      </c>
      <c r="H1403" t="s">
        <v>33598</v>
      </c>
      <c r="I1403" t="s">
        <v>33599</v>
      </c>
      <c r="J1403" t="s">
        <v>33600</v>
      </c>
      <c r="K1403">
        <v>2020</v>
      </c>
      <c r="L1403" s="1">
        <v>44078</v>
      </c>
      <c r="M1403" t="s">
        <v>33601</v>
      </c>
      <c r="O1403" t="s">
        <v>3114</v>
      </c>
    </row>
    <row r="1404" spans="1:15" x14ac:dyDescent="0.15">
      <c r="A1404">
        <v>27792877</v>
      </c>
      <c r="B1404">
        <v>7559527</v>
      </c>
      <c r="D1404">
        <v>20566852</v>
      </c>
      <c r="E1404">
        <v>31893376</v>
      </c>
      <c r="F1404" t="s">
        <v>5097</v>
      </c>
      <c r="G1404" t="s">
        <v>33608</v>
      </c>
      <c r="H1404" t="s">
        <v>33609</v>
      </c>
      <c r="I1404" t="s">
        <v>33610</v>
      </c>
      <c r="J1404" t="s">
        <v>31003</v>
      </c>
      <c r="K1404">
        <v>2020</v>
      </c>
      <c r="L1404" s="1">
        <v>43832</v>
      </c>
      <c r="M1404" t="s">
        <v>33611</v>
      </c>
      <c r="N1404" t="s">
        <v>33612</v>
      </c>
      <c r="O1404" t="s">
        <v>5107</v>
      </c>
    </row>
    <row r="1405" spans="1:15" x14ac:dyDescent="0.15">
      <c r="A1405">
        <v>27835864</v>
      </c>
      <c r="B1405">
        <v>9148967</v>
      </c>
      <c r="D1405">
        <v>9562621</v>
      </c>
      <c r="E1405">
        <v>26412464</v>
      </c>
      <c r="F1405" t="s">
        <v>1414</v>
      </c>
      <c r="G1405" t="s">
        <v>33613</v>
      </c>
      <c r="H1405" t="s">
        <v>33614</v>
      </c>
      <c r="I1405" t="s">
        <v>33615</v>
      </c>
      <c r="J1405" t="s">
        <v>33616</v>
      </c>
      <c r="K1405">
        <v>2016</v>
      </c>
      <c r="L1405" s="1">
        <v>42276</v>
      </c>
      <c r="O1405" t="s">
        <v>1427</v>
      </c>
    </row>
    <row r="1406" spans="1:15" x14ac:dyDescent="0.15">
      <c r="A1406">
        <v>32637402</v>
      </c>
      <c r="B1406">
        <v>21478823</v>
      </c>
      <c r="D1406">
        <v>18771282</v>
      </c>
      <c r="E1406">
        <v>31451692</v>
      </c>
      <c r="F1406" t="s">
        <v>13663</v>
      </c>
      <c r="G1406" t="s">
        <v>33617</v>
      </c>
      <c r="H1406" t="s">
        <v>33618</v>
      </c>
      <c r="I1406" t="s">
        <v>33619</v>
      </c>
      <c r="J1406" t="s">
        <v>30796</v>
      </c>
      <c r="K1406">
        <v>2019</v>
      </c>
      <c r="L1406" s="1">
        <v>43705</v>
      </c>
      <c r="M1406" t="s">
        <v>33620</v>
      </c>
      <c r="O1406" t="s">
        <v>13673</v>
      </c>
    </row>
    <row r="1407" spans="1:15" x14ac:dyDescent="0.15">
      <c r="A1407">
        <v>29063484</v>
      </c>
      <c r="B1407">
        <v>29601331</v>
      </c>
      <c r="D1407">
        <v>35487268</v>
      </c>
      <c r="E1407">
        <v>26681674</v>
      </c>
      <c r="F1407" t="s">
        <v>11039</v>
      </c>
      <c r="G1407" t="s">
        <v>33621</v>
      </c>
      <c r="H1407" t="s">
        <v>33622</v>
      </c>
      <c r="I1407" t="s">
        <v>33623</v>
      </c>
      <c r="J1407" t="s">
        <v>30605</v>
      </c>
      <c r="K1407">
        <v>2016</v>
      </c>
      <c r="L1407" s="1">
        <v>42357</v>
      </c>
      <c r="M1407" t="s">
        <v>33624</v>
      </c>
      <c r="O1407" t="s">
        <v>11048</v>
      </c>
    </row>
    <row r="1408" spans="1:15" x14ac:dyDescent="0.15">
      <c r="A1408">
        <v>33643547</v>
      </c>
      <c r="B1408">
        <v>9188566</v>
      </c>
      <c r="D1408">
        <v>15517629</v>
      </c>
      <c r="E1408">
        <v>28975808</v>
      </c>
      <c r="F1408" t="s">
        <v>9500</v>
      </c>
      <c r="G1408" t="s">
        <v>33629</v>
      </c>
      <c r="H1408" t="s">
        <v>33630</v>
      </c>
      <c r="I1408" t="s">
        <v>33631</v>
      </c>
      <c r="J1408" t="s">
        <v>33632</v>
      </c>
      <c r="K1408">
        <v>2018</v>
      </c>
      <c r="L1408" s="1">
        <v>43013</v>
      </c>
      <c r="O1408" t="s">
        <v>9513</v>
      </c>
    </row>
    <row r="1409" spans="1:15" x14ac:dyDescent="0.15">
      <c r="A1409" t="s">
        <v>74</v>
      </c>
      <c r="B1409">
        <v>8662812</v>
      </c>
      <c r="D1409">
        <v>8654502</v>
      </c>
      <c r="E1409">
        <v>24611950</v>
      </c>
      <c r="F1409" t="s">
        <v>7259</v>
      </c>
      <c r="G1409" t="s">
        <v>33646</v>
      </c>
      <c r="H1409" t="s">
        <v>33647</v>
      </c>
      <c r="I1409" t="s">
        <v>33648</v>
      </c>
      <c r="J1409" t="s">
        <v>23613</v>
      </c>
      <c r="K1409">
        <v>2014</v>
      </c>
      <c r="L1409" s="1">
        <v>41710</v>
      </c>
      <c r="O1409" t="s">
        <v>7272</v>
      </c>
    </row>
    <row r="1410" spans="1:15" x14ac:dyDescent="0.15">
      <c r="A1410">
        <v>32975947</v>
      </c>
      <c r="B1410">
        <v>21855801</v>
      </c>
      <c r="D1410">
        <v>25934359</v>
      </c>
      <c r="E1410">
        <v>32246814</v>
      </c>
      <c r="F1410" t="s">
        <v>22833</v>
      </c>
      <c r="G1410" t="s">
        <v>33655</v>
      </c>
      <c r="H1410" t="s">
        <v>33656</v>
      </c>
      <c r="I1410" t="s">
        <v>33657</v>
      </c>
      <c r="J1410" t="s">
        <v>30694</v>
      </c>
      <c r="K1410">
        <v>2020</v>
      </c>
      <c r="L1410" s="1">
        <v>43926</v>
      </c>
      <c r="M1410" t="s">
        <v>33658</v>
      </c>
      <c r="O1410" t="s">
        <v>22843</v>
      </c>
    </row>
    <row r="1411" spans="1:15" x14ac:dyDescent="0.15">
      <c r="A1411">
        <v>34104945</v>
      </c>
      <c r="B1411">
        <v>33446491</v>
      </c>
      <c r="D1411">
        <v>8912005</v>
      </c>
      <c r="E1411">
        <v>30206166</v>
      </c>
      <c r="F1411" t="s">
        <v>33659</v>
      </c>
      <c r="G1411" t="s">
        <v>33660</v>
      </c>
      <c r="H1411" t="s">
        <v>33661</v>
      </c>
      <c r="I1411" t="s">
        <v>33662</v>
      </c>
      <c r="J1411" t="s">
        <v>33663</v>
      </c>
      <c r="K1411">
        <v>2018</v>
      </c>
      <c r="L1411" s="1">
        <v>43356</v>
      </c>
      <c r="M1411" t="s">
        <v>33664</v>
      </c>
      <c r="O1411" t="s">
        <v>6362</v>
      </c>
    </row>
    <row r="1412" spans="1:15" x14ac:dyDescent="0.15">
      <c r="A1412">
        <v>32731547</v>
      </c>
      <c r="B1412">
        <v>17601531</v>
      </c>
      <c r="D1412">
        <v>19684203</v>
      </c>
      <c r="E1412">
        <v>26462606</v>
      </c>
      <c r="F1412" t="s">
        <v>22973</v>
      </c>
      <c r="G1412" t="s">
        <v>33678</v>
      </c>
      <c r="H1412" t="s">
        <v>33679</v>
      </c>
      <c r="I1412" t="s">
        <v>33680</v>
      </c>
      <c r="J1412" t="s">
        <v>31633</v>
      </c>
      <c r="K1412">
        <v>2016</v>
      </c>
      <c r="L1412" s="1">
        <v>42292</v>
      </c>
      <c r="M1412" t="s">
        <v>33681</v>
      </c>
      <c r="O1412" t="s">
        <v>22983</v>
      </c>
    </row>
    <row r="1413" spans="1:15" x14ac:dyDescent="0.15">
      <c r="A1413">
        <v>34309083</v>
      </c>
      <c r="B1413">
        <v>32225029</v>
      </c>
      <c r="D1413">
        <v>30581439</v>
      </c>
      <c r="E1413">
        <v>29084979</v>
      </c>
      <c r="F1413" t="s">
        <v>21578</v>
      </c>
      <c r="G1413" t="s">
        <v>33682</v>
      </c>
      <c r="H1413" t="s">
        <v>33683</v>
      </c>
      <c r="I1413" t="s">
        <v>33684</v>
      </c>
      <c r="J1413" t="s">
        <v>30834</v>
      </c>
      <c r="K1413">
        <v>2017</v>
      </c>
      <c r="L1413" s="1">
        <v>43040</v>
      </c>
      <c r="M1413" t="s">
        <v>33685</v>
      </c>
      <c r="O1413" t="s">
        <v>21587</v>
      </c>
    </row>
    <row r="1414" spans="1:15" x14ac:dyDescent="0.15">
      <c r="A1414">
        <v>33801459</v>
      </c>
      <c r="B1414">
        <v>35545786</v>
      </c>
      <c r="D1414">
        <v>9530176</v>
      </c>
      <c r="E1414">
        <v>31068945</v>
      </c>
      <c r="F1414" t="s">
        <v>2248</v>
      </c>
      <c r="G1414" t="s">
        <v>33710</v>
      </c>
      <c r="H1414" t="s">
        <v>33711</v>
      </c>
      <c r="I1414" t="s">
        <v>31664</v>
      </c>
      <c r="J1414" t="s">
        <v>30713</v>
      </c>
      <c r="K1414">
        <v>2019</v>
      </c>
      <c r="L1414" s="1">
        <v>43595</v>
      </c>
      <c r="M1414" t="s">
        <v>33712</v>
      </c>
      <c r="O1414" t="s">
        <v>2259</v>
      </c>
    </row>
    <row r="1415" spans="1:15" x14ac:dyDescent="0.15">
      <c r="A1415">
        <v>26921248</v>
      </c>
      <c r="B1415">
        <v>19593443</v>
      </c>
      <c r="D1415">
        <v>7773008</v>
      </c>
      <c r="E1415">
        <v>32228703</v>
      </c>
      <c r="F1415" t="s">
        <v>19024</v>
      </c>
      <c r="G1415" t="s">
        <v>33713</v>
      </c>
      <c r="H1415" t="s">
        <v>33714</v>
      </c>
      <c r="I1415" t="s">
        <v>33715</v>
      </c>
      <c r="J1415" t="s">
        <v>30630</v>
      </c>
      <c r="K1415">
        <v>2020</v>
      </c>
      <c r="L1415" s="1">
        <v>43923</v>
      </c>
      <c r="M1415" t="s">
        <v>33716</v>
      </c>
      <c r="O1415" t="s">
        <v>19033</v>
      </c>
    </row>
    <row r="1416" spans="1:15" x14ac:dyDescent="0.15">
      <c r="A1416">
        <v>32962683</v>
      </c>
      <c r="B1416">
        <v>8034739</v>
      </c>
      <c r="D1416">
        <v>30301808</v>
      </c>
      <c r="E1416">
        <v>30358122</v>
      </c>
      <c r="F1416" t="s">
        <v>1683</v>
      </c>
      <c r="G1416" t="s">
        <v>33717</v>
      </c>
      <c r="H1416" t="s">
        <v>33718</v>
      </c>
      <c r="I1416" t="s">
        <v>33719</v>
      </c>
      <c r="J1416" t="s">
        <v>31367</v>
      </c>
      <c r="K1416">
        <v>2019</v>
      </c>
      <c r="L1416" s="1">
        <v>43399</v>
      </c>
      <c r="O1416" t="s">
        <v>1695</v>
      </c>
    </row>
    <row r="1417" spans="1:15" x14ac:dyDescent="0.15">
      <c r="A1417">
        <v>33070859</v>
      </c>
      <c r="B1417">
        <v>35190695</v>
      </c>
      <c r="D1417">
        <v>12566592</v>
      </c>
      <c r="E1417">
        <v>34282051</v>
      </c>
      <c r="F1417" t="s">
        <v>21361</v>
      </c>
      <c r="G1417" t="s">
        <v>33720</v>
      </c>
      <c r="H1417" t="s">
        <v>33721</v>
      </c>
      <c r="I1417" t="s">
        <v>33558</v>
      </c>
      <c r="J1417" t="s">
        <v>33722</v>
      </c>
      <c r="K1417">
        <v>2021</v>
      </c>
      <c r="L1417" s="1">
        <v>44397</v>
      </c>
      <c r="M1417" t="s">
        <v>33723</v>
      </c>
      <c r="O1417" t="s">
        <v>21372</v>
      </c>
    </row>
    <row r="1418" spans="1:15" x14ac:dyDescent="0.15">
      <c r="A1418">
        <v>33897894</v>
      </c>
      <c r="B1418">
        <v>17296737</v>
      </c>
      <c r="D1418">
        <v>10931929</v>
      </c>
      <c r="E1418">
        <v>32267172</v>
      </c>
      <c r="F1418" t="s">
        <v>24851</v>
      </c>
      <c r="G1418" t="s">
        <v>33755</v>
      </c>
      <c r="H1418" t="s">
        <v>33756</v>
      </c>
      <c r="I1418" t="s">
        <v>33757</v>
      </c>
      <c r="J1418" t="s">
        <v>31297</v>
      </c>
      <c r="K1418">
        <v>2020</v>
      </c>
      <c r="L1418" s="1">
        <v>43930</v>
      </c>
      <c r="O1418" t="s">
        <v>24864</v>
      </c>
    </row>
    <row r="1419" spans="1:15" x14ac:dyDescent="0.15">
      <c r="A1419">
        <v>33107503</v>
      </c>
      <c r="B1419">
        <v>12198172</v>
      </c>
      <c r="D1419">
        <v>16832048</v>
      </c>
      <c r="E1419">
        <v>31922357</v>
      </c>
      <c r="F1419" t="s">
        <v>4770</v>
      </c>
      <c r="G1419" t="s">
        <v>33764</v>
      </c>
      <c r="H1419" t="s">
        <v>33765</v>
      </c>
      <c r="I1419" t="s">
        <v>33766</v>
      </c>
      <c r="J1419" t="s">
        <v>31346</v>
      </c>
      <c r="K1419">
        <v>2020</v>
      </c>
      <c r="L1419" s="1">
        <v>43841</v>
      </c>
      <c r="M1419" t="s">
        <v>33767</v>
      </c>
      <c r="O1419" t="s">
        <v>4779</v>
      </c>
    </row>
    <row r="1420" spans="1:15" x14ac:dyDescent="0.15">
      <c r="A1420">
        <v>32634162</v>
      </c>
      <c r="B1420">
        <v>162859</v>
      </c>
      <c r="D1420">
        <v>1418007</v>
      </c>
      <c r="E1420">
        <v>31281309</v>
      </c>
      <c r="F1420" t="s">
        <v>33768</v>
      </c>
      <c r="G1420" t="s">
        <v>33769</v>
      </c>
      <c r="H1420" t="s">
        <v>33770</v>
      </c>
      <c r="I1420" t="s">
        <v>31303</v>
      </c>
      <c r="J1420" t="s">
        <v>30713</v>
      </c>
      <c r="K1420">
        <v>2019</v>
      </c>
      <c r="L1420" s="1">
        <v>43655</v>
      </c>
      <c r="M1420" t="s">
        <v>33771</v>
      </c>
      <c r="O1420" t="s">
        <v>13458</v>
      </c>
    </row>
    <row r="1421" spans="1:15" x14ac:dyDescent="0.15">
      <c r="A1421">
        <v>29603062</v>
      </c>
      <c r="B1421">
        <v>19357164</v>
      </c>
      <c r="D1421">
        <v>31053471</v>
      </c>
      <c r="E1421">
        <v>33274611</v>
      </c>
      <c r="F1421" t="s">
        <v>3932</v>
      </c>
      <c r="G1421" t="s">
        <v>33772</v>
      </c>
      <c r="H1421" t="s">
        <v>33773</v>
      </c>
      <c r="I1421" t="s">
        <v>33774</v>
      </c>
      <c r="J1421" t="s">
        <v>33775</v>
      </c>
      <c r="K1421">
        <v>2020</v>
      </c>
      <c r="L1421" s="1">
        <v>44169</v>
      </c>
      <c r="M1421" t="s">
        <v>33776</v>
      </c>
      <c r="N1421" t="s">
        <v>33777</v>
      </c>
      <c r="O1421" t="s">
        <v>3943</v>
      </c>
    </row>
    <row r="1422" spans="1:15" x14ac:dyDescent="0.15">
      <c r="A1422">
        <v>32798974</v>
      </c>
      <c r="B1422">
        <v>23283972</v>
      </c>
      <c r="D1422">
        <v>17074811</v>
      </c>
      <c r="E1422">
        <v>28041903</v>
      </c>
      <c r="F1422" t="s">
        <v>18166</v>
      </c>
      <c r="G1422" t="s">
        <v>33778</v>
      </c>
      <c r="H1422" t="s">
        <v>33779</v>
      </c>
      <c r="I1422" t="s">
        <v>31714</v>
      </c>
      <c r="J1422" t="s">
        <v>31885</v>
      </c>
      <c r="K1422">
        <v>2017</v>
      </c>
      <c r="L1422" s="1">
        <v>42738</v>
      </c>
      <c r="M1422" t="s">
        <v>33780</v>
      </c>
      <c r="N1422" t="s">
        <v>33781</v>
      </c>
      <c r="O1422" t="s">
        <v>18174</v>
      </c>
    </row>
    <row r="1423" spans="1:15" x14ac:dyDescent="0.15">
      <c r="A1423">
        <v>34481378</v>
      </c>
      <c r="B1423">
        <v>22766015</v>
      </c>
      <c r="D1423">
        <v>26098692</v>
      </c>
      <c r="E1423">
        <v>32162067</v>
      </c>
      <c r="F1423" t="s">
        <v>2457</v>
      </c>
      <c r="G1423" t="s">
        <v>33788</v>
      </c>
      <c r="H1423" t="s">
        <v>33789</v>
      </c>
      <c r="I1423" t="s">
        <v>33790</v>
      </c>
      <c r="J1423" t="s">
        <v>33791</v>
      </c>
      <c r="K1423">
        <v>2020</v>
      </c>
      <c r="L1423" s="1">
        <v>43903</v>
      </c>
      <c r="O1423" t="s">
        <v>2471</v>
      </c>
    </row>
    <row r="1424" spans="1:15" x14ac:dyDescent="0.15">
      <c r="A1424">
        <v>33106557</v>
      </c>
      <c r="B1424">
        <v>32289533</v>
      </c>
      <c r="D1424">
        <v>10522226</v>
      </c>
      <c r="E1424">
        <v>30102952</v>
      </c>
      <c r="F1424" t="s">
        <v>14571</v>
      </c>
      <c r="G1424" t="s">
        <v>33792</v>
      </c>
      <c r="H1424" t="s">
        <v>33793</v>
      </c>
      <c r="I1424" t="s">
        <v>33794</v>
      </c>
      <c r="J1424" t="s">
        <v>30682</v>
      </c>
      <c r="K1424">
        <v>2018</v>
      </c>
      <c r="L1424" s="1">
        <v>43326</v>
      </c>
      <c r="O1424" t="s">
        <v>14581</v>
      </c>
    </row>
    <row r="1425" spans="1:15" x14ac:dyDescent="0.15">
      <c r="A1425">
        <v>32978452</v>
      </c>
      <c r="B1425">
        <v>12034747</v>
      </c>
      <c r="D1425">
        <v>15185339</v>
      </c>
      <c r="E1425">
        <v>33455159</v>
      </c>
      <c r="F1425" t="s">
        <v>6559</v>
      </c>
      <c r="G1425" t="s">
        <v>33808</v>
      </c>
      <c r="H1425" t="s">
        <v>33809</v>
      </c>
      <c r="I1425" t="s">
        <v>32544</v>
      </c>
      <c r="J1425" t="s">
        <v>30778</v>
      </c>
      <c r="K1425">
        <v>2021</v>
      </c>
      <c r="L1425" s="1">
        <v>44214</v>
      </c>
      <c r="O1425" t="s">
        <v>6567</v>
      </c>
    </row>
    <row r="1426" spans="1:15" x14ac:dyDescent="0.15">
      <c r="A1426">
        <v>31127656</v>
      </c>
      <c r="B1426">
        <v>24758196</v>
      </c>
      <c r="D1426">
        <v>8652409</v>
      </c>
      <c r="E1426">
        <v>25988257</v>
      </c>
      <c r="F1426" t="s">
        <v>5318</v>
      </c>
      <c r="G1426" t="s">
        <v>33827</v>
      </c>
      <c r="H1426" t="s">
        <v>33828</v>
      </c>
      <c r="I1426" t="s">
        <v>33829</v>
      </c>
      <c r="J1426" t="s">
        <v>30834</v>
      </c>
      <c r="K1426">
        <v>2015</v>
      </c>
      <c r="L1426" s="1">
        <v>42144</v>
      </c>
      <c r="M1426" t="s">
        <v>33830</v>
      </c>
      <c r="O1426" t="s">
        <v>5326</v>
      </c>
    </row>
    <row r="1427" spans="1:15" x14ac:dyDescent="0.15">
      <c r="A1427">
        <v>29867148</v>
      </c>
      <c r="B1427">
        <v>7717462</v>
      </c>
      <c r="D1427">
        <v>26942678</v>
      </c>
      <c r="E1427">
        <v>32877016</v>
      </c>
      <c r="F1427" t="s">
        <v>1468</v>
      </c>
      <c r="G1427" t="s">
        <v>33831</v>
      </c>
      <c r="H1427" t="s">
        <v>33832</v>
      </c>
      <c r="I1427" t="s">
        <v>33833</v>
      </c>
      <c r="J1427" t="s">
        <v>30763</v>
      </c>
      <c r="K1427">
        <v>2020</v>
      </c>
      <c r="L1427" s="1">
        <v>44077</v>
      </c>
      <c r="O1427" t="s">
        <v>1478</v>
      </c>
    </row>
    <row r="1428" spans="1:15" x14ac:dyDescent="0.15">
      <c r="A1428">
        <v>31404326</v>
      </c>
      <c r="B1428">
        <v>10772249</v>
      </c>
      <c r="D1428">
        <v>15590739</v>
      </c>
      <c r="E1428">
        <v>26150337</v>
      </c>
      <c r="F1428" t="s">
        <v>3967</v>
      </c>
      <c r="G1428" t="s">
        <v>33840</v>
      </c>
      <c r="H1428" t="s">
        <v>33841</v>
      </c>
      <c r="I1428" t="s">
        <v>32548</v>
      </c>
      <c r="J1428" t="s">
        <v>31251</v>
      </c>
      <c r="K1428">
        <v>2015</v>
      </c>
      <c r="L1428" s="1">
        <v>42193</v>
      </c>
      <c r="O1428" t="s">
        <v>3980</v>
      </c>
    </row>
    <row r="1429" spans="1:15" x14ac:dyDescent="0.15">
      <c r="A1429">
        <v>34362911</v>
      </c>
      <c r="B1429">
        <v>35167425</v>
      </c>
      <c r="D1429">
        <v>8896453</v>
      </c>
      <c r="E1429">
        <v>30008386</v>
      </c>
      <c r="F1429" t="s">
        <v>11312</v>
      </c>
      <c r="G1429" t="s">
        <v>33848</v>
      </c>
      <c r="H1429" t="s">
        <v>33849</v>
      </c>
      <c r="I1429" t="s">
        <v>33850</v>
      </c>
      <c r="J1429" t="s">
        <v>30682</v>
      </c>
      <c r="K1429">
        <v>2018</v>
      </c>
      <c r="L1429" s="1">
        <v>43298</v>
      </c>
      <c r="O1429" t="s">
        <v>11320</v>
      </c>
    </row>
    <row r="1430" spans="1:15" x14ac:dyDescent="0.15">
      <c r="A1430">
        <v>26763354</v>
      </c>
      <c r="B1430">
        <v>29648974</v>
      </c>
      <c r="D1430">
        <v>16260630</v>
      </c>
      <c r="E1430">
        <v>33317598</v>
      </c>
      <c r="F1430" t="s">
        <v>5262</v>
      </c>
      <c r="G1430" t="s">
        <v>33851</v>
      </c>
      <c r="H1430" t="s">
        <v>33852</v>
      </c>
      <c r="I1430" t="s">
        <v>33853</v>
      </c>
      <c r="J1430" t="s">
        <v>30740</v>
      </c>
      <c r="K1430">
        <v>2020</v>
      </c>
      <c r="L1430" s="1">
        <v>44180</v>
      </c>
      <c r="M1430" t="s">
        <v>33854</v>
      </c>
      <c r="O1430" t="s">
        <v>5272</v>
      </c>
    </row>
    <row r="1431" spans="1:15" x14ac:dyDescent="0.15">
      <c r="A1431">
        <v>25408252</v>
      </c>
      <c r="B1431">
        <v>12376568</v>
      </c>
      <c r="D1431">
        <v>21955587</v>
      </c>
      <c r="E1431">
        <v>34667108</v>
      </c>
      <c r="F1431" t="s">
        <v>16619</v>
      </c>
      <c r="G1431" t="s">
        <v>33855</v>
      </c>
      <c r="H1431" t="s">
        <v>33856</v>
      </c>
      <c r="I1431" t="s">
        <v>33857</v>
      </c>
      <c r="J1431" t="s">
        <v>32900</v>
      </c>
      <c r="K1431">
        <v>2021</v>
      </c>
      <c r="L1431" s="1">
        <v>44489</v>
      </c>
      <c r="O1431" t="s">
        <v>16626</v>
      </c>
    </row>
    <row r="1432" spans="1:15" x14ac:dyDescent="0.15">
      <c r="A1432">
        <v>31024505</v>
      </c>
      <c r="B1432">
        <v>15190121</v>
      </c>
      <c r="D1432">
        <v>19570101</v>
      </c>
      <c r="E1432">
        <v>26604130</v>
      </c>
      <c r="F1432" t="s">
        <v>6959</v>
      </c>
      <c r="G1432" t="s">
        <v>33865</v>
      </c>
      <c r="H1432" t="s">
        <v>33866</v>
      </c>
      <c r="I1432" t="s">
        <v>33867</v>
      </c>
      <c r="J1432" t="s">
        <v>30682</v>
      </c>
      <c r="K1432">
        <v>2016</v>
      </c>
      <c r="L1432" s="1">
        <v>42334</v>
      </c>
      <c r="M1432" t="s">
        <v>33868</v>
      </c>
      <c r="N1432" t="s">
        <v>33869</v>
      </c>
      <c r="O1432" t="s">
        <v>6967</v>
      </c>
    </row>
    <row r="1433" spans="1:15" x14ac:dyDescent="0.15">
      <c r="A1433">
        <v>10818607</v>
      </c>
      <c r="B1433">
        <v>16087731</v>
      </c>
      <c r="D1433">
        <v>11113118</v>
      </c>
      <c r="E1433">
        <v>31288510</v>
      </c>
      <c r="F1433" t="s">
        <v>13276</v>
      </c>
      <c r="G1433" t="s">
        <v>33882</v>
      </c>
      <c r="H1433" t="s">
        <v>33883</v>
      </c>
      <c r="I1433" t="s">
        <v>33813</v>
      </c>
      <c r="J1433" t="s">
        <v>30956</v>
      </c>
      <c r="K1433">
        <v>2019</v>
      </c>
      <c r="L1433" s="1">
        <v>43657</v>
      </c>
      <c r="O1433" t="s">
        <v>13286</v>
      </c>
    </row>
    <row r="1434" spans="1:15" x14ac:dyDescent="0.15">
      <c r="A1434">
        <v>34180232</v>
      </c>
      <c r="B1434">
        <v>31136569</v>
      </c>
      <c r="D1434">
        <v>31315434</v>
      </c>
      <c r="E1434">
        <v>31596073</v>
      </c>
      <c r="F1434" t="s">
        <v>9163</v>
      </c>
      <c r="G1434" t="s">
        <v>33884</v>
      </c>
      <c r="H1434" t="s">
        <v>33885</v>
      </c>
      <c r="I1434" t="s">
        <v>33886</v>
      </c>
      <c r="J1434" t="s">
        <v>30956</v>
      </c>
      <c r="K1434">
        <v>2019</v>
      </c>
      <c r="L1434" s="1">
        <v>43748</v>
      </c>
      <c r="O1434" t="s">
        <v>9171</v>
      </c>
    </row>
    <row r="1435" spans="1:15" x14ac:dyDescent="0.15">
      <c r="A1435">
        <v>34605236</v>
      </c>
      <c r="B1435">
        <v>15998788</v>
      </c>
      <c r="D1435">
        <v>25485651</v>
      </c>
      <c r="E1435">
        <v>33361424</v>
      </c>
      <c r="F1435" t="s">
        <v>2535</v>
      </c>
      <c r="G1435" t="s">
        <v>33907</v>
      </c>
      <c r="H1435" t="s">
        <v>33908</v>
      </c>
      <c r="I1435" t="s">
        <v>33909</v>
      </c>
      <c r="J1435" t="s">
        <v>31970</v>
      </c>
      <c r="K1435">
        <v>2021</v>
      </c>
      <c r="L1435" s="1">
        <v>44193</v>
      </c>
      <c r="M1435" t="s">
        <v>33910</v>
      </c>
      <c r="O1435" t="s">
        <v>2547</v>
      </c>
    </row>
    <row r="1436" spans="1:15" x14ac:dyDescent="0.15">
      <c r="A1436">
        <v>33087329</v>
      </c>
      <c r="B1436">
        <v>27905398</v>
      </c>
      <c r="D1436">
        <v>3007532</v>
      </c>
      <c r="E1436">
        <v>30915846</v>
      </c>
      <c r="F1436" t="s">
        <v>1216</v>
      </c>
      <c r="G1436" t="s">
        <v>33922</v>
      </c>
      <c r="H1436" t="s">
        <v>33923</v>
      </c>
      <c r="I1436" t="s">
        <v>33924</v>
      </c>
      <c r="J1436" t="s">
        <v>31781</v>
      </c>
      <c r="K1436">
        <v>2019</v>
      </c>
      <c r="L1436" s="1">
        <v>43552</v>
      </c>
      <c r="O1436" t="s">
        <v>1228</v>
      </c>
    </row>
    <row r="1437" spans="1:15" x14ac:dyDescent="0.15">
      <c r="A1437">
        <v>33057100</v>
      </c>
      <c r="B1437">
        <v>10625067</v>
      </c>
      <c r="D1437">
        <v>16407280</v>
      </c>
      <c r="E1437">
        <v>32062572</v>
      </c>
      <c r="F1437" t="s">
        <v>6900</v>
      </c>
      <c r="G1437" t="s">
        <v>33925</v>
      </c>
      <c r="H1437" t="s">
        <v>33926</v>
      </c>
      <c r="I1437" t="s">
        <v>33927</v>
      </c>
      <c r="J1437" t="s">
        <v>33928</v>
      </c>
      <c r="K1437">
        <v>2020</v>
      </c>
      <c r="L1437" s="1">
        <v>43878</v>
      </c>
      <c r="O1437" t="s">
        <v>6913</v>
      </c>
    </row>
    <row r="1438" spans="1:15" x14ac:dyDescent="0.15">
      <c r="A1438">
        <v>32246814</v>
      </c>
      <c r="B1438">
        <v>10497219</v>
      </c>
      <c r="D1438">
        <v>26170411</v>
      </c>
      <c r="E1438">
        <v>32726764</v>
      </c>
      <c r="F1438" t="s">
        <v>7622</v>
      </c>
      <c r="G1438" t="s">
        <v>33929</v>
      </c>
      <c r="H1438" t="s">
        <v>33930</v>
      </c>
      <c r="I1438" t="s">
        <v>33931</v>
      </c>
      <c r="J1438" t="s">
        <v>31617</v>
      </c>
      <c r="K1438">
        <v>2021</v>
      </c>
      <c r="L1438" s="1">
        <v>44042</v>
      </c>
      <c r="O1438" t="s">
        <v>7633</v>
      </c>
    </row>
    <row r="1439" spans="1:15" x14ac:dyDescent="0.15">
      <c r="A1439">
        <v>26964089</v>
      </c>
      <c r="B1439">
        <v>31962066</v>
      </c>
      <c r="D1439">
        <v>2154094</v>
      </c>
      <c r="E1439">
        <v>35287054</v>
      </c>
      <c r="F1439" t="s">
        <v>2832</v>
      </c>
      <c r="G1439" t="s">
        <v>33932</v>
      </c>
      <c r="H1439" t="s">
        <v>33933</v>
      </c>
      <c r="I1439" t="s">
        <v>32824</v>
      </c>
      <c r="J1439" t="s">
        <v>32654</v>
      </c>
      <c r="K1439">
        <v>2022</v>
      </c>
      <c r="L1439" s="1">
        <v>44634</v>
      </c>
      <c r="O1439" t="s">
        <v>2844</v>
      </c>
    </row>
    <row r="1440" spans="1:15" x14ac:dyDescent="0.15">
      <c r="A1440">
        <v>28236854</v>
      </c>
      <c r="B1440">
        <v>12359762</v>
      </c>
      <c r="D1440">
        <v>17448744</v>
      </c>
      <c r="E1440">
        <v>29976662</v>
      </c>
      <c r="F1440" t="s">
        <v>6673</v>
      </c>
      <c r="G1440" t="s">
        <v>33940</v>
      </c>
      <c r="H1440" t="s">
        <v>33941</v>
      </c>
      <c r="I1440" t="s">
        <v>33942</v>
      </c>
      <c r="J1440" t="s">
        <v>31970</v>
      </c>
      <c r="K1440">
        <v>2018</v>
      </c>
      <c r="L1440" s="1">
        <v>43288</v>
      </c>
      <c r="M1440" t="s">
        <v>33943</v>
      </c>
      <c r="O1440" t="s">
        <v>6679</v>
      </c>
    </row>
    <row r="1441" spans="1:15" x14ac:dyDescent="0.15">
      <c r="A1441">
        <v>32673687</v>
      </c>
      <c r="B1441">
        <v>16129049</v>
      </c>
      <c r="D1441">
        <v>31631581</v>
      </c>
      <c r="E1441">
        <v>30291794</v>
      </c>
      <c r="F1441" t="s">
        <v>4827</v>
      </c>
      <c r="G1441" t="s">
        <v>33955</v>
      </c>
      <c r="H1441" t="s">
        <v>33956</v>
      </c>
      <c r="I1441" t="s">
        <v>33957</v>
      </c>
      <c r="J1441" t="s">
        <v>32887</v>
      </c>
      <c r="K1441">
        <v>2018</v>
      </c>
      <c r="L1441" s="1">
        <v>43380</v>
      </c>
      <c r="M1441" t="s">
        <v>33958</v>
      </c>
      <c r="N1441" t="s">
        <v>33959</v>
      </c>
      <c r="O1441" t="s">
        <v>4839</v>
      </c>
    </row>
    <row r="1442" spans="1:15" x14ac:dyDescent="0.15">
      <c r="A1442">
        <v>27025932</v>
      </c>
      <c r="B1442">
        <v>31315997</v>
      </c>
      <c r="D1442">
        <v>15905077</v>
      </c>
      <c r="E1442">
        <v>29986606</v>
      </c>
      <c r="F1442" t="s">
        <v>11211</v>
      </c>
      <c r="G1442" t="s">
        <v>33966</v>
      </c>
      <c r="H1442" t="s">
        <v>33967</v>
      </c>
      <c r="I1442" t="s">
        <v>33968</v>
      </c>
      <c r="J1442" t="s">
        <v>33969</v>
      </c>
      <c r="K1442">
        <v>2018</v>
      </c>
      <c r="L1442" s="1">
        <v>43292</v>
      </c>
      <c r="M1442" t="s">
        <v>33970</v>
      </c>
      <c r="O1442" t="s">
        <v>11223</v>
      </c>
    </row>
    <row r="1443" spans="1:15" x14ac:dyDescent="0.15">
      <c r="A1443">
        <v>31681565</v>
      </c>
      <c r="B1443">
        <v>11551935</v>
      </c>
      <c r="D1443">
        <v>11331402</v>
      </c>
      <c r="E1443">
        <v>30279572</v>
      </c>
      <c r="F1443" t="s">
        <v>20959</v>
      </c>
      <c r="G1443" t="s">
        <v>33971</v>
      </c>
      <c r="H1443" t="s">
        <v>33972</v>
      </c>
      <c r="I1443" t="s">
        <v>33973</v>
      </c>
      <c r="J1443" t="s">
        <v>30834</v>
      </c>
      <c r="K1443">
        <v>2018</v>
      </c>
      <c r="L1443" s="1">
        <v>43377</v>
      </c>
      <c r="M1443" t="s">
        <v>33974</v>
      </c>
      <c r="O1443" t="s">
        <v>20967</v>
      </c>
    </row>
    <row r="1444" spans="1:15" x14ac:dyDescent="0.15">
      <c r="A1444">
        <v>31982644</v>
      </c>
      <c r="B1444">
        <v>24923561</v>
      </c>
      <c r="D1444">
        <v>11879181</v>
      </c>
      <c r="E1444">
        <v>35068480</v>
      </c>
      <c r="F1444" t="s">
        <v>8285</v>
      </c>
      <c r="G1444" t="s">
        <v>33975</v>
      </c>
      <c r="H1444" t="s">
        <v>33976</v>
      </c>
      <c r="I1444" t="s">
        <v>33977</v>
      </c>
      <c r="J1444" t="s">
        <v>30853</v>
      </c>
      <c r="K1444">
        <v>2022</v>
      </c>
      <c r="L1444" s="1">
        <v>44585</v>
      </c>
      <c r="M1444" t="s">
        <v>33978</v>
      </c>
      <c r="N1444" t="s">
        <v>33979</v>
      </c>
      <c r="O1444" t="s">
        <v>8291</v>
      </c>
    </row>
    <row r="1445" spans="1:15" x14ac:dyDescent="0.15">
      <c r="A1445">
        <v>27747415</v>
      </c>
      <c r="B1445">
        <v>35303879</v>
      </c>
      <c r="D1445">
        <v>35204785</v>
      </c>
      <c r="E1445">
        <v>33106559</v>
      </c>
      <c r="F1445" t="s">
        <v>9077</v>
      </c>
      <c r="G1445" t="s">
        <v>33986</v>
      </c>
      <c r="H1445" t="s">
        <v>33987</v>
      </c>
      <c r="I1445" t="s">
        <v>33988</v>
      </c>
      <c r="J1445" t="s">
        <v>30834</v>
      </c>
      <c r="K1445">
        <v>2020</v>
      </c>
      <c r="L1445" s="1">
        <v>44131</v>
      </c>
      <c r="M1445" t="s">
        <v>33989</v>
      </c>
      <c r="O1445" t="s">
        <v>9084</v>
      </c>
    </row>
    <row r="1446" spans="1:15" x14ac:dyDescent="0.15">
      <c r="A1446" t="s">
        <v>74</v>
      </c>
      <c r="B1446">
        <v>34256353</v>
      </c>
      <c r="D1446">
        <v>34896392</v>
      </c>
      <c r="E1446">
        <v>31355328</v>
      </c>
      <c r="F1446" t="s">
        <v>12193</v>
      </c>
      <c r="G1446" t="s">
        <v>33990</v>
      </c>
      <c r="H1446" t="s">
        <v>33991</v>
      </c>
      <c r="I1446" t="s">
        <v>32824</v>
      </c>
      <c r="J1446" t="s">
        <v>30758</v>
      </c>
      <c r="K1446">
        <v>2019</v>
      </c>
      <c r="L1446" s="1">
        <v>43676</v>
      </c>
      <c r="M1446" t="s">
        <v>33992</v>
      </c>
      <c r="O1446" t="s">
        <v>12201</v>
      </c>
    </row>
    <row r="1447" spans="1:15" x14ac:dyDescent="0.15">
      <c r="A1447">
        <v>26696991</v>
      </c>
      <c r="B1447">
        <v>9916777</v>
      </c>
      <c r="D1447">
        <v>33952325</v>
      </c>
      <c r="E1447">
        <v>34960750</v>
      </c>
      <c r="F1447" t="s">
        <v>23419</v>
      </c>
      <c r="G1447" t="s">
        <v>34000</v>
      </c>
      <c r="H1447" t="s">
        <v>34001</v>
      </c>
      <c r="I1447" t="s">
        <v>34002</v>
      </c>
      <c r="J1447" t="s">
        <v>30720</v>
      </c>
      <c r="K1447">
        <v>2021</v>
      </c>
      <c r="L1447" s="1">
        <v>44558</v>
      </c>
      <c r="M1447" t="s">
        <v>34003</v>
      </c>
      <c r="O1447" t="s">
        <v>23429</v>
      </c>
    </row>
    <row r="1448" spans="1:15" x14ac:dyDescent="0.15">
      <c r="A1448">
        <v>31285443</v>
      </c>
      <c r="B1448">
        <v>28711596</v>
      </c>
      <c r="D1448">
        <v>11854410</v>
      </c>
      <c r="E1448">
        <v>32978452</v>
      </c>
      <c r="F1448" t="s">
        <v>12035</v>
      </c>
      <c r="G1448" t="s">
        <v>34004</v>
      </c>
      <c r="H1448" t="s">
        <v>34005</v>
      </c>
      <c r="I1448" t="s">
        <v>34006</v>
      </c>
      <c r="J1448" t="s">
        <v>30834</v>
      </c>
      <c r="K1448">
        <v>2020</v>
      </c>
      <c r="L1448" s="1">
        <v>44100</v>
      </c>
      <c r="M1448" t="s">
        <v>34007</v>
      </c>
      <c r="O1448" t="s">
        <v>12044</v>
      </c>
    </row>
    <row r="1449" spans="1:15" x14ac:dyDescent="0.15">
      <c r="A1449">
        <v>1315257</v>
      </c>
      <c r="B1449">
        <v>15031288</v>
      </c>
      <c r="D1449">
        <v>18025105</v>
      </c>
      <c r="E1449">
        <v>29434260</v>
      </c>
      <c r="F1449" t="s">
        <v>26096</v>
      </c>
      <c r="G1449" t="s">
        <v>34013</v>
      </c>
      <c r="H1449" t="s">
        <v>34014</v>
      </c>
      <c r="I1449" t="s">
        <v>34015</v>
      </c>
      <c r="J1449" t="s">
        <v>30834</v>
      </c>
      <c r="K1449">
        <v>2018</v>
      </c>
      <c r="L1449" s="1">
        <v>43145</v>
      </c>
      <c r="M1449" t="s">
        <v>34016</v>
      </c>
      <c r="O1449" t="s">
        <v>26102</v>
      </c>
    </row>
    <row r="1450" spans="1:15" x14ac:dyDescent="0.15">
      <c r="A1450">
        <v>33119873</v>
      </c>
      <c r="B1450">
        <v>14976217</v>
      </c>
      <c r="D1450">
        <v>9653649</v>
      </c>
      <c r="E1450">
        <v>30907225</v>
      </c>
      <c r="F1450" t="s">
        <v>3731</v>
      </c>
      <c r="G1450" t="s">
        <v>34023</v>
      </c>
      <c r="H1450" t="s">
        <v>34024</v>
      </c>
      <c r="I1450" t="s">
        <v>34025</v>
      </c>
      <c r="J1450" t="s">
        <v>34026</v>
      </c>
      <c r="K1450">
        <v>2019</v>
      </c>
      <c r="L1450" s="1">
        <v>43550</v>
      </c>
      <c r="M1450" t="s">
        <v>34027</v>
      </c>
      <c r="O1450" t="s">
        <v>3745</v>
      </c>
    </row>
    <row r="1451" spans="1:15" x14ac:dyDescent="0.15">
      <c r="A1451">
        <v>22112469</v>
      </c>
      <c r="B1451">
        <v>19940036</v>
      </c>
      <c r="D1451">
        <v>34710587</v>
      </c>
      <c r="E1451">
        <v>34747333</v>
      </c>
      <c r="F1451" t="s">
        <v>10669</v>
      </c>
      <c r="G1451" t="s">
        <v>34028</v>
      </c>
      <c r="H1451" t="s">
        <v>34029</v>
      </c>
      <c r="I1451" t="s">
        <v>34030</v>
      </c>
      <c r="J1451" t="s">
        <v>34031</v>
      </c>
      <c r="K1451">
        <v>2021</v>
      </c>
      <c r="L1451" s="1">
        <v>44508</v>
      </c>
      <c r="M1451" t="s">
        <v>34032</v>
      </c>
      <c r="O1451" t="s">
        <v>10682</v>
      </c>
    </row>
    <row r="1452" spans="1:15" x14ac:dyDescent="0.15">
      <c r="A1452">
        <v>32765191</v>
      </c>
      <c r="B1452">
        <v>23151475</v>
      </c>
      <c r="D1452">
        <v>21715023</v>
      </c>
      <c r="E1452">
        <v>30804548</v>
      </c>
      <c r="F1452" t="s">
        <v>20711</v>
      </c>
      <c r="G1452" t="s">
        <v>34033</v>
      </c>
      <c r="H1452" t="s">
        <v>34034</v>
      </c>
      <c r="I1452" t="s">
        <v>34035</v>
      </c>
      <c r="J1452" t="s">
        <v>34036</v>
      </c>
      <c r="K1452">
        <v>2019</v>
      </c>
      <c r="L1452" s="1">
        <v>43523</v>
      </c>
      <c r="M1452" t="s">
        <v>34037</v>
      </c>
      <c r="N1452" t="s">
        <v>34038</v>
      </c>
      <c r="O1452" t="s">
        <v>20722</v>
      </c>
    </row>
    <row r="1453" spans="1:15" x14ac:dyDescent="0.15">
      <c r="A1453">
        <v>34105205</v>
      </c>
      <c r="B1453">
        <v>9050235</v>
      </c>
      <c r="D1453">
        <v>6150137</v>
      </c>
      <c r="E1453">
        <v>29047044</v>
      </c>
      <c r="F1453" t="s">
        <v>6318</v>
      </c>
      <c r="G1453" t="s">
        <v>34039</v>
      </c>
      <c r="H1453" t="s">
        <v>34040</v>
      </c>
      <c r="I1453" t="s">
        <v>34041</v>
      </c>
      <c r="J1453" t="s">
        <v>30932</v>
      </c>
      <c r="K1453">
        <v>2017</v>
      </c>
      <c r="L1453" s="1">
        <v>43028</v>
      </c>
      <c r="O1453" t="s">
        <v>6330</v>
      </c>
    </row>
    <row r="1454" spans="1:15" x14ac:dyDescent="0.15">
      <c r="A1454">
        <v>27158391</v>
      </c>
      <c r="B1454">
        <v>12885772</v>
      </c>
      <c r="D1454">
        <v>12509439</v>
      </c>
      <c r="E1454">
        <v>31506601</v>
      </c>
      <c r="F1454" t="s">
        <v>7229</v>
      </c>
      <c r="G1454" t="s">
        <v>34042</v>
      </c>
      <c r="H1454" t="s">
        <v>34043</v>
      </c>
      <c r="I1454" t="s">
        <v>34044</v>
      </c>
      <c r="J1454" t="s">
        <v>30834</v>
      </c>
      <c r="K1454">
        <v>2019</v>
      </c>
      <c r="L1454" s="1">
        <v>43720</v>
      </c>
      <c r="M1454" t="s">
        <v>34045</v>
      </c>
      <c r="O1454" t="s">
        <v>7237</v>
      </c>
    </row>
    <row r="1455" spans="1:15" x14ac:dyDescent="0.15">
      <c r="A1455">
        <v>30381577</v>
      </c>
      <c r="B1455">
        <v>29601336</v>
      </c>
      <c r="D1455">
        <v>9148967</v>
      </c>
      <c r="E1455">
        <v>33048442</v>
      </c>
      <c r="F1455" t="s">
        <v>34053</v>
      </c>
      <c r="G1455" t="s">
        <v>34054</v>
      </c>
      <c r="H1455" t="s">
        <v>34055</v>
      </c>
      <c r="I1455" t="s">
        <v>34056</v>
      </c>
      <c r="J1455" t="s">
        <v>31521</v>
      </c>
      <c r="K1455">
        <v>2021</v>
      </c>
      <c r="L1455" s="1">
        <v>44117</v>
      </c>
      <c r="O1455" t="s">
        <v>17074</v>
      </c>
    </row>
    <row r="1456" spans="1:15" x14ac:dyDescent="0.15">
      <c r="A1456">
        <v>33575258</v>
      </c>
      <c r="B1456">
        <v>25738184</v>
      </c>
      <c r="D1456">
        <v>8662812</v>
      </c>
      <c r="E1456">
        <v>26921248</v>
      </c>
      <c r="F1456" t="s">
        <v>34074</v>
      </c>
      <c r="G1456" t="s">
        <v>34075</v>
      </c>
      <c r="H1456" t="s">
        <v>34076</v>
      </c>
      <c r="I1456" t="s">
        <v>34077</v>
      </c>
      <c r="J1456" t="s">
        <v>31360</v>
      </c>
      <c r="K1456">
        <v>2016</v>
      </c>
      <c r="L1456" s="1">
        <v>42428</v>
      </c>
      <c r="M1456" t="s">
        <v>34078</v>
      </c>
      <c r="O1456" t="s">
        <v>4740</v>
      </c>
    </row>
    <row r="1457" spans="1:15" x14ac:dyDescent="0.15">
      <c r="A1457">
        <v>31824470</v>
      </c>
      <c r="B1457">
        <v>30317145</v>
      </c>
      <c r="D1457">
        <v>21855801</v>
      </c>
      <c r="E1457">
        <v>33456577</v>
      </c>
      <c r="F1457" t="s">
        <v>17769</v>
      </c>
      <c r="G1457" t="s">
        <v>34079</v>
      </c>
      <c r="H1457" t="s">
        <v>34080</v>
      </c>
      <c r="I1457" t="s">
        <v>34081</v>
      </c>
      <c r="J1457" t="s">
        <v>30588</v>
      </c>
      <c r="K1457">
        <v>2021</v>
      </c>
      <c r="L1457" s="1">
        <v>44214</v>
      </c>
      <c r="M1457" t="s">
        <v>34082</v>
      </c>
      <c r="O1457" t="s">
        <v>17778</v>
      </c>
    </row>
    <row r="1458" spans="1:15" x14ac:dyDescent="0.15">
      <c r="A1458">
        <v>34217734</v>
      </c>
      <c r="B1458">
        <v>35921289</v>
      </c>
      <c r="D1458">
        <v>33446491</v>
      </c>
      <c r="E1458">
        <v>24788895</v>
      </c>
      <c r="F1458" t="s">
        <v>15467</v>
      </c>
      <c r="G1458" t="s">
        <v>34083</v>
      </c>
      <c r="H1458" t="s">
        <v>34084</v>
      </c>
      <c r="I1458" t="s">
        <v>34085</v>
      </c>
      <c r="J1458" t="s">
        <v>34086</v>
      </c>
      <c r="K1458">
        <v>2015</v>
      </c>
      <c r="L1458" s="1">
        <v>41762</v>
      </c>
      <c r="M1458" t="s">
        <v>34087</v>
      </c>
      <c r="N1458" t="s">
        <v>34088</v>
      </c>
      <c r="O1458" t="s">
        <v>15477</v>
      </c>
    </row>
    <row r="1459" spans="1:15" x14ac:dyDescent="0.15">
      <c r="A1459">
        <v>33218198</v>
      </c>
      <c r="B1459">
        <v>10549638</v>
      </c>
      <c r="D1459">
        <v>17601531</v>
      </c>
      <c r="E1459">
        <v>34906563</v>
      </c>
      <c r="F1459" t="s">
        <v>6011</v>
      </c>
      <c r="G1459" t="s">
        <v>34089</v>
      </c>
      <c r="H1459" t="s">
        <v>34090</v>
      </c>
      <c r="I1459" t="s">
        <v>31775</v>
      </c>
      <c r="J1459" t="s">
        <v>30901</v>
      </c>
      <c r="K1459">
        <v>2022</v>
      </c>
      <c r="L1459" s="1">
        <v>44545</v>
      </c>
      <c r="O1459" t="s">
        <v>6022</v>
      </c>
    </row>
    <row r="1460" spans="1:15" x14ac:dyDescent="0.15">
      <c r="A1460">
        <v>35008363</v>
      </c>
      <c r="B1460">
        <v>23483985</v>
      </c>
      <c r="D1460">
        <v>8034739</v>
      </c>
      <c r="E1460">
        <v>31035752</v>
      </c>
      <c r="F1460" t="s">
        <v>8154</v>
      </c>
      <c r="G1460" t="s">
        <v>34109</v>
      </c>
      <c r="H1460" t="s">
        <v>34110</v>
      </c>
      <c r="I1460" t="s">
        <v>34111</v>
      </c>
      <c r="J1460" t="s">
        <v>30956</v>
      </c>
      <c r="K1460">
        <v>2019</v>
      </c>
      <c r="L1460" s="1">
        <v>43586</v>
      </c>
      <c r="O1460" t="s">
        <v>8163</v>
      </c>
    </row>
    <row r="1461" spans="1:15" x14ac:dyDescent="0.15">
      <c r="A1461">
        <v>33801926</v>
      </c>
      <c r="B1461">
        <v>26369507</v>
      </c>
      <c r="D1461">
        <v>35190695</v>
      </c>
      <c r="E1461">
        <v>35091566</v>
      </c>
      <c r="F1461" t="s">
        <v>34112</v>
      </c>
      <c r="G1461" t="s">
        <v>34113</v>
      </c>
      <c r="H1461" t="s">
        <v>34114</v>
      </c>
      <c r="I1461" t="s">
        <v>32575</v>
      </c>
      <c r="J1461" t="s">
        <v>30796</v>
      </c>
      <c r="K1461">
        <v>2022</v>
      </c>
      <c r="L1461" s="1">
        <v>44590</v>
      </c>
      <c r="M1461" t="s">
        <v>34115</v>
      </c>
      <c r="O1461" t="s">
        <v>19187</v>
      </c>
    </row>
    <row r="1462" spans="1:15" x14ac:dyDescent="0.15">
      <c r="A1462">
        <v>33420117</v>
      </c>
      <c r="B1462">
        <v>30030656</v>
      </c>
      <c r="D1462">
        <v>17296737</v>
      </c>
      <c r="E1462">
        <v>33785738</v>
      </c>
      <c r="F1462" t="s">
        <v>9316</v>
      </c>
      <c r="G1462" t="s">
        <v>34116</v>
      </c>
      <c r="H1462" t="s">
        <v>34117</v>
      </c>
      <c r="I1462" t="s">
        <v>34118</v>
      </c>
      <c r="J1462" t="s">
        <v>30796</v>
      </c>
      <c r="K1462">
        <v>2021</v>
      </c>
      <c r="L1462" s="1">
        <v>44286</v>
      </c>
      <c r="M1462" t="s">
        <v>34119</v>
      </c>
      <c r="O1462" t="s">
        <v>9322</v>
      </c>
    </row>
    <row r="1463" spans="1:15" x14ac:dyDescent="0.15">
      <c r="A1463" t="s">
        <v>74</v>
      </c>
      <c r="B1463">
        <v>21949810</v>
      </c>
      <c r="D1463">
        <v>162859</v>
      </c>
      <c r="E1463">
        <v>34887868</v>
      </c>
      <c r="F1463" t="s">
        <v>19529</v>
      </c>
      <c r="G1463" t="s">
        <v>34124</v>
      </c>
      <c r="H1463" t="s">
        <v>34125</v>
      </c>
      <c r="I1463" t="s">
        <v>32492</v>
      </c>
      <c r="J1463" t="s">
        <v>30713</v>
      </c>
      <c r="K1463">
        <v>2021</v>
      </c>
      <c r="L1463" s="1">
        <v>44540</v>
      </c>
      <c r="M1463" t="s">
        <v>34126</v>
      </c>
      <c r="O1463" t="s">
        <v>19537</v>
      </c>
    </row>
    <row r="1464" spans="1:15" x14ac:dyDescent="0.15">
      <c r="A1464">
        <v>33722248</v>
      </c>
      <c r="B1464">
        <v>19638309</v>
      </c>
      <c r="D1464">
        <v>23283972</v>
      </c>
      <c r="E1464">
        <v>33643547</v>
      </c>
      <c r="F1464" t="s">
        <v>1279</v>
      </c>
      <c r="G1464" t="s">
        <v>34132</v>
      </c>
      <c r="H1464" t="s">
        <v>34133</v>
      </c>
      <c r="I1464" t="s">
        <v>34134</v>
      </c>
      <c r="J1464" t="s">
        <v>30772</v>
      </c>
      <c r="K1464">
        <v>2021</v>
      </c>
      <c r="L1464" s="1">
        <v>44256</v>
      </c>
      <c r="M1464" t="s">
        <v>34135</v>
      </c>
      <c r="O1464" t="s">
        <v>1290</v>
      </c>
    </row>
    <row r="1465" spans="1:15" x14ac:dyDescent="0.15">
      <c r="A1465">
        <v>30229663</v>
      </c>
      <c r="B1465">
        <v>32641991</v>
      </c>
      <c r="D1465">
        <v>22766015</v>
      </c>
      <c r="E1465">
        <v>26172304</v>
      </c>
      <c r="F1465" t="s">
        <v>11840</v>
      </c>
      <c r="G1465" t="s">
        <v>34136</v>
      </c>
      <c r="H1465" t="s">
        <v>34137</v>
      </c>
      <c r="I1465" t="s">
        <v>34138</v>
      </c>
      <c r="J1465" t="s">
        <v>31360</v>
      </c>
      <c r="K1465">
        <v>2015</v>
      </c>
      <c r="L1465" s="1">
        <v>42200</v>
      </c>
      <c r="M1465" t="s">
        <v>34139</v>
      </c>
      <c r="O1465" t="s">
        <v>11851</v>
      </c>
    </row>
    <row r="1466" spans="1:15" x14ac:dyDescent="0.15">
      <c r="A1466">
        <v>32797865</v>
      </c>
      <c r="B1466">
        <v>30538124</v>
      </c>
      <c r="D1466">
        <v>32289533</v>
      </c>
      <c r="E1466">
        <v>31586864</v>
      </c>
      <c r="F1466" t="s">
        <v>1971</v>
      </c>
      <c r="G1466" t="s">
        <v>34140</v>
      </c>
      <c r="H1466" t="s">
        <v>34141</v>
      </c>
      <c r="I1466" t="s">
        <v>34142</v>
      </c>
      <c r="J1466" t="s">
        <v>30812</v>
      </c>
      <c r="K1466">
        <v>2019</v>
      </c>
      <c r="L1466" s="1">
        <v>43745</v>
      </c>
      <c r="O1466" t="s">
        <v>1982</v>
      </c>
    </row>
    <row r="1467" spans="1:15" x14ac:dyDescent="0.15">
      <c r="A1467">
        <v>31371743</v>
      </c>
      <c r="B1467">
        <v>23324612</v>
      </c>
      <c r="D1467">
        <v>12034747</v>
      </c>
      <c r="E1467">
        <v>34214634</v>
      </c>
      <c r="F1467" t="s">
        <v>5810</v>
      </c>
      <c r="G1467" t="s">
        <v>34143</v>
      </c>
      <c r="H1467" t="s">
        <v>34144</v>
      </c>
      <c r="I1467" t="s">
        <v>34145</v>
      </c>
      <c r="J1467" t="s">
        <v>34146</v>
      </c>
      <c r="K1467">
        <v>2021</v>
      </c>
      <c r="L1467" s="1">
        <v>44379</v>
      </c>
      <c r="O1467" t="s">
        <v>5824</v>
      </c>
    </row>
    <row r="1468" spans="1:15" x14ac:dyDescent="0.15">
      <c r="A1468">
        <v>31441580</v>
      </c>
      <c r="B1468">
        <v>30809289</v>
      </c>
      <c r="D1468">
        <v>24758196</v>
      </c>
      <c r="E1468">
        <v>33345401</v>
      </c>
      <c r="F1468" t="s">
        <v>4500</v>
      </c>
      <c r="G1468" t="s">
        <v>34147</v>
      </c>
      <c r="H1468" t="s">
        <v>34148</v>
      </c>
      <c r="I1468" t="s">
        <v>34149</v>
      </c>
      <c r="J1468" t="s">
        <v>34150</v>
      </c>
      <c r="K1468">
        <v>2021</v>
      </c>
      <c r="L1468" s="1">
        <v>44186</v>
      </c>
      <c r="O1468" t="s">
        <v>4513</v>
      </c>
    </row>
    <row r="1469" spans="1:15" x14ac:dyDescent="0.15">
      <c r="A1469">
        <v>34813275</v>
      </c>
      <c r="B1469">
        <v>22530032</v>
      </c>
      <c r="D1469">
        <v>7717462</v>
      </c>
      <c r="E1469">
        <v>33622348</v>
      </c>
      <c r="F1469" t="s">
        <v>12567</v>
      </c>
      <c r="G1469" t="s">
        <v>34151</v>
      </c>
      <c r="H1469" t="s">
        <v>34152</v>
      </c>
      <c r="I1469" t="s">
        <v>34153</v>
      </c>
      <c r="J1469" t="s">
        <v>34154</v>
      </c>
      <c r="K1469">
        <v>2021</v>
      </c>
      <c r="L1469" s="1">
        <v>44251</v>
      </c>
      <c r="M1469" t="s">
        <v>34155</v>
      </c>
      <c r="O1469" t="s">
        <v>12576</v>
      </c>
    </row>
    <row r="1470" spans="1:15" x14ac:dyDescent="0.15">
      <c r="A1470">
        <v>33095582</v>
      </c>
      <c r="B1470">
        <v>25632158</v>
      </c>
      <c r="D1470">
        <v>12376568</v>
      </c>
      <c r="E1470">
        <v>28088446</v>
      </c>
      <c r="F1470" t="s">
        <v>7457</v>
      </c>
      <c r="G1470" t="s">
        <v>34174</v>
      </c>
      <c r="H1470" t="s">
        <v>34175</v>
      </c>
      <c r="I1470" t="s">
        <v>34176</v>
      </c>
      <c r="J1470" t="s">
        <v>34177</v>
      </c>
      <c r="K1470">
        <v>2017</v>
      </c>
      <c r="L1470" s="1">
        <v>42751</v>
      </c>
      <c r="O1470" t="s">
        <v>7469</v>
      </c>
    </row>
    <row r="1471" spans="1:15" x14ac:dyDescent="0.15">
      <c r="A1471">
        <v>30190485</v>
      </c>
      <c r="B1471">
        <v>25832550</v>
      </c>
      <c r="D1471">
        <v>15190121</v>
      </c>
      <c r="E1471">
        <v>31371728</v>
      </c>
      <c r="F1471" t="s">
        <v>13247</v>
      </c>
      <c r="G1471" t="s">
        <v>34178</v>
      </c>
      <c r="H1471" t="s">
        <v>34179</v>
      </c>
      <c r="I1471" t="s">
        <v>34180</v>
      </c>
      <c r="J1471" t="s">
        <v>34181</v>
      </c>
      <c r="K1471">
        <v>2019</v>
      </c>
      <c r="L1471" s="1">
        <v>43680</v>
      </c>
      <c r="M1471" t="s">
        <v>34182</v>
      </c>
      <c r="O1471" t="s">
        <v>13255</v>
      </c>
    </row>
    <row r="1472" spans="1:15" x14ac:dyDescent="0.15">
      <c r="A1472">
        <v>34026664</v>
      </c>
      <c r="B1472">
        <v>17078816</v>
      </c>
      <c r="D1472">
        <v>16087731</v>
      </c>
      <c r="E1472">
        <v>28098260</v>
      </c>
      <c r="F1472" t="s">
        <v>25620</v>
      </c>
      <c r="G1472" t="s">
        <v>34183</v>
      </c>
      <c r="H1472" t="s">
        <v>34184</v>
      </c>
      <c r="I1472" t="s">
        <v>33228</v>
      </c>
      <c r="J1472" t="s">
        <v>30834</v>
      </c>
      <c r="K1472">
        <v>2017</v>
      </c>
      <c r="L1472" s="1">
        <v>42754</v>
      </c>
      <c r="M1472" t="s">
        <v>34185</v>
      </c>
      <c r="O1472" t="s">
        <v>25627</v>
      </c>
    </row>
    <row r="1473" spans="1:15" x14ac:dyDescent="0.15">
      <c r="A1473">
        <v>30949156</v>
      </c>
      <c r="B1473">
        <v>25326320</v>
      </c>
      <c r="D1473">
        <v>27905398</v>
      </c>
      <c r="E1473">
        <v>32444772</v>
      </c>
      <c r="F1473" t="s">
        <v>9808</v>
      </c>
      <c r="G1473" t="s">
        <v>34200</v>
      </c>
      <c r="H1473" t="s">
        <v>34201</v>
      </c>
      <c r="I1473" t="s">
        <v>30920</v>
      </c>
      <c r="J1473" t="s">
        <v>30834</v>
      </c>
      <c r="K1473">
        <v>2020</v>
      </c>
      <c r="L1473" s="1">
        <v>43975</v>
      </c>
      <c r="M1473" t="s">
        <v>34202</v>
      </c>
      <c r="O1473" t="s">
        <v>9817</v>
      </c>
    </row>
    <row r="1474" spans="1:15" x14ac:dyDescent="0.15">
      <c r="A1474">
        <v>32092088</v>
      </c>
      <c r="B1474">
        <v>19620282</v>
      </c>
      <c r="D1474">
        <v>10625067</v>
      </c>
      <c r="E1474">
        <v>34445894</v>
      </c>
      <c r="F1474" t="s">
        <v>2862</v>
      </c>
      <c r="G1474" t="s">
        <v>34203</v>
      </c>
      <c r="H1474" t="s">
        <v>34204</v>
      </c>
      <c r="I1474" t="s">
        <v>34205</v>
      </c>
      <c r="J1474" t="s">
        <v>34206</v>
      </c>
      <c r="K1474">
        <v>2021</v>
      </c>
      <c r="L1474" s="1">
        <v>44435</v>
      </c>
      <c r="M1474" t="s">
        <v>34207</v>
      </c>
      <c r="O1474" t="s">
        <v>2874</v>
      </c>
    </row>
    <row r="1475" spans="1:15" x14ac:dyDescent="0.15">
      <c r="A1475">
        <v>33194377</v>
      </c>
      <c r="B1475">
        <v>16431988</v>
      </c>
      <c r="D1475">
        <v>10497219</v>
      </c>
      <c r="E1475">
        <v>31232418</v>
      </c>
      <c r="F1475" t="s">
        <v>8560</v>
      </c>
      <c r="G1475" t="s">
        <v>34208</v>
      </c>
      <c r="H1475" t="s">
        <v>34209</v>
      </c>
      <c r="I1475" t="s">
        <v>34210</v>
      </c>
      <c r="J1475" t="s">
        <v>31678</v>
      </c>
      <c r="K1475">
        <v>2019</v>
      </c>
      <c r="L1475" s="1">
        <v>43641</v>
      </c>
      <c r="M1475" t="s">
        <v>34211</v>
      </c>
      <c r="N1475" t="s">
        <v>34212</v>
      </c>
      <c r="O1475" t="s">
        <v>8568</v>
      </c>
    </row>
    <row r="1476" spans="1:15" x14ac:dyDescent="0.15">
      <c r="A1476">
        <v>31110597</v>
      </c>
      <c r="B1476">
        <v>31585396</v>
      </c>
      <c r="D1476">
        <v>31962066</v>
      </c>
      <c r="E1476">
        <v>31660081</v>
      </c>
      <c r="F1476" t="s">
        <v>4657</v>
      </c>
      <c r="G1476" t="s">
        <v>34213</v>
      </c>
      <c r="H1476" t="s">
        <v>34214</v>
      </c>
      <c r="I1476" t="s">
        <v>32824</v>
      </c>
      <c r="J1476" t="s">
        <v>30588</v>
      </c>
      <c r="K1476">
        <v>2019</v>
      </c>
      <c r="L1476" s="1">
        <v>43768</v>
      </c>
      <c r="M1476" t="s">
        <v>34215</v>
      </c>
      <c r="O1476" t="s">
        <v>4667</v>
      </c>
    </row>
    <row r="1477" spans="1:15" x14ac:dyDescent="0.15">
      <c r="A1477">
        <v>33248412</v>
      </c>
      <c r="B1477">
        <v>21672581</v>
      </c>
      <c r="D1477">
        <v>12359762</v>
      </c>
      <c r="E1477">
        <v>33268351</v>
      </c>
      <c r="F1477" t="s">
        <v>13794</v>
      </c>
      <c r="G1477" t="s">
        <v>34216</v>
      </c>
      <c r="H1477" t="s">
        <v>34217</v>
      </c>
      <c r="I1477" t="s">
        <v>34218</v>
      </c>
      <c r="J1477" t="s">
        <v>34219</v>
      </c>
      <c r="K1477">
        <v>2020</v>
      </c>
      <c r="L1477" s="1">
        <v>44168</v>
      </c>
      <c r="M1477" t="s">
        <v>34220</v>
      </c>
      <c r="O1477" t="s">
        <v>13807</v>
      </c>
    </row>
    <row r="1478" spans="1:15" x14ac:dyDescent="0.15">
      <c r="A1478" t="s">
        <v>74</v>
      </c>
      <c r="B1478">
        <v>32867502</v>
      </c>
      <c r="D1478">
        <v>16129049</v>
      </c>
      <c r="E1478">
        <v>32975947</v>
      </c>
      <c r="F1478" t="s">
        <v>2741</v>
      </c>
      <c r="G1478" t="s">
        <v>34221</v>
      </c>
      <c r="H1478" t="s">
        <v>34222</v>
      </c>
      <c r="I1478" t="s">
        <v>34223</v>
      </c>
      <c r="J1478" t="s">
        <v>34224</v>
      </c>
      <c r="K1478">
        <v>2020</v>
      </c>
      <c r="L1478" s="1">
        <v>44099</v>
      </c>
      <c r="M1478" t="s">
        <v>34225</v>
      </c>
      <c r="O1478" t="s">
        <v>2755</v>
      </c>
    </row>
    <row r="1479" spans="1:15" x14ac:dyDescent="0.15">
      <c r="A1479">
        <v>34040060</v>
      </c>
      <c r="B1479">
        <v>22504169</v>
      </c>
      <c r="D1479">
        <v>11551935</v>
      </c>
      <c r="E1479">
        <v>29109780</v>
      </c>
      <c r="F1479" t="s">
        <v>3717</v>
      </c>
      <c r="G1479" t="s">
        <v>34230</v>
      </c>
      <c r="H1479" t="s">
        <v>34231</v>
      </c>
      <c r="I1479" t="s">
        <v>34232</v>
      </c>
      <c r="J1479" t="s">
        <v>30588</v>
      </c>
      <c r="K1479">
        <v>2017</v>
      </c>
      <c r="L1479" s="1">
        <v>43047</v>
      </c>
      <c r="M1479" t="s">
        <v>34233</v>
      </c>
      <c r="O1479" t="s">
        <v>3727</v>
      </c>
    </row>
    <row r="1480" spans="1:15" x14ac:dyDescent="0.15">
      <c r="A1480">
        <v>32741216</v>
      </c>
      <c r="B1480">
        <v>17546597</v>
      </c>
      <c r="D1480">
        <v>35303879</v>
      </c>
      <c r="E1480">
        <v>31794834</v>
      </c>
      <c r="F1480" t="s">
        <v>16198</v>
      </c>
      <c r="G1480" t="s">
        <v>34241</v>
      </c>
      <c r="H1480" t="s">
        <v>34242</v>
      </c>
      <c r="I1480" t="s">
        <v>34243</v>
      </c>
      <c r="J1480" t="s">
        <v>34244</v>
      </c>
      <c r="K1480">
        <v>2020</v>
      </c>
      <c r="L1480" s="1">
        <v>43803</v>
      </c>
      <c r="O1480" t="s">
        <v>16206</v>
      </c>
    </row>
    <row r="1481" spans="1:15" x14ac:dyDescent="0.15">
      <c r="A1481">
        <v>31906275</v>
      </c>
      <c r="B1481">
        <v>32574708</v>
      </c>
      <c r="D1481">
        <v>34256353</v>
      </c>
      <c r="E1481">
        <v>33216751</v>
      </c>
      <c r="F1481" t="s">
        <v>10618</v>
      </c>
      <c r="G1481" t="s">
        <v>34245</v>
      </c>
      <c r="H1481" t="s">
        <v>34246</v>
      </c>
      <c r="I1481" t="s">
        <v>34247</v>
      </c>
      <c r="J1481" t="s">
        <v>31639</v>
      </c>
      <c r="K1481">
        <v>2020</v>
      </c>
      <c r="L1481" s="1">
        <v>44155</v>
      </c>
      <c r="M1481" t="s">
        <v>34248</v>
      </c>
      <c r="O1481" t="s">
        <v>10627</v>
      </c>
    </row>
    <row r="1482" spans="1:15" x14ac:dyDescent="0.15">
      <c r="A1482">
        <v>34600888</v>
      </c>
      <c r="B1482">
        <v>15935758</v>
      </c>
      <c r="D1482">
        <v>28711596</v>
      </c>
      <c r="E1482">
        <v>33974805</v>
      </c>
      <c r="F1482" t="s">
        <v>10968</v>
      </c>
      <c r="G1482" t="s">
        <v>34256</v>
      </c>
      <c r="H1482" t="s">
        <v>34257</v>
      </c>
      <c r="I1482" t="s">
        <v>34258</v>
      </c>
      <c r="J1482" t="s">
        <v>34259</v>
      </c>
      <c r="K1482">
        <v>2021</v>
      </c>
      <c r="L1482" s="1">
        <v>44327</v>
      </c>
      <c r="M1482" t="s">
        <v>34260</v>
      </c>
      <c r="N1482" t="s">
        <v>34261</v>
      </c>
      <c r="O1482" t="s">
        <v>10982</v>
      </c>
    </row>
    <row r="1483" spans="1:15" x14ac:dyDescent="0.15">
      <c r="A1483">
        <v>33491014</v>
      </c>
      <c r="B1483">
        <v>23853601</v>
      </c>
      <c r="D1483">
        <v>15031288</v>
      </c>
      <c r="E1483">
        <v>32663850</v>
      </c>
      <c r="F1483" t="s">
        <v>15531</v>
      </c>
      <c r="G1483" t="s">
        <v>34262</v>
      </c>
      <c r="H1483" t="s">
        <v>34263</v>
      </c>
      <c r="I1483" t="s">
        <v>34264</v>
      </c>
      <c r="J1483" t="s">
        <v>32228</v>
      </c>
      <c r="K1483">
        <v>2021</v>
      </c>
      <c r="L1483" s="1">
        <v>44027</v>
      </c>
      <c r="O1483" t="s">
        <v>15539</v>
      </c>
    </row>
    <row r="1484" spans="1:15" x14ac:dyDescent="0.15">
      <c r="A1484" t="s">
        <v>74</v>
      </c>
      <c r="B1484">
        <v>11447124</v>
      </c>
      <c r="D1484">
        <v>19940036</v>
      </c>
      <c r="E1484">
        <v>26355701</v>
      </c>
      <c r="F1484" t="s">
        <v>19728</v>
      </c>
      <c r="G1484" t="s">
        <v>34272</v>
      </c>
      <c r="H1484" t="s">
        <v>34273</v>
      </c>
      <c r="I1484" t="s">
        <v>34274</v>
      </c>
      <c r="J1484" t="s">
        <v>34275</v>
      </c>
      <c r="K1484">
        <v>2015</v>
      </c>
      <c r="L1484" s="1">
        <v>42258</v>
      </c>
      <c r="M1484" t="s">
        <v>34276</v>
      </c>
      <c r="O1484" t="s">
        <v>19736</v>
      </c>
    </row>
    <row r="1485" spans="1:15" x14ac:dyDescent="0.15">
      <c r="A1485">
        <v>33282185</v>
      </c>
      <c r="B1485">
        <v>17410208</v>
      </c>
      <c r="D1485">
        <v>23151475</v>
      </c>
      <c r="E1485">
        <v>30789912</v>
      </c>
      <c r="F1485" t="s">
        <v>12021</v>
      </c>
      <c r="G1485" t="s">
        <v>34277</v>
      </c>
      <c r="H1485" t="s">
        <v>34278</v>
      </c>
      <c r="I1485" t="s">
        <v>34279</v>
      </c>
      <c r="J1485" t="s">
        <v>34280</v>
      </c>
      <c r="K1485">
        <v>2019</v>
      </c>
      <c r="L1485" s="1">
        <v>43518</v>
      </c>
      <c r="M1485" t="s">
        <v>34281</v>
      </c>
      <c r="O1485" t="s">
        <v>12031</v>
      </c>
    </row>
    <row r="1486" spans="1:15" x14ac:dyDescent="0.15">
      <c r="A1486">
        <v>34790199</v>
      </c>
      <c r="B1486">
        <v>19369424</v>
      </c>
      <c r="D1486">
        <v>12885772</v>
      </c>
      <c r="E1486">
        <v>31371743</v>
      </c>
      <c r="F1486" t="s">
        <v>12554</v>
      </c>
      <c r="G1486" t="s">
        <v>34288</v>
      </c>
      <c r="H1486" t="s">
        <v>34289</v>
      </c>
      <c r="I1486" t="s">
        <v>34290</v>
      </c>
      <c r="J1486" t="s">
        <v>30834</v>
      </c>
      <c r="K1486">
        <v>2019</v>
      </c>
      <c r="L1486" s="1">
        <v>43680</v>
      </c>
      <c r="M1486" t="s">
        <v>34291</v>
      </c>
      <c r="O1486" t="s">
        <v>12563</v>
      </c>
    </row>
    <row r="1487" spans="1:15" x14ac:dyDescent="0.15">
      <c r="A1487">
        <v>30787346</v>
      </c>
      <c r="B1487">
        <v>32929726</v>
      </c>
      <c r="D1487">
        <v>29601336</v>
      </c>
      <c r="E1487">
        <v>28828673</v>
      </c>
      <c r="F1487" t="s">
        <v>1234</v>
      </c>
      <c r="G1487" t="s">
        <v>34292</v>
      </c>
      <c r="H1487" t="s">
        <v>34293</v>
      </c>
      <c r="I1487" t="s">
        <v>34294</v>
      </c>
      <c r="J1487" t="s">
        <v>31003</v>
      </c>
      <c r="K1487">
        <v>2017</v>
      </c>
      <c r="L1487" s="1">
        <v>42970</v>
      </c>
      <c r="O1487" t="s">
        <v>1243</v>
      </c>
    </row>
    <row r="1488" spans="1:15" x14ac:dyDescent="0.15">
      <c r="A1488">
        <v>15814703</v>
      </c>
      <c r="B1488">
        <v>25189701</v>
      </c>
      <c r="D1488">
        <v>25738184</v>
      </c>
      <c r="E1488">
        <v>29484596</v>
      </c>
      <c r="F1488" t="s">
        <v>9225</v>
      </c>
      <c r="G1488" t="s">
        <v>34295</v>
      </c>
      <c r="H1488" t="s">
        <v>34296</v>
      </c>
      <c r="I1488" t="s">
        <v>34297</v>
      </c>
      <c r="J1488" t="s">
        <v>31003</v>
      </c>
      <c r="K1488">
        <v>2018</v>
      </c>
      <c r="L1488" s="1">
        <v>43159</v>
      </c>
      <c r="O1488" t="s">
        <v>9235</v>
      </c>
    </row>
    <row r="1489" spans="1:15" x14ac:dyDescent="0.15">
      <c r="A1489">
        <v>32551866</v>
      </c>
      <c r="B1489">
        <v>26364722</v>
      </c>
      <c r="D1489">
        <v>26369507</v>
      </c>
      <c r="E1489">
        <v>34811396</v>
      </c>
      <c r="F1489" t="s">
        <v>21159</v>
      </c>
      <c r="G1489" t="s">
        <v>34323</v>
      </c>
      <c r="H1489" t="s">
        <v>34324</v>
      </c>
      <c r="I1489" t="s">
        <v>34325</v>
      </c>
      <c r="J1489" t="s">
        <v>30834</v>
      </c>
      <c r="K1489">
        <v>2021</v>
      </c>
      <c r="L1489" s="1">
        <v>44523</v>
      </c>
      <c r="M1489" t="s">
        <v>34326</v>
      </c>
      <c r="O1489" t="s">
        <v>21168</v>
      </c>
    </row>
    <row r="1490" spans="1:15" x14ac:dyDescent="0.15">
      <c r="A1490">
        <v>28828673</v>
      </c>
      <c r="B1490">
        <v>33690911</v>
      </c>
      <c r="D1490">
        <v>30809289</v>
      </c>
      <c r="E1490">
        <v>29985392</v>
      </c>
      <c r="F1490" t="s">
        <v>6683</v>
      </c>
      <c r="G1490" t="s">
        <v>34360</v>
      </c>
      <c r="H1490" t="s">
        <v>34361</v>
      </c>
      <c r="I1490" t="s">
        <v>34362</v>
      </c>
      <c r="J1490" t="s">
        <v>30796</v>
      </c>
      <c r="K1490">
        <v>2018</v>
      </c>
      <c r="L1490" s="1">
        <v>43291</v>
      </c>
      <c r="M1490" t="s">
        <v>34363</v>
      </c>
      <c r="O1490" t="s">
        <v>6693</v>
      </c>
    </row>
    <row r="1491" spans="1:15" x14ac:dyDescent="0.15">
      <c r="A1491">
        <v>33126845</v>
      </c>
      <c r="B1491">
        <v>33119769</v>
      </c>
      <c r="D1491">
        <v>19620282</v>
      </c>
      <c r="E1491">
        <v>33661579</v>
      </c>
      <c r="F1491" t="s">
        <v>13124</v>
      </c>
      <c r="G1491" t="s">
        <v>34394</v>
      </c>
      <c r="H1491" t="s">
        <v>34395</v>
      </c>
      <c r="I1491" t="s">
        <v>34396</v>
      </c>
      <c r="J1491" t="s">
        <v>31367</v>
      </c>
      <c r="K1491">
        <v>2021</v>
      </c>
      <c r="L1491" s="1">
        <v>44259</v>
      </c>
      <c r="O1491" t="s">
        <v>13135</v>
      </c>
    </row>
    <row r="1492" spans="1:15" x14ac:dyDescent="0.15">
      <c r="A1492">
        <v>33375577</v>
      </c>
      <c r="B1492">
        <v>29020613</v>
      </c>
      <c r="D1492">
        <v>31585396</v>
      </c>
      <c r="E1492">
        <v>33210708</v>
      </c>
      <c r="F1492" t="s">
        <v>14036</v>
      </c>
      <c r="G1492" t="s">
        <v>34402</v>
      </c>
      <c r="H1492" t="s">
        <v>34403</v>
      </c>
      <c r="I1492" t="s">
        <v>34404</v>
      </c>
      <c r="J1492" t="s">
        <v>31600</v>
      </c>
      <c r="K1492">
        <v>2020</v>
      </c>
      <c r="L1492" s="1">
        <v>44154</v>
      </c>
      <c r="O1492" t="s">
        <v>14044</v>
      </c>
    </row>
    <row r="1493" spans="1:15" x14ac:dyDescent="0.15">
      <c r="A1493">
        <v>34104388</v>
      </c>
      <c r="B1493">
        <v>17403903</v>
      </c>
      <c r="D1493">
        <v>32867502</v>
      </c>
      <c r="E1493">
        <v>33687214</v>
      </c>
      <c r="F1493" t="s">
        <v>2597</v>
      </c>
      <c r="G1493" t="s">
        <v>34411</v>
      </c>
      <c r="H1493" t="s">
        <v>34412</v>
      </c>
      <c r="I1493" t="s">
        <v>33774</v>
      </c>
      <c r="J1493" t="s">
        <v>30561</v>
      </c>
      <c r="K1493">
        <v>2021</v>
      </c>
      <c r="L1493" s="1">
        <v>44264</v>
      </c>
      <c r="M1493" t="s">
        <v>34413</v>
      </c>
      <c r="N1493" t="s">
        <v>34414</v>
      </c>
      <c r="O1493" t="s">
        <v>2606</v>
      </c>
    </row>
    <row r="1494" spans="1:15" x14ac:dyDescent="0.15">
      <c r="A1494">
        <v>34158841</v>
      </c>
      <c r="B1494">
        <v>11404326</v>
      </c>
      <c r="D1494">
        <v>32574708</v>
      </c>
      <c r="E1494">
        <v>33917426</v>
      </c>
      <c r="F1494" t="s">
        <v>34425</v>
      </c>
      <c r="G1494" t="s">
        <v>34426</v>
      </c>
      <c r="H1494" t="s">
        <v>34427</v>
      </c>
      <c r="I1494" t="s">
        <v>34428</v>
      </c>
      <c r="J1494" t="s">
        <v>30655</v>
      </c>
      <c r="K1494">
        <v>2021</v>
      </c>
      <c r="L1494" s="1">
        <v>44316</v>
      </c>
      <c r="M1494" t="s">
        <v>34429</v>
      </c>
      <c r="O1494" t="s">
        <v>5383</v>
      </c>
    </row>
    <row r="1495" spans="1:15" x14ac:dyDescent="0.15">
      <c r="A1495">
        <v>35310361</v>
      </c>
      <c r="B1495">
        <v>14624005</v>
      </c>
      <c r="D1495">
        <v>15935758</v>
      </c>
      <c r="E1495">
        <v>29500342</v>
      </c>
      <c r="F1495" t="s">
        <v>16314</v>
      </c>
      <c r="G1495" t="s">
        <v>34430</v>
      </c>
      <c r="H1495" t="s">
        <v>34431</v>
      </c>
      <c r="I1495" t="s">
        <v>34432</v>
      </c>
      <c r="J1495" t="s">
        <v>30733</v>
      </c>
      <c r="K1495">
        <v>2018</v>
      </c>
      <c r="L1495" s="1">
        <v>43163</v>
      </c>
      <c r="M1495" t="s">
        <v>34433</v>
      </c>
      <c r="O1495" t="s">
        <v>16322</v>
      </c>
    </row>
    <row r="1496" spans="1:15" x14ac:dyDescent="0.15">
      <c r="A1496">
        <v>34595105</v>
      </c>
      <c r="B1496">
        <v>26073986</v>
      </c>
      <c r="D1496">
        <v>23853601</v>
      </c>
      <c r="E1496">
        <v>31475741</v>
      </c>
      <c r="F1496" t="s">
        <v>3062</v>
      </c>
      <c r="G1496" t="s">
        <v>34434</v>
      </c>
      <c r="H1496" t="s">
        <v>34435</v>
      </c>
      <c r="I1496" t="s">
        <v>34436</v>
      </c>
      <c r="J1496" t="s">
        <v>31192</v>
      </c>
      <c r="K1496">
        <v>2019</v>
      </c>
      <c r="L1496" s="1">
        <v>43711</v>
      </c>
      <c r="O1496" t="s">
        <v>3071</v>
      </c>
    </row>
    <row r="1497" spans="1:15" x14ac:dyDescent="0.15">
      <c r="A1497">
        <v>34215331</v>
      </c>
      <c r="B1497">
        <v>18631361</v>
      </c>
      <c r="D1497">
        <v>17410208</v>
      </c>
      <c r="E1497">
        <v>31340551</v>
      </c>
      <c r="F1497" t="s">
        <v>4843</v>
      </c>
      <c r="G1497" t="s">
        <v>34442</v>
      </c>
      <c r="H1497" t="s">
        <v>34443</v>
      </c>
      <c r="I1497" t="s">
        <v>34444</v>
      </c>
      <c r="J1497" t="s">
        <v>30655</v>
      </c>
      <c r="K1497">
        <v>2019</v>
      </c>
      <c r="L1497" s="1">
        <v>43672</v>
      </c>
      <c r="M1497" t="s">
        <v>34445</v>
      </c>
      <c r="O1497" t="s">
        <v>4853</v>
      </c>
    </row>
    <row r="1498" spans="1:15" x14ac:dyDescent="0.15">
      <c r="A1498">
        <v>33488545</v>
      </c>
      <c r="B1498">
        <v>17179095</v>
      </c>
      <c r="D1498">
        <v>19369424</v>
      </c>
      <c r="E1498">
        <v>32780361</v>
      </c>
      <c r="F1498" t="s">
        <v>18472</v>
      </c>
      <c r="G1498" t="s">
        <v>34446</v>
      </c>
      <c r="H1498" t="s">
        <v>34447</v>
      </c>
      <c r="I1498" t="s">
        <v>34448</v>
      </c>
      <c r="J1498" t="s">
        <v>31234</v>
      </c>
      <c r="K1498">
        <v>2021</v>
      </c>
      <c r="L1498" s="1">
        <v>44055</v>
      </c>
      <c r="O1498" t="s">
        <v>18480</v>
      </c>
    </row>
    <row r="1499" spans="1:15" x14ac:dyDescent="0.15">
      <c r="A1499" t="s">
        <v>74</v>
      </c>
      <c r="B1499">
        <v>30602476</v>
      </c>
      <c r="D1499">
        <v>32929726</v>
      </c>
      <c r="E1499">
        <v>30111566</v>
      </c>
      <c r="F1499" t="s">
        <v>34449</v>
      </c>
      <c r="G1499" t="s">
        <v>34450</v>
      </c>
      <c r="H1499" t="s">
        <v>34451</v>
      </c>
      <c r="I1499" t="s">
        <v>34452</v>
      </c>
      <c r="J1499" t="s">
        <v>31970</v>
      </c>
      <c r="K1499">
        <v>2018</v>
      </c>
      <c r="L1499" s="1">
        <v>43329</v>
      </c>
      <c r="M1499" t="s">
        <v>34453</v>
      </c>
      <c r="O1499" t="s">
        <v>12890</v>
      </c>
    </row>
    <row r="1500" spans="1:15" x14ac:dyDescent="0.15">
      <c r="A1500">
        <v>31432155</v>
      </c>
      <c r="B1500">
        <v>20660080</v>
      </c>
      <c r="D1500">
        <v>33119769</v>
      </c>
      <c r="E1500">
        <v>26954233</v>
      </c>
      <c r="F1500" t="s">
        <v>26655</v>
      </c>
      <c r="G1500" t="s">
        <v>34473</v>
      </c>
      <c r="H1500" t="s">
        <v>34474</v>
      </c>
      <c r="I1500" t="s">
        <v>34475</v>
      </c>
      <c r="J1500" t="s">
        <v>31639</v>
      </c>
      <c r="K1500">
        <v>2016</v>
      </c>
      <c r="L1500" s="1">
        <v>42438</v>
      </c>
      <c r="M1500" t="s">
        <v>34476</v>
      </c>
      <c r="O1500" t="s">
        <v>26664</v>
      </c>
    </row>
    <row r="1501" spans="1:15" x14ac:dyDescent="0.15">
      <c r="A1501">
        <v>34623601</v>
      </c>
      <c r="B1501">
        <v>24487619</v>
      </c>
      <c r="D1501">
        <v>17403903</v>
      </c>
      <c r="E1501">
        <v>30488570</v>
      </c>
      <c r="F1501" t="s">
        <v>12760</v>
      </c>
      <c r="G1501" t="s">
        <v>34483</v>
      </c>
      <c r="H1501" t="s">
        <v>34484</v>
      </c>
      <c r="I1501" t="s">
        <v>34485</v>
      </c>
      <c r="J1501" t="s">
        <v>31367</v>
      </c>
      <c r="K1501">
        <v>2019</v>
      </c>
      <c r="L1501" s="1">
        <v>43434</v>
      </c>
      <c r="O1501" t="s">
        <v>12769</v>
      </c>
    </row>
    <row r="1502" spans="1:15" x14ac:dyDescent="0.15">
      <c r="A1502">
        <v>33921829</v>
      </c>
      <c r="B1502">
        <v>7697722</v>
      </c>
      <c r="D1502">
        <v>24487619</v>
      </c>
      <c r="E1502">
        <v>31756034</v>
      </c>
      <c r="F1502" t="s">
        <v>8342</v>
      </c>
      <c r="G1502" t="s">
        <v>34531</v>
      </c>
      <c r="H1502" t="s">
        <v>34532</v>
      </c>
      <c r="I1502" t="s">
        <v>34533</v>
      </c>
      <c r="J1502" t="s">
        <v>34534</v>
      </c>
      <c r="K1502">
        <v>2020</v>
      </c>
      <c r="L1502" s="1">
        <v>43792</v>
      </c>
      <c r="M1502" t="s">
        <v>34535</v>
      </c>
      <c r="N1502" t="s">
        <v>34536</v>
      </c>
      <c r="O1502" t="s">
        <v>8355</v>
      </c>
    </row>
    <row r="1503" spans="1:15" x14ac:dyDescent="0.15">
      <c r="A1503" t="s">
        <v>74</v>
      </c>
      <c r="B1503">
        <v>28392234</v>
      </c>
      <c r="D1503">
        <v>7697722</v>
      </c>
      <c r="E1503">
        <v>33610731</v>
      </c>
      <c r="F1503" t="s">
        <v>14094</v>
      </c>
      <c r="G1503" t="s">
        <v>34537</v>
      </c>
      <c r="H1503" t="s">
        <v>34538</v>
      </c>
      <c r="I1503" t="s">
        <v>33867</v>
      </c>
      <c r="J1503" t="s">
        <v>30682</v>
      </c>
      <c r="K1503">
        <v>2021</v>
      </c>
      <c r="L1503" s="1">
        <v>44248</v>
      </c>
      <c r="M1503" t="s">
        <v>34539</v>
      </c>
      <c r="N1503" t="s">
        <v>34540</v>
      </c>
      <c r="O1503" t="s">
        <v>14103</v>
      </c>
    </row>
    <row r="1504" spans="1:15" x14ac:dyDescent="0.15">
      <c r="A1504">
        <v>33042098</v>
      </c>
      <c r="B1504">
        <v>33362721</v>
      </c>
      <c r="D1504">
        <v>28392234</v>
      </c>
      <c r="E1504">
        <v>25820722</v>
      </c>
      <c r="F1504" t="s">
        <v>34541</v>
      </c>
      <c r="G1504" t="s">
        <v>34542</v>
      </c>
      <c r="H1504" t="s">
        <v>34543</v>
      </c>
      <c r="I1504" t="s">
        <v>34544</v>
      </c>
      <c r="J1504" t="s">
        <v>31003</v>
      </c>
      <c r="K1504">
        <v>2015</v>
      </c>
      <c r="L1504" s="1">
        <v>42094</v>
      </c>
      <c r="O1504" t="s">
        <v>721</v>
      </c>
    </row>
    <row r="1505" spans="1:15" x14ac:dyDescent="0.15">
      <c r="A1505">
        <v>33226554</v>
      </c>
      <c r="B1505">
        <v>29921699</v>
      </c>
      <c r="D1505">
        <v>33362721</v>
      </c>
      <c r="E1505">
        <v>28811546</v>
      </c>
      <c r="F1505" t="s">
        <v>10850</v>
      </c>
      <c r="G1505" t="s">
        <v>34545</v>
      </c>
      <c r="H1505" t="s">
        <v>34546</v>
      </c>
      <c r="I1505" t="s">
        <v>34547</v>
      </c>
      <c r="J1505" t="s">
        <v>30834</v>
      </c>
      <c r="K1505">
        <v>2017</v>
      </c>
      <c r="L1505" s="1">
        <v>42964</v>
      </c>
      <c r="M1505" t="s">
        <v>34548</v>
      </c>
      <c r="O1505" t="s">
        <v>10859</v>
      </c>
    </row>
    <row r="1506" spans="1:15" x14ac:dyDescent="0.15">
      <c r="A1506">
        <v>32240782</v>
      </c>
      <c r="B1506">
        <v>24989451</v>
      </c>
      <c r="D1506">
        <v>15145828</v>
      </c>
      <c r="E1506">
        <v>34294160</v>
      </c>
      <c r="F1506" t="s">
        <v>4943</v>
      </c>
      <c r="G1506" t="s">
        <v>34561</v>
      </c>
      <c r="H1506" t="s">
        <v>34562</v>
      </c>
      <c r="I1506" t="s">
        <v>34563</v>
      </c>
      <c r="J1506" t="s">
        <v>30740</v>
      </c>
      <c r="K1506">
        <v>2021</v>
      </c>
      <c r="L1506" s="1">
        <v>44400</v>
      </c>
      <c r="M1506" t="s">
        <v>34564</v>
      </c>
      <c r="O1506" t="s">
        <v>4953</v>
      </c>
    </row>
    <row r="1507" spans="1:15" x14ac:dyDescent="0.15">
      <c r="A1507">
        <v>29600371</v>
      </c>
      <c r="B1507">
        <v>15145828</v>
      </c>
      <c r="D1507">
        <v>24047896</v>
      </c>
      <c r="E1507">
        <v>31547130</v>
      </c>
      <c r="F1507" t="s">
        <v>5492</v>
      </c>
      <c r="G1507" t="s">
        <v>34565</v>
      </c>
      <c r="H1507" t="s">
        <v>34566</v>
      </c>
      <c r="I1507" t="s">
        <v>34567</v>
      </c>
      <c r="J1507" t="s">
        <v>30720</v>
      </c>
      <c r="K1507">
        <v>2019</v>
      </c>
      <c r="L1507" s="1">
        <v>43733</v>
      </c>
      <c r="M1507" t="s">
        <v>34568</v>
      </c>
      <c r="O1507" t="s">
        <v>5504</v>
      </c>
    </row>
    <row r="1508" spans="1:15" x14ac:dyDescent="0.15">
      <c r="A1508">
        <v>32165241</v>
      </c>
      <c r="B1508">
        <v>24047896</v>
      </c>
      <c r="D1508">
        <v>31480283</v>
      </c>
      <c r="E1508">
        <v>34487126</v>
      </c>
      <c r="F1508" t="s">
        <v>12514</v>
      </c>
      <c r="G1508" t="s">
        <v>34569</v>
      </c>
      <c r="H1508" t="s">
        <v>34570</v>
      </c>
      <c r="I1508" t="s">
        <v>34571</v>
      </c>
      <c r="J1508" t="s">
        <v>31562</v>
      </c>
      <c r="K1508">
        <v>2021</v>
      </c>
      <c r="L1508" s="1">
        <v>44445</v>
      </c>
      <c r="O1508" t="s">
        <v>12523</v>
      </c>
    </row>
    <row r="1509" spans="1:15" x14ac:dyDescent="0.15">
      <c r="A1509">
        <v>33673859</v>
      </c>
      <c r="B1509">
        <v>31480283</v>
      </c>
      <c r="D1509">
        <v>24244451</v>
      </c>
      <c r="E1509">
        <v>34042225</v>
      </c>
      <c r="F1509" t="s">
        <v>2442</v>
      </c>
      <c r="G1509" t="s">
        <v>34572</v>
      </c>
      <c r="H1509" t="s">
        <v>34573</v>
      </c>
      <c r="I1509" t="s">
        <v>34574</v>
      </c>
      <c r="J1509" t="s">
        <v>32264</v>
      </c>
      <c r="K1509">
        <v>2021</v>
      </c>
      <c r="L1509" s="1">
        <v>44343</v>
      </c>
      <c r="O1509" t="s">
        <v>2453</v>
      </c>
    </row>
    <row r="1510" spans="1:15" x14ac:dyDescent="0.15">
      <c r="A1510">
        <v>32676055</v>
      </c>
      <c r="B1510">
        <v>24244451</v>
      </c>
      <c r="D1510">
        <v>31729316</v>
      </c>
      <c r="E1510">
        <v>33152356</v>
      </c>
      <c r="F1510" t="s">
        <v>1543</v>
      </c>
      <c r="G1510" t="s">
        <v>34575</v>
      </c>
      <c r="H1510" t="s">
        <v>34576</v>
      </c>
      <c r="I1510" t="s">
        <v>34577</v>
      </c>
      <c r="J1510" t="s">
        <v>30821</v>
      </c>
      <c r="K1510">
        <v>2021</v>
      </c>
      <c r="L1510" s="1">
        <v>44140</v>
      </c>
      <c r="M1510" t="s">
        <v>34578</v>
      </c>
      <c r="N1510" t="s">
        <v>34579</v>
      </c>
      <c r="O1510" t="s">
        <v>1556</v>
      </c>
    </row>
    <row r="1511" spans="1:15" x14ac:dyDescent="0.15">
      <c r="A1511">
        <v>32966397</v>
      </c>
      <c r="B1511">
        <v>31729316</v>
      </c>
      <c r="D1511">
        <v>24097436</v>
      </c>
      <c r="E1511">
        <v>29282521</v>
      </c>
      <c r="F1511" t="s">
        <v>9991</v>
      </c>
      <c r="G1511" t="s">
        <v>34598</v>
      </c>
      <c r="H1511" t="s">
        <v>34599</v>
      </c>
      <c r="I1511" t="s">
        <v>34600</v>
      </c>
      <c r="J1511" t="s">
        <v>34601</v>
      </c>
      <c r="K1511">
        <v>2018</v>
      </c>
      <c r="L1511" s="1">
        <v>43098</v>
      </c>
      <c r="O1511" t="s">
        <v>10002</v>
      </c>
    </row>
    <row r="1512" spans="1:15" x14ac:dyDescent="0.15">
      <c r="A1512">
        <v>32135028</v>
      </c>
      <c r="B1512">
        <v>18951092</v>
      </c>
      <c r="D1512">
        <v>3174632</v>
      </c>
      <c r="E1512">
        <v>34158841</v>
      </c>
      <c r="F1512" t="s">
        <v>2777</v>
      </c>
      <c r="G1512" t="s">
        <v>34602</v>
      </c>
      <c r="H1512" t="s">
        <v>34603</v>
      </c>
      <c r="I1512" t="s">
        <v>32544</v>
      </c>
      <c r="J1512" t="s">
        <v>30588</v>
      </c>
      <c r="K1512">
        <v>2021</v>
      </c>
      <c r="L1512" s="1">
        <v>44370</v>
      </c>
      <c r="M1512" t="s">
        <v>34604</v>
      </c>
      <c r="O1512" t="s">
        <v>2786</v>
      </c>
    </row>
    <row r="1513" spans="1:15" x14ac:dyDescent="0.15">
      <c r="A1513">
        <v>34545708</v>
      </c>
      <c r="B1513">
        <v>15489286</v>
      </c>
      <c r="D1513">
        <v>23008348</v>
      </c>
      <c r="E1513">
        <v>29727453</v>
      </c>
      <c r="F1513" t="s">
        <v>12355</v>
      </c>
      <c r="G1513" t="s">
        <v>34617</v>
      </c>
      <c r="H1513" t="s">
        <v>34618</v>
      </c>
      <c r="I1513" t="s">
        <v>34619</v>
      </c>
      <c r="J1513" t="s">
        <v>34280</v>
      </c>
      <c r="K1513">
        <v>2018</v>
      </c>
      <c r="L1513" s="1">
        <v>43225</v>
      </c>
      <c r="M1513" t="s">
        <v>34620</v>
      </c>
      <c r="O1513" t="s">
        <v>12365</v>
      </c>
    </row>
    <row r="1514" spans="1:15" x14ac:dyDescent="0.15">
      <c r="A1514">
        <v>34185493</v>
      </c>
      <c r="B1514">
        <v>12947419</v>
      </c>
      <c r="D1514">
        <v>26273910</v>
      </c>
      <c r="E1514">
        <v>34262675</v>
      </c>
      <c r="F1514" t="s">
        <v>604</v>
      </c>
      <c r="G1514" t="s">
        <v>34626</v>
      </c>
      <c r="H1514" t="s">
        <v>34627</v>
      </c>
      <c r="I1514" t="s">
        <v>34628</v>
      </c>
      <c r="J1514" t="s">
        <v>30772</v>
      </c>
      <c r="K1514">
        <v>2021</v>
      </c>
      <c r="L1514" s="1">
        <v>44392</v>
      </c>
      <c r="M1514" t="s">
        <v>34629</v>
      </c>
      <c r="O1514" t="s">
        <v>616</v>
      </c>
    </row>
    <row r="1515" spans="1:15" x14ac:dyDescent="0.15">
      <c r="A1515">
        <v>32634139</v>
      </c>
      <c r="B1515">
        <v>24097436</v>
      </c>
      <c r="D1515">
        <v>25836330</v>
      </c>
      <c r="E1515">
        <v>34647460</v>
      </c>
      <c r="F1515" t="s">
        <v>1957</v>
      </c>
      <c r="G1515" t="s">
        <v>34630</v>
      </c>
      <c r="H1515" t="s">
        <v>34631</v>
      </c>
      <c r="I1515" t="s">
        <v>34632</v>
      </c>
      <c r="J1515" t="s">
        <v>34633</v>
      </c>
      <c r="K1515">
        <v>2021</v>
      </c>
      <c r="L1515" s="1">
        <v>44483</v>
      </c>
      <c r="O1515" t="s">
        <v>1966</v>
      </c>
    </row>
    <row r="1516" spans="1:15" x14ac:dyDescent="0.15">
      <c r="A1516">
        <v>33808110</v>
      </c>
      <c r="B1516">
        <v>3174632</v>
      </c>
      <c r="D1516">
        <v>34450044</v>
      </c>
      <c r="E1516">
        <v>33580122</v>
      </c>
      <c r="F1516" t="s">
        <v>10388</v>
      </c>
      <c r="G1516" t="s">
        <v>34640</v>
      </c>
      <c r="H1516" t="s">
        <v>34641</v>
      </c>
      <c r="I1516" t="s">
        <v>34642</v>
      </c>
      <c r="J1516" t="s">
        <v>30834</v>
      </c>
      <c r="K1516">
        <v>2021</v>
      </c>
      <c r="L1516" s="1">
        <v>44240</v>
      </c>
      <c r="M1516" t="s">
        <v>34643</v>
      </c>
      <c r="O1516" t="s">
        <v>10397</v>
      </c>
    </row>
    <row r="1517" spans="1:15" x14ac:dyDescent="0.15">
      <c r="A1517">
        <v>32760343</v>
      </c>
      <c r="B1517">
        <v>20442321</v>
      </c>
      <c r="D1517">
        <v>18022365</v>
      </c>
      <c r="E1517">
        <v>26510393</v>
      </c>
      <c r="F1517" t="s">
        <v>11324</v>
      </c>
      <c r="G1517" t="s">
        <v>34644</v>
      </c>
      <c r="H1517" t="s">
        <v>34645</v>
      </c>
      <c r="I1517" t="s">
        <v>34646</v>
      </c>
      <c r="J1517" t="s">
        <v>30834</v>
      </c>
      <c r="K1517">
        <v>2015</v>
      </c>
      <c r="L1517" s="1">
        <v>42307</v>
      </c>
      <c r="M1517" t="s">
        <v>34647</v>
      </c>
      <c r="O1517" t="s">
        <v>11333</v>
      </c>
    </row>
    <row r="1518" spans="1:15" x14ac:dyDescent="0.15">
      <c r="A1518">
        <v>33778321</v>
      </c>
      <c r="B1518">
        <v>24106327</v>
      </c>
      <c r="D1518">
        <v>18824516</v>
      </c>
      <c r="E1518">
        <v>32747701</v>
      </c>
      <c r="F1518" t="s">
        <v>10716</v>
      </c>
      <c r="G1518" t="s">
        <v>34653</v>
      </c>
      <c r="H1518" t="s">
        <v>34654</v>
      </c>
      <c r="I1518" t="s">
        <v>34655</v>
      </c>
      <c r="J1518" t="s">
        <v>34181</v>
      </c>
      <c r="K1518">
        <v>2020</v>
      </c>
      <c r="L1518" s="1">
        <v>44048</v>
      </c>
      <c r="M1518" t="s">
        <v>34656</v>
      </c>
      <c r="O1518" t="s">
        <v>10728</v>
      </c>
    </row>
    <row r="1519" spans="1:15" x14ac:dyDescent="0.15">
      <c r="A1519">
        <v>28423032</v>
      </c>
      <c r="B1519">
        <v>23008348</v>
      </c>
      <c r="D1519">
        <v>30724665</v>
      </c>
      <c r="E1519">
        <v>30338706</v>
      </c>
      <c r="F1519" t="s">
        <v>7289</v>
      </c>
      <c r="G1519" t="s">
        <v>34662</v>
      </c>
      <c r="H1519" t="s">
        <v>34663</v>
      </c>
      <c r="I1519" t="s">
        <v>34664</v>
      </c>
      <c r="J1519" t="s">
        <v>31387</v>
      </c>
      <c r="K1519">
        <v>2018</v>
      </c>
      <c r="L1519" s="1">
        <v>43393</v>
      </c>
      <c r="O1519" t="s">
        <v>7299</v>
      </c>
    </row>
    <row r="1520" spans="1:15" x14ac:dyDescent="0.15">
      <c r="A1520">
        <v>32160132</v>
      </c>
      <c r="B1520">
        <v>30521613</v>
      </c>
      <c r="D1520">
        <v>16478992</v>
      </c>
      <c r="E1520">
        <v>34454177</v>
      </c>
      <c r="F1520" t="s">
        <v>5347</v>
      </c>
      <c r="G1520" t="s">
        <v>34665</v>
      </c>
      <c r="H1520" t="s">
        <v>34666</v>
      </c>
      <c r="I1520" t="s">
        <v>34667</v>
      </c>
      <c r="J1520" t="s">
        <v>32654</v>
      </c>
      <c r="K1520">
        <v>2021</v>
      </c>
      <c r="L1520" s="1">
        <v>44436</v>
      </c>
      <c r="O1520" t="s">
        <v>5357</v>
      </c>
    </row>
    <row r="1521" spans="1:15" x14ac:dyDescent="0.15">
      <c r="A1521">
        <v>8915499</v>
      </c>
      <c r="B1521">
        <v>26273910</v>
      </c>
      <c r="D1521">
        <v>26843489</v>
      </c>
      <c r="E1521">
        <v>32450612</v>
      </c>
      <c r="F1521" t="s">
        <v>2338</v>
      </c>
      <c r="G1521" t="s">
        <v>34673</v>
      </c>
      <c r="H1521" t="s">
        <v>34674</v>
      </c>
      <c r="I1521" t="s">
        <v>34675</v>
      </c>
      <c r="J1521" t="s">
        <v>34676</v>
      </c>
      <c r="K1521">
        <v>2020</v>
      </c>
      <c r="L1521" s="1">
        <v>43977</v>
      </c>
      <c r="M1521" t="s">
        <v>34677</v>
      </c>
      <c r="N1521" t="s">
        <v>34678</v>
      </c>
      <c r="O1521" t="s">
        <v>2350</v>
      </c>
    </row>
    <row r="1522" spans="1:15" x14ac:dyDescent="0.15">
      <c r="A1522">
        <v>1953351</v>
      </c>
      <c r="B1522">
        <v>25836330</v>
      </c>
      <c r="D1522">
        <v>35658009</v>
      </c>
      <c r="E1522">
        <v>33095582</v>
      </c>
      <c r="F1522" t="s">
        <v>13549</v>
      </c>
      <c r="G1522" t="s">
        <v>34679</v>
      </c>
      <c r="H1522" t="s">
        <v>34680</v>
      </c>
      <c r="I1522" t="s">
        <v>34681</v>
      </c>
      <c r="J1522" t="s">
        <v>34682</v>
      </c>
      <c r="K1522">
        <v>2020</v>
      </c>
      <c r="L1522" s="1">
        <v>44127</v>
      </c>
      <c r="O1522" t="s">
        <v>13559</v>
      </c>
    </row>
    <row r="1523" spans="1:15" x14ac:dyDescent="0.15">
      <c r="A1523">
        <v>26425612</v>
      </c>
      <c r="B1523">
        <v>26222026</v>
      </c>
      <c r="D1523">
        <v>35657153</v>
      </c>
      <c r="E1523">
        <v>32730709</v>
      </c>
      <c r="F1523" t="s">
        <v>7420</v>
      </c>
      <c r="G1523" t="s">
        <v>34683</v>
      </c>
      <c r="H1523" t="s">
        <v>34684</v>
      </c>
      <c r="I1523" t="s">
        <v>31863</v>
      </c>
      <c r="J1523" t="s">
        <v>31028</v>
      </c>
      <c r="K1523">
        <v>2020</v>
      </c>
      <c r="L1523" s="1">
        <v>44043</v>
      </c>
      <c r="O1523" t="s">
        <v>7433</v>
      </c>
    </row>
    <row r="1524" spans="1:15" x14ac:dyDescent="0.15">
      <c r="A1524">
        <v>26431820</v>
      </c>
      <c r="B1524">
        <v>34450044</v>
      </c>
      <c r="D1524">
        <v>16541108</v>
      </c>
      <c r="E1524">
        <v>27117590</v>
      </c>
      <c r="F1524" t="s">
        <v>26967</v>
      </c>
      <c r="G1524" t="s">
        <v>34685</v>
      </c>
      <c r="H1524" t="s">
        <v>34686</v>
      </c>
      <c r="I1524" t="s">
        <v>34687</v>
      </c>
      <c r="J1524" t="s">
        <v>34688</v>
      </c>
      <c r="K1524">
        <v>2016</v>
      </c>
      <c r="L1524" s="1">
        <v>42488</v>
      </c>
      <c r="M1524" t="s">
        <v>34689</v>
      </c>
      <c r="O1524" t="s">
        <v>26979</v>
      </c>
    </row>
    <row r="1525" spans="1:15" x14ac:dyDescent="0.15">
      <c r="A1525">
        <v>28439826</v>
      </c>
      <c r="B1525">
        <v>18022365</v>
      </c>
      <c r="D1525">
        <v>25319414</v>
      </c>
      <c r="E1525">
        <v>32134252</v>
      </c>
      <c r="F1525" t="s">
        <v>4599</v>
      </c>
      <c r="G1525" t="s">
        <v>34694</v>
      </c>
      <c r="H1525" t="s">
        <v>34695</v>
      </c>
      <c r="I1525" t="s">
        <v>32148</v>
      </c>
      <c r="J1525" t="s">
        <v>31781</v>
      </c>
      <c r="K1525">
        <v>2020</v>
      </c>
      <c r="L1525" s="1">
        <v>43896</v>
      </c>
      <c r="O1525" t="s">
        <v>4610</v>
      </c>
    </row>
    <row r="1526" spans="1:15" x14ac:dyDescent="0.15">
      <c r="A1526">
        <v>28232516</v>
      </c>
      <c r="B1526">
        <v>22402490</v>
      </c>
      <c r="D1526">
        <v>23143101</v>
      </c>
      <c r="E1526">
        <v>34619562</v>
      </c>
      <c r="F1526" t="s">
        <v>8185</v>
      </c>
      <c r="G1526" t="s">
        <v>34696</v>
      </c>
      <c r="H1526" t="s">
        <v>34697</v>
      </c>
      <c r="I1526" t="s">
        <v>34698</v>
      </c>
      <c r="J1526" t="s">
        <v>30812</v>
      </c>
      <c r="K1526">
        <v>2021</v>
      </c>
      <c r="L1526" s="1">
        <v>44476</v>
      </c>
      <c r="O1526" t="s">
        <v>8195</v>
      </c>
    </row>
    <row r="1527" spans="1:15" x14ac:dyDescent="0.15">
      <c r="A1527">
        <v>23684513</v>
      </c>
      <c r="B1527">
        <v>18824516</v>
      </c>
      <c r="D1527">
        <v>17548579</v>
      </c>
      <c r="E1527">
        <v>33850235</v>
      </c>
      <c r="F1527" t="s">
        <v>9175</v>
      </c>
      <c r="G1527" t="s">
        <v>34699</v>
      </c>
      <c r="H1527" t="s">
        <v>34700</v>
      </c>
      <c r="I1527" t="s">
        <v>34701</v>
      </c>
      <c r="J1527" t="s">
        <v>30834</v>
      </c>
      <c r="K1527">
        <v>2021</v>
      </c>
      <c r="L1527" s="1">
        <v>44300</v>
      </c>
      <c r="M1527" t="s">
        <v>34702</v>
      </c>
      <c r="O1527" t="s">
        <v>9184</v>
      </c>
    </row>
    <row r="1528" spans="1:15" x14ac:dyDescent="0.15">
      <c r="A1528">
        <v>26311463</v>
      </c>
      <c r="B1528">
        <v>31548613</v>
      </c>
      <c r="D1528">
        <v>15935759</v>
      </c>
      <c r="E1528">
        <v>32544093</v>
      </c>
      <c r="F1528" t="s">
        <v>34703</v>
      </c>
      <c r="G1528" t="s">
        <v>34704</v>
      </c>
      <c r="H1528" t="s">
        <v>34705</v>
      </c>
      <c r="I1528" t="s">
        <v>31392</v>
      </c>
      <c r="J1528" t="s">
        <v>34706</v>
      </c>
      <c r="K1528">
        <v>2020</v>
      </c>
      <c r="L1528" s="1">
        <v>43999</v>
      </c>
      <c r="M1528" t="s">
        <v>34707</v>
      </c>
      <c r="O1528" t="s">
        <v>13627</v>
      </c>
    </row>
    <row r="1529" spans="1:15" x14ac:dyDescent="0.15">
      <c r="A1529">
        <v>16408294</v>
      </c>
      <c r="B1529">
        <v>30724665</v>
      </c>
      <c r="D1529">
        <v>18511171</v>
      </c>
      <c r="E1529">
        <v>30703330</v>
      </c>
      <c r="F1529" t="s">
        <v>10232</v>
      </c>
      <c r="G1529" t="s">
        <v>34721</v>
      </c>
      <c r="H1529" t="s">
        <v>34722</v>
      </c>
      <c r="I1529" t="s">
        <v>34723</v>
      </c>
      <c r="J1529" t="s">
        <v>34724</v>
      </c>
      <c r="K1529">
        <v>2019</v>
      </c>
      <c r="L1529" s="1">
        <v>43497</v>
      </c>
      <c r="O1529" t="s">
        <v>10244</v>
      </c>
    </row>
    <row r="1530" spans="1:15" x14ac:dyDescent="0.15">
      <c r="A1530" t="s">
        <v>74</v>
      </c>
      <c r="B1530">
        <v>16478992</v>
      </c>
      <c r="D1530">
        <v>18591258</v>
      </c>
      <c r="E1530">
        <v>30546088</v>
      </c>
      <c r="F1530" t="s">
        <v>24920</v>
      </c>
      <c r="G1530" t="s">
        <v>34734</v>
      </c>
      <c r="H1530" t="s">
        <v>34735</v>
      </c>
      <c r="I1530" t="s">
        <v>30674</v>
      </c>
      <c r="J1530" t="s">
        <v>32752</v>
      </c>
      <c r="K1530">
        <v>2019</v>
      </c>
      <c r="L1530" s="1">
        <v>43449</v>
      </c>
      <c r="M1530" t="s">
        <v>34736</v>
      </c>
      <c r="O1530" t="s">
        <v>24928</v>
      </c>
    </row>
    <row r="1531" spans="1:15" x14ac:dyDescent="0.15">
      <c r="A1531">
        <v>28771197</v>
      </c>
      <c r="B1531">
        <v>16285928</v>
      </c>
      <c r="D1531">
        <v>33403678</v>
      </c>
      <c r="E1531">
        <v>29562785</v>
      </c>
      <c r="F1531" t="s">
        <v>8685</v>
      </c>
      <c r="G1531" t="s">
        <v>34742</v>
      </c>
      <c r="H1531" t="s">
        <v>34743</v>
      </c>
      <c r="I1531" t="s">
        <v>34744</v>
      </c>
      <c r="J1531" t="s">
        <v>34745</v>
      </c>
      <c r="K1531">
        <v>2018</v>
      </c>
      <c r="L1531" s="1">
        <v>43182</v>
      </c>
      <c r="M1531" t="s">
        <v>34746</v>
      </c>
      <c r="O1531" t="s">
        <v>8698</v>
      </c>
    </row>
    <row r="1532" spans="1:15" x14ac:dyDescent="0.15">
      <c r="A1532">
        <v>34373767</v>
      </c>
      <c r="B1532">
        <v>26843489</v>
      </c>
      <c r="D1532">
        <v>35323012</v>
      </c>
      <c r="E1532">
        <v>32664737</v>
      </c>
      <c r="F1532" t="s">
        <v>34754</v>
      </c>
      <c r="G1532" t="s">
        <v>34755</v>
      </c>
      <c r="H1532" t="s">
        <v>34756</v>
      </c>
      <c r="I1532" t="s">
        <v>34757</v>
      </c>
      <c r="J1532" t="s">
        <v>34758</v>
      </c>
      <c r="K1532">
        <v>2021</v>
      </c>
      <c r="L1532" s="1">
        <v>44028</v>
      </c>
      <c r="O1532" t="s">
        <v>5841</v>
      </c>
    </row>
    <row r="1533" spans="1:15" x14ac:dyDescent="0.15">
      <c r="A1533">
        <v>28756229</v>
      </c>
      <c r="B1533">
        <v>35658009</v>
      </c>
      <c r="D1533">
        <v>16882719</v>
      </c>
      <c r="E1533">
        <v>30604797</v>
      </c>
      <c r="F1533" t="s">
        <v>9442</v>
      </c>
      <c r="G1533" t="s">
        <v>34759</v>
      </c>
      <c r="H1533" t="s">
        <v>34760</v>
      </c>
      <c r="I1533" t="s">
        <v>31080</v>
      </c>
      <c r="J1533" t="s">
        <v>31678</v>
      </c>
      <c r="K1533">
        <v>2019</v>
      </c>
      <c r="L1533" s="1">
        <v>43469</v>
      </c>
      <c r="O1533" t="s">
        <v>9450</v>
      </c>
    </row>
    <row r="1534" spans="1:15" x14ac:dyDescent="0.15">
      <c r="A1534">
        <v>27455903</v>
      </c>
      <c r="B1534">
        <v>35657153</v>
      </c>
      <c r="D1534">
        <v>24224060</v>
      </c>
      <c r="E1534">
        <v>25391690</v>
      </c>
      <c r="F1534" t="s">
        <v>15133</v>
      </c>
      <c r="G1534" t="s">
        <v>34767</v>
      </c>
      <c r="H1534" t="s">
        <v>34768</v>
      </c>
      <c r="I1534" t="s">
        <v>34769</v>
      </c>
      <c r="J1534" t="s">
        <v>34770</v>
      </c>
      <c r="K1534">
        <v>2015</v>
      </c>
      <c r="L1534" s="1">
        <v>41957</v>
      </c>
      <c r="O1534" t="s">
        <v>15142</v>
      </c>
    </row>
    <row r="1535" spans="1:15" x14ac:dyDescent="0.15">
      <c r="A1535">
        <v>30185468</v>
      </c>
      <c r="B1535">
        <v>16541108</v>
      </c>
      <c r="D1535">
        <v>26554030</v>
      </c>
      <c r="E1535">
        <v>26968172</v>
      </c>
      <c r="F1535" t="s">
        <v>978</v>
      </c>
      <c r="G1535" t="s">
        <v>34771</v>
      </c>
      <c r="H1535" t="s">
        <v>34772</v>
      </c>
      <c r="I1535" t="s">
        <v>34773</v>
      </c>
      <c r="J1535" t="s">
        <v>34774</v>
      </c>
      <c r="K1535">
        <v>2016</v>
      </c>
      <c r="L1535" s="1">
        <v>42442</v>
      </c>
      <c r="M1535" t="s">
        <v>34775</v>
      </c>
      <c r="N1535" t="s">
        <v>34776</v>
      </c>
      <c r="O1535" t="s">
        <v>995</v>
      </c>
    </row>
    <row r="1536" spans="1:15" x14ac:dyDescent="0.15">
      <c r="A1536">
        <v>27317169</v>
      </c>
      <c r="B1536">
        <v>24937447</v>
      </c>
      <c r="D1536">
        <v>30104731</v>
      </c>
      <c r="E1536">
        <v>32212674</v>
      </c>
      <c r="F1536" t="s">
        <v>34777</v>
      </c>
      <c r="G1536" t="s">
        <v>34778</v>
      </c>
      <c r="H1536" t="s">
        <v>34779</v>
      </c>
      <c r="I1536" t="s">
        <v>34780</v>
      </c>
      <c r="J1536" t="s">
        <v>30561</v>
      </c>
      <c r="K1536">
        <v>2020</v>
      </c>
      <c r="L1536" s="1">
        <v>43918</v>
      </c>
      <c r="O1536" t="s">
        <v>6742</v>
      </c>
    </row>
    <row r="1537" spans="1:15" x14ac:dyDescent="0.15">
      <c r="A1537">
        <v>34262675</v>
      </c>
      <c r="B1537">
        <v>25319414</v>
      </c>
      <c r="D1537">
        <v>16373491</v>
      </c>
      <c r="E1537">
        <v>34750393</v>
      </c>
      <c r="F1537" t="s">
        <v>13330</v>
      </c>
      <c r="G1537" t="s">
        <v>34788</v>
      </c>
      <c r="H1537" t="s">
        <v>34789</v>
      </c>
      <c r="I1537" t="s">
        <v>34790</v>
      </c>
      <c r="J1537" t="s">
        <v>30834</v>
      </c>
      <c r="K1537">
        <v>2021</v>
      </c>
      <c r="L1537" s="1">
        <v>44509</v>
      </c>
      <c r="M1537" t="s">
        <v>34791</v>
      </c>
      <c r="O1537" t="s">
        <v>13338</v>
      </c>
    </row>
    <row r="1538" spans="1:15" x14ac:dyDescent="0.15">
      <c r="A1538">
        <v>33420990</v>
      </c>
      <c r="B1538">
        <v>23143101</v>
      </c>
      <c r="D1538">
        <v>9712834</v>
      </c>
      <c r="E1538">
        <v>29858571</v>
      </c>
      <c r="F1538" t="s">
        <v>28508</v>
      </c>
      <c r="G1538" t="s">
        <v>34805</v>
      </c>
      <c r="H1538" t="s">
        <v>34806</v>
      </c>
      <c r="I1538" t="s">
        <v>34807</v>
      </c>
      <c r="J1538" t="s">
        <v>30796</v>
      </c>
      <c r="K1538">
        <v>2018</v>
      </c>
      <c r="L1538" s="1">
        <v>43254</v>
      </c>
      <c r="M1538" t="s">
        <v>34808</v>
      </c>
      <c r="O1538" t="s">
        <v>28517</v>
      </c>
    </row>
    <row r="1539" spans="1:15" x14ac:dyDescent="0.15">
      <c r="A1539">
        <v>32603406</v>
      </c>
      <c r="B1539">
        <v>17548579</v>
      </c>
      <c r="D1539">
        <v>1385188</v>
      </c>
      <c r="E1539">
        <v>34247486</v>
      </c>
      <c r="F1539" t="s">
        <v>7276</v>
      </c>
      <c r="G1539" t="s">
        <v>34809</v>
      </c>
      <c r="H1539" t="s">
        <v>34810</v>
      </c>
      <c r="I1539" t="s">
        <v>31780</v>
      </c>
      <c r="J1539" t="s">
        <v>30956</v>
      </c>
      <c r="K1539">
        <v>2021</v>
      </c>
      <c r="L1539" s="1">
        <v>44389</v>
      </c>
      <c r="O1539" t="s">
        <v>7285</v>
      </c>
    </row>
    <row r="1540" spans="1:15" x14ac:dyDescent="0.15">
      <c r="A1540">
        <v>32456079</v>
      </c>
      <c r="B1540">
        <v>15935759</v>
      </c>
      <c r="D1540">
        <v>25957685</v>
      </c>
      <c r="E1540">
        <v>31387924</v>
      </c>
      <c r="F1540" t="s">
        <v>7064</v>
      </c>
      <c r="G1540" t="s">
        <v>34811</v>
      </c>
      <c r="H1540" t="s">
        <v>34812</v>
      </c>
      <c r="I1540" t="s">
        <v>34134</v>
      </c>
      <c r="J1540" t="s">
        <v>31167</v>
      </c>
      <c r="K1540">
        <v>2019</v>
      </c>
      <c r="L1540" s="1">
        <v>43685</v>
      </c>
      <c r="M1540" t="s">
        <v>34813</v>
      </c>
      <c r="N1540" t="s">
        <v>34814</v>
      </c>
      <c r="O1540" t="s">
        <v>7076</v>
      </c>
    </row>
    <row r="1541" spans="1:15" x14ac:dyDescent="0.15">
      <c r="A1541">
        <v>32450612</v>
      </c>
      <c r="B1541">
        <v>20699273</v>
      </c>
      <c r="D1541">
        <v>26631744</v>
      </c>
      <c r="E1541">
        <v>35438977</v>
      </c>
      <c r="F1541" t="s">
        <v>4564</v>
      </c>
      <c r="G1541" t="s">
        <v>34815</v>
      </c>
      <c r="H1541" t="s">
        <v>34816</v>
      </c>
      <c r="I1541" t="s">
        <v>34817</v>
      </c>
      <c r="J1541" t="s">
        <v>34818</v>
      </c>
      <c r="K1541">
        <v>2022</v>
      </c>
      <c r="L1541" s="1">
        <v>44670</v>
      </c>
      <c r="O1541" t="s">
        <v>4578</v>
      </c>
    </row>
    <row r="1542" spans="1:15" x14ac:dyDescent="0.15">
      <c r="A1542">
        <v>28387728</v>
      </c>
      <c r="B1542">
        <v>12354777</v>
      </c>
      <c r="D1542">
        <v>31412240</v>
      </c>
      <c r="E1542">
        <v>33973465</v>
      </c>
      <c r="F1542" t="s">
        <v>13480</v>
      </c>
      <c r="G1542" t="s">
        <v>34826</v>
      </c>
      <c r="H1542" t="s">
        <v>34827</v>
      </c>
      <c r="I1542" t="s">
        <v>32098</v>
      </c>
      <c r="J1542" t="s">
        <v>30956</v>
      </c>
      <c r="K1542">
        <v>2021</v>
      </c>
      <c r="L1542" s="1">
        <v>44327</v>
      </c>
      <c r="O1542" t="s">
        <v>13489</v>
      </c>
    </row>
    <row r="1543" spans="1:15" x14ac:dyDescent="0.15">
      <c r="A1543">
        <v>34295456</v>
      </c>
      <c r="B1543">
        <v>18511171</v>
      </c>
      <c r="D1543">
        <v>8849358</v>
      </c>
      <c r="E1543">
        <v>32962683</v>
      </c>
      <c r="F1543" t="s">
        <v>5859</v>
      </c>
      <c r="G1543" t="s">
        <v>34828</v>
      </c>
      <c r="H1543" t="s">
        <v>34829</v>
      </c>
      <c r="I1543" t="s">
        <v>34830</v>
      </c>
      <c r="J1543" t="s">
        <v>31304</v>
      </c>
      <c r="K1543">
        <v>2020</v>
      </c>
      <c r="L1543" s="1">
        <v>44097</v>
      </c>
      <c r="M1543" t="s">
        <v>34831</v>
      </c>
      <c r="O1543" t="s">
        <v>5870</v>
      </c>
    </row>
    <row r="1544" spans="1:15" x14ac:dyDescent="0.15">
      <c r="A1544">
        <v>34377374</v>
      </c>
      <c r="B1544">
        <v>25795540</v>
      </c>
      <c r="D1544">
        <v>22444670</v>
      </c>
      <c r="E1544">
        <v>26859882</v>
      </c>
      <c r="F1544" t="s">
        <v>11488</v>
      </c>
      <c r="G1544" t="s">
        <v>34832</v>
      </c>
      <c r="H1544" t="s">
        <v>34833</v>
      </c>
      <c r="I1544" t="s">
        <v>34834</v>
      </c>
      <c r="J1544" t="s">
        <v>31639</v>
      </c>
      <c r="K1544">
        <v>2016</v>
      </c>
      <c r="L1544" s="1">
        <v>42410</v>
      </c>
      <c r="M1544" t="s">
        <v>34835</v>
      </c>
      <c r="O1544" t="s">
        <v>11498</v>
      </c>
    </row>
    <row r="1545" spans="1:15" x14ac:dyDescent="0.15">
      <c r="A1545">
        <v>31941602</v>
      </c>
      <c r="B1545">
        <v>9973615</v>
      </c>
      <c r="D1545">
        <v>26843429</v>
      </c>
      <c r="E1545">
        <v>34215331</v>
      </c>
      <c r="F1545" t="s">
        <v>4886</v>
      </c>
      <c r="G1545" t="s">
        <v>34836</v>
      </c>
      <c r="H1545" t="s">
        <v>34837</v>
      </c>
      <c r="I1545" t="s">
        <v>34838</v>
      </c>
      <c r="J1545" t="s">
        <v>30740</v>
      </c>
      <c r="K1545">
        <v>2021</v>
      </c>
      <c r="L1545" s="1">
        <v>44380</v>
      </c>
      <c r="M1545" t="s">
        <v>34839</v>
      </c>
      <c r="O1545" t="s">
        <v>4897</v>
      </c>
    </row>
    <row r="1546" spans="1:15" x14ac:dyDescent="0.15">
      <c r="A1546">
        <v>34236165</v>
      </c>
      <c r="B1546">
        <v>18591258</v>
      </c>
      <c r="D1546">
        <v>23975261</v>
      </c>
      <c r="E1546">
        <v>33597619</v>
      </c>
      <c r="F1546" t="s">
        <v>7798</v>
      </c>
      <c r="G1546" t="s">
        <v>34858</v>
      </c>
      <c r="H1546" t="s">
        <v>34859</v>
      </c>
      <c r="I1546" t="s">
        <v>34860</v>
      </c>
      <c r="J1546" t="s">
        <v>30834</v>
      </c>
      <c r="K1546">
        <v>2021</v>
      </c>
      <c r="L1546" s="1">
        <v>44245</v>
      </c>
      <c r="M1546" t="s">
        <v>34861</v>
      </c>
      <c r="O1546" t="s">
        <v>7806</v>
      </c>
    </row>
    <row r="1547" spans="1:15" x14ac:dyDescent="0.15">
      <c r="A1547">
        <v>33298282</v>
      </c>
      <c r="B1547">
        <v>22673524</v>
      </c>
      <c r="D1547">
        <v>26586442</v>
      </c>
      <c r="E1547">
        <v>33720339</v>
      </c>
      <c r="F1547" t="s">
        <v>10430</v>
      </c>
      <c r="G1547" t="s">
        <v>34874</v>
      </c>
      <c r="H1547" t="s">
        <v>34875</v>
      </c>
      <c r="I1547" t="s">
        <v>34876</v>
      </c>
      <c r="J1547" t="s">
        <v>34877</v>
      </c>
      <c r="K1547">
        <v>2021</v>
      </c>
      <c r="L1547" s="1">
        <v>44270</v>
      </c>
      <c r="M1547" t="s">
        <v>34878</v>
      </c>
      <c r="O1547" t="s">
        <v>10439</v>
      </c>
    </row>
    <row r="1548" spans="1:15" x14ac:dyDescent="0.15">
      <c r="A1548">
        <v>33756122</v>
      </c>
      <c r="B1548">
        <v>33403678</v>
      </c>
      <c r="D1548">
        <v>31404988</v>
      </c>
      <c r="E1548">
        <v>33903726</v>
      </c>
      <c r="F1548" t="s">
        <v>12735</v>
      </c>
      <c r="G1548" t="s">
        <v>34890</v>
      </c>
      <c r="H1548" t="s">
        <v>34891</v>
      </c>
      <c r="I1548" t="s">
        <v>34892</v>
      </c>
      <c r="J1548" t="s">
        <v>34307</v>
      </c>
      <c r="K1548">
        <v>2021</v>
      </c>
      <c r="L1548" s="1">
        <v>44313</v>
      </c>
      <c r="M1548" t="s">
        <v>34893</v>
      </c>
      <c r="O1548" t="s">
        <v>12744</v>
      </c>
    </row>
    <row r="1549" spans="1:15" x14ac:dyDescent="0.15">
      <c r="A1549">
        <v>32726764</v>
      </c>
      <c r="B1549">
        <v>18211833</v>
      </c>
      <c r="D1549">
        <v>12923258</v>
      </c>
      <c r="E1549">
        <v>33169793</v>
      </c>
      <c r="F1549" t="s">
        <v>12274</v>
      </c>
      <c r="G1549" t="s">
        <v>34894</v>
      </c>
      <c r="H1549" t="s">
        <v>34895</v>
      </c>
      <c r="I1549" t="s">
        <v>34896</v>
      </c>
      <c r="J1549" t="s">
        <v>34897</v>
      </c>
      <c r="K1549">
        <v>2020</v>
      </c>
      <c r="L1549" s="1">
        <v>44145</v>
      </c>
      <c r="M1549" t="s">
        <v>34898</v>
      </c>
      <c r="O1549" t="s">
        <v>12285</v>
      </c>
    </row>
    <row r="1550" spans="1:15" x14ac:dyDescent="0.15">
      <c r="A1550">
        <v>32375799</v>
      </c>
      <c r="B1550">
        <v>35323012</v>
      </c>
      <c r="D1550">
        <v>25398005</v>
      </c>
      <c r="E1550">
        <v>32737132</v>
      </c>
      <c r="F1550" t="s">
        <v>3031</v>
      </c>
      <c r="G1550" t="s">
        <v>34905</v>
      </c>
      <c r="H1550" t="s">
        <v>34906</v>
      </c>
      <c r="I1550" t="s">
        <v>34907</v>
      </c>
      <c r="J1550" t="s">
        <v>32165</v>
      </c>
      <c r="K1550">
        <v>2020</v>
      </c>
      <c r="L1550" s="1">
        <v>44045</v>
      </c>
      <c r="M1550" t="s">
        <v>34908</v>
      </c>
      <c r="O1550" t="s">
        <v>3044</v>
      </c>
    </row>
    <row r="1551" spans="1:15" x14ac:dyDescent="0.15">
      <c r="A1551" t="s">
        <v>74</v>
      </c>
      <c r="B1551">
        <v>16882719</v>
      </c>
      <c r="D1551">
        <v>19623537</v>
      </c>
      <c r="E1551">
        <v>26846451</v>
      </c>
      <c r="F1551" t="s">
        <v>14301</v>
      </c>
      <c r="G1551" t="s">
        <v>34941</v>
      </c>
      <c r="H1551" t="s">
        <v>34942</v>
      </c>
      <c r="I1551" t="s">
        <v>34943</v>
      </c>
      <c r="J1551" t="s">
        <v>34181</v>
      </c>
      <c r="K1551">
        <v>2016</v>
      </c>
      <c r="L1551" s="1">
        <v>42406</v>
      </c>
      <c r="M1551" t="s">
        <v>34944</v>
      </c>
      <c r="O1551" t="s">
        <v>14311</v>
      </c>
    </row>
    <row r="1552" spans="1:15" x14ac:dyDescent="0.15">
      <c r="A1552" t="s">
        <v>74</v>
      </c>
      <c r="B1552">
        <v>15572680</v>
      </c>
      <c r="D1552">
        <v>34689211</v>
      </c>
      <c r="E1552">
        <v>34127763</v>
      </c>
      <c r="F1552" t="s">
        <v>8097</v>
      </c>
      <c r="G1552" t="s">
        <v>34950</v>
      </c>
      <c r="H1552" t="s">
        <v>34951</v>
      </c>
      <c r="I1552" t="s">
        <v>34952</v>
      </c>
      <c r="J1552" t="s">
        <v>30834</v>
      </c>
      <c r="K1552">
        <v>2021</v>
      </c>
      <c r="L1552" s="1">
        <v>44362</v>
      </c>
      <c r="M1552" t="s">
        <v>34953</v>
      </c>
      <c r="O1552" t="s">
        <v>8104</v>
      </c>
    </row>
    <row r="1553" spans="1:15" x14ac:dyDescent="0.15">
      <c r="A1553">
        <v>33216751</v>
      </c>
      <c r="B1553">
        <v>24224060</v>
      </c>
      <c r="D1553">
        <v>16791265</v>
      </c>
      <c r="E1553">
        <v>33882455</v>
      </c>
      <c r="F1553" t="s">
        <v>34954</v>
      </c>
      <c r="G1553" t="s">
        <v>34955</v>
      </c>
      <c r="H1553" t="s">
        <v>34956</v>
      </c>
      <c r="I1553" t="s">
        <v>34957</v>
      </c>
      <c r="J1553" t="s">
        <v>31759</v>
      </c>
      <c r="K1553">
        <v>2021</v>
      </c>
      <c r="L1553" s="1">
        <v>44307</v>
      </c>
      <c r="M1553" t="s">
        <v>34958</v>
      </c>
      <c r="O1553" t="s">
        <v>34959</v>
      </c>
    </row>
    <row r="1554" spans="1:15" x14ac:dyDescent="0.15">
      <c r="A1554">
        <v>33169793</v>
      </c>
      <c r="B1554">
        <v>26554030</v>
      </c>
      <c r="D1554">
        <v>22980978</v>
      </c>
      <c r="E1554">
        <v>30042153</v>
      </c>
      <c r="F1554" t="s">
        <v>16670</v>
      </c>
      <c r="G1554" t="s">
        <v>34971</v>
      </c>
      <c r="H1554" t="s">
        <v>34972</v>
      </c>
      <c r="I1554" t="s">
        <v>34973</v>
      </c>
      <c r="J1554" t="s">
        <v>31167</v>
      </c>
      <c r="K1554">
        <v>2018</v>
      </c>
      <c r="L1554" s="1">
        <v>43307</v>
      </c>
      <c r="O1554" t="s">
        <v>16677</v>
      </c>
    </row>
    <row r="1555" spans="1:15" x14ac:dyDescent="0.15">
      <c r="A1555">
        <v>30023529</v>
      </c>
      <c r="B1555">
        <v>30104731</v>
      </c>
      <c r="D1555">
        <v>24478024</v>
      </c>
      <c r="E1555">
        <v>31771176</v>
      </c>
      <c r="F1555" t="s">
        <v>7142</v>
      </c>
      <c r="G1555" t="s">
        <v>34974</v>
      </c>
      <c r="H1555" t="s">
        <v>34975</v>
      </c>
      <c r="I1555" t="s">
        <v>34976</v>
      </c>
      <c r="J1555" t="s">
        <v>30655</v>
      </c>
      <c r="K1555">
        <v>2019</v>
      </c>
      <c r="L1555" s="1">
        <v>43797</v>
      </c>
      <c r="M1555" t="s">
        <v>34977</v>
      </c>
      <c r="O1555" t="s">
        <v>7152</v>
      </c>
    </row>
    <row r="1556" spans="1:15" x14ac:dyDescent="0.15">
      <c r="A1556" t="s">
        <v>74</v>
      </c>
      <c r="B1556">
        <v>24003086</v>
      </c>
      <c r="D1556">
        <v>25064072</v>
      </c>
      <c r="E1556">
        <v>32556367</v>
      </c>
      <c r="F1556" t="s">
        <v>34978</v>
      </c>
      <c r="G1556" t="s">
        <v>34979</v>
      </c>
      <c r="H1556" t="s">
        <v>34980</v>
      </c>
      <c r="I1556" t="s">
        <v>34981</v>
      </c>
      <c r="J1556" t="s">
        <v>34601</v>
      </c>
      <c r="K1556">
        <v>2020</v>
      </c>
      <c r="L1556" s="1">
        <v>44002</v>
      </c>
      <c r="M1556" t="s">
        <v>34982</v>
      </c>
      <c r="N1556" t="s">
        <v>34983</v>
      </c>
      <c r="O1556" t="s">
        <v>16246</v>
      </c>
    </row>
    <row r="1557" spans="1:15" x14ac:dyDescent="0.15">
      <c r="A1557">
        <v>34679526</v>
      </c>
      <c r="B1557">
        <v>16373491</v>
      </c>
      <c r="D1557">
        <v>10782830</v>
      </c>
      <c r="E1557">
        <v>27793845</v>
      </c>
      <c r="F1557" t="s">
        <v>7827</v>
      </c>
      <c r="G1557" t="s">
        <v>34990</v>
      </c>
      <c r="H1557" t="s">
        <v>34991</v>
      </c>
      <c r="I1557" t="s">
        <v>34992</v>
      </c>
      <c r="J1557" t="s">
        <v>31167</v>
      </c>
      <c r="K1557">
        <v>2017</v>
      </c>
      <c r="L1557" s="1">
        <v>42673</v>
      </c>
      <c r="O1557" t="s">
        <v>7836</v>
      </c>
    </row>
    <row r="1558" spans="1:15" x14ac:dyDescent="0.15">
      <c r="A1558">
        <v>34515703</v>
      </c>
      <c r="B1558">
        <v>2838722</v>
      </c>
      <c r="D1558">
        <v>31010902</v>
      </c>
      <c r="E1558">
        <v>29382201</v>
      </c>
      <c r="F1558" t="s">
        <v>5615</v>
      </c>
      <c r="G1558" t="s">
        <v>34993</v>
      </c>
      <c r="H1558" t="s">
        <v>34994</v>
      </c>
      <c r="I1558" t="s">
        <v>34995</v>
      </c>
      <c r="J1558" t="s">
        <v>31089</v>
      </c>
      <c r="K1558">
        <v>2018</v>
      </c>
      <c r="L1558" s="1">
        <v>43132</v>
      </c>
      <c r="O1558" t="s">
        <v>5623</v>
      </c>
    </row>
    <row r="1559" spans="1:15" x14ac:dyDescent="0.15">
      <c r="A1559">
        <v>34369746</v>
      </c>
      <c r="B1559">
        <v>22701748</v>
      </c>
      <c r="D1559">
        <v>16484372</v>
      </c>
      <c r="E1559">
        <v>32943183</v>
      </c>
      <c r="F1559" t="s">
        <v>22959</v>
      </c>
      <c r="G1559" t="s">
        <v>35008</v>
      </c>
      <c r="H1559" t="s">
        <v>35009</v>
      </c>
      <c r="I1559" t="s">
        <v>35010</v>
      </c>
      <c r="J1559" t="s">
        <v>32654</v>
      </c>
      <c r="K1559">
        <v>2020</v>
      </c>
      <c r="L1559" s="1">
        <v>44092</v>
      </c>
      <c r="O1559" t="s">
        <v>22969</v>
      </c>
    </row>
    <row r="1560" spans="1:15" x14ac:dyDescent="0.15">
      <c r="A1560">
        <v>34632781</v>
      </c>
      <c r="B1560">
        <v>9712834</v>
      </c>
      <c r="D1560">
        <v>33164782</v>
      </c>
      <c r="E1560">
        <v>33380271</v>
      </c>
      <c r="F1560" t="s">
        <v>5905</v>
      </c>
      <c r="G1560" t="s">
        <v>35011</v>
      </c>
      <c r="H1560" t="s">
        <v>35012</v>
      </c>
      <c r="I1560" t="s">
        <v>35013</v>
      </c>
      <c r="J1560" t="s">
        <v>34026</v>
      </c>
      <c r="K1560">
        <v>2021</v>
      </c>
      <c r="L1560" s="1">
        <v>44196</v>
      </c>
      <c r="M1560" t="s">
        <v>35014</v>
      </c>
      <c r="O1560" t="s">
        <v>5914</v>
      </c>
    </row>
    <row r="1561" spans="1:15" x14ac:dyDescent="0.15">
      <c r="A1561">
        <v>24046067</v>
      </c>
      <c r="B1561">
        <v>1385188</v>
      </c>
      <c r="D1561">
        <v>7650417</v>
      </c>
      <c r="E1561">
        <v>31373041</v>
      </c>
      <c r="F1561" t="s">
        <v>1841</v>
      </c>
      <c r="G1561" t="s">
        <v>35021</v>
      </c>
      <c r="H1561" t="s">
        <v>35022</v>
      </c>
      <c r="I1561" t="s">
        <v>35023</v>
      </c>
      <c r="J1561" t="s">
        <v>33708</v>
      </c>
      <c r="K1561">
        <v>2019</v>
      </c>
      <c r="L1561" s="1">
        <v>43680</v>
      </c>
      <c r="O1561" t="s">
        <v>1854</v>
      </c>
    </row>
    <row r="1562" spans="1:15" x14ac:dyDescent="0.15">
      <c r="A1562">
        <v>32622965</v>
      </c>
      <c r="B1562">
        <v>25957685</v>
      </c>
      <c r="D1562">
        <v>27179617</v>
      </c>
      <c r="E1562">
        <v>33601339</v>
      </c>
      <c r="F1562" t="s">
        <v>14504</v>
      </c>
      <c r="G1562" t="s">
        <v>35029</v>
      </c>
      <c r="H1562" t="s">
        <v>35030</v>
      </c>
      <c r="I1562" t="s">
        <v>35031</v>
      </c>
      <c r="J1562" t="s">
        <v>31759</v>
      </c>
      <c r="K1562">
        <v>2021</v>
      </c>
      <c r="L1562" s="1">
        <v>44245</v>
      </c>
      <c r="M1562" t="s">
        <v>35032</v>
      </c>
      <c r="O1562" t="s">
        <v>35033</v>
      </c>
    </row>
    <row r="1563" spans="1:15" x14ac:dyDescent="0.15">
      <c r="A1563">
        <v>35014524</v>
      </c>
      <c r="B1563">
        <v>26631744</v>
      </c>
      <c r="D1563">
        <v>33599082</v>
      </c>
      <c r="E1563">
        <v>34681030</v>
      </c>
      <c r="F1563" t="s">
        <v>6123</v>
      </c>
      <c r="G1563" t="s">
        <v>35064</v>
      </c>
      <c r="H1563" t="s">
        <v>35065</v>
      </c>
      <c r="I1563" t="s">
        <v>35066</v>
      </c>
      <c r="J1563" t="s">
        <v>30816</v>
      </c>
      <c r="K1563">
        <v>2021</v>
      </c>
      <c r="L1563" s="1">
        <v>44492</v>
      </c>
      <c r="M1563" t="s">
        <v>35067</v>
      </c>
      <c r="O1563" t="s">
        <v>6133</v>
      </c>
    </row>
    <row r="1564" spans="1:15" x14ac:dyDescent="0.15">
      <c r="A1564">
        <v>24923442</v>
      </c>
      <c r="B1564">
        <v>21255825</v>
      </c>
      <c r="D1564">
        <v>31405017</v>
      </c>
      <c r="E1564">
        <v>34572021</v>
      </c>
      <c r="F1564" t="s">
        <v>6452</v>
      </c>
      <c r="G1564" t="s">
        <v>35068</v>
      </c>
      <c r="H1564" t="s">
        <v>35069</v>
      </c>
      <c r="I1564" t="s">
        <v>35070</v>
      </c>
      <c r="J1564" t="s">
        <v>30655</v>
      </c>
      <c r="K1564">
        <v>2021</v>
      </c>
      <c r="L1564" s="1">
        <v>44467</v>
      </c>
      <c r="M1564" t="s">
        <v>35071</v>
      </c>
      <c r="O1564" t="s">
        <v>6462</v>
      </c>
    </row>
    <row r="1565" spans="1:15" x14ac:dyDescent="0.15">
      <c r="A1565">
        <v>33651959</v>
      </c>
      <c r="B1565">
        <v>31412240</v>
      </c>
      <c r="D1565">
        <v>3989907</v>
      </c>
      <c r="E1565">
        <v>29330365</v>
      </c>
      <c r="F1565" t="s">
        <v>8613</v>
      </c>
      <c r="G1565" t="s">
        <v>35072</v>
      </c>
      <c r="H1565" t="s">
        <v>35073</v>
      </c>
      <c r="I1565" t="s">
        <v>35074</v>
      </c>
      <c r="J1565" t="s">
        <v>30796</v>
      </c>
      <c r="K1565">
        <v>2018</v>
      </c>
      <c r="L1565" s="1">
        <v>43114</v>
      </c>
      <c r="M1565" t="s">
        <v>35075</v>
      </c>
      <c r="O1565" t="s">
        <v>8622</v>
      </c>
    </row>
    <row r="1566" spans="1:15" x14ac:dyDescent="0.15">
      <c r="A1566">
        <v>33488093</v>
      </c>
      <c r="B1566">
        <v>8849358</v>
      </c>
      <c r="D1566">
        <v>21094463</v>
      </c>
      <c r="E1566">
        <v>35741061</v>
      </c>
      <c r="F1566" t="s">
        <v>5040</v>
      </c>
      <c r="G1566" t="s">
        <v>35076</v>
      </c>
      <c r="H1566" t="s">
        <v>35077</v>
      </c>
      <c r="I1566" t="s">
        <v>35078</v>
      </c>
      <c r="J1566" t="s">
        <v>30655</v>
      </c>
      <c r="K1566">
        <v>2022</v>
      </c>
      <c r="L1566" s="1">
        <v>44736</v>
      </c>
      <c r="M1566" t="s">
        <v>35079</v>
      </c>
      <c r="O1566" t="s">
        <v>5049</v>
      </c>
    </row>
    <row r="1567" spans="1:15" x14ac:dyDescent="0.15">
      <c r="A1567">
        <v>34637590</v>
      </c>
      <c r="B1567">
        <v>22444670</v>
      </c>
      <c r="D1567">
        <v>30941775</v>
      </c>
      <c r="E1567">
        <v>26530043</v>
      </c>
      <c r="F1567" t="s">
        <v>21725</v>
      </c>
      <c r="G1567" t="s">
        <v>35080</v>
      </c>
      <c r="H1567" t="s">
        <v>35081</v>
      </c>
      <c r="I1567" t="s">
        <v>35082</v>
      </c>
      <c r="J1567" t="s">
        <v>30847</v>
      </c>
      <c r="K1567">
        <v>2016</v>
      </c>
      <c r="L1567" s="1">
        <v>42313</v>
      </c>
      <c r="M1567" t="s">
        <v>35083</v>
      </c>
      <c r="N1567" t="s">
        <v>35084</v>
      </c>
      <c r="O1567" t="s">
        <v>21733</v>
      </c>
    </row>
    <row r="1568" spans="1:15" x14ac:dyDescent="0.15">
      <c r="A1568">
        <v>34887868</v>
      </c>
      <c r="B1568">
        <v>26843429</v>
      </c>
      <c r="D1568">
        <v>9892667</v>
      </c>
      <c r="E1568">
        <v>31451563</v>
      </c>
      <c r="F1568" t="s">
        <v>11228</v>
      </c>
      <c r="G1568" t="s">
        <v>35097</v>
      </c>
      <c r="H1568" t="s">
        <v>35098</v>
      </c>
      <c r="I1568" t="s">
        <v>32661</v>
      </c>
      <c r="J1568" t="s">
        <v>34988</v>
      </c>
      <c r="K1568">
        <v>2019</v>
      </c>
      <c r="L1568" s="1">
        <v>43705</v>
      </c>
      <c r="M1568" t="s">
        <v>35099</v>
      </c>
      <c r="N1568" t="s">
        <v>35100</v>
      </c>
      <c r="O1568" t="s">
        <v>11240</v>
      </c>
    </row>
    <row r="1569" spans="1:15" x14ac:dyDescent="0.15">
      <c r="A1569">
        <v>16553852</v>
      </c>
      <c r="B1569">
        <v>9891085</v>
      </c>
      <c r="D1569">
        <v>17046101</v>
      </c>
      <c r="E1569">
        <v>32929219</v>
      </c>
      <c r="F1569" t="s">
        <v>24415</v>
      </c>
      <c r="G1569" t="s">
        <v>35108</v>
      </c>
      <c r="H1569" t="s">
        <v>35109</v>
      </c>
      <c r="I1569" t="s">
        <v>35110</v>
      </c>
      <c r="J1569" t="s">
        <v>33118</v>
      </c>
      <c r="K1569">
        <v>2021</v>
      </c>
      <c r="L1569" s="1">
        <v>44089</v>
      </c>
      <c r="M1569" t="s">
        <v>35111</v>
      </c>
      <c r="O1569" t="s">
        <v>24422</v>
      </c>
    </row>
    <row r="1570" spans="1:15" x14ac:dyDescent="0.15">
      <c r="A1570">
        <v>34890883</v>
      </c>
      <c r="B1570">
        <v>23580640</v>
      </c>
      <c r="D1570">
        <v>16240989</v>
      </c>
      <c r="E1570">
        <v>30177542</v>
      </c>
      <c r="F1570" t="s">
        <v>20609</v>
      </c>
      <c r="G1570" t="s">
        <v>35112</v>
      </c>
      <c r="H1570" t="s">
        <v>35113</v>
      </c>
      <c r="I1570" t="s">
        <v>35114</v>
      </c>
      <c r="J1570" t="s">
        <v>35115</v>
      </c>
      <c r="K1570">
        <v>2018</v>
      </c>
      <c r="L1570" s="1">
        <v>43348</v>
      </c>
      <c r="O1570" t="s">
        <v>20620</v>
      </c>
    </row>
    <row r="1571" spans="1:15" x14ac:dyDescent="0.15">
      <c r="A1571">
        <v>31302031</v>
      </c>
      <c r="B1571">
        <v>27980209</v>
      </c>
      <c r="D1571">
        <v>17223371</v>
      </c>
      <c r="E1571">
        <v>29288729</v>
      </c>
      <c r="F1571" t="s">
        <v>1746</v>
      </c>
      <c r="G1571" t="s">
        <v>35133</v>
      </c>
      <c r="H1571" t="s">
        <v>35134</v>
      </c>
      <c r="I1571" t="s">
        <v>35135</v>
      </c>
      <c r="J1571" t="s">
        <v>31743</v>
      </c>
      <c r="K1571">
        <v>2018</v>
      </c>
      <c r="L1571" s="1">
        <v>43100</v>
      </c>
      <c r="O1571" t="s">
        <v>1759</v>
      </c>
    </row>
    <row r="1572" spans="1:15" x14ac:dyDescent="0.15">
      <c r="A1572" t="s">
        <v>74</v>
      </c>
      <c r="B1572">
        <v>23975261</v>
      </c>
      <c r="D1572">
        <v>35200555</v>
      </c>
      <c r="E1572">
        <v>30451371</v>
      </c>
      <c r="F1572" t="s">
        <v>5627</v>
      </c>
      <c r="G1572" t="s">
        <v>35136</v>
      </c>
      <c r="H1572" t="s">
        <v>35137</v>
      </c>
      <c r="I1572" t="s">
        <v>35138</v>
      </c>
      <c r="J1572" t="s">
        <v>31367</v>
      </c>
      <c r="K1572">
        <v>2019</v>
      </c>
      <c r="L1572" s="1">
        <v>43424</v>
      </c>
      <c r="O1572" t="s">
        <v>5637</v>
      </c>
    </row>
    <row r="1573" spans="1:15" x14ac:dyDescent="0.15">
      <c r="A1573">
        <v>30350211</v>
      </c>
      <c r="B1573">
        <v>23964096</v>
      </c>
      <c r="D1573">
        <v>26588824</v>
      </c>
      <c r="E1573">
        <v>32269293</v>
      </c>
      <c r="F1573" t="s">
        <v>8141</v>
      </c>
      <c r="G1573" t="s">
        <v>35160</v>
      </c>
      <c r="H1573" t="s">
        <v>35161</v>
      </c>
      <c r="I1573" t="s">
        <v>34860</v>
      </c>
      <c r="J1573" t="s">
        <v>30834</v>
      </c>
      <c r="K1573">
        <v>2020</v>
      </c>
      <c r="L1573" s="1">
        <v>43931</v>
      </c>
      <c r="M1573" t="s">
        <v>35162</v>
      </c>
      <c r="O1573" t="s">
        <v>8150</v>
      </c>
    </row>
    <row r="1574" spans="1:15" x14ac:dyDescent="0.15">
      <c r="A1574">
        <v>33496751</v>
      </c>
      <c r="B1574">
        <v>30257675</v>
      </c>
      <c r="D1574">
        <v>10073703</v>
      </c>
      <c r="E1574">
        <v>33160816</v>
      </c>
      <c r="F1574" t="s">
        <v>9882</v>
      </c>
      <c r="G1574" t="s">
        <v>35169</v>
      </c>
      <c r="H1574" t="s">
        <v>35170</v>
      </c>
      <c r="I1574" t="s">
        <v>35171</v>
      </c>
      <c r="J1574" t="s">
        <v>35172</v>
      </c>
      <c r="K1574">
        <v>2021</v>
      </c>
      <c r="L1574" s="1">
        <v>44143</v>
      </c>
      <c r="O1574" t="s">
        <v>9894</v>
      </c>
    </row>
    <row r="1575" spans="1:15" x14ac:dyDescent="0.15">
      <c r="A1575">
        <v>34750787</v>
      </c>
      <c r="B1575">
        <v>26586442</v>
      </c>
      <c r="D1575">
        <v>11691584</v>
      </c>
      <c r="E1575">
        <v>34715991</v>
      </c>
      <c r="F1575" t="s">
        <v>8886</v>
      </c>
      <c r="G1575" t="s">
        <v>35173</v>
      </c>
      <c r="H1575" t="s">
        <v>35174</v>
      </c>
      <c r="I1575" t="s">
        <v>35175</v>
      </c>
      <c r="J1575" t="s">
        <v>35176</v>
      </c>
      <c r="K1575">
        <v>2022</v>
      </c>
      <c r="L1575" s="1">
        <v>44499</v>
      </c>
      <c r="M1575" t="s">
        <v>35177</v>
      </c>
      <c r="N1575" t="s">
        <v>35178</v>
      </c>
      <c r="O1575" t="s">
        <v>8898</v>
      </c>
    </row>
    <row r="1576" spans="1:15" x14ac:dyDescent="0.15">
      <c r="A1576">
        <v>32170623</v>
      </c>
      <c r="B1576">
        <v>32561742</v>
      </c>
      <c r="D1576">
        <v>10996790</v>
      </c>
      <c r="E1576">
        <v>35159325</v>
      </c>
      <c r="F1576" t="s">
        <v>18996</v>
      </c>
      <c r="G1576" t="s">
        <v>35179</v>
      </c>
      <c r="H1576" t="s">
        <v>35180</v>
      </c>
      <c r="I1576" t="s">
        <v>35181</v>
      </c>
      <c r="J1576" t="s">
        <v>30655</v>
      </c>
      <c r="K1576">
        <v>2022</v>
      </c>
      <c r="L1576" s="1">
        <v>44607</v>
      </c>
      <c r="M1576" t="s">
        <v>35182</v>
      </c>
      <c r="O1576" t="s">
        <v>19006</v>
      </c>
    </row>
    <row r="1577" spans="1:15" x14ac:dyDescent="0.15">
      <c r="A1577">
        <v>30954730</v>
      </c>
      <c r="B1577">
        <v>10726976</v>
      </c>
      <c r="D1577">
        <v>32497683</v>
      </c>
      <c r="E1577">
        <v>34739016</v>
      </c>
      <c r="F1577" t="s">
        <v>11091</v>
      </c>
      <c r="G1577" t="s">
        <v>35183</v>
      </c>
      <c r="H1577" t="s">
        <v>35184</v>
      </c>
      <c r="I1577" t="s">
        <v>35185</v>
      </c>
      <c r="J1577" t="s">
        <v>31678</v>
      </c>
      <c r="K1577">
        <v>2021</v>
      </c>
      <c r="L1577" s="1">
        <v>44505</v>
      </c>
      <c r="O1577" t="s">
        <v>11100</v>
      </c>
    </row>
    <row r="1578" spans="1:15" x14ac:dyDescent="0.15">
      <c r="A1578">
        <v>34741958</v>
      </c>
      <c r="B1578">
        <v>31404988</v>
      </c>
      <c r="D1578">
        <v>21149693</v>
      </c>
      <c r="E1578">
        <v>28750687</v>
      </c>
      <c r="F1578" t="s">
        <v>4390</v>
      </c>
      <c r="G1578" t="s">
        <v>35186</v>
      </c>
      <c r="H1578" t="s">
        <v>35187</v>
      </c>
      <c r="I1578" t="s">
        <v>35188</v>
      </c>
      <c r="J1578" t="s">
        <v>30740</v>
      </c>
      <c r="K1578">
        <v>2017</v>
      </c>
      <c r="L1578" s="1">
        <v>42945</v>
      </c>
      <c r="M1578" t="s">
        <v>35189</v>
      </c>
      <c r="O1578" t="s">
        <v>4403</v>
      </c>
    </row>
    <row r="1579" spans="1:15" x14ac:dyDescent="0.15">
      <c r="A1579">
        <v>27317180</v>
      </c>
      <c r="B1579">
        <v>12923258</v>
      </c>
      <c r="D1579">
        <v>35846270</v>
      </c>
      <c r="E1579">
        <v>31279903</v>
      </c>
      <c r="F1579" t="s">
        <v>2660</v>
      </c>
      <c r="G1579" t="s">
        <v>35195</v>
      </c>
      <c r="H1579" t="s">
        <v>35196</v>
      </c>
      <c r="I1579" t="s">
        <v>35197</v>
      </c>
      <c r="J1579" t="s">
        <v>35198</v>
      </c>
      <c r="K1579">
        <v>2019</v>
      </c>
      <c r="L1579" s="1">
        <v>43654</v>
      </c>
      <c r="M1579" t="s">
        <v>35199</v>
      </c>
      <c r="N1579" t="s">
        <v>35200</v>
      </c>
      <c r="O1579" t="s">
        <v>2672</v>
      </c>
    </row>
    <row r="1580" spans="1:15" x14ac:dyDescent="0.15">
      <c r="A1580">
        <v>33918465</v>
      </c>
      <c r="B1580">
        <v>23770821</v>
      </c>
      <c r="D1580">
        <v>20049854</v>
      </c>
      <c r="E1580">
        <v>32744099</v>
      </c>
      <c r="F1580" t="s">
        <v>7080</v>
      </c>
      <c r="G1580" t="s">
        <v>35201</v>
      </c>
      <c r="H1580" t="s">
        <v>35202</v>
      </c>
      <c r="I1580" t="s">
        <v>35203</v>
      </c>
      <c r="J1580" t="s">
        <v>35204</v>
      </c>
      <c r="K1580">
        <v>2020</v>
      </c>
      <c r="L1580" s="1">
        <v>44047</v>
      </c>
      <c r="O1580" t="s">
        <v>7095</v>
      </c>
    </row>
    <row r="1581" spans="1:15" x14ac:dyDescent="0.15">
      <c r="A1581">
        <v>34298496</v>
      </c>
      <c r="B1581">
        <v>25398005</v>
      </c>
      <c r="D1581">
        <v>22532666</v>
      </c>
      <c r="E1581">
        <v>34344968</v>
      </c>
      <c r="F1581" t="s">
        <v>9542</v>
      </c>
      <c r="G1581" t="s">
        <v>35205</v>
      </c>
      <c r="H1581" t="s">
        <v>35206</v>
      </c>
      <c r="I1581" t="s">
        <v>35207</v>
      </c>
      <c r="J1581" t="s">
        <v>30834</v>
      </c>
      <c r="K1581">
        <v>2021</v>
      </c>
      <c r="L1581" s="1">
        <v>44412</v>
      </c>
      <c r="M1581" t="s">
        <v>35208</v>
      </c>
      <c r="O1581" t="s">
        <v>9552</v>
      </c>
    </row>
    <row r="1582" spans="1:15" x14ac:dyDescent="0.15">
      <c r="A1582">
        <v>34647460</v>
      </c>
      <c r="B1582">
        <v>17187173</v>
      </c>
      <c r="D1582">
        <v>15755631</v>
      </c>
      <c r="E1582">
        <v>27941871</v>
      </c>
      <c r="F1582" t="s">
        <v>18265</v>
      </c>
      <c r="G1582" t="s">
        <v>35215</v>
      </c>
      <c r="H1582" t="s">
        <v>35216</v>
      </c>
      <c r="I1582" t="s">
        <v>30931</v>
      </c>
      <c r="J1582" t="s">
        <v>30834</v>
      </c>
      <c r="K1582">
        <v>2016</v>
      </c>
      <c r="L1582" s="1">
        <v>42717</v>
      </c>
      <c r="M1582" t="s">
        <v>35217</v>
      </c>
      <c r="O1582" t="s">
        <v>18273</v>
      </c>
    </row>
    <row r="1583" spans="1:15" x14ac:dyDescent="0.15">
      <c r="A1583">
        <v>33260345</v>
      </c>
      <c r="B1583">
        <v>6094712</v>
      </c>
      <c r="D1583">
        <v>9792445</v>
      </c>
      <c r="E1583">
        <v>30092207</v>
      </c>
      <c r="F1583" t="s">
        <v>24601</v>
      </c>
      <c r="G1583" t="s">
        <v>35224</v>
      </c>
      <c r="H1583" t="s">
        <v>35225</v>
      </c>
      <c r="I1583" t="s">
        <v>35226</v>
      </c>
      <c r="J1583" t="s">
        <v>32493</v>
      </c>
      <c r="K1583">
        <v>2018</v>
      </c>
      <c r="L1583" s="1">
        <v>43322</v>
      </c>
      <c r="M1583" t="s">
        <v>35227</v>
      </c>
      <c r="N1583" t="s">
        <v>35228</v>
      </c>
      <c r="O1583" t="s">
        <v>24610</v>
      </c>
    </row>
    <row r="1584" spans="1:15" x14ac:dyDescent="0.15">
      <c r="A1584">
        <v>32114423</v>
      </c>
      <c r="B1584">
        <v>12819015</v>
      </c>
      <c r="D1584">
        <v>28325899</v>
      </c>
      <c r="E1584">
        <v>30622304</v>
      </c>
      <c r="F1584" t="s">
        <v>21093</v>
      </c>
      <c r="G1584" t="s">
        <v>35229</v>
      </c>
      <c r="H1584" t="s">
        <v>35230</v>
      </c>
      <c r="I1584" t="s">
        <v>35231</v>
      </c>
      <c r="J1584" t="s">
        <v>33118</v>
      </c>
      <c r="K1584">
        <v>2019</v>
      </c>
      <c r="L1584" s="1">
        <v>43475</v>
      </c>
      <c r="M1584" t="s">
        <v>35232</v>
      </c>
      <c r="O1584" t="s">
        <v>21102</v>
      </c>
    </row>
    <row r="1585" spans="1:15" x14ac:dyDescent="0.15">
      <c r="A1585">
        <v>34445894</v>
      </c>
      <c r="B1585">
        <v>29247763</v>
      </c>
      <c r="D1585">
        <v>11278971</v>
      </c>
      <c r="E1585">
        <v>32075753</v>
      </c>
      <c r="F1585" t="s">
        <v>10120</v>
      </c>
      <c r="G1585" t="s">
        <v>35239</v>
      </c>
      <c r="H1585" t="s">
        <v>35240</v>
      </c>
      <c r="I1585" t="s">
        <v>35241</v>
      </c>
      <c r="J1585" t="s">
        <v>31376</v>
      </c>
      <c r="K1585">
        <v>2020</v>
      </c>
      <c r="L1585" s="1">
        <v>43882</v>
      </c>
      <c r="M1585" t="s">
        <v>35242</v>
      </c>
      <c r="N1585" t="s">
        <v>35243</v>
      </c>
      <c r="O1585" t="s">
        <v>10130</v>
      </c>
    </row>
    <row r="1586" spans="1:15" x14ac:dyDescent="0.15">
      <c r="A1586">
        <v>33569297</v>
      </c>
      <c r="B1586">
        <v>2128868</v>
      </c>
      <c r="D1586">
        <v>8886983</v>
      </c>
      <c r="E1586">
        <v>33897894</v>
      </c>
      <c r="F1586" t="s">
        <v>6643</v>
      </c>
      <c r="G1586" t="s">
        <v>35244</v>
      </c>
      <c r="H1586" t="s">
        <v>35245</v>
      </c>
      <c r="I1586" t="s">
        <v>35246</v>
      </c>
      <c r="J1586" t="s">
        <v>30588</v>
      </c>
      <c r="K1586">
        <v>2021</v>
      </c>
      <c r="L1586" s="1">
        <v>44312</v>
      </c>
      <c r="M1586" t="s">
        <v>35247</v>
      </c>
      <c r="O1586" t="s">
        <v>6651</v>
      </c>
    </row>
    <row r="1587" spans="1:15" x14ac:dyDescent="0.15">
      <c r="A1587" t="s">
        <v>74</v>
      </c>
      <c r="B1587">
        <v>19623537</v>
      </c>
      <c r="D1587">
        <v>33113359</v>
      </c>
      <c r="E1587">
        <v>31794192</v>
      </c>
      <c r="F1587" t="s">
        <v>11396</v>
      </c>
      <c r="G1587" t="s">
        <v>35248</v>
      </c>
      <c r="H1587" t="s">
        <v>35249</v>
      </c>
      <c r="I1587" t="s">
        <v>35250</v>
      </c>
      <c r="J1587" t="s">
        <v>30561</v>
      </c>
      <c r="K1587">
        <v>2020</v>
      </c>
      <c r="L1587" s="1">
        <v>43803</v>
      </c>
      <c r="O1587" t="s">
        <v>11406</v>
      </c>
    </row>
    <row r="1588" spans="1:15" x14ac:dyDescent="0.15">
      <c r="A1588">
        <v>30793504</v>
      </c>
      <c r="B1588">
        <v>22123738</v>
      </c>
      <c r="D1588">
        <v>30242641</v>
      </c>
      <c r="E1588">
        <v>21541969</v>
      </c>
      <c r="F1588" t="s">
        <v>35264</v>
      </c>
      <c r="G1588" t="s">
        <v>35265</v>
      </c>
      <c r="H1588" t="s">
        <v>35266</v>
      </c>
      <c r="I1588" t="s">
        <v>35267</v>
      </c>
      <c r="J1588" t="s">
        <v>31192</v>
      </c>
      <c r="K1588">
        <v>2011</v>
      </c>
      <c r="L1588" s="1">
        <v>40668</v>
      </c>
      <c r="O1588" t="s">
        <v>22442</v>
      </c>
    </row>
    <row r="1589" spans="1:15" x14ac:dyDescent="0.15">
      <c r="A1589">
        <v>34662248</v>
      </c>
      <c r="B1589">
        <v>34689211</v>
      </c>
      <c r="D1589">
        <v>17823924</v>
      </c>
      <c r="E1589">
        <v>31506436</v>
      </c>
      <c r="F1589" t="s">
        <v>25812</v>
      </c>
      <c r="G1589" t="s">
        <v>35268</v>
      </c>
      <c r="H1589" t="s">
        <v>35269</v>
      </c>
      <c r="I1589" t="s">
        <v>35270</v>
      </c>
      <c r="J1589" t="s">
        <v>30733</v>
      </c>
      <c r="K1589">
        <v>2019</v>
      </c>
      <c r="L1589" s="1">
        <v>43720</v>
      </c>
      <c r="M1589" t="s">
        <v>35271</v>
      </c>
      <c r="O1589" t="s">
        <v>25819</v>
      </c>
    </row>
    <row r="1590" spans="1:15" x14ac:dyDescent="0.15">
      <c r="A1590">
        <v>34103018</v>
      </c>
      <c r="B1590">
        <v>16791265</v>
      </c>
      <c r="D1590">
        <v>21135092</v>
      </c>
      <c r="E1590">
        <v>30339193</v>
      </c>
      <c r="F1590" t="s">
        <v>2477</v>
      </c>
      <c r="G1590" t="s">
        <v>35272</v>
      </c>
      <c r="H1590" t="s">
        <v>35273</v>
      </c>
      <c r="I1590" t="s">
        <v>34210</v>
      </c>
      <c r="J1590" t="s">
        <v>30605</v>
      </c>
      <c r="K1590">
        <v>2018</v>
      </c>
      <c r="L1590" s="1">
        <v>43393</v>
      </c>
      <c r="M1590" t="s">
        <v>35274</v>
      </c>
      <c r="O1590" t="s">
        <v>2489</v>
      </c>
    </row>
    <row r="1591" spans="1:15" x14ac:dyDescent="0.15">
      <c r="A1591" t="s">
        <v>74</v>
      </c>
      <c r="B1591">
        <v>30760080</v>
      </c>
      <c r="D1591">
        <v>26246178</v>
      </c>
      <c r="E1591">
        <v>30514916</v>
      </c>
      <c r="F1591" t="s">
        <v>13851</v>
      </c>
      <c r="G1591" t="s">
        <v>35275</v>
      </c>
      <c r="H1591" t="s">
        <v>35276</v>
      </c>
      <c r="I1591" t="s">
        <v>35277</v>
      </c>
      <c r="J1591" t="s">
        <v>30834</v>
      </c>
      <c r="K1591">
        <v>2018</v>
      </c>
      <c r="L1591" s="1">
        <v>43440</v>
      </c>
      <c r="M1591" t="s">
        <v>35278</v>
      </c>
      <c r="O1591" t="s">
        <v>13858</v>
      </c>
    </row>
    <row r="1592" spans="1:15" x14ac:dyDescent="0.15">
      <c r="A1592">
        <v>34281154</v>
      </c>
      <c r="B1592">
        <v>31466720</v>
      </c>
      <c r="D1592">
        <v>3323883</v>
      </c>
      <c r="E1592">
        <v>29511190</v>
      </c>
      <c r="F1592" t="s">
        <v>14732</v>
      </c>
      <c r="G1592" t="s">
        <v>35310</v>
      </c>
      <c r="H1592" t="s">
        <v>35311</v>
      </c>
      <c r="I1592" t="s">
        <v>35094</v>
      </c>
      <c r="J1592" t="s">
        <v>30796</v>
      </c>
      <c r="K1592">
        <v>2018</v>
      </c>
      <c r="L1592" s="1">
        <v>43167</v>
      </c>
      <c r="M1592" t="s">
        <v>35312</v>
      </c>
      <c r="O1592" t="s">
        <v>14739</v>
      </c>
    </row>
    <row r="1593" spans="1:15" x14ac:dyDescent="0.15">
      <c r="A1593">
        <v>34214634</v>
      </c>
      <c r="B1593">
        <v>22980978</v>
      </c>
      <c r="D1593">
        <v>12417727</v>
      </c>
      <c r="E1593">
        <v>34593932</v>
      </c>
      <c r="F1593" t="s">
        <v>19310</v>
      </c>
      <c r="G1593" t="s">
        <v>35319</v>
      </c>
      <c r="H1593" t="s">
        <v>35320</v>
      </c>
      <c r="I1593" t="s">
        <v>35321</v>
      </c>
      <c r="J1593" t="s">
        <v>30834</v>
      </c>
      <c r="K1593">
        <v>2021</v>
      </c>
      <c r="L1593" s="1">
        <v>44470</v>
      </c>
      <c r="M1593" t="s">
        <v>35322</v>
      </c>
      <c r="O1593" t="s">
        <v>19318</v>
      </c>
    </row>
    <row r="1594" spans="1:15" x14ac:dyDescent="0.15">
      <c r="A1594">
        <v>34681030</v>
      </c>
      <c r="B1594">
        <v>24478024</v>
      </c>
      <c r="D1594">
        <v>19141608</v>
      </c>
      <c r="E1594">
        <v>32810272</v>
      </c>
      <c r="F1594" t="s">
        <v>6746</v>
      </c>
      <c r="G1594" t="s">
        <v>35323</v>
      </c>
      <c r="H1594" t="s">
        <v>35324</v>
      </c>
      <c r="I1594" t="s">
        <v>35325</v>
      </c>
      <c r="J1594" t="s">
        <v>31587</v>
      </c>
      <c r="K1594">
        <v>2020</v>
      </c>
      <c r="L1594" s="1">
        <v>44062</v>
      </c>
      <c r="M1594" t="s">
        <v>35326</v>
      </c>
      <c r="O1594" t="s">
        <v>6758</v>
      </c>
    </row>
    <row r="1595" spans="1:15" x14ac:dyDescent="0.15">
      <c r="A1595">
        <v>34572021</v>
      </c>
      <c r="B1595">
        <v>25064072</v>
      </c>
      <c r="D1595">
        <v>8823304</v>
      </c>
      <c r="E1595">
        <v>31941602</v>
      </c>
      <c r="F1595" t="s">
        <v>5290</v>
      </c>
      <c r="G1595" t="s">
        <v>35327</v>
      </c>
      <c r="H1595" t="s">
        <v>35328</v>
      </c>
      <c r="I1595" t="s">
        <v>35329</v>
      </c>
      <c r="J1595" t="s">
        <v>32654</v>
      </c>
      <c r="K1595">
        <v>2020</v>
      </c>
      <c r="L1595" s="1">
        <v>43847</v>
      </c>
      <c r="O1595" t="s">
        <v>5300</v>
      </c>
    </row>
    <row r="1596" spans="1:15" x14ac:dyDescent="0.15">
      <c r="A1596">
        <v>33161974</v>
      </c>
      <c r="B1596">
        <v>20226086</v>
      </c>
      <c r="D1596">
        <v>20528772</v>
      </c>
      <c r="E1596">
        <v>31267709</v>
      </c>
      <c r="F1596" t="s">
        <v>2372</v>
      </c>
      <c r="G1596" t="s">
        <v>35350</v>
      </c>
      <c r="H1596" t="s">
        <v>35351</v>
      </c>
      <c r="I1596" t="s">
        <v>35352</v>
      </c>
      <c r="J1596" t="s">
        <v>35353</v>
      </c>
      <c r="K1596">
        <v>2019</v>
      </c>
      <c r="L1596" s="1">
        <v>43650</v>
      </c>
      <c r="M1596" t="s">
        <v>35354</v>
      </c>
      <c r="O1596" t="s">
        <v>2385</v>
      </c>
    </row>
    <row r="1597" spans="1:15" x14ac:dyDescent="0.15">
      <c r="A1597">
        <v>33738245</v>
      </c>
      <c r="B1597">
        <v>10782830</v>
      </c>
      <c r="D1597">
        <v>24859313</v>
      </c>
      <c r="E1597">
        <v>32198406</v>
      </c>
      <c r="F1597" t="s">
        <v>9052</v>
      </c>
      <c r="G1597" t="s">
        <v>35355</v>
      </c>
      <c r="H1597" t="s">
        <v>35356</v>
      </c>
      <c r="I1597" t="s">
        <v>35357</v>
      </c>
      <c r="J1597" t="s">
        <v>30796</v>
      </c>
      <c r="K1597">
        <v>2020</v>
      </c>
      <c r="L1597" s="1">
        <v>43912</v>
      </c>
      <c r="M1597" t="s">
        <v>35358</v>
      </c>
      <c r="O1597" t="s">
        <v>9060</v>
      </c>
    </row>
    <row r="1598" spans="1:15" x14ac:dyDescent="0.15">
      <c r="A1598">
        <v>34611515</v>
      </c>
      <c r="B1598">
        <v>31010902</v>
      </c>
      <c r="D1598">
        <v>17101774</v>
      </c>
      <c r="E1598">
        <v>33942501</v>
      </c>
      <c r="F1598" t="s">
        <v>14145</v>
      </c>
      <c r="G1598" t="s">
        <v>35359</v>
      </c>
      <c r="H1598" t="s">
        <v>35360</v>
      </c>
      <c r="I1598" t="s">
        <v>35361</v>
      </c>
      <c r="J1598" t="s">
        <v>30694</v>
      </c>
      <c r="K1598">
        <v>2021</v>
      </c>
      <c r="L1598" s="1">
        <v>44320</v>
      </c>
      <c r="M1598" t="s">
        <v>35362</v>
      </c>
      <c r="O1598" t="s">
        <v>14158</v>
      </c>
    </row>
    <row r="1599" spans="1:15" x14ac:dyDescent="0.15">
      <c r="A1599">
        <v>33040492</v>
      </c>
      <c r="B1599">
        <v>11514438</v>
      </c>
      <c r="D1599">
        <v>29916023</v>
      </c>
      <c r="E1599">
        <v>34937167</v>
      </c>
      <c r="F1599" t="s">
        <v>8237</v>
      </c>
      <c r="G1599" t="s">
        <v>35363</v>
      </c>
      <c r="H1599" t="s">
        <v>35364</v>
      </c>
      <c r="I1599" t="s">
        <v>30771</v>
      </c>
      <c r="J1599" t="s">
        <v>35365</v>
      </c>
      <c r="K1599">
        <v>2021</v>
      </c>
      <c r="L1599" s="1">
        <v>44553</v>
      </c>
      <c r="M1599" t="s">
        <v>35366</v>
      </c>
      <c r="O1599" t="s">
        <v>8249</v>
      </c>
    </row>
    <row r="1600" spans="1:15" x14ac:dyDescent="0.15">
      <c r="A1600">
        <v>34649349</v>
      </c>
      <c r="B1600">
        <v>31324529</v>
      </c>
      <c r="D1600">
        <v>22491717</v>
      </c>
      <c r="E1600">
        <v>35699856</v>
      </c>
      <c r="F1600" t="s">
        <v>5330</v>
      </c>
      <c r="G1600" t="s">
        <v>35367</v>
      </c>
      <c r="H1600" t="s">
        <v>35368</v>
      </c>
      <c r="I1600" t="s">
        <v>35369</v>
      </c>
      <c r="J1600" t="s">
        <v>34086</v>
      </c>
      <c r="K1600">
        <v>2022</v>
      </c>
      <c r="L1600" s="1">
        <v>44726</v>
      </c>
      <c r="O1600" t="s">
        <v>5341</v>
      </c>
    </row>
    <row r="1601" spans="1:15" x14ac:dyDescent="0.15">
      <c r="A1601">
        <v>33525618</v>
      </c>
      <c r="B1601">
        <v>16484372</v>
      </c>
      <c r="D1601">
        <v>25110305</v>
      </c>
      <c r="E1601">
        <v>30305607</v>
      </c>
      <c r="F1601" t="s">
        <v>35370</v>
      </c>
      <c r="G1601" t="s">
        <v>35371</v>
      </c>
      <c r="H1601" t="s">
        <v>35372</v>
      </c>
      <c r="I1601" t="s">
        <v>35373</v>
      </c>
      <c r="J1601" t="s">
        <v>30733</v>
      </c>
      <c r="K1601">
        <v>2018</v>
      </c>
      <c r="L1601" s="1">
        <v>43385</v>
      </c>
      <c r="M1601" t="s">
        <v>35374</v>
      </c>
      <c r="O1601" t="s">
        <v>20745</v>
      </c>
    </row>
    <row r="1602" spans="1:15" x14ac:dyDescent="0.15">
      <c r="A1602">
        <v>32595443</v>
      </c>
      <c r="B1602">
        <v>33164782</v>
      </c>
      <c r="D1602">
        <v>8794864</v>
      </c>
      <c r="E1602">
        <v>33494385</v>
      </c>
      <c r="F1602" t="s">
        <v>12205</v>
      </c>
      <c r="G1602" t="s">
        <v>35397</v>
      </c>
      <c r="H1602" t="s">
        <v>35398</v>
      </c>
      <c r="I1602" t="s">
        <v>35399</v>
      </c>
      <c r="J1602" t="s">
        <v>30655</v>
      </c>
      <c r="K1602">
        <v>2021</v>
      </c>
      <c r="L1602" s="1">
        <v>44222</v>
      </c>
      <c r="M1602" t="s">
        <v>35400</v>
      </c>
      <c r="O1602" t="s">
        <v>12215</v>
      </c>
    </row>
    <row r="1603" spans="1:15" x14ac:dyDescent="0.15">
      <c r="A1603">
        <v>35292020</v>
      </c>
      <c r="B1603">
        <v>34747596</v>
      </c>
      <c r="D1603">
        <v>19996457</v>
      </c>
      <c r="E1603">
        <v>29558959</v>
      </c>
      <c r="F1603" t="s">
        <v>24740</v>
      </c>
      <c r="G1603" t="s">
        <v>35407</v>
      </c>
      <c r="H1603" t="s">
        <v>35408</v>
      </c>
      <c r="I1603" t="s">
        <v>35409</v>
      </c>
      <c r="J1603" t="s">
        <v>30630</v>
      </c>
      <c r="K1603">
        <v>2018</v>
      </c>
      <c r="L1603" s="1">
        <v>43181</v>
      </c>
      <c r="M1603" t="s">
        <v>35410</v>
      </c>
      <c r="O1603" t="s">
        <v>24750</v>
      </c>
    </row>
    <row r="1604" spans="1:15" x14ac:dyDescent="0.15">
      <c r="A1604">
        <v>32530449</v>
      </c>
      <c r="B1604">
        <v>7650417</v>
      </c>
      <c r="D1604">
        <v>28502611</v>
      </c>
      <c r="E1604">
        <v>32446697</v>
      </c>
      <c r="F1604" t="s">
        <v>12921</v>
      </c>
      <c r="G1604" t="s">
        <v>35418</v>
      </c>
      <c r="H1604" t="s">
        <v>35419</v>
      </c>
      <c r="I1604" t="s">
        <v>35420</v>
      </c>
      <c r="J1604" t="s">
        <v>30821</v>
      </c>
      <c r="K1604">
        <v>2020</v>
      </c>
      <c r="L1604" s="1">
        <v>43976</v>
      </c>
      <c r="O1604" t="s">
        <v>12931</v>
      </c>
    </row>
    <row r="1605" spans="1:15" x14ac:dyDescent="0.15">
      <c r="A1605">
        <v>28636071</v>
      </c>
      <c r="B1605">
        <v>25175027</v>
      </c>
      <c r="D1605">
        <v>24871369</v>
      </c>
      <c r="E1605">
        <v>30216846</v>
      </c>
      <c r="F1605" t="s">
        <v>7166</v>
      </c>
      <c r="G1605" t="s">
        <v>35421</v>
      </c>
      <c r="H1605" t="s">
        <v>35422</v>
      </c>
      <c r="I1605" t="s">
        <v>35423</v>
      </c>
      <c r="J1605" t="s">
        <v>35424</v>
      </c>
      <c r="K1605">
        <v>2018</v>
      </c>
      <c r="L1605" s="1">
        <v>43358</v>
      </c>
      <c r="M1605" t="s">
        <v>35425</v>
      </c>
      <c r="N1605" t="s">
        <v>35426</v>
      </c>
      <c r="O1605" t="s">
        <v>7179</v>
      </c>
    </row>
    <row r="1606" spans="1:15" x14ac:dyDescent="0.15">
      <c r="A1606">
        <v>33224932</v>
      </c>
      <c r="B1606">
        <v>27179617</v>
      </c>
      <c r="D1606">
        <v>23302111</v>
      </c>
      <c r="E1606">
        <v>29162835</v>
      </c>
      <c r="F1606" t="s">
        <v>8969</v>
      </c>
      <c r="G1606" t="s">
        <v>35454</v>
      </c>
      <c r="H1606" t="s">
        <v>35455</v>
      </c>
      <c r="I1606" t="s">
        <v>35456</v>
      </c>
      <c r="J1606" t="s">
        <v>30796</v>
      </c>
      <c r="K1606">
        <v>2017</v>
      </c>
      <c r="L1606" s="1">
        <v>43062</v>
      </c>
      <c r="M1606" t="s">
        <v>35457</v>
      </c>
      <c r="O1606" t="s">
        <v>8977</v>
      </c>
    </row>
    <row r="1607" spans="1:15" x14ac:dyDescent="0.15">
      <c r="A1607">
        <v>32932765</v>
      </c>
      <c r="B1607">
        <v>12538853</v>
      </c>
      <c r="D1607">
        <v>17124606</v>
      </c>
      <c r="E1607">
        <v>23580760</v>
      </c>
      <c r="F1607" t="s">
        <v>2979</v>
      </c>
      <c r="G1607" t="s">
        <v>35469</v>
      </c>
      <c r="H1607" t="s">
        <v>35470</v>
      </c>
      <c r="I1607" t="s">
        <v>35471</v>
      </c>
      <c r="J1607" t="s">
        <v>35472</v>
      </c>
      <c r="K1607">
        <v>2013</v>
      </c>
      <c r="L1607" s="1">
        <v>41377</v>
      </c>
      <c r="M1607" t="s">
        <v>35473</v>
      </c>
      <c r="O1607" t="s">
        <v>2990</v>
      </c>
    </row>
    <row r="1608" spans="1:15" x14ac:dyDescent="0.15">
      <c r="A1608">
        <v>34750393</v>
      </c>
      <c r="B1608">
        <v>18400782</v>
      </c>
      <c r="D1608">
        <v>9041195</v>
      </c>
      <c r="E1608">
        <v>28507029</v>
      </c>
      <c r="F1608" t="s">
        <v>7840</v>
      </c>
      <c r="G1608" t="s">
        <v>35474</v>
      </c>
      <c r="H1608" t="s">
        <v>35475</v>
      </c>
      <c r="I1608" t="s">
        <v>35476</v>
      </c>
      <c r="J1608" t="s">
        <v>32819</v>
      </c>
      <c r="K1608">
        <v>2017</v>
      </c>
      <c r="L1608" s="1">
        <v>42872</v>
      </c>
      <c r="O1608" t="s">
        <v>7852</v>
      </c>
    </row>
    <row r="1609" spans="1:15" x14ac:dyDescent="0.15">
      <c r="A1609">
        <v>33973465</v>
      </c>
      <c r="B1609">
        <v>14999079</v>
      </c>
      <c r="D1609">
        <v>26337667</v>
      </c>
      <c r="E1609">
        <v>35215922</v>
      </c>
      <c r="F1609" t="s">
        <v>7664</v>
      </c>
      <c r="G1609" t="s">
        <v>35477</v>
      </c>
      <c r="H1609" t="s">
        <v>35478</v>
      </c>
      <c r="I1609" t="s">
        <v>35479</v>
      </c>
      <c r="J1609" t="s">
        <v>30720</v>
      </c>
      <c r="K1609">
        <v>2022</v>
      </c>
      <c r="L1609" s="1">
        <v>44618</v>
      </c>
      <c r="M1609" t="s">
        <v>35480</v>
      </c>
      <c r="O1609" t="s">
        <v>7673</v>
      </c>
    </row>
    <row r="1610" spans="1:15" x14ac:dyDescent="0.15">
      <c r="A1610">
        <v>34801930</v>
      </c>
      <c r="B1610">
        <v>32559291</v>
      </c>
      <c r="D1610">
        <v>20634320</v>
      </c>
      <c r="E1610">
        <v>34098025</v>
      </c>
      <c r="F1610" t="s">
        <v>10443</v>
      </c>
      <c r="G1610" t="s">
        <v>35520</v>
      </c>
      <c r="H1610" t="s">
        <v>35521</v>
      </c>
      <c r="I1610" t="s">
        <v>35522</v>
      </c>
      <c r="J1610" t="s">
        <v>35523</v>
      </c>
      <c r="K1610">
        <v>2021</v>
      </c>
      <c r="L1610" s="1">
        <v>44354</v>
      </c>
      <c r="O1610" t="s">
        <v>10454</v>
      </c>
    </row>
    <row r="1611" spans="1:15" x14ac:dyDescent="0.15">
      <c r="A1611">
        <v>35436552</v>
      </c>
      <c r="B1611">
        <v>30728146</v>
      </c>
      <c r="D1611">
        <v>34145038</v>
      </c>
      <c r="E1611">
        <v>34460871</v>
      </c>
      <c r="F1611" t="s">
        <v>35524</v>
      </c>
      <c r="G1611" t="s">
        <v>35525</v>
      </c>
      <c r="H1611" t="s">
        <v>35526</v>
      </c>
      <c r="I1611" t="s">
        <v>35527</v>
      </c>
      <c r="J1611" t="s">
        <v>31933</v>
      </c>
      <c r="K1611">
        <v>2021</v>
      </c>
      <c r="L1611" s="1">
        <v>44438</v>
      </c>
      <c r="M1611" t="s">
        <v>35528</v>
      </c>
      <c r="O1611" t="s">
        <v>18812</v>
      </c>
    </row>
    <row r="1612" spans="1:15" x14ac:dyDescent="0.15">
      <c r="A1612">
        <v>11747611</v>
      </c>
      <c r="B1612">
        <v>33599082</v>
      </c>
      <c r="D1612">
        <v>20329788</v>
      </c>
      <c r="E1612">
        <v>29483213</v>
      </c>
      <c r="F1612" t="s">
        <v>13902</v>
      </c>
      <c r="G1612" t="s">
        <v>35529</v>
      </c>
      <c r="H1612" t="s">
        <v>35530</v>
      </c>
      <c r="I1612" t="s">
        <v>35531</v>
      </c>
      <c r="J1612" t="s">
        <v>34988</v>
      </c>
      <c r="K1612">
        <v>2018</v>
      </c>
      <c r="L1612" s="1">
        <v>43159</v>
      </c>
      <c r="M1612" t="s">
        <v>35532</v>
      </c>
      <c r="N1612" t="s">
        <v>35533</v>
      </c>
      <c r="O1612" t="s">
        <v>13911</v>
      </c>
    </row>
    <row r="1613" spans="1:15" x14ac:dyDescent="0.15">
      <c r="A1613">
        <v>33196678</v>
      </c>
      <c r="B1613">
        <v>31405017</v>
      </c>
      <c r="D1613">
        <v>25156738</v>
      </c>
      <c r="E1613">
        <v>21638509</v>
      </c>
      <c r="F1613" t="s">
        <v>35555</v>
      </c>
      <c r="G1613" t="s">
        <v>35556</v>
      </c>
      <c r="H1613" t="s">
        <v>35557</v>
      </c>
      <c r="I1613" t="s">
        <v>32650</v>
      </c>
      <c r="J1613" t="s">
        <v>34150</v>
      </c>
      <c r="K1613">
        <v>2011</v>
      </c>
      <c r="L1613" s="1">
        <v>40698</v>
      </c>
      <c r="O1613" t="s">
        <v>15826</v>
      </c>
    </row>
    <row r="1614" spans="1:15" x14ac:dyDescent="0.15">
      <c r="A1614">
        <v>28968422</v>
      </c>
      <c r="B1614">
        <v>3989907</v>
      </c>
      <c r="D1614">
        <v>15778452</v>
      </c>
      <c r="E1614">
        <v>30411781</v>
      </c>
      <c r="F1614" t="s">
        <v>17337</v>
      </c>
      <c r="G1614" t="s">
        <v>35564</v>
      </c>
      <c r="H1614" t="s">
        <v>35565</v>
      </c>
      <c r="I1614" t="s">
        <v>35566</v>
      </c>
      <c r="J1614" t="s">
        <v>33483</v>
      </c>
      <c r="K1614">
        <v>2019</v>
      </c>
      <c r="L1614" s="1">
        <v>43414</v>
      </c>
      <c r="M1614" t="s">
        <v>35567</v>
      </c>
      <c r="O1614" t="s">
        <v>17346</v>
      </c>
    </row>
    <row r="1615" spans="1:15" x14ac:dyDescent="0.15">
      <c r="A1615">
        <v>32989096</v>
      </c>
      <c r="B1615">
        <v>21094463</v>
      </c>
      <c r="D1615">
        <v>7945469</v>
      </c>
      <c r="E1615">
        <v>24408433</v>
      </c>
      <c r="F1615" t="s">
        <v>35568</v>
      </c>
      <c r="G1615" t="s">
        <v>35569</v>
      </c>
      <c r="H1615" t="s">
        <v>35570</v>
      </c>
      <c r="I1615" t="s">
        <v>35571</v>
      </c>
      <c r="J1615" t="s">
        <v>35339</v>
      </c>
      <c r="K1615">
        <v>2014</v>
      </c>
      <c r="L1615" s="1">
        <v>41650</v>
      </c>
      <c r="O1615" t="s">
        <v>9007</v>
      </c>
    </row>
    <row r="1616" spans="1:15" x14ac:dyDescent="0.15">
      <c r="A1616">
        <v>33435996</v>
      </c>
      <c r="B1616">
        <v>30941775</v>
      </c>
      <c r="D1616">
        <v>32264958</v>
      </c>
      <c r="E1616">
        <v>32299821</v>
      </c>
      <c r="F1616" t="s">
        <v>13875</v>
      </c>
      <c r="G1616" t="s">
        <v>35572</v>
      </c>
      <c r="H1616" t="s">
        <v>35573</v>
      </c>
      <c r="I1616" t="s">
        <v>35574</v>
      </c>
      <c r="J1616" t="s">
        <v>32039</v>
      </c>
      <c r="K1616">
        <v>2020</v>
      </c>
      <c r="L1616" s="1">
        <v>43939</v>
      </c>
      <c r="M1616" t="s">
        <v>35575</v>
      </c>
      <c r="N1616" t="s">
        <v>35576</v>
      </c>
      <c r="O1616" t="s">
        <v>13884</v>
      </c>
    </row>
    <row r="1617" spans="1:15" x14ac:dyDescent="0.15">
      <c r="A1617">
        <v>32040616</v>
      </c>
      <c r="B1617">
        <v>22046055</v>
      </c>
      <c r="D1617">
        <v>21729877</v>
      </c>
      <c r="E1617">
        <v>34953858</v>
      </c>
      <c r="F1617" t="s">
        <v>18865</v>
      </c>
      <c r="G1617" t="s">
        <v>35583</v>
      </c>
      <c r="H1617" t="s">
        <v>35584</v>
      </c>
      <c r="I1617" t="s">
        <v>35585</v>
      </c>
      <c r="J1617" t="s">
        <v>31594</v>
      </c>
      <c r="K1617">
        <v>2022</v>
      </c>
      <c r="L1617" s="1">
        <v>44556</v>
      </c>
      <c r="M1617" t="s">
        <v>35586</v>
      </c>
      <c r="O1617" t="s">
        <v>18872</v>
      </c>
    </row>
    <row r="1618" spans="1:15" x14ac:dyDescent="0.15">
      <c r="A1618">
        <v>34126903</v>
      </c>
      <c r="B1618">
        <v>10652961</v>
      </c>
      <c r="D1618">
        <v>29422501</v>
      </c>
      <c r="E1618">
        <v>32315358</v>
      </c>
      <c r="F1618" t="s">
        <v>35587</v>
      </c>
      <c r="G1618" t="s">
        <v>35588</v>
      </c>
      <c r="H1618" t="s">
        <v>35589</v>
      </c>
      <c r="I1618" t="s">
        <v>35590</v>
      </c>
      <c r="J1618" t="s">
        <v>31933</v>
      </c>
      <c r="K1618">
        <v>2020</v>
      </c>
      <c r="L1618" s="1">
        <v>43943</v>
      </c>
      <c r="M1618" t="s">
        <v>35591</v>
      </c>
      <c r="O1618" t="s">
        <v>12995</v>
      </c>
    </row>
    <row r="1619" spans="1:15" x14ac:dyDescent="0.15">
      <c r="A1619">
        <v>27887986</v>
      </c>
      <c r="B1619">
        <v>9892667</v>
      </c>
      <c r="D1619">
        <v>32934881</v>
      </c>
      <c r="E1619">
        <v>29415817</v>
      </c>
      <c r="F1619" t="s">
        <v>27065</v>
      </c>
      <c r="G1619" t="s">
        <v>35592</v>
      </c>
      <c r="H1619" t="s">
        <v>35593</v>
      </c>
      <c r="I1619" t="s">
        <v>31116</v>
      </c>
      <c r="J1619" t="s">
        <v>35594</v>
      </c>
      <c r="K1619">
        <v>2018</v>
      </c>
      <c r="L1619" s="1">
        <v>43140</v>
      </c>
      <c r="O1619" t="s">
        <v>27077</v>
      </c>
    </row>
    <row r="1620" spans="1:15" x14ac:dyDescent="0.15">
      <c r="A1620">
        <v>32823598</v>
      </c>
      <c r="B1620">
        <v>23883322</v>
      </c>
      <c r="D1620">
        <v>27334229</v>
      </c>
      <c r="E1620">
        <v>34295456</v>
      </c>
      <c r="F1620" t="s">
        <v>3275</v>
      </c>
      <c r="G1620" t="s">
        <v>35595</v>
      </c>
      <c r="H1620" t="s">
        <v>35596</v>
      </c>
      <c r="I1620" t="s">
        <v>35597</v>
      </c>
      <c r="J1620" t="s">
        <v>30772</v>
      </c>
      <c r="K1620">
        <v>2021</v>
      </c>
      <c r="L1620" s="1">
        <v>44400</v>
      </c>
      <c r="M1620" t="s">
        <v>35598</v>
      </c>
      <c r="O1620" t="s">
        <v>3286</v>
      </c>
    </row>
    <row r="1621" spans="1:15" x14ac:dyDescent="0.15">
      <c r="A1621">
        <v>32721427</v>
      </c>
      <c r="B1621">
        <v>17046101</v>
      </c>
      <c r="D1621">
        <v>30230473</v>
      </c>
      <c r="E1621">
        <v>29532035</v>
      </c>
      <c r="F1621" t="s">
        <v>10743</v>
      </c>
      <c r="G1621" t="s">
        <v>35613</v>
      </c>
      <c r="H1621" t="s">
        <v>35614</v>
      </c>
      <c r="I1621" t="s">
        <v>35615</v>
      </c>
      <c r="J1621" t="s">
        <v>30758</v>
      </c>
      <c r="K1621">
        <v>2018</v>
      </c>
      <c r="L1621" s="1">
        <v>43173</v>
      </c>
      <c r="M1621" t="s">
        <v>35616</v>
      </c>
      <c r="O1621" t="s">
        <v>10755</v>
      </c>
    </row>
    <row r="1622" spans="1:15" x14ac:dyDescent="0.15">
      <c r="A1622">
        <v>34902643</v>
      </c>
      <c r="B1622">
        <v>16240989</v>
      </c>
      <c r="D1622">
        <v>19321599</v>
      </c>
      <c r="E1622">
        <v>29907766</v>
      </c>
      <c r="F1622" t="s">
        <v>8469</v>
      </c>
      <c r="G1622" t="s">
        <v>35622</v>
      </c>
      <c r="H1622" t="s">
        <v>35623</v>
      </c>
      <c r="I1622" t="s">
        <v>35624</v>
      </c>
      <c r="J1622" t="s">
        <v>30796</v>
      </c>
      <c r="K1622">
        <v>2018</v>
      </c>
      <c r="L1622" s="1">
        <v>43268</v>
      </c>
      <c r="M1622" t="s">
        <v>35625</v>
      </c>
      <c r="O1622" t="s">
        <v>8478</v>
      </c>
    </row>
    <row r="1623" spans="1:15" x14ac:dyDescent="0.15">
      <c r="A1623">
        <v>34278172</v>
      </c>
      <c r="B1623">
        <v>20631136</v>
      </c>
      <c r="D1623">
        <v>17855514</v>
      </c>
      <c r="E1623">
        <v>29906447</v>
      </c>
      <c r="F1623" t="s">
        <v>23969</v>
      </c>
      <c r="G1623" t="s">
        <v>35626</v>
      </c>
      <c r="H1623" t="s">
        <v>35627</v>
      </c>
      <c r="I1623" t="s">
        <v>35628</v>
      </c>
      <c r="J1623" t="s">
        <v>30555</v>
      </c>
      <c r="K1623">
        <v>2018</v>
      </c>
      <c r="L1623" s="1">
        <v>43267</v>
      </c>
      <c r="M1623" t="s">
        <v>35629</v>
      </c>
      <c r="N1623" t="s">
        <v>35630</v>
      </c>
      <c r="O1623" t="s">
        <v>23977</v>
      </c>
    </row>
    <row r="1624" spans="1:15" x14ac:dyDescent="0.15">
      <c r="A1624">
        <v>31218612</v>
      </c>
      <c r="B1624">
        <v>31007122</v>
      </c>
      <c r="D1624">
        <v>25515738</v>
      </c>
      <c r="E1624">
        <v>34426493</v>
      </c>
      <c r="F1624" t="s">
        <v>13025</v>
      </c>
      <c r="G1624" t="s">
        <v>35637</v>
      </c>
      <c r="H1624" t="s">
        <v>35638</v>
      </c>
      <c r="I1624" t="s">
        <v>35639</v>
      </c>
      <c r="J1624" t="s">
        <v>30767</v>
      </c>
      <c r="K1624">
        <v>2021</v>
      </c>
      <c r="L1624" s="1">
        <v>44432</v>
      </c>
      <c r="M1624" t="s">
        <v>35640</v>
      </c>
      <c r="O1624" t="s">
        <v>13036</v>
      </c>
    </row>
    <row r="1625" spans="1:15" x14ac:dyDescent="0.15">
      <c r="A1625">
        <v>32985598</v>
      </c>
      <c r="B1625">
        <v>21878619</v>
      </c>
      <c r="D1625">
        <v>12814647</v>
      </c>
      <c r="E1625">
        <v>35759303</v>
      </c>
      <c r="F1625" t="s">
        <v>11244</v>
      </c>
      <c r="G1625" t="s">
        <v>35641</v>
      </c>
      <c r="H1625" t="s">
        <v>35642</v>
      </c>
      <c r="I1625" t="s">
        <v>35643</v>
      </c>
      <c r="J1625" t="s">
        <v>34314</v>
      </c>
      <c r="K1625">
        <v>2022</v>
      </c>
      <c r="L1625" s="1">
        <v>44739</v>
      </c>
      <c r="O1625" t="s">
        <v>11256</v>
      </c>
    </row>
    <row r="1626" spans="1:15" x14ac:dyDescent="0.15">
      <c r="A1626">
        <v>30019154</v>
      </c>
      <c r="B1626">
        <v>17223371</v>
      </c>
      <c r="D1626">
        <v>25869134</v>
      </c>
      <c r="E1626">
        <v>33771977</v>
      </c>
      <c r="F1626" t="s">
        <v>16326</v>
      </c>
      <c r="G1626" t="s">
        <v>35650</v>
      </c>
      <c r="H1626" t="s">
        <v>35651</v>
      </c>
      <c r="I1626" t="s">
        <v>35652</v>
      </c>
      <c r="J1626" t="s">
        <v>30733</v>
      </c>
      <c r="K1626">
        <v>2021</v>
      </c>
      <c r="L1626" s="1">
        <v>44282</v>
      </c>
      <c r="M1626" t="s">
        <v>35653</v>
      </c>
      <c r="O1626" t="s">
        <v>16336</v>
      </c>
    </row>
    <row r="1627" spans="1:15" x14ac:dyDescent="0.15">
      <c r="A1627">
        <v>34882522</v>
      </c>
      <c r="B1627">
        <v>35200555</v>
      </c>
      <c r="D1627">
        <v>34103492</v>
      </c>
      <c r="E1627">
        <v>27753024</v>
      </c>
      <c r="F1627" t="s">
        <v>3548</v>
      </c>
      <c r="G1627" t="s">
        <v>35669</v>
      </c>
      <c r="H1627" t="s">
        <v>35670</v>
      </c>
      <c r="I1627" t="s">
        <v>35671</v>
      </c>
      <c r="J1627" t="s">
        <v>31023</v>
      </c>
      <c r="K1627">
        <v>2016</v>
      </c>
      <c r="L1627" s="1">
        <v>42662</v>
      </c>
      <c r="O1627" t="s">
        <v>3563</v>
      </c>
    </row>
    <row r="1628" spans="1:15" x14ac:dyDescent="0.15">
      <c r="A1628">
        <v>34656688</v>
      </c>
      <c r="B1628">
        <v>11050079</v>
      </c>
      <c r="D1628">
        <v>2655710</v>
      </c>
      <c r="E1628">
        <v>30997751</v>
      </c>
      <c r="F1628" t="s">
        <v>12814</v>
      </c>
      <c r="G1628" t="s">
        <v>35695</v>
      </c>
      <c r="H1628" t="s">
        <v>35696</v>
      </c>
      <c r="I1628" t="s">
        <v>32935</v>
      </c>
      <c r="J1628" t="s">
        <v>31324</v>
      </c>
      <c r="K1628">
        <v>2019</v>
      </c>
      <c r="L1628" s="1">
        <v>43574</v>
      </c>
      <c r="M1628" t="s">
        <v>35697</v>
      </c>
      <c r="N1628" t="s">
        <v>35698</v>
      </c>
      <c r="O1628" t="s">
        <v>12827</v>
      </c>
    </row>
    <row r="1629" spans="1:15" x14ac:dyDescent="0.15">
      <c r="A1629">
        <v>35540964</v>
      </c>
      <c r="B1629">
        <v>24656133</v>
      </c>
      <c r="D1629">
        <v>25479637</v>
      </c>
      <c r="E1629">
        <v>18625304</v>
      </c>
      <c r="F1629" t="s">
        <v>884</v>
      </c>
      <c r="G1629" t="s">
        <v>35716</v>
      </c>
      <c r="H1629" t="s">
        <v>35717</v>
      </c>
      <c r="I1629" t="s">
        <v>31520</v>
      </c>
      <c r="J1629" t="s">
        <v>35718</v>
      </c>
      <c r="K1629">
        <v>2008</v>
      </c>
      <c r="L1629" s="1">
        <v>39645</v>
      </c>
      <c r="O1629" t="s">
        <v>897</v>
      </c>
    </row>
    <row r="1630" spans="1:15" x14ac:dyDescent="0.15">
      <c r="A1630">
        <v>33978996</v>
      </c>
      <c r="B1630">
        <v>30155936</v>
      </c>
      <c r="D1630">
        <v>22428908</v>
      </c>
      <c r="E1630">
        <v>21285958</v>
      </c>
      <c r="F1630" t="s">
        <v>9914</v>
      </c>
      <c r="G1630" t="s">
        <v>35719</v>
      </c>
      <c r="H1630" t="s">
        <v>35720</v>
      </c>
      <c r="I1630" t="s">
        <v>33829</v>
      </c>
      <c r="J1630" t="s">
        <v>30796</v>
      </c>
      <c r="K1630">
        <v>2011</v>
      </c>
      <c r="L1630" s="1">
        <v>40577</v>
      </c>
      <c r="M1630" t="s">
        <v>35721</v>
      </c>
      <c r="N1630" t="s">
        <v>35722</v>
      </c>
      <c r="O1630" t="s">
        <v>9922</v>
      </c>
    </row>
    <row r="1631" spans="1:15" x14ac:dyDescent="0.15">
      <c r="A1631">
        <v>30115978</v>
      </c>
      <c r="B1631">
        <v>23390068</v>
      </c>
      <c r="D1631">
        <v>7796801</v>
      </c>
      <c r="E1631">
        <v>25133686</v>
      </c>
      <c r="F1631" t="s">
        <v>35728</v>
      </c>
      <c r="G1631" t="s">
        <v>35729</v>
      </c>
      <c r="H1631" t="s">
        <v>35730</v>
      </c>
      <c r="I1631" t="s">
        <v>35471</v>
      </c>
      <c r="J1631" t="s">
        <v>31639</v>
      </c>
      <c r="K1631">
        <v>2014</v>
      </c>
      <c r="L1631" s="1">
        <v>41870</v>
      </c>
      <c r="M1631" t="s">
        <v>35731</v>
      </c>
      <c r="O1631" t="s">
        <v>6937</v>
      </c>
    </row>
    <row r="1632" spans="1:15" x14ac:dyDescent="0.15">
      <c r="A1632" t="s">
        <v>74</v>
      </c>
      <c r="B1632">
        <v>26588824</v>
      </c>
      <c r="D1632">
        <v>9165051</v>
      </c>
      <c r="E1632">
        <v>28470712</v>
      </c>
      <c r="F1632" t="s">
        <v>14627</v>
      </c>
      <c r="G1632" t="s">
        <v>35737</v>
      </c>
      <c r="H1632" t="s">
        <v>35738</v>
      </c>
      <c r="I1632" t="s">
        <v>35739</v>
      </c>
      <c r="J1632" t="s">
        <v>33483</v>
      </c>
      <c r="K1632">
        <v>2017</v>
      </c>
      <c r="L1632" s="1">
        <v>42860</v>
      </c>
      <c r="O1632" t="s">
        <v>14640</v>
      </c>
    </row>
    <row r="1633" spans="1:15" x14ac:dyDescent="0.15">
      <c r="A1633">
        <v>32659906</v>
      </c>
      <c r="B1633">
        <v>2161218</v>
      </c>
      <c r="D1633">
        <v>34672606</v>
      </c>
      <c r="E1633">
        <v>20484514</v>
      </c>
      <c r="F1633" t="s">
        <v>35740</v>
      </c>
      <c r="G1633" t="s">
        <v>35741</v>
      </c>
      <c r="H1633" t="s">
        <v>35742</v>
      </c>
      <c r="I1633" t="s">
        <v>35743</v>
      </c>
      <c r="J1633" t="s">
        <v>31970</v>
      </c>
      <c r="K1633">
        <v>2010</v>
      </c>
      <c r="L1633" s="1">
        <v>40319</v>
      </c>
      <c r="M1633" t="s">
        <v>35744</v>
      </c>
      <c r="O1633" t="s">
        <v>25142</v>
      </c>
    </row>
    <row r="1634" spans="1:15" x14ac:dyDescent="0.15">
      <c r="A1634">
        <v>7561149</v>
      </c>
      <c r="B1634">
        <v>10073703</v>
      </c>
      <c r="D1634">
        <v>9427251</v>
      </c>
      <c r="E1634">
        <v>35159179</v>
      </c>
      <c r="F1634" t="s">
        <v>5479</v>
      </c>
      <c r="G1634" t="s">
        <v>35762</v>
      </c>
      <c r="H1634" t="s">
        <v>35763</v>
      </c>
      <c r="I1634" t="s">
        <v>35764</v>
      </c>
      <c r="J1634" t="s">
        <v>30655</v>
      </c>
      <c r="K1634">
        <v>2022</v>
      </c>
      <c r="L1634" s="1">
        <v>44607</v>
      </c>
      <c r="M1634" t="s">
        <v>35765</v>
      </c>
      <c r="O1634" t="s">
        <v>5488</v>
      </c>
    </row>
    <row r="1635" spans="1:15" x14ac:dyDescent="0.15">
      <c r="A1635">
        <v>29311492</v>
      </c>
      <c r="B1635">
        <v>11691584</v>
      </c>
      <c r="D1635">
        <v>33997970</v>
      </c>
      <c r="E1635">
        <v>23755885</v>
      </c>
      <c r="F1635" t="s">
        <v>14684</v>
      </c>
      <c r="G1635" t="s">
        <v>35787</v>
      </c>
      <c r="H1635" t="s">
        <v>35788</v>
      </c>
      <c r="I1635" t="s">
        <v>35789</v>
      </c>
      <c r="J1635" t="s">
        <v>35790</v>
      </c>
      <c r="K1635">
        <v>2013</v>
      </c>
      <c r="L1635" s="1">
        <v>41438</v>
      </c>
      <c r="O1635" t="s">
        <v>14697</v>
      </c>
    </row>
    <row r="1636" spans="1:15" x14ac:dyDescent="0.15">
      <c r="A1636">
        <v>32866177</v>
      </c>
      <c r="B1636">
        <v>10996790</v>
      </c>
      <c r="D1636">
        <v>31581745</v>
      </c>
      <c r="E1636">
        <v>30484685</v>
      </c>
      <c r="F1636" t="s">
        <v>15296</v>
      </c>
      <c r="G1636" t="s">
        <v>35791</v>
      </c>
      <c r="H1636" t="s">
        <v>35792</v>
      </c>
      <c r="I1636" t="s">
        <v>35793</v>
      </c>
      <c r="J1636" t="s">
        <v>35794</v>
      </c>
      <c r="K1636">
        <v>2019</v>
      </c>
      <c r="L1636" s="1">
        <v>43433</v>
      </c>
      <c r="O1636" t="s">
        <v>15309</v>
      </c>
    </row>
    <row r="1637" spans="1:15" x14ac:dyDescent="0.15">
      <c r="A1637">
        <v>31057000</v>
      </c>
      <c r="B1637">
        <v>32497683</v>
      </c>
      <c r="D1637">
        <v>35538484</v>
      </c>
      <c r="E1637">
        <v>33960622</v>
      </c>
      <c r="F1637" t="s">
        <v>14011</v>
      </c>
      <c r="G1637" t="s">
        <v>35795</v>
      </c>
      <c r="H1637" t="s">
        <v>35796</v>
      </c>
      <c r="I1637" t="s">
        <v>35797</v>
      </c>
      <c r="J1637" t="s">
        <v>30763</v>
      </c>
      <c r="K1637">
        <v>2021</v>
      </c>
      <c r="L1637" s="1">
        <v>44323</v>
      </c>
      <c r="O1637" t="s">
        <v>14018</v>
      </c>
    </row>
    <row r="1638" spans="1:15" x14ac:dyDescent="0.15">
      <c r="A1638">
        <v>22089352</v>
      </c>
      <c r="B1638">
        <v>21149693</v>
      </c>
      <c r="D1638">
        <v>17252188</v>
      </c>
      <c r="E1638">
        <v>29867148</v>
      </c>
      <c r="F1638" t="s">
        <v>15068</v>
      </c>
      <c r="G1638" t="s">
        <v>35803</v>
      </c>
      <c r="H1638" t="s">
        <v>35804</v>
      </c>
      <c r="I1638" t="s">
        <v>35805</v>
      </c>
      <c r="J1638" t="s">
        <v>30834</v>
      </c>
      <c r="K1638">
        <v>2018</v>
      </c>
      <c r="L1638" s="1">
        <v>43257</v>
      </c>
      <c r="M1638" t="s">
        <v>35806</v>
      </c>
      <c r="O1638" t="s">
        <v>15078</v>
      </c>
    </row>
    <row r="1639" spans="1:15" x14ac:dyDescent="0.15">
      <c r="A1639">
        <v>24352757</v>
      </c>
      <c r="B1639">
        <v>19968858</v>
      </c>
      <c r="D1639">
        <v>1908469</v>
      </c>
      <c r="E1639">
        <v>24605048</v>
      </c>
      <c r="F1639" t="s">
        <v>35807</v>
      </c>
      <c r="G1639" t="s">
        <v>35808</v>
      </c>
      <c r="H1639" t="s">
        <v>35809</v>
      </c>
      <c r="I1639" t="s">
        <v>35810</v>
      </c>
      <c r="J1639" t="s">
        <v>35811</v>
      </c>
      <c r="K1639">
        <v>2014</v>
      </c>
      <c r="L1639" s="1">
        <v>41706</v>
      </c>
      <c r="M1639" t="s">
        <v>35812</v>
      </c>
      <c r="O1639" t="s">
        <v>12189</v>
      </c>
    </row>
    <row r="1640" spans="1:15" x14ac:dyDescent="0.15">
      <c r="A1640">
        <v>34595842</v>
      </c>
      <c r="B1640">
        <v>35846270</v>
      </c>
      <c r="D1640">
        <v>24580550</v>
      </c>
      <c r="E1640">
        <v>34837760</v>
      </c>
      <c r="F1640" t="s">
        <v>15337</v>
      </c>
      <c r="G1640" t="s">
        <v>35813</v>
      </c>
      <c r="H1640" t="s">
        <v>35814</v>
      </c>
      <c r="I1640" t="s">
        <v>35815</v>
      </c>
      <c r="J1640" t="s">
        <v>35816</v>
      </c>
      <c r="K1640">
        <v>2022</v>
      </c>
      <c r="L1640" s="1">
        <v>44527</v>
      </c>
      <c r="O1640" t="s">
        <v>15347</v>
      </c>
    </row>
    <row r="1641" spans="1:15" x14ac:dyDescent="0.15">
      <c r="A1641">
        <v>33922925</v>
      </c>
      <c r="B1641">
        <v>20049854</v>
      </c>
      <c r="D1641">
        <v>19948888</v>
      </c>
      <c r="E1641">
        <v>35193353</v>
      </c>
      <c r="F1641" t="s">
        <v>19896</v>
      </c>
      <c r="G1641" t="s">
        <v>35825</v>
      </c>
      <c r="H1641" t="s">
        <v>35826</v>
      </c>
      <c r="I1641" t="s">
        <v>35373</v>
      </c>
      <c r="J1641" t="s">
        <v>30956</v>
      </c>
      <c r="K1641">
        <v>2022</v>
      </c>
      <c r="L1641" s="1">
        <v>44615</v>
      </c>
      <c r="O1641" t="s">
        <v>19904</v>
      </c>
    </row>
    <row r="1642" spans="1:15" x14ac:dyDescent="0.15">
      <c r="A1642">
        <v>33539013</v>
      </c>
      <c r="B1642">
        <v>22532666</v>
      </c>
      <c r="D1642">
        <v>27830852</v>
      </c>
      <c r="E1642">
        <v>26556992</v>
      </c>
      <c r="F1642" t="s">
        <v>15182</v>
      </c>
      <c r="G1642" t="s">
        <v>35849</v>
      </c>
      <c r="H1642" t="s">
        <v>35850</v>
      </c>
      <c r="I1642" t="s">
        <v>35851</v>
      </c>
      <c r="J1642" t="s">
        <v>32590</v>
      </c>
      <c r="K1642">
        <v>2015</v>
      </c>
      <c r="L1642" s="1">
        <v>42320</v>
      </c>
      <c r="M1642" t="s">
        <v>35852</v>
      </c>
      <c r="O1642" t="s">
        <v>15192</v>
      </c>
    </row>
    <row r="1643" spans="1:15" x14ac:dyDescent="0.15">
      <c r="A1643">
        <v>32880856</v>
      </c>
      <c r="B1643">
        <v>17644597</v>
      </c>
      <c r="D1643">
        <v>18412164</v>
      </c>
      <c r="E1643">
        <v>18829542</v>
      </c>
      <c r="F1643" t="s">
        <v>18114</v>
      </c>
      <c r="G1643" t="s">
        <v>35853</v>
      </c>
      <c r="H1643" t="s">
        <v>35854</v>
      </c>
      <c r="I1643" t="s">
        <v>35855</v>
      </c>
      <c r="J1643" t="s">
        <v>31167</v>
      </c>
      <c r="K1643">
        <v>2008</v>
      </c>
      <c r="L1643" s="1">
        <v>39724</v>
      </c>
      <c r="M1643" t="s">
        <v>35856</v>
      </c>
      <c r="N1643" t="s">
        <v>35857</v>
      </c>
      <c r="O1643" t="s">
        <v>18123</v>
      </c>
    </row>
    <row r="1644" spans="1:15" x14ac:dyDescent="0.15">
      <c r="A1644">
        <v>35439048</v>
      </c>
      <c r="B1644">
        <v>15755631</v>
      </c>
      <c r="D1644">
        <v>29251021</v>
      </c>
      <c r="E1644">
        <v>23022668</v>
      </c>
      <c r="F1644" t="s">
        <v>7487</v>
      </c>
      <c r="G1644" t="s">
        <v>35896</v>
      </c>
      <c r="H1644" t="s">
        <v>35897</v>
      </c>
      <c r="I1644" t="s">
        <v>35898</v>
      </c>
      <c r="J1644" t="s">
        <v>35899</v>
      </c>
      <c r="K1644">
        <v>2013</v>
      </c>
      <c r="L1644" s="1">
        <v>41184</v>
      </c>
      <c r="M1644" t="s">
        <v>35900</v>
      </c>
      <c r="O1644" t="s">
        <v>7497</v>
      </c>
    </row>
    <row r="1645" spans="1:15" x14ac:dyDescent="0.15">
      <c r="A1645">
        <v>34178970</v>
      </c>
      <c r="B1645">
        <v>16374505</v>
      </c>
      <c r="D1645">
        <v>23678170</v>
      </c>
      <c r="E1645">
        <v>32105824</v>
      </c>
      <c r="F1645" t="s">
        <v>17579</v>
      </c>
      <c r="G1645" t="s">
        <v>35914</v>
      </c>
      <c r="H1645" t="s">
        <v>35915</v>
      </c>
      <c r="I1645" t="s">
        <v>35916</v>
      </c>
      <c r="J1645" t="s">
        <v>35889</v>
      </c>
      <c r="K1645">
        <v>2020</v>
      </c>
      <c r="L1645" s="1">
        <v>43889</v>
      </c>
      <c r="O1645" t="s">
        <v>17592</v>
      </c>
    </row>
    <row r="1646" spans="1:15" x14ac:dyDescent="0.15">
      <c r="A1646">
        <v>33769802</v>
      </c>
      <c r="B1646">
        <v>9792445</v>
      </c>
      <c r="D1646">
        <v>31533842</v>
      </c>
      <c r="E1646">
        <v>30536653</v>
      </c>
      <c r="F1646" t="s">
        <v>15696</v>
      </c>
      <c r="G1646" t="s">
        <v>35934</v>
      </c>
      <c r="H1646" t="s">
        <v>35935</v>
      </c>
      <c r="I1646" t="s">
        <v>35936</v>
      </c>
      <c r="J1646" t="s">
        <v>33483</v>
      </c>
      <c r="K1646">
        <v>2019</v>
      </c>
      <c r="L1646" s="1">
        <v>43446</v>
      </c>
      <c r="O1646" t="s">
        <v>15706</v>
      </c>
    </row>
    <row r="1647" spans="1:15" x14ac:dyDescent="0.15">
      <c r="A1647">
        <v>33345401</v>
      </c>
      <c r="B1647">
        <v>28325899</v>
      </c>
      <c r="D1647">
        <v>25251442</v>
      </c>
      <c r="E1647">
        <v>9245765</v>
      </c>
      <c r="F1647" t="s">
        <v>35943</v>
      </c>
      <c r="G1647" t="s">
        <v>35944</v>
      </c>
      <c r="H1647" t="s">
        <v>35945</v>
      </c>
      <c r="I1647" t="s">
        <v>35946</v>
      </c>
      <c r="J1647" t="s">
        <v>35947</v>
      </c>
      <c r="K1647">
        <v>1997</v>
      </c>
      <c r="L1647" s="1">
        <v>35643</v>
      </c>
      <c r="O1647" t="s">
        <v>15592</v>
      </c>
    </row>
    <row r="1648" spans="1:15" x14ac:dyDescent="0.15">
      <c r="A1648">
        <v>34884564</v>
      </c>
      <c r="B1648">
        <v>7626023</v>
      </c>
      <c r="D1648">
        <v>31160785</v>
      </c>
      <c r="E1648">
        <v>34454680</v>
      </c>
      <c r="F1648" t="s">
        <v>9679</v>
      </c>
      <c r="G1648" t="s">
        <v>35948</v>
      </c>
      <c r="H1648" t="s">
        <v>35949</v>
      </c>
      <c r="I1648" t="s">
        <v>35950</v>
      </c>
      <c r="J1648" t="s">
        <v>35951</v>
      </c>
      <c r="K1648">
        <v>2021</v>
      </c>
      <c r="L1648" s="1">
        <v>44437</v>
      </c>
      <c r="O1648" t="s">
        <v>9692</v>
      </c>
    </row>
    <row r="1649" spans="1:15" x14ac:dyDescent="0.15">
      <c r="A1649">
        <v>34370602</v>
      </c>
      <c r="B1649">
        <v>11278971</v>
      </c>
      <c r="D1649">
        <v>23980030</v>
      </c>
      <c r="E1649">
        <v>30578260</v>
      </c>
      <c r="F1649" t="s">
        <v>17235</v>
      </c>
      <c r="G1649" t="s">
        <v>35989</v>
      </c>
      <c r="H1649" t="s">
        <v>35990</v>
      </c>
      <c r="I1649" t="s">
        <v>35991</v>
      </c>
      <c r="J1649" t="s">
        <v>32165</v>
      </c>
      <c r="K1649">
        <v>2019</v>
      </c>
      <c r="L1649" s="1">
        <v>43457</v>
      </c>
      <c r="M1649" t="s">
        <v>35992</v>
      </c>
      <c r="O1649" t="s">
        <v>17244</v>
      </c>
    </row>
    <row r="1650" spans="1:15" x14ac:dyDescent="0.15">
      <c r="A1650">
        <v>34247486</v>
      </c>
      <c r="B1650">
        <v>8886983</v>
      </c>
      <c r="D1650">
        <v>34129371</v>
      </c>
      <c r="E1650">
        <v>16920200</v>
      </c>
      <c r="F1650" t="s">
        <v>16695</v>
      </c>
      <c r="G1650" t="s">
        <v>35998</v>
      </c>
      <c r="H1650" t="s">
        <v>35999</v>
      </c>
      <c r="I1650" t="s">
        <v>36000</v>
      </c>
      <c r="J1650" t="s">
        <v>36001</v>
      </c>
      <c r="K1650">
        <v>2006</v>
      </c>
      <c r="L1650" s="1">
        <v>38951</v>
      </c>
      <c r="M1650" t="s">
        <v>36002</v>
      </c>
      <c r="N1650" t="s">
        <v>36003</v>
      </c>
      <c r="O1650" t="s">
        <v>16705</v>
      </c>
    </row>
    <row r="1651" spans="1:15" x14ac:dyDescent="0.15">
      <c r="A1651">
        <v>33231813</v>
      </c>
      <c r="B1651">
        <v>33113359</v>
      </c>
      <c r="D1651">
        <v>31644944</v>
      </c>
      <c r="E1651">
        <v>16553852</v>
      </c>
      <c r="F1651" t="s">
        <v>21335</v>
      </c>
      <c r="G1651" t="s">
        <v>36016</v>
      </c>
      <c r="H1651" t="s">
        <v>36017</v>
      </c>
      <c r="I1651" t="s">
        <v>36018</v>
      </c>
      <c r="J1651" t="s">
        <v>35648</v>
      </c>
      <c r="K1651">
        <v>2006</v>
      </c>
      <c r="L1651" s="1">
        <v>38800</v>
      </c>
      <c r="O1651" t="s">
        <v>21345</v>
      </c>
    </row>
    <row r="1652" spans="1:15" x14ac:dyDescent="0.15">
      <c r="A1652">
        <v>33597619</v>
      </c>
      <c r="B1652">
        <v>9712909</v>
      </c>
      <c r="D1652">
        <v>22306653</v>
      </c>
      <c r="E1652">
        <v>15256559</v>
      </c>
      <c r="F1652" t="s">
        <v>12288</v>
      </c>
      <c r="G1652" t="s">
        <v>36039</v>
      </c>
      <c r="H1652" t="s">
        <v>36040</v>
      </c>
      <c r="I1652" t="s">
        <v>36041</v>
      </c>
      <c r="J1652" t="s">
        <v>33208</v>
      </c>
      <c r="K1652">
        <v>2004</v>
      </c>
      <c r="L1652" s="1">
        <v>38185</v>
      </c>
      <c r="O1652" t="s">
        <v>12298</v>
      </c>
    </row>
    <row r="1653" spans="1:15" x14ac:dyDescent="0.15">
      <c r="A1653">
        <v>33042841</v>
      </c>
      <c r="B1653">
        <v>16784605</v>
      </c>
      <c r="D1653">
        <v>35040435</v>
      </c>
      <c r="E1653">
        <v>35581740</v>
      </c>
      <c r="F1653" t="s">
        <v>20654</v>
      </c>
      <c r="G1653" t="s">
        <v>36048</v>
      </c>
      <c r="H1653" t="s">
        <v>36049</v>
      </c>
      <c r="I1653" t="s">
        <v>36050</v>
      </c>
      <c r="J1653" t="s">
        <v>35105</v>
      </c>
      <c r="K1653">
        <v>2022</v>
      </c>
      <c r="L1653" s="1">
        <v>44699</v>
      </c>
      <c r="M1653" t="s">
        <v>36051</v>
      </c>
      <c r="O1653" t="s">
        <v>20665</v>
      </c>
    </row>
    <row r="1654" spans="1:15" x14ac:dyDescent="0.15">
      <c r="A1654" t="s">
        <v>74</v>
      </c>
      <c r="B1654">
        <v>30242641</v>
      </c>
      <c r="D1654">
        <v>17998247</v>
      </c>
      <c r="E1654">
        <v>24748612</v>
      </c>
      <c r="F1654" t="s">
        <v>36064</v>
      </c>
      <c r="G1654" t="s">
        <v>36065</v>
      </c>
      <c r="H1654" t="s">
        <v>36066</v>
      </c>
      <c r="I1654" t="s">
        <v>32672</v>
      </c>
      <c r="J1654" t="s">
        <v>32185</v>
      </c>
      <c r="K1654">
        <v>2014</v>
      </c>
      <c r="L1654" s="1">
        <v>41751</v>
      </c>
      <c r="M1654" t="s">
        <v>36067</v>
      </c>
      <c r="O1654" t="s">
        <v>10384</v>
      </c>
    </row>
    <row r="1655" spans="1:15" x14ac:dyDescent="0.15">
      <c r="A1655">
        <v>29048642</v>
      </c>
      <c r="B1655">
        <v>17823924</v>
      </c>
      <c r="D1655">
        <v>16126846</v>
      </c>
      <c r="E1655">
        <v>16841193</v>
      </c>
      <c r="F1655" t="s">
        <v>36072</v>
      </c>
      <c r="G1655" t="s">
        <v>36073</v>
      </c>
      <c r="H1655" t="s">
        <v>36074</v>
      </c>
      <c r="I1655" t="s">
        <v>36075</v>
      </c>
      <c r="J1655" t="s">
        <v>36076</v>
      </c>
      <c r="K1655">
        <v>2006</v>
      </c>
      <c r="L1655" s="1">
        <v>38913</v>
      </c>
      <c r="O1655" t="s">
        <v>19498</v>
      </c>
    </row>
    <row r="1656" spans="1:15" x14ac:dyDescent="0.15">
      <c r="A1656">
        <v>34454680</v>
      </c>
      <c r="B1656">
        <v>21135092</v>
      </c>
      <c r="D1656">
        <v>12805285</v>
      </c>
      <c r="E1656">
        <v>30509943</v>
      </c>
      <c r="F1656" t="s">
        <v>36088</v>
      </c>
      <c r="G1656" t="s">
        <v>36089</v>
      </c>
      <c r="H1656" t="s">
        <v>36090</v>
      </c>
      <c r="I1656" t="s">
        <v>36091</v>
      </c>
      <c r="J1656" t="s">
        <v>36092</v>
      </c>
      <c r="K1656">
        <v>2019</v>
      </c>
      <c r="L1656" s="1">
        <v>43439</v>
      </c>
      <c r="M1656" t="s">
        <v>36093</v>
      </c>
      <c r="O1656" t="s">
        <v>9495</v>
      </c>
    </row>
    <row r="1657" spans="1:15" x14ac:dyDescent="0.15">
      <c r="A1657">
        <v>31308040</v>
      </c>
      <c r="B1657">
        <v>26246178</v>
      </c>
      <c r="D1657">
        <v>20807745</v>
      </c>
      <c r="E1657">
        <v>34649994</v>
      </c>
      <c r="F1657" t="s">
        <v>23318</v>
      </c>
      <c r="G1657" t="s">
        <v>36100</v>
      </c>
      <c r="H1657" t="s">
        <v>36101</v>
      </c>
      <c r="I1657" t="s">
        <v>36102</v>
      </c>
      <c r="J1657" t="s">
        <v>30767</v>
      </c>
      <c r="K1657">
        <v>2021</v>
      </c>
      <c r="L1657" s="1">
        <v>44484</v>
      </c>
      <c r="M1657" t="s">
        <v>36103</v>
      </c>
      <c r="O1657" t="s">
        <v>23328</v>
      </c>
    </row>
    <row r="1658" spans="1:15" x14ac:dyDescent="0.15">
      <c r="A1658">
        <v>35290034</v>
      </c>
      <c r="B1658">
        <v>29624165</v>
      </c>
      <c r="D1658">
        <v>15625191</v>
      </c>
      <c r="E1658">
        <v>24034793</v>
      </c>
      <c r="F1658" t="s">
        <v>7571</v>
      </c>
      <c r="G1658" t="s">
        <v>36104</v>
      </c>
      <c r="H1658" t="s">
        <v>36105</v>
      </c>
      <c r="I1658" t="s">
        <v>36106</v>
      </c>
      <c r="J1658" t="s">
        <v>31521</v>
      </c>
      <c r="K1658">
        <v>2014</v>
      </c>
      <c r="L1658" s="1">
        <v>41534</v>
      </c>
      <c r="O1658" t="s">
        <v>7583</v>
      </c>
    </row>
    <row r="1659" spans="1:15" x14ac:dyDescent="0.15">
      <c r="A1659">
        <v>34936368</v>
      </c>
      <c r="B1659">
        <v>17030625</v>
      </c>
      <c r="D1659">
        <v>8915355</v>
      </c>
      <c r="E1659">
        <v>31720646</v>
      </c>
      <c r="F1659" t="s">
        <v>27337</v>
      </c>
      <c r="G1659" t="s">
        <v>36113</v>
      </c>
      <c r="H1659" t="s">
        <v>36114</v>
      </c>
      <c r="I1659" t="s">
        <v>36115</v>
      </c>
      <c r="J1659" t="s">
        <v>31678</v>
      </c>
      <c r="K1659">
        <v>2019</v>
      </c>
      <c r="L1659" s="1">
        <v>43783</v>
      </c>
      <c r="M1659" t="s">
        <v>36116</v>
      </c>
      <c r="N1659" t="s">
        <v>36117</v>
      </c>
      <c r="O1659" t="s">
        <v>27346</v>
      </c>
    </row>
    <row r="1660" spans="1:15" x14ac:dyDescent="0.15">
      <c r="A1660">
        <v>33991505</v>
      </c>
      <c r="B1660">
        <v>16583463</v>
      </c>
      <c r="D1660">
        <v>29800303</v>
      </c>
      <c r="E1660">
        <v>17286953</v>
      </c>
      <c r="F1660" t="s">
        <v>19366</v>
      </c>
      <c r="G1660" t="s">
        <v>36147</v>
      </c>
      <c r="H1660" t="s">
        <v>36148</v>
      </c>
      <c r="I1660" t="s">
        <v>36149</v>
      </c>
      <c r="J1660" t="s">
        <v>36150</v>
      </c>
      <c r="K1660">
        <v>2007</v>
      </c>
      <c r="L1660" s="1">
        <v>39122</v>
      </c>
      <c r="O1660" t="s">
        <v>19378</v>
      </c>
    </row>
    <row r="1661" spans="1:15" x14ac:dyDescent="0.15">
      <c r="A1661">
        <v>33942501</v>
      </c>
      <c r="B1661">
        <v>19400954</v>
      </c>
      <c r="D1661">
        <v>33377869</v>
      </c>
      <c r="E1661">
        <v>27075392</v>
      </c>
      <c r="F1661" t="s">
        <v>14059</v>
      </c>
      <c r="G1661" t="s">
        <v>36157</v>
      </c>
      <c r="H1661" t="s">
        <v>36158</v>
      </c>
      <c r="I1661" t="s">
        <v>36159</v>
      </c>
      <c r="J1661" t="s">
        <v>30796</v>
      </c>
      <c r="K1661">
        <v>2016</v>
      </c>
      <c r="L1661" s="1">
        <v>42475</v>
      </c>
      <c r="M1661" t="s">
        <v>36160</v>
      </c>
      <c r="O1661" t="s">
        <v>14068</v>
      </c>
    </row>
    <row r="1662" spans="1:15" x14ac:dyDescent="0.15">
      <c r="A1662">
        <v>33228110</v>
      </c>
      <c r="B1662">
        <v>19549916</v>
      </c>
      <c r="D1662">
        <v>31322581</v>
      </c>
      <c r="E1662">
        <v>31957088</v>
      </c>
      <c r="F1662" t="s">
        <v>19432</v>
      </c>
      <c r="G1662" t="s">
        <v>36161</v>
      </c>
      <c r="H1662" t="s">
        <v>36162</v>
      </c>
      <c r="I1662" t="s">
        <v>36163</v>
      </c>
      <c r="J1662" t="s">
        <v>32264</v>
      </c>
      <c r="K1662">
        <v>2020</v>
      </c>
      <c r="L1662" s="1">
        <v>43851</v>
      </c>
      <c r="O1662" t="s">
        <v>19442</v>
      </c>
    </row>
    <row r="1663" spans="1:15" x14ac:dyDescent="0.15">
      <c r="A1663">
        <v>32554054</v>
      </c>
      <c r="B1663">
        <v>3323883</v>
      </c>
      <c r="D1663">
        <v>25988873</v>
      </c>
      <c r="E1663">
        <v>14963039</v>
      </c>
      <c r="F1663" t="s">
        <v>15093</v>
      </c>
      <c r="G1663" t="s">
        <v>36169</v>
      </c>
      <c r="H1663" t="s">
        <v>36170</v>
      </c>
      <c r="I1663" t="s">
        <v>36171</v>
      </c>
      <c r="J1663" t="s">
        <v>31594</v>
      </c>
      <c r="K1663">
        <v>2004</v>
      </c>
      <c r="L1663" s="1">
        <v>38031</v>
      </c>
      <c r="O1663" t="s">
        <v>15102</v>
      </c>
    </row>
    <row r="1664" spans="1:15" x14ac:dyDescent="0.15">
      <c r="A1664" t="s">
        <v>74</v>
      </c>
      <c r="B1664">
        <v>21596787</v>
      </c>
      <c r="D1664">
        <v>21677667</v>
      </c>
      <c r="E1664">
        <v>34605236</v>
      </c>
      <c r="F1664" t="s">
        <v>20806</v>
      </c>
      <c r="G1664" t="s">
        <v>36172</v>
      </c>
      <c r="H1664" t="s">
        <v>36173</v>
      </c>
      <c r="I1664" t="s">
        <v>35005</v>
      </c>
      <c r="J1664" t="s">
        <v>30956</v>
      </c>
      <c r="K1664">
        <v>2021</v>
      </c>
      <c r="L1664" s="1">
        <v>44473</v>
      </c>
      <c r="O1664" t="s">
        <v>20815</v>
      </c>
    </row>
    <row r="1665" spans="1:15" x14ac:dyDescent="0.15">
      <c r="A1665">
        <v>33048442</v>
      </c>
      <c r="B1665">
        <v>12417727</v>
      </c>
      <c r="D1665">
        <v>33730188</v>
      </c>
      <c r="E1665">
        <v>24631214</v>
      </c>
      <c r="F1665" t="s">
        <v>11118</v>
      </c>
      <c r="G1665" t="s">
        <v>36174</v>
      </c>
      <c r="H1665" t="s">
        <v>36175</v>
      </c>
      <c r="I1665" t="s">
        <v>36176</v>
      </c>
      <c r="J1665" t="s">
        <v>36177</v>
      </c>
      <c r="K1665">
        <v>2014</v>
      </c>
      <c r="L1665" s="1">
        <v>41716</v>
      </c>
      <c r="M1665" t="s">
        <v>36178</v>
      </c>
      <c r="N1665" t="s">
        <v>36179</v>
      </c>
      <c r="O1665" t="s">
        <v>11131</v>
      </c>
    </row>
    <row r="1666" spans="1:15" x14ac:dyDescent="0.15">
      <c r="A1666">
        <v>28024455</v>
      </c>
      <c r="B1666">
        <v>19141608</v>
      </c>
      <c r="D1666">
        <v>30538148</v>
      </c>
      <c r="E1666">
        <v>31307864</v>
      </c>
      <c r="F1666" t="s">
        <v>11895</v>
      </c>
      <c r="G1666" t="s">
        <v>36201</v>
      </c>
      <c r="H1666" t="s">
        <v>36202</v>
      </c>
      <c r="I1666" t="s">
        <v>36203</v>
      </c>
      <c r="J1666" t="s">
        <v>36204</v>
      </c>
      <c r="K1666">
        <v>2019</v>
      </c>
      <c r="L1666" s="1">
        <v>43663</v>
      </c>
      <c r="M1666" t="s">
        <v>36205</v>
      </c>
      <c r="N1666" t="s">
        <v>36206</v>
      </c>
      <c r="O1666" t="s">
        <v>11906</v>
      </c>
    </row>
    <row r="1667" spans="1:15" x14ac:dyDescent="0.15">
      <c r="A1667">
        <v>29539304</v>
      </c>
      <c r="B1667">
        <v>8823304</v>
      </c>
      <c r="D1667">
        <v>34048709</v>
      </c>
      <c r="E1667">
        <v>10907991</v>
      </c>
      <c r="F1667" t="s">
        <v>36235</v>
      </c>
      <c r="G1667" t="s">
        <v>36236</v>
      </c>
      <c r="H1667" t="s">
        <v>36237</v>
      </c>
      <c r="I1667" t="s">
        <v>36238</v>
      </c>
      <c r="J1667" t="s">
        <v>36239</v>
      </c>
      <c r="K1667">
        <v>2000</v>
      </c>
      <c r="L1667" s="1">
        <v>36732</v>
      </c>
      <c r="O1667" t="s">
        <v>21977</v>
      </c>
    </row>
    <row r="1668" spans="1:15" x14ac:dyDescent="0.15">
      <c r="A1668">
        <v>34141833</v>
      </c>
      <c r="B1668">
        <v>11207362</v>
      </c>
      <c r="D1668">
        <v>31152038</v>
      </c>
      <c r="E1668">
        <v>26480919</v>
      </c>
      <c r="F1668" t="s">
        <v>22886</v>
      </c>
      <c r="G1668" t="s">
        <v>36240</v>
      </c>
      <c r="H1668" t="s">
        <v>36241</v>
      </c>
      <c r="I1668" t="s">
        <v>36242</v>
      </c>
      <c r="J1668" t="s">
        <v>36243</v>
      </c>
      <c r="K1668">
        <v>2015</v>
      </c>
      <c r="L1668" s="1">
        <v>42298</v>
      </c>
      <c r="O1668" t="s">
        <v>22900</v>
      </c>
    </row>
    <row r="1669" spans="1:15" x14ac:dyDescent="0.15">
      <c r="A1669">
        <v>35209901</v>
      </c>
      <c r="B1669">
        <v>21762677</v>
      </c>
      <c r="E1669">
        <v>20833130</v>
      </c>
      <c r="F1669" t="s">
        <v>5203</v>
      </c>
      <c r="G1669" t="s">
        <v>36244</v>
      </c>
      <c r="H1669" t="s">
        <v>36245</v>
      </c>
      <c r="I1669" t="s">
        <v>36246</v>
      </c>
      <c r="J1669" t="s">
        <v>32654</v>
      </c>
      <c r="K1669">
        <v>2010</v>
      </c>
      <c r="L1669" s="1">
        <v>40435</v>
      </c>
      <c r="M1669" t="s">
        <v>36247</v>
      </c>
      <c r="N1669" t="s">
        <v>36248</v>
      </c>
      <c r="O1669" t="s">
        <v>5214</v>
      </c>
    </row>
    <row r="1670" spans="1:15" x14ac:dyDescent="0.15">
      <c r="A1670">
        <v>32570162</v>
      </c>
      <c r="B1670">
        <v>10810147</v>
      </c>
      <c r="E1670">
        <v>1846881</v>
      </c>
      <c r="F1670" t="s">
        <v>36261</v>
      </c>
      <c r="G1670" t="s">
        <v>36262</v>
      </c>
      <c r="H1670" t="s">
        <v>36263</v>
      </c>
      <c r="I1670" t="s">
        <v>36264</v>
      </c>
      <c r="J1670" t="s">
        <v>30566</v>
      </c>
      <c r="K1670">
        <v>1991</v>
      </c>
      <c r="L1670" s="1">
        <v>33270</v>
      </c>
      <c r="M1670" t="s">
        <v>36265</v>
      </c>
      <c r="O1670" t="s">
        <v>26319</v>
      </c>
    </row>
    <row r="1671" spans="1:15" x14ac:dyDescent="0.15">
      <c r="A1671">
        <v>29787437</v>
      </c>
      <c r="B1671">
        <v>20528772</v>
      </c>
      <c r="E1671">
        <v>35112881</v>
      </c>
      <c r="F1671" t="s">
        <v>15901</v>
      </c>
      <c r="G1671" t="s">
        <v>36284</v>
      </c>
      <c r="H1671" t="s">
        <v>36285</v>
      </c>
      <c r="I1671" t="s">
        <v>32575</v>
      </c>
      <c r="J1671" t="s">
        <v>36286</v>
      </c>
      <c r="K1671">
        <v>2022</v>
      </c>
      <c r="L1671" s="1">
        <v>44595</v>
      </c>
      <c r="M1671" t="s">
        <v>36287</v>
      </c>
      <c r="O1671" t="s">
        <v>15911</v>
      </c>
    </row>
    <row r="1672" spans="1:15" x14ac:dyDescent="0.15">
      <c r="A1672">
        <v>33841631</v>
      </c>
      <c r="B1672">
        <v>24859313</v>
      </c>
      <c r="E1672">
        <v>32170015</v>
      </c>
      <c r="F1672" t="s">
        <v>22858</v>
      </c>
      <c r="G1672" t="s">
        <v>36307</v>
      </c>
      <c r="H1672" t="s">
        <v>36308</v>
      </c>
      <c r="I1672" t="s">
        <v>36309</v>
      </c>
      <c r="J1672" t="s">
        <v>30767</v>
      </c>
      <c r="K1672">
        <v>2020</v>
      </c>
      <c r="L1672" s="1">
        <v>43905</v>
      </c>
      <c r="M1672" t="s">
        <v>36310</v>
      </c>
      <c r="O1672" t="s">
        <v>22868</v>
      </c>
    </row>
    <row r="1673" spans="1:15" x14ac:dyDescent="0.15">
      <c r="A1673">
        <v>35267452</v>
      </c>
      <c r="B1673">
        <v>17101774</v>
      </c>
      <c r="E1673">
        <v>30359531</v>
      </c>
      <c r="F1673" t="s">
        <v>26396</v>
      </c>
      <c r="G1673" t="s">
        <v>36317</v>
      </c>
      <c r="H1673" t="s">
        <v>36318</v>
      </c>
      <c r="I1673" t="s">
        <v>30629</v>
      </c>
      <c r="J1673" t="s">
        <v>30956</v>
      </c>
      <c r="K1673">
        <v>2018</v>
      </c>
      <c r="L1673" s="1">
        <v>43399</v>
      </c>
      <c r="M1673" t="s">
        <v>36319</v>
      </c>
      <c r="N1673" t="s">
        <v>36320</v>
      </c>
      <c r="O1673" t="s">
        <v>26404</v>
      </c>
    </row>
    <row r="1674" spans="1:15" x14ac:dyDescent="0.15">
      <c r="A1674">
        <v>30387839</v>
      </c>
      <c r="B1674">
        <v>29916023</v>
      </c>
      <c r="E1674">
        <v>19390692</v>
      </c>
      <c r="F1674" t="s">
        <v>36321</v>
      </c>
      <c r="G1674" t="s">
        <v>36322</v>
      </c>
      <c r="H1674" t="s">
        <v>36323</v>
      </c>
      <c r="I1674" t="s">
        <v>32476</v>
      </c>
      <c r="J1674" t="s">
        <v>31639</v>
      </c>
      <c r="K1674">
        <v>2009</v>
      </c>
      <c r="L1674" s="1">
        <v>39928</v>
      </c>
      <c r="M1674" t="s">
        <v>36324</v>
      </c>
      <c r="O1674" t="s">
        <v>25676</v>
      </c>
    </row>
    <row r="1675" spans="1:15" x14ac:dyDescent="0.15">
      <c r="A1675">
        <v>33799709</v>
      </c>
      <c r="B1675">
        <v>22491717</v>
      </c>
      <c r="E1675">
        <v>1719228</v>
      </c>
      <c r="F1675" t="s">
        <v>36331</v>
      </c>
      <c r="G1675" t="s">
        <v>36332</v>
      </c>
      <c r="H1675" t="s">
        <v>36333</v>
      </c>
      <c r="I1675" t="s">
        <v>36334</v>
      </c>
      <c r="J1675" t="s">
        <v>31970</v>
      </c>
      <c r="K1675">
        <v>1991</v>
      </c>
      <c r="L1675" s="1">
        <v>33573</v>
      </c>
      <c r="M1675" t="s">
        <v>36335</v>
      </c>
      <c r="O1675" t="s">
        <v>26075</v>
      </c>
    </row>
    <row r="1676" spans="1:15" x14ac:dyDescent="0.15">
      <c r="A1676">
        <v>33975677</v>
      </c>
      <c r="B1676">
        <v>25110305</v>
      </c>
      <c r="E1676">
        <v>21098229</v>
      </c>
      <c r="F1676" t="s">
        <v>36359</v>
      </c>
      <c r="G1676" t="s">
        <v>36360</v>
      </c>
      <c r="H1676" t="s">
        <v>36361</v>
      </c>
      <c r="I1676" t="s">
        <v>36362</v>
      </c>
      <c r="J1676" t="s">
        <v>32819</v>
      </c>
      <c r="K1676">
        <v>2010</v>
      </c>
      <c r="L1676" s="1">
        <v>40507</v>
      </c>
      <c r="O1676" t="s">
        <v>13967</v>
      </c>
    </row>
    <row r="1677" spans="1:15" x14ac:dyDescent="0.15">
      <c r="A1677">
        <v>28730229</v>
      </c>
      <c r="B1677">
        <v>16054883</v>
      </c>
      <c r="E1677">
        <v>9106484</v>
      </c>
      <c r="F1677" t="s">
        <v>36379</v>
      </c>
      <c r="G1677" t="s">
        <v>36380</v>
      </c>
      <c r="H1677" t="s">
        <v>36381</v>
      </c>
      <c r="I1677" t="s">
        <v>36382</v>
      </c>
      <c r="J1677" t="s">
        <v>34553</v>
      </c>
      <c r="K1677">
        <v>1997</v>
      </c>
      <c r="L1677" s="1">
        <v>35523</v>
      </c>
      <c r="O1677" t="s">
        <v>36383</v>
      </c>
    </row>
    <row r="1678" spans="1:15" x14ac:dyDescent="0.15">
      <c r="A1678">
        <v>33436517</v>
      </c>
      <c r="B1678">
        <v>17450151</v>
      </c>
      <c r="E1678">
        <v>25082876</v>
      </c>
      <c r="F1678" t="s">
        <v>36428</v>
      </c>
      <c r="G1678" t="s">
        <v>36429</v>
      </c>
      <c r="H1678" t="s">
        <v>36430</v>
      </c>
      <c r="I1678" t="s">
        <v>36431</v>
      </c>
      <c r="J1678" t="s">
        <v>30600</v>
      </c>
      <c r="K1678">
        <v>2014</v>
      </c>
      <c r="L1678" s="1">
        <v>41853</v>
      </c>
      <c r="M1678" t="s">
        <v>36432</v>
      </c>
      <c r="O1678" t="s">
        <v>20379</v>
      </c>
    </row>
    <row r="1679" spans="1:15" x14ac:dyDescent="0.15">
      <c r="A1679">
        <v>34649994</v>
      </c>
      <c r="B1679">
        <v>11090220</v>
      </c>
      <c r="E1679">
        <v>1649554</v>
      </c>
      <c r="F1679" t="s">
        <v>36439</v>
      </c>
      <c r="G1679" t="s">
        <v>36440</v>
      </c>
      <c r="H1679" t="s">
        <v>36441</v>
      </c>
      <c r="I1679" t="s">
        <v>36442</v>
      </c>
      <c r="J1679" t="s">
        <v>32741</v>
      </c>
      <c r="K1679">
        <v>1991</v>
      </c>
      <c r="L1679" s="1">
        <v>33420</v>
      </c>
      <c r="M1679" t="s">
        <v>36443</v>
      </c>
    </row>
    <row r="1680" spans="1:15" x14ac:dyDescent="0.15">
      <c r="A1680">
        <v>31397847</v>
      </c>
      <c r="B1680">
        <v>29197005</v>
      </c>
      <c r="E1680">
        <v>35673560</v>
      </c>
      <c r="F1680" t="s">
        <v>36460</v>
      </c>
      <c r="G1680" t="s">
        <v>36461</v>
      </c>
      <c r="H1680" t="s">
        <v>36462</v>
      </c>
      <c r="I1680" t="s">
        <v>36463</v>
      </c>
      <c r="J1680" t="s">
        <v>30588</v>
      </c>
      <c r="K1680">
        <v>2022</v>
      </c>
      <c r="L1680" s="1">
        <v>44720</v>
      </c>
      <c r="M1680" t="s">
        <v>36464</v>
      </c>
      <c r="O1680" t="s">
        <v>20470</v>
      </c>
    </row>
    <row r="1681" spans="1:15" x14ac:dyDescent="0.15">
      <c r="A1681" t="s">
        <v>74</v>
      </c>
      <c r="B1681">
        <v>8794864</v>
      </c>
      <c r="E1681">
        <v>10532697</v>
      </c>
      <c r="F1681" t="s">
        <v>23539</v>
      </c>
      <c r="G1681" t="s">
        <v>36465</v>
      </c>
      <c r="H1681" t="s">
        <v>36466</v>
      </c>
      <c r="I1681" t="s">
        <v>36467</v>
      </c>
      <c r="J1681" t="s">
        <v>34190</v>
      </c>
      <c r="K1681">
        <v>1999</v>
      </c>
      <c r="L1681" s="1">
        <v>36459</v>
      </c>
      <c r="O1681" t="s">
        <v>36468</v>
      </c>
    </row>
    <row r="1682" spans="1:15" x14ac:dyDescent="0.15">
      <c r="A1682">
        <v>33950741</v>
      </c>
      <c r="B1682">
        <v>34089229</v>
      </c>
      <c r="E1682">
        <v>34234173</v>
      </c>
      <c r="F1682" t="s">
        <v>18016</v>
      </c>
      <c r="G1682" t="s">
        <v>36494</v>
      </c>
      <c r="H1682" t="s">
        <v>36495</v>
      </c>
      <c r="I1682" t="s">
        <v>36496</v>
      </c>
      <c r="J1682" t="s">
        <v>30834</v>
      </c>
      <c r="K1682">
        <v>2021</v>
      </c>
      <c r="L1682" s="1">
        <v>44385</v>
      </c>
      <c r="M1682" t="s">
        <v>36497</v>
      </c>
      <c r="O1682" t="s">
        <v>18025</v>
      </c>
    </row>
    <row r="1683" spans="1:15" x14ac:dyDescent="0.15">
      <c r="A1683">
        <v>34587992</v>
      </c>
      <c r="B1683">
        <v>19996457</v>
      </c>
      <c r="E1683">
        <v>21623458</v>
      </c>
      <c r="F1683" t="s">
        <v>36522</v>
      </c>
      <c r="G1683" t="s">
        <v>36523</v>
      </c>
      <c r="H1683" t="s">
        <v>36524</v>
      </c>
      <c r="I1683" t="s">
        <v>36525</v>
      </c>
      <c r="J1683" t="s">
        <v>35811</v>
      </c>
      <c r="K1683">
        <v>2011</v>
      </c>
      <c r="L1683" s="1">
        <v>40694</v>
      </c>
      <c r="M1683" t="s">
        <v>36526</v>
      </c>
      <c r="O1683" t="s">
        <v>2735</v>
      </c>
    </row>
    <row r="1684" spans="1:15" x14ac:dyDescent="0.15">
      <c r="A1684">
        <v>34610313</v>
      </c>
      <c r="B1684">
        <v>24145019</v>
      </c>
      <c r="E1684">
        <v>32602227</v>
      </c>
      <c r="F1684" t="s">
        <v>36545</v>
      </c>
      <c r="G1684" t="s">
        <v>36546</v>
      </c>
      <c r="H1684" t="s">
        <v>36547</v>
      </c>
      <c r="I1684" t="s">
        <v>36548</v>
      </c>
      <c r="J1684" t="s">
        <v>36549</v>
      </c>
      <c r="K1684">
        <v>2020</v>
      </c>
      <c r="L1684" s="1">
        <v>44013</v>
      </c>
      <c r="M1684" t="s">
        <v>36550</v>
      </c>
      <c r="N1684" t="s">
        <v>36551</v>
      </c>
      <c r="O1684" t="s">
        <v>16982</v>
      </c>
    </row>
    <row r="1685" spans="1:15" x14ac:dyDescent="0.15">
      <c r="A1685">
        <v>22192456</v>
      </c>
      <c r="B1685">
        <v>28502611</v>
      </c>
      <c r="E1685">
        <v>9581791</v>
      </c>
      <c r="F1685" t="s">
        <v>36602</v>
      </c>
      <c r="G1685" t="s">
        <v>36603</v>
      </c>
      <c r="H1685" t="s">
        <v>36604</v>
      </c>
      <c r="I1685" t="s">
        <v>36605</v>
      </c>
      <c r="J1685" t="s">
        <v>932</v>
      </c>
      <c r="K1685">
        <v>1998</v>
      </c>
      <c r="L1685" s="1">
        <v>35930</v>
      </c>
      <c r="O1685" t="s">
        <v>21292</v>
      </c>
    </row>
    <row r="1686" spans="1:15" x14ac:dyDescent="0.15">
      <c r="A1686">
        <v>26954233</v>
      </c>
      <c r="B1686">
        <v>24871369</v>
      </c>
      <c r="E1686">
        <v>21553248</v>
      </c>
      <c r="F1686" t="s">
        <v>36646</v>
      </c>
      <c r="G1686" t="s">
        <v>36647</v>
      </c>
      <c r="H1686" t="s">
        <v>36648</v>
      </c>
      <c r="I1686" t="s">
        <v>36649</v>
      </c>
      <c r="J1686" t="s">
        <v>36650</v>
      </c>
      <c r="K1686">
        <v>2011</v>
      </c>
      <c r="L1686" s="1">
        <v>40673</v>
      </c>
      <c r="M1686" t="s">
        <v>36651</v>
      </c>
      <c r="N1686" t="s">
        <v>36652</v>
      </c>
      <c r="O1686" t="s">
        <v>5668</v>
      </c>
    </row>
    <row r="1687" spans="1:15" x14ac:dyDescent="0.15">
      <c r="A1687">
        <v>29192155</v>
      </c>
      <c r="B1687">
        <v>17708745</v>
      </c>
      <c r="E1687">
        <v>1569964</v>
      </c>
      <c r="F1687" t="s">
        <v>36701</v>
      </c>
      <c r="G1687" t="s">
        <v>36702</v>
      </c>
      <c r="H1687" t="s">
        <v>36703</v>
      </c>
      <c r="I1687" t="s">
        <v>36704</v>
      </c>
      <c r="J1687" t="s">
        <v>36705</v>
      </c>
      <c r="K1687">
        <v>1992</v>
      </c>
      <c r="L1687" s="1">
        <v>33635</v>
      </c>
      <c r="O1687" t="s">
        <v>36706</v>
      </c>
    </row>
    <row r="1688" spans="1:15" x14ac:dyDescent="0.15">
      <c r="A1688">
        <v>35133877</v>
      </c>
      <c r="B1688">
        <v>11696331</v>
      </c>
      <c r="E1688">
        <v>25408252</v>
      </c>
      <c r="F1688" t="s">
        <v>36783</v>
      </c>
      <c r="G1688" t="s">
        <v>36784</v>
      </c>
      <c r="H1688" t="s">
        <v>36785</v>
      </c>
      <c r="I1688" t="s">
        <v>36786</v>
      </c>
      <c r="J1688" t="s">
        <v>32433</v>
      </c>
      <c r="K1688">
        <v>2015</v>
      </c>
      <c r="L1688" s="1">
        <v>41963</v>
      </c>
      <c r="M1688" t="s">
        <v>36787</v>
      </c>
      <c r="O1688" t="s">
        <v>17995</v>
      </c>
    </row>
    <row r="1689" spans="1:15" x14ac:dyDescent="0.15">
      <c r="A1689">
        <v>27317177</v>
      </c>
      <c r="B1689">
        <v>6841453</v>
      </c>
      <c r="E1689">
        <v>29343810</v>
      </c>
      <c r="F1689" t="s">
        <v>16681</v>
      </c>
      <c r="G1689" t="s">
        <v>36807</v>
      </c>
      <c r="H1689" t="s">
        <v>36808</v>
      </c>
      <c r="I1689" t="s">
        <v>36809</v>
      </c>
      <c r="J1689" t="s">
        <v>30834</v>
      </c>
      <c r="K1689">
        <v>2018</v>
      </c>
      <c r="L1689" s="1">
        <v>43119</v>
      </c>
      <c r="M1689" t="s">
        <v>36810</v>
      </c>
      <c r="O1689" t="s">
        <v>16691</v>
      </c>
    </row>
    <row r="1690" spans="1:15" x14ac:dyDescent="0.15">
      <c r="A1690">
        <v>31632463</v>
      </c>
      <c r="B1690">
        <v>33819778</v>
      </c>
      <c r="E1690">
        <v>9368286</v>
      </c>
      <c r="F1690" t="s">
        <v>20544</v>
      </c>
      <c r="G1690" t="s">
        <v>36811</v>
      </c>
      <c r="H1690" t="s">
        <v>36812</v>
      </c>
      <c r="I1690" t="s">
        <v>36813</v>
      </c>
      <c r="J1690" t="s">
        <v>30893</v>
      </c>
      <c r="K1690">
        <v>1997</v>
      </c>
      <c r="L1690" s="1">
        <v>35431</v>
      </c>
      <c r="O1690" t="s">
        <v>36814</v>
      </c>
    </row>
    <row r="1691" spans="1:15" x14ac:dyDescent="0.15">
      <c r="A1691">
        <v>32857097</v>
      </c>
      <c r="B1691">
        <v>25925570</v>
      </c>
      <c r="E1691">
        <v>23284671</v>
      </c>
      <c r="F1691" t="s">
        <v>36845</v>
      </c>
      <c r="G1691" t="s">
        <v>36846</v>
      </c>
      <c r="H1691" t="s">
        <v>36847</v>
      </c>
      <c r="I1691" t="s">
        <v>36848</v>
      </c>
      <c r="J1691" t="s">
        <v>31639</v>
      </c>
      <c r="K1691">
        <v>2012</v>
      </c>
      <c r="L1691" s="1">
        <v>41278</v>
      </c>
      <c r="M1691" t="s">
        <v>36849</v>
      </c>
      <c r="O1691" t="s">
        <v>22456</v>
      </c>
    </row>
    <row r="1692" spans="1:15" x14ac:dyDescent="0.15">
      <c r="A1692" t="s">
        <v>74</v>
      </c>
      <c r="B1692">
        <v>23302111</v>
      </c>
      <c r="E1692">
        <v>15709166</v>
      </c>
      <c r="F1692" t="s">
        <v>19445</v>
      </c>
      <c r="G1692" t="s">
        <v>36850</v>
      </c>
      <c r="H1692" t="s">
        <v>36851</v>
      </c>
      <c r="I1692" t="s">
        <v>36852</v>
      </c>
      <c r="J1692" t="s">
        <v>32039</v>
      </c>
      <c r="K1692">
        <v>2005</v>
      </c>
      <c r="L1692" s="1">
        <v>38398</v>
      </c>
    </row>
    <row r="1693" spans="1:15" x14ac:dyDescent="0.15">
      <c r="A1693">
        <v>35289089</v>
      </c>
      <c r="B1693">
        <v>25089631</v>
      </c>
      <c r="E1693">
        <v>31732191</v>
      </c>
      <c r="F1693" t="s">
        <v>28422</v>
      </c>
      <c r="G1693" t="s">
        <v>36865</v>
      </c>
      <c r="H1693" t="s">
        <v>36866</v>
      </c>
      <c r="I1693" t="s">
        <v>36867</v>
      </c>
      <c r="J1693" t="s">
        <v>32536</v>
      </c>
      <c r="K1693">
        <v>2020</v>
      </c>
      <c r="L1693" s="1">
        <v>43786</v>
      </c>
      <c r="O1693" t="s">
        <v>28432</v>
      </c>
    </row>
    <row r="1694" spans="1:15" x14ac:dyDescent="0.15">
      <c r="A1694">
        <v>32441840</v>
      </c>
      <c r="B1694">
        <v>31871254</v>
      </c>
      <c r="E1694">
        <v>14642889</v>
      </c>
      <c r="F1694" t="s">
        <v>36885</v>
      </c>
      <c r="G1694" t="s">
        <v>36886</v>
      </c>
      <c r="H1694" t="s">
        <v>36887</v>
      </c>
      <c r="I1694" t="s">
        <v>36888</v>
      </c>
      <c r="J1694" t="s">
        <v>32541</v>
      </c>
      <c r="K1694">
        <v>2004</v>
      </c>
      <c r="L1694" s="1">
        <v>37958</v>
      </c>
      <c r="O1694" t="s">
        <v>25586</v>
      </c>
    </row>
    <row r="1695" spans="1:15" x14ac:dyDescent="0.15">
      <c r="A1695">
        <v>32468709</v>
      </c>
      <c r="B1695">
        <v>17124606</v>
      </c>
      <c r="E1695">
        <v>28408343</v>
      </c>
      <c r="F1695" t="s">
        <v>26383</v>
      </c>
      <c r="G1695" t="s">
        <v>36943</v>
      </c>
      <c r="H1695" t="s">
        <v>36944</v>
      </c>
      <c r="I1695" t="s">
        <v>36945</v>
      </c>
      <c r="J1695" t="s">
        <v>34368</v>
      </c>
      <c r="K1695">
        <v>2017</v>
      </c>
      <c r="L1695" s="1">
        <v>42840</v>
      </c>
      <c r="O1695" t="s">
        <v>26392</v>
      </c>
    </row>
    <row r="1696" spans="1:15" x14ac:dyDescent="0.15">
      <c r="A1696">
        <v>30358122</v>
      </c>
      <c r="B1696">
        <v>9041195</v>
      </c>
      <c r="E1696">
        <v>8282779</v>
      </c>
      <c r="F1696" t="s">
        <v>36959</v>
      </c>
      <c r="G1696" t="s">
        <v>36960</v>
      </c>
      <c r="H1696" t="s">
        <v>36961</v>
      </c>
      <c r="I1696" t="s">
        <v>36962</v>
      </c>
      <c r="J1696" t="s">
        <v>30566</v>
      </c>
      <c r="K1696">
        <v>1994</v>
      </c>
      <c r="L1696" s="1">
        <v>34335</v>
      </c>
      <c r="M1696" t="s">
        <v>36963</v>
      </c>
      <c r="O1696" t="s">
        <v>27585</v>
      </c>
    </row>
    <row r="1697" spans="1:15" x14ac:dyDescent="0.15">
      <c r="A1697">
        <v>33519169</v>
      </c>
      <c r="B1697">
        <v>26337667</v>
      </c>
      <c r="E1697">
        <v>26959653</v>
      </c>
      <c r="F1697" t="s">
        <v>18154</v>
      </c>
      <c r="G1697" t="s">
        <v>37009</v>
      </c>
      <c r="H1697" t="s">
        <v>37010</v>
      </c>
      <c r="I1697" t="s">
        <v>37011</v>
      </c>
      <c r="J1697" t="s">
        <v>32328</v>
      </c>
      <c r="K1697">
        <v>2016</v>
      </c>
      <c r="L1697" s="1">
        <v>42439</v>
      </c>
      <c r="O1697" t="s">
        <v>18162</v>
      </c>
    </row>
    <row r="1698" spans="1:15" x14ac:dyDescent="0.15">
      <c r="A1698">
        <v>33118919</v>
      </c>
      <c r="B1698">
        <v>21616097</v>
      </c>
      <c r="E1698">
        <v>28368488</v>
      </c>
      <c r="F1698" t="s">
        <v>20259</v>
      </c>
      <c r="G1698" t="s">
        <v>37018</v>
      </c>
      <c r="H1698" t="s">
        <v>37019</v>
      </c>
      <c r="I1698" t="s">
        <v>37020</v>
      </c>
      <c r="J1698" t="s">
        <v>32228</v>
      </c>
      <c r="K1698">
        <v>2017</v>
      </c>
      <c r="L1698" s="1">
        <v>42829</v>
      </c>
      <c r="O1698" t="s">
        <v>20269</v>
      </c>
    </row>
    <row r="1699" spans="1:15" x14ac:dyDescent="0.15">
      <c r="A1699">
        <v>34160815</v>
      </c>
      <c r="B1699">
        <v>17595520</v>
      </c>
      <c r="E1699">
        <v>21893226</v>
      </c>
      <c r="F1699" t="s">
        <v>24799</v>
      </c>
      <c r="G1699" t="s">
        <v>37021</v>
      </c>
      <c r="H1699" t="s">
        <v>37022</v>
      </c>
      <c r="I1699" t="s">
        <v>37023</v>
      </c>
      <c r="J1699" t="s">
        <v>36781</v>
      </c>
      <c r="K1699">
        <v>2011</v>
      </c>
      <c r="L1699" s="1">
        <v>40793</v>
      </c>
      <c r="O1699" t="s">
        <v>24811</v>
      </c>
    </row>
    <row r="1700" spans="1:15" x14ac:dyDescent="0.15">
      <c r="A1700">
        <v>34042225</v>
      </c>
      <c r="B1700">
        <v>23284067</v>
      </c>
      <c r="E1700">
        <v>19483673</v>
      </c>
      <c r="F1700" t="s">
        <v>18610</v>
      </c>
      <c r="G1700" t="s">
        <v>37041</v>
      </c>
      <c r="H1700" t="s">
        <v>37042</v>
      </c>
      <c r="I1700" t="s">
        <v>37043</v>
      </c>
      <c r="J1700" t="s">
        <v>35353</v>
      </c>
      <c r="K1700">
        <v>2009</v>
      </c>
      <c r="L1700" s="1">
        <v>39966</v>
      </c>
      <c r="M1700" t="s">
        <v>37044</v>
      </c>
      <c r="O1700" t="s">
        <v>18620</v>
      </c>
    </row>
    <row r="1701" spans="1:15" x14ac:dyDescent="0.15">
      <c r="A1701">
        <v>32349226</v>
      </c>
      <c r="B1701">
        <v>17492310</v>
      </c>
      <c r="E1701">
        <v>23869968</v>
      </c>
      <c r="F1701" t="s">
        <v>14454</v>
      </c>
      <c r="G1701" t="s">
        <v>37075</v>
      </c>
      <c r="H1701" t="s">
        <v>37076</v>
      </c>
      <c r="I1701" t="s">
        <v>37077</v>
      </c>
      <c r="J1701" t="s">
        <v>33076</v>
      </c>
      <c r="K1701">
        <v>2013</v>
      </c>
      <c r="L1701" s="1">
        <v>41478</v>
      </c>
      <c r="O1701" t="s">
        <v>14466</v>
      </c>
    </row>
    <row r="1702" spans="1:15" x14ac:dyDescent="0.15">
      <c r="A1702">
        <v>34847299</v>
      </c>
      <c r="B1702">
        <v>7753798</v>
      </c>
      <c r="E1702">
        <v>29317705</v>
      </c>
      <c r="F1702" t="s">
        <v>18692</v>
      </c>
      <c r="G1702" t="s">
        <v>37112</v>
      </c>
      <c r="H1702" t="s">
        <v>37113</v>
      </c>
      <c r="I1702" t="s">
        <v>37114</v>
      </c>
      <c r="J1702" t="s">
        <v>30834</v>
      </c>
      <c r="K1702">
        <v>2018</v>
      </c>
      <c r="L1702" s="1">
        <v>43111</v>
      </c>
      <c r="M1702" t="s">
        <v>37115</v>
      </c>
      <c r="O1702" t="s">
        <v>18701</v>
      </c>
    </row>
    <row r="1703" spans="1:15" x14ac:dyDescent="0.15">
      <c r="A1703">
        <v>34066801</v>
      </c>
      <c r="B1703">
        <v>12414805</v>
      </c>
      <c r="E1703">
        <v>32753598</v>
      </c>
      <c r="F1703" t="s">
        <v>24667</v>
      </c>
      <c r="G1703" t="s">
        <v>37160</v>
      </c>
      <c r="H1703" t="s">
        <v>37161</v>
      </c>
      <c r="I1703" t="s">
        <v>37162</v>
      </c>
      <c r="J1703" t="s">
        <v>30796</v>
      </c>
      <c r="K1703">
        <v>2020</v>
      </c>
      <c r="L1703" s="1">
        <v>44049</v>
      </c>
      <c r="M1703" t="s">
        <v>37163</v>
      </c>
      <c r="O1703" t="s">
        <v>24676</v>
      </c>
    </row>
    <row r="1704" spans="1:15" x14ac:dyDescent="0.15">
      <c r="A1704">
        <v>34270378</v>
      </c>
      <c r="B1704">
        <v>20634320</v>
      </c>
      <c r="E1704">
        <v>15655551</v>
      </c>
      <c r="F1704" t="s">
        <v>10348</v>
      </c>
      <c r="G1704" t="s">
        <v>37164</v>
      </c>
      <c r="H1704" t="s">
        <v>37165</v>
      </c>
      <c r="I1704" t="s">
        <v>37166</v>
      </c>
      <c r="J1704" t="s">
        <v>31952</v>
      </c>
      <c r="K1704">
        <v>2005</v>
      </c>
      <c r="L1704" s="1">
        <v>38371</v>
      </c>
      <c r="M1704" t="s">
        <v>37167</v>
      </c>
      <c r="O1704" t="s">
        <v>10360</v>
      </c>
    </row>
    <row r="1705" spans="1:15" x14ac:dyDescent="0.15">
      <c r="A1705">
        <v>34178690</v>
      </c>
      <c r="B1705">
        <v>34145038</v>
      </c>
      <c r="E1705">
        <v>29750752</v>
      </c>
      <c r="F1705" t="s">
        <v>24312</v>
      </c>
      <c r="G1705" t="s">
        <v>37190</v>
      </c>
      <c r="H1705" t="s">
        <v>37191</v>
      </c>
      <c r="I1705" t="s">
        <v>37192</v>
      </c>
      <c r="J1705" t="s">
        <v>37193</v>
      </c>
      <c r="K1705">
        <v>2018</v>
      </c>
      <c r="L1705" s="1">
        <v>43232</v>
      </c>
      <c r="O1705" t="s">
        <v>24320</v>
      </c>
    </row>
    <row r="1706" spans="1:15" x14ac:dyDescent="0.15">
      <c r="A1706">
        <v>30519544</v>
      </c>
      <c r="B1706">
        <v>20329788</v>
      </c>
      <c r="E1706">
        <v>25472905</v>
      </c>
      <c r="F1706" t="s">
        <v>11136</v>
      </c>
      <c r="G1706" t="s">
        <v>37261</v>
      </c>
      <c r="H1706" t="s">
        <v>37262</v>
      </c>
      <c r="I1706" t="s">
        <v>37263</v>
      </c>
      <c r="J1706" t="s">
        <v>37264</v>
      </c>
      <c r="K1706">
        <v>2014</v>
      </c>
      <c r="L1706" s="1">
        <v>41978</v>
      </c>
      <c r="M1706" t="s">
        <v>37265</v>
      </c>
      <c r="O1706" t="s">
        <v>11147</v>
      </c>
    </row>
    <row r="1707" spans="1:15" x14ac:dyDescent="0.15">
      <c r="A1707">
        <v>26204397</v>
      </c>
      <c r="B1707">
        <v>16857350</v>
      </c>
      <c r="E1707">
        <v>14764679</v>
      </c>
      <c r="F1707" t="s">
        <v>14950</v>
      </c>
      <c r="G1707" t="s">
        <v>37278</v>
      </c>
      <c r="H1707" t="s">
        <v>37279</v>
      </c>
      <c r="I1707" t="s">
        <v>37280</v>
      </c>
      <c r="J1707" t="s">
        <v>32819</v>
      </c>
      <c r="K1707">
        <v>2004</v>
      </c>
      <c r="L1707" s="1">
        <v>38024</v>
      </c>
      <c r="O1707" t="s">
        <v>14959</v>
      </c>
    </row>
    <row r="1708" spans="1:15" x14ac:dyDescent="0.15">
      <c r="A1708">
        <v>27753024</v>
      </c>
      <c r="B1708">
        <v>15121901</v>
      </c>
      <c r="E1708">
        <v>19679100</v>
      </c>
      <c r="F1708" t="s">
        <v>4407</v>
      </c>
      <c r="G1708" t="s">
        <v>37281</v>
      </c>
      <c r="H1708" t="s">
        <v>37282</v>
      </c>
      <c r="I1708" t="s">
        <v>37283</v>
      </c>
      <c r="J1708" t="s">
        <v>32654</v>
      </c>
      <c r="K1708">
        <v>2009</v>
      </c>
      <c r="L1708" s="1">
        <v>40040</v>
      </c>
      <c r="M1708" t="s">
        <v>37284</v>
      </c>
      <c r="N1708" t="s">
        <v>37285</v>
      </c>
      <c r="O1708" t="s">
        <v>4416</v>
      </c>
    </row>
    <row r="1709" spans="1:15" x14ac:dyDescent="0.15">
      <c r="A1709" t="s">
        <v>74</v>
      </c>
      <c r="B1709">
        <v>22653377</v>
      </c>
      <c r="E1709">
        <v>35142442</v>
      </c>
      <c r="F1709" t="s">
        <v>18362</v>
      </c>
      <c r="G1709" t="s">
        <v>37291</v>
      </c>
      <c r="H1709" t="s">
        <v>37292</v>
      </c>
      <c r="I1709" t="s">
        <v>37293</v>
      </c>
      <c r="J1709" t="s">
        <v>37294</v>
      </c>
      <c r="K1709">
        <v>2022</v>
      </c>
      <c r="L1709" s="1">
        <v>44602</v>
      </c>
      <c r="O1709" t="s">
        <v>18375</v>
      </c>
    </row>
    <row r="1710" spans="1:15" x14ac:dyDescent="0.15">
      <c r="A1710">
        <v>34294160</v>
      </c>
      <c r="B1710">
        <v>25156738</v>
      </c>
      <c r="E1710">
        <v>33128169</v>
      </c>
      <c r="F1710" t="s">
        <v>21260</v>
      </c>
      <c r="G1710" t="s">
        <v>37295</v>
      </c>
      <c r="H1710" t="s">
        <v>37296</v>
      </c>
      <c r="I1710" t="s">
        <v>37297</v>
      </c>
      <c r="J1710" t="s">
        <v>33600</v>
      </c>
      <c r="K1710">
        <v>2021</v>
      </c>
      <c r="L1710" s="1">
        <v>44135</v>
      </c>
      <c r="M1710" t="s">
        <v>37298</v>
      </c>
      <c r="O1710" t="s">
        <v>21269</v>
      </c>
    </row>
    <row r="1711" spans="1:15" x14ac:dyDescent="0.15">
      <c r="A1711">
        <v>34696694</v>
      </c>
      <c r="B1711">
        <v>9756864</v>
      </c>
      <c r="E1711">
        <v>8621763</v>
      </c>
      <c r="F1711" t="s">
        <v>25478</v>
      </c>
      <c r="G1711" t="s">
        <v>37299</v>
      </c>
      <c r="H1711" t="s">
        <v>37300</v>
      </c>
      <c r="I1711" t="s">
        <v>37301</v>
      </c>
      <c r="J1711" t="s">
        <v>30566</v>
      </c>
      <c r="K1711">
        <v>1996</v>
      </c>
      <c r="L1711" s="1">
        <v>35170</v>
      </c>
      <c r="M1711" t="s">
        <v>37302</v>
      </c>
      <c r="O1711" t="s">
        <v>25486</v>
      </c>
    </row>
    <row r="1712" spans="1:15" x14ac:dyDescent="0.15">
      <c r="A1712">
        <v>33406722</v>
      </c>
      <c r="B1712">
        <v>15778452</v>
      </c>
      <c r="E1712">
        <v>34698812</v>
      </c>
      <c r="F1712" t="s">
        <v>27913</v>
      </c>
      <c r="G1712" t="s">
        <v>37319</v>
      </c>
      <c r="H1712" t="s">
        <v>37320</v>
      </c>
      <c r="I1712" t="s">
        <v>37321</v>
      </c>
      <c r="J1712" t="s">
        <v>37322</v>
      </c>
      <c r="K1712">
        <v>2022</v>
      </c>
      <c r="L1712" s="1">
        <v>44495</v>
      </c>
      <c r="O1712" t="s">
        <v>27924</v>
      </c>
    </row>
    <row r="1713" spans="1:15" x14ac:dyDescent="0.15">
      <c r="A1713">
        <v>35344325</v>
      </c>
      <c r="B1713">
        <v>7945469</v>
      </c>
      <c r="E1713">
        <v>30646958</v>
      </c>
      <c r="F1713" t="s">
        <v>37339</v>
      </c>
      <c r="G1713" t="s">
        <v>37340</v>
      </c>
      <c r="H1713" t="s">
        <v>37341</v>
      </c>
      <c r="I1713" t="s">
        <v>37342</v>
      </c>
      <c r="J1713" t="s">
        <v>30740</v>
      </c>
      <c r="K1713">
        <v>2019</v>
      </c>
      <c r="L1713" s="1">
        <v>43482</v>
      </c>
      <c r="M1713" t="s">
        <v>37343</v>
      </c>
      <c r="O1713" t="s">
        <v>11949</v>
      </c>
    </row>
    <row r="1714" spans="1:15" x14ac:dyDescent="0.15">
      <c r="A1714">
        <v>35064769</v>
      </c>
      <c r="B1714">
        <v>32264958</v>
      </c>
      <c r="E1714">
        <v>21880748</v>
      </c>
      <c r="F1714" t="s">
        <v>37344</v>
      </c>
      <c r="G1714" t="s">
        <v>37345</v>
      </c>
      <c r="H1714" t="s">
        <v>37346</v>
      </c>
      <c r="I1714" t="s">
        <v>37347</v>
      </c>
      <c r="J1714" t="s">
        <v>31970</v>
      </c>
      <c r="K1714">
        <v>2011</v>
      </c>
      <c r="L1714" s="1">
        <v>40788</v>
      </c>
      <c r="M1714" t="s">
        <v>37348</v>
      </c>
      <c r="O1714" t="s">
        <v>25899</v>
      </c>
    </row>
    <row r="1715" spans="1:15" x14ac:dyDescent="0.15">
      <c r="A1715">
        <v>35215922</v>
      </c>
      <c r="B1715">
        <v>14645565</v>
      </c>
      <c r="E1715">
        <v>31896533</v>
      </c>
      <c r="F1715" t="s">
        <v>22327</v>
      </c>
      <c r="G1715" t="s">
        <v>37360</v>
      </c>
      <c r="H1715" t="s">
        <v>37361</v>
      </c>
      <c r="I1715" t="s">
        <v>37362</v>
      </c>
      <c r="J1715" t="s">
        <v>37363</v>
      </c>
      <c r="K1715">
        <v>2020</v>
      </c>
      <c r="L1715" s="1">
        <v>43834</v>
      </c>
      <c r="O1715" t="s">
        <v>22339</v>
      </c>
    </row>
    <row r="1716" spans="1:15" x14ac:dyDescent="0.15">
      <c r="A1716">
        <v>35028802</v>
      </c>
      <c r="B1716">
        <v>21729877</v>
      </c>
      <c r="E1716">
        <v>31808871</v>
      </c>
      <c r="F1716" t="s">
        <v>19660</v>
      </c>
      <c r="G1716" t="s">
        <v>37364</v>
      </c>
      <c r="H1716" t="s">
        <v>37365</v>
      </c>
      <c r="I1716" t="s">
        <v>37366</v>
      </c>
      <c r="J1716" t="s">
        <v>37367</v>
      </c>
      <c r="K1716">
        <v>2019</v>
      </c>
      <c r="L1716" s="1">
        <v>43806</v>
      </c>
      <c r="M1716" t="s">
        <v>37368</v>
      </c>
      <c r="O1716" t="s">
        <v>37369</v>
      </c>
    </row>
    <row r="1717" spans="1:15" x14ac:dyDescent="0.15">
      <c r="A1717">
        <v>34619562</v>
      </c>
      <c r="B1717">
        <v>29422501</v>
      </c>
      <c r="E1717">
        <v>28740555</v>
      </c>
      <c r="F1717" t="s">
        <v>27117</v>
      </c>
      <c r="G1717" t="s">
        <v>37387</v>
      </c>
      <c r="H1717" t="s">
        <v>37388</v>
      </c>
      <c r="I1717" t="s">
        <v>37389</v>
      </c>
      <c r="J1717" t="s">
        <v>30588</v>
      </c>
      <c r="K1717">
        <v>2017</v>
      </c>
      <c r="L1717" s="1">
        <v>42942</v>
      </c>
      <c r="M1717" t="s">
        <v>37390</v>
      </c>
      <c r="O1717" t="s">
        <v>27125</v>
      </c>
    </row>
    <row r="1718" spans="1:15" x14ac:dyDescent="0.15">
      <c r="A1718">
        <v>32666589</v>
      </c>
      <c r="B1718">
        <v>32934881</v>
      </c>
      <c r="E1718">
        <v>27976581</v>
      </c>
      <c r="F1718" t="s">
        <v>24471</v>
      </c>
      <c r="G1718" t="s">
        <v>37413</v>
      </c>
      <c r="H1718" t="s">
        <v>37414</v>
      </c>
      <c r="I1718" t="s">
        <v>34632</v>
      </c>
      <c r="J1718" t="s">
        <v>34224</v>
      </c>
      <c r="K1718">
        <v>2017</v>
      </c>
      <c r="L1718" s="1">
        <v>42720</v>
      </c>
      <c r="O1718" t="s">
        <v>24481</v>
      </c>
    </row>
    <row r="1719" spans="1:15" x14ac:dyDescent="0.15">
      <c r="A1719">
        <v>34715991</v>
      </c>
      <c r="B1719">
        <v>27334229</v>
      </c>
      <c r="E1719">
        <v>1991793</v>
      </c>
      <c r="F1719" t="s">
        <v>37419</v>
      </c>
      <c r="G1719" t="s">
        <v>37420</v>
      </c>
      <c r="H1719" t="s">
        <v>37421</v>
      </c>
      <c r="I1719" t="s">
        <v>37422</v>
      </c>
      <c r="J1719" t="s">
        <v>30828</v>
      </c>
      <c r="K1719">
        <v>1991</v>
      </c>
      <c r="L1719" s="1">
        <v>33270</v>
      </c>
      <c r="M1719" t="s">
        <v>37423</v>
      </c>
      <c r="O1719" t="s">
        <v>17004</v>
      </c>
    </row>
    <row r="1720" spans="1:15" x14ac:dyDescent="0.15">
      <c r="A1720">
        <v>34514028</v>
      </c>
      <c r="B1720">
        <v>33963060</v>
      </c>
      <c r="E1720">
        <v>22992520</v>
      </c>
      <c r="F1720" t="s">
        <v>28087</v>
      </c>
      <c r="G1720" t="s">
        <v>37436</v>
      </c>
      <c r="H1720" t="s">
        <v>37437</v>
      </c>
      <c r="I1720" t="s">
        <v>37438</v>
      </c>
      <c r="J1720" t="s">
        <v>34237</v>
      </c>
      <c r="K1720">
        <v>2012</v>
      </c>
      <c r="L1720" s="1">
        <v>41173</v>
      </c>
      <c r="O1720" t="s">
        <v>28096</v>
      </c>
    </row>
    <row r="1721" spans="1:15" x14ac:dyDescent="0.15">
      <c r="A1721">
        <v>34771533</v>
      </c>
      <c r="B1721">
        <v>31722198</v>
      </c>
      <c r="E1721">
        <v>32119540</v>
      </c>
      <c r="F1721" t="s">
        <v>19214</v>
      </c>
      <c r="G1721" t="s">
        <v>37439</v>
      </c>
      <c r="H1721" t="s">
        <v>37440</v>
      </c>
      <c r="I1721" t="s">
        <v>37441</v>
      </c>
      <c r="J1721" t="s">
        <v>30778</v>
      </c>
      <c r="K1721">
        <v>2020</v>
      </c>
      <c r="L1721" s="1">
        <v>43893</v>
      </c>
      <c r="O1721" t="s">
        <v>19224</v>
      </c>
    </row>
    <row r="1722" spans="1:15" x14ac:dyDescent="0.15">
      <c r="A1722">
        <v>33741723</v>
      </c>
      <c r="B1722">
        <v>30230473</v>
      </c>
      <c r="E1722">
        <v>9326278</v>
      </c>
      <c r="F1722" t="s">
        <v>23902</v>
      </c>
      <c r="G1722" t="s">
        <v>37453</v>
      </c>
      <c r="H1722" t="s">
        <v>37454</v>
      </c>
      <c r="I1722" t="s">
        <v>37455</v>
      </c>
      <c r="J1722" t="s">
        <v>36830</v>
      </c>
      <c r="K1722">
        <v>1997</v>
      </c>
      <c r="L1722" s="1">
        <v>35739</v>
      </c>
      <c r="O1722" t="s">
        <v>37456</v>
      </c>
    </row>
    <row r="1723" spans="1:15" x14ac:dyDescent="0.15">
      <c r="A1723">
        <v>26670278</v>
      </c>
      <c r="B1723">
        <v>23499741</v>
      </c>
      <c r="E1723">
        <v>33086079</v>
      </c>
      <c r="F1723" t="s">
        <v>20394</v>
      </c>
      <c r="G1723" t="s">
        <v>37457</v>
      </c>
      <c r="H1723" t="s">
        <v>37458</v>
      </c>
      <c r="I1723" t="s">
        <v>37459</v>
      </c>
      <c r="J1723" t="s">
        <v>37460</v>
      </c>
      <c r="K1723">
        <v>2021</v>
      </c>
      <c r="L1723" s="1">
        <v>44125</v>
      </c>
      <c r="O1723" t="s">
        <v>20407</v>
      </c>
    </row>
    <row r="1724" spans="1:15" x14ac:dyDescent="0.15">
      <c r="A1724">
        <v>33850235</v>
      </c>
      <c r="B1724">
        <v>19321599</v>
      </c>
      <c r="E1724">
        <v>31182116</v>
      </c>
      <c r="F1724" t="s">
        <v>37493</v>
      </c>
      <c r="G1724" t="s">
        <v>37494</v>
      </c>
      <c r="H1724" t="s">
        <v>37495</v>
      </c>
      <c r="I1724" t="s">
        <v>37496</v>
      </c>
      <c r="J1724" t="s">
        <v>31703</v>
      </c>
      <c r="K1724">
        <v>2019</v>
      </c>
      <c r="L1724" s="1">
        <v>43628</v>
      </c>
      <c r="M1724" t="s">
        <v>37497</v>
      </c>
      <c r="O1724" t="s">
        <v>17333</v>
      </c>
    </row>
    <row r="1725" spans="1:15" x14ac:dyDescent="0.15">
      <c r="A1725">
        <v>33354779</v>
      </c>
      <c r="B1725">
        <v>17855514</v>
      </c>
      <c r="E1725">
        <v>19592610</v>
      </c>
      <c r="F1725" t="s">
        <v>19971</v>
      </c>
      <c r="G1725" t="s">
        <v>37498</v>
      </c>
      <c r="H1725" t="s">
        <v>37499</v>
      </c>
      <c r="I1725" t="s">
        <v>37500</v>
      </c>
      <c r="J1725" t="s">
        <v>30945</v>
      </c>
      <c r="K1725">
        <v>2009</v>
      </c>
      <c r="L1725" s="1">
        <v>40008</v>
      </c>
      <c r="M1725" t="s">
        <v>37501</v>
      </c>
      <c r="O1725" t="s">
        <v>19984</v>
      </c>
    </row>
    <row r="1726" spans="1:15" x14ac:dyDescent="0.15">
      <c r="A1726">
        <v>34692681</v>
      </c>
      <c r="B1726">
        <v>28487205</v>
      </c>
      <c r="E1726">
        <v>26405199</v>
      </c>
      <c r="F1726" t="s">
        <v>17414</v>
      </c>
      <c r="G1726" t="s">
        <v>37520</v>
      </c>
      <c r="H1726" t="s">
        <v>37521</v>
      </c>
      <c r="I1726" t="s">
        <v>37522</v>
      </c>
      <c r="J1726" t="s">
        <v>31587</v>
      </c>
      <c r="K1726">
        <v>2015</v>
      </c>
      <c r="L1726" s="1">
        <v>42273</v>
      </c>
      <c r="M1726" t="s">
        <v>37523</v>
      </c>
      <c r="O1726" t="s">
        <v>17424</v>
      </c>
    </row>
    <row r="1727" spans="1:15" x14ac:dyDescent="0.15">
      <c r="A1727" t="s">
        <v>74</v>
      </c>
      <c r="B1727">
        <v>25515738</v>
      </c>
      <c r="E1727">
        <v>25319134</v>
      </c>
      <c r="F1727" t="s">
        <v>18816</v>
      </c>
      <c r="G1727" t="s">
        <v>37536</v>
      </c>
      <c r="H1727" t="s">
        <v>37537</v>
      </c>
      <c r="I1727" t="s">
        <v>37538</v>
      </c>
      <c r="J1727" t="s">
        <v>37539</v>
      </c>
      <c r="K1727">
        <v>2014</v>
      </c>
      <c r="L1727" s="1">
        <v>41929</v>
      </c>
      <c r="O1727" t="s">
        <v>18829</v>
      </c>
    </row>
    <row r="1728" spans="1:15" x14ac:dyDescent="0.15">
      <c r="A1728">
        <v>33160816</v>
      </c>
      <c r="B1728">
        <v>12814647</v>
      </c>
      <c r="E1728">
        <v>33249316</v>
      </c>
      <c r="F1728" t="s">
        <v>20518</v>
      </c>
      <c r="G1728" t="s">
        <v>37594</v>
      </c>
      <c r="H1728" t="s">
        <v>37595</v>
      </c>
      <c r="I1728" t="s">
        <v>31726</v>
      </c>
      <c r="J1728" t="s">
        <v>30812</v>
      </c>
      <c r="K1728">
        <v>2021</v>
      </c>
      <c r="L1728" s="1">
        <v>44164</v>
      </c>
      <c r="O1728" t="s">
        <v>20528</v>
      </c>
    </row>
    <row r="1729" spans="1:15" x14ac:dyDescent="0.15">
      <c r="A1729">
        <v>33193138</v>
      </c>
      <c r="B1729">
        <v>31664817</v>
      </c>
      <c r="E1729">
        <v>26229115</v>
      </c>
      <c r="F1729" t="s">
        <v>20235</v>
      </c>
      <c r="G1729" t="s">
        <v>37596</v>
      </c>
      <c r="H1729" t="s">
        <v>37597</v>
      </c>
      <c r="I1729" t="s">
        <v>37598</v>
      </c>
      <c r="J1729" t="s">
        <v>35339</v>
      </c>
      <c r="K1729">
        <v>2015</v>
      </c>
      <c r="L1729" s="1">
        <v>42217</v>
      </c>
      <c r="O1729" t="s">
        <v>20244</v>
      </c>
    </row>
    <row r="1730" spans="1:15" x14ac:dyDescent="0.15">
      <c r="A1730">
        <v>35042294</v>
      </c>
      <c r="B1730">
        <v>25869134</v>
      </c>
      <c r="E1730">
        <v>28148795</v>
      </c>
      <c r="F1730" t="s">
        <v>27741</v>
      </c>
      <c r="G1730" t="s">
        <v>37628</v>
      </c>
      <c r="H1730" t="s">
        <v>37629</v>
      </c>
      <c r="I1730" t="s">
        <v>37630</v>
      </c>
      <c r="J1730" t="s">
        <v>31970</v>
      </c>
      <c r="K1730">
        <v>2017</v>
      </c>
      <c r="L1730" s="1">
        <v>42769</v>
      </c>
      <c r="M1730" t="s">
        <v>37631</v>
      </c>
      <c r="O1730" t="s">
        <v>27749</v>
      </c>
    </row>
    <row r="1731" spans="1:15" x14ac:dyDescent="0.15">
      <c r="A1731">
        <v>33704314</v>
      </c>
      <c r="B1731">
        <v>31646316</v>
      </c>
      <c r="E1731">
        <v>33900057</v>
      </c>
      <c r="F1731" t="s">
        <v>25023</v>
      </c>
      <c r="G1731" t="s">
        <v>37639</v>
      </c>
      <c r="H1731" t="s">
        <v>37640</v>
      </c>
      <c r="I1731" t="s">
        <v>37641</v>
      </c>
      <c r="J1731" t="s">
        <v>37642</v>
      </c>
      <c r="K1731">
        <v>2022</v>
      </c>
      <c r="L1731" s="1">
        <v>44312</v>
      </c>
      <c r="M1731" t="s">
        <v>37643</v>
      </c>
      <c r="N1731" t="s">
        <v>37644</v>
      </c>
      <c r="O1731" t="s">
        <v>25035</v>
      </c>
    </row>
    <row r="1732" spans="1:15" x14ac:dyDescent="0.15">
      <c r="A1732">
        <v>34747333</v>
      </c>
      <c r="B1732">
        <v>17234882</v>
      </c>
      <c r="E1732">
        <v>11747611</v>
      </c>
      <c r="F1732" t="s">
        <v>37697</v>
      </c>
      <c r="G1732" t="s">
        <v>37698</v>
      </c>
      <c r="H1732" t="s">
        <v>37699</v>
      </c>
      <c r="I1732" t="s">
        <v>37700</v>
      </c>
      <c r="J1732" t="s">
        <v>32433</v>
      </c>
      <c r="K1732">
        <v>2001</v>
      </c>
      <c r="L1732" s="1">
        <v>37244</v>
      </c>
      <c r="O1732" t="s">
        <v>16028</v>
      </c>
    </row>
    <row r="1733" spans="1:15" x14ac:dyDescent="0.15">
      <c r="A1733">
        <v>35453532</v>
      </c>
      <c r="B1733">
        <v>34103492</v>
      </c>
      <c r="E1733">
        <v>26831114</v>
      </c>
      <c r="F1733" t="s">
        <v>27423</v>
      </c>
      <c r="G1733" t="s">
        <v>37701</v>
      </c>
      <c r="H1733" t="s">
        <v>37702</v>
      </c>
      <c r="I1733" t="s">
        <v>37703</v>
      </c>
      <c r="J1733" t="s">
        <v>30767</v>
      </c>
      <c r="K1733">
        <v>2016</v>
      </c>
      <c r="L1733" s="1">
        <v>42403</v>
      </c>
      <c r="M1733" t="s">
        <v>37704</v>
      </c>
      <c r="O1733" t="s">
        <v>27432</v>
      </c>
    </row>
    <row r="1734" spans="1:15" x14ac:dyDescent="0.15">
      <c r="A1734">
        <v>30881463</v>
      </c>
      <c r="B1734">
        <v>18172165</v>
      </c>
      <c r="E1734">
        <v>29435929</v>
      </c>
      <c r="F1734" t="s">
        <v>8499</v>
      </c>
      <c r="G1734" t="s">
        <v>37722</v>
      </c>
      <c r="H1734" t="s">
        <v>37723</v>
      </c>
      <c r="I1734" t="s">
        <v>37724</v>
      </c>
      <c r="J1734" t="s">
        <v>31003</v>
      </c>
      <c r="K1734">
        <v>2018</v>
      </c>
      <c r="L1734" s="1">
        <v>43145</v>
      </c>
      <c r="O1734" t="s">
        <v>8510</v>
      </c>
    </row>
    <row r="1735" spans="1:15" x14ac:dyDescent="0.15">
      <c r="A1735" t="s">
        <v>74</v>
      </c>
      <c r="B1735">
        <v>21663793</v>
      </c>
      <c r="E1735">
        <v>26104461</v>
      </c>
      <c r="F1735" t="s">
        <v>20878</v>
      </c>
      <c r="G1735" t="s">
        <v>37731</v>
      </c>
      <c r="H1735" t="s">
        <v>37732</v>
      </c>
      <c r="I1735" t="s">
        <v>37733</v>
      </c>
      <c r="J1735" t="s">
        <v>35365</v>
      </c>
      <c r="K1735">
        <v>2014</v>
      </c>
      <c r="L1735" s="1">
        <v>42180</v>
      </c>
      <c r="O1735" t="s">
        <v>20888</v>
      </c>
    </row>
    <row r="1736" spans="1:15" x14ac:dyDescent="0.15">
      <c r="A1736">
        <v>34487126</v>
      </c>
      <c r="B1736">
        <v>21131904</v>
      </c>
      <c r="E1736">
        <v>25040043</v>
      </c>
      <c r="F1736" t="s">
        <v>23954</v>
      </c>
      <c r="G1736" t="s">
        <v>37750</v>
      </c>
      <c r="H1736" t="s">
        <v>37751</v>
      </c>
      <c r="I1736" t="s">
        <v>37752</v>
      </c>
      <c r="J1736" t="s">
        <v>37753</v>
      </c>
      <c r="K1736">
        <v>2015</v>
      </c>
      <c r="L1736" s="1">
        <v>41842</v>
      </c>
      <c r="M1736" t="s">
        <v>37754</v>
      </c>
      <c r="N1736" t="s">
        <v>37755</v>
      </c>
      <c r="O1736" t="s">
        <v>23965</v>
      </c>
    </row>
    <row r="1737" spans="1:15" x14ac:dyDescent="0.15">
      <c r="A1737" t="s">
        <v>74</v>
      </c>
      <c r="B1737">
        <v>7476096</v>
      </c>
      <c r="E1737">
        <v>31173389</v>
      </c>
      <c r="F1737" t="s">
        <v>23567</v>
      </c>
      <c r="G1737" t="s">
        <v>37797</v>
      </c>
      <c r="H1737" t="s">
        <v>37798</v>
      </c>
      <c r="I1737" t="s">
        <v>37799</v>
      </c>
      <c r="J1737" t="s">
        <v>37800</v>
      </c>
      <c r="K1737">
        <v>2020</v>
      </c>
      <c r="L1737" s="1">
        <v>43624</v>
      </c>
      <c r="O1737" t="s">
        <v>23578</v>
      </c>
    </row>
    <row r="1738" spans="1:15" x14ac:dyDescent="0.15">
      <c r="A1738">
        <v>34982830</v>
      </c>
      <c r="B1738">
        <v>2655710</v>
      </c>
      <c r="E1738">
        <v>33496853</v>
      </c>
      <c r="F1738" t="s">
        <v>10642</v>
      </c>
      <c r="G1738" t="s">
        <v>37902</v>
      </c>
      <c r="H1738" t="s">
        <v>37903</v>
      </c>
      <c r="I1738" t="s">
        <v>37904</v>
      </c>
      <c r="J1738" t="s">
        <v>32214</v>
      </c>
      <c r="K1738">
        <v>2021</v>
      </c>
      <c r="L1738" s="1">
        <v>44222</v>
      </c>
      <c r="O1738" t="s">
        <v>10649</v>
      </c>
    </row>
    <row r="1739" spans="1:15" x14ac:dyDescent="0.15">
      <c r="A1739">
        <v>34921593</v>
      </c>
      <c r="B1739">
        <v>1847476</v>
      </c>
      <c r="E1739">
        <v>32574035</v>
      </c>
      <c r="F1739" t="s">
        <v>11825</v>
      </c>
      <c r="G1739" t="s">
        <v>37922</v>
      </c>
      <c r="H1739" t="s">
        <v>37923</v>
      </c>
      <c r="I1739" t="s">
        <v>35702</v>
      </c>
      <c r="J1739" t="s">
        <v>30561</v>
      </c>
      <c r="K1739">
        <v>2020</v>
      </c>
      <c r="L1739" s="1">
        <v>44006</v>
      </c>
      <c r="O1739" t="s">
        <v>11836</v>
      </c>
    </row>
    <row r="1740" spans="1:15" x14ac:dyDescent="0.15">
      <c r="A1740">
        <v>33210708</v>
      </c>
      <c r="B1740">
        <v>17157255</v>
      </c>
      <c r="E1740">
        <v>34533885</v>
      </c>
      <c r="F1740" t="s">
        <v>24553</v>
      </c>
      <c r="G1740" t="s">
        <v>37930</v>
      </c>
      <c r="H1740" t="s">
        <v>37931</v>
      </c>
      <c r="I1740" t="s">
        <v>37932</v>
      </c>
      <c r="J1740" t="s">
        <v>37933</v>
      </c>
      <c r="K1740">
        <v>2021</v>
      </c>
      <c r="L1740" s="1">
        <v>44456</v>
      </c>
      <c r="M1740" t="s">
        <v>37934</v>
      </c>
      <c r="O1740" t="s">
        <v>24561</v>
      </c>
    </row>
    <row r="1741" spans="1:15" x14ac:dyDescent="0.15">
      <c r="A1741">
        <v>33064572</v>
      </c>
      <c r="B1741">
        <v>23177741</v>
      </c>
      <c r="E1741">
        <v>32600030</v>
      </c>
      <c r="F1741" t="s">
        <v>15862</v>
      </c>
      <c r="G1741" t="s">
        <v>37962</v>
      </c>
      <c r="H1741" t="s">
        <v>37963</v>
      </c>
      <c r="I1741" t="s">
        <v>37964</v>
      </c>
      <c r="J1741" t="s">
        <v>30956</v>
      </c>
      <c r="K1741">
        <v>2020</v>
      </c>
      <c r="L1741" s="1">
        <v>44013</v>
      </c>
      <c r="O1741" t="s">
        <v>15871</v>
      </c>
    </row>
    <row r="1742" spans="1:15" x14ac:dyDescent="0.15">
      <c r="A1742">
        <v>34127680</v>
      </c>
      <c r="B1742">
        <v>25479637</v>
      </c>
      <c r="E1742">
        <v>30852462</v>
      </c>
      <c r="F1742" t="s">
        <v>19908</v>
      </c>
      <c r="G1742" t="s">
        <v>37992</v>
      </c>
      <c r="H1742" t="s">
        <v>37993</v>
      </c>
      <c r="I1742" t="s">
        <v>37994</v>
      </c>
      <c r="J1742" t="s">
        <v>32612</v>
      </c>
      <c r="K1742">
        <v>2019</v>
      </c>
      <c r="L1742" s="1">
        <v>43535</v>
      </c>
      <c r="O1742" t="s">
        <v>19917</v>
      </c>
    </row>
    <row r="1743" spans="1:15" x14ac:dyDescent="0.15">
      <c r="A1743">
        <v>33771977</v>
      </c>
      <c r="B1743">
        <v>22428908</v>
      </c>
      <c r="E1743">
        <v>20497223</v>
      </c>
      <c r="F1743" t="s">
        <v>17078</v>
      </c>
      <c r="G1743" t="s">
        <v>38017</v>
      </c>
      <c r="H1743" t="s">
        <v>38018</v>
      </c>
      <c r="I1743" t="s">
        <v>38019</v>
      </c>
      <c r="J1743" t="s">
        <v>38020</v>
      </c>
      <c r="K1743">
        <v>2010</v>
      </c>
      <c r="L1743" s="1">
        <v>40324</v>
      </c>
      <c r="O1743" t="s">
        <v>17090</v>
      </c>
    </row>
    <row r="1744" spans="1:15" x14ac:dyDescent="0.15">
      <c r="A1744">
        <v>33817941</v>
      </c>
      <c r="B1744">
        <v>26512957</v>
      </c>
      <c r="E1744">
        <v>15883034</v>
      </c>
      <c r="F1744" t="s">
        <v>38044</v>
      </c>
      <c r="G1744" t="s">
        <v>38045</v>
      </c>
      <c r="H1744" t="s">
        <v>38046</v>
      </c>
      <c r="I1744" t="s">
        <v>38047</v>
      </c>
      <c r="J1744" t="s">
        <v>32654</v>
      </c>
      <c r="K1744">
        <v>2005</v>
      </c>
      <c r="L1744" s="1">
        <v>38483</v>
      </c>
      <c r="O1744" t="s">
        <v>21318</v>
      </c>
    </row>
    <row r="1745" spans="1:15" x14ac:dyDescent="0.15">
      <c r="A1745">
        <v>35173168</v>
      </c>
      <c r="B1745">
        <v>7796801</v>
      </c>
      <c r="E1745">
        <v>30285805</v>
      </c>
      <c r="F1745" t="s">
        <v>19502</v>
      </c>
      <c r="G1745" t="s">
        <v>38060</v>
      </c>
      <c r="H1745" t="s">
        <v>38061</v>
      </c>
      <c r="I1745" t="s">
        <v>38062</v>
      </c>
      <c r="J1745" t="s">
        <v>38063</v>
      </c>
      <c r="K1745">
        <v>2018</v>
      </c>
      <c r="L1745" s="1">
        <v>43378</v>
      </c>
      <c r="M1745" t="s">
        <v>38064</v>
      </c>
      <c r="O1745" t="s">
        <v>19512</v>
      </c>
    </row>
    <row r="1746" spans="1:15" x14ac:dyDescent="0.15">
      <c r="A1746">
        <v>33075374</v>
      </c>
      <c r="B1746">
        <v>31988198</v>
      </c>
      <c r="E1746">
        <v>29555694</v>
      </c>
      <c r="F1746" t="s">
        <v>15968</v>
      </c>
      <c r="G1746" t="s">
        <v>38079</v>
      </c>
      <c r="H1746" t="s">
        <v>38080</v>
      </c>
      <c r="I1746" t="s">
        <v>38081</v>
      </c>
      <c r="J1746" t="s">
        <v>32185</v>
      </c>
      <c r="K1746">
        <v>2018</v>
      </c>
      <c r="L1746" s="1">
        <v>43180</v>
      </c>
      <c r="M1746" t="s">
        <v>38082</v>
      </c>
      <c r="O1746" t="s">
        <v>15981</v>
      </c>
    </row>
    <row r="1747" spans="1:15" x14ac:dyDescent="0.15">
      <c r="A1747">
        <v>34771645</v>
      </c>
      <c r="B1747">
        <v>9165051</v>
      </c>
      <c r="E1747">
        <v>24164173</v>
      </c>
      <c r="F1747" t="s">
        <v>20846</v>
      </c>
      <c r="G1747" t="s">
        <v>38083</v>
      </c>
      <c r="H1747" t="s">
        <v>38084</v>
      </c>
      <c r="I1747" t="s">
        <v>30987</v>
      </c>
      <c r="J1747" t="s">
        <v>38085</v>
      </c>
      <c r="K1747">
        <v>2014</v>
      </c>
      <c r="L1747" s="1">
        <v>41577</v>
      </c>
      <c r="O1747" t="s">
        <v>20856</v>
      </c>
    </row>
    <row r="1748" spans="1:15" x14ac:dyDescent="0.15">
      <c r="A1748">
        <v>23298549</v>
      </c>
      <c r="B1748">
        <v>34672606</v>
      </c>
      <c r="E1748">
        <v>25678142</v>
      </c>
      <c r="F1748" t="s">
        <v>18636</v>
      </c>
      <c r="G1748" t="s">
        <v>38092</v>
      </c>
      <c r="H1748" t="s">
        <v>38093</v>
      </c>
      <c r="I1748" t="s">
        <v>32327</v>
      </c>
      <c r="J1748" t="s">
        <v>31257</v>
      </c>
      <c r="K1748">
        <v>2015</v>
      </c>
      <c r="L1748" s="1">
        <v>42049</v>
      </c>
      <c r="O1748" t="s">
        <v>18648</v>
      </c>
    </row>
    <row r="1749" spans="1:15" x14ac:dyDescent="0.15">
      <c r="A1749" t="s">
        <v>74</v>
      </c>
      <c r="B1749">
        <v>35590205</v>
      </c>
      <c r="E1749">
        <v>26964089</v>
      </c>
      <c r="F1749" t="s">
        <v>38113</v>
      </c>
      <c r="G1749" t="s">
        <v>38114</v>
      </c>
      <c r="H1749" t="s">
        <v>38115</v>
      </c>
      <c r="I1749" t="s">
        <v>38116</v>
      </c>
      <c r="J1749" t="s">
        <v>31639</v>
      </c>
      <c r="K1749">
        <v>2016</v>
      </c>
      <c r="L1749" s="1">
        <v>42440</v>
      </c>
      <c r="M1749" t="s">
        <v>38117</v>
      </c>
      <c r="O1749" t="s">
        <v>23563</v>
      </c>
    </row>
    <row r="1750" spans="1:15" x14ac:dyDescent="0.15">
      <c r="A1750">
        <v>34954570</v>
      </c>
      <c r="B1750">
        <v>19460752</v>
      </c>
      <c r="E1750">
        <v>21555566</v>
      </c>
      <c r="F1750" t="s">
        <v>21146</v>
      </c>
      <c r="G1750" t="s">
        <v>38155</v>
      </c>
      <c r="H1750" t="s">
        <v>38156</v>
      </c>
      <c r="I1750" t="s">
        <v>38157</v>
      </c>
      <c r="J1750" t="s">
        <v>30767</v>
      </c>
      <c r="K1750">
        <v>2011</v>
      </c>
      <c r="L1750" s="1">
        <v>40674</v>
      </c>
      <c r="M1750" t="s">
        <v>38158</v>
      </c>
      <c r="O1750" t="s">
        <v>21155</v>
      </c>
    </row>
    <row r="1751" spans="1:15" x14ac:dyDescent="0.15">
      <c r="A1751">
        <v>35565192</v>
      </c>
      <c r="B1751">
        <v>31138886</v>
      </c>
      <c r="E1751">
        <v>23509360</v>
      </c>
      <c r="F1751" t="s">
        <v>38175</v>
      </c>
      <c r="G1751" t="s">
        <v>38176</v>
      </c>
      <c r="H1751" t="s">
        <v>38177</v>
      </c>
      <c r="I1751" t="s">
        <v>38178</v>
      </c>
      <c r="J1751" t="s">
        <v>32819</v>
      </c>
      <c r="K1751">
        <v>2013</v>
      </c>
      <c r="L1751" s="1">
        <v>41353</v>
      </c>
      <c r="M1751" t="s">
        <v>38179</v>
      </c>
      <c r="N1751" t="s">
        <v>38180</v>
      </c>
      <c r="O1751" t="s">
        <v>15090</v>
      </c>
    </row>
    <row r="1752" spans="1:15" x14ac:dyDescent="0.15">
      <c r="A1752">
        <v>34460871</v>
      </c>
      <c r="B1752">
        <v>9427251</v>
      </c>
      <c r="E1752">
        <v>18800367</v>
      </c>
      <c r="F1752" t="s">
        <v>38192</v>
      </c>
      <c r="G1752" t="s">
        <v>38193</v>
      </c>
      <c r="H1752" t="s">
        <v>38194</v>
      </c>
      <c r="I1752" t="s">
        <v>38195</v>
      </c>
      <c r="J1752" t="s">
        <v>38196</v>
      </c>
      <c r="K1752">
        <v>2009</v>
      </c>
      <c r="L1752" s="1">
        <v>39710</v>
      </c>
      <c r="O1752" t="s">
        <v>21679</v>
      </c>
    </row>
    <row r="1753" spans="1:15" x14ac:dyDescent="0.15">
      <c r="A1753">
        <v>9467401</v>
      </c>
      <c r="B1753">
        <v>12189211</v>
      </c>
      <c r="E1753">
        <v>29582582</v>
      </c>
      <c r="F1753" t="s">
        <v>27636</v>
      </c>
      <c r="G1753" t="s">
        <v>38203</v>
      </c>
      <c r="H1753" t="s">
        <v>38204</v>
      </c>
      <c r="I1753" t="s">
        <v>38205</v>
      </c>
      <c r="J1753" t="s">
        <v>38206</v>
      </c>
      <c r="K1753">
        <v>2018</v>
      </c>
      <c r="L1753" s="1">
        <v>43187</v>
      </c>
      <c r="M1753" t="s">
        <v>38207</v>
      </c>
      <c r="O1753" t="s">
        <v>27646</v>
      </c>
    </row>
    <row r="1754" spans="1:15" x14ac:dyDescent="0.15">
      <c r="A1754">
        <v>33606634</v>
      </c>
      <c r="B1754">
        <v>31799930</v>
      </c>
      <c r="E1754">
        <v>23298549</v>
      </c>
      <c r="F1754" t="s">
        <v>18314</v>
      </c>
      <c r="G1754" t="s">
        <v>38308</v>
      </c>
      <c r="H1754" t="s">
        <v>38309</v>
      </c>
      <c r="I1754" t="s">
        <v>38310</v>
      </c>
      <c r="J1754" t="s">
        <v>32328</v>
      </c>
      <c r="K1754">
        <v>2013</v>
      </c>
      <c r="L1754" s="1">
        <v>41284</v>
      </c>
      <c r="O1754" t="s">
        <v>18321</v>
      </c>
    </row>
    <row r="1755" spans="1:15" x14ac:dyDescent="0.15">
      <c r="A1755">
        <v>32651457</v>
      </c>
      <c r="B1755">
        <v>17235024</v>
      </c>
      <c r="E1755">
        <v>11739766</v>
      </c>
      <c r="F1755" t="s">
        <v>22846</v>
      </c>
      <c r="G1755" t="s">
        <v>38321</v>
      </c>
      <c r="H1755" t="s">
        <v>38322</v>
      </c>
      <c r="I1755" t="s">
        <v>38323</v>
      </c>
      <c r="J1755" t="s">
        <v>33208</v>
      </c>
      <c r="K1755">
        <v>2001</v>
      </c>
      <c r="L1755" s="1">
        <v>37237</v>
      </c>
      <c r="O1755" t="s">
        <v>22854</v>
      </c>
    </row>
    <row r="1756" spans="1:15" x14ac:dyDescent="0.15">
      <c r="A1756">
        <v>27382512</v>
      </c>
      <c r="B1756">
        <v>9446579</v>
      </c>
      <c r="E1756">
        <v>10793152</v>
      </c>
      <c r="F1756" t="s">
        <v>22232</v>
      </c>
      <c r="G1756" t="s">
        <v>38342</v>
      </c>
      <c r="H1756" t="s">
        <v>38343</v>
      </c>
      <c r="I1756" t="s">
        <v>38344</v>
      </c>
      <c r="J1756" t="s">
        <v>32298</v>
      </c>
      <c r="K1756">
        <v>2000</v>
      </c>
      <c r="L1756" s="1">
        <v>36650</v>
      </c>
      <c r="M1756" t="s">
        <v>38345</v>
      </c>
      <c r="O1756" t="s">
        <v>22240</v>
      </c>
    </row>
    <row r="1757" spans="1:15" x14ac:dyDescent="0.15">
      <c r="A1757" t="s">
        <v>74</v>
      </c>
      <c r="B1757">
        <v>33997970</v>
      </c>
      <c r="E1757">
        <v>21491915</v>
      </c>
      <c r="F1757" t="s">
        <v>38408</v>
      </c>
      <c r="G1757" t="s">
        <v>38409</v>
      </c>
      <c r="H1757" t="s">
        <v>38410</v>
      </c>
      <c r="I1757" t="s">
        <v>38411</v>
      </c>
      <c r="J1757" t="s">
        <v>36029</v>
      </c>
      <c r="K1757">
        <v>2011</v>
      </c>
      <c r="L1757" s="1">
        <v>40649</v>
      </c>
      <c r="O1757" t="s">
        <v>23006</v>
      </c>
    </row>
    <row r="1758" spans="1:15" x14ac:dyDescent="0.15">
      <c r="A1758">
        <v>27924585</v>
      </c>
      <c r="B1758">
        <v>31581745</v>
      </c>
      <c r="E1758">
        <v>26365178</v>
      </c>
      <c r="F1758" t="s">
        <v>22905</v>
      </c>
      <c r="G1758" t="s">
        <v>38447</v>
      </c>
      <c r="H1758" t="s">
        <v>38448</v>
      </c>
      <c r="I1758" t="s">
        <v>38449</v>
      </c>
      <c r="J1758" t="s">
        <v>30595</v>
      </c>
      <c r="K1758">
        <v>2015</v>
      </c>
      <c r="L1758" s="1">
        <v>42262</v>
      </c>
      <c r="M1758" t="s">
        <v>38450</v>
      </c>
      <c r="N1758" t="s">
        <v>38451</v>
      </c>
      <c r="O1758" t="s">
        <v>22914</v>
      </c>
    </row>
    <row r="1759" spans="1:15" x14ac:dyDescent="0.15">
      <c r="A1759">
        <v>35057921</v>
      </c>
      <c r="B1759">
        <v>35538484</v>
      </c>
      <c r="E1759">
        <v>15659066</v>
      </c>
      <c r="F1759" t="s">
        <v>22807</v>
      </c>
      <c r="G1759" t="s">
        <v>38471</v>
      </c>
      <c r="H1759" t="s">
        <v>38472</v>
      </c>
      <c r="I1759" t="s">
        <v>38473</v>
      </c>
      <c r="J1759" t="s">
        <v>33076</v>
      </c>
      <c r="K1759">
        <v>2005</v>
      </c>
      <c r="L1759" s="1">
        <v>38374</v>
      </c>
      <c r="O1759" t="s">
        <v>22816</v>
      </c>
    </row>
    <row r="1760" spans="1:15" x14ac:dyDescent="0.15">
      <c r="A1760">
        <v>33855079</v>
      </c>
      <c r="B1760">
        <v>26637591</v>
      </c>
      <c r="E1760">
        <v>27092489</v>
      </c>
      <c r="F1760" t="s">
        <v>27753</v>
      </c>
      <c r="G1760" t="s">
        <v>38478</v>
      </c>
      <c r="H1760" t="s">
        <v>38479</v>
      </c>
      <c r="I1760" t="s">
        <v>38480</v>
      </c>
      <c r="J1760" t="s">
        <v>32509</v>
      </c>
      <c r="K1760">
        <v>2016</v>
      </c>
      <c r="L1760" s="1">
        <v>42480</v>
      </c>
      <c r="M1760" t="s">
        <v>38481</v>
      </c>
      <c r="O1760" t="s">
        <v>27763</v>
      </c>
    </row>
    <row r="1761" spans="1:15" x14ac:dyDescent="0.15">
      <c r="A1761">
        <v>34811396</v>
      </c>
      <c r="B1761">
        <v>17252188</v>
      </c>
      <c r="E1761">
        <v>35209901</v>
      </c>
      <c r="F1761" t="s">
        <v>18454</v>
      </c>
      <c r="G1761" t="s">
        <v>38492</v>
      </c>
      <c r="H1761" t="s">
        <v>38493</v>
      </c>
      <c r="I1761" t="s">
        <v>38494</v>
      </c>
      <c r="J1761" t="s">
        <v>38495</v>
      </c>
      <c r="K1761">
        <v>2022</v>
      </c>
      <c r="L1761" s="1">
        <v>44617</v>
      </c>
      <c r="M1761" t="s">
        <v>38496</v>
      </c>
      <c r="O1761" t="s">
        <v>18466</v>
      </c>
    </row>
    <row r="1762" spans="1:15" x14ac:dyDescent="0.15">
      <c r="A1762">
        <v>34220891</v>
      </c>
      <c r="B1762">
        <v>1908469</v>
      </c>
      <c r="E1762">
        <v>11932461</v>
      </c>
      <c r="F1762" t="s">
        <v>13746</v>
      </c>
      <c r="G1762" t="s">
        <v>38502</v>
      </c>
      <c r="H1762" t="s">
        <v>38503</v>
      </c>
      <c r="I1762" t="s">
        <v>38504</v>
      </c>
      <c r="J1762" t="s">
        <v>33208</v>
      </c>
      <c r="K1762">
        <v>2002</v>
      </c>
      <c r="L1762" s="1">
        <v>37351</v>
      </c>
      <c r="O1762" t="s">
        <v>13756</v>
      </c>
    </row>
    <row r="1763" spans="1:15" x14ac:dyDescent="0.15">
      <c r="A1763">
        <v>33128169</v>
      </c>
      <c r="B1763">
        <v>24580550</v>
      </c>
      <c r="E1763">
        <v>31705800</v>
      </c>
      <c r="F1763" t="s">
        <v>25421</v>
      </c>
      <c r="G1763" t="s">
        <v>38515</v>
      </c>
      <c r="H1763" t="s">
        <v>38516</v>
      </c>
      <c r="I1763" t="s">
        <v>38517</v>
      </c>
      <c r="J1763" t="s">
        <v>37800</v>
      </c>
      <c r="K1763">
        <v>2020</v>
      </c>
      <c r="L1763" s="1">
        <v>43779</v>
      </c>
      <c r="M1763" t="s">
        <v>38518</v>
      </c>
      <c r="N1763" t="s">
        <v>38519</v>
      </c>
      <c r="O1763" t="s">
        <v>25427</v>
      </c>
    </row>
    <row r="1764" spans="1:15" x14ac:dyDescent="0.15">
      <c r="A1764" t="s">
        <v>74</v>
      </c>
      <c r="B1764">
        <v>24244542</v>
      </c>
      <c r="E1764">
        <v>7745687</v>
      </c>
      <c r="F1764" t="s">
        <v>38520</v>
      </c>
      <c r="G1764" t="s">
        <v>38521</v>
      </c>
      <c r="H1764" t="s">
        <v>38522</v>
      </c>
      <c r="I1764" t="s">
        <v>38523</v>
      </c>
      <c r="J1764" t="s">
        <v>31970</v>
      </c>
      <c r="K1764">
        <v>1995</v>
      </c>
      <c r="L1764" s="1">
        <v>34851</v>
      </c>
      <c r="M1764" t="s">
        <v>38524</v>
      </c>
      <c r="O1764" t="s">
        <v>38525</v>
      </c>
    </row>
    <row r="1765" spans="1:15" x14ac:dyDescent="0.15">
      <c r="A1765">
        <v>34698165</v>
      </c>
      <c r="B1765">
        <v>19948888</v>
      </c>
      <c r="E1765">
        <v>33759399</v>
      </c>
      <c r="F1765" t="s">
        <v>20383</v>
      </c>
      <c r="G1765" t="s">
        <v>38531</v>
      </c>
      <c r="H1765" t="s">
        <v>38532</v>
      </c>
      <c r="I1765" t="s">
        <v>33833</v>
      </c>
      <c r="J1765" t="s">
        <v>31346</v>
      </c>
      <c r="K1765">
        <v>2021</v>
      </c>
      <c r="L1765" s="1">
        <v>44279</v>
      </c>
      <c r="M1765" t="s">
        <v>38533</v>
      </c>
      <c r="O1765" t="s">
        <v>20390</v>
      </c>
    </row>
    <row r="1766" spans="1:15" x14ac:dyDescent="0.15">
      <c r="A1766">
        <v>34962643</v>
      </c>
      <c r="B1766">
        <v>24763612</v>
      </c>
      <c r="E1766">
        <v>26431329</v>
      </c>
      <c r="F1766" t="s">
        <v>19824</v>
      </c>
      <c r="G1766" t="s">
        <v>38539</v>
      </c>
      <c r="H1766" t="s">
        <v>38540</v>
      </c>
      <c r="I1766" t="s">
        <v>38541</v>
      </c>
      <c r="J1766" t="s">
        <v>31360</v>
      </c>
      <c r="K1766">
        <v>2015</v>
      </c>
      <c r="L1766" s="1">
        <v>42280</v>
      </c>
      <c r="M1766" t="s">
        <v>38542</v>
      </c>
      <c r="O1766" t="s">
        <v>19833</v>
      </c>
    </row>
    <row r="1767" spans="1:15" x14ac:dyDescent="0.15">
      <c r="A1767">
        <v>35245730</v>
      </c>
      <c r="B1767">
        <v>12438306</v>
      </c>
      <c r="E1767">
        <v>11352238</v>
      </c>
      <c r="F1767" t="s">
        <v>26014</v>
      </c>
      <c r="G1767" t="s">
        <v>38543</v>
      </c>
      <c r="H1767" t="s">
        <v>38544</v>
      </c>
      <c r="I1767" t="s">
        <v>38545</v>
      </c>
      <c r="J1767" t="s">
        <v>33478</v>
      </c>
      <c r="K1767">
        <v>2001</v>
      </c>
      <c r="L1767" s="1">
        <v>37027</v>
      </c>
      <c r="O1767" t="s">
        <v>38546</v>
      </c>
    </row>
    <row r="1768" spans="1:15" x14ac:dyDescent="0.15">
      <c r="A1768">
        <v>34970155</v>
      </c>
      <c r="B1768">
        <v>22564898</v>
      </c>
      <c r="E1768">
        <v>27791108</v>
      </c>
      <c r="F1768" t="s">
        <v>16502</v>
      </c>
      <c r="G1768" t="s">
        <v>38569</v>
      </c>
      <c r="H1768" t="s">
        <v>38570</v>
      </c>
      <c r="I1768" t="s">
        <v>38571</v>
      </c>
      <c r="J1768" t="s">
        <v>30767</v>
      </c>
      <c r="K1768">
        <v>2016</v>
      </c>
      <c r="L1768" s="1">
        <v>42677</v>
      </c>
      <c r="M1768" t="s">
        <v>38572</v>
      </c>
      <c r="O1768" t="s">
        <v>16512</v>
      </c>
    </row>
    <row r="1769" spans="1:15" x14ac:dyDescent="0.15">
      <c r="A1769">
        <v>34565398</v>
      </c>
      <c r="B1769">
        <v>25020060</v>
      </c>
      <c r="E1769">
        <v>24792832</v>
      </c>
      <c r="F1769" t="s">
        <v>38573</v>
      </c>
      <c r="G1769" t="s">
        <v>38574</v>
      </c>
      <c r="H1769" t="s">
        <v>38575</v>
      </c>
      <c r="I1769" t="s">
        <v>38576</v>
      </c>
      <c r="J1769" t="s">
        <v>36076</v>
      </c>
      <c r="K1769">
        <v>2014</v>
      </c>
      <c r="L1769" s="1">
        <v>41765</v>
      </c>
      <c r="O1769" t="s">
        <v>16951</v>
      </c>
    </row>
    <row r="1770" spans="1:15" x14ac:dyDescent="0.15">
      <c r="A1770">
        <v>34696262</v>
      </c>
      <c r="B1770">
        <v>27830852</v>
      </c>
      <c r="E1770">
        <v>24480987</v>
      </c>
      <c r="F1770" t="s">
        <v>15146</v>
      </c>
      <c r="G1770" t="s">
        <v>38594</v>
      </c>
      <c r="H1770" t="s">
        <v>38595</v>
      </c>
      <c r="I1770" t="s">
        <v>38596</v>
      </c>
      <c r="J1770" t="s">
        <v>31771</v>
      </c>
      <c r="K1770">
        <v>2014</v>
      </c>
      <c r="L1770" s="1">
        <v>41671</v>
      </c>
      <c r="O1770" t="s">
        <v>15152</v>
      </c>
    </row>
    <row r="1771" spans="1:15" x14ac:dyDescent="0.15">
      <c r="A1771">
        <v>32806709</v>
      </c>
      <c r="B1771">
        <v>18412164</v>
      </c>
      <c r="E1771">
        <v>11118370</v>
      </c>
      <c r="F1771" t="s">
        <v>38618</v>
      </c>
      <c r="G1771" t="s">
        <v>38619</v>
      </c>
      <c r="H1771" t="s">
        <v>38620</v>
      </c>
      <c r="I1771" t="s">
        <v>38621</v>
      </c>
      <c r="J1771" t="s">
        <v>932</v>
      </c>
      <c r="K1771">
        <v>2000</v>
      </c>
      <c r="L1771" s="1">
        <v>36879</v>
      </c>
      <c r="O1771" t="s">
        <v>26870</v>
      </c>
    </row>
    <row r="1772" spans="1:15" x14ac:dyDescent="0.15">
      <c r="A1772">
        <v>28108031</v>
      </c>
      <c r="B1772">
        <v>21430775</v>
      </c>
      <c r="E1772">
        <v>33945510</v>
      </c>
      <c r="F1772" t="s">
        <v>19866</v>
      </c>
      <c r="G1772" t="s">
        <v>38637</v>
      </c>
      <c r="H1772" t="s">
        <v>38638</v>
      </c>
      <c r="I1772" t="s">
        <v>38639</v>
      </c>
      <c r="J1772" t="s">
        <v>30566</v>
      </c>
      <c r="K1772">
        <v>2021</v>
      </c>
      <c r="L1772" s="1">
        <v>44320</v>
      </c>
      <c r="M1772" t="s">
        <v>38640</v>
      </c>
      <c r="O1772" t="s">
        <v>19879</v>
      </c>
    </row>
    <row r="1773" spans="1:15" x14ac:dyDescent="0.15">
      <c r="A1773">
        <v>35036069</v>
      </c>
      <c r="B1773">
        <v>18377888</v>
      </c>
      <c r="E1773">
        <v>32941446</v>
      </c>
      <c r="F1773" t="s">
        <v>23461</v>
      </c>
      <c r="G1773" t="s">
        <v>38646</v>
      </c>
      <c r="H1773" t="s">
        <v>38647</v>
      </c>
      <c r="I1773" t="s">
        <v>38648</v>
      </c>
      <c r="J1773" t="s">
        <v>31639</v>
      </c>
      <c r="K1773">
        <v>2020</v>
      </c>
      <c r="L1773" s="1">
        <v>44091</v>
      </c>
      <c r="M1773" t="s">
        <v>38649</v>
      </c>
      <c r="O1773" t="s">
        <v>23471</v>
      </c>
    </row>
    <row r="1774" spans="1:15" x14ac:dyDescent="0.15">
      <c r="A1774">
        <v>34248507</v>
      </c>
      <c r="B1774">
        <v>30305710</v>
      </c>
      <c r="E1774">
        <v>30572805</v>
      </c>
      <c r="F1774" t="s">
        <v>19600</v>
      </c>
      <c r="G1774" t="s">
        <v>38655</v>
      </c>
      <c r="H1774" t="s">
        <v>38656</v>
      </c>
      <c r="I1774" t="s">
        <v>38657</v>
      </c>
      <c r="J1774" t="s">
        <v>32691</v>
      </c>
      <c r="K1774">
        <v>2019</v>
      </c>
      <c r="L1774" s="1">
        <v>43456</v>
      </c>
      <c r="O1774" t="s">
        <v>19610</v>
      </c>
    </row>
    <row r="1775" spans="1:15" x14ac:dyDescent="0.15">
      <c r="A1775">
        <v>34744021</v>
      </c>
      <c r="B1775">
        <v>11739279</v>
      </c>
      <c r="E1775">
        <v>27180609</v>
      </c>
      <c r="F1775" t="s">
        <v>24125</v>
      </c>
      <c r="G1775" t="s">
        <v>38670</v>
      </c>
      <c r="H1775" t="s">
        <v>38671</v>
      </c>
      <c r="I1775" t="s">
        <v>38672</v>
      </c>
      <c r="J1775" t="s">
        <v>30834</v>
      </c>
      <c r="K1775">
        <v>2016</v>
      </c>
      <c r="L1775" s="1">
        <v>42507</v>
      </c>
      <c r="M1775" t="s">
        <v>38673</v>
      </c>
      <c r="O1775" t="s">
        <v>24134</v>
      </c>
    </row>
    <row r="1776" spans="1:15" x14ac:dyDescent="0.15">
      <c r="A1776">
        <v>34760620</v>
      </c>
      <c r="B1776">
        <v>35605011</v>
      </c>
      <c r="E1776">
        <v>22910294</v>
      </c>
      <c r="F1776" t="s">
        <v>38685</v>
      </c>
      <c r="G1776" t="s">
        <v>38686</v>
      </c>
      <c r="H1776" t="s">
        <v>38687</v>
      </c>
      <c r="I1776" t="s">
        <v>38688</v>
      </c>
      <c r="J1776" t="s">
        <v>30786</v>
      </c>
      <c r="K1776">
        <v>2013</v>
      </c>
      <c r="L1776" s="1">
        <v>41144</v>
      </c>
      <c r="M1776" t="s">
        <v>38689</v>
      </c>
      <c r="O1776" t="s">
        <v>13584</v>
      </c>
    </row>
    <row r="1777" spans="1:15" x14ac:dyDescent="0.15">
      <c r="A1777">
        <v>34386404</v>
      </c>
      <c r="B1777">
        <v>15595725</v>
      </c>
      <c r="E1777">
        <v>33021603</v>
      </c>
      <c r="F1777" t="s">
        <v>21040</v>
      </c>
      <c r="G1777" t="s">
        <v>38694</v>
      </c>
      <c r="H1777" t="s">
        <v>38695</v>
      </c>
      <c r="I1777" t="s">
        <v>38696</v>
      </c>
      <c r="J1777" t="s">
        <v>38697</v>
      </c>
      <c r="K1777">
        <v>2021</v>
      </c>
      <c r="L1777" s="1">
        <v>44110</v>
      </c>
      <c r="O1777" t="s">
        <v>21055</v>
      </c>
    </row>
    <row r="1778" spans="1:15" x14ac:dyDescent="0.15">
      <c r="A1778">
        <v>34533885</v>
      </c>
      <c r="B1778">
        <v>16461938</v>
      </c>
      <c r="E1778">
        <v>29896679</v>
      </c>
      <c r="F1778" t="s">
        <v>23364</v>
      </c>
      <c r="G1778" t="s">
        <v>38698</v>
      </c>
      <c r="H1778" t="s">
        <v>38699</v>
      </c>
      <c r="I1778" t="s">
        <v>38700</v>
      </c>
      <c r="J1778" t="s">
        <v>31023</v>
      </c>
      <c r="K1778">
        <v>2018</v>
      </c>
      <c r="L1778" s="1">
        <v>43265</v>
      </c>
      <c r="O1778" t="s">
        <v>23374</v>
      </c>
    </row>
    <row r="1779" spans="1:15" x14ac:dyDescent="0.15">
      <c r="A1779">
        <v>34056395</v>
      </c>
      <c r="B1779">
        <v>29251021</v>
      </c>
      <c r="E1779">
        <v>7592648</v>
      </c>
      <c r="F1779" t="s">
        <v>38723</v>
      </c>
      <c r="G1779" t="s">
        <v>38724</v>
      </c>
      <c r="H1779" t="s">
        <v>38725</v>
      </c>
      <c r="I1779" t="s">
        <v>38726</v>
      </c>
      <c r="J1779" t="s">
        <v>31594</v>
      </c>
      <c r="K1779">
        <v>1995</v>
      </c>
      <c r="L1779" s="1">
        <v>34985</v>
      </c>
      <c r="O1779" t="s">
        <v>22797</v>
      </c>
    </row>
    <row r="1780" spans="1:15" x14ac:dyDescent="0.15">
      <c r="A1780" t="s">
        <v>74</v>
      </c>
      <c r="B1780">
        <v>34198263</v>
      </c>
      <c r="E1780">
        <v>33693781</v>
      </c>
      <c r="F1780" t="s">
        <v>24350</v>
      </c>
      <c r="G1780" t="s">
        <v>38727</v>
      </c>
      <c r="H1780" t="s">
        <v>38728</v>
      </c>
      <c r="I1780" t="s">
        <v>38729</v>
      </c>
      <c r="J1780" t="s">
        <v>33410</v>
      </c>
      <c r="K1780">
        <v>2021</v>
      </c>
      <c r="L1780" s="1">
        <v>44266</v>
      </c>
      <c r="M1780" t="s">
        <v>38730</v>
      </c>
      <c r="O1780" t="s">
        <v>24359</v>
      </c>
    </row>
    <row r="1781" spans="1:15" x14ac:dyDescent="0.15">
      <c r="A1781">
        <v>34029631</v>
      </c>
      <c r="B1781">
        <v>29747217</v>
      </c>
      <c r="E1781">
        <v>32028208</v>
      </c>
      <c r="F1781" t="s">
        <v>25068</v>
      </c>
      <c r="G1781" t="s">
        <v>38731</v>
      </c>
      <c r="H1781" t="s">
        <v>38732</v>
      </c>
      <c r="I1781" t="s">
        <v>36496</v>
      </c>
      <c r="J1781" t="s">
        <v>38733</v>
      </c>
      <c r="K1781">
        <v>2020</v>
      </c>
      <c r="L1781" s="1">
        <v>43868</v>
      </c>
      <c r="O1781" t="s">
        <v>25081</v>
      </c>
    </row>
    <row r="1782" spans="1:15" x14ac:dyDescent="0.15">
      <c r="A1782">
        <v>34321277</v>
      </c>
      <c r="B1782">
        <v>23678170</v>
      </c>
      <c r="E1782">
        <v>32806709</v>
      </c>
      <c r="F1782" t="s">
        <v>21849</v>
      </c>
      <c r="G1782" t="s">
        <v>38734</v>
      </c>
      <c r="H1782" t="s">
        <v>38735</v>
      </c>
      <c r="I1782" t="s">
        <v>38736</v>
      </c>
      <c r="J1782" t="s">
        <v>30655</v>
      </c>
      <c r="K1782">
        <v>2020</v>
      </c>
      <c r="L1782" s="1">
        <v>44062</v>
      </c>
      <c r="M1782" t="s">
        <v>38737</v>
      </c>
      <c r="O1782" t="s">
        <v>21859</v>
      </c>
    </row>
    <row r="1783" spans="1:15" x14ac:dyDescent="0.15">
      <c r="A1783">
        <v>21761937</v>
      </c>
      <c r="B1783">
        <v>32209033</v>
      </c>
      <c r="E1783">
        <v>27071670</v>
      </c>
      <c r="F1783" t="s">
        <v>17161</v>
      </c>
      <c r="G1783" t="s">
        <v>38768</v>
      </c>
      <c r="H1783" t="s">
        <v>38769</v>
      </c>
      <c r="I1783" t="s">
        <v>38770</v>
      </c>
      <c r="J1783" t="s">
        <v>33082</v>
      </c>
      <c r="K1783">
        <v>2016</v>
      </c>
      <c r="L1783" s="1">
        <v>42474</v>
      </c>
      <c r="M1783" t="s">
        <v>38771</v>
      </c>
      <c r="O1783" t="s">
        <v>17174</v>
      </c>
    </row>
    <row r="1784" spans="1:15" x14ac:dyDescent="0.15">
      <c r="A1784">
        <v>34462176</v>
      </c>
      <c r="B1784">
        <v>24959992</v>
      </c>
      <c r="E1784">
        <v>33040492</v>
      </c>
      <c r="F1784" t="s">
        <v>8384</v>
      </c>
      <c r="G1784" t="s">
        <v>38790</v>
      </c>
      <c r="H1784" t="s">
        <v>38791</v>
      </c>
      <c r="I1784" t="s">
        <v>38792</v>
      </c>
      <c r="J1784" t="s">
        <v>38793</v>
      </c>
      <c r="K1784">
        <v>2021</v>
      </c>
      <c r="L1784" s="1">
        <v>44115</v>
      </c>
      <c r="M1784" t="s">
        <v>38794</v>
      </c>
      <c r="N1784" t="s">
        <v>38795</v>
      </c>
      <c r="O1784" t="s">
        <v>8397</v>
      </c>
    </row>
    <row r="1785" spans="1:15" x14ac:dyDescent="0.15">
      <c r="A1785" t="s">
        <v>74</v>
      </c>
      <c r="B1785">
        <v>31612497</v>
      </c>
      <c r="E1785">
        <v>14651978</v>
      </c>
      <c r="F1785" t="s">
        <v>38808</v>
      </c>
      <c r="G1785" t="s">
        <v>38809</v>
      </c>
      <c r="H1785" t="s">
        <v>38810</v>
      </c>
      <c r="I1785" t="s">
        <v>31857</v>
      </c>
      <c r="J1785" t="s">
        <v>32654</v>
      </c>
      <c r="K1785">
        <v>2003</v>
      </c>
      <c r="L1785" s="1">
        <v>37959</v>
      </c>
      <c r="O1785" t="s">
        <v>22518</v>
      </c>
    </row>
    <row r="1786" spans="1:15" x14ac:dyDescent="0.15">
      <c r="A1786">
        <v>33141101</v>
      </c>
      <c r="B1786">
        <v>31533842</v>
      </c>
      <c r="E1786">
        <v>20684017</v>
      </c>
      <c r="F1786" t="s">
        <v>38811</v>
      </c>
      <c r="G1786" t="s">
        <v>38812</v>
      </c>
      <c r="H1786" t="s">
        <v>38813</v>
      </c>
      <c r="I1786" t="s">
        <v>38814</v>
      </c>
      <c r="J1786" t="s">
        <v>38815</v>
      </c>
      <c r="K1786">
        <v>2011</v>
      </c>
      <c r="L1786" s="1">
        <v>40395</v>
      </c>
      <c r="O1786" t="s">
        <v>25391</v>
      </c>
    </row>
    <row r="1787" spans="1:15" x14ac:dyDescent="0.15">
      <c r="A1787">
        <v>33176237</v>
      </c>
      <c r="B1787">
        <v>31889167</v>
      </c>
      <c r="E1787">
        <v>11746262</v>
      </c>
      <c r="F1787" t="s">
        <v>38816</v>
      </c>
      <c r="G1787" t="s">
        <v>38817</v>
      </c>
      <c r="H1787" t="s">
        <v>38818</v>
      </c>
      <c r="I1787" t="s">
        <v>38819</v>
      </c>
      <c r="J1787" t="s">
        <v>31192</v>
      </c>
      <c r="K1787">
        <v>2001</v>
      </c>
      <c r="L1787" s="1">
        <v>37243</v>
      </c>
      <c r="O1787" t="s">
        <v>24955</v>
      </c>
    </row>
    <row r="1788" spans="1:15" x14ac:dyDescent="0.15">
      <c r="A1788">
        <v>34997960</v>
      </c>
      <c r="B1788">
        <v>25251442</v>
      </c>
      <c r="E1788">
        <v>25701498</v>
      </c>
      <c r="F1788" t="s">
        <v>38820</v>
      </c>
      <c r="G1788" t="s">
        <v>38821</v>
      </c>
      <c r="H1788" t="s">
        <v>38822</v>
      </c>
      <c r="I1788" t="s">
        <v>38823</v>
      </c>
      <c r="J1788" t="s">
        <v>38824</v>
      </c>
      <c r="K1788">
        <v>2015</v>
      </c>
      <c r="L1788" s="1">
        <v>42057</v>
      </c>
      <c r="O1788" t="s">
        <v>27865</v>
      </c>
    </row>
    <row r="1789" spans="1:15" x14ac:dyDescent="0.15">
      <c r="A1789">
        <v>35235898</v>
      </c>
      <c r="B1789">
        <v>31160785</v>
      </c>
      <c r="E1789">
        <v>1953351</v>
      </c>
      <c r="F1789" t="s">
        <v>38825</v>
      </c>
      <c r="G1789" t="s">
        <v>38826</v>
      </c>
      <c r="H1789" t="s">
        <v>38827</v>
      </c>
      <c r="I1789" t="s">
        <v>38828</v>
      </c>
      <c r="J1789" t="s">
        <v>38829</v>
      </c>
      <c r="K1789">
        <v>1991</v>
      </c>
      <c r="L1789" s="1">
        <v>33239</v>
      </c>
      <c r="O1789" t="s">
        <v>24585</v>
      </c>
    </row>
    <row r="1790" spans="1:15" x14ac:dyDescent="0.15">
      <c r="A1790">
        <v>30696406</v>
      </c>
      <c r="B1790">
        <v>29701682</v>
      </c>
      <c r="E1790">
        <v>28771197</v>
      </c>
      <c r="F1790" t="s">
        <v>38872</v>
      </c>
      <c r="G1790" t="s">
        <v>38873</v>
      </c>
      <c r="H1790" t="s">
        <v>38874</v>
      </c>
      <c r="I1790" t="s">
        <v>38875</v>
      </c>
      <c r="J1790" t="s">
        <v>30720</v>
      </c>
      <c r="K1790">
        <v>2017</v>
      </c>
      <c r="L1790" s="1">
        <v>42951</v>
      </c>
      <c r="M1790" t="s">
        <v>38876</v>
      </c>
      <c r="O1790" t="s">
        <v>27402</v>
      </c>
    </row>
    <row r="1791" spans="1:15" x14ac:dyDescent="0.15">
      <c r="A1791" t="s">
        <v>74</v>
      </c>
      <c r="B1791">
        <v>31226398</v>
      </c>
      <c r="E1791">
        <v>9875267</v>
      </c>
      <c r="F1791" t="s">
        <v>22917</v>
      </c>
      <c r="G1791" t="s">
        <v>38903</v>
      </c>
      <c r="H1791" t="s">
        <v>38904</v>
      </c>
      <c r="I1791" t="s">
        <v>38905</v>
      </c>
      <c r="J1791" t="s">
        <v>38906</v>
      </c>
      <c r="K1791">
        <v>1998</v>
      </c>
      <c r="L1791" s="1">
        <v>36166</v>
      </c>
      <c r="O1791" t="s">
        <v>22930</v>
      </c>
    </row>
    <row r="1792" spans="1:15" x14ac:dyDescent="0.15">
      <c r="A1792">
        <v>25480638</v>
      </c>
      <c r="B1792">
        <v>31432608</v>
      </c>
      <c r="E1792">
        <v>29710410</v>
      </c>
      <c r="F1792" t="s">
        <v>24153</v>
      </c>
      <c r="G1792" t="s">
        <v>38920</v>
      </c>
      <c r="H1792" t="s">
        <v>38921</v>
      </c>
      <c r="I1792" t="s">
        <v>38922</v>
      </c>
      <c r="J1792" t="s">
        <v>31367</v>
      </c>
      <c r="K1792">
        <v>2018</v>
      </c>
      <c r="L1792" s="1">
        <v>43221</v>
      </c>
      <c r="O1792" t="s">
        <v>24163</v>
      </c>
    </row>
    <row r="1793" spans="1:15" x14ac:dyDescent="0.15">
      <c r="A1793">
        <v>34825908</v>
      </c>
      <c r="B1793">
        <v>25728769</v>
      </c>
      <c r="E1793">
        <v>18089561</v>
      </c>
      <c r="F1793" t="s">
        <v>38934</v>
      </c>
      <c r="G1793" t="s">
        <v>38935</v>
      </c>
      <c r="H1793" t="s">
        <v>38936</v>
      </c>
      <c r="I1793" t="s">
        <v>38937</v>
      </c>
      <c r="J1793" t="s">
        <v>31594</v>
      </c>
      <c r="K1793">
        <v>2008</v>
      </c>
      <c r="L1793" s="1">
        <v>39436</v>
      </c>
      <c r="O1793" t="s">
        <v>25729</v>
      </c>
    </row>
    <row r="1794" spans="1:15" x14ac:dyDescent="0.15">
      <c r="A1794">
        <v>35373518</v>
      </c>
      <c r="B1794">
        <v>29326054</v>
      </c>
      <c r="E1794">
        <v>33239369</v>
      </c>
      <c r="F1794" t="s">
        <v>14657</v>
      </c>
      <c r="G1794" t="s">
        <v>38962</v>
      </c>
      <c r="H1794" t="s">
        <v>38963</v>
      </c>
      <c r="I1794" t="s">
        <v>38964</v>
      </c>
      <c r="J1794" t="s">
        <v>38965</v>
      </c>
      <c r="K1794">
        <v>2020</v>
      </c>
      <c r="L1794" s="1">
        <v>44161</v>
      </c>
      <c r="M1794" t="s">
        <v>38966</v>
      </c>
      <c r="O1794" t="s">
        <v>14670</v>
      </c>
    </row>
    <row r="1795" spans="1:15" x14ac:dyDescent="0.15">
      <c r="A1795">
        <v>32420990</v>
      </c>
      <c r="B1795">
        <v>27075929</v>
      </c>
      <c r="E1795">
        <v>35024198</v>
      </c>
      <c r="F1795" t="s">
        <v>24932</v>
      </c>
      <c r="G1795" t="s">
        <v>38973</v>
      </c>
      <c r="H1795" t="s">
        <v>38974</v>
      </c>
      <c r="I1795" t="s">
        <v>38975</v>
      </c>
      <c r="J1795" t="s">
        <v>38976</v>
      </c>
      <c r="K1795">
        <v>2021</v>
      </c>
      <c r="L1795" s="1">
        <v>44574</v>
      </c>
      <c r="M1795" t="s">
        <v>38977</v>
      </c>
      <c r="O1795" t="s">
        <v>24943</v>
      </c>
    </row>
    <row r="1796" spans="1:15" x14ac:dyDescent="0.15">
      <c r="A1796">
        <v>32856938</v>
      </c>
      <c r="B1796">
        <v>23980030</v>
      </c>
      <c r="E1796">
        <v>33879557</v>
      </c>
      <c r="F1796" t="s">
        <v>29581</v>
      </c>
      <c r="G1796" t="s">
        <v>39025</v>
      </c>
      <c r="H1796" t="s">
        <v>39026</v>
      </c>
      <c r="I1796" t="s">
        <v>39027</v>
      </c>
      <c r="J1796" t="s">
        <v>34988</v>
      </c>
      <c r="K1796">
        <v>2021</v>
      </c>
      <c r="L1796" s="1">
        <v>44307</v>
      </c>
      <c r="M1796" t="s">
        <v>39028</v>
      </c>
      <c r="N1796" t="s">
        <v>39029</v>
      </c>
      <c r="O1796" t="s">
        <v>29589</v>
      </c>
    </row>
    <row r="1797" spans="1:15" x14ac:dyDescent="0.15">
      <c r="A1797">
        <v>35059876</v>
      </c>
      <c r="B1797">
        <v>16957732</v>
      </c>
      <c r="E1797">
        <v>19019086</v>
      </c>
      <c r="F1797" t="s">
        <v>18876</v>
      </c>
      <c r="G1797" t="s">
        <v>39075</v>
      </c>
      <c r="H1797" t="s">
        <v>39076</v>
      </c>
      <c r="I1797" t="s">
        <v>39077</v>
      </c>
      <c r="J1797" t="s">
        <v>2064</v>
      </c>
      <c r="K1797">
        <v>2009</v>
      </c>
      <c r="L1797" s="1">
        <v>39773</v>
      </c>
      <c r="M1797" t="s">
        <v>39078</v>
      </c>
      <c r="O1797" t="s">
        <v>18887</v>
      </c>
    </row>
    <row r="1798" spans="1:15" x14ac:dyDescent="0.15">
      <c r="A1798">
        <v>35367893</v>
      </c>
      <c r="B1798">
        <v>34129371</v>
      </c>
      <c r="E1798">
        <v>21410798</v>
      </c>
      <c r="F1798" t="s">
        <v>24050</v>
      </c>
      <c r="G1798" t="s">
        <v>39085</v>
      </c>
      <c r="H1798" t="s">
        <v>39086</v>
      </c>
      <c r="I1798" t="s">
        <v>39087</v>
      </c>
      <c r="J1798" t="s">
        <v>39088</v>
      </c>
      <c r="K1798">
        <v>2011</v>
      </c>
      <c r="L1798" s="1">
        <v>40620</v>
      </c>
      <c r="O1798" t="s">
        <v>24062</v>
      </c>
    </row>
    <row r="1799" spans="1:15" x14ac:dyDescent="0.15">
      <c r="A1799">
        <v>35453902</v>
      </c>
      <c r="B1799">
        <v>31287870</v>
      </c>
      <c r="E1799">
        <v>15829504</v>
      </c>
      <c r="F1799" t="s">
        <v>24194</v>
      </c>
      <c r="G1799" t="s">
        <v>39089</v>
      </c>
      <c r="H1799" t="s">
        <v>39090</v>
      </c>
      <c r="I1799" t="s">
        <v>39091</v>
      </c>
      <c r="J1799" t="s">
        <v>33359</v>
      </c>
      <c r="K1799">
        <v>2005</v>
      </c>
      <c r="L1799" s="1">
        <v>38457</v>
      </c>
      <c r="O1799" t="s">
        <v>24201</v>
      </c>
    </row>
    <row r="1800" spans="1:15" x14ac:dyDescent="0.15">
      <c r="A1800">
        <v>34681663</v>
      </c>
      <c r="B1800">
        <v>35581240</v>
      </c>
      <c r="E1800">
        <v>21440017</v>
      </c>
      <c r="F1800" t="s">
        <v>25126</v>
      </c>
      <c r="G1800" t="s">
        <v>39097</v>
      </c>
      <c r="H1800" t="s">
        <v>39098</v>
      </c>
      <c r="I1800" t="s">
        <v>39099</v>
      </c>
      <c r="J1800" t="s">
        <v>32328</v>
      </c>
      <c r="K1800">
        <v>2011</v>
      </c>
      <c r="L1800" s="1">
        <v>40631</v>
      </c>
      <c r="O1800" t="s">
        <v>25132</v>
      </c>
    </row>
    <row r="1801" spans="1:15" x14ac:dyDescent="0.15">
      <c r="A1801">
        <v>33562158</v>
      </c>
      <c r="B1801">
        <v>31644944</v>
      </c>
      <c r="E1801">
        <v>32160132</v>
      </c>
      <c r="F1801" t="s">
        <v>39122</v>
      </c>
      <c r="G1801" t="s">
        <v>39123</v>
      </c>
      <c r="H1801" t="s">
        <v>39124</v>
      </c>
      <c r="I1801" t="s">
        <v>39125</v>
      </c>
      <c r="J1801" t="s">
        <v>31512</v>
      </c>
      <c r="K1801">
        <v>2020</v>
      </c>
      <c r="L1801" s="1">
        <v>43902</v>
      </c>
      <c r="M1801" t="s">
        <v>39126</v>
      </c>
      <c r="N1801" t="s">
        <v>39127</v>
      </c>
      <c r="O1801" t="s">
        <v>23510</v>
      </c>
    </row>
    <row r="1802" spans="1:15" x14ac:dyDescent="0.15">
      <c r="A1802">
        <v>32065171</v>
      </c>
      <c r="B1802">
        <v>29289567</v>
      </c>
      <c r="E1802">
        <v>24277816</v>
      </c>
      <c r="F1802" t="s">
        <v>13945</v>
      </c>
      <c r="G1802" t="s">
        <v>39141</v>
      </c>
      <c r="H1802" t="s">
        <v>39142</v>
      </c>
      <c r="I1802" t="s">
        <v>35277</v>
      </c>
      <c r="J1802" t="s">
        <v>30767</v>
      </c>
      <c r="K1802">
        <v>2013</v>
      </c>
      <c r="L1802" s="1">
        <v>41605</v>
      </c>
      <c r="M1802" t="s">
        <v>39143</v>
      </c>
      <c r="O1802" t="s">
        <v>13954</v>
      </c>
    </row>
    <row r="1803" spans="1:15" x14ac:dyDescent="0.15">
      <c r="A1803">
        <v>34440345</v>
      </c>
      <c r="B1803">
        <v>32593407</v>
      </c>
      <c r="E1803">
        <v>35245730</v>
      </c>
      <c r="F1803" t="s">
        <v>21762</v>
      </c>
      <c r="G1803" t="s">
        <v>39144</v>
      </c>
      <c r="H1803" t="s">
        <v>39145</v>
      </c>
      <c r="I1803" t="s">
        <v>39146</v>
      </c>
      <c r="J1803" t="s">
        <v>30812</v>
      </c>
      <c r="K1803">
        <v>2022</v>
      </c>
      <c r="L1803" s="1">
        <v>44624</v>
      </c>
      <c r="O1803" t="s">
        <v>21770</v>
      </c>
    </row>
    <row r="1804" spans="1:15" x14ac:dyDescent="0.15">
      <c r="A1804">
        <v>31584165</v>
      </c>
      <c r="B1804">
        <v>9361293</v>
      </c>
      <c r="E1804">
        <v>17158353</v>
      </c>
      <c r="F1804" t="s">
        <v>39147</v>
      </c>
      <c r="G1804" t="s">
        <v>39148</v>
      </c>
      <c r="H1804" t="s">
        <v>39149</v>
      </c>
      <c r="I1804" t="s">
        <v>39150</v>
      </c>
      <c r="J1804" t="s">
        <v>36711</v>
      </c>
      <c r="K1804">
        <v>2007</v>
      </c>
      <c r="L1804" s="1">
        <v>39064</v>
      </c>
      <c r="M1804" t="s">
        <v>39151</v>
      </c>
      <c r="N1804" t="s">
        <v>39152</v>
      </c>
      <c r="O1804" t="s">
        <v>16882</v>
      </c>
    </row>
    <row r="1805" spans="1:15" x14ac:dyDescent="0.15">
      <c r="A1805">
        <v>33925397</v>
      </c>
      <c r="B1805">
        <v>22306653</v>
      </c>
      <c r="E1805">
        <v>25900080</v>
      </c>
      <c r="F1805" t="s">
        <v>25823</v>
      </c>
      <c r="G1805" t="s">
        <v>39200</v>
      </c>
      <c r="H1805" t="s">
        <v>39201</v>
      </c>
      <c r="I1805" t="s">
        <v>39202</v>
      </c>
      <c r="J1805" t="s">
        <v>31376</v>
      </c>
      <c r="K1805">
        <v>2015</v>
      </c>
      <c r="L1805" s="1">
        <v>42117</v>
      </c>
      <c r="O1805" t="s">
        <v>25832</v>
      </c>
    </row>
    <row r="1806" spans="1:15" x14ac:dyDescent="0.15">
      <c r="A1806">
        <v>29043382</v>
      </c>
      <c r="B1806">
        <v>19061643</v>
      </c>
      <c r="E1806">
        <v>31397847</v>
      </c>
      <c r="F1806" t="s">
        <v>24205</v>
      </c>
      <c r="G1806" t="s">
        <v>39268</v>
      </c>
      <c r="H1806" t="s">
        <v>39269</v>
      </c>
      <c r="I1806" t="s">
        <v>39270</v>
      </c>
      <c r="J1806" t="s">
        <v>35648</v>
      </c>
      <c r="K1806">
        <v>2019</v>
      </c>
      <c r="L1806" s="1">
        <v>43687</v>
      </c>
      <c r="O1806" t="s">
        <v>24216</v>
      </c>
    </row>
    <row r="1807" spans="1:15" x14ac:dyDescent="0.15">
      <c r="A1807">
        <v>34868914</v>
      </c>
      <c r="B1807">
        <v>35040435</v>
      </c>
      <c r="E1807">
        <v>25591738</v>
      </c>
      <c r="F1807" t="s">
        <v>23879</v>
      </c>
      <c r="G1807" t="s">
        <v>39312</v>
      </c>
      <c r="H1807" t="s">
        <v>39313</v>
      </c>
      <c r="I1807" t="s">
        <v>39314</v>
      </c>
      <c r="J1807" t="s">
        <v>33118</v>
      </c>
      <c r="K1807">
        <v>2015</v>
      </c>
      <c r="L1807" s="1">
        <v>42021</v>
      </c>
      <c r="M1807" t="s">
        <v>39315</v>
      </c>
      <c r="O1807" t="s">
        <v>23887</v>
      </c>
    </row>
    <row r="1808" spans="1:15" x14ac:dyDescent="0.15">
      <c r="A1808">
        <v>34820420</v>
      </c>
      <c r="B1808">
        <v>26387449</v>
      </c>
      <c r="E1808">
        <v>16103147</v>
      </c>
      <c r="F1808" t="s">
        <v>23890</v>
      </c>
      <c r="G1808" t="s">
        <v>39360</v>
      </c>
      <c r="H1808" t="s">
        <v>39361</v>
      </c>
      <c r="I1808" t="s">
        <v>39362</v>
      </c>
      <c r="J1808" t="s">
        <v>31970</v>
      </c>
      <c r="K1808">
        <v>2005</v>
      </c>
      <c r="L1808" s="1">
        <v>38581</v>
      </c>
      <c r="M1808" t="s">
        <v>39363</v>
      </c>
      <c r="O1808" t="s">
        <v>23899</v>
      </c>
    </row>
    <row r="1809" spans="1:15" x14ac:dyDescent="0.15">
      <c r="A1809" t="s">
        <v>74</v>
      </c>
      <c r="B1809">
        <v>22723882</v>
      </c>
      <c r="E1809">
        <v>16501071</v>
      </c>
      <c r="F1809" t="s">
        <v>39369</v>
      </c>
      <c r="G1809" t="s">
        <v>39370</v>
      </c>
      <c r="H1809" t="s">
        <v>39371</v>
      </c>
      <c r="I1809" t="s">
        <v>39372</v>
      </c>
      <c r="J1809" t="s">
        <v>31970</v>
      </c>
      <c r="K1809">
        <v>2006</v>
      </c>
      <c r="L1809" s="1">
        <v>38776</v>
      </c>
      <c r="M1809" t="s">
        <v>39373</v>
      </c>
      <c r="O1809" t="s">
        <v>24019</v>
      </c>
    </row>
    <row r="1810" spans="1:15" x14ac:dyDescent="0.15">
      <c r="A1810">
        <v>31893376</v>
      </c>
      <c r="B1810">
        <v>17998247</v>
      </c>
      <c r="E1810">
        <v>22874834</v>
      </c>
      <c r="F1810" t="s">
        <v>26271</v>
      </c>
      <c r="G1810" t="s">
        <v>39392</v>
      </c>
      <c r="H1810" t="s">
        <v>39393</v>
      </c>
      <c r="I1810" t="s">
        <v>38172</v>
      </c>
      <c r="J1810" t="s">
        <v>32264</v>
      </c>
      <c r="K1810">
        <v>2012</v>
      </c>
      <c r="L1810" s="1">
        <v>41131</v>
      </c>
      <c r="M1810" t="s">
        <v>39394</v>
      </c>
      <c r="O1810" t="s">
        <v>26281</v>
      </c>
    </row>
    <row r="1811" spans="1:15" x14ac:dyDescent="0.15">
      <c r="A1811">
        <v>34454177</v>
      </c>
      <c r="B1811">
        <v>18332123</v>
      </c>
      <c r="E1811">
        <v>9180905</v>
      </c>
      <c r="F1811" t="s">
        <v>39405</v>
      </c>
      <c r="G1811" t="s">
        <v>39406</v>
      </c>
      <c r="H1811" t="s">
        <v>39407</v>
      </c>
      <c r="I1811" t="s">
        <v>39408</v>
      </c>
      <c r="J1811" t="s">
        <v>30847</v>
      </c>
      <c r="K1811">
        <v>1997</v>
      </c>
      <c r="L1811" s="1">
        <v>35582</v>
      </c>
      <c r="O1811" t="s">
        <v>39409</v>
      </c>
    </row>
    <row r="1812" spans="1:15" x14ac:dyDescent="0.15">
      <c r="A1812">
        <v>33917426</v>
      </c>
      <c r="B1812">
        <v>16126846</v>
      </c>
      <c r="E1812">
        <v>27677261</v>
      </c>
      <c r="F1812" t="s">
        <v>21713</v>
      </c>
      <c r="G1812" t="s">
        <v>39416</v>
      </c>
      <c r="H1812" t="s">
        <v>39417</v>
      </c>
      <c r="I1812" t="s">
        <v>39418</v>
      </c>
      <c r="J1812" t="s">
        <v>31438</v>
      </c>
      <c r="K1812">
        <v>2016</v>
      </c>
      <c r="L1812" s="1">
        <v>42642</v>
      </c>
      <c r="M1812" t="s">
        <v>39419</v>
      </c>
      <c r="O1812" t="s">
        <v>21721</v>
      </c>
    </row>
    <row r="1813" spans="1:15" x14ac:dyDescent="0.15">
      <c r="A1813">
        <v>33925708</v>
      </c>
      <c r="B1813">
        <v>31654394</v>
      </c>
      <c r="E1813">
        <v>18328526</v>
      </c>
      <c r="F1813" t="s">
        <v>26602</v>
      </c>
      <c r="G1813" t="s">
        <v>39499</v>
      </c>
      <c r="H1813" t="s">
        <v>39500</v>
      </c>
      <c r="I1813" t="s">
        <v>39501</v>
      </c>
      <c r="J1813" t="s">
        <v>932</v>
      </c>
      <c r="K1813">
        <v>2008</v>
      </c>
      <c r="L1813" s="1">
        <v>39518</v>
      </c>
      <c r="O1813" t="s">
        <v>26612</v>
      </c>
    </row>
    <row r="1814" spans="1:15" x14ac:dyDescent="0.15">
      <c r="A1814">
        <v>35447404</v>
      </c>
      <c r="B1814">
        <v>35892331</v>
      </c>
      <c r="E1814">
        <v>30247599</v>
      </c>
      <c r="F1814" t="s">
        <v>24630</v>
      </c>
      <c r="G1814" t="s">
        <v>39528</v>
      </c>
      <c r="H1814" t="s">
        <v>39529</v>
      </c>
      <c r="I1814" t="s">
        <v>39530</v>
      </c>
      <c r="J1814" t="s">
        <v>32228</v>
      </c>
      <c r="K1814">
        <v>2018</v>
      </c>
      <c r="L1814" s="1">
        <v>43368</v>
      </c>
      <c r="M1814" t="s">
        <v>39531</v>
      </c>
      <c r="O1814" t="s">
        <v>24640</v>
      </c>
    </row>
    <row r="1815" spans="1:15" x14ac:dyDescent="0.15">
      <c r="A1815">
        <v>35326114</v>
      </c>
      <c r="B1815">
        <v>12805285</v>
      </c>
      <c r="E1815">
        <v>31546246</v>
      </c>
      <c r="F1815" t="s">
        <v>23126</v>
      </c>
      <c r="G1815" t="s">
        <v>39552</v>
      </c>
      <c r="H1815" t="s">
        <v>39553</v>
      </c>
      <c r="I1815" t="s">
        <v>39554</v>
      </c>
      <c r="J1815" t="s">
        <v>34237</v>
      </c>
      <c r="K1815">
        <v>2019</v>
      </c>
      <c r="L1815" s="1">
        <v>43732</v>
      </c>
      <c r="M1815" t="s">
        <v>39555</v>
      </c>
      <c r="N1815" t="s">
        <v>39556</v>
      </c>
      <c r="O1815" t="s">
        <v>23135</v>
      </c>
    </row>
    <row r="1816" spans="1:15" x14ac:dyDescent="0.15">
      <c r="A1816">
        <v>33017084</v>
      </c>
      <c r="B1816">
        <v>25281721</v>
      </c>
      <c r="E1816">
        <v>26743283</v>
      </c>
      <c r="F1816" t="s">
        <v>26542</v>
      </c>
      <c r="G1816" t="s">
        <v>39578</v>
      </c>
      <c r="H1816" t="s">
        <v>39579</v>
      </c>
      <c r="I1816" t="s">
        <v>39580</v>
      </c>
      <c r="J1816" t="s">
        <v>39581</v>
      </c>
      <c r="K1816">
        <v>2015</v>
      </c>
      <c r="L1816" s="1">
        <v>42378</v>
      </c>
    </row>
    <row r="1817" spans="1:15" x14ac:dyDescent="0.15">
      <c r="A1817" t="s">
        <v>74</v>
      </c>
      <c r="B1817">
        <v>20807745</v>
      </c>
      <c r="E1817">
        <v>17573475</v>
      </c>
      <c r="F1817" t="s">
        <v>26059</v>
      </c>
      <c r="G1817" t="s">
        <v>39588</v>
      </c>
      <c r="H1817" t="s">
        <v>39589</v>
      </c>
      <c r="I1817" t="s">
        <v>39590</v>
      </c>
      <c r="J1817" t="s">
        <v>32185</v>
      </c>
      <c r="K1817">
        <v>2007</v>
      </c>
      <c r="L1817" s="1">
        <v>39252</v>
      </c>
      <c r="M1817" t="s">
        <v>39591</v>
      </c>
      <c r="O1817" t="s">
        <v>26066</v>
      </c>
    </row>
    <row r="1818" spans="1:15" x14ac:dyDescent="0.15">
      <c r="A1818">
        <v>34651660</v>
      </c>
      <c r="B1818">
        <v>15625191</v>
      </c>
      <c r="E1818">
        <v>34040060</v>
      </c>
      <c r="F1818" t="s">
        <v>21532</v>
      </c>
      <c r="G1818" t="s">
        <v>39592</v>
      </c>
      <c r="H1818" t="s">
        <v>39593</v>
      </c>
      <c r="I1818" t="s">
        <v>39594</v>
      </c>
      <c r="J1818" t="s">
        <v>30834</v>
      </c>
      <c r="K1818">
        <v>2021</v>
      </c>
      <c r="L1818" s="1">
        <v>44343</v>
      </c>
      <c r="M1818" t="s">
        <v>39595</v>
      </c>
      <c r="O1818" t="s">
        <v>21542</v>
      </c>
    </row>
    <row r="1819" spans="1:15" x14ac:dyDescent="0.15">
      <c r="A1819">
        <v>34605844</v>
      </c>
      <c r="B1819">
        <v>11923195</v>
      </c>
      <c r="E1819">
        <v>9652412</v>
      </c>
      <c r="F1819" t="s">
        <v>25606</v>
      </c>
      <c r="G1819" t="s">
        <v>39617</v>
      </c>
      <c r="H1819" t="s">
        <v>39618</v>
      </c>
      <c r="I1819" t="s">
        <v>39619</v>
      </c>
      <c r="J1819" t="s">
        <v>36775</v>
      </c>
      <c r="K1819">
        <v>1998</v>
      </c>
      <c r="L1819" s="1">
        <v>35980</v>
      </c>
      <c r="O1819" t="s">
        <v>25616</v>
      </c>
    </row>
    <row r="1820" spans="1:15" x14ac:dyDescent="0.15">
      <c r="A1820">
        <v>26718911</v>
      </c>
      <c r="B1820">
        <v>8915355</v>
      </c>
      <c r="E1820">
        <v>35447119</v>
      </c>
      <c r="F1820" t="s">
        <v>22397</v>
      </c>
      <c r="G1820" t="s">
        <v>39620</v>
      </c>
      <c r="H1820" t="s">
        <v>39621</v>
      </c>
      <c r="I1820" t="s">
        <v>39622</v>
      </c>
      <c r="J1820" t="s">
        <v>31594</v>
      </c>
      <c r="K1820">
        <v>2022</v>
      </c>
      <c r="L1820" s="1">
        <v>44672</v>
      </c>
      <c r="M1820" t="s">
        <v>39623</v>
      </c>
      <c r="O1820" t="s">
        <v>22405</v>
      </c>
    </row>
    <row r="1821" spans="1:15" x14ac:dyDescent="0.15">
      <c r="A1821">
        <v>34127763</v>
      </c>
      <c r="B1821">
        <v>33808542</v>
      </c>
      <c r="E1821">
        <v>29921325</v>
      </c>
      <c r="F1821" t="s">
        <v>23349</v>
      </c>
      <c r="G1821" t="s">
        <v>39726</v>
      </c>
      <c r="H1821" t="s">
        <v>39727</v>
      </c>
      <c r="I1821" t="s">
        <v>39728</v>
      </c>
      <c r="J1821" t="s">
        <v>30740</v>
      </c>
      <c r="K1821">
        <v>2018</v>
      </c>
      <c r="L1821" s="1">
        <v>43272</v>
      </c>
      <c r="M1821" t="s">
        <v>39729</v>
      </c>
      <c r="O1821" t="s">
        <v>23359</v>
      </c>
    </row>
    <row r="1822" spans="1:15" x14ac:dyDescent="0.15">
      <c r="A1822">
        <v>34422924</v>
      </c>
      <c r="B1822">
        <v>30118658</v>
      </c>
      <c r="E1822">
        <v>34613814</v>
      </c>
      <c r="F1822" t="s">
        <v>24181</v>
      </c>
      <c r="G1822" t="s">
        <v>39746</v>
      </c>
      <c r="H1822" t="s">
        <v>39747</v>
      </c>
      <c r="I1822" t="s">
        <v>30674</v>
      </c>
      <c r="J1822" t="s">
        <v>35516</v>
      </c>
      <c r="K1822">
        <v>2021</v>
      </c>
      <c r="L1822" s="1">
        <v>44475</v>
      </c>
      <c r="O1822" t="s">
        <v>24191</v>
      </c>
    </row>
    <row r="1823" spans="1:15" x14ac:dyDescent="0.15">
      <c r="A1823">
        <v>34999547</v>
      </c>
      <c r="B1823">
        <v>12711090</v>
      </c>
      <c r="E1823">
        <v>22504485</v>
      </c>
      <c r="F1823" t="s">
        <v>24781</v>
      </c>
      <c r="G1823" t="s">
        <v>39765</v>
      </c>
      <c r="H1823" t="s">
        <v>39766</v>
      </c>
      <c r="I1823" t="s">
        <v>39767</v>
      </c>
      <c r="J1823" t="s">
        <v>36111</v>
      </c>
      <c r="K1823">
        <v>2012</v>
      </c>
      <c r="L1823" s="1">
        <v>41016</v>
      </c>
      <c r="M1823" t="s">
        <v>39768</v>
      </c>
      <c r="N1823" t="s">
        <v>39769</v>
      </c>
      <c r="O1823" t="s">
        <v>24793</v>
      </c>
    </row>
    <row r="1824" spans="1:15" x14ac:dyDescent="0.15">
      <c r="A1824">
        <v>34236496</v>
      </c>
      <c r="B1824">
        <v>12871939</v>
      </c>
      <c r="E1824">
        <v>34298423</v>
      </c>
      <c r="F1824" t="s">
        <v>24337</v>
      </c>
      <c r="G1824" t="s">
        <v>39782</v>
      </c>
      <c r="H1824" t="s">
        <v>39783</v>
      </c>
      <c r="I1824" t="s">
        <v>39784</v>
      </c>
      <c r="J1824" t="s">
        <v>31287</v>
      </c>
      <c r="K1824">
        <v>2021</v>
      </c>
      <c r="L1824" s="1">
        <v>44400</v>
      </c>
      <c r="O1824" t="s">
        <v>24346</v>
      </c>
    </row>
    <row r="1825" spans="1:15" x14ac:dyDescent="0.15">
      <c r="A1825">
        <v>35104460</v>
      </c>
      <c r="B1825">
        <v>22438559</v>
      </c>
      <c r="E1825">
        <v>11837318</v>
      </c>
      <c r="F1825" t="s">
        <v>26134</v>
      </c>
      <c r="G1825" t="s">
        <v>39785</v>
      </c>
      <c r="H1825" t="s">
        <v>39786</v>
      </c>
      <c r="I1825" t="s">
        <v>39787</v>
      </c>
      <c r="J1825" t="s">
        <v>39788</v>
      </c>
      <c r="K1825">
        <v>2002</v>
      </c>
      <c r="L1825" s="1">
        <v>37299</v>
      </c>
      <c r="O1825" t="s">
        <v>26147</v>
      </c>
    </row>
    <row r="1826" spans="1:15" x14ac:dyDescent="0.15">
      <c r="A1826">
        <v>35663013</v>
      </c>
      <c r="B1826">
        <v>29800303</v>
      </c>
      <c r="E1826">
        <v>29976931</v>
      </c>
      <c r="F1826" t="s">
        <v>24097</v>
      </c>
      <c r="G1826" t="s">
        <v>39795</v>
      </c>
      <c r="H1826" t="s">
        <v>39796</v>
      </c>
      <c r="I1826" t="s">
        <v>39797</v>
      </c>
      <c r="J1826" t="s">
        <v>30834</v>
      </c>
      <c r="K1826">
        <v>2018</v>
      </c>
      <c r="L1826" s="1">
        <v>43288</v>
      </c>
      <c r="M1826" t="s">
        <v>39798</v>
      </c>
      <c r="O1826" t="s">
        <v>24107</v>
      </c>
    </row>
    <row r="1827" spans="1:15" x14ac:dyDescent="0.15">
      <c r="A1827">
        <v>34534548</v>
      </c>
      <c r="B1827">
        <v>28844885</v>
      </c>
      <c r="E1827">
        <v>33370019</v>
      </c>
      <c r="F1827" t="s">
        <v>23755</v>
      </c>
      <c r="G1827" t="s">
        <v>39799</v>
      </c>
      <c r="H1827" t="s">
        <v>39800</v>
      </c>
      <c r="I1827" t="s">
        <v>39801</v>
      </c>
      <c r="J1827" t="s">
        <v>39606</v>
      </c>
      <c r="K1827">
        <v>2021</v>
      </c>
      <c r="L1827" s="1">
        <v>44193</v>
      </c>
      <c r="M1827" t="s">
        <v>39802</v>
      </c>
      <c r="N1827" t="s">
        <v>39803</v>
      </c>
      <c r="O1827" t="s">
        <v>23768</v>
      </c>
    </row>
    <row r="1828" spans="1:15" x14ac:dyDescent="0.15">
      <c r="A1828">
        <v>34897815</v>
      </c>
      <c r="B1828">
        <v>33377869</v>
      </c>
      <c r="E1828">
        <v>22192456</v>
      </c>
      <c r="F1828" t="s">
        <v>26230</v>
      </c>
      <c r="G1828" t="s">
        <v>39815</v>
      </c>
      <c r="H1828" t="s">
        <v>39816</v>
      </c>
      <c r="I1828" t="s">
        <v>39817</v>
      </c>
      <c r="J1828" t="s">
        <v>39818</v>
      </c>
      <c r="K1828">
        <v>2012</v>
      </c>
      <c r="L1828" s="1">
        <v>40901</v>
      </c>
      <c r="M1828" t="s">
        <v>39819</v>
      </c>
      <c r="N1828" t="s">
        <v>39820</v>
      </c>
      <c r="O1828" t="s">
        <v>26242</v>
      </c>
    </row>
    <row r="1829" spans="1:15" x14ac:dyDescent="0.15">
      <c r="A1829">
        <v>34739016</v>
      </c>
      <c r="B1829">
        <v>31322581</v>
      </c>
      <c r="E1829">
        <v>31092731</v>
      </c>
      <c r="F1829" t="s">
        <v>22089</v>
      </c>
      <c r="G1829" t="s">
        <v>39821</v>
      </c>
      <c r="H1829" t="s">
        <v>39822</v>
      </c>
      <c r="I1829" t="s">
        <v>39823</v>
      </c>
      <c r="J1829" t="s">
        <v>34706</v>
      </c>
      <c r="K1829">
        <v>2019</v>
      </c>
      <c r="L1829" s="1">
        <v>43602</v>
      </c>
      <c r="M1829" t="s">
        <v>39824</v>
      </c>
      <c r="O1829" t="s">
        <v>22099</v>
      </c>
    </row>
    <row r="1830" spans="1:15" x14ac:dyDescent="0.15">
      <c r="A1830">
        <v>34772443</v>
      </c>
      <c r="B1830">
        <v>31294478</v>
      </c>
      <c r="E1830">
        <v>19180118</v>
      </c>
      <c r="F1830" t="s">
        <v>22384</v>
      </c>
      <c r="G1830" t="s">
        <v>39873</v>
      </c>
      <c r="H1830" t="s">
        <v>39874</v>
      </c>
      <c r="I1830" t="s">
        <v>39875</v>
      </c>
      <c r="J1830" t="s">
        <v>33118</v>
      </c>
      <c r="K1830">
        <v>2009</v>
      </c>
      <c r="L1830" s="1">
        <v>39844</v>
      </c>
      <c r="M1830" t="s">
        <v>39876</v>
      </c>
      <c r="N1830" t="s">
        <v>39877</v>
      </c>
      <c r="O1830" t="s">
        <v>22393</v>
      </c>
    </row>
    <row r="1831" spans="1:15" x14ac:dyDescent="0.15">
      <c r="A1831" t="s">
        <v>74</v>
      </c>
      <c r="B1831">
        <v>25988873</v>
      </c>
      <c r="E1831">
        <v>33523836</v>
      </c>
      <c r="F1831" t="s">
        <v>28970</v>
      </c>
      <c r="G1831" t="s">
        <v>39883</v>
      </c>
      <c r="H1831" t="s">
        <v>39884</v>
      </c>
      <c r="I1831" t="s">
        <v>39885</v>
      </c>
      <c r="J1831" t="s">
        <v>30758</v>
      </c>
      <c r="K1831">
        <v>2021</v>
      </c>
      <c r="L1831" s="1">
        <v>44228</v>
      </c>
      <c r="M1831" t="s">
        <v>39886</v>
      </c>
      <c r="O1831" t="s">
        <v>28978</v>
      </c>
    </row>
    <row r="1832" spans="1:15" x14ac:dyDescent="0.15">
      <c r="A1832">
        <v>34619318</v>
      </c>
      <c r="B1832">
        <v>21677667</v>
      </c>
      <c r="E1832">
        <v>8660406</v>
      </c>
      <c r="F1832" t="s">
        <v>27899</v>
      </c>
      <c r="G1832" t="s">
        <v>39892</v>
      </c>
      <c r="H1832" t="s">
        <v>39893</v>
      </c>
      <c r="I1832" t="s">
        <v>39894</v>
      </c>
      <c r="J1832" t="s">
        <v>39895</v>
      </c>
      <c r="K1832">
        <v>1996</v>
      </c>
      <c r="L1832" s="1">
        <v>35247</v>
      </c>
      <c r="O1832" t="s">
        <v>27908</v>
      </c>
    </row>
    <row r="1833" spans="1:15" x14ac:dyDescent="0.15">
      <c r="A1833">
        <v>34061659</v>
      </c>
      <c r="B1833">
        <v>33730188</v>
      </c>
      <c r="E1833">
        <v>24572141</v>
      </c>
      <c r="F1833" t="s">
        <v>26874</v>
      </c>
      <c r="G1833" t="s">
        <v>39928</v>
      </c>
      <c r="H1833" t="s">
        <v>39929</v>
      </c>
      <c r="I1833" t="s">
        <v>37321</v>
      </c>
      <c r="J1833" t="s">
        <v>35115</v>
      </c>
      <c r="K1833">
        <v>2015</v>
      </c>
      <c r="L1833" s="1">
        <v>41698</v>
      </c>
      <c r="O1833" t="s">
        <v>26883</v>
      </c>
    </row>
    <row r="1834" spans="1:15" x14ac:dyDescent="0.15">
      <c r="A1834" t="s">
        <v>74</v>
      </c>
      <c r="B1834">
        <v>32187185</v>
      </c>
      <c r="E1834">
        <v>24499465</v>
      </c>
      <c r="F1834" t="s">
        <v>39930</v>
      </c>
      <c r="G1834" t="s">
        <v>39931</v>
      </c>
      <c r="H1834" t="s">
        <v>39932</v>
      </c>
      <c r="I1834" t="s">
        <v>39933</v>
      </c>
      <c r="J1834" t="s">
        <v>33708</v>
      </c>
      <c r="K1834">
        <v>2014</v>
      </c>
      <c r="L1834" s="1">
        <v>41677</v>
      </c>
      <c r="M1834" t="s">
        <v>39934</v>
      </c>
      <c r="N1834" t="s">
        <v>39935</v>
      </c>
      <c r="O1834" t="s">
        <v>27788</v>
      </c>
    </row>
    <row r="1835" spans="1:15" x14ac:dyDescent="0.15">
      <c r="A1835" t="s">
        <v>74</v>
      </c>
      <c r="B1835">
        <v>22895726</v>
      </c>
      <c r="E1835">
        <v>33978996</v>
      </c>
      <c r="F1835" t="s">
        <v>26174</v>
      </c>
      <c r="G1835" t="s">
        <v>39936</v>
      </c>
      <c r="H1835" t="s">
        <v>39937</v>
      </c>
      <c r="I1835" t="s">
        <v>39938</v>
      </c>
      <c r="J1835" t="s">
        <v>30763</v>
      </c>
      <c r="K1835">
        <v>2021</v>
      </c>
      <c r="L1835" s="1">
        <v>44328</v>
      </c>
      <c r="O1835" t="s">
        <v>26184</v>
      </c>
    </row>
    <row r="1836" spans="1:15" x14ac:dyDescent="0.15">
      <c r="A1836" t="s">
        <v>74</v>
      </c>
      <c r="B1836">
        <v>32709045</v>
      </c>
      <c r="E1836">
        <v>32352741</v>
      </c>
      <c r="F1836" t="s">
        <v>25167</v>
      </c>
      <c r="G1836" t="s">
        <v>40003</v>
      </c>
      <c r="H1836" t="s">
        <v>40004</v>
      </c>
      <c r="I1836" t="s">
        <v>40005</v>
      </c>
      <c r="J1836" t="s">
        <v>30561</v>
      </c>
      <c r="K1836">
        <v>2020</v>
      </c>
      <c r="L1836" s="1">
        <v>43952</v>
      </c>
      <c r="M1836" t="s">
        <v>40006</v>
      </c>
      <c r="N1836" t="s">
        <v>40007</v>
      </c>
      <c r="O1836" t="s">
        <v>25176</v>
      </c>
    </row>
    <row r="1837" spans="1:15" x14ac:dyDescent="0.15">
      <c r="A1837">
        <v>34796445</v>
      </c>
      <c r="B1837">
        <v>29269376</v>
      </c>
      <c r="E1837">
        <v>26018205</v>
      </c>
      <c r="F1837" t="s">
        <v>27027</v>
      </c>
      <c r="G1837" t="s">
        <v>40008</v>
      </c>
      <c r="H1837" t="s">
        <v>40009</v>
      </c>
      <c r="I1837" t="s">
        <v>40010</v>
      </c>
      <c r="J1837" t="s">
        <v>31639</v>
      </c>
      <c r="K1837">
        <v>2015</v>
      </c>
      <c r="L1837" s="1">
        <v>42153</v>
      </c>
      <c r="M1837" t="s">
        <v>40011</v>
      </c>
      <c r="O1837" t="s">
        <v>27037</v>
      </c>
    </row>
    <row r="1838" spans="1:15" x14ac:dyDescent="0.15">
      <c r="A1838">
        <v>31054137</v>
      </c>
      <c r="B1838">
        <v>30538148</v>
      </c>
      <c r="E1838">
        <v>22484292</v>
      </c>
      <c r="F1838" t="s">
        <v>40012</v>
      </c>
      <c r="G1838" t="s">
        <v>40013</v>
      </c>
      <c r="H1838" t="s">
        <v>40014</v>
      </c>
      <c r="I1838" t="s">
        <v>40015</v>
      </c>
      <c r="J1838" t="s">
        <v>35594</v>
      </c>
      <c r="K1838">
        <v>2012</v>
      </c>
      <c r="L1838" s="1">
        <v>41009</v>
      </c>
      <c r="O1838" t="s">
        <v>28444</v>
      </c>
    </row>
    <row r="1839" spans="1:15" x14ac:dyDescent="0.15">
      <c r="A1839" t="s">
        <v>74</v>
      </c>
      <c r="B1839">
        <v>34343548</v>
      </c>
      <c r="E1839">
        <v>23949796</v>
      </c>
      <c r="F1839" t="s">
        <v>40016</v>
      </c>
      <c r="G1839" t="s">
        <v>40017</v>
      </c>
      <c r="H1839" t="s">
        <v>40018</v>
      </c>
      <c r="I1839" t="s">
        <v>40019</v>
      </c>
      <c r="J1839" t="s">
        <v>40020</v>
      </c>
      <c r="K1839">
        <v>2013</v>
      </c>
      <c r="L1839" s="1">
        <v>41503</v>
      </c>
      <c r="M1839" t="s">
        <v>40021</v>
      </c>
      <c r="O1839" t="s">
        <v>27388</v>
      </c>
    </row>
    <row r="1840" spans="1:15" x14ac:dyDescent="0.15">
      <c r="A1840">
        <v>34114453</v>
      </c>
      <c r="B1840">
        <v>30737432</v>
      </c>
      <c r="E1840">
        <v>26229117</v>
      </c>
      <c r="F1840" t="s">
        <v>23674</v>
      </c>
      <c r="G1840" t="s">
        <v>40022</v>
      </c>
      <c r="H1840" t="s">
        <v>40023</v>
      </c>
      <c r="I1840" t="s">
        <v>40024</v>
      </c>
      <c r="J1840" t="s">
        <v>35339</v>
      </c>
      <c r="K1840">
        <v>2015</v>
      </c>
      <c r="L1840" s="1">
        <v>42217</v>
      </c>
      <c r="M1840" t="s">
        <v>40025</v>
      </c>
      <c r="N1840" t="s">
        <v>40026</v>
      </c>
      <c r="O1840" t="s">
        <v>23683</v>
      </c>
    </row>
    <row r="1841" spans="1:15" x14ac:dyDescent="0.15">
      <c r="A1841">
        <v>33165807</v>
      </c>
      <c r="B1841">
        <v>28433632</v>
      </c>
      <c r="E1841">
        <v>17030615</v>
      </c>
      <c r="F1841" t="s">
        <v>24081</v>
      </c>
      <c r="G1841" t="s">
        <v>40027</v>
      </c>
      <c r="H1841" t="s">
        <v>40028</v>
      </c>
      <c r="I1841" t="s">
        <v>40029</v>
      </c>
      <c r="J1841" t="s">
        <v>33347</v>
      </c>
      <c r="K1841">
        <v>2006</v>
      </c>
      <c r="L1841" s="1">
        <v>39003</v>
      </c>
      <c r="M1841" t="s">
        <v>40030</v>
      </c>
      <c r="O1841" t="s">
        <v>24093</v>
      </c>
    </row>
    <row r="1842" spans="1:15" x14ac:dyDescent="0.15">
      <c r="A1842">
        <v>32056180</v>
      </c>
      <c r="B1842">
        <v>35730977</v>
      </c>
      <c r="E1842">
        <v>32153563</v>
      </c>
      <c r="F1842" t="s">
        <v>28603</v>
      </c>
      <c r="G1842" t="s">
        <v>40037</v>
      </c>
      <c r="H1842" t="s">
        <v>40038</v>
      </c>
      <c r="I1842" t="s">
        <v>40039</v>
      </c>
      <c r="J1842" t="s">
        <v>30713</v>
      </c>
      <c r="K1842">
        <v>2020</v>
      </c>
      <c r="L1842" s="1">
        <v>43901</v>
      </c>
      <c r="M1842" t="s">
        <v>40040</v>
      </c>
      <c r="O1842" t="s">
        <v>28612</v>
      </c>
    </row>
    <row r="1843" spans="1:15" x14ac:dyDescent="0.15">
      <c r="A1843" t="s">
        <v>74</v>
      </c>
      <c r="B1843">
        <v>34819170</v>
      </c>
      <c r="E1843">
        <v>35710947</v>
      </c>
      <c r="F1843" t="s">
        <v>24324</v>
      </c>
      <c r="G1843" t="s">
        <v>40048</v>
      </c>
      <c r="H1843" t="s">
        <v>40049</v>
      </c>
      <c r="I1843" t="s">
        <v>40050</v>
      </c>
      <c r="J1843" t="s">
        <v>32377</v>
      </c>
      <c r="K1843">
        <v>2022</v>
      </c>
      <c r="L1843" s="1">
        <v>44729</v>
      </c>
      <c r="M1843" t="s">
        <v>40051</v>
      </c>
      <c r="O1843" t="s">
        <v>24333</v>
      </c>
    </row>
    <row r="1844" spans="1:15" x14ac:dyDescent="0.15">
      <c r="A1844" t="s">
        <v>74</v>
      </c>
      <c r="B1844">
        <v>34048709</v>
      </c>
      <c r="E1844">
        <v>29930011</v>
      </c>
      <c r="F1844" t="s">
        <v>28764</v>
      </c>
      <c r="G1844" t="s">
        <v>40052</v>
      </c>
      <c r="H1844" t="s">
        <v>40053</v>
      </c>
      <c r="I1844" t="s">
        <v>40054</v>
      </c>
      <c r="J1844" t="s">
        <v>30600</v>
      </c>
      <c r="K1844">
        <v>2018</v>
      </c>
      <c r="L1844" s="1">
        <v>43274</v>
      </c>
      <c r="M1844" t="s">
        <v>40055</v>
      </c>
      <c r="O1844" t="s">
        <v>28773</v>
      </c>
    </row>
    <row r="1845" spans="1:15" x14ac:dyDescent="0.15">
      <c r="A1845">
        <v>34485270</v>
      </c>
      <c r="B1845">
        <v>31152038</v>
      </c>
      <c r="E1845">
        <v>30674533</v>
      </c>
      <c r="F1845" t="s">
        <v>26490</v>
      </c>
      <c r="G1845" t="s">
        <v>40063</v>
      </c>
      <c r="H1845" t="s">
        <v>40064</v>
      </c>
      <c r="I1845" t="s">
        <v>40065</v>
      </c>
      <c r="J1845" t="s">
        <v>31167</v>
      </c>
      <c r="K1845">
        <v>2019</v>
      </c>
      <c r="L1845" s="1">
        <v>43490</v>
      </c>
      <c r="M1845" t="s">
        <v>40066</v>
      </c>
      <c r="N1845" t="s">
        <v>40067</v>
      </c>
      <c r="O1845" t="s">
        <v>26499</v>
      </c>
    </row>
    <row r="1846" spans="1:15" x14ac:dyDescent="0.15">
      <c r="A1846">
        <v>33193149</v>
      </c>
    </row>
    <row r="1847" spans="1:15" x14ac:dyDescent="0.15">
      <c r="A1847">
        <v>35012518</v>
      </c>
    </row>
    <row r="1848" spans="1:15" x14ac:dyDescent="0.15">
      <c r="A1848">
        <v>35049651</v>
      </c>
    </row>
    <row r="1849" spans="1:15" x14ac:dyDescent="0.15">
      <c r="A1849" t="s">
        <v>74</v>
      </c>
    </row>
    <row r="1850" spans="1:15" x14ac:dyDescent="0.15">
      <c r="A1850">
        <v>35189412</v>
      </c>
    </row>
    <row r="1851" spans="1:15" x14ac:dyDescent="0.15">
      <c r="A1851">
        <v>16920200</v>
      </c>
    </row>
    <row r="1852" spans="1:15" x14ac:dyDescent="0.15">
      <c r="A1852">
        <v>33823494</v>
      </c>
    </row>
    <row r="1853" spans="1:15" x14ac:dyDescent="0.15">
      <c r="A1853">
        <v>33384665</v>
      </c>
    </row>
    <row r="1854" spans="1:15" x14ac:dyDescent="0.15">
      <c r="A1854">
        <v>34690958</v>
      </c>
    </row>
    <row r="1855" spans="1:15" x14ac:dyDescent="0.15">
      <c r="A1855" t="s">
        <v>74</v>
      </c>
    </row>
    <row r="1856" spans="1:15" x14ac:dyDescent="0.15">
      <c r="A1856">
        <v>34234173</v>
      </c>
    </row>
    <row r="1857" spans="1:1" x14ac:dyDescent="0.15">
      <c r="A1857">
        <v>35029990</v>
      </c>
    </row>
    <row r="1858" spans="1:1" x14ac:dyDescent="0.15">
      <c r="A1858">
        <v>35142442</v>
      </c>
    </row>
    <row r="1859" spans="1:1" x14ac:dyDescent="0.15">
      <c r="A1859">
        <v>34953858</v>
      </c>
    </row>
    <row r="1860" spans="1:1" x14ac:dyDescent="0.15">
      <c r="A1860">
        <v>35091566</v>
      </c>
    </row>
    <row r="1861" spans="1:1" x14ac:dyDescent="0.15">
      <c r="A1861">
        <v>34565331</v>
      </c>
    </row>
    <row r="1862" spans="1:1" x14ac:dyDescent="0.15">
      <c r="A1862">
        <v>34688997</v>
      </c>
    </row>
    <row r="1863" spans="1:1" x14ac:dyDescent="0.15">
      <c r="A1863">
        <v>32547224</v>
      </c>
    </row>
    <row r="1864" spans="1:1" x14ac:dyDescent="0.15">
      <c r="A1864">
        <v>35487070</v>
      </c>
    </row>
    <row r="1865" spans="1:1" x14ac:dyDescent="0.15">
      <c r="A1865">
        <v>33086079</v>
      </c>
    </row>
    <row r="1866" spans="1:1" x14ac:dyDescent="0.15">
      <c r="A1866">
        <v>33574869</v>
      </c>
    </row>
    <row r="1867" spans="1:1" x14ac:dyDescent="0.15">
      <c r="A1867">
        <v>34358665</v>
      </c>
    </row>
    <row r="1868" spans="1:1" x14ac:dyDescent="0.15">
      <c r="A1868" t="s">
        <v>74</v>
      </c>
    </row>
    <row r="1869" spans="1:1" x14ac:dyDescent="0.15">
      <c r="A1869">
        <v>33788105</v>
      </c>
    </row>
    <row r="1870" spans="1:1" x14ac:dyDescent="0.15">
      <c r="A1870">
        <v>35338758</v>
      </c>
    </row>
    <row r="1871" spans="1:1" x14ac:dyDescent="0.15">
      <c r="A1871" t="s">
        <v>74</v>
      </c>
    </row>
    <row r="1872" spans="1:1" x14ac:dyDescent="0.15">
      <c r="A1872">
        <v>35036051</v>
      </c>
    </row>
    <row r="1873" spans="1:1" x14ac:dyDescent="0.15">
      <c r="A1873">
        <v>34528938</v>
      </c>
    </row>
    <row r="1874" spans="1:1" x14ac:dyDescent="0.15">
      <c r="A1874" t="s">
        <v>74</v>
      </c>
    </row>
    <row r="1875" spans="1:1" x14ac:dyDescent="0.15">
      <c r="A1875">
        <v>32995896</v>
      </c>
    </row>
    <row r="1876" spans="1:1" x14ac:dyDescent="0.15">
      <c r="A1876">
        <v>35290882</v>
      </c>
    </row>
    <row r="1877" spans="1:1" x14ac:dyDescent="0.15">
      <c r="A1877">
        <v>34489723</v>
      </c>
    </row>
    <row r="1878" spans="1:1" x14ac:dyDescent="0.15">
      <c r="A1878">
        <v>35722385</v>
      </c>
    </row>
    <row r="1879" spans="1:1" x14ac:dyDescent="0.15">
      <c r="A1879">
        <v>35120900</v>
      </c>
    </row>
    <row r="1880" spans="1:1" x14ac:dyDescent="0.15">
      <c r="A1880">
        <v>32019550</v>
      </c>
    </row>
    <row r="1881" spans="1:1" x14ac:dyDescent="0.15">
      <c r="A1881" t="s">
        <v>74</v>
      </c>
    </row>
    <row r="1882" spans="1:1" x14ac:dyDescent="0.15">
      <c r="A1882">
        <v>33651347</v>
      </c>
    </row>
    <row r="1883" spans="1:1" x14ac:dyDescent="0.15">
      <c r="A1883" t="s">
        <v>74</v>
      </c>
    </row>
    <row r="1884" spans="1:1" x14ac:dyDescent="0.15">
      <c r="A1884">
        <v>34298423</v>
      </c>
    </row>
    <row r="1885" spans="1:1" x14ac:dyDescent="0.15">
      <c r="A1885">
        <v>33768126</v>
      </c>
    </row>
    <row r="1886" spans="1:1" x14ac:dyDescent="0.15">
      <c r="A1886" t="s">
        <v>74</v>
      </c>
    </row>
    <row r="1887" spans="1:1" x14ac:dyDescent="0.15">
      <c r="A1887">
        <v>35024198</v>
      </c>
    </row>
    <row r="1888" spans="1:1" x14ac:dyDescent="0.15">
      <c r="A1888">
        <v>33900057</v>
      </c>
    </row>
    <row r="1889" spans="1:1" x14ac:dyDescent="0.15">
      <c r="A1889">
        <v>33877328</v>
      </c>
    </row>
    <row r="1890" spans="1:1" x14ac:dyDescent="0.15">
      <c r="A1890">
        <v>34188709</v>
      </c>
    </row>
    <row r="1891" spans="1:1" x14ac:dyDescent="0.15">
      <c r="A1891">
        <v>33383715</v>
      </c>
    </row>
    <row r="1892" spans="1:1" x14ac:dyDescent="0.15">
      <c r="A1892">
        <v>35383983</v>
      </c>
    </row>
    <row r="1893" spans="1:1" x14ac:dyDescent="0.15">
      <c r="A1893">
        <v>33581251</v>
      </c>
    </row>
    <row r="1894" spans="1:1" x14ac:dyDescent="0.15">
      <c r="A1894">
        <v>35215642</v>
      </c>
    </row>
    <row r="1895" spans="1:1" x14ac:dyDescent="0.15">
      <c r="A1895">
        <v>34360718</v>
      </c>
    </row>
    <row r="1896" spans="1:1" x14ac:dyDescent="0.15">
      <c r="A1896">
        <v>34698812</v>
      </c>
    </row>
    <row r="1897" spans="1:1" x14ac:dyDescent="0.15">
      <c r="A1897">
        <v>34537772</v>
      </c>
    </row>
    <row r="1898" spans="1:1" x14ac:dyDescent="0.15">
      <c r="A1898">
        <v>35351996</v>
      </c>
    </row>
    <row r="1899" spans="1:1" x14ac:dyDescent="0.15">
      <c r="A1899">
        <v>35372111</v>
      </c>
    </row>
    <row r="1900" spans="1:1" x14ac:dyDescent="0.15">
      <c r="A1900" t="s">
        <v>74</v>
      </c>
    </row>
    <row r="1901" spans="1:1" x14ac:dyDescent="0.15">
      <c r="A1901">
        <v>35075668</v>
      </c>
    </row>
    <row r="1902" spans="1:1" x14ac:dyDescent="0.15">
      <c r="A1902">
        <v>33879557</v>
      </c>
    </row>
    <row r="1903" spans="1:1" x14ac:dyDescent="0.15">
      <c r="A1903" t="s">
        <v>74</v>
      </c>
    </row>
    <row r="1904" spans="1:1" x14ac:dyDescent="0.15">
      <c r="A1904" t="s">
        <v>74</v>
      </c>
    </row>
    <row r="1905" spans="1:1" x14ac:dyDescent="0.15">
      <c r="A1905">
        <v>34677049</v>
      </c>
    </row>
    <row r="1906" spans="1:1" x14ac:dyDescent="0.15">
      <c r="A1906" t="s">
        <v>74</v>
      </c>
    </row>
    <row r="1907" spans="1:1" x14ac:dyDescent="0.15">
      <c r="A1907">
        <v>33704726</v>
      </c>
    </row>
    <row r="1908" spans="1:1" x14ac:dyDescent="0.15">
      <c r="A1908" t="s">
        <v>74</v>
      </c>
    </row>
    <row r="1909" spans="1:1" x14ac:dyDescent="0.15">
      <c r="A1909">
        <v>28828675</v>
      </c>
    </row>
    <row r="1910" spans="1:1" x14ac:dyDescent="0.15">
      <c r="A1910">
        <v>32289644</v>
      </c>
    </row>
    <row r="1911" spans="1:1" x14ac:dyDescent="0.15">
      <c r="A1911">
        <v>34065021</v>
      </c>
    </row>
    <row r="1912" spans="1:1" x14ac:dyDescent="0.15">
      <c r="A1912">
        <v>35805031</v>
      </c>
    </row>
    <row r="1913" spans="1:1" x14ac:dyDescent="0.15">
      <c r="A1913">
        <v>35673574</v>
      </c>
    </row>
    <row r="1914" spans="1:1" x14ac:dyDescent="0.15">
      <c r="A1914">
        <v>35565197</v>
      </c>
    </row>
    <row r="1915" spans="1:1" x14ac:dyDescent="0.15">
      <c r="A1915">
        <v>34564576</v>
      </c>
    </row>
    <row r="1916" spans="1:1" x14ac:dyDescent="0.15">
      <c r="A1916">
        <v>35235806</v>
      </c>
    </row>
    <row r="1917" spans="1:1" x14ac:dyDescent="0.15">
      <c r="A1917">
        <v>35171005</v>
      </c>
    </row>
    <row r="1918" spans="1:1" x14ac:dyDescent="0.15">
      <c r="A1918">
        <v>35301052</v>
      </c>
    </row>
    <row r="1919" spans="1:1" x14ac:dyDescent="0.15">
      <c r="A1919">
        <v>35432007</v>
      </c>
    </row>
    <row r="1920" spans="1:1" x14ac:dyDescent="0.15">
      <c r="A1920">
        <v>35806411</v>
      </c>
    </row>
    <row r="1921" spans="1:1" x14ac:dyDescent="0.15">
      <c r="A1921">
        <v>35406505</v>
      </c>
    </row>
    <row r="1922" spans="1:1" x14ac:dyDescent="0.15">
      <c r="A1922">
        <v>35777716</v>
      </c>
    </row>
    <row r="1923" spans="1:1" x14ac:dyDescent="0.15">
      <c r="A1923">
        <v>34040472</v>
      </c>
    </row>
    <row r="1924" spans="1:1" x14ac:dyDescent="0.15">
      <c r="A1924" t="s">
        <v>74</v>
      </c>
    </row>
    <row r="1925" spans="1:1" x14ac:dyDescent="0.15">
      <c r="A1925">
        <v>35233930</v>
      </c>
    </row>
    <row r="1926" spans="1:1" x14ac:dyDescent="0.15">
      <c r="A1926">
        <v>35287054</v>
      </c>
    </row>
    <row r="1927" spans="1:1" x14ac:dyDescent="0.15">
      <c r="A1927">
        <v>34626484</v>
      </c>
    </row>
    <row r="1928" spans="1:1" x14ac:dyDescent="0.15">
      <c r="A1928">
        <v>35056102</v>
      </c>
    </row>
    <row r="1929" spans="1:1" x14ac:dyDescent="0.15">
      <c r="A1929">
        <v>34638452</v>
      </c>
    </row>
    <row r="1930" spans="1:1" x14ac:dyDescent="0.15">
      <c r="A1930">
        <v>35628314</v>
      </c>
    </row>
    <row r="1931" spans="1:1" x14ac:dyDescent="0.15">
      <c r="A1931">
        <v>35444613</v>
      </c>
    </row>
    <row r="1932" spans="1:1" x14ac:dyDescent="0.15">
      <c r="A1932">
        <v>34379990</v>
      </c>
    </row>
    <row r="1933" spans="1:1" x14ac:dyDescent="0.15">
      <c r="A1933">
        <v>35509278</v>
      </c>
    </row>
    <row r="1934" spans="1:1" x14ac:dyDescent="0.15">
      <c r="A1934">
        <v>35312297</v>
      </c>
    </row>
    <row r="1935" spans="1:1" x14ac:dyDescent="0.15">
      <c r="A1935">
        <v>35595717</v>
      </c>
    </row>
    <row r="1936" spans="1:1" x14ac:dyDescent="0.15">
      <c r="A1936">
        <v>33755954</v>
      </c>
    </row>
    <row r="1937" spans="1:1" x14ac:dyDescent="0.15">
      <c r="A1937">
        <v>35563365</v>
      </c>
    </row>
    <row r="1938" spans="1:1" x14ac:dyDescent="0.15">
      <c r="A1938">
        <v>35438977</v>
      </c>
    </row>
    <row r="1939" spans="1:1" x14ac:dyDescent="0.15">
      <c r="A1939">
        <v>35008226</v>
      </c>
    </row>
    <row r="1940" spans="1:1" x14ac:dyDescent="0.15">
      <c r="A1940">
        <v>32602096</v>
      </c>
    </row>
    <row r="1941" spans="1:1" x14ac:dyDescent="0.15">
      <c r="A1941" t="s">
        <v>74</v>
      </c>
    </row>
    <row r="1942" spans="1:1" x14ac:dyDescent="0.15">
      <c r="A1942">
        <v>35057959</v>
      </c>
    </row>
    <row r="1943" spans="1:1" x14ac:dyDescent="0.15">
      <c r="A1943">
        <v>35741061</v>
      </c>
    </row>
    <row r="1944" spans="1:1" x14ac:dyDescent="0.15">
      <c r="A1944">
        <v>35731982</v>
      </c>
    </row>
    <row r="1945" spans="1:1" x14ac:dyDescent="0.15">
      <c r="A1945">
        <v>34282804</v>
      </c>
    </row>
    <row r="1946" spans="1:1" x14ac:dyDescent="0.15">
      <c r="A1946">
        <v>34615464</v>
      </c>
    </row>
    <row r="1947" spans="1:1" x14ac:dyDescent="0.15">
      <c r="A1947">
        <v>35008709</v>
      </c>
    </row>
    <row r="1948" spans="1:1" x14ac:dyDescent="0.15">
      <c r="A1948">
        <v>35699856</v>
      </c>
    </row>
    <row r="1949" spans="1:1" x14ac:dyDescent="0.15">
      <c r="A1949">
        <v>35408821</v>
      </c>
    </row>
    <row r="1950" spans="1:1" x14ac:dyDescent="0.15">
      <c r="A1950">
        <v>34742714</v>
      </c>
    </row>
    <row r="1951" spans="1:1" x14ac:dyDescent="0.15">
      <c r="A1951">
        <v>35200409</v>
      </c>
    </row>
    <row r="1952" spans="1:1" x14ac:dyDescent="0.15">
      <c r="A1952">
        <v>35257663</v>
      </c>
    </row>
    <row r="1953" spans="1:1" x14ac:dyDescent="0.15">
      <c r="A1953">
        <v>34471367</v>
      </c>
    </row>
    <row r="1954" spans="1:1" x14ac:dyDescent="0.15">
      <c r="A1954">
        <v>34906563</v>
      </c>
    </row>
    <row r="1955" spans="1:1" x14ac:dyDescent="0.15">
      <c r="A1955">
        <v>35649328</v>
      </c>
    </row>
    <row r="1956" spans="1:1" x14ac:dyDescent="0.15">
      <c r="A1956">
        <v>32930980</v>
      </c>
    </row>
    <row r="1957" spans="1:1" x14ac:dyDescent="0.15">
      <c r="A1957">
        <v>35127151</v>
      </c>
    </row>
    <row r="1958" spans="1:1" x14ac:dyDescent="0.15">
      <c r="A1958">
        <v>35681723</v>
      </c>
    </row>
    <row r="1959" spans="1:1" x14ac:dyDescent="0.15">
      <c r="A1959">
        <v>35205822</v>
      </c>
    </row>
    <row r="1960" spans="1:1" x14ac:dyDescent="0.15">
      <c r="A1960" t="s">
        <v>74</v>
      </c>
    </row>
    <row r="1961" spans="1:1" x14ac:dyDescent="0.15">
      <c r="A1961">
        <v>35891224</v>
      </c>
    </row>
    <row r="1962" spans="1:1" x14ac:dyDescent="0.15">
      <c r="A1962">
        <v>35598195</v>
      </c>
    </row>
    <row r="1963" spans="1:1" x14ac:dyDescent="0.15">
      <c r="A1963">
        <v>32115494</v>
      </c>
    </row>
    <row r="1964" spans="1:1" x14ac:dyDescent="0.15">
      <c r="A1964" t="s">
        <v>74</v>
      </c>
    </row>
    <row r="1965" spans="1:1" x14ac:dyDescent="0.15">
      <c r="A1965">
        <v>35199894</v>
      </c>
    </row>
    <row r="1966" spans="1:1" x14ac:dyDescent="0.15">
      <c r="A1966">
        <v>34884834</v>
      </c>
    </row>
    <row r="1967" spans="1:1" x14ac:dyDescent="0.15">
      <c r="A1967">
        <v>35590035</v>
      </c>
    </row>
    <row r="1968" spans="1:1" x14ac:dyDescent="0.15">
      <c r="A1968">
        <v>35328679</v>
      </c>
    </row>
    <row r="1969" spans="1:1" x14ac:dyDescent="0.15">
      <c r="A1969">
        <v>35696959</v>
      </c>
    </row>
    <row r="1970" spans="1:1" x14ac:dyDescent="0.15">
      <c r="A1970">
        <v>34937167</v>
      </c>
    </row>
    <row r="1971" spans="1:1" x14ac:dyDescent="0.15">
      <c r="A1971">
        <v>35068480</v>
      </c>
    </row>
    <row r="1972" spans="1:1" x14ac:dyDescent="0.15">
      <c r="A1972" t="s">
        <v>74</v>
      </c>
    </row>
    <row r="1973" spans="1:1" x14ac:dyDescent="0.15">
      <c r="A1973">
        <v>35649159</v>
      </c>
    </row>
    <row r="1974" spans="1:1" x14ac:dyDescent="0.15">
      <c r="A1974">
        <v>35649159</v>
      </c>
    </row>
    <row r="1975" spans="1:1" x14ac:dyDescent="0.15">
      <c r="A1975" t="s">
        <v>74</v>
      </c>
    </row>
    <row r="1976" spans="1:1" x14ac:dyDescent="0.15">
      <c r="A1976" t="s">
        <v>74</v>
      </c>
    </row>
    <row r="1977" spans="1:1" x14ac:dyDescent="0.15">
      <c r="A1977">
        <v>35804987</v>
      </c>
    </row>
    <row r="1978" spans="1:1" x14ac:dyDescent="0.15">
      <c r="A1978">
        <v>35693076</v>
      </c>
    </row>
    <row r="1979" spans="1:1" x14ac:dyDescent="0.15">
      <c r="A1979">
        <v>35466594</v>
      </c>
    </row>
    <row r="1980" spans="1:1" x14ac:dyDescent="0.15">
      <c r="A1980">
        <v>34458012</v>
      </c>
    </row>
    <row r="1981" spans="1:1" x14ac:dyDescent="0.15">
      <c r="A1981">
        <v>35596050</v>
      </c>
    </row>
    <row r="1982" spans="1:1" x14ac:dyDescent="0.15">
      <c r="A1982">
        <v>35302760</v>
      </c>
    </row>
    <row r="1983" spans="1:1" x14ac:dyDescent="0.15">
      <c r="A1983">
        <v>35004728</v>
      </c>
    </row>
    <row r="1984" spans="1:1" x14ac:dyDescent="0.15">
      <c r="A1984">
        <v>35456987</v>
      </c>
    </row>
    <row r="1985" spans="1:1" x14ac:dyDescent="0.15">
      <c r="A1985">
        <v>34600275</v>
      </c>
    </row>
    <row r="1986" spans="1:1" x14ac:dyDescent="0.15">
      <c r="A1986">
        <v>35332261</v>
      </c>
    </row>
    <row r="1987" spans="1:1" x14ac:dyDescent="0.15">
      <c r="A1987" t="s">
        <v>74</v>
      </c>
    </row>
    <row r="1988" spans="1:1" x14ac:dyDescent="0.15">
      <c r="A1988">
        <v>35721867</v>
      </c>
    </row>
    <row r="1989" spans="1:1" x14ac:dyDescent="0.15">
      <c r="A1989">
        <v>35433481</v>
      </c>
    </row>
    <row r="1990" spans="1:1" x14ac:dyDescent="0.15">
      <c r="A1990">
        <v>34098025</v>
      </c>
    </row>
    <row r="1991" spans="1:1" x14ac:dyDescent="0.15">
      <c r="A1991">
        <v>35208666</v>
      </c>
    </row>
    <row r="1992" spans="1:1" x14ac:dyDescent="0.15">
      <c r="A1992">
        <v>35311515</v>
      </c>
    </row>
    <row r="1993" spans="1:1" x14ac:dyDescent="0.15">
      <c r="A1993">
        <v>35682646</v>
      </c>
    </row>
    <row r="1994" spans="1:1" x14ac:dyDescent="0.15">
      <c r="A1994" t="s">
        <v>74</v>
      </c>
    </row>
    <row r="1995" spans="1:1" x14ac:dyDescent="0.15">
      <c r="A1995">
        <v>34179241</v>
      </c>
    </row>
    <row r="1996" spans="1:1" x14ac:dyDescent="0.15">
      <c r="A1996">
        <v>33974805</v>
      </c>
    </row>
    <row r="1997" spans="1:1" x14ac:dyDescent="0.15">
      <c r="A1997">
        <v>35787656</v>
      </c>
    </row>
    <row r="1998" spans="1:1" x14ac:dyDescent="0.15">
      <c r="A1998">
        <v>34830979</v>
      </c>
    </row>
    <row r="1999" spans="1:1" x14ac:dyDescent="0.15">
      <c r="A1999">
        <v>35759303</v>
      </c>
    </row>
    <row r="2000" spans="1:1" x14ac:dyDescent="0.15">
      <c r="A2000" t="s">
        <v>74</v>
      </c>
    </row>
    <row r="2001" spans="1:1" x14ac:dyDescent="0.15">
      <c r="A2001">
        <v>35740635</v>
      </c>
    </row>
    <row r="2002" spans="1:1" x14ac:dyDescent="0.15">
      <c r="A2002" t="s">
        <v>74</v>
      </c>
    </row>
    <row r="2003" spans="1:1" x14ac:dyDescent="0.15">
      <c r="A2003">
        <v>35500155</v>
      </c>
    </row>
    <row r="2004" spans="1:1" x14ac:dyDescent="0.15">
      <c r="A2004">
        <v>34878445</v>
      </c>
    </row>
    <row r="2005" spans="1:1" x14ac:dyDescent="0.15">
      <c r="A2005">
        <v>35834978</v>
      </c>
    </row>
    <row r="2006" spans="1:1" x14ac:dyDescent="0.15">
      <c r="A2006">
        <v>35344140</v>
      </c>
    </row>
    <row r="2007" spans="1:1" x14ac:dyDescent="0.15">
      <c r="A2007">
        <v>35411359</v>
      </c>
    </row>
    <row r="2008" spans="1:1" x14ac:dyDescent="0.15">
      <c r="A2008" t="s">
        <v>74</v>
      </c>
    </row>
    <row r="2009" spans="1:1" x14ac:dyDescent="0.15">
      <c r="A2009" t="s">
        <v>74</v>
      </c>
    </row>
    <row r="2010" spans="1:1" x14ac:dyDescent="0.15">
      <c r="A2010">
        <v>34948355</v>
      </c>
    </row>
    <row r="2011" spans="1:1" x14ac:dyDescent="0.15">
      <c r="A2011">
        <v>35229476</v>
      </c>
    </row>
    <row r="2012" spans="1:1" x14ac:dyDescent="0.15">
      <c r="A2012">
        <v>35421879</v>
      </c>
    </row>
    <row r="2013" spans="1:1" x14ac:dyDescent="0.15">
      <c r="A2013">
        <v>35576661</v>
      </c>
    </row>
    <row r="2014" spans="1:1" x14ac:dyDescent="0.15">
      <c r="A2014" t="s">
        <v>74</v>
      </c>
    </row>
    <row r="2015" spans="1:1" x14ac:dyDescent="0.15">
      <c r="A2015">
        <v>33661579</v>
      </c>
    </row>
    <row r="2016" spans="1:1" x14ac:dyDescent="0.15">
      <c r="A2016">
        <v>35217095</v>
      </c>
    </row>
    <row r="2017" spans="1:1" x14ac:dyDescent="0.15">
      <c r="A2017">
        <v>34080172</v>
      </c>
    </row>
    <row r="2018" spans="1:1" x14ac:dyDescent="0.15">
      <c r="A2018">
        <v>35453300</v>
      </c>
    </row>
    <row r="2019" spans="1:1" x14ac:dyDescent="0.15">
      <c r="A2019">
        <v>35179366</v>
      </c>
    </row>
    <row r="2020" spans="1:1" x14ac:dyDescent="0.15">
      <c r="A2020">
        <v>35682592</v>
      </c>
    </row>
    <row r="2021" spans="1:1" x14ac:dyDescent="0.15">
      <c r="A2021">
        <v>35715382</v>
      </c>
    </row>
    <row r="2022" spans="1:1" x14ac:dyDescent="0.15">
      <c r="A2022">
        <v>35180687</v>
      </c>
    </row>
    <row r="2023" spans="1:1" x14ac:dyDescent="0.15">
      <c r="A2023">
        <v>35638425</v>
      </c>
    </row>
    <row r="2024" spans="1:1" x14ac:dyDescent="0.15">
      <c r="A2024">
        <v>34433181</v>
      </c>
    </row>
    <row r="2025" spans="1:1" x14ac:dyDescent="0.15">
      <c r="A2025">
        <v>35332890</v>
      </c>
    </row>
    <row r="2026" spans="1:1" x14ac:dyDescent="0.15">
      <c r="A2026">
        <v>33960622</v>
      </c>
    </row>
    <row r="2027" spans="1:1" x14ac:dyDescent="0.15">
      <c r="A2027">
        <v>35802880</v>
      </c>
    </row>
    <row r="2028" spans="1:1" x14ac:dyDescent="0.15">
      <c r="A2028">
        <v>33028960</v>
      </c>
    </row>
    <row r="2029" spans="1:1" x14ac:dyDescent="0.15">
      <c r="A2029">
        <v>35682999</v>
      </c>
    </row>
    <row r="2030" spans="1:1" x14ac:dyDescent="0.15">
      <c r="A2030">
        <v>35708510</v>
      </c>
    </row>
    <row r="2031" spans="1:1" x14ac:dyDescent="0.15">
      <c r="A2031">
        <v>35465178</v>
      </c>
    </row>
    <row r="2032" spans="1:1" x14ac:dyDescent="0.15">
      <c r="A2032">
        <v>35005084</v>
      </c>
    </row>
    <row r="2033" spans="1:1" x14ac:dyDescent="0.15">
      <c r="A2033">
        <v>35909566</v>
      </c>
    </row>
    <row r="2034" spans="1:1" x14ac:dyDescent="0.15">
      <c r="A2034">
        <v>35818769</v>
      </c>
    </row>
    <row r="2035" spans="1:1" x14ac:dyDescent="0.15">
      <c r="A2035">
        <v>35474906</v>
      </c>
    </row>
    <row r="2036" spans="1:1" x14ac:dyDescent="0.15">
      <c r="A2036">
        <v>35081499</v>
      </c>
    </row>
    <row r="2037" spans="1:1" x14ac:dyDescent="0.15">
      <c r="A2037">
        <v>35092573</v>
      </c>
    </row>
    <row r="2038" spans="1:1" x14ac:dyDescent="0.15">
      <c r="A2038" t="s">
        <v>74</v>
      </c>
    </row>
    <row r="2039" spans="1:1" x14ac:dyDescent="0.15">
      <c r="A2039">
        <v>35778435</v>
      </c>
    </row>
    <row r="2040" spans="1:1" x14ac:dyDescent="0.15">
      <c r="A2040">
        <v>35112881</v>
      </c>
    </row>
    <row r="2041" spans="1:1" x14ac:dyDescent="0.15">
      <c r="A2041">
        <v>35623789</v>
      </c>
    </row>
    <row r="2042" spans="1:1" x14ac:dyDescent="0.15">
      <c r="A2042">
        <v>35558841</v>
      </c>
    </row>
    <row r="2043" spans="1:1" x14ac:dyDescent="0.15">
      <c r="A2043" t="s">
        <v>74</v>
      </c>
    </row>
    <row r="2044" spans="1:1" x14ac:dyDescent="0.15">
      <c r="A2044">
        <v>35225863</v>
      </c>
    </row>
    <row r="2045" spans="1:1" x14ac:dyDescent="0.15">
      <c r="A2045" t="s">
        <v>74</v>
      </c>
    </row>
    <row r="2046" spans="1:1" x14ac:dyDescent="0.15">
      <c r="A2046" t="s">
        <v>74</v>
      </c>
    </row>
    <row r="2047" spans="1:1" x14ac:dyDescent="0.15">
      <c r="A2047">
        <v>34735132</v>
      </c>
    </row>
    <row r="2048" spans="1:1" x14ac:dyDescent="0.15">
      <c r="A2048">
        <v>34994103</v>
      </c>
    </row>
    <row r="2049" spans="1:1" x14ac:dyDescent="0.15">
      <c r="A2049" t="s">
        <v>74</v>
      </c>
    </row>
    <row r="2050" spans="1:1" x14ac:dyDescent="0.15">
      <c r="A2050">
        <v>31977019</v>
      </c>
    </row>
    <row r="2051" spans="1:1" x14ac:dyDescent="0.15">
      <c r="A2051">
        <v>35044159</v>
      </c>
    </row>
    <row r="2052" spans="1:1" x14ac:dyDescent="0.15">
      <c r="A2052" t="s">
        <v>74</v>
      </c>
    </row>
    <row r="2053" spans="1:1" x14ac:dyDescent="0.15">
      <c r="A2053" t="s">
        <v>74</v>
      </c>
    </row>
    <row r="2054" spans="1:1" x14ac:dyDescent="0.15">
      <c r="A2054">
        <v>35203594</v>
      </c>
    </row>
    <row r="2055" spans="1:1" x14ac:dyDescent="0.15">
      <c r="A2055">
        <v>35630882</v>
      </c>
    </row>
    <row r="2056" spans="1:1" x14ac:dyDescent="0.15">
      <c r="A2056">
        <v>35220071</v>
      </c>
    </row>
    <row r="2057" spans="1:1" x14ac:dyDescent="0.15">
      <c r="A2057">
        <v>35203714</v>
      </c>
    </row>
    <row r="2058" spans="1:1" x14ac:dyDescent="0.15">
      <c r="A2058">
        <v>32780361</v>
      </c>
    </row>
    <row r="2059" spans="1:1" x14ac:dyDescent="0.15">
      <c r="A2059">
        <v>35448031</v>
      </c>
    </row>
    <row r="2060" spans="1:1" x14ac:dyDescent="0.15">
      <c r="A2060">
        <v>34165725</v>
      </c>
    </row>
    <row r="2061" spans="1:1" x14ac:dyDescent="0.15">
      <c r="A2061">
        <v>35398304</v>
      </c>
    </row>
    <row r="2062" spans="1:1" x14ac:dyDescent="0.15">
      <c r="A2062">
        <v>34915223</v>
      </c>
    </row>
    <row r="2063" spans="1:1" x14ac:dyDescent="0.15">
      <c r="A2063">
        <v>34858034</v>
      </c>
    </row>
    <row r="2064" spans="1:1" x14ac:dyDescent="0.15">
      <c r="A2064" t="s">
        <v>74</v>
      </c>
    </row>
    <row r="2065" spans="1:1" x14ac:dyDescent="0.15">
      <c r="A2065">
        <v>35159325</v>
      </c>
    </row>
    <row r="2066" spans="1:1" x14ac:dyDescent="0.15">
      <c r="A2066">
        <v>35224597</v>
      </c>
    </row>
    <row r="2067" spans="1:1" x14ac:dyDescent="0.15">
      <c r="A2067" t="s">
        <v>74</v>
      </c>
    </row>
    <row r="2068" spans="1:1" x14ac:dyDescent="0.15">
      <c r="A2068">
        <v>35174154</v>
      </c>
    </row>
    <row r="2069" spans="1:1" x14ac:dyDescent="0.15">
      <c r="A2069" t="s">
        <v>74</v>
      </c>
    </row>
    <row r="2070" spans="1:1" x14ac:dyDescent="0.15">
      <c r="A2070">
        <v>35549815</v>
      </c>
    </row>
    <row r="2071" spans="1:1" x14ac:dyDescent="0.15">
      <c r="A2071">
        <v>34593932</v>
      </c>
    </row>
    <row r="2072" spans="1:1" x14ac:dyDescent="0.15">
      <c r="A2072">
        <v>35094679</v>
      </c>
    </row>
    <row r="2073" spans="1:1" x14ac:dyDescent="0.15">
      <c r="A2073" t="s">
        <v>74</v>
      </c>
    </row>
    <row r="2074" spans="1:1" x14ac:dyDescent="0.15">
      <c r="A2074" t="s">
        <v>74</v>
      </c>
    </row>
    <row r="2075" spans="1:1" x14ac:dyDescent="0.15">
      <c r="A2075">
        <v>35352838</v>
      </c>
    </row>
    <row r="2076" spans="1:1" x14ac:dyDescent="0.15">
      <c r="A2076">
        <v>34427906</v>
      </c>
    </row>
    <row r="2077" spans="1:1" x14ac:dyDescent="0.15">
      <c r="A2077">
        <v>35204378</v>
      </c>
    </row>
    <row r="2078" spans="1:1" x14ac:dyDescent="0.15">
      <c r="A2078">
        <v>35193353</v>
      </c>
    </row>
    <row r="2079" spans="1:1" x14ac:dyDescent="0.15">
      <c r="A2079" t="s">
        <v>74</v>
      </c>
    </row>
    <row r="2080" spans="1:1" x14ac:dyDescent="0.15">
      <c r="A2080">
        <v>35874692</v>
      </c>
    </row>
    <row r="2081" spans="1:1" x14ac:dyDescent="0.15">
      <c r="A2081">
        <v>35328771</v>
      </c>
    </row>
    <row r="2082" spans="1:1" x14ac:dyDescent="0.15">
      <c r="A2082">
        <v>35673560</v>
      </c>
    </row>
    <row r="2083" spans="1:1" x14ac:dyDescent="0.15">
      <c r="A2083">
        <v>35637390</v>
      </c>
    </row>
    <row r="2084" spans="1:1" x14ac:dyDescent="0.15">
      <c r="A2084">
        <v>35581740</v>
      </c>
    </row>
    <row r="2085" spans="1:1" x14ac:dyDescent="0.15">
      <c r="A2085" t="s">
        <v>74</v>
      </c>
    </row>
    <row r="2086" spans="1:1" x14ac:dyDescent="0.15">
      <c r="A2086">
        <v>34915101</v>
      </c>
    </row>
    <row r="2087" spans="1:1" x14ac:dyDescent="0.15">
      <c r="A2087" t="s">
        <v>74</v>
      </c>
    </row>
    <row r="2088" spans="1:1" x14ac:dyDescent="0.15">
      <c r="A2088">
        <v>30371055</v>
      </c>
    </row>
    <row r="2089" spans="1:1" x14ac:dyDescent="0.15">
      <c r="A2089">
        <v>35252132</v>
      </c>
    </row>
    <row r="2090" spans="1:1" x14ac:dyDescent="0.15">
      <c r="A2090" t="s">
        <v>74</v>
      </c>
    </row>
    <row r="2091" spans="1:1" x14ac:dyDescent="0.15">
      <c r="A2091" t="s">
        <v>74</v>
      </c>
    </row>
    <row r="2092" spans="1:1" x14ac:dyDescent="0.15">
      <c r="A2092">
        <v>35447119</v>
      </c>
    </row>
    <row r="2093" spans="1:1" x14ac:dyDescent="0.15">
      <c r="A2093">
        <v>35452280</v>
      </c>
    </row>
    <row r="2094" spans="1:1" x14ac:dyDescent="0.15">
      <c r="A2094">
        <v>35598553</v>
      </c>
    </row>
    <row r="2095" spans="1:1" x14ac:dyDescent="0.15">
      <c r="A2095">
        <v>34150007</v>
      </c>
    </row>
    <row r="2096" spans="1:1" x14ac:dyDescent="0.15">
      <c r="A2096">
        <v>35421672</v>
      </c>
    </row>
    <row r="2097" spans="1:1" x14ac:dyDescent="0.15">
      <c r="A2097">
        <v>35224082</v>
      </c>
    </row>
    <row r="2098" spans="1:1" x14ac:dyDescent="0.15">
      <c r="A2098" t="s">
        <v>74</v>
      </c>
    </row>
    <row r="2099" spans="1:1" x14ac:dyDescent="0.15">
      <c r="A2099">
        <v>34960750</v>
      </c>
    </row>
    <row r="2100" spans="1:1" x14ac:dyDescent="0.15">
      <c r="A2100">
        <v>32891682</v>
      </c>
    </row>
    <row r="2101" spans="1:1" x14ac:dyDescent="0.15">
      <c r="A2101">
        <v>34514752</v>
      </c>
    </row>
    <row r="2102" spans="1:1" x14ac:dyDescent="0.15">
      <c r="A2102">
        <v>33370019</v>
      </c>
    </row>
    <row r="2103" spans="1:1" x14ac:dyDescent="0.15">
      <c r="A2103" t="s">
        <v>74</v>
      </c>
    </row>
    <row r="2104" spans="1:1" x14ac:dyDescent="0.15">
      <c r="A2104">
        <v>35371331</v>
      </c>
    </row>
    <row r="2105" spans="1:1" x14ac:dyDescent="0.15">
      <c r="A2105">
        <v>35692503</v>
      </c>
    </row>
    <row r="2106" spans="1:1" x14ac:dyDescent="0.15">
      <c r="A2106">
        <v>35774416</v>
      </c>
    </row>
    <row r="2107" spans="1:1" x14ac:dyDescent="0.15">
      <c r="A2107">
        <v>35710947</v>
      </c>
    </row>
    <row r="2108" spans="1:1" x14ac:dyDescent="0.15">
      <c r="A2108">
        <v>34497581</v>
      </c>
    </row>
    <row r="2109" spans="1:1" x14ac:dyDescent="0.15">
      <c r="A2109">
        <v>35075190</v>
      </c>
    </row>
    <row r="2110" spans="1:1" x14ac:dyDescent="0.15">
      <c r="A2110" t="s">
        <v>74</v>
      </c>
    </row>
    <row r="2111" spans="1:1" x14ac:dyDescent="0.15">
      <c r="A2111">
        <v>29264630</v>
      </c>
    </row>
    <row r="2112" spans="1:1" x14ac:dyDescent="0.15">
      <c r="A2112" t="s">
        <v>74</v>
      </c>
    </row>
    <row r="2113" spans="1:1" x14ac:dyDescent="0.15">
      <c r="A2113">
        <v>35417232</v>
      </c>
    </row>
    <row r="2114" spans="1:1" x14ac:dyDescent="0.15">
      <c r="A2114">
        <v>35898402</v>
      </c>
    </row>
    <row r="2115" spans="1:1" x14ac:dyDescent="0.15">
      <c r="A2115">
        <v>35742955</v>
      </c>
    </row>
    <row r="2116" spans="1:1" x14ac:dyDescent="0.15">
      <c r="A2116" t="s">
        <v>74</v>
      </c>
    </row>
    <row r="2117" spans="1:1" x14ac:dyDescent="0.15">
      <c r="A2117">
        <v>35182955</v>
      </c>
    </row>
    <row r="2118" spans="1:1" x14ac:dyDescent="0.15">
      <c r="A2118">
        <v>35326558</v>
      </c>
    </row>
    <row r="2119" spans="1:1" x14ac:dyDescent="0.15">
      <c r="A2119">
        <v>35624495</v>
      </c>
    </row>
    <row r="2120" spans="1:1" x14ac:dyDescent="0.15">
      <c r="A2120">
        <v>32925795</v>
      </c>
    </row>
    <row r="2121" spans="1:1" x14ac:dyDescent="0.15">
      <c r="A2121" t="s">
        <v>74</v>
      </c>
    </row>
    <row r="2122" spans="1:1" x14ac:dyDescent="0.15">
      <c r="A2122">
        <v>34047336</v>
      </c>
    </row>
    <row r="2123" spans="1:1" x14ac:dyDescent="0.15">
      <c r="A2123">
        <v>35884336</v>
      </c>
    </row>
    <row r="2124" spans="1:1" x14ac:dyDescent="0.15">
      <c r="A2124">
        <v>35758600</v>
      </c>
    </row>
    <row r="2125" spans="1:1" x14ac:dyDescent="0.15">
      <c r="A2125">
        <v>34972769</v>
      </c>
    </row>
    <row r="2126" spans="1:1" x14ac:dyDescent="0.15">
      <c r="A2126">
        <v>35696523</v>
      </c>
    </row>
    <row r="2127" spans="1:1" x14ac:dyDescent="0.15">
      <c r="A2127">
        <v>30190889</v>
      </c>
    </row>
    <row r="2128" spans="1:1" x14ac:dyDescent="0.15">
      <c r="A2128">
        <v>35565846</v>
      </c>
    </row>
    <row r="2129" spans="1:1" x14ac:dyDescent="0.15">
      <c r="A2129">
        <v>35196550</v>
      </c>
    </row>
    <row r="2130" spans="1:1" x14ac:dyDescent="0.15">
      <c r="A2130">
        <v>35896003</v>
      </c>
    </row>
    <row r="2131" spans="1:1" x14ac:dyDescent="0.15">
      <c r="A2131">
        <v>35716977</v>
      </c>
    </row>
    <row r="2132" spans="1:1" x14ac:dyDescent="0.15">
      <c r="A2132">
        <v>32226485</v>
      </c>
    </row>
    <row r="2133" spans="1:1" x14ac:dyDescent="0.15">
      <c r="A2133">
        <v>35547750</v>
      </c>
    </row>
    <row r="2134" spans="1:1" x14ac:dyDescent="0.15">
      <c r="A2134">
        <v>35477389</v>
      </c>
    </row>
    <row r="2135" spans="1:1" x14ac:dyDescent="0.15">
      <c r="A2135" t="s">
        <v>74</v>
      </c>
    </row>
    <row r="2136" spans="1:1" x14ac:dyDescent="0.15">
      <c r="A2136">
        <v>35884255</v>
      </c>
    </row>
    <row r="2137" spans="1:1" x14ac:dyDescent="0.15">
      <c r="A2137">
        <v>34981912</v>
      </c>
    </row>
    <row r="2138" spans="1:1" x14ac:dyDescent="0.15">
      <c r="A2138">
        <v>35454997</v>
      </c>
    </row>
    <row r="2139" spans="1:1" x14ac:dyDescent="0.15">
      <c r="A2139">
        <v>35197099</v>
      </c>
    </row>
    <row r="2140" spans="1:1" x14ac:dyDescent="0.15">
      <c r="A2140">
        <v>32127652</v>
      </c>
    </row>
    <row r="2141" spans="1:1" x14ac:dyDescent="0.15">
      <c r="A2141">
        <v>35652329</v>
      </c>
    </row>
    <row r="2142" spans="1:1" x14ac:dyDescent="0.15">
      <c r="A2142">
        <v>33528306</v>
      </c>
    </row>
    <row r="2143" spans="1:1" x14ac:dyDescent="0.15">
      <c r="A2143">
        <v>27317182</v>
      </c>
    </row>
    <row r="2144" spans="1:1" x14ac:dyDescent="0.15">
      <c r="A2144">
        <v>35761831</v>
      </c>
    </row>
    <row r="2145" spans="1:1" x14ac:dyDescent="0.15">
      <c r="A2145">
        <v>35736483</v>
      </c>
    </row>
    <row r="2146" spans="1:1" x14ac:dyDescent="0.15">
      <c r="A2146">
        <v>35011735</v>
      </c>
    </row>
    <row r="2147" spans="1:1" x14ac:dyDescent="0.15">
      <c r="A2147">
        <v>33682586</v>
      </c>
    </row>
    <row r="2148" spans="1:1" x14ac:dyDescent="0.15">
      <c r="A2148">
        <v>35667477</v>
      </c>
    </row>
    <row r="2149" spans="1:1" x14ac:dyDescent="0.15">
      <c r="A2149" t="s">
        <v>74</v>
      </c>
    </row>
    <row r="2150" spans="1:1" x14ac:dyDescent="0.15">
      <c r="A2150">
        <v>34440945</v>
      </c>
    </row>
    <row r="2151" spans="1:1" x14ac:dyDescent="0.15">
      <c r="A2151">
        <v>30509097</v>
      </c>
    </row>
    <row r="2152" spans="1:1" x14ac:dyDescent="0.15">
      <c r="A2152">
        <v>34806897</v>
      </c>
    </row>
  </sheetData>
  <autoFilter ref="E1:E2155" xr:uid="{654D500B-5BF7-7A43-9549-ABC0E2E5BE78}">
    <sortState xmlns:xlrd2="http://schemas.microsoft.com/office/spreadsheetml/2017/richdata2" ref="D2:O2155">
      <sortCondition sortBy="cellColor" ref="E1:E2155" dxfId="3"/>
    </sortState>
  </autoFilter>
  <conditionalFormatting sqref="A1:B1048576">
    <cfRule type="duplicateValues" dxfId="2" priority="3"/>
  </conditionalFormatting>
  <conditionalFormatting sqref="D1:D1127">
    <cfRule type="duplicateValues" dxfId="1" priority="2"/>
  </conditionalFormatting>
  <conditionalFormatting sqref="D1:E1048576">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Combined 3278 (pubmed in blue)</vt:lpstr>
      <vt:lpstr>web of science raw 2152</vt:lpstr>
      <vt:lpstr>pubmed raw 1844</vt:lpstr>
      <vt:lpstr>dubplicated PubMedID in red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2022-08-19T23:10:06Z</dcterms:created>
  <dcterms:modified xsi:type="dcterms:W3CDTF">2022-08-19T23:22:25Z</dcterms:modified>
</cp:coreProperties>
</file>